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文案内容\客户资料\成品\其他客户表格\"/>
    </mc:Choice>
  </mc:AlternateContent>
  <bookViews>
    <workbookView windowWidth="27945" windowHeight="11925" tabRatio="941" activeTab="1"/>
  </bookViews>
  <sheets>
    <sheet name="使用说明" sheetId="24" r:id="rId1"/>
    <sheet name="基础资料" sheetId="17" r:id="rId2"/>
    <sheet name="数据录入" sheetId="1" r:id="rId3"/>
    <sheet name="投标和合同履约保证金统计" sheetId="25" r:id="rId4"/>
    <sheet name="供应商统计" sheetId="26" r:id="rId5"/>
    <sheet name="汇报表" sheetId="2" r:id="rId6"/>
    <sheet name="任意时间段收支报表" sheetId="3" r:id="rId7"/>
    <sheet name="收支报表" sheetId="4" r:id="rId8"/>
    <sheet name="泰溢农行" sheetId="5" r:id="rId9"/>
    <sheet name="泰溢招行" sheetId="6" r:id="rId10"/>
    <sheet name="趣点购浦发" sheetId="7" r:id="rId11"/>
    <sheet name="雅安趣点购农行" sheetId="8" r:id="rId12"/>
    <sheet name="建行" sheetId="9" r:id="rId13"/>
    <sheet name="农行" sheetId="10" r:id="rId14"/>
    <sheet name="中行" sheetId="11" r:id="rId15"/>
    <sheet name="支付宝" sheetId="12" r:id="rId16"/>
    <sheet name="农商行" sheetId="13" r:id="rId17"/>
    <sheet name="备用" sheetId="19" r:id="rId18"/>
    <sheet name="备用1" sheetId="20" r:id="rId19"/>
    <sheet name="备用2" sheetId="21" r:id="rId20"/>
    <sheet name="备用3" sheetId="22" r:id="rId21"/>
    <sheet name="备用4" sheetId="23" r:id="rId22"/>
    <sheet name="操作流程" sheetId="18" r:id="rId23"/>
  </sheets>
  <externalReferences>
    <externalReference r:id="rId24"/>
  </externalReferences>
  <definedNames>
    <definedName name="_xlnm._FilterDatabase" localSheetId="1" hidden="1">基础资料!$A$1:$G$84</definedName>
    <definedName name="_xlnm._FilterDatabase" localSheetId="2" hidden="1">数据录入!$A$4:$K$10000</definedName>
    <definedName name="_xlnm._FilterDatabase" localSheetId="8" hidden="1">泰溢农行!$A$3:$K$503</definedName>
    <definedName name="_xlnm._FilterDatabase" localSheetId="9" hidden="1">泰溢招行!$A$3:$K$5</definedName>
    <definedName name="_xlnm._FilterDatabase" localSheetId="10" hidden="1">趣点购浦发!$A$3:$K$4984</definedName>
    <definedName name="_xlnm._FilterDatabase" localSheetId="11" hidden="1">雅安趣点购农行!$A$3:$K$503</definedName>
    <definedName name="_xlnm._FilterDatabase" localSheetId="12" hidden="1">建行!$A$3:$K$503</definedName>
    <definedName name="_xlnm._FilterDatabase" localSheetId="13" hidden="1">农行!$A$3:$K$503</definedName>
    <definedName name="_xlnm._FilterDatabase" localSheetId="14" hidden="1">中行!$A$3:$K$503</definedName>
    <definedName name="_xlnm._FilterDatabase" localSheetId="15" hidden="1">支付宝!$A$3:$K$503</definedName>
    <definedName name="_xlnm._FilterDatabase" localSheetId="16" hidden="1">农商行!$A$3:$K$503</definedName>
    <definedName name="_xlnm._FilterDatabase" localSheetId="17" hidden="1">备用!$A$3:$K$503</definedName>
    <definedName name="_xlnm._FilterDatabase" localSheetId="18" hidden="1">备用1!$A$3:$K$503</definedName>
    <definedName name="_xlnm._FilterDatabase" localSheetId="19" hidden="1">备用2!$A$3:$K$503</definedName>
    <definedName name="_xlnm._FilterDatabase" localSheetId="20" hidden="1">备用3!$A$3:$K$503</definedName>
    <definedName name="_xlnm._FilterDatabase" localSheetId="21" hidden="1">备用4!$A$3:$K$503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巫淑香</author>
  </authors>
  <commentList>
    <comment ref="I26" authorId="0">
      <text>
        <r>
          <rPr>
            <sz val="10"/>
            <rFont val="宋体"/>
            <charset val="134"/>
          </rPr>
          <t xml:space="preserve">
帐号名称必须跟子表完全一致，增加或修改帐户时，子表也要同步替换
</t>
        </r>
      </text>
    </comment>
    <comment ref="J26" authorId="0">
      <text>
        <r>
          <rPr>
            <sz val="10"/>
            <rFont val="宋体"/>
            <charset val="134"/>
          </rPr>
          <t xml:space="preserve">
每月手工录入期初余额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<sst xmlns="http://schemas.openxmlformats.org/spreadsheetml/2006/main" count="6223" uniqueCount="329">
  <si>
    <t>更多财务实操模板，可自行搜索抖音/视频号：老财务的实操笔记</t>
  </si>
  <si>
    <t>【老财务实操自用｜初级版财务台账模板】</t>
  </si>
  <si>
    <t>作者：老财务的实操笔记</t>
  </si>
  <si>
    <t>——————————————————————————</t>
  </si>
  <si>
    <t>适用对象：小微企业、个体工商户、小规模纳税人、商贸服务类等</t>
  </si>
  <si>
    <t>版本说明</t>
  </si>
  <si>
    <t>本套为**通用基础初级版**，满足税务管理、费用报销、收支登记、票据管理等</t>
  </si>
  <si>
    <t>可根据行业属性、业务规模、升级定制版。</t>
  </si>
  <si>
    <t>模板清单，持续更新</t>
  </si>
  <si>
    <t>1、应收账款风险预警表</t>
  </si>
  <si>
    <t>2、日常经营情况汇总表</t>
  </si>
  <si>
    <t>3、进项台帐自动查重表</t>
  </si>
  <si>
    <t>4、普票专票抵扣测算表</t>
  </si>
  <si>
    <t>5、银行承兑汇票管理台帐--含应收票据、应付票据</t>
  </si>
  <si>
    <t>6、增值税进项抵扣测算表--含3种方式：单税率、多税率、【库存 + 未开票收入】税负测算</t>
  </si>
  <si>
    <t>（一）、税务管理台帐（多表联动）</t>
  </si>
  <si>
    <t>（二）、内部费用报表管理台帐（多表联动）</t>
  </si>
  <si>
    <t>（三）、全自动工资个税台帐</t>
  </si>
  <si>
    <r>
      <rPr>
        <sz val="11"/>
        <color theme="1"/>
        <rFont val="宋体"/>
        <charset val="134"/>
      </rPr>
      <t>（四）、资金日报表分表录入版-自动汇总所有帐户流水-任意天数汇报--</t>
    </r>
    <r>
      <rPr>
        <sz val="11"/>
        <color rgb="FFFF0000"/>
        <rFont val="宋体"/>
        <charset val="134"/>
      </rPr>
      <t>不推荐，维护麻烦。</t>
    </r>
  </si>
  <si>
    <r>
      <rPr>
        <sz val="11"/>
        <color theme="1"/>
        <rFont val="宋体"/>
        <charset val="134"/>
      </rPr>
      <t>（五）、资金日报表混合录入版--</t>
    </r>
    <r>
      <rPr>
        <sz val="11"/>
        <color rgb="FFFF0000"/>
        <rFont val="宋体"/>
        <charset val="134"/>
      </rPr>
      <t>推荐，维护简单，后续增加列/增加帐户方便</t>
    </r>
    <r>
      <rPr>
        <sz val="11"/>
        <color theme="1"/>
        <rFont val="宋体"/>
        <charset val="134"/>
      </rPr>
      <t xml:space="preserve">
混合录入资金台账，只录一遍流水，所有报表自动生成。
资金日报、月报，任意时间段汇总，费用报销按月按年自动统计，
月度年度的收支盈亏直接出结果，还可以自由选择区间查询盈亏。</t>
    </r>
  </si>
  <si>
    <t>升级服务，支持行业定制：
1、资金报表  
2、资金报表+往来款   
3、资金报表+往来款+进销存 
4、手工录入/复制系统导出的购销收付款等基础信息资料，联动生成资产负债表/利润报表、项目利润、进销存、往来帐对帐单等
5、提供自有表格，设置函数联动公式
6、其他表格相关设置</t>
  </si>
  <si>
    <t>核心优势</t>
  </si>
  <si>
    <t>▪ 内置全自动计算公式，录入即自动汇总、核算</t>
  </si>
  <si>
    <t>▪ 无密码、无锁定保护，可自由编辑增删，适配个性化业务</t>
  </si>
  <si>
    <t>▪ 格式贴合真实财务场景，零基础直接填空即用</t>
  </si>
  <si>
    <t>▪ 兼容Excel/WPS，电脑、手机均可正常使用</t>
  </si>
  <si>
    <t>使用规范</t>
  </si>
  <si>
    <t>1. 下载后请另存备份，防止原模板误操作损坏</t>
  </si>
  <si>
    <t>2. 请勿随意修改表头及公式，避免计算异常</t>
  </si>
  <si>
    <t>3. 按实际业务有序录入，月末核对账实一致</t>
  </si>
  <si>
    <t>4. 无需启用宏，直接正常打开使用</t>
  </si>
  <si>
    <t>免责声明</t>
  </si>
  <si>
    <t>本模板为财务辅助工具，**不替代专业会计账务处理及税务合规筹划**；</t>
  </si>
  <si>
    <t>数据真实性、经营及税务风险由使用者自行承担，作者不承担任何连带责任。</t>
  </si>
  <si>
    <t>版本信息</t>
  </si>
  <si>
    <t>初级版 V1.0｜更新日期：2026年08月20日</t>
  </si>
  <si>
    <t>老财务自用模板｜禁止外传、倒卖、商用</t>
  </si>
  <si>
    <t>账户</t>
  </si>
  <si>
    <t>支出业务类别</t>
  </si>
  <si>
    <t>客户</t>
  </si>
  <si>
    <t>客户期初余额</t>
  </si>
  <si>
    <t>供应商</t>
  </si>
  <si>
    <t>供应商期初余额</t>
  </si>
  <si>
    <t>泰溢农行</t>
  </si>
  <si>
    <t>成都蓉港商业发展有限公司</t>
  </si>
  <si>
    <t>成都鑫鑫向喜商贸有限公司</t>
  </si>
  <si>
    <t>泰溢招行</t>
  </si>
  <si>
    <t>成都市双流区公共资源交易服务中心</t>
  </si>
  <si>
    <t>成都统一企业食品有限公司</t>
  </si>
  <si>
    <t>趣点购浦发</t>
  </si>
  <si>
    <t>办公费</t>
  </si>
  <si>
    <t>陈金刚</t>
  </si>
  <si>
    <t>雅安趣点购农行</t>
  </si>
  <si>
    <t>水费</t>
  </si>
  <si>
    <t>成都空港公园城市绿道建设投资有限公司</t>
  </si>
  <si>
    <t>成都勤献食品有限公司</t>
  </si>
  <si>
    <t>电费</t>
  </si>
  <si>
    <t>客户5</t>
  </si>
  <si>
    <t>武汉小麦便利科技有限公司</t>
  </si>
  <si>
    <t>伙食费</t>
  </si>
  <si>
    <t>客户6</t>
  </si>
  <si>
    <t>供应商6</t>
  </si>
  <si>
    <t>工资</t>
  </si>
  <si>
    <t>客户7</t>
  </si>
  <si>
    <t>供应商7</t>
  </si>
  <si>
    <t>租赁费</t>
  </si>
  <si>
    <t>客户8</t>
  </si>
  <si>
    <t>供应商8</t>
  </si>
  <si>
    <t>差旅费</t>
  </si>
  <si>
    <t>客户9</t>
  </si>
  <si>
    <t>供应商9</t>
  </si>
  <si>
    <t>业务招待费</t>
  </si>
  <si>
    <t>客户10</t>
  </si>
  <si>
    <t>供应商10</t>
  </si>
  <si>
    <t>车辆费用</t>
  </si>
  <si>
    <t>客户11</t>
  </si>
  <si>
    <t>供应商11</t>
  </si>
  <si>
    <t>银行手续费</t>
  </si>
  <si>
    <t>客户12</t>
  </si>
  <si>
    <t>供应商12</t>
  </si>
  <si>
    <t>税费</t>
  </si>
  <si>
    <t>客户13</t>
  </si>
  <si>
    <t>供应商13</t>
  </si>
  <si>
    <t>设备款</t>
  </si>
  <si>
    <t>投标保证金</t>
  </si>
  <si>
    <t>合同履约保证金</t>
  </si>
  <si>
    <t>借款</t>
  </si>
  <si>
    <t>场地租金</t>
  </si>
  <si>
    <t>多帐户收支登记表</t>
  </si>
  <si>
    <t>收入总额</t>
  </si>
  <si>
    <t>支出总额</t>
  </si>
  <si>
    <t>账户余额</t>
  </si>
  <si>
    <t>序号</t>
  </si>
  <si>
    <t>日期</t>
  </si>
  <si>
    <t>公司账户</t>
  </si>
  <si>
    <t>摘要内容</t>
  </si>
  <si>
    <t>收入</t>
  </si>
  <si>
    <t>支出</t>
  </si>
  <si>
    <t>月份</t>
  </si>
  <si>
    <t>现金</t>
  </si>
  <si>
    <t>期初余额</t>
  </si>
  <si>
    <t>微信</t>
  </si>
  <si>
    <t>民生</t>
  </si>
  <si>
    <t>建行</t>
  </si>
  <si>
    <t>农行</t>
  </si>
  <si>
    <t>中行</t>
  </si>
  <si>
    <t>支付宝</t>
  </si>
  <si>
    <t>农商行</t>
  </si>
  <si>
    <t>备用</t>
  </si>
  <si>
    <t>备用1</t>
  </si>
  <si>
    <t>备用2</t>
  </si>
  <si>
    <t>备用3</t>
  </si>
  <si>
    <t>备用4</t>
  </si>
  <si>
    <t>银行变更资料</t>
  </si>
  <si>
    <t>公司手机银行服务年费</t>
  </si>
  <si>
    <t>帐户信息变更</t>
  </si>
  <si>
    <t>印鉴变更</t>
  </si>
  <si>
    <t>公司网银服务年费,公司手机银行服务年费,公司网银数字证书(2张)</t>
  </si>
  <si>
    <t>入股金</t>
  </si>
  <si>
    <t>公司网银数字证书(2张)</t>
  </si>
  <si>
    <t>单位结算卡年费金卡</t>
  </si>
  <si>
    <t>四川CA电子签名认证证书申请验证</t>
  </si>
  <si>
    <t>网银互联汇出手续费</t>
  </si>
  <si>
    <t>四川CA电子签名认证证书申请验证退款</t>
  </si>
  <si>
    <t>雅安趣点购农行互转趣点购浦发</t>
  </si>
  <si>
    <t>往来款</t>
  </si>
  <si>
    <t>脉动货款</t>
  </si>
  <si>
    <t>缴税</t>
  </si>
  <si>
    <t>陈樨</t>
  </si>
  <si>
    <t>购买售货机合同款</t>
  </si>
  <si>
    <t>超市营业款</t>
  </si>
  <si>
    <t>2026年轨道交通自助零售机场地经营项目1标段</t>
  </si>
  <si>
    <t>2026年轨道交通自助零售机场地经营项目2标段</t>
  </si>
  <si>
    <t>2026年轨道交通自助零售机场地经营项目3标段</t>
  </si>
  <si>
    <t>2026年轨道交通自助零售机场地经营项目4标段</t>
  </si>
  <si>
    <t>川A2L3N6车辆保费</t>
  </si>
  <si>
    <t>微信支付认证3457</t>
  </si>
  <si>
    <t>微信支付认证5708</t>
  </si>
  <si>
    <t>活期存款结息</t>
  </si>
  <si>
    <t>企业实名认证专用，金额请勿泄露</t>
  </si>
  <si>
    <t>饮料合同保证金</t>
  </si>
  <si>
    <t>借款-陈金刚</t>
  </si>
  <si>
    <t>统一货款</t>
  </si>
  <si>
    <t>货款</t>
  </si>
  <si>
    <t>预付地铁售货机合同执行第一季度租金</t>
  </si>
  <si>
    <t>地铁售货机合同履约保证金</t>
  </si>
  <si>
    <t>方中桥</t>
  </si>
  <si>
    <t>杨维见</t>
  </si>
  <si>
    <t>王雷</t>
  </si>
  <si>
    <t>张辉</t>
  </si>
  <si>
    <t>梁金龙</t>
  </si>
  <si>
    <t>鲜何</t>
  </si>
  <si>
    <t>代博</t>
  </si>
  <si>
    <t>张庚</t>
  </si>
  <si>
    <t>微信支付认证1233</t>
  </si>
  <si>
    <t>九龙社区公园投标保证金</t>
  </si>
  <si>
    <t>公兴场镇公园投标保证金</t>
  </si>
  <si>
    <t>小麦售货机260808_1233</t>
  </si>
  <si>
    <t>MM哈哈售货机_1746233457</t>
  </si>
  <si>
    <t>小麦售货机260809_1233</t>
  </si>
  <si>
    <t>小麦售货机260810_1233</t>
  </si>
  <si>
    <t>小麦售货机260811_1233</t>
  </si>
  <si>
    <t>陈超</t>
  </si>
  <si>
    <t>唐顺江</t>
  </si>
  <si>
    <t>马平</t>
  </si>
  <si>
    <t>赵坤</t>
  </si>
  <si>
    <t>小麦售货机260812_1233</t>
  </si>
  <si>
    <t>小麦售货机260813_1233</t>
  </si>
  <si>
    <t>小麦售货机260814_1233</t>
  </si>
  <si>
    <t>小麦售货机260815_1233</t>
  </si>
  <si>
    <t>支付宝转账</t>
  </si>
  <si>
    <t>小麦售货机260816_1233</t>
  </si>
  <si>
    <t>小麦售货机260817_1233</t>
  </si>
  <si>
    <t>小麦售货机260818_1233</t>
  </si>
  <si>
    <t>自动提现 2026-08-17</t>
  </si>
  <si>
    <t>小麦售货机260819_1233</t>
  </si>
  <si>
    <t>自动提现 2026-08-18</t>
  </si>
  <si>
    <t>小麦售货机260820_1233</t>
  </si>
  <si>
    <t>自动提现 2026-08-19</t>
  </si>
  <si>
    <t>小麦售货机260821_1233</t>
  </si>
  <si>
    <t>自动提现 2026-08-20</t>
  </si>
  <si>
    <t>小麦售货机260822_1233</t>
  </si>
  <si>
    <t>自动提现 2026-08-21</t>
  </si>
  <si>
    <t>小麦售货机260823_1233</t>
  </si>
  <si>
    <t>自动提现 2026-08-22</t>
  </si>
  <si>
    <t>小麦售货机260824_1233</t>
  </si>
  <si>
    <t>自动提现 2026-08-23</t>
  </si>
  <si>
    <t>小麦售货机260825_1233</t>
  </si>
  <si>
    <t>自动提现 2026-08-24</t>
  </si>
  <si>
    <t>小麦售货机260826_1233</t>
  </si>
  <si>
    <t>自动提现 2026-08-25</t>
  </si>
  <si>
    <t>小麦售货机260827_1233</t>
  </si>
  <si>
    <t>自动提现 2026-08-26</t>
  </si>
  <si>
    <t>售货机分期款</t>
  </si>
  <si>
    <t>小麦售货机260828_1233</t>
  </si>
  <si>
    <t>自动提现 2026-08-27</t>
  </si>
  <si>
    <t>小麦售货机260829_1233</t>
  </si>
  <si>
    <t>自动提现 2026-08-28</t>
  </si>
  <si>
    <t>小麦售货机260830_1233</t>
  </si>
  <si>
    <t>自动提现 2026-08-29</t>
  </si>
  <si>
    <t>小麦售货机260831_1233</t>
  </si>
  <si>
    <t>自动提现 2026-08-30</t>
  </si>
  <si>
    <t>小麦售货机260901_1233</t>
  </si>
  <si>
    <t/>
  </si>
  <si>
    <t>支付宝-自动提现 2026-08-31</t>
  </si>
  <si>
    <t>小麦售货机260902_1233</t>
  </si>
  <si>
    <t>自动提现 2026-09-01</t>
  </si>
  <si>
    <t>公兴公园贩卖机租赁合同季度租金</t>
  </si>
  <si>
    <t>公兴公园贩卖机租赁合同履约保证金</t>
  </si>
  <si>
    <t>九龙湖社区场地空间租赁合同履约保证金</t>
  </si>
  <si>
    <t>九龙湖社区场地空间租赁合同首季度租金</t>
  </si>
  <si>
    <t>小麦售货机260903_1233</t>
  </si>
  <si>
    <t>自动提现 2026-09-02</t>
  </si>
  <si>
    <t>小麦售货机260904_1233</t>
  </si>
  <si>
    <t>自动提现 2026-09-03</t>
  </si>
  <si>
    <t>小麦售货机260905_1233</t>
  </si>
  <si>
    <t>自动提现 2026-09-04</t>
  </si>
  <si>
    <t>小麦售货机260906_1233</t>
  </si>
  <si>
    <t>自动提现 2026-09-05</t>
  </si>
  <si>
    <t>小麦售货机260907_1233</t>
  </si>
  <si>
    <t>自动提现 2026-09-06</t>
  </si>
  <si>
    <t>保证金退款</t>
  </si>
  <si>
    <t>小麦售货机260908_1233</t>
  </si>
  <si>
    <t>自动提现 2026-09-07</t>
  </si>
  <si>
    <t>小麦售货机260909_1233</t>
  </si>
  <si>
    <t>自动提现 2026-09-08</t>
  </si>
  <si>
    <t>小麦售货机260910_1233</t>
  </si>
  <si>
    <t>自动提现 2026-09-09</t>
  </si>
  <si>
    <t>小麦售货机260911_1233</t>
  </si>
  <si>
    <t>自动提现 2026-09-10</t>
  </si>
  <si>
    <t>小麦售货机260912_1233</t>
  </si>
  <si>
    <t>自动提现 2026-09-11</t>
  </si>
  <si>
    <t>黄小龙</t>
  </si>
  <si>
    <t>陈梓芸</t>
  </si>
  <si>
    <t>吴静</t>
  </si>
  <si>
    <t>熊科宇</t>
  </si>
  <si>
    <t>游先怀</t>
  </si>
  <si>
    <t>彭金亮</t>
  </si>
  <si>
    <t>吴春容</t>
  </si>
  <si>
    <t>保证金收款 / 付款统计（按起止日期）</t>
  </si>
  <si>
    <t>开始日期</t>
  </si>
  <si>
    <t>结束日期</t>
  </si>
  <si>
    <t>期初余款</t>
  </si>
  <si>
    <t>期间收入</t>
  </si>
  <si>
    <t>期间付款</t>
  </si>
  <si>
    <t>期末余额</t>
  </si>
  <si>
    <t>类型</t>
  </si>
  <si>
    <t>往来单位</t>
  </si>
  <si>
    <t>摘要</t>
  </si>
  <si>
    <t>收入金额</t>
  </si>
  <si>
    <t>付款金额</t>
  </si>
  <si>
    <t>余额</t>
  </si>
  <si>
    <t>收款</t>
  </si>
  <si>
    <t>付款</t>
  </si>
  <si>
    <t>收支报表</t>
  </si>
  <si>
    <t>序</t>
  </si>
  <si>
    <t>合计</t>
  </si>
  <si>
    <t>总支出占比</t>
  </si>
  <si>
    <t>资金日报统计表（任意连续日期 / 单独一天查询）</t>
  </si>
  <si>
    <t>起始日期</t>
  </si>
  <si>
    <t>截止日期</t>
  </si>
  <si>
    <t>查询天数</t>
  </si>
  <si>
    <t>提示：修改黄色日期即可查询；单独一天时起始日期=截止日期；默认展开31天，超过31天建议按月分段查询。</t>
  </si>
  <si>
    <t>公司期初余额</t>
  </si>
  <si>
    <t>期间收款合计</t>
  </si>
  <si>
    <t>期间付款合计</t>
  </si>
  <si>
    <t>期末结余金额</t>
  </si>
  <si>
    <t>收款合计</t>
  </si>
  <si>
    <t>付款合计</t>
  </si>
  <si>
    <t>货币资金日报表</t>
  </si>
  <si>
    <t>多帐户资金汇总表（月度汇总）</t>
  </si>
  <si>
    <t>日期：</t>
  </si>
  <si>
    <t>单位：元</t>
  </si>
  <si>
    <t>月份：</t>
  </si>
  <si>
    <t>昨日余额</t>
  </si>
  <si>
    <t>本日收入</t>
  </si>
  <si>
    <t>本日支出</t>
  </si>
  <si>
    <t>本日余额</t>
  </si>
  <si>
    <t>账号名称</t>
  </si>
  <si>
    <t>本月收入</t>
  </si>
  <si>
    <t>本月支出</t>
  </si>
  <si>
    <t>结余</t>
  </si>
  <si>
    <t>本列不要删除</t>
  </si>
  <si>
    <t>月份筛选列</t>
  </si>
  <si>
    <t>任意时间段收支盈亏查询</t>
  </si>
  <si>
    <t>说明：修改黄色日期即可查询；支持单日或任意连续日期</t>
  </si>
  <si>
    <t>盈亏</t>
  </si>
  <si>
    <t>资金收入</t>
  </si>
  <si>
    <t>金额</t>
  </si>
  <si>
    <t>收入占比</t>
  </si>
  <si>
    <t>资金支出</t>
  </si>
  <si>
    <t>支出占比</t>
  </si>
  <si>
    <t>收支盈亏</t>
  </si>
  <si>
    <t>总收入占比</t>
  </si>
  <si>
    <t>【泰溢农行】账户流水明细表</t>
  </si>
  <si>
    <t>账户名称</t>
  </si>
  <si>
    <t>收入合计</t>
  </si>
  <si>
    <t>支出合计</t>
  </si>
  <si>
    <t>当前余额</t>
  </si>
  <si>
    <t>【泰溢招行】账户流水明细表</t>
  </si>
  <si>
    <t>【趣点购浦发】账户流水明细表</t>
  </si>
  <si>
    <t>【雅安趣点购农行】账户流水明细表</t>
  </si>
  <si>
    <t>【建行】账户流水明细表</t>
  </si>
  <si>
    <t>【农行】账户流水明细表</t>
  </si>
  <si>
    <t>【中行】账户流水明细表</t>
  </si>
  <si>
    <t>【支付宝】账户流水明细表</t>
  </si>
  <si>
    <t>【农商行】账户流水明细表</t>
  </si>
  <si>
    <t>【备用】账户流水明细表</t>
  </si>
  <si>
    <t>【备用1】账户流水明细表</t>
  </si>
  <si>
    <t>【备用2】账户流水明细表</t>
  </si>
  <si>
    <t>【备用3】账户流水明细表</t>
  </si>
  <si>
    <t>【备用4】账户流水明细表</t>
  </si>
  <si>
    <t>操作流程步骤及截图说明</t>
  </si>
  <si>
    <r>
      <rPr>
        <sz val="12"/>
        <color theme="1"/>
        <rFont val="宋体"/>
        <charset val="134"/>
        <scheme val="minor"/>
      </rPr>
      <t>操作流程步骤：</t>
    </r>
    <r>
      <rPr>
        <sz val="12"/>
        <color rgb="FFFF0000"/>
        <rFont val="宋体"/>
        <charset val="134"/>
        <scheme val="minor"/>
      </rPr>
      <t>（所有帐户、支出类别、客户、供应商全部在基础资料增加好后再复制到其他地方）</t>
    </r>
  </si>
  <si>
    <t>1、替换帐户的7个地方:基础资料/数据录人/年度任意/日报表/月报表/子表标签及子表内</t>
  </si>
  <si>
    <t>2、替换基础资料其他3列及收支报表相应列内容</t>
  </si>
  <si>
    <t>3、手工替换期初余额</t>
  </si>
  <si>
    <t>4、手工录人资金流水</t>
  </si>
  <si>
    <t>5、增加帐户</t>
  </si>
  <si>
    <t>6、增加列</t>
  </si>
  <si>
    <t>7、改区域行数</t>
  </si>
  <si>
    <t>第一个地方：</t>
  </si>
  <si>
    <t>第二个地方：</t>
  </si>
  <si>
    <t>第三、四、五个地方：</t>
  </si>
  <si>
    <t>第六个地方：子表标签名称需要一个个手工替换，重命名</t>
  </si>
  <si>
    <t>第七个地方：子表内替换流程：</t>
  </si>
  <si>
    <t>手工替换收支报表的名称，共以下4个地方：</t>
  </si>
  <si>
    <t>5、增加帐户（先在基础资料增加名称，其他汇表同步替换，见上面步骤），然后点期初余额的最后一行，右键-复制，再次右键-复制插入，会增加在倒数第二行，这样会自动扩充不用修改余额公式。然后子表创建副本，子表标签重命名和子表内替换名称，就可以了</t>
  </si>
  <si>
    <t>6、增加列：数据录入增加列，只需要改数据录入的结余公式，不影响其他汇总表的金额。子表要同步改表头的格式，重新复制数据录入的表头，然后替换所有的子表就可以了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</si>
</sst>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m/dd;@"/>
    <numFmt numFmtId="177" formatCode="0.00_ "/>
    <numFmt numFmtId="178" formatCode="yyyy/mm/dd"/>
    <numFmt numFmtId="179" formatCode="#,##0.00_);[Red]\(#,##0.00\)"/>
    <numFmt numFmtId="180" formatCode="#,##0.00;[Red]\-#,##0.00;\-"/>
    <numFmt numFmtId="181" formatCode="m/d"/>
    <numFmt numFmtId="182" formatCode="yyyy&quot;年&quot;m&quot;月&quot;;@"/>
    <numFmt numFmtId="183" formatCode="#,##0.00;[Red]\(#,##0.00\);\-"/>
    <numFmt numFmtId="184" formatCode="#,##0.00;[Red]\-#,##0.00;"/>
  </numFmts>
  <fonts count="5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4"/>
      <name val="微软雅黑"/>
      <charset val="134"/>
    </font>
    <font>
      <sz val="1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10"/>
      <color rgb="FF111827"/>
      <name val="微软雅黑"/>
      <charset val="134"/>
    </font>
    <font>
      <b/>
      <sz val="10"/>
      <name val="微软雅黑"/>
      <charset val="134"/>
    </font>
    <font>
      <sz val="10"/>
      <color rgb="FF111827"/>
      <name val="微软雅黑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等线"/>
      <charset val="134"/>
    </font>
    <font>
      <sz val="11"/>
      <color theme="1"/>
      <name val="宋体"/>
      <charset val="134"/>
    </font>
    <font>
      <sz val="11"/>
      <name val="Carlito"/>
      <charset val="134"/>
    </font>
    <font>
      <b/>
      <sz val="11"/>
      <name val="Carlito"/>
      <charset val="134"/>
    </font>
    <font>
      <b/>
      <sz val="11"/>
      <name val="宋体"/>
      <charset val="134"/>
    </font>
    <font>
      <b/>
      <sz val="14"/>
      <color rgb="FF111827"/>
      <name val="微软雅黑"/>
      <charset val="134"/>
    </font>
    <font>
      <b/>
      <sz val="14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1"/>
      <color rgb="FF000000"/>
      <name val="宋体"/>
      <charset val="134"/>
    </font>
    <font>
      <b/>
      <sz val="11"/>
      <color rgb="FF0000FF"/>
      <name val="宋体"/>
      <charset val="134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b/>
      <sz val="18"/>
      <color rgb="FF000000"/>
      <name val="隶书"/>
      <charset val="134"/>
    </font>
    <font>
      <b/>
      <sz val="10"/>
      <color rgb="FF000000"/>
      <name val="隶书"/>
      <charset val="134"/>
    </font>
    <font>
      <sz val="16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  <font>
      <sz val="11"/>
      <color rgb="FFFF0000"/>
      <name val="宋体"/>
      <charset val="134"/>
    </font>
    <font>
      <sz val="12"/>
      <color rgb="FFFF0000"/>
      <name val="宋体"/>
      <charset val="134"/>
      <scheme val="minor"/>
    </font>
    <font>
      <sz val="10"/>
      <name val="宋体"/>
      <charset val="134"/>
    </font>
    <font>
      <sz val="9"/>
      <color rgb="FF595959"/>
      <name val="宋体"/>
      <charset val="134"/>
    </font>
  </fonts>
  <fills count="53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F4C5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0" fillId="22" borderId="15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16">
      <alignment vertical="center"/>
    </xf>
    <xf numFmtId="0" fontId="33" fillId="0" borderId="16">
      <alignment vertical="center"/>
    </xf>
    <xf numFmtId="0" fontId="34" fillId="0" borderId="17">
      <alignment vertical="center"/>
    </xf>
    <xf numFmtId="0" fontId="34" fillId="0" borderId="0">
      <alignment vertical="center"/>
    </xf>
    <xf numFmtId="0" fontId="35" fillId="23" borderId="18">
      <alignment vertical="center"/>
    </xf>
    <xf numFmtId="0" fontId="36" fillId="24" borderId="19">
      <alignment vertical="center"/>
    </xf>
    <xf numFmtId="0" fontId="37" fillId="24" borderId="18">
      <alignment vertical="center"/>
    </xf>
    <xf numFmtId="0" fontId="38" fillId="25" borderId="20">
      <alignment vertical="center"/>
    </xf>
    <xf numFmtId="0" fontId="39" fillId="0" borderId="21">
      <alignment vertical="center"/>
    </xf>
    <xf numFmtId="0" fontId="40" fillId="0" borderId="22">
      <alignment vertical="center"/>
    </xf>
    <xf numFmtId="0" fontId="41" fillId="26" borderId="0">
      <alignment vertical="center"/>
    </xf>
    <xf numFmtId="0" fontId="42" fillId="27" borderId="0">
      <alignment vertical="center"/>
    </xf>
    <xf numFmtId="0" fontId="43" fillId="28" borderId="0">
      <alignment vertical="center"/>
    </xf>
    <xf numFmtId="0" fontId="44" fillId="29" borderId="0">
      <alignment vertical="center"/>
    </xf>
    <xf numFmtId="0" fontId="45" fillId="30" borderId="0">
      <alignment vertical="center"/>
    </xf>
    <xf numFmtId="0" fontId="45" fillId="31" borderId="0">
      <alignment vertical="center"/>
    </xf>
    <xf numFmtId="0" fontId="44" fillId="32" borderId="0">
      <alignment vertical="center"/>
    </xf>
    <xf numFmtId="0" fontId="44" fillId="33" borderId="0">
      <alignment vertical="center"/>
    </xf>
    <xf numFmtId="0" fontId="45" fillId="34" borderId="0">
      <alignment vertical="center"/>
    </xf>
    <xf numFmtId="0" fontId="45" fillId="35" borderId="0">
      <alignment vertical="center"/>
    </xf>
    <xf numFmtId="0" fontId="44" fillId="36" borderId="0">
      <alignment vertical="center"/>
    </xf>
    <xf numFmtId="0" fontId="44" fillId="37" borderId="0">
      <alignment vertical="center"/>
    </xf>
    <xf numFmtId="0" fontId="45" fillId="38" borderId="0">
      <alignment vertical="center"/>
    </xf>
    <xf numFmtId="0" fontId="45" fillId="39" borderId="0">
      <alignment vertical="center"/>
    </xf>
    <xf numFmtId="0" fontId="44" fillId="40" borderId="0">
      <alignment vertical="center"/>
    </xf>
    <xf numFmtId="0" fontId="44" fillId="41" borderId="0">
      <alignment vertical="center"/>
    </xf>
    <xf numFmtId="0" fontId="45" fillId="42" borderId="0">
      <alignment vertical="center"/>
    </xf>
    <xf numFmtId="0" fontId="45" fillId="43" borderId="0">
      <alignment vertical="center"/>
    </xf>
    <xf numFmtId="0" fontId="44" fillId="44" borderId="0">
      <alignment vertical="center"/>
    </xf>
    <xf numFmtId="0" fontId="44" fillId="45" borderId="0">
      <alignment vertical="center"/>
    </xf>
    <xf numFmtId="0" fontId="45" fillId="46" borderId="0">
      <alignment vertical="center"/>
    </xf>
    <xf numFmtId="0" fontId="45" fillId="47" borderId="0">
      <alignment vertical="center"/>
    </xf>
    <xf numFmtId="0" fontId="44" fillId="48" borderId="0">
      <alignment vertical="center"/>
    </xf>
    <xf numFmtId="0" fontId="44" fillId="49" borderId="0">
      <alignment vertical="center"/>
    </xf>
    <xf numFmtId="0" fontId="45" fillId="50" borderId="0">
      <alignment vertical="center"/>
    </xf>
    <xf numFmtId="0" fontId="45" fillId="51" borderId="0">
      <alignment vertical="center"/>
    </xf>
    <xf numFmtId="0" fontId="44" fillId="52" borderId="0">
      <alignment vertical="center"/>
    </xf>
    <xf numFmtId="0" fontId="46" fillId="0" borderId="0">
      <alignment vertical="center"/>
    </xf>
    <xf numFmtId="0" fontId="14" fillId="0" borderId="0"/>
  </cellStyleXfs>
  <cellXfs count="169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43" fontId="0" fillId="0" borderId="0" xfId="0" applyNumberFormat="1" applyAlignment="1"/>
    <xf numFmtId="49" fontId="0" fillId="0" borderId="0" xfId="0" applyNumberFormat="1" applyAlignment="1"/>
    <xf numFmtId="0" fontId="4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/>
    <xf numFmtId="43" fontId="5" fillId="5" borderId="2" xfId="0" applyNumberFormat="1" applyFont="1" applyFill="1" applyBorder="1" applyAlignment="1"/>
    <xf numFmtId="49" fontId="5" fillId="5" borderId="2" xfId="0" applyNumberFormat="1" applyFont="1" applyFill="1" applyBorder="1" applyAlignment="1"/>
    <xf numFmtId="0" fontId="6" fillId="6" borderId="1" xfId="0" applyFont="1" applyFill="1" applyBorder="1" applyAlignment="1">
      <alignment horizontal="center" vertical="center" wrapText="1"/>
    </xf>
    <xf numFmtId="176" fontId="7" fillId="7" borderId="1" xfId="0" applyNumberFormat="1" applyFont="1" applyFill="1" applyBorder="1" applyAlignment="1">
      <alignment horizontal="center" vertical="center" wrapText="1"/>
    </xf>
    <xf numFmtId="43" fontId="6" fillId="6" borderId="1" xfId="0" applyNumberFormat="1" applyFont="1" applyFill="1" applyBorder="1" applyAlignment="1">
      <alignment horizontal="center" vertical="center" wrapText="1"/>
    </xf>
    <xf numFmtId="43" fontId="7" fillId="7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176" fontId="8" fillId="5" borderId="3" xfId="0" applyNumberFormat="1" applyFont="1" applyFill="1" applyBorder="1" applyAlignment="1">
      <alignment horizontal="center" vertical="center" wrapText="1"/>
    </xf>
    <xf numFmtId="177" fontId="8" fillId="5" borderId="3" xfId="0" applyNumberFormat="1" applyFont="1" applyFill="1" applyBorder="1" applyAlignment="1">
      <alignment horizontal="center" vertical="center" wrapText="1"/>
    </xf>
    <xf numFmtId="49" fontId="8" fillId="5" borderId="3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178" fontId="9" fillId="0" borderId="1" xfId="0" applyNumberFormat="1" applyFont="1" applyBorder="1" applyAlignment="1">
      <alignment vertical="center"/>
    </xf>
    <xf numFmtId="43" fontId="9" fillId="0" borderId="1" xfId="0" applyNumberFormat="1" applyFont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0" fontId="10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8" borderId="4" xfId="0" applyFont="1" applyFill="1" applyBorder="1" applyAlignment="1">
      <alignment vertical="center"/>
    </xf>
    <xf numFmtId="43" fontId="9" fillId="8" borderId="4" xfId="0" applyNumberFormat="1" applyFont="1" applyFill="1" applyBorder="1" applyAlignment="1">
      <alignment vertical="center"/>
    </xf>
    <xf numFmtId="43" fontId="9" fillId="0" borderId="0" xfId="0" applyNumberFormat="1" applyFont="1" applyAlignment="1">
      <alignment vertical="center"/>
    </xf>
    <xf numFmtId="0" fontId="8" fillId="5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4" fontId="9" fillId="0" borderId="1" xfId="0" applyNumberFormat="1" applyFont="1" applyBorder="1" applyAlignment="1">
      <alignment vertical="center" wrapText="1"/>
    </xf>
    <xf numFmtId="43" fontId="9" fillId="0" borderId="4" xfId="0" applyNumberFormat="1" applyFont="1" applyBorder="1" applyAlignment="1">
      <alignment vertical="center"/>
    </xf>
    <xf numFmtId="10" fontId="9" fillId="0" borderId="0" xfId="0" applyNumberFormat="1" applyFont="1" applyAlignment="1">
      <alignment vertical="center"/>
    </xf>
    <xf numFmtId="4" fontId="9" fillId="9" borderId="1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/>
    <xf numFmtId="0" fontId="12" fillId="0" borderId="0" xfId="0" applyFont="1" applyAlignment="1"/>
    <xf numFmtId="43" fontId="10" fillId="0" borderId="0" xfId="0" applyNumberFormat="1" applyFont="1" applyAlignment="1">
      <alignment horizontal="center" vertical="center"/>
    </xf>
    <xf numFmtId="43" fontId="10" fillId="0" borderId="0" xfId="0" applyNumberFormat="1" applyFont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4" fillId="5" borderId="5" xfId="50" applyFont="1" applyFill="1" applyBorder="1" applyAlignment="1">
      <alignment horizontal="center" vertical="center"/>
    </xf>
    <xf numFmtId="0" fontId="4" fillId="5" borderId="0" xfId="50" applyFont="1" applyFill="1" applyAlignment="1">
      <alignment horizontal="center" vertical="center"/>
    </xf>
    <xf numFmtId="0" fontId="7" fillId="10" borderId="0" xfId="0" applyFont="1" applyFill="1" applyAlignment="1">
      <alignment vertical="center"/>
    </xf>
    <xf numFmtId="0" fontId="7" fillId="10" borderId="0" xfId="0" applyFont="1" applyFill="1" applyAlignment="1">
      <alignment vertical="center" wrapText="1"/>
    </xf>
    <xf numFmtId="0" fontId="8" fillId="5" borderId="4" xfId="0" applyFont="1" applyFill="1" applyBorder="1" applyAlignment="1">
      <alignment horizontal="center" vertical="center" wrapText="1"/>
    </xf>
    <xf numFmtId="178" fontId="8" fillId="11" borderId="4" xfId="50" applyNumberFormat="1" applyFont="1" applyFill="1" applyBorder="1" applyAlignment="1">
      <alignment horizontal="center" vertical="center" wrapText="1"/>
    </xf>
    <xf numFmtId="179" fontId="8" fillId="12" borderId="4" xfId="50" applyNumberFormat="1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vertical="center" wrapText="1"/>
    </xf>
    <xf numFmtId="43" fontId="9" fillId="0" borderId="4" xfId="0" applyNumberFormat="1" applyFont="1" applyFill="1" applyBorder="1" applyAlignment="1">
      <alignment vertical="center"/>
    </xf>
    <xf numFmtId="10" fontId="9" fillId="0" borderId="4" xfId="0" applyNumberFormat="1" applyFont="1" applyFill="1" applyBorder="1" applyAlignment="1">
      <alignment vertical="center"/>
    </xf>
    <xf numFmtId="0" fontId="9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4" xfId="0" applyFont="1" applyFill="1" applyBorder="1" applyAlignment="1">
      <alignment vertical="center"/>
    </xf>
    <xf numFmtId="0" fontId="14" fillId="0" borderId="0" xfId="50"/>
    <xf numFmtId="0" fontId="0" fillId="0" borderId="0" xfId="0" applyAlignment="1"/>
    <xf numFmtId="0" fontId="4" fillId="5" borderId="1" xfId="50" applyFont="1" applyFill="1" applyBorder="1" applyAlignment="1">
      <alignment horizontal="center" vertical="center"/>
    </xf>
    <xf numFmtId="0" fontId="5" fillId="5" borderId="9" xfId="0" applyFont="1" applyFill="1" applyBorder="1" applyAlignment="1"/>
    <xf numFmtId="0" fontId="14" fillId="0" borderId="0" xfId="50" applyAlignment="1">
      <alignment vertical="center"/>
    </xf>
    <xf numFmtId="0" fontId="9" fillId="13" borderId="0" xfId="50" applyFont="1" applyFill="1" applyAlignment="1">
      <alignment vertical="center"/>
    </xf>
    <xf numFmtId="178" fontId="9" fillId="14" borderId="0" xfId="50" applyNumberFormat="1" applyFont="1" applyFill="1" applyAlignment="1">
      <alignment vertical="center"/>
    </xf>
    <xf numFmtId="178" fontId="9" fillId="0" borderId="0" xfId="50" applyNumberFormat="1" applyFont="1" applyAlignment="1">
      <alignment vertical="center"/>
    </xf>
    <xf numFmtId="178" fontId="9" fillId="15" borderId="0" xfId="50" applyNumberFormat="1" applyFont="1" applyFill="1" applyAlignment="1">
      <alignment vertical="center"/>
    </xf>
    <xf numFmtId="0" fontId="9" fillId="0" borderId="0" xfId="50" applyFont="1" applyAlignment="1">
      <alignment vertical="center"/>
    </xf>
    <xf numFmtId="0" fontId="9" fillId="15" borderId="0" xfId="50" applyFont="1" applyFill="1" applyAlignment="1">
      <alignment vertical="center"/>
    </xf>
    <xf numFmtId="0" fontId="9" fillId="14" borderId="0" xfId="50" applyFont="1" applyFill="1" applyAlignment="1">
      <alignment vertical="center"/>
    </xf>
    <xf numFmtId="0" fontId="9" fillId="5" borderId="0" xfId="50" applyFont="1" applyFill="1" applyAlignment="1">
      <alignment vertical="center"/>
    </xf>
    <xf numFmtId="180" fontId="9" fillId="16" borderId="0" xfId="50" applyNumberFormat="1" applyFont="1" applyFill="1" applyAlignment="1">
      <alignment vertical="center"/>
    </xf>
    <xf numFmtId="181" fontId="9" fillId="5" borderId="0" xfId="50" applyNumberFormat="1" applyFont="1" applyFill="1" applyAlignment="1">
      <alignment vertical="center"/>
    </xf>
    <xf numFmtId="181" fontId="15" fillId="5" borderId="0" xfId="50" applyNumberFormat="1" applyFont="1" applyFill="1" applyAlignment="1">
      <alignment horizontal="center" vertical="center" wrapText="1"/>
    </xf>
    <xf numFmtId="0" fontId="15" fillId="5" borderId="0" xfId="50" applyFont="1" applyFill="1" applyAlignment="1">
      <alignment horizontal="center" vertical="center" wrapText="1"/>
    </xf>
    <xf numFmtId="0" fontId="15" fillId="13" borderId="0" xfId="50" applyFont="1" applyFill="1" applyAlignment="1">
      <alignment horizontal="center" vertical="center" wrapText="1"/>
    </xf>
    <xf numFmtId="0" fontId="16" fillId="5" borderId="0" xfId="50" applyFont="1" applyFill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80" fontId="9" fillId="0" borderId="0" xfId="50" applyNumberFormat="1" applyFont="1" applyAlignment="1">
      <alignment vertical="center"/>
    </xf>
    <xf numFmtId="180" fontId="14" fillId="0" borderId="0" xfId="50" applyNumberFormat="1" applyAlignment="1">
      <alignment vertical="center"/>
    </xf>
    <xf numFmtId="180" fontId="9" fillId="5" borderId="0" xfId="50" applyNumberFormat="1" applyFont="1" applyFill="1" applyAlignment="1">
      <alignment vertical="center"/>
    </xf>
    <xf numFmtId="180" fontId="15" fillId="5" borderId="0" xfId="50" applyNumberFormat="1" applyFont="1" applyFill="1" applyAlignment="1">
      <alignment horizontal="center" vertical="center"/>
    </xf>
    <xf numFmtId="180" fontId="15" fillId="0" borderId="0" xfId="50" applyNumberFormat="1" applyFont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182" fontId="9" fillId="0" borderId="0" xfId="0" applyNumberFormat="1" applyFont="1" applyAlignment="1">
      <alignment vertical="center"/>
    </xf>
    <xf numFmtId="182" fontId="9" fillId="14" borderId="0" xfId="50" applyNumberFormat="1" applyFont="1" applyFill="1" applyAlignment="1">
      <alignment vertical="center"/>
    </xf>
    <xf numFmtId="0" fontId="9" fillId="11" borderId="0" xfId="0" applyFont="1" applyFill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43" fontId="9" fillId="13" borderId="4" xfId="0" applyNumberFormat="1" applyFont="1" applyFill="1" applyBorder="1" applyAlignment="1">
      <alignment vertical="center"/>
    </xf>
    <xf numFmtId="0" fontId="9" fillId="0" borderId="10" xfId="0" applyFont="1" applyBorder="1" applyAlignment="1">
      <alignment vertical="center"/>
    </xf>
    <xf numFmtId="43" fontId="9" fillId="13" borderId="10" xfId="0" applyNumberFormat="1" applyFont="1" applyFill="1" applyBorder="1" applyAlignment="1">
      <alignment vertical="center"/>
    </xf>
    <xf numFmtId="43" fontId="9" fillId="0" borderId="10" xfId="0" applyNumberFormat="1" applyFont="1" applyBorder="1" applyAlignment="1">
      <alignment vertical="center"/>
    </xf>
    <xf numFmtId="0" fontId="10" fillId="11" borderId="0" xfId="0" applyFont="1" applyFill="1" applyAlignment="1">
      <alignment horizontal="center"/>
    </xf>
    <xf numFmtId="182" fontId="9" fillId="11" borderId="0" xfId="50" applyNumberFormat="1" applyFont="1" applyFill="1" applyAlignment="1">
      <alignment horizontal="center" vertical="center"/>
    </xf>
    <xf numFmtId="0" fontId="9" fillId="0" borderId="12" xfId="0" applyFont="1" applyBorder="1" applyAlignment="1">
      <alignment vertical="center"/>
    </xf>
    <xf numFmtId="43" fontId="9" fillId="13" borderId="13" xfId="0" applyNumberFormat="1" applyFont="1" applyFill="1" applyBorder="1" applyAlignment="1">
      <alignment vertical="center"/>
    </xf>
    <xf numFmtId="182" fontId="9" fillId="0" borderId="0" xfId="50" applyNumberFormat="1" applyFont="1" applyFill="1" applyAlignment="1">
      <alignment vertical="center"/>
    </xf>
    <xf numFmtId="0" fontId="9" fillId="17" borderId="10" xfId="0" applyFont="1" applyFill="1" applyBorder="1" applyAlignment="1">
      <alignment vertical="center"/>
    </xf>
    <xf numFmtId="179" fontId="9" fillId="17" borderId="10" xfId="0" applyNumberFormat="1" applyFont="1" applyFill="1" applyBorder="1" applyAlignment="1">
      <alignment vertical="center"/>
    </xf>
    <xf numFmtId="4" fontId="9" fillId="0" borderId="1" xfId="0" applyNumberFormat="1" applyFont="1" applyFill="1" applyBorder="1" applyAlignment="1">
      <alignment vertical="center" wrapText="1"/>
    </xf>
    <xf numFmtId="43" fontId="13" fillId="0" borderId="0" xfId="0" applyNumberFormat="1" applyFont="1" applyFill="1" applyAlignment="1">
      <alignment vertical="center"/>
    </xf>
    <xf numFmtId="0" fontId="19" fillId="18" borderId="0" xfId="0" applyNumberFormat="1" applyFont="1" applyFill="1" applyBorder="1" applyAlignment="1">
      <alignment horizontal="center" vertical="center"/>
    </xf>
    <xf numFmtId="43" fontId="19" fillId="18" borderId="0" xfId="0" applyNumberFormat="1" applyFont="1" applyFill="1" applyBorder="1" applyAlignment="1">
      <alignment horizontal="center" vertical="center"/>
    </xf>
    <xf numFmtId="0" fontId="20" fillId="15" borderId="0" xfId="0" applyNumberFormat="1" applyFont="1" applyFill="1" applyBorder="1" applyAlignment="1">
      <alignment horizontal="center" vertical="center"/>
    </xf>
    <xf numFmtId="178" fontId="21" fillId="14" borderId="0" xfId="0" applyNumberFormat="1" applyFont="1" applyFill="1" applyBorder="1" applyAlignment="1">
      <alignment horizontal="center" vertical="center"/>
    </xf>
    <xf numFmtId="178" fontId="20" fillId="15" borderId="0" xfId="0" applyNumberFormat="1" applyFont="1" applyFill="1" applyBorder="1" applyAlignment="1">
      <alignment horizontal="center" vertical="center"/>
    </xf>
    <xf numFmtId="183" fontId="13" fillId="0" borderId="0" xfId="0" applyNumberFormat="1" applyFont="1" applyFill="1" applyBorder="1" applyAlignment="1">
      <alignment vertical="center"/>
    </xf>
    <xf numFmtId="43" fontId="20" fillId="15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17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79" fontId="10" fillId="0" borderId="0" xfId="0" applyNumberFormat="1" applyFont="1" applyAlignment="1">
      <alignment vertical="center"/>
    </xf>
    <xf numFmtId="0" fontId="10" fillId="19" borderId="0" xfId="0" applyFont="1" applyFill="1" applyAlignment="1">
      <alignment vertical="center"/>
    </xf>
    <xf numFmtId="0" fontId="5" fillId="5" borderId="2" xfId="0" applyFont="1" applyFill="1" applyBorder="1" applyAlignment="1">
      <alignment horizontal="center"/>
    </xf>
    <xf numFmtId="0" fontId="23" fillId="0" borderId="0" xfId="0" applyFont="1" applyFill="1" applyAlignment="1">
      <alignment horizontal="center" vertical="center"/>
    </xf>
    <xf numFmtId="176" fontId="23" fillId="0" borderId="0" xfId="0" applyNumberFormat="1" applyFont="1" applyFill="1" applyAlignment="1">
      <alignment horizontal="center" vertical="center"/>
    </xf>
    <xf numFmtId="0" fontId="23" fillId="0" borderId="14" xfId="0" applyFont="1" applyFill="1" applyBorder="1" applyAlignment="1">
      <alignment horizontal="left" vertical="center"/>
    </xf>
    <xf numFmtId="0" fontId="22" fillId="0" borderId="0" xfId="0" applyFont="1" applyAlignment="1"/>
    <xf numFmtId="0" fontId="22" fillId="19" borderId="0" xfId="0" applyFont="1" applyFill="1" applyAlignment="1">
      <alignment vertical="center"/>
    </xf>
    <xf numFmtId="0" fontId="24" fillId="0" borderId="0" xfId="0" applyFont="1" applyFill="1" applyAlignment="1">
      <alignment horizontal="center" vertical="center"/>
    </xf>
    <xf numFmtId="176" fontId="24" fillId="0" borderId="0" xfId="0" applyNumberFormat="1" applyFont="1" applyFill="1" applyAlignment="1">
      <alignment horizontal="center" vertical="center"/>
    </xf>
    <xf numFmtId="0" fontId="24" fillId="0" borderId="14" xfId="0" applyFont="1" applyFill="1" applyBorder="1" applyAlignment="1">
      <alignment horizontal="left" vertical="center"/>
    </xf>
    <xf numFmtId="179" fontId="7" fillId="7" borderId="1" xfId="0" applyNumberFormat="1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179" fontId="9" fillId="0" borderId="1" xfId="0" applyNumberFormat="1" applyFont="1" applyFill="1" applyBorder="1" applyAlignment="1">
      <alignment vertical="center"/>
    </xf>
    <xf numFmtId="184" fontId="9" fillId="0" borderId="1" xfId="0" applyNumberFormat="1" applyFont="1" applyFill="1" applyBorder="1" applyAlignment="1">
      <alignment vertical="center"/>
    </xf>
    <xf numFmtId="184" fontId="9" fillId="20" borderId="1" xfId="0" applyNumberFormat="1" applyFont="1" applyFill="1" applyBorder="1" applyAlignment="1">
      <alignment vertical="center"/>
    </xf>
    <xf numFmtId="178" fontId="9" fillId="0" borderId="1" xfId="0" applyNumberFormat="1" applyFont="1" applyBorder="1" applyAlignment="1">
      <alignment horizontal="center" vertical="center"/>
    </xf>
    <xf numFmtId="179" fontId="9" fillId="0" borderId="1" xfId="0" applyNumberFormat="1" applyFont="1" applyBorder="1" applyAlignment="1">
      <alignment vertical="center"/>
    </xf>
    <xf numFmtId="184" fontId="9" fillId="0" borderId="1" xfId="0" applyNumberFormat="1" applyFont="1" applyBorder="1" applyAlignment="1">
      <alignment vertical="center"/>
    </xf>
    <xf numFmtId="178" fontId="9" fillId="20" borderId="1" xfId="0" applyNumberFormat="1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vertical="center"/>
    </xf>
    <xf numFmtId="0" fontId="9" fillId="20" borderId="1" xfId="0" applyFont="1" applyFill="1" applyBorder="1" applyAlignment="1">
      <alignment horizontal="center" vertical="center"/>
    </xf>
    <xf numFmtId="179" fontId="9" fillId="20" borderId="1" xfId="0" applyNumberFormat="1" applyFont="1" applyFill="1" applyBorder="1" applyAlignment="1">
      <alignment vertical="center"/>
    </xf>
    <xf numFmtId="0" fontId="11" fillId="0" borderId="4" xfId="0" applyFont="1" applyBorder="1" applyAlignment="1"/>
    <xf numFmtId="178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left" vertical="center"/>
    </xf>
    <xf numFmtId="184" fontId="11" fillId="0" borderId="4" xfId="0" applyNumberFormat="1" applyFont="1" applyBorder="1" applyAlignment="1"/>
    <xf numFmtId="178" fontId="10" fillId="0" borderId="0" xfId="0" applyNumberFormat="1" applyFont="1" applyAlignment="1">
      <alignment horizontal="center" vertical="center"/>
    </xf>
    <xf numFmtId="184" fontId="10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179" fontId="8" fillId="5" borderId="3" xfId="0" applyNumberFormat="1" applyFont="1" applyFill="1" applyBorder="1" applyAlignment="1">
      <alignment horizontal="center" vertical="center" wrapText="1"/>
    </xf>
    <xf numFmtId="184" fontId="9" fillId="0" borderId="1" xfId="0" applyNumberFormat="1" applyFont="1" applyFill="1" applyBorder="1" applyAlignment="1">
      <alignment vertical="center" wrapText="1"/>
    </xf>
    <xf numFmtId="4" fontId="9" fillId="0" borderId="1" xfId="0" applyNumberFormat="1" applyFont="1" applyBorder="1" applyAlignment="1">
      <alignment vertical="center"/>
    </xf>
    <xf numFmtId="184" fontId="9" fillId="0" borderId="1" xfId="0" applyNumberFormat="1" applyFont="1" applyBorder="1" applyAlignment="1">
      <alignment vertical="center" wrapText="1"/>
    </xf>
    <xf numFmtId="0" fontId="13" fillId="0" borderId="0" xfId="0" applyNumberFormat="1" applyFont="1" applyFill="1" applyBorder="1" applyAlignment="1" applyProtection="1">
      <alignment vertical="center"/>
    </xf>
    <xf numFmtId="0" fontId="26" fillId="3" borderId="0" xfId="0" applyNumberFormat="1" applyFont="1" applyFill="1" applyBorder="1" applyAlignment="1" applyProtection="1">
      <alignment vertical="center"/>
    </xf>
    <xf numFmtId="0" fontId="13" fillId="21" borderId="0" xfId="0" applyNumberFormat="1" applyFont="1" applyFill="1" applyBorder="1" applyAlignment="1" applyProtection="1">
      <alignment vertical="center"/>
    </xf>
    <xf numFmtId="0" fontId="13" fillId="5" borderId="0" xfId="0" applyNumberFormat="1" applyFont="1" applyFill="1" applyBorder="1" applyAlignment="1" applyProtection="1">
      <alignment vertical="center" wrapText="1"/>
    </xf>
    <xf numFmtId="0" fontId="50" fillId="0" borderId="0" xfId="0" applyNumberFormat="1" applyFont="1" applyFill="1" applyAlignment="1">
      <alignment horizontal="left" vertical="top" wrapText="1"/>
    </xf>
    <xf numFmtId="0" fontId="13" fillId="0" borderId="0" xfId="0" applyFont="1" applyFill="1" applyAlignment="1">
      <alignment horizontal="center" vertical="center"/>
    </xf>
    <xf numFmtId="0" fontId="20" fillId="16" borderId="0" xfId="0" applyNumberFormat="1" applyFont="1" applyFill="1" applyBorder="1" applyAlignment="1">
      <alignment horizontal="center" vertical="center"/>
    </xf>
    <xf numFmtId="183" fontId="20" fillId="16" borderId="0" xfId="0" applyNumberFormat="1" applyFont="1" applyFill="1" applyBorder="1" applyAlignment="1">
      <alignment vertical="center"/>
    </xf>
    <xf numFmtId="0" fontId="47" fillId="0" borderId="0" xfId="0" applyNumberFormat="1" applyFont="1" applyFill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Normal" xfId="50"/>
  </cellStyles>
  <dxfs count="35"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ont>
        <b val="1"/>
        <color rgb="FF991B1B"/>
      </font>
      <fill>
        <patternFill patternType="solid">
          <fgColor rgb="FFFEE2E2"/>
        </patternFill>
      </fill>
    </dxf>
    <dxf>
      <font>
        <b val="1"/>
        <color rgb="FF166534"/>
      </font>
      <fill>
        <patternFill patternType="solid">
          <fgColor rgb="FFDCFCE7"/>
        </patternFill>
      </fill>
    </dxf>
    <dxf>
      <font>
        <b val="1"/>
        <color rgb="FF92400E"/>
      </font>
      <fill>
        <patternFill patternType="solid">
          <fgColor rgb="FFFEF3C7"/>
        </patternFill>
      </fill>
    </dxf>
    <dxf>
      <font>
        <b val="1"/>
        <color rgb="FFBE123C"/>
      </font>
      <fill>
        <patternFill patternType="solid">
          <fgColor rgb="FFFFE4E6"/>
        </patternFill>
      </fill>
    </dxf>
    <dxf>
      <font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sz val="11"/>
        <color rgb="FF08090C"/>
      </font>
      <fill>
        <patternFill patternType="solid">
          <bgColor theme="4" tint="0.9"/>
        </patternFill>
      </fill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浅色系标题行表格样式_b4126a" count="10" xr9:uid="{4467F7F7-14A1-4682-8817-C613F865F88C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secondRowStripe" dxfId="19"/>
      <tableStyleElement type="firstColumnStripe" dxfId="18"/>
      <tableStyleElement type="secondColumnStripe" dxfId="17"/>
      <tableStyleElement type="firstTotalCell" dxfId="16"/>
      <tableStyleElement type="lastTotalCell" dxfId="15"/>
    </tableStyle>
    <tableStyle name="PivotStylePreset2_Accent1" table="0" count="10" xr9:uid="{267968C8-6FFD-4C36-ACC1-9EA1FD1885CA}"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microsoft.com/office/2017/06/relationships/rdRichValue" Target="richData/rdrichvalue.xml"/><Relationship Id="rId28" Type="http://schemas.microsoft.com/office/2017/06/relationships/rdRichValueStructure" Target="richData/rdrichvaluestructure.xml"/><Relationship Id="rId27" Type="http://schemas.openxmlformats.org/officeDocument/2006/relationships/sheetMetadata" Target="metadata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6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16</xdr:row>
      <xdr:rowOff>76200</xdr:rowOff>
    </xdr:from>
    <xdr:to>
      <xdr:col>0</xdr:col>
      <xdr:colOff>5068570</xdr:colOff>
      <xdr:row>37</xdr:row>
      <xdr:rowOff>72390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270" y="3048000"/>
          <a:ext cx="5067300" cy="37966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7048500</xdr:colOff>
      <xdr:row>16</xdr:row>
      <xdr:rowOff>57150</xdr:rowOff>
    </xdr:from>
    <xdr:to>
      <xdr:col>8</xdr:col>
      <xdr:colOff>183515</xdr:colOff>
      <xdr:row>36</xdr:row>
      <xdr:rowOff>29210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048500" y="3028950"/>
          <a:ext cx="5660390" cy="35915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40</xdr:row>
      <xdr:rowOff>171450</xdr:rowOff>
    </xdr:from>
    <xdr:to>
      <xdr:col>0</xdr:col>
      <xdr:colOff>6675755</xdr:colOff>
      <xdr:row>68</xdr:row>
      <xdr:rowOff>162560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9525" y="7486650"/>
          <a:ext cx="6666230" cy="50584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391795</xdr:colOff>
      <xdr:row>41</xdr:row>
      <xdr:rowOff>104775</xdr:rowOff>
    </xdr:from>
    <xdr:to>
      <xdr:col>7</xdr:col>
      <xdr:colOff>125095</xdr:colOff>
      <xdr:row>43</xdr:row>
      <xdr:rowOff>161925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7535545" y="7600950"/>
          <a:ext cx="4429125" cy="419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57785</xdr:colOff>
      <xdr:row>48</xdr:row>
      <xdr:rowOff>28575</xdr:rowOff>
    </xdr:from>
    <xdr:to>
      <xdr:col>11</xdr:col>
      <xdr:colOff>470535</xdr:colOff>
      <xdr:row>61</xdr:row>
      <xdr:rowOff>85725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7201535" y="8791575"/>
          <a:ext cx="7851775" cy="2409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10795</xdr:colOff>
      <xdr:row>57</xdr:row>
      <xdr:rowOff>133350</xdr:rowOff>
    </xdr:from>
    <xdr:to>
      <xdr:col>11</xdr:col>
      <xdr:colOff>408305</xdr:colOff>
      <xdr:row>74</xdr:row>
      <xdr:rowOff>123825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7154545" y="10525125"/>
          <a:ext cx="7836535" cy="3067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133985</xdr:colOff>
      <xdr:row>77</xdr:row>
      <xdr:rowOff>95250</xdr:rowOff>
    </xdr:from>
    <xdr:to>
      <xdr:col>0</xdr:col>
      <xdr:colOff>6610985</xdr:colOff>
      <xdr:row>112</xdr:row>
      <xdr:rowOff>85725</xdr:rowOff>
    </xdr:to>
    <xdr:pic>
      <xdr:nvPicPr>
        <xdr:cNvPr id="8" name="图片 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33985" y="14106525"/>
          <a:ext cx="6477000" cy="6324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15</xdr:col>
      <xdr:colOff>66040</xdr:colOff>
      <xdr:row>108</xdr:row>
      <xdr:rowOff>95885</xdr:rowOff>
    </xdr:to>
    <xdr:pic>
      <xdr:nvPicPr>
        <xdr:cNvPr id="9" name="图片 8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7143750" y="14192250"/>
          <a:ext cx="10248265" cy="55251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104775</xdr:colOff>
      <xdr:row>116</xdr:row>
      <xdr:rowOff>76200</xdr:rowOff>
    </xdr:from>
    <xdr:to>
      <xdr:col>1</xdr:col>
      <xdr:colOff>209550</xdr:colOff>
      <xdr:row>142</xdr:row>
      <xdr:rowOff>69215</xdr:rowOff>
    </xdr:to>
    <xdr:pic>
      <xdr:nvPicPr>
        <xdr:cNvPr id="10" name="图片 9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04775" y="21145500"/>
          <a:ext cx="7248525" cy="46983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146</xdr:row>
      <xdr:rowOff>0</xdr:rowOff>
    </xdr:from>
    <xdr:to>
      <xdr:col>1</xdr:col>
      <xdr:colOff>0</xdr:colOff>
      <xdr:row>172</xdr:row>
      <xdr:rowOff>29210</xdr:rowOff>
    </xdr:to>
    <xdr:pic>
      <xdr:nvPicPr>
        <xdr:cNvPr id="11" name="图片 10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9525" y="26498550"/>
          <a:ext cx="7134225" cy="47345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9</xdr:col>
      <xdr:colOff>333375</xdr:colOff>
      <xdr:row>173</xdr:row>
      <xdr:rowOff>33655</xdr:rowOff>
    </xdr:to>
    <xdr:pic>
      <xdr:nvPicPr>
        <xdr:cNvPr id="12" name="图片 11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7143750" y="26498550"/>
          <a:ext cx="6400800" cy="49199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66675</xdr:colOff>
      <xdr:row>175</xdr:row>
      <xdr:rowOff>38100</xdr:rowOff>
    </xdr:from>
    <xdr:to>
      <xdr:col>1</xdr:col>
      <xdr:colOff>861695</xdr:colOff>
      <xdr:row>202</xdr:row>
      <xdr:rowOff>95885</xdr:rowOff>
    </xdr:to>
    <xdr:pic>
      <xdr:nvPicPr>
        <xdr:cNvPr id="13" name="图片 12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66675" y="31784925"/>
          <a:ext cx="7938770" cy="49441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205</xdr:row>
      <xdr:rowOff>152400</xdr:rowOff>
    </xdr:from>
    <xdr:to>
      <xdr:col>3</xdr:col>
      <xdr:colOff>48260</xdr:colOff>
      <xdr:row>235</xdr:row>
      <xdr:rowOff>63500</xdr:rowOff>
    </xdr:to>
    <xdr:pic>
      <xdr:nvPicPr>
        <xdr:cNvPr id="14" name="图片 13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19050" y="37328475"/>
          <a:ext cx="9125585" cy="5340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514350</xdr:colOff>
      <xdr:row>212</xdr:row>
      <xdr:rowOff>19050</xdr:rowOff>
    </xdr:from>
    <xdr:to>
      <xdr:col>14</xdr:col>
      <xdr:colOff>307340</xdr:colOff>
      <xdr:row>225</xdr:row>
      <xdr:rowOff>29210</xdr:rowOff>
    </xdr:to>
    <xdr:pic>
      <xdr:nvPicPr>
        <xdr:cNvPr id="15" name="图片 14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7658100" y="38461950"/>
          <a:ext cx="9289415" cy="2362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238</xdr:row>
      <xdr:rowOff>123825</xdr:rowOff>
    </xdr:from>
    <xdr:to>
      <xdr:col>6</xdr:col>
      <xdr:colOff>420370</xdr:colOff>
      <xdr:row>268</xdr:row>
      <xdr:rowOff>172085</xdr:rowOff>
    </xdr:to>
    <xdr:pic>
      <xdr:nvPicPr>
        <xdr:cNvPr id="16" name="图片 15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19050" y="43272075"/>
          <a:ext cx="11555095" cy="54775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5991;&#26696;&#20869;&#23481;\&#23458;&#25143;&#36164;&#26009;\&#25104;&#21697;\A028&#36164;&#37329;&#26085;&#35760;&#24080;&#21644;&#24448;&#26469;&#23545;&#24080;&#34920;-&#24935;&#23453;2026.7.4\&#20986;&#32435;&#26085;&#35760;&#24080;_2026.7.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录入"/>
      <sheetName val="汇报表"/>
      <sheetName val="任意时间段收支报表"/>
      <sheetName val="收支报表"/>
      <sheetName val="现金"/>
      <sheetName val="陈慧蓉-微信"/>
      <sheetName val="恒畅-工商银行"/>
      <sheetName val="恒畅-长沙银行"/>
      <sheetName val="恒畅-建设银行"/>
      <sheetName val="恒畅-九江银行"/>
      <sheetName val="恒翔-中国银行"/>
      <sheetName val="恒翔-工商银行"/>
      <sheetName val="源钛-长沙银行"/>
      <sheetName val="私账"/>
      <sheetName val="票据"/>
      <sheetName val="借支"/>
      <sheetName val="基础资料"/>
    </sheetNames>
    <sheetDataSet>
      <sheetData sheetId="0">
        <row r="4">
          <cell r="B4">
            <v>46174</v>
          </cell>
        </row>
        <row r="5">
          <cell r="B5">
            <v>46174</v>
          </cell>
        </row>
        <row r="6">
          <cell r="B6">
            <v>46174</v>
          </cell>
        </row>
        <row r="7">
          <cell r="B7">
            <v>46174</v>
          </cell>
        </row>
        <row r="8">
          <cell r="B8">
            <v>46174</v>
          </cell>
        </row>
        <row r="9">
          <cell r="B9">
            <v>46174</v>
          </cell>
        </row>
        <row r="10">
          <cell r="B10">
            <v>46174</v>
          </cell>
        </row>
        <row r="11">
          <cell r="B11">
            <v>46174</v>
          </cell>
        </row>
        <row r="12">
          <cell r="B12">
            <v>46174</v>
          </cell>
        </row>
        <row r="13">
          <cell r="B13">
            <v>46174</v>
          </cell>
        </row>
        <row r="14">
          <cell r="B14">
            <v>46174</v>
          </cell>
        </row>
        <row r="15">
          <cell r="B15">
            <v>46174</v>
          </cell>
        </row>
        <row r="16">
          <cell r="B16">
            <v>46174</v>
          </cell>
        </row>
        <row r="17">
          <cell r="B17">
            <v>46174</v>
          </cell>
        </row>
        <row r="18">
          <cell r="B18">
            <v>46182</v>
          </cell>
        </row>
        <row r="18">
          <cell r="J18">
            <v>2000</v>
          </cell>
        </row>
        <row r="19">
          <cell r="B19">
            <v>46177</v>
          </cell>
        </row>
        <row r="19">
          <cell r="K19">
            <v>200</v>
          </cell>
        </row>
        <row r="20">
          <cell r="B20">
            <v>46178</v>
          </cell>
        </row>
        <row r="20">
          <cell r="K20">
            <v>300</v>
          </cell>
        </row>
        <row r="21">
          <cell r="B21">
            <v>46179</v>
          </cell>
        </row>
        <row r="21">
          <cell r="K21">
            <v>500</v>
          </cell>
        </row>
        <row r="22">
          <cell r="B22">
            <v>46183</v>
          </cell>
        </row>
        <row r="22">
          <cell r="J22">
            <v>2600</v>
          </cell>
        </row>
        <row r="23">
          <cell r="B23">
            <v>46185</v>
          </cell>
        </row>
        <row r="23">
          <cell r="K23">
            <v>5000</v>
          </cell>
        </row>
        <row r="24">
          <cell r="B24">
            <v>46193</v>
          </cell>
        </row>
        <row r="24">
          <cell r="K24">
            <v>200</v>
          </cell>
        </row>
        <row r="25">
          <cell r="B25">
            <v>46196</v>
          </cell>
        </row>
        <row r="25">
          <cell r="K25">
            <v>-100</v>
          </cell>
        </row>
        <row r="26">
          <cell r="B26">
            <v>46197</v>
          </cell>
        </row>
        <row r="26">
          <cell r="K26">
            <v>50</v>
          </cell>
        </row>
        <row r="27">
          <cell r="B27">
            <v>46198</v>
          </cell>
        </row>
        <row r="27">
          <cell r="J27">
            <v>2100</v>
          </cell>
        </row>
        <row r="28">
          <cell r="B28">
            <v>46198</v>
          </cell>
        </row>
        <row r="28">
          <cell r="K28">
            <v>2000</v>
          </cell>
        </row>
        <row r="29">
          <cell r="B29">
            <v>46198</v>
          </cell>
        </row>
        <row r="29">
          <cell r="K29">
            <v>200</v>
          </cell>
        </row>
        <row r="30">
          <cell r="B30">
            <v>46198</v>
          </cell>
        </row>
        <row r="30">
          <cell r="K30">
            <v>500</v>
          </cell>
        </row>
        <row r="31">
          <cell r="B31">
            <v>46198</v>
          </cell>
        </row>
        <row r="31">
          <cell r="K31">
            <v>1000</v>
          </cell>
        </row>
        <row r="32">
          <cell r="B32">
            <v>46198</v>
          </cell>
        </row>
        <row r="32">
          <cell r="K32">
            <v>200</v>
          </cell>
        </row>
        <row r="33">
          <cell r="B33">
            <v>46198</v>
          </cell>
        </row>
        <row r="33">
          <cell r="K33">
            <v>500</v>
          </cell>
        </row>
        <row r="34">
          <cell r="B34">
            <v>46198</v>
          </cell>
        </row>
        <row r="34">
          <cell r="K34">
            <v>500</v>
          </cell>
        </row>
        <row r="35">
          <cell r="B35">
            <v>46198</v>
          </cell>
        </row>
        <row r="35">
          <cell r="J35">
            <v>5000</v>
          </cell>
        </row>
        <row r="36">
          <cell r="B36">
            <v>46198</v>
          </cell>
        </row>
        <row r="36">
          <cell r="J36">
            <v>500</v>
          </cell>
        </row>
        <row r="37">
          <cell r="B37">
            <v>46198</v>
          </cell>
        </row>
        <row r="37">
          <cell r="J37">
            <v>-500</v>
          </cell>
        </row>
        <row r="38">
          <cell r="B38">
            <v>46204</v>
          </cell>
        </row>
        <row r="38">
          <cell r="K38">
            <v>500</v>
          </cell>
        </row>
        <row r="39">
          <cell r="B39">
            <v>46208</v>
          </cell>
        </row>
        <row r="39">
          <cell r="J39">
            <v>500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7"/>
  <sheetViews>
    <sheetView topLeftCell="A24" workbookViewId="0">
      <selection activeCell="B44" sqref="B44"/>
    </sheetView>
  </sheetViews>
  <sheetFormatPr defaultColWidth="9" defaultRowHeight="13.5"/>
  <cols>
    <col min="1" max="1" width="96.75" style="160" customWidth="1"/>
    <col min="2" max="16384" width="9" style="160"/>
  </cols>
  <sheetData>
    <row r="1" s="160" customFormat="1" ht="38" customHeight="1" spans="1:1">
      <c r="A1" s="161" t="s">
        <v>0</v>
      </c>
    </row>
    <row r="3" s="160" customFormat="1" spans="1:1">
      <c r="A3" s="160" t="s">
        <v>1</v>
      </c>
    </row>
    <row r="4" s="160" customFormat="1" spans="1:1">
      <c r="A4" s="160" t="s">
        <v>2</v>
      </c>
    </row>
    <row r="5" s="160" customFormat="1" spans="1:1">
      <c r="A5" s="160" t="s">
        <v>3</v>
      </c>
    </row>
    <row r="6" s="160" customFormat="1" spans="1:1">
      <c r="A6" s="160" t="s">
        <v>4</v>
      </c>
    </row>
    <row r="7" s="160" customFormat="1" spans="1:1">
      <c r="A7" s="160" t="s">
        <v>5</v>
      </c>
    </row>
    <row r="8" s="160" customFormat="1" spans="1:1">
      <c r="A8" s="160" t="s">
        <v>6</v>
      </c>
    </row>
    <row r="9" s="160" customFormat="1" spans="1:1">
      <c r="A9" s="160" t="s">
        <v>7</v>
      </c>
    </row>
    <row r="11" s="160" customFormat="1" spans="1:1">
      <c r="A11" s="162" t="s">
        <v>8</v>
      </c>
    </row>
    <row r="12" s="160" customFormat="1" ht="16" customHeight="1" spans="1:1">
      <c r="A12" s="160" t="s">
        <v>9</v>
      </c>
    </row>
    <row r="13" s="160" customFormat="1" ht="16" customHeight="1" spans="1:1">
      <c r="A13" s="160" t="s">
        <v>10</v>
      </c>
    </row>
    <row r="14" s="160" customFormat="1" ht="16" customHeight="1" spans="1:1">
      <c r="A14" s="160" t="s">
        <v>11</v>
      </c>
    </row>
    <row r="15" s="160" customFormat="1" ht="16" customHeight="1" spans="1:1">
      <c r="A15" s="160" t="s">
        <v>12</v>
      </c>
    </row>
    <row r="16" s="160" customFormat="1" ht="16" customHeight="1" spans="1:1">
      <c r="A16" s="160" t="s">
        <v>13</v>
      </c>
    </row>
    <row r="17" s="160" customFormat="1" ht="16" customHeight="1" spans="1:1">
      <c r="A17" s="160" t="s">
        <v>14</v>
      </c>
    </row>
    <row r="18" s="160" customFormat="1" ht="16" customHeight="1" spans="1:1">
      <c r="A18" s="160" t="s">
        <v>15</v>
      </c>
    </row>
    <row r="19" s="160" customFormat="1" ht="16" customHeight="1" spans="1:1">
      <c r="A19" s="160" t="s">
        <v>16</v>
      </c>
    </row>
    <row r="20" s="160" customFormat="1" ht="16" customHeight="1" spans="1:1">
      <c r="A20" s="160" t="s">
        <v>17</v>
      </c>
    </row>
    <row r="21" s="160" customFormat="1" ht="16" customHeight="1" spans="1:1">
      <c r="A21" s="160" t="s">
        <v>18</v>
      </c>
    </row>
    <row r="22" s="160" customFormat="1" ht="57" customHeight="1" spans="1:1">
      <c r="A22" s="163" t="s">
        <v>19</v>
      </c>
    </row>
    <row r="23" s="160" customFormat="1" ht="16" customHeight="1"/>
    <row r="24" s="160" customFormat="1" ht="109" customHeight="1" spans="1:1">
      <c r="A24" s="163" t="s">
        <v>20</v>
      </c>
    </row>
    <row r="26" s="160" customFormat="1" ht="16" customHeight="1"/>
    <row r="28" s="160" customFormat="1" spans="1:1">
      <c r="A28" s="160" t="s">
        <v>21</v>
      </c>
    </row>
    <row r="29" s="160" customFormat="1" spans="1:1">
      <c r="A29" s="160" t="s">
        <v>22</v>
      </c>
    </row>
    <row r="30" s="160" customFormat="1" spans="1:1">
      <c r="A30" s="160" t="s">
        <v>23</v>
      </c>
    </row>
    <row r="31" s="160" customFormat="1" spans="1:1">
      <c r="A31" s="160" t="s">
        <v>24</v>
      </c>
    </row>
    <row r="32" s="160" customFormat="1" spans="1:1">
      <c r="A32" s="160" t="s">
        <v>25</v>
      </c>
    </row>
    <row r="34" s="160" customFormat="1" spans="1:1">
      <c r="A34" s="160" t="s">
        <v>26</v>
      </c>
    </row>
    <row r="35" s="160" customFormat="1" spans="1:1">
      <c r="A35" s="160" t="s">
        <v>27</v>
      </c>
    </row>
    <row r="36" s="160" customFormat="1" spans="1:1">
      <c r="A36" s="160" t="s">
        <v>28</v>
      </c>
    </row>
    <row r="37" s="160" customFormat="1" spans="1:1">
      <c r="A37" s="160" t="s">
        <v>29</v>
      </c>
    </row>
    <row r="38" s="160" customFormat="1" spans="1:1">
      <c r="A38" s="160" t="s">
        <v>30</v>
      </c>
    </row>
    <row r="40" s="160" customFormat="1" spans="1:1">
      <c r="A40" s="160" t="s">
        <v>31</v>
      </c>
    </row>
    <row r="41" s="160" customFormat="1" spans="1:1">
      <c r="A41" s="160" t="s">
        <v>32</v>
      </c>
    </row>
    <row r="42" s="160" customFormat="1" spans="1:1">
      <c r="A42" s="160" t="s">
        <v>33</v>
      </c>
    </row>
    <row r="44" s="160" customFormat="1" spans="1:1">
      <c r="A44" s="160" t="s">
        <v>34</v>
      </c>
    </row>
    <row r="45" s="160" customFormat="1" spans="1:1">
      <c r="A45" s="160" t="s">
        <v>35</v>
      </c>
    </row>
    <row r="46" s="160" customFormat="1" spans="1:1">
      <c r="A46" s="160" t="s">
        <v>3</v>
      </c>
    </row>
    <row r="47" s="160" customFormat="1" spans="1:1">
      <c r="A47" s="160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86"/>
  <sheetViews>
    <sheetView showGridLines="0" tabSelected="1" workbookViewId="0">
      <pane ySplit="1" topLeftCell="A2" activePane="bottomLeft" state="frozen"/>
      <selection/>
      <selection pane="bottomLeft" activeCell="H2" sqref="H2"/>
    </sheetView>
  </sheetViews>
  <sheetFormatPr defaultColWidth="9" defaultRowHeight="20" customHeight="1" outlineLevelCol="7"/>
  <cols>
    <col min="1" max="1" width="13.3416666666667" style="155" customWidth="1"/>
    <col min="2" max="2" width="9.625" style="65" customWidth="1"/>
    <col min="3" max="3" width="14.4166666666667" style="155" customWidth="1"/>
    <col min="4" max="4" width="9.625" style="155" customWidth="1"/>
    <col min="5" max="5" width="29.9416666666667" style="155" customWidth="1"/>
    <col min="6" max="6" width="15.375" style="155" customWidth="1"/>
    <col min="7" max="7" width="25.5583333333333" style="155" customWidth="1"/>
    <col min="8" max="8" width="15.375" style="155" customWidth="1"/>
    <col min="9" max="16370" width="9" style="155" customWidth="1"/>
    <col min="16371" max="16384" width="9" style="155"/>
  </cols>
  <sheetData>
    <row r="1" s="5" customFormat="1" customHeight="1" spans="1:8">
      <c r="A1" s="19" t="s">
        <v>37</v>
      </c>
      <c r="B1" s="33"/>
      <c r="C1" s="33" t="s">
        <v>38</v>
      </c>
      <c r="D1" s="33"/>
      <c r="E1" s="33" t="s">
        <v>39</v>
      </c>
      <c r="F1" s="156" t="s">
        <v>40</v>
      </c>
      <c r="G1" s="156" t="s">
        <v>41</v>
      </c>
      <c r="H1" s="156" t="s">
        <v>42</v>
      </c>
    </row>
    <row r="2" s="154" customFormat="1" customHeight="1" spans="1:8">
      <c r="A2" s="83" t="s">
        <v>43</v>
      </c>
      <c r="B2" s="83"/>
      <c r="C2" s="38" t="s">
        <v>41</v>
      </c>
      <c r="D2" s="157"/>
      <c r="E2" s="35" t="s">
        <v>44</v>
      </c>
      <c r="F2" s="35"/>
      <c r="G2" s="35" t="s">
        <v>45</v>
      </c>
      <c r="H2" s="35"/>
    </row>
    <row r="3" s="154" customFormat="1" ht="19" customHeight="1" spans="1:8">
      <c r="A3" s="83" t="s">
        <v>46</v>
      </c>
      <c r="B3" s="83"/>
      <c r="C3" s="35"/>
      <c r="D3" s="157"/>
      <c r="E3" s="158" t="s">
        <v>47</v>
      </c>
      <c r="F3" s="35"/>
      <c r="G3" s="35" t="s">
        <v>48</v>
      </c>
      <c r="H3" s="35"/>
    </row>
    <row r="4" s="154" customFormat="1" customHeight="1" spans="1:8">
      <c r="A4" s="83" t="s">
        <v>49</v>
      </c>
      <c r="B4" s="83"/>
      <c r="C4" s="35" t="s">
        <v>50</v>
      </c>
      <c r="D4" s="159"/>
      <c r="E4" s="35" t="s">
        <v>51</v>
      </c>
      <c r="F4" s="35"/>
      <c r="G4" s="35" t="s">
        <v>51</v>
      </c>
      <c r="H4" s="35"/>
    </row>
    <row r="5" s="154" customFormat="1" ht="22" customHeight="1" spans="1:8">
      <c r="A5" s="83" t="s">
        <v>52</v>
      </c>
      <c r="B5" s="83"/>
      <c r="C5" s="35" t="s">
        <v>53</v>
      </c>
      <c r="D5" s="159"/>
      <c r="E5" s="158" t="s">
        <v>54</v>
      </c>
      <c r="F5" s="35"/>
      <c r="G5" s="35" t="s">
        <v>55</v>
      </c>
      <c r="H5" s="35"/>
    </row>
    <row r="6" s="154" customFormat="1" customHeight="1" spans="1:8">
      <c r="A6" s="83"/>
      <c r="B6" s="83"/>
      <c r="C6" s="35" t="s">
        <v>56</v>
      </c>
      <c r="D6" s="159"/>
      <c r="E6" s="35" t="s">
        <v>57</v>
      </c>
      <c r="F6" s="35"/>
      <c r="G6" s="35" t="s">
        <v>58</v>
      </c>
      <c r="H6" s="35"/>
    </row>
    <row r="7" s="154" customFormat="1" customHeight="1" spans="1:8">
      <c r="A7" s="83"/>
      <c r="B7" s="83"/>
      <c r="C7" s="35" t="s">
        <v>59</v>
      </c>
      <c r="D7" s="159"/>
      <c r="E7" s="35" t="s">
        <v>60</v>
      </c>
      <c r="F7" s="35"/>
      <c r="G7" s="35" t="s">
        <v>61</v>
      </c>
      <c r="H7" s="35"/>
    </row>
    <row r="8" s="154" customFormat="1" customHeight="1" spans="1:8">
      <c r="A8" s="83"/>
      <c r="B8" s="83"/>
      <c r="C8" s="35" t="s">
        <v>62</v>
      </c>
      <c r="D8" s="159"/>
      <c r="E8" s="35" t="s">
        <v>63</v>
      </c>
      <c r="F8" s="35"/>
      <c r="G8" s="35" t="s">
        <v>64</v>
      </c>
      <c r="H8" s="35"/>
    </row>
    <row r="9" s="154" customFormat="1" customHeight="1" spans="1:8">
      <c r="A9" s="83"/>
      <c r="B9" s="83"/>
      <c r="C9" s="35" t="s">
        <v>65</v>
      </c>
      <c r="D9" s="159"/>
      <c r="E9" s="35" t="s">
        <v>66</v>
      </c>
      <c r="F9" s="35"/>
      <c r="G9" s="35" t="s">
        <v>67</v>
      </c>
      <c r="H9" s="35"/>
    </row>
    <row r="10" s="154" customFormat="1" customHeight="1" spans="1:8">
      <c r="A10" s="83"/>
      <c r="B10" s="83"/>
      <c r="C10" s="35" t="s">
        <v>68</v>
      </c>
      <c r="D10" s="159"/>
      <c r="E10" s="35" t="s">
        <v>69</v>
      </c>
      <c r="F10" s="35"/>
      <c r="G10" s="35" t="s">
        <v>70</v>
      </c>
      <c r="H10" s="35"/>
    </row>
    <row r="11" s="154" customFormat="1" customHeight="1" spans="1:8">
      <c r="A11" s="83"/>
      <c r="B11" s="83"/>
      <c r="C11" s="35" t="s">
        <v>71</v>
      </c>
      <c r="D11" s="159"/>
      <c r="E11" s="35" t="s">
        <v>72</v>
      </c>
      <c r="F11" s="35"/>
      <c r="G11" s="35" t="s">
        <v>73</v>
      </c>
      <c r="H11" s="35"/>
    </row>
    <row r="12" s="154" customFormat="1" customHeight="1" spans="1:8">
      <c r="A12" s="83"/>
      <c r="B12" s="83"/>
      <c r="C12" s="35" t="s">
        <v>74</v>
      </c>
      <c r="D12" s="159"/>
      <c r="E12" s="35" t="s">
        <v>75</v>
      </c>
      <c r="F12" s="35"/>
      <c r="G12" s="35" t="s">
        <v>76</v>
      </c>
      <c r="H12" s="35"/>
    </row>
    <row r="13" s="154" customFormat="1" customHeight="1" spans="1:8">
      <c r="A13" s="83"/>
      <c r="B13" s="83"/>
      <c r="C13" s="35" t="s">
        <v>77</v>
      </c>
      <c r="D13" s="159"/>
      <c r="E13" s="35" t="s">
        <v>78</v>
      </c>
      <c r="F13" s="35"/>
      <c r="G13" s="35" t="s">
        <v>79</v>
      </c>
      <c r="H13" s="35"/>
    </row>
    <row r="14" s="154" customFormat="1" customHeight="1" spans="1:8">
      <c r="A14" s="83"/>
      <c r="B14" s="83"/>
      <c r="C14" s="35" t="s">
        <v>80</v>
      </c>
      <c r="D14" s="159"/>
      <c r="E14" s="35" t="s">
        <v>81</v>
      </c>
      <c r="F14" s="35"/>
      <c r="G14" s="35" t="s">
        <v>82</v>
      </c>
      <c r="H14" s="35"/>
    </row>
    <row r="15" s="154" customFormat="1" customHeight="1" spans="1:8">
      <c r="A15" s="83"/>
      <c r="B15" s="83"/>
      <c r="C15" s="35" t="s">
        <v>83</v>
      </c>
      <c r="D15" s="159"/>
      <c r="E15" s="35"/>
      <c r="F15" s="35"/>
      <c r="G15" s="35"/>
      <c r="H15" s="35"/>
    </row>
    <row r="16" s="154" customFormat="1" customHeight="1" spans="1:8">
      <c r="A16" s="83"/>
      <c r="B16" s="83"/>
      <c r="C16" s="35" t="s">
        <v>84</v>
      </c>
      <c r="D16" s="159"/>
      <c r="E16" s="35"/>
      <c r="F16" s="35"/>
      <c r="G16" s="35"/>
      <c r="H16" s="35"/>
    </row>
    <row r="17" s="154" customFormat="1" customHeight="1" spans="1:8">
      <c r="A17" s="83"/>
      <c r="B17" s="83"/>
      <c r="C17" s="35" t="s">
        <v>85</v>
      </c>
      <c r="D17" s="159"/>
      <c r="E17" s="35"/>
      <c r="F17" s="35"/>
      <c r="G17" s="35"/>
      <c r="H17" s="35"/>
    </row>
    <row r="18" s="154" customFormat="1" customHeight="1" spans="1:8">
      <c r="A18" s="83"/>
      <c r="B18" s="83"/>
      <c r="C18" s="35" t="s">
        <v>86</v>
      </c>
      <c r="D18" s="159"/>
      <c r="E18" s="35"/>
      <c r="F18" s="35"/>
      <c r="G18" s="35"/>
      <c r="H18" s="35"/>
    </row>
    <row r="19" s="154" customFormat="1" customHeight="1" spans="1:8">
      <c r="A19" s="83"/>
      <c r="B19" s="83"/>
      <c r="C19" s="35" t="s">
        <v>87</v>
      </c>
      <c r="D19" s="159"/>
      <c r="E19" s="35"/>
      <c r="F19" s="35"/>
      <c r="G19" s="35"/>
      <c r="H19" s="35"/>
    </row>
    <row r="20" s="154" customFormat="1" customHeight="1" spans="1:8">
      <c r="A20" s="83"/>
      <c r="B20" s="83"/>
      <c r="C20" s="35"/>
      <c r="D20" s="159"/>
      <c r="E20" s="35"/>
      <c r="F20" s="35"/>
      <c r="G20" s="35"/>
      <c r="H20" s="35"/>
    </row>
    <row r="21" s="154" customFormat="1" customHeight="1" spans="1:8">
      <c r="A21" s="83"/>
      <c r="B21" s="83"/>
      <c r="C21" s="35"/>
      <c r="D21" s="159"/>
      <c r="E21" s="35"/>
      <c r="F21" s="35"/>
      <c r="G21" s="35"/>
      <c r="H21" s="35"/>
    </row>
    <row r="22" s="154" customFormat="1" customHeight="1" spans="1:8">
      <c r="A22" s="83"/>
      <c r="B22" s="83"/>
      <c r="C22" s="35"/>
      <c r="D22" s="159"/>
      <c r="E22" s="35"/>
      <c r="F22" s="35"/>
      <c r="G22" s="35"/>
      <c r="H22" s="35"/>
    </row>
    <row r="23" s="154" customFormat="1" customHeight="1" spans="1:8">
      <c r="A23" s="83"/>
      <c r="B23" s="83"/>
      <c r="C23" s="35"/>
      <c r="D23" s="159"/>
      <c r="E23" s="35"/>
      <c r="F23" s="35"/>
      <c r="G23" s="35"/>
      <c r="H23" s="35"/>
    </row>
    <row r="24" s="154" customFormat="1" customHeight="1" spans="1:8">
      <c r="A24" s="83"/>
      <c r="B24" s="83"/>
      <c r="C24" s="35"/>
      <c r="D24" s="159"/>
      <c r="E24" s="35"/>
      <c r="F24" s="35"/>
      <c r="G24" s="35"/>
      <c r="H24" s="35"/>
    </row>
    <row r="25" s="154" customFormat="1" customHeight="1" spans="1:8">
      <c r="A25" s="83"/>
      <c r="B25" s="83"/>
      <c r="C25" s="35"/>
      <c r="D25" s="159"/>
      <c r="E25" s="35"/>
      <c r="F25" s="35"/>
      <c r="G25" s="35"/>
      <c r="H25" s="35"/>
    </row>
    <row r="26" s="154" customFormat="1" customHeight="1" spans="1:8">
      <c r="A26" s="83"/>
      <c r="B26" s="83"/>
      <c r="C26" s="35"/>
      <c r="D26" s="159"/>
      <c r="E26" s="35"/>
      <c r="F26" s="35"/>
      <c r="G26" s="35"/>
      <c r="H26" s="35"/>
    </row>
    <row r="27" s="154" customFormat="1" customHeight="1" spans="1:8">
      <c r="A27" s="83"/>
      <c r="B27" s="83"/>
      <c r="C27" s="35"/>
      <c r="D27" s="159"/>
      <c r="E27" s="35"/>
      <c r="F27" s="35"/>
      <c r="G27" s="35"/>
      <c r="H27" s="35"/>
    </row>
    <row r="28" s="154" customFormat="1" customHeight="1" spans="1:8">
      <c r="A28" s="83"/>
      <c r="B28" s="83"/>
      <c r="C28" s="35"/>
      <c r="D28" s="159"/>
      <c r="E28" s="35"/>
      <c r="F28" s="35"/>
      <c r="G28" s="35"/>
      <c r="H28" s="35"/>
    </row>
    <row r="29" s="154" customFormat="1" customHeight="1" spans="1:8">
      <c r="A29" s="83"/>
      <c r="B29" s="83"/>
      <c r="C29" s="35"/>
      <c r="D29" s="159"/>
      <c r="E29" s="35"/>
      <c r="F29" s="35"/>
      <c r="G29" s="35"/>
      <c r="H29" s="35"/>
    </row>
    <row r="30" s="154" customFormat="1" customHeight="1" spans="1:8">
      <c r="A30" s="83"/>
      <c r="B30" s="83"/>
      <c r="C30" s="35"/>
      <c r="D30" s="159"/>
      <c r="E30" s="35"/>
      <c r="F30" s="35"/>
      <c r="G30" s="35"/>
      <c r="H30" s="35"/>
    </row>
    <row r="31" s="154" customFormat="1" customHeight="1" spans="1:8">
      <c r="A31" s="83"/>
      <c r="B31" s="83"/>
      <c r="C31" s="35"/>
      <c r="D31" s="159"/>
      <c r="E31" s="35"/>
      <c r="F31" s="35"/>
      <c r="G31" s="35"/>
      <c r="H31" s="35"/>
    </row>
    <row r="32" s="154" customFormat="1" customHeight="1" spans="1:8">
      <c r="A32" s="83"/>
      <c r="B32" s="83"/>
      <c r="C32" s="35"/>
      <c r="D32" s="159"/>
      <c r="E32" s="35"/>
      <c r="F32" s="35"/>
      <c r="G32" s="35"/>
      <c r="H32" s="35"/>
    </row>
    <row r="33" s="154" customFormat="1" customHeight="1" spans="1:8">
      <c r="A33" s="83"/>
      <c r="B33" s="83"/>
      <c r="C33" s="35"/>
      <c r="D33" s="159"/>
      <c r="E33" s="35"/>
      <c r="F33" s="35"/>
      <c r="G33" s="35"/>
      <c r="H33" s="35"/>
    </row>
    <row r="34" s="154" customFormat="1" customHeight="1" spans="1:8">
      <c r="A34" s="83"/>
      <c r="B34" s="83"/>
      <c r="C34" s="35"/>
      <c r="D34" s="159"/>
      <c r="E34" s="35"/>
      <c r="F34" s="35"/>
      <c r="G34" s="35"/>
      <c r="H34" s="35"/>
    </row>
    <row r="35" s="154" customFormat="1" customHeight="1" spans="1:8">
      <c r="A35" s="83"/>
      <c r="B35" s="83"/>
      <c r="C35" s="35"/>
      <c r="D35" s="159"/>
      <c r="E35" s="35"/>
      <c r="F35" s="35"/>
      <c r="G35" s="35"/>
      <c r="H35" s="35"/>
    </row>
    <row r="36" s="154" customFormat="1" customHeight="1" spans="1:8">
      <c r="A36" s="83"/>
      <c r="B36" s="83"/>
      <c r="C36" s="35"/>
      <c r="D36" s="159"/>
      <c r="E36" s="35"/>
      <c r="F36" s="35"/>
      <c r="G36" s="35"/>
      <c r="H36" s="35"/>
    </row>
    <row r="37" s="154" customFormat="1" customHeight="1" spans="1:8">
      <c r="A37" s="83"/>
      <c r="B37" s="83"/>
      <c r="C37" s="35"/>
      <c r="D37" s="159"/>
      <c r="E37" s="35"/>
      <c r="F37" s="35"/>
      <c r="G37" s="35"/>
      <c r="H37" s="35"/>
    </row>
    <row r="38" s="154" customFormat="1" customHeight="1" spans="1:8">
      <c r="A38" s="83"/>
      <c r="B38" s="83"/>
      <c r="C38" s="35"/>
      <c r="D38" s="159"/>
      <c r="E38" s="35"/>
      <c r="F38" s="35"/>
      <c r="G38" s="35"/>
      <c r="H38" s="35"/>
    </row>
    <row r="39" s="154" customFormat="1" customHeight="1" spans="1:8">
      <c r="A39" s="83"/>
      <c r="B39" s="83"/>
      <c r="C39" s="35"/>
      <c r="D39" s="159"/>
      <c r="E39" s="35"/>
      <c r="F39" s="35"/>
      <c r="G39" s="35"/>
      <c r="H39" s="35"/>
    </row>
    <row r="40" s="154" customFormat="1" customHeight="1" spans="1:8">
      <c r="A40" s="83"/>
      <c r="B40" s="83"/>
      <c r="C40" s="35"/>
      <c r="D40" s="159"/>
      <c r="E40" s="35"/>
      <c r="F40" s="35"/>
      <c r="G40" s="35"/>
      <c r="H40" s="35"/>
    </row>
    <row r="41" s="154" customFormat="1" customHeight="1" spans="1:8">
      <c r="A41" s="83"/>
      <c r="B41" s="83"/>
      <c r="C41" s="35"/>
      <c r="D41" s="159"/>
      <c r="E41" s="35"/>
      <c r="F41" s="35"/>
      <c r="G41" s="35"/>
      <c r="H41" s="35"/>
    </row>
    <row r="42" s="154" customFormat="1" customHeight="1" spans="1:8">
      <c r="A42" s="83"/>
      <c r="B42" s="83"/>
      <c r="C42" s="35"/>
      <c r="D42" s="159"/>
      <c r="E42" s="35"/>
      <c r="F42" s="35"/>
      <c r="G42" s="35"/>
      <c r="H42" s="35"/>
    </row>
    <row r="43" s="154" customFormat="1" customHeight="1" spans="1:8">
      <c r="A43" s="83"/>
      <c r="B43" s="83"/>
      <c r="C43" s="35"/>
      <c r="D43" s="159"/>
      <c r="E43" s="35"/>
      <c r="F43" s="35"/>
      <c r="G43" s="35"/>
      <c r="H43" s="35"/>
    </row>
    <row r="44" s="154" customFormat="1" customHeight="1" spans="1:8">
      <c r="A44" s="83"/>
      <c r="B44" s="83"/>
      <c r="C44" s="35"/>
      <c r="D44" s="159"/>
      <c r="E44" s="35"/>
      <c r="F44" s="35"/>
      <c r="G44" s="35"/>
      <c r="H44" s="35"/>
    </row>
    <row r="45" s="154" customFormat="1" customHeight="1" spans="1:8">
      <c r="A45" s="83"/>
      <c r="B45" s="83"/>
      <c r="C45" s="35"/>
      <c r="D45" s="159"/>
      <c r="E45" s="35"/>
      <c r="F45" s="35"/>
      <c r="G45" s="35"/>
      <c r="H45" s="35"/>
    </row>
    <row r="46" s="154" customFormat="1" customHeight="1" spans="1:8">
      <c r="A46" s="83"/>
      <c r="B46" s="83"/>
      <c r="C46" s="35"/>
      <c r="D46" s="159"/>
      <c r="E46" s="35"/>
      <c r="F46" s="35"/>
      <c r="G46" s="35"/>
      <c r="H46" s="35"/>
    </row>
    <row r="47" s="154" customFormat="1" customHeight="1" spans="1:8">
      <c r="A47" s="83"/>
      <c r="B47" s="83"/>
      <c r="C47" s="35"/>
      <c r="D47" s="159"/>
      <c r="E47" s="35"/>
      <c r="F47" s="35"/>
      <c r="G47" s="35"/>
      <c r="H47" s="35"/>
    </row>
    <row r="48" s="154" customFormat="1" customHeight="1" spans="1:8">
      <c r="A48" s="83"/>
      <c r="B48" s="83"/>
      <c r="C48" s="35"/>
      <c r="D48" s="159"/>
      <c r="E48" s="35"/>
      <c r="F48" s="35"/>
      <c r="G48" s="35"/>
      <c r="H48" s="35"/>
    </row>
    <row r="49" s="154" customFormat="1" customHeight="1" spans="1:8">
      <c r="A49" s="83"/>
      <c r="B49" s="83"/>
      <c r="C49" s="35"/>
      <c r="D49" s="159"/>
      <c r="E49" s="35"/>
      <c r="F49" s="35"/>
      <c r="G49" s="35"/>
      <c r="H49" s="35"/>
    </row>
    <row r="50" s="154" customFormat="1" customHeight="1" spans="1:8">
      <c r="A50" s="83"/>
      <c r="B50" s="83"/>
      <c r="C50" s="35"/>
      <c r="D50" s="159"/>
      <c r="E50" s="35"/>
      <c r="F50" s="35"/>
      <c r="G50" s="35"/>
      <c r="H50" s="35"/>
    </row>
    <row r="51" s="154" customFormat="1" customHeight="1" spans="1:8">
      <c r="A51" s="83"/>
      <c r="B51" s="83"/>
      <c r="C51" s="35"/>
      <c r="D51" s="159"/>
      <c r="E51" s="35"/>
      <c r="F51" s="35"/>
      <c r="G51" s="35"/>
      <c r="H51" s="35"/>
    </row>
    <row r="52" s="154" customFormat="1" customHeight="1" spans="1:8">
      <c r="A52" s="83"/>
      <c r="B52" s="83"/>
      <c r="C52" s="35"/>
      <c r="D52" s="159"/>
      <c r="E52" s="35"/>
      <c r="F52" s="35"/>
      <c r="G52" s="35"/>
      <c r="H52" s="35"/>
    </row>
    <row r="53" s="154" customFormat="1" customHeight="1" spans="1:8">
      <c r="A53" s="83"/>
      <c r="B53" s="83"/>
      <c r="C53" s="35"/>
      <c r="D53" s="159"/>
      <c r="E53" s="35"/>
      <c r="F53" s="35"/>
      <c r="G53" s="35"/>
      <c r="H53" s="35"/>
    </row>
    <row r="54" s="154" customFormat="1" customHeight="1" spans="1:8">
      <c r="A54" s="83"/>
      <c r="B54" s="83"/>
      <c r="C54" s="35"/>
      <c r="D54" s="159"/>
      <c r="E54" s="35"/>
      <c r="F54" s="35"/>
      <c r="G54" s="35"/>
      <c r="H54" s="35"/>
    </row>
    <row r="55" s="154" customFormat="1" customHeight="1" spans="1:8">
      <c r="A55" s="83"/>
      <c r="B55" s="83"/>
      <c r="C55" s="35"/>
      <c r="D55" s="159"/>
      <c r="E55" s="35"/>
      <c r="F55" s="35"/>
      <c r="G55" s="35"/>
      <c r="H55" s="35"/>
    </row>
    <row r="56" s="154" customFormat="1" customHeight="1" spans="1:8">
      <c r="A56" s="83"/>
      <c r="B56" s="83"/>
      <c r="C56" s="35"/>
      <c r="D56" s="159"/>
      <c r="E56" s="35"/>
      <c r="F56" s="35"/>
      <c r="G56" s="35"/>
      <c r="H56" s="35"/>
    </row>
    <row r="57" s="154" customFormat="1" customHeight="1" spans="1:8">
      <c r="A57" s="83"/>
      <c r="B57" s="83"/>
      <c r="C57" s="35"/>
      <c r="D57" s="159"/>
      <c r="E57" s="35"/>
      <c r="F57" s="35"/>
      <c r="G57" s="35"/>
      <c r="H57" s="35"/>
    </row>
    <row r="58" s="154" customFormat="1" customHeight="1" spans="1:8">
      <c r="A58" s="83"/>
      <c r="B58" s="83"/>
      <c r="C58" s="35"/>
      <c r="D58" s="159"/>
      <c r="E58" s="35"/>
      <c r="F58" s="35"/>
      <c r="G58" s="35"/>
      <c r="H58" s="35"/>
    </row>
    <row r="59" s="154" customFormat="1" customHeight="1" spans="1:8">
      <c r="A59" s="83"/>
      <c r="B59" s="83"/>
      <c r="C59" s="35"/>
      <c r="D59" s="159"/>
      <c r="E59" s="35"/>
      <c r="F59" s="35"/>
      <c r="G59" s="35"/>
      <c r="H59" s="35"/>
    </row>
    <row r="60" s="154" customFormat="1" customHeight="1" spans="1:8">
      <c r="A60" s="83"/>
      <c r="B60" s="83"/>
      <c r="C60" s="35"/>
      <c r="D60" s="159"/>
      <c r="E60" s="35"/>
      <c r="F60" s="35"/>
      <c r="G60" s="35"/>
      <c r="H60" s="35"/>
    </row>
    <row r="61" s="154" customFormat="1" customHeight="1" spans="1:8">
      <c r="A61" s="83"/>
      <c r="B61" s="83"/>
      <c r="C61" s="35"/>
      <c r="D61" s="159"/>
      <c r="E61" s="35"/>
      <c r="F61" s="35"/>
      <c r="G61" s="35"/>
      <c r="H61" s="35"/>
    </row>
    <row r="62" s="154" customFormat="1" customHeight="1" spans="1:8">
      <c r="A62" s="83"/>
      <c r="B62" s="83"/>
      <c r="C62" s="35"/>
      <c r="D62" s="159"/>
      <c r="E62" s="35"/>
      <c r="F62" s="35"/>
      <c r="G62" s="35"/>
      <c r="H62" s="35"/>
    </row>
    <row r="63" s="154" customFormat="1" customHeight="1" spans="1:8">
      <c r="A63" s="83"/>
      <c r="B63" s="83"/>
      <c r="C63" s="35"/>
      <c r="D63" s="159"/>
      <c r="E63" s="35"/>
      <c r="F63" s="35"/>
      <c r="G63" s="35"/>
      <c r="H63" s="35"/>
    </row>
    <row r="64" s="154" customFormat="1" customHeight="1" spans="1:8">
      <c r="A64" s="83"/>
      <c r="B64" s="83"/>
      <c r="C64" s="35"/>
      <c r="D64" s="159"/>
      <c r="E64" s="35"/>
      <c r="F64" s="35"/>
      <c r="G64" s="35"/>
      <c r="H64" s="35"/>
    </row>
    <row r="65" s="154" customFormat="1" customHeight="1" spans="1:8">
      <c r="A65" s="83"/>
      <c r="B65" s="83"/>
      <c r="C65" s="35"/>
      <c r="D65" s="159"/>
      <c r="E65" s="35"/>
      <c r="F65" s="35"/>
      <c r="G65" s="35"/>
      <c r="H65" s="35"/>
    </row>
    <row r="66" s="154" customFormat="1" customHeight="1" spans="1:8">
      <c r="A66" s="83"/>
      <c r="B66" s="83"/>
      <c r="C66" s="35"/>
      <c r="D66" s="159"/>
      <c r="E66" s="35"/>
      <c r="F66" s="35"/>
      <c r="G66" s="35"/>
      <c r="H66" s="35"/>
    </row>
    <row r="67" s="154" customFormat="1" customHeight="1" spans="1:8">
      <c r="A67" s="83"/>
      <c r="B67" s="83"/>
      <c r="C67" s="35"/>
      <c r="D67" s="159"/>
      <c r="E67" s="35"/>
      <c r="F67" s="35"/>
      <c r="G67" s="35"/>
      <c r="H67" s="35"/>
    </row>
    <row r="68" s="154" customFormat="1" customHeight="1" spans="1:8">
      <c r="A68" s="83"/>
      <c r="B68" s="83"/>
      <c r="C68" s="35"/>
      <c r="D68" s="159"/>
      <c r="E68" s="35"/>
      <c r="F68" s="35"/>
      <c r="G68" s="35"/>
      <c r="H68" s="35"/>
    </row>
    <row r="69" s="154" customFormat="1" customHeight="1" spans="1:8">
      <c r="A69" s="83"/>
      <c r="B69" s="83"/>
      <c r="C69" s="35"/>
      <c r="D69" s="159"/>
      <c r="E69" s="35"/>
      <c r="F69" s="35"/>
      <c r="G69" s="35"/>
      <c r="H69" s="35"/>
    </row>
    <row r="70" s="154" customFormat="1" customHeight="1" spans="1:8">
      <c r="A70" s="83"/>
      <c r="B70" s="83"/>
      <c r="C70" s="35"/>
      <c r="D70" s="159"/>
      <c r="E70" s="35"/>
      <c r="F70" s="35"/>
      <c r="G70" s="35"/>
      <c r="H70" s="35"/>
    </row>
    <row r="71" s="154" customFormat="1" customHeight="1" spans="1:8">
      <c r="A71" s="83"/>
      <c r="B71" s="83"/>
      <c r="C71" s="35"/>
      <c r="D71" s="159"/>
      <c r="E71" s="35"/>
      <c r="F71" s="35"/>
      <c r="G71" s="35"/>
      <c r="H71" s="35"/>
    </row>
    <row r="72" s="154" customFormat="1" customHeight="1" spans="1:8">
      <c r="A72" s="83"/>
      <c r="B72" s="83"/>
      <c r="C72" s="35"/>
      <c r="D72" s="159"/>
      <c r="E72" s="35"/>
      <c r="F72" s="35"/>
      <c r="G72" s="35"/>
      <c r="H72" s="35"/>
    </row>
    <row r="73" s="154" customFormat="1" customHeight="1" spans="1:8">
      <c r="A73" s="83"/>
      <c r="B73" s="83"/>
      <c r="C73" s="35"/>
      <c r="D73" s="159"/>
      <c r="E73" s="35"/>
      <c r="F73" s="35"/>
      <c r="G73" s="35"/>
      <c r="H73" s="35"/>
    </row>
    <row r="74" s="154" customFormat="1" customHeight="1" spans="1:8">
      <c r="A74" s="83"/>
      <c r="B74" s="83"/>
      <c r="C74" s="35"/>
      <c r="D74" s="159"/>
      <c r="E74" s="35"/>
      <c r="F74" s="35"/>
      <c r="G74" s="35"/>
      <c r="H74" s="35"/>
    </row>
    <row r="75" s="154" customFormat="1" customHeight="1" spans="1:8">
      <c r="A75" s="83"/>
      <c r="B75" s="83"/>
      <c r="C75" s="35"/>
      <c r="D75" s="159"/>
      <c r="E75" s="35"/>
      <c r="F75" s="35"/>
      <c r="G75" s="35"/>
      <c r="H75" s="35"/>
    </row>
    <row r="76" s="154" customFormat="1" customHeight="1" spans="1:8">
      <c r="A76" s="83"/>
      <c r="B76" s="83"/>
      <c r="C76" s="35"/>
      <c r="D76" s="159"/>
      <c r="E76" s="35"/>
      <c r="F76" s="35"/>
      <c r="G76" s="35"/>
      <c r="H76" s="35"/>
    </row>
    <row r="77" s="154" customFormat="1" customHeight="1" spans="1:8">
      <c r="A77" s="83"/>
      <c r="B77" s="83"/>
      <c r="C77" s="35"/>
      <c r="D77" s="159"/>
      <c r="E77" s="35"/>
      <c r="F77" s="35"/>
      <c r="G77" s="35"/>
      <c r="H77" s="35"/>
    </row>
    <row r="78" s="154" customFormat="1" customHeight="1" spans="1:8">
      <c r="A78" s="83"/>
      <c r="B78" s="83"/>
      <c r="C78" s="35"/>
      <c r="D78" s="159"/>
      <c r="E78" s="35"/>
      <c r="F78" s="35"/>
      <c r="G78" s="35"/>
      <c r="H78" s="35"/>
    </row>
    <row r="79" s="154" customFormat="1" customHeight="1" spans="1:8">
      <c r="A79" s="83"/>
      <c r="B79" s="83"/>
      <c r="C79" s="35"/>
      <c r="D79" s="159"/>
      <c r="E79" s="35"/>
      <c r="F79" s="35"/>
      <c r="G79" s="35"/>
      <c r="H79" s="35"/>
    </row>
    <row r="80" s="154" customFormat="1" customHeight="1" spans="1:8">
      <c r="A80" s="83"/>
      <c r="B80" s="83"/>
      <c r="C80" s="35"/>
      <c r="D80" s="159"/>
      <c r="E80" s="35"/>
      <c r="F80" s="35"/>
      <c r="G80" s="35"/>
      <c r="H80" s="35"/>
    </row>
    <row r="81" s="154" customFormat="1" customHeight="1" spans="1:8">
      <c r="A81" s="83"/>
      <c r="B81" s="83"/>
      <c r="C81" s="35"/>
      <c r="D81" s="159"/>
      <c r="E81" s="35"/>
      <c r="F81" s="35"/>
      <c r="G81" s="35"/>
      <c r="H81" s="35"/>
    </row>
    <row r="82" s="154" customFormat="1" customHeight="1" spans="1:8">
      <c r="A82" s="83"/>
      <c r="B82" s="83"/>
      <c r="C82" s="35"/>
      <c r="D82" s="159"/>
      <c r="E82" s="35"/>
      <c r="F82" s="35"/>
      <c r="G82" s="35"/>
      <c r="H82" s="35"/>
    </row>
    <row r="83" s="154" customFormat="1" customHeight="1" spans="1:8">
      <c r="A83" s="83"/>
      <c r="B83" s="83"/>
      <c r="C83" s="35"/>
      <c r="D83" s="159"/>
      <c r="E83" s="35"/>
      <c r="F83" s="35"/>
      <c r="G83" s="35"/>
      <c r="H83" s="35"/>
    </row>
    <row r="84" s="154" customFormat="1" customHeight="1" spans="1:8">
      <c r="A84" s="83"/>
      <c r="B84" s="83"/>
      <c r="C84" s="35"/>
      <c r="D84" s="159"/>
      <c r="E84" s="35"/>
      <c r="F84" s="35"/>
      <c r="G84" s="35"/>
      <c r="H84" s="35"/>
    </row>
    <row r="85" s="154" customFormat="1" customHeight="1" spans="1:8">
      <c r="A85" s="83"/>
      <c r="B85" s="83"/>
      <c r="C85" s="35"/>
      <c r="D85" s="159"/>
      <c r="E85" s="35"/>
      <c r="F85" s="35"/>
      <c r="G85" s="35"/>
      <c r="H85" s="35"/>
    </row>
    <row r="86" s="154" customFormat="1" customHeight="1" spans="1:8">
      <c r="A86" s="83"/>
      <c r="B86" s="83"/>
      <c r="C86" s="35"/>
      <c r="D86" s="159"/>
      <c r="E86" s="35"/>
      <c r="F86" s="35"/>
      <c r="G86" s="35"/>
      <c r="H86" s="35"/>
    </row>
  </sheetData>
  <autoFilter xmlns:etc="http://www.wps.cn/officeDocument/2017/etCustomData" ref="A1:G84" etc:filterBottomFollowUsedRange="0">
    <extLst/>
  </autoFilter>
  <conditionalFormatting sqref="D2">
    <cfRule type="cellIs" dxfId="0" priority="2" operator="equal">
      <formula>"已清"</formula>
    </cfRule>
    <cfRule type="cellIs" dxfId="1" priority="4" operator="equal">
      <formula>"未还"</formula>
    </cfRule>
    <cfRule type="cellIs" dxfId="2" priority="6" operator="equal">
      <formula>"部分未清"</formula>
    </cfRule>
    <cfRule type="expression" dxfId="3" priority="8">
      <formula>$D2="超还"</formula>
    </cfRule>
    <cfRule type="expression" dxfId="4" priority="10">
      <formula>$D2="已清"</formula>
    </cfRule>
    <cfRule type="expression" dxfId="5" priority="12">
      <formula>$D2="部分未清"</formula>
    </cfRule>
    <cfRule type="expression" dxfId="6" priority="14">
      <formula>$D2="未还"</formula>
    </cfRule>
  </conditionalFormatting>
  <conditionalFormatting sqref="D3">
    <cfRule type="cellIs" dxfId="0" priority="1" operator="equal">
      <formula>"已清"</formula>
    </cfRule>
    <cfRule type="cellIs" dxfId="1" priority="3" operator="equal">
      <formula>"未还"</formula>
    </cfRule>
    <cfRule type="cellIs" dxfId="2" priority="5" operator="equal">
      <formula>"部分未清"</formula>
    </cfRule>
    <cfRule type="expression" dxfId="3" priority="7">
      <formula>$D3="超还"</formula>
    </cfRule>
    <cfRule type="expression" dxfId="4" priority="9">
      <formula>$D3="已清"</formula>
    </cfRule>
    <cfRule type="expression" dxfId="5" priority="11">
      <formula>$D3="部分未清"</formula>
    </cfRule>
    <cfRule type="expression" dxfId="6" priority="13">
      <formula>$D3="未还"</formula>
    </cfRule>
  </conditionalFormatting>
  <conditionalFormatting sqref="D4">
    <cfRule type="cellIs" dxfId="0" priority="18" operator="equal">
      <formula>"已清"</formula>
    </cfRule>
    <cfRule type="cellIs" dxfId="1" priority="24" operator="equal">
      <formula>"未还"</formula>
    </cfRule>
    <cfRule type="cellIs" dxfId="2" priority="30" operator="equal">
      <formula>"部分未清"</formula>
    </cfRule>
    <cfRule type="expression" dxfId="3" priority="36">
      <formula>$D4="超还"</formula>
    </cfRule>
    <cfRule type="expression" dxfId="4" priority="42">
      <formula>$D4="已清"</formula>
    </cfRule>
    <cfRule type="expression" dxfId="5" priority="48">
      <formula>$D4="部分未清"</formula>
    </cfRule>
    <cfRule type="expression" dxfId="6" priority="54">
      <formula>$D4="未还"</formula>
    </cfRule>
  </conditionalFormatting>
  <conditionalFormatting sqref="D5">
    <cfRule type="cellIs" dxfId="0" priority="17" operator="equal">
      <formula>"已清"</formula>
    </cfRule>
    <cfRule type="cellIs" dxfId="1" priority="23" operator="equal">
      <formula>"未还"</formula>
    </cfRule>
    <cfRule type="cellIs" dxfId="2" priority="29" operator="equal">
      <formula>"部分未清"</formula>
    </cfRule>
    <cfRule type="expression" dxfId="3" priority="35">
      <formula>$D5="超还"</formula>
    </cfRule>
    <cfRule type="expression" dxfId="4" priority="41">
      <formula>$D5="已清"</formula>
    </cfRule>
    <cfRule type="expression" dxfId="5" priority="47">
      <formula>$D5="部分未清"</formula>
    </cfRule>
    <cfRule type="expression" dxfId="6" priority="53">
      <formula>$D5="未还"</formula>
    </cfRule>
  </conditionalFormatting>
  <conditionalFormatting sqref="D6">
    <cfRule type="cellIs" dxfId="0" priority="16" operator="equal">
      <formula>"已清"</formula>
    </cfRule>
    <cfRule type="cellIs" dxfId="1" priority="22" operator="equal">
      <formula>"未还"</formula>
    </cfRule>
    <cfRule type="cellIs" dxfId="2" priority="28" operator="equal">
      <formula>"部分未清"</formula>
    </cfRule>
    <cfRule type="expression" dxfId="3" priority="34">
      <formula>$D6="超还"</formula>
    </cfRule>
    <cfRule type="expression" dxfId="4" priority="40">
      <formula>$D6="已清"</formula>
    </cfRule>
    <cfRule type="expression" dxfId="5" priority="46">
      <formula>$D6="部分未清"</formula>
    </cfRule>
    <cfRule type="expression" dxfId="6" priority="52">
      <formula>$D6="未还"</formula>
    </cfRule>
  </conditionalFormatting>
  <conditionalFormatting sqref="D7">
    <cfRule type="cellIs" dxfId="0" priority="15" operator="equal">
      <formula>"已清"</formula>
    </cfRule>
    <cfRule type="cellIs" dxfId="1" priority="21" operator="equal">
      <formula>"未还"</formula>
    </cfRule>
    <cfRule type="cellIs" dxfId="2" priority="27" operator="equal">
      <formula>"部分未清"</formula>
    </cfRule>
    <cfRule type="expression" dxfId="3" priority="33">
      <formula>$D7="超还"</formula>
    </cfRule>
    <cfRule type="expression" dxfId="4" priority="39">
      <formula>$D7="已清"</formula>
    </cfRule>
    <cfRule type="expression" dxfId="5" priority="45">
      <formula>$D7="部分未清"</formula>
    </cfRule>
    <cfRule type="expression" dxfId="6" priority="51">
      <formula>$D7="未还"</formula>
    </cfRule>
  </conditionalFormatting>
  <conditionalFormatting sqref="D8">
    <cfRule type="cellIs" dxfId="0" priority="135" operator="equal">
      <formula>"已清"</formula>
    </cfRule>
    <cfRule type="cellIs" dxfId="1" priority="215" operator="equal">
      <formula>"未还"</formula>
    </cfRule>
    <cfRule type="cellIs" dxfId="2" priority="295" operator="equal">
      <formula>"部分未清"</formula>
    </cfRule>
    <cfRule type="expression" dxfId="3" priority="375">
      <formula>$D8="超还"</formula>
    </cfRule>
    <cfRule type="expression" dxfId="4" priority="455">
      <formula>$D8="已清"</formula>
    </cfRule>
    <cfRule type="expression" dxfId="5" priority="535">
      <formula>$D8="部分未清"</formula>
    </cfRule>
    <cfRule type="expression" dxfId="6" priority="615">
      <formula>$D8="未还"</formula>
    </cfRule>
  </conditionalFormatting>
  <conditionalFormatting sqref="D9">
    <cfRule type="cellIs" dxfId="0" priority="134" operator="equal">
      <formula>"已清"</formula>
    </cfRule>
    <cfRule type="cellIs" dxfId="1" priority="214" operator="equal">
      <formula>"未还"</formula>
    </cfRule>
    <cfRule type="cellIs" dxfId="2" priority="294" operator="equal">
      <formula>"部分未清"</formula>
    </cfRule>
    <cfRule type="expression" dxfId="3" priority="374">
      <formula>$D9="超还"</formula>
    </cfRule>
    <cfRule type="expression" dxfId="4" priority="454">
      <formula>$D9="已清"</formula>
    </cfRule>
    <cfRule type="expression" dxfId="5" priority="534">
      <formula>$D9="部分未清"</formula>
    </cfRule>
    <cfRule type="expression" dxfId="6" priority="614">
      <formula>$D9="未还"</formula>
    </cfRule>
  </conditionalFormatting>
  <conditionalFormatting sqref="D10">
    <cfRule type="cellIs" dxfId="0" priority="133" operator="equal">
      <formula>"已清"</formula>
    </cfRule>
    <cfRule type="cellIs" dxfId="1" priority="213" operator="equal">
      <formula>"未还"</formula>
    </cfRule>
    <cfRule type="cellIs" dxfId="2" priority="293" operator="equal">
      <formula>"部分未清"</formula>
    </cfRule>
    <cfRule type="expression" dxfId="3" priority="373">
      <formula>$D10="超还"</formula>
    </cfRule>
    <cfRule type="expression" dxfId="4" priority="453">
      <formula>$D10="已清"</formula>
    </cfRule>
    <cfRule type="expression" dxfId="5" priority="533">
      <formula>$D10="部分未清"</formula>
    </cfRule>
    <cfRule type="expression" dxfId="6" priority="613">
      <formula>$D10="未还"</formula>
    </cfRule>
  </conditionalFormatting>
  <conditionalFormatting sqref="D11">
    <cfRule type="cellIs" dxfId="0" priority="132" operator="equal">
      <formula>"已清"</formula>
    </cfRule>
    <cfRule type="cellIs" dxfId="1" priority="212" operator="equal">
      <formula>"未还"</formula>
    </cfRule>
    <cfRule type="cellIs" dxfId="2" priority="292" operator="equal">
      <formula>"部分未清"</formula>
    </cfRule>
    <cfRule type="expression" dxfId="3" priority="372">
      <formula>$D11="超还"</formula>
    </cfRule>
    <cfRule type="expression" dxfId="4" priority="452">
      <formula>$D11="已清"</formula>
    </cfRule>
    <cfRule type="expression" dxfId="5" priority="532">
      <formula>$D11="部分未清"</formula>
    </cfRule>
    <cfRule type="expression" dxfId="6" priority="612">
      <formula>$D11="未还"</formula>
    </cfRule>
  </conditionalFormatting>
  <conditionalFormatting sqref="D12">
    <cfRule type="cellIs" dxfId="0" priority="131" operator="equal">
      <formula>"已清"</formula>
    </cfRule>
    <cfRule type="cellIs" dxfId="1" priority="211" operator="equal">
      <formula>"未还"</formula>
    </cfRule>
    <cfRule type="cellIs" dxfId="2" priority="291" operator="equal">
      <formula>"部分未清"</formula>
    </cfRule>
    <cfRule type="expression" dxfId="3" priority="371">
      <formula>$D12="超还"</formula>
    </cfRule>
    <cfRule type="expression" dxfId="4" priority="451">
      <formula>$D12="已清"</formula>
    </cfRule>
    <cfRule type="expression" dxfId="5" priority="531">
      <formula>$D12="部分未清"</formula>
    </cfRule>
    <cfRule type="expression" dxfId="6" priority="611">
      <formula>$D12="未还"</formula>
    </cfRule>
  </conditionalFormatting>
  <conditionalFormatting sqref="D13">
    <cfRule type="cellIs" dxfId="0" priority="130" operator="equal">
      <formula>"已清"</formula>
    </cfRule>
    <cfRule type="cellIs" dxfId="1" priority="210" operator="equal">
      <formula>"未还"</formula>
    </cfRule>
    <cfRule type="cellIs" dxfId="2" priority="290" operator="equal">
      <formula>"部分未清"</formula>
    </cfRule>
    <cfRule type="expression" dxfId="3" priority="370">
      <formula>$D13="超还"</formula>
    </cfRule>
    <cfRule type="expression" dxfId="4" priority="450">
      <formula>$D13="已清"</formula>
    </cfRule>
    <cfRule type="expression" dxfId="5" priority="530">
      <formula>$D13="部分未清"</formula>
    </cfRule>
    <cfRule type="expression" dxfId="6" priority="610">
      <formula>$D13="未还"</formula>
    </cfRule>
  </conditionalFormatting>
  <conditionalFormatting sqref="D14">
    <cfRule type="cellIs" dxfId="0" priority="129" operator="equal">
      <formula>"已清"</formula>
    </cfRule>
    <cfRule type="cellIs" dxfId="1" priority="209" operator="equal">
      <formula>"未还"</formula>
    </cfRule>
    <cfRule type="cellIs" dxfId="2" priority="289" operator="equal">
      <formula>"部分未清"</formula>
    </cfRule>
    <cfRule type="expression" dxfId="3" priority="369">
      <formula>$D14="超还"</formula>
    </cfRule>
    <cfRule type="expression" dxfId="4" priority="449">
      <formula>$D14="已清"</formula>
    </cfRule>
    <cfRule type="expression" dxfId="5" priority="529">
      <formula>$D14="部分未清"</formula>
    </cfRule>
    <cfRule type="expression" dxfId="6" priority="609">
      <formula>$D14="未还"</formula>
    </cfRule>
  </conditionalFormatting>
  <conditionalFormatting sqref="D15">
    <cfRule type="cellIs" dxfId="0" priority="128" operator="equal">
      <formula>"已清"</formula>
    </cfRule>
    <cfRule type="cellIs" dxfId="1" priority="208" operator="equal">
      <formula>"未还"</formula>
    </cfRule>
    <cfRule type="cellIs" dxfId="2" priority="288" operator="equal">
      <formula>"部分未清"</formula>
    </cfRule>
    <cfRule type="expression" dxfId="3" priority="368">
      <formula>$D15="超还"</formula>
    </cfRule>
    <cfRule type="expression" dxfId="4" priority="448">
      <formula>$D15="已清"</formula>
    </cfRule>
    <cfRule type="expression" dxfId="5" priority="528">
      <formula>$D15="部分未清"</formula>
    </cfRule>
    <cfRule type="expression" dxfId="6" priority="608">
      <formula>$D15="未还"</formula>
    </cfRule>
  </conditionalFormatting>
  <conditionalFormatting sqref="D16">
    <cfRule type="cellIs" dxfId="0" priority="127" operator="equal">
      <formula>"已清"</formula>
    </cfRule>
    <cfRule type="cellIs" dxfId="1" priority="207" operator="equal">
      <formula>"未还"</formula>
    </cfRule>
    <cfRule type="cellIs" dxfId="2" priority="287" operator="equal">
      <formula>"部分未清"</formula>
    </cfRule>
    <cfRule type="expression" dxfId="3" priority="367">
      <formula>$D16="超还"</formula>
    </cfRule>
    <cfRule type="expression" dxfId="4" priority="447">
      <formula>$D16="已清"</formula>
    </cfRule>
    <cfRule type="expression" dxfId="5" priority="527">
      <formula>$D16="部分未清"</formula>
    </cfRule>
    <cfRule type="expression" dxfId="6" priority="607">
      <formula>$D16="未还"</formula>
    </cfRule>
  </conditionalFormatting>
  <conditionalFormatting sqref="D17">
    <cfRule type="cellIs" dxfId="0" priority="126" operator="equal">
      <formula>"已清"</formula>
    </cfRule>
    <cfRule type="cellIs" dxfId="1" priority="206" operator="equal">
      <formula>"未还"</formula>
    </cfRule>
    <cfRule type="cellIs" dxfId="2" priority="286" operator="equal">
      <formula>"部分未清"</formula>
    </cfRule>
    <cfRule type="expression" dxfId="3" priority="366">
      <formula>$D17="超还"</formula>
    </cfRule>
    <cfRule type="expression" dxfId="4" priority="446">
      <formula>$D17="已清"</formula>
    </cfRule>
    <cfRule type="expression" dxfId="5" priority="526">
      <formula>$D17="部分未清"</formula>
    </cfRule>
    <cfRule type="expression" dxfId="6" priority="606">
      <formula>$D17="未还"</formula>
    </cfRule>
  </conditionalFormatting>
  <conditionalFormatting sqref="D18">
    <cfRule type="cellIs" dxfId="0" priority="125" operator="equal">
      <formula>"已清"</formula>
    </cfRule>
    <cfRule type="cellIs" dxfId="1" priority="205" operator="equal">
      <formula>"未还"</formula>
    </cfRule>
    <cfRule type="cellIs" dxfId="2" priority="285" operator="equal">
      <formula>"部分未清"</formula>
    </cfRule>
    <cfRule type="expression" dxfId="3" priority="365">
      <formula>$D18="超还"</formula>
    </cfRule>
    <cfRule type="expression" dxfId="4" priority="445">
      <formula>$D18="已清"</formula>
    </cfRule>
    <cfRule type="expression" dxfId="5" priority="525">
      <formula>$D18="部分未清"</formula>
    </cfRule>
    <cfRule type="expression" dxfId="6" priority="605">
      <formula>$D18="未还"</formula>
    </cfRule>
  </conditionalFormatting>
  <conditionalFormatting sqref="D19">
    <cfRule type="cellIs" dxfId="0" priority="124" operator="equal">
      <formula>"已清"</formula>
    </cfRule>
    <cfRule type="cellIs" dxfId="1" priority="204" operator="equal">
      <formula>"未还"</formula>
    </cfRule>
    <cfRule type="cellIs" dxfId="2" priority="284" operator="equal">
      <formula>"部分未清"</formula>
    </cfRule>
    <cfRule type="expression" dxfId="3" priority="364">
      <formula>$D19="超还"</formula>
    </cfRule>
    <cfRule type="expression" dxfId="4" priority="444">
      <formula>$D19="已清"</formula>
    </cfRule>
    <cfRule type="expression" dxfId="5" priority="524">
      <formula>$D19="部分未清"</formula>
    </cfRule>
    <cfRule type="expression" dxfId="6" priority="604">
      <formula>$D19="未还"</formula>
    </cfRule>
  </conditionalFormatting>
  <conditionalFormatting sqref="D20">
    <cfRule type="cellIs" dxfId="0" priority="123" operator="equal">
      <formula>"已清"</formula>
    </cfRule>
    <cfRule type="cellIs" dxfId="1" priority="203" operator="equal">
      <formula>"未还"</formula>
    </cfRule>
    <cfRule type="cellIs" dxfId="2" priority="283" operator="equal">
      <formula>"部分未清"</formula>
    </cfRule>
    <cfRule type="expression" dxfId="3" priority="363">
      <formula>$D20="超还"</formula>
    </cfRule>
    <cfRule type="expression" dxfId="4" priority="443">
      <formula>$D20="已清"</formula>
    </cfRule>
    <cfRule type="expression" dxfId="5" priority="523">
      <formula>$D20="部分未清"</formula>
    </cfRule>
    <cfRule type="expression" dxfId="6" priority="603">
      <formula>$D20="未还"</formula>
    </cfRule>
  </conditionalFormatting>
  <conditionalFormatting sqref="D21">
    <cfRule type="cellIs" dxfId="0" priority="122" operator="equal">
      <formula>"已清"</formula>
    </cfRule>
    <cfRule type="cellIs" dxfId="1" priority="202" operator="equal">
      <formula>"未还"</formula>
    </cfRule>
    <cfRule type="cellIs" dxfId="2" priority="282" operator="equal">
      <formula>"部分未清"</formula>
    </cfRule>
    <cfRule type="expression" dxfId="3" priority="362">
      <formula>$D21="超还"</formula>
    </cfRule>
    <cfRule type="expression" dxfId="4" priority="442">
      <formula>$D21="已清"</formula>
    </cfRule>
    <cfRule type="expression" dxfId="5" priority="522">
      <formula>$D21="部分未清"</formula>
    </cfRule>
    <cfRule type="expression" dxfId="6" priority="602">
      <formula>$D21="未还"</formula>
    </cfRule>
  </conditionalFormatting>
  <conditionalFormatting sqref="D22">
    <cfRule type="cellIs" dxfId="0" priority="121" operator="equal">
      <formula>"已清"</formula>
    </cfRule>
    <cfRule type="cellIs" dxfId="1" priority="201" operator="equal">
      <formula>"未还"</formula>
    </cfRule>
    <cfRule type="cellIs" dxfId="2" priority="281" operator="equal">
      <formula>"部分未清"</formula>
    </cfRule>
    <cfRule type="expression" dxfId="3" priority="361">
      <formula>$D22="超还"</formula>
    </cfRule>
    <cfRule type="expression" dxfId="4" priority="441">
      <formula>$D22="已清"</formula>
    </cfRule>
    <cfRule type="expression" dxfId="5" priority="521">
      <formula>$D22="部分未清"</formula>
    </cfRule>
    <cfRule type="expression" dxfId="6" priority="601">
      <formula>$D22="未还"</formula>
    </cfRule>
  </conditionalFormatting>
  <conditionalFormatting sqref="D23">
    <cfRule type="cellIs" dxfId="0" priority="120" operator="equal">
      <formula>"已清"</formula>
    </cfRule>
    <cfRule type="cellIs" dxfId="1" priority="200" operator="equal">
      <formula>"未还"</formula>
    </cfRule>
    <cfRule type="cellIs" dxfId="2" priority="280" operator="equal">
      <formula>"部分未清"</formula>
    </cfRule>
    <cfRule type="expression" dxfId="3" priority="360">
      <formula>$D23="超还"</formula>
    </cfRule>
    <cfRule type="expression" dxfId="4" priority="440">
      <formula>$D23="已清"</formula>
    </cfRule>
    <cfRule type="expression" dxfId="5" priority="520">
      <formula>$D23="部分未清"</formula>
    </cfRule>
    <cfRule type="expression" dxfId="6" priority="600">
      <formula>$D23="未还"</formula>
    </cfRule>
  </conditionalFormatting>
  <conditionalFormatting sqref="D24">
    <cfRule type="cellIs" dxfId="0" priority="119" operator="equal">
      <formula>"已清"</formula>
    </cfRule>
    <cfRule type="cellIs" dxfId="1" priority="199" operator="equal">
      <formula>"未还"</formula>
    </cfRule>
    <cfRule type="cellIs" dxfId="2" priority="279" operator="equal">
      <formula>"部分未清"</formula>
    </cfRule>
    <cfRule type="expression" dxfId="3" priority="359">
      <formula>$D24="超还"</formula>
    </cfRule>
    <cfRule type="expression" dxfId="4" priority="439">
      <formula>$D24="已清"</formula>
    </cfRule>
    <cfRule type="expression" dxfId="5" priority="519">
      <formula>$D24="部分未清"</formula>
    </cfRule>
    <cfRule type="expression" dxfId="6" priority="599">
      <formula>$D24="未还"</formula>
    </cfRule>
  </conditionalFormatting>
  <conditionalFormatting sqref="D25">
    <cfRule type="cellIs" dxfId="0" priority="118" operator="equal">
      <formula>"已清"</formula>
    </cfRule>
    <cfRule type="cellIs" dxfId="1" priority="198" operator="equal">
      <formula>"未还"</formula>
    </cfRule>
    <cfRule type="cellIs" dxfId="2" priority="278" operator="equal">
      <formula>"部分未清"</formula>
    </cfRule>
    <cfRule type="expression" dxfId="3" priority="358">
      <formula>$D25="超还"</formula>
    </cfRule>
    <cfRule type="expression" dxfId="4" priority="438">
      <formula>$D25="已清"</formula>
    </cfRule>
    <cfRule type="expression" dxfId="5" priority="518">
      <formula>$D25="部分未清"</formula>
    </cfRule>
    <cfRule type="expression" dxfId="6" priority="598">
      <formula>$D25="未还"</formula>
    </cfRule>
  </conditionalFormatting>
  <conditionalFormatting sqref="D26">
    <cfRule type="cellIs" dxfId="0" priority="117" operator="equal">
      <formula>"已清"</formula>
    </cfRule>
    <cfRule type="cellIs" dxfId="1" priority="197" operator="equal">
      <formula>"未还"</formula>
    </cfRule>
    <cfRule type="cellIs" dxfId="2" priority="277" operator="equal">
      <formula>"部分未清"</formula>
    </cfRule>
    <cfRule type="expression" dxfId="3" priority="357">
      <formula>$D26="超还"</formula>
    </cfRule>
    <cfRule type="expression" dxfId="4" priority="437">
      <formula>$D26="已清"</formula>
    </cfRule>
    <cfRule type="expression" dxfId="5" priority="517">
      <formula>$D26="部分未清"</formula>
    </cfRule>
    <cfRule type="expression" dxfId="6" priority="597">
      <formula>$D26="未还"</formula>
    </cfRule>
  </conditionalFormatting>
  <conditionalFormatting sqref="D27">
    <cfRule type="cellIs" dxfId="0" priority="116" operator="equal">
      <formula>"已清"</formula>
    </cfRule>
    <cfRule type="cellIs" dxfId="1" priority="196" operator="equal">
      <formula>"未还"</formula>
    </cfRule>
    <cfRule type="cellIs" dxfId="2" priority="276" operator="equal">
      <formula>"部分未清"</formula>
    </cfRule>
    <cfRule type="expression" dxfId="3" priority="356">
      <formula>$D27="超还"</formula>
    </cfRule>
    <cfRule type="expression" dxfId="4" priority="436">
      <formula>$D27="已清"</formula>
    </cfRule>
    <cfRule type="expression" dxfId="5" priority="516">
      <formula>$D27="部分未清"</formula>
    </cfRule>
    <cfRule type="expression" dxfId="6" priority="596">
      <formula>$D27="未还"</formula>
    </cfRule>
  </conditionalFormatting>
  <conditionalFormatting sqref="D28">
    <cfRule type="cellIs" dxfId="0" priority="115" operator="equal">
      <formula>"已清"</formula>
    </cfRule>
    <cfRule type="cellIs" dxfId="1" priority="195" operator="equal">
      <formula>"未还"</formula>
    </cfRule>
    <cfRule type="cellIs" dxfId="2" priority="275" operator="equal">
      <formula>"部分未清"</formula>
    </cfRule>
    <cfRule type="expression" dxfId="3" priority="355">
      <formula>$D28="超还"</formula>
    </cfRule>
    <cfRule type="expression" dxfId="4" priority="435">
      <formula>$D28="已清"</formula>
    </cfRule>
    <cfRule type="expression" dxfId="5" priority="515">
      <formula>$D28="部分未清"</formula>
    </cfRule>
    <cfRule type="expression" dxfId="6" priority="595">
      <formula>$D28="未还"</formula>
    </cfRule>
  </conditionalFormatting>
  <conditionalFormatting sqref="D29">
    <cfRule type="cellIs" dxfId="0" priority="114" operator="equal">
      <formula>"已清"</formula>
    </cfRule>
    <cfRule type="cellIs" dxfId="1" priority="194" operator="equal">
      <formula>"未还"</formula>
    </cfRule>
    <cfRule type="cellIs" dxfId="2" priority="274" operator="equal">
      <formula>"部分未清"</formula>
    </cfRule>
    <cfRule type="expression" dxfId="3" priority="354">
      <formula>$D29="超还"</formula>
    </cfRule>
    <cfRule type="expression" dxfId="4" priority="434">
      <formula>$D29="已清"</formula>
    </cfRule>
    <cfRule type="expression" dxfId="5" priority="514">
      <formula>$D29="部分未清"</formula>
    </cfRule>
    <cfRule type="expression" dxfId="6" priority="594">
      <formula>$D29="未还"</formula>
    </cfRule>
  </conditionalFormatting>
  <conditionalFormatting sqref="D30">
    <cfRule type="cellIs" dxfId="0" priority="113" operator="equal">
      <formula>"已清"</formula>
    </cfRule>
    <cfRule type="cellIs" dxfId="1" priority="193" operator="equal">
      <formula>"未还"</formula>
    </cfRule>
    <cfRule type="cellIs" dxfId="2" priority="273" operator="equal">
      <formula>"部分未清"</formula>
    </cfRule>
    <cfRule type="expression" dxfId="3" priority="353">
      <formula>$D30="超还"</formula>
    </cfRule>
    <cfRule type="expression" dxfId="4" priority="433">
      <formula>$D30="已清"</formula>
    </cfRule>
    <cfRule type="expression" dxfId="5" priority="513">
      <formula>$D30="部分未清"</formula>
    </cfRule>
    <cfRule type="expression" dxfId="6" priority="593">
      <formula>$D30="未还"</formula>
    </cfRule>
  </conditionalFormatting>
  <conditionalFormatting sqref="D31">
    <cfRule type="cellIs" dxfId="0" priority="112" operator="equal">
      <formula>"已清"</formula>
    </cfRule>
    <cfRule type="cellIs" dxfId="1" priority="192" operator="equal">
      <formula>"未还"</formula>
    </cfRule>
    <cfRule type="cellIs" dxfId="2" priority="272" operator="equal">
      <formula>"部分未清"</formula>
    </cfRule>
    <cfRule type="expression" dxfId="3" priority="352">
      <formula>$D31="超还"</formula>
    </cfRule>
    <cfRule type="expression" dxfId="4" priority="432">
      <formula>$D31="已清"</formula>
    </cfRule>
    <cfRule type="expression" dxfId="5" priority="512">
      <formula>$D31="部分未清"</formula>
    </cfRule>
    <cfRule type="expression" dxfId="6" priority="592">
      <formula>$D31="未还"</formula>
    </cfRule>
  </conditionalFormatting>
  <conditionalFormatting sqref="D32">
    <cfRule type="cellIs" dxfId="0" priority="111" operator="equal">
      <formula>"已清"</formula>
    </cfRule>
    <cfRule type="cellIs" dxfId="1" priority="191" operator="equal">
      <formula>"未还"</formula>
    </cfRule>
    <cfRule type="cellIs" dxfId="2" priority="271" operator="equal">
      <formula>"部分未清"</formula>
    </cfRule>
    <cfRule type="expression" dxfId="3" priority="351">
      <formula>$D32="超还"</formula>
    </cfRule>
    <cfRule type="expression" dxfId="4" priority="431">
      <formula>$D32="已清"</formula>
    </cfRule>
    <cfRule type="expression" dxfId="5" priority="511">
      <formula>$D32="部分未清"</formula>
    </cfRule>
    <cfRule type="expression" dxfId="6" priority="591">
      <formula>$D32="未还"</formula>
    </cfRule>
  </conditionalFormatting>
  <conditionalFormatting sqref="D33">
    <cfRule type="cellIs" dxfId="0" priority="110" operator="equal">
      <formula>"已清"</formula>
    </cfRule>
    <cfRule type="cellIs" dxfId="1" priority="190" operator="equal">
      <formula>"未还"</formula>
    </cfRule>
    <cfRule type="cellIs" dxfId="2" priority="270" operator="equal">
      <formula>"部分未清"</formula>
    </cfRule>
    <cfRule type="expression" dxfId="3" priority="350">
      <formula>$D33="超还"</formula>
    </cfRule>
    <cfRule type="expression" dxfId="4" priority="430">
      <formula>$D33="已清"</formula>
    </cfRule>
    <cfRule type="expression" dxfId="5" priority="510">
      <formula>$D33="部分未清"</formula>
    </cfRule>
    <cfRule type="expression" dxfId="6" priority="590">
      <formula>$D33="未还"</formula>
    </cfRule>
  </conditionalFormatting>
  <conditionalFormatting sqref="D34">
    <cfRule type="cellIs" dxfId="0" priority="109" operator="equal">
      <formula>"已清"</formula>
    </cfRule>
    <cfRule type="cellIs" dxfId="1" priority="189" operator="equal">
      <formula>"未还"</formula>
    </cfRule>
    <cfRule type="cellIs" dxfId="2" priority="269" operator="equal">
      <formula>"部分未清"</formula>
    </cfRule>
    <cfRule type="expression" dxfId="3" priority="349">
      <formula>$D34="超还"</formula>
    </cfRule>
    <cfRule type="expression" dxfId="4" priority="429">
      <formula>$D34="已清"</formula>
    </cfRule>
    <cfRule type="expression" dxfId="5" priority="509">
      <formula>$D34="部分未清"</formula>
    </cfRule>
    <cfRule type="expression" dxfId="6" priority="589">
      <formula>$D34="未还"</formula>
    </cfRule>
  </conditionalFormatting>
  <conditionalFormatting sqref="D35">
    <cfRule type="cellIs" dxfId="0" priority="108" operator="equal">
      <formula>"已清"</formula>
    </cfRule>
    <cfRule type="cellIs" dxfId="1" priority="188" operator="equal">
      <formula>"未还"</formula>
    </cfRule>
    <cfRule type="cellIs" dxfId="2" priority="268" operator="equal">
      <formula>"部分未清"</formula>
    </cfRule>
    <cfRule type="expression" dxfId="3" priority="348">
      <formula>$D35="超还"</formula>
    </cfRule>
    <cfRule type="expression" dxfId="4" priority="428">
      <formula>$D35="已清"</formula>
    </cfRule>
    <cfRule type="expression" dxfId="5" priority="508">
      <formula>$D35="部分未清"</formula>
    </cfRule>
    <cfRule type="expression" dxfId="6" priority="588">
      <formula>$D35="未还"</formula>
    </cfRule>
  </conditionalFormatting>
  <conditionalFormatting sqref="D36">
    <cfRule type="cellIs" dxfId="0" priority="107" operator="equal">
      <formula>"已清"</formula>
    </cfRule>
    <cfRule type="cellIs" dxfId="1" priority="187" operator="equal">
      <formula>"未还"</formula>
    </cfRule>
    <cfRule type="cellIs" dxfId="2" priority="267" operator="equal">
      <formula>"部分未清"</formula>
    </cfRule>
    <cfRule type="expression" dxfId="3" priority="347">
      <formula>$D36="超还"</formula>
    </cfRule>
    <cfRule type="expression" dxfId="4" priority="427">
      <formula>$D36="已清"</formula>
    </cfRule>
    <cfRule type="expression" dxfId="5" priority="507">
      <formula>$D36="部分未清"</formula>
    </cfRule>
    <cfRule type="expression" dxfId="6" priority="587">
      <formula>$D36="未还"</formula>
    </cfRule>
  </conditionalFormatting>
  <conditionalFormatting sqref="D37">
    <cfRule type="cellIs" dxfId="0" priority="106" operator="equal">
      <formula>"已清"</formula>
    </cfRule>
    <cfRule type="cellIs" dxfId="1" priority="186" operator="equal">
      <formula>"未还"</formula>
    </cfRule>
    <cfRule type="cellIs" dxfId="2" priority="266" operator="equal">
      <formula>"部分未清"</formula>
    </cfRule>
    <cfRule type="expression" dxfId="3" priority="346">
      <formula>$D37="超还"</formula>
    </cfRule>
    <cfRule type="expression" dxfId="4" priority="426">
      <formula>$D37="已清"</formula>
    </cfRule>
    <cfRule type="expression" dxfId="5" priority="506">
      <formula>$D37="部分未清"</formula>
    </cfRule>
    <cfRule type="expression" dxfId="6" priority="586">
      <formula>$D37="未还"</formula>
    </cfRule>
  </conditionalFormatting>
  <conditionalFormatting sqref="D38">
    <cfRule type="cellIs" dxfId="0" priority="105" operator="equal">
      <formula>"已清"</formula>
    </cfRule>
    <cfRule type="cellIs" dxfId="1" priority="185" operator="equal">
      <formula>"未还"</formula>
    </cfRule>
    <cfRule type="cellIs" dxfId="2" priority="265" operator="equal">
      <formula>"部分未清"</formula>
    </cfRule>
    <cfRule type="expression" dxfId="3" priority="345">
      <formula>$D38="超还"</formula>
    </cfRule>
    <cfRule type="expression" dxfId="4" priority="425">
      <formula>$D38="已清"</formula>
    </cfRule>
    <cfRule type="expression" dxfId="5" priority="505">
      <formula>$D38="部分未清"</formula>
    </cfRule>
    <cfRule type="expression" dxfId="6" priority="585">
      <formula>$D38="未还"</formula>
    </cfRule>
  </conditionalFormatting>
  <conditionalFormatting sqref="D39">
    <cfRule type="cellIs" dxfId="0" priority="104" operator="equal">
      <formula>"已清"</formula>
    </cfRule>
    <cfRule type="cellIs" dxfId="1" priority="184" operator="equal">
      <formula>"未还"</formula>
    </cfRule>
    <cfRule type="cellIs" dxfId="2" priority="264" operator="equal">
      <formula>"部分未清"</formula>
    </cfRule>
    <cfRule type="expression" dxfId="3" priority="344">
      <formula>$D39="超还"</formula>
    </cfRule>
    <cfRule type="expression" dxfId="4" priority="424">
      <formula>$D39="已清"</formula>
    </cfRule>
    <cfRule type="expression" dxfId="5" priority="504">
      <formula>$D39="部分未清"</formula>
    </cfRule>
    <cfRule type="expression" dxfId="6" priority="584">
      <formula>$D39="未还"</formula>
    </cfRule>
  </conditionalFormatting>
  <conditionalFormatting sqref="D40">
    <cfRule type="cellIs" dxfId="0" priority="103" operator="equal">
      <formula>"已清"</formula>
    </cfRule>
    <cfRule type="cellIs" dxfId="1" priority="183" operator="equal">
      <formula>"未还"</formula>
    </cfRule>
    <cfRule type="cellIs" dxfId="2" priority="263" operator="equal">
      <formula>"部分未清"</formula>
    </cfRule>
    <cfRule type="expression" dxfId="3" priority="343">
      <formula>$D40="超还"</formula>
    </cfRule>
    <cfRule type="expression" dxfId="4" priority="423">
      <formula>$D40="已清"</formula>
    </cfRule>
    <cfRule type="expression" dxfId="5" priority="503">
      <formula>$D40="部分未清"</formula>
    </cfRule>
    <cfRule type="expression" dxfId="6" priority="583">
      <formula>$D40="未还"</formula>
    </cfRule>
  </conditionalFormatting>
  <conditionalFormatting sqref="D41">
    <cfRule type="cellIs" dxfId="0" priority="102" operator="equal">
      <formula>"已清"</formula>
    </cfRule>
    <cfRule type="cellIs" dxfId="1" priority="182" operator="equal">
      <formula>"未还"</formula>
    </cfRule>
    <cfRule type="cellIs" dxfId="2" priority="262" operator="equal">
      <formula>"部分未清"</formula>
    </cfRule>
    <cfRule type="expression" dxfId="3" priority="342">
      <formula>$D41="超还"</formula>
    </cfRule>
    <cfRule type="expression" dxfId="4" priority="422">
      <formula>$D41="已清"</formula>
    </cfRule>
    <cfRule type="expression" dxfId="5" priority="502">
      <formula>$D41="部分未清"</formula>
    </cfRule>
    <cfRule type="expression" dxfId="6" priority="582">
      <formula>$D41="未还"</formula>
    </cfRule>
  </conditionalFormatting>
  <conditionalFormatting sqref="D42">
    <cfRule type="cellIs" dxfId="0" priority="101" operator="equal">
      <formula>"已清"</formula>
    </cfRule>
    <cfRule type="cellIs" dxfId="1" priority="181" operator="equal">
      <formula>"未还"</formula>
    </cfRule>
    <cfRule type="cellIs" dxfId="2" priority="261" operator="equal">
      <formula>"部分未清"</formula>
    </cfRule>
    <cfRule type="expression" dxfId="3" priority="341">
      <formula>$D42="超还"</formula>
    </cfRule>
    <cfRule type="expression" dxfId="4" priority="421">
      <formula>$D42="已清"</formula>
    </cfRule>
    <cfRule type="expression" dxfId="5" priority="501">
      <formula>$D42="部分未清"</formula>
    </cfRule>
    <cfRule type="expression" dxfId="6" priority="581">
      <formula>$D42="未还"</formula>
    </cfRule>
  </conditionalFormatting>
  <conditionalFormatting sqref="D43">
    <cfRule type="cellIs" dxfId="0" priority="100" operator="equal">
      <formula>"已清"</formula>
    </cfRule>
    <cfRule type="cellIs" dxfId="1" priority="180" operator="equal">
      <formula>"未还"</formula>
    </cfRule>
    <cfRule type="cellIs" dxfId="2" priority="260" operator="equal">
      <formula>"部分未清"</formula>
    </cfRule>
    <cfRule type="expression" dxfId="3" priority="340">
      <formula>$D43="超还"</formula>
    </cfRule>
    <cfRule type="expression" dxfId="4" priority="420">
      <formula>$D43="已清"</formula>
    </cfRule>
    <cfRule type="expression" dxfId="5" priority="500">
      <formula>$D43="部分未清"</formula>
    </cfRule>
    <cfRule type="expression" dxfId="6" priority="580">
      <formula>$D43="未还"</formula>
    </cfRule>
  </conditionalFormatting>
  <conditionalFormatting sqref="D44">
    <cfRule type="cellIs" dxfId="0" priority="99" operator="equal">
      <formula>"已清"</formula>
    </cfRule>
    <cfRule type="cellIs" dxfId="1" priority="179" operator="equal">
      <formula>"未还"</formula>
    </cfRule>
    <cfRule type="cellIs" dxfId="2" priority="259" operator="equal">
      <formula>"部分未清"</formula>
    </cfRule>
    <cfRule type="expression" dxfId="3" priority="339">
      <formula>$D44="超还"</formula>
    </cfRule>
    <cfRule type="expression" dxfId="4" priority="419">
      <formula>$D44="已清"</formula>
    </cfRule>
    <cfRule type="expression" dxfId="5" priority="499">
      <formula>$D44="部分未清"</formula>
    </cfRule>
    <cfRule type="expression" dxfId="6" priority="579">
      <formula>$D44="未还"</formula>
    </cfRule>
  </conditionalFormatting>
  <conditionalFormatting sqref="D45">
    <cfRule type="cellIs" dxfId="0" priority="98" operator="equal">
      <formula>"已清"</formula>
    </cfRule>
    <cfRule type="cellIs" dxfId="1" priority="178" operator="equal">
      <formula>"未还"</formula>
    </cfRule>
    <cfRule type="cellIs" dxfId="2" priority="258" operator="equal">
      <formula>"部分未清"</formula>
    </cfRule>
    <cfRule type="expression" dxfId="3" priority="338">
      <formula>$D45="超还"</formula>
    </cfRule>
    <cfRule type="expression" dxfId="4" priority="418">
      <formula>$D45="已清"</formula>
    </cfRule>
    <cfRule type="expression" dxfId="5" priority="498">
      <formula>$D45="部分未清"</formula>
    </cfRule>
    <cfRule type="expression" dxfId="6" priority="578">
      <formula>$D45="未还"</formula>
    </cfRule>
  </conditionalFormatting>
  <conditionalFormatting sqref="D46">
    <cfRule type="cellIs" dxfId="0" priority="97" operator="equal">
      <formula>"已清"</formula>
    </cfRule>
    <cfRule type="cellIs" dxfId="1" priority="177" operator="equal">
      <formula>"未还"</formula>
    </cfRule>
    <cfRule type="cellIs" dxfId="2" priority="257" operator="equal">
      <formula>"部分未清"</formula>
    </cfRule>
    <cfRule type="expression" dxfId="3" priority="337">
      <formula>$D46="超还"</formula>
    </cfRule>
    <cfRule type="expression" dxfId="4" priority="417">
      <formula>$D46="已清"</formula>
    </cfRule>
    <cfRule type="expression" dxfId="5" priority="497">
      <formula>$D46="部分未清"</formula>
    </cfRule>
    <cfRule type="expression" dxfId="6" priority="577">
      <formula>$D46="未还"</formula>
    </cfRule>
  </conditionalFormatting>
  <conditionalFormatting sqref="D47">
    <cfRule type="cellIs" dxfId="0" priority="96" operator="equal">
      <formula>"已清"</formula>
    </cfRule>
    <cfRule type="cellIs" dxfId="1" priority="176" operator="equal">
      <formula>"未还"</formula>
    </cfRule>
    <cfRule type="cellIs" dxfId="2" priority="256" operator="equal">
      <formula>"部分未清"</formula>
    </cfRule>
    <cfRule type="expression" dxfId="3" priority="336">
      <formula>$D47="超还"</formula>
    </cfRule>
    <cfRule type="expression" dxfId="4" priority="416">
      <formula>$D47="已清"</formula>
    </cfRule>
    <cfRule type="expression" dxfId="5" priority="496">
      <formula>$D47="部分未清"</formula>
    </cfRule>
    <cfRule type="expression" dxfId="6" priority="576">
      <formula>$D47="未还"</formula>
    </cfRule>
  </conditionalFormatting>
  <conditionalFormatting sqref="D48">
    <cfRule type="cellIs" dxfId="0" priority="95" operator="equal">
      <formula>"已清"</formula>
    </cfRule>
    <cfRule type="cellIs" dxfId="1" priority="175" operator="equal">
      <formula>"未还"</formula>
    </cfRule>
    <cfRule type="cellIs" dxfId="2" priority="255" operator="equal">
      <formula>"部分未清"</formula>
    </cfRule>
    <cfRule type="expression" dxfId="3" priority="335">
      <formula>$D48="超还"</formula>
    </cfRule>
    <cfRule type="expression" dxfId="4" priority="415">
      <formula>$D48="已清"</formula>
    </cfRule>
    <cfRule type="expression" dxfId="5" priority="495">
      <formula>$D48="部分未清"</formula>
    </cfRule>
    <cfRule type="expression" dxfId="6" priority="575">
      <formula>$D48="未还"</formula>
    </cfRule>
  </conditionalFormatting>
  <conditionalFormatting sqref="D49">
    <cfRule type="cellIs" dxfId="0" priority="94" operator="equal">
      <formula>"已清"</formula>
    </cfRule>
    <cfRule type="cellIs" dxfId="1" priority="174" operator="equal">
      <formula>"未还"</formula>
    </cfRule>
    <cfRule type="cellIs" dxfId="2" priority="254" operator="equal">
      <formula>"部分未清"</formula>
    </cfRule>
    <cfRule type="expression" dxfId="3" priority="334">
      <formula>$D49="超还"</formula>
    </cfRule>
    <cfRule type="expression" dxfId="4" priority="414">
      <formula>$D49="已清"</formula>
    </cfRule>
    <cfRule type="expression" dxfId="5" priority="494">
      <formula>$D49="部分未清"</formula>
    </cfRule>
    <cfRule type="expression" dxfId="6" priority="574">
      <formula>$D49="未还"</formula>
    </cfRule>
  </conditionalFormatting>
  <conditionalFormatting sqref="D50">
    <cfRule type="cellIs" dxfId="0" priority="93" operator="equal">
      <formula>"已清"</formula>
    </cfRule>
    <cfRule type="cellIs" dxfId="1" priority="173" operator="equal">
      <formula>"未还"</formula>
    </cfRule>
    <cfRule type="cellIs" dxfId="2" priority="253" operator="equal">
      <formula>"部分未清"</formula>
    </cfRule>
    <cfRule type="expression" dxfId="3" priority="333">
      <formula>$D50="超还"</formula>
    </cfRule>
    <cfRule type="expression" dxfId="4" priority="413">
      <formula>$D50="已清"</formula>
    </cfRule>
    <cfRule type="expression" dxfId="5" priority="493">
      <formula>$D50="部分未清"</formula>
    </cfRule>
    <cfRule type="expression" dxfId="6" priority="573">
      <formula>$D50="未还"</formula>
    </cfRule>
  </conditionalFormatting>
  <conditionalFormatting sqref="D51">
    <cfRule type="cellIs" dxfId="0" priority="92" operator="equal">
      <formula>"已清"</formula>
    </cfRule>
    <cfRule type="cellIs" dxfId="1" priority="172" operator="equal">
      <formula>"未还"</formula>
    </cfRule>
    <cfRule type="cellIs" dxfId="2" priority="252" operator="equal">
      <formula>"部分未清"</formula>
    </cfRule>
    <cfRule type="expression" dxfId="3" priority="332">
      <formula>$D51="超还"</formula>
    </cfRule>
    <cfRule type="expression" dxfId="4" priority="412">
      <formula>$D51="已清"</formula>
    </cfRule>
    <cfRule type="expression" dxfId="5" priority="492">
      <formula>$D51="部分未清"</formula>
    </cfRule>
    <cfRule type="expression" dxfId="6" priority="572">
      <formula>$D51="未还"</formula>
    </cfRule>
  </conditionalFormatting>
  <conditionalFormatting sqref="D52">
    <cfRule type="cellIs" dxfId="0" priority="91" operator="equal">
      <formula>"已清"</formula>
    </cfRule>
    <cfRule type="cellIs" dxfId="1" priority="171" operator="equal">
      <formula>"未还"</formula>
    </cfRule>
    <cfRule type="cellIs" dxfId="2" priority="251" operator="equal">
      <formula>"部分未清"</formula>
    </cfRule>
    <cfRule type="expression" dxfId="3" priority="331">
      <formula>$D52="超还"</formula>
    </cfRule>
    <cfRule type="expression" dxfId="4" priority="411">
      <formula>$D52="已清"</formula>
    </cfRule>
    <cfRule type="expression" dxfId="5" priority="491">
      <formula>$D52="部分未清"</formula>
    </cfRule>
    <cfRule type="expression" dxfId="6" priority="571">
      <formula>$D52="未还"</formula>
    </cfRule>
  </conditionalFormatting>
  <conditionalFormatting sqref="D53">
    <cfRule type="cellIs" dxfId="0" priority="90" operator="equal">
      <formula>"已清"</formula>
    </cfRule>
    <cfRule type="cellIs" dxfId="1" priority="170" operator="equal">
      <formula>"未还"</formula>
    </cfRule>
    <cfRule type="cellIs" dxfId="2" priority="250" operator="equal">
      <formula>"部分未清"</formula>
    </cfRule>
    <cfRule type="expression" dxfId="3" priority="330">
      <formula>$D53="超还"</formula>
    </cfRule>
    <cfRule type="expression" dxfId="4" priority="410">
      <formula>$D53="已清"</formula>
    </cfRule>
    <cfRule type="expression" dxfId="5" priority="490">
      <formula>$D53="部分未清"</formula>
    </cfRule>
    <cfRule type="expression" dxfId="6" priority="570">
      <formula>$D53="未还"</formula>
    </cfRule>
  </conditionalFormatting>
  <conditionalFormatting sqref="D54">
    <cfRule type="cellIs" dxfId="0" priority="89" operator="equal">
      <formula>"已清"</formula>
    </cfRule>
    <cfRule type="cellIs" dxfId="1" priority="169" operator="equal">
      <formula>"未还"</formula>
    </cfRule>
    <cfRule type="cellIs" dxfId="2" priority="249" operator="equal">
      <formula>"部分未清"</formula>
    </cfRule>
    <cfRule type="expression" dxfId="3" priority="329">
      <formula>$D54="超还"</formula>
    </cfRule>
    <cfRule type="expression" dxfId="4" priority="409">
      <formula>$D54="已清"</formula>
    </cfRule>
    <cfRule type="expression" dxfId="5" priority="489">
      <formula>$D54="部分未清"</formula>
    </cfRule>
    <cfRule type="expression" dxfId="6" priority="569">
      <formula>$D54="未还"</formula>
    </cfRule>
  </conditionalFormatting>
  <conditionalFormatting sqref="D55">
    <cfRule type="cellIs" dxfId="0" priority="88" operator="equal">
      <formula>"已清"</formula>
    </cfRule>
    <cfRule type="cellIs" dxfId="1" priority="168" operator="equal">
      <formula>"未还"</formula>
    </cfRule>
    <cfRule type="cellIs" dxfId="2" priority="248" operator="equal">
      <formula>"部分未清"</formula>
    </cfRule>
    <cfRule type="expression" dxfId="3" priority="328">
      <formula>$D55="超还"</formula>
    </cfRule>
    <cfRule type="expression" dxfId="4" priority="408">
      <formula>$D55="已清"</formula>
    </cfRule>
    <cfRule type="expression" dxfId="5" priority="488">
      <formula>$D55="部分未清"</formula>
    </cfRule>
    <cfRule type="expression" dxfId="6" priority="568">
      <formula>$D55="未还"</formula>
    </cfRule>
  </conditionalFormatting>
  <conditionalFormatting sqref="D56">
    <cfRule type="cellIs" dxfId="0" priority="87" operator="equal">
      <formula>"已清"</formula>
    </cfRule>
    <cfRule type="cellIs" dxfId="1" priority="167" operator="equal">
      <formula>"未还"</formula>
    </cfRule>
    <cfRule type="cellIs" dxfId="2" priority="247" operator="equal">
      <formula>"部分未清"</formula>
    </cfRule>
    <cfRule type="expression" dxfId="3" priority="327">
      <formula>$D56="超还"</formula>
    </cfRule>
    <cfRule type="expression" dxfId="4" priority="407">
      <formula>$D56="已清"</formula>
    </cfRule>
    <cfRule type="expression" dxfId="5" priority="487">
      <formula>$D56="部分未清"</formula>
    </cfRule>
    <cfRule type="expression" dxfId="6" priority="567">
      <formula>$D56="未还"</formula>
    </cfRule>
  </conditionalFormatting>
  <conditionalFormatting sqref="D57">
    <cfRule type="cellIs" dxfId="0" priority="86" operator="equal">
      <formula>"已清"</formula>
    </cfRule>
    <cfRule type="cellIs" dxfId="1" priority="166" operator="equal">
      <formula>"未还"</formula>
    </cfRule>
    <cfRule type="cellIs" dxfId="2" priority="246" operator="equal">
      <formula>"部分未清"</formula>
    </cfRule>
    <cfRule type="expression" dxfId="3" priority="326">
      <formula>$D57="超还"</formula>
    </cfRule>
    <cfRule type="expression" dxfId="4" priority="406">
      <formula>$D57="已清"</formula>
    </cfRule>
    <cfRule type="expression" dxfId="5" priority="486">
      <formula>$D57="部分未清"</formula>
    </cfRule>
    <cfRule type="expression" dxfId="6" priority="566">
      <formula>$D57="未还"</formula>
    </cfRule>
  </conditionalFormatting>
  <conditionalFormatting sqref="D58">
    <cfRule type="cellIs" dxfId="0" priority="85" operator="equal">
      <formula>"已清"</formula>
    </cfRule>
    <cfRule type="cellIs" dxfId="1" priority="165" operator="equal">
      <formula>"未还"</formula>
    </cfRule>
    <cfRule type="cellIs" dxfId="2" priority="245" operator="equal">
      <formula>"部分未清"</formula>
    </cfRule>
    <cfRule type="expression" dxfId="3" priority="325">
      <formula>$D58="超还"</formula>
    </cfRule>
    <cfRule type="expression" dxfId="4" priority="405">
      <formula>$D58="已清"</formula>
    </cfRule>
    <cfRule type="expression" dxfId="5" priority="485">
      <formula>$D58="部分未清"</formula>
    </cfRule>
    <cfRule type="expression" dxfId="6" priority="565">
      <formula>$D58="未还"</formula>
    </cfRule>
  </conditionalFormatting>
  <conditionalFormatting sqref="D59">
    <cfRule type="cellIs" dxfId="0" priority="84" operator="equal">
      <formula>"已清"</formula>
    </cfRule>
    <cfRule type="cellIs" dxfId="1" priority="164" operator="equal">
      <formula>"未还"</formula>
    </cfRule>
    <cfRule type="cellIs" dxfId="2" priority="244" operator="equal">
      <formula>"部分未清"</formula>
    </cfRule>
    <cfRule type="expression" dxfId="3" priority="324">
      <formula>$D59="超还"</formula>
    </cfRule>
    <cfRule type="expression" dxfId="4" priority="404">
      <formula>$D59="已清"</formula>
    </cfRule>
    <cfRule type="expression" dxfId="5" priority="484">
      <formula>$D59="部分未清"</formula>
    </cfRule>
    <cfRule type="expression" dxfId="6" priority="564">
      <formula>$D59="未还"</formula>
    </cfRule>
  </conditionalFormatting>
  <conditionalFormatting sqref="D60">
    <cfRule type="cellIs" dxfId="0" priority="83" operator="equal">
      <formula>"已清"</formula>
    </cfRule>
    <cfRule type="cellIs" dxfId="1" priority="163" operator="equal">
      <formula>"未还"</formula>
    </cfRule>
    <cfRule type="cellIs" dxfId="2" priority="243" operator="equal">
      <formula>"部分未清"</formula>
    </cfRule>
    <cfRule type="expression" dxfId="3" priority="323">
      <formula>$D60="超还"</formula>
    </cfRule>
    <cfRule type="expression" dxfId="4" priority="403">
      <formula>$D60="已清"</formula>
    </cfRule>
    <cfRule type="expression" dxfId="5" priority="483">
      <formula>$D60="部分未清"</formula>
    </cfRule>
    <cfRule type="expression" dxfId="6" priority="563">
      <formula>$D60="未还"</formula>
    </cfRule>
  </conditionalFormatting>
  <conditionalFormatting sqref="D61">
    <cfRule type="cellIs" dxfId="0" priority="82" operator="equal">
      <formula>"已清"</formula>
    </cfRule>
    <cfRule type="cellIs" dxfId="1" priority="162" operator="equal">
      <formula>"未还"</formula>
    </cfRule>
    <cfRule type="cellIs" dxfId="2" priority="242" operator="equal">
      <formula>"部分未清"</formula>
    </cfRule>
    <cfRule type="expression" dxfId="3" priority="322">
      <formula>$D61="超还"</formula>
    </cfRule>
    <cfRule type="expression" dxfId="4" priority="402">
      <formula>$D61="已清"</formula>
    </cfRule>
    <cfRule type="expression" dxfId="5" priority="482">
      <formula>$D61="部分未清"</formula>
    </cfRule>
    <cfRule type="expression" dxfId="6" priority="562">
      <formula>$D61="未还"</formula>
    </cfRule>
  </conditionalFormatting>
  <conditionalFormatting sqref="D62">
    <cfRule type="cellIs" dxfId="0" priority="81" operator="equal">
      <formula>"已清"</formula>
    </cfRule>
    <cfRule type="cellIs" dxfId="1" priority="161" operator="equal">
      <formula>"未还"</formula>
    </cfRule>
    <cfRule type="cellIs" dxfId="2" priority="241" operator="equal">
      <formula>"部分未清"</formula>
    </cfRule>
    <cfRule type="expression" dxfId="3" priority="321">
      <formula>$D62="超还"</formula>
    </cfRule>
    <cfRule type="expression" dxfId="4" priority="401">
      <formula>$D62="已清"</formula>
    </cfRule>
    <cfRule type="expression" dxfId="5" priority="481">
      <formula>$D62="部分未清"</formula>
    </cfRule>
    <cfRule type="expression" dxfId="6" priority="561">
      <formula>$D62="未还"</formula>
    </cfRule>
  </conditionalFormatting>
  <conditionalFormatting sqref="D63">
    <cfRule type="cellIs" dxfId="0" priority="80" operator="equal">
      <formula>"已清"</formula>
    </cfRule>
    <cfRule type="cellIs" dxfId="1" priority="160" operator="equal">
      <formula>"未还"</formula>
    </cfRule>
    <cfRule type="cellIs" dxfId="2" priority="240" operator="equal">
      <formula>"部分未清"</formula>
    </cfRule>
    <cfRule type="expression" dxfId="3" priority="320">
      <formula>$D63="超还"</formula>
    </cfRule>
    <cfRule type="expression" dxfId="4" priority="400">
      <formula>$D63="已清"</formula>
    </cfRule>
    <cfRule type="expression" dxfId="5" priority="480">
      <formula>$D63="部分未清"</formula>
    </cfRule>
    <cfRule type="expression" dxfId="6" priority="560">
      <formula>$D63="未还"</formula>
    </cfRule>
  </conditionalFormatting>
  <conditionalFormatting sqref="D64">
    <cfRule type="cellIs" dxfId="0" priority="79" operator="equal">
      <formula>"已清"</formula>
    </cfRule>
    <cfRule type="cellIs" dxfId="1" priority="159" operator="equal">
      <formula>"未还"</formula>
    </cfRule>
    <cfRule type="cellIs" dxfId="2" priority="239" operator="equal">
      <formula>"部分未清"</formula>
    </cfRule>
    <cfRule type="expression" dxfId="3" priority="319">
      <formula>$D64="超还"</formula>
    </cfRule>
    <cfRule type="expression" dxfId="4" priority="399">
      <formula>$D64="已清"</formula>
    </cfRule>
    <cfRule type="expression" dxfId="5" priority="479">
      <formula>$D64="部分未清"</formula>
    </cfRule>
    <cfRule type="expression" dxfId="6" priority="559">
      <formula>$D64="未还"</formula>
    </cfRule>
  </conditionalFormatting>
  <conditionalFormatting sqref="D65">
    <cfRule type="cellIs" dxfId="0" priority="78" operator="equal">
      <formula>"已清"</formula>
    </cfRule>
    <cfRule type="cellIs" dxfId="1" priority="158" operator="equal">
      <formula>"未还"</formula>
    </cfRule>
    <cfRule type="cellIs" dxfId="2" priority="238" operator="equal">
      <formula>"部分未清"</formula>
    </cfRule>
    <cfRule type="expression" dxfId="3" priority="318">
      <formula>$D65="超还"</formula>
    </cfRule>
    <cfRule type="expression" dxfId="4" priority="398">
      <formula>$D65="已清"</formula>
    </cfRule>
    <cfRule type="expression" dxfId="5" priority="478">
      <formula>$D65="部分未清"</formula>
    </cfRule>
    <cfRule type="expression" dxfId="6" priority="558">
      <formula>$D65="未还"</formula>
    </cfRule>
  </conditionalFormatting>
  <conditionalFormatting sqref="D66">
    <cfRule type="cellIs" dxfId="0" priority="77" operator="equal">
      <formula>"已清"</formula>
    </cfRule>
    <cfRule type="cellIs" dxfId="1" priority="157" operator="equal">
      <formula>"未还"</formula>
    </cfRule>
    <cfRule type="cellIs" dxfId="2" priority="237" operator="equal">
      <formula>"部分未清"</formula>
    </cfRule>
    <cfRule type="expression" dxfId="3" priority="317">
      <formula>$D66="超还"</formula>
    </cfRule>
    <cfRule type="expression" dxfId="4" priority="397">
      <formula>$D66="已清"</formula>
    </cfRule>
    <cfRule type="expression" dxfId="5" priority="477">
      <formula>$D66="部分未清"</formula>
    </cfRule>
    <cfRule type="expression" dxfId="6" priority="557">
      <formula>$D66="未还"</formula>
    </cfRule>
  </conditionalFormatting>
  <conditionalFormatting sqref="D67">
    <cfRule type="cellIs" dxfId="0" priority="76" operator="equal">
      <formula>"已清"</formula>
    </cfRule>
    <cfRule type="cellIs" dxfId="1" priority="156" operator="equal">
      <formula>"未还"</formula>
    </cfRule>
    <cfRule type="cellIs" dxfId="2" priority="236" operator="equal">
      <formula>"部分未清"</formula>
    </cfRule>
    <cfRule type="expression" dxfId="3" priority="316">
      <formula>$D67="超还"</formula>
    </cfRule>
    <cfRule type="expression" dxfId="4" priority="396">
      <formula>$D67="已清"</formula>
    </cfRule>
    <cfRule type="expression" dxfId="5" priority="476">
      <formula>$D67="部分未清"</formula>
    </cfRule>
    <cfRule type="expression" dxfId="6" priority="556">
      <formula>$D67="未还"</formula>
    </cfRule>
  </conditionalFormatting>
  <conditionalFormatting sqref="D68">
    <cfRule type="cellIs" dxfId="0" priority="75" operator="equal">
      <formula>"已清"</formula>
    </cfRule>
    <cfRule type="cellIs" dxfId="1" priority="155" operator="equal">
      <formula>"未还"</formula>
    </cfRule>
    <cfRule type="cellIs" dxfId="2" priority="235" operator="equal">
      <formula>"部分未清"</formula>
    </cfRule>
    <cfRule type="expression" dxfId="3" priority="315">
      <formula>$D68="超还"</formula>
    </cfRule>
    <cfRule type="expression" dxfId="4" priority="395">
      <formula>$D68="已清"</formula>
    </cfRule>
    <cfRule type="expression" dxfId="5" priority="475">
      <formula>$D68="部分未清"</formula>
    </cfRule>
    <cfRule type="expression" dxfId="6" priority="555">
      <formula>$D68="未还"</formula>
    </cfRule>
  </conditionalFormatting>
  <conditionalFormatting sqref="D69">
    <cfRule type="cellIs" dxfId="0" priority="74" operator="equal">
      <formula>"已清"</formula>
    </cfRule>
    <cfRule type="cellIs" dxfId="1" priority="154" operator="equal">
      <formula>"未还"</formula>
    </cfRule>
    <cfRule type="cellIs" dxfId="2" priority="234" operator="equal">
      <formula>"部分未清"</formula>
    </cfRule>
    <cfRule type="expression" dxfId="3" priority="314">
      <formula>$D69="超还"</formula>
    </cfRule>
    <cfRule type="expression" dxfId="4" priority="394">
      <formula>$D69="已清"</formula>
    </cfRule>
    <cfRule type="expression" dxfId="5" priority="474">
      <formula>$D69="部分未清"</formula>
    </cfRule>
    <cfRule type="expression" dxfId="6" priority="554">
      <formula>$D69="未还"</formula>
    </cfRule>
  </conditionalFormatting>
  <conditionalFormatting sqref="D70">
    <cfRule type="cellIs" dxfId="0" priority="73" operator="equal">
      <formula>"已清"</formula>
    </cfRule>
    <cfRule type="cellIs" dxfId="1" priority="153" operator="equal">
      <formula>"未还"</formula>
    </cfRule>
    <cfRule type="cellIs" dxfId="2" priority="233" operator="equal">
      <formula>"部分未清"</formula>
    </cfRule>
    <cfRule type="expression" dxfId="3" priority="313">
      <formula>$D70="超还"</formula>
    </cfRule>
    <cfRule type="expression" dxfId="4" priority="393">
      <formula>$D70="已清"</formula>
    </cfRule>
    <cfRule type="expression" dxfId="5" priority="473">
      <formula>$D70="部分未清"</formula>
    </cfRule>
    <cfRule type="expression" dxfId="6" priority="553">
      <formula>$D70="未还"</formula>
    </cfRule>
  </conditionalFormatting>
  <conditionalFormatting sqref="D71">
    <cfRule type="cellIs" dxfId="0" priority="72" operator="equal">
      <formula>"已清"</formula>
    </cfRule>
    <cfRule type="cellIs" dxfId="1" priority="152" operator="equal">
      <formula>"未还"</formula>
    </cfRule>
    <cfRule type="cellIs" dxfId="2" priority="232" operator="equal">
      <formula>"部分未清"</formula>
    </cfRule>
    <cfRule type="expression" dxfId="3" priority="312">
      <formula>$D71="超还"</formula>
    </cfRule>
    <cfRule type="expression" dxfId="4" priority="392">
      <formula>$D71="已清"</formula>
    </cfRule>
    <cfRule type="expression" dxfId="5" priority="472">
      <formula>$D71="部分未清"</formula>
    </cfRule>
    <cfRule type="expression" dxfId="6" priority="552">
      <formula>$D71="未还"</formula>
    </cfRule>
  </conditionalFormatting>
  <conditionalFormatting sqref="D72">
    <cfRule type="cellIs" dxfId="0" priority="71" operator="equal">
      <formula>"已清"</formula>
    </cfRule>
    <cfRule type="cellIs" dxfId="1" priority="151" operator="equal">
      <formula>"未还"</formula>
    </cfRule>
    <cfRule type="cellIs" dxfId="2" priority="231" operator="equal">
      <formula>"部分未清"</formula>
    </cfRule>
    <cfRule type="expression" dxfId="3" priority="311">
      <formula>$D72="超还"</formula>
    </cfRule>
    <cfRule type="expression" dxfId="4" priority="391">
      <formula>$D72="已清"</formula>
    </cfRule>
    <cfRule type="expression" dxfId="5" priority="471">
      <formula>$D72="部分未清"</formula>
    </cfRule>
    <cfRule type="expression" dxfId="6" priority="551">
      <formula>$D72="未还"</formula>
    </cfRule>
  </conditionalFormatting>
  <conditionalFormatting sqref="D73">
    <cfRule type="cellIs" dxfId="0" priority="70" operator="equal">
      <formula>"已清"</formula>
    </cfRule>
    <cfRule type="cellIs" dxfId="1" priority="150" operator="equal">
      <formula>"未还"</formula>
    </cfRule>
    <cfRule type="cellIs" dxfId="2" priority="230" operator="equal">
      <formula>"部分未清"</formula>
    </cfRule>
    <cfRule type="expression" dxfId="3" priority="310">
      <formula>$D73="超还"</formula>
    </cfRule>
    <cfRule type="expression" dxfId="4" priority="390">
      <formula>$D73="已清"</formula>
    </cfRule>
    <cfRule type="expression" dxfId="5" priority="470">
      <formula>$D73="部分未清"</formula>
    </cfRule>
    <cfRule type="expression" dxfId="6" priority="550">
      <formula>$D73="未还"</formula>
    </cfRule>
  </conditionalFormatting>
  <conditionalFormatting sqref="D74">
    <cfRule type="cellIs" dxfId="0" priority="69" operator="equal">
      <formula>"已清"</formula>
    </cfRule>
    <cfRule type="cellIs" dxfId="1" priority="149" operator="equal">
      <formula>"未还"</formula>
    </cfRule>
    <cfRule type="cellIs" dxfId="2" priority="229" operator="equal">
      <formula>"部分未清"</formula>
    </cfRule>
    <cfRule type="expression" dxfId="3" priority="309">
      <formula>$D74="超还"</formula>
    </cfRule>
    <cfRule type="expression" dxfId="4" priority="389">
      <formula>$D74="已清"</formula>
    </cfRule>
    <cfRule type="expression" dxfId="5" priority="469">
      <formula>$D74="部分未清"</formula>
    </cfRule>
    <cfRule type="expression" dxfId="6" priority="549">
      <formula>$D74="未还"</formula>
    </cfRule>
  </conditionalFormatting>
  <conditionalFormatting sqref="D75">
    <cfRule type="cellIs" dxfId="0" priority="68" operator="equal">
      <formula>"已清"</formula>
    </cfRule>
    <cfRule type="cellIs" dxfId="1" priority="148" operator="equal">
      <formula>"未还"</formula>
    </cfRule>
    <cfRule type="cellIs" dxfId="2" priority="228" operator="equal">
      <formula>"部分未清"</formula>
    </cfRule>
    <cfRule type="expression" dxfId="3" priority="308">
      <formula>$D75="超还"</formula>
    </cfRule>
    <cfRule type="expression" dxfId="4" priority="388">
      <formula>$D75="已清"</formula>
    </cfRule>
    <cfRule type="expression" dxfId="5" priority="468">
      <formula>$D75="部分未清"</formula>
    </cfRule>
    <cfRule type="expression" dxfId="6" priority="548">
      <formula>$D75="未还"</formula>
    </cfRule>
  </conditionalFormatting>
  <conditionalFormatting sqref="D76">
    <cfRule type="cellIs" dxfId="0" priority="67" operator="equal">
      <formula>"已清"</formula>
    </cfRule>
    <cfRule type="cellIs" dxfId="1" priority="147" operator="equal">
      <formula>"未还"</formula>
    </cfRule>
    <cfRule type="cellIs" dxfId="2" priority="227" operator="equal">
      <formula>"部分未清"</formula>
    </cfRule>
    <cfRule type="expression" dxfId="3" priority="307">
      <formula>$D76="超还"</formula>
    </cfRule>
    <cfRule type="expression" dxfId="4" priority="387">
      <formula>$D76="已清"</formula>
    </cfRule>
    <cfRule type="expression" dxfId="5" priority="467">
      <formula>$D76="部分未清"</formula>
    </cfRule>
    <cfRule type="expression" dxfId="6" priority="547">
      <formula>$D76="未还"</formula>
    </cfRule>
  </conditionalFormatting>
  <conditionalFormatting sqref="D77">
    <cfRule type="cellIs" dxfId="0" priority="66" operator="equal">
      <formula>"已清"</formula>
    </cfRule>
    <cfRule type="cellIs" dxfId="1" priority="146" operator="equal">
      <formula>"未还"</formula>
    </cfRule>
    <cfRule type="cellIs" dxfId="2" priority="226" operator="equal">
      <formula>"部分未清"</formula>
    </cfRule>
    <cfRule type="expression" dxfId="3" priority="306">
      <formula>$D77="超还"</formula>
    </cfRule>
    <cfRule type="expression" dxfId="4" priority="386">
      <formula>$D77="已清"</formula>
    </cfRule>
    <cfRule type="expression" dxfId="5" priority="466">
      <formula>$D77="部分未清"</formula>
    </cfRule>
    <cfRule type="expression" dxfId="6" priority="546">
      <formula>$D77="未还"</formula>
    </cfRule>
  </conditionalFormatting>
  <conditionalFormatting sqref="D78">
    <cfRule type="cellIs" dxfId="0" priority="65" operator="equal">
      <formula>"已清"</formula>
    </cfRule>
    <cfRule type="cellIs" dxfId="1" priority="145" operator="equal">
      <formula>"未还"</formula>
    </cfRule>
    <cfRule type="cellIs" dxfId="2" priority="225" operator="equal">
      <formula>"部分未清"</formula>
    </cfRule>
    <cfRule type="expression" dxfId="3" priority="305">
      <formula>$D78="超还"</formula>
    </cfRule>
    <cfRule type="expression" dxfId="4" priority="385">
      <formula>$D78="已清"</formula>
    </cfRule>
    <cfRule type="expression" dxfId="5" priority="465">
      <formula>$D78="部分未清"</formula>
    </cfRule>
    <cfRule type="expression" dxfId="6" priority="545">
      <formula>$D78="未还"</formula>
    </cfRule>
  </conditionalFormatting>
  <conditionalFormatting sqref="D79">
    <cfRule type="cellIs" dxfId="0" priority="64" operator="equal">
      <formula>"已清"</formula>
    </cfRule>
    <cfRule type="cellIs" dxfId="1" priority="144" operator="equal">
      <formula>"未还"</formula>
    </cfRule>
    <cfRule type="cellIs" dxfId="2" priority="224" operator="equal">
      <formula>"部分未清"</formula>
    </cfRule>
    <cfRule type="expression" dxfId="3" priority="304">
      <formula>$D79="超还"</formula>
    </cfRule>
    <cfRule type="expression" dxfId="4" priority="384">
      <formula>$D79="已清"</formula>
    </cfRule>
    <cfRule type="expression" dxfId="5" priority="464">
      <formula>$D79="部分未清"</formula>
    </cfRule>
    <cfRule type="expression" dxfId="6" priority="544">
      <formula>$D79="未还"</formula>
    </cfRule>
  </conditionalFormatting>
  <conditionalFormatting sqref="D80">
    <cfRule type="cellIs" dxfId="0" priority="63" operator="equal">
      <formula>"已清"</formula>
    </cfRule>
    <cfRule type="cellIs" dxfId="1" priority="143" operator="equal">
      <formula>"未还"</formula>
    </cfRule>
    <cfRule type="cellIs" dxfId="2" priority="223" operator="equal">
      <formula>"部分未清"</formula>
    </cfRule>
    <cfRule type="expression" dxfId="3" priority="303">
      <formula>$D80="超还"</formula>
    </cfRule>
    <cfRule type="expression" dxfId="4" priority="383">
      <formula>$D80="已清"</formula>
    </cfRule>
    <cfRule type="expression" dxfId="5" priority="463">
      <formula>$D80="部分未清"</formula>
    </cfRule>
    <cfRule type="expression" dxfId="6" priority="543">
      <formula>$D80="未还"</formula>
    </cfRule>
  </conditionalFormatting>
  <conditionalFormatting sqref="D81">
    <cfRule type="cellIs" dxfId="0" priority="62" operator="equal">
      <formula>"已清"</formula>
    </cfRule>
    <cfRule type="cellIs" dxfId="1" priority="142" operator="equal">
      <formula>"未还"</formula>
    </cfRule>
    <cfRule type="cellIs" dxfId="2" priority="222" operator="equal">
      <formula>"部分未清"</formula>
    </cfRule>
    <cfRule type="expression" dxfId="3" priority="302">
      <formula>$D81="超还"</formula>
    </cfRule>
    <cfRule type="expression" dxfId="4" priority="382">
      <formula>$D81="已清"</formula>
    </cfRule>
    <cfRule type="expression" dxfId="5" priority="462">
      <formula>$D81="部分未清"</formula>
    </cfRule>
    <cfRule type="expression" dxfId="6" priority="542">
      <formula>$D81="未还"</formula>
    </cfRule>
  </conditionalFormatting>
  <conditionalFormatting sqref="D82">
    <cfRule type="cellIs" dxfId="0" priority="61" operator="equal">
      <formula>"已清"</formula>
    </cfRule>
    <cfRule type="cellIs" dxfId="1" priority="141" operator="equal">
      <formula>"未还"</formula>
    </cfRule>
    <cfRule type="cellIs" dxfId="2" priority="221" operator="equal">
      <formula>"部分未清"</formula>
    </cfRule>
    <cfRule type="expression" dxfId="3" priority="301">
      <formula>$D82="超还"</formula>
    </cfRule>
    <cfRule type="expression" dxfId="4" priority="381">
      <formula>$D82="已清"</formula>
    </cfRule>
    <cfRule type="expression" dxfId="5" priority="461">
      <formula>$D82="部分未清"</formula>
    </cfRule>
    <cfRule type="expression" dxfId="6" priority="541">
      <formula>$D82="未还"</formula>
    </cfRule>
  </conditionalFormatting>
  <conditionalFormatting sqref="D83">
    <cfRule type="cellIs" dxfId="0" priority="60" operator="equal">
      <formula>"已清"</formula>
    </cfRule>
    <cfRule type="cellIs" dxfId="1" priority="140" operator="equal">
      <formula>"未还"</formula>
    </cfRule>
    <cfRule type="cellIs" dxfId="2" priority="220" operator="equal">
      <formula>"部分未清"</formula>
    </cfRule>
    <cfRule type="expression" dxfId="3" priority="300">
      <formula>$D83="超还"</formula>
    </cfRule>
    <cfRule type="expression" dxfId="4" priority="380">
      <formula>$D83="已清"</formula>
    </cfRule>
    <cfRule type="expression" dxfId="5" priority="460">
      <formula>$D83="部分未清"</formula>
    </cfRule>
    <cfRule type="expression" dxfId="6" priority="540">
      <formula>$D83="未还"</formula>
    </cfRule>
  </conditionalFormatting>
  <conditionalFormatting sqref="D84">
    <cfRule type="cellIs" dxfId="0" priority="59" operator="equal">
      <formula>"已清"</formula>
    </cfRule>
    <cfRule type="cellIs" dxfId="1" priority="139" operator="equal">
      <formula>"未还"</formula>
    </cfRule>
    <cfRule type="cellIs" dxfId="2" priority="219" operator="equal">
      <formula>"部分未清"</formula>
    </cfRule>
    <cfRule type="expression" dxfId="3" priority="299">
      <formula>$D84="超还"</formula>
    </cfRule>
    <cfRule type="expression" dxfId="4" priority="379">
      <formula>$D84="已清"</formula>
    </cfRule>
    <cfRule type="expression" dxfId="5" priority="459">
      <formula>$D84="部分未清"</formula>
    </cfRule>
    <cfRule type="expression" dxfId="6" priority="539">
      <formula>$D84="未还"</formula>
    </cfRule>
  </conditionalFormatting>
  <conditionalFormatting sqref="D85">
    <cfRule type="cellIs" dxfId="0" priority="58" operator="equal">
      <formula>"已清"</formula>
    </cfRule>
    <cfRule type="cellIs" dxfId="1" priority="138" operator="equal">
      <formula>"未还"</formula>
    </cfRule>
    <cfRule type="cellIs" dxfId="2" priority="218" operator="equal">
      <formula>"部分未清"</formula>
    </cfRule>
    <cfRule type="expression" dxfId="3" priority="298">
      <formula>$D85="超还"</formula>
    </cfRule>
    <cfRule type="expression" dxfId="4" priority="378">
      <formula>$D85="已清"</formula>
    </cfRule>
    <cfRule type="expression" dxfId="5" priority="458">
      <formula>$D85="部分未清"</formula>
    </cfRule>
    <cfRule type="expression" dxfId="6" priority="538">
      <formula>$D85="未还"</formula>
    </cfRule>
  </conditionalFormatting>
  <conditionalFormatting sqref="D86">
    <cfRule type="cellIs" dxfId="0" priority="57" operator="equal">
      <formula>"已清"</formula>
    </cfRule>
    <cfRule type="cellIs" dxfId="1" priority="137" operator="equal">
      <formula>"未还"</formula>
    </cfRule>
    <cfRule type="cellIs" dxfId="2" priority="217" operator="equal">
      <formula>"部分未清"</formula>
    </cfRule>
    <cfRule type="expression" dxfId="3" priority="297">
      <formula>$D86="超还"</formula>
    </cfRule>
    <cfRule type="expression" dxfId="4" priority="377">
      <formula>$D86="已清"</formula>
    </cfRule>
    <cfRule type="expression" dxfId="5" priority="457">
      <formula>$D86="部分未清"</formula>
    </cfRule>
    <cfRule type="expression" dxfId="6" priority="537">
      <formula>$D86="未还"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5">
    <tabColor theme="4" tint="0.6"/>
  </sheetPr>
  <dimension ref="A1:XEY10000"/>
  <sheetViews>
    <sheetView showGridLines="0" workbookViewId="0">
      <pane ySplit="4" topLeftCell="A5" activePane="bottomLeft" state="frozen"/>
      <selection/>
      <selection pane="bottomLeft" activeCell="E10008" sqref="E10008"/>
    </sheetView>
  </sheetViews>
  <sheetFormatPr defaultColWidth="12.2583333333333" defaultRowHeight="13.5"/>
  <cols>
    <col min="1" max="1" width="5.625" style="26" customWidth="1"/>
    <col min="2" max="2" width="14.5416666666667" style="118" customWidth="1"/>
    <col min="3" max="3" width="12.2916666666667" style="27" customWidth="1"/>
    <col min="4" max="4" width="16.7333333333333" style="26" customWidth="1"/>
    <col min="5" max="5" width="39.4916666666667" style="119" customWidth="1"/>
    <col min="6" max="6" width="14.7333333333333" style="120" customWidth="1"/>
    <col min="7" max="7" width="14.4083333333333" style="65" customWidth="1"/>
    <col min="8" max="8" width="14" style="65" customWidth="1"/>
    <col min="9" max="9" width="28.25" style="27" customWidth="1"/>
    <col min="10" max="10" width="22.125" style="27" customWidth="1"/>
    <col min="11" max="11" width="7.375" style="27" customWidth="1"/>
    <col min="12" max="12" width="3.375" style="27" customWidth="1"/>
    <col min="23" max="16366" width="12.2583333333333" style="27" customWidth="1"/>
    <col min="16367" max="16379" width="12.2583333333333" style="121" customWidth="1"/>
    <col min="16380" max="16384" width="12.2583333333333" style="121"/>
  </cols>
  <sheetData>
    <row r="1" s="27" customFormat="1" ht="28" customHeight="1" spans="1:25 16367:16379">
      <c r="A1" s="10" t="s">
        <v>88</v>
      </c>
      <c r="B1" s="122"/>
      <c r="C1" s="11"/>
      <c r="D1" s="122"/>
      <c r="E1" s="11"/>
      <c r="F1" s="11"/>
      <c r="G1" s="11"/>
      <c r="H1" s="11"/>
      <c r="I1" s="11"/>
      <c r="J1" s="11"/>
      <c r="K1" s="67"/>
      <c r="L1" s="40"/>
      <c r="M1"/>
      <c r="N1"/>
      <c r="O1"/>
      <c r="P1"/>
      <c r="Q1"/>
      <c r="R1"/>
      <c r="S1"/>
      <c r="T1"/>
      <c r="U1"/>
      <c r="V1"/>
      <c r="W1" s="41"/>
      <c r="X1" s="41"/>
      <c r="Y1" s="41"/>
    </row>
    <row r="2" s="117" customFormat="1" ht="22" customHeight="1" spans="1:25 16367:16379">
      <c r="A2" s="123"/>
      <c r="B2" s="124"/>
      <c r="C2" s="123"/>
      <c r="D2" s="123"/>
      <c r="E2" s="125"/>
      <c r="F2" s="14" t="s">
        <v>89</v>
      </c>
      <c r="G2" s="14" t="s">
        <v>90</v>
      </c>
      <c r="H2" s="14" t="s">
        <v>91</v>
      </c>
      <c r="I2" s="123"/>
      <c r="J2" s="123"/>
      <c r="K2" s="123"/>
      <c r="L2" s="126"/>
      <c r="W2" s="126"/>
      <c r="X2" s="126"/>
      <c r="Y2" s="126"/>
      <c r="XEM2" s="127"/>
      <c r="XEN2" s="127"/>
      <c r="XEO2" s="127"/>
      <c r="XEP2" s="127"/>
      <c r="XEQ2" s="127"/>
      <c r="XER2" s="127"/>
      <c r="XES2" s="127"/>
      <c r="XET2" s="127"/>
      <c r="XEU2" s="127"/>
      <c r="XEV2" s="127"/>
      <c r="XEW2" s="127"/>
      <c r="XEX2" s="127"/>
      <c r="XEY2" s="127"/>
    </row>
    <row r="3" s="27" customFormat="1" ht="22" customHeight="1" spans="1:25 16367:16379">
      <c r="A3" s="128"/>
      <c r="B3" s="129"/>
      <c r="C3" s="128"/>
      <c r="D3" s="128"/>
      <c r="E3" s="130"/>
      <c r="F3" s="131">
        <f>SUBTOTAL(109,$F$4:$F$9999)</f>
        <v>0</v>
      </c>
      <c r="G3" s="131">
        <f>SUBTOTAL(109,$G$4:$G$9999)</f>
        <v>733050</v>
      </c>
      <c r="H3" s="131">
        <f>SUBTOTAL(109,$H$5:$H$18)+F3-G3</f>
        <v>-733050</v>
      </c>
      <c r="I3" s="128"/>
      <c r="J3" s="128"/>
      <c r="K3" s="132"/>
      <c r="L3" s="40"/>
      <c r="M3"/>
      <c r="N3"/>
      <c r="O3"/>
      <c r="P3"/>
      <c r="Q3"/>
      <c r="R3"/>
      <c r="S3"/>
      <c r="T3"/>
      <c r="U3"/>
      <c r="V3"/>
      <c r="W3" s="41"/>
      <c r="X3" s="41"/>
      <c r="Y3" s="41"/>
    </row>
    <row r="4" s="27" customFormat="1" ht="36" customHeight="1" spans="1:25 16367:16379">
      <c r="A4" s="19" t="s">
        <v>92</v>
      </c>
      <c r="B4" s="19" t="s">
        <v>93</v>
      </c>
      <c r="C4" s="19" t="s">
        <v>94</v>
      </c>
      <c r="D4" s="19" t="s">
        <v>38</v>
      </c>
      <c r="E4" s="19" t="s">
        <v>95</v>
      </c>
      <c r="F4" s="19" t="s">
        <v>96</v>
      </c>
      <c r="G4" s="19" t="s">
        <v>97</v>
      </c>
      <c r="H4" s="19" t="s">
        <v>91</v>
      </c>
      <c r="I4" s="20" t="s">
        <v>39</v>
      </c>
      <c r="J4" s="20" t="s">
        <v>41</v>
      </c>
      <c r="K4" s="20" t="s">
        <v>98</v>
      </c>
      <c r="L4" s="40"/>
      <c r="M4"/>
      <c r="N4"/>
      <c r="O4"/>
      <c r="P4"/>
      <c r="Q4"/>
      <c r="R4"/>
      <c r="S4"/>
      <c r="T4"/>
      <c r="U4"/>
      <c r="V4"/>
      <c r="W4" s="41"/>
      <c r="X4" s="41"/>
      <c r="Y4" s="41"/>
    </row>
    <row r="5" s="27" customFormat="1" ht="19" hidden="1" customHeight="1" spans="1:25 16367:16379">
      <c r="A5" s="133">
        <f>IF(B5="","",COUNTA($B$5:B5))</f>
        <v>1</v>
      </c>
      <c r="B5" s="134">
        <v>46174</v>
      </c>
      <c r="C5" s="135" t="s">
        <v>99</v>
      </c>
      <c r="D5" s="136"/>
      <c r="E5" s="137" t="s">
        <v>100</v>
      </c>
      <c r="F5" s="138"/>
      <c r="G5" s="138"/>
      <c r="H5" s="139">
        <v>0</v>
      </c>
      <c r="I5" s="135"/>
      <c r="J5" s="22"/>
      <c r="K5" s="22">
        <f t="shared" ref="K5:K68" si="0">IF($B5="","",--TEXT($B5,"yyyymm"))</f>
        <v>202606</v>
      </c>
      <c r="L5" s="40"/>
      <c r="M5"/>
      <c r="N5"/>
      <c r="O5"/>
      <c r="P5"/>
      <c r="Q5"/>
      <c r="R5"/>
      <c r="S5"/>
      <c r="T5"/>
      <c r="U5"/>
      <c r="V5"/>
      <c r="W5" s="41"/>
      <c r="X5" s="41"/>
      <c r="Y5" s="41"/>
    </row>
    <row r="6" s="27" customFormat="1" ht="19" hidden="1" customHeight="1" spans="1:25 16367:16379">
      <c r="A6" s="133">
        <f>IF(B6="","",COUNTA($B$5:B6))</f>
        <v>2</v>
      </c>
      <c r="B6" s="134">
        <v>46174</v>
      </c>
      <c r="C6" s="135" t="s">
        <v>101</v>
      </c>
      <c r="D6" s="136"/>
      <c r="E6" s="137" t="s">
        <v>100</v>
      </c>
      <c r="F6" s="138"/>
      <c r="G6" s="138"/>
      <c r="H6" s="139">
        <v>0</v>
      </c>
      <c r="I6" s="135"/>
      <c r="J6" s="22"/>
      <c r="K6" s="22">
        <f t="shared" si="0"/>
        <v>202606</v>
      </c>
      <c r="L6" s="40"/>
      <c r="M6"/>
      <c r="N6"/>
      <c r="O6"/>
      <c r="P6"/>
      <c r="Q6"/>
      <c r="R6"/>
      <c r="S6"/>
      <c r="T6"/>
      <c r="U6"/>
      <c r="V6"/>
      <c r="W6" s="41"/>
      <c r="X6" s="41"/>
      <c r="Y6" s="41"/>
    </row>
    <row r="7" s="27" customFormat="1" ht="19" hidden="1" customHeight="1" spans="1:25 16367:16379">
      <c r="A7" s="133">
        <f>IF(B7="","",COUNTA($B$5:B7))</f>
        <v>3</v>
      </c>
      <c r="B7" s="134">
        <v>46174</v>
      </c>
      <c r="C7" s="135" t="s">
        <v>49</v>
      </c>
      <c r="D7" s="136"/>
      <c r="E7" s="137" t="s">
        <v>100</v>
      </c>
      <c r="F7" s="138"/>
      <c r="G7" s="138"/>
      <c r="H7" s="139">
        <v>0</v>
      </c>
      <c r="I7" s="135"/>
      <c r="J7" s="22"/>
      <c r="K7" s="22">
        <f t="shared" si="0"/>
        <v>202606</v>
      </c>
      <c r="L7" s="40"/>
      <c r="M7"/>
      <c r="N7"/>
      <c r="O7"/>
      <c r="P7"/>
      <c r="Q7"/>
      <c r="R7"/>
      <c r="S7"/>
      <c r="T7"/>
      <c r="U7"/>
      <c r="V7"/>
      <c r="W7" s="41"/>
      <c r="X7" s="41"/>
      <c r="Y7" s="41"/>
    </row>
    <row r="8" s="27" customFormat="1" ht="19" hidden="1" customHeight="1" spans="1:25 16367:16379">
      <c r="A8" s="133">
        <f>IF(B8="","",COUNTA($B$5:B8))</f>
        <v>4</v>
      </c>
      <c r="B8" s="134">
        <v>46174</v>
      </c>
      <c r="C8" s="135" t="s">
        <v>102</v>
      </c>
      <c r="D8" s="136"/>
      <c r="E8" s="137" t="s">
        <v>100</v>
      </c>
      <c r="F8" s="138"/>
      <c r="G8" s="138"/>
      <c r="H8" s="139">
        <v>0</v>
      </c>
      <c r="I8" s="135"/>
      <c r="J8" s="22"/>
      <c r="K8" s="22">
        <f t="shared" si="0"/>
        <v>202606</v>
      </c>
      <c r="L8" s="40"/>
      <c r="M8"/>
      <c r="N8"/>
      <c r="O8"/>
      <c r="P8"/>
      <c r="Q8"/>
      <c r="R8"/>
      <c r="S8"/>
      <c r="T8"/>
      <c r="U8"/>
      <c r="V8"/>
      <c r="W8" s="41"/>
      <c r="X8" s="41"/>
      <c r="Y8" s="41"/>
    </row>
    <row r="9" s="27" customFormat="1" ht="19" hidden="1" customHeight="1" spans="1:25 16367:16379">
      <c r="A9" s="133">
        <f>IF(B9="","",COUNTA($B$5:B9))</f>
        <v>5</v>
      </c>
      <c r="B9" s="134">
        <v>46174</v>
      </c>
      <c r="C9" s="135" t="s">
        <v>103</v>
      </c>
      <c r="D9" s="136"/>
      <c r="E9" s="137" t="s">
        <v>100</v>
      </c>
      <c r="F9" s="138"/>
      <c r="G9" s="138"/>
      <c r="H9" s="139">
        <v>0</v>
      </c>
      <c r="I9" s="135"/>
      <c r="J9" s="22"/>
      <c r="K9" s="22">
        <f t="shared" si="0"/>
        <v>202606</v>
      </c>
      <c r="L9" s="40"/>
      <c r="M9"/>
      <c r="N9"/>
      <c r="O9"/>
      <c r="P9"/>
      <c r="Q9"/>
      <c r="R9"/>
      <c r="S9"/>
      <c r="T9"/>
      <c r="U9"/>
      <c r="V9"/>
      <c r="W9" s="41"/>
      <c r="X9" s="41"/>
      <c r="Y9" s="41"/>
    </row>
    <row r="10" s="27" customFormat="1" ht="19" hidden="1" customHeight="1" spans="1:25 16367:16379">
      <c r="A10" s="133">
        <f>IF(B10="","",COUNTA($B$5:B10))</f>
        <v>6</v>
      </c>
      <c r="B10" s="134">
        <v>46174</v>
      </c>
      <c r="C10" s="135" t="s">
        <v>104</v>
      </c>
      <c r="D10" s="136"/>
      <c r="E10" s="137" t="s">
        <v>100</v>
      </c>
      <c r="F10" s="138"/>
      <c r="G10" s="138"/>
      <c r="H10" s="139">
        <v>0</v>
      </c>
      <c r="I10" s="135"/>
      <c r="J10" s="22"/>
      <c r="K10" s="22">
        <f t="shared" si="0"/>
        <v>202606</v>
      </c>
      <c r="L10" s="40"/>
      <c r="M10"/>
      <c r="N10"/>
      <c r="O10"/>
      <c r="P10"/>
      <c r="Q10"/>
      <c r="R10"/>
      <c r="S10"/>
      <c r="T10"/>
      <c r="U10"/>
      <c r="V10"/>
      <c r="W10" s="41"/>
      <c r="X10" s="41"/>
      <c r="Y10" s="41"/>
    </row>
    <row r="11" s="27" customFormat="1" ht="19" hidden="1" customHeight="1" spans="1:25 16367:16379">
      <c r="A11" s="133">
        <f>IF(B11="","",COUNTA($B$5:B11))</f>
        <v>7</v>
      </c>
      <c r="B11" s="134">
        <v>46174</v>
      </c>
      <c r="C11" s="135" t="s">
        <v>105</v>
      </c>
      <c r="D11" s="136"/>
      <c r="E11" s="137" t="s">
        <v>100</v>
      </c>
      <c r="F11" s="138"/>
      <c r="G11" s="138"/>
      <c r="H11" s="139">
        <v>0</v>
      </c>
      <c r="I11" s="135"/>
      <c r="J11" s="22"/>
      <c r="K11" s="22">
        <f t="shared" si="0"/>
        <v>202606</v>
      </c>
      <c r="L11" s="40"/>
      <c r="M11"/>
      <c r="N11"/>
      <c r="O11"/>
      <c r="P11"/>
      <c r="Q11"/>
      <c r="R11"/>
      <c r="S11"/>
      <c r="T11"/>
      <c r="U11"/>
      <c r="V11"/>
      <c r="W11" s="41"/>
      <c r="X11" s="41"/>
      <c r="Y11" s="41"/>
    </row>
    <row r="12" s="27" customFormat="1" ht="19" hidden="1" customHeight="1" spans="1:25 16367:16379">
      <c r="A12" s="133">
        <f>IF(B12="","",COUNTA($B$5:B12))</f>
        <v>8</v>
      </c>
      <c r="B12" s="140">
        <v>46174</v>
      </c>
      <c r="C12" s="135" t="s">
        <v>106</v>
      </c>
      <c r="D12" s="133"/>
      <c r="E12" s="141" t="s">
        <v>100</v>
      </c>
      <c r="F12" s="142"/>
      <c r="G12" s="142"/>
      <c r="H12" s="139">
        <v>0</v>
      </c>
      <c r="I12" s="22"/>
      <c r="J12" s="22"/>
      <c r="K12" s="22">
        <f t="shared" si="0"/>
        <v>202606</v>
      </c>
      <c r="L12" s="40"/>
      <c r="M12"/>
      <c r="N12"/>
      <c r="O12"/>
      <c r="P12"/>
      <c r="Q12"/>
      <c r="R12"/>
      <c r="S12"/>
      <c r="T12"/>
      <c r="U12"/>
      <c r="V12"/>
      <c r="W12" s="41"/>
      <c r="X12" s="41"/>
      <c r="Y12" s="41"/>
    </row>
    <row r="13" s="27" customFormat="1" ht="19" hidden="1" customHeight="1" spans="1:25 16367:16379">
      <c r="A13" s="133">
        <f>IF(B13="","",COUNTA($B$5:B13))</f>
        <v>9</v>
      </c>
      <c r="B13" s="140">
        <v>46174</v>
      </c>
      <c r="C13" s="135" t="s">
        <v>107</v>
      </c>
      <c r="D13" s="133"/>
      <c r="E13" s="141" t="s">
        <v>100</v>
      </c>
      <c r="F13" s="142"/>
      <c r="G13" s="142"/>
      <c r="H13" s="139">
        <v>0</v>
      </c>
      <c r="I13" s="22"/>
      <c r="J13" s="22"/>
      <c r="K13" s="22">
        <f t="shared" si="0"/>
        <v>202606</v>
      </c>
      <c r="L13" s="40"/>
      <c r="M13"/>
      <c r="N13"/>
      <c r="O13"/>
      <c r="P13"/>
      <c r="Q13"/>
      <c r="R13"/>
      <c r="S13"/>
      <c r="T13"/>
      <c r="U13"/>
      <c r="V13"/>
      <c r="W13" s="41"/>
      <c r="X13" s="41"/>
      <c r="Y13" s="41"/>
    </row>
    <row r="14" s="27" customFormat="1" ht="19" hidden="1" customHeight="1" spans="1:25 16367:16379">
      <c r="A14" s="133">
        <f>IF(B14="","",COUNTA($B$5:B14))</f>
        <v>10</v>
      </c>
      <c r="B14" s="140">
        <v>46174</v>
      </c>
      <c r="C14" s="135" t="s">
        <v>108</v>
      </c>
      <c r="D14" s="133"/>
      <c r="E14" s="141" t="s">
        <v>100</v>
      </c>
      <c r="F14" s="142"/>
      <c r="G14" s="142"/>
      <c r="H14" s="139">
        <v>0</v>
      </c>
      <c r="I14" s="22"/>
      <c r="J14" s="22"/>
      <c r="K14" s="22">
        <f t="shared" si="0"/>
        <v>202606</v>
      </c>
      <c r="L14" s="40"/>
      <c r="M14"/>
      <c r="N14"/>
      <c r="O14"/>
      <c r="P14"/>
      <c r="Q14"/>
      <c r="R14"/>
      <c r="S14"/>
      <c r="T14"/>
      <c r="U14"/>
      <c r="V14"/>
      <c r="W14" s="41"/>
      <c r="X14" s="41"/>
      <c r="Y14" s="41"/>
    </row>
    <row r="15" s="27" customFormat="1" ht="19" hidden="1" customHeight="1" spans="1:25 16367:16379">
      <c r="A15" s="133">
        <f>IF(B15="","",COUNTA($B$5:B15))</f>
        <v>11</v>
      </c>
      <c r="B15" s="140">
        <v>46174</v>
      </c>
      <c r="C15" s="135" t="s">
        <v>109</v>
      </c>
      <c r="D15" s="133"/>
      <c r="E15" s="141" t="s">
        <v>100</v>
      </c>
      <c r="F15" s="142"/>
      <c r="G15" s="142"/>
      <c r="H15" s="139">
        <v>0</v>
      </c>
      <c r="I15" s="22"/>
      <c r="J15" s="22"/>
      <c r="K15" s="22">
        <f t="shared" si="0"/>
        <v>202606</v>
      </c>
      <c r="L15" s="40"/>
      <c r="M15"/>
      <c r="N15"/>
      <c r="O15"/>
      <c r="P15"/>
      <c r="Q15"/>
      <c r="R15"/>
      <c r="S15"/>
      <c r="T15"/>
      <c r="U15"/>
      <c r="V15"/>
      <c r="W15" s="41"/>
      <c r="X15" s="41"/>
      <c r="Y15" s="41"/>
    </row>
    <row r="16" s="27" customFormat="1" ht="19" hidden="1" customHeight="1" spans="1:25 16367:16379">
      <c r="A16" s="133">
        <f>IF(B16="","",COUNTA($B$5:B16))</f>
        <v>12</v>
      </c>
      <c r="B16" s="140">
        <v>46174</v>
      </c>
      <c r="C16" s="135" t="s">
        <v>110</v>
      </c>
      <c r="D16" s="133"/>
      <c r="E16" s="141" t="s">
        <v>100</v>
      </c>
      <c r="F16" s="142"/>
      <c r="G16" s="142"/>
      <c r="H16" s="139">
        <v>0</v>
      </c>
      <c r="I16" s="22"/>
      <c r="J16" s="22"/>
      <c r="K16" s="22">
        <f t="shared" si="0"/>
        <v>202606</v>
      </c>
      <c r="L16" s="40"/>
      <c r="M16"/>
      <c r="N16"/>
      <c r="O16"/>
      <c r="P16"/>
      <c r="Q16"/>
      <c r="R16"/>
      <c r="S16"/>
      <c r="T16"/>
      <c r="U16"/>
      <c r="V16"/>
      <c r="W16" s="41"/>
      <c r="X16" s="41"/>
      <c r="Y16" s="41"/>
    </row>
    <row r="17" s="27" customFormat="1" ht="19" hidden="1" customHeight="1" spans="1:25">
      <c r="A17" s="133">
        <f>IF(B17="","",COUNTA($B$5:B17))</f>
        <v>13</v>
      </c>
      <c r="B17" s="140">
        <v>46174</v>
      </c>
      <c r="C17" s="135" t="s">
        <v>111</v>
      </c>
      <c r="D17" s="133"/>
      <c r="E17" s="141" t="s">
        <v>100</v>
      </c>
      <c r="F17" s="142"/>
      <c r="G17" s="142"/>
      <c r="H17" s="139">
        <v>0</v>
      </c>
      <c r="I17" s="22"/>
      <c r="J17" s="22"/>
      <c r="K17" s="22">
        <f t="shared" si="0"/>
        <v>202606</v>
      </c>
      <c r="L17" s="40"/>
      <c r="M17"/>
      <c r="N17"/>
      <c r="O17"/>
      <c r="P17"/>
      <c r="Q17"/>
      <c r="R17"/>
      <c r="S17"/>
      <c r="T17"/>
      <c r="U17"/>
      <c r="V17"/>
      <c r="W17" s="41"/>
      <c r="X17" s="41"/>
      <c r="Y17" s="41"/>
    </row>
    <row r="18" s="27" customFormat="1" ht="19" hidden="1" customHeight="1" spans="1:25">
      <c r="A18" s="133">
        <f>IF(B18="","",COUNTA($B$5:B18))</f>
        <v>14</v>
      </c>
      <c r="B18" s="140">
        <v>46174</v>
      </c>
      <c r="C18" s="135" t="s">
        <v>112</v>
      </c>
      <c r="D18" s="133"/>
      <c r="E18" s="141" t="s">
        <v>100</v>
      </c>
      <c r="F18" s="142"/>
      <c r="G18" s="142"/>
      <c r="H18" s="139">
        <v>0</v>
      </c>
      <c r="I18" s="22"/>
      <c r="J18" s="22"/>
      <c r="K18" s="22">
        <f t="shared" si="0"/>
        <v>202606</v>
      </c>
      <c r="L18" s="40"/>
      <c r="M18"/>
      <c r="N18"/>
      <c r="O18"/>
      <c r="P18"/>
      <c r="Q18"/>
      <c r="R18"/>
      <c r="S18"/>
      <c r="T18"/>
      <c r="U18"/>
      <c r="V18"/>
      <c r="W18" s="41"/>
      <c r="X18" s="41"/>
      <c r="Y18" s="41"/>
    </row>
    <row r="19" s="27" customFormat="1" ht="19" hidden="1" customHeight="1" spans="1:25">
      <c r="A19" s="133">
        <f>IF(B19="","",COUNTA($B$5:B19))</f>
        <v>15</v>
      </c>
      <c r="B19" s="143">
        <v>46127</v>
      </c>
      <c r="C19" s="144" t="s">
        <v>49</v>
      </c>
      <c r="D19" s="145"/>
      <c r="E19" s="146" t="s">
        <v>113</v>
      </c>
      <c r="F19" s="139">
        <v>200</v>
      </c>
      <c r="G19" s="139"/>
      <c r="H19" s="142">
        <f>IFERROR(VLOOKUP($C19,$C$5:$H$18,6,0)+SUMIF($C$19:$C19,$C19,$F$19:$F19)-SUMIF($C$19:$C19,$C19,$G$19:$G19),"")</f>
        <v>200</v>
      </c>
      <c r="I19" s="144"/>
      <c r="J19" s="144"/>
      <c r="K19" s="22">
        <f t="shared" si="0"/>
        <v>202604</v>
      </c>
      <c r="L19" s="40"/>
      <c r="M19"/>
      <c r="N19"/>
      <c r="O19"/>
      <c r="P19"/>
      <c r="Q19"/>
      <c r="R19"/>
      <c r="S19"/>
      <c r="T19"/>
      <c r="U19"/>
      <c r="V19"/>
      <c r="W19" s="41"/>
      <c r="X19" s="41"/>
      <c r="Y19" s="41"/>
    </row>
    <row r="20" s="27" customFormat="1" ht="19" hidden="1" customHeight="1" spans="1:25">
      <c r="A20" s="133">
        <f>IF(B20="","",COUNTA($B$5:B20))</f>
        <v>16</v>
      </c>
      <c r="B20" s="143">
        <v>46127</v>
      </c>
      <c r="C20" s="144" t="s">
        <v>49</v>
      </c>
      <c r="D20" s="145" t="s">
        <v>77</v>
      </c>
      <c r="E20" s="146" t="s">
        <v>114</v>
      </c>
      <c r="F20" s="139"/>
      <c r="G20" s="139">
        <v>43.12</v>
      </c>
      <c r="H20" s="142">
        <f>IFERROR(VLOOKUP($C20,$C$5:$H$18,6,0)+SUMIF($C$19:$C20,$C20,$F$19:$F20)-SUMIF($C$19:$C20,$C20,$G$19:$G20),"")</f>
        <v>156.88</v>
      </c>
      <c r="I20" s="144"/>
      <c r="J20" s="144"/>
      <c r="K20" s="22">
        <f t="shared" si="0"/>
        <v>202604</v>
      </c>
      <c r="L20" s="40"/>
      <c r="M20"/>
      <c r="N20"/>
      <c r="O20"/>
      <c r="P20"/>
      <c r="Q20"/>
      <c r="R20"/>
      <c r="S20"/>
      <c r="T20"/>
      <c r="U20"/>
      <c r="V20"/>
      <c r="W20" s="41"/>
      <c r="X20" s="41"/>
      <c r="Y20" s="41"/>
    </row>
    <row r="21" s="27" customFormat="1" ht="19" hidden="1" customHeight="1" spans="1:25">
      <c r="A21" s="133">
        <f>IF(B21="","",COUNTA($B$5:B21))</f>
        <v>17</v>
      </c>
      <c r="B21" s="143">
        <v>46127</v>
      </c>
      <c r="C21" s="144" t="s">
        <v>49</v>
      </c>
      <c r="D21" s="145" t="s">
        <v>77</v>
      </c>
      <c r="E21" s="146" t="s">
        <v>115</v>
      </c>
      <c r="F21" s="139"/>
      <c r="G21" s="139">
        <v>16</v>
      </c>
      <c r="H21" s="142">
        <f>IFERROR(VLOOKUP($C21,$C$5:$H$18,6,0)+SUMIF($C$19:$C21,$C21,$F$19:$F21)-SUMIF($C$19:$C21,$C21,$G$19:$G21),"")</f>
        <v>140.88</v>
      </c>
      <c r="I21" s="144"/>
      <c r="J21" s="144"/>
      <c r="K21" s="22">
        <f t="shared" si="0"/>
        <v>202604</v>
      </c>
      <c r="L21" s="40"/>
      <c r="M21"/>
      <c r="N21"/>
      <c r="O21"/>
      <c r="P21"/>
      <c r="Q21"/>
      <c r="R21"/>
      <c r="S21"/>
      <c r="T21"/>
      <c r="U21"/>
      <c r="V21"/>
      <c r="W21" s="41"/>
      <c r="X21" s="41"/>
      <c r="Y21" s="41"/>
    </row>
    <row r="22" s="27" customFormat="1" ht="19" hidden="1" customHeight="1" spans="1:25">
      <c r="A22" s="133">
        <f>IF(B22="","",COUNTA($B$5:B22))</f>
        <v>18</v>
      </c>
      <c r="B22" s="143">
        <v>46127</v>
      </c>
      <c r="C22" s="144" t="s">
        <v>49</v>
      </c>
      <c r="D22" s="145" t="s">
        <v>77</v>
      </c>
      <c r="E22" s="146" t="s">
        <v>116</v>
      </c>
      <c r="F22" s="139"/>
      <c r="G22" s="139">
        <v>10</v>
      </c>
      <c r="H22" s="142">
        <f>IFERROR(VLOOKUP($C22,$C$5:$H$18,6,0)+SUMIF($C$19:$C22,$C22,$F$19:$F22)-SUMIF($C$19:$C22,$C22,$G$19:$G22),"")</f>
        <v>130.88</v>
      </c>
      <c r="I22" s="144"/>
      <c r="J22" s="144"/>
      <c r="K22" s="22">
        <f t="shared" si="0"/>
        <v>202604</v>
      </c>
      <c r="L22" s="40"/>
      <c r="M22"/>
      <c r="N22"/>
      <c r="O22"/>
      <c r="P22"/>
      <c r="Q22"/>
      <c r="R22"/>
      <c r="S22"/>
      <c r="T22"/>
      <c r="U22"/>
      <c r="V22"/>
      <c r="W22" s="41"/>
      <c r="X22" s="41"/>
      <c r="Y22" s="41"/>
    </row>
    <row r="23" s="27" customFormat="1" ht="27" hidden="1" customHeight="1" spans="1:25">
      <c r="A23" s="133">
        <f>IF(B23="","",COUNTA($B$5:B23))</f>
        <v>19</v>
      </c>
      <c r="B23" s="143">
        <v>46128</v>
      </c>
      <c r="C23" s="144" t="s">
        <v>49</v>
      </c>
      <c r="D23" s="145" t="s">
        <v>77</v>
      </c>
      <c r="E23" s="146" t="s">
        <v>117</v>
      </c>
      <c r="F23" s="139"/>
      <c r="G23" s="139">
        <v>130.88</v>
      </c>
      <c r="H23" s="142">
        <f>IFERROR(VLOOKUP($C23,$C$5:$H$18,6,0)+SUMIF($C$19:$C23,$C23,$F$19:$F23)-SUMIF($C$19:$C23,$C23,$G$19:$G23),"")</f>
        <v>0</v>
      </c>
      <c r="I23" s="144"/>
      <c r="J23" s="144"/>
      <c r="K23" s="22">
        <f t="shared" si="0"/>
        <v>202604</v>
      </c>
      <c r="L23" s="40"/>
      <c r="M23"/>
      <c r="N23"/>
      <c r="O23"/>
      <c r="P23"/>
      <c r="Q23"/>
      <c r="R23"/>
      <c r="S23"/>
      <c r="T23"/>
      <c r="U23"/>
      <c r="V23"/>
      <c r="W23" s="41"/>
      <c r="X23" s="41"/>
      <c r="Y23" s="41"/>
    </row>
    <row r="24" s="27" customFormat="1" ht="19" hidden="1" customHeight="1" spans="1:25">
      <c r="A24" s="133">
        <f>IF(B24="","",COUNTA($B$5:B24))</f>
        <v>20</v>
      </c>
      <c r="B24" s="143">
        <v>46129</v>
      </c>
      <c r="C24" s="144" t="s">
        <v>49</v>
      </c>
      <c r="D24" s="145"/>
      <c r="E24" s="146" t="s">
        <v>118</v>
      </c>
      <c r="F24" s="139">
        <v>10000</v>
      </c>
      <c r="G24" s="139"/>
      <c r="H24" s="142">
        <f>IFERROR(VLOOKUP($C24,$C$5:$H$18,6,0)+SUMIF($C$19:$C24,$C24,$F$19:$F24)-SUMIF($C$19:$C24,$C24,$G$19:$G24),"")</f>
        <v>10000</v>
      </c>
      <c r="I24" s="144"/>
      <c r="J24" s="144"/>
      <c r="K24" s="22">
        <f t="shared" si="0"/>
        <v>202604</v>
      </c>
      <c r="L24" s="40"/>
      <c r="M24"/>
      <c r="N24"/>
      <c r="O24"/>
      <c r="P24"/>
      <c r="Q24"/>
      <c r="R24"/>
      <c r="S24"/>
      <c r="T24"/>
      <c r="U24"/>
      <c r="V24"/>
      <c r="W24" s="41"/>
      <c r="X24" s="41"/>
      <c r="Y24" s="41"/>
    </row>
    <row r="25" s="27" customFormat="1" ht="19" hidden="1" customHeight="1" spans="1:25">
      <c r="A25" s="133">
        <f>IF(B25="","",COUNTA($B$5:B25))</f>
        <v>21</v>
      </c>
      <c r="B25" s="143">
        <v>46129</v>
      </c>
      <c r="C25" s="144" t="s">
        <v>49</v>
      </c>
      <c r="D25" s="145" t="s">
        <v>77</v>
      </c>
      <c r="E25" s="146" t="s">
        <v>119</v>
      </c>
      <c r="F25" s="139"/>
      <c r="G25" s="139">
        <v>19.12</v>
      </c>
      <c r="H25" s="142">
        <f>IFERROR(VLOOKUP($C25,$C$5:$H$18,6,0)+SUMIF($C$19:$C25,$C25,$F$19:$F25)-SUMIF($C$19:$C25,$C25,$G$19:$G25),"")</f>
        <v>9980.88</v>
      </c>
      <c r="I25" s="144"/>
      <c r="J25" s="144"/>
      <c r="K25" s="22">
        <f t="shared" si="0"/>
        <v>202604</v>
      </c>
      <c r="L25" s="40"/>
      <c r="M25"/>
      <c r="N25"/>
      <c r="O25"/>
      <c r="P25"/>
      <c r="Q25"/>
      <c r="R25"/>
      <c r="S25"/>
      <c r="T25"/>
      <c r="U25"/>
      <c r="V25"/>
      <c r="W25" s="41"/>
      <c r="X25" s="41"/>
      <c r="Y25" s="41"/>
    </row>
    <row r="26" s="27" customFormat="1" ht="19" hidden="1" customHeight="1" spans="1:25">
      <c r="A26" s="133">
        <f>IF(B26="","",COUNTA($B$5:B26))</f>
        <v>22</v>
      </c>
      <c r="B26" s="143">
        <v>46129</v>
      </c>
      <c r="C26" s="144" t="s">
        <v>49</v>
      </c>
      <c r="D26" s="145" t="s">
        <v>77</v>
      </c>
      <c r="E26" s="146" t="s">
        <v>120</v>
      </c>
      <c r="F26" s="139"/>
      <c r="G26" s="139">
        <v>100</v>
      </c>
      <c r="H26" s="142">
        <f>IFERROR(VLOOKUP($C26,$C$5:$H$18,6,0)+SUMIF($C$19:$C26,$C26,$F$19:$F26)-SUMIF($C$19:$C26,$C26,$G$19:$G26),"")</f>
        <v>9880.88</v>
      </c>
      <c r="I26" s="144"/>
      <c r="J26" s="144"/>
      <c r="K26" s="22">
        <f t="shared" si="0"/>
        <v>202604</v>
      </c>
      <c r="L26" s="40"/>
      <c r="M26"/>
      <c r="N26"/>
      <c r="O26"/>
      <c r="P26"/>
      <c r="Q26"/>
      <c r="R26"/>
      <c r="S26"/>
      <c r="T26"/>
      <c r="U26"/>
      <c r="V26"/>
      <c r="W26" s="41"/>
      <c r="X26" s="41"/>
      <c r="Y26" s="41"/>
    </row>
    <row r="27" s="27" customFormat="1" ht="19" hidden="1" customHeight="1" spans="1:25">
      <c r="A27" s="133">
        <f>IF(B27="","",COUNTA($B$5:B27))</f>
        <v>23</v>
      </c>
      <c r="B27" s="143">
        <v>46136</v>
      </c>
      <c r="C27" s="144" t="s">
        <v>49</v>
      </c>
      <c r="D27" s="145" t="s">
        <v>50</v>
      </c>
      <c r="E27" s="146" t="s">
        <v>121</v>
      </c>
      <c r="F27" s="139"/>
      <c r="G27" s="139">
        <v>0.05</v>
      </c>
      <c r="H27" s="142">
        <f>IFERROR(VLOOKUP($C27,$C$5:$H$18,6,0)+SUMIF($C$19:$C27,$C27,$F$19:$F27)-SUMIF($C$19:$C27,$C27,$G$19:$G27),"")</f>
        <v>9880.83</v>
      </c>
      <c r="I27" s="144"/>
      <c r="J27" s="144"/>
      <c r="K27" s="22">
        <f t="shared" si="0"/>
        <v>202604</v>
      </c>
      <c r="M27"/>
      <c r="N27"/>
      <c r="O27"/>
      <c r="P27"/>
      <c r="Q27"/>
      <c r="R27"/>
      <c r="S27"/>
      <c r="T27"/>
      <c r="U27"/>
      <c r="V27"/>
      <c r="W27" s="41"/>
      <c r="X27" s="41"/>
      <c r="Y27" s="41"/>
    </row>
    <row r="28" s="27" customFormat="1" ht="19" hidden="1" customHeight="1" spans="1:25">
      <c r="A28" s="133">
        <f>IF(B28="","",COUNTA($B$5:B28))</f>
        <v>24</v>
      </c>
      <c r="B28" s="143">
        <v>46136</v>
      </c>
      <c r="C28" s="144" t="s">
        <v>49</v>
      </c>
      <c r="D28" s="145" t="s">
        <v>77</v>
      </c>
      <c r="E28" s="146" t="s">
        <v>122</v>
      </c>
      <c r="F28" s="139"/>
      <c r="G28" s="139">
        <v>4.5</v>
      </c>
      <c r="H28" s="142">
        <f>IFERROR(VLOOKUP($C28,$C$5:$H$18,6,0)+SUMIF($C$19:$C28,$C28,$F$19:$F28)-SUMIF($C$19:$C28,$C28,$G$19:$G28),"")</f>
        <v>9876.33</v>
      </c>
      <c r="I28" s="144"/>
      <c r="J28" s="144"/>
      <c r="K28" s="22">
        <f t="shared" si="0"/>
        <v>202604</v>
      </c>
      <c r="M28"/>
      <c r="N28"/>
      <c r="O28"/>
      <c r="P28"/>
      <c r="Q28"/>
      <c r="R28"/>
      <c r="S28"/>
      <c r="T28"/>
      <c r="U28"/>
      <c r="V28"/>
      <c r="W28" s="41"/>
      <c r="X28" s="41"/>
      <c r="Y28" s="41"/>
    </row>
    <row r="29" s="27" customFormat="1" ht="20" hidden="1" customHeight="1" spans="1:25">
      <c r="A29" s="133">
        <f>IF(B29="","",COUNTA($B$5:B29))</f>
        <v>25</v>
      </c>
      <c r="B29" s="143">
        <v>46140</v>
      </c>
      <c r="C29" s="144" t="s">
        <v>49</v>
      </c>
      <c r="D29" s="145"/>
      <c r="E29" s="146" t="s">
        <v>123</v>
      </c>
      <c r="F29" s="139">
        <v>0.05</v>
      </c>
      <c r="G29" s="139"/>
      <c r="H29" s="142">
        <f>IFERROR(VLOOKUP($C29,$C$5:$H$18,6,0)+SUMIF($C$19:$C29,$C29,$F$19:$F29)-SUMIF($C$19:$C29,$C29,$G$19:$G29),"")</f>
        <v>9876.38</v>
      </c>
      <c r="I29" s="144"/>
      <c r="J29" s="144"/>
      <c r="K29" s="22">
        <f t="shared" si="0"/>
        <v>202604</v>
      </c>
      <c r="L29" s="40"/>
      <c r="M29"/>
      <c r="N29"/>
      <c r="O29"/>
      <c r="P29"/>
      <c r="Q29"/>
      <c r="R29"/>
      <c r="S29"/>
      <c r="T29"/>
      <c r="U29"/>
      <c r="V29"/>
      <c r="W29" s="41"/>
      <c r="X29" s="41"/>
      <c r="Y29" s="41"/>
    </row>
    <row r="30" s="27" customFormat="1" ht="23" hidden="1" customHeight="1" spans="1:25">
      <c r="A30" s="133">
        <f>IF(B30="","",COUNTA($B$5:B30))</f>
        <v>26</v>
      </c>
      <c r="B30" s="143">
        <v>46142</v>
      </c>
      <c r="C30" s="144" t="s">
        <v>49</v>
      </c>
      <c r="D30" s="145"/>
      <c r="E30" s="146" t="s">
        <v>118</v>
      </c>
      <c r="F30" s="139">
        <v>70000</v>
      </c>
      <c r="G30" s="139"/>
      <c r="H30" s="142">
        <f>IFERROR(VLOOKUP($C30,$C$5:$H$18,6,0)+SUMIF($C$19:$C30,$C30,$F$19:$F30)-SUMIF($C$19:$C30,$C30,$G$19:$G30),"")</f>
        <v>79876.38</v>
      </c>
      <c r="I30" s="144"/>
      <c r="J30" s="144"/>
      <c r="K30" s="22">
        <f t="shared" si="0"/>
        <v>202604</v>
      </c>
      <c r="L30" s="40"/>
      <c r="M30"/>
      <c r="N30"/>
      <c r="O30"/>
      <c r="P30"/>
      <c r="Q30"/>
      <c r="R30"/>
      <c r="S30"/>
      <c r="T30"/>
      <c r="U30"/>
      <c r="V30"/>
      <c r="W30" s="41"/>
      <c r="X30" s="41"/>
      <c r="Y30" s="41"/>
    </row>
    <row r="31" s="27" customFormat="1" ht="23" hidden="1" customHeight="1" spans="1:25">
      <c r="A31" s="133">
        <f>IF(B31="","",COUNTA($B$5:B31))</f>
        <v>27</v>
      </c>
      <c r="B31" s="143">
        <v>46142</v>
      </c>
      <c r="C31" s="144" t="s">
        <v>49</v>
      </c>
      <c r="D31" s="145"/>
      <c r="E31" s="146" t="s">
        <v>118</v>
      </c>
      <c r="F31" s="139">
        <v>50000</v>
      </c>
      <c r="G31" s="139"/>
      <c r="H31" s="142">
        <f>IFERROR(VLOOKUP($C31,$C$5:$H$18,6,0)+SUMIF($C$19:$C31,$C31,$F$19:$F31)-SUMIF($C$19:$C31,$C31,$G$19:$G31),"")</f>
        <v>129876.38</v>
      </c>
      <c r="I31" s="144"/>
      <c r="J31" s="144"/>
      <c r="K31" s="22">
        <f t="shared" si="0"/>
        <v>202604</v>
      </c>
      <c r="L31" s="40"/>
      <c r="M31"/>
      <c r="N31"/>
      <c r="O31"/>
      <c r="P31"/>
      <c r="Q31"/>
      <c r="R31"/>
      <c r="S31"/>
      <c r="T31"/>
      <c r="U31"/>
      <c r="V31"/>
      <c r="W31" s="41"/>
      <c r="X31" s="41"/>
      <c r="Y31" s="41"/>
    </row>
    <row r="32" s="27" customFormat="1" ht="23" hidden="1" customHeight="1" spans="1:25">
      <c r="A32" s="133">
        <f>IF(B32="","",COUNTA($B$5:B32))</f>
        <v>28</v>
      </c>
      <c r="B32" s="143">
        <v>46142</v>
      </c>
      <c r="C32" s="144" t="s">
        <v>49</v>
      </c>
      <c r="D32" s="145"/>
      <c r="E32" s="146" t="s">
        <v>124</v>
      </c>
      <c r="F32" s="139">
        <v>20500</v>
      </c>
      <c r="G32" s="139"/>
      <c r="H32" s="142">
        <f>IFERROR(VLOOKUP($C32,$C$5:$H$18,6,0)+SUMIF($C$19:$C32,$C32,$F$19:$F32)-SUMIF($C$19:$C32,$C32,$G$19:$G32),"")</f>
        <v>150376.38</v>
      </c>
      <c r="I32" s="144"/>
      <c r="J32" s="144"/>
      <c r="K32" s="22">
        <f t="shared" si="0"/>
        <v>202604</v>
      </c>
      <c r="L32" s="40"/>
      <c r="M32"/>
      <c r="N32"/>
      <c r="O32"/>
      <c r="P32"/>
      <c r="Q32"/>
      <c r="R32"/>
      <c r="S32"/>
      <c r="T32"/>
      <c r="U32"/>
      <c r="V32"/>
      <c r="W32" s="41"/>
      <c r="X32" s="41"/>
      <c r="Y32" s="41"/>
    </row>
    <row r="33" s="27" customFormat="1" ht="23" hidden="1" customHeight="1" spans="1:25">
      <c r="A33" s="133">
        <f>IF(B33="","",COUNTA($B$5:B33))</f>
        <v>29</v>
      </c>
      <c r="B33" s="143">
        <v>46142</v>
      </c>
      <c r="C33" s="144" t="s">
        <v>49</v>
      </c>
      <c r="D33" s="145" t="s">
        <v>125</v>
      </c>
      <c r="E33" s="146" t="s">
        <v>126</v>
      </c>
      <c r="F33" s="139"/>
      <c r="G33" s="139">
        <v>150000</v>
      </c>
      <c r="H33" s="142">
        <f>IFERROR(VLOOKUP($C33,$C$5:$H$18,6,0)+SUMIF($C$19:$C33,$C33,$F$19:$F33)-SUMIF($C$19:$C33,$C33,$G$19:$G33),"")</f>
        <v>376.379999999976</v>
      </c>
      <c r="I33" s="144"/>
      <c r="J33" s="144" t="s">
        <v>45</v>
      </c>
      <c r="K33" s="22">
        <f t="shared" si="0"/>
        <v>202604</v>
      </c>
      <c r="L33" s="40"/>
      <c r="M33"/>
      <c r="N33"/>
      <c r="O33"/>
      <c r="P33"/>
      <c r="Q33"/>
      <c r="R33"/>
      <c r="S33"/>
      <c r="T33"/>
      <c r="U33"/>
      <c r="V33"/>
      <c r="W33" s="41"/>
      <c r="X33" s="41"/>
      <c r="Y33" s="41"/>
    </row>
    <row r="34" s="27" customFormat="1" ht="23" hidden="1" customHeight="1" spans="1:25">
      <c r="A34" s="133">
        <f>IF(B34="","",COUNTA($B$5:B34))</f>
        <v>30</v>
      </c>
      <c r="B34" s="143">
        <v>46142</v>
      </c>
      <c r="C34" s="144" t="s">
        <v>49</v>
      </c>
      <c r="D34" s="145" t="s">
        <v>77</v>
      </c>
      <c r="E34" s="146" t="s">
        <v>122</v>
      </c>
      <c r="F34" s="139"/>
      <c r="G34" s="139">
        <v>15</v>
      </c>
      <c r="H34" s="142">
        <f>IFERROR(VLOOKUP($C34,$C$5:$H$18,6,0)+SUMIF($C$19:$C34,$C34,$F$19:$F34)-SUMIF($C$19:$C34,$C34,$G$19:$G34),"")</f>
        <v>361.379999999976</v>
      </c>
      <c r="I34" s="144"/>
      <c r="J34" s="144"/>
      <c r="K34" s="22">
        <f t="shared" si="0"/>
        <v>202604</v>
      </c>
      <c r="L34" s="40"/>
      <c r="M34"/>
      <c r="N34"/>
      <c r="O34"/>
      <c r="P34"/>
      <c r="Q34"/>
      <c r="R34"/>
      <c r="S34"/>
      <c r="T34"/>
      <c r="U34"/>
      <c r="V34"/>
      <c r="W34" s="41"/>
      <c r="X34" s="41"/>
      <c r="Y34" s="41"/>
    </row>
    <row r="35" s="27" customFormat="1" ht="23" hidden="1" customHeight="1" spans="1:25">
      <c r="A35" s="133">
        <f>IF(B35="","",COUNTA($B$5:B35))</f>
        <v>31</v>
      </c>
      <c r="B35" s="143">
        <v>46146</v>
      </c>
      <c r="C35" s="144" t="s">
        <v>49</v>
      </c>
      <c r="D35" s="145"/>
      <c r="E35" s="146" t="s">
        <v>118</v>
      </c>
      <c r="F35" s="139">
        <v>90000</v>
      </c>
      <c r="G35" s="139"/>
      <c r="H35" s="142">
        <f>IFERROR(VLOOKUP($C35,$C$5:$H$18,6,0)+SUMIF($C$19:$C35,$C35,$F$19:$F35)-SUMIF($C$19:$C35,$C35,$G$19:$G35),"")</f>
        <v>90361.38</v>
      </c>
      <c r="I35" s="144"/>
      <c r="J35" s="144"/>
      <c r="K35" s="22">
        <f t="shared" si="0"/>
        <v>202605</v>
      </c>
      <c r="L35" s="40"/>
      <c r="M35"/>
      <c r="N35"/>
      <c r="O35"/>
      <c r="P35"/>
      <c r="Q35"/>
      <c r="R35"/>
      <c r="S35"/>
      <c r="T35"/>
      <c r="U35"/>
      <c r="V35"/>
      <c r="W35" s="41"/>
      <c r="X35" s="41"/>
      <c r="Y35" s="41"/>
    </row>
    <row r="36" s="27" customFormat="1" ht="23" hidden="1" customHeight="1" spans="1:25">
      <c r="A36" s="133">
        <f>IF(B36="","",COUNTA($B$5:B36))</f>
        <v>32</v>
      </c>
      <c r="B36" s="143">
        <v>46146</v>
      </c>
      <c r="C36" s="144" t="s">
        <v>49</v>
      </c>
      <c r="D36" s="145" t="s">
        <v>125</v>
      </c>
      <c r="E36" s="146" t="s">
        <v>126</v>
      </c>
      <c r="F36" s="139"/>
      <c r="G36" s="139">
        <v>82400</v>
      </c>
      <c r="H36" s="142">
        <f>IFERROR(VLOOKUP($C36,$C$5:$H$18,6,0)+SUMIF($C$19:$C36,$C36,$F$19:$F36)-SUMIF($C$19:$C36,$C36,$G$19:$G36),"")</f>
        <v>7961.37999999998</v>
      </c>
      <c r="I36" s="144"/>
      <c r="J36" s="144" t="s">
        <v>45</v>
      </c>
      <c r="K36" s="22">
        <f t="shared" si="0"/>
        <v>202605</v>
      </c>
      <c r="L36" s="40"/>
      <c r="M36"/>
      <c r="N36"/>
      <c r="O36"/>
      <c r="P36"/>
      <c r="Q36"/>
      <c r="R36"/>
      <c r="S36"/>
      <c r="T36"/>
      <c r="U36"/>
      <c r="V36"/>
      <c r="W36" s="41"/>
      <c r="X36" s="41"/>
      <c r="Y36" s="41"/>
    </row>
    <row r="37" s="27" customFormat="1" ht="23" hidden="1" customHeight="1" spans="1:25">
      <c r="A37" s="133">
        <f>IF(B37="","",COUNTA($B$5:B37))</f>
        <v>33</v>
      </c>
      <c r="B37" s="143">
        <v>46146</v>
      </c>
      <c r="C37" s="144" t="s">
        <v>49</v>
      </c>
      <c r="D37" s="145" t="s">
        <v>77</v>
      </c>
      <c r="E37" s="146" t="s">
        <v>122</v>
      </c>
      <c r="F37" s="139"/>
      <c r="G37" s="139">
        <v>9</v>
      </c>
      <c r="H37" s="142">
        <f>IFERROR(VLOOKUP($C37,$C$5:$H$18,6,0)+SUMIF($C$19:$C37,$C37,$F$19:$F37)-SUMIF($C$19:$C37,$C37,$G$19:$G37),"")</f>
        <v>7952.37999999998</v>
      </c>
      <c r="I37" s="144"/>
      <c r="J37" s="144"/>
      <c r="K37" s="22">
        <f t="shared" si="0"/>
        <v>202605</v>
      </c>
      <c r="L37" s="40"/>
      <c r="M37"/>
      <c r="N37"/>
      <c r="O37"/>
      <c r="P37"/>
      <c r="Q37"/>
      <c r="R37"/>
      <c r="S37"/>
      <c r="T37"/>
      <c r="U37"/>
      <c r="V37"/>
      <c r="W37" s="41"/>
      <c r="X37" s="41"/>
      <c r="Y37" s="41"/>
    </row>
    <row r="38" s="27" customFormat="1" ht="23" hidden="1" customHeight="1" spans="1:25">
      <c r="A38" s="133">
        <f>IF(B38="","",COUNTA($B$5:B38))</f>
        <v>34</v>
      </c>
      <c r="B38" s="143">
        <v>46151</v>
      </c>
      <c r="C38" s="144" t="s">
        <v>49</v>
      </c>
      <c r="D38" s="145" t="s">
        <v>80</v>
      </c>
      <c r="E38" s="146" t="s">
        <v>127</v>
      </c>
      <c r="F38" s="139"/>
      <c r="G38" s="139">
        <v>450</v>
      </c>
      <c r="H38" s="142">
        <f>IFERROR(VLOOKUP($C38,$C$5:$H$18,6,0)+SUMIF($C$19:$C38,$C38,$F$19:$F38)-SUMIF($C$19:$C38,$C38,$G$19:$G38),"")</f>
        <v>7502.37999999998</v>
      </c>
      <c r="I38" s="144"/>
      <c r="J38" s="144"/>
      <c r="K38" s="22">
        <f t="shared" si="0"/>
        <v>202605</v>
      </c>
      <c r="L38" s="40"/>
      <c r="M38"/>
      <c r="N38"/>
      <c r="O38"/>
      <c r="P38"/>
      <c r="Q38"/>
      <c r="R38"/>
      <c r="S38"/>
      <c r="T38"/>
      <c r="U38"/>
      <c r="V38"/>
      <c r="W38" s="41"/>
      <c r="X38" s="41"/>
      <c r="Y38" s="41"/>
    </row>
    <row r="39" s="27" customFormat="1" ht="23" hidden="1" customHeight="1" spans="1:25">
      <c r="A39" s="133">
        <f>IF(B39="","",COUNTA($B$5:B39))</f>
        <v>35</v>
      </c>
      <c r="B39" s="143">
        <v>46154</v>
      </c>
      <c r="C39" s="144" t="s">
        <v>49</v>
      </c>
      <c r="D39" s="145" t="s">
        <v>62</v>
      </c>
      <c r="E39" s="146" t="s">
        <v>128</v>
      </c>
      <c r="F39" s="139"/>
      <c r="G39" s="139">
        <v>4500</v>
      </c>
      <c r="H39" s="142">
        <f>IFERROR(VLOOKUP($C39,$C$5:$H$18,6,0)+SUMIF($C$19:$C39,$C39,$F$19:$F39)-SUMIF($C$19:$C39,$C39,$G$19:$G39),"")</f>
        <v>3002.37999999998</v>
      </c>
      <c r="I39" s="144"/>
      <c r="J39" s="144"/>
      <c r="K39" s="22">
        <f t="shared" si="0"/>
        <v>202605</v>
      </c>
      <c r="L39" s="40"/>
      <c r="M39"/>
      <c r="N39"/>
      <c r="O39"/>
      <c r="P39"/>
      <c r="Q39"/>
      <c r="R39"/>
      <c r="S39"/>
      <c r="T39"/>
      <c r="U39"/>
      <c r="V39"/>
      <c r="W39" s="41"/>
      <c r="X39" s="41"/>
      <c r="Y39" s="41"/>
    </row>
    <row r="40" s="27" customFormat="1" ht="23" hidden="1" customHeight="1" spans="1:25">
      <c r="A40" s="133">
        <f>IF(B40="","",COUNTA($B$5:B40))</f>
        <v>36</v>
      </c>
      <c r="B40" s="143">
        <v>46154</v>
      </c>
      <c r="C40" s="144" t="s">
        <v>49</v>
      </c>
      <c r="D40" s="145" t="s">
        <v>77</v>
      </c>
      <c r="E40" s="146" t="s">
        <v>122</v>
      </c>
      <c r="F40" s="139"/>
      <c r="G40" s="139">
        <v>4.5</v>
      </c>
      <c r="H40" s="142">
        <f>IFERROR(VLOOKUP($C40,$C$5:$H$18,6,0)+SUMIF($C$19:$C40,$C40,$F$19:$F40)-SUMIF($C$19:$C40,$C40,$G$19:$G40),"")</f>
        <v>2997.87999999998</v>
      </c>
      <c r="I40" s="144"/>
      <c r="J40" s="144"/>
      <c r="K40" s="22">
        <f t="shared" si="0"/>
        <v>202605</v>
      </c>
      <c r="L40" s="40"/>
      <c r="M40"/>
      <c r="N40"/>
      <c r="O40"/>
      <c r="P40"/>
      <c r="Q40"/>
      <c r="R40"/>
      <c r="S40"/>
      <c r="T40"/>
      <c r="U40"/>
      <c r="V40"/>
      <c r="W40" s="41"/>
      <c r="X40" s="41"/>
      <c r="Y40" s="41"/>
    </row>
    <row r="41" s="27" customFormat="1" ht="23" hidden="1" customHeight="1" spans="1:25">
      <c r="A41" s="133">
        <f>IF(B41="","",COUNTA($B$5:B41))</f>
        <v>37</v>
      </c>
      <c r="B41" s="143">
        <v>46158</v>
      </c>
      <c r="C41" s="144" t="s">
        <v>49</v>
      </c>
      <c r="D41" s="145"/>
      <c r="E41" s="146" t="s">
        <v>118</v>
      </c>
      <c r="F41" s="139">
        <v>30000</v>
      </c>
      <c r="G41" s="139"/>
      <c r="H41" s="142">
        <f>IFERROR(VLOOKUP($C41,$C$5:$H$18,6,0)+SUMIF($C$19:$C41,$C41,$F$19:$F41)-SUMIF($C$19:$C41,$C41,$G$19:$G41),"")</f>
        <v>32997.88</v>
      </c>
      <c r="I41" s="144"/>
      <c r="J41" s="144"/>
      <c r="K41" s="22">
        <f t="shared" si="0"/>
        <v>202605</v>
      </c>
      <c r="L41" s="40"/>
      <c r="M41"/>
      <c r="N41"/>
      <c r="O41"/>
      <c r="P41"/>
      <c r="Q41"/>
      <c r="R41"/>
      <c r="S41"/>
      <c r="T41"/>
      <c r="U41"/>
      <c r="V41"/>
      <c r="W41" s="41"/>
      <c r="X41" s="41"/>
      <c r="Y41" s="41"/>
    </row>
    <row r="42" s="27" customFormat="1" ht="23" hidden="1" customHeight="1" spans="1:25">
      <c r="A42" s="133">
        <f>IF(B42="","",COUNTA($B$5:B42))</f>
        <v>38</v>
      </c>
      <c r="B42" s="143">
        <v>46162</v>
      </c>
      <c r="C42" s="144" t="s">
        <v>49</v>
      </c>
      <c r="D42" s="145"/>
      <c r="E42" s="146" t="s">
        <v>118</v>
      </c>
      <c r="F42" s="139">
        <v>20000</v>
      </c>
      <c r="G42" s="139"/>
      <c r="H42" s="142">
        <f>IFERROR(VLOOKUP($C42,$C$5:$H$18,6,0)+SUMIF($C$19:$C42,$C42,$F$19:$F42)-SUMIF($C$19:$C42,$C42,$G$19:$G42),"")</f>
        <v>52997.88</v>
      </c>
      <c r="I42" s="144"/>
      <c r="J42" s="144"/>
      <c r="K42" s="22">
        <f t="shared" si="0"/>
        <v>202605</v>
      </c>
      <c r="L42" s="40"/>
      <c r="M42"/>
      <c r="N42"/>
      <c r="O42"/>
      <c r="P42"/>
      <c r="Q42"/>
      <c r="R42"/>
      <c r="S42"/>
      <c r="T42"/>
      <c r="U42"/>
      <c r="V42"/>
      <c r="W42" s="41"/>
      <c r="X42" s="41"/>
      <c r="Y42" s="41"/>
    </row>
    <row r="43" s="27" customFormat="1" ht="23" hidden="1" customHeight="1" spans="1:25">
      <c r="A43" s="133">
        <f>IF(B43="","",COUNTA($B$5:B43))</f>
        <v>39</v>
      </c>
      <c r="B43" s="143">
        <v>46162</v>
      </c>
      <c r="C43" s="144" t="s">
        <v>49</v>
      </c>
      <c r="D43" s="145" t="s">
        <v>83</v>
      </c>
      <c r="E43" s="146" t="s">
        <v>129</v>
      </c>
      <c r="F43" s="139"/>
      <c r="G43" s="139">
        <v>44400</v>
      </c>
      <c r="H43" s="142">
        <f>IFERROR(VLOOKUP($C43,$C$5:$H$18,6,0)+SUMIF($C$19:$C43,$C43,$F$19:$F43)-SUMIF($C$19:$C43,$C43,$G$19:$G43),"")</f>
        <v>8597.87999999995</v>
      </c>
      <c r="I43" s="144"/>
      <c r="J43" s="144"/>
      <c r="K43" s="22">
        <f t="shared" si="0"/>
        <v>202605</v>
      </c>
      <c r="L43" s="40"/>
      <c r="M43"/>
      <c r="N43"/>
      <c r="O43"/>
      <c r="P43"/>
      <c r="Q43"/>
      <c r="R43"/>
      <c r="S43"/>
      <c r="T43"/>
      <c r="U43"/>
      <c r="V43"/>
      <c r="W43" s="41"/>
      <c r="X43" s="41"/>
      <c r="Y43" s="41"/>
    </row>
    <row r="44" s="27" customFormat="1" ht="23" hidden="1" customHeight="1" spans="1:25">
      <c r="A44" s="133">
        <f>IF(B44="","",COUNTA($B$5:B44))</f>
        <v>40</v>
      </c>
      <c r="B44" s="143">
        <v>46162</v>
      </c>
      <c r="C44" s="144" t="s">
        <v>49</v>
      </c>
      <c r="D44" s="145" t="s">
        <v>77</v>
      </c>
      <c r="E44" s="146" t="s">
        <v>122</v>
      </c>
      <c r="F44" s="139"/>
      <c r="G44" s="139">
        <v>9</v>
      </c>
      <c r="H44" s="142">
        <f>IFERROR(VLOOKUP($C44,$C$5:$H$18,6,0)+SUMIF($C$19:$C44,$C44,$F$19:$F44)-SUMIF($C$19:$C44,$C44,$G$19:$G44),"")</f>
        <v>8588.87999999995</v>
      </c>
      <c r="I44" s="144"/>
      <c r="J44" s="144"/>
      <c r="K44" s="22">
        <f t="shared" si="0"/>
        <v>202605</v>
      </c>
      <c r="L44" s="40"/>
      <c r="M44"/>
      <c r="N44"/>
      <c r="O44"/>
      <c r="P44"/>
      <c r="Q44"/>
      <c r="R44"/>
      <c r="S44"/>
      <c r="T44"/>
      <c r="U44"/>
      <c r="V44"/>
      <c r="W44" s="41"/>
      <c r="X44" s="41"/>
      <c r="Y44" s="41"/>
    </row>
    <row r="45" s="27" customFormat="1" ht="23" hidden="1" customHeight="1" spans="1:25">
      <c r="A45" s="133">
        <f>IF(B45="","",COUNTA($B$5:B45))</f>
        <v>41</v>
      </c>
      <c r="B45" s="143">
        <v>46163</v>
      </c>
      <c r="C45" s="144" t="s">
        <v>49</v>
      </c>
      <c r="D45" s="145"/>
      <c r="E45" s="146" t="s">
        <v>130</v>
      </c>
      <c r="F45" s="139">
        <v>9088</v>
      </c>
      <c r="G45" s="139"/>
      <c r="H45" s="142">
        <f>IFERROR(VLOOKUP($C45,$C$5:$H$18,6,0)+SUMIF($C$19:$C45,$C45,$F$19:$F45)-SUMIF($C$19:$C45,$C45,$G$19:$G45),"")</f>
        <v>17676.8799999999</v>
      </c>
      <c r="I45" s="144"/>
      <c r="J45" s="144"/>
      <c r="K45" s="22">
        <f t="shared" si="0"/>
        <v>202605</v>
      </c>
      <c r="L45" s="40"/>
      <c r="M45"/>
      <c r="N45"/>
      <c r="O45"/>
      <c r="P45"/>
      <c r="Q45"/>
      <c r="R45"/>
      <c r="S45"/>
      <c r="T45"/>
      <c r="U45"/>
      <c r="V45"/>
      <c r="W45" s="41"/>
      <c r="X45" s="41"/>
      <c r="Y45" s="41"/>
    </row>
    <row r="46" s="27" customFormat="1" ht="23" hidden="1" customHeight="1" spans="1:25">
      <c r="A46" s="133">
        <f>IF(B46="","",COUNTA($B$5:B46))</f>
        <v>42</v>
      </c>
      <c r="B46" s="143">
        <v>46164</v>
      </c>
      <c r="C46" s="144" t="s">
        <v>49</v>
      </c>
      <c r="D46" s="145"/>
      <c r="E46" s="146" t="s">
        <v>130</v>
      </c>
      <c r="F46" s="139">
        <v>9383.96</v>
      </c>
      <c r="G46" s="139"/>
      <c r="H46" s="142">
        <f>IFERROR(VLOOKUP($C46,$C$5:$H$18,6,0)+SUMIF($C$19:$C46,$C46,$F$19:$F46)-SUMIF($C$19:$C46,$C46,$G$19:$G46),"")</f>
        <v>27060.84</v>
      </c>
      <c r="I46" s="144"/>
      <c r="J46" s="144"/>
      <c r="K46" s="22">
        <f t="shared" si="0"/>
        <v>202605</v>
      </c>
      <c r="L46" s="40"/>
      <c r="M46"/>
      <c r="N46"/>
      <c r="O46"/>
      <c r="P46"/>
      <c r="Q46"/>
      <c r="R46"/>
      <c r="S46"/>
      <c r="T46"/>
      <c r="U46"/>
      <c r="V46"/>
      <c r="W46" s="41"/>
      <c r="X46" s="41"/>
      <c r="Y46" s="41"/>
    </row>
    <row r="47" s="27" customFormat="1" ht="23" hidden="1" customHeight="1" spans="1:25">
      <c r="A47" s="133">
        <f>IF(B47="","",COUNTA($B$5:B47))</f>
        <v>43</v>
      </c>
      <c r="B47" s="143">
        <v>46164</v>
      </c>
      <c r="C47" s="144" t="s">
        <v>49</v>
      </c>
      <c r="D47" s="145"/>
      <c r="E47" s="146" t="s">
        <v>118</v>
      </c>
      <c r="F47" s="139">
        <v>180000</v>
      </c>
      <c r="G47" s="139"/>
      <c r="H47" s="142">
        <f>IFERROR(VLOOKUP($C47,$C$5:$H$18,6,0)+SUMIF($C$19:$C47,$C47,$F$19:$F47)-SUMIF($C$19:$C47,$C47,$G$19:$G47),"")</f>
        <v>207060.84</v>
      </c>
      <c r="I47" s="144"/>
      <c r="J47" s="144"/>
      <c r="K47" s="22">
        <f t="shared" si="0"/>
        <v>202605</v>
      </c>
      <c r="L47" s="40"/>
      <c r="M47"/>
      <c r="N47"/>
      <c r="O47"/>
      <c r="P47"/>
      <c r="Q47"/>
      <c r="R47"/>
      <c r="S47"/>
      <c r="T47"/>
      <c r="U47"/>
      <c r="V47"/>
      <c r="W47" s="41"/>
      <c r="X47" s="41"/>
      <c r="Y47" s="41"/>
    </row>
    <row r="48" s="27" customFormat="1" ht="23" customHeight="1" spans="1:25">
      <c r="A48" s="133">
        <f>IF(B48="","",COUNTA($B$5:B48))</f>
        <v>44</v>
      </c>
      <c r="B48" s="143">
        <v>46164</v>
      </c>
      <c r="C48" s="144" t="s">
        <v>49</v>
      </c>
      <c r="D48" s="145" t="s">
        <v>84</v>
      </c>
      <c r="E48" s="146" t="s">
        <v>131</v>
      </c>
      <c r="F48" s="139"/>
      <c r="G48" s="139">
        <v>50000</v>
      </c>
      <c r="H48" s="142">
        <f>IFERROR(VLOOKUP($C48,$C$5:$H$18,6,0)+SUMIF($C$19:$C48,$C48,$F$19:$F48)-SUMIF($C$19:$C48,$C48,$G$19:$G48),"")</f>
        <v>157060.84</v>
      </c>
      <c r="I48" s="144" t="s">
        <v>44</v>
      </c>
      <c r="J48" s="144"/>
      <c r="K48" s="22">
        <f t="shared" si="0"/>
        <v>202605</v>
      </c>
      <c r="L48" s="40"/>
      <c r="M48"/>
      <c r="N48"/>
      <c r="O48"/>
      <c r="P48"/>
      <c r="Q48"/>
      <c r="R48"/>
      <c r="S48"/>
      <c r="T48"/>
      <c r="U48"/>
      <c r="V48"/>
      <c r="W48" s="41"/>
      <c r="X48" s="41"/>
      <c r="Y48" s="41"/>
    </row>
    <row r="49" s="27" customFormat="1" ht="23" hidden="1" customHeight="1" spans="1:25">
      <c r="A49" s="133">
        <f>IF(B49="","",COUNTA($B$5:B49))</f>
        <v>45</v>
      </c>
      <c r="B49" s="143">
        <v>46164</v>
      </c>
      <c r="C49" s="144" t="s">
        <v>49</v>
      </c>
      <c r="D49" s="145" t="s">
        <v>77</v>
      </c>
      <c r="E49" s="146" t="s">
        <v>122</v>
      </c>
      <c r="F49" s="139"/>
      <c r="G49" s="139">
        <v>0.9</v>
      </c>
      <c r="H49" s="142">
        <f>IFERROR(VLOOKUP($C49,$C$5:$H$18,6,0)+SUMIF($C$19:$C49,$C49,$F$19:$F49)-SUMIF($C$19:$C49,$C49,$G$19:$G49),"")</f>
        <v>157059.94</v>
      </c>
      <c r="I49" s="144"/>
      <c r="J49" s="144"/>
      <c r="K49" s="22">
        <f t="shared" si="0"/>
        <v>202605</v>
      </c>
      <c r="L49" s="40"/>
      <c r="M49"/>
      <c r="N49"/>
      <c r="O49"/>
      <c r="P49"/>
      <c r="Q49"/>
      <c r="R49"/>
      <c r="S49"/>
      <c r="T49"/>
      <c r="U49"/>
      <c r="V49"/>
      <c r="W49" s="41"/>
      <c r="X49" s="41"/>
      <c r="Y49" s="41"/>
    </row>
    <row r="50" s="27" customFormat="1" ht="23" customHeight="1" spans="1:25">
      <c r="A50" s="133">
        <f>IF(B50="","",COUNTA($B$5:B50))</f>
        <v>46</v>
      </c>
      <c r="B50" s="143">
        <v>46164</v>
      </c>
      <c r="C50" s="144" t="s">
        <v>49</v>
      </c>
      <c r="D50" s="145" t="s">
        <v>84</v>
      </c>
      <c r="E50" s="146" t="s">
        <v>132</v>
      </c>
      <c r="F50" s="139"/>
      <c r="G50" s="139">
        <v>50000</v>
      </c>
      <c r="H50" s="142">
        <f>IFERROR(VLOOKUP($C50,$C$5:$H$18,6,0)+SUMIF($C$19:$C50,$C50,$F$19:$F50)-SUMIF($C$19:$C50,$C50,$G$19:$G50),"")</f>
        <v>107059.94</v>
      </c>
      <c r="I50" s="144" t="s">
        <v>44</v>
      </c>
      <c r="J50" s="144"/>
      <c r="K50" s="22">
        <f t="shared" si="0"/>
        <v>202605</v>
      </c>
      <c r="L50" s="40"/>
      <c r="M50"/>
      <c r="N50"/>
      <c r="O50"/>
      <c r="P50"/>
      <c r="Q50"/>
      <c r="R50"/>
      <c r="S50"/>
      <c r="T50"/>
      <c r="U50"/>
      <c r="V50"/>
      <c r="W50" s="41"/>
      <c r="X50" s="41"/>
      <c r="Y50" s="41"/>
    </row>
    <row r="51" s="27" customFormat="1" ht="23" hidden="1" customHeight="1" spans="1:25">
      <c r="A51" s="133">
        <f>IF(B51="","",COUNTA($B$5:B51))</f>
        <v>47</v>
      </c>
      <c r="B51" s="143">
        <v>46164</v>
      </c>
      <c r="C51" s="144" t="s">
        <v>49</v>
      </c>
      <c r="D51" s="145" t="s">
        <v>77</v>
      </c>
      <c r="E51" s="146" t="s">
        <v>122</v>
      </c>
      <c r="F51" s="139"/>
      <c r="G51" s="139">
        <v>0.9</v>
      </c>
      <c r="H51" s="142">
        <f>IFERROR(VLOOKUP($C51,$C$5:$H$18,6,0)+SUMIF($C$19:$C51,$C51,$F$19:$F51)-SUMIF($C$19:$C51,$C51,$G$19:$G51),"")</f>
        <v>107059.04</v>
      </c>
      <c r="I51" s="144"/>
      <c r="J51" s="144"/>
      <c r="K51" s="22">
        <f t="shared" si="0"/>
        <v>202605</v>
      </c>
      <c r="L51" s="40"/>
      <c r="M51"/>
      <c r="N51"/>
      <c r="O51"/>
      <c r="P51"/>
      <c r="Q51"/>
      <c r="R51"/>
      <c r="S51"/>
      <c r="T51"/>
      <c r="U51"/>
      <c r="V51"/>
      <c r="W51" s="41"/>
      <c r="X51" s="41"/>
      <c r="Y51" s="41"/>
    </row>
    <row r="52" s="27" customFormat="1" ht="23" customHeight="1" spans="1:25">
      <c r="A52" s="133">
        <f>IF(B52="","",COUNTA($B$5:B52))</f>
        <v>48</v>
      </c>
      <c r="B52" s="143">
        <v>46164</v>
      </c>
      <c r="C52" s="144" t="s">
        <v>49</v>
      </c>
      <c r="D52" s="145" t="s">
        <v>84</v>
      </c>
      <c r="E52" s="146" t="s">
        <v>133</v>
      </c>
      <c r="F52" s="139"/>
      <c r="G52" s="139">
        <v>50000</v>
      </c>
      <c r="H52" s="142">
        <f>IFERROR(VLOOKUP($C52,$C$5:$H$18,6,0)+SUMIF($C$19:$C52,$C52,$F$19:$F52)-SUMIF($C$19:$C52,$C52,$G$19:$G52),"")</f>
        <v>57059.0399999999</v>
      </c>
      <c r="I52" s="144" t="s">
        <v>44</v>
      </c>
      <c r="J52" s="144"/>
      <c r="K52" s="22">
        <f t="shared" si="0"/>
        <v>202605</v>
      </c>
      <c r="L52" s="40"/>
      <c r="M52"/>
      <c r="N52"/>
      <c r="O52"/>
      <c r="P52"/>
      <c r="Q52"/>
      <c r="R52"/>
      <c r="S52"/>
      <c r="T52"/>
      <c r="U52"/>
      <c r="V52"/>
      <c r="W52" s="41"/>
      <c r="X52" s="41"/>
      <c r="Y52" s="41"/>
    </row>
    <row r="53" s="27" customFormat="1" ht="23" hidden="1" customHeight="1" spans="1:25">
      <c r="A53" s="133">
        <f>IF(B53="","",COUNTA($B$5:B53))</f>
        <v>49</v>
      </c>
      <c r="B53" s="143">
        <v>46164</v>
      </c>
      <c r="C53" s="144" t="s">
        <v>49</v>
      </c>
      <c r="D53" s="145" t="s">
        <v>77</v>
      </c>
      <c r="E53" s="146" t="s">
        <v>122</v>
      </c>
      <c r="F53" s="139"/>
      <c r="G53" s="139">
        <v>0.9</v>
      </c>
      <c r="H53" s="142">
        <f>IFERROR(VLOOKUP($C53,$C$5:$H$18,6,0)+SUMIF($C$19:$C53,$C53,$F$19:$F53)-SUMIF($C$19:$C53,$C53,$G$19:$G53),"")</f>
        <v>57058.1399999999</v>
      </c>
      <c r="I53" s="144"/>
      <c r="J53" s="144"/>
      <c r="K53" s="22">
        <f t="shared" si="0"/>
        <v>202605</v>
      </c>
      <c r="L53" s="40"/>
      <c r="M53"/>
      <c r="N53"/>
      <c r="O53"/>
      <c r="P53"/>
      <c r="Q53"/>
      <c r="R53"/>
      <c r="S53"/>
      <c r="T53"/>
      <c r="U53"/>
      <c r="V53"/>
      <c r="W53" s="41"/>
      <c r="X53" s="41"/>
      <c r="Y53" s="41"/>
    </row>
    <row r="54" s="27" customFormat="1" ht="23" hidden="1" customHeight="1" spans="1:25">
      <c r="A54" s="133">
        <f>IF(B54="","",COUNTA($B$5:B54))</f>
        <v>50</v>
      </c>
      <c r="B54" s="143">
        <v>46165</v>
      </c>
      <c r="C54" s="144" t="s">
        <v>49</v>
      </c>
      <c r="D54" s="145"/>
      <c r="E54" s="146" t="s">
        <v>130</v>
      </c>
      <c r="F54" s="139">
        <v>8368.85</v>
      </c>
      <c r="G54" s="139"/>
      <c r="H54" s="142">
        <f>IFERROR(VLOOKUP($C54,$C$5:$H$18,6,0)+SUMIF($C$19:$C54,$C54,$F$19:$F54)-SUMIF($C$19:$C54,$C54,$G$19:$G54),"")</f>
        <v>65426.9899999999</v>
      </c>
      <c r="I54" s="144"/>
      <c r="J54" s="144"/>
      <c r="K54" s="22">
        <f t="shared" si="0"/>
        <v>202605</v>
      </c>
      <c r="L54" s="40"/>
      <c r="M54"/>
      <c r="N54"/>
      <c r="O54"/>
      <c r="P54"/>
      <c r="Q54"/>
      <c r="R54"/>
      <c r="S54"/>
      <c r="T54"/>
      <c r="U54"/>
      <c r="V54"/>
      <c r="W54" s="41"/>
      <c r="X54" s="41"/>
      <c r="Y54" s="41"/>
    </row>
    <row r="55" s="27" customFormat="1" ht="23" customHeight="1" spans="1:25">
      <c r="A55" s="133">
        <f>IF(B55="","",COUNTA($B$5:B55))</f>
        <v>51</v>
      </c>
      <c r="B55" s="143">
        <v>46165</v>
      </c>
      <c r="C55" s="144" t="s">
        <v>49</v>
      </c>
      <c r="D55" s="145" t="s">
        <v>84</v>
      </c>
      <c r="E55" s="146" t="s">
        <v>134</v>
      </c>
      <c r="F55" s="139"/>
      <c r="G55" s="139">
        <v>50000</v>
      </c>
      <c r="H55" s="142">
        <f>IFERROR(VLOOKUP($C55,$C$5:$H$18,6,0)+SUMIF($C$19:$C55,$C55,$F$19:$F55)-SUMIF($C$19:$C55,$C55,$G$19:$G55),"")</f>
        <v>15426.9899999999</v>
      </c>
      <c r="I55" s="144"/>
      <c r="J55" s="144"/>
      <c r="K55" s="22">
        <f t="shared" si="0"/>
        <v>202605</v>
      </c>
      <c r="L55" s="40"/>
      <c r="M55"/>
      <c r="N55"/>
      <c r="O55"/>
      <c r="P55"/>
      <c r="Q55"/>
      <c r="R55"/>
      <c r="S55"/>
      <c r="T55"/>
      <c r="U55"/>
      <c r="V55"/>
      <c r="W55" s="41"/>
      <c r="X55" s="41"/>
      <c r="Y55" s="41"/>
    </row>
    <row r="56" s="27" customFormat="1" ht="23" hidden="1" customHeight="1" spans="1:25">
      <c r="A56" s="133">
        <f>IF(B56="","",COUNTA($B$5:B56))</f>
        <v>52</v>
      </c>
      <c r="B56" s="143">
        <v>46165</v>
      </c>
      <c r="C56" s="144" t="s">
        <v>49</v>
      </c>
      <c r="D56" s="145" t="s">
        <v>77</v>
      </c>
      <c r="E56" s="146" t="s">
        <v>122</v>
      </c>
      <c r="F56" s="139"/>
      <c r="G56" s="139">
        <v>0.9</v>
      </c>
      <c r="H56" s="142">
        <f>IFERROR(VLOOKUP($C56,$C$5:$H$18,6,0)+SUMIF($C$19:$C56,$C56,$F$19:$F56)-SUMIF($C$19:$C56,$C56,$G$19:$G56),"")</f>
        <v>15426.0899999999</v>
      </c>
      <c r="I56" s="144"/>
      <c r="J56" s="144"/>
      <c r="K56" s="22">
        <f t="shared" si="0"/>
        <v>202605</v>
      </c>
      <c r="L56" s="40"/>
      <c r="M56"/>
      <c r="N56"/>
      <c r="O56"/>
      <c r="P56"/>
      <c r="Q56"/>
      <c r="R56"/>
      <c r="S56"/>
      <c r="T56"/>
      <c r="U56"/>
      <c r="V56"/>
      <c r="W56" s="41"/>
      <c r="X56" s="41"/>
      <c r="Y56" s="41"/>
    </row>
    <row r="57" s="27" customFormat="1" ht="23" hidden="1" customHeight="1" spans="1:25">
      <c r="A57" s="133">
        <f>IF(B57="","",COUNTA($B$5:B57))</f>
        <v>53</v>
      </c>
      <c r="B57" s="143">
        <v>46166</v>
      </c>
      <c r="C57" s="144" t="s">
        <v>49</v>
      </c>
      <c r="D57" s="145"/>
      <c r="E57" s="146" t="s">
        <v>130</v>
      </c>
      <c r="F57" s="139">
        <v>6442.95</v>
      </c>
      <c r="G57" s="139"/>
      <c r="H57" s="142">
        <f>IFERROR(VLOOKUP($C57,$C$5:$H$18,6,0)+SUMIF($C$19:$C57,$C57,$F$19:$F57)-SUMIF($C$19:$C57,$C57,$G$19:$G57),"")</f>
        <v>21869.0399999999</v>
      </c>
      <c r="I57" s="144"/>
      <c r="J57" s="144"/>
      <c r="K57" s="22">
        <f t="shared" si="0"/>
        <v>202605</v>
      </c>
      <c r="L57" s="40"/>
      <c r="M57"/>
      <c r="N57"/>
      <c r="O57"/>
      <c r="P57"/>
      <c r="Q57"/>
      <c r="R57"/>
      <c r="S57"/>
      <c r="T57"/>
      <c r="U57"/>
      <c r="V57"/>
      <c r="W57" s="41"/>
      <c r="X57" s="41"/>
      <c r="Y57" s="41"/>
    </row>
    <row r="58" s="27" customFormat="1" ht="23" hidden="1" customHeight="1" spans="1:25">
      <c r="A58" s="133">
        <f>IF(B58="","",COUNTA($B$5:B58))</f>
        <v>54</v>
      </c>
      <c r="B58" s="143">
        <v>46167</v>
      </c>
      <c r="C58" s="144" t="s">
        <v>49</v>
      </c>
      <c r="D58" s="145"/>
      <c r="E58" s="146" t="s">
        <v>130</v>
      </c>
      <c r="F58" s="139">
        <v>6494.62</v>
      </c>
      <c r="G58" s="139"/>
      <c r="H58" s="142">
        <f>IFERROR(VLOOKUP($C58,$C$5:$H$18,6,0)+SUMIF($C$19:$C58,$C58,$F$19:$F58)-SUMIF($C$19:$C58,$C58,$G$19:$G58),"")</f>
        <v>28363.6599999999</v>
      </c>
      <c r="I58" s="144"/>
      <c r="J58" s="144"/>
      <c r="K58" s="22">
        <f t="shared" si="0"/>
        <v>202605</v>
      </c>
      <c r="L58" s="40"/>
      <c r="M58"/>
      <c r="N58"/>
      <c r="O58"/>
      <c r="P58"/>
      <c r="Q58"/>
      <c r="R58"/>
      <c r="S58"/>
      <c r="T58"/>
      <c r="U58"/>
      <c r="V58"/>
      <c r="W58" s="41"/>
      <c r="X58" s="41"/>
      <c r="Y58" s="41"/>
    </row>
    <row r="59" s="27" customFormat="1" ht="23" hidden="1" customHeight="1" spans="1:25">
      <c r="A59" s="133">
        <f>IF(B59="","",COUNTA($B$5:B59))</f>
        <v>55</v>
      </c>
      <c r="B59" s="143">
        <v>46167</v>
      </c>
      <c r="C59" s="144" t="s">
        <v>49</v>
      </c>
      <c r="D59" s="145" t="s">
        <v>80</v>
      </c>
      <c r="E59" s="146" t="s">
        <v>127</v>
      </c>
      <c r="F59" s="139"/>
      <c r="G59" s="139">
        <v>16.25</v>
      </c>
      <c r="H59" s="142">
        <f>IFERROR(VLOOKUP($C59,$C$5:$H$18,6,0)+SUMIF($C$19:$C59,$C59,$F$19:$F59)-SUMIF($C$19:$C59,$C59,$G$19:$G59),"")</f>
        <v>28347.4099999999</v>
      </c>
      <c r="I59" s="144"/>
      <c r="J59" s="144"/>
      <c r="K59" s="22">
        <f t="shared" si="0"/>
        <v>202605</v>
      </c>
      <c r="L59" s="40"/>
      <c r="M59"/>
      <c r="N59"/>
      <c r="O59"/>
      <c r="P59"/>
      <c r="Q59"/>
      <c r="R59"/>
      <c r="S59"/>
      <c r="T59"/>
      <c r="U59"/>
      <c r="V59"/>
      <c r="W59" s="41"/>
      <c r="X59" s="41"/>
      <c r="Y59" s="41"/>
    </row>
    <row r="60" s="27" customFormat="1" ht="23" hidden="1" customHeight="1" spans="1:25">
      <c r="A60" s="133">
        <f>IF(B60="","",COUNTA($B$5:B60))</f>
        <v>56</v>
      </c>
      <c r="B60" s="143">
        <v>46168</v>
      </c>
      <c r="C60" s="144" t="s">
        <v>49</v>
      </c>
      <c r="D60" s="145"/>
      <c r="E60" s="146" t="s">
        <v>130</v>
      </c>
      <c r="F60" s="139">
        <v>9286.7</v>
      </c>
      <c r="G60" s="139"/>
      <c r="H60" s="142">
        <f>IFERROR(VLOOKUP($C60,$C$5:$H$18,6,0)+SUMIF($C$19:$C60,$C60,$F$19:$F60)-SUMIF($C$19:$C60,$C60,$G$19:$G60),"")</f>
        <v>37634.1099999999</v>
      </c>
      <c r="I60" s="144"/>
      <c r="J60" s="144"/>
      <c r="K60" s="22">
        <f t="shared" si="0"/>
        <v>202605</v>
      </c>
      <c r="L60" s="40"/>
      <c r="M60"/>
      <c r="N60"/>
      <c r="O60"/>
      <c r="P60"/>
      <c r="Q60"/>
      <c r="R60"/>
      <c r="S60"/>
      <c r="T60"/>
      <c r="U60"/>
      <c r="V60"/>
      <c r="W60" s="41"/>
      <c r="X60" s="41"/>
      <c r="Y60" s="41"/>
    </row>
    <row r="61" s="27" customFormat="1" ht="23" hidden="1" customHeight="1" spans="1:25">
      <c r="A61" s="133">
        <f>IF(B61="","",COUNTA($B$5:B61))</f>
        <v>57</v>
      </c>
      <c r="B61" s="143">
        <v>46168</v>
      </c>
      <c r="C61" s="144" t="s">
        <v>49</v>
      </c>
      <c r="D61" s="145" t="s">
        <v>74</v>
      </c>
      <c r="E61" s="146" t="s">
        <v>135</v>
      </c>
      <c r="F61" s="139"/>
      <c r="G61" s="139">
        <v>2276</v>
      </c>
      <c r="H61" s="142">
        <f>IFERROR(VLOOKUP($C61,$C$5:$H$18,6,0)+SUMIF($C$19:$C61,$C61,$F$19:$F61)-SUMIF($C$19:$C61,$C61,$G$19:$G61),"")</f>
        <v>35358.1099999999</v>
      </c>
      <c r="I61" s="144"/>
      <c r="J61" s="144"/>
      <c r="K61" s="22">
        <f t="shared" si="0"/>
        <v>202605</v>
      </c>
      <c r="L61" s="40"/>
      <c r="M61"/>
      <c r="N61"/>
      <c r="O61"/>
      <c r="P61"/>
      <c r="Q61"/>
      <c r="R61"/>
      <c r="S61"/>
      <c r="T61"/>
      <c r="U61"/>
      <c r="V61"/>
      <c r="W61" s="41"/>
      <c r="X61" s="41"/>
      <c r="Y61" s="41"/>
    </row>
    <row r="62" s="27" customFormat="1" ht="23" hidden="1" customHeight="1" spans="1:25">
      <c r="A62" s="133">
        <f>IF(B62="","",COUNTA($B$5:B62))</f>
        <v>58</v>
      </c>
      <c r="B62" s="143">
        <v>46168</v>
      </c>
      <c r="C62" s="144" t="s">
        <v>49</v>
      </c>
      <c r="D62" s="145" t="s">
        <v>77</v>
      </c>
      <c r="E62" s="146" t="s">
        <v>122</v>
      </c>
      <c r="F62" s="139"/>
      <c r="G62" s="139">
        <v>4.5</v>
      </c>
      <c r="H62" s="142">
        <f>IFERROR(VLOOKUP($C62,$C$5:$H$18,6,0)+SUMIF($C$19:$C62,$C62,$F$19:$F62)-SUMIF($C$19:$C62,$C62,$G$19:$G62),"")</f>
        <v>35353.6099999999</v>
      </c>
      <c r="I62" s="144"/>
      <c r="J62" s="144"/>
      <c r="K62" s="22">
        <f t="shared" si="0"/>
        <v>202605</v>
      </c>
      <c r="L62" s="40"/>
      <c r="M62"/>
      <c r="N62"/>
      <c r="O62"/>
      <c r="P62"/>
      <c r="Q62"/>
      <c r="R62"/>
      <c r="S62"/>
      <c r="T62"/>
      <c r="U62"/>
      <c r="V62"/>
      <c r="W62" s="41"/>
      <c r="X62" s="41"/>
      <c r="Y62" s="41"/>
    </row>
    <row r="63" s="27" customFormat="1" ht="23" hidden="1" customHeight="1" spans="1:25">
      <c r="A63" s="133">
        <f>IF(B63="","",COUNTA($B$5:B63))</f>
        <v>59</v>
      </c>
      <c r="B63" s="143">
        <v>46168</v>
      </c>
      <c r="C63" s="144" t="s">
        <v>49</v>
      </c>
      <c r="D63" s="145" t="s">
        <v>80</v>
      </c>
      <c r="E63" s="146" t="s">
        <v>127</v>
      </c>
      <c r="F63" s="139"/>
      <c r="G63" s="139">
        <v>1605.56</v>
      </c>
      <c r="H63" s="142">
        <f>IFERROR(VLOOKUP($C63,$C$5:$H$18,6,0)+SUMIF($C$19:$C63,$C63,$F$19:$F63)-SUMIF($C$19:$C63,$C63,$G$19:$G63),"")</f>
        <v>33748.0499999999</v>
      </c>
      <c r="I63" s="144"/>
      <c r="J63" s="144"/>
      <c r="K63" s="22">
        <f t="shared" si="0"/>
        <v>202605</v>
      </c>
      <c r="L63" s="40"/>
      <c r="M63"/>
      <c r="N63"/>
      <c r="O63"/>
      <c r="P63"/>
      <c r="Q63"/>
      <c r="R63"/>
      <c r="S63"/>
      <c r="T63"/>
      <c r="U63"/>
      <c r="V63"/>
      <c r="W63" s="41"/>
      <c r="X63" s="41"/>
      <c r="Y63" s="41"/>
    </row>
    <row r="64" s="27" customFormat="1" ht="23" hidden="1" customHeight="1" spans="1:25">
      <c r="A64" s="133">
        <f>IF(B64="","",COUNTA($B$5:B64))</f>
        <v>60</v>
      </c>
      <c r="B64" s="143">
        <v>46169</v>
      </c>
      <c r="C64" s="144" t="s">
        <v>49</v>
      </c>
      <c r="D64" s="145"/>
      <c r="E64" s="146" t="s">
        <v>130</v>
      </c>
      <c r="F64" s="139">
        <v>9388.54</v>
      </c>
      <c r="G64" s="139"/>
      <c r="H64" s="142">
        <f>IFERROR(VLOOKUP($C64,$C$5:$H$18,6,0)+SUMIF($C$19:$C64,$C64,$F$19:$F64)-SUMIF($C$19:$C64,$C64,$G$19:$G64),"")</f>
        <v>43136.5899999999</v>
      </c>
      <c r="I64" s="144"/>
      <c r="J64" s="144"/>
      <c r="K64" s="22">
        <f t="shared" si="0"/>
        <v>202605</v>
      </c>
      <c r="L64" s="40"/>
      <c r="M64"/>
      <c r="N64"/>
      <c r="O64"/>
      <c r="P64"/>
      <c r="Q64"/>
      <c r="R64"/>
      <c r="S64"/>
      <c r="T64"/>
      <c r="U64"/>
      <c r="V64"/>
      <c r="W64" s="41"/>
      <c r="X64" s="41"/>
      <c r="Y64" s="41"/>
    </row>
    <row r="65" s="27" customFormat="1" ht="23" hidden="1" customHeight="1" spans="1:25">
      <c r="A65" s="133">
        <f>IF(B65="","",COUNTA($B$5:B65))</f>
        <v>61</v>
      </c>
      <c r="B65" s="143">
        <v>46170</v>
      </c>
      <c r="C65" s="144" t="s">
        <v>49</v>
      </c>
      <c r="D65" s="145"/>
      <c r="E65" s="146" t="s">
        <v>130</v>
      </c>
      <c r="F65" s="139">
        <v>8734.59</v>
      </c>
      <c r="G65" s="139"/>
      <c r="H65" s="142">
        <f>IFERROR(VLOOKUP($C65,$C$5:$H$18,6,0)+SUMIF($C$19:$C65,$C65,$F$19:$F65)-SUMIF($C$19:$C65,$C65,$G$19:$G65),"")</f>
        <v>51871.1799999999</v>
      </c>
      <c r="I65" s="144"/>
      <c r="J65" s="144"/>
      <c r="K65" s="22">
        <f t="shared" si="0"/>
        <v>202605</v>
      </c>
      <c r="L65" s="40"/>
      <c r="M65"/>
      <c r="N65"/>
      <c r="O65"/>
      <c r="P65"/>
      <c r="Q65"/>
      <c r="R65"/>
      <c r="S65"/>
      <c r="T65"/>
      <c r="U65"/>
      <c r="V65"/>
      <c r="W65" s="41"/>
      <c r="X65" s="41"/>
      <c r="Y65" s="41"/>
    </row>
    <row r="66" s="27" customFormat="1" ht="23" hidden="1" customHeight="1" spans="1:25">
      <c r="A66" s="133">
        <f>IF(B66="","",COUNTA($B$5:B66))</f>
        <v>62</v>
      </c>
      <c r="B66" s="143">
        <v>46170</v>
      </c>
      <c r="C66" s="144" t="s">
        <v>49</v>
      </c>
      <c r="D66" s="145" t="s">
        <v>80</v>
      </c>
      <c r="E66" s="146" t="s">
        <v>127</v>
      </c>
      <c r="F66" s="139"/>
      <c r="G66" s="139">
        <v>3928.18</v>
      </c>
      <c r="H66" s="142">
        <f>IFERROR(VLOOKUP($C66,$C$5:$H$18,6,0)+SUMIF($C$19:$C66,$C66,$F$19:$F66)-SUMIF($C$19:$C66,$C66,$G$19:$G66),"")</f>
        <v>47942.9999999999</v>
      </c>
      <c r="I66" s="144"/>
      <c r="J66" s="144"/>
      <c r="K66" s="22">
        <f t="shared" si="0"/>
        <v>202605</v>
      </c>
      <c r="L66" s="40"/>
      <c r="M66"/>
      <c r="N66"/>
      <c r="O66"/>
      <c r="P66"/>
      <c r="Q66"/>
      <c r="R66"/>
      <c r="S66"/>
      <c r="T66"/>
      <c r="U66"/>
      <c r="V66"/>
      <c r="W66" s="41"/>
      <c r="X66" s="41"/>
      <c r="Y66" s="41"/>
    </row>
    <row r="67" s="27" customFormat="1" ht="23" hidden="1" customHeight="1" spans="1:25">
      <c r="A67" s="133">
        <f>IF(B67="","",COUNTA($B$5:B67))</f>
        <v>63</v>
      </c>
      <c r="B67" s="143">
        <v>46171</v>
      </c>
      <c r="C67" s="144" t="s">
        <v>49</v>
      </c>
      <c r="D67" s="145"/>
      <c r="E67" s="146" t="s">
        <v>130</v>
      </c>
      <c r="F67" s="139">
        <v>7792.68</v>
      </c>
      <c r="G67" s="139"/>
      <c r="H67" s="142">
        <f>IFERROR(VLOOKUP($C67,$C$5:$H$18,6,0)+SUMIF($C$19:$C67,$C67,$F$19:$F67)-SUMIF($C$19:$C67,$C67,$G$19:$G67),"")</f>
        <v>55735.6799999999</v>
      </c>
      <c r="I67" s="144"/>
      <c r="J67" s="144"/>
      <c r="K67" s="22">
        <f t="shared" si="0"/>
        <v>202605</v>
      </c>
      <c r="L67" s="40"/>
      <c r="M67"/>
      <c r="N67"/>
      <c r="O67"/>
      <c r="P67"/>
      <c r="Q67"/>
      <c r="R67"/>
      <c r="S67"/>
      <c r="T67"/>
      <c r="U67"/>
      <c r="V67"/>
      <c r="W67" s="41"/>
      <c r="X67" s="41"/>
      <c r="Y67" s="41"/>
    </row>
    <row r="68" s="27" customFormat="1" ht="23" hidden="1" customHeight="1" spans="1:25">
      <c r="A68" s="133">
        <f>IF(B68="","",COUNTA($B$5:B68))</f>
        <v>64</v>
      </c>
      <c r="B68" s="143">
        <v>46171</v>
      </c>
      <c r="C68" s="144" t="s">
        <v>49</v>
      </c>
      <c r="D68" s="145"/>
      <c r="E68" s="146" t="s">
        <v>136</v>
      </c>
      <c r="F68" s="139">
        <v>0.01</v>
      </c>
      <c r="G68" s="139"/>
      <c r="H68" s="142">
        <f>IFERROR(VLOOKUP($C68,$C$5:$H$18,6,0)+SUMIF($C$19:$C68,$C68,$F$19:$F68)-SUMIF($C$19:$C68,$C68,$G$19:$G68),"")</f>
        <v>55735.6899999999</v>
      </c>
      <c r="I68" s="144"/>
      <c r="J68" s="144"/>
      <c r="K68" s="22">
        <f t="shared" si="0"/>
        <v>202605</v>
      </c>
      <c r="L68" s="40"/>
      <c r="M68"/>
      <c r="N68"/>
      <c r="O68"/>
      <c r="P68"/>
      <c r="Q68"/>
      <c r="R68"/>
      <c r="S68"/>
      <c r="T68"/>
      <c r="U68"/>
      <c r="V68"/>
      <c r="W68" s="41"/>
      <c r="X68" s="41"/>
      <c r="Y68" s="41"/>
    </row>
    <row r="69" s="27" customFormat="1" ht="23" hidden="1" customHeight="1" spans="1:25">
      <c r="A69" s="133">
        <f>IF(B69="","",COUNTA($B$5:B69))</f>
        <v>65</v>
      </c>
      <c r="B69" s="143">
        <v>46172</v>
      </c>
      <c r="C69" s="144" t="s">
        <v>49</v>
      </c>
      <c r="D69" s="145"/>
      <c r="E69" s="146" t="s">
        <v>130</v>
      </c>
      <c r="F69" s="139">
        <v>7862.46</v>
      </c>
      <c r="G69" s="139"/>
      <c r="H69" s="142">
        <f>IFERROR(VLOOKUP($C69,$C$5:$H$18,6,0)+SUMIF($C$19:$C69,$C69,$F$19:$F69)-SUMIF($C$19:$C69,$C69,$G$19:$G69),"")</f>
        <v>63598.1499999999</v>
      </c>
      <c r="I69" s="144"/>
      <c r="J69" s="144"/>
      <c r="K69" s="22">
        <f t="shared" ref="K69:K132" si="1">IF($B69="","",--TEXT($B69,"yyyymm"))</f>
        <v>202605</v>
      </c>
      <c r="L69" s="40"/>
      <c r="M69"/>
      <c r="N69"/>
      <c r="O69"/>
      <c r="P69"/>
      <c r="Q69"/>
      <c r="R69"/>
      <c r="S69"/>
      <c r="T69"/>
      <c r="U69"/>
      <c r="V69"/>
      <c r="W69" s="41"/>
      <c r="X69" s="41"/>
      <c r="Y69" s="41"/>
    </row>
    <row r="70" s="27" customFormat="1" ht="23" hidden="1" customHeight="1" spans="1:25">
      <c r="A70" s="133">
        <f>IF(B70="","",COUNTA($B$5:B70))</f>
        <v>66</v>
      </c>
      <c r="B70" s="143">
        <v>46173</v>
      </c>
      <c r="C70" s="144" t="s">
        <v>49</v>
      </c>
      <c r="D70" s="145"/>
      <c r="E70" s="146" t="s">
        <v>130</v>
      </c>
      <c r="F70" s="139">
        <v>5853.65</v>
      </c>
      <c r="G70" s="139"/>
      <c r="H70" s="142">
        <f>IFERROR(VLOOKUP($C70,$C$5:$H$18,6,0)+SUMIF($C$19:$C70,$C70,$F$19:$F70)-SUMIF($C$19:$C70,$C70,$G$19:$G70),"")</f>
        <v>69451.7999999999</v>
      </c>
      <c r="I70" s="144"/>
      <c r="J70" s="144"/>
      <c r="K70" s="22">
        <f t="shared" si="1"/>
        <v>202605</v>
      </c>
      <c r="L70" s="40"/>
      <c r="M70"/>
      <c r="N70"/>
      <c r="O70"/>
      <c r="P70"/>
      <c r="Q70"/>
      <c r="R70"/>
      <c r="S70"/>
      <c r="T70"/>
      <c r="U70"/>
      <c r="V70"/>
      <c r="W70" s="41"/>
      <c r="X70" s="41"/>
      <c r="Y70" s="41"/>
    </row>
    <row r="71" s="27" customFormat="1" ht="23" hidden="1" customHeight="1" spans="1:25">
      <c r="A71" s="133">
        <f>IF(B71="","",COUNTA($B$5:B71))</f>
        <v>67</v>
      </c>
      <c r="B71" s="143">
        <v>46174</v>
      </c>
      <c r="C71" s="144" t="s">
        <v>49</v>
      </c>
      <c r="D71" s="145"/>
      <c r="E71" s="146" t="s">
        <v>130</v>
      </c>
      <c r="F71" s="139">
        <v>6293.37</v>
      </c>
      <c r="G71" s="139"/>
      <c r="H71" s="142">
        <f>IFERROR(VLOOKUP($C71,$C$5:$H$18,6,0)+SUMIF($C$19:$C71,$C71,$F$19:$F71)-SUMIF($C$19:$C71,$C71,$G$19:$G71),"")</f>
        <v>75745.1699999999</v>
      </c>
      <c r="I71" s="144"/>
      <c r="J71" s="144"/>
      <c r="K71" s="22">
        <f t="shared" si="1"/>
        <v>202606</v>
      </c>
      <c r="L71" s="40"/>
      <c r="M71"/>
      <c r="N71"/>
      <c r="O71"/>
      <c r="P71"/>
      <c r="Q71"/>
      <c r="R71"/>
      <c r="S71"/>
      <c r="T71"/>
      <c r="U71"/>
      <c r="V71"/>
      <c r="W71" s="41"/>
      <c r="X71" s="41"/>
      <c r="Y71" s="41"/>
    </row>
    <row r="72" s="27" customFormat="1" ht="23" hidden="1" customHeight="1" spans="1:25">
      <c r="A72" s="133">
        <f>IF(B72="","",COUNTA($B$5:B72))</f>
        <v>68</v>
      </c>
      <c r="B72" s="143">
        <v>46175</v>
      </c>
      <c r="C72" s="144" t="s">
        <v>49</v>
      </c>
      <c r="D72" s="145"/>
      <c r="E72" s="146" t="s">
        <v>130</v>
      </c>
      <c r="F72" s="139">
        <v>10119.3</v>
      </c>
      <c r="G72" s="139"/>
      <c r="H72" s="142">
        <f>IFERROR(VLOOKUP($C72,$C$5:$H$18,6,0)+SUMIF($C$19:$C72,$C72,$F$19:$F72)-SUMIF($C$19:$C72,$C72,$G$19:$G72),"")</f>
        <v>85864.47</v>
      </c>
      <c r="I72" s="144"/>
      <c r="J72" s="144"/>
      <c r="K72" s="22">
        <f t="shared" si="1"/>
        <v>202606</v>
      </c>
      <c r="L72" s="40"/>
      <c r="M72"/>
      <c r="N72"/>
      <c r="O72"/>
      <c r="P72"/>
      <c r="Q72"/>
      <c r="R72"/>
      <c r="S72"/>
      <c r="T72"/>
      <c r="U72"/>
      <c r="V72"/>
      <c r="W72" s="41"/>
      <c r="X72" s="41"/>
      <c r="Y72" s="41"/>
    </row>
    <row r="73" s="27" customFormat="1" ht="23" hidden="1" customHeight="1" spans="1:25">
      <c r="A73" s="133">
        <f>IF(B73="","",COUNTA($B$5:B73))</f>
        <v>69</v>
      </c>
      <c r="B73" s="143">
        <v>46176</v>
      </c>
      <c r="C73" s="144" t="s">
        <v>49</v>
      </c>
      <c r="D73" s="145"/>
      <c r="E73" s="146" t="s">
        <v>130</v>
      </c>
      <c r="F73" s="139">
        <v>8231.16</v>
      </c>
      <c r="G73" s="139"/>
      <c r="H73" s="142">
        <f>IFERROR(VLOOKUP($C73,$C$5:$H$18,6,0)+SUMIF($C$19:$C73,$C73,$F$19:$F73)-SUMIF($C$19:$C73,$C73,$G$19:$G73),"")</f>
        <v>94095.63</v>
      </c>
      <c r="I73" s="144"/>
      <c r="J73" s="144"/>
      <c r="K73" s="22">
        <f t="shared" si="1"/>
        <v>202606</v>
      </c>
      <c r="L73" s="40"/>
      <c r="M73"/>
      <c r="N73"/>
      <c r="O73"/>
      <c r="P73"/>
      <c r="Q73"/>
      <c r="R73"/>
      <c r="S73"/>
      <c r="T73"/>
      <c r="U73"/>
      <c r="V73"/>
      <c r="W73" s="41"/>
      <c r="X73" s="41"/>
      <c r="Y73" s="41"/>
    </row>
    <row r="74" s="27" customFormat="1" ht="23" hidden="1" customHeight="1" spans="1:25">
      <c r="A74" s="133">
        <f>IF(B74="","",COUNTA($B$5:B74))</f>
        <v>70</v>
      </c>
      <c r="B74" s="143">
        <v>46177</v>
      </c>
      <c r="C74" s="144" t="s">
        <v>49</v>
      </c>
      <c r="D74" s="145"/>
      <c r="E74" s="146" t="s">
        <v>130</v>
      </c>
      <c r="F74" s="139">
        <v>10664.18</v>
      </c>
      <c r="G74" s="139"/>
      <c r="H74" s="142">
        <f>IFERROR(VLOOKUP($C74,$C$5:$H$18,6,0)+SUMIF($C$19:$C74,$C74,$F$19:$F74)-SUMIF($C$19:$C74,$C74,$G$19:$G74),"")</f>
        <v>104759.81</v>
      </c>
      <c r="I74" s="144"/>
      <c r="J74" s="144"/>
      <c r="K74" s="22">
        <f t="shared" si="1"/>
        <v>202606</v>
      </c>
      <c r="L74" s="40"/>
      <c r="M74"/>
      <c r="N74"/>
      <c r="O74"/>
      <c r="P74"/>
      <c r="Q74"/>
      <c r="R74"/>
      <c r="S74"/>
      <c r="T74"/>
      <c r="U74"/>
      <c r="V74"/>
      <c r="W74" s="41"/>
      <c r="X74" s="41"/>
      <c r="Y74" s="41"/>
    </row>
    <row r="75" s="27" customFormat="1" ht="23" hidden="1" customHeight="1" spans="1:25">
      <c r="A75" s="133">
        <f>IF(B75="","",COUNTA($B$5:B75))</f>
        <v>71</v>
      </c>
      <c r="B75" s="143">
        <v>46178</v>
      </c>
      <c r="C75" s="144" t="s">
        <v>49</v>
      </c>
      <c r="D75" s="145"/>
      <c r="E75" s="146" t="s">
        <v>130</v>
      </c>
      <c r="F75" s="139">
        <v>11964.7</v>
      </c>
      <c r="G75" s="139"/>
      <c r="H75" s="142">
        <f>IFERROR(VLOOKUP($C75,$C$5:$H$18,6,0)+SUMIF($C$19:$C75,$C75,$F$19:$F75)-SUMIF($C$19:$C75,$C75,$G$19:$G75),"")</f>
        <v>116724.51</v>
      </c>
      <c r="I75" s="144"/>
      <c r="J75" s="144"/>
      <c r="K75" s="22">
        <f t="shared" si="1"/>
        <v>202606</v>
      </c>
      <c r="L75" s="40"/>
      <c r="M75"/>
      <c r="N75"/>
      <c r="O75"/>
      <c r="P75"/>
      <c r="Q75"/>
      <c r="R75"/>
      <c r="S75"/>
      <c r="T75"/>
      <c r="U75"/>
      <c r="V75"/>
      <c r="W75" s="41"/>
      <c r="X75" s="41"/>
      <c r="Y75" s="41"/>
    </row>
    <row r="76" s="27" customFormat="1" ht="23" hidden="1" customHeight="1" spans="1:25">
      <c r="A76" s="133">
        <f>IF(B76="","",COUNTA($B$5:B76))</f>
        <v>72</v>
      </c>
      <c r="B76" s="143">
        <v>46179</v>
      </c>
      <c r="C76" s="144" t="s">
        <v>49</v>
      </c>
      <c r="D76" s="145"/>
      <c r="E76" s="146" t="s">
        <v>130</v>
      </c>
      <c r="F76" s="139">
        <v>8657.94</v>
      </c>
      <c r="G76" s="139"/>
      <c r="H76" s="142">
        <f>IFERROR(VLOOKUP($C76,$C$5:$H$18,6,0)+SUMIF($C$19:$C76,$C76,$F$19:$F76)-SUMIF($C$19:$C76,$C76,$G$19:$G76),"")</f>
        <v>125382.45</v>
      </c>
      <c r="I76" s="144"/>
      <c r="J76" s="144"/>
      <c r="K76" s="22">
        <f t="shared" si="1"/>
        <v>202606</v>
      </c>
      <c r="L76" s="40"/>
      <c r="M76"/>
      <c r="N76"/>
      <c r="O76"/>
      <c r="P76"/>
      <c r="Q76"/>
      <c r="R76"/>
      <c r="S76"/>
      <c r="T76"/>
      <c r="U76"/>
      <c r="V76"/>
      <c r="W76" s="41"/>
      <c r="X76" s="41"/>
      <c r="Y76" s="41"/>
    </row>
    <row r="77" s="27" customFormat="1" ht="23" hidden="1" customHeight="1" spans="1:25">
      <c r="A77" s="133">
        <f>IF(B77="","",COUNTA($B$5:B77))</f>
        <v>73</v>
      </c>
      <c r="B77" s="143">
        <v>46180</v>
      </c>
      <c r="C77" s="144" t="s">
        <v>49</v>
      </c>
      <c r="D77" s="145"/>
      <c r="E77" s="146" t="s">
        <v>130</v>
      </c>
      <c r="F77" s="139">
        <v>5883.69</v>
      </c>
      <c r="G77" s="139"/>
      <c r="H77" s="142">
        <f>IFERROR(VLOOKUP($C77,$C$5:$H$18,6,0)+SUMIF($C$19:$C77,$C77,$F$19:$F77)-SUMIF($C$19:$C77,$C77,$G$19:$G77),"")</f>
        <v>131266.14</v>
      </c>
      <c r="I77" s="144"/>
      <c r="J77" s="144"/>
      <c r="K77" s="22">
        <f t="shared" si="1"/>
        <v>202606</v>
      </c>
      <c r="L77" s="40"/>
      <c r="M77"/>
      <c r="N77"/>
      <c r="O77"/>
      <c r="P77"/>
      <c r="Q77"/>
      <c r="R77"/>
      <c r="S77"/>
      <c r="T77"/>
      <c r="U77"/>
      <c r="V77"/>
      <c r="W77" s="41"/>
      <c r="X77" s="41"/>
      <c r="Y77" s="41"/>
    </row>
    <row r="78" s="27" customFormat="1" ht="23" hidden="1" customHeight="1" spans="1:25">
      <c r="A78" s="133">
        <f>IF(B78="","",COUNTA($B$5:B78))</f>
        <v>74</v>
      </c>
      <c r="B78" s="143">
        <v>46181</v>
      </c>
      <c r="C78" s="144" t="s">
        <v>49</v>
      </c>
      <c r="D78" s="145"/>
      <c r="E78" s="146" t="s">
        <v>130</v>
      </c>
      <c r="F78" s="139">
        <v>5556.97</v>
      </c>
      <c r="G78" s="139"/>
      <c r="H78" s="142">
        <f>IFERROR(VLOOKUP($C78,$C$5:$H$18,6,0)+SUMIF($C$19:$C78,$C78,$F$19:$F78)-SUMIF($C$19:$C78,$C78,$G$19:$G78),"")</f>
        <v>136823.11</v>
      </c>
      <c r="I78" s="144"/>
      <c r="J78" s="144"/>
      <c r="K78" s="22">
        <f t="shared" si="1"/>
        <v>202606</v>
      </c>
      <c r="L78" s="40"/>
      <c r="M78"/>
      <c r="N78"/>
      <c r="O78"/>
      <c r="P78"/>
      <c r="Q78"/>
      <c r="R78"/>
      <c r="S78"/>
      <c r="T78"/>
      <c r="U78"/>
      <c r="V78"/>
      <c r="W78" s="41"/>
      <c r="X78" s="41"/>
      <c r="Y78" s="41"/>
    </row>
    <row r="79" s="27" customFormat="1" ht="23" hidden="1" customHeight="1" spans="1:25">
      <c r="A79" s="133">
        <f>IF(B79="","",COUNTA($B$5:B79))</f>
        <v>75</v>
      </c>
      <c r="B79" s="143">
        <v>46182</v>
      </c>
      <c r="C79" s="144" t="s">
        <v>49</v>
      </c>
      <c r="D79" s="145"/>
      <c r="E79" s="146" t="s">
        <v>130</v>
      </c>
      <c r="F79" s="139">
        <v>8156.22</v>
      </c>
      <c r="G79" s="139"/>
      <c r="H79" s="142">
        <f>IFERROR(VLOOKUP($C79,$C$5:$H$18,6,0)+SUMIF($C$19:$C79,$C79,$F$19:$F79)-SUMIF($C$19:$C79,$C79,$G$19:$G79),"")</f>
        <v>144979.33</v>
      </c>
      <c r="I79" s="144"/>
      <c r="J79" s="144"/>
      <c r="K79" s="22">
        <f t="shared" si="1"/>
        <v>202606</v>
      </c>
      <c r="L79" s="40"/>
      <c r="M79"/>
      <c r="N79"/>
      <c r="O79"/>
      <c r="P79"/>
      <c r="Q79"/>
      <c r="R79"/>
      <c r="S79"/>
      <c r="T79"/>
      <c r="U79"/>
      <c r="V79"/>
      <c r="W79" s="41"/>
      <c r="X79" s="41"/>
      <c r="Y79" s="41"/>
    </row>
    <row r="80" s="27" customFormat="1" ht="23" hidden="1" customHeight="1" spans="1:25">
      <c r="A80" s="133">
        <f>IF(B80="","",COUNTA($B$5:B80))</f>
        <v>76</v>
      </c>
      <c r="B80" s="143">
        <v>46183</v>
      </c>
      <c r="C80" s="144" t="s">
        <v>49</v>
      </c>
      <c r="D80" s="145"/>
      <c r="E80" s="146" t="s">
        <v>130</v>
      </c>
      <c r="F80" s="139">
        <v>9006.43</v>
      </c>
      <c r="G80" s="139"/>
      <c r="H80" s="142">
        <f>IFERROR(VLOOKUP($C80,$C$5:$H$18,6,0)+SUMIF($C$19:$C80,$C80,$F$19:$F80)-SUMIF($C$19:$C80,$C80,$G$19:$G80),"")</f>
        <v>153985.76</v>
      </c>
      <c r="I80" s="144"/>
      <c r="J80" s="144"/>
      <c r="K80" s="22">
        <f t="shared" si="1"/>
        <v>202606</v>
      </c>
      <c r="L80" s="40"/>
      <c r="M80"/>
      <c r="N80"/>
      <c r="O80"/>
      <c r="P80"/>
      <c r="Q80"/>
      <c r="R80"/>
      <c r="S80"/>
      <c r="T80"/>
      <c r="U80"/>
      <c r="V80"/>
      <c r="W80" s="41"/>
      <c r="X80" s="41"/>
      <c r="Y80" s="41"/>
    </row>
    <row r="81" s="27" customFormat="1" ht="23" hidden="1" customHeight="1" spans="1:25">
      <c r="A81" s="133">
        <f>IF(B81="","",COUNTA($B$5:B81))</f>
        <v>77</v>
      </c>
      <c r="B81" s="143">
        <v>46184</v>
      </c>
      <c r="C81" s="144" t="s">
        <v>49</v>
      </c>
      <c r="D81" s="145"/>
      <c r="E81" s="146" t="s">
        <v>130</v>
      </c>
      <c r="F81" s="139">
        <v>9146.11</v>
      </c>
      <c r="G81" s="139"/>
      <c r="H81" s="142">
        <f>IFERROR(VLOOKUP($C81,$C$5:$H$18,6,0)+SUMIF($C$19:$C81,$C81,$F$19:$F81)-SUMIF($C$19:$C81,$C81,$G$19:$G81),"")</f>
        <v>163131.87</v>
      </c>
      <c r="I81" s="144"/>
      <c r="J81" s="144"/>
      <c r="K81" s="22">
        <f t="shared" si="1"/>
        <v>202606</v>
      </c>
      <c r="L81" s="40"/>
      <c r="M81"/>
      <c r="N81"/>
      <c r="O81"/>
      <c r="P81"/>
      <c r="Q81"/>
      <c r="R81"/>
      <c r="S81"/>
      <c r="T81"/>
      <c r="U81"/>
      <c r="V81"/>
      <c r="W81" s="41"/>
      <c r="X81" s="41"/>
      <c r="Y81" s="41"/>
    </row>
    <row r="82" s="27" customFormat="1" ht="23" hidden="1" customHeight="1" spans="1:25">
      <c r="A82" s="133">
        <f>IF(B82="","",COUNTA($B$5:B82))</f>
        <v>78</v>
      </c>
      <c r="B82" s="143">
        <v>46185</v>
      </c>
      <c r="C82" s="144" t="s">
        <v>49</v>
      </c>
      <c r="D82" s="145"/>
      <c r="E82" s="146" t="s">
        <v>130</v>
      </c>
      <c r="F82" s="139">
        <v>8406.47</v>
      </c>
      <c r="G82" s="139"/>
      <c r="H82" s="142">
        <f>IFERROR(VLOOKUP($C82,$C$5:$H$18,6,0)+SUMIF($C$19:$C82,$C82,$F$19:$F82)-SUMIF($C$19:$C82,$C82,$G$19:$G82),"")</f>
        <v>171538.34</v>
      </c>
      <c r="I82" s="144"/>
      <c r="J82" s="144"/>
      <c r="K82" s="22">
        <f t="shared" si="1"/>
        <v>202606</v>
      </c>
      <c r="L82" s="40"/>
      <c r="M82"/>
      <c r="N82"/>
      <c r="O82"/>
      <c r="P82"/>
      <c r="Q82"/>
      <c r="R82"/>
      <c r="S82"/>
      <c r="T82"/>
      <c r="U82"/>
      <c r="V82"/>
      <c r="W82" s="41"/>
      <c r="X82" s="41"/>
      <c r="Y82" s="41"/>
    </row>
    <row r="83" s="27" customFormat="1" ht="23" hidden="1" customHeight="1" spans="1:25">
      <c r="A83" s="133">
        <f>IF(B83="","",COUNTA($B$5:B83))</f>
        <v>79</v>
      </c>
      <c r="B83" s="143">
        <v>46186</v>
      </c>
      <c r="C83" s="144" t="s">
        <v>49</v>
      </c>
      <c r="D83" s="145"/>
      <c r="E83" s="146" t="s">
        <v>130</v>
      </c>
      <c r="F83" s="139">
        <v>8344.59</v>
      </c>
      <c r="G83" s="139"/>
      <c r="H83" s="142">
        <f>IFERROR(VLOOKUP($C83,$C$5:$H$18,6,0)+SUMIF($C$19:$C83,$C83,$F$19:$F83)-SUMIF($C$19:$C83,$C83,$G$19:$G83),"")</f>
        <v>179882.93</v>
      </c>
      <c r="I83" s="144"/>
      <c r="J83" s="144"/>
      <c r="K83" s="22">
        <f t="shared" si="1"/>
        <v>202606</v>
      </c>
      <c r="L83" s="40"/>
      <c r="M83"/>
      <c r="N83"/>
      <c r="O83"/>
      <c r="P83"/>
      <c r="Q83"/>
      <c r="R83"/>
      <c r="S83"/>
      <c r="T83"/>
      <c r="U83"/>
      <c r="V83"/>
      <c r="W83" s="41"/>
      <c r="X83" s="41"/>
      <c r="Y83" s="41"/>
    </row>
    <row r="84" s="27" customFormat="1" ht="23" hidden="1" customHeight="1" spans="1:25">
      <c r="A84" s="133">
        <f>IF(B84="","",COUNTA($B$5:B84))</f>
        <v>80</v>
      </c>
      <c r="B84" s="143">
        <v>46186</v>
      </c>
      <c r="C84" s="144" t="s">
        <v>49</v>
      </c>
      <c r="D84" s="145" t="s">
        <v>62</v>
      </c>
      <c r="E84" s="146" t="s">
        <v>128</v>
      </c>
      <c r="F84" s="139"/>
      <c r="G84" s="139">
        <v>4000</v>
      </c>
      <c r="H84" s="142">
        <f>IFERROR(VLOOKUP($C84,$C$5:$H$18,6,0)+SUMIF($C$19:$C84,$C84,$F$19:$F84)-SUMIF($C$19:$C84,$C84,$G$19:$G84),"")</f>
        <v>175882.93</v>
      </c>
      <c r="I84" s="144"/>
      <c r="J84" s="144"/>
      <c r="K84" s="22">
        <f t="shared" si="1"/>
        <v>202606</v>
      </c>
      <c r="L84" s="40"/>
      <c r="M84"/>
      <c r="N84"/>
      <c r="O84"/>
      <c r="P84"/>
      <c r="Q84"/>
      <c r="R84"/>
      <c r="S84"/>
      <c r="T84"/>
      <c r="U84"/>
      <c r="V84"/>
      <c r="W84" s="41"/>
      <c r="X84" s="41"/>
      <c r="Y84" s="41"/>
    </row>
    <row r="85" s="27" customFormat="1" ht="23" hidden="1" customHeight="1" spans="1:25">
      <c r="A85" s="133">
        <f>IF(B85="","",COUNTA($B$5:B85))</f>
        <v>81</v>
      </c>
      <c r="B85" s="143">
        <v>46186</v>
      </c>
      <c r="C85" s="144" t="s">
        <v>49</v>
      </c>
      <c r="D85" s="145" t="s">
        <v>77</v>
      </c>
      <c r="E85" s="146" t="s">
        <v>122</v>
      </c>
      <c r="F85" s="139"/>
      <c r="G85" s="139">
        <v>4.5</v>
      </c>
      <c r="H85" s="142">
        <f>IFERROR(VLOOKUP($C85,$C$5:$H$18,6,0)+SUMIF($C$19:$C85,$C85,$F$19:$F85)-SUMIF($C$19:$C85,$C85,$G$19:$G85),"")</f>
        <v>175878.43</v>
      </c>
      <c r="I85" s="144"/>
      <c r="J85" s="144"/>
      <c r="K85" s="22">
        <f t="shared" si="1"/>
        <v>202606</v>
      </c>
      <c r="L85" s="40"/>
      <c r="M85"/>
      <c r="N85"/>
      <c r="O85"/>
      <c r="P85"/>
      <c r="Q85"/>
      <c r="R85"/>
      <c r="S85"/>
      <c r="T85"/>
      <c r="U85"/>
      <c r="V85"/>
      <c r="W85" s="41"/>
      <c r="X85" s="41"/>
      <c r="Y85" s="41"/>
    </row>
    <row r="86" s="27" customFormat="1" ht="23" hidden="1" customHeight="1" spans="1:25">
      <c r="A86" s="133">
        <f>IF(B86="","",COUNTA($B$5:B86))</f>
        <v>82</v>
      </c>
      <c r="B86" s="143">
        <v>46187</v>
      </c>
      <c r="C86" s="144" t="s">
        <v>49</v>
      </c>
      <c r="D86" s="145"/>
      <c r="E86" s="146" t="s">
        <v>130</v>
      </c>
      <c r="F86" s="139">
        <v>6178.11</v>
      </c>
      <c r="G86" s="139"/>
      <c r="H86" s="142">
        <f>IFERROR(VLOOKUP($C86,$C$5:$H$18,6,0)+SUMIF($C$19:$C86,$C86,$F$19:$F86)-SUMIF($C$19:$C86,$C86,$G$19:$G86),"")</f>
        <v>182056.54</v>
      </c>
      <c r="I86" s="144"/>
      <c r="J86" s="144"/>
      <c r="K86" s="22">
        <f t="shared" si="1"/>
        <v>202606</v>
      </c>
      <c r="L86" s="40"/>
      <c r="M86"/>
      <c r="N86"/>
      <c r="O86"/>
      <c r="P86"/>
      <c r="Q86"/>
      <c r="R86"/>
      <c r="S86"/>
      <c r="T86"/>
      <c r="U86"/>
      <c r="V86"/>
      <c r="W86" s="41"/>
      <c r="X86" s="41"/>
      <c r="Y86" s="41"/>
    </row>
    <row r="87" s="27" customFormat="1" ht="23" hidden="1" customHeight="1" spans="1:25">
      <c r="A87" s="133">
        <f>IF(B87="","",COUNTA($B$5:B87))</f>
        <v>83</v>
      </c>
      <c r="B87" s="143">
        <v>46188</v>
      </c>
      <c r="C87" s="144" t="s">
        <v>49</v>
      </c>
      <c r="D87" s="145"/>
      <c r="E87" s="146" t="s">
        <v>130</v>
      </c>
      <c r="F87" s="139">
        <v>6441.22</v>
      </c>
      <c r="G87" s="139"/>
      <c r="H87" s="142">
        <f>IFERROR(VLOOKUP($C87,$C$5:$H$18,6,0)+SUMIF($C$19:$C87,$C87,$F$19:$F87)-SUMIF($C$19:$C87,$C87,$G$19:$G87),"")</f>
        <v>188497.76</v>
      </c>
      <c r="I87" s="144"/>
      <c r="J87" s="144"/>
      <c r="K87" s="22">
        <f t="shared" si="1"/>
        <v>202606</v>
      </c>
      <c r="L87" s="40"/>
      <c r="M87"/>
      <c r="N87"/>
      <c r="O87"/>
      <c r="P87"/>
      <c r="Q87"/>
      <c r="R87"/>
      <c r="S87"/>
      <c r="T87"/>
      <c r="U87"/>
      <c r="V87"/>
      <c r="W87" s="41"/>
      <c r="X87" s="41"/>
      <c r="Y87" s="41"/>
    </row>
    <row r="88" s="27" customFormat="1" ht="23" hidden="1" customHeight="1" spans="1:25">
      <c r="A88" s="133">
        <f>IF(B88="","",COUNTA($B$5:B88))</f>
        <v>84</v>
      </c>
      <c r="B88" s="143">
        <v>46188</v>
      </c>
      <c r="C88" s="144" t="s">
        <v>49</v>
      </c>
      <c r="D88" s="145" t="s">
        <v>80</v>
      </c>
      <c r="E88" s="146" t="s">
        <v>127</v>
      </c>
      <c r="F88" s="139"/>
      <c r="G88" s="139">
        <v>40</v>
      </c>
      <c r="H88" s="142">
        <f>IFERROR(VLOOKUP($C88,$C$5:$H$18,6,0)+SUMIF($C$19:$C88,$C88,$F$19:$F88)-SUMIF($C$19:$C88,$C88,$G$19:$G88),"")</f>
        <v>188457.76</v>
      </c>
      <c r="I88" s="144"/>
      <c r="J88" s="144"/>
      <c r="K88" s="22">
        <f t="shared" si="1"/>
        <v>202606</v>
      </c>
      <c r="L88" s="40"/>
      <c r="M88"/>
      <c r="N88"/>
      <c r="O88"/>
      <c r="P88"/>
      <c r="Q88"/>
      <c r="R88"/>
      <c r="S88"/>
      <c r="T88"/>
      <c r="U88"/>
      <c r="V88"/>
      <c r="W88" s="41"/>
      <c r="X88" s="41"/>
      <c r="Y88" s="41"/>
    </row>
    <row r="89" s="27" customFormat="1" ht="23" hidden="1" customHeight="1" spans="1:25">
      <c r="A89" s="133">
        <f>IF(B89="","",COUNTA($B$5:B89))</f>
        <v>85</v>
      </c>
      <c r="B89" s="143">
        <v>46188</v>
      </c>
      <c r="C89" s="144" t="s">
        <v>49</v>
      </c>
      <c r="D89" s="145" t="s">
        <v>80</v>
      </c>
      <c r="E89" s="146" t="s">
        <v>127</v>
      </c>
      <c r="F89" s="139"/>
      <c r="G89" s="139">
        <v>450</v>
      </c>
      <c r="H89" s="142">
        <f>IFERROR(VLOOKUP($C89,$C$5:$H$18,6,0)+SUMIF($C$19:$C89,$C89,$F$19:$F89)-SUMIF($C$19:$C89,$C89,$G$19:$G89),"")</f>
        <v>188007.76</v>
      </c>
      <c r="I89" s="144"/>
      <c r="J89" s="144"/>
      <c r="K89" s="22">
        <f t="shared" si="1"/>
        <v>202606</v>
      </c>
      <c r="L89" s="40"/>
      <c r="M89"/>
      <c r="N89"/>
      <c r="O89"/>
      <c r="P89"/>
      <c r="Q89"/>
      <c r="R89"/>
      <c r="S89"/>
      <c r="T89"/>
      <c r="U89"/>
      <c r="V89"/>
      <c r="W89" s="41"/>
      <c r="X89" s="41"/>
      <c r="Y89" s="41"/>
    </row>
    <row r="90" s="27" customFormat="1" ht="23" hidden="1" customHeight="1" spans="1:25">
      <c r="A90" s="133">
        <f>IF(B90="","",COUNTA($B$5:B90))</f>
        <v>86</v>
      </c>
      <c r="B90" s="143">
        <v>46189</v>
      </c>
      <c r="C90" s="144" t="s">
        <v>49</v>
      </c>
      <c r="D90" s="145"/>
      <c r="E90" s="146" t="s">
        <v>130</v>
      </c>
      <c r="F90" s="139">
        <v>8915.36</v>
      </c>
      <c r="G90" s="139"/>
      <c r="H90" s="142">
        <f>IFERROR(VLOOKUP($C90,$C$5:$H$18,6,0)+SUMIF($C$19:$C90,$C90,$F$19:$F90)-SUMIF($C$19:$C90,$C90,$G$19:$G90),"")</f>
        <v>196923.12</v>
      </c>
      <c r="I90" s="144"/>
      <c r="J90" s="144"/>
      <c r="K90" s="22">
        <f t="shared" si="1"/>
        <v>202606</v>
      </c>
      <c r="L90" s="40"/>
      <c r="M90"/>
      <c r="N90"/>
      <c r="O90"/>
      <c r="P90"/>
      <c r="Q90"/>
      <c r="R90"/>
      <c r="S90"/>
      <c r="T90"/>
      <c r="U90"/>
      <c r="V90"/>
      <c r="W90" s="41"/>
      <c r="X90" s="41"/>
      <c r="Y90" s="41"/>
    </row>
    <row r="91" s="27" customFormat="1" ht="23" hidden="1" customHeight="1" spans="1:25">
      <c r="A91" s="133">
        <f>IF(B91="","",COUNTA($B$5:B91))</f>
        <v>87</v>
      </c>
      <c r="B91" s="143">
        <v>46190</v>
      </c>
      <c r="C91" s="144" t="s">
        <v>49</v>
      </c>
      <c r="D91" s="145"/>
      <c r="E91" s="146" t="s">
        <v>130</v>
      </c>
      <c r="F91" s="139">
        <v>8244.76</v>
      </c>
      <c r="G91" s="139"/>
      <c r="H91" s="142">
        <f>IFERROR(VLOOKUP($C91,$C$5:$H$18,6,0)+SUMIF($C$19:$C91,$C91,$F$19:$F91)-SUMIF($C$19:$C91,$C91,$G$19:$G91),"")</f>
        <v>205167.88</v>
      </c>
      <c r="I91" s="144"/>
      <c r="J91" s="144"/>
      <c r="K91" s="22">
        <f t="shared" si="1"/>
        <v>202606</v>
      </c>
      <c r="L91" s="40"/>
      <c r="M91"/>
      <c r="N91"/>
      <c r="O91"/>
      <c r="P91"/>
      <c r="Q91"/>
      <c r="R91"/>
      <c r="S91"/>
      <c r="T91"/>
      <c r="U91"/>
      <c r="V91"/>
      <c r="W91" s="41"/>
      <c r="X91" s="41"/>
      <c r="Y91" s="41"/>
    </row>
    <row r="92" s="27" customFormat="1" ht="23" hidden="1" customHeight="1" spans="1:25">
      <c r="A92" s="133">
        <f>IF(B92="","",COUNTA($B$5:B92))</f>
        <v>88</v>
      </c>
      <c r="B92" s="143">
        <v>46190</v>
      </c>
      <c r="C92" s="144" t="s">
        <v>49</v>
      </c>
      <c r="D92" s="145"/>
      <c r="E92" s="146" t="s">
        <v>137</v>
      </c>
      <c r="F92" s="139">
        <v>0.01</v>
      </c>
      <c r="G92" s="139"/>
      <c r="H92" s="142">
        <f>IFERROR(VLOOKUP($C92,$C$5:$H$18,6,0)+SUMIF($C$19:$C92,$C92,$F$19:$F92)-SUMIF($C$19:$C92,$C92,$G$19:$G92),"")</f>
        <v>205167.89</v>
      </c>
      <c r="I92" s="144"/>
      <c r="J92" s="144"/>
      <c r="K92" s="22">
        <f t="shared" si="1"/>
        <v>202606</v>
      </c>
      <c r="L92" s="40"/>
      <c r="M92"/>
      <c r="N92"/>
      <c r="O92"/>
      <c r="P92"/>
      <c r="Q92"/>
      <c r="R92"/>
      <c r="S92"/>
      <c r="T92"/>
      <c r="U92"/>
      <c r="V92"/>
      <c r="W92" s="41"/>
      <c r="X92" s="41"/>
      <c r="Y92" s="41"/>
    </row>
    <row r="93" s="27" customFormat="1" ht="23" hidden="1" customHeight="1" spans="1:25">
      <c r="A93" s="133">
        <f>IF(B93="","",COUNTA($B$5:B93))</f>
        <v>89</v>
      </c>
      <c r="B93" s="143">
        <v>46190</v>
      </c>
      <c r="C93" s="144" t="s">
        <v>49</v>
      </c>
      <c r="D93" s="145"/>
      <c r="E93" s="146" t="s">
        <v>118</v>
      </c>
      <c r="F93" s="139">
        <v>400000</v>
      </c>
      <c r="G93" s="139"/>
      <c r="H93" s="142">
        <f>IFERROR(VLOOKUP($C93,$C$5:$H$18,6,0)+SUMIF($C$19:$C93,$C93,$F$19:$F93)-SUMIF($C$19:$C93,$C93,$G$19:$G93),"")</f>
        <v>605167.89</v>
      </c>
      <c r="I93" s="144"/>
      <c r="J93" s="144"/>
      <c r="K93" s="22">
        <f t="shared" si="1"/>
        <v>202606</v>
      </c>
      <c r="L93" s="40"/>
      <c r="M93"/>
      <c r="N93"/>
      <c r="O93"/>
      <c r="P93"/>
      <c r="Q93"/>
      <c r="R93"/>
      <c r="S93"/>
      <c r="T93"/>
      <c r="U93"/>
      <c r="V93"/>
      <c r="W93" s="41"/>
      <c r="X93" s="41"/>
      <c r="Y93" s="41"/>
    </row>
    <row r="94" s="27" customFormat="1" ht="23" hidden="1" customHeight="1" spans="1:25">
      <c r="A94" s="133">
        <f>IF(B94="","",COUNTA($B$5:B94))</f>
        <v>90</v>
      </c>
      <c r="B94" s="143">
        <v>46191</v>
      </c>
      <c r="C94" s="144" t="s">
        <v>49</v>
      </c>
      <c r="D94" s="145"/>
      <c r="E94" s="146" t="s">
        <v>130</v>
      </c>
      <c r="F94" s="139">
        <v>7872.11</v>
      </c>
      <c r="G94" s="139"/>
      <c r="H94" s="142">
        <f>IFERROR(VLOOKUP($C94,$C$5:$H$18,6,0)+SUMIF($C$19:$C94,$C94,$F$19:$F94)-SUMIF($C$19:$C94,$C94,$G$19:$G94),"")</f>
        <v>613040</v>
      </c>
      <c r="I94" s="144"/>
      <c r="J94" s="144"/>
      <c r="K94" s="22">
        <f t="shared" si="1"/>
        <v>202606</v>
      </c>
      <c r="L94" s="40"/>
      <c r="M94"/>
      <c r="N94"/>
      <c r="O94"/>
      <c r="P94"/>
      <c r="Q94"/>
      <c r="R94"/>
      <c r="S94"/>
      <c r="T94"/>
      <c r="U94"/>
      <c r="V94"/>
      <c r="W94" s="41"/>
      <c r="X94" s="41"/>
      <c r="Y94" s="41"/>
    </row>
    <row r="95" s="27" customFormat="1" ht="23" hidden="1" customHeight="1" spans="1:25">
      <c r="A95" s="133">
        <f>IF(B95="","",COUNTA($B$5:B95))</f>
        <v>91</v>
      </c>
      <c r="B95" s="143">
        <v>46192</v>
      </c>
      <c r="C95" s="144" t="s">
        <v>49</v>
      </c>
      <c r="D95" s="145"/>
      <c r="E95" s="146" t="s">
        <v>130</v>
      </c>
      <c r="F95" s="139">
        <v>8137.49</v>
      </c>
      <c r="G95" s="139"/>
      <c r="H95" s="142">
        <f>IFERROR(VLOOKUP($C95,$C$5:$H$18,6,0)+SUMIF($C$19:$C95,$C95,$F$19:$F95)-SUMIF($C$19:$C95,$C95,$G$19:$G95),"")</f>
        <v>621177.49</v>
      </c>
      <c r="I95" s="144"/>
      <c r="J95" s="144"/>
      <c r="K95" s="22">
        <f t="shared" si="1"/>
        <v>202606</v>
      </c>
      <c r="L95" s="40"/>
      <c r="M95"/>
      <c r="N95"/>
      <c r="O95"/>
      <c r="P95"/>
      <c r="Q95"/>
      <c r="R95"/>
      <c r="S95"/>
      <c r="T95"/>
      <c r="U95"/>
      <c r="V95"/>
      <c r="W95" s="41"/>
      <c r="X95" s="41"/>
      <c r="Y95" s="41"/>
    </row>
    <row r="96" s="27" customFormat="1" ht="23" hidden="1" customHeight="1" spans="1:25">
      <c r="A96" s="133">
        <f>IF(B96="","",COUNTA($B$5:B96))</f>
        <v>92</v>
      </c>
      <c r="B96" s="143">
        <v>46193</v>
      </c>
      <c r="C96" s="144" t="s">
        <v>49</v>
      </c>
      <c r="D96" s="145"/>
      <c r="E96" s="146" t="s">
        <v>130</v>
      </c>
      <c r="F96" s="139">
        <v>3985.05</v>
      </c>
      <c r="G96" s="139"/>
      <c r="H96" s="142">
        <f>IFERROR(VLOOKUP($C96,$C$5:$H$18,6,0)+SUMIF($C$19:$C96,$C96,$F$19:$F96)-SUMIF($C$19:$C96,$C96,$G$19:$G96),"")</f>
        <v>625162.54</v>
      </c>
      <c r="I96" s="144"/>
      <c r="J96" s="144"/>
      <c r="K96" s="22">
        <f t="shared" si="1"/>
        <v>202606</v>
      </c>
      <c r="L96" s="40"/>
      <c r="M96"/>
      <c r="N96"/>
      <c r="O96"/>
      <c r="P96"/>
      <c r="Q96"/>
      <c r="R96"/>
      <c r="S96"/>
      <c r="T96"/>
      <c r="U96"/>
      <c r="V96"/>
      <c r="W96" s="41"/>
      <c r="X96" s="41"/>
      <c r="Y96" s="41"/>
    </row>
    <row r="97" s="27" customFormat="1" ht="23" hidden="1" customHeight="1" spans="1:25">
      <c r="A97" s="133">
        <f>IF(B97="","",COUNTA($B$5:B97))</f>
        <v>93</v>
      </c>
      <c r="B97" s="143">
        <v>46194</v>
      </c>
      <c r="C97" s="144" t="s">
        <v>49</v>
      </c>
      <c r="D97" s="145"/>
      <c r="E97" s="146" t="s">
        <v>138</v>
      </c>
      <c r="F97" s="139">
        <v>7.65</v>
      </c>
      <c r="G97" s="139"/>
      <c r="H97" s="142">
        <f>IFERROR(VLOOKUP($C97,$C$5:$H$18,6,0)+SUMIF($C$19:$C97,$C97,$F$19:$F97)-SUMIF($C$19:$C97,$C97,$G$19:$G97),"")</f>
        <v>625170.19</v>
      </c>
      <c r="I97" s="144"/>
      <c r="J97" s="144"/>
      <c r="K97" s="22">
        <f t="shared" si="1"/>
        <v>202606</v>
      </c>
      <c r="L97" s="40"/>
      <c r="M97"/>
      <c r="N97"/>
      <c r="O97"/>
      <c r="P97"/>
      <c r="Q97"/>
      <c r="R97"/>
      <c r="S97"/>
      <c r="T97"/>
      <c r="U97"/>
      <c r="V97"/>
      <c r="W97" s="41"/>
      <c r="X97" s="41"/>
      <c r="Y97" s="41"/>
    </row>
    <row r="98" s="27" customFormat="1" ht="23" hidden="1" customHeight="1" spans="1:25">
      <c r="A98" s="133">
        <f>IF(B98="","",COUNTA($B$5:B98))</f>
        <v>94</v>
      </c>
      <c r="B98" s="143">
        <v>46194</v>
      </c>
      <c r="C98" s="144" t="s">
        <v>49</v>
      </c>
      <c r="D98" s="145"/>
      <c r="E98" s="146" t="s">
        <v>130</v>
      </c>
      <c r="F98" s="139">
        <v>3890.63</v>
      </c>
      <c r="G98" s="139"/>
      <c r="H98" s="142">
        <f>IFERROR(VLOOKUP($C98,$C$5:$H$18,6,0)+SUMIF($C$19:$C98,$C98,$F$19:$F98)-SUMIF($C$19:$C98,$C98,$G$19:$G98),"")</f>
        <v>629060.82</v>
      </c>
      <c r="I98" s="144"/>
      <c r="J98" s="144"/>
      <c r="K98" s="22">
        <f t="shared" si="1"/>
        <v>202606</v>
      </c>
      <c r="L98" s="40"/>
      <c r="M98"/>
      <c r="N98"/>
      <c r="O98"/>
      <c r="P98"/>
      <c r="Q98"/>
      <c r="R98"/>
      <c r="S98"/>
      <c r="T98"/>
      <c r="U98"/>
      <c r="V98"/>
      <c r="W98" s="41"/>
      <c r="X98" s="41"/>
      <c r="Y98" s="41"/>
    </row>
    <row r="99" s="27" customFormat="1" ht="23" hidden="1" customHeight="1" spans="1:25">
      <c r="A99" s="133">
        <f>IF(B99="","",COUNTA($B$5:B99))</f>
        <v>95</v>
      </c>
      <c r="B99" s="143">
        <v>46195</v>
      </c>
      <c r="C99" s="144" t="s">
        <v>49</v>
      </c>
      <c r="D99" s="145"/>
      <c r="E99" s="146" t="s">
        <v>130</v>
      </c>
      <c r="F99" s="139">
        <v>4835.04</v>
      </c>
      <c r="G99" s="139"/>
      <c r="H99" s="142">
        <f>IFERROR(VLOOKUP($C99,$C$5:$H$18,6,0)+SUMIF($C$19:$C99,$C99,$F$19:$F99)-SUMIF($C$19:$C99,$C99,$G$19:$G99),"")</f>
        <v>633895.86</v>
      </c>
      <c r="I99" s="144"/>
      <c r="J99" s="144"/>
      <c r="K99" s="22">
        <f t="shared" si="1"/>
        <v>202606</v>
      </c>
      <c r="L99" s="40"/>
      <c r="M99"/>
      <c r="N99"/>
      <c r="O99"/>
      <c r="P99"/>
      <c r="Q99"/>
      <c r="R99"/>
      <c r="S99"/>
      <c r="T99"/>
      <c r="U99"/>
      <c r="V99"/>
      <c r="W99" s="41"/>
      <c r="X99" s="41"/>
      <c r="Y99" s="41"/>
    </row>
    <row r="100" s="27" customFormat="1" ht="23" hidden="1" customHeight="1" spans="1:25">
      <c r="A100" s="133">
        <f>IF(B100="","",COUNTA($B$5:B100))</f>
        <v>96</v>
      </c>
      <c r="B100" s="143">
        <v>46195</v>
      </c>
      <c r="C100" s="144" t="s">
        <v>49</v>
      </c>
      <c r="D100" s="145"/>
      <c r="E100" s="146" t="s">
        <v>139</v>
      </c>
      <c r="F100" s="139">
        <v>0.45</v>
      </c>
      <c r="G100" s="139"/>
      <c r="H100" s="142">
        <f>IFERROR(VLOOKUP($C100,$C$5:$H$18,6,0)+SUMIF($C$19:$C100,$C100,$F$19:$F100)-SUMIF($C$19:$C100,$C100,$G$19:$G100),"")</f>
        <v>633896.31</v>
      </c>
      <c r="I100" s="144"/>
      <c r="J100" s="144"/>
      <c r="K100" s="22">
        <f t="shared" si="1"/>
        <v>202606</v>
      </c>
      <c r="L100" s="40"/>
      <c r="M100"/>
      <c r="N100"/>
      <c r="O100"/>
      <c r="P100"/>
      <c r="Q100"/>
      <c r="R100"/>
      <c r="S100"/>
      <c r="T100"/>
      <c r="U100"/>
      <c r="V100"/>
      <c r="W100" s="41"/>
      <c r="X100" s="41"/>
      <c r="Y100" s="41"/>
    </row>
    <row r="101" s="27" customFormat="1" ht="23" customHeight="1" spans="1:25">
      <c r="A101" s="133">
        <f>IF(B101="","",COUNTA($B$5:B101))</f>
        <v>97</v>
      </c>
      <c r="B101" s="143">
        <v>46195</v>
      </c>
      <c r="C101" s="144" t="s">
        <v>49</v>
      </c>
      <c r="D101" s="145" t="s">
        <v>85</v>
      </c>
      <c r="E101" s="146" t="s">
        <v>140</v>
      </c>
      <c r="F101" s="139"/>
      <c r="G101" s="139">
        <v>5000</v>
      </c>
      <c r="H101" s="142">
        <f>IFERROR(VLOOKUP($C101,$C$5:$H$18,6,0)+SUMIF($C$19:$C101,$C101,$F$19:$F101)-SUMIF($C$19:$C101,$C101,$G$19:$G101),"")</f>
        <v>628896.31</v>
      </c>
      <c r="I101" s="144"/>
      <c r="J101" s="144" t="s">
        <v>48</v>
      </c>
      <c r="K101" s="22">
        <f t="shared" si="1"/>
        <v>202606</v>
      </c>
      <c r="L101" s="40"/>
      <c r="M101"/>
      <c r="N101"/>
      <c r="O101"/>
      <c r="P101"/>
      <c r="Q101"/>
      <c r="R101"/>
      <c r="S101"/>
      <c r="T101"/>
      <c r="U101"/>
      <c r="V101"/>
      <c r="W101" s="41"/>
      <c r="X101" s="41"/>
      <c r="Y101" s="41"/>
    </row>
    <row r="102" s="27" customFormat="1" ht="23" hidden="1" customHeight="1" spans="1:25">
      <c r="A102" s="133">
        <f>IF(B102="","",COUNTA($B$5:B102))</f>
        <v>98</v>
      </c>
      <c r="B102" s="143">
        <v>46195</v>
      </c>
      <c r="C102" s="144" t="s">
        <v>49</v>
      </c>
      <c r="D102" s="145" t="s">
        <v>77</v>
      </c>
      <c r="E102" s="146" t="s">
        <v>122</v>
      </c>
      <c r="F102" s="139"/>
      <c r="G102" s="139">
        <v>4.5</v>
      </c>
      <c r="H102" s="142">
        <f>IFERROR(VLOOKUP($C102,$C$5:$H$18,6,0)+SUMIF($C$19:$C102,$C102,$F$19:$F102)-SUMIF($C$19:$C102,$C102,$G$19:$G102),"")</f>
        <v>628891.81</v>
      </c>
      <c r="I102" s="144"/>
      <c r="J102" s="144"/>
      <c r="K102" s="22">
        <f t="shared" si="1"/>
        <v>202606</v>
      </c>
      <c r="L102" s="40"/>
      <c r="M102"/>
      <c r="N102"/>
      <c r="O102"/>
      <c r="P102"/>
      <c r="Q102"/>
      <c r="R102"/>
      <c r="S102"/>
      <c r="T102"/>
      <c r="U102"/>
      <c r="V102"/>
      <c r="W102" s="41"/>
      <c r="X102" s="41"/>
      <c r="Y102" s="41"/>
    </row>
    <row r="103" s="27" customFormat="1" ht="23" hidden="1" customHeight="1" spans="1:25">
      <c r="A103" s="133">
        <f>IF(B103="","",COUNTA($B$5:B103))</f>
        <v>99</v>
      </c>
      <c r="B103" s="143">
        <v>46196</v>
      </c>
      <c r="C103" s="144" t="s">
        <v>49</v>
      </c>
      <c r="D103" s="145"/>
      <c r="E103" s="146" t="s">
        <v>130</v>
      </c>
      <c r="F103" s="139">
        <v>9298.21</v>
      </c>
      <c r="G103" s="139"/>
      <c r="H103" s="142">
        <f>IFERROR(VLOOKUP($C103,$C$5:$H$18,6,0)+SUMIF($C$19:$C103,$C103,$F$19:$F103)-SUMIF($C$19:$C103,$C103,$G$19:$G103),"")</f>
        <v>638190.02</v>
      </c>
      <c r="I103" s="144"/>
      <c r="J103" s="144"/>
      <c r="K103" s="22">
        <f t="shared" si="1"/>
        <v>202606</v>
      </c>
      <c r="L103" s="40"/>
      <c r="M103"/>
      <c r="N103"/>
      <c r="O103"/>
      <c r="P103"/>
      <c r="Q103"/>
      <c r="R103"/>
      <c r="S103"/>
      <c r="T103"/>
      <c r="U103"/>
      <c r="V103"/>
      <c r="W103" s="41"/>
      <c r="X103" s="41"/>
      <c r="Y103" s="41"/>
    </row>
    <row r="104" s="27" customFormat="1" ht="23" hidden="1" customHeight="1" spans="1:25">
      <c r="A104" s="133">
        <f>IF(B104="","",COUNTA($B$5:B104))</f>
        <v>100</v>
      </c>
      <c r="B104" s="143">
        <v>46197</v>
      </c>
      <c r="C104" s="144" t="s">
        <v>49</v>
      </c>
      <c r="D104" s="145"/>
      <c r="E104" s="146" t="s">
        <v>130</v>
      </c>
      <c r="F104" s="139">
        <v>9069.14</v>
      </c>
      <c r="G104" s="139"/>
      <c r="H104" s="142">
        <f>IFERROR(VLOOKUP($C104,$C$5:$H$18,6,0)+SUMIF($C$19:$C104,$C104,$F$19:$F104)-SUMIF($C$19:$C104,$C104,$G$19:$G104),"")</f>
        <v>647259.16</v>
      </c>
      <c r="I104" s="144"/>
      <c r="J104" s="144"/>
      <c r="K104" s="22">
        <f t="shared" si="1"/>
        <v>202606</v>
      </c>
      <c r="L104" s="40"/>
      <c r="M104"/>
      <c r="N104"/>
      <c r="O104"/>
      <c r="P104"/>
      <c r="Q104"/>
      <c r="R104"/>
      <c r="S104"/>
      <c r="T104"/>
      <c r="U104"/>
      <c r="V104"/>
      <c r="W104" s="41"/>
      <c r="X104" s="41"/>
      <c r="Y104" s="41"/>
    </row>
    <row r="105" s="27" customFormat="1" ht="23" hidden="1" customHeight="1" spans="1:25">
      <c r="A105" s="133">
        <f>IF(B105="","",COUNTA($B$5:B105))</f>
        <v>101</v>
      </c>
      <c r="B105" s="143">
        <v>46197</v>
      </c>
      <c r="C105" s="144" t="s">
        <v>49</v>
      </c>
      <c r="D105" s="145"/>
      <c r="E105" s="146" t="s">
        <v>141</v>
      </c>
      <c r="F105" s="139">
        <v>260000</v>
      </c>
      <c r="G105" s="139"/>
      <c r="H105" s="142">
        <f>IFERROR(VLOOKUP($C105,$C$5:$H$18,6,0)+SUMIF($C$19:$C105,$C105,$F$19:$F105)-SUMIF($C$19:$C105,$C105,$G$19:$G105),"")</f>
        <v>907259.16</v>
      </c>
      <c r="I105" s="144"/>
      <c r="J105" s="144"/>
      <c r="K105" s="22">
        <f t="shared" si="1"/>
        <v>202606</v>
      </c>
      <c r="L105" s="40"/>
      <c r="M105"/>
      <c r="N105"/>
      <c r="O105"/>
      <c r="P105"/>
      <c r="Q105"/>
      <c r="R105"/>
      <c r="S105"/>
      <c r="T105"/>
      <c r="U105"/>
      <c r="V105"/>
      <c r="W105" s="41"/>
      <c r="X105" s="41"/>
      <c r="Y105" s="41"/>
    </row>
    <row r="106" s="27" customFormat="1" ht="23" hidden="1" customHeight="1" spans="1:25">
      <c r="A106" s="133">
        <f>IF(B106="","",COUNTA($B$5:B106))</f>
        <v>102</v>
      </c>
      <c r="B106" s="143">
        <v>46197</v>
      </c>
      <c r="C106" s="144" t="s">
        <v>49</v>
      </c>
      <c r="D106" s="145" t="s">
        <v>41</v>
      </c>
      <c r="E106" s="146" t="s">
        <v>142</v>
      </c>
      <c r="F106" s="139"/>
      <c r="G106" s="139">
        <v>103315</v>
      </c>
      <c r="H106" s="142">
        <f>IFERROR(VLOOKUP($C106,$C$5:$H$18,6,0)+SUMIF($C$19:$C106,$C106,$F$19:$F106)-SUMIF($C$19:$C106,$C106,$G$19:$G106),"")</f>
        <v>803944.16</v>
      </c>
      <c r="I106" s="144"/>
      <c r="J106" s="144" t="s">
        <v>48</v>
      </c>
      <c r="K106" s="22">
        <f t="shared" si="1"/>
        <v>202606</v>
      </c>
      <c r="L106" s="40"/>
      <c r="M106"/>
      <c r="N106"/>
      <c r="O106"/>
      <c r="P106"/>
      <c r="Q106"/>
      <c r="R106"/>
      <c r="S106"/>
      <c r="T106"/>
      <c r="U106"/>
      <c r="V106"/>
      <c r="W106" s="41"/>
      <c r="X106" s="41"/>
      <c r="Y106" s="41"/>
    </row>
    <row r="107" s="27" customFormat="1" ht="23" hidden="1" customHeight="1" spans="1:25">
      <c r="A107" s="133">
        <f>IF(B107="","",COUNTA($B$5:B107))</f>
        <v>103</v>
      </c>
      <c r="B107" s="143">
        <v>46197</v>
      </c>
      <c r="C107" s="144" t="s">
        <v>49</v>
      </c>
      <c r="D107" s="145" t="s">
        <v>77</v>
      </c>
      <c r="E107" s="146" t="s">
        <v>122</v>
      </c>
      <c r="F107" s="139"/>
      <c r="G107" s="139">
        <v>15</v>
      </c>
      <c r="H107" s="142">
        <f>IFERROR(VLOOKUP($C107,$C$5:$H$18,6,0)+SUMIF($C$19:$C107,$C107,$F$19:$F107)-SUMIF($C$19:$C107,$C107,$G$19:$G107),"")</f>
        <v>803929.16</v>
      </c>
      <c r="I107" s="144"/>
      <c r="J107" s="144"/>
      <c r="K107" s="22">
        <f t="shared" si="1"/>
        <v>202606</v>
      </c>
      <c r="L107" s="40"/>
      <c r="M107"/>
      <c r="N107"/>
      <c r="O107"/>
      <c r="P107"/>
      <c r="Q107"/>
      <c r="R107"/>
      <c r="S107"/>
      <c r="T107"/>
      <c r="U107"/>
      <c r="V107"/>
      <c r="W107" s="41"/>
      <c r="X107" s="41"/>
      <c r="Y107" s="41"/>
    </row>
    <row r="108" s="27" customFormat="1" ht="23" hidden="1" customHeight="1" spans="1:25">
      <c r="A108" s="133">
        <f>IF(B108="","",COUNTA($B$5:B108))</f>
        <v>104</v>
      </c>
      <c r="B108" s="143">
        <v>46198</v>
      </c>
      <c r="C108" s="144" t="s">
        <v>49</v>
      </c>
      <c r="D108" s="145"/>
      <c r="E108" s="146" t="s">
        <v>130</v>
      </c>
      <c r="F108" s="139">
        <v>8665.27</v>
      </c>
      <c r="G108" s="139"/>
      <c r="H108" s="142">
        <f>IFERROR(VLOOKUP($C108,$C$5:$H$18,6,0)+SUMIF($C$19:$C108,$C108,$F$19:$F108)-SUMIF($C$19:$C108,$C108,$G$19:$G108),"")</f>
        <v>812594.43</v>
      </c>
      <c r="I108" s="144"/>
      <c r="J108" s="144"/>
      <c r="K108" s="22">
        <f t="shared" si="1"/>
        <v>202606</v>
      </c>
      <c r="L108" s="40"/>
      <c r="M108"/>
      <c r="N108"/>
      <c r="O108"/>
      <c r="P108"/>
      <c r="Q108"/>
      <c r="R108"/>
      <c r="S108"/>
      <c r="T108"/>
      <c r="U108"/>
      <c r="V108"/>
      <c r="W108" s="41"/>
      <c r="X108" s="41"/>
      <c r="Y108" s="41"/>
    </row>
    <row r="109" s="27" customFormat="1" ht="23" hidden="1" customHeight="1" spans="1:25">
      <c r="A109" s="133">
        <f>IF(B109="","",COUNTA($B$5:B109))</f>
        <v>105</v>
      </c>
      <c r="B109" s="143">
        <v>46198</v>
      </c>
      <c r="C109" s="144" t="s">
        <v>49</v>
      </c>
      <c r="D109" s="145"/>
      <c r="E109" s="146" t="s">
        <v>143</v>
      </c>
      <c r="F109" s="139">
        <v>20000</v>
      </c>
      <c r="G109" s="139"/>
      <c r="H109" s="142">
        <f>IFERROR(VLOOKUP($C109,$C$5:$H$18,6,0)+SUMIF($C$19:$C109,$C109,$F$19:$F109)-SUMIF($C$19:$C109,$C109,$G$19:$G109),"")</f>
        <v>832594.43</v>
      </c>
      <c r="I109" s="144" t="s">
        <v>51</v>
      </c>
      <c r="J109" s="144"/>
      <c r="K109" s="22">
        <f t="shared" si="1"/>
        <v>202606</v>
      </c>
      <c r="L109" s="40"/>
      <c r="M109"/>
      <c r="N109"/>
      <c r="O109"/>
      <c r="P109"/>
      <c r="Q109"/>
      <c r="R109"/>
      <c r="S109"/>
      <c r="T109"/>
      <c r="U109"/>
      <c r="V109"/>
      <c r="W109" s="41"/>
      <c r="X109" s="41"/>
      <c r="Y109" s="41"/>
    </row>
    <row r="110" s="27" customFormat="1" ht="23" hidden="1" customHeight="1" spans="1:25">
      <c r="A110" s="133">
        <f>IF(B110="","",COUNTA($B$5:B110))</f>
        <v>106</v>
      </c>
      <c r="B110" s="143">
        <v>46198</v>
      </c>
      <c r="C110" s="144" t="s">
        <v>49</v>
      </c>
      <c r="D110" s="145" t="s">
        <v>87</v>
      </c>
      <c r="E110" s="146" t="s">
        <v>144</v>
      </c>
      <c r="F110" s="139"/>
      <c r="G110" s="139">
        <v>316219</v>
      </c>
      <c r="H110" s="142">
        <f>IFERROR(VLOOKUP($C110,$C$5:$H$18,6,0)+SUMIF($C$19:$C110,$C110,$F$19:$F110)-SUMIF($C$19:$C110,$C110,$G$19:$G110),"")</f>
        <v>516375.43</v>
      </c>
      <c r="I110" s="144" t="s">
        <v>44</v>
      </c>
      <c r="J110" s="144"/>
      <c r="K110" s="22">
        <f t="shared" si="1"/>
        <v>202606</v>
      </c>
      <c r="L110" s="40"/>
      <c r="M110"/>
      <c r="N110"/>
      <c r="O110"/>
      <c r="P110"/>
      <c r="Q110"/>
      <c r="R110"/>
      <c r="S110"/>
      <c r="T110"/>
      <c r="U110"/>
      <c r="V110"/>
      <c r="W110" s="41"/>
      <c r="X110" s="41"/>
      <c r="Y110" s="41"/>
    </row>
    <row r="111" s="27" customFormat="1" ht="23" hidden="1" customHeight="1" spans="1:25">
      <c r="A111" s="133">
        <f>IF(B111="","",COUNTA($B$5:B111))</f>
        <v>107</v>
      </c>
      <c r="B111" s="143">
        <v>46198</v>
      </c>
      <c r="C111" s="144" t="s">
        <v>49</v>
      </c>
      <c r="D111" s="145" t="s">
        <v>77</v>
      </c>
      <c r="E111" s="146" t="s">
        <v>122</v>
      </c>
      <c r="F111" s="139"/>
      <c r="G111" s="139">
        <v>1</v>
      </c>
      <c r="H111" s="142">
        <f>IFERROR(VLOOKUP($C111,$C$5:$H$18,6,0)+SUMIF($C$19:$C111,$C111,$F$19:$F111)-SUMIF($C$19:$C111,$C111,$G$19:$G111),"")</f>
        <v>516374.43</v>
      </c>
      <c r="I111" s="144"/>
      <c r="J111" s="144"/>
      <c r="K111" s="22">
        <f t="shared" si="1"/>
        <v>202606</v>
      </c>
      <c r="L111" s="40"/>
      <c r="M111"/>
      <c r="N111"/>
      <c r="O111"/>
      <c r="P111"/>
      <c r="Q111"/>
      <c r="R111"/>
      <c r="S111"/>
      <c r="T111"/>
      <c r="U111"/>
      <c r="V111"/>
      <c r="W111" s="41"/>
      <c r="X111" s="41"/>
      <c r="Y111" s="41"/>
    </row>
    <row r="112" s="27" customFormat="1" ht="23" customHeight="1" spans="1:25">
      <c r="A112" s="133">
        <f>IF(B112="","",COUNTA($B$5:B112))</f>
        <v>108</v>
      </c>
      <c r="B112" s="143">
        <v>46198</v>
      </c>
      <c r="C112" s="144" t="s">
        <v>49</v>
      </c>
      <c r="D112" s="145" t="s">
        <v>85</v>
      </c>
      <c r="E112" s="146" t="s">
        <v>145</v>
      </c>
      <c r="F112" s="139"/>
      <c r="G112" s="139">
        <v>516000</v>
      </c>
      <c r="H112" s="142">
        <f>IFERROR(VLOOKUP($C112,$C$5:$H$18,6,0)+SUMIF($C$19:$C112,$C112,$F$19:$F112)-SUMIF($C$19:$C112,$C112,$G$19:$G112),"")</f>
        <v>374.429999999469</v>
      </c>
      <c r="I112" s="144" t="s">
        <v>44</v>
      </c>
      <c r="J112" s="144"/>
      <c r="K112" s="22">
        <f t="shared" si="1"/>
        <v>202606</v>
      </c>
      <c r="L112" s="40"/>
      <c r="M112"/>
      <c r="N112"/>
      <c r="O112"/>
      <c r="P112"/>
      <c r="Q112"/>
      <c r="R112"/>
      <c r="S112"/>
      <c r="T112"/>
      <c r="U112"/>
      <c r="V112"/>
      <c r="W112" s="41"/>
      <c r="X112" s="41"/>
      <c r="Y112" s="41"/>
    </row>
    <row r="113" s="27" customFormat="1" ht="23" hidden="1" customHeight="1" spans="1:25">
      <c r="A113" s="133">
        <f>IF(B113="","",COUNTA($B$5:B113))</f>
        <v>109</v>
      </c>
      <c r="B113" s="143">
        <v>46198</v>
      </c>
      <c r="C113" s="144" t="s">
        <v>49</v>
      </c>
      <c r="D113" s="145" t="s">
        <v>77</v>
      </c>
      <c r="E113" s="146" t="s">
        <v>122</v>
      </c>
      <c r="F113" s="139"/>
      <c r="G113" s="139">
        <v>1</v>
      </c>
      <c r="H113" s="142">
        <f>IFERROR(VLOOKUP($C113,$C$5:$H$18,6,0)+SUMIF($C$19:$C113,$C113,$F$19:$F113)-SUMIF($C$19:$C113,$C113,$G$19:$G113),"")</f>
        <v>373.429999999469</v>
      </c>
      <c r="I113" s="144"/>
      <c r="J113" s="144"/>
      <c r="K113" s="22">
        <f t="shared" si="1"/>
        <v>202606</v>
      </c>
      <c r="L113" s="40"/>
      <c r="M113"/>
      <c r="N113"/>
      <c r="O113"/>
      <c r="P113"/>
      <c r="Q113"/>
      <c r="R113"/>
      <c r="S113"/>
      <c r="T113"/>
      <c r="U113"/>
      <c r="V113"/>
      <c r="W113" s="41"/>
      <c r="X113" s="41"/>
      <c r="Y113" s="41"/>
    </row>
    <row r="114" s="27" customFormat="1" ht="23" hidden="1" customHeight="1" spans="1:25">
      <c r="A114" s="133">
        <f>IF(B114="","",COUNTA($B$5:B114))</f>
        <v>110</v>
      </c>
      <c r="B114" s="143">
        <v>46199</v>
      </c>
      <c r="C114" s="144" t="s">
        <v>49</v>
      </c>
      <c r="D114" s="145"/>
      <c r="E114" s="146" t="s">
        <v>130</v>
      </c>
      <c r="F114" s="139">
        <v>8060.12</v>
      </c>
      <c r="G114" s="139"/>
      <c r="H114" s="142">
        <f>IFERROR(VLOOKUP($C114,$C$5:$H$18,6,0)+SUMIF($C$19:$C114,$C114,$F$19:$F114)-SUMIF($C$19:$C114,$C114,$G$19:$G114),"")</f>
        <v>8433.54999999958</v>
      </c>
      <c r="I114" s="144"/>
      <c r="J114" s="144"/>
      <c r="K114" s="22">
        <f t="shared" si="1"/>
        <v>202606</v>
      </c>
      <c r="L114" s="40"/>
      <c r="M114"/>
      <c r="N114"/>
      <c r="O114"/>
      <c r="P114"/>
      <c r="Q114"/>
      <c r="R114"/>
      <c r="S114"/>
      <c r="T114"/>
      <c r="U114"/>
      <c r="V114"/>
      <c r="W114" s="41"/>
      <c r="X114" s="41"/>
      <c r="Y114" s="41"/>
    </row>
    <row r="115" s="27" customFormat="1" ht="23" hidden="1" customHeight="1" spans="1:25">
      <c r="A115" s="133">
        <f>IF(B115="","",COUNTA($B$5:B115))</f>
        <v>111</v>
      </c>
      <c r="B115" s="143">
        <v>46200</v>
      </c>
      <c r="C115" s="144" t="s">
        <v>49</v>
      </c>
      <c r="D115" s="145"/>
      <c r="E115" s="146" t="s">
        <v>130</v>
      </c>
      <c r="F115" s="139">
        <v>8333.03</v>
      </c>
      <c r="G115" s="139"/>
      <c r="H115" s="142">
        <f>IFERROR(VLOOKUP($C115,$C$5:$H$18,6,0)+SUMIF($C$19:$C115,$C115,$F$19:$F115)-SUMIF($C$19:$C115,$C115,$G$19:$G115),"")</f>
        <v>16766.5799999996</v>
      </c>
      <c r="I115" s="144"/>
      <c r="J115" s="144"/>
      <c r="K115" s="22">
        <f t="shared" si="1"/>
        <v>202606</v>
      </c>
      <c r="L115" s="40"/>
      <c r="M115"/>
      <c r="N115"/>
      <c r="O115"/>
      <c r="P115"/>
      <c r="Q115"/>
      <c r="R115"/>
      <c r="S115"/>
      <c r="T115"/>
      <c r="U115"/>
      <c r="V115"/>
      <c r="W115" s="41"/>
      <c r="X115" s="41"/>
      <c r="Y115" s="41"/>
    </row>
    <row r="116" s="27" customFormat="1" ht="23" hidden="1" customHeight="1" spans="1:25">
      <c r="A116" s="133">
        <f>IF(B116="","",COUNTA($B$5:B116))</f>
        <v>112</v>
      </c>
      <c r="B116" s="143">
        <v>46201</v>
      </c>
      <c r="C116" s="144" t="s">
        <v>49</v>
      </c>
      <c r="D116" s="145"/>
      <c r="E116" s="146" t="s">
        <v>130</v>
      </c>
      <c r="F116" s="139">
        <v>6478.19</v>
      </c>
      <c r="G116" s="139"/>
      <c r="H116" s="142">
        <f>IFERROR(VLOOKUP($C116,$C$5:$H$18,6,0)+SUMIF($C$19:$C116,$C116,$F$19:$F116)-SUMIF($C$19:$C116,$C116,$G$19:$G116),"")</f>
        <v>23244.7699999996</v>
      </c>
      <c r="I116" s="144"/>
      <c r="J116" s="144"/>
      <c r="K116" s="22">
        <f t="shared" si="1"/>
        <v>202606</v>
      </c>
      <c r="L116" s="40"/>
      <c r="M116"/>
      <c r="N116"/>
      <c r="O116"/>
      <c r="P116"/>
      <c r="Q116"/>
      <c r="R116"/>
      <c r="S116"/>
      <c r="T116"/>
      <c r="U116"/>
      <c r="V116"/>
      <c r="W116" s="41"/>
      <c r="X116" s="41"/>
      <c r="Y116" s="41"/>
    </row>
    <row r="117" s="27" customFormat="1" ht="23" hidden="1" customHeight="1" spans="1:25">
      <c r="A117" s="133">
        <f>IF(B117="","",COUNTA($B$5:B117))</f>
        <v>113</v>
      </c>
      <c r="B117" s="143">
        <v>46202</v>
      </c>
      <c r="C117" s="144" t="s">
        <v>49</v>
      </c>
      <c r="D117" s="145"/>
      <c r="E117" s="146" t="s">
        <v>130</v>
      </c>
      <c r="F117" s="139">
        <v>6974.78</v>
      </c>
      <c r="G117" s="139"/>
      <c r="H117" s="142">
        <f>IFERROR(VLOOKUP($C117,$C$5:$H$18,6,0)+SUMIF($C$19:$C117,$C117,$F$19:$F117)-SUMIF($C$19:$C117,$C117,$G$19:$G117),"")</f>
        <v>30219.5499999996</v>
      </c>
      <c r="I117" s="144"/>
      <c r="J117" s="144"/>
      <c r="K117" s="22">
        <f t="shared" si="1"/>
        <v>202606</v>
      </c>
      <c r="L117" s="40"/>
      <c r="M117"/>
      <c r="N117"/>
      <c r="O117"/>
      <c r="P117"/>
      <c r="Q117"/>
      <c r="R117"/>
      <c r="S117"/>
      <c r="T117"/>
      <c r="U117"/>
      <c r="V117"/>
      <c r="W117" s="41"/>
      <c r="X117" s="41"/>
      <c r="Y117" s="41"/>
    </row>
    <row r="118" s="27" customFormat="1" ht="23" hidden="1" customHeight="1" spans="1:25">
      <c r="A118" s="133">
        <f>IF(B118="","",COUNTA($B$5:B118))</f>
        <v>114</v>
      </c>
      <c r="B118" s="143">
        <v>46202</v>
      </c>
      <c r="C118" s="144" t="s">
        <v>49</v>
      </c>
      <c r="D118" s="145" t="s">
        <v>62</v>
      </c>
      <c r="E118" s="146" t="s">
        <v>51</v>
      </c>
      <c r="F118" s="139"/>
      <c r="G118" s="139">
        <v>20000</v>
      </c>
      <c r="H118" s="142">
        <f>IFERROR(VLOOKUP($C118,$C$5:$H$18,6,0)+SUMIF($C$19:$C118,$C118,$F$19:$F118)-SUMIF($C$19:$C118,$C118,$G$19:$G118),"")</f>
        <v>10219.5499999996</v>
      </c>
      <c r="I118" s="144"/>
      <c r="J118" s="144"/>
      <c r="K118" s="22">
        <f t="shared" si="1"/>
        <v>202606</v>
      </c>
      <c r="L118" s="40"/>
      <c r="M118"/>
      <c r="N118"/>
      <c r="O118"/>
      <c r="P118"/>
      <c r="Q118"/>
      <c r="R118"/>
      <c r="S118"/>
      <c r="T118"/>
      <c r="U118"/>
      <c r="V118"/>
      <c r="W118" s="41"/>
      <c r="X118" s="41"/>
      <c r="Y118" s="41"/>
    </row>
    <row r="119" s="27" customFormat="1" ht="23" hidden="1" customHeight="1" spans="1:25">
      <c r="A119" s="133">
        <f>IF(B119="","",COUNTA($B$5:B119))</f>
        <v>115</v>
      </c>
      <c r="B119" s="143">
        <v>46202</v>
      </c>
      <c r="C119" s="144" t="s">
        <v>49</v>
      </c>
      <c r="D119" s="145" t="s">
        <v>77</v>
      </c>
      <c r="E119" s="146" t="s">
        <v>122</v>
      </c>
      <c r="F119" s="139"/>
      <c r="G119" s="139">
        <v>9</v>
      </c>
      <c r="H119" s="142">
        <f>IFERROR(VLOOKUP($C119,$C$5:$H$18,6,0)+SUMIF($C$19:$C119,$C119,$F$19:$F119)-SUMIF($C$19:$C119,$C119,$G$19:$G119),"")</f>
        <v>10210.5499999996</v>
      </c>
      <c r="I119" s="144"/>
      <c r="J119" s="144"/>
      <c r="K119" s="22">
        <f t="shared" si="1"/>
        <v>202606</v>
      </c>
      <c r="L119" s="40"/>
      <c r="M119"/>
      <c r="N119"/>
      <c r="O119"/>
      <c r="P119"/>
      <c r="Q119"/>
      <c r="R119"/>
      <c r="S119"/>
      <c r="T119"/>
      <c r="U119"/>
      <c r="V119"/>
      <c r="W119" s="41"/>
      <c r="X119" s="41"/>
      <c r="Y119" s="41"/>
    </row>
    <row r="120" s="27" customFormat="1" ht="23" hidden="1" customHeight="1" spans="1:25">
      <c r="A120" s="133">
        <f>IF(B120="","",COUNTA($B$5:B120))</f>
        <v>116</v>
      </c>
      <c r="B120" s="143">
        <v>46202</v>
      </c>
      <c r="C120" s="144" t="s">
        <v>49</v>
      </c>
      <c r="D120" s="145" t="s">
        <v>80</v>
      </c>
      <c r="E120" s="146" t="s">
        <v>127</v>
      </c>
      <c r="F120" s="139"/>
      <c r="G120" s="139">
        <v>1605.56</v>
      </c>
      <c r="H120" s="142">
        <f>IFERROR(VLOOKUP($C120,$C$5:$H$18,6,0)+SUMIF($C$19:$C120,$C120,$F$19:$F120)-SUMIF($C$19:$C120,$C120,$G$19:$G120),"")</f>
        <v>8604.98999999952</v>
      </c>
      <c r="I120" s="144"/>
      <c r="J120" s="144"/>
      <c r="K120" s="22">
        <f t="shared" si="1"/>
        <v>202606</v>
      </c>
      <c r="L120" s="40"/>
      <c r="M120"/>
      <c r="N120"/>
      <c r="O120"/>
      <c r="P120"/>
      <c r="Q120"/>
      <c r="R120"/>
      <c r="S120"/>
      <c r="T120"/>
      <c r="U120"/>
      <c r="V120"/>
      <c r="W120" s="41"/>
      <c r="X120" s="41"/>
      <c r="Y120" s="41"/>
    </row>
    <row r="121" s="27" customFormat="1" ht="23" hidden="1" customHeight="1" spans="1:25">
      <c r="A121" s="133">
        <f>IF(B121="","",COUNTA($B$5:B121))</f>
        <v>117</v>
      </c>
      <c r="B121" s="143">
        <v>46202</v>
      </c>
      <c r="C121" s="144" t="s">
        <v>49</v>
      </c>
      <c r="D121" s="145" t="s">
        <v>80</v>
      </c>
      <c r="E121" s="146" t="s">
        <v>127</v>
      </c>
      <c r="F121" s="139"/>
      <c r="G121" s="139">
        <v>3928.18</v>
      </c>
      <c r="H121" s="142">
        <f>IFERROR(VLOOKUP($C121,$C$5:$H$18,6,0)+SUMIF($C$19:$C121,$C121,$F$19:$F121)-SUMIF($C$19:$C121,$C121,$G$19:$G121),"")</f>
        <v>4676.80999999959</v>
      </c>
      <c r="I121" s="144"/>
      <c r="J121" s="144"/>
      <c r="K121" s="22">
        <f t="shared" si="1"/>
        <v>202606</v>
      </c>
      <c r="L121" s="40"/>
      <c r="M121"/>
      <c r="N121"/>
      <c r="O121"/>
      <c r="P121"/>
      <c r="Q121"/>
      <c r="R121"/>
      <c r="S121"/>
      <c r="T121"/>
      <c r="U121"/>
      <c r="V121"/>
      <c r="W121" s="41"/>
      <c r="X121" s="41"/>
      <c r="Y121" s="41"/>
    </row>
    <row r="122" s="27" customFormat="1" ht="23" hidden="1" customHeight="1" spans="1:25">
      <c r="A122" s="133">
        <f>IF(B122="","",COUNTA($B$5:B122))</f>
        <v>118</v>
      </c>
      <c r="B122" s="143">
        <v>46203</v>
      </c>
      <c r="C122" s="144" t="s">
        <v>49</v>
      </c>
      <c r="D122" s="145"/>
      <c r="E122" s="146" t="s">
        <v>130</v>
      </c>
      <c r="F122" s="139">
        <v>9746.07</v>
      </c>
      <c r="G122" s="139"/>
      <c r="H122" s="142">
        <f>IFERROR(VLOOKUP($C122,$C$5:$H$18,6,0)+SUMIF($C$19:$C122,$C122,$F$19:$F122)-SUMIF($C$19:$C122,$C122,$G$19:$G122),"")</f>
        <v>14422.8799999997</v>
      </c>
      <c r="I122" s="144"/>
      <c r="J122" s="144"/>
      <c r="K122" s="22">
        <f t="shared" si="1"/>
        <v>202606</v>
      </c>
      <c r="L122" s="40"/>
      <c r="M122"/>
      <c r="N122"/>
      <c r="O122"/>
      <c r="P122"/>
      <c r="Q122"/>
      <c r="R122"/>
      <c r="S122"/>
      <c r="T122"/>
      <c r="U122"/>
      <c r="V122"/>
      <c r="W122" s="41"/>
      <c r="X122" s="41"/>
      <c r="Y122" s="41"/>
    </row>
    <row r="123" s="27" customFormat="1" ht="23" hidden="1" customHeight="1" spans="1:25">
      <c r="A123" s="133">
        <f>IF(B123="","",COUNTA($B$5:B123))</f>
        <v>119</v>
      </c>
      <c r="B123" s="143">
        <v>46204</v>
      </c>
      <c r="C123" s="144" t="s">
        <v>49</v>
      </c>
      <c r="D123" s="145"/>
      <c r="E123" s="146" t="s">
        <v>130</v>
      </c>
      <c r="F123" s="139">
        <v>8773.73</v>
      </c>
      <c r="G123" s="139"/>
      <c r="H123" s="142">
        <f>IFERROR(VLOOKUP($C123,$C$5:$H$18,6,0)+SUMIF($C$19:$C123,$C123,$F$19:$F123)-SUMIF($C$19:$C123,$C123,$G$19:$G123),"")</f>
        <v>23196.6099999996</v>
      </c>
      <c r="I123" s="144"/>
      <c r="J123" s="144"/>
      <c r="K123" s="22">
        <f t="shared" si="1"/>
        <v>202607</v>
      </c>
      <c r="L123" s="40"/>
      <c r="M123"/>
      <c r="N123"/>
      <c r="O123"/>
      <c r="P123"/>
      <c r="Q123"/>
      <c r="R123"/>
      <c r="S123"/>
      <c r="T123"/>
      <c r="U123"/>
      <c r="V123"/>
      <c r="W123" s="41"/>
      <c r="X123" s="41"/>
      <c r="Y123" s="41"/>
    </row>
    <row r="124" s="27" customFormat="1" ht="23" hidden="1" customHeight="1" spans="1:25">
      <c r="A124" s="133">
        <f>IF(B124="","",COUNTA($B$5:B124))</f>
        <v>120</v>
      </c>
      <c r="B124" s="143">
        <v>46205</v>
      </c>
      <c r="C124" s="144" t="s">
        <v>49</v>
      </c>
      <c r="D124" s="145"/>
      <c r="E124" s="146" t="s">
        <v>130</v>
      </c>
      <c r="F124" s="139">
        <v>9065.51</v>
      </c>
      <c r="G124" s="139"/>
      <c r="H124" s="142">
        <f>IFERROR(VLOOKUP($C124,$C$5:$H$18,6,0)+SUMIF($C$19:$C124,$C124,$F$19:$F124)-SUMIF($C$19:$C124,$C124,$G$19:$G124),"")</f>
        <v>32262.1199999996</v>
      </c>
      <c r="I124" s="144"/>
      <c r="J124" s="144"/>
      <c r="K124" s="22">
        <f t="shared" si="1"/>
        <v>202607</v>
      </c>
      <c r="L124" s="40"/>
      <c r="M124"/>
      <c r="N124"/>
      <c r="O124"/>
      <c r="P124"/>
      <c r="Q124"/>
      <c r="R124"/>
      <c r="S124"/>
      <c r="T124"/>
      <c r="U124"/>
      <c r="V124"/>
      <c r="W124" s="41"/>
      <c r="X124" s="41"/>
      <c r="Y124" s="41"/>
    </row>
    <row r="125" s="27" customFormat="1" ht="23" hidden="1" customHeight="1" spans="1:25">
      <c r="A125" s="133">
        <f>IF(B125="","",COUNTA($B$5:B125))</f>
        <v>121</v>
      </c>
      <c r="B125" s="143">
        <v>46206</v>
      </c>
      <c r="C125" s="144" t="s">
        <v>49</v>
      </c>
      <c r="D125" s="145"/>
      <c r="E125" s="146" t="s">
        <v>130</v>
      </c>
      <c r="F125" s="139">
        <v>10916.23</v>
      </c>
      <c r="G125" s="139"/>
      <c r="H125" s="142">
        <f>IFERROR(VLOOKUP($C125,$C$5:$H$18,6,0)+SUMIF($C$19:$C125,$C125,$F$19:$F125)-SUMIF($C$19:$C125,$C125,$G$19:$G125),"")</f>
        <v>43178.3499999996</v>
      </c>
      <c r="I125" s="144"/>
      <c r="J125" s="144"/>
      <c r="K125" s="22">
        <f t="shared" si="1"/>
        <v>202607</v>
      </c>
      <c r="L125" s="40"/>
      <c r="M125"/>
      <c r="N125"/>
      <c r="O125"/>
      <c r="P125"/>
      <c r="Q125"/>
      <c r="R125"/>
      <c r="S125"/>
      <c r="T125"/>
      <c r="U125"/>
      <c r="V125"/>
      <c r="W125" s="41"/>
      <c r="X125" s="41"/>
      <c r="Y125" s="41"/>
    </row>
    <row r="126" s="27" customFormat="1" ht="23" hidden="1" customHeight="1" spans="1:25">
      <c r="A126" s="133">
        <f>IF(B126="","",COUNTA($B$5:B126))</f>
        <v>122</v>
      </c>
      <c r="B126" s="143">
        <v>46207</v>
      </c>
      <c r="C126" s="144" t="s">
        <v>49</v>
      </c>
      <c r="D126" s="145"/>
      <c r="E126" s="146" t="s">
        <v>130</v>
      </c>
      <c r="F126" s="139">
        <v>7444.13</v>
      </c>
      <c r="G126" s="139"/>
      <c r="H126" s="142">
        <f>IFERROR(VLOOKUP($C126,$C$5:$H$18,6,0)+SUMIF($C$19:$C126,$C126,$F$19:$F126)-SUMIF($C$19:$C126,$C126,$G$19:$G126),"")</f>
        <v>50622.4799999995</v>
      </c>
      <c r="I126" s="144"/>
      <c r="J126" s="144"/>
      <c r="K126" s="22">
        <f t="shared" si="1"/>
        <v>202607</v>
      </c>
      <c r="L126" s="40"/>
      <c r="M126"/>
      <c r="N126"/>
      <c r="O126"/>
      <c r="P126"/>
      <c r="Q126"/>
      <c r="R126"/>
      <c r="S126"/>
      <c r="T126"/>
      <c r="U126"/>
      <c r="V126"/>
      <c r="W126" s="41"/>
      <c r="X126" s="41"/>
      <c r="Y126" s="41"/>
    </row>
    <row r="127" s="27" customFormat="1" ht="23" hidden="1" customHeight="1" spans="1:25">
      <c r="A127" s="133">
        <f>IF(B127="","",COUNTA($B$5:B127))</f>
        <v>123</v>
      </c>
      <c r="B127" s="143">
        <v>46208</v>
      </c>
      <c r="C127" s="144" t="s">
        <v>49</v>
      </c>
      <c r="D127" s="145"/>
      <c r="E127" s="146" t="s">
        <v>130</v>
      </c>
      <c r="F127" s="139">
        <v>7407.41</v>
      </c>
      <c r="G127" s="139"/>
      <c r="H127" s="142">
        <f>IFERROR(VLOOKUP($C127,$C$5:$H$18,6,0)+SUMIF($C$19:$C127,$C127,$F$19:$F127)-SUMIF($C$19:$C127,$C127,$G$19:$G127),"")</f>
        <v>58029.8899999994</v>
      </c>
      <c r="I127" s="144"/>
      <c r="J127" s="144"/>
      <c r="K127" s="22">
        <f t="shared" si="1"/>
        <v>202607</v>
      </c>
      <c r="L127" s="40"/>
      <c r="M127"/>
      <c r="N127"/>
      <c r="O127"/>
      <c r="P127"/>
      <c r="Q127"/>
      <c r="R127"/>
      <c r="S127"/>
      <c r="T127"/>
      <c r="U127"/>
      <c r="V127"/>
      <c r="W127" s="41"/>
      <c r="X127" s="41"/>
      <c r="Y127" s="41"/>
    </row>
    <row r="128" s="27" customFormat="1" ht="23" hidden="1" customHeight="1" spans="1:25">
      <c r="A128" s="133">
        <f>IF(B128="","",COUNTA($B$5:B128))</f>
        <v>124</v>
      </c>
      <c r="B128" s="143">
        <v>46209</v>
      </c>
      <c r="C128" s="144" t="s">
        <v>49</v>
      </c>
      <c r="D128" s="145"/>
      <c r="E128" s="146" t="s">
        <v>130</v>
      </c>
      <c r="F128" s="139">
        <v>7817.88</v>
      </c>
      <c r="G128" s="139"/>
      <c r="H128" s="142">
        <f>IFERROR(VLOOKUP($C128,$C$5:$H$18,6,0)+SUMIF($C$19:$C128,$C128,$F$19:$F128)-SUMIF($C$19:$C128,$C128,$G$19:$G128),"")</f>
        <v>65847.7699999993</v>
      </c>
      <c r="I128" s="144"/>
      <c r="J128" s="144"/>
      <c r="K128" s="22">
        <f t="shared" si="1"/>
        <v>202607</v>
      </c>
      <c r="L128" s="40"/>
      <c r="M128"/>
      <c r="N128"/>
      <c r="O128"/>
      <c r="P128"/>
      <c r="Q128"/>
      <c r="R128"/>
      <c r="S128"/>
      <c r="T128"/>
      <c r="U128"/>
      <c r="V128"/>
      <c r="W128" s="41"/>
      <c r="X128" s="41"/>
      <c r="Y128" s="41"/>
    </row>
    <row r="129" s="27" customFormat="1" ht="23" hidden="1" customHeight="1" spans="1:25">
      <c r="A129" s="133">
        <f>IF(B129="","",COUNTA($B$5:B129))</f>
        <v>125</v>
      </c>
      <c r="B129" s="143">
        <v>46210</v>
      </c>
      <c r="C129" s="144" t="s">
        <v>49</v>
      </c>
      <c r="D129" s="145"/>
      <c r="E129" s="146" t="s">
        <v>130</v>
      </c>
      <c r="F129" s="139">
        <v>9230.78</v>
      </c>
      <c r="G129" s="139"/>
      <c r="H129" s="142">
        <f>IFERROR(VLOOKUP($C129,$C$5:$H$18,6,0)+SUMIF($C$19:$C129,$C129,$F$19:$F129)-SUMIF($C$19:$C129,$C129,$G$19:$G129),"")</f>
        <v>75078.5499999993</v>
      </c>
      <c r="I129" s="144"/>
      <c r="J129" s="144"/>
      <c r="K129" s="22">
        <f t="shared" si="1"/>
        <v>202607</v>
      </c>
      <c r="L129" s="40"/>
      <c r="M129"/>
      <c r="N129"/>
      <c r="O129"/>
      <c r="P129"/>
      <c r="Q129"/>
      <c r="R129"/>
      <c r="S129"/>
      <c r="T129"/>
      <c r="U129"/>
      <c r="V129"/>
      <c r="W129" s="41"/>
      <c r="X129" s="41"/>
      <c r="Y129" s="41"/>
    </row>
    <row r="130" s="27" customFormat="1" ht="23" hidden="1" customHeight="1" spans="1:25">
      <c r="A130" s="133">
        <f>IF(B130="","",COUNTA($B$5:B130))</f>
        <v>126</v>
      </c>
      <c r="B130" s="143">
        <v>46211</v>
      </c>
      <c r="C130" s="144" t="s">
        <v>49</v>
      </c>
      <c r="D130" s="145"/>
      <c r="E130" s="146" t="s">
        <v>130</v>
      </c>
      <c r="F130" s="139">
        <v>10776.47</v>
      </c>
      <c r="G130" s="139"/>
      <c r="H130" s="142">
        <f>IFERROR(VLOOKUP($C130,$C$5:$H$18,6,0)+SUMIF($C$19:$C130,$C130,$F$19:$F130)-SUMIF($C$19:$C130,$C130,$G$19:$G130),"")</f>
        <v>85855.0199999993</v>
      </c>
      <c r="I130" s="144"/>
      <c r="J130" s="144"/>
      <c r="K130" s="22">
        <f t="shared" si="1"/>
        <v>202607</v>
      </c>
      <c r="L130" s="40"/>
      <c r="M130"/>
      <c r="N130"/>
      <c r="O130"/>
      <c r="P130"/>
      <c r="Q130"/>
      <c r="R130"/>
      <c r="S130"/>
      <c r="T130"/>
      <c r="U130"/>
      <c r="V130"/>
      <c r="W130" s="41"/>
      <c r="X130" s="41"/>
      <c r="Y130" s="41"/>
    </row>
    <row r="131" s="27" customFormat="1" ht="23" hidden="1" customHeight="1" spans="1:25">
      <c r="A131" s="133">
        <f>IF(B131="","",COUNTA($B$5:B131))</f>
        <v>127</v>
      </c>
      <c r="B131" s="143">
        <v>46212</v>
      </c>
      <c r="C131" s="144" t="s">
        <v>49</v>
      </c>
      <c r="D131" s="145"/>
      <c r="E131" s="146" t="s">
        <v>130</v>
      </c>
      <c r="F131" s="139">
        <v>8987.46</v>
      </c>
      <c r="G131" s="139"/>
      <c r="H131" s="142">
        <f>IFERROR(VLOOKUP($C131,$C$5:$H$18,6,0)+SUMIF($C$19:$C131,$C131,$F$19:$F131)-SUMIF($C$19:$C131,$C131,$G$19:$G131),"")</f>
        <v>94842.4799999993</v>
      </c>
      <c r="I131" s="144"/>
      <c r="J131" s="144"/>
      <c r="K131" s="22">
        <f t="shared" si="1"/>
        <v>202607</v>
      </c>
      <c r="L131" s="40"/>
      <c r="M131"/>
      <c r="N131"/>
      <c r="O131"/>
      <c r="P131"/>
      <c r="Q131"/>
      <c r="R131"/>
      <c r="S131"/>
      <c r="T131"/>
      <c r="U131"/>
      <c r="V131"/>
      <c r="W131" s="41"/>
      <c r="X131" s="41"/>
      <c r="Y131" s="41"/>
    </row>
    <row r="132" s="27" customFormat="1" ht="23" hidden="1" customHeight="1" spans="1:25">
      <c r="A132" s="133">
        <f>IF(B132="","",COUNTA($B$5:B132))</f>
        <v>128</v>
      </c>
      <c r="B132" s="143">
        <v>46213</v>
      </c>
      <c r="C132" s="144" t="s">
        <v>49</v>
      </c>
      <c r="D132" s="145"/>
      <c r="E132" s="146" t="s">
        <v>130</v>
      </c>
      <c r="F132" s="139">
        <v>12722.93</v>
      </c>
      <c r="G132" s="139"/>
      <c r="H132" s="142">
        <f>IFERROR(VLOOKUP($C132,$C$5:$H$18,6,0)+SUMIF($C$19:$C132,$C132,$F$19:$F132)-SUMIF($C$19:$C132,$C132,$G$19:$G132),"")</f>
        <v>107565.409999999</v>
      </c>
      <c r="I132" s="144"/>
      <c r="J132" s="144"/>
      <c r="K132" s="22">
        <f t="shared" si="1"/>
        <v>202607</v>
      </c>
      <c r="L132" s="40"/>
      <c r="M132"/>
      <c r="N132"/>
      <c r="O132"/>
      <c r="P132"/>
      <c r="Q132"/>
      <c r="R132"/>
      <c r="S132"/>
      <c r="T132"/>
      <c r="U132"/>
      <c r="V132"/>
      <c r="W132" s="41"/>
      <c r="X132" s="41"/>
      <c r="Y132" s="41"/>
    </row>
    <row r="133" s="27" customFormat="1" ht="23" hidden="1" customHeight="1" spans="1:25">
      <c r="A133" s="133">
        <f>IF(B133="","",COUNTA($B$5:B133))</f>
        <v>129</v>
      </c>
      <c r="B133" s="143">
        <v>46214</v>
      </c>
      <c r="C133" s="144" t="s">
        <v>49</v>
      </c>
      <c r="D133" s="145"/>
      <c r="E133" s="146" t="s">
        <v>130</v>
      </c>
      <c r="F133" s="139">
        <v>11069.75</v>
      </c>
      <c r="G133" s="139"/>
      <c r="H133" s="142">
        <f>IFERROR(VLOOKUP($C133,$C$5:$H$18,6,0)+SUMIF($C$19:$C133,$C133,$F$19:$F133)-SUMIF($C$19:$C133,$C133,$G$19:$G133),"")</f>
        <v>118635.159999999</v>
      </c>
      <c r="I133" s="144"/>
      <c r="J133" s="144"/>
      <c r="K133" s="22">
        <f t="shared" ref="K133:K196" si="2">IF($B133="","",--TEXT($B133,"yyyymm"))</f>
        <v>202607</v>
      </c>
      <c r="L133" s="40"/>
      <c r="M133"/>
      <c r="N133"/>
      <c r="O133"/>
      <c r="P133"/>
      <c r="Q133"/>
      <c r="R133"/>
      <c r="S133"/>
      <c r="T133"/>
      <c r="U133"/>
      <c r="V133"/>
      <c r="W133" s="41"/>
      <c r="X133" s="41"/>
      <c r="Y133" s="41"/>
    </row>
    <row r="134" s="27" customFormat="1" ht="23" hidden="1" customHeight="1" spans="1:25">
      <c r="A134" s="133">
        <f>IF(B134="","",COUNTA($B$5:B134))</f>
        <v>130</v>
      </c>
      <c r="B134" s="143">
        <v>46214</v>
      </c>
      <c r="C134" s="144" t="s">
        <v>49</v>
      </c>
      <c r="D134" s="145" t="s">
        <v>62</v>
      </c>
      <c r="E134" s="146" t="s">
        <v>128</v>
      </c>
      <c r="F134" s="139"/>
      <c r="G134" s="139">
        <v>5000</v>
      </c>
      <c r="H134" s="142">
        <f>IFERROR(VLOOKUP($C134,$C$5:$H$18,6,0)+SUMIF($C$19:$C134,$C134,$F$19:$F134)-SUMIF($C$19:$C134,$C134,$G$19:$G134),"")</f>
        <v>113635.159999999</v>
      </c>
      <c r="I134" s="144"/>
      <c r="J134" s="144"/>
      <c r="K134" s="22">
        <f t="shared" si="2"/>
        <v>202607</v>
      </c>
      <c r="L134" s="40"/>
      <c r="M134"/>
      <c r="N134"/>
      <c r="O134"/>
      <c r="P134"/>
      <c r="Q134"/>
      <c r="R134"/>
      <c r="S134"/>
      <c r="T134"/>
      <c r="U134"/>
      <c r="V134"/>
      <c r="W134" s="41"/>
      <c r="X134" s="41"/>
      <c r="Y134" s="41"/>
    </row>
    <row r="135" s="27" customFormat="1" ht="23" hidden="1" customHeight="1" spans="1:25">
      <c r="A135" s="133">
        <f>IF(B135="","",COUNTA($B$5:B135))</f>
        <v>131</v>
      </c>
      <c r="B135" s="143">
        <v>46214</v>
      </c>
      <c r="C135" s="144" t="s">
        <v>49</v>
      </c>
      <c r="D135" s="145" t="s">
        <v>77</v>
      </c>
      <c r="E135" s="146" t="s">
        <v>122</v>
      </c>
      <c r="F135" s="139"/>
      <c r="G135" s="139">
        <v>4.5</v>
      </c>
      <c r="H135" s="142">
        <f>IFERROR(VLOOKUP($C135,$C$5:$H$18,6,0)+SUMIF($C$19:$C135,$C135,$F$19:$F135)-SUMIF($C$19:$C135,$C135,$G$19:$G135),"")</f>
        <v>113630.659999999</v>
      </c>
      <c r="I135" s="144"/>
      <c r="J135" s="144"/>
      <c r="K135" s="22">
        <f t="shared" si="2"/>
        <v>202607</v>
      </c>
      <c r="L135" s="40"/>
      <c r="M135"/>
      <c r="N135"/>
      <c r="O135"/>
      <c r="P135"/>
      <c r="Q135"/>
      <c r="R135"/>
      <c r="S135"/>
      <c r="T135"/>
      <c r="U135"/>
      <c r="V135"/>
      <c r="W135" s="41"/>
      <c r="X135" s="41"/>
      <c r="Y135" s="41"/>
    </row>
    <row r="136" s="27" customFormat="1" ht="23" hidden="1" customHeight="1" spans="1:25">
      <c r="A136" s="133">
        <f>IF(B136="","",COUNTA($B$5:B136))</f>
        <v>132</v>
      </c>
      <c r="B136" s="143">
        <v>46214</v>
      </c>
      <c r="C136" s="144" t="s">
        <v>49</v>
      </c>
      <c r="D136" s="145" t="s">
        <v>62</v>
      </c>
      <c r="E136" s="146" t="s">
        <v>51</v>
      </c>
      <c r="F136" s="139"/>
      <c r="G136" s="139">
        <v>20480</v>
      </c>
      <c r="H136" s="142">
        <f>IFERROR(VLOOKUP($C136,$C$5:$H$18,6,0)+SUMIF($C$19:$C136,$C136,$F$19:$F136)-SUMIF($C$19:$C136,$C136,$G$19:$G136),"")</f>
        <v>93150.6599999992</v>
      </c>
      <c r="I136" s="144"/>
      <c r="J136" s="144"/>
      <c r="K136" s="22">
        <f t="shared" si="2"/>
        <v>202607</v>
      </c>
      <c r="L136" s="40"/>
      <c r="M136"/>
      <c r="N136"/>
      <c r="O136"/>
      <c r="P136"/>
      <c r="Q136"/>
      <c r="R136"/>
      <c r="S136"/>
      <c r="T136"/>
      <c r="U136"/>
      <c r="V136"/>
      <c r="W136" s="41"/>
      <c r="X136" s="41"/>
      <c r="Y136" s="41"/>
    </row>
    <row r="137" s="27" customFormat="1" ht="23" hidden="1" customHeight="1" spans="1:25">
      <c r="A137" s="133">
        <f>IF(B137="","",COUNTA($B$5:B137))</f>
        <v>133</v>
      </c>
      <c r="B137" s="143">
        <v>46214</v>
      </c>
      <c r="C137" s="144" t="s">
        <v>49</v>
      </c>
      <c r="D137" s="145" t="s">
        <v>77</v>
      </c>
      <c r="E137" s="146" t="s">
        <v>122</v>
      </c>
      <c r="F137" s="139"/>
      <c r="G137" s="139">
        <v>9</v>
      </c>
      <c r="H137" s="142">
        <f>IFERROR(VLOOKUP($C137,$C$5:$H$18,6,0)+SUMIF($C$19:$C137,$C137,$F$19:$F137)-SUMIF($C$19:$C137,$C137,$G$19:$G137),"")</f>
        <v>93141.6599999992</v>
      </c>
      <c r="I137" s="144"/>
      <c r="J137" s="144"/>
      <c r="K137" s="22">
        <f t="shared" si="2"/>
        <v>202607</v>
      </c>
      <c r="L137" s="40"/>
      <c r="M137"/>
      <c r="N137"/>
      <c r="O137"/>
      <c r="P137"/>
      <c r="Q137"/>
      <c r="R137"/>
      <c r="S137"/>
      <c r="T137"/>
      <c r="U137"/>
      <c r="V137"/>
      <c r="W137" s="41"/>
      <c r="X137" s="41"/>
      <c r="Y137" s="41"/>
    </row>
    <row r="138" s="27" customFormat="1" ht="23" hidden="1" customHeight="1" spans="1:25">
      <c r="A138" s="133">
        <f>IF(B138="","",COUNTA($B$5:B138))</f>
        <v>134</v>
      </c>
      <c r="B138" s="143">
        <v>46214</v>
      </c>
      <c r="C138" s="144" t="s">
        <v>49</v>
      </c>
      <c r="D138" s="145" t="s">
        <v>62</v>
      </c>
      <c r="E138" s="146" t="s">
        <v>146</v>
      </c>
      <c r="F138" s="139"/>
      <c r="G138" s="139">
        <v>8526</v>
      </c>
      <c r="H138" s="142">
        <f>IFERROR(VLOOKUP($C138,$C$5:$H$18,6,0)+SUMIF($C$19:$C138,$C138,$F$19:$F138)-SUMIF($C$19:$C138,$C138,$G$19:$G138),"")</f>
        <v>84615.6599999992</v>
      </c>
      <c r="I138" s="144"/>
      <c r="J138" s="144"/>
      <c r="K138" s="22">
        <f t="shared" si="2"/>
        <v>202607</v>
      </c>
      <c r="L138" s="40"/>
      <c r="M138"/>
      <c r="N138"/>
      <c r="O138"/>
      <c r="P138"/>
      <c r="Q138"/>
      <c r="R138"/>
      <c r="S138"/>
      <c r="T138"/>
      <c r="U138"/>
      <c r="V138"/>
      <c r="W138" s="41"/>
      <c r="X138" s="41"/>
      <c r="Y138" s="41"/>
    </row>
    <row r="139" s="27" customFormat="1" ht="23" hidden="1" customHeight="1" spans="1:25">
      <c r="A139" s="133">
        <f>IF(B139="","",COUNTA($B$5:B139))</f>
        <v>135</v>
      </c>
      <c r="B139" s="143">
        <v>46214</v>
      </c>
      <c r="C139" s="144" t="s">
        <v>49</v>
      </c>
      <c r="D139" s="145" t="s">
        <v>77</v>
      </c>
      <c r="E139" s="146" t="s">
        <v>122</v>
      </c>
      <c r="F139" s="139"/>
      <c r="G139" s="139">
        <v>4.5</v>
      </c>
      <c r="H139" s="142">
        <f>IFERROR(VLOOKUP($C139,$C$5:$H$18,6,0)+SUMIF($C$19:$C139,$C139,$F$19:$F139)-SUMIF($C$19:$C139,$C139,$G$19:$G139),"")</f>
        <v>84611.1599999992</v>
      </c>
      <c r="I139" s="144"/>
      <c r="J139" s="144"/>
      <c r="K139" s="22">
        <f t="shared" si="2"/>
        <v>202607</v>
      </c>
      <c r="L139" s="40"/>
      <c r="M139"/>
      <c r="N139"/>
      <c r="O139"/>
      <c r="P139"/>
      <c r="Q139"/>
      <c r="R139"/>
      <c r="S139"/>
      <c r="T139"/>
      <c r="U139"/>
      <c r="V139"/>
      <c r="W139" s="41"/>
      <c r="X139" s="41"/>
      <c r="Y139" s="41"/>
    </row>
    <row r="140" s="27" customFormat="1" ht="23" hidden="1" customHeight="1" spans="1:25">
      <c r="A140" s="133">
        <f>IF(B140="","",COUNTA($B$5:B140))</f>
        <v>136</v>
      </c>
      <c r="B140" s="143">
        <v>46214</v>
      </c>
      <c r="C140" s="144" t="s">
        <v>49</v>
      </c>
      <c r="D140" s="145" t="s">
        <v>62</v>
      </c>
      <c r="E140" s="146" t="s">
        <v>147</v>
      </c>
      <c r="F140" s="139"/>
      <c r="G140" s="139">
        <v>6870</v>
      </c>
      <c r="H140" s="142">
        <f>IFERROR(VLOOKUP($C140,$C$5:$H$18,6,0)+SUMIF($C$19:$C140,$C140,$F$19:$F140)-SUMIF($C$19:$C140,$C140,$G$19:$G140),"")</f>
        <v>77741.1599999992</v>
      </c>
      <c r="I140" s="144"/>
      <c r="J140" s="144"/>
      <c r="K140" s="22">
        <f t="shared" si="2"/>
        <v>202607</v>
      </c>
      <c r="L140" s="40"/>
      <c r="M140"/>
      <c r="N140"/>
      <c r="O140"/>
      <c r="P140"/>
      <c r="Q140"/>
      <c r="R140"/>
      <c r="S140"/>
      <c r="T140"/>
      <c r="U140"/>
      <c r="V140"/>
      <c r="W140" s="41"/>
      <c r="X140" s="41"/>
      <c r="Y140" s="41"/>
    </row>
    <row r="141" s="27" customFormat="1" ht="23" hidden="1" customHeight="1" spans="1:25">
      <c r="A141" s="133">
        <f>IF(B141="","",COUNTA($B$5:B141))</f>
        <v>137</v>
      </c>
      <c r="B141" s="143">
        <v>46214</v>
      </c>
      <c r="C141" s="144" t="s">
        <v>49</v>
      </c>
      <c r="D141" s="145" t="s">
        <v>77</v>
      </c>
      <c r="E141" s="146" t="s">
        <v>122</v>
      </c>
      <c r="F141" s="139"/>
      <c r="G141" s="139">
        <v>4.5</v>
      </c>
      <c r="H141" s="142">
        <f>IFERROR(VLOOKUP($C141,$C$5:$H$18,6,0)+SUMIF($C$19:$C141,$C141,$F$19:$F141)-SUMIF($C$19:$C141,$C141,$G$19:$G141),"")</f>
        <v>77736.6599999992</v>
      </c>
      <c r="I141" s="144"/>
      <c r="J141" s="144"/>
      <c r="K141" s="22">
        <f t="shared" si="2"/>
        <v>202607</v>
      </c>
      <c r="L141" s="40"/>
      <c r="M141"/>
      <c r="N141"/>
      <c r="O141"/>
      <c r="P141"/>
      <c r="Q141"/>
      <c r="R141"/>
      <c r="S141"/>
      <c r="T141"/>
      <c r="U141"/>
      <c r="V141"/>
      <c r="W141" s="41"/>
      <c r="X141" s="41"/>
      <c r="Y141" s="41"/>
    </row>
    <row r="142" s="27" customFormat="1" ht="23" hidden="1" customHeight="1" spans="1:25">
      <c r="A142" s="133">
        <f>IF(B142="","",COUNTA($B$5:B142))</f>
        <v>138</v>
      </c>
      <c r="B142" s="143">
        <v>46214</v>
      </c>
      <c r="C142" s="144" t="s">
        <v>49</v>
      </c>
      <c r="D142" s="145" t="s">
        <v>62</v>
      </c>
      <c r="E142" s="146" t="s">
        <v>148</v>
      </c>
      <c r="F142" s="139"/>
      <c r="G142" s="139">
        <v>5677</v>
      </c>
      <c r="H142" s="142">
        <f>IFERROR(VLOOKUP($C142,$C$5:$H$18,6,0)+SUMIF($C$19:$C142,$C142,$F$19:$F142)-SUMIF($C$19:$C142,$C142,$G$19:$G142),"")</f>
        <v>72059.6599999992</v>
      </c>
      <c r="I142" s="144"/>
      <c r="J142" s="144"/>
      <c r="K142" s="22">
        <f t="shared" si="2"/>
        <v>202607</v>
      </c>
      <c r="L142" s="40"/>
      <c r="M142"/>
      <c r="N142"/>
      <c r="O142"/>
      <c r="P142"/>
      <c r="Q142"/>
      <c r="R142"/>
      <c r="S142"/>
      <c r="T142"/>
      <c r="U142"/>
      <c r="V142"/>
      <c r="W142" s="41"/>
      <c r="X142" s="41"/>
      <c r="Y142" s="41"/>
    </row>
    <row r="143" s="27" customFormat="1" ht="23" hidden="1" customHeight="1" spans="1:25">
      <c r="A143" s="133">
        <f>IF(B143="","",COUNTA($B$5:B143))</f>
        <v>139</v>
      </c>
      <c r="B143" s="143">
        <v>46214</v>
      </c>
      <c r="C143" s="144" t="s">
        <v>49</v>
      </c>
      <c r="D143" s="145" t="s">
        <v>77</v>
      </c>
      <c r="E143" s="146" t="s">
        <v>122</v>
      </c>
      <c r="F143" s="139"/>
      <c r="G143" s="139">
        <v>4.5</v>
      </c>
      <c r="H143" s="142">
        <f>IFERROR(VLOOKUP($C143,$C$5:$H$18,6,0)+SUMIF($C$19:$C143,$C143,$F$19:$F143)-SUMIF($C$19:$C143,$C143,$G$19:$G143),"")</f>
        <v>72055.1599999992</v>
      </c>
      <c r="I143" s="144"/>
      <c r="J143" s="144"/>
      <c r="K143" s="22">
        <f t="shared" si="2"/>
        <v>202607</v>
      </c>
      <c r="L143" s="40"/>
      <c r="M143"/>
      <c r="N143"/>
      <c r="O143"/>
      <c r="P143"/>
      <c r="Q143"/>
      <c r="R143"/>
      <c r="S143"/>
      <c r="T143"/>
      <c r="U143"/>
      <c r="V143"/>
      <c r="W143" s="41"/>
      <c r="X143" s="41"/>
      <c r="Y143" s="41"/>
    </row>
    <row r="144" s="27" customFormat="1" ht="23" hidden="1" customHeight="1" spans="1:25">
      <c r="A144" s="133">
        <f>IF(B144="","",COUNTA($B$5:B144))</f>
        <v>140</v>
      </c>
      <c r="B144" s="143">
        <v>46214</v>
      </c>
      <c r="C144" s="144" t="s">
        <v>49</v>
      </c>
      <c r="D144" s="145" t="s">
        <v>62</v>
      </c>
      <c r="E144" s="146" t="s">
        <v>149</v>
      </c>
      <c r="F144" s="139"/>
      <c r="G144" s="139">
        <v>9333</v>
      </c>
      <c r="H144" s="142">
        <f>IFERROR(VLOOKUP($C144,$C$5:$H$18,6,0)+SUMIF($C$19:$C144,$C144,$F$19:$F144)-SUMIF($C$19:$C144,$C144,$G$19:$G144),"")</f>
        <v>62722.1599999992</v>
      </c>
      <c r="I144" s="144"/>
      <c r="J144" s="144"/>
      <c r="K144" s="22">
        <f t="shared" si="2"/>
        <v>202607</v>
      </c>
      <c r="L144" s="40"/>
      <c r="M144"/>
      <c r="N144"/>
      <c r="O144"/>
      <c r="P144"/>
      <c r="Q144"/>
      <c r="R144"/>
      <c r="S144"/>
      <c r="T144"/>
      <c r="U144"/>
      <c r="V144"/>
      <c r="W144" s="41"/>
      <c r="X144" s="41"/>
      <c r="Y144" s="41"/>
    </row>
    <row r="145" s="27" customFormat="1" ht="23" hidden="1" customHeight="1" spans="1:25">
      <c r="A145" s="133">
        <f>IF(B145="","",COUNTA($B$5:B145))</f>
        <v>141</v>
      </c>
      <c r="B145" s="143">
        <v>46214</v>
      </c>
      <c r="C145" s="144" t="s">
        <v>49</v>
      </c>
      <c r="D145" s="145" t="s">
        <v>77</v>
      </c>
      <c r="E145" s="146" t="s">
        <v>122</v>
      </c>
      <c r="F145" s="139"/>
      <c r="G145" s="139">
        <v>4.5</v>
      </c>
      <c r="H145" s="142">
        <f>IFERROR(VLOOKUP($C145,$C$5:$H$18,6,0)+SUMIF($C$19:$C145,$C145,$F$19:$F145)-SUMIF($C$19:$C145,$C145,$G$19:$G145),"")</f>
        <v>62717.6599999992</v>
      </c>
      <c r="I145" s="144"/>
      <c r="J145" s="144"/>
      <c r="K145" s="22">
        <f t="shared" si="2"/>
        <v>202607</v>
      </c>
      <c r="L145" s="40"/>
      <c r="M145"/>
      <c r="N145"/>
      <c r="O145"/>
      <c r="P145"/>
      <c r="Q145"/>
      <c r="R145"/>
      <c r="S145"/>
      <c r="T145"/>
      <c r="U145"/>
      <c r="V145"/>
      <c r="W145" s="41"/>
      <c r="X145" s="41"/>
      <c r="Y145" s="41"/>
    </row>
    <row r="146" s="27" customFormat="1" ht="23" hidden="1" customHeight="1" spans="1:25">
      <c r="A146" s="133">
        <f>IF(B146="","",COUNTA($B$5:B146))</f>
        <v>142</v>
      </c>
      <c r="B146" s="143">
        <v>46214</v>
      </c>
      <c r="C146" s="144" t="s">
        <v>49</v>
      </c>
      <c r="D146" s="145" t="s">
        <v>62</v>
      </c>
      <c r="E146" s="146" t="s">
        <v>150</v>
      </c>
      <c r="F146" s="139"/>
      <c r="G146" s="139">
        <v>6340</v>
      </c>
      <c r="H146" s="142">
        <f>IFERROR(VLOOKUP($C146,$C$5:$H$18,6,0)+SUMIF($C$19:$C146,$C146,$F$19:$F146)-SUMIF($C$19:$C146,$C146,$G$19:$G146),"")</f>
        <v>56377.6599999992</v>
      </c>
      <c r="I146" s="144"/>
      <c r="J146" s="144"/>
      <c r="K146" s="22">
        <f t="shared" si="2"/>
        <v>202607</v>
      </c>
      <c r="L146" s="40"/>
      <c r="M146"/>
      <c r="N146"/>
      <c r="O146"/>
      <c r="P146"/>
      <c r="Q146"/>
      <c r="R146"/>
      <c r="S146"/>
      <c r="T146"/>
      <c r="U146"/>
      <c r="V146"/>
      <c r="W146" s="41"/>
      <c r="X146" s="41"/>
      <c r="Y146" s="41"/>
    </row>
    <row r="147" s="27" customFormat="1" ht="23" hidden="1" customHeight="1" spans="1:25">
      <c r="A147" s="133">
        <f>IF(B147="","",COUNTA($B$5:B147))</f>
        <v>143</v>
      </c>
      <c r="B147" s="143">
        <v>46214</v>
      </c>
      <c r="C147" s="144" t="s">
        <v>49</v>
      </c>
      <c r="D147" s="145" t="s">
        <v>77</v>
      </c>
      <c r="E147" s="146" t="s">
        <v>122</v>
      </c>
      <c r="F147" s="139"/>
      <c r="G147" s="139">
        <v>4.5</v>
      </c>
      <c r="H147" s="142">
        <f>IFERROR(VLOOKUP($C147,$C$5:$H$18,6,0)+SUMIF($C$19:$C147,$C147,$F$19:$F147)-SUMIF($C$19:$C147,$C147,$G$19:$G147),"")</f>
        <v>56373.1599999992</v>
      </c>
      <c r="I147" s="144"/>
      <c r="J147" s="144"/>
      <c r="K147" s="22">
        <f t="shared" si="2"/>
        <v>202607</v>
      </c>
      <c r="L147" s="40"/>
      <c r="M147"/>
      <c r="N147"/>
      <c r="O147"/>
      <c r="P147"/>
      <c r="Q147"/>
      <c r="R147"/>
      <c r="S147"/>
      <c r="T147"/>
      <c r="U147"/>
      <c r="V147"/>
      <c r="W147" s="41"/>
      <c r="X147" s="41"/>
      <c r="Y147" s="41"/>
    </row>
    <row r="148" s="27" customFormat="1" ht="23" hidden="1" customHeight="1" spans="1:25">
      <c r="A148" s="133">
        <f>IF(B148="","",COUNTA($B$5:B148))</f>
        <v>144</v>
      </c>
      <c r="B148" s="143">
        <v>46214</v>
      </c>
      <c r="C148" s="144" t="s">
        <v>49</v>
      </c>
      <c r="D148" s="145" t="s">
        <v>62</v>
      </c>
      <c r="E148" s="146" t="s">
        <v>151</v>
      </c>
      <c r="F148" s="139"/>
      <c r="G148" s="139">
        <v>6220</v>
      </c>
      <c r="H148" s="142">
        <f>IFERROR(VLOOKUP($C148,$C$5:$H$18,6,0)+SUMIF($C$19:$C148,$C148,$F$19:$F148)-SUMIF($C$19:$C148,$C148,$G$19:$G148),"")</f>
        <v>50153.1599999992</v>
      </c>
      <c r="I148" s="144"/>
      <c r="J148" s="144"/>
      <c r="K148" s="22">
        <f t="shared" si="2"/>
        <v>202607</v>
      </c>
      <c r="L148" s="40"/>
      <c r="M148"/>
      <c r="N148"/>
      <c r="O148"/>
      <c r="P148"/>
      <c r="Q148"/>
      <c r="R148"/>
      <c r="S148"/>
      <c r="T148"/>
      <c r="U148"/>
      <c r="V148"/>
      <c r="W148" s="41"/>
      <c r="X148" s="41"/>
      <c r="Y148" s="41"/>
    </row>
    <row r="149" s="27" customFormat="1" ht="23" hidden="1" customHeight="1" spans="1:25">
      <c r="A149" s="133">
        <f>IF(B149="","",COUNTA($B$5:B149))</f>
        <v>145</v>
      </c>
      <c r="B149" s="143">
        <v>46214</v>
      </c>
      <c r="C149" s="144" t="s">
        <v>49</v>
      </c>
      <c r="D149" s="145" t="s">
        <v>77</v>
      </c>
      <c r="E149" s="146" t="s">
        <v>122</v>
      </c>
      <c r="F149" s="139"/>
      <c r="G149" s="139">
        <v>4.5</v>
      </c>
      <c r="H149" s="142">
        <f>IFERROR(VLOOKUP($C149,$C$5:$H$18,6,0)+SUMIF($C$19:$C149,$C149,$F$19:$F149)-SUMIF($C$19:$C149,$C149,$G$19:$G149),"")</f>
        <v>50148.6599999992</v>
      </c>
      <c r="I149" s="144"/>
      <c r="J149" s="144"/>
      <c r="K149" s="22">
        <f t="shared" si="2"/>
        <v>202607</v>
      </c>
      <c r="L149" s="40"/>
      <c r="M149"/>
      <c r="N149"/>
      <c r="O149"/>
      <c r="P149"/>
      <c r="Q149"/>
      <c r="R149"/>
      <c r="S149"/>
      <c r="T149"/>
      <c r="U149"/>
      <c r="V149"/>
      <c r="W149" s="41"/>
      <c r="X149" s="41"/>
      <c r="Y149" s="41"/>
    </row>
    <row r="150" s="27" customFormat="1" ht="23" hidden="1" customHeight="1" spans="1:25">
      <c r="A150" s="133">
        <f>IF(B150="","",COUNTA($B$5:B150))</f>
        <v>146</v>
      </c>
      <c r="B150" s="143">
        <v>46214</v>
      </c>
      <c r="C150" s="144" t="s">
        <v>49</v>
      </c>
      <c r="D150" s="145" t="s">
        <v>62</v>
      </c>
      <c r="E150" s="146" t="s">
        <v>152</v>
      </c>
      <c r="F150" s="139"/>
      <c r="G150" s="139">
        <v>5968</v>
      </c>
      <c r="H150" s="142">
        <f>IFERROR(VLOOKUP($C150,$C$5:$H$18,6,0)+SUMIF($C$19:$C150,$C150,$F$19:$F150)-SUMIF($C$19:$C150,$C150,$G$19:$G150),"")</f>
        <v>44180.6599999992</v>
      </c>
      <c r="I150" s="144"/>
      <c r="J150" s="144"/>
      <c r="K150" s="22">
        <f t="shared" si="2"/>
        <v>202607</v>
      </c>
      <c r="L150" s="40"/>
      <c r="M150"/>
      <c r="N150"/>
      <c r="O150"/>
      <c r="P150"/>
      <c r="Q150"/>
      <c r="R150"/>
      <c r="S150"/>
      <c r="T150"/>
      <c r="U150"/>
      <c r="V150"/>
      <c r="W150" s="41"/>
      <c r="X150" s="41"/>
      <c r="Y150" s="41"/>
    </row>
    <row r="151" s="27" customFormat="1" ht="23" hidden="1" customHeight="1" spans="1:25">
      <c r="A151" s="133">
        <f>IF(B151="","",COUNTA($B$5:B151))</f>
        <v>147</v>
      </c>
      <c r="B151" s="143">
        <v>46214</v>
      </c>
      <c r="C151" s="144" t="s">
        <v>49</v>
      </c>
      <c r="D151" s="145" t="s">
        <v>77</v>
      </c>
      <c r="E151" s="146" t="s">
        <v>122</v>
      </c>
      <c r="F151" s="139"/>
      <c r="G151" s="139">
        <v>4.5</v>
      </c>
      <c r="H151" s="142">
        <f>IFERROR(VLOOKUP($C151,$C$5:$H$18,6,0)+SUMIF($C$19:$C151,$C151,$F$19:$F151)-SUMIF($C$19:$C151,$C151,$G$19:$G151),"")</f>
        <v>44176.1599999992</v>
      </c>
      <c r="I151" s="144"/>
      <c r="J151" s="144"/>
      <c r="K151" s="22">
        <f t="shared" si="2"/>
        <v>202607</v>
      </c>
      <c r="L151" s="40"/>
      <c r="M151"/>
      <c r="N151"/>
      <c r="O151"/>
      <c r="P151"/>
      <c r="Q151"/>
      <c r="R151"/>
      <c r="S151"/>
      <c r="T151"/>
      <c r="U151"/>
      <c r="V151"/>
      <c r="W151" s="41"/>
      <c r="X151" s="41"/>
      <c r="Y151" s="41"/>
    </row>
    <row r="152" s="27" customFormat="1" ht="23" hidden="1" customHeight="1" spans="1:25">
      <c r="A152" s="133">
        <f>IF(B152="","",COUNTA($B$5:B152))</f>
        <v>148</v>
      </c>
      <c r="B152" s="143">
        <v>46214</v>
      </c>
      <c r="C152" s="144" t="s">
        <v>49</v>
      </c>
      <c r="D152" s="145" t="s">
        <v>62</v>
      </c>
      <c r="E152" s="146" t="s">
        <v>153</v>
      </c>
      <c r="F152" s="139"/>
      <c r="G152" s="139">
        <v>8283</v>
      </c>
      <c r="H152" s="142">
        <f>IFERROR(VLOOKUP($C152,$C$5:$H$18,6,0)+SUMIF($C$19:$C152,$C152,$F$19:$F152)-SUMIF($C$19:$C152,$C152,$G$19:$G152),"")</f>
        <v>35893.1599999992</v>
      </c>
      <c r="I152" s="144"/>
      <c r="J152" s="144"/>
      <c r="K152" s="22">
        <f t="shared" si="2"/>
        <v>202607</v>
      </c>
      <c r="L152" s="40"/>
      <c r="M152"/>
      <c r="N152"/>
      <c r="O152"/>
      <c r="P152"/>
      <c r="Q152"/>
      <c r="R152"/>
      <c r="S152"/>
      <c r="T152"/>
      <c r="U152"/>
      <c r="V152"/>
      <c r="W152" s="41"/>
      <c r="X152" s="41"/>
      <c r="Y152" s="41"/>
    </row>
    <row r="153" s="27" customFormat="1" ht="23" hidden="1" customHeight="1" spans="1:25">
      <c r="A153" s="133">
        <f>IF(B153="","",COUNTA($B$5:B153))</f>
        <v>149</v>
      </c>
      <c r="B153" s="143">
        <v>46214</v>
      </c>
      <c r="C153" s="144" t="s">
        <v>49</v>
      </c>
      <c r="D153" s="145" t="s">
        <v>77</v>
      </c>
      <c r="E153" s="146" t="s">
        <v>122</v>
      </c>
      <c r="F153" s="139"/>
      <c r="G153" s="139">
        <v>4.5</v>
      </c>
      <c r="H153" s="142">
        <f>IFERROR(VLOOKUP($C153,$C$5:$H$18,6,0)+SUMIF($C$19:$C153,$C153,$F$19:$F153)-SUMIF($C$19:$C153,$C153,$G$19:$G153),"")</f>
        <v>35888.6599999992</v>
      </c>
      <c r="I153" s="144"/>
      <c r="J153" s="144"/>
      <c r="K153" s="22">
        <f t="shared" si="2"/>
        <v>202607</v>
      </c>
      <c r="L153" s="40"/>
      <c r="M153"/>
      <c r="N153"/>
      <c r="O153"/>
      <c r="P153"/>
      <c r="Q153"/>
      <c r="R153"/>
      <c r="S153"/>
      <c r="T153"/>
      <c r="U153"/>
      <c r="V153"/>
      <c r="W153" s="41"/>
      <c r="X153" s="41"/>
      <c r="Y153" s="41"/>
    </row>
    <row r="154" s="27" customFormat="1" ht="23" hidden="1" customHeight="1" spans="1:25">
      <c r="A154" s="133">
        <f>IF(B154="","",COUNTA($B$5:B154))</f>
        <v>150</v>
      </c>
      <c r="B154" s="143">
        <v>46215</v>
      </c>
      <c r="C154" s="144" t="s">
        <v>49</v>
      </c>
      <c r="D154" s="145"/>
      <c r="E154" s="146" t="s">
        <v>130</v>
      </c>
      <c r="F154" s="139">
        <v>6861.2</v>
      </c>
      <c r="G154" s="139"/>
      <c r="H154" s="142">
        <f>IFERROR(VLOOKUP($C154,$C$5:$H$18,6,0)+SUMIF($C$19:$C154,$C154,$F$19:$F154)-SUMIF($C$19:$C154,$C154,$G$19:$G154),"")</f>
        <v>42749.8599999992</v>
      </c>
      <c r="I154" s="144"/>
      <c r="J154" s="144"/>
      <c r="K154" s="22">
        <f t="shared" si="2"/>
        <v>202607</v>
      </c>
      <c r="L154" s="40"/>
      <c r="M154"/>
      <c r="N154"/>
      <c r="O154"/>
      <c r="P154"/>
      <c r="Q154"/>
      <c r="R154"/>
      <c r="S154"/>
      <c r="T154"/>
      <c r="U154"/>
      <c r="V154"/>
      <c r="W154" s="41"/>
      <c r="X154" s="41"/>
      <c r="Y154" s="41"/>
    </row>
    <row r="155" s="27" customFormat="1" ht="23" hidden="1" customHeight="1" spans="1:25">
      <c r="A155" s="133">
        <f>IF(B155="","",COUNTA($B$5:B155))</f>
        <v>151</v>
      </c>
      <c r="B155" s="143">
        <v>46216</v>
      </c>
      <c r="C155" s="144" t="s">
        <v>49</v>
      </c>
      <c r="D155" s="145"/>
      <c r="E155" s="146" t="s">
        <v>130</v>
      </c>
      <c r="F155" s="139">
        <v>6055.19</v>
      </c>
      <c r="G155" s="139"/>
      <c r="H155" s="142">
        <f>IFERROR(VLOOKUP($C155,$C$5:$H$18,6,0)+SUMIF($C$19:$C155,$C155,$F$19:$F155)-SUMIF($C$19:$C155,$C155,$G$19:$G155),"")</f>
        <v>48805.0499999991</v>
      </c>
      <c r="I155" s="144"/>
      <c r="J155" s="144"/>
      <c r="K155" s="22">
        <f t="shared" si="2"/>
        <v>202607</v>
      </c>
      <c r="L155" s="40"/>
      <c r="M155"/>
      <c r="N155"/>
      <c r="O155"/>
      <c r="P155"/>
      <c r="Q155"/>
      <c r="R155"/>
      <c r="S155"/>
      <c r="T155"/>
      <c r="U155"/>
      <c r="V155"/>
      <c r="W155" s="41"/>
      <c r="X155" s="41"/>
      <c r="Y155" s="41"/>
    </row>
    <row r="156" s="27" customFormat="1" ht="23" hidden="1" customHeight="1" spans="1:25">
      <c r="A156" s="133">
        <f>IF(B156="","",COUNTA($B$5:B156))</f>
        <v>152</v>
      </c>
      <c r="B156" s="143">
        <v>46217</v>
      </c>
      <c r="C156" s="144" t="s">
        <v>49</v>
      </c>
      <c r="D156" s="145"/>
      <c r="E156" s="146" t="s">
        <v>130</v>
      </c>
      <c r="F156" s="139">
        <v>12392.2</v>
      </c>
      <c r="G156" s="139"/>
      <c r="H156" s="142">
        <f>IFERROR(VLOOKUP($C156,$C$5:$H$18,6,0)+SUMIF($C$19:$C156,$C156,$F$19:$F156)-SUMIF($C$19:$C156,$C156,$G$19:$G156),"")</f>
        <v>61197.2499999991</v>
      </c>
      <c r="I156" s="144"/>
      <c r="J156" s="144"/>
      <c r="K156" s="22">
        <f t="shared" si="2"/>
        <v>202607</v>
      </c>
      <c r="L156" s="40"/>
      <c r="M156"/>
      <c r="N156"/>
      <c r="O156"/>
      <c r="P156"/>
      <c r="Q156"/>
      <c r="R156"/>
      <c r="S156"/>
      <c r="T156"/>
      <c r="U156"/>
      <c r="V156"/>
      <c r="W156" s="41"/>
      <c r="X156" s="41"/>
      <c r="Y156" s="41"/>
    </row>
    <row r="157" s="27" customFormat="1" ht="23" hidden="1" customHeight="1" spans="1:25">
      <c r="A157" s="133">
        <f>IF(B157="","",COUNTA($B$5:B157))</f>
        <v>153</v>
      </c>
      <c r="B157" s="143">
        <v>46217</v>
      </c>
      <c r="C157" s="144" t="s">
        <v>49</v>
      </c>
      <c r="D157" s="145" t="s">
        <v>80</v>
      </c>
      <c r="E157" s="146" t="s">
        <v>127</v>
      </c>
      <c r="F157" s="139"/>
      <c r="G157" s="139">
        <v>1174.57</v>
      </c>
      <c r="H157" s="142">
        <f>IFERROR(VLOOKUP($C157,$C$5:$H$18,6,0)+SUMIF($C$19:$C157,$C157,$F$19:$F157)-SUMIF($C$19:$C157,$C157,$G$19:$G157),"")</f>
        <v>60022.679999999</v>
      </c>
      <c r="I157" s="144"/>
      <c r="J157" s="144"/>
      <c r="K157" s="22">
        <f t="shared" si="2"/>
        <v>202607</v>
      </c>
      <c r="L157" s="40"/>
      <c r="M157"/>
      <c r="N157"/>
      <c r="O157"/>
      <c r="P157"/>
      <c r="Q157"/>
      <c r="R157"/>
      <c r="S157"/>
      <c r="T157"/>
      <c r="U157"/>
      <c r="V157"/>
      <c r="W157" s="41"/>
      <c r="X157" s="41"/>
      <c r="Y157" s="41"/>
    </row>
    <row r="158" s="27" customFormat="1" ht="23" hidden="1" customHeight="1" spans="1:25">
      <c r="A158" s="133">
        <f>IF(B158="","",COUNTA($B$5:B158))</f>
        <v>154</v>
      </c>
      <c r="B158" s="143">
        <v>46217</v>
      </c>
      <c r="C158" s="144" t="s">
        <v>49</v>
      </c>
      <c r="D158" s="145" t="s">
        <v>80</v>
      </c>
      <c r="E158" s="146" t="s">
        <v>127</v>
      </c>
      <c r="F158" s="139"/>
      <c r="G158" s="139">
        <v>1389.52</v>
      </c>
      <c r="H158" s="142">
        <f>IFERROR(VLOOKUP($C158,$C$5:$H$18,6,0)+SUMIF($C$19:$C158,$C158,$F$19:$F158)-SUMIF($C$19:$C158,$C158,$G$19:$G158),"")</f>
        <v>58633.159999999</v>
      </c>
      <c r="I158" s="144"/>
      <c r="J158" s="144"/>
      <c r="K158" s="22">
        <f t="shared" si="2"/>
        <v>202607</v>
      </c>
      <c r="L158" s="40"/>
      <c r="M158"/>
      <c r="N158"/>
      <c r="O158"/>
      <c r="P158"/>
      <c r="Q158"/>
      <c r="R158"/>
      <c r="S158"/>
      <c r="T158"/>
      <c r="U158"/>
      <c r="V158"/>
      <c r="W158" s="41"/>
      <c r="X158" s="41"/>
      <c r="Y158" s="41"/>
    </row>
    <row r="159" s="27" customFormat="1" ht="23" hidden="1" customHeight="1" spans="1:25">
      <c r="A159" s="133">
        <f>IF(B159="","",COUNTA($B$5:B159))</f>
        <v>155</v>
      </c>
      <c r="B159" s="143">
        <v>46218</v>
      </c>
      <c r="C159" s="144" t="s">
        <v>49</v>
      </c>
      <c r="D159" s="145"/>
      <c r="E159" s="146" t="s">
        <v>130</v>
      </c>
      <c r="F159" s="139">
        <v>11733.18</v>
      </c>
      <c r="G159" s="139"/>
      <c r="H159" s="142">
        <f>IFERROR(VLOOKUP($C159,$C$5:$H$18,6,0)+SUMIF($C$19:$C159,$C159,$F$19:$F159)-SUMIF($C$19:$C159,$C159,$G$19:$G159),"")</f>
        <v>70366.3399999989</v>
      </c>
      <c r="I159" s="144"/>
      <c r="J159" s="144"/>
      <c r="K159" s="22">
        <f t="shared" si="2"/>
        <v>202607</v>
      </c>
      <c r="L159" s="40"/>
      <c r="M159"/>
      <c r="N159"/>
      <c r="O159"/>
      <c r="P159"/>
      <c r="Q159"/>
      <c r="R159"/>
      <c r="S159"/>
      <c r="T159"/>
      <c r="U159"/>
      <c r="V159"/>
      <c r="W159" s="41"/>
      <c r="X159" s="41"/>
      <c r="Y159" s="41"/>
    </row>
    <row r="160" s="27" customFormat="1" ht="23" hidden="1" customHeight="1" spans="1:25">
      <c r="A160" s="133">
        <f>IF(B160="","",COUNTA($B$5:B160))</f>
        <v>156</v>
      </c>
      <c r="B160" s="143">
        <v>46219</v>
      </c>
      <c r="C160" s="144" t="s">
        <v>49</v>
      </c>
      <c r="D160" s="145"/>
      <c r="E160" s="146" t="s">
        <v>130</v>
      </c>
      <c r="F160" s="139">
        <v>2403.15</v>
      </c>
      <c r="G160" s="139"/>
      <c r="H160" s="142">
        <f>IFERROR(VLOOKUP($C160,$C$5:$H$18,6,0)+SUMIF($C$19:$C160,$C160,$F$19:$F160)-SUMIF($C$19:$C160,$C160,$G$19:$G160),"")</f>
        <v>72769.4899999988</v>
      </c>
      <c r="I160" s="144"/>
      <c r="J160" s="144"/>
      <c r="K160" s="22">
        <f t="shared" si="2"/>
        <v>202607</v>
      </c>
      <c r="L160" s="40"/>
      <c r="M160"/>
      <c r="N160"/>
      <c r="O160"/>
      <c r="P160"/>
      <c r="Q160"/>
      <c r="R160"/>
      <c r="S160"/>
      <c r="T160"/>
      <c r="U160"/>
      <c r="V160"/>
      <c r="W160" s="41"/>
      <c r="X160" s="41"/>
      <c r="Y160" s="41"/>
    </row>
    <row r="161" s="27" customFormat="1" ht="23" hidden="1" customHeight="1" spans="1:25">
      <c r="A161" s="133">
        <f>IF(B161="","",COUNTA($B$5:B161))</f>
        <v>157</v>
      </c>
      <c r="B161" s="143">
        <v>46220</v>
      </c>
      <c r="C161" s="144" t="s">
        <v>49</v>
      </c>
      <c r="D161" s="145"/>
      <c r="E161" s="146" t="s">
        <v>130</v>
      </c>
      <c r="F161" s="139">
        <v>896.58</v>
      </c>
      <c r="G161" s="139"/>
      <c r="H161" s="142">
        <f>IFERROR(VLOOKUP($C161,$C$5:$H$18,6,0)+SUMIF($C$19:$C161,$C161,$F$19:$F161)-SUMIF($C$19:$C161,$C161,$G$19:$G161),"")</f>
        <v>73666.0699999989</v>
      </c>
      <c r="I161" s="144"/>
      <c r="J161" s="144"/>
      <c r="K161" s="22">
        <f t="shared" si="2"/>
        <v>202607</v>
      </c>
      <c r="L161" s="40"/>
      <c r="M161"/>
      <c r="N161"/>
      <c r="O161"/>
      <c r="P161"/>
      <c r="Q161"/>
      <c r="R161"/>
      <c r="S161"/>
      <c r="T161"/>
      <c r="U161"/>
      <c r="V161"/>
      <c r="W161" s="41"/>
      <c r="X161" s="41"/>
      <c r="Y161" s="41"/>
    </row>
    <row r="162" s="27" customFormat="1" ht="23" hidden="1" customHeight="1" spans="1:25">
      <c r="A162" s="133">
        <f>IF(B162="","",COUNTA($B$5:B162))</f>
        <v>158</v>
      </c>
      <c r="B162" s="143">
        <v>46220</v>
      </c>
      <c r="C162" s="144" t="s">
        <v>49</v>
      </c>
      <c r="D162" s="145"/>
      <c r="E162" s="146" t="s">
        <v>154</v>
      </c>
      <c r="F162" s="139">
        <v>0.01</v>
      </c>
      <c r="G162" s="139"/>
      <c r="H162" s="142">
        <f>IFERROR(VLOOKUP($C162,$C$5:$H$18,6,0)+SUMIF($C$19:$C162,$C162,$F$19:$F162)-SUMIF($C$19:$C162,$C162,$G$19:$G162),"")</f>
        <v>73666.0799999989</v>
      </c>
      <c r="I162" s="144"/>
      <c r="J162" s="144"/>
      <c r="K162" s="22">
        <f t="shared" si="2"/>
        <v>202607</v>
      </c>
      <c r="L162" s="40"/>
      <c r="M162"/>
      <c r="N162"/>
      <c r="O162"/>
      <c r="P162"/>
      <c r="Q162"/>
      <c r="R162"/>
      <c r="S162"/>
      <c r="T162"/>
      <c r="U162"/>
      <c r="V162"/>
      <c r="W162" s="41"/>
      <c r="X162" s="41"/>
      <c r="Y162" s="41"/>
    </row>
    <row r="163" s="27" customFormat="1" ht="23" hidden="1" customHeight="1" spans="1:25">
      <c r="A163" s="133">
        <f>IF(B163="","",COUNTA($B$5:B163))</f>
        <v>159</v>
      </c>
      <c r="B163" s="143">
        <v>46221</v>
      </c>
      <c r="C163" s="144" t="s">
        <v>49</v>
      </c>
      <c r="D163" s="145"/>
      <c r="E163" s="146" t="s">
        <v>130</v>
      </c>
      <c r="F163" s="139">
        <v>269.98</v>
      </c>
      <c r="G163" s="139"/>
      <c r="H163" s="142">
        <f>IFERROR(VLOOKUP($C163,$C$5:$H$18,6,0)+SUMIF($C$19:$C163,$C163,$F$19:$F163)-SUMIF($C$19:$C163,$C163,$G$19:$G163),"")</f>
        <v>73936.0599999989</v>
      </c>
      <c r="I163" s="144"/>
      <c r="J163" s="144"/>
      <c r="K163" s="22">
        <f t="shared" si="2"/>
        <v>202607</v>
      </c>
      <c r="L163" s="40"/>
      <c r="M163"/>
      <c r="N163"/>
      <c r="O163"/>
      <c r="P163"/>
      <c r="Q163"/>
      <c r="R163"/>
      <c r="S163"/>
      <c r="T163"/>
      <c r="U163"/>
      <c r="V163"/>
      <c r="W163" s="41"/>
      <c r="X163" s="41"/>
      <c r="Y163" s="41"/>
    </row>
    <row r="164" s="27" customFormat="1" ht="23" hidden="1" customHeight="1" spans="1:25">
      <c r="A164" s="133">
        <f>IF(B164="","",COUNTA($B$5:B164))</f>
        <v>160</v>
      </c>
      <c r="B164" s="143">
        <v>46221</v>
      </c>
      <c r="C164" s="144" t="s">
        <v>49</v>
      </c>
      <c r="D164" s="145" t="s">
        <v>41</v>
      </c>
      <c r="E164" s="146" t="s">
        <v>142</v>
      </c>
      <c r="F164" s="139"/>
      <c r="G164" s="139">
        <v>55919</v>
      </c>
      <c r="H164" s="142">
        <f>IFERROR(VLOOKUP($C164,$C$5:$H$18,6,0)+SUMIF($C$19:$C164,$C164,$F$19:$F164)-SUMIF($C$19:$C164,$C164,$G$19:$G164),"")</f>
        <v>18017.0599999989</v>
      </c>
      <c r="I164" s="144"/>
      <c r="J164" s="144" t="s">
        <v>48</v>
      </c>
      <c r="K164" s="22">
        <f t="shared" si="2"/>
        <v>202607</v>
      </c>
      <c r="L164" s="40"/>
      <c r="M164"/>
      <c r="N164"/>
      <c r="O164"/>
      <c r="P164"/>
      <c r="Q164"/>
      <c r="R164"/>
      <c r="S164"/>
      <c r="T164"/>
      <c r="U164"/>
      <c r="V164"/>
      <c r="W164" s="41"/>
      <c r="X164" s="41"/>
      <c r="Y164" s="41"/>
    </row>
    <row r="165" s="27" customFormat="1" ht="23" hidden="1" customHeight="1" spans="1:25">
      <c r="A165" s="133">
        <f>IF(B165="","",COUNTA($B$5:B165))</f>
        <v>161</v>
      </c>
      <c r="B165" s="143">
        <v>46221</v>
      </c>
      <c r="C165" s="144" t="s">
        <v>49</v>
      </c>
      <c r="D165" s="145" t="s">
        <v>77</v>
      </c>
      <c r="E165" s="146" t="s">
        <v>122</v>
      </c>
      <c r="F165" s="139"/>
      <c r="G165" s="139">
        <v>9</v>
      </c>
      <c r="H165" s="142">
        <f>IFERROR(VLOOKUP($C165,$C$5:$H$18,6,0)+SUMIF($C$19:$C165,$C165,$F$19:$F165)-SUMIF($C$19:$C165,$C165,$G$19:$G165),"")</f>
        <v>18008.0599999989</v>
      </c>
      <c r="I165" s="144"/>
      <c r="J165" s="144"/>
      <c r="K165" s="22">
        <f t="shared" si="2"/>
        <v>202607</v>
      </c>
      <c r="L165" s="40"/>
      <c r="M165"/>
      <c r="N165"/>
      <c r="O165"/>
      <c r="P165"/>
      <c r="Q165"/>
      <c r="R165"/>
      <c r="S165"/>
      <c r="T165"/>
      <c r="U165"/>
      <c r="V165"/>
      <c r="W165" s="41"/>
      <c r="X165" s="41"/>
      <c r="Y165" s="41"/>
    </row>
    <row r="166" s="27" customFormat="1" ht="23" hidden="1" customHeight="1" spans="1:25">
      <c r="A166" s="133">
        <f>IF(B166="","",COUNTA($B$5:B166))</f>
        <v>162</v>
      </c>
      <c r="B166" s="143">
        <v>46227</v>
      </c>
      <c r="C166" s="144" t="s">
        <v>49</v>
      </c>
      <c r="D166" s="145" t="s">
        <v>41</v>
      </c>
      <c r="E166" s="146" t="s">
        <v>143</v>
      </c>
      <c r="F166" s="139"/>
      <c r="G166" s="139">
        <v>2677.85</v>
      </c>
      <c r="H166" s="142">
        <f>IFERROR(VLOOKUP($C166,$C$5:$H$18,6,0)+SUMIF($C$19:$C166,$C166,$F$19:$F166)-SUMIF($C$19:$C166,$C166,$G$19:$G166),"")</f>
        <v>15330.2099999988</v>
      </c>
      <c r="I166" s="144"/>
      <c r="J166" s="144" t="s">
        <v>55</v>
      </c>
      <c r="K166" s="22">
        <f t="shared" si="2"/>
        <v>202607</v>
      </c>
      <c r="L166" s="40"/>
      <c r="M166"/>
      <c r="N166"/>
      <c r="O166"/>
      <c r="P166"/>
      <c r="Q166"/>
      <c r="R166"/>
      <c r="S166"/>
      <c r="T166"/>
      <c r="U166"/>
      <c r="V166"/>
      <c r="W166" s="41"/>
      <c r="X166" s="41"/>
      <c r="Y166" s="41"/>
    </row>
    <row r="167" s="27" customFormat="1" ht="23" hidden="1" customHeight="1" spans="1:25">
      <c r="A167" s="133">
        <f>IF(B167="","",COUNTA($B$5:B167))</f>
        <v>163</v>
      </c>
      <c r="B167" s="143">
        <v>46227</v>
      </c>
      <c r="C167" s="144" t="s">
        <v>49</v>
      </c>
      <c r="D167" s="145" t="s">
        <v>77</v>
      </c>
      <c r="E167" s="146" t="s">
        <v>122</v>
      </c>
      <c r="F167" s="139"/>
      <c r="G167" s="139">
        <v>4.5</v>
      </c>
      <c r="H167" s="142">
        <f>IFERROR(VLOOKUP($C167,$C$5:$H$18,6,0)+SUMIF($C$19:$C167,$C167,$F$19:$F167)-SUMIF($C$19:$C167,$C167,$G$19:$G167),"")</f>
        <v>15325.7099999988</v>
      </c>
      <c r="I167" s="144"/>
      <c r="J167" s="144"/>
      <c r="K167" s="22">
        <f t="shared" si="2"/>
        <v>202607</v>
      </c>
      <c r="L167" s="40"/>
      <c r="M167"/>
      <c r="N167"/>
      <c r="O167"/>
      <c r="P167"/>
      <c r="Q167"/>
      <c r="R167"/>
      <c r="S167"/>
      <c r="T167"/>
      <c r="U167"/>
      <c r="V167"/>
      <c r="W167" s="41"/>
      <c r="X167" s="41"/>
      <c r="Y167" s="41"/>
    </row>
    <row r="168" s="27" customFormat="1" ht="23" hidden="1" customHeight="1" spans="1:25">
      <c r="A168" s="133">
        <f>IF(B168="","",COUNTA($B$5:B168))</f>
        <v>164</v>
      </c>
      <c r="B168" s="143">
        <v>46227</v>
      </c>
      <c r="C168" s="144" t="s">
        <v>49</v>
      </c>
      <c r="D168" s="145" t="s">
        <v>80</v>
      </c>
      <c r="E168" s="146" t="s">
        <v>127</v>
      </c>
      <c r="F168" s="139"/>
      <c r="G168" s="139">
        <v>13302.48</v>
      </c>
      <c r="H168" s="142">
        <f>IFERROR(VLOOKUP($C168,$C$5:$H$18,6,0)+SUMIF($C$19:$C168,$C168,$F$19:$F168)-SUMIF($C$19:$C168,$C168,$G$19:$G168),"")</f>
        <v>2023.22999999882</v>
      </c>
      <c r="I168" s="144"/>
      <c r="J168" s="144"/>
      <c r="K168" s="22">
        <f t="shared" si="2"/>
        <v>202607</v>
      </c>
      <c r="L168" s="40"/>
      <c r="M168"/>
      <c r="N168"/>
      <c r="O168"/>
      <c r="P168"/>
      <c r="Q168"/>
      <c r="R168"/>
      <c r="S168"/>
      <c r="T168"/>
      <c r="U168"/>
      <c r="V168"/>
      <c r="W168" s="41"/>
      <c r="X168" s="41"/>
      <c r="Y168" s="41"/>
    </row>
    <row r="169" s="27" customFormat="1" ht="23" hidden="1" customHeight="1" spans="1:25">
      <c r="A169" s="133">
        <f>IF(B169="","",COUNTA($B$5:B169))</f>
        <v>165</v>
      </c>
      <c r="B169" s="143">
        <v>46230</v>
      </c>
      <c r="C169" s="144" t="s">
        <v>49</v>
      </c>
      <c r="D169" s="145"/>
      <c r="E169" s="146" t="s">
        <v>141</v>
      </c>
      <c r="F169" s="139">
        <v>10000</v>
      </c>
      <c r="G169" s="139"/>
      <c r="H169" s="142">
        <f>IFERROR(VLOOKUP($C169,$C$5:$H$18,6,0)+SUMIF($C$19:$C169,$C169,$F$19:$F169)-SUMIF($C$19:$C169,$C169,$G$19:$G169),"")</f>
        <v>12023.2299999988</v>
      </c>
      <c r="I169" s="144"/>
      <c r="J169" s="144"/>
      <c r="K169" s="22">
        <f t="shared" si="2"/>
        <v>202607</v>
      </c>
      <c r="L169" s="40"/>
      <c r="M169"/>
      <c r="N169"/>
      <c r="O169"/>
      <c r="P169"/>
      <c r="Q169"/>
      <c r="R169"/>
      <c r="S169"/>
      <c r="T169"/>
      <c r="U169"/>
      <c r="V169"/>
      <c r="W169" s="41"/>
      <c r="X169" s="41"/>
      <c r="Y169" s="41"/>
    </row>
    <row r="170" s="27" customFormat="1" ht="23" hidden="1" customHeight="1" spans="1:25">
      <c r="A170" s="133">
        <f>IF(B170="","",COUNTA($B$5:B170))</f>
        <v>166</v>
      </c>
      <c r="B170" s="143">
        <v>46230</v>
      </c>
      <c r="C170" s="144" t="s">
        <v>49</v>
      </c>
      <c r="D170" s="145" t="s">
        <v>80</v>
      </c>
      <c r="E170" s="146" t="s">
        <v>127</v>
      </c>
      <c r="F170" s="139"/>
      <c r="G170" s="139">
        <v>5428.48</v>
      </c>
      <c r="H170" s="142">
        <f>IFERROR(VLOOKUP($C170,$C$5:$H$18,6,0)+SUMIF($C$19:$C170,$C170,$F$19:$F170)-SUMIF($C$19:$C170,$C170,$G$19:$G170),"")</f>
        <v>6594.74999999884</v>
      </c>
      <c r="I170" s="144"/>
      <c r="J170" s="144"/>
      <c r="K170" s="22">
        <f t="shared" si="2"/>
        <v>202607</v>
      </c>
      <c r="L170" s="40"/>
      <c r="M170"/>
      <c r="N170"/>
      <c r="O170"/>
      <c r="P170"/>
      <c r="Q170"/>
      <c r="R170"/>
      <c r="S170"/>
      <c r="T170"/>
      <c r="U170"/>
      <c r="V170"/>
      <c r="W170" s="41"/>
      <c r="X170" s="41"/>
      <c r="Y170" s="41"/>
    </row>
    <row r="171" s="27" customFormat="1" ht="23" customHeight="1" spans="1:25">
      <c r="A171" s="133">
        <f>IF(B171="","",COUNTA($B$5:B171))</f>
        <v>167</v>
      </c>
      <c r="B171" s="143">
        <v>46230</v>
      </c>
      <c r="C171" s="144" t="s">
        <v>49</v>
      </c>
      <c r="D171" s="145" t="s">
        <v>84</v>
      </c>
      <c r="E171" s="146" t="s">
        <v>155</v>
      </c>
      <c r="F171" s="139"/>
      <c r="G171" s="139">
        <v>1683</v>
      </c>
      <c r="H171" s="142">
        <f>IFERROR(VLOOKUP($C171,$C$5:$H$18,6,0)+SUMIF($C$19:$C171,$C171,$F$19:$F171)-SUMIF($C$19:$C171,$C171,$G$19:$G171),"")</f>
        <v>4911.74999999884</v>
      </c>
      <c r="I171" s="144" t="s">
        <v>47</v>
      </c>
      <c r="J171" s="144"/>
      <c r="K171" s="22">
        <f t="shared" si="2"/>
        <v>202607</v>
      </c>
      <c r="L171" s="40"/>
      <c r="M171"/>
      <c r="N171"/>
      <c r="O171"/>
      <c r="P171"/>
      <c r="Q171"/>
      <c r="R171"/>
      <c r="S171"/>
      <c r="T171"/>
      <c r="U171"/>
      <c r="V171"/>
      <c r="W171" s="41"/>
      <c r="X171" s="41"/>
      <c r="Y171" s="41"/>
    </row>
    <row r="172" s="27" customFormat="1" ht="23" hidden="1" customHeight="1" spans="1:25">
      <c r="A172" s="133">
        <f>IF(B172="","",COUNTA($B$5:B172))</f>
        <v>168</v>
      </c>
      <c r="B172" s="143">
        <v>46230</v>
      </c>
      <c r="C172" s="144" t="s">
        <v>49</v>
      </c>
      <c r="D172" s="145" t="s">
        <v>77</v>
      </c>
      <c r="E172" s="146" t="s">
        <v>122</v>
      </c>
      <c r="F172" s="139"/>
      <c r="G172" s="139">
        <v>4.5</v>
      </c>
      <c r="H172" s="142">
        <f>IFERROR(VLOOKUP($C172,$C$5:$H$18,6,0)+SUMIF($C$19:$C172,$C172,$F$19:$F172)-SUMIF($C$19:$C172,$C172,$G$19:$G172),"")</f>
        <v>4907.24999999884</v>
      </c>
      <c r="I172" s="144"/>
      <c r="J172" s="144"/>
      <c r="K172" s="22">
        <f t="shared" si="2"/>
        <v>202607</v>
      </c>
      <c r="L172" s="40"/>
      <c r="M172"/>
      <c r="N172"/>
      <c r="O172"/>
      <c r="P172"/>
      <c r="Q172"/>
      <c r="R172"/>
      <c r="S172"/>
      <c r="T172"/>
      <c r="U172"/>
      <c r="V172"/>
      <c r="W172" s="41"/>
      <c r="X172" s="41"/>
      <c r="Y172" s="41"/>
    </row>
    <row r="173" s="27" customFormat="1" ht="23" customHeight="1" spans="1:25">
      <c r="A173" s="133">
        <f>IF(B173="","",COUNTA($B$5:B173))</f>
        <v>169</v>
      </c>
      <c r="B173" s="143">
        <v>46231</v>
      </c>
      <c r="C173" s="144" t="s">
        <v>49</v>
      </c>
      <c r="D173" s="145" t="s">
        <v>84</v>
      </c>
      <c r="E173" s="146" t="s">
        <v>156</v>
      </c>
      <c r="F173" s="139"/>
      <c r="G173" s="139">
        <v>4488</v>
      </c>
      <c r="H173" s="142">
        <f>IFERROR(VLOOKUP($C173,$C$5:$H$18,6,0)+SUMIF($C$19:$C173,$C173,$F$19:$F173)-SUMIF($C$19:$C173,$C173,$G$19:$G173),"")</f>
        <v>419.249999998836</v>
      </c>
      <c r="I173" s="144" t="s">
        <v>47</v>
      </c>
      <c r="J173" s="144"/>
      <c r="K173" s="22">
        <f t="shared" si="2"/>
        <v>202607</v>
      </c>
      <c r="L173" s="40"/>
      <c r="M173"/>
      <c r="N173"/>
      <c r="O173"/>
      <c r="P173"/>
      <c r="Q173"/>
      <c r="R173"/>
      <c r="S173"/>
      <c r="T173"/>
      <c r="U173"/>
      <c r="V173"/>
      <c r="W173" s="41"/>
      <c r="X173" s="41"/>
      <c r="Y173" s="41"/>
    </row>
    <row r="174" s="27" customFormat="1" ht="23" hidden="1" customHeight="1" spans="1:25">
      <c r="A174" s="133">
        <f>IF(B174="","",COUNTA($B$5:B174))</f>
        <v>170</v>
      </c>
      <c r="B174" s="143">
        <v>46231</v>
      </c>
      <c r="C174" s="144" t="s">
        <v>49</v>
      </c>
      <c r="D174" s="145" t="s">
        <v>77</v>
      </c>
      <c r="E174" s="146" t="s">
        <v>122</v>
      </c>
      <c r="F174" s="139"/>
      <c r="G174" s="139">
        <v>4.5</v>
      </c>
      <c r="H174" s="142">
        <f>IFERROR(VLOOKUP($C174,$C$5:$H$18,6,0)+SUMIF($C$19:$C174,$C174,$F$19:$F174)-SUMIF($C$19:$C174,$C174,$G$19:$G174),"")</f>
        <v>414.749999998836</v>
      </c>
      <c r="I174" s="144"/>
      <c r="J174" s="144"/>
      <c r="K174" s="22">
        <f t="shared" si="2"/>
        <v>202607</v>
      </c>
      <c r="L174" s="40"/>
      <c r="M174"/>
      <c r="N174"/>
      <c r="O174"/>
      <c r="P174"/>
      <c r="Q174"/>
      <c r="R174"/>
      <c r="S174"/>
      <c r="T174"/>
      <c r="U174"/>
      <c r="V174"/>
      <c r="W174" s="41"/>
      <c r="X174" s="41"/>
      <c r="Y174" s="41"/>
    </row>
    <row r="175" s="27" customFormat="1" ht="23" hidden="1" customHeight="1" spans="1:25">
      <c r="A175" s="133">
        <f>IF(B175="","",COUNTA($B$5:B175))</f>
        <v>171</v>
      </c>
      <c r="B175" s="143">
        <v>46242</v>
      </c>
      <c r="C175" s="144" t="s">
        <v>49</v>
      </c>
      <c r="D175" s="145"/>
      <c r="E175" s="146" t="s">
        <v>157</v>
      </c>
      <c r="F175" s="139">
        <v>901.54</v>
      </c>
      <c r="G175" s="139"/>
      <c r="H175" s="142">
        <f>IFERROR(VLOOKUP($C175,$C$5:$H$18,6,0)+SUMIF($C$19:$C175,$C175,$F$19:$F175)-SUMIF($C$19:$C175,$C175,$G$19:$G175),"")</f>
        <v>1316.28999999887</v>
      </c>
      <c r="I175" s="144"/>
      <c r="J175" s="144"/>
      <c r="K175" s="22">
        <f t="shared" si="2"/>
        <v>202608</v>
      </c>
      <c r="L175" s="40"/>
      <c r="M175"/>
      <c r="N175"/>
      <c r="O175"/>
      <c r="P175"/>
      <c r="Q175"/>
      <c r="R175"/>
      <c r="S175"/>
      <c r="T175"/>
      <c r="U175"/>
      <c r="V175"/>
      <c r="W175" s="41"/>
      <c r="X175" s="41"/>
      <c r="Y175" s="41"/>
    </row>
    <row r="176" s="27" customFormat="1" ht="23" hidden="1" customHeight="1" spans="1:25">
      <c r="A176" s="133">
        <f>IF(B176="","",COUNTA($B$5:B176))</f>
        <v>172</v>
      </c>
      <c r="B176" s="143">
        <v>46242</v>
      </c>
      <c r="C176" s="144" t="s">
        <v>49</v>
      </c>
      <c r="D176" s="145"/>
      <c r="E176" s="146" t="s">
        <v>158</v>
      </c>
      <c r="F176" s="139">
        <v>3827.64</v>
      </c>
      <c r="G176" s="139"/>
      <c r="H176" s="142">
        <f>IFERROR(VLOOKUP($C176,$C$5:$H$18,6,0)+SUMIF($C$19:$C176,$C176,$F$19:$F176)-SUMIF($C$19:$C176,$C176,$G$19:$G176),"")</f>
        <v>5143.92999999877</v>
      </c>
      <c r="I176" s="144"/>
      <c r="J176" s="144"/>
      <c r="K176" s="22">
        <f t="shared" si="2"/>
        <v>202608</v>
      </c>
      <c r="L176" s="40"/>
      <c r="M176"/>
      <c r="N176"/>
      <c r="O176"/>
      <c r="P176"/>
      <c r="Q176"/>
      <c r="R176"/>
      <c r="S176"/>
      <c r="T176"/>
      <c r="U176"/>
      <c r="V176"/>
      <c r="W176" s="41"/>
      <c r="X176" s="41"/>
      <c r="Y176" s="41"/>
    </row>
    <row r="177" s="27" customFormat="1" ht="23" hidden="1" customHeight="1" spans="1:25">
      <c r="A177" s="133">
        <f>IF(B177="","",COUNTA($B$5:B177))</f>
        <v>173</v>
      </c>
      <c r="B177" s="143">
        <v>46242</v>
      </c>
      <c r="C177" s="144" t="s">
        <v>49</v>
      </c>
      <c r="D177" s="145"/>
      <c r="E177" s="146" t="s">
        <v>141</v>
      </c>
      <c r="F177" s="139">
        <v>45000</v>
      </c>
      <c r="G177" s="139"/>
      <c r="H177" s="142">
        <f>IFERROR(VLOOKUP($C177,$C$5:$H$18,6,0)+SUMIF($C$19:$C177,$C177,$F$19:$F177)-SUMIF($C$19:$C177,$C177,$G$19:$G177),"")</f>
        <v>50143.9299999988</v>
      </c>
      <c r="I177" s="144"/>
      <c r="J177" s="144"/>
      <c r="K177" s="22">
        <f t="shared" si="2"/>
        <v>202608</v>
      </c>
      <c r="L177" s="40"/>
      <c r="M177"/>
      <c r="N177"/>
      <c r="O177"/>
      <c r="P177"/>
      <c r="Q177"/>
      <c r="R177"/>
      <c r="S177"/>
      <c r="T177"/>
      <c r="U177"/>
      <c r="V177"/>
      <c r="W177" s="41"/>
      <c r="X177" s="41"/>
      <c r="Y177" s="41"/>
    </row>
    <row r="178" s="27" customFormat="1" ht="23" hidden="1" customHeight="1" spans="1:25">
      <c r="A178" s="133">
        <f>IF(B178="","",COUNTA($B$5:B178))</f>
        <v>174</v>
      </c>
      <c r="B178" s="143">
        <v>46242</v>
      </c>
      <c r="C178" s="144" t="s">
        <v>49</v>
      </c>
      <c r="D178" s="145" t="s">
        <v>41</v>
      </c>
      <c r="E178" s="146" t="s">
        <v>142</v>
      </c>
      <c r="F178" s="139"/>
      <c r="G178" s="139">
        <v>50000</v>
      </c>
      <c r="H178" s="142">
        <f>IFERROR(VLOOKUP($C178,$C$5:$H$18,6,0)+SUMIF($C$19:$C178,$C178,$F$19:$F178)-SUMIF($C$19:$C178,$C178,$G$19:$G178),"")</f>
        <v>143.929999998771</v>
      </c>
      <c r="I178" s="144"/>
      <c r="J178" s="144" t="s">
        <v>48</v>
      </c>
      <c r="K178" s="22">
        <f t="shared" si="2"/>
        <v>202608</v>
      </c>
      <c r="L178" s="40"/>
      <c r="M178"/>
      <c r="N178"/>
      <c r="O178"/>
      <c r="P178"/>
      <c r="Q178"/>
      <c r="R178"/>
      <c r="S178"/>
      <c r="T178"/>
      <c r="U178"/>
      <c r="V178"/>
      <c r="W178" s="41"/>
      <c r="X178" s="41"/>
      <c r="Y178" s="41"/>
    </row>
    <row r="179" s="27" customFormat="1" ht="23" hidden="1" customHeight="1" spans="1:25">
      <c r="A179" s="133">
        <f>IF(B179="","",COUNTA($B$5:B179))</f>
        <v>175</v>
      </c>
      <c r="B179" s="143">
        <v>46242</v>
      </c>
      <c r="C179" s="144" t="s">
        <v>49</v>
      </c>
      <c r="D179" s="145" t="s">
        <v>77</v>
      </c>
      <c r="E179" s="146" t="s">
        <v>122</v>
      </c>
      <c r="F179" s="139"/>
      <c r="G179" s="139">
        <v>9</v>
      </c>
      <c r="H179" s="142">
        <f>IFERROR(VLOOKUP($C179,$C$5:$H$18,6,0)+SUMIF($C$19:$C179,$C179,$F$19:$F179)-SUMIF($C$19:$C179,$C179,$G$19:$G179),"")</f>
        <v>134.929999998771</v>
      </c>
      <c r="I179" s="144"/>
      <c r="J179" s="144"/>
      <c r="K179" s="22">
        <f t="shared" si="2"/>
        <v>202608</v>
      </c>
      <c r="L179" s="40"/>
      <c r="M179"/>
      <c r="N179"/>
      <c r="O179"/>
      <c r="P179"/>
      <c r="Q179"/>
      <c r="R179"/>
      <c r="S179"/>
      <c r="T179"/>
      <c r="U179"/>
      <c r="V179"/>
      <c r="W179" s="41"/>
      <c r="X179" s="41"/>
      <c r="Y179" s="41"/>
    </row>
    <row r="180" s="27" customFormat="1" ht="23" hidden="1" customHeight="1" spans="1:25">
      <c r="A180" s="133">
        <f>IF(B180="","",COUNTA($B$5:B180))</f>
        <v>176</v>
      </c>
      <c r="B180" s="143">
        <v>46243</v>
      </c>
      <c r="C180" s="144" t="s">
        <v>49</v>
      </c>
      <c r="D180" s="145"/>
      <c r="E180" s="146" t="s">
        <v>159</v>
      </c>
      <c r="F180" s="139">
        <v>5868.87</v>
      </c>
      <c r="G180" s="139"/>
      <c r="H180" s="142">
        <f>IFERROR(VLOOKUP($C180,$C$5:$H$18,6,0)+SUMIF($C$19:$C180,$C180,$F$19:$F180)-SUMIF($C$19:$C180,$C180,$G$19:$G180),"")</f>
        <v>6003.79999999888</v>
      </c>
      <c r="I180" s="144"/>
      <c r="J180" s="144"/>
      <c r="K180" s="22">
        <f t="shared" si="2"/>
        <v>202608</v>
      </c>
      <c r="L180" s="40"/>
      <c r="M180"/>
      <c r="N180"/>
      <c r="O180"/>
      <c r="P180"/>
      <c r="Q180"/>
      <c r="R180"/>
      <c r="S180"/>
      <c r="T180"/>
      <c r="U180"/>
      <c r="V180"/>
      <c r="W180" s="41"/>
      <c r="X180" s="41"/>
      <c r="Y180" s="41"/>
    </row>
    <row r="181" s="27" customFormat="1" ht="23" hidden="1" customHeight="1" spans="1:25">
      <c r="A181" s="133">
        <f>IF(B181="","",COUNTA($B$5:B181))</f>
        <v>177</v>
      </c>
      <c r="B181" s="143">
        <v>46243</v>
      </c>
      <c r="C181" s="144" t="s">
        <v>49</v>
      </c>
      <c r="D181" s="145"/>
      <c r="E181" s="146" t="s">
        <v>158</v>
      </c>
      <c r="F181" s="139">
        <v>30.43</v>
      </c>
      <c r="G181" s="139"/>
      <c r="H181" s="142">
        <f>IFERROR(VLOOKUP($C181,$C$5:$H$18,6,0)+SUMIF($C$19:$C181,$C181,$F$19:$F181)-SUMIF($C$19:$C181,$C181,$G$19:$G181),"")</f>
        <v>6034.22999999882</v>
      </c>
      <c r="I181" s="144"/>
      <c r="J181" s="144"/>
      <c r="K181" s="22">
        <f t="shared" si="2"/>
        <v>202608</v>
      </c>
      <c r="L181" s="40"/>
      <c r="M181"/>
      <c r="N181"/>
      <c r="O181"/>
      <c r="P181"/>
      <c r="Q181"/>
      <c r="R181"/>
      <c r="S181"/>
      <c r="T181"/>
      <c r="U181"/>
      <c r="V181"/>
      <c r="W181" s="41"/>
      <c r="X181" s="41"/>
      <c r="Y181" s="41"/>
    </row>
    <row r="182" s="27" customFormat="1" ht="23" hidden="1" customHeight="1" spans="1:25">
      <c r="A182" s="133">
        <f>IF(B182="","",COUNTA($B$5:B182))</f>
        <v>178</v>
      </c>
      <c r="B182" s="143">
        <v>46244</v>
      </c>
      <c r="C182" s="144" t="s">
        <v>49</v>
      </c>
      <c r="D182" s="145"/>
      <c r="E182" s="146" t="s">
        <v>160</v>
      </c>
      <c r="F182" s="139">
        <v>9127.93</v>
      </c>
      <c r="G182" s="139"/>
      <c r="H182" s="142">
        <f>IFERROR(VLOOKUP($C182,$C$5:$H$18,6,0)+SUMIF($C$19:$C182,$C182,$F$19:$F182)-SUMIF($C$19:$C182,$C182,$G$19:$G182),"")</f>
        <v>15162.1599999988</v>
      </c>
      <c r="I182" s="144"/>
      <c r="J182" s="144"/>
      <c r="K182" s="22">
        <f t="shared" si="2"/>
        <v>202608</v>
      </c>
      <c r="L182" s="40"/>
      <c r="M182"/>
      <c r="N182"/>
      <c r="O182"/>
      <c r="P182"/>
      <c r="Q182"/>
      <c r="R182"/>
      <c r="S182"/>
      <c r="T182"/>
      <c r="U182"/>
      <c r="V182"/>
      <c r="W182" s="41"/>
      <c r="X182" s="41"/>
      <c r="Y182" s="41"/>
    </row>
    <row r="183" s="27" customFormat="1" ht="23" hidden="1" customHeight="1" spans="1:25">
      <c r="A183" s="133">
        <f>IF(B183="","",COUNTA($B$5:B183))</f>
        <v>179</v>
      </c>
      <c r="B183" s="143">
        <v>46244</v>
      </c>
      <c r="C183" s="144" t="s">
        <v>49</v>
      </c>
      <c r="D183" s="145"/>
      <c r="E183" s="146" t="s">
        <v>158</v>
      </c>
      <c r="F183" s="139">
        <v>22.87</v>
      </c>
      <c r="G183" s="139"/>
      <c r="H183" s="142">
        <f>IFERROR(VLOOKUP($C183,$C$5:$H$18,6,0)+SUMIF($C$19:$C183,$C183,$F$19:$F183)-SUMIF($C$19:$C183,$C183,$G$19:$G183),"")</f>
        <v>15185.0299999989</v>
      </c>
      <c r="I183" s="144"/>
      <c r="J183" s="144"/>
      <c r="K183" s="22">
        <f t="shared" si="2"/>
        <v>202608</v>
      </c>
      <c r="L183" s="40"/>
      <c r="M183"/>
      <c r="N183"/>
      <c r="O183"/>
      <c r="P183"/>
      <c r="Q183"/>
      <c r="R183"/>
      <c r="S183"/>
      <c r="T183"/>
      <c r="U183"/>
      <c r="V183"/>
      <c r="W183" s="41"/>
      <c r="X183" s="41"/>
      <c r="Y183" s="41"/>
    </row>
    <row r="184" s="27" customFormat="1" ht="23" hidden="1" customHeight="1" spans="1:25">
      <c r="A184" s="133">
        <f>IF(B184="","",COUNTA($B$5:B184))</f>
        <v>180</v>
      </c>
      <c r="B184" s="143">
        <v>46245</v>
      </c>
      <c r="C184" s="144" t="s">
        <v>49</v>
      </c>
      <c r="D184" s="145"/>
      <c r="E184" s="146" t="s">
        <v>161</v>
      </c>
      <c r="F184" s="139">
        <v>2487.36</v>
      </c>
      <c r="G184" s="139"/>
      <c r="H184" s="142">
        <f>IFERROR(VLOOKUP($C184,$C$5:$H$18,6,0)+SUMIF($C$19:$C184,$C184,$F$19:$F184)-SUMIF($C$19:$C184,$C184,$G$19:$G184),"")</f>
        <v>17672.389999999</v>
      </c>
      <c r="I184" s="144"/>
      <c r="J184" s="144"/>
      <c r="K184" s="22">
        <f t="shared" si="2"/>
        <v>202608</v>
      </c>
      <c r="L184" s="40"/>
      <c r="M184"/>
      <c r="N184"/>
      <c r="O184"/>
      <c r="P184"/>
      <c r="Q184"/>
      <c r="R184"/>
      <c r="S184"/>
      <c r="T184"/>
      <c r="U184"/>
      <c r="V184"/>
      <c r="W184" s="41"/>
      <c r="X184" s="41"/>
      <c r="Y184" s="41"/>
    </row>
    <row r="185" s="27" customFormat="1" ht="23" hidden="1" customHeight="1" spans="1:25">
      <c r="A185" s="133">
        <f>IF(B185="","",COUNTA($B$5:B185))</f>
        <v>181</v>
      </c>
      <c r="B185" s="143">
        <v>46245</v>
      </c>
      <c r="C185" s="144" t="s">
        <v>49</v>
      </c>
      <c r="D185" s="145"/>
      <c r="E185" s="146" t="s">
        <v>158</v>
      </c>
      <c r="F185" s="139">
        <v>63.47</v>
      </c>
      <c r="G185" s="139"/>
      <c r="H185" s="142">
        <f>IFERROR(VLOOKUP($C185,$C$5:$H$18,6,0)+SUMIF($C$19:$C185,$C185,$F$19:$F185)-SUMIF($C$19:$C185,$C185,$G$19:$G185),"")</f>
        <v>17735.8599999989</v>
      </c>
      <c r="I185" s="144"/>
      <c r="J185" s="144"/>
      <c r="K185" s="22">
        <f t="shared" si="2"/>
        <v>202608</v>
      </c>
      <c r="L185" s="40"/>
      <c r="M185"/>
      <c r="N185"/>
      <c r="O185"/>
      <c r="P185"/>
      <c r="Q185"/>
      <c r="R185"/>
      <c r="S185"/>
      <c r="T185"/>
      <c r="U185"/>
      <c r="V185"/>
      <c r="W185" s="41"/>
      <c r="X185" s="41"/>
      <c r="Y185" s="41"/>
    </row>
    <row r="186" s="27" customFormat="1" ht="23" hidden="1" customHeight="1" spans="1:25">
      <c r="A186" s="133">
        <f>IF(B186="","",COUNTA($B$5:B186))</f>
        <v>182</v>
      </c>
      <c r="B186" s="143">
        <v>46245</v>
      </c>
      <c r="C186" s="144" t="s">
        <v>49</v>
      </c>
      <c r="D186" s="145"/>
      <c r="E186" s="146" t="s">
        <v>118</v>
      </c>
      <c r="F186" s="139">
        <v>60000</v>
      </c>
      <c r="G186" s="139"/>
      <c r="H186" s="142">
        <f>IFERROR(VLOOKUP($C186,$C$5:$H$18,6,0)+SUMIF($C$19:$C186,$C186,$F$19:$F186)-SUMIF($C$19:$C186,$C186,$G$19:$G186),"")</f>
        <v>77735.8599999989</v>
      </c>
      <c r="I186" s="144"/>
      <c r="J186" s="144"/>
      <c r="K186" s="22">
        <f t="shared" si="2"/>
        <v>202608</v>
      </c>
      <c r="L186" s="40"/>
      <c r="M186"/>
      <c r="N186"/>
      <c r="O186"/>
      <c r="P186"/>
      <c r="Q186"/>
      <c r="R186"/>
      <c r="S186"/>
      <c r="T186"/>
      <c r="U186"/>
      <c r="V186"/>
      <c r="W186" s="41"/>
      <c r="X186" s="41"/>
      <c r="Y186" s="41"/>
    </row>
    <row r="187" s="27" customFormat="1" ht="23" hidden="1" customHeight="1" spans="1:25">
      <c r="A187" s="133">
        <f>IF(B187="","",COUNTA($B$5:B187))</f>
        <v>183</v>
      </c>
      <c r="B187" s="143">
        <v>46245</v>
      </c>
      <c r="C187" s="144" t="s">
        <v>49</v>
      </c>
      <c r="D187" s="145" t="s">
        <v>62</v>
      </c>
      <c r="E187" s="146" t="s">
        <v>151</v>
      </c>
      <c r="F187" s="139"/>
      <c r="G187" s="139">
        <v>7215</v>
      </c>
      <c r="H187" s="142">
        <f>IFERROR(VLOOKUP($C187,$C$5:$H$18,6,0)+SUMIF($C$19:$C187,$C187,$F$19:$F187)-SUMIF($C$19:$C187,$C187,$G$19:$G187),"")</f>
        <v>70520.8599999989</v>
      </c>
      <c r="I187" s="144"/>
      <c r="J187" s="144"/>
      <c r="K187" s="22">
        <f t="shared" si="2"/>
        <v>202608</v>
      </c>
      <c r="L187" s="40"/>
      <c r="M187"/>
      <c r="N187"/>
      <c r="O187"/>
      <c r="P187"/>
      <c r="Q187"/>
      <c r="R187"/>
      <c r="S187"/>
      <c r="T187"/>
      <c r="U187"/>
      <c r="V187"/>
      <c r="W187" s="41"/>
      <c r="X187" s="41"/>
      <c r="Y187" s="41"/>
    </row>
    <row r="188" s="27" customFormat="1" ht="23" hidden="1" customHeight="1" spans="1:25">
      <c r="A188" s="133">
        <f>IF(B188="","",COUNTA($B$5:B188))</f>
        <v>184</v>
      </c>
      <c r="B188" s="143">
        <v>46245</v>
      </c>
      <c r="C188" s="144" t="s">
        <v>49</v>
      </c>
      <c r="D188" s="145" t="s">
        <v>77</v>
      </c>
      <c r="E188" s="146" t="s">
        <v>122</v>
      </c>
      <c r="F188" s="139"/>
      <c r="G188" s="139">
        <v>4.5</v>
      </c>
      <c r="H188" s="142">
        <f>IFERROR(VLOOKUP($C188,$C$5:$H$18,6,0)+SUMIF($C$19:$C188,$C188,$F$19:$F188)-SUMIF($C$19:$C188,$C188,$G$19:$G188),"")</f>
        <v>70516.3599999989</v>
      </c>
      <c r="I188" s="144"/>
      <c r="J188" s="144"/>
      <c r="K188" s="22">
        <f t="shared" si="2"/>
        <v>202608</v>
      </c>
      <c r="L188" s="40"/>
      <c r="M188"/>
      <c r="N188"/>
      <c r="O188"/>
      <c r="P188"/>
      <c r="Q188"/>
      <c r="R188"/>
      <c r="S188"/>
      <c r="T188"/>
      <c r="U188"/>
      <c r="V188"/>
      <c r="W188" s="41"/>
      <c r="X188" s="41"/>
      <c r="Y188" s="41"/>
    </row>
    <row r="189" s="27" customFormat="1" ht="23" hidden="1" customHeight="1" spans="1:25">
      <c r="A189" s="133">
        <f>IF(B189="","",COUNTA($B$5:B189))</f>
        <v>185</v>
      </c>
      <c r="B189" s="143">
        <v>46245</v>
      </c>
      <c r="C189" s="144" t="s">
        <v>49</v>
      </c>
      <c r="D189" s="145" t="s">
        <v>62</v>
      </c>
      <c r="E189" s="146" t="s">
        <v>149</v>
      </c>
      <c r="F189" s="139"/>
      <c r="G189" s="139">
        <v>8862</v>
      </c>
      <c r="H189" s="142">
        <f>IFERROR(VLOOKUP($C189,$C$5:$H$18,6,0)+SUMIF($C$19:$C189,$C189,$F$19:$F189)-SUMIF($C$19:$C189,$C189,$G$19:$G189),"")</f>
        <v>61654.3599999989</v>
      </c>
      <c r="I189" s="144"/>
      <c r="J189" s="144"/>
      <c r="K189" s="22">
        <f t="shared" si="2"/>
        <v>202608</v>
      </c>
      <c r="L189" s="40"/>
      <c r="M189"/>
      <c r="N189"/>
      <c r="O189"/>
      <c r="P189"/>
      <c r="Q189"/>
      <c r="R189"/>
      <c r="S189"/>
      <c r="T189"/>
      <c r="U189"/>
      <c r="V189"/>
      <c r="W189" s="41"/>
      <c r="X189" s="41"/>
      <c r="Y189" s="41"/>
    </row>
    <row r="190" s="27" customFormat="1" ht="23" hidden="1" customHeight="1" spans="1:25">
      <c r="A190" s="133">
        <f>IF(B190="","",COUNTA($B$5:B190))</f>
        <v>186</v>
      </c>
      <c r="B190" s="143">
        <v>46245</v>
      </c>
      <c r="C190" s="144" t="s">
        <v>49</v>
      </c>
      <c r="D190" s="145" t="s">
        <v>77</v>
      </c>
      <c r="E190" s="146" t="s">
        <v>122</v>
      </c>
      <c r="F190" s="139"/>
      <c r="G190" s="139">
        <v>4.5</v>
      </c>
      <c r="H190" s="142">
        <f>IFERROR(VLOOKUP($C190,$C$5:$H$18,6,0)+SUMIF($C$19:$C190,$C190,$F$19:$F190)-SUMIF($C$19:$C190,$C190,$G$19:$G190),"")</f>
        <v>61649.8599999989</v>
      </c>
      <c r="I190" s="144"/>
      <c r="J190" s="144"/>
      <c r="K190" s="22">
        <f t="shared" si="2"/>
        <v>202608</v>
      </c>
      <c r="L190" s="40"/>
      <c r="M190"/>
      <c r="N190"/>
      <c r="O190"/>
      <c r="P190"/>
      <c r="Q190"/>
      <c r="R190"/>
      <c r="S190"/>
      <c r="T190"/>
      <c r="U190"/>
      <c r="V190"/>
      <c r="W190" s="41"/>
      <c r="X190" s="41"/>
      <c r="Y190" s="41"/>
    </row>
    <row r="191" s="27" customFormat="1" ht="23" hidden="1" customHeight="1" spans="1:25">
      <c r="A191" s="133">
        <f>IF(B191="","",COUNTA($B$5:B191))</f>
        <v>187</v>
      </c>
      <c r="B191" s="143">
        <v>46245</v>
      </c>
      <c r="C191" s="144" t="s">
        <v>49</v>
      </c>
      <c r="D191" s="145" t="s">
        <v>62</v>
      </c>
      <c r="E191" s="146" t="s">
        <v>153</v>
      </c>
      <c r="F191" s="139"/>
      <c r="G191" s="139">
        <v>5669</v>
      </c>
      <c r="H191" s="142">
        <f>IFERROR(VLOOKUP($C191,$C$5:$H$18,6,0)+SUMIF($C$19:$C191,$C191,$F$19:$F191)-SUMIF($C$19:$C191,$C191,$G$19:$G191),"")</f>
        <v>55980.8599999989</v>
      </c>
      <c r="I191" s="144"/>
      <c r="J191" s="144"/>
      <c r="K191" s="22">
        <f t="shared" si="2"/>
        <v>202608</v>
      </c>
      <c r="L191" s="40"/>
      <c r="M191"/>
      <c r="N191"/>
      <c r="O191"/>
      <c r="P191"/>
      <c r="Q191"/>
      <c r="R191"/>
      <c r="S191"/>
      <c r="T191"/>
      <c r="U191"/>
      <c r="V191"/>
      <c r="W191" s="41"/>
      <c r="X191" s="41"/>
      <c r="Y191" s="41"/>
    </row>
    <row r="192" s="27" customFormat="1" ht="23" hidden="1" customHeight="1" spans="1:25">
      <c r="A192" s="133">
        <f>IF(B192="","",COUNTA($B$5:B192))</f>
        <v>188</v>
      </c>
      <c r="B192" s="143">
        <v>46245</v>
      </c>
      <c r="C192" s="144" t="s">
        <v>49</v>
      </c>
      <c r="D192" s="145" t="s">
        <v>77</v>
      </c>
      <c r="E192" s="146" t="s">
        <v>122</v>
      </c>
      <c r="F192" s="139"/>
      <c r="G192" s="139">
        <v>4.5</v>
      </c>
      <c r="H192" s="142">
        <f>IFERROR(VLOOKUP($C192,$C$5:$H$18,6,0)+SUMIF($C$19:$C192,$C192,$F$19:$F192)-SUMIF($C$19:$C192,$C192,$G$19:$G192),"")</f>
        <v>55976.3599999989</v>
      </c>
      <c r="I192" s="144"/>
      <c r="J192" s="144"/>
      <c r="K192" s="22">
        <f t="shared" si="2"/>
        <v>202608</v>
      </c>
      <c r="L192" s="40"/>
      <c r="M192"/>
      <c r="N192"/>
      <c r="O192"/>
      <c r="P192"/>
      <c r="Q192"/>
      <c r="R192"/>
      <c r="S192"/>
      <c r="T192"/>
      <c r="U192"/>
      <c r="V192"/>
      <c r="W192" s="41"/>
      <c r="X192" s="41"/>
      <c r="Y192" s="41"/>
    </row>
    <row r="193" s="27" customFormat="1" ht="23" hidden="1" customHeight="1" spans="1:25">
      <c r="A193" s="133">
        <f>IF(B193="","",COUNTA($B$5:B193))</f>
        <v>189</v>
      </c>
      <c r="B193" s="143">
        <v>46245</v>
      </c>
      <c r="C193" s="144" t="s">
        <v>49</v>
      </c>
      <c r="D193" s="145" t="s">
        <v>62</v>
      </c>
      <c r="E193" s="146" t="s">
        <v>146</v>
      </c>
      <c r="F193" s="139"/>
      <c r="G193" s="139">
        <v>7093</v>
      </c>
      <c r="H193" s="142">
        <f>IFERROR(VLOOKUP($C193,$C$5:$H$18,6,0)+SUMIF($C$19:$C193,$C193,$F$19:$F193)-SUMIF($C$19:$C193,$C193,$G$19:$G193),"")</f>
        <v>48883.3599999989</v>
      </c>
      <c r="I193" s="144"/>
      <c r="J193" s="144"/>
      <c r="K193" s="22">
        <f t="shared" si="2"/>
        <v>202608</v>
      </c>
      <c r="L193" s="40"/>
      <c r="M193"/>
      <c r="N193"/>
      <c r="O193"/>
      <c r="P193"/>
      <c r="Q193"/>
      <c r="R193"/>
      <c r="S193"/>
      <c r="T193"/>
      <c r="U193"/>
      <c r="V193"/>
      <c r="W193" s="41"/>
      <c r="X193" s="41"/>
      <c r="Y193" s="41"/>
    </row>
    <row r="194" s="27" customFormat="1" ht="23" hidden="1" customHeight="1" spans="1:25">
      <c r="A194" s="133">
        <f>IF(B194="","",COUNTA($B$5:B194))</f>
        <v>190</v>
      </c>
      <c r="B194" s="143">
        <v>46245</v>
      </c>
      <c r="C194" s="144" t="s">
        <v>49</v>
      </c>
      <c r="D194" s="145" t="s">
        <v>77</v>
      </c>
      <c r="E194" s="146" t="s">
        <v>122</v>
      </c>
      <c r="F194" s="139"/>
      <c r="G194" s="139">
        <v>4.5</v>
      </c>
      <c r="H194" s="142">
        <f>IFERROR(VLOOKUP($C194,$C$5:$H$18,6,0)+SUMIF($C$19:$C194,$C194,$F$19:$F194)-SUMIF($C$19:$C194,$C194,$G$19:$G194),"")</f>
        <v>48878.8599999989</v>
      </c>
      <c r="I194" s="144"/>
      <c r="J194" s="144"/>
      <c r="K194" s="22">
        <f t="shared" si="2"/>
        <v>202608</v>
      </c>
      <c r="L194" s="40"/>
      <c r="M194"/>
      <c r="N194"/>
      <c r="O194"/>
      <c r="P194"/>
      <c r="Q194"/>
      <c r="R194"/>
      <c r="S194"/>
      <c r="T194"/>
      <c r="U194"/>
      <c r="V194"/>
      <c r="W194" s="41"/>
      <c r="X194" s="41"/>
      <c r="Y194" s="41"/>
    </row>
    <row r="195" s="27" customFormat="1" ht="23" hidden="1" customHeight="1" spans="1:25">
      <c r="A195" s="133">
        <f>IF(B195="","",COUNTA($B$5:B195))</f>
        <v>191</v>
      </c>
      <c r="B195" s="143">
        <v>46245</v>
      </c>
      <c r="C195" s="144" t="s">
        <v>49</v>
      </c>
      <c r="D195" s="145" t="s">
        <v>62</v>
      </c>
      <c r="E195" s="146" t="s">
        <v>147</v>
      </c>
      <c r="F195" s="139"/>
      <c r="G195" s="139">
        <v>6012</v>
      </c>
      <c r="H195" s="142">
        <f>IFERROR(VLOOKUP($C195,$C$5:$H$18,6,0)+SUMIF($C$19:$C195,$C195,$F$19:$F195)-SUMIF($C$19:$C195,$C195,$G$19:$G195),"")</f>
        <v>42866.8599999989</v>
      </c>
      <c r="I195" s="144"/>
      <c r="J195" s="144"/>
      <c r="K195" s="22">
        <f t="shared" si="2"/>
        <v>202608</v>
      </c>
      <c r="L195" s="40"/>
      <c r="M195"/>
      <c r="N195"/>
      <c r="O195"/>
      <c r="P195"/>
      <c r="Q195"/>
      <c r="R195"/>
      <c r="S195"/>
      <c r="T195"/>
      <c r="U195"/>
      <c r="V195"/>
      <c r="W195" s="41"/>
      <c r="X195" s="41"/>
      <c r="Y195" s="41"/>
    </row>
    <row r="196" s="27" customFormat="1" ht="23" hidden="1" customHeight="1" spans="1:25">
      <c r="A196" s="133">
        <f>IF(B196="","",COUNTA($B$5:B196))</f>
        <v>192</v>
      </c>
      <c r="B196" s="143">
        <v>46245</v>
      </c>
      <c r="C196" s="144" t="s">
        <v>49</v>
      </c>
      <c r="D196" s="145" t="s">
        <v>77</v>
      </c>
      <c r="E196" s="146" t="s">
        <v>122</v>
      </c>
      <c r="F196" s="139"/>
      <c r="G196" s="139">
        <v>4.5</v>
      </c>
      <c r="H196" s="142">
        <f>IFERROR(VLOOKUP($C196,$C$5:$H$18,6,0)+SUMIF($C$19:$C196,$C196,$F$19:$F196)-SUMIF($C$19:$C196,$C196,$G$19:$G196),"")</f>
        <v>42862.3599999989</v>
      </c>
      <c r="I196" s="144"/>
      <c r="J196" s="144"/>
      <c r="K196" s="22">
        <f t="shared" si="2"/>
        <v>202608</v>
      </c>
      <c r="L196" s="40"/>
      <c r="M196"/>
      <c r="N196"/>
      <c r="O196"/>
      <c r="P196"/>
      <c r="Q196"/>
      <c r="R196"/>
      <c r="S196"/>
      <c r="T196"/>
      <c r="U196"/>
      <c r="V196"/>
      <c r="W196" s="41"/>
      <c r="X196" s="41"/>
      <c r="Y196" s="41"/>
    </row>
    <row r="197" s="27" customFormat="1" ht="23" hidden="1" customHeight="1" spans="1:25">
      <c r="A197" s="133">
        <f>IF(B197="","",COUNTA($B$5:B197))</f>
        <v>193</v>
      </c>
      <c r="B197" s="143">
        <v>46245</v>
      </c>
      <c r="C197" s="144" t="s">
        <v>49</v>
      </c>
      <c r="D197" s="145" t="s">
        <v>62</v>
      </c>
      <c r="E197" s="146" t="s">
        <v>148</v>
      </c>
      <c r="F197" s="139"/>
      <c r="G197" s="139">
        <v>6123</v>
      </c>
      <c r="H197" s="142">
        <f>IFERROR(VLOOKUP($C197,$C$5:$H$18,6,0)+SUMIF($C$19:$C197,$C197,$F$19:$F197)-SUMIF($C$19:$C197,$C197,$G$19:$G197),"")</f>
        <v>36739.3599999989</v>
      </c>
      <c r="I197" s="144"/>
      <c r="J197" s="144"/>
      <c r="K197" s="22">
        <f t="shared" ref="K197:K260" si="3">IF($B197="","",--TEXT($B197,"yyyymm"))</f>
        <v>202608</v>
      </c>
      <c r="L197" s="40"/>
      <c r="M197"/>
      <c r="N197"/>
      <c r="O197"/>
      <c r="P197"/>
      <c r="Q197"/>
      <c r="R197"/>
      <c r="S197"/>
      <c r="T197"/>
      <c r="U197"/>
      <c r="V197"/>
      <c r="W197" s="41"/>
      <c r="X197" s="41"/>
      <c r="Y197" s="41"/>
    </row>
    <row r="198" s="27" customFormat="1" ht="23" hidden="1" customHeight="1" spans="1:25">
      <c r="A198" s="133">
        <f>IF(B198="","",COUNTA($B$5:B198))</f>
        <v>194</v>
      </c>
      <c r="B198" s="143">
        <v>46245</v>
      </c>
      <c r="C198" s="144" t="s">
        <v>49</v>
      </c>
      <c r="D198" s="145" t="s">
        <v>77</v>
      </c>
      <c r="E198" s="146" t="s">
        <v>122</v>
      </c>
      <c r="F198" s="139"/>
      <c r="G198" s="139">
        <v>4.5</v>
      </c>
      <c r="H198" s="142">
        <f>IFERROR(VLOOKUP($C198,$C$5:$H$18,6,0)+SUMIF($C$19:$C198,$C198,$F$19:$F198)-SUMIF($C$19:$C198,$C198,$G$19:$G198),"")</f>
        <v>36734.8599999989</v>
      </c>
      <c r="I198" s="144"/>
      <c r="J198" s="144"/>
      <c r="K198" s="22">
        <f t="shared" si="3"/>
        <v>202608</v>
      </c>
      <c r="L198" s="40"/>
      <c r="M198"/>
      <c r="N198"/>
      <c r="O198"/>
      <c r="P198"/>
      <c r="Q198"/>
      <c r="R198"/>
      <c r="S198"/>
      <c r="T198"/>
      <c r="U198"/>
      <c r="V198"/>
      <c r="W198" s="41"/>
      <c r="X198" s="41"/>
      <c r="Y198" s="41"/>
    </row>
    <row r="199" s="27" customFormat="1" ht="23" hidden="1" customHeight="1" spans="1:25">
      <c r="A199" s="133">
        <f>IF(B199="","",COUNTA($B$5:B199))</f>
        <v>195</v>
      </c>
      <c r="B199" s="143">
        <v>46245</v>
      </c>
      <c r="C199" s="144" t="s">
        <v>49</v>
      </c>
      <c r="D199" s="145" t="s">
        <v>62</v>
      </c>
      <c r="E199" s="146" t="s">
        <v>150</v>
      </c>
      <c r="F199" s="139"/>
      <c r="G199" s="139">
        <v>5942</v>
      </c>
      <c r="H199" s="142">
        <f>IFERROR(VLOOKUP($C199,$C$5:$H$18,6,0)+SUMIF($C$19:$C199,$C199,$F$19:$F199)-SUMIF($C$19:$C199,$C199,$G$19:$G199),"")</f>
        <v>30792.8599999989</v>
      </c>
      <c r="I199" s="144"/>
      <c r="J199" s="144"/>
      <c r="K199" s="22">
        <f t="shared" si="3"/>
        <v>202608</v>
      </c>
      <c r="L199" s="40"/>
      <c r="M199"/>
      <c r="N199"/>
      <c r="O199"/>
      <c r="P199"/>
      <c r="Q199"/>
      <c r="R199"/>
      <c r="S199"/>
      <c r="T199"/>
      <c r="U199"/>
      <c r="V199"/>
      <c r="W199" s="41"/>
      <c r="X199" s="41"/>
      <c r="Y199" s="41"/>
    </row>
    <row r="200" s="27" customFormat="1" ht="23" hidden="1" customHeight="1" spans="1:25">
      <c r="A200" s="133">
        <f>IF(B200="","",COUNTA($B$5:B200))</f>
        <v>196</v>
      </c>
      <c r="B200" s="143">
        <v>46245</v>
      </c>
      <c r="C200" s="144" t="s">
        <v>49</v>
      </c>
      <c r="D200" s="145" t="s">
        <v>77</v>
      </c>
      <c r="E200" s="146" t="s">
        <v>122</v>
      </c>
      <c r="F200" s="139"/>
      <c r="G200" s="139">
        <v>4.5</v>
      </c>
      <c r="H200" s="142">
        <f>IFERROR(VLOOKUP($C200,$C$5:$H$18,6,0)+SUMIF($C$19:$C200,$C200,$F$19:$F200)-SUMIF($C$19:$C200,$C200,$G$19:$G200),"")</f>
        <v>30788.3599999989</v>
      </c>
      <c r="I200" s="144"/>
      <c r="J200" s="144"/>
      <c r="K200" s="22">
        <f t="shared" si="3"/>
        <v>202608</v>
      </c>
      <c r="L200" s="40"/>
      <c r="M200"/>
      <c r="N200"/>
      <c r="O200"/>
      <c r="P200"/>
      <c r="Q200"/>
      <c r="R200"/>
      <c r="S200"/>
      <c r="T200"/>
      <c r="U200"/>
      <c r="V200"/>
      <c r="W200" s="41"/>
      <c r="X200" s="41"/>
      <c r="Y200" s="41"/>
    </row>
    <row r="201" s="27" customFormat="1" ht="23" hidden="1" customHeight="1" spans="1:25">
      <c r="A201" s="133">
        <f>IF(B201="","",COUNTA($B$5:B201))</f>
        <v>197</v>
      </c>
      <c r="B201" s="143">
        <v>46245</v>
      </c>
      <c r="C201" s="144" t="s">
        <v>49</v>
      </c>
      <c r="D201" s="145" t="s">
        <v>62</v>
      </c>
      <c r="E201" s="146" t="s">
        <v>152</v>
      </c>
      <c r="F201" s="139"/>
      <c r="G201" s="139">
        <v>5861</v>
      </c>
      <c r="H201" s="142">
        <f>IFERROR(VLOOKUP($C201,$C$5:$H$18,6,0)+SUMIF($C$19:$C201,$C201,$F$19:$F201)-SUMIF($C$19:$C201,$C201,$G$19:$G201),"")</f>
        <v>24927.3599999989</v>
      </c>
      <c r="I201" s="144"/>
      <c r="J201" s="144"/>
      <c r="K201" s="22">
        <f t="shared" si="3"/>
        <v>202608</v>
      </c>
      <c r="L201" s="40"/>
      <c r="M201"/>
      <c r="N201"/>
      <c r="O201"/>
      <c r="P201"/>
      <c r="Q201"/>
      <c r="R201"/>
      <c r="S201"/>
      <c r="T201"/>
      <c r="U201"/>
      <c r="V201"/>
      <c r="W201" s="41"/>
      <c r="X201" s="41"/>
      <c r="Y201" s="41"/>
    </row>
    <row r="202" s="27" customFormat="1" ht="23" hidden="1" customHeight="1" spans="1:25">
      <c r="A202" s="133">
        <f>IF(B202="","",COUNTA($B$5:B202))</f>
        <v>198</v>
      </c>
      <c r="B202" s="143">
        <v>46245</v>
      </c>
      <c r="C202" s="144" t="s">
        <v>49</v>
      </c>
      <c r="D202" s="145" t="s">
        <v>77</v>
      </c>
      <c r="E202" s="146" t="s">
        <v>122</v>
      </c>
      <c r="F202" s="139"/>
      <c r="G202" s="139">
        <v>4.5</v>
      </c>
      <c r="H202" s="142">
        <f>IFERROR(VLOOKUP($C202,$C$5:$H$18,6,0)+SUMIF($C$19:$C202,$C202,$F$19:$F202)-SUMIF($C$19:$C202,$C202,$G$19:$G202),"")</f>
        <v>24922.8599999989</v>
      </c>
      <c r="I202" s="144"/>
      <c r="J202" s="144"/>
      <c r="K202" s="22">
        <f t="shared" si="3"/>
        <v>202608</v>
      </c>
      <c r="L202" s="40"/>
      <c r="M202"/>
      <c r="N202"/>
      <c r="O202"/>
      <c r="P202"/>
      <c r="Q202"/>
      <c r="R202"/>
      <c r="S202"/>
      <c r="T202"/>
      <c r="U202"/>
      <c r="V202"/>
      <c r="W202" s="41"/>
      <c r="X202" s="41"/>
      <c r="Y202" s="41"/>
    </row>
    <row r="203" s="27" customFormat="1" ht="23" hidden="1" customHeight="1" spans="1:25">
      <c r="A203" s="133">
        <f>IF(B203="","",COUNTA($B$5:B203))</f>
        <v>199</v>
      </c>
      <c r="B203" s="143">
        <v>46245</v>
      </c>
      <c r="C203" s="144" t="s">
        <v>49</v>
      </c>
      <c r="D203" s="145" t="s">
        <v>62</v>
      </c>
      <c r="E203" s="146" t="s">
        <v>162</v>
      </c>
      <c r="F203" s="139"/>
      <c r="G203" s="139">
        <v>5236</v>
      </c>
      <c r="H203" s="142">
        <f>IFERROR(VLOOKUP($C203,$C$5:$H$18,6,0)+SUMIF($C$19:$C203,$C203,$F$19:$F203)-SUMIF($C$19:$C203,$C203,$G$19:$G203),"")</f>
        <v>19686.8599999989</v>
      </c>
      <c r="I203" s="144"/>
      <c r="J203" s="144"/>
      <c r="K203" s="22">
        <f t="shared" si="3"/>
        <v>202608</v>
      </c>
      <c r="L203" s="40"/>
      <c r="M203"/>
      <c r="N203"/>
      <c r="O203"/>
      <c r="P203"/>
      <c r="Q203"/>
      <c r="R203"/>
      <c r="S203"/>
      <c r="T203"/>
      <c r="U203"/>
      <c r="V203"/>
      <c r="W203" s="41"/>
      <c r="X203" s="41"/>
      <c r="Y203" s="41"/>
    </row>
    <row r="204" s="27" customFormat="1" ht="23" hidden="1" customHeight="1" spans="1:25">
      <c r="A204" s="133">
        <f>IF(B204="","",COUNTA($B$5:B204))</f>
        <v>200</v>
      </c>
      <c r="B204" s="143">
        <v>46245</v>
      </c>
      <c r="C204" s="144" t="s">
        <v>49</v>
      </c>
      <c r="D204" s="145" t="s">
        <v>77</v>
      </c>
      <c r="E204" s="146" t="s">
        <v>122</v>
      </c>
      <c r="F204" s="139"/>
      <c r="G204" s="139">
        <v>4.5</v>
      </c>
      <c r="H204" s="142">
        <f>IFERROR(VLOOKUP($C204,$C$5:$H$18,6,0)+SUMIF($C$19:$C204,$C204,$F$19:$F204)-SUMIF($C$19:$C204,$C204,$G$19:$G204),"")</f>
        <v>19682.3599999989</v>
      </c>
      <c r="I204" s="144"/>
      <c r="J204" s="144"/>
      <c r="K204" s="22">
        <f t="shared" si="3"/>
        <v>202608</v>
      </c>
      <c r="L204" s="40"/>
      <c r="M204"/>
      <c r="N204"/>
      <c r="O204"/>
      <c r="P204"/>
      <c r="Q204"/>
      <c r="R204"/>
      <c r="S204"/>
      <c r="T204"/>
      <c r="U204"/>
      <c r="V204"/>
      <c r="W204" s="41"/>
      <c r="X204" s="41"/>
      <c r="Y204" s="41"/>
    </row>
    <row r="205" s="27" customFormat="1" ht="23" hidden="1" customHeight="1" spans="1:25">
      <c r="A205" s="133">
        <f>IF(B205="","",COUNTA($B$5:B205))</f>
        <v>201</v>
      </c>
      <c r="B205" s="143">
        <v>46245</v>
      </c>
      <c r="C205" s="144" t="s">
        <v>49</v>
      </c>
      <c r="D205" s="145" t="s">
        <v>62</v>
      </c>
      <c r="E205" s="146" t="s">
        <v>128</v>
      </c>
      <c r="F205" s="139"/>
      <c r="G205" s="139">
        <v>4479</v>
      </c>
      <c r="H205" s="142">
        <f>IFERROR(VLOOKUP($C205,$C$5:$H$18,6,0)+SUMIF($C$19:$C205,$C205,$F$19:$F205)-SUMIF($C$19:$C205,$C205,$G$19:$G205),"")</f>
        <v>15203.3599999989</v>
      </c>
      <c r="I205" s="144"/>
      <c r="J205" s="144"/>
      <c r="K205" s="22">
        <f t="shared" si="3"/>
        <v>202608</v>
      </c>
      <c r="L205" s="40"/>
      <c r="M205"/>
      <c r="N205"/>
      <c r="O205"/>
      <c r="P205"/>
      <c r="Q205"/>
      <c r="R205"/>
      <c r="S205"/>
      <c r="T205"/>
      <c r="U205"/>
      <c r="V205"/>
      <c r="W205" s="41"/>
      <c r="X205" s="41"/>
      <c r="Y205" s="41"/>
    </row>
    <row r="206" s="27" customFormat="1" ht="23" hidden="1" customHeight="1" spans="1:25">
      <c r="A206" s="133">
        <f>IF(B206="","",COUNTA($B$5:B206))</f>
        <v>202</v>
      </c>
      <c r="B206" s="143">
        <v>46245</v>
      </c>
      <c r="C206" s="144" t="s">
        <v>49</v>
      </c>
      <c r="D206" s="145" t="s">
        <v>77</v>
      </c>
      <c r="E206" s="146" t="s">
        <v>122</v>
      </c>
      <c r="F206" s="139"/>
      <c r="G206" s="139">
        <v>4.5</v>
      </c>
      <c r="H206" s="142">
        <f>IFERROR(VLOOKUP($C206,$C$5:$H$18,6,0)+SUMIF($C$19:$C206,$C206,$F$19:$F206)-SUMIF($C$19:$C206,$C206,$G$19:$G206),"")</f>
        <v>15198.8599999989</v>
      </c>
      <c r="I206" s="144"/>
      <c r="J206" s="144"/>
      <c r="K206" s="22">
        <f t="shared" si="3"/>
        <v>202608</v>
      </c>
      <c r="L206" s="40"/>
      <c r="M206"/>
      <c r="N206"/>
      <c r="O206"/>
      <c r="P206"/>
      <c r="Q206"/>
      <c r="R206"/>
      <c r="S206"/>
      <c r="T206"/>
      <c r="U206"/>
      <c r="V206"/>
      <c r="W206" s="41"/>
      <c r="X206" s="41"/>
      <c r="Y206" s="41"/>
    </row>
    <row r="207" s="27" customFormat="1" ht="23" hidden="1" customHeight="1" spans="1:25">
      <c r="A207" s="133">
        <f>IF(B207="","",COUNTA($B$5:B207))</f>
        <v>203</v>
      </c>
      <c r="B207" s="143">
        <v>46245</v>
      </c>
      <c r="C207" s="144" t="s">
        <v>49</v>
      </c>
      <c r="D207" s="145" t="s">
        <v>62</v>
      </c>
      <c r="E207" s="146" t="s">
        <v>163</v>
      </c>
      <c r="F207" s="139"/>
      <c r="G207" s="139">
        <v>2252</v>
      </c>
      <c r="H207" s="142">
        <f>IFERROR(VLOOKUP($C207,$C$5:$H$18,6,0)+SUMIF($C$19:$C207,$C207,$F$19:$F207)-SUMIF($C$19:$C207,$C207,$G$19:$G207),"")</f>
        <v>12946.8599999989</v>
      </c>
      <c r="I207" s="144"/>
      <c r="J207" s="144"/>
      <c r="K207" s="22">
        <f t="shared" si="3"/>
        <v>202608</v>
      </c>
      <c r="L207" s="40"/>
      <c r="M207"/>
      <c r="N207"/>
      <c r="O207"/>
      <c r="P207"/>
      <c r="Q207"/>
      <c r="R207"/>
      <c r="S207"/>
      <c r="T207"/>
      <c r="U207"/>
      <c r="V207"/>
      <c r="W207" s="41"/>
      <c r="X207" s="41"/>
      <c r="Y207" s="41"/>
    </row>
    <row r="208" s="27" customFormat="1" ht="23" hidden="1" customHeight="1" spans="1:25">
      <c r="A208" s="133">
        <f>IF(B208="","",COUNTA($B$5:B208))</f>
        <v>204</v>
      </c>
      <c r="B208" s="143">
        <v>46245</v>
      </c>
      <c r="C208" s="144" t="s">
        <v>49</v>
      </c>
      <c r="D208" s="145" t="s">
        <v>77</v>
      </c>
      <c r="E208" s="146" t="s">
        <v>122</v>
      </c>
      <c r="F208" s="139"/>
      <c r="G208" s="139">
        <v>4.5</v>
      </c>
      <c r="H208" s="142">
        <f>IFERROR(VLOOKUP($C208,$C$5:$H$18,6,0)+SUMIF($C$19:$C208,$C208,$F$19:$F208)-SUMIF($C$19:$C208,$C208,$G$19:$G208),"")</f>
        <v>12942.3599999989</v>
      </c>
      <c r="I208" s="144"/>
      <c r="J208" s="144"/>
      <c r="K208" s="22">
        <f t="shared" si="3"/>
        <v>202608</v>
      </c>
      <c r="L208" s="40"/>
      <c r="M208"/>
      <c r="N208"/>
      <c r="O208"/>
      <c r="P208"/>
      <c r="Q208"/>
      <c r="R208"/>
      <c r="S208"/>
      <c r="T208"/>
      <c r="U208"/>
      <c r="V208"/>
      <c r="W208" s="41"/>
      <c r="X208" s="41"/>
      <c r="Y208" s="41"/>
    </row>
    <row r="209" s="27" customFormat="1" ht="23" hidden="1" customHeight="1" spans="1:25">
      <c r="A209" s="133">
        <f>IF(B209="","",COUNTA($B$5:B209))</f>
        <v>205</v>
      </c>
      <c r="B209" s="143">
        <v>46245</v>
      </c>
      <c r="C209" s="144" t="s">
        <v>49</v>
      </c>
      <c r="D209" s="145" t="s">
        <v>62</v>
      </c>
      <c r="E209" s="146" t="s">
        <v>164</v>
      </c>
      <c r="F209" s="139"/>
      <c r="G209" s="139">
        <v>5047</v>
      </c>
      <c r="H209" s="142">
        <f>IFERROR(VLOOKUP($C209,$C$5:$H$18,6,0)+SUMIF($C$19:$C209,$C209,$F$19:$F209)-SUMIF($C$19:$C209,$C209,$G$19:$G209),"")</f>
        <v>7895.35999999894</v>
      </c>
      <c r="I209" s="144"/>
      <c r="J209" s="144"/>
      <c r="K209" s="22">
        <f t="shared" si="3"/>
        <v>202608</v>
      </c>
      <c r="L209" s="40"/>
      <c r="M209"/>
      <c r="N209"/>
      <c r="O209"/>
      <c r="P209"/>
      <c r="Q209"/>
      <c r="R209"/>
      <c r="S209"/>
      <c r="T209"/>
      <c r="U209"/>
      <c r="V209"/>
      <c r="W209" s="41"/>
      <c r="X209" s="41"/>
      <c r="Y209" s="41"/>
    </row>
    <row r="210" s="27" customFormat="1" ht="23" hidden="1" customHeight="1" spans="1:25">
      <c r="A210" s="133">
        <f>IF(B210="","",COUNTA($B$5:B210))</f>
        <v>206</v>
      </c>
      <c r="B210" s="143">
        <v>46245</v>
      </c>
      <c r="C210" s="144" t="s">
        <v>49</v>
      </c>
      <c r="D210" s="145" t="s">
        <v>77</v>
      </c>
      <c r="E210" s="146" t="s">
        <v>122</v>
      </c>
      <c r="F210" s="139"/>
      <c r="G210" s="139">
        <v>4.5</v>
      </c>
      <c r="H210" s="142">
        <f>IFERROR(VLOOKUP($C210,$C$5:$H$18,6,0)+SUMIF($C$19:$C210,$C210,$F$19:$F210)-SUMIF($C$19:$C210,$C210,$G$19:$G210),"")</f>
        <v>7890.85999999894</v>
      </c>
      <c r="I210" s="144"/>
      <c r="J210" s="144"/>
      <c r="K210" s="22">
        <f t="shared" si="3"/>
        <v>202608</v>
      </c>
      <c r="L210" s="40"/>
      <c r="M210"/>
      <c r="N210"/>
      <c r="O210"/>
      <c r="P210"/>
      <c r="Q210"/>
      <c r="R210"/>
      <c r="S210"/>
      <c r="T210"/>
      <c r="U210"/>
      <c r="V210"/>
      <c r="W210" s="41"/>
      <c r="X210" s="41"/>
      <c r="Y210" s="41"/>
    </row>
    <row r="211" s="27" customFormat="1" ht="23" hidden="1" customHeight="1" spans="1:25">
      <c r="A211" s="133">
        <f>IF(B211="","",COUNTA($B$5:B211))</f>
        <v>207</v>
      </c>
      <c r="B211" s="143">
        <v>46245</v>
      </c>
      <c r="C211" s="144" t="s">
        <v>49</v>
      </c>
      <c r="D211" s="145" t="s">
        <v>62</v>
      </c>
      <c r="E211" s="146" t="s">
        <v>165</v>
      </c>
      <c r="F211" s="139"/>
      <c r="G211" s="139">
        <v>5393</v>
      </c>
      <c r="H211" s="142">
        <f>IFERROR(VLOOKUP($C211,$C$5:$H$18,6,0)+SUMIF($C$19:$C211,$C211,$F$19:$F211)-SUMIF($C$19:$C211,$C211,$G$19:$G211),"")</f>
        <v>2497.85999999894</v>
      </c>
      <c r="I211" s="144"/>
      <c r="J211" s="144"/>
      <c r="K211" s="22">
        <f t="shared" si="3"/>
        <v>202608</v>
      </c>
      <c r="L211" s="40"/>
      <c r="M211"/>
      <c r="N211"/>
      <c r="O211"/>
      <c r="P211"/>
      <c r="Q211"/>
      <c r="R211"/>
      <c r="S211"/>
      <c r="T211"/>
      <c r="U211"/>
      <c r="V211"/>
      <c r="W211" s="41"/>
      <c r="X211" s="41"/>
      <c r="Y211" s="41"/>
    </row>
    <row r="212" s="27" customFormat="1" ht="23" hidden="1" customHeight="1" spans="1:25">
      <c r="A212" s="133">
        <f>IF(B212="","",COUNTA($B$5:B212))</f>
        <v>208</v>
      </c>
      <c r="B212" s="143">
        <v>46245</v>
      </c>
      <c r="C212" s="144" t="s">
        <v>49</v>
      </c>
      <c r="D212" s="145" t="s">
        <v>77</v>
      </c>
      <c r="E212" s="146" t="s">
        <v>122</v>
      </c>
      <c r="F212" s="139"/>
      <c r="G212" s="139">
        <v>4.5</v>
      </c>
      <c r="H212" s="142">
        <f>IFERROR(VLOOKUP($C212,$C$5:$H$18,6,0)+SUMIF($C$19:$C212,$C212,$F$19:$F212)-SUMIF($C$19:$C212,$C212,$G$19:$G212),"")</f>
        <v>2493.35999999894</v>
      </c>
      <c r="I212" s="144"/>
      <c r="J212" s="144"/>
      <c r="K212" s="22">
        <f t="shared" si="3"/>
        <v>202608</v>
      </c>
      <c r="L212" s="40"/>
      <c r="M212"/>
      <c r="N212"/>
      <c r="O212"/>
      <c r="P212"/>
      <c r="Q212"/>
      <c r="R212"/>
      <c r="S212"/>
      <c r="T212"/>
      <c r="U212"/>
      <c r="V212"/>
      <c r="W212" s="41"/>
      <c r="X212" s="41"/>
      <c r="Y212" s="41"/>
    </row>
    <row r="213" s="27" customFormat="1" ht="23" hidden="1" customHeight="1" spans="1:25">
      <c r="A213" s="133">
        <f>IF(B213="","",COUNTA($B$5:B213))</f>
        <v>209</v>
      </c>
      <c r="B213" s="143">
        <v>46246</v>
      </c>
      <c r="C213" s="144" t="s">
        <v>49</v>
      </c>
      <c r="D213" s="145"/>
      <c r="E213" s="146" t="s">
        <v>166</v>
      </c>
      <c r="F213" s="139">
        <v>2160.68</v>
      </c>
      <c r="G213" s="139"/>
      <c r="H213" s="142">
        <f>IFERROR(VLOOKUP($C213,$C$5:$H$18,6,0)+SUMIF($C$19:$C213,$C213,$F$19:$F213)-SUMIF($C$19:$C213,$C213,$G$19:$G213),"")</f>
        <v>4654.03999999887</v>
      </c>
      <c r="I213" s="144"/>
      <c r="J213" s="144"/>
      <c r="K213" s="22">
        <f t="shared" si="3"/>
        <v>202608</v>
      </c>
      <c r="L213" s="40"/>
      <c r="M213"/>
      <c r="N213"/>
      <c r="O213"/>
      <c r="P213"/>
      <c r="Q213"/>
      <c r="R213"/>
      <c r="S213"/>
      <c r="T213"/>
      <c r="U213"/>
      <c r="V213"/>
      <c r="W213" s="41"/>
      <c r="X213" s="41"/>
      <c r="Y213" s="41"/>
    </row>
    <row r="214" s="27" customFormat="1" ht="23" hidden="1" customHeight="1" spans="1:25">
      <c r="A214" s="133">
        <f>IF(B214="","",COUNTA($B$5:B214))</f>
        <v>210</v>
      </c>
      <c r="B214" s="143">
        <v>46246</v>
      </c>
      <c r="C214" s="144" t="s">
        <v>49</v>
      </c>
      <c r="D214" s="145"/>
      <c r="E214" s="146" t="s">
        <v>158</v>
      </c>
      <c r="F214" s="139">
        <v>81.92</v>
      </c>
      <c r="G214" s="139"/>
      <c r="H214" s="142">
        <f>IFERROR(VLOOKUP($C214,$C$5:$H$18,6,0)+SUMIF($C$19:$C214,$C214,$F$19:$F214)-SUMIF($C$19:$C214,$C214,$G$19:$G214),"")</f>
        <v>4735.9599999988</v>
      </c>
      <c r="I214" s="144"/>
      <c r="J214" s="144"/>
      <c r="K214" s="22">
        <f t="shared" si="3"/>
        <v>202608</v>
      </c>
      <c r="L214" s="40"/>
      <c r="M214"/>
      <c r="N214"/>
      <c r="O214"/>
      <c r="P214"/>
      <c r="Q214"/>
      <c r="R214"/>
      <c r="S214"/>
      <c r="T214"/>
      <c r="U214"/>
      <c r="V214"/>
      <c r="W214" s="41"/>
      <c r="X214" s="41"/>
      <c r="Y214" s="41"/>
    </row>
    <row r="215" s="27" customFormat="1" ht="23" hidden="1" customHeight="1" spans="1:25">
      <c r="A215" s="133">
        <f>IF(B215="","",COUNTA($B$5:B215))</f>
        <v>211</v>
      </c>
      <c r="B215" s="143">
        <v>46247</v>
      </c>
      <c r="C215" s="144" t="s">
        <v>49</v>
      </c>
      <c r="D215" s="145"/>
      <c r="E215" s="146" t="s">
        <v>167</v>
      </c>
      <c r="F215" s="139">
        <v>2693.2</v>
      </c>
      <c r="G215" s="139"/>
      <c r="H215" s="142">
        <f>IFERROR(VLOOKUP($C215,$C$5:$H$18,6,0)+SUMIF($C$19:$C215,$C215,$F$19:$F215)-SUMIF($C$19:$C215,$C215,$G$19:$G215),"")</f>
        <v>7429.15999999875</v>
      </c>
      <c r="I215" s="144"/>
      <c r="J215" s="144"/>
      <c r="K215" s="22">
        <f t="shared" si="3"/>
        <v>202608</v>
      </c>
      <c r="L215" s="40"/>
      <c r="M215"/>
      <c r="N215"/>
      <c r="O215"/>
      <c r="P215"/>
      <c r="Q215"/>
      <c r="R215"/>
      <c r="S215"/>
      <c r="T215"/>
      <c r="U215"/>
      <c r="V215"/>
      <c r="W215" s="41"/>
      <c r="X215" s="41"/>
      <c r="Y215" s="41"/>
    </row>
    <row r="216" s="27" customFormat="1" ht="23" hidden="1" customHeight="1" spans="1:25">
      <c r="A216" s="133">
        <f>IF(B216="","",COUNTA($B$5:B216))</f>
        <v>212</v>
      </c>
      <c r="B216" s="143">
        <v>46247</v>
      </c>
      <c r="C216" s="144" t="s">
        <v>49</v>
      </c>
      <c r="D216" s="145"/>
      <c r="E216" s="146" t="s">
        <v>158</v>
      </c>
      <c r="F216" s="139">
        <v>59.78</v>
      </c>
      <c r="G216" s="139"/>
      <c r="H216" s="142">
        <f>IFERROR(VLOOKUP($C216,$C$5:$H$18,6,0)+SUMIF($C$19:$C216,$C216,$F$19:$F216)-SUMIF($C$19:$C216,$C216,$G$19:$G216),"")</f>
        <v>7488.93999999878</v>
      </c>
      <c r="I216" s="144"/>
      <c r="J216" s="144"/>
      <c r="K216" s="22">
        <f t="shared" si="3"/>
        <v>202608</v>
      </c>
      <c r="L216" s="40"/>
      <c r="M216"/>
      <c r="N216"/>
      <c r="O216"/>
      <c r="P216"/>
      <c r="Q216"/>
      <c r="R216"/>
      <c r="S216"/>
      <c r="T216"/>
      <c r="U216"/>
      <c r="V216"/>
      <c r="W216" s="41"/>
      <c r="X216" s="41"/>
      <c r="Y216" s="41"/>
    </row>
    <row r="217" s="27" customFormat="1" ht="23" hidden="1" customHeight="1" spans="1:25">
      <c r="A217" s="133">
        <f>IF(B217="","",COUNTA($B$5:B217))</f>
        <v>213</v>
      </c>
      <c r="B217" s="143">
        <v>46248</v>
      </c>
      <c r="C217" s="144" t="s">
        <v>49</v>
      </c>
      <c r="D217" s="145"/>
      <c r="E217" s="146" t="s">
        <v>168</v>
      </c>
      <c r="F217" s="139">
        <v>2921.66</v>
      </c>
      <c r="G217" s="139"/>
      <c r="H217" s="142">
        <f>IFERROR(VLOOKUP($C217,$C$5:$H$18,6,0)+SUMIF($C$19:$C217,$C217,$F$19:$F217)-SUMIF($C$19:$C217,$C217,$G$19:$G217),"")</f>
        <v>10410.5999999987</v>
      </c>
      <c r="I217" s="144"/>
      <c r="J217" s="144"/>
      <c r="K217" s="22">
        <f t="shared" si="3"/>
        <v>202608</v>
      </c>
      <c r="L217" s="40"/>
      <c r="M217"/>
      <c r="N217"/>
      <c r="O217"/>
      <c r="P217"/>
      <c r="Q217"/>
      <c r="R217"/>
      <c r="S217"/>
      <c r="T217"/>
      <c r="U217"/>
      <c r="V217"/>
      <c r="W217" s="41"/>
      <c r="X217" s="41"/>
      <c r="Y217" s="41"/>
    </row>
    <row r="218" s="27" customFormat="1" ht="23" hidden="1" customHeight="1" spans="1:25">
      <c r="A218" s="133">
        <f>IF(B218="","",COUNTA($B$5:B218))</f>
        <v>214</v>
      </c>
      <c r="B218" s="143">
        <v>46248</v>
      </c>
      <c r="C218" s="144" t="s">
        <v>49</v>
      </c>
      <c r="D218" s="145"/>
      <c r="E218" s="146" t="s">
        <v>158</v>
      </c>
      <c r="F218" s="139">
        <v>20.88</v>
      </c>
      <c r="G218" s="139"/>
      <c r="H218" s="142">
        <f>IFERROR(VLOOKUP($C218,$C$5:$H$18,6,0)+SUMIF($C$19:$C218,$C218,$F$19:$F218)-SUMIF($C$19:$C218,$C218,$G$19:$G218),"")</f>
        <v>10431.4799999986</v>
      </c>
      <c r="I218" s="144"/>
      <c r="J218" s="144"/>
      <c r="K218" s="22">
        <f t="shared" si="3"/>
        <v>202608</v>
      </c>
      <c r="L218" s="40"/>
      <c r="M218"/>
      <c r="N218"/>
      <c r="O218"/>
      <c r="P218"/>
      <c r="Q218"/>
      <c r="R218"/>
      <c r="S218"/>
      <c r="T218"/>
      <c r="U218"/>
      <c r="V218"/>
      <c r="W218" s="41"/>
      <c r="X218" s="41"/>
      <c r="Y218" s="41"/>
    </row>
    <row r="219" s="27" customFormat="1" ht="23" hidden="1" customHeight="1" spans="1:25">
      <c r="A219" s="133">
        <f>IF(B219="","",COUNTA($B$5:B219))</f>
        <v>215</v>
      </c>
      <c r="B219" s="143">
        <v>46248</v>
      </c>
      <c r="C219" s="144" t="s">
        <v>49</v>
      </c>
      <c r="D219" s="145" t="s">
        <v>80</v>
      </c>
      <c r="E219" s="146" t="s">
        <v>127</v>
      </c>
      <c r="F219" s="139"/>
      <c r="G219" s="139">
        <v>1966.35</v>
      </c>
      <c r="H219" s="142">
        <f>IFERROR(VLOOKUP($C219,$C$5:$H$18,6,0)+SUMIF($C$19:$C219,$C219,$F$19:$F219)-SUMIF($C$19:$C219,$C219,$G$19:$G219),"")</f>
        <v>8465.12999999849</v>
      </c>
      <c r="I219" s="144"/>
      <c r="J219" s="144"/>
      <c r="K219" s="22">
        <f t="shared" si="3"/>
        <v>202608</v>
      </c>
      <c r="L219" s="40"/>
      <c r="M219"/>
      <c r="N219"/>
      <c r="O219"/>
      <c r="P219"/>
      <c r="Q219"/>
      <c r="R219"/>
      <c r="S219"/>
      <c r="T219"/>
      <c r="U219"/>
      <c r="V219"/>
      <c r="W219" s="41"/>
      <c r="X219" s="41"/>
      <c r="Y219" s="41"/>
    </row>
    <row r="220" s="27" customFormat="1" ht="23" hidden="1" customHeight="1" spans="1:25">
      <c r="A220" s="133">
        <f>IF(B220="","",COUNTA($B$5:B220))</f>
        <v>216</v>
      </c>
      <c r="B220" s="143">
        <v>46248</v>
      </c>
      <c r="C220" s="144" t="s">
        <v>49</v>
      </c>
      <c r="D220" s="145" t="s">
        <v>77</v>
      </c>
      <c r="E220" s="146" t="s">
        <v>122</v>
      </c>
      <c r="F220" s="139"/>
      <c r="G220" s="139">
        <v>7.48</v>
      </c>
      <c r="H220" s="142">
        <f>IFERROR(VLOOKUP($C220,$C$5:$H$18,6,0)+SUMIF($C$19:$C220,$C220,$F$19:$F220)-SUMIF($C$19:$C220,$C220,$G$19:$G220),"")</f>
        <v>8457.64999999851</v>
      </c>
      <c r="I220" s="144"/>
      <c r="J220" s="144"/>
      <c r="K220" s="22">
        <f t="shared" si="3"/>
        <v>202608</v>
      </c>
      <c r="L220" s="40"/>
      <c r="M220"/>
      <c r="N220"/>
      <c r="O220"/>
      <c r="P220"/>
      <c r="Q220"/>
      <c r="R220"/>
      <c r="S220"/>
      <c r="T220"/>
      <c r="U220"/>
      <c r="V220"/>
      <c r="W220" s="41"/>
      <c r="X220" s="41"/>
      <c r="Y220" s="41"/>
    </row>
    <row r="221" s="27" customFormat="1" ht="23" hidden="1" customHeight="1" spans="1:25">
      <c r="A221" s="133">
        <f>IF(B221="","",COUNTA($B$5:B221))</f>
        <v>217</v>
      </c>
      <c r="B221" s="143">
        <v>46249</v>
      </c>
      <c r="C221" s="144" t="s">
        <v>49</v>
      </c>
      <c r="D221" s="145"/>
      <c r="E221" s="146" t="s">
        <v>169</v>
      </c>
      <c r="F221" s="139">
        <v>2393.69</v>
      </c>
      <c r="G221" s="139"/>
      <c r="H221" s="142">
        <f>IFERROR(VLOOKUP($C221,$C$5:$H$18,6,0)+SUMIF($C$19:$C221,$C221,$F$19:$F221)-SUMIF($C$19:$C221,$C221,$G$19:$G221),"")</f>
        <v>10851.3399999985</v>
      </c>
      <c r="I221" s="144"/>
      <c r="J221" s="144"/>
      <c r="K221" s="22">
        <f t="shared" si="3"/>
        <v>202608</v>
      </c>
      <c r="L221" s="40"/>
      <c r="M221"/>
      <c r="N221"/>
      <c r="O221"/>
      <c r="P221"/>
      <c r="Q221"/>
      <c r="R221"/>
      <c r="S221"/>
      <c r="T221"/>
      <c r="U221"/>
      <c r="V221"/>
      <c r="W221" s="41"/>
      <c r="X221" s="41"/>
      <c r="Y221" s="41"/>
    </row>
    <row r="222" s="27" customFormat="1" ht="23" hidden="1" customHeight="1" spans="1:25">
      <c r="A222" s="133">
        <f>IF(B222="","",COUNTA($B$5:B222))</f>
        <v>218</v>
      </c>
      <c r="B222" s="143">
        <v>46249</v>
      </c>
      <c r="C222" s="144" t="s">
        <v>49</v>
      </c>
      <c r="D222" s="145"/>
      <c r="E222" s="146" t="s">
        <v>170</v>
      </c>
      <c r="F222" s="139">
        <v>3785.8</v>
      </c>
      <c r="G222" s="139"/>
      <c r="H222" s="142">
        <f>IFERROR(VLOOKUP($C222,$C$5:$H$18,6,0)+SUMIF($C$19:$C222,$C222,$F$19:$F222)-SUMIF($C$19:$C222,$C222,$G$19:$G222),"")</f>
        <v>14637.1399999985</v>
      </c>
      <c r="I222" s="144"/>
      <c r="J222" s="144"/>
      <c r="K222" s="22">
        <f t="shared" si="3"/>
        <v>202608</v>
      </c>
      <c r="L222" s="40"/>
      <c r="M222"/>
      <c r="N222"/>
      <c r="O222"/>
      <c r="P222"/>
      <c r="Q222"/>
      <c r="R222"/>
      <c r="S222"/>
      <c r="T222"/>
      <c r="U222"/>
      <c r="V222"/>
      <c r="W222" s="41"/>
      <c r="X222" s="41"/>
      <c r="Y222" s="41"/>
    </row>
    <row r="223" s="27" customFormat="1" ht="23" hidden="1" customHeight="1" spans="1:25">
      <c r="A223" s="133">
        <f>IF(B223="","",COUNTA($B$5:B223))</f>
        <v>219</v>
      </c>
      <c r="B223" s="143">
        <v>46249</v>
      </c>
      <c r="C223" s="144" t="s">
        <v>49</v>
      </c>
      <c r="D223" s="145"/>
      <c r="E223" s="146" t="s">
        <v>158</v>
      </c>
      <c r="F223" s="139">
        <v>20.49</v>
      </c>
      <c r="G223" s="139"/>
      <c r="H223" s="142">
        <f>IFERROR(VLOOKUP($C223,$C$5:$H$18,6,0)+SUMIF($C$19:$C223,$C223,$F$19:$F223)-SUMIF($C$19:$C223,$C223,$G$19:$G223),"")</f>
        <v>14657.6299999985</v>
      </c>
      <c r="I223" s="144"/>
      <c r="J223" s="144"/>
      <c r="K223" s="22">
        <f t="shared" si="3"/>
        <v>202608</v>
      </c>
      <c r="L223" s="40"/>
      <c r="M223"/>
      <c r="N223"/>
      <c r="O223"/>
      <c r="P223"/>
      <c r="Q223"/>
      <c r="R223"/>
      <c r="S223"/>
      <c r="T223"/>
      <c r="U223"/>
      <c r="V223"/>
      <c r="W223" s="41"/>
      <c r="X223" s="41"/>
      <c r="Y223" s="41"/>
    </row>
    <row r="224" s="27" customFormat="1" ht="23" hidden="1" customHeight="1" spans="1:25">
      <c r="A224" s="133">
        <f>IF(B224="","",COUNTA($B$5:B224))</f>
        <v>220</v>
      </c>
      <c r="B224" s="143">
        <v>46249</v>
      </c>
      <c r="C224" s="144" t="s">
        <v>49</v>
      </c>
      <c r="D224" s="145"/>
      <c r="E224" s="146" t="s">
        <v>143</v>
      </c>
      <c r="F224" s="139">
        <v>40000</v>
      </c>
      <c r="G224" s="139"/>
      <c r="H224" s="142">
        <f>IFERROR(VLOOKUP($C224,$C$5:$H$18,6,0)+SUMIF($C$19:$C224,$C224,$F$19:$F224)-SUMIF($C$19:$C224,$C224,$G$19:$G224),"")</f>
        <v>54657.6299999985</v>
      </c>
      <c r="I224" s="144" t="s">
        <v>51</v>
      </c>
      <c r="J224" s="144"/>
      <c r="K224" s="22">
        <f t="shared" si="3"/>
        <v>202608</v>
      </c>
      <c r="L224" s="40"/>
      <c r="M224"/>
      <c r="N224"/>
      <c r="O224"/>
      <c r="P224"/>
      <c r="Q224"/>
      <c r="R224"/>
      <c r="S224"/>
      <c r="T224"/>
      <c r="U224"/>
      <c r="V224"/>
      <c r="W224" s="41"/>
      <c r="X224" s="41"/>
      <c r="Y224" s="41"/>
    </row>
    <row r="225" s="27" customFormat="1" ht="23" hidden="1" customHeight="1" spans="1:25">
      <c r="A225" s="133">
        <f>IF(B225="","",COUNTA($B$5:B225))</f>
        <v>221</v>
      </c>
      <c r="B225" s="143">
        <v>46249</v>
      </c>
      <c r="C225" s="144" t="s">
        <v>49</v>
      </c>
      <c r="D225" s="145" t="s">
        <v>41</v>
      </c>
      <c r="E225" s="146" t="s">
        <v>142</v>
      </c>
      <c r="F225" s="139"/>
      <c r="G225" s="139">
        <v>53505</v>
      </c>
      <c r="H225" s="142">
        <f>IFERROR(VLOOKUP($C225,$C$5:$H$18,6,0)+SUMIF($C$19:$C225,$C225,$F$19:$F225)-SUMIF($C$19:$C225,$C225,$G$19:$G225),"")</f>
        <v>1152.62999999849</v>
      </c>
      <c r="I225" s="144"/>
      <c r="J225" s="144" t="s">
        <v>48</v>
      </c>
      <c r="K225" s="22">
        <f t="shared" si="3"/>
        <v>202608</v>
      </c>
      <c r="L225" s="40"/>
      <c r="M225"/>
      <c r="N225"/>
      <c r="O225"/>
      <c r="P225"/>
      <c r="Q225"/>
      <c r="R225"/>
      <c r="S225"/>
      <c r="T225"/>
      <c r="U225"/>
      <c r="V225"/>
      <c r="W225" s="41"/>
      <c r="X225" s="41"/>
      <c r="Y225" s="41"/>
    </row>
    <row r="226" s="27" customFormat="1" ht="23" hidden="1" customHeight="1" spans="1:25">
      <c r="A226" s="133">
        <f>IF(B226="","",COUNTA($B$5:B226))</f>
        <v>222</v>
      </c>
      <c r="B226" s="143">
        <v>46249</v>
      </c>
      <c r="C226" s="144" t="s">
        <v>49</v>
      </c>
      <c r="D226" s="145" t="s">
        <v>77</v>
      </c>
      <c r="E226" s="146" t="s">
        <v>122</v>
      </c>
      <c r="F226" s="139"/>
      <c r="G226" s="139">
        <v>9</v>
      </c>
      <c r="H226" s="142">
        <f>IFERROR(VLOOKUP($C226,$C$5:$H$18,6,0)+SUMIF($C$19:$C226,$C226,$F$19:$F226)-SUMIF($C$19:$C226,$C226,$G$19:$G226),"")</f>
        <v>1143.62999999849</v>
      </c>
      <c r="I226" s="144"/>
      <c r="J226" s="144"/>
      <c r="K226" s="22">
        <f t="shared" si="3"/>
        <v>202608</v>
      </c>
      <c r="L226" s="40"/>
      <c r="M226"/>
      <c r="N226"/>
      <c r="O226"/>
      <c r="P226"/>
      <c r="Q226"/>
      <c r="R226"/>
      <c r="S226"/>
      <c r="T226"/>
      <c r="U226"/>
      <c r="V226"/>
      <c r="W226" s="41"/>
      <c r="X226" s="41"/>
      <c r="Y226" s="41"/>
    </row>
    <row r="227" s="27" customFormat="1" ht="23" hidden="1" customHeight="1" spans="1:25">
      <c r="A227" s="133">
        <f>IF(B227="","",COUNTA($B$5:B227))</f>
        <v>223</v>
      </c>
      <c r="B227" s="143">
        <v>46250</v>
      </c>
      <c r="C227" s="144" t="s">
        <v>49</v>
      </c>
      <c r="D227" s="145"/>
      <c r="E227" s="146" t="s">
        <v>171</v>
      </c>
      <c r="F227" s="139">
        <v>8566.82</v>
      </c>
      <c r="G227" s="139"/>
      <c r="H227" s="142">
        <f>IFERROR(VLOOKUP($C227,$C$5:$H$18,6,0)+SUMIF($C$19:$C227,$C227,$F$19:$F227)-SUMIF($C$19:$C227,$C227,$G$19:$G227),"")</f>
        <v>9710.44999999856</v>
      </c>
      <c r="I227" s="144"/>
      <c r="J227" s="144"/>
      <c r="K227" s="22">
        <f t="shared" si="3"/>
        <v>202608</v>
      </c>
      <c r="L227" s="40"/>
      <c r="M227"/>
      <c r="N227"/>
      <c r="O227"/>
      <c r="P227"/>
      <c r="Q227"/>
      <c r="R227"/>
      <c r="S227"/>
      <c r="T227"/>
      <c r="U227"/>
      <c r="V227"/>
      <c r="W227" s="41"/>
      <c r="X227" s="41"/>
      <c r="Y227" s="41"/>
    </row>
    <row r="228" s="27" customFormat="1" ht="23" hidden="1" customHeight="1" spans="1:25">
      <c r="A228" s="133">
        <f>IF(B228="","",COUNTA($B$5:B228))</f>
        <v>224</v>
      </c>
      <c r="B228" s="143">
        <v>46251</v>
      </c>
      <c r="C228" s="144" t="s">
        <v>49</v>
      </c>
      <c r="D228" s="145"/>
      <c r="E228" s="146" t="s">
        <v>172</v>
      </c>
      <c r="F228" s="139">
        <v>6035.27</v>
      </c>
      <c r="G228" s="139"/>
      <c r="H228" s="142">
        <f>IFERROR(VLOOKUP($C228,$C$5:$H$18,6,0)+SUMIF($C$19:$C228,$C228,$F$19:$F228)-SUMIF($C$19:$C228,$C228,$G$19:$G228),"")</f>
        <v>15745.7199999986</v>
      </c>
      <c r="I228" s="144"/>
      <c r="J228" s="144"/>
      <c r="K228" s="22">
        <f t="shared" si="3"/>
        <v>202608</v>
      </c>
      <c r="L228" s="40"/>
      <c r="M228"/>
      <c r="N228"/>
      <c r="O228"/>
      <c r="P228"/>
      <c r="Q228"/>
      <c r="R228"/>
      <c r="S228"/>
      <c r="T228"/>
      <c r="U228"/>
      <c r="V228"/>
      <c r="W228" s="41"/>
      <c r="X228" s="41"/>
      <c r="Y228" s="41"/>
    </row>
    <row r="229" s="27" customFormat="1" ht="23" hidden="1" customHeight="1" spans="1:25">
      <c r="A229" s="133">
        <f>IF(B229="","",COUNTA($B$5:B229))</f>
        <v>225</v>
      </c>
      <c r="B229" s="143">
        <v>46252</v>
      </c>
      <c r="C229" s="144" t="s">
        <v>49</v>
      </c>
      <c r="D229" s="145"/>
      <c r="E229" s="146" t="s">
        <v>173</v>
      </c>
      <c r="F229" s="139">
        <v>151.44</v>
      </c>
      <c r="G229" s="139"/>
      <c r="H229" s="142">
        <f>IFERROR(VLOOKUP($C229,$C$5:$H$18,6,0)+SUMIF($C$19:$C229,$C229,$F$19:$F229)-SUMIF($C$19:$C229,$C229,$G$19:$G229),"")</f>
        <v>15897.1599999985</v>
      </c>
      <c r="I229" s="144"/>
      <c r="J229" s="144"/>
      <c r="K229" s="22">
        <f t="shared" si="3"/>
        <v>202608</v>
      </c>
      <c r="L229" s="40"/>
      <c r="M229"/>
      <c r="N229"/>
      <c r="O229"/>
      <c r="P229"/>
      <c r="Q229"/>
      <c r="R229"/>
      <c r="S229"/>
      <c r="T229"/>
      <c r="U229"/>
      <c r="V229"/>
      <c r="W229" s="41"/>
      <c r="X229" s="41"/>
      <c r="Y229" s="41"/>
    </row>
    <row r="230" s="27" customFormat="1" ht="23" hidden="1" customHeight="1" spans="1:25">
      <c r="A230" s="133">
        <f>IF(B230="","",COUNTA($B$5:B230))</f>
        <v>226</v>
      </c>
      <c r="B230" s="143">
        <v>46252</v>
      </c>
      <c r="C230" s="144" t="s">
        <v>49</v>
      </c>
      <c r="D230" s="145"/>
      <c r="E230" s="146" t="s">
        <v>158</v>
      </c>
      <c r="F230" s="139">
        <v>44.46</v>
      </c>
      <c r="G230" s="139"/>
      <c r="H230" s="142">
        <f>IFERROR(VLOOKUP($C230,$C$5:$H$18,6,0)+SUMIF($C$19:$C230,$C230,$F$19:$F230)-SUMIF($C$19:$C230,$C230,$G$19:$G230),"")</f>
        <v>15941.6199999985</v>
      </c>
      <c r="I230" s="144"/>
      <c r="J230" s="144"/>
      <c r="K230" s="22">
        <f t="shared" si="3"/>
        <v>202608</v>
      </c>
      <c r="L230" s="40"/>
      <c r="M230"/>
      <c r="N230"/>
      <c r="O230"/>
      <c r="P230"/>
      <c r="Q230"/>
      <c r="R230"/>
      <c r="S230"/>
      <c r="T230"/>
      <c r="U230"/>
      <c r="V230"/>
      <c r="W230" s="41"/>
      <c r="X230" s="41"/>
      <c r="Y230" s="41"/>
    </row>
    <row r="231" s="27" customFormat="1" ht="23" hidden="1" customHeight="1" spans="1:25">
      <c r="A231" s="133">
        <f>IF(B231="","",COUNTA($B$5:B231))</f>
        <v>227</v>
      </c>
      <c r="B231" s="143">
        <v>46252</v>
      </c>
      <c r="C231" s="144" t="s">
        <v>49</v>
      </c>
      <c r="D231" s="145"/>
      <c r="E231" s="146" t="s">
        <v>174</v>
      </c>
      <c r="F231" s="139">
        <v>1971.94</v>
      </c>
      <c r="G231" s="139"/>
      <c r="H231" s="142">
        <f>IFERROR(VLOOKUP($C231,$C$5:$H$18,6,0)+SUMIF($C$19:$C231,$C231,$F$19:$F231)-SUMIF($C$19:$C231,$C231,$G$19:$G231),"")</f>
        <v>17913.5599999984</v>
      </c>
      <c r="I231" s="144"/>
      <c r="J231" s="144"/>
      <c r="K231" s="22">
        <f t="shared" si="3"/>
        <v>202608</v>
      </c>
      <c r="L231" s="40"/>
      <c r="M231"/>
      <c r="N231"/>
      <c r="O231"/>
      <c r="P231"/>
      <c r="Q231"/>
      <c r="R231"/>
      <c r="S231"/>
      <c r="T231"/>
      <c r="U231"/>
      <c r="V231"/>
      <c r="W231" s="41"/>
      <c r="X231" s="41"/>
      <c r="Y231" s="41"/>
    </row>
    <row r="232" s="27" customFormat="1" ht="23" hidden="1" customHeight="1" spans="1:25">
      <c r="A232" s="133">
        <f>IF(B232="","",COUNTA($B$5:B232))</f>
        <v>228</v>
      </c>
      <c r="B232" s="143">
        <v>46253</v>
      </c>
      <c r="C232" s="144" t="s">
        <v>49</v>
      </c>
      <c r="D232" s="145"/>
      <c r="E232" s="146" t="s">
        <v>175</v>
      </c>
      <c r="F232" s="139">
        <v>44.36</v>
      </c>
      <c r="G232" s="139"/>
      <c r="H232" s="142">
        <f>IFERROR(VLOOKUP($C232,$C$5:$H$18,6,0)+SUMIF($C$19:$C232,$C232,$F$19:$F232)-SUMIF($C$19:$C232,$C232,$G$19:$G232),"")</f>
        <v>17957.9199999985</v>
      </c>
      <c r="I232" s="144"/>
      <c r="J232" s="144"/>
      <c r="K232" s="22">
        <f t="shared" si="3"/>
        <v>202608</v>
      </c>
      <c r="L232" s="40"/>
      <c r="M232"/>
      <c r="N232"/>
      <c r="O232"/>
      <c r="P232"/>
      <c r="Q232"/>
      <c r="R232"/>
      <c r="S232"/>
      <c r="T232"/>
      <c r="U232"/>
      <c r="V232"/>
      <c r="W232" s="41"/>
      <c r="X232" s="41"/>
      <c r="Y232" s="41"/>
    </row>
    <row r="233" s="27" customFormat="1" ht="23" hidden="1" customHeight="1" spans="1:25">
      <c r="A233" s="133">
        <f>IF(B233="","",COUNTA($B$5:B233))</f>
        <v>229</v>
      </c>
      <c r="B233" s="143">
        <v>46253</v>
      </c>
      <c r="C233" s="144" t="s">
        <v>49</v>
      </c>
      <c r="D233" s="145"/>
      <c r="E233" s="146" t="s">
        <v>158</v>
      </c>
      <c r="F233" s="139">
        <v>31.23</v>
      </c>
      <c r="G233" s="139"/>
      <c r="H233" s="142">
        <f>IFERROR(VLOOKUP($C233,$C$5:$H$18,6,0)+SUMIF($C$19:$C233,$C233,$F$19:$F233)-SUMIF($C$19:$C233,$C233,$G$19:$G233),"")</f>
        <v>17989.1499999985</v>
      </c>
      <c r="I233" s="144"/>
      <c r="J233" s="144"/>
      <c r="K233" s="22">
        <f t="shared" si="3"/>
        <v>202608</v>
      </c>
      <c r="L233" s="40"/>
      <c r="M233"/>
      <c r="N233"/>
      <c r="O233"/>
      <c r="P233"/>
      <c r="Q233"/>
      <c r="R233"/>
      <c r="S233"/>
      <c r="T233"/>
      <c r="U233"/>
      <c r="V233"/>
      <c r="W233" s="41"/>
      <c r="X233" s="41"/>
      <c r="Y233" s="41"/>
    </row>
    <row r="234" s="27" customFormat="1" ht="23" hidden="1" customHeight="1" spans="1:25">
      <c r="A234" s="133">
        <f>IF(B234="","",COUNTA($B$5:B234))</f>
        <v>230</v>
      </c>
      <c r="B234" s="143">
        <v>46253</v>
      </c>
      <c r="C234" s="144" t="s">
        <v>49</v>
      </c>
      <c r="D234" s="145"/>
      <c r="E234" s="146" t="s">
        <v>176</v>
      </c>
      <c r="F234" s="139">
        <v>30.22</v>
      </c>
      <c r="G234" s="139"/>
      <c r="H234" s="142">
        <f>IFERROR(VLOOKUP($C234,$C$5:$H$18,6,0)+SUMIF($C$19:$C234,$C234,$F$19:$F234)-SUMIF($C$19:$C234,$C234,$G$19:$G234),"")</f>
        <v>18019.3699999985</v>
      </c>
      <c r="I234" s="144"/>
      <c r="J234" s="144"/>
      <c r="K234" s="22">
        <f t="shared" si="3"/>
        <v>202608</v>
      </c>
      <c r="L234" s="40"/>
      <c r="M234"/>
      <c r="N234"/>
      <c r="O234"/>
      <c r="P234"/>
      <c r="Q234"/>
      <c r="R234"/>
      <c r="S234"/>
      <c r="T234"/>
      <c r="U234"/>
      <c r="V234"/>
      <c r="W234" s="41"/>
      <c r="X234" s="41"/>
      <c r="Y234" s="41"/>
    </row>
    <row r="235" s="27" customFormat="1" ht="23" hidden="1" customHeight="1" spans="1:25">
      <c r="A235" s="133">
        <f>IF(B235="","",COUNTA($B$5:B235))</f>
        <v>231</v>
      </c>
      <c r="B235" s="143">
        <v>46254</v>
      </c>
      <c r="C235" s="144" t="s">
        <v>49</v>
      </c>
      <c r="D235" s="145"/>
      <c r="E235" s="146" t="s">
        <v>177</v>
      </c>
      <c r="F235" s="139">
        <v>857.5</v>
      </c>
      <c r="G235" s="139"/>
      <c r="H235" s="142">
        <f>IFERROR(VLOOKUP($C235,$C$5:$H$18,6,0)+SUMIF($C$19:$C235,$C235,$F$19:$F235)-SUMIF($C$19:$C235,$C235,$G$19:$G235),"")</f>
        <v>18876.8699999985</v>
      </c>
      <c r="I235" s="144"/>
      <c r="J235" s="144"/>
      <c r="K235" s="22">
        <f t="shared" si="3"/>
        <v>202608</v>
      </c>
      <c r="L235" s="40"/>
      <c r="M235"/>
      <c r="N235"/>
      <c r="O235"/>
      <c r="P235"/>
      <c r="Q235"/>
      <c r="R235"/>
      <c r="S235"/>
      <c r="T235"/>
      <c r="U235"/>
      <c r="V235"/>
      <c r="W235" s="41"/>
      <c r="X235" s="41"/>
      <c r="Y235" s="41"/>
    </row>
    <row r="236" s="27" customFormat="1" ht="23" hidden="1" customHeight="1" spans="1:25">
      <c r="A236" s="133">
        <f>IF(B236="","",COUNTA($B$5:B236))</f>
        <v>232</v>
      </c>
      <c r="B236" s="143">
        <v>46254</v>
      </c>
      <c r="C236" s="144" t="s">
        <v>49</v>
      </c>
      <c r="D236" s="145"/>
      <c r="E236" s="146" t="s">
        <v>158</v>
      </c>
      <c r="F236" s="139">
        <v>41.47</v>
      </c>
      <c r="G236" s="139"/>
      <c r="H236" s="142">
        <f>IFERROR(VLOOKUP($C236,$C$5:$H$18,6,0)+SUMIF($C$19:$C236,$C236,$F$19:$F236)-SUMIF($C$19:$C236,$C236,$G$19:$G236),"")</f>
        <v>18918.3399999985</v>
      </c>
      <c r="I236" s="144"/>
      <c r="J236" s="144"/>
      <c r="K236" s="22">
        <f t="shared" si="3"/>
        <v>202608</v>
      </c>
      <c r="L236" s="40"/>
      <c r="M236"/>
      <c r="N236"/>
      <c r="O236"/>
      <c r="P236"/>
      <c r="Q236"/>
      <c r="R236"/>
      <c r="S236"/>
      <c r="T236"/>
      <c r="U236"/>
      <c r="V236"/>
      <c r="W236" s="41"/>
      <c r="X236" s="41"/>
      <c r="Y236" s="41"/>
    </row>
    <row r="237" s="27" customFormat="1" ht="23" hidden="1" customHeight="1" spans="1:25">
      <c r="A237" s="133">
        <f>IF(B237="","",COUNTA($B$5:B237))</f>
        <v>233</v>
      </c>
      <c r="B237" s="143">
        <v>46254</v>
      </c>
      <c r="C237" s="144" t="s">
        <v>49</v>
      </c>
      <c r="D237" s="145"/>
      <c r="E237" s="146" t="s">
        <v>178</v>
      </c>
      <c r="F237" s="139">
        <v>4.07</v>
      </c>
      <c r="G237" s="139"/>
      <c r="H237" s="142">
        <f>IFERROR(VLOOKUP($C237,$C$5:$H$18,6,0)+SUMIF($C$19:$C237,$C237,$F$19:$F237)-SUMIF($C$19:$C237,$C237,$G$19:$G237),"")</f>
        <v>18922.4099999985</v>
      </c>
      <c r="I237" s="144"/>
      <c r="J237" s="144"/>
      <c r="K237" s="22">
        <f t="shared" si="3"/>
        <v>202608</v>
      </c>
      <c r="L237" s="40"/>
      <c r="M237"/>
      <c r="N237"/>
      <c r="O237"/>
      <c r="P237"/>
      <c r="Q237"/>
      <c r="R237"/>
      <c r="S237"/>
      <c r="T237"/>
      <c r="U237"/>
      <c r="V237"/>
      <c r="W237" s="41"/>
      <c r="X237" s="41"/>
      <c r="Y237" s="41"/>
    </row>
    <row r="238" s="27" customFormat="1" ht="23" hidden="1" customHeight="1" spans="1:25">
      <c r="A238" s="133">
        <f>IF(B238="","",COUNTA($B$5:B238))</f>
        <v>234</v>
      </c>
      <c r="B238" s="143">
        <v>46255</v>
      </c>
      <c r="C238" s="144" t="s">
        <v>49</v>
      </c>
      <c r="D238" s="145"/>
      <c r="E238" s="146" t="s">
        <v>179</v>
      </c>
      <c r="F238" s="139">
        <v>1401.56</v>
      </c>
      <c r="G238" s="139"/>
      <c r="H238" s="142">
        <f>IFERROR(VLOOKUP($C238,$C$5:$H$18,6,0)+SUMIF($C$19:$C238,$C238,$F$19:$F238)-SUMIF($C$19:$C238,$C238,$G$19:$G238),"")</f>
        <v>20323.9699999986</v>
      </c>
      <c r="I238" s="144"/>
      <c r="J238" s="144"/>
      <c r="K238" s="22">
        <f t="shared" si="3"/>
        <v>202608</v>
      </c>
      <c r="L238" s="40"/>
      <c r="M238"/>
      <c r="N238"/>
      <c r="O238"/>
      <c r="P238"/>
      <c r="Q238"/>
      <c r="R238"/>
      <c r="S238"/>
      <c r="T238"/>
      <c r="U238"/>
      <c r="V238"/>
      <c r="W238" s="41"/>
      <c r="X238" s="41"/>
      <c r="Y238" s="41"/>
    </row>
    <row r="239" s="27" customFormat="1" ht="23" hidden="1" customHeight="1" spans="1:25">
      <c r="A239" s="133">
        <f>IF(B239="","",COUNTA($B$5:B239))</f>
        <v>235</v>
      </c>
      <c r="B239" s="143">
        <v>46255</v>
      </c>
      <c r="C239" s="144" t="s">
        <v>49</v>
      </c>
      <c r="D239" s="145"/>
      <c r="E239" s="146" t="s">
        <v>158</v>
      </c>
      <c r="F239" s="139">
        <v>59.38</v>
      </c>
      <c r="G239" s="139"/>
      <c r="H239" s="142">
        <f>IFERROR(VLOOKUP($C239,$C$5:$H$18,6,0)+SUMIF($C$19:$C239,$C239,$F$19:$F239)-SUMIF($C$19:$C239,$C239,$G$19:$G239),"")</f>
        <v>20383.3499999985</v>
      </c>
      <c r="I239" s="144"/>
      <c r="J239" s="144"/>
      <c r="K239" s="22">
        <f t="shared" si="3"/>
        <v>202608</v>
      </c>
      <c r="L239" s="40"/>
      <c r="M239"/>
      <c r="N239"/>
      <c r="O239"/>
      <c r="P239"/>
      <c r="Q239"/>
      <c r="R239"/>
      <c r="S239"/>
      <c r="T239"/>
      <c r="U239"/>
      <c r="V239"/>
      <c r="W239" s="41"/>
      <c r="X239" s="41"/>
      <c r="Y239" s="41"/>
    </row>
    <row r="240" s="27" customFormat="1" ht="23" hidden="1" customHeight="1" spans="1:25">
      <c r="A240" s="133">
        <f>IF(B240="","",COUNTA($B$5:B240))</f>
        <v>236</v>
      </c>
      <c r="B240" s="143">
        <v>46255</v>
      </c>
      <c r="C240" s="144" t="s">
        <v>49</v>
      </c>
      <c r="D240" s="145"/>
      <c r="E240" s="146" t="s">
        <v>180</v>
      </c>
      <c r="F240" s="139">
        <v>130.01</v>
      </c>
      <c r="G240" s="139"/>
      <c r="H240" s="142">
        <f>IFERROR(VLOOKUP($C240,$C$5:$H$18,6,0)+SUMIF($C$19:$C240,$C240,$F$19:$F240)-SUMIF($C$19:$C240,$C240,$G$19:$G240),"")</f>
        <v>20513.3599999985</v>
      </c>
      <c r="I240" s="144"/>
      <c r="J240" s="144"/>
      <c r="K240" s="22">
        <f t="shared" si="3"/>
        <v>202608</v>
      </c>
      <c r="L240" s="40"/>
      <c r="M240"/>
      <c r="N240"/>
      <c r="O240"/>
      <c r="P240"/>
      <c r="Q240"/>
      <c r="R240"/>
      <c r="S240"/>
      <c r="T240"/>
      <c r="U240"/>
      <c r="V240"/>
      <c r="W240" s="41"/>
      <c r="X240" s="41"/>
      <c r="Y240" s="41"/>
    </row>
    <row r="241" s="27" customFormat="1" ht="23" hidden="1" customHeight="1" spans="1:25">
      <c r="A241" s="133">
        <f>IF(B241="","",COUNTA($B$5:B241))</f>
        <v>237</v>
      </c>
      <c r="B241" s="143">
        <v>46256</v>
      </c>
      <c r="C241" s="144" t="s">
        <v>49</v>
      </c>
      <c r="D241" s="145"/>
      <c r="E241" s="146" t="s">
        <v>181</v>
      </c>
      <c r="F241" s="139">
        <v>2350.32</v>
      </c>
      <c r="G241" s="139"/>
      <c r="H241" s="142">
        <f>IFERROR(VLOOKUP($C241,$C$5:$H$18,6,0)+SUMIF($C$19:$C241,$C241,$F$19:$F241)-SUMIF($C$19:$C241,$C241,$G$19:$G241),"")</f>
        <v>22863.6799999985</v>
      </c>
      <c r="I241" s="144"/>
      <c r="J241" s="144"/>
      <c r="K241" s="22">
        <f t="shared" si="3"/>
        <v>202608</v>
      </c>
      <c r="L241" s="40"/>
      <c r="M241"/>
      <c r="N241"/>
      <c r="O241"/>
      <c r="P241"/>
      <c r="Q241"/>
      <c r="R241"/>
      <c r="S241"/>
      <c r="T241"/>
      <c r="U241"/>
      <c r="V241"/>
      <c r="W241" s="41"/>
      <c r="X241" s="41"/>
      <c r="Y241" s="41"/>
    </row>
    <row r="242" s="27" customFormat="1" ht="23" hidden="1" customHeight="1" spans="1:25">
      <c r="A242" s="133">
        <f>IF(B242="","",COUNTA($B$5:B242))</f>
        <v>238</v>
      </c>
      <c r="B242" s="143">
        <v>46256</v>
      </c>
      <c r="C242" s="144" t="s">
        <v>49</v>
      </c>
      <c r="D242" s="145"/>
      <c r="E242" s="146" t="s">
        <v>158</v>
      </c>
      <c r="F242" s="139">
        <v>89.41</v>
      </c>
      <c r="G242" s="139"/>
      <c r="H242" s="142">
        <f>IFERROR(VLOOKUP($C242,$C$5:$H$18,6,0)+SUMIF($C$19:$C242,$C242,$F$19:$F242)-SUMIF($C$19:$C242,$C242,$G$19:$G242),"")</f>
        <v>22953.0899999985</v>
      </c>
      <c r="I242" s="144"/>
      <c r="J242" s="144"/>
      <c r="K242" s="22">
        <f t="shared" si="3"/>
        <v>202608</v>
      </c>
      <c r="L242" s="40"/>
      <c r="M242"/>
      <c r="N242"/>
      <c r="O242"/>
      <c r="P242"/>
      <c r="Q242"/>
      <c r="R242"/>
      <c r="S242"/>
      <c r="T242"/>
      <c r="U242"/>
      <c r="V242"/>
      <c r="W242" s="41"/>
      <c r="X242" s="41"/>
      <c r="Y242" s="41"/>
    </row>
    <row r="243" s="27" customFormat="1" ht="23" hidden="1" customHeight="1" spans="1:25">
      <c r="A243" s="133">
        <f>IF(B243="","",COUNTA($B$5:B243))</f>
        <v>239</v>
      </c>
      <c r="B243" s="143">
        <v>46256</v>
      </c>
      <c r="C243" s="144" t="s">
        <v>49</v>
      </c>
      <c r="D243" s="145"/>
      <c r="E243" s="146" t="s">
        <v>182</v>
      </c>
      <c r="F243" s="139">
        <v>150.59</v>
      </c>
      <c r="G243" s="139"/>
      <c r="H243" s="142">
        <f>IFERROR(VLOOKUP($C243,$C$5:$H$18,6,0)+SUMIF($C$19:$C243,$C243,$F$19:$F243)-SUMIF($C$19:$C243,$C243,$G$19:$G243),"")</f>
        <v>23103.6799999985</v>
      </c>
      <c r="I243" s="144"/>
      <c r="J243" s="144"/>
      <c r="K243" s="22">
        <f t="shared" si="3"/>
        <v>202608</v>
      </c>
      <c r="L243" s="40"/>
      <c r="M243"/>
      <c r="N243"/>
      <c r="O243"/>
      <c r="P243"/>
      <c r="Q243"/>
      <c r="R243"/>
      <c r="S243"/>
      <c r="T243"/>
      <c r="U243"/>
      <c r="V243"/>
      <c r="W243" s="41"/>
      <c r="X243" s="41"/>
      <c r="Y243" s="41"/>
    </row>
    <row r="244" s="27" customFormat="1" ht="23" hidden="1" customHeight="1" spans="1:25">
      <c r="A244" s="133">
        <f>IF(B244="","",COUNTA($B$5:B244))</f>
        <v>240</v>
      </c>
      <c r="B244" s="143">
        <v>46257</v>
      </c>
      <c r="C244" s="144" t="s">
        <v>49</v>
      </c>
      <c r="D244" s="145"/>
      <c r="E244" s="146" t="s">
        <v>183</v>
      </c>
      <c r="F244" s="139">
        <v>5769.25</v>
      </c>
      <c r="G244" s="139"/>
      <c r="H244" s="142">
        <f>IFERROR(VLOOKUP($C244,$C$5:$H$18,6,0)+SUMIF($C$19:$C244,$C244,$F$19:$F244)-SUMIF($C$19:$C244,$C244,$G$19:$G244),"")</f>
        <v>28872.9299999985</v>
      </c>
      <c r="I244" s="144"/>
      <c r="J244" s="144"/>
      <c r="K244" s="22">
        <f t="shared" si="3"/>
        <v>202608</v>
      </c>
      <c r="L244" s="40"/>
      <c r="M244"/>
      <c r="N244"/>
      <c r="O244"/>
      <c r="P244"/>
      <c r="Q244"/>
      <c r="R244"/>
      <c r="S244"/>
      <c r="T244"/>
      <c r="U244"/>
      <c r="V244"/>
      <c r="W244" s="41"/>
      <c r="X244" s="41"/>
      <c r="Y244" s="41"/>
    </row>
    <row r="245" s="27" customFormat="1" ht="23" hidden="1" customHeight="1" spans="1:25">
      <c r="A245" s="133">
        <f>IF(B245="","",COUNTA($B$5:B245))</f>
        <v>241</v>
      </c>
      <c r="B245" s="143">
        <v>46257</v>
      </c>
      <c r="C245" s="144" t="s">
        <v>49</v>
      </c>
      <c r="D245" s="145"/>
      <c r="E245" s="146" t="s">
        <v>158</v>
      </c>
      <c r="F245" s="139">
        <v>27.35</v>
      </c>
      <c r="G245" s="139"/>
      <c r="H245" s="142">
        <f>IFERROR(VLOOKUP($C245,$C$5:$H$18,6,0)+SUMIF($C$19:$C245,$C245,$F$19:$F245)-SUMIF($C$19:$C245,$C245,$G$19:$G245),"")</f>
        <v>28900.2799999986</v>
      </c>
      <c r="I245" s="144"/>
      <c r="J245" s="144"/>
      <c r="K245" s="22">
        <f t="shared" si="3"/>
        <v>202608</v>
      </c>
      <c r="L245" s="40"/>
      <c r="M245"/>
      <c r="N245"/>
      <c r="O245"/>
      <c r="P245"/>
      <c r="Q245"/>
      <c r="R245"/>
      <c r="S245"/>
      <c r="T245"/>
      <c r="U245"/>
      <c r="V245"/>
      <c r="W245" s="41"/>
      <c r="X245" s="41"/>
      <c r="Y245" s="41"/>
    </row>
    <row r="246" s="27" customFormat="1" ht="23" hidden="1" customHeight="1" spans="1:25">
      <c r="A246" s="133">
        <f>IF(B246="","",COUNTA($B$5:B246))</f>
        <v>242</v>
      </c>
      <c r="B246" s="143">
        <v>46257</v>
      </c>
      <c r="C246" s="144" t="s">
        <v>49</v>
      </c>
      <c r="D246" s="145"/>
      <c r="E246" s="146" t="s">
        <v>184</v>
      </c>
      <c r="F246" s="139">
        <v>287.04</v>
      </c>
      <c r="G246" s="139"/>
      <c r="H246" s="142">
        <f>IFERROR(VLOOKUP($C246,$C$5:$H$18,6,0)+SUMIF($C$19:$C246,$C246,$F$19:$F246)-SUMIF($C$19:$C246,$C246,$G$19:$G246),"")</f>
        <v>29187.3199999987</v>
      </c>
      <c r="I246" s="144"/>
      <c r="J246" s="144"/>
      <c r="K246" s="22">
        <f t="shared" si="3"/>
        <v>202608</v>
      </c>
      <c r="L246" s="40"/>
      <c r="M246"/>
      <c r="N246"/>
      <c r="O246"/>
      <c r="P246"/>
      <c r="Q246"/>
      <c r="R246"/>
      <c r="S246"/>
      <c r="T246"/>
      <c r="U246"/>
      <c r="V246"/>
      <c r="W246" s="41"/>
      <c r="X246" s="41"/>
      <c r="Y246" s="41"/>
    </row>
    <row r="247" s="27" customFormat="1" ht="23" hidden="1" customHeight="1" spans="1:25">
      <c r="A247" s="133">
        <f>IF(B247="","",COUNTA($B$5:B247))</f>
        <v>243</v>
      </c>
      <c r="B247" s="143">
        <v>46258</v>
      </c>
      <c r="C247" s="144" t="s">
        <v>49</v>
      </c>
      <c r="D247" s="145"/>
      <c r="E247" s="146" t="s">
        <v>185</v>
      </c>
      <c r="F247" s="139">
        <v>4677.45</v>
      </c>
      <c r="G247" s="139"/>
      <c r="H247" s="142">
        <f>IFERROR(VLOOKUP($C247,$C$5:$H$18,6,0)+SUMIF($C$19:$C247,$C247,$F$19:$F247)-SUMIF($C$19:$C247,$C247,$G$19:$G247),"")</f>
        <v>33864.7699999986</v>
      </c>
      <c r="I247" s="144"/>
      <c r="J247" s="144"/>
      <c r="K247" s="22">
        <f t="shared" si="3"/>
        <v>202608</v>
      </c>
      <c r="L247" s="40"/>
      <c r="M247"/>
      <c r="N247"/>
      <c r="O247"/>
      <c r="P247"/>
      <c r="Q247"/>
      <c r="R247"/>
      <c r="S247"/>
      <c r="T247"/>
      <c r="U247"/>
      <c r="V247"/>
      <c r="W247" s="41"/>
      <c r="X247" s="41"/>
      <c r="Y247" s="41"/>
    </row>
    <row r="248" s="27" customFormat="1" ht="23" hidden="1" customHeight="1" spans="1:25">
      <c r="A248" s="133">
        <f>IF(B248="","",COUNTA($B$5:B248))</f>
        <v>244</v>
      </c>
      <c r="B248" s="143">
        <v>46258</v>
      </c>
      <c r="C248" s="144" t="s">
        <v>49</v>
      </c>
      <c r="D248" s="145"/>
      <c r="E248" s="146" t="s">
        <v>158</v>
      </c>
      <c r="F248" s="139">
        <v>43.07</v>
      </c>
      <c r="G248" s="139"/>
      <c r="H248" s="142">
        <f>IFERROR(VLOOKUP($C248,$C$5:$H$18,6,0)+SUMIF($C$19:$C248,$C248,$F$19:$F248)-SUMIF($C$19:$C248,$C248,$G$19:$G248),"")</f>
        <v>33907.8399999987</v>
      </c>
      <c r="I248" s="144"/>
      <c r="J248" s="144"/>
      <c r="K248" s="22">
        <f t="shared" si="3"/>
        <v>202608</v>
      </c>
      <c r="L248" s="40"/>
      <c r="M248"/>
      <c r="N248"/>
      <c r="O248"/>
      <c r="P248"/>
      <c r="Q248"/>
      <c r="R248"/>
      <c r="S248"/>
      <c r="T248"/>
      <c r="U248"/>
      <c r="V248"/>
      <c r="W248" s="41"/>
      <c r="X248" s="41"/>
      <c r="Y248" s="41"/>
    </row>
    <row r="249" s="27" customFormat="1" ht="23" hidden="1" customHeight="1" spans="1:25">
      <c r="A249" s="133">
        <f>IF(B249="","",COUNTA($B$5:B249))</f>
        <v>245</v>
      </c>
      <c r="B249" s="143">
        <v>46258</v>
      </c>
      <c r="C249" s="144" t="s">
        <v>49</v>
      </c>
      <c r="D249" s="145"/>
      <c r="E249" s="146" t="s">
        <v>186</v>
      </c>
      <c r="F249" s="139">
        <v>609.31</v>
      </c>
      <c r="G249" s="139"/>
      <c r="H249" s="142">
        <f>IFERROR(VLOOKUP($C249,$C$5:$H$18,6,0)+SUMIF($C$19:$C249,$C249,$F$19:$F249)-SUMIF($C$19:$C249,$C249,$G$19:$G249),"")</f>
        <v>34517.1499999987</v>
      </c>
      <c r="I249" s="144"/>
      <c r="J249" s="144"/>
      <c r="K249" s="22">
        <f t="shared" si="3"/>
        <v>202608</v>
      </c>
      <c r="L249" s="40"/>
      <c r="M249"/>
      <c r="N249"/>
      <c r="O249"/>
      <c r="P249"/>
      <c r="Q249"/>
      <c r="R249"/>
      <c r="S249"/>
      <c r="T249"/>
      <c r="U249"/>
      <c r="V249"/>
      <c r="W249" s="41"/>
      <c r="X249" s="41"/>
      <c r="Y249" s="41"/>
    </row>
    <row r="250" s="27" customFormat="1" ht="23" hidden="1" customHeight="1" spans="1:25">
      <c r="A250" s="133">
        <f>IF(B250="","",COUNTA($B$5:B250))</f>
        <v>246</v>
      </c>
      <c r="B250" s="143">
        <v>46259</v>
      </c>
      <c r="C250" s="144" t="s">
        <v>49</v>
      </c>
      <c r="D250" s="145"/>
      <c r="E250" s="146" t="s">
        <v>187</v>
      </c>
      <c r="F250" s="139">
        <v>4319.14</v>
      </c>
      <c r="G250" s="139"/>
      <c r="H250" s="142">
        <f>IFERROR(VLOOKUP($C250,$C$5:$H$18,6,0)+SUMIF($C$19:$C250,$C250,$F$19:$F250)-SUMIF($C$19:$C250,$C250,$G$19:$G250),"")</f>
        <v>38836.2899999986</v>
      </c>
      <c r="I250" s="144"/>
      <c r="J250" s="144"/>
      <c r="K250" s="22">
        <f t="shared" si="3"/>
        <v>202608</v>
      </c>
      <c r="L250" s="40"/>
      <c r="M250"/>
      <c r="N250"/>
      <c r="O250"/>
      <c r="P250"/>
      <c r="Q250"/>
      <c r="R250"/>
      <c r="S250"/>
      <c r="T250"/>
      <c r="U250"/>
      <c r="V250"/>
      <c r="W250" s="41"/>
      <c r="X250" s="41"/>
      <c r="Y250" s="41"/>
    </row>
    <row r="251" s="27" customFormat="1" ht="23" hidden="1" customHeight="1" spans="1:25">
      <c r="A251" s="133">
        <f>IF(B251="","",COUNTA($B$5:B251))</f>
        <v>247</v>
      </c>
      <c r="B251" s="143">
        <v>46259</v>
      </c>
      <c r="C251" s="144" t="s">
        <v>49</v>
      </c>
      <c r="D251" s="145"/>
      <c r="E251" s="146" t="s">
        <v>158</v>
      </c>
      <c r="F251" s="139">
        <v>42.66</v>
      </c>
      <c r="G251" s="139"/>
      <c r="H251" s="142">
        <f>IFERROR(VLOOKUP($C251,$C$5:$H$18,6,0)+SUMIF($C$19:$C251,$C251,$F$19:$F251)-SUMIF($C$19:$C251,$C251,$G$19:$G251),"")</f>
        <v>38878.9499999986</v>
      </c>
      <c r="I251" s="144"/>
      <c r="J251" s="144"/>
      <c r="K251" s="22">
        <f t="shared" si="3"/>
        <v>202608</v>
      </c>
      <c r="L251" s="40"/>
      <c r="M251"/>
      <c r="N251"/>
      <c r="O251"/>
      <c r="P251"/>
      <c r="Q251"/>
      <c r="R251"/>
      <c r="S251"/>
      <c r="T251"/>
      <c r="U251"/>
      <c r="V251"/>
      <c r="W251" s="41"/>
      <c r="X251" s="41"/>
      <c r="Y251" s="41"/>
    </row>
    <row r="252" s="27" customFormat="1" ht="23" hidden="1" customHeight="1" spans="1:25">
      <c r="A252" s="133">
        <f>IF(B252="","",COUNTA($B$5:B252))</f>
        <v>248</v>
      </c>
      <c r="B252" s="143">
        <v>46259</v>
      </c>
      <c r="C252" s="144" t="s">
        <v>49</v>
      </c>
      <c r="D252" s="145" t="s">
        <v>41</v>
      </c>
      <c r="E252" s="146" t="s">
        <v>142</v>
      </c>
      <c r="F252" s="139"/>
      <c r="G252" s="139">
        <v>35000</v>
      </c>
      <c r="H252" s="142">
        <f>IFERROR(VLOOKUP($C252,$C$5:$H$18,6,0)+SUMIF($C$19:$C252,$C252,$F$19:$F252)-SUMIF($C$19:$C252,$C252,$G$19:$G252),"")</f>
        <v>3878.94999999856</v>
      </c>
      <c r="I252" s="144"/>
      <c r="J252" s="144" t="s">
        <v>48</v>
      </c>
      <c r="K252" s="22">
        <f t="shared" si="3"/>
        <v>202608</v>
      </c>
      <c r="L252" s="40"/>
      <c r="M252"/>
      <c r="N252"/>
      <c r="O252"/>
      <c r="P252"/>
      <c r="Q252"/>
      <c r="R252"/>
      <c r="S252"/>
      <c r="T252"/>
      <c r="U252"/>
      <c r="V252"/>
      <c r="W252" s="41"/>
      <c r="X252" s="41"/>
      <c r="Y252" s="41"/>
    </row>
    <row r="253" s="27" customFormat="1" ht="23" hidden="1" customHeight="1" spans="1:25">
      <c r="A253" s="133">
        <f>IF(B253="","",COUNTA($B$5:B253))</f>
        <v>249</v>
      </c>
      <c r="B253" s="143">
        <v>46259</v>
      </c>
      <c r="C253" s="144" t="s">
        <v>49</v>
      </c>
      <c r="D253" s="145" t="s">
        <v>77</v>
      </c>
      <c r="E253" s="146" t="s">
        <v>122</v>
      </c>
      <c r="F253" s="139"/>
      <c r="G253" s="139">
        <v>9</v>
      </c>
      <c r="H253" s="142">
        <f>IFERROR(VLOOKUP($C253,$C$5:$H$18,6,0)+SUMIF($C$19:$C253,$C253,$F$19:$F253)-SUMIF($C$19:$C253,$C253,$G$19:$G253),"")</f>
        <v>3869.94999999856</v>
      </c>
      <c r="I253" s="144"/>
      <c r="J253" s="144"/>
      <c r="K253" s="22">
        <f t="shared" si="3"/>
        <v>202608</v>
      </c>
      <c r="L253" s="40"/>
      <c r="M253"/>
      <c r="N253"/>
      <c r="O253"/>
      <c r="P253"/>
      <c r="Q253"/>
      <c r="R253"/>
      <c r="S253"/>
      <c r="T253"/>
      <c r="U253"/>
      <c r="V253"/>
      <c r="W253" s="41"/>
      <c r="X253" s="41"/>
      <c r="Y253" s="41"/>
    </row>
    <row r="254" s="27" customFormat="1" ht="23" hidden="1" customHeight="1" spans="1:25">
      <c r="A254" s="133">
        <f>IF(B254="","",COUNTA($B$5:B254))</f>
        <v>250</v>
      </c>
      <c r="B254" s="143">
        <v>46259</v>
      </c>
      <c r="C254" s="144" t="s">
        <v>49</v>
      </c>
      <c r="D254" s="145"/>
      <c r="E254" s="146" t="s">
        <v>188</v>
      </c>
      <c r="F254" s="139">
        <v>436.06</v>
      </c>
      <c r="G254" s="139"/>
      <c r="H254" s="142">
        <f>IFERROR(VLOOKUP($C254,$C$5:$H$18,6,0)+SUMIF($C$19:$C254,$C254,$F$19:$F254)-SUMIF($C$19:$C254,$C254,$G$19:$G254),"")</f>
        <v>4306.00999999861</v>
      </c>
      <c r="I254" s="144"/>
      <c r="J254" s="144"/>
      <c r="K254" s="22">
        <f t="shared" si="3"/>
        <v>202608</v>
      </c>
      <c r="L254" s="40"/>
      <c r="M254"/>
      <c r="N254"/>
      <c r="O254"/>
      <c r="P254"/>
      <c r="Q254"/>
      <c r="R254"/>
      <c r="S254"/>
      <c r="T254"/>
      <c r="U254"/>
      <c r="V254"/>
      <c r="W254" s="41"/>
      <c r="X254" s="41"/>
      <c r="Y254" s="41"/>
    </row>
    <row r="255" s="27" customFormat="1" ht="23" hidden="1" customHeight="1" spans="1:25">
      <c r="A255" s="133">
        <f>IF(B255="","",COUNTA($B$5:B255))</f>
        <v>251</v>
      </c>
      <c r="B255" s="143">
        <v>46260</v>
      </c>
      <c r="C255" s="144" t="s">
        <v>49</v>
      </c>
      <c r="D255" s="145"/>
      <c r="E255" s="146" t="s">
        <v>189</v>
      </c>
      <c r="F255" s="139">
        <v>4855.99</v>
      </c>
      <c r="G255" s="139"/>
      <c r="H255" s="142">
        <f>IFERROR(VLOOKUP($C255,$C$5:$H$18,6,0)+SUMIF($C$19:$C255,$C255,$F$19:$F255)-SUMIF($C$19:$C255,$C255,$G$19:$G255),"")</f>
        <v>9161.9999999986</v>
      </c>
      <c r="I255" s="144"/>
      <c r="J255" s="144"/>
      <c r="K255" s="22">
        <f t="shared" si="3"/>
        <v>202608</v>
      </c>
      <c r="L255" s="40"/>
      <c r="M255"/>
      <c r="N255"/>
      <c r="O255"/>
      <c r="P255"/>
      <c r="Q255"/>
      <c r="R255"/>
      <c r="S255"/>
      <c r="T255"/>
      <c r="U255"/>
      <c r="V255"/>
      <c r="W255" s="41"/>
      <c r="X255" s="41"/>
      <c r="Y255" s="41"/>
    </row>
    <row r="256" s="27" customFormat="1" ht="23" hidden="1" customHeight="1" spans="1:25">
      <c r="A256" s="133">
        <f>IF(B256="","",COUNTA($B$5:B256))</f>
        <v>252</v>
      </c>
      <c r="B256" s="143">
        <v>46260</v>
      </c>
      <c r="C256" s="144" t="s">
        <v>49</v>
      </c>
      <c r="D256" s="145"/>
      <c r="E256" s="146" t="s">
        <v>130</v>
      </c>
      <c r="F256" s="139">
        <v>113.87</v>
      </c>
      <c r="G256" s="139"/>
      <c r="H256" s="142">
        <f>IFERROR(VLOOKUP($C256,$C$5:$H$18,6,0)+SUMIF($C$19:$C256,$C256,$F$19:$F256)-SUMIF($C$19:$C256,$C256,$G$19:$G256),"")</f>
        <v>9275.86999999871</v>
      </c>
      <c r="I256" s="144"/>
      <c r="J256" s="144"/>
      <c r="K256" s="22">
        <f t="shared" si="3"/>
        <v>202608</v>
      </c>
      <c r="L256" s="40"/>
      <c r="M256"/>
      <c r="N256"/>
      <c r="O256"/>
      <c r="P256"/>
      <c r="Q256"/>
      <c r="R256"/>
      <c r="S256"/>
      <c r="T256"/>
      <c r="U256"/>
      <c r="V256"/>
      <c r="W256" s="41"/>
      <c r="X256" s="41"/>
      <c r="Y256" s="41"/>
    </row>
    <row r="257" s="27" customFormat="1" ht="23" hidden="1" customHeight="1" spans="1:25">
      <c r="A257" s="133">
        <f>IF(B257="","",COUNTA($B$5:B257))</f>
        <v>253</v>
      </c>
      <c r="B257" s="143">
        <v>46260</v>
      </c>
      <c r="C257" s="144" t="s">
        <v>49</v>
      </c>
      <c r="D257" s="145"/>
      <c r="E257" s="146" t="s">
        <v>158</v>
      </c>
      <c r="F257" s="139">
        <v>51.02</v>
      </c>
      <c r="G257" s="139"/>
      <c r="H257" s="142">
        <f>IFERROR(VLOOKUP($C257,$C$5:$H$18,6,0)+SUMIF($C$19:$C257,$C257,$F$19:$F257)-SUMIF($C$19:$C257,$C257,$G$19:$G257),"")</f>
        <v>9326.88999999873</v>
      </c>
      <c r="I257" s="144"/>
      <c r="J257" s="144"/>
      <c r="K257" s="22">
        <f t="shared" si="3"/>
        <v>202608</v>
      </c>
      <c r="L257" s="40"/>
      <c r="M257"/>
      <c r="N257"/>
      <c r="O257"/>
      <c r="P257"/>
      <c r="Q257"/>
      <c r="R257"/>
      <c r="S257"/>
      <c r="T257"/>
      <c r="U257"/>
      <c r="V257"/>
      <c r="W257" s="41"/>
      <c r="X257" s="41"/>
      <c r="Y257" s="41"/>
    </row>
    <row r="258" s="27" customFormat="1" ht="23" hidden="1" customHeight="1" spans="1:25">
      <c r="A258" s="133">
        <f>IF(B258="","",COUNTA($B$5:B258))</f>
        <v>254</v>
      </c>
      <c r="B258" s="143">
        <v>46260</v>
      </c>
      <c r="C258" s="144" t="s">
        <v>49</v>
      </c>
      <c r="D258" s="145"/>
      <c r="E258" s="146" t="s">
        <v>190</v>
      </c>
      <c r="F258" s="139">
        <v>275.72</v>
      </c>
      <c r="G258" s="139"/>
      <c r="H258" s="142">
        <f>IFERROR(VLOOKUP($C258,$C$5:$H$18,6,0)+SUMIF($C$19:$C258,$C258,$F$19:$F258)-SUMIF($C$19:$C258,$C258,$G$19:$G258),"")</f>
        <v>9602.60999999871</v>
      </c>
      <c r="I258" s="144"/>
      <c r="J258" s="144"/>
      <c r="K258" s="22">
        <f t="shared" si="3"/>
        <v>202608</v>
      </c>
      <c r="L258" s="40"/>
      <c r="M258"/>
      <c r="N258"/>
      <c r="O258"/>
      <c r="P258"/>
      <c r="Q258"/>
      <c r="R258"/>
      <c r="S258"/>
      <c r="T258"/>
      <c r="U258"/>
      <c r="V258"/>
      <c r="W258" s="41"/>
      <c r="X258" s="41"/>
      <c r="Y258" s="41"/>
    </row>
    <row r="259" s="27" customFormat="1" ht="23" hidden="1" customHeight="1" spans="1:25">
      <c r="A259" s="133">
        <f>IF(B259="","",COUNTA($B$5:B259))</f>
        <v>255</v>
      </c>
      <c r="B259" s="143">
        <v>46261</v>
      </c>
      <c r="C259" s="144" t="s">
        <v>49</v>
      </c>
      <c r="D259" s="145"/>
      <c r="E259" s="146" t="s">
        <v>191</v>
      </c>
      <c r="F259" s="139">
        <v>3930.75</v>
      </c>
      <c r="G259" s="139"/>
      <c r="H259" s="142">
        <f>IFERROR(VLOOKUP($C259,$C$5:$H$18,6,0)+SUMIF($C$19:$C259,$C259,$F$19:$F259)-SUMIF($C$19:$C259,$C259,$G$19:$G259),"")</f>
        <v>13533.3599999987</v>
      </c>
      <c r="I259" s="144"/>
      <c r="J259" s="144"/>
      <c r="K259" s="22">
        <f t="shared" si="3"/>
        <v>202608</v>
      </c>
      <c r="L259" s="40"/>
      <c r="M259"/>
      <c r="N259"/>
      <c r="O259"/>
      <c r="P259"/>
      <c r="Q259"/>
      <c r="R259"/>
      <c r="S259"/>
      <c r="T259"/>
      <c r="U259"/>
      <c r="V259"/>
      <c r="W259" s="41"/>
      <c r="X259" s="41"/>
      <c r="Y259" s="41"/>
    </row>
    <row r="260" s="27" customFormat="1" ht="23" hidden="1" customHeight="1" spans="1:25">
      <c r="A260" s="133">
        <f>IF(B260="","",COUNTA($B$5:B260))</f>
        <v>256</v>
      </c>
      <c r="B260" s="143">
        <v>46261</v>
      </c>
      <c r="C260" s="144" t="s">
        <v>49</v>
      </c>
      <c r="D260" s="145"/>
      <c r="E260" s="146" t="s">
        <v>130</v>
      </c>
      <c r="F260" s="139">
        <v>380.61</v>
      </c>
      <c r="G260" s="139"/>
      <c r="H260" s="142">
        <f>IFERROR(VLOOKUP($C260,$C$5:$H$18,6,0)+SUMIF($C$19:$C260,$C260,$F$19:$F260)-SUMIF($C$19:$C260,$C260,$G$19:$G260),"")</f>
        <v>13913.9699999988</v>
      </c>
      <c r="I260" s="144"/>
      <c r="J260" s="144"/>
      <c r="K260" s="22">
        <f t="shared" si="3"/>
        <v>202608</v>
      </c>
      <c r="L260" s="40"/>
      <c r="M260"/>
      <c r="N260"/>
      <c r="O260"/>
      <c r="P260"/>
      <c r="Q260"/>
      <c r="R260"/>
      <c r="S260"/>
      <c r="T260"/>
      <c r="U260"/>
      <c r="V260"/>
      <c r="W260" s="41"/>
      <c r="X260" s="41"/>
      <c r="Y260" s="41"/>
    </row>
    <row r="261" s="27" customFormat="1" ht="23" hidden="1" customHeight="1" spans="1:25">
      <c r="A261" s="133">
        <f>IF(B261="","",COUNTA($B$5:B261))</f>
        <v>257</v>
      </c>
      <c r="B261" s="143">
        <v>46261</v>
      </c>
      <c r="C261" s="144" t="s">
        <v>49</v>
      </c>
      <c r="D261" s="145"/>
      <c r="E261" s="146" t="s">
        <v>158</v>
      </c>
      <c r="F261" s="139">
        <v>80.35</v>
      </c>
      <c r="G261" s="139"/>
      <c r="H261" s="142">
        <f>IFERROR(VLOOKUP($C261,$C$5:$H$18,6,0)+SUMIF($C$19:$C261,$C261,$F$19:$F261)-SUMIF($C$19:$C261,$C261,$G$19:$G261),"")</f>
        <v>13994.3199999989</v>
      </c>
      <c r="I261" s="144"/>
      <c r="J261" s="144"/>
      <c r="K261" s="22">
        <f t="shared" ref="K261:K324" si="4">IF($B261="","",--TEXT($B261,"yyyymm"))</f>
        <v>202608</v>
      </c>
      <c r="L261" s="40"/>
      <c r="M261"/>
      <c r="N261"/>
      <c r="O261"/>
      <c r="P261"/>
      <c r="Q261"/>
      <c r="R261"/>
      <c r="S261"/>
      <c r="T261"/>
      <c r="U261"/>
      <c r="V261"/>
      <c r="W261" s="41"/>
      <c r="X261" s="41"/>
      <c r="Y261" s="41"/>
    </row>
    <row r="262" s="27" customFormat="1" ht="23" hidden="1" customHeight="1" spans="1:25">
      <c r="A262" s="133">
        <f>IF(B262="","",COUNTA($B$5:B262))</f>
        <v>258</v>
      </c>
      <c r="B262" s="143">
        <v>46261</v>
      </c>
      <c r="C262" s="144" t="s">
        <v>49</v>
      </c>
      <c r="D262" s="145"/>
      <c r="E262" s="146" t="s">
        <v>192</v>
      </c>
      <c r="F262" s="139">
        <v>473.82</v>
      </c>
      <c r="G262" s="139"/>
      <c r="H262" s="142">
        <f>IFERROR(VLOOKUP($C262,$C$5:$H$18,6,0)+SUMIF($C$19:$C262,$C262,$F$19:$F262)-SUMIF($C$19:$C262,$C262,$G$19:$G262),"")</f>
        <v>14468.139999999</v>
      </c>
      <c r="I262" s="144"/>
      <c r="J262" s="144"/>
      <c r="K262" s="22">
        <f t="shared" si="4"/>
        <v>202608</v>
      </c>
      <c r="L262" s="40"/>
      <c r="M262"/>
      <c r="N262"/>
      <c r="O262"/>
      <c r="P262"/>
      <c r="Q262"/>
      <c r="R262"/>
      <c r="S262"/>
      <c r="T262"/>
      <c r="U262"/>
      <c r="V262"/>
      <c r="W262" s="41"/>
      <c r="X262" s="41"/>
      <c r="Y262" s="41"/>
    </row>
    <row r="263" s="27" customFormat="1" ht="23" hidden="1" customHeight="1" spans="1:25">
      <c r="A263" s="133">
        <f>IF(B263="","",COUNTA($B$5:B263))</f>
        <v>259</v>
      </c>
      <c r="B263" s="143">
        <v>46261</v>
      </c>
      <c r="C263" s="144" t="s">
        <v>49</v>
      </c>
      <c r="D263" s="145" t="s">
        <v>83</v>
      </c>
      <c r="E263" s="146" t="s">
        <v>193</v>
      </c>
      <c r="F263" s="139"/>
      <c r="G263" s="139">
        <v>10500</v>
      </c>
      <c r="H263" s="142">
        <f>IFERROR(VLOOKUP($C263,$C$5:$H$18,6,0)+SUMIF($C$19:$C263,$C263,$F$19:$F263)-SUMIF($C$19:$C263,$C263,$G$19:$G263),"")</f>
        <v>3968.13999999897</v>
      </c>
      <c r="I263" s="144"/>
      <c r="J263" s="144" t="s">
        <v>58</v>
      </c>
      <c r="K263" s="22">
        <f t="shared" si="4"/>
        <v>202608</v>
      </c>
      <c r="L263" s="40"/>
      <c r="M263"/>
      <c r="N263"/>
      <c r="O263"/>
      <c r="P263"/>
      <c r="Q263"/>
      <c r="R263"/>
      <c r="S263"/>
      <c r="T263"/>
      <c r="U263"/>
      <c r="V263"/>
      <c r="W263" s="41"/>
      <c r="X263" s="41"/>
      <c r="Y263" s="41"/>
    </row>
    <row r="264" s="27" customFormat="1" ht="23" hidden="1" customHeight="1" spans="1:25">
      <c r="A264" s="133">
        <f>IF(B264="","",COUNTA($B$5:B264))</f>
        <v>260</v>
      </c>
      <c r="B264" s="143">
        <v>46261</v>
      </c>
      <c r="C264" s="144" t="s">
        <v>49</v>
      </c>
      <c r="D264" s="145" t="s">
        <v>77</v>
      </c>
      <c r="E264" s="146" t="s">
        <v>122</v>
      </c>
      <c r="F264" s="139"/>
      <c r="G264" s="139">
        <v>9</v>
      </c>
      <c r="H264" s="142">
        <f>IFERROR(VLOOKUP($C264,$C$5:$H$18,6,0)+SUMIF($C$19:$C264,$C264,$F$19:$F264)-SUMIF($C$19:$C264,$C264,$G$19:$G264),"")</f>
        <v>3959.13999999897</v>
      </c>
      <c r="I264" s="144"/>
      <c r="J264" s="144"/>
      <c r="K264" s="22">
        <f t="shared" si="4"/>
        <v>202608</v>
      </c>
      <c r="L264" s="40"/>
      <c r="M264"/>
      <c r="N264"/>
      <c r="O264"/>
      <c r="P264"/>
      <c r="Q264"/>
      <c r="R264"/>
      <c r="S264"/>
      <c r="T264"/>
      <c r="U264"/>
      <c r="V264"/>
      <c r="W264" s="41"/>
      <c r="X264" s="41"/>
      <c r="Y264" s="41"/>
    </row>
    <row r="265" s="27" customFormat="1" ht="23" hidden="1" customHeight="1" spans="1:25">
      <c r="A265" s="133">
        <f>IF(B265="","",COUNTA($B$5:B265))</f>
        <v>261</v>
      </c>
      <c r="B265" s="143">
        <v>46262</v>
      </c>
      <c r="C265" s="144" t="s">
        <v>49</v>
      </c>
      <c r="D265" s="145"/>
      <c r="E265" s="146" t="s">
        <v>194</v>
      </c>
      <c r="F265" s="139">
        <v>4367.64</v>
      </c>
      <c r="G265" s="139"/>
      <c r="H265" s="142">
        <f>IFERROR(VLOOKUP($C265,$C$5:$H$18,6,0)+SUMIF($C$19:$C265,$C265,$F$19:$F265)-SUMIF($C$19:$C265,$C265,$G$19:$G265),"")</f>
        <v>8326.77999999886</v>
      </c>
      <c r="I265" s="144"/>
      <c r="J265" s="144"/>
      <c r="K265" s="22">
        <f t="shared" si="4"/>
        <v>202608</v>
      </c>
      <c r="L265" s="40"/>
      <c r="M265"/>
      <c r="N265"/>
      <c r="O265"/>
      <c r="P265"/>
      <c r="Q265"/>
      <c r="R265"/>
      <c r="S265"/>
      <c r="T265"/>
      <c r="U265"/>
      <c r="V265"/>
      <c r="W265" s="41"/>
      <c r="X265" s="41"/>
      <c r="Y265" s="41"/>
    </row>
    <row r="266" s="27" customFormat="1" ht="23" hidden="1" customHeight="1" spans="1:25">
      <c r="A266" s="133">
        <f>IF(B266="","",COUNTA($B$5:B266))</f>
        <v>262</v>
      </c>
      <c r="B266" s="143">
        <v>46262</v>
      </c>
      <c r="C266" s="144" t="s">
        <v>49</v>
      </c>
      <c r="D266" s="145"/>
      <c r="E266" s="146" t="s">
        <v>130</v>
      </c>
      <c r="F266" s="139">
        <v>303.86</v>
      </c>
      <c r="G266" s="139"/>
      <c r="H266" s="142">
        <f>IFERROR(VLOOKUP($C266,$C$5:$H$18,6,0)+SUMIF($C$19:$C266,$C266,$F$19:$F266)-SUMIF($C$19:$C266,$C266,$G$19:$G266),"")</f>
        <v>8630.63999999897</v>
      </c>
      <c r="I266" s="144"/>
      <c r="J266" s="144"/>
      <c r="K266" s="22">
        <f t="shared" si="4"/>
        <v>202608</v>
      </c>
      <c r="L266" s="40"/>
      <c r="M266"/>
      <c r="N266"/>
      <c r="O266"/>
      <c r="P266"/>
      <c r="Q266"/>
      <c r="R266"/>
      <c r="S266"/>
      <c r="T266"/>
      <c r="U266"/>
      <c r="V266"/>
      <c r="W266" s="41"/>
      <c r="X266" s="41"/>
      <c r="Y266" s="41"/>
    </row>
    <row r="267" s="27" customFormat="1" ht="23" hidden="1" customHeight="1" spans="1:25">
      <c r="A267" s="133">
        <f>IF(B267="","",COUNTA($B$5:B267))</f>
        <v>263</v>
      </c>
      <c r="B267" s="143">
        <v>46262</v>
      </c>
      <c r="C267" s="144" t="s">
        <v>49</v>
      </c>
      <c r="D267" s="145"/>
      <c r="E267" s="146" t="s">
        <v>158</v>
      </c>
      <c r="F267" s="139">
        <v>26.65</v>
      </c>
      <c r="G267" s="139"/>
      <c r="H267" s="142">
        <f>IFERROR(VLOOKUP($C267,$C$5:$H$18,6,0)+SUMIF($C$19:$C267,$C267,$F$19:$F267)-SUMIF($C$19:$C267,$C267,$G$19:$G267),"")</f>
        <v>8657.28999999887</v>
      </c>
      <c r="I267" s="144"/>
      <c r="J267" s="144"/>
      <c r="K267" s="22">
        <f t="shared" si="4"/>
        <v>202608</v>
      </c>
      <c r="L267" s="40"/>
      <c r="M267"/>
      <c r="N267"/>
      <c r="O267"/>
      <c r="P267"/>
      <c r="Q267"/>
      <c r="R267"/>
      <c r="S267"/>
      <c r="T267"/>
      <c r="U267"/>
      <c r="V267"/>
      <c r="W267" s="41"/>
      <c r="X267" s="41"/>
      <c r="Y267" s="41"/>
    </row>
    <row r="268" s="27" customFormat="1" ht="23" hidden="1" customHeight="1" spans="1:25">
      <c r="A268" s="133">
        <f>IF(B268="","",COUNTA($B$5:B268))</f>
        <v>264</v>
      </c>
      <c r="B268" s="143">
        <v>46262</v>
      </c>
      <c r="C268" s="144" t="s">
        <v>49</v>
      </c>
      <c r="D268" s="145"/>
      <c r="E268" s="146" t="s">
        <v>195</v>
      </c>
      <c r="F268" s="139">
        <v>316.88</v>
      </c>
      <c r="G268" s="139"/>
      <c r="H268" s="142">
        <f>IFERROR(VLOOKUP($C268,$C$5:$H$18,6,0)+SUMIF($C$19:$C268,$C268,$F$19:$F268)-SUMIF($C$19:$C268,$C268,$G$19:$G268),"")</f>
        <v>8974.16999999876</v>
      </c>
      <c r="I268" s="144"/>
      <c r="J268" s="144"/>
      <c r="K268" s="22">
        <f t="shared" si="4"/>
        <v>202608</v>
      </c>
      <c r="L268" s="40"/>
      <c r="M268"/>
      <c r="N268"/>
      <c r="O268"/>
      <c r="P268"/>
      <c r="Q268"/>
      <c r="R268"/>
      <c r="S268"/>
      <c r="T268"/>
      <c r="U268"/>
      <c r="V268"/>
      <c r="W268" s="41"/>
      <c r="X268" s="41"/>
      <c r="Y268" s="41"/>
    </row>
    <row r="269" s="27" customFormat="1" ht="23" hidden="1" customHeight="1" spans="1:25">
      <c r="A269" s="133">
        <f>IF(B269="","",COUNTA($B$5:B269))</f>
        <v>265</v>
      </c>
      <c r="B269" s="143">
        <v>46263</v>
      </c>
      <c r="C269" s="144" t="s">
        <v>49</v>
      </c>
      <c r="D269" s="145"/>
      <c r="E269" s="146" t="s">
        <v>196</v>
      </c>
      <c r="F269" s="139">
        <v>4448.56</v>
      </c>
      <c r="G269" s="139"/>
      <c r="H269" s="142">
        <f>IFERROR(VLOOKUP($C269,$C$5:$H$18,6,0)+SUMIF($C$19:$C269,$C269,$F$19:$F269)-SUMIF($C$19:$C269,$C269,$G$19:$G269),"")</f>
        <v>13422.7299999988</v>
      </c>
      <c r="I269" s="144"/>
      <c r="J269" s="144"/>
      <c r="K269" s="22">
        <f t="shared" si="4"/>
        <v>202608</v>
      </c>
      <c r="L269" s="40"/>
      <c r="M269"/>
      <c r="N269"/>
      <c r="O269"/>
      <c r="P269"/>
      <c r="Q269"/>
      <c r="R269"/>
      <c r="S269"/>
      <c r="T269"/>
      <c r="U269"/>
      <c r="V269"/>
      <c r="W269" s="41"/>
      <c r="X269" s="41"/>
      <c r="Y269" s="41"/>
    </row>
    <row r="270" s="27" customFormat="1" ht="23" hidden="1" customHeight="1" spans="1:25">
      <c r="A270" s="133">
        <f>IF(B270="","",COUNTA($B$5:B270))</f>
        <v>266</v>
      </c>
      <c r="B270" s="143">
        <v>46263</v>
      </c>
      <c r="C270" s="144" t="s">
        <v>49</v>
      </c>
      <c r="D270" s="145"/>
      <c r="E270" s="146" t="s">
        <v>130</v>
      </c>
      <c r="F270" s="139">
        <v>1183.06</v>
      </c>
      <c r="G270" s="139"/>
      <c r="H270" s="142">
        <f>IFERROR(VLOOKUP($C270,$C$5:$H$18,6,0)+SUMIF($C$19:$C270,$C270,$F$19:$F270)-SUMIF($C$19:$C270,$C270,$G$19:$G270),"")</f>
        <v>14605.7899999989</v>
      </c>
      <c r="I270" s="144"/>
      <c r="J270" s="144"/>
      <c r="K270" s="22">
        <f t="shared" si="4"/>
        <v>202608</v>
      </c>
      <c r="L270" s="40"/>
      <c r="M270"/>
      <c r="N270"/>
      <c r="O270"/>
      <c r="P270"/>
      <c r="Q270"/>
      <c r="R270"/>
      <c r="S270"/>
      <c r="T270"/>
      <c r="U270"/>
      <c r="V270"/>
      <c r="W270" s="41"/>
      <c r="X270" s="41"/>
      <c r="Y270" s="41"/>
    </row>
    <row r="271" s="27" customFormat="1" ht="23" hidden="1" customHeight="1" spans="1:25">
      <c r="A271" s="133">
        <f>IF(B271="","",COUNTA($B$5:B271))</f>
        <v>267</v>
      </c>
      <c r="B271" s="143">
        <v>46263</v>
      </c>
      <c r="C271" s="144" t="s">
        <v>49</v>
      </c>
      <c r="D271" s="145"/>
      <c r="E271" s="146" t="s">
        <v>158</v>
      </c>
      <c r="F271" s="139">
        <v>31.72</v>
      </c>
      <c r="G271" s="139"/>
      <c r="H271" s="142">
        <f>IFERROR(VLOOKUP($C271,$C$5:$H$18,6,0)+SUMIF($C$19:$C271,$C271,$F$19:$F271)-SUMIF($C$19:$C271,$C271,$G$19:$G271),"")</f>
        <v>14637.5099999988</v>
      </c>
      <c r="I271" s="144"/>
      <c r="J271" s="144"/>
      <c r="K271" s="22">
        <f t="shared" si="4"/>
        <v>202608</v>
      </c>
      <c r="L271" s="40"/>
      <c r="M271"/>
      <c r="N271"/>
      <c r="O271"/>
      <c r="P271"/>
      <c r="Q271"/>
      <c r="R271"/>
      <c r="S271"/>
      <c r="T271"/>
      <c r="U271"/>
      <c r="V271"/>
      <c r="W271" s="41"/>
      <c r="X271" s="41"/>
      <c r="Y271" s="41"/>
    </row>
    <row r="272" s="27" customFormat="1" ht="23" hidden="1" customHeight="1" spans="1:25">
      <c r="A272" s="133">
        <f>IF(B272="","",COUNTA($B$5:B272))</f>
        <v>268</v>
      </c>
      <c r="B272" s="143">
        <v>46263</v>
      </c>
      <c r="C272" s="144" t="s">
        <v>49</v>
      </c>
      <c r="D272" s="145"/>
      <c r="E272" s="146" t="s">
        <v>197</v>
      </c>
      <c r="F272" s="139">
        <v>317.05</v>
      </c>
      <c r="G272" s="139"/>
      <c r="H272" s="142">
        <f>IFERROR(VLOOKUP($C272,$C$5:$H$18,6,0)+SUMIF($C$19:$C272,$C272,$F$19:$F272)-SUMIF($C$19:$C272,$C272,$G$19:$G272),"")</f>
        <v>14954.5599999989</v>
      </c>
      <c r="I272" s="144"/>
      <c r="J272" s="144"/>
      <c r="K272" s="22">
        <f t="shared" si="4"/>
        <v>202608</v>
      </c>
      <c r="L272" s="40"/>
      <c r="M272"/>
      <c r="N272"/>
      <c r="O272"/>
      <c r="P272"/>
      <c r="Q272"/>
      <c r="R272"/>
      <c r="S272"/>
      <c r="T272"/>
      <c r="U272"/>
      <c r="V272"/>
      <c r="W272" s="41"/>
      <c r="X272" s="41"/>
      <c r="Y272" s="41"/>
    </row>
    <row r="273" s="27" customFormat="1" ht="23" hidden="1" customHeight="1" spans="1:25">
      <c r="A273" s="133">
        <f>IF(B273="","",COUNTA($B$5:B273))</f>
        <v>269</v>
      </c>
      <c r="B273" s="143">
        <v>46264</v>
      </c>
      <c r="C273" s="144" t="s">
        <v>49</v>
      </c>
      <c r="D273" s="145"/>
      <c r="E273" s="146" t="s">
        <v>198</v>
      </c>
      <c r="F273" s="139">
        <v>6351.69</v>
      </c>
      <c r="G273" s="139"/>
      <c r="H273" s="142">
        <f>IFERROR(VLOOKUP($C273,$C$5:$H$18,6,0)+SUMIF($C$19:$C273,$C273,$F$19:$F273)-SUMIF($C$19:$C273,$C273,$G$19:$G273),"")</f>
        <v>21306.2499999988</v>
      </c>
      <c r="I273" s="144"/>
      <c r="J273" s="144"/>
      <c r="K273" s="22">
        <f t="shared" si="4"/>
        <v>202608</v>
      </c>
      <c r="L273" s="40"/>
      <c r="M273"/>
      <c r="N273"/>
      <c r="O273"/>
      <c r="P273"/>
      <c r="Q273"/>
      <c r="R273"/>
      <c r="S273"/>
      <c r="T273"/>
      <c r="U273"/>
      <c r="V273"/>
      <c r="W273" s="41"/>
      <c r="X273" s="41"/>
      <c r="Y273" s="41"/>
    </row>
    <row r="274" s="27" customFormat="1" ht="23" hidden="1" customHeight="1" spans="1:25">
      <c r="A274" s="133">
        <f>IF(B274="","",COUNTA($B$5:B274))</f>
        <v>270</v>
      </c>
      <c r="B274" s="143">
        <v>46264</v>
      </c>
      <c r="C274" s="144" t="s">
        <v>49</v>
      </c>
      <c r="D274" s="145"/>
      <c r="E274" s="146" t="s">
        <v>130</v>
      </c>
      <c r="F274" s="139">
        <v>6362.4</v>
      </c>
      <c r="G274" s="139"/>
      <c r="H274" s="142">
        <f>IFERROR(VLOOKUP($C274,$C$5:$H$18,6,0)+SUMIF($C$19:$C274,$C274,$F$19:$F274)-SUMIF($C$19:$C274,$C274,$G$19:$G274),"")</f>
        <v>27668.6499999987</v>
      </c>
      <c r="I274" s="144"/>
      <c r="J274" s="144"/>
      <c r="K274" s="22">
        <f t="shared" si="4"/>
        <v>202608</v>
      </c>
      <c r="L274" s="40"/>
      <c r="M274"/>
      <c r="N274"/>
      <c r="O274"/>
      <c r="P274"/>
      <c r="Q274"/>
      <c r="R274"/>
      <c r="S274"/>
      <c r="T274"/>
      <c r="U274"/>
      <c r="V274"/>
      <c r="W274" s="41"/>
      <c r="X274" s="41"/>
      <c r="Y274" s="41"/>
    </row>
    <row r="275" s="27" customFormat="1" ht="23" hidden="1" customHeight="1" spans="1:25">
      <c r="A275" s="133">
        <f>IF(B275="","",COUNTA($B$5:B275))</f>
        <v>271</v>
      </c>
      <c r="B275" s="143">
        <v>46264</v>
      </c>
      <c r="C275" s="144" t="s">
        <v>49</v>
      </c>
      <c r="D275" s="145"/>
      <c r="E275" s="146" t="s">
        <v>158</v>
      </c>
      <c r="F275" s="139">
        <v>50.13</v>
      </c>
      <c r="G275" s="139"/>
      <c r="H275" s="142">
        <f>IFERROR(VLOOKUP($C275,$C$5:$H$18,6,0)+SUMIF($C$19:$C275,$C275,$F$19:$F275)-SUMIF($C$19:$C275,$C275,$G$19:$G275),"")</f>
        <v>27718.7799999986</v>
      </c>
      <c r="I275" s="144"/>
      <c r="J275" s="144"/>
      <c r="K275" s="22">
        <f t="shared" si="4"/>
        <v>202608</v>
      </c>
      <c r="L275" s="40"/>
      <c r="M275"/>
      <c r="N275"/>
      <c r="O275"/>
      <c r="P275"/>
      <c r="Q275"/>
      <c r="R275"/>
      <c r="S275"/>
      <c r="T275"/>
      <c r="U275"/>
      <c r="V275"/>
      <c r="W275" s="41"/>
      <c r="X275" s="41"/>
      <c r="Y275" s="41"/>
    </row>
    <row r="276" s="27" customFormat="1" ht="23" hidden="1" customHeight="1" spans="1:25">
      <c r="A276" s="133">
        <f>IF(B276="","",COUNTA($B$5:B276))</f>
        <v>272</v>
      </c>
      <c r="B276" s="143">
        <v>46264</v>
      </c>
      <c r="C276" s="144" t="s">
        <v>49</v>
      </c>
      <c r="D276" s="145"/>
      <c r="E276" s="146" t="s">
        <v>199</v>
      </c>
      <c r="F276" s="139">
        <v>324.93</v>
      </c>
      <c r="G276" s="139"/>
      <c r="H276" s="142">
        <f>IFERROR(VLOOKUP($C276,$C$5:$H$18,6,0)+SUMIF($C$19:$C276,$C276,$F$19:$F276)-SUMIF($C$19:$C276,$C276,$G$19:$G276),"")</f>
        <v>28043.7099999986</v>
      </c>
      <c r="I276" s="144"/>
      <c r="J276" s="144"/>
      <c r="K276" s="22">
        <f t="shared" si="4"/>
        <v>202608</v>
      </c>
      <c r="L276" s="40"/>
      <c r="M276"/>
      <c r="N276"/>
      <c r="O276"/>
      <c r="P276"/>
      <c r="Q276"/>
      <c r="R276"/>
      <c r="S276"/>
      <c r="T276"/>
      <c r="U276"/>
      <c r="V276"/>
      <c r="W276" s="41"/>
      <c r="X276" s="41"/>
      <c r="Y276" s="41"/>
    </row>
    <row r="277" s="27" customFormat="1" ht="23" hidden="1" customHeight="1" spans="1:25">
      <c r="A277" s="133">
        <f>IF(B277="","",COUNTA($B$5:B277))</f>
        <v>273</v>
      </c>
      <c r="B277" s="143">
        <v>46264</v>
      </c>
      <c r="C277" s="144" t="s">
        <v>49</v>
      </c>
      <c r="D277" s="145" t="s">
        <v>80</v>
      </c>
      <c r="E277" s="146" t="s">
        <v>127</v>
      </c>
      <c r="F277" s="139"/>
      <c r="G277" s="139">
        <v>13302.48</v>
      </c>
      <c r="H277" s="142">
        <f>IFERROR(VLOOKUP($C277,$C$5:$H$18,6,0)+SUMIF($C$19:$C277,$C277,$F$19:$F277)-SUMIF($C$19:$C277,$C277,$G$19:$G277),"")</f>
        <v>14741.2299999986</v>
      </c>
      <c r="I277" s="144"/>
      <c r="J277" s="144"/>
      <c r="K277" s="22">
        <f t="shared" si="4"/>
        <v>202608</v>
      </c>
      <c r="L277" s="40"/>
      <c r="M277"/>
      <c r="N277"/>
      <c r="O277"/>
      <c r="P277"/>
      <c r="Q277"/>
      <c r="R277"/>
      <c r="S277"/>
      <c r="T277"/>
      <c r="U277"/>
      <c r="V277"/>
      <c r="W277" s="41"/>
      <c r="X277" s="41"/>
      <c r="Y277" s="41"/>
    </row>
    <row r="278" s="27" customFormat="1" ht="23" hidden="1" customHeight="1" spans="1:25">
      <c r="A278" s="133">
        <f>IF(B278="","",COUNTA($B$5:B278))</f>
        <v>274</v>
      </c>
      <c r="B278" s="143">
        <v>46264</v>
      </c>
      <c r="C278" s="144" t="s">
        <v>49</v>
      </c>
      <c r="D278" s="145" t="s">
        <v>80</v>
      </c>
      <c r="E278" s="146" t="s">
        <v>127</v>
      </c>
      <c r="F278" s="139"/>
      <c r="G278" s="139">
        <v>5428.48</v>
      </c>
      <c r="H278" s="142">
        <f>IFERROR(VLOOKUP($C278,$C$5:$H$18,6,0)+SUMIF($C$19:$C278,$C278,$F$19:$F278)-SUMIF($C$19:$C278,$C278,$G$19:$G278),"")</f>
        <v>9312.7499999986</v>
      </c>
      <c r="I278" s="144"/>
      <c r="J278" s="144"/>
      <c r="K278" s="22">
        <f t="shared" si="4"/>
        <v>202608</v>
      </c>
      <c r="L278" s="40"/>
      <c r="M278"/>
      <c r="N278"/>
      <c r="O278"/>
      <c r="P278"/>
      <c r="Q278"/>
      <c r="R278"/>
      <c r="S278"/>
      <c r="T278"/>
      <c r="U278"/>
      <c r="V278"/>
      <c r="W278" s="41"/>
      <c r="X278" s="41"/>
      <c r="Y278" s="41"/>
    </row>
    <row r="279" s="27" customFormat="1" ht="23" hidden="1" customHeight="1" spans="1:25">
      <c r="A279" s="133">
        <f>IF(B279="","",COUNTA($B$5:B279))</f>
        <v>275</v>
      </c>
      <c r="B279" s="143">
        <v>46265</v>
      </c>
      <c r="C279" s="144" t="s">
        <v>49</v>
      </c>
      <c r="D279" s="145"/>
      <c r="E279" s="146" t="s">
        <v>200</v>
      </c>
      <c r="F279" s="139">
        <v>7334.19</v>
      </c>
      <c r="G279" s="139"/>
      <c r="H279" s="142">
        <f>IFERROR(VLOOKUP($C279,$C$5:$H$18,6,0)+SUMIF($C$19:$C279,$C279,$F$19:$F279)-SUMIF($C$19:$C279,$C279,$G$19:$G279),"")</f>
        <v>16646.9399999985</v>
      </c>
      <c r="I279" s="144"/>
      <c r="J279" s="144"/>
      <c r="K279" s="22">
        <f t="shared" si="4"/>
        <v>202608</v>
      </c>
      <c r="L279" s="40"/>
      <c r="M279"/>
      <c r="N279"/>
      <c r="O279"/>
      <c r="P279"/>
      <c r="Q279"/>
      <c r="R279"/>
      <c r="S279"/>
      <c r="T279"/>
      <c r="U279"/>
      <c r="V279"/>
      <c r="W279" s="41"/>
      <c r="X279" s="41"/>
      <c r="Y279" s="41"/>
    </row>
    <row r="280" s="27" customFormat="1" ht="23" hidden="1" customHeight="1" spans="1:25">
      <c r="A280" s="133">
        <f>IF(B280="","",COUNTA($B$5:B280))</f>
        <v>276</v>
      </c>
      <c r="B280" s="143">
        <v>46265</v>
      </c>
      <c r="C280" s="144" t="s">
        <v>49</v>
      </c>
      <c r="D280" s="145"/>
      <c r="E280" s="146" t="s">
        <v>130</v>
      </c>
      <c r="F280" s="139">
        <v>8157.4</v>
      </c>
      <c r="G280" s="139"/>
      <c r="H280" s="142">
        <f>IFERROR(VLOOKUP($C280,$C$5:$H$18,6,0)+SUMIF($C$19:$C280,$C280,$F$19:$F280)-SUMIF($C$19:$C280,$C280,$G$19:$G280),"")</f>
        <v>24804.3399999985</v>
      </c>
      <c r="I280" s="144"/>
      <c r="J280" s="144"/>
      <c r="K280" s="22">
        <f t="shared" si="4"/>
        <v>202608</v>
      </c>
      <c r="L280" s="40"/>
      <c r="M280"/>
      <c r="N280"/>
      <c r="O280"/>
      <c r="P280"/>
      <c r="Q280"/>
      <c r="R280"/>
      <c r="S280"/>
      <c r="T280"/>
      <c r="U280"/>
      <c r="V280"/>
      <c r="W280" s="41"/>
      <c r="X280" s="41"/>
      <c r="Y280" s="41"/>
    </row>
    <row r="281" s="27" customFormat="1" ht="23" hidden="1" customHeight="1" spans="1:25">
      <c r="A281" s="133">
        <f>IF(B281="","",COUNTA($B$5:B281))</f>
        <v>277</v>
      </c>
      <c r="B281" s="143">
        <v>46265</v>
      </c>
      <c r="C281" s="144" t="s">
        <v>49</v>
      </c>
      <c r="D281" s="145"/>
      <c r="E281" s="146" t="s">
        <v>158</v>
      </c>
      <c r="F281" s="139">
        <v>29.53</v>
      </c>
      <c r="G281" s="139"/>
      <c r="H281" s="142">
        <f>IFERROR(VLOOKUP($C281,$C$5:$H$18,6,0)+SUMIF($C$19:$C281,$C281,$F$19:$F281)-SUMIF($C$19:$C281,$C281,$G$19:$G281),"")</f>
        <v>24833.8699999985</v>
      </c>
      <c r="I281" s="144"/>
      <c r="J281" s="144"/>
      <c r="K281" s="22">
        <f t="shared" si="4"/>
        <v>202608</v>
      </c>
      <c r="L281" s="40"/>
      <c r="M281"/>
      <c r="N281"/>
      <c r="O281"/>
      <c r="P281"/>
      <c r="Q281"/>
      <c r="R281"/>
      <c r="S281"/>
      <c r="T281"/>
      <c r="U281"/>
      <c r="V281"/>
      <c r="W281" s="41"/>
      <c r="X281" s="41"/>
      <c r="Y281" s="41"/>
    </row>
    <row r="282" s="27" customFormat="1" ht="23" hidden="1" customHeight="1" spans="1:25">
      <c r="A282" s="133">
        <f>IF(B282="","",COUNTA($B$5:B282))</f>
        <v>278</v>
      </c>
      <c r="B282" s="143">
        <v>46265</v>
      </c>
      <c r="C282" s="144" t="s">
        <v>49</v>
      </c>
      <c r="D282" s="145"/>
      <c r="E282" s="146" t="s">
        <v>201</v>
      </c>
      <c r="F282" s="139">
        <v>685.39</v>
      </c>
      <c r="G282" s="139"/>
      <c r="H282" s="142">
        <f>IFERROR(VLOOKUP($C282,$C$5:$H$18,6,0)+SUMIF($C$19:$C282,$C282,$F$19:$F282)-SUMIF($C$19:$C282,$C282,$G$19:$G282),"")</f>
        <v>25519.2599999984</v>
      </c>
      <c r="I282" s="144"/>
      <c r="J282" s="144"/>
      <c r="K282" s="22">
        <f t="shared" si="4"/>
        <v>202608</v>
      </c>
      <c r="L282" s="40"/>
      <c r="M282"/>
      <c r="N282"/>
      <c r="O282"/>
      <c r="P282"/>
      <c r="Q282"/>
      <c r="R282"/>
      <c r="S282"/>
      <c r="T282"/>
      <c r="U282"/>
      <c r="V282"/>
      <c r="W282" s="41"/>
      <c r="X282" s="41"/>
      <c r="Y282" s="41"/>
    </row>
    <row r="283" s="27" customFormat="1" ht="23" hidden="1" customHeight="1" spans="1:25">
      <c r="A283" s="133">
        <f>IF(B283="","",COUNTA($B$5:B283))</f>
        <v>279</v>
      </c>
      <c r="B283" s="143">
        <v>46266</v>
      </c>
      <c r="C283" s="144" t="s">
        <v>49</v>
      </c>
      <c r="D283" s="145"/>
      <c r="E283" s="146" t="s">
        <v>202</v>
      </c>
      <c r="F283" s="139">
        <v>7335.79</v>
      </c>
      <c r="G283" s="139" t="s">
        <v>203</v>
      </c>
      <c r="H283" s="142">
        <f>IFERROR(VLOOKUP($C283,$C$5:$H$18,6,0)+SUMIF($C$19:$C283,$C283,$F$19:$F283)-SUMIF($C$19:$C283,$C283,$G$19:$G283),"")</f>
        <v>32855.0499999984</v>
      </c>
      <c r="I283" s="144"/>
      <c r="J283" s="144"/>
      <c r="K283" s="22">
        <f t="shared" si="4"/>
        <v>202609</v>
      </c>
      <c r="L283" s="40"/>
      <c r="M283"/>
      <c r="N283"/>
      <c r="O283"/>
      <c r="P283"/>
      <c r="Q283"/>
      <c r="R283"/>
      <c r="S283"/>
      <c r="T283"/>
      <c r="U283"/>
      <c r="V283"/>
      <c r="W283" s="41"/>
      <c r="X283" s="41"/>
      <c r="Y283" s="41"/>
    </row>
    <row r="284" s="27" customFormat="1" ht="23" hidden="1" customHeight="1" spans="1:25">
      <c r="A284" s="133">
        <f>IF(B284="","",COUNTA($B$5:B284))</f>
        <v>280</v>
      </c>
      <c r="B284" s="143">
        <v>46266</v>
      </c>
      <c r="C284" s="144" t="s">
        <v>49</v>
      </c>
      <c r="D284" s="145"/>
      <c r="E284" s="146" t="s">
        <v>130</v>
      </c>
      <c r="F284" s="139">
        <v>6787.71</v>
      </c>
      <c r="G284" s="139" t="s">
        <v>203</v>
      </c>
      <c r="H284" s="142">
        <f>IFERROR(VLOOKUP($C284,$C$5:$H$18,6,0)+SUMIF($C$19:$C284,$C284,$F$19:$F284)-SUMIF($C$19:$C284,$C284,$G$19:$G284),"")</f>
        <v>39642.7599999984</v>
      </c>
      <c r="I284" s="144"/>
      <c r="J284" s="144"/>
      <c r="K284" s="22">
        <f t="shared" si="4"/>
        <v>202609</v>
      </c>
      <c r="L284" s="40"/>
      <c r="M284"/>
      <c r="N284"/>
      <c r="O284"/>
      <c r="P284"/>
      <c r="Q284"/>
      <c r="R284"/>
      <c r="S284"/>
      <c r="T284"/>
      <c r="U284"/>
      <c r="V284"/>
      <c r="W284" s="41"/>
      <c r="X284" s="41"/>
      <c r="Y284" s="41"/>
    </row>
    <row r="285" s="27" customFormat="1" ht="23" hidden="1" customHeight="1" spans="1:25">
      <c r="A285" s="133">
        <f>IF(B285="","",COUNTA($B$5:B285))</f>
        <v>281</v>
      </c>
      <c r="B285" s="143">
        <v>46266</v>
      </c>
      <c r="C285" s="144" t="s">
        <v>49</v>
      </c>
      <c r="D285" s="145"/>
      <c r="E285" s="146" t="s">
        <v>158</v>
      </c>
      <c r="F285" s="139">
        <v>66.41</v>
      </c>
      <c r="G285" s="139" t="s">
        <v>203</v>
      </c>
      <c r="H285" s="142">
        <f>IFERROR(VLOOKUP($C285,$C$5:$H$18,6,0)+SUMIF($C$19:$C285,$C285,$F$19:$F285)-SUMIF($C$19:$C285,$C285,$G$19:$G285),"")</f>
        <v>39709.1699999983</v>
      </c>
      <c r="I285" s="144"/>
      <c r="J285" s="144"/>
      <c r="K285" s="22">
        <f t="shared" si="4"/>
        <v>202609</v>
      </c>
      <c r="L285" s="40"/>
      <c r="M285"/>
      <c r="N285"/>
      <c r="O285"/>
      <c r="P285"/>
      <c r="Q285"/>
      <c r="R285"/>
      <c r="S285"/>
      <c r="T285"/>
      <c r="U285"/>
      <c r="V285"/>
      <c r="W285" s="41"/>
      <c r="X285" s="41"/>
      <c r="Y285" s="41"/>
    </row>
    <row r="286" s="27" customFormat="1" ht="23" hidden="1" customHeight="1" spans="1:25">
      <c r="A286" s="133">
        <f>IF(B286="","",COUNTA($B$5:B286))</f>
        <v>282</v>
      </c>
      <c r="B286" s="143">
        <v>46266</v>
      </c>
      <c r="C286" s="144" t="s">
        <v>49</v>
      </c>
      <c r="D286" s="145"/>
      <c r="E286" s="146" t="s">
        <v>204</v>
      </c>
      <c r="F286" s="139">
        <v>747.84</v>
      </c>
      <c r="G286" s="139" t="s">
        <v>203</v>
      </c>
      <c r="H286" s="142">
        <f>IFERROR(VLOOKUP($C286,$C$5:$H$18,6,0)+SUMIF($C$19:$C286,$C286,$F$19:$F286)-SUMIF($C$19:$C286,$C286,$G$19:$G286),"")</f>
        <v>40457.0099999984</v>
      </c>
      <c r="I286" s="144"/>
      <c r="J286" s="144"/>
      <c r="K286" s="22">
        <f t="shared" si="4"/>
        <v>202609</v>
      </c>
      <c r="L286" s="40"/>
      <c r="M286"/>
      <c r="N286"/>
      <c r="O286"/>
      <c r="P286"/>
      <c r="Q286"/>
      <c r="R286"/>
      <c r="S286"/>
      <c r="T286"/>
      <c r="U286"/>
      <c r="V286"/>
      <c r="W286" s="41"/>
      <c r="X286" s="41"/>
      <c r="Y286" s="41"/>
    </row>
    <row r="287" s="27" customFormat="1" ht="23" hidden="1" customHeight="1" spans="1:25">
      <c r="A287" s="133">
        <f>IF(B287="","",COUNTA($B$5:B287))</f>
        <v>283</v>
      </c>
      <c r="B287" s="143">
        <v>46267</v>
      </c>
      <c r="C287" s="144" t="s">
        <v>49</v>
      </c>
      <c r="D287" s="145"/>
      <c r="E287" s="146" t="s">
        <v>205</v>
      </c>
      <c r="F287" s="139">
        <v>7082.22</v>
      </c>
      <c r="G287" s="139" t="s">
        <v>203</v>
      </c>
      <c r="H287" s="142">
        <f>IFERROR(VLOOKUP($C287,$C$5:$H$18,6,0)+SUMIF($C$19:$C287,$C287,$F$19:$F287)-SUMIF($C$19:$C287,$C287,$G$19:$G287),"")</f>
        <v>47539.2299999984</v>
      </c>
      <c r="I287" s="144"/>
      <c r="J287" s="144"/>
      <c r="K287" s="22">
        <f t="shared" si="4"/>
        <v>202609</v>
      </c>
      <c r="L287" s="40"/>
      <c r="M287"/>
      <c r="N287"/>
      <c r="O287"/>
      <c r="P287"/>
      <c r="Q287"/>
      <c r="R287"/>
      <c r="S287"/>
      <c r="T287"/>
      <c r="U287"/>
      <c r="V287"/>
      <c r="W287" s="41"/>
      <c r="X287" s="41"/>
      <c r="Y287" s="41"/>
    </row>
    <row r="288" s="27" customFormat="1" ht="23" hidden="1" customHeight="1" spans="1:25">
      <c r="A288" s="133">
        <f>IF(B288="","",COUNTA($B$5:B288))</f>
        <v>284</v>
      </c>
      <c r="B288" s="143">
        <v>46267</v>
      </c>
      <c r="C288" s="144" t="s">
        <v>49</v>
      </c>
      <c r="D288" s="145"/>
      <c r="E288" s="146" t="s">
        <v>130</v>
      </c>
      <c r="F288" s="139">
        <v>5470.63</v>
      </c>
      <c r="G288" s="139" t="s">
        <v>203</v>
      </c>
      <c r="H288" s="142">
        <f>IFERROR(VLOOKUP($C288,$C$5:$H$18,6,0)+SUMIF($C$19:$C288,$C288,$F$19:$F288)-SUMIF($C$19:$C288,$C288,$G$19:$G288),"")</f>
        <v>53009.8599999982</v>
      </c>
      <c r="I288" s="144"/>
      <c r="J288" s="144"/>
      <c r="K288" s="22">
        <f t="shared" si="4"/>
        <v>202609</v>
      </c>
      <c r="L288" s="40"/>
      <c r="M288"/>
      <c r="N288"/>
      <c r="O288"/>
      <c r="P288"/>
      <c r="Q288"/>
      <c r="R288"/>
      <c r="S288"/>
      <c r="T288"/>
      <c r="U288"/>
      <c r="V288"/>
      <c r="W288" s="41"/>
      <c r="X288" s="41"/>
      <c r="Y288" s="41"/>
    </row>
    <row r="289" s="27" customFormat="1" ht="23" hidden="1" customHeight="1" spans="1:25">
      <c r="A289" s="133">
        <f>IF(B289="","",COUNTA($B$5:B289))</f>
        <v>285</v>
      </c>
      <c r="B289" s="143">
        <v>46267</v>
      </c>
      <c r="C289" s="144" t="s">
        <v>49</v>
      </c>
      <c r="D289" s="145"/>
      <c r="E289" s="146" t="s">
        <v>158</v>
      </c>
      <c r="F289" s="139">
        <v>100.45</v>
      </c>
      <c r="G289" s="139" t="s">
        <v>203</v>
      </c>
      <c r="H289" s="142">
        <f>IFERROR(VLOOKUP($C289,$C$5:$H$18,6,0)+SUMIF($C$19:$C289,$C289,$F$19:$F289)-SUMIF($C$19:$C289,$C289,$G$19:$G289),"")</f>
        <v>53110.3099999982</v>
      </c>
      <c r="I289" s="144"/>
      <c r="J289" s="144"/>
      <c r="K289" s="22">
        <f t="shared" si="4"/>
        <v>202609</v>
      </c>
      <c r="L289" s="40"/>
      <c r="M289"/>
      <c r="N289"/>
      <c r="O289"/>
      <c r="P289"/>
      <c r="Q289"/>
      <c r="R289"/>
      <c r="S289"/>
      <c r="T289"/>
      <c r="U289"/>
      <c r="V289"/>
      <c r="W289" s="41"/>
      <c r="X289" s="41"/>
      <c r="Y289" s="41"/>
    </row>
    <row r="290" s="27" customFormat="1" ht="23" hidden="1" customHeight="1" spans="1:25">
      <c r="A290" s="133">
        <f>IF(B290="","",COUNTA($B$5:B290))</f>
        <v>286</v>
      </c>
      <c r="B290" s="143">
        <v>46267</v>
      </c>
      <c r="C290" s="144" t="s">
        <v>49</v>
      </c>
      <c r="D290" s="145" t="s">
        <v>62</v>
      </c>
      <c r="E290" s="146" t="s">
        <v>51</v>
      </c>
      <c r="F290" s="139" t="s">
        <v>203</v>
      </c>
      <c r="G290" s="139">
        <v>20480</v>
      </c>
      <c r="H290" s="142">
        <f>IFERROR(VLOOKUP($C290,$C$5:$H$18,6,0)+SUMIF($C$19:$C290,$C290,$F$19:$F290)-SUMIF($C$19:$C290,$C290,$G$19:$G290),"")</f>
        <v>32630.3099999982</v>
      </c>
      <c r="I290" s="144"/>
      <c r="J290" s="144"/>
      <c r="K290" s="22">
        <f t="shared" si="4"/>
        <v>202609</v>
      </c>
      <c r="L290" s="40"/>
      <c r="M290"/>
      <c r="N290"/>
      <c r="O290"/>
      <c r="P290"/>
      <c r="Q290"/>
      <c r="R290"/>
      <c r="S290"/>
      <c r="T290"/>
      <c r="U290"/>
      <c r="V290"/>
      <c r="W290" s="41"/>
      <c r="X290" s="41"/>
      <c r="Y290" s="41"/>
    </row>
    <row r="291" s="27" customFormat="1" ht="23" hidden="1" customHeight="1" spans="1:25">
      <c r="A291" s="133">
        <f>IF(B291="","",COUNTA($B$5:B291))</f>
        <v>287</v>
      </c>
      <c r="B291" s="143">
        <v>46267</v>
      </c>
      <c r="C291" s="144" t="s">
        <v>49</v>
      </c>
      <c r="D291" s="145" t="s">
        <v>77</v>
      </c>
      <c r="E291" s="146" t="s">
        <v>122</v>
      </c>
      <c r="F291" s="139" t="s">
        <v>203</v>
      </c>
      <c r="G291" s="139">
        <v>9</v>
      </c>
      <c r="H291" s="142">
        <f>IFERROR(VLOOKUP($C291,$C$5:$H$18,6,0)+SUMIF($C$19:$C291,$C291,$F$19:$F291)-SUMIF($C$19:$C291,$C291,$G$19:$G291),"")</f>
        <v>32621.3099999982</v>
      </c>
      <c r="I291" s="144"/>
      <c r="J291" s="144"/>
      <c r="K291" s="22">
        <f t="shared" si="4"/>
        <v>202609</v>
      </c>
      <c r="L291" s="40"/>
      <c r="M291"/>
      <c r="N291"/>
      <c r="O291"/>
      <c r="P291"/>
      <c r="Q291"/>
      <c r="R291"/>
      <c r="S291"/>
      <c r="T291"/>
      <c r="U291"/>
      <c r="V291"/>
      <c r="W291" s="41"/>
      <c r="X291" s="41"/>
      <c r="Y291" s="41"/>
    </row>
    <row r="292" s="27" customFormat="1" ht="23" hidden="1" customHeight="1" spans="1:25">
      <c r="A292" s="133">
        <f>IF(B292="","",COUNTA($B$5:B292))</f>
        <v>288</v>
      </c>
      <c r="B292" s="143">
        <v>46267</v>
      </c>
      <c r="C292" s="144" t="s">
        <v>49</v>
      </c>
      <c r="D292" s="145"/>
      <c r="E292" s="146" t="s">
        <v>206</v>
      </c>
      <c r="F292" s="139">
        <v>566.41</v>
      </c>
      <c r="G292" s="139" t="s">
        <v>203</v>
      </c>
      <c r="H292" s="142">
        <f>IFERROR(VLOOKUP($C292,$C$5:$H$18,6,0)+SUMIF($C$19:$C292,$C292,$F$19:$F292)-SUMIF($C$19:$C292,$C292,$G$19:$G292),"")</f>
        <v>33187.7199999981</v>
      </c>
      <c r="I292" s="144"/>
      <c r="J292" s="144"/>
      <c r="K292" s="22">
        <f t="shared" si="4"/>
        <v>202609</v>
      </c>
      <c r="L292" s="40"/>
      <c r="M292"/>
      <c r="N292"/>
      <c r="O292"/>
      <c r="P292"/>
      <c r="Q292"/>
      <c r="R292"/>
      <c r="S292"/>
      <c r="T292"/>
      <c r="U292"/>
      <c r="V292"/>
      <c r="W292" s="41"/>
      <c r="X292" s="41"/>
      <c r="Y292" s="41"/>
    </row>
    <row r="293" s="27" customFormat="1" ht="23" hidden="1" customHeight="1" spans="1:25">
      <c r="A293" s="133">
        <f>IF(B293="","",COUNTA($B$5:B293))</f>
        <v>289</v>
      </c>
      <c r="B293" s="143">
        <v>46267</v>
      </c>
      <c r="C293" s="144" t="s">
        <v>49</v>
      </c>
      <c r="D293" s="145" t="s">
        <v>87</v>
      </c>
      <c r="E293" s="146" t="s">
        <v>207</v>
      </c>
      <c r="F293" s="139" t="s">
        <v>203</v>
      </c>
      <c r="G293" s="139">
        <v>13848</v>
      </c>
      <c r="H293" s="142">
        <f>IFERROR(VLOOKUP($C293,$C$5:$H$18,6,0)+SUMIF($C$19:$C293,$C293,$F$19:$F293)-SUMIF($C$19:$C293,$C293,$G$19:$G293),"")</f>
        <v>19339.7199999981</v>
      </c>
      <c r="I293" s="144" t="s">
        <v>54</v>
      </c>
      <c r="J293" s="144"/>
      <c r="K293" s="22">
        <f t="shared" si="4"/>
        <v>202609</v>
      </c>
      <c r="L293" s="40"/>
      <c r="M293"/>
      <c r="N293"/>
      <c r="O293"/>
      <c r="P293"/>
      <c r="Q293"/>
      <c r="R293"/>
      <c r="S293"/>
      <c r="T293"/>
      <c r="U293"/>
      <c r="V293"/>
      <c r="W293" s="41"/>
      <c r="X293" s="41"/>
      <c r="Y293" s="41"/>
    </row>
    <row r="294" s="27" customFormat="1" ht="23" hidden="1" customHeight="1" spans="1:25">
      <c r="A294" s="133">
        <f>IF(B294="","",COUNTA($B$5:B294))</f>
        <v>290</v>
      </c>
      <c r="B294" s="143">
        <v>46267</v>
      </c>
      <c r="C294" s="144" t="s">
        <v>49</v>
      </c>
      <c r="D294" s="145" t="s">
        <v>77</v>
      </c>
      <c r="E294" s="146" t="s">
        <v>122</v>
      </c>
      <c r="F294" s="139" t="s">
        <v>203</v>
      </c>
      <c r="G294" s="139">
        <v>9</v>
      </c>
      <c r="H294" s="142">
        <f>IFERROR(VLOOKUP($C294,$C$5:$H$18,6,0)+SUMIF($C$19:$C294,$C294,$F$19:$F294)-SUMIF($C$19:$C294,$C294,$G$19:$G294),"")</f>
        <v>19330.7199999981</v>
      </c>
      <c r="I294" s="144"/>
      <c r="J294" s="144"/>
      <c r="K294" s="22">
        <f t="shared" si="4"/>
        <v>202609</v>
      </c>
      <c r="L294" s="40"/>
      <c r="M294"/>
      <c r="N294"/>
      <c r="O294"/>
      <c r="P294"/>
      <c r="Q294"/>
      <c r="R294"/>
      <c r="S294"/>
      <c r="T294"/>
      <c r="U294"/>
      <c r="V294"/>
      <c r="W294" s="41"/>
      <c r="X294" s="41"/>
      <c r="Y294" s="41"/>
    </row>
    <row r="295" s="27" customFormat="1" ht="23" customHeight="1" spans="1:25">
      <c r="A295" s="133">
        <f>IF(B295="","",COUNTA($B$5:B295))</f>
        <v>291</v>
      </c>
      <c r="B295" s="143">
        <v>46267</v>
      </c>
      <c r="C295" s="144" t="s">
        <v>49</v>
      </c>
      <c r="D295" s="145" t="s">
        <v>85</v>
      </c>
      <c r="E295" s="146" t="s">
        <v>208</v>
      </c>
      <c r="F295" s="139" t="s">
        <v>203</v>
      </c>
      <c r="G295" s="139">
        <v>4616</v>
      </c>
      <c r="H295" s="142">
        <f>IFERROR(VLOOKUP($C295,$C$5:$H$18,6,0)+SUMIF($C$19:$C295,$C295,$F$19:$F295)-SUMIF($C$19:$C295,$C295,$G$19:$G295),"")</f>
        <v>14714.7199999981</v>
      </c>
      <c r="I295" s="144" t="s">
        <v>54</v>
      </c>
      <c r="J295" s="144"/>
      <c r="K295" s="22">
        <f t="shared" si="4"/>
        <v>202609</v>
      </c>
      <c r="L295" s="40"/>
      <c r="M295"/>
      <c r="N295"/>
      <c r="O295"/>
      <c r="P295"/>
      <c r="Q295"/>
      <c r="R295"/>
      <c r="S295"/>
      <c r="T295"/>
      <c r="U295"/>
      <c r="V295"/>
      <c r="W295" s="41"/>
      <c r="X295" s="41"/>
      <c r="Y295" s="41"/>
    </row>
    <row r="296" s="27" customFormat="1" ht="23" hidden="1" customHeight="1" spans="1:25">
      <c r="A296" s="133">
        <f>IF(B296="","",COUNTA($B$5:B296))</f>
        <v>292</v>
      </c>
      <c r="B296" s="143">
        <v>46267</v>
      </c>
      <c r="C296" s="144" t="s">
        <v>49</v>
      </c>
      <c r="D296" s="145" t="s">
        <v>77</v>
      </c>
      <c r="E296" s="146" t="s">
        <v>122</v>
      </c>
      <c r="F296" s="139" t="s">
        <v>203</v>
      </c>
      <c r="G296" s="139">
        <v>4.5</v>
      </c>
      <c r="H296" s="142">
        <f>IFERROR(VLOOKUP($C296,$C$5:$H$18,6,0)+SUMIF($C$19:$C296,$C296,$F$19:$F296)-SUMIF($C$19:$C296,$C296,$G$19:$G296),"")</f>
        <v>14710.2199999981</v>
      </c>
      <c r="I296" s="144"/>
      <c r="J296" s="144"/>
      <c r="K296" s="22">
        <f t="shared" si="4"/>
        <v>202609</v>
      </c>
      <c r="L296" s="40"/>
      <c r="M296"/>
      <c r="N296"/>
      <c r="O296"/>
      <c r="P296"/>
      <c r="Q296"/>
      <c r="R296"/>
      <c r="S296"/>
      <c r="T296"/>
      <c r="U296"/>
      <c r="V296"/>
      <c r="W296" s="41"/>
      <c r="X296" s="41"/>
      <c r="Y296" s="41"/>
    </row>
    <row r="297" s="27" customFormat="1" ht="23" customHeight="1" spans="1:25">
      <c r="A297" s="133">
        <f>IF(B297="","",COUNTA($B$5:B297))</f>
        <v>293</v>
      </c>
      <c r="B297" s="143">
        <v>46267</v>
      </c>
      <c r="C297" s="144" t="s">
        <v>49</v>
      </c>
      <c r="D297" s="145" t="s">
        <v>85</v>
      </c>
      <c r="E297" s="146" t="s">
        <v>209</v>
      </c>
      <c r="F297" s="139" t="s">
        <v>203</v>
      </c>
      <c r="G297" s="139">
        <v>1263</v>
      </c>
      <c r="H297" s="142">
        <f>IFERROR(VLOOKUP($C297,$C$5:$H$18,6,0)+SUMIF($C$19:$C297,$C297,$F$19:$F297)-SUMIF($C$19:$C297,$C297,$G$19:$G297),"")</f>
        <v>13447.2199999981</v>
      </c>
      <c r="I297" s="144" t="s">
        <v>54</v>
      </c>
      <c r="J297" s="144"/>
      <c r="K297" s="22">
        <f t="shared" si="4"/>
        <v>202609</v>
      </c>
      <c r="L297" s="40"/>
      <c r="M297"/>
      <c r="N297"/>
      <c r="O297"/>
      <c r="P297"/>
      <c r="Q297"/>
      <c r="R297"/>
      <c r="S297"/>
      <c r="T297"/>
      <c r="U297"/>
      <c r="V297"/>
      <c r="W297" s="41"/>
      <c r="X297" s="41"/>
      <c r="Y297" s="41"/>
    </row>
    <row r="298" s="27" customFormat="1" ht="23" hidden="1" customHeight="1" spans="1:25">
      <c r="A298" s="133">
        <f>IF(B298="","",COUNTA($B$5:B298))</f>
        <v>294</v>
      </c>
      <c r="B298" s="143">
        <v>46267</v>
      </c>
      <c r="C298" s="144" t="s">
        <v>49</v>
      </c>
      <c r="D298" s="145" t="s">
        <v>77</v>
      </c>
      <c r="E298" s="146" t="s">
        <v>122</v>
      </c>
      <c r="F298" s="139" t="s">
        <v>203</v>
      </c>
      <c r="G298" s="139">
        <v>4.5</v>
      </c>
      <c r="H298" s="142">
        <f>IFERROR(VLOOKUP($C298,$C$5:$H$18,6,0)+SUMIF($C$19:$C298,$C298,$F$19:$F298)-SUMIF($C$19:$C298,$C298,$G$19:$G298),"")</f>
        <v>13442.7199999981</v>
      </c>
      <c r="I298" s="144"/>
      <c r="J298" s="144"/>
      <c r="K298" s="22">
        <f t="shared" si="4"/>
        <v>202609</v>
      </c>
      <c r="L298" s="40"/>
      <c r="M298"/>
      <c r="N298"/>
      <c r="O298"/>
      <c r="P298"/>
      <c r="Q298"/>
      <c r="R298"/>
      <c r="S298"/>
      <c r="T298"/>
      <c r="U298"/>
      <c r="V298"/>
      <c r="W298" s="41"/>
      <c r="X298" s="41"/>
      <c r="Y298" s="41"/>
    </row>
    <row r="299" s="27" customFormat="1" ht="23" hidden="1" customHeight="1" spans="1:25">
      <c r="A299" s="133">
        <f>IF(B299="","",COUNTA($B$5:B299))</f>
        <v>295</v>
      </c>
      <c r="B299" s="143">
        <v>46267</v>
      </c>
      <c r="C299" s="144" t="s">
        <v>49</v>
      </c>
      <c r="D299" s="145" t="s">
        <v>87</v>
      </c>
      <c r="E299" s="146" t="s">
        <v>210</v>
      </c>
      <c r="F299" s="139" t="s">
        <v>203</v>
      </c>
      <c r="G299" s="139">
        <v>3789</v>
      </c>
      <c r="H299" s="142">
        <f>IFERROR(VLOOKUP($C299,$C$5:$H$18,6,0)+SUMIF($C$19:$C299,$C299,$F$19:$F299)-SUMIF($C$19:$C299,$C299,$G$19:$G299),"")</f>
        <v>9653.71999999811</v>
      </c>
      <c r="I299" s="144" t="s">
        <v>54</v>
      </c>
      <c r="J299" s="144"/>
      <c r="K299" s="22">
        <f t="shared" si="4"/>
        <v>202609</v>
      </c>
      <c r="L299" s="40"/>
      <c r="M299"/>
      <c r="N299"/>
      <c r="O299"/>
      <c r="P299"/>
      <c r="Q299"/>
      <c r="R299"/>
      <c r="S299"/>
      <c r="T299"/>
      <c r="U299"/>
      <c r="V299"/>
      <c r="W299" s="41"/>
      <c r="X299" s="41"/>
      <c r="Y299" s="41"/>
    </row>
    <row r="300" s="27" customFormat="1" ht="23" hidden="1" customHeight="1" spans="1:25">
      <c r="A300" s="133">
        <f>IF(B300="","",COUNTA($B$5:B300))</f>
        <v>296</v>
      </c>
      <c r="B300" s="143">
        <v>46267</v>
      </c>
      <c r="C300" s="144" t="s">
        <v>49</v>
      </c>
      <c r="D300" s="145" t="s">
        <v>77</v>
      </c>
      <c r="E300" s="146" t="s">
        <v>122</v>
      </c>
      <c r="F300" s="139" t="s">
        <v>203</v>
      </c>
      <c r="G300" s="139">
        <v>4.5</v>
      </c>
      <c r="H300" s="142">
        <f>IFERROR(VLOOKUP($C300,$C$5:$H$18,6,0)+SUMIF($C$19:$C300,$C300,$F$19:$F300)-SUMIF($C$19:$C300,$C300,$G$19:$G300),"")</f>
        <v>9649.21999999811</v>
      </c>
      <c r="I300" s="144"/>
      <c r="J300" s="144"/>
      <c r="K300" s="22">
        <f t="shared" si="4"/>
        <v>202609</v>
      </c>
      <c r="L300" s="40"/>
      <c r="M300"/>
      <c r="N300"/>
      <c r="O300"/>
      <c r="P300"/>
      <c r="Q300"/>
      <c r="R300"/>
      <c r="S300"/>
      <c r="T300"/>
      <c r="U300"/>
      <c r="V300"/>
      <c r="W300" s="41"/>
      <c r="X300" s="41"/>
      <c r="Y300" s="41"/>
    </row>
    <row r="301" s="27" customFormat="1" ht="23" hidden="1" customHeight="1" spans="1:25">
      <c r="A301" s="133">
        <f>IF(B301="","",COUNTA($B$5:B301))</f>
        <v>297</v>
      </c>
      <c r="B301" s="143">
        <v>46268</v>
      </c>
      <c r="C301" s="144" t="s">
        <v>49</v>
      </c>
      <c r="D301" s="145"/>
      <c r="E301" s="146" t="s">
        <v>211</v>
      </c>
      <c r="F301" s="139">
        <v>7116.01</v>
      </c>
      <c r="G301" s="139" t="s">
        <v>203</v>
      </c>
      <c r="H301" s="142">
        <f>IFERROR(VLOOKUP($C301,$C$5:$H$18,6,0)+SUMIF($C$19:$C301,$C301,$F$19:$F301)-SUMIF($C$19:$C301,$C301,$G$19:$G301),"")</f>
        <v>16765.2299999981</v>
      </c>
      <c r="I301" s="144"/>
      <c r="J301" s="144"/>
      <c r="K301" s="22">
        <f t="shared" si="4"/>
        <v>202609</v>
      </c>
      <c r="L301" s="40"/>
      <c r="M301"/>
      <c r="N301"/>
      <c r="O301"/>
      <c r="P301"/>
      <c r="Q301"/>
      <c r="R301"/>
      <c r="S301"/>
      <c r="T301"/>
      <c r="U301"/>
      <c r="V301"/>
      <c r="W301" s="41"/>
      <c r="X301" s="41"/>
      <c r="Y301" s="41"/>
    </row>
    <row r="302" s="27" customFormat="1" ht="23" hidden="1" customHeight="1" spans="1:25">
      <c r="A302" s="133">
        <f>IF(B302="","",COUNTA($B$5:B302))</f>
        <v>298</v>
      </c>
      <c r="B302" s="143">
        <v>46268</v>
      </c>
      <c r="C302" s="144" t="s">
        <v>49</v>
      </c>
      <c r="D302" s="145"/>
      <c r="E302" s="146" t="s">
        <v>130</v>
      </c>
      <c r="F302" s="139">
        <v>5723.97</v>
      </c>
      <c r="G302" s="139" t="s">
        <v>203</v>
      </c>
      <c r="H302" s="142">
        <f>IFERROR(VLOOKUP($C302,$C$5:$H$18,6,0)+SUMIF($C$19:$C302,$C302,$F$19:$F302)-SUMIF($C$19:$C302,$C302,$G$19:$G302),"")</f>
        <v>22489.1999999981</v>
      </c>
      <c r="I302" s="144"/>
      <c r="J302" s="144"/>
      <c r="K302" s="22">
        <f t="shared" si="4"/>
        <v>202609</v>
      </c>
      <c r="L302" s="40"/>
      <c r="M302"/>
      <c r="N302"/>
      <c r="O302"/>
      <c r="P302"/>
      <c r="Q302"/>
      <c r="R302"/>
      <c r="S302"/>
      <c r="T302"/>
      <c r="U302"/>
      <c r="V302"/>
      <c r="W302" s="41"/>
      <c r="X302" s="41"/>
      <c r="Y302" s="41"/>
    </row>
    <row r="303" s="27" customFormat="1" ht="23" hidden="1" customHeight="1" spans="1:25">
      <c r="A303" s="133">
        <f>IF(B303="","",COUNTA($B$5:B303))</f>
        <v>299</v>
      </c>
      <c r="B303" s="143">
        <v>46268</v>
      </c>
      <c r="C303" s="144" t="s">
        <v>49</v>
      </c>
      <c r="D303" s="145"/>
      <c r="E303" s="146" t="s">
        <v>158</v>
      </c>
      <c r="F303" s="139">
        <v>79.76</v>
      </c>
      <c r="G303" s="139" t="s">
        <v>203</v>
      </c>
      <c r="H303" s="142">
        <f>IFERROR(VLOOKUP($C303,$C$5:$H$18,6,0)+SUMIF($C$19:$C303,$C303,$F$19:$F303)-SUMIF($C$19:$C303,$C303,$G$19:$G303),"")</f>
        <v>22568.9599999981</v>
      </c>
      <c r="I303" s="144"/>
      <c r="J303" s="144"/>
      <c r="K303" s="22">
        <f t="shared" si="4"/>
        <v>202609</v>
      </c>
      <c r="L303" s="40"/>
      <c r="M303"/>
      <c r="N303"/>
      <c r="O303"/>
      <c r="P303"/>
      <c r="Q303"/>
      <c r="R303"/>
      <c r="S303"/>
      <c r="T303"/>
      <c r="U303"/>
      <c r="V303"/>
      <c r="W303" s="41"/>
      <c r="X303" s="41"/>
      <c r="Y303" s="41"/>
    </row>
    <row r="304" s="27" customFormat="1" ht="23" hidden="1" customHeight="1" spans="1:25">
      <c r="A304" s="133">
        <f>IF(B304="","",COUNTA($B$5:B304))</f>
        <v>300</v>
      </c>
      <c r="B304" s="143">
        <v>46268</v>
      </c>
      <c r="C304" s="144" t="s">
        <v>49</v>
      </c>
      <c r="D304" s="145"/>
      <c r="E304" s="146" t="s">
        <v>212</v>
      </c>
      <c r="F304" s="139">
        <v>538.73</v>
      </c>
      <c r="G304" s="139" t="s">
        <v>203</v>
      </c>
      <c r="H304" s="142">
        <f>IFERROR(VLOOKUP($C304,$C$5:$H$18,6,0)+SUMIF($C$19:$C304,$C304,$F$19:$F304)-SUMIF($C$19:$C304,$C304,$G$19:$G304),"")</f>
        <v>23107.6899999981</v>
      </c>
      <c r="I304" s="144"/>
      <c r="J304" s="144"/>
      <c r="K304" s="22">
        <f t="shared" si="4"/>
        <v>202609</v>
      </c>
      <c r="L304" s="40"/>
      <c r="M304"/>
      <c r="N304"/>
      <c r="O304"/>
      <c r="P304"/>
      <c r="Q304"/>
      <c r="R304"/>
      <c r="S304"/>
      <c r="T304"/>
      <c r="U304"/>
      <c r="V304"/>
      <c r="W304" s="41"/>
      <c r="X304" s="41"/>
      <c r="Y304" s="41"/>
    </row>
    <row r="305" s="27" customFormat="1" ht="23" hidden="1" customHeight="1" spans="1:25">
      <c r="A305" s="133">
        <f>IF(B305="","",COUNTA($B$5:B305))</f>
        <v>301</v>
      </c>
      <c r="B305" s="143">
        <v>46269</v>
      </c>
      <c r="C305" s="144" t="s">
        <v>49</v>
      </c>
      <c r="D305" s="145"/>
      <c r="E305" s="146" t="s">
        <v>213</v>
      </c>
      <c r="F305" s="139">
        <v>6576.62</v>
      </c>
      <c r="G305" s="139" t="s">
        <v>203</v>
      </c>
      <c r="H305" s="142">
        <f>IFERROR(VLOOKUP($C305,$C$5:$H$18,6,0)+SUMIF($C$19:$C305,$C305,$F$19:$F305)-SUMIF($C$19:$C305,$C305,$G$19:$G305),"")</f>
        <v>29684.3099999982</v>
      </c>
      <c r="I305" s="144"/>
      <c r="J305" s="144"/>
      <c r="K305" s="22">
        <f t="shared" si="4"/>
        <v>202609</v>
      </c>
      <c r="L305" s="40"/>
      <c r="M305"/>
      <c r="N305"/>
      <c r="O305"/>
      <c r="P305"/>
      <c r="Q305"/>
      <c r="R305"/>
      <c r="S305"/>
      <c r="T305"/>
      <c r="U305"/>
      <c r="V305"/>
      <c r="W305" s="41"/>
      <c r="X305" s="41"/>
      <c r="Y305" s="41"/>
    </row>
    <row r="306" s="27" customFormat="1" ht="23" hidden="1" customHeight="1" spans="1:25">
      <c r="A306" s="133">
        <f>IF(B306="","",COUNTA($B$5:B306))</f>
        <v>302</v>
      </c>
      <c r="B306" s="143">
        <v>46269</v>
      </c>
      <c r="C306" s="144" t="s">
        <v>49</v>
      </c>
      <c r="D306" s="145"/>
      <c r="E306" s="146" t="s">
        <v>130</v>
      </c>
      <c r="F306" s="139">
        <v>4849.51</v>
      </c>
      <c r="G306" s="139" t="s">
        <v>203</v>
      </c>
      <c r="H306" s="142">
        <f>IFERROR(VLOOKUP($C306,$C$5:$H$18,6,0)+SUMIF($C$19:$C306,$C306,$F$19:$F306)-SUMIF($C$19:$C306,$C306,$G$19:$G306),"")</f>
        <v>34533.8199999982</v>
      </c>
      <c r="I306" s="144"/>
      <c r="J306" s="144"/>
      <c r="K306" s="22">
        <f t="shared" si="4"/>
        <v>202609</v>
      </c>
      <c r="L306" s="40"/>
      <c r="M306"/>
      <c r="N306"/>
      <c r="O306"/>
      <c r="P306"/>
      <c r="Q306"/>
      <c r="R306"/>
      <c r="S306"/>
      <c r="T306"/>
      <c r="U306"/>
      <c r="V306"/>
      <c r="W306" s="41"/>
      <c r="X306" s="41"/>
      <c r="Y306" s="41"/>
    </row>
    <row r="307" s="27" customFormat="1" ht="23" hidden="1" customHeight="1" spans="1:25">
      <c r="A307" s="133">
        <f>IF(B307="","",COUNTA($B$5:B307))</f>
        <v>303</v>
      </c>
      <c r="B307" s="143">
        <v>46269</v>
      </c>
      <c r="C307" s="144" t="s">
        <v>49</v>
      </c>
      <c r="D307" s="145"/>
      <c r="E307" s="146" t="s">
        <v>158</v>
      </c>
      <c r="F307" s="139">
        <v>35.11</v>
      </c>
      <c r="G307" s="139" t="s">
        <v>203</v>
      </c>
      <c r="H307" s="142">
        <f>IFERROR(VLOOKUP($C307,$C$5:$H$18,6,0)+SUMIF($C$19:$C307,$C307,$F$19:$F307)-SUMIF($C$19:$C307,$C307,$G$19:$G307),"")</f>
        <v>34568.9299999983</v>
      </c>
      <c r="I307" s="144"/>
      <c r="J307" s="144"/>
      <c r="K307" s="22">
        <f t="shared" si="4"/>
        <v>202609</v>
      </c>
      <c r="L307" s="40"/>
      <c r="M307"/>
      <c r="N307"/>
      <c r="O307"/>
      <c r="P307"/>
      <c r="Q307"/>
      <c r="R307"/>
      <c r="S307"/>
      <c r="T307"/>
      <c r="U307"/>
      <c r="V307"/>
      <c r="W307" s="41"/>
      <c r="X307" s="41"/>
      <c r="Y307" s="41"/>
    </row>
    <row r="308" s="27" customFormat="1" ht="23" hidden="1" customHeight="1" spans="1:25">
      <c r="A308" s="133">
        <f>IF(B308="","",COUNTA($B$5:B308))</f>
        <v>304</v>
      </c>
      <c r="B308" s="143">
        <v>46269</v>
      </c>
      <c r="C308" s="144" t="s">
        <v>49</v>
      </c>
      <c r="D308" s="145"/>
      <c r="E308" s="146" t="s">
        <v>214</v>
      </c>
      <c r="F308" s="139">
        <v>507.71</v>
      </c>
      <c r="G308" s="139" t="s">
        <v>203</v>
      </c>
      <c r="H308" s="142">
        <f>IFERROR(VLOOKUP($C308,$C$5:$H$18,6,0)+SUMIF($C$19:$C308,$C308,$F$19:$F308)-SUMIF($C$19:$C308,$C308,$G$19:$G308),"")</f>
        <v>35076.6399999983</v>
      </c>
      <c r="I308" s="144"/>
      <c r="J308" s="144"/>
      <c r="K308" s="22">
        <f t="shared" si="4"/>
        <v>202609</v>
      </c>
      <c r="L308" s="40"/>
      <c r="M308"/>
      <c r="N308"/>
      <c r="O308"/>
      <c r="P308"/>
      <c r="Q308"/>
      <c r="R308"/>
      <c r="S308"/>
      <c r="T308"/>
      <c r="U308"/>
      <c r="V308"/>
      <c r="W308" s="41"/>
      <c r="X308" s="41"/>
      <c r="Y308" s="41"/>
    </row>
    <row r="309" s="27" customFormat="1" ht="23" hidden="1" customHeight="1" spans="1:25">
      <c r="A309" s="133">
        <f>IF(B309="","",COUNTA($B$5:B309))</f>
        <v>305</v>
      </c>
      <c r="B309" s="143">
        <v>46270</v>
      </c>
      <c r="C309" s="144" t="s">
        <v>49</v>
      </c>
      <c r="D309" s="145"/>
      <c r="E309" s="146" t="s">
        <v>215</v>
      </c>
      <c r="F309" s="139">
        <v>9131.63</v>
      </c>
      <c r="G309" s="139" t="s">
        <v>203</v>
      </c>
      <c r="H309" s="142">
        <f>IFERROR(VLOOKUP($C309,$C$5:$H$18,6,0)+SUMIF($C$19:$C309,$C309,$F$19:$F309)-SUMIF($C$19:$C309,$C309,$G$19:$G309),"")</f>
        <v>44208.2699999982</v>
      </c>
      <c r="I309" s="144"/>
      <c r="J309" s="144"/>
      <c r="K309" s="22">
        <f t="shared" si="4"/>
        <v>202609</v>
      </c>
      <c r="L309" s="40"/>
      <c r="M309"/>
      <c r="N309"/>
      <c r="O309"/>
      <c r="P309"/>
      <c r="Q309"/>
      <c r="R309"/>
      <c r="S309"/>
      <c r="T309"/>
      <c r="U309"/>
      <c r="V309"/>
      <c r="W309" s="41"/>
      <c r="X309" s="41"/>
      <c r="Y309" s="41"/>
    </row>
    <row r="310" s="27" customFormat="1" ht="23" hidden="1" customHeight="1" spans="1:25">
      <c r="A310" s="133">
        <f>IF(B310="","",COUNTA($B$5:B310))</f>
        <v>306</v>
      </c>
      <c r="B310" s="143">
        <v>46270</v>
      </c>
      <c r="C310" s="144" t="s">
        <v>49</v>
      </c>
      <c r="D310" s="145"/>
      <c r="E310" s="146" t="s">
        <v>130</v>
      </c>
      <c r="F310" s="139">
        <v>4332.01</v>
      </c>
      <c r="G310" s="139" t="s">
        <v>203</v>
      </c>
      <c r="H310" s="142">
        <f>IFERROR(VLOOKUP($C310,$C$5:$H$18,6,0)+SUMIF($C$19:$C310,$C310,$F$19:$F310)-SUMIF($C$19:$C310,$C310,$G$19:$G310),"")</f>
        <v>48540.2799999982</v>
      </c>
      <c r="I310" s="144"/>
      <c r="J310" s="144"/>
      <c r="K310" s="22">
        <f t="shared" si="4"/>
        <v>202609</v>
      </c>
      <c r="L310" s="40"/>
      <c r="M310"/>
      <c r="N310"/>
      <c r="O310"/>
      <c r="P310"/>
      <c r="Q310"/>
      <c r="R310"/>
      <c r="S310"/>
      <c r="T310"/>
      <c r="U310"/>
      <c r="V310"/>
      <c r="W310" s="41"/>
      <c r="X310" s="41"/>
      <c r="Y310" s="41"/>
    </row>
    <row r="311" s="27" customFormat="1" ht="23" hidden="1" customHeight="1" spans="1:25">
      <c r="A311" s="133">
        <f>IF(B311="","",COUNTA($B$5:B311))</f>
        <v>307</v>
      </c>
      <c r="B311" s="143">
        <v>46270</v>
      </c>
      <c r="C311" s="144" t="s">
        <v>49</v>
      </c>
      <c r="D311" s="145"/>
      <c r="E311" s="146" t="s">
        <v>158</v>
      </c>
      <c r="F311" s="139">
        <v>30.03</v>
      </c>
      <c r="G311" s="139" t="s">
        <v>203</v>
      </c>
      <c r="H311" s="142">
        <f>IFERROR(VLOOKUP($C311,$C$5:$H$18,6,0)+SUMIF($C$19:$C311,$C311,$F$19:$F311)-SUMIF($C$19:$C311,$C311,$G$19:$G311),"")</f>
        <v>48570.3099999982</v>
      </c>
      <c r="I311" s="144"/>
      <c r="J311" s="144"/>
      <c r="K311" s="22">
        <f t="shared" si="4"/>
        <v>202609</v>
      </c>
      <c r="L311" s="40"/>
      <c r="M311"/>
      <c r="N311"/>
      <c r="O311"/>
      <c r="P311"/>
      <c r="Q311"/>
      <c r="R311"/>
      <c r="S311"/>
      <c r="T311"/>
      <c r="U311"/>
      <c r="V311"/>
      <c r="W311" s="41"/>
      <c r="X311" s="41"/>
      <c r="Y311" s="41"/>
    </row>
    <row r="312" s="27" customFormat="1" ht="23" hidden="1" customHeight="1" spans="1:25">
      <c r="A312" s="133">
        <f>IF(B312="","",COUNTA($B$5:B312))</f>
        <v>308</v>
      </c>
      <c r="B312" s="143">
        <v>46270</v>
      </c>
      <c r="C312" s="144" t="s">
        <v>49</v>
      </c>
      <c r="D312" s="145"/>
      <c r="E312" s="146" t="s">
        <v>216</v>
      </c>
      <c r="F312" s="139">
        <v>337.76</v>
      </c>
      <c r="G312" s="139" t="s">
        <v>203</v>
      </c>
      <c r="H312" s="142">
        <f>IFERROR(VLOOKUP($C312,$C$5:$H$18,6,0)+SUMIF($C$19:$C312,$C312,$F$19:$F312)-SUMIF($C$19:$C312,$C312,$G$19:$G312),"")</f>
        <v>48908.0699999982</v>
      </c>
      <c r="I312" s="144"/>
      <c r="J312" s="144"/>
      <c r="K312" s="22">
        <f t="shared" si="4"/>
        <v>202609</v>
      </c>
      <c r="L312" s="40"/>
      <c r="M312"/>
      <c r="N312"/>
      <c r="O312"/>
      <c r="P312"/>
      <c r="Q312"/>
      <c r="R312"/>
      <c r="S312"/>
      <c r="T312"/>
      <c r="U312"/>
      <c r="V312"/>
      <c r="W312" s="41"/>
      <c r="X312" s="41"/>
      <c r="Y312" s="41"/>
    </row>
    <row r="313" s="27" customFormat="1" ht="23" hidden="1" customHeight="1" spans="1:25">
      <c r="A313" s="133">
        <f>IF(B313="","",COUNTA($B$5:B313))</f>
        <v>309</v>
      </c>
      <c r="B313" s="143">
        <v>46271</v>
      </c>
      <c r="C313" s="144" t="s">
        <v>49</v>
      </c>
      <c r="D313" s="145"/>
      <c r="E313" s="146" t="s">
        <v>217</v>
      </c>
      <c r="F313" s="139">
        <v>12489.63</v>
      </c>
      <c r="G313" s="139" t="s">
        <v>203</v>
      </c>
      <c r="H313" s="142">
        <f>IFERROR(VLOOKUP($C313,$C$5:$H$18,6,0)+SUMIF($C$19:$C313,$C313,$F$19:$F313)-SUMIF($C$19:$C313,$C313,$G$19:$G313),"")</f>
        <v>61397.6999999981</v>
      </c>
      <c r="I313" s="144"/>
      <c r="J313" s="144"/>
      <c r="K313" s="22">
        <f t="shared" si="4"/>
        <v>202609</v>
      </c>
      <c r="L313" s="40"/>
      <c r="M313"/>
      <c r="N313"/>
      <c r="O313"/>
      <c r="P313"/>
      <c r="Q313"/>
      <c r="R313"/>
      <c r="S313"/>
      <c r="T313"/>
      <c r="U313"/>
      <c r="V313"/>
      <c r="W313" s="41"/>
      <c r="X313" s="41"/>
      <c r="Y313" s="41"/>
    </row>
    <row r="314" s="27" customFormat="1" ht="23" hidden="1" customHeight="1" spans="1:25">
      <c r="A314" s="133">
        <f>IF(B314="","",COUNTA($B$5:B314))</f>
        <v>310</v>
      </c>
      <c r="B314" s="143">
        <v>46271</v>
      </c>
      <c r="C314" s="144" t="s">
        <v>49</v>
      </c>
      <c r="D314" s="145"/>
      <c r="E314" s="146" t="s">
        <v>130</v>
      </c>
      <c r="F314" s="139">
        <v>3458.63</v>
      </c>
      <c r="G314" s="139" t="s">
        <v>203</v>
      </c>
      <c r="H314" s="142">
        <f>IFERROR(VLOOKUP($C314,$C$5:$H$18,6,0)+SUMIF($C$19:$C314,$C314,$F$19:$F314)-SUMIF($C$19:$C314,$C314,$G$19:$G314),"")</f>
        <v>64856.329999998</v>
      </c>
      <c r="I314" s="144"/>
      <c r="J314" s="144"/>
      <c r="K314" s="22">
        <f t="shared" si="4"/>
        <v>202609</v>
      </c>
      <c r="L314" s="40"/>
      <c r="M314"/>
      <c r="N314"/>
      <c r="O314"/>
      <c r="P314"/>
      <c r="Q314"/>
      <c r="R314"/>
      <c r="S314"/>
      <c r="T314"/>
      <c r="U314"/>
      <c r="V314"/>
      <c r="W314" s="41"/>
      <c r="X314" s="41"/>
      <c r="Y314" s="41"/>
    </row>
    <row r="315" s="27" customFormat="1" ht="23" hidden="1" customHeight="1" spans="1:25">
      <c r="A315" s="133">
        <f>IF(B315="","",COUNTA($B$5:B315))</f>
        <v>311</v>
      </c>
      <c r="B315" s="143">
        <v>46271</v>
      </c>
      <c r="C315" s="144" t="s">
        <v>49</v>
      </c>
      <c r="D315" s="145"/>
      <c r="E315" s="146" t="s">
        <v>158</v>
      </c>
      <c r="F315" s="139">
        <v>62.85</v>
      </c>
      <c r="G315" s="139" t="s">
        <v>203</v>
      </c>
      <c r="H315" s="142">
        <f>IFERROR(VLOOKUP($C315,$C$5:$H$18,6,0)+SUMIF($C$19:$C315,$C315,$F$19:$F315)-SUMIF($C$19:$C315,$C315,$G$19:$G315),"")</f>
        <v>64919.1799999981</v>
      </c>
      <c r="I315" s="144"/>
      <c r="J315" s="144"/>
      <c r="K315" s="22">
        <f t="shared" si="4"/>
        <v>202609</v>
      </c>
      <c r="L315" s="40"/>
      <c r="M315"/>
      <c r="N315"/>
      <c r="O315"/>
      <c r="P315"/>
      <c r="Q315"/>
      <c r="R315"/>
      <c r="S315"/>
      <c r="T315"/>
      <c r="U315"/>
      <c r="V315"/>
      <c r="W315" s="41"/>
      <c r="X315" s="41"/>
      <c r="Y315" s="41"/>
    </row>
    <row r="316" s="27" customFormat="1" ht="23" hidden="1" customHeight="1" spans="1:25">
      <c r="A316" s="133">
        <f>IF(B316="","",COUNTA($B$5:B316))</f>
        <v>312</v>
      </c>
      <c r="B316" s="143">
        <v>46271</v>
      </c>
      <c r="C316" s="144" t="s">
        <v>49</v>
      </c>
      <c r="D316" s="145"/>
      <c r="E316" s="146" t="s">
        <v>218</v>
      </c>
      <c r="F316" s="139">
        <v>766.24</v>
      </c>
      <c r="G316" s="139" t="s">
        <v>203</v>
      </c>
      <c r="H316" s="142">
        <f>IFERROR(VLOOKUP($C316,$C$5:$H$18,6,0)+SUMIF($C$19:$C316,$C316,$F$19:$F316)-SUMIF($C$19:$C316,$C316,$G$19:$G316),"")</f>
        <v>65685.4199999981</v>
      </c>
      <c r="I316" s="144"/>
      <c r="J316" s="144"/>
      <c r="K316" s="22">
        <f t="shared" si="4"/>
        <v>202609</v>
      </c>
      <c r="L316" s="40"/>
      <c r="M316"/>
      <c r="N316"/>
      <c r="O316"/>
      <c r="P316"/>
      <c r="Q316"/>
      <c r="R316"/>
      <c r="S316"/>
      <c r="T316"/>
      <c r="U316"/>
      <c r="V316"/>
      <c r="W316" s="41"/>
      <c r="X316" s="41"/>
      <c r="Y316" s="41"/>
    </row>
    <row r="317" s="27" customFormat="1" ht="23" hidden="1" customHeight="1" spans="1:25">
      <c r="A317" s="133">
        <f>IF(B317="","",COUNTA($B$5:B317))</f>
        <v>313</v>
      </c>
      <c r="B317" s="143">
        <v>46272</v>
      </c>
      <c r="C317" s="144" t="s">
        <v>49</v>
      </c>
      <c r="D317" s="145"/>
      <c r="E317" s="146" t="s">
        <v>219</v>
      </c>
      <c r="F317" s="139">
        <v>10922.29</v>
      </c>
      <c r="G317" s="139" t="s">
        <v>203</v>
      </c>
      <c r="H317" s="142">
        <f>IFERROR(VLOOKUP($C317,$C$5:$H$18,6,0)+SUMIF($C$19:$C317,$C317,$F$19:$F317)-SUMIF($C$19:$C317,$C317,$G$19:$G317),"")</f>
        <v>76607.7099999981</v>
      </c>
      <c r="I317" s="144"/>
      <c r="J317" s="144"/>
      <c r="K317" s="22">
        <f t="shared" si="4"/>
        <v>202609</v>
      </c>
      <c r="L317" s="40"/>
      <c r="M317"/>
      <c r="N317"/>
      <c r="O317"/>
      <c r="P317"/>
      <c r="Q317"/>
      <c r="R317"/>
      <c r="S317"/>
      <c r="T317"/>
      <c r="U317"/>
      <c r="V317"/>
      <c r="W317" s="41"/>
      <c r="X317" s="41"/>
      <c r="Y317" s="41"/>
    </row>
    <row r="318" s="27" customFormat="1" ht="23" hidden="1" customHeight="1" spans="1:25">
      <c r="A318" s="133">
        <f>IF(B318="","",COUNTA($B$5:B318))</f>
        <v>314</v>
      </c>
      <c r="B318" s="143">
        <v>46272</v>
      </c>
      <c r="C318" s="144" t="s">
        <v>49</v>
      </c>
      <c r="D318" s="145"/>
      <c r="E318" s="146" t="s">
        <v>130</v>
      </c>
      <c r="F318" s="139">
        <v>5491.15</v>
      </c>
      <c r="G318" s="139" t="s">
        <v>203</v>
      </c>
      <c r="H318" s="142">
        <f>IFERROR(VLOOKUP($C318,$C$5:$H$18,6,0)+SUMIF($C$19:$C318,$C318,$F$19:$F318)-SUMIF($C$19:$C318,$C318,$G$19:$G318),"")</f>
        <v>82098.859999998</v>
      </c>
      <c r="I318" s="144"/>
      <c r="J318" s="144"/>
      <c r="K318" s="22">
        <f t="shared" si="4"/>
        <v>202609</v>
      </c>
      <c r="L318" s="40"/>
      <c r="M318"/>
      <c r="N318"/>
      <c r="O318"/>
      <c r="P318"/>
      <c r="Q318"/>
      <c r="R318"/>
      <c r="S318"/>
      <c r="T318"/>
      <c r="U318"/>
      <c r="V318"/>
      <c r="W318" s="41"/>
      <c r="X318" s="41"/>
      <c r="Y318" s="41"/>
    </row>
    <row r="319" s="27" customFormat="1" ht="23" hidden="1" customHeight="1" spans="1:25">
      <c r="A319" s="133">
        <f>IF(B319="","",COUNTA($B$5:B319))</f>
        <v>315</v>
      </c>
      <c r="B319" s="143">
        <v>46272</v>
      </c>
      <c r="C319" s="144" t="s">
        <v>49</v>
      </c>
      <c r="D319" s="145"/>
      <c r="E319" s="146" t="s">
        <v>158</v>
      </c>
      <c r="F319" s="139">
        <v>57.38</v>
      </c>
      <c r="G319" s="139" t="s">
        <v>203</v>
      </c>
      <c r="H319" s="142">
        <f>IFERROR(VLOOKUP($C319,$C$5:$H$18,6,0)+SUMIF($C$19:$C319,$C319,$F$19:$F319)-SUMIF($C$19:$C319,$C319,$G$19:$G319),"")</f>
        <v>82156.2399999979</v>
      </c>
      <c r="I319" s="144"/>
      <c r="J319" s="144"/>
      <c r="K319" s="22">
        <f t="shared" si="4"/>
        <v>202609</v>
      </c>
      <c r="L319" s="40"/>
      <c r="M319"/>
      <c r="N319"/>
      <c r="O319"/>
      <c r="P319"/>
      <c r="Q319"/>
      <c r="R319"/>
      <c r="S319"/>
      <c r="T319"/>
      <c r="U319"/>
      <c r="V319"/>
      <c r="W319" s="41"/>
      <c r="X319" s="41"/>
      <c r="Y319" s="41"/>
    </row>
    <row r="320" s="27" customFormat="1" ht="23" hidden="1" customHeight="1" spans="1:25">
      <c r="A320" s="133">
        <f>IF(B320="","",COUNTA($B$5:B320))</f>
        <v>316</v>
      </c>
      <c r="B320" s="143">
        <v>46272</v>
      </c>
      <c r="C320" s="144" t="s">
        <v>49</v>
      </c>
      <c r="D320" s="145"/>
      <c r="E320" s="146" t="s">
        <v>220</v>
      </c>
      <c r="F320" s="139">
        <v>1022.31</v>
      </c>
      <c r="G320" s="139" t="s">
        <v>203</v>
      </c>
      <c r="H320" s="142">
        <f>IFERROR(VLOOKUP($C320,$C$5:$H$18,6,0)+SUMIF($C$19:$C320,$C320,$F$19:$F320)-SUMIF($C$19:$C320,$C320,$G$19:$G320),"")</f>
        <v>83178.549999998</v>
      </c>
      <c r="I320" s="144"/>
      <c r="J320" s="144"/>
      <c r="K320" s="22">
        <f t="shared" si="4"/>
        <v>202609</v>
      </c>
      <c r="L320" s="40"/>
      <c r="M320"/>
      <c r="N320"/>
      <c r="O320"/>
      <c r="P320"/>
      <c r="Q320"/>
      <c r="R320"/>
      <c r="S320"/>
      <c r="T320"/>
      <c r="U320"/>
      <c r="V320"/>
      <c r="W320" s="41"/>
      <c r="X320" s="41"/>
      <c r="Y320" s="41"/>
    </row>
    <row r="321" s="27" customFormat="1" ht="23" hidden="1" customHeight="1" spans="1:25">
      <c r="A321" s="133">
        <f>IF(B321="","",COUNTA($B$5:B321))</f>
        <v>317</v>
      </c>
      <c r="B321" s="143">
        <v>46272</v>
      </c>
      <c r="C321" s="144" t="s">
        <v>49</v>
      </c>
      <c r="D321" s="145"/>
      <c r="E321" s="146" t="s">
        <v>221</v>
      </c>
      <c r="F321" s="139">
        <v>4488</v>
      </c>
      <c r="G321" s="139" t="s">
        <v>203</v>
      </c>
      <c r="H321" s="142">
        <f>IFERROR(VLOOKUP($C321,$C$5:$H$18,6,0)+SUMIF($C$19:$C321,$C321,$F$19:$F321)-SUMIF($C$19:$C321,$C321,$G$19:$G321),"")</f>
        <v>87666.549999998</v>
      </c>
      <c r="I321" s="144" t="s">
        <v>47</v>
      </c>
      <c r="J321" s="144"/>
      <c r="K321" s="22">
        <f t="shared" si="4"/>
        <v>202609</v>
      </c>
      <c r="L321" s="40"/>
      <c r="M321"/>
      <c r="N321"/>
      <c r="O321"/>
      <c r="P321"/>
      <c r="Q321"/>
      <c r="R321"/>
      <c r="S321"/>
      <c r="T321"/>
      <c r="U321"/>
      <c r="V321"/>
      <c r="W321" s="41"/>
      <c r="X321" s="41"/>
      <c r="Y321" s="41"/>
    </row>
    <row r="322" s="27" customFormat="1" ht="23" hidden="1" customHeight="1" spans="1:25">
      <c r="A322" s="133">
        <f>IF(B322="","",COUNTA($B$5:B322))</f>
        <v>318</v>
      </c>
      <c r="B322" s="143">
        <v>46272</v>
      </c>
      <c r="C322" s="144" t="s">
        <v>49</v>
      </c>
      <c r="D322" s="145" t="s">
        <v>80</v>
      </c>
      <c r="E322" s="146" t="s">
        <v>127</v>
      </c>
      <c r="F322" s="139" t="s">
        <v>203</v>
      </c>
      <c r="G322" s="139">
        <v>54.05</v>
      </c>
      <c r="H322" s="142">
        <f>IFERROR(VLOOKUP($C322,$C$5:$H$18,6,0)+SUMIF($C$19:$C322,$C322,$F$19:$F322)-SUMIF($C$19:$C322,$C322,$G$19:$G322),"")</f>
        <v>87612.4999999979</v>
      </c>
      <c r="I322" s="144"/>
      <c r="J322" s="144"/>
      <c r="K322" s="22">
        <f t="shared" si="4"/>
        <v>202609</v>
      </c>
      <c r="L322" s="40"/>
      <c r="M322"/>
      <c r="N322"/>
      <c r="O322"/>
      <c r="P322"/>
      <c r="Q322"/>
      <c r="R322"/>
      <c r="S322"/>
      <c r="T322"/>
      <c r="U322"/>
      <c r="V322"/>
      <c r="W322" s="41"/>
      <c r="X322" s="41"/>
      <c r="Y322" s="41"/>
    </row>
    <row r="323" s="27" customFormat="1" ht="23" hidden="1" customHeight="1" spans="1:25">
      <c r="A323" s="133">
        <f>IF(B323="","",COUNTA($B$5:B323))</f>
        <v>319</v>
      </c>
      <c r="B323" s="143">
        <v>46273</v>
      </c>
      <c r="C323" s="144" t="s">
        <v>49</v>
      </c>
      <c r="D323" s="145"/>
      <c r="E323" s="146" t="s">
        <v>222</v>
      </c>
      <c r="F323" s="139">
        <v>7001.87</v>
      </c>
      <c r="G323" s="139" t="s">
        <v>203</v>
      </c>
      <c r="H323" s="142">
        <f>IFERROR(VLOOKUP($C323,$C$5:$H$18,6,0)+SUMIF($C$19:$C323,$C323,$F$19:$F323)-SUMIF($C$19:$C323,$C323,$G$19:$G323),"")</f>
        <v>94614.369999998</v>
      </c>
      <c r="I323" s="144"/>
      <c r="J323" s="144"/>
      <c r="K323" s="22">
        <f t="shared" si="4"/>
        <v>202609</v>
      </c>
      <c r="L323" s="40"/>
      <c r="M323"/>
      <c r="N323"/>
      <c r="O323"/>
      <c r="P323"/>
      <c r="Q323"/>
      <c r="R323"/>
      <c r="S323"/>
      <c r="T323"/>
      <c r="U323"/>
      <c r="V323"/>
      <c r="W323" s="41"/>
      <c r="X323" s="41"/>
      <c r="Y323" s="41"/>
    </row>
    <row r="324" s="27" customFormat="1" ht="23" hidden="1" customHeight="1" spans="1:25">
      <c r="A324" s="133">
        <f>IF(B324="","",COUNTA($B$5:B324))</f>
        <v>320</v>
      </c>
      <c r="B324" s="143">
        <v>46273</v>
      </c>
      <c r="C324" s="144" t="s">
        <v>49</v>
      </c>
      <c r="D324" s="145"/>
      <c r="E324" s="146" t="s">
        <v>130</v>
      </c>
      <c r="F324" s="139">
        <v>20024.65</v>
      </c>
      <c r="G324" s="139" t="s">
        <v>203</v>
      </c>
      <c r="H324" s="142">
        <f>IFERROR(VLOOKUP($C324,$C$5:$H$18,6,0)+SUMIF($C$19:$C324,$C324,$F$19:$F324)-SUMIF($C$19:$C324,$C324,$G$19:$G324),"")</f>
        <v>114639.019999998</v>
      </c>
      <c r="I324" s="144"/>
      <c r="J324" s="144"/>
      <c r="K324" s="22">
        <f t="shared" si="4"/>
        <v>202609</v>
      </c>
      <c r="L324" s="40"/>
      <c r="M324"/>
      <c r="N324"/>
      <c r="O324"/>
      <c r="P324"/>
      <c r="Q324"/>
      <c r="R324"/>
      <c r="S324"/>
      <c r="T324"/>
      <c r="U324"/>
      <c r="V324"/>
      <c r="W324" s="41"/>
      <c r="X324" s="41"/>
      <c r="Y324" s="41"/>
    </row>
    <row r="325" s="27" customFormat="1" ht="23" hidden="1" customHeight="1" spans="1:25">
      <c r="A325" s="133">
        <f>IF(B325="","",COUNTA($B$5:B325))</f>
        <v>321</v>
      </c>
      <c r="B325" s="143">
        <v>46273</v>
      </c>
      <c r="C325" s="144" t="s">
        <v>49</v>
      </c>
      <c r="D325" s="145"/>
      <c r="E325" s="146" t="s">
        <v>158</v>
      </c>
      <c r="F325" s="139">
        <v>34.8</v>
      </c>
      <c r="G325" s="139" t="s">
        <v>203</v>
      </c>
      <c r="H325" s="142">
        <f>IFERROR(VLOOKUP($C325,$C$5:$H$18,6,0)+SUMIF($C$19:$C325,$C325,$F$19:$F325)-SUMIF($C$19:$C325,$C325,$G$19:$G325),"")</f>
        <v>114673.819999998</v>
      </c>
      <c r="I325" s="144"/>
      <c r="J325" s="144"/>
      <c r="K325" s="22">
        <f t="shared" ref="K325:K388" si="5">IF($B325="","",--TEXT($B325,"yyyymm"))</f>
        <v>202609</v>
      </c>
      <c r="L325" s="40"/>
      <c r="M325"/>
      <c r="N325"/>
      <c r="O325"/>
      <c r="P325"/>
      <c r="Q325"/>
      <c r="R325"/>
      <c r="S325"/>
      <c r="T325"/>
      <c r="U325"/>
      <c r="V325"/>
      <c r="W325" s="41"/>
      <c r="X325" s="41"/>
      <c r="Y325" s="41"/>
    </row>
    <row r="326" s="27" customFormat="1" ht="23" hidden="1" customHeight="1" spans="1:25">
      <c r="A326" s="133">
        <f>IF(B326="","",COUNTA($B$5:B326))</f>
        <v>322</v>
      </c>
      <c r="B326" s="143">
        <v>46273</v>
      </c>
      <c r="C326" s="144" t="s">
        <v>49</v>
      </c>
      <c r="D326" s="145"/>
      <c r="E326" s="146" t="s">
        <v>223</v>
      </c>
      <c r="F326" s="139">
        <v>897.25</v>
      </c>
      <c r="G326" s="139" t="s">
        <v>203</v>
      </c>
      <c r="H326" s="142">
        <f>IFERROR(VLOOKUP($C326,$C$5:$H$18,6,0)+SUMIF($C$19:$C326,$C326,$F$19:$F326)-SUMIF($C$19:$C326,$C326,$G$19:$G326),"")</f>
        <v>115571.069999998</v>
      </c>
      <c r="I326" s="144"/>
      <c r="J326" s="144"/>
      <c r="K326" s="22">
        <f t="shared" si="5"/>
        <v>202609</v>
      </c>
      <c r="L326" s="40"/>
      <c r="M326"/>
      <c r="N326"/>
      <c r="O326"/>
      <c r="P326"/>
      <c r="Q326"/>
      <c r="R326"/>
      <c r="S326"/>
      <c r="T326"/>
      <c r="U326"/>
      <c r="V326"/>
      <c r="W326" s="41"/>
      <c r="X326" s="41"/>
      <c r="Y326" s="41"/>
    </row>
    <row r="327" s="27" customFormat="1" ht="23" hidden="1" customHeight="1" spans="1:25">
      <c r="A327" s="133">
        <f>IF(B327="","",COUNTA($B$5:B327))</f>
        <v>323</v>
      </c>
      <c r="B327" s="143">
        <v>46273</v>
      </c>
      <c r="C327" s="144" t="s">
        <v>49</v>
      </c>
      <c r="D327" s="145" t="s">
        <v>41</v>
      </c>
      <c r="E327" s="146" t="s">
        <v>126</v>
      </c>
      <c r="F327" s="139" t="s">
        <v>203</v>
      </c>
      <c r="G327" s="139">
        <v>92960</v>
      </c>
      <c r="H327" s="142">
        <f>IFERROR(VLOOKUP($C327,$C$5:$H$18,6,0)+SUMIF($C$19:$C327,$C327,$F$19:$F327)-SUMIF($C$19:$C327,$C327,$G$19:$G327),"")</f>
        <v>22611.069999998</v>
      </c>
      <c r="I327" s="144"/>
      <c r="J327" s="144" t="s">
        <v>45</v>
      </c>
      <c r="K327" s="22">
        <f t="shared" si="5"/>
        <v>202609</v>
      </c>
      <c r="L327" s="40"/>
      <c r="M327"/>
      <c r="N327"/>
      <c r="O327"/>
      <c r="P327"/>
      <c r="Q327"/>
      <c r="R327"/>
      <c r="S327"/>
      <c r="T327"/>
      <c r="U327"/>
      <c r="V327"/>
      <c r="W327" s="41"/>
      <c r="X327" s="41"/>
      <c r="Y327" s="41"/>
    </row>
    <row r="328" s="27" customFormat="1" ht="23" hidden="1" customHeight="1" spans="1:25">
      <c r="A328" s="133">
        <f>IF(B328="","",COUNTA($B$5:B328))</f>
        <v>324</v>
      </c>
      <c r="B328" s="143">
        <v>46273</v>
      </c>
      <c r="C328" s="144" t="s">
        <v>49</v>
      </c>
      <c r="D328" s="145" t="s">
        <v>77</v>
      </c>
      <c r="E328" s="146" t="s">
        <v>122</v>
      </c>
      <c r="F328" s="139" t="s">
        <v>203</v>
      </c>
      <c r="G328" s="139">
        <v>9</v>
      </c>
      <c r="H328" s="142">
        <f>IFERROR(VLOOKUP($C328,$C$5:$H$18,6,0)+SUMIF($C$19:$C328,$C328,$F$19:$F328)-SUMIF($C$19:$C328,$C328,$G$19:$G328),"")</f>
        <v>22602.069999998</v>
      </c>
      <c r="I328" s="144"/>
      <c r="J328" s="144"/>
      <c r="K328" s="22">
        <f t="shared" si="5"/>
        <v>202609</v>
      </c>
      <c r="L328" s="40"/>
      <c r="M328"/>
      <c r="N328"/>
      <c r="O328"/>
      <c r="P328"/>
      <c r="Q328"/>
      <c r="R328"/>
      <c r="S328"/>
      <c r="T328"/>
      <c r="U328"/>
      <c r="V328"/>
      <c r="W328" s="41"/>
      <c r="X328" s="41"/>
      <c r="Y328" s="41"/>
    </row>
    <row r="329" s="27" customFormat="1" ht="23" hidden="1" customHeight="1" spans="1:25">
      <c r="A329" s="133">
        <f>IF(B329="","",COUNTA($B$5:B329))</f>
        <v>325</v>
      </c>
      <c r="B329" s="143">
        <v>46274</v>
      </c>
      <c r="C329" s="144" t="s">
        <v>49</v>
      </c>
      <c r="D329" s="145"/>
      <c r="E329" s="146" t="s">
        <v>224</v>
      </c>
      <c r="F329" s="139">
        <v>6476.17</v>
      </c>
      <c r="G329" s="139" t="s">
        <v>203</v>
      </c>
      <c r="H329" s="142">
        <f>IFERROR(VLOOKUP($C329,$C$5:$H$18,6,0)+SUMIF($C$19:$C329,$C329,$F$19:$F329)-SUMIF($C$19:$C329,$C329,$G$19:$G329),"")</f>
        <v>29078.2399999979</v>
      </c>
      <c r="I329" s="144"/>
      <c r="J329" s="144"/>
      <c r="K329" s="22">
        <f t="shared" si="5"/>
        <v>202609</v>
      </c>
      <c r="L329" s="40"/>
      <c r="M329"/>
      <c r="N329"/>
      <c r="O329"/>
      <c r="P329"/>
      <c r="Q329"/>
      <c r="R329"/>
      <c r="S329"/>
      <c r="T329"/>
      <c r="U329"/>
      <c r="V329"/>
      <c r="W329" s="41"/>
      <c r="X329" s="41"/>
      <c r="Y329" s="41"/>
    </row>
    <row r="330" s="27" customFormat="1" ht="23" hidden="1" customHeight="1" spans="1:25">
      <c r="A330" s="133">
        <f>IF(B330="","",COUNTA($B$5:B330))</f>
        <v>326</v>
      </c>
      <c r="B330" s="143">
        <v>46274</v>
      </c>
      <c r="C330" s="144" t="s">
        <v>49</v>
      </c>
      <c r="D330" s="145"/>
      <c r="E330" s="146" t="s">
        <v>130</v>
      </c>
      <c r="F330" s="139">
        <v>65477.69</v>
      </c>
      <c r="G330" s="139" t="s">
        <v>203</v>
      </c>
      <c r="H330" s="142">
        <f>IFERROR(VLOOKUP($C330,$C$5:$H$18,6,0)+SUMIF($C$19:$C330,$C330,$F$19:$F330)-SUMIF($C$19:$C330,$C330,$G$19:$G330),"")</f>
        <v>94555.9299999981</v>
      </c>
      <c r="I330" s="144"/>
      <c r="J330" s="144"/>
      <c r="K330" s="22">
        <f t="shared" si="5"/>
        <v>202609</v>
      </c>
      <c r="L330" s="40"/>
      <c r="M330"/>
      <c r="N330"/>
      <c r="O330"/>
      <c r="P330"/>
      <c r="Q330"/>
      <c r="R330"/>
      <c r="S330"/>
      <c r="T330"/>
      <c r="U330"/>
      <c r="V330"/>
      <c r="W330" s="41"/>
      <c r="X330" s="41"/>
      <c r="Y330" s="41"/>
    </row>
    <row r="331" s="27" customFormat="1" ht="23" hidden="1" customHeight="1" spans="1:25">
      <c r="A331" s="133">
        <f>IF(B331="","",COUNTA($B$5:B331))</f>
        <v>327</v>
      </c>
      <c r="B331" s="143">
        <v>46274</v>
      </c>
      <c r="C331" s="144" t="s">
        <v>49</v>
      </c>
      <c r="D331" s="145"/>
      <c r="E331" s="146" t="s">
        <v>158</v>
      </c>
      <c r="F331" s="139">
        <v>14.72</v>
      </c>
      <c r="G331" s="139" t="s">
        <v>203</v>
      </c>
      <c r="H331" s="142">
        <f>IFERROR(VLOOKUP($C331,$C$5:$H$18,6,0)+SUMIF($C$19:$C331,$C331,$F$19:$F331)-SUMIF($C$19:$C331,$C331,$G$19:$G331),"")</f>
        <v>94570.6499999983</v>
      </c>
      <c r="I331" s="144"/>
      <c r="J331" s="144"/>
      <c r="K331" s="22">
        <f t="shared" si="5"/>
        <v>202609</v>
      </c>
      <c r="L331" s="40"/>
      <c r="M331"/>
      <c r="N331"/>
      <c r="O331"/>
      <c r="P331"/>
      <c r="Q331"/>
      <c r="R331"/>
      <c r="S331"/>
      <c r="T331"/>
      <c r="U331"/>
      <c r="V331"/>
      <c r="W331" s="41"/>
      <c r="X331" s="41"/>
      <c r="Y331" s="41"/>
    </row>
    <row r="332" s="27" customFormat="1" ht="23" hidden="1" customHeight="1" spans="1:25">
      <c r="A332" s="133">
        <f>IF(B332="","",COUNTA($B$5:B332))</f>
        <v>328</v>
      </c>
      <c r="B332" s="143">
        <v>46274</v>
      </c>
      <c r="C332" s="144" t="s">
        <v>49</v>
      </c>
      <c r="D332" s="145"/>
      <c r="E332" s="146" t="s">
        <v>225</v>
      </c>
      <c r="F332" s="139">
        <v>511.97</v>
      </c>
      <c r="G332" s="139" t="s">
        <v>203</v>
      </c>
      <c r="H332" s="142">
        <f>IFERROR(VLOOKUP($C332,$C$5:$H$18,6,0)+SUMIF($C$19:$C332,$C332,$F$19:$F332)-SUMIF($C$19:$C332,$C332,$G$19:$G332),"")</f>
        <v>95082.6199999985</v>
      </c>
      <c r="I332" s="144"/>
      <c r="J332" s="144"/>
      <c r="K332" s="22">
        <f t="shared" si="5"/>
        <v>202609</v>
      </c>
      <c r="L332" s="40"/>
      <c r="M332"/>
      <c r="N332"/>
      <c r="O332"/>
      <c r="P332"/>
      <c r="Q332"/>
      <c r="R332"/>
      <c r="S332"/>
      <c r="T332"/>
      <c r="U332"/>
      <c r="V332"/>
      <c r="W332" s="41"/>
      <c r="X332" s="41"/>
      <c r="Y332" s="41"/>
    </row>
    <row r="333" s="27" customFormat="1" ht="23" hidden="1" customHeight="1" spans="1:25">
      <c r="A333" s="133">
        <f>IF(B333="","",COUNTA($B$5:B333))</f>
        <v>329</v>
      </c>
      <c r="B333" s="143">
        <v>46275</v>
      </c>
      <c r="C333" s="144" t="s">
        <v>49</v>
      </c>
      <c r="D333" s="145"/>
      <c r="E333" s="146" t="s">
        <v>226</v>
      </c>
      <c r="F333" s="139">
        <v>4459.06</v>
      </c>
      <c r="G333" s="139" t="s">
        <v>203</v>
      </c>
      <c r="H333" s="142">
        <f>IFERROR(VLOOKUP($C333,$C$5:$H$18,6,0)+SUMIF($C$19:$C333,$C333,$F$19:$F333)-SUMIF($C$19:$C333,$C333,$G$19:$G333),"")</f>
        <v>99541.6799999985</v>
      </c>
      <c r="I333" s="144"/>
      <c r="J333" s="144"/>
      <c r="K333" s="22">
        <f t="shared" si="5"/>
        <v>202609</v>
      </c>
      <c r="L333" s="40"/>
      <c r="M333"/>
      <c r="N333"/>
      <c r="O333"/>
      <c r="P333"/>
      <c r="Q333"/>
      <c r="R333"/>
      <c r="S333"/>
      <c r="T333"/>
      <c r="U333"/>
      <c r="V333"/>
      <c r="W333" s="41"/>
      <c r="X333" s="41"/>
      <c r="Y333" s="41"/>
    </row>
    <row r="334" s="27" customFormat="1" ht="23" hidden="1" customHeight="1" spans="1:25">
      <c r="A334" s="133">
        <f>IF(B334="","",COUNTA($B$5:B334))</f>
        <v>330</v>
      </c>
      <c r="B334" s="143">
        <v>46275</v>
      </c>
      <c r="C334" s="144" t="s">
        <v>49</v>
      </c>
      <c r="D334" s="145"/>
      <c r="E334" s="146" t="s">
        <v>130</v>
      </c>
      <c r="F334" s="139">
        <v>30018.28</v>
      </c>
      <c r="G334" s="139" t="s">
        <v>203</v>
      </c>
      <c r="H334" s="142">
        <f>IFERROR(VLOOKUP($C334,$C$5:$H$18,6,0)+SUMIF($C$19:$C334,$C334,$F$19:$F334)-SUMIF($C$19:$C334,$C334,$G$19:$G334),"")</f>
        <v>129559.959999998</v>
      </c>
      <c r="I334" s="144"/>
      <c r="J334" s="144"/>
      <c r="K334" s="22">
        <f t="shared" si="5"/>
        <v>202609</v>
      </c>
      <c r="L334" s="40"/>
      <c r="M334"/>
      <c r="N334"/>
      <c r="O334"/>
      <c r="P334"/>
      <c r="Q334"/>
      <c r="R334"/>
      <c r="S334"/>
      <c r="T334"/>
      <c r="U334"/>
      <c r="V334"/>
      <c r="W334" s="41"/>
      <c r="X334" s="41"/>
      <c r="Y334" s="41"/>
    </row>
    <row r="335" s="27" customFormat="1" ht="23" hidden="1" customHeight="1" spans="1:25">
      <c r="A335" s="133">
        <f>IF(B335="","",COUNTA($B$5:B335))</f>
        <v>331</v>
      </c>
      <c r="B335" s="143">
        <v>46275</v>
      </c>
      <c r="C335" s="144" t="s">
        <v>49</v>
      </c>
      <c r="D335" s="145"/>
      <c r="E335" s="146" t="s">
        <v>158</v>
      </c>
      <c r="F335" s="139">
        <v>20.38</v>
      </c>
      <c r="G335" s="139" t="s">
        <v>203</v>
      </c>
      <c r="H335" s="142">
        <f>IFERROR(VLOOKUP($C335,$C$5:$H$18,6,0)+SUMIF($C$19:$C335,$C335,$F$19:$F335)-SUMIF($C$19:$C335,$C335,$G$19:$G335),"")</f>
        <v>129580.339999998</v>
      </c>
      <c r="I335" s="144"/>
      <c r="J335" s="144"/>
      <c r="K335" s="22">
        <f t="shared" si="5"/>
        <v>202609</v>
      </c>
      <c r="L335" s="40"/>
      <c r="M335"/>
      <c r="N335"/>
      <c r="O335"/>
      <c r="P335"/>
      <c r="Q335"/>
      <c r="R335"/>
      <c r="S335"/>
      <c r="T335"/>
      <c r="U335"/>
      <c r="V335"/>
      <c r="W335" s="41"/>
      <c r="X335" s="41"/>
      <c r="Y335" s="41"/>
    </row>
    <row r="336" s="27" customFormat="1" ht="23" hidden="1" customHeight="1" spans="1:25">
      <c r="A336" s="133">
        <f>IF(B336="","",COUNTA($B$5:B336))</f>
        <v>332</v>
      </c>
      <c r="B336" s="143">
        <v>46275</v>
      </c>
      <c r="C336" s="144" t="s">
        <v>49</v>
      </c>
      <c r="D336" s="145"/>
      <c r="E336" s="146" t="s">
        <v>227</v>
      </c>
      <c r="F336" s="139">
        <v>534.82</v>
      </c>
      <c r="G336" s="139" t="s">
        <v>203</v>
      </c>
      <c r="H336" s="142">
        <f>IFERROR(VLOOKUP($C336,$C$5:$H$18,6,0)+SUMIF($C$19:$C336,$C336,$F$19:$F336)-SUMIF($C$19:$C336,$C336,$G$19:$G336),"")</f>
        <v>130115.159999998</v>
      </c>
      <c r="I336" s="144"/>
      <c r="J336" s="144"/>
      <c r="K336" s="22">
        <f t="shared" si="5"/>
        <v>202609</v>
      </c>
      <c r="L336" s="40"/>
      <c r="M336"/>
      <c r="N336"/>
      <c r="O336"/>
      <c r="P336"/>
      <c r="Q336"/>
      <c r="R336"/>
      <c r="S336"/>
      <c r="T336"/>
      <c r="U336"/>
      <c r="V336"/>
      <c r="W336" s="41"/>
      <c r="X336" s="41"/>
      <c r="Y336" s="41"/>
    </row>
    <row r="337" s="27" customFormat="1" ht="23" hidden="1" customHeight="1" spans="1:25">
      <c r="A337" s="133">
        <f>IF(B337="","",COUNTA($B$5:B337))</f>
        <v>333</v>
      </c>
      <c r="B337" s="143">
        <v>46276</v>
      </c>
      <c r="C337" s="144" t="s">
        <v>49</v>
      </c>
      <c r="D337" s="145"/>
      <c r="E337" s="146" t="s">
        <v>228</v>
      </c>
      <c r="F337" s="139">
        <v>5010.79</v>
      </c>
      <c r="G337" s="139" t="s">
        <v>203</v>
      </c>
      <c r="H337" s="142">
        <f>IFERROR(VLOOKUP($C337,$C$5:$H$18,6,0)+SUMIF($C$19:$C337,$C337,$F$19:$F337)-SUMIF($C$19:$C337,$C337,$G$19:$G337),"")</f>
        <v>135125.949999998</v>
      </c>
      <c r="I337" s="144"/>
      <c r="J337" s="144"/>
      <c r="K337" s="22">
        <f t="shared" si="5"/>
        <v>202609</v>
      </c>
      <c r="L337" s="40"/>
      <c r="M337"/>
      <c r="N337"/>
      <c r="O337"/>
      <c r="P337"/>
      <c r="Q337"/>
      <c r="R337"/>
      <c r="S337"/>
      <c r="T337"/>
      <c r="U337"/>
      <c r="V337"/>
      <c r="W337" s="41"/>
      <c r="X337" s="41"/>
      <c r="Y337" s="41"/>
    </row>
    <row r="338" s="27" customFormat="1" ht="23" hidden="1" customHeight="1" spans="1:25">
      <c r="A338" s="133">
        <f>IF(B338="","",COUNTA($B$5:B338))</f>
        <v>334</v>
      </c>
      <c r="B338" s="143">
        <v>46276</v>
      </c>
      <c r="C338" s="144" t="s">
        <v>49</v>
      </c>
      <c r="D338" s="145"/>
      <c r="E338" s="146" t="s">
        <v>130</v>
      </c>
      <c r="F338" s="139">
        <v>16060.23</v>
      </c>
      <c r="G338" s="139" t="s">
        <v>203</v>
      </c>
      <c r="H338" s="142">
        <f>IFERROR(VLOOKUP($C338,$C$5:$H$18,6,0)+SUMIF($C$19:$C338,$C338,$F$19:$F338)-SUMIF($C$19:$C338,$C338,$G$19:$G338),"")</f>
        <v>151186.179999998</v>
      </c>
      <c r="I338" s="144"/>
      <c r="J338" s="144"/>
      <c r="K338" s="22">
        <f t="shared" si="5"/>
        <v>202609</v>
      </c>
      <c r="L338" s="40"/>
      <c r="M338"/>
      <c r="N338"/>
      <c r="O338"/>
      <c r="P338"/>
      <c r="Q338"/>
      <c r="R338"/>
      <c r="S338"/>
      <c r="T338"/>
      <c r="U338"/>
      <c r="V338"/>
      <c r="W338" s="41"/>
      <c r="X338" s="41"/>
      <c r="Y338" s="41"/>
    </row>
    <row r="339" s="27" customFormat="1" ht="23" hidden="1" customHeight="1" spans="1:25">
      <c r="A339" s="133">
        <f>IF(B339="","",COUNTA($B$5:B339))</f>
        <v>335</v>
      </c>
      <c r="B339" s="143">
        <v>46276</v>
      </c>
      <c r="C339" s="144" t="s">
        <v>49</v>
      </c>
      <c r="D339" s="145"/>
      <c r="E339" s="146" t="s">
        <v>158</v>
      </c>
      <c r="F339" s="139">
        <v>29.93</v>
      </c>
      <c r="G339" s="139" t="s">
        <v>203</v>
      </c>
      <c r="H339" s="142">
        <f>IFERROR(VLOOKUP($C339,$C$5:$H$18,6,0)+SUMIF($C$19:$C339,$C339,$F$19:$F339)-SUMIF($C$19:$C339,$C339,$G$19:$G339),"")</f>
        <v>151216.109999998</v>
      </c>
      <c r="I339" s="144"/>
      <c r="J339" s="144"/>
      <c r="K339" s="22">
        <f t="shared" si="5"/>
        <v>202609</v>
      </c>
      <c r="L339" s="40"/>
      <c r="M339"/>
      <c r="N339"/>
      <c r="O339"/>
      <c r="P339"/>
      <c r="Q339"/>
      <c r="R339"/>
      <c r="S339"/>
      <c r="T339"/>
      <c r="U339"/>
      <c r="V339"/>
      <c r="W339" s="41"/>
      <c r="X339" s="41"/>
      <c r="Y339" s="41"/>
    </row>
    <row r="340" s="27" customFormat="1" ht="23" hidden="1" customHeight="1" spans="1:25">
      <c r="A340" s="133">
        <f>IF(B340="","",COUNTA($B$5:B340))</f>
        <v>336</v>
      </c>
      <c r="B340" s="143">
        <v>46276</v>
      </c>
      <c r="C340" s="144" t="s">
        <v>49</v>
      </c>
      <c r="D340" s="145"/>
      <c r="E340" s="146" t="s">
        <v>229</v>
      </c>
      <c r="F340" s="139">
        <v>358.34</v>
      </c>
      <c r="G340" s="139" t="s">
        <v>203</v>
      </c>
      <c r="H340" s="142">
        <f>IFERROR(VLOOKUP($C340,$C$5:$H$18,6,0)+SUMIF($C$19:$C340,$C340,$F$19:$F340)-SUMIF($C$19:$C340,$C340,$G$19:$G340),"")</f>
        <v>151574.449999998</v>
      </c>
      <c r="I340" s="144"/>
      <c r="J340" s="144"/>
      <c r="K340" s="22">
        <f t="shared" si="5"/>
        <v>202609</v>
      </c>
      <c r="L340" s="40"/>
      <c r="M340"/>
      <c r="N340"/>
      <c r="O340"/>
      <c r="P340"/>
      <c r="Q340"/>
      <c r="R340"/>
      <c r="S340"/>
      <c r="T340"/>
      <c r="U340"/>
      <c r="V340"/>
      <c r="W340" s="41"/>
      <c r="X340" s="41"/>
      <c r="Y340" s="41"/>
    </row>
    <row r="341" s="27" customFormat="1" ht="23" hidden="1" customHeight="1" spans="1:25">
      <c r="A341" s="133">
        <f>IF(B341="","",COUNTA($B$5:B341))</f>
        <v>337</v>
      </c>
      <c r="B341" s="143">
        <v>46277</v>
      </c>
      <c r="C341" s="144" t="s">
        <v>49</v>
      </c>
      <c r="D341" s="145"/>
      <c r="E341" s="146" t="s">
        <v>230</v>
      </c>
      <c r="F341" s="139">
        <v>6716.76</v>
      </c>
      <c r="G341" s="139" t="s">
        <v>203</v>
      </c>
      <c r="H341" s="142">
        <f>IFERROR(VLOOKUP($C341,$C$5:$H$18,6,0)+SUMIF($C$19:$C341,$C341,$F$19:$F341)-SUMIF($C$19:$C341,$C341,$G$19:$G341),"")</f>
        <v>158291.209999998</v>
      </c>
      <c r="I341" s="144"/>
      <c r="J341" s="144"/>
      <c r="K341" s="22">
        <f t="shared" si="5"/>
        <v>202609</v>
      </c>
      <c r="L341" s="40"/>
      <c r="M341"/>
      <c r="N341"/>
      <c r="O341"/>
      <c r="P341"/>
      <c r="Q341"/>
      <c r="R341"/>
      <c r="S341"/>
      <c r="T341"/>
      <c r="U341"/>
      <c r="V341"/>
      <c r="W341" s="41"/>
      <c r="X341" s="41"/>
      <c r="Y341" s="41"/>
    </row>
    <row r="342" s="27" customFormat="1" ht="23" hidden="1" customHeight="1" spans="1:25">
      <c r="A342" s="133">
        <f>IF(B342="","",COUNTA($B$5:B342))</f>
        <v>338</v>
      </c>
      <c r="B342" s="143">
        <v>46277</v>
      </c>
      <c r="C342" s="144" t="s">
        <v>49</v>
      </c>
      <c r="D342" s="145"/>
      <c r="E342" s="146" t="s">
        <v>130</v>
      </c>
      <c r="F342" s="139">
        <v>13725.09</v>
      </c>
      <c r="G342" s="139" t="s">
        <v>203</v>
      </c>
      <c r="H342" s="142">
        <f>IFERROR(VLOOKUP($C342,$C$5:$H$18,6,0)+SUMIF($C$19:$C342,$C342,$F$19:$F342)-SUMIF($C$19:$C342,$C342,$G$19:$G342),"")</f>
        <v>172016.299999998</v>
      </c>
      <c r="I342" s="144"/>
      <c r="J342" s="144"/>
      <c r="K342" s="22">
        <f t="shared" si="5"/>
        <v>202609</v>
      </c>
      <c r="L342" s="40"/>
      <c r="M342"/>
      <c r="N342"/>
      <c r="O342"/>
      <c r="P342"/>
      <c r="Q342"/>
      <c r="R342"/>
      <c r="S342"/>
      <c r="T342"/>
      <c r="U342"/>
      <c r="V342"/>
      <c r="W342" s="41"/>
      <c r="X342" s="41"/>
      <c r="Y342" s="41"/>
    </row>
    <row r="343" s="27" customFormat="1" ht="23" hidden="1" customHeight="1" spans="1:25">
      <c r="A343" s="133">
        <f>IF(B343="","",COUNTA($B$5:B343))</f>
        <v>339</v>
      </c>
      <c r="B343" s="143">
        <v>46277</v>
      </c>
      <c r="C343" s="144" t="s">
        <v>49</v>
      </c>
      <c r="D343" s="145"/>
      <c r="E343" s="146" t="s">
        <v>158</v>
      </c>
      <c r="F343" s="139">
        <v>29.93</v>
      </c>
      <c r="G343" s="139" t="s">
        <v>203</v>
      </c>
      <c r="H343" s="142">
        <f>IFERROR(VLOOKUP($C343,$C$5:$H$18,6,0)+SUMIF($C$19:$C343,$C343,$F$19:$F343)-SUMIF($C$19:$C343,$C343,$G$19:$G343),"")</f>
        <v>172046.229999998</v>
      </c>
      <c r="I343" s="144"/>
      <c r="J343" s="144"/>
      <c r="K343" s="22">
        <f t="shared" si="5"/>
        <v>202609</v>
      </c>
      <c r="L343" s="40"/>
      <c r="M343"/>
      <c r="N343"/>
      <c r="O343"/>
      <c r="P343"/>
      <c r="Q343"/>
      <c r="R343"/>
      <c r="S343"/>
      <c r="T343"/>
      <c r="U343"/>
      <c r="V343"/>
      <c r="W343" s="41"/>
      <c r="X343" s="41"/>
      <c r="Y343" s="41"/>
    </row>
    <row r="344" s="27" customFormat="1" ht="23" hidden="1" customHeight="1" spans="1:25">
      <c r="A344" s="133">
        <f>IF(B344="","",COUNTA($B$5:B344))</f>
        <v>340</v>
      </c>
      <c r="B344" s="143">
        <v>46277</v>
      </c>
      <c r="C344" s="144" t="s">
        <v>49</v>
      </c>
      <c r="D344" s="145"/>
      <c r="E344" s="146" t="s">
        <v>231</v>
      </c>
      <c r="F344" s="139">
        <v>346.59</v>
      </c>
      <c r="G344" s="139" t="s">
        <v>203</v>
      </c>
      <c r="H344" s="142">
        <f>IFERROR(VLOOKUP($C344,$C$5:$H$18,6,0)+SUMIF($C$19:$C344,$C344,$F$19:$F344)-SUMIF($C$19:$C344,$C344,$G$19:$G344),"")</f>
        <v>172392.819999998</v>
      </c>
      <c r="I344" s="144"/>
      <c r="J344" s="144"/>
      <c r="K344" s="22">
        <f t="shared" si="5"/>
        <v>202609</v>
      </c>
      <c r="L344" s="40"/>
      <c r="M344"/>
      <c r="N344"/>
      <c r="O344"/>
      <c r="P344"/>
      <c r="Q344"/>
      <c r="R344"/>
      <c r="S344"/>
      <c r="T344"/>
      <c r="U344"/>
      <c r="V344"/>
      <c r="W344" s="41"/>
      <c r="X344" s="41"/>
      <c r="Y344" s="41"/>
    </row>
    <row r="345" s="27" customFormat="1" ht="23" hidden="1" customHeight="1" spans="1:25">
      <c r="A345" s="133">
        <f>IF(B345="","",COUNTA($B$5:B345))</f>
        <v>341</v>
      </c>
      <c r="B345" s="143">
        <v>46277</v>
      </c>
      <c r="C345" s="144" t="s">
        <v>49</v>
      </c>
      <c r="D345" s="145" t="s">
        <v>62</v>
      </c>
      <c r="E345" s="146" t="s">
        <v>146</v>
      </c>
      <c r="F345" s="139" t="s">
        <v>203</v>
      </c>
      <c r="G345" s="139">
        <v>7161</v>
      </c>
      <c r="H345" s="142">
        <f>IFERROR(VLOOKUP($C345,$C$5:$H$18,6,0)+SUMIF($C$19:$C345,$C345,$F$19:$F345)-SUMIF($C$19:$C345,$C345,$G$19:$G345),"")</f>
        <v>165231.819999998</v>
      </c>
      <c r="I345" s="144"/>
      <c r="J345" s="144"/>
      <c r="K345" s="22">
        <f t="shared" si="5"/>
        <v>202609</v>
      </c>
      <c r="L345" s="40"/>
      <c r="M345"/>
      <c r="N345"/>
      <c r="O345"/>
      <c r="P345"/>
      <c r="Q345"/>
      <c r="R345"/>
      <c r="S345"/>
      <c r="T345"/>
      <c r="U345"/>
      <c r="V345"/>
      <c r="W345" s="41"/>
      <c r="X345" s="41"/>
      <c r="Y345" s="41"/>
    </row>
    <row r="346" s="27" customFormat="1" ht="23" hidden="1" customHeight="1" spans="1:25">
      <c r="A346" s="133">
        <f>IF(B346="","",COUNTA($B$5:B346))</f>
        <v>342</v>
      </c>
      <c r="B346" s="143">
        <v>46277</v>
      </c>
      <c r="C346" s="144" t="s">
        <v>49</v>
      </c>
      <c r="D346" s="145" t="s">
        <v>77</v>
      </c>
      <c r="E346" s="146" t="s">
        <v>122</v>
      </c>
      <c r="F346" s="139" t="s">
        <v>203</v>
      </c>
      <c r="G346" s="139">
        <v>4.5</v>
      </c>
      <c r="H346" s="142">
        <f>IFERROR(VLOOKUP($C346,$C$5:$H$18,6,0)+SUMIF($C$19:$C346,$C346,$F$19:$F346)-SUMIF($C$19:$C346,$C346,$G$19:$G346),"")</f>
        <v>165227.319999998</v>
      </c>
      <c r="I346" s="144"/>
      <c r="J346" s="144"/>
      <c r="K346" s="22">
        <f t="shared" si="5"/>
        <v>202609</v>
      </c>
      <c r="L346" s="40"/>
      <c r="M346"/>
      <c r="N346"/>
      <c r="O346"/>
      <c r="P346"/>
      <c r="Q346"/>
      <c r="R346"/>
      <c r="S346"/>
      <c r="T346"/>
      <c r="U346"/>
      <c r="V346"/>
      <c r="W346" s="41"/>
      <c r="X346" s="41"/>
      <c r="Y346" s="41"/>
    </row>
    <row r="347" s="27" customFormat="1" ht="23" hidden="1" customHeight="1" spans="1:25">
      <c r="A347" s="133">
        <f>IF(B347="","",COUNTA($B$5:B347))</f>
        <v>343</v>
      </c>
      <c r="B347" s="143">
        <v>46277</v>
      </c>
      <c r="C347" s="144" t="s">
        <v>49</v>
      </c>
      <c r="D347" s="145" t="s">
        <v>62</v>
      </c>
      <c r="E347" s="146" t="s">
        <v>147</v>
      </c>
      <c r="F347" s="139" t="s">
        <v>203</v>
      </c>
      <c r="G347" s="139">
        <v>5485</v>
      </c>
      <c r="H347" s="142">
        <f>IFERROR(VLOOKUP($C347,$C$5:$H$18,6,0)+SUMIF($C$19:$C347,$C347,$F$19:$F347)-SUMIF($C$19:$C347,$C347,$G$19:$G347),"")</f>
        <v>159742.319999998</v>
      </c>
      <c r="I347" s="144"/>
      <c r="J347" s="144"/>
      <c r="K347" s="22">
        <f t="shared" si="5"/>
        <v>202609</v>
      </c>
      <c r="L347" s="40"/>
      <c r="M347"/>
      <c r="N347"/>
      <c r="O347"/>
      <c r="P347"/>
      <c r="Q347"/>
      <c r="R347"/>
      <c r="S347"/>
      <c r="T347"/>
      <c r="U347"/>
      <c r="V347"/>
      <c r="W347" s="41"/>
      <c r="X347" s="41"/>
      <c r="Y347" s="41"/>
    </row>
    <row r="348" s="27" customFormat="1" ht="23" hidden="1" customHeight="1" spans="1:25">
      <c r="A348" s="133">
        <f>IF(B348="","",COUNTA($B$5:B348))</f>
        <v>344</v>
      </c>
      <c r="B348" s="143">
        <v>46277</v>
      </c>
      <c r="C348" s="144" t="s">
        <v>49</v>
      </c>
      <c r="D348" s="145" t="s">
        <v>77</v>
      </c>
      <c r="E348" s="146" t="s">
        <v>122</v>
      </c>
      <c r="F348" s="139" t="s">
        <v>203</v>
      </c>
      <c r="G348" s="139">
        <v>4.5</v>
      </c>
      <c r="H348" s="142">
        <f>IFERROR(VLOOKUP($C348,$C$5:$H$18,6,0)+SUMIF($C$19:$C348,$C348,$F$19:$F348)-SUMIF($C$19:$C348,$C348,$G$19:$G348),"")</f>
        <v>159737.819999998</v>
      </c>
      <c r="I348" s="144"/>
      <c r="J348" s="144"/>
      <c r="K348" s="22">
        <f t="shared" si="5"/>
        <v>202609</v>
      </c>
      <c r="L348" s="40"/>
      <c r="M348"/>
      <c r="N348"/>
      <c r="O348"/>
      <c r="P348"/>
      <c r="Q348"/>
      <c r="R348"/>
      <c r="S348"/>
      <c r="T348"/>
      <c r="U348"/>
      <c r="V348"/>
      <c r="W348" s="41"/>
      <c r="X348" s="41"/>
      <c r="Y348" s="41"/>
    </row>
    <row r="349" s="27" customFormat="1" ht="23" hidden="1" customHeight="1" spans="1:25">
      <c r="A349" s="133">
        <f>IF(B349="","",COUNTA($B$5:B349))</f>
        <v>345</v>
      </c>
      <c r="B349" s="143">
        <v>46277</v>
      </c>
      <c r="C349" s="144" t="s">
        <v>49</v>
      </c>
      <c r="D349" s="145" t="s">
        <v>62</v>
      </c>
      <c r="E349" s="146" t="s">
        <v>148</v>
      </c>
      <c r="F349" s="139" t="s">
        <v>203</v>
      </c>
      <c r="G349" s="139">
        <v>5900</v>
      </c>
      <c r="H349" s="142">
        <f>IFERROR(VLOOKUP($C349,$C$5:$H$18,6,0)+SUMIF($C$19:$C349,$C349,$F$19:$F349)-SUMIF($C$19:$C349,$C349,$G$19:$G349),"")</f>
        <v>153837.819999998</v>
      </c>
      <c r="I349" s="144"/>
      <c r="J349" s="144"/>
      <c r="K349" s="22">
        <f t="shared" si="5"/>
        <v>202609</v>
      </c>
      <c r="L349" s="40"/>
      <c r="M349"/>
      <c r="N349"/>
      <c r="O349"/>
      <c r="P349"/>
      <c r="Q349"/>
      <c r="R349"/>
      <c r="S349"/>
      <c r="T349"/>
      <c r="U349"/>
      <c r="V349"/>
      <c r="W349" s="41"/>
      <c r="X349" s="41"/>
      <c r="Y349" s="41"/>
    </row>
    <row r="350" s="27" customFormat="1" ht="23" hidden="1" customHeight="1" spans="1:25">
      <c r="A350" s="133">
        <f>IF(B350="","",COUNTA($B$5:B350))</f>
        <v>346</v>
      </c>
      <c r="B350" s="143">
        <v>46277</v>
      </c>
      <c r="C350" s="144" t="s">
        <v>49</v>
      </c>
      <c r="D350" s="145" t="s">
        <v>77</v>
      </c>
      <c r="E350" s="146" t="s">
        <v>122</v>
      </c>
      <c r="F350" s="139" t="s">
        <v>203</v>
      </c>
      <c r="G350" s="139">
        <v>4.5</v>
      </c>
      <c r="H350" s="142">
        <f>IFERROR(VLOOKUP($C350,$C$5:$H$18,6,0)+SUMIF($C$19:$C350,$C350,$F$19:$F350)-SUMIF($C$19:$C350,$C350,$G$19:$G350),"")</f>
        <v>153833.319999998</v>
      </c>
      <c r="I350" s="144"/>
      <c r="J350" s="144"/>
      <c r="K350" s="22">
        <f t="shared" si="5"/>
        <v>202609</v>
      </c>
      <c r="L350" s="40"/>
      <c r="M350"/>
      <c r="N350"/>
      <c r="O350"/>
      <c r="P350"/>
      <c r="Q350"/>
      <c r="R350"/>
      <c r="S350"/>
      <c r="T350"/>
      <c r="U350"/>
      <c r="V350"/>
      <c r="W350" s="41"/>
      <c r="X350" s="41"/>
      <c r="Y350" s="41"/>
    </row>
    <row r="351" s="27" customFormat="1" ht="23" hidden="1" customHeight="1" spans="1:25">
      <c r="A351" s="133">
        <f>IF(B351="","",COUNTA($B$5:B351))</f>
        <v>347</v>
      </c>
      <c r="B351" s="143">
        <v>46277</v>
      </c>
      <c r="C351" s="144" t="s">
        <v>49</v>
      </c>
      <c r="D351" s="145" t="s">
        <v>62</v>
      </c>
      <c r="E351" s="146" t="s">
        <v>149</v>
      </c>
      <c r="F351" s="139" t="s">
        <v>203</v>
      </c>
      <c r="G351" s="139">
        <v>8268</v>
      </c>
      <c r="H351" s="142">
        <f>IFERROR(VLOOKUP($C351,$C$5:$H$18,6,0)+SUMIF($C$19:$C351,$C351,$F$19:$F351)-SUMIF($C$19:$C351,$C351,$G$19:$G351),"")</f>
        <v>145565.319999998</v>
      </c>
      <c r="I351" s="144"/>
      <c r="J351" s="144"/>
      <c r="K351" s="22">
        <f t="shared" si="5"/>
        <v>202609</v>
      </c>
      <c r="L351" s="40"/>
      <c r="M351"/>
      <c r="N351"/>
      <c r="O351"/>
      <c r="P351"/>
      <c r="Q351"/>
      <c r="R351"/>
      <c r="S351"/>
      <c r="T351"/>
      <c r="U351"/>
      <c r="V351"/>
      <c r="W351" s="41"/>
      <c r="X351" s="41"/>
      <c r="Y351" s="41"/>
    </row>
    <row r="352" s="27" customFormat="1" ht="23" hidden="1" customHeight="1" spans="1:25">
      <c r="A352" s="133">
        <f>IF(B352="","",COUNTA($B$5:B352))</f>
        <v>348</v>
      </c>
      <c r="B352" s="143">
        <v>46277</v>
      </c>
      <c r="C352" s="144" t="s">
        <v>49</v>
      </c>
      <c r="D352" s="145" t="s">
        <v>77</v>
      </c>
      <c r="E352" s="146" t="s">
        <v>122</v>
      </c>
      <c r="F352" s="139" t="s">
        <v>203</v>
      </c>
      <c r="G352" s="139">
        <v>4.5</v>
      </c>
      <c r="H352" s="142">
        <f>IFERROR(VLOOKUP($C352,$C$5:$H$18,6,0)+SUMIF($C$19:$C352,$C352,$F$19:$F352)-SUMIF($C$19:$C352,$C352,$G$19:$G352),"")</f>
        <v>145560.819999998</v>
      </c>
      <c r="I352" s="144"/>
      <c r="J352" s="144"/>
      <c r="K352" s="22">
        <f t="shared" si="5"/>
        <v>202609</v>
      </c>
      <c r="L352" s="40"/>
      <c r="M352"/>
      <c r="N352"/>
      <c r="O352"/>
      <c r="P352"/>
      <c r="Q352"/>
      <c r="R352"/>
      <c r="S352"/>
      <c r="T352"/>
      <c r="U352"/>
      <c r="V352"/>
      <c r="W352" s="41"/>
      <c r="X352" s="41"/>
      <c r="Y352" s="41"/>
    </row>
    <row r="353" s="27" customFormat="1" ht="23" hidden="1" customHeight="1" spans="1:25">
      <c r="A353" s="133">
        <f>IF(B353="","",COUNTA($B$5:B353))</f>
        <v>349</v>
      </c>
      <c r="B353" s="143">
        <v>46277</v>
      </c>
      <c r="C353" s="144" t="s">
        <v>49</v>
      </c>
      <c r="D353" s="145" t="s">
        <v>62</v>
      </c>
      <c r="E353" s="146" t="s">
        <v>150</v>
      </c>
      <c r="F353" s="139" t="s">
        <v>203</v>
      </c>
      <c r="G353" s="139">
        <v>5944</v>
      </c>
      <c r="H353" s="142">
        <f>IFERROR(VLOOKUP($C353,$C$5:$H$18,6,0)+SUMIF($C$19:$C353,$C353,$F$19:$F353)-SUMIF($C$19:$C353,$C353,$G$19:$G353),"")</f>
        <v>139616.819999998</v>
      </c>
      <c r="I353" s="144"/>
      <c r="J353" s="144"/>
      <c r="K353" s="22">
        <f t="shared" si="5"/>
        <v>202609</v>
      </c>
      <c r="L353" s="40"/>
      <c r="M353"/>
      <c r="N353"/>
      <c r="O353"/>
      <c r="P353"/>
      <c r="Q353"/>
      <c r="R353"/>
      <c r="S353"/>
      <c r="T353"/>
      <c r="U353"/>
      <c r="V353"/>
      <c r="W353" s="41"/>
      <c r="X353" s="41"/>
      <c r="Y353" s="41"/>
    </row>
    <row r="354" s="27" customFormat="1" ht="23" hidden="1" customHeight="1" spans="1:25">
      <c r="A354" s="133">
        <f>IF(B354="","",COUNTA($B$5:B354))</f>
        <v>350</v>
      </c>
      <c r="B354" s="143">
        <v>46277</v>
      </c>
      <c r="C354" s="144" t="s">
        <v>49</v>
      </c>
      <c r="D354" s="145" t="s">
        <v>77</v>
      </c>
      <c r="E354" s="146" t="s">
        <v>122</v>
      </c>
      <c r="F354" s="139" t="s">
        <v>203</v>
      </c>
      <c r="G354" s="139">
        <v>4.5</v>
      </c>
      <c r="H354" s="142">
        <f>IFERROR(VLOOKUP($C354,$C$5:$H$18,6,0)+SUMIF($C$19:$C354,$C354,$F$19:$F354)-SUMIF($C$19:$C354,$C354,$G$19:$G354),"")</f>
        <v>139612.319999998</v>
      </c>
      <c r="I354" s="144"/>
      <c r="J354" s="144"/>
      <c r="K354" s="22">
        <f t="shared" si="5"/>
        <v>202609</v>
      </c>
      <c r="L354" s="40"/>
      <c r="M354"/>
      <c r="N354"/>
      <c r="O354"/>
      <c r="P354"/>
      <c r="Q354"/>
      <c r="R354"/>
      <c r="S354"/>
      <c r="T354"/>
      <c r="U354"/>
      <c r="V354"/>
      <c r="W354" s="41"/>
      <c r="X354" s="41"/>
      <c r="Y354" s="41"/>
    </row>
    <row r="355" s="27" customFormat="1" ht="23" hidden="1" customHeight="1" spans="1:25">
      <c r="A355" s="133">
        <f>IF(B355="","",COUNTA($B$5:B355))</f>
        <v>351</v>
      </c>
      <c r="B355" s="143">
        <v>46277</v>
      </c>
      <c r="C355" s="144" t="s">
        <v>49</v>
      </c>
      <c r="D355" s="145" t="s">
        <v>62</v>
      </c>
      <c r="E355" s="146" t="s">
        <v>151</v>
      </c>
      <c r="F355" s="139" t="s">
        <v>203</v>
      </c>
      <c r="G355" s="139">
        <v>7824</v>
      </c>
      <c r="H355" s="142">
        <f>IFERROR(VLOOKUP($C355,$C$5:$H$18,6,0)+SUMIF($C$19:$C355,$C355,$F$19:$F355)-SUMIF($C$19:$C355,$C355,$G$19:$G355),"")</f>
        <v>131788.319999998</v>
      </c>
      <c r="I355" s="144"/>
      <c r="J355" s="144"/>
      <c r="K355" s="22">
        <f t="shared" si="5"/>
        <v>202609</v>
      </c>
      <c r="L355" s="40"/>
      <c r="M355"/>
      <c r="N355"/>
      <c r="O355"/>
      <c r="P355"/>
      <c r="Q355"/>
      <c r="R355"/>
      <c r="S355"/>
      <c r="T355"/>
      <c r="U355"/>
      <c r="V355"/>
      <c r="W355" s="41"/>
      <c r="X355" s="41"/>
      <c r="Y355" s="41"/>
    </row>
    <row r="356" s="27" customFormat="1" ht="23" hidden="1" customHeight="1" spans="1:25">
      <c r="A356" s="133">
        <f>IF(B356="","",COUNTA($B$5:B356))</f>
        <v>352</v>
      </c>
      <c r="B356" s="143">
        <v>46277</v>
      </c>
      <c r="C356" s="144" t="s">
        <v>49</v>
      </c>
      <c r="D356" s="145" t="s">
        <v>77</v>
      </c>
      <c r="E356" s="146" t="s">
        <v>122</v>
      </c>
      <c r="F356" s="139" t="s">
        <v>203</v>
      </c>
      <c r="G356" s="139">
        <v>4.5</v>
      </c>
      <c r="H356" s="142">
        <f>IFERROR(VLOOKUP($C356,$C$5:$H$18,6,0)+SUMIF($C$19:$C356,$C356,$F$19:$F356)-SUMIF($C$19:$C356,$C356,$G$19:$G356),"")</f>
        <v>131783.819999998</v>
      </c>
      <c r="I356" s="144"/>
      <c r="J356" s="144"/>
      <c r="K356" s="22">
        <f t="shared" si="5"/>
        <v>202609</v>
      </c>
      <c r="L356" s="40"/>
      <c r="M356"/>
      <c r="N356"/>
      <c r="O356"/>
      <c r="P356"/>
      <c r="Q356"/>
      <c r="R356"/>
      <c r="S356"/>
      <c r="T356"/>
      <c r="U356"/>
      <c r="V356"/>
      <c r="W356" s="41"/>
      <c r="X356" s="41"/>
      <c r="Y356" s="41"/>
    </row>
    <row r="357" s="27" customFormat="1" ht="23" hidden="1" customHeight="1" spans="1:25">
      <c r="A357" s="133">
        <f>IF(B357="","",COUNTA($B$5:B357))</f>
        <v>353</v>
      </c>
      <c r="B357" s="143">
        <v>46277</v>
      </c>
      <c r="C357" s="144" t="s">
        <v>49</v>
      </c>
      <c r="D357" s="145" t="s">
        <v>62</v>
      </c>
      <c r="E357" s="146" t="s">
        <v>152</v>
      </c>
      <c r="F357" s="139" t="s">
        <v>203</v>
      </c>
      <c r="G357" s="139">
        <v>5473</v>
      </c>
      <c r="H357" s="142">
        <f>IFERROR(VLOOKUP($C357,$C$5:$H$18,6,0)+SUMIF($C$19:$C357,$C357,$F$19:$F357)-SUMIF($C$19:$C357,$C357,$G$19:$G357),"")</f>
        <v>126310.819999998</v>
      </c>
      <c r="I357" s="144"/>
      <c r="J357" s="144"/>
      <c r="K357" s="22">
        <f t="shared" si="5"/>
        <v>202609</v>
      </c>
      <c r="L357" s="40"/>
      <c r="M357"/>
      <c r="N357"/>
      <c r="O357"/>
      <c r="P357"/>
      <c r="Q357"/>
      <c r="R357"/>
      <c r="S357"/>
      <c r="T357"/>
      <c r="U357"/>
      <c r="V357"/>
      <c r="W357" s="41"/>
      <c r="X357" s="41"/>
      <c r="Y357" s="41"/>
    </row>
    <row r="358" s="27" customFormat="1" ht="23" hidden="1" customHeight="1" spans="1:25">
      <c r="A358" s="133">
        <f>IF(B358="","",COUNTA($B$5:B358))</f>
        <v>354</v>
      </c>
      <c r="B358" s="143">
        <v>46277</v>
      </c>
      <c r="C358" s="144" t="s">
        <v>49</v>
      </c>
      <c r="D358" s="145" t="s">
        <v>77</v>
      </c>
      <c r="E358" s="146" t="s">
        <v>122</v>
      </c>
      <c r="F358" s="139" t="s">
        <v>203</v>
      </c>
      <c r="G358" s="139">
        <v>4.5</v>
      </c>
      <c r="H358" s="142">
        <f>IFERROR(VLOOKUP($C358,$C$5:$H$18,6,0)+SUMIF($C$19:$C358,$C358,$F$19:$F358)-SUMIF($C$19:$C358,$C358,$G$19:$G358),"")</f>
        <v>126306.319999998</v>
      </c>
      <c r="I358" s="144"/>
      <c r="J358" s="144"/>
      <c r="K358" s="22">
        <f t="shared" si="5"/>
        <v>202609</v>
      </c>
      <c r="L358" s="40"/>
      <c r="M358"/>
      <c r="N358"/>
      <c r="O358"/>
      <c r="P358"/>
      <c r="Q358"/>
      <c r="R358"/>
      <c r="S358"/>
      <c r="T358"/>
      <c r="U358"/>
      <c r="V358"/>
      <c r="W358" s="41"/>
      <c r="X358" s="41"/>
      <c r="Y358" s="41"/>
    </row>
    <row r="359" s="27" customFormat="1" ht="23" hidden="1" customHeight="1" spans="1:25">
      <c r="A359" s="133">
        <f>IF(B359="","",COUNTA($B$5:B359))</f>
        <v>355</v>
      </c>
      <c r="B359" s="143">
        <v>46277</v>
      </c>
      <c r="C359" s="144" t="s">
        <v>49</v>
      </c>
      <c r="D359" s="145" t="s">
        <v>62</v>
      </c>
      <c r="E359" s="146" t="s">
        <v>153</v>
      </c>
      <c r="F359" s="139" t="s">
        <v>203</v>
      </c>
      <c r="G359" s="139">
        <v>7799</v>
      </c>
      <c r="H359" s="142">
        <f>IFERROR(VLOOKUP($C359,$C$5:$H$18,6,0)+SUMIF($C$19:$C359,$C359,$F$19:$F359)-SUMIF($C$19:$C359,$C359,$G$19:$G359),"")</f>
        <v>118507.319999998</v>
      </c>
      <c r="I359" s="144"/>
      <c r="J359" s="144"/>
      <c r="K359" s="22">
        <f t="shared" si="5"/>
        <v>202609</v>
      </c>
      <c r="L359" s="40"/>
      <c r="M359"/>
      <c r="N359"/>
      <c r="O359"/>
      <c r="P359"/>
      <c r="Q359"/>
      <c r="R359"/>
      <c r="S359"/>
      <c r="T359"/>
      <c r="U359"/>
      <c r="V359"/>
      <c r="W359" s="41"/>
      <c r="X359" s="41"/>
      <c r="Y359" s="41"/>
    </row>
    <row r="360" s="27" customFormat="1" ht="23" hidden="1" customHeight="1" spans="1:25">
      <c r="A360" s="133">
        <f>IF(B360="","",COUNTA($B$5:B360))</f>
        <v>356</v>
      </c>
      <c r="B360" s="143">
        <v>46277</v>
      </c>
      <c r="C360" s="144" t="s">
        <v>49</v>
      </c>
      <c r="D360" s="145" t="s">
        <v>77</v>
      </c>
      <c r="E360" s="146" t="s">
        <v>122</v>
      </c>
      <c r="F360" s="139" t="s">
        <v>203</v>
      </c>
      <c r="G360" s="139">
        <v>4.5</v>
      </c>
      <c r="H360" s="142">
        <f>IFERROR(VLOOKUP($C360,$C$5:$H$18,6,0)+SUMIF($C$19:$C360,$C360,$F$19:$F360)-SUMIF($C$19:$C360,$C360,$G$19:$G360),"")</f>
        <v>118502.819999998</v>
      </c>
      <c r="I360" s="144"/>
      <c r="J360" s="144"/>
      <c r="K360" s="22">
        <f t="shared" si="5"/>
        <v>202609</v>
      </c>
      <c r="L360" s="40"/>
      <c r="M360"/>
      <c r="N360"/>
      <c r="O360"/>
      <c r="P360"/>
      <c r="Q360"/>
      <c r="R360"/>
      <c r="S360"/>
      <c r="T360"/>
      <c r="U360"/>
      <c r="V360"/>
      <c r="W360" s="41"/>
      <c r="X360" s="41"/>
      <c r="Y360" s="41"/>
    </row>
    <row r="361" s="27" customFormat="1" ht="23" hidden="1" customHeight="1" spans="1:25">
      <c r="A361" s="133">
        <f>IF(B361="","",COUNTA($B$5:B361))</f>
        <v>357</v>
      </c>
      <c r="B361" s="143">
        <v>46277</v>
      </c>
      <c r="C361" s="144" t="s">
        <v>49</v>
      </c>
      <c r="D361" s="145" t="s">
        <v>62</v>
      </c>
      <c r="E361" s="146" t="s">
        <v>128</v>
      </c>
      <c r="F361" s="139" t="s">
        <v>203</v>
      </c>
      <c r="G361" s="139">
        <v>5000</v>
      </c>
      <c r="H361" s="142">
        <f>IFERROR(VLOOKUP($C361,$C$5:$H$18,6,0)+SUMIF($C$19:$C361,$C361,$F$19:$F361)-SUMIF($C$19:$C361,$C361,$G$19:$G361),"")</f>
        <v>113502.819999998</v>
      </c>
      <c r="I361" s="144"/>
      <c r="J361" s="144"/>
      <c r="K361" s="22">
        <f t="shared" si="5"/>
        <v>202609</v>
      </c>
      <c r="L361" s="40"/>
      <c r="M361"/>
      <c r="N361"/>
      <c r="O361"/>
      <c r="P361"/>
      <c r="Q361"/>
      <c r="R361"/>
      <c r="S361"/>
      <c r="T361"/>
      <c r="U361"/>
      <c r="V361"/>
      <c r="W361" s="41"/>
      <c r="X361" s="41"/>
      <c r="Y361" s="41"/>
    </row>
    <row r="362" s="27" customFormat="1" ht="23" hidden="1" customHeight="1" spans="1:25">
      <c r="A362" s="133">
        <f>IF(B362="","",COUNTA($B$5:B362))</f>
        <v>358</v>
      </c>
      <c r="B362" s="143">
        <v>46277</v>
      </c>
      <c r="C362" s="144" t="s">
        <v>49</v>
      </c>
      <c r="D362" s="145" t="s">
        <v>77</v>
      </c>
      <c r="E362" s="146" t="s">
        <v>122</v>
      </c>
      <c r="F362" s="139" t="s">
        <v>203</v>
      </c>
      <c r="G362" s="139">
        <v>4.5</v>
      </c>
      <c r="H362" s="142">
        <f>IFERROR(VLOOKUP($C362,$C$5:$H$18,6,0)+SUMIF($C$19:$C362,$C362,$F$19:$F362)-SUMIF($C$19:$C362,$C362,$G$19:$G362),"")</f>
        <v>113498.319999998</v>
      </c>
      <c r="I362" s="144"/>
      <c r="J362" s="144"/>
      <c r="K362" s="22">
        <f t="shared" si="5"/>
        <v>202609</v>
      </c>
      <c r="L362" s="40"/>
      <c r="M362"/>
      <c r="N362"/>
      <c r="O362"/>
      <c r="P362"/>
      <c r="Q362"/>
      <c r="R362"/>
      <c r="S362"/>
      <c r="T362"/>
      <c r="U362"/>
      <c r="V362"/>
      <c r="W362" s="41"/>
      <c r="X362" s="41"/>
      <c r="Y362" s="41"/>
    </row>
    <row r="363" s="27" customFormat="1" ht="23" hidden="1" customHeight="1" spans="1:25">
      <c r="A363" s="133">
        <f>IF(B363="","",COUNTA($B$5:B363))</f>
        <v>359</v>
      </c>
      <c r="B363" s="143">
        <v>46277</v>
      </c>
      <c r="C363" s="144" t="s">
        <v>49</v>
      </c>
      <c r="D363" s="145" t="s">
        <v>62</v>
      </c>
      <c r="E363" s="146" t="s">
        <v>165</v>
      </c>
      <c r="F363" s="139" t="s">
        <v>203</v>
      </c>
      <c r="G363" s="139">
        <v>3033</v>
      </c>
      <c r="H363" s="142">
        <f>IFERROR(VLOOKUP($C363,$C$5:$H$18,6,0)+SUMIF($C$19:$C363,$C363,$F$19:$F363)-SUMIF($C$19:$C363,$C363,$G$19:$G363),"")</f>
        <v>110465.319999998</v>
      </c>
      <c r="I363" s="144"/>
      <c r="J363" s="144"/>
      <c r="K363" s="22">
        <f t="shared" si="5"/>
        <v>202609</v>
      </c>
      <c r="L363" s="40"/>
      <c r="M363"/>
      <c r="N363"/>
      <c r="O363"/>
      <c r="P363"/>
      <c r="Q363"/>
      <c r="R363"/>
      <c r="S363"/>
      <c r="T363"/>
      <c r="U363"/>
      <c r="V363"/>
      <c r="W363" s="41"/>
      <c r="X363" s="41"/>
      <c r="Y363" s="41"/>
    </row>
    <row r="364" s="27" customFormat="1" ht="23" hidden="1" customHeight="1" spans="1:25">
      <c r="A364" s="133">
        <f>IF(B364="","",COUNTA($B$5:B364))</f>
        <v>360</v>
      </c>
      <c r="B364" s="143">
        <v>46277</v>
      </c>
      <c r="C364" s="144" t="s">
        <v>49</v>
      </c>
      <c r="D364" s="145" t="s">
        <v>77</v>
      </c>
      <c r="E364" s="146" t="s">
        <v>122</v>
      </c>
      <c r="F364" s="139" t="s">
        <v>203</v>
      </c>
      <c r="G364" s="139">
        <v>4.5</v>
      </c>
      <c r="H364" s="142">
        <f>IFERROR(VLOOKUP($C364,$C$5:$H$18,6,0)+SUMIF($C$19:$C364,$C364,$F$19:$F364)-SUMIF($C$19:$C364,$C364,$G$19:$G364),"")</f>
        <v>110460.819999998</v>
      </c>
      <c r="I364" s="144"/>
      <c r="J364" s="144"/>
      <c r="K364" s="22">
        <f t="shared" si="5"/>
        <v>202609</v>
      </c>
      <c r="L364" s="40"/>
      <c r="M364"/>
      <c r="N364"/>
      <c r="O364"/>
      <c r="P364"/>
      <c r="Q364"/>
      <c r="R364"/>
      <c r="S364"/>
      <c r="T364"/>
      <c r="U364"/>
      <c r="V364"/>
      <c r="W364" s="41"/>
      <c r="X364" s="41"/>
      <c r="Y364" s="41"/>
    </row>
    <row r="365" s="27" customFormat="1" ht="23" hidden="1" customHeight="1" spans="1:25">
      <c r="A365" s="133">
        <f>IF(B365="","",COUNTA($B$5:B365))</f>
        <v>361</v>
      </c>
      <c r="B365" s="143">
        <v>46277</v>
      </c>
      <c r="C365" s="144" t="s">
        <v>49</v>
      </c>
      <c r="D365" s="145" t="s">
        <v>62</v>
      </c>
      <c r="E365" s="146" t="s">
        <v>162</v>
      </c>
      <c r="F365" s="139" t="s">
        <v>203</v>
      </c>
      <c r="G365" s="139">
        <v>5080</v>
      </c>
      <c r="H365" s="142">
        <f>IFERROR(VLOOKUP($C365,$C$5:$H$18,6,0)+SUMIF($C$19:$C365,$C365,$F$19:$F365)-SUMIF($C$19:$C365,$C365,$G$19:$G365),"")</f>
        <v>105380.819999998</v>
      </c>
      <c r="I365" s="144"/>
      <c r="J365" s="144"/>
      <c r="K365" s="22">
        <f t="shared" si="5"/>
        <v>202609</v>
      </c>
      <c r="L365" s="40"/>
      <c r="M365"/>
      <c r="N365"/>
      <c r="O365"/>
      <c r="P365"/>
      <c r="Q365"/>
      <c r="R365"/>
      <c r="S365"/>
      <c r="T365"/>
      <c r="U365"/>
      <c r="V365"/>
      <c r="W365" s="41"/>
      <c r="X365" s="41"/>
      <c r="Y365" s="41"/>
    </row>
    <row r="366" s="27" customFormat="1" ht="23" hidden="1" customHeight="1" spans="1:25">
      <c r="A366" s="133">
        <f>IF(B366="","",COUNTA($B$5:B366))</f>
        <v>362</v>
      </c>
      <c r="B366" s="143">
        <v>46277</v>
      </c>
      <c r="C366" s="144" t="s">
        <v>49</v>
      </c>
      <c r="D366" s="145" t="s">
        <v>77</v>
      </c>
      <c r="E366" s="146" t="s">
        <v>122</v>
      </c>
      <c r="F366" s="139" t="s">
        <v>203</v>
      </c>
      <c r="G366" s="139">
        <v>4.5</v>
      </c>
      <c r="H366" s="142">
        <f>IFERROR(VLOOKUP($C366,$C$5:$H$18,6,0)+SUMIF($C$19:$C366,$C366,$F$19:$F366)-SUMIF($C$19:$C366,$C366,$G$19:$G366),"")</f>
        <v>105376.319999998</v>
      </c>
      <c r="I366" s="144"/>
      <c r="J366" s="144"/>
      <c r="K366" s="22">
        <f t="shared" si="5"/>
        <v>202609</v>
      </c>
      <c r="L366" s="40"/>
      <c r="M366"/>
      <c r="N366"/>
      <c r="O366"/>
      <c r="P366"/>
      <c r="Q366"/>
      <c r="R366"/>
      <c r="S366"/>
      <c r="T366"/>
      <c r="U366"/>
      <c r="V366"/>
      <c r="W366" s="41"/>
      <c r="X366" s="41"/>
      <c r="Y366" s="41"/>
    </row>
    <row r="367" s="27" customFormat="1" ht="23" hidden="1" customHeight="1" spans="1:25">
      <c r="A367" s="133">
        <f>IF(B367="","",COUNTA($B$5:B367))</f>
        <v>363</v>
      </c>
      <c r="B367" s="143">
        <v>46277</v>
      </c>
      <c r="C367" s="144" t="s">
        <v>49</v>
      </c>
      <c r="D367" s="145" t="s">
        <v>62</v>
      </c>
      <c r="E367" s="146" t="s">
        <v>164</v>
      </c>
      <c r="F367" s="139" t="s">
        <v>203</v>
      </c>
      <c r="G367" s="139">
        <v>5036</v>
      </c>
      <c r="H367" s="142">
        <f>IFERROR(VLOOKUP($C367,$C$5:$H$18,6,0)+SUMIF($C$19:$C367,$C367,$F$19:$F367)-SUMIF($C$19:$C367,$C367,$G$19:$G367),"")</f>
        <v>100340.319999998</v>
      </c>
      <c r="I367" s="144"/>
      <c r="J367" s="144"/>
      <c r="K367" s="22">
        <f t="shared" si="5"/>
        <v>202609</v>
      </c>
      <c r="L367" s="40"/>
      <c r="M367"/>
      <c r="N367"/>
      <c r="O367"/>
      <c r="P367"/>
      <c r="Q367"/>
      <c r="R367"/>
      <c r="S367"/>
      <c r="T367"/>
      <c r="U367"/>
      <c r="V367"/>
      <c r="W367" s="41"/>
      <c r="X367" s="41"/>
      <c r="Y367" s="41"/>
    </row>
    <row r="368" s="27" customFormat="1" ht="23" hidden="1" customHeight="1" spans="1:25">
      <c r="A368" s="133">
        <f>IF(B368="","",COUNTA($B$5:B368))</f>
        <v>364</v>
      </c>
      <c r="B368" s="143">
        <v>46277</v>
      </c>
      <c r="C368" s="144" t="s">
        <v>49</v>
      </c>
      <c r="D368" s="145" t="s">
        <v>77</v>
      </c>
      <c r="E368" s="146" t="s">
        <v>122</v>
      </c>
      <c r="F368" s="139" t="s">
        <v>203</v>
      </c>
      <c r="G368" s="139">
        <v>4.5</v>
      </c>
      <c r="H368" s="142">
        <f>IFERROR(VLOOKUP($C368,$C$5:$H$18,6,0)+SUMIF($C$19:$C368,$C368,$F$19:$F368)-SUMIF($C$19:$C368,$C368,$G$19:$G368),"")</f>
        <v>100335.819999998</v>
      </c>
      <c r="I368" s="144"/>
      <c r="J368" s="144"/>
      <c r="K368" s="22">
        <f t="shared" si="5"/>
        <v>202609</v>
      </c>
      <c r="L368" s="40"/>
      <c r="M368"/>
      <c r="N368"/>
      <c r="O368"/>
      <c r="P368"/>
      <c r="Q368"/>
      <c r="R368"/>
      <c r="S368"/>
      <c r="T368"/>
      <c r="U368"/>
      <c r="V368"/>
      <c r="W368" s="41"/>
      <c r="X368" s="41"/>
      <c r="Y368" s="41"/>
    </row>
    <row r="369" s="27" customFormat="1" ht="23" hidden="1" customHeight="1" spans="1:25">
      <c r="A369" s="133">
        <f>IF(B369="","",COUNTA($B$5:B369))</f>
        <v>365</v>
      </c>
      <c r="B369" s="143">
        <v>46277</v>
      </c>
      <c r="C369" s="144" t="s">
        <v>49</v>
      </c>
      <c r="D369" s="145" t="s">
        <v>62</v>
      </c>
      <c r="E369" s="146" t="s">
        <v>163</v>
      </c>
      <c r="F369" s="139" t="s">
        <v>203</v>
      </c>
      <c r="G369" s="139">
        <v>2417</v>
      </c>
      <c r="H369" s="142">
        <f>IFERROR(VLOOKUP($C369,$C$5:$H$18,6,0)+SUMIF($C$19:$C369,$C369,$F$19:$F369)-SUMIF($C$19:$C369,$C369,$G$19:$G369),"")</f>
        <v>97918.8199999977</v>
      </c>
      <c r="I369" s="144"/>
      <c r="J369" s="144"/>
      <c r="K369" s="22">
        <f t="shared" si="5"/>
        <v>202609</v>
      </c>
      <c r="L369" s="40"/>
      <c r="M369"/>
      <c r="N369"/>
      <c r="O369"/>
      <c r="P369"/>
      <c r="Q369"/>
      <c r="R369"/>
      <c r="S369"/>
      <c r="T369"/>
      <c r="U369"/>
      <c r="V369"/>
      <c r="W369" s="41"/>
      <c r="X369" s="41"/>
      <c r="Y369" s="41"/>
    </row>
    <row r="370" s="27" customFormat="1" ht="23" hidden="1" customHeight="1" spans="1:25">
      <c r="A370" s="133">
        <f>IF(B370="","",COUNTA($B$5:B370))</f>
        <v>366</v>
      </c>
      <c r="B370" s="143">
        <v>46277</v>
      </c>
      <c r="C370" s="144" t="s">
        <v>49</v>
      </c>
      <c r="D370" s="145" t="s">
        <v>77</v>
      </c>
      <c r="E370" s="146" t="s">
        <v>122</v>
      </c>
      <c r="F370" s="139" t="s">
        <v>203</v>
      </c>
      <c r="G370" s="139">
        <v>4.5</v>
      </c>
      <c r="H370" s="142">
        <f>IFERROR(VLOOKUP($C370,$C$5:$H$18,6,0)+SUMIF($C$19:$C370,$C370,$F$19:$F370)-SUMIF($C$19:$C370,$C370,$G$19:$G370),"")</f>
        <v>97914.3199999977</v>
      </c>
      <c r="I370" s="144"/>
      <c r="J370" s="144"/>
      <c r="K370" s="22">
        <f t="shared" si="5"/>
        <v>202609</v>
      </c>
      <c r="L370" s="40"/>
      <c r="M370"/>
      <c r="N370"/>
      <c r="O370"/>
      <c r="P370"/>
      <c r="Q370"/>
      <c r="R370"/>
      <c r="S370"/>
      <c r="T370"/>
      <c r="U370"/>
      <c r="V370"/>
      <c r="W370" s="41"/>
      <c r="X370" s="41"/>
      <c r="Y370" s="41"/>
    </row>
    <row r="371" s="27" customFormat="1" ht="23" hidden="1" customHeight="1" spans="1:25">
      <c r="A371" s="133">
        <f>IF(B371="","",COUNTA($B$5:B371))</f>
        <v>367</v>
      </c>
      <c r="B371" s="143">
        <v>46277</v>
      </c>
      <c r="C371" s="144" t="s">
        <v>49</v>
      </c>
      <c r="D371" s="145" t="s">
        <v>62</v>
      </c>
      <c r="E371" s="146" t="s">
        <v>232</v>
      </c>
      <c r="F371" s="139" t="s">
        <v>203</v>
      </c>
      <c r="G371" s="139">
        <v>3351</v>
      </c>
      <c r="H371" s="142">
        <f>IFERROR(VLOOKUP($C371,$C$5:$H$18,6,0)+SUMIF($C$19:$C371,$C371,$F$19:$F371)-SUMIF($C$19:$C371,$C371,$G$19:$G371),"")</f>
        <v>94563.3199999977</v>
      </c>
      <c r="I371" s="144"/>
      <c r="J371" s="144"/>
      <c r="K371" s="22">
        <f t="shared" si="5"/>
        <v>202609</v>
      </c>
      <c r="L371" s="40"/>
      <c r="M371"/>
      <c r="N371"/>
      <c r="O371"/>
      <c r="P371"/>
      <c r="Q371"/>
      <c r="R371"/>
      <c r="S371"/>
      <c r="T371"/>
      <c r="U371"/>
      <c r="V371"/>
      <c r="W371" s="41"/>
      <c r="X371" s="41"/>
      <c r="Y371" s="41"/>
    </row>
    <row r="372" s="27" customFormat="1" ht="23" hidden="1" customHeight="1" spans="1:25">
      <c r="A372" s="133">
        <f>IF(B372="","",COUNTA($B$5:B372))</f>
        <v>368</v>
      </c>
      <c r="B372" s="143">
        <v>46277</v>
      </c>
      <c r="C372" s="144" t="s">
        <v>49</v>
      </c>
      <c r="D372" s="145" t="s">
        <v>77</v>
      </c>
      <c r="E372" s="146" t="s">
        <v>122</v>
      </c>
      <c r="F372" s="139" t="s">
        <v>203</v>
      </c>
      <c r="G372" s="139">
        <v>4.5</v>
      </c>
      <c r="H372" s="142">
        <f>IFERROR(VLOOKUP($C372,$C$5:$H$18,6,0)+SUMIF($C$19:$C372,$C372,$F$19:$F372)-SUMIF($C$19:$C372,$C372,$G$19:$G372),"")</f>
        <v>94558.8199999977</v>
      </c>
      <c r="I372" s="144"/>
      <c r="J372" s="144"/>
      <c r="K372" s="22">
        <f t="shared" si="5"/>
        <v>202609</v>
      </c>
      <c r="L372" s="40"/>
      <c r="M372"/>
      <c r="N372"/>
      <c r="O372"/>
      <c r="P372"/>
      <c r="Q372"/>
      <c r="R372"/>
      <c r="S372"/>
      <c r="T372"/>
      <c r="U372"/>
      <c r="V372"/>
      <c r="W372" s="41"/>
      <c r="X372" s="41"/>
      <c r="Y372" s="41"/>
    </row>
    <row r="373" s="27" customFormat="1" ht="23" hidden="1" customHeight="1" spans="1:25">
      <c r="A373" s="133">
        <f>IF(B373="","",COUNTA($B$5:B373))</f>
        <v>369</v>
      </c>
      <c r="B373" s="143">
        <v>46277</v>
      </c>
      <c r="C373" s="144" t="s">
        <v>49</v>
      </c>
      <c r="D373" s="145" t="s">
        <v>62</v>
      </c>
      <c r="E373" s="146" t="s">
        <v>233</v>
      </c>
      <c r="F373" s="139" t="s">
        <v>203</v>
      </c>
      <c r="G373" s="139">
        <v>391</v>
      </c>
      <c r="H373" s="142">
        <f>IFERROR(VLOOKUP($C373,$C$5:$H$18,6,0)+SUMIF($C$19:$C373,$C373,$F$19:$F373)-SUMIF($C$19:$C373,$C373,$G$19:$G373),"")</f>
        <v>94167.8199999977</v>
      </c>
      <c r="I373" s="144"/>
      <c r="J373" s="144"/>
      <c r="K373" s="22">
        <f t="shared" si="5"/>
        <v>202609</v>
      </c>
      <c r="L373" s="40"/>
      <c r="M373"/>
      <c r="N373"/>
      <c r="O373"/>
      <c r="P373"/>
      <c r="Q373"/>
      <c r="R373"/>
      <c r="S373"/>
      <c r="T373"/>
      <c r="U373"/>
      <c r="V373"/>
      <c r="W373" s="41"/>
      <c r="X373" s="41"/>
      <c r="Y373" s="41"/>
    </row>
    <row r="374" s="27" customFormat="1" ht="23" hidden="1" customHeight="1" spans="1:25">
      <c r="A374" s="133">
        <f>IF(B374="","",COUNTA($B$5:B374))</f>
        <v>370</v>
      </c>
      <c r="B374" s="143">
        <v>46277</v>
      </c>
      <c r="C374" s="144" t="s">
        <v>49</v>
      </c>
      <c r="D374" s="145" t="s">
        <v>77</v>
      </c>
      <c r="E374" s="146" t="s">
        <v>122</v>
      </c>
      <c r="F374" s="139" t="s">
        <v>203</v>
      </c>
      <c r="G374" s="139">
        <v>4.5</v>
      </c>
      <c r="H374" s="142">
        <f>IFERROR(VLOOKUP($C374,$C$5:$H$18,6,0)+SUMIF($C$19:$C374,$C374,$F$19:$F374)-SUMIF($C$19:$C374,$C374,$G$19:$G374),"")</f>
        <v>94163.3199999977</v>
      </c>
      <c r="I374" s="144"/>
      <c r="J374" s="144"/>
      <c r="K374" s="22">
        <f t="shared" si="5"/>
        <v>202609</v>
      </c>
      <c r="L374" s="40"/>
      <c r="M374"/>
      <c r="N374"/>
      <c r="O374"/>
      <c r="P374"/>
      <c r="Q374"/>
      <c r="R374"/>
      <c r="S374"/>
      <c r="T374"/>
      <c r="U374"/>
      <c r="V374"/>
      <c r="W374" s="41"/>
      <c r="X374" s="41"/>
      <c r="Y374" s="41"/>
    </row>
    <row r="375" s="27" customFormat="1" ht="23" hidden="1" customHeight="1" spans="1:25">
      <c r="A375" s="133">
        <f>IF(B375="","",COUNTA($B$5:B375))</f>
        <v>371</v>
      </c>
      <c r="B375" s="143">
        <v>46277</v>
      </c>
      <c r="C375" s="144" t="s">
        <v>49</v>
      </c>
      <c r="D375" s="145" t="s">
        <v>62</v>
      </c>
      <c r="E375" s="146" t="s">
        <v>234</v>
      </c>
      <c r="F375" s="139" t="s">
        <v>203</v>
      </c>
      <c r="G375" s="139">
        <v>2384</v>
      </c>
      <c r="H375" s="142">
        <f>IFERROR(VLOOKUP($C375,$C$5:$H$18,6,0)+SUMIF($C$19:$C375,$C375,$F$19:$F375)-SUMIF($C$19:$C375,$C375,$G$19:$G375),"")</f>
        <v>91779.3199999977</v>
      </c>
      <c r="I375" s="144"/>
      <c r="J375" s="144"/>
      <c r="K375" s="22">
        <f t="shared" si="5"/>
        <v>202609</v>
      </c>
      <c r="L375" s="40"/>
      <c r="M375"/>
      <c r="N375"/>
      <c r="O375"/>
      <c r="P375"/>
      <c r="Q375"/>
      <c r="R375"/>
      <c r="S375"/>
      <c r="T375"/>
      <c r="U375"/>
      <c r="V375"/>
      <c r="W375" s="41"/>
      <c r="X375" s="41"/>
      <c r="Y375" s="41"/>
    </row>
    <row r="376" s="27" customFormat="1" ht="23" hidden="1" customHeight="1" spans="1:25">
      <c r="A376" s="133">
        <f>IF(B376="","",COUNTA($B$5:B376))</f>
        <v>372</v>
      </c>
      <c r="B376" s="143">
        <v>46277</v>
      </c>
      <c r="C376" s="144" t="s">
        <v>49</v>
      </c>
      <c r="D376" s="145" t="s">
        <v>77</v>
      </c>
      <c r="E376" s="146" t="s">
        <v>122</v>
      </c>
      <c r="F376" s="139" t="s">
        <v>203</v>
      </c>
      <c r="G376" s="139">
        <v>4.5</v>
      </c>
      <c r="H376" s="142">
        <f>IFERROR(VLOOKUP($C376,$C$5:$H$18,6,0)+SUMIF($C$19:$C376,$C376,$F$19:$F376)-SUMIF($C$19:$C376,$C376,$G$19:$G376),"")</f>
        <v>91774.8199999977</v>
      </c>
      <c r="I376" s="144"/>
      <c r="J376" s="144"/>
      <c r="K376" s="22">
        <f t="shared" si="5"/>
        <v>202609</v>
      </c>
      <c r="L376" s="40"/>
      <c r="M376"/>
      <c r="N376"/>
      <c r="O376"/>
      <c r="P376"/>
      <c r="Q376"/>
      <c r="R376"/>
      <c r="S376"/>
      <c r="T376"/>
      <c r="U376"/>
      <c r="V376"/>
      <c r="W376" s="41"/>
      <c r="X376" s="41"/>
      <c r="Y376" s="41"/>
    </row>
    <row r="377" s="27" customFormat="1" ht="23" hidden="1" customHeight="1" spans="1:25">
      <c r="A377" s="133">
        <f>IF(B377="","",COUNTA($B$5:B377))</f>
        <v>373</v>
      </c>
      <c r="B377" s="143">
        <v>46277</v>
      </c>
      <c r="C377" s="144" t="s">
        <v>49</v>
      </c>
      <c r="D377" s="145" t="s">
        <v>62</v>
      </c>
      <c r="E377" s="146" t="s">
        <v>235</v>
      </c>
      <c r="F377" s="139" t="s">
        <v>203</v>
      </c>
      <c r="G377" s="139">
        <v>4422</v>
      </c>
      <c r="H377" s="142">
        <f>IFERROR(VLOOKUP($C377,$C$5:$H$18,6,0)+SUMIF($C$19:$C377,$C377,$F$19:$F377)-SUMIF($C$19:$C377,$C377,$G$19:$G377),"")</f>
        <v>87352.8199999977</v>
      </c>
      <c r="I377" s="144"/>
      <c r="J377" s="144"/>
      <c r="K377" s="22">
        <f t="shared" si="5"/>
        <v>202609</v>
      </c>
      <c r="L377" s="40"/>
      <c r="M377"/>
      <c r="N377"/>
      <c r="O377"/>
      <c r="P377"/>
      <c r="Q377"/>
      <c r="R377"/>
      <c r="S377"/>
      <c r="T377"/>
      <c r="U377"/>
      <c r="V377"/>
      <c r="W377" s="41"/>
      <c r="X377" s="41"/>
      <c r="Y377" s="41"/>
    </row>
    <row r="378" s="27" customFormat="1" ht="23" hidden="1" customHeight="1" spans="1:25">
      <c r="A378" s="133">
        <f>IF(B378="","",COUNTA($B$5:B378))</f>
        <v>374</v>
      </c>
      <c r="B378" s="143">
        <v>46277</v>
      </c>
      <c r="C378" s="144" t="s">
        <v>49</v>
      </c>
      <c r="D378" s="145" t="s">
        <v>77</v>
      </c>
      <c r="E378" s="146" t="s">
        <v>122</v>
      </c>
      <c r="F378" s="139" t="s">
        <v>203</v>
      </c>
      <c r="G378" s="139">
        <v>4.5</v>
      </c>
      <c r="H378" s="142">
        <f>IFERROR(VLOOKUP($C378,$C$5:$H$18,6,0)+SUMIF($C$19:$C378,$C378,$F$19:$F378)-SUMIF($C$19:$C378,$C378,$G$19:$G378),"")</f>
        <v>87348.3199999977</v>
      </c>
      <c r="I378" s="144"/>
      <c r="J378" s="144"/>
      <c r="K378" s="22">
        <f t="shared" si="5"/>
        <v>202609</v>
      </c>
      <c r="L378" s="40"/>
      <c r="M378"/>
      <c r="N378"/>
      <c r="O378"/>
      <c r="P378"/>
      <c r="Q378"/>
      <c r="R378"/>
      <c r="S378"/>
      <c r="T378"/>
      <c r="U378"/>
      <c r="V378"/>
      <c r="W378" s="41"/>
      <c r="X378" s="41"/>
      <c r="Y378" s="41"/>
    </row>
    <row r="379" s="27" customFormat="1" ht="23" hidden="1" customHeight="1" spans="1:25">
      <c r="A379" s="133">
        <f>IF(B379="","",COUNTA($B$5:B379))</f>
        <v>375</v>
      </c>
      <c r="B379" s="143">
        <v>46277</v>
      </c>
      <c r="C379" s="144" t="s">
        <v>49</v>
      </c>
      <c r="D379" s="145" t="s">
        <v>62</v>
      </c>
      <c r="E379" s="146" t="s">
        <v>236</v>
      </c>
      <c r="F379" s="139" t="s">
        <v>203</v>
      </c>
      <c r="G379" s="139">
        <v>522</v>
      </c>
      <c r="H379" s="142">
        <f>IFERROR(VLOOKUP($C379,$C$5:$H$18,6,0)+SUMIF($C$19:$C379,$C379,$F$19:$F379)-SUMIF($C$19:$C379,$C379,$G$19:$G379),"")</f>
        <v>86826.3199999977</v>
      </c>
      <c r="I379" s="144"/>
      <c r="J379" s="144"/>
      <c r="K379" s="22">
        <f t="shared" si="5"/>
        <v>202609</v>
      </c>
      <c r="L379" s="40"/>
      <c r="M379"/>
      <c r="N379"/>
      <c r="O379"/>
      <c r="P379"/>
      <c r="Q379"/>
      <c r="R379"/>
      <c r="S379"/>
      <c r="T379"/>
      <c r="U379"/>
      <c r="V379"/>
      <c r="W379" s="41"/>
      <c r="X379" s="41"/>
      <c r="Y379" s="41"/>
    </row>
    <row r="380" s="27" customFormat="1" ht="23" hidden="1" customHeight="1" spans="1:25">
      <c r="A380" s="133">
        <f>IF(B380="","",COUNTA($B$5:B380))</f>
        <v>376</v>
      </c>
      <c r="B380" s="143">
        <v>46277</v>
      </c>
      <c r="C380" s="144" t="s">
        <v>49</v>
      </c>
      <c r="D380" s="145" t="s">
        <v>77</v>
      </c>
      <c r="E380" s="146" t="s">
        <v>122</v>
      </c>
      <c r="F380" s="139" t="s">
        <v>203</v>
      </c>
      <c r="G380" s="139">
        <v>4.5</v>
      </c>
      <c r="H380" s="142">
        <f>IFERROR(VLOOKUP($C380,$C$5:$H$18,6,0)+SUMIF($C$19:$C380,$C380,$F$19:$F380)-SUMIF($C$19:$C380,$C380,$G$19:$G380),"")</f>
        <v>86821.8199999977</v>
      </c>
      <c r="I380" s="144"/>
      <c r="J380" s="144"/>
      <c r="K380" s="22">
        <f t="shared" si="5"/>
        <v>202609</v>
      </c>
      <c r="L380" s="40"/>
      <c r="M380"/>
      <c r="N380"/>
      <c r="O380"/>
      <c r="P380"/>
      <c r="Q380"/>
      <c r="R380"/>
      <c r="S380"/>
      <c r="T380"/>
      <c r="U380"/>
      <c r="V380"/>
      <c r="W380" s="41"/>
      <c r="X380" s="41"/>
      <c r="Y380" s="41"/>
    </row>
    <row r="381" s="27" customFormat="1" ht="23" hidden="1" customHeight="1" spans="1:25">
      <c r="A381" s="133">
        <f>IF(B381="","",COUNTA($B$5:B381))</f>
        <v>377</v>
      </c>
      <c r="B381" s="143">
        <v>46277</v>
      </c>
      <c r="C381" s="144" t="s">
        <v>49</v>
      </c>
      <c r="D381" s="145" t="s">
        <v>62</v>
      </c>
      <c r="E381" s="146" t="s">
        <v>237</v>
      </c>
      <c r="F381" s="139" t="s">
        <v>203</v>
      </c>
      <c r="G381" s="139">
        <v>2524</v>
      </c>
      <c r="H381" s="142">
        <f>IFERROR(VLOOKUP($C381,$C$5:$H$18,6,0)+SUMIF($C$19:$C381,$C381,$F$19:$F381)-SUMIF($C$19:$C381,$C381,$G$19:$G381),"")</f>
        <v>84297.819999998</v>
      </c>
      <c r="I381" s="144"/>
      <c r="J381" s="144"/>
      <c r="K381" s="22">
        <f t="shared" si="5"/>
        <v>202609</v>
      </c>
      <c r="L381" s="40"/>
      <c r="M381"/>
      <c r="N381"/>
      <c r="O381"/>
      <c r="P381"/>
      <c r="Q381"/>
      <c r="R381"/>
      <c r="S381"/>
      <c r="T381"/>
      <c r="U381"/>
      <c r="V381"/>
      <c r="W381" s="41"/>
      <c r="X381" s="41"/>
      <c r="Y381" s="41"/>
    </row>
    <row r="382" s="27" customFormat="1" ht="23" hidden="1" customHeight="1" spans="1:25">
      <c r="A382" s="133">
        <f>IF(B382="","",COUNTA($B$5:B382))</f>
        <v>378</v>
      </c>
      <c r="B382" s="143">
        <v>46277</v>
      </c>
      <c r="C382" s="144" t="s">
        <v>49</v>
      </c>
      <c r="D382" s="145" t="s">
        <v>77</v>
      </c>
      <c r="E382" s="146" t="s">
        <v>122</v>
      </c>
      <c r="F382" s="139" t="s">
        <v>203</v>
      </c>
      <c r="G382" s="139">
        <v>4.5</v>
      </c>
      <c r="H382" s="142">
        <f>IFERROR(VLOOKUP($C382,$C$5:$H$18,6,0)+SUMIF($C$19:$C382,$C382,$F$19:$F382)-SUMIF($C$19:$C382,$C382,$G$19:$G382),"")</f>
        <v>84293.319999998</v>
      </c>
      <c r="I382" s="144"/>
      <c r="J382" s="144"/>
      <c r="K382" s="22">
        <f t="shared" si="5"/>
        <v>202609</v>
      </c>
      <c r="L382" s="40"/>
      <c r="M382"/>
      <c r="N382"/>
      <c r="O382"/>
      <c r="P382"/>
      <c r="Q382"/>
      <c r="R382"/>
      <c r="S382"/>
      <c r="T382"/>
      <c r="U382"/>
      <c r="V382"/>
      <c r="W382" s="41"/>
      <c r="X382" s="41"/>
      <c r="Y382" s="41"/>
    </row>
    <row r="383" s="27" customFormat="1" ht="23" hidden="1" customHeight="1" spans="1:25">
      <c r="A383" s="133">
        <f>IF(B383="","",COUNTA($B$5:B383))</f>
        <v>379</v>
      </c>
      <c r="B383" s="143">
        <v>46277</v>
      </c>
      <c r="C383" s="144" t="s">
        <v>49</v>
      </c>
      <c r="D383" s="145" t="s">
        <v>62</v>
      </c>
      <c r="E383" s="146" t="s">
        <v>238</v>
      </c>
      <c r="F383" s="139" t="s">
        <v>203</v>
      </c>
      <c r="G383" s="139">
        <v>3077</v>
      </c>
      <c r="H383" s="142">
        <f>IFERROR(VLOOKUP($C383,$C$5:$H$18,6,0)+SUMIF($C$19:$C383,$C383,$F$19:$F383)-SUMIF($C$19:$C383,$C383,$G$19:$G383),"")</f>
        <v>81216.319999998</v>
      </c>
      <c r="I383" s="144"/>
      <c r="J383" s="144"/>
      <c r="K383" s="22">
        <f t="shared" si="5"/>
        <v>202609</v>
      </c>
      <c r="L383" s="40"/>
      <c r="M383"/>
      <c r="N383"/>
      <c r="O383"/>
      <c r="P383"/>
      <c r="Q383"/>
      <c r="R383"/>
      <c r="S383"/>
      <c r="T383"/>
      <c r="U383"/>
      <c r="V383"/>
      <c r="W383" s="41"/>
      <c r="X383" s="41"/>
      <c r="Y383" s="41"/>
    </row>
    <row r="384" s="27" customFormat="1" ht="23" hidden="1" customHeight="1" spans="1:25">
      <c r="A384" s="133">
        <f>IF(B384="","",COUNTA($B$5:B384))</f>
        <v>380</v>
      </c>
      <c r="B384" s="143">
        <v>46277</v>
      </c>
      <c r="C384" s="144" t="s">
        <v>49</v>
      </c>
      <c r="D384" s="145" t="s">
        <v>77</v>
      </c>
      <c r="E384" s="146" t="s">
        <v>122</v>
      </c>
      <c r="F384" s="139" t="s">
        <v>203</v>
      </c>
      <c r="G384" s="139">
        <v>4.5</v>
      </c>
      <c r="H384" s="142">
        <f>IFERROR(VLOOKUP($C384,$C$5:$H$18,6,0)+SUMIF($C$19:$C384,$C384,$F$19:$F384)-SUMIF($C$19:$C384,$C384,$G$19:$G384),"")</f>
        <v>81211.819999998</v>
      </c>
      <c r="I384" s="144"/>
      <c r="J384" s="144"/>
      <c r="K384" s="22">
        <f t="shared" si="5"/>
        <v>202609</v>
      </c>
      <c r="L384" s="40"/>
      <c r="M384"/>
      <c r="N384"/>
      <c r="O384"/>
      <c r="P384"/>
      <c r="Q384"/>
      <c r="R384"/>
      <c r="S384"/>
      <c r="T384"/>
      <c r="U384"/>
      <c r="V384"/>
      <c r="W384" s="41"/>
      <c r="X384" s="41"/>
      <c r="Y384" s="41"/>
    </row>
    <row r="385" s="27" customFormat="1" ht="23" hidden="1" customHeight="1" spans="1:25">
      <c r="A385" s="133" t="str">
        <f>IF(B385="","",COUNTA($B$5:B385))</f>
        <v/>
      </c>
      <c r="B385" s="143"/>
      <c r="C385" s="144" t="s">
        <v>49</v>
      </c>
      <c r="D385" s="145"/>
      <c r="E385" s="146"/>
      <c r="F385" s="139"/>
      <c r="G385" s="139"/>
      <c r="H385" s="142">
        <f>IFERROR(VLOOKUP($C385,$C$5:$H$18,6,0)+SUMIF($C$19:$C385,$C385,$F$19:$F385)-SUMIF($C$19:$C385,$C385,$G$19:$G385),"")</f>
        <v>81211.819999998</v>
      </c>
      <c r="I385" s="144"/>
      <c r="J385" s="144"/>
      <c r="K385" s="22" t="str">
        <f t="shared" si="5"/>
        <v/>
      </c>
      <c r="L385" s="40"/>
      <c r="M385"/>
      <c r="N385"/>
      <c r="O385"/>
      <c r="P385"/>
      <c r="Q385"/>
      <c r="R385"/>
      <c r="S385"/>
      <c r="T385"/>
      <c r="U385"/>
      <c r="V385"/>
      <c r="W385" s="41"/>
      <c r="X385" s="41"/>
      <c r="Y385" s="41"/>
    </row>
    <row r="386" s="27" customFormat="1" ht="23" hidden="1" customHeight="1" spans="1:25">
      <c r="A386" s="133" t="str">
        <f>IF(B386="","",COUNTA($B$5:B386))</f>
        <v/>
      </c>
      <c r="B386" s="143"/>
      <c r="C386" s="144" t="s">
        <v>49</v>
      </c>
      <c r="D386" s="145"/>
      <c r="E386" s="146"/>
      <c r="F386" s="139"/>
      <c r="G386" s="139"/>
      <c r="H386" s="142">
        <f>IFERROR(VLOOKUP($C386,$C$5:$H$18,6,0)+SUMIF($C$19:$C386,$C386,$F$19:$F386)-SUMIF($C$19:$C386,$C386,$G$19:$G386),"")</f>
        <v>81211.819999998</v>
      </c>
      <c r="I386" s="144"/>
      <c r="J386" s="144"/>
      <c r="K386" s="22" t="str">
        <f t="shared" si="5"/>
        <v/>
      </c>
      <c r="L386" s="40"/>
      <c r="M386"/>
      <c r="N386"/>
      <c r="O386"/>
      <c r="P386"/>
      <c r="Q386"/>
      <c r="R386"/>
      <c r="S386"/>
      <c r="T386"/>
      <c r="U386"/>
      <c r="V386"/>
      <c r="W386" s="41"/>
      <c r="X386" s="41"/>
      <c r="Y386" s="41"/>
    </row>
    <row r="387" s="27" customFormat="1" ht="23" hidden="1" customHeight="1" spans="1:25">
      <c r="A387" s="133" t="str">
        <f>IF(B387="","",COUNTA($B$5:B387))</f>
        <v/>
      </c>
      <c r="B387" s="143"/>
      <c r="C387" s="144" t="s">
        <v>49</v>
      </c>
      <c r="D387" s="145"/>
      <c r="E387" s="146"/>
      <c r="F387" s="139"/>
      <c r="G387" s="139"/>
      <c r="H387" s="142">
        <f>IFERROR(VLOOKUP($C387,$C$5:$H$18,6,0)+SUMIF($C$19:$C387,$C387,$F$19:$F387)-SUMIF($C$19:$C387,$C387,$G$19:$G387),"")</f>
        <v>81211.819999998</v>
      </c>
      <c r="I387" s="144"/>
      <c r="J387" s="144"/>
      <c r="K387" s="22" t="str">
        <f t="shared" si="5"/>
        <v/>
      </c>
      <c r="L387" s="40"/>
      <c r="M387"/>
      <c r="N387"/>
      <c r="O387"/>
      <c r="P387"/>
      <c r="Q387"/>
      <c r="R387"/>
      <c r="S387"/>
      <c r="T387"/>
      <c r="U387"/>
      <c r="V387"/>
      <c r="W387" s="41"/>
      <c r="X387" s="41"/>
      <c r="Y387" s="41"/>
    </row>
    <row r="388" s="27" customFormat="1" ht="23" hidden="1" customHeight="1" spans="1:25">
      <c r="A388" s="133" t="str">
        <f>IF(B388="","",COUNTA($B$5:B388))</f>
        <v/>
      </c>
      <c r="B388" s="143"/>
      <c r="C388" s="144" t="s">
        <v>49</v>
      </c>
      <c r="D388" s="145"/>
      <c r="E388" s="146"/>
      <c r="F388" s="139"/>
      <c r="G388" s="139"/>
      <c r="H388" s="142">
        <f>IFERROR(VLOOKUP($C388,$C$5:$H$18,6,0)+SUMIF($C$19:$C388,$C388,$F$19:$F388)-SUMIF($C$19:$C388,$C388,$G$19:$G388),"")</f>
        <v>81211.819999998</v>
      </c>
      <c r="I388" s="144"/>
      <c r="J388" s="144"/>
      <c r="K388" s="22" t="str">
        <f t="shared" si="5"/>
        <v/>
      </c>
      <c r="L388" s="40"/>
      <c r="M388"/>
      <c r="N388"/>
      <c r="O388"/>
      <c r="P388"/>
      <c r="Q388"/>
      <c r="R388"/>
      <c r="S388"/>
      <c r="T388"/>
      <c r="U388"/>
      <c r="V388"/>
      <c r="W388" s="41"/>
      <c r="X388" s="41"/>
      <c r="Y388" s="41"/>
    </row>
    <row r="389" s="27" customFormat="1" ht="23" hidden="1" customHeight="1" spans="1:25">
      <c r="A389" s="133" t="str">
        <f>IF(B389="","",COUNTA($B$5:B389))</f>
        <v/>
      </c>
      <c r="B389" s="143"/>
      <c r="C389" s="144" t="s">
        <v>49</v>
      </c>
      <c r="D389" s="145"/>
      <c r="E389" s="146"/>
      <c r="F389" s="139"/>
      <c r="G389" s="139"/>
      <c r="H389" s="142">
        <f>IFERROR(VLOOKUP($C389,$C$5:$H$18,6,0)+SUMIF($C$19:$C389,$C389,$F$19:$F389)-SUMIF($C$19:$C389,$C389,$G$19:$G389),"")</f>
        <v>81211.819999998</v>
      </c>
      <c r="I389" s="144"/>
      <c r="J389" s="144"/>
      <c r="K389" s="22" t="str">
        <f t="shared" ref="K389:K452" si="6">IF($B389="","",--TEXT($B389,"yyyymm"))</f>
        <v/>
      </c>
      <c r="L389" s="40"/>
      <c r="M389"/>
      <c r="N389"/>
      <c r="O389"/>
      <c r="P389"/>
      <c r="Q389"/>
      <c r="R389"/>
      <c r="S389"/>
      <c r="T389"/>
      <c r="U389"/>
      <c r="V389"/>
      <c r="W389" s="41"/>
      <c r="X389" s="41"/>
      <c r="Y389" s="41"/>
    </row>
    <row r="390" s="27" customFormat="1" ht="23" hidden="1" customHeight="1" spans="1:25">
      <c r="A390" s="133" t="str">
        <f>IF(B390="","",COUNTA($B$5:B390))</f>
        <v/>
      </c>
      <c r="B390" s="143"/>
      <c r="C390" s="144" t="s">
        <v>49</v>
      </c>
      <c r="D390" s="145"/>
      <c r="E390" s="146"/>
      <c r="F390" s="139"/>
      <c r="G390" s="139"/>
      <c r="H390" s="142">
        <f>IFERROR(VLOOKUP($C390,$C$5:$H$18,6,0)+SUMIF($C$19:$C390,$C390,$F$19:$F390)-SUMIF($C$19:$C390,$C390,$G$19:$G390),"")</f>
        <v>81211.819999998</v>
      </c>
      <c r="I390" s="144"/>
      <c r="J390" s="144"/>
      <c r="K390" s="22" t="str">
        <f t="shared" si="6"/>
        <v/>
      </c>
      <c r="L390" s="40"/>
      <c r="M390"/>
      <c r="N390"/>
      <c r="O390"/>
      <c r="P390"/>
      <c r="Q390"/>
      <c r="R390"/>
      <c r="S390"/>
      <c r="T390"/>
      <c r="U390"/>
      <c r="V390"/>
      <c r="W390" s="41"/>
      <c r="X390" s="41"/>
      <c r="Y390" s="41"/>
    </row>
    <row r="391" s="27" customFormat="1" ht="23" hidden="1" customHeight="1" spans="1:25">
      <c r="A391" s="133" t="str">
        <f>IF(B391="","",COUNTA($B$5:B391))</f>
        <v/>
      </c>
      <c r="B391" s="143"/>
      <c r="C391" s="144" t="s">
        <v>49</v>
      </c>
      <c r="D391" s="145"/>
      <c r="E391" s="146"/>
      <c r="F391" s="139"/>
      <c r="G391" s="139"/>
      <c r="H391" s="142">
        <f>IFERROR(VLOOKUP($C391,$C$5:$H$18,6,0)+SUMIF($C$19:$C391,$C391,$F$19:$F391)-SUMIF($C$19:$C391,$C391,$G$19:$G391),"")</f>
        <v>81211.819999998</v>
      </c>
      <c r="I391" s="144"/>
      <c r="J391" s="144"/>
      <c r="K391" s="22" t="str">
        <f t="shared" si="6"/>
        <v/>
      </c>
      <c r="L391" s="40"/>
      <c r="M391"/>
      <c r="N391"/>
      <c r="O391"/>
      <c r="P391"/>
      <c r="Q391"/>
      <c r="R391"/>
      <c r="S391"/>
      <c r="T391"/>
      <c r="U391"/>
      <c r="V391"/>
      <c r="W391" s="41"/>
      <c r="X391" s="41"/>
      <c r="Y391" s="41"/>
    </row>
    <row r="392" s="27" customFormat="1" ht="23" hidden="1" customHeight="1" spans="1:25">
      <c r="A392" s="133" t="str">
        <f>IF(B392="","",COUNTA($B$5:B392))</f>
        <v/>
      </c>
      <c r="B392" s="143"/>
      <c r="C392" s="144" t="s">
        <v>49</v>
      </c>
      <c r="D392" s="145"/>
      <c r="E392" s="146"/>
      <c r="F392" s="139"/>
      <c r="G392" s="139"/>
      <c r="H392" s="142">
        <f>IFERROR(VLOOKUP($C392,$C$5:$H$18,6,0)+SUMIF($C$19:$C392,$C392,$F$19:$F392)-SUMIF($C$19:$C392,$C392,$G$19:$G392),"")</f>
        <v>81211.819999998</v>
      </c>
      <c r="I392" s="144"/>
      <c r="J392" s="144"/>
      <c r="K392" s="22" t="str">
        <f t="shared" si="6"/>
        <v/>
      </c>
      <c r="L392" s="40"/>
      <c r="M392"/>
      <c r="N392"/>
      <c r="O392"/>
      <c r="P392"/>
      <c r="Q392"/>
      <c r="R392"/>
      <c r="S392"/>
      <c r="T392"/>
      <c r="U392"/>
      <c r="V392"/>
      <c r="W392" s="41"/>
      <c r="X392" s="41"/>
      <c r="Y392" s="41"/>
    </row>
    <row r="393" s="27" customFormat="1" ht="23" hidden="1" customHeight="1" spans="1:25">
      <c r="A393" s="133" t="str">
        <f>IF(B393="","",COUNTA($B$5:B393))</f>
        <v/>
      </c>
      <c r="B393" s="143"/>
      <c r="C393" s="144" t="s">
        <v>49</v>
      </c>
      <c r="D393" s="145"/>
      <c r="E393" s="146"/>
      <c r="F393" s="139"/>
      <c r="G393" s="139"/>
      <c r="H393" s="142">
        <f>IFERROR(VLOOKUP($C393,$C$5:$H$18,6,0)+SUMIF($C$19:$C393,$C393,$F$19:$F393)-SUMIF($C$19:$C393,$C393,$G$19:$G393),"")</f>
        <v>81211.819999998</v>
      </c>
      <c r="I393" s="144"/>
      <c r="J393" s="144"/>
      <c r="K393" s="22" t="str">
        <f t="shared" si="6"/>
        <v/>
      </c>
      <c r="L393" s="40"/>
      <c r="M393"/>
      <c r="N393"/>
      <c r="O393"/>
      <c r="P393"/>
      <c r="Q393"/>
      <c r="R393"/>
      <c r="S393"/>
      <c r="T393"/>
      <c r="U393"/>
      <c r="V393"/>
      <c r="W393" s="41"/>
      <c r="X393" s="41"/>
      <c r="Y393" s="41"/>
    </row>
    <row r="394" s="27" customFormat="1" ht="23" hidden="1" customHeight="1" spans="1:25">
      <c r="A394" s="133" t="str">
        <f>IF(B394="","",COUNTA($B$5:B394))</f>
        <v/>
      </c>
      <c r="B394" s="143"/>
      <c r="C394" s="144" t="s">
        <v>49</v>
      </c>
      <c r="D394" s="145"/>
      <c r="E394" s="146"/>
      <c r="F394" s="139"/>
      <c r="G394" s="139"/>
      <c r="H394" s="142">
        <f>IFERROR(VLOOKUP($C394,$C$5:$H$18,6,0)+SUMIF($C$19:$C394,$C394,$F$19:$F394)-SUMIF($C$19:$C394,$C394,$G$19:$G394),"")</f>
        <v>81211.819999998</v>
      </c>
      <c r="I394" s="144"/>
      <c r="J394" s="144"/>
      <c r="K394" s="22" t="str">
        <f t="shared" si="6"/>
        <v/>
      </c>
      <c r="L394" s="40"/>
      <c r="M394"/>
      <c r="N394"/>
      <c r="O394"/>
      <c r="P394"/>
      <c r="Q394"/>
      <c r="R394"/>
      <c r="S394"/>
      <c r="T394"/>
      <c r="U394"/>
      <c r="V394"/>
      <c r="W394" s="41"/>
      <c r="X394" s="41"/>
      <c r="Y394" s="41"/>
    </row>
    <row r="395" s="27" customFormat="1" ht="23" hidden="1" customHeight="1" spans="1:25">
      <c r="A395" s="133" t="str">
        <f>IF(B395="","",COUNTA($B$5:B395))</f>
        <v/>
      </c>
      <c r="B395" s="143"/>
      <c r="C395" s="144" t="s">
        <v>49</v>
      </c>
      <c r="D395" s="145"/>
      <c r="E395" s="146"/>
      <c r="F395" s="139"/>
      <c r="G395" s="139"/>
      <c r="H395" s="142">
        <f>IFERROR(VLOOKUP($C395,$C$5:$H$18,6,0)+SUMIF($C$19:$C395,$C395,$F$19:$F395)-SUMIF($C$19:$C395,$C395,$G$19:$G395),"")</f>
        <v>81211.819999998</v>
      </c>
      <c r="I395" s="144"/>
      <c r="J395" s="144"/>
      <c r="K395" s="22" t="str">
        <f t="shared" si="6"/>
        <v/>
      </c>
      <c r="L395" s="40"/>
      <c r="M395"/>
      <c r="N395"/>
      <c r="O395"/>
      <c r="P395"/>
      <c r="Q395"/>
      <c r="R395"/>
      <c r="S395"/>
      <c r="T395"/>
      <c r="U395"/>
      <c r="V395"/>
      <c r="W395" s="41"/>
      <c r="X395" s="41"/>
      <c r="Y395" s="41"/>
    </row>
    <row r="396" s="27" customFormat="1" ht="23" hidden="1" customHeight="1" spans="1:25">
      <c r="A396" s="133" t="str">
        <f>IF(B396="","",COUNTA($B$5:B396))</f>
        <v/>
      </c>
      <c r="B396" s="143"/>
      <c r="C396" s="144" t="s">
        <v>49</v>
      </c>
      <c r="D396" s="145"/>
      <c r="E396" s="146"/>
      <c r="F396" s="139"/>
      <c r="G396" s="139"/>
      <c r="H396" s="142">
        <f>IFERROR(VLOOKUP($C396,$C$5:$H$18,6,0)+SUMIF($C$19:$C396,$C396,$F$19:$F396)-SUMIF($C$19:$C396,$C396,$G$19:$G396),"")</f>
        <v>81211.819999998</v>
      </c>
      <c r="I396" s="144"/>
      <c r="J396" s="144"/>
      <c r="K396" s="22" t="str">
        <f t="shared" si="6"/>
        <v/>
      </c>
      <c r="L396" s="40"/>
      <c r="M396"/>
      <c r="N396"/>
      <c r="O396"/>
      <c r="P396"/>
      <c r="Q396"/>
      <c r="R396"/>
      <c r="S396"/>
      <c r="T396"/>
      <c r="U396"/>
      <c r="V396"/>
      <c r="W396" s="41"/>
      <c r="X396" s="41"/>
      <c r="Y396" s="41"/>
    </row>
    <row r="397" s="27" customFormat="1" ht="23" hidden="1" customHeight="1" spans="1:25">
      <c r="A397" s="133" t="str">
        <f>IF(B397="","",COUNTA($B$5:B397))</f>
        <v/>
      </c>
      <c r="B397" s="143"/>
      <c r="C397" s="144" t="s">
        <v>49</v>
      </c>
      <c r="D397" s="145"/>
      <c r="E397" s="146"/>
      <c r="F397" s="139"/>
      <c r="G397" s="139"/>
      <c r="H397" s="142">
        <f>IFERROR(VLOOKUP($C397,$C$5:$H$18,6,0)+SUMIF($C$19:$C397,$C397,$F$19:$F397)-SUMIF($C$19:$C397,$C397,$G$19:$G397),"")</f>
        <v>81211.819999998</v>
      </c>
      <c r="I397" s="144"/>
      <c r="J397" s="144"/>
      <c r="K397" s="22" t="str">
        <f t="shared" si="6"/>
        <v/>
      </c>
      <c r="L397" s="40"/>
      <c r="M397"/>
      <c r="N397"/>
      <c r="O397"/>
      <c r="P397"/>
      <c r="Q397"/>
      <c r="R397"/>
      <c r="S397"/>
      <c r="T397"/>
      <c r="U397"/>
      <c r="V397"/>
      <c r="W397" s="41"/>
      <c r="X397" s="41"/>
      <c r="Y397" s="41"/>
    </row>
    <row r="398" s="27" customFormat="1" ht="23" hidden="1" customHeight="1" spans="1:25">
      <c r="A398" s="133" t="str">
        <f>IF(B398="","",COUNTA($B$5:B398))</f>
        <v/>
      </c>
      <c r="B398" s="143"/>
      <c r="C398" s="144" t="s">
        <v>49</v>
      </c>
      <c r="D398" s="145"/>
      <c r="E398" s="146"/>
      <c r="F398" s="139"/>
      <c r="G398" s="139"/>
      <c r="H398" s="142">
        <f>IFERROR(VLOOKUP($C398,$C$5:$H$18,6,0)+SUMIF($C$19:$C398,$C398,$F$19:$F398)-SUMIF($C$19:$C398,$C398,$G$19:$G398),"")</f>
        <v>81211.819999998</v>
      </c>
      <c r="I398" s="144"/>
      <c r="J398" s="144"/>
      <c r="K398" s="22" t="str">
        <f t="shared" si="6"/>
        <v/>
      </c>
      <c r="L398" s="40"/>
      <c r="M398"/>
      <c r="N398"/>
      <c r="O398"/>
      <c r="P398"/>
      <c r="Q398"/>
      <c r="R398"/>
      <c r="S398"/>
      <c r="T398"/>
      <c r="U398"/>
      <c r="V398"/>
      <c r="W398" s="41"/>
      <c r="X398" s="41"/>
      <c r="Y398" s="41"/>
    </row>
    <row r="399" s="27" customFormat="1" ht="23" hidden="1" customHeight="1" spans="1:25">
      <c r="A399" s="133" t="str">
        <f>IF(B399="","",COUNTA($B$5:B399))</f>
        <v/>
      </c>
      <c r="B399" s="143"/>
      <c r="C399" s="144" t="s">
        <v>49</v>
      </c>
      <c r="D399" s="145"/>
      <c r="E399" s="146"/>
      <c r="F399" s="139"/>
      <c r="G399" s="139"/>
      <c r="H399" s="142">
        <f>IFERROR(VLOOKUP($C399,$C$5:$H$18,6,0)+SUMIF($C$19:$C399,$C399,$F$19:$F399)-SUMIF($C$19:$C399,$C399,$G$19:$G399),"")</f>
        <v>81211.819999998</v>
      </c>
      <c r="I399" s="144"/>
      <c r="J399" s="144"/>
      <c r="K399" s="22" t="str">
        <f t="shared" si="6"/>
        <v/>
      </c>
      <c r="L399" s="40"/>
      <c r="M399"/>
      <c r="N399"/>
      <c r="O399"/>
      <c r="P399"/>
      <c r="Q399"/>
      <c r="R399"/>
      <c r="S399"/>
      <c r="T399"/>
      <c r="U399"/>
      <c r="V399"/>
      <c r="W399" s="41"/>
      <c r="X399" s="41"/>
      <c r="Y399" s="41"/>
    </row>
    <row r="400" s="27" customFormat="1" ht="23" hidden="1" customHeight="1" spans="1:25">
      <c r="A400" s="133" t="str">
        <f>IF(B400="","",COUNTA($B$5:B400))</f>
        <v/>
      </c>
      <c r="B400" s="143"/>
      <c r="C400" s="144" t="s">
        <v>49</v>
      </c>
      <c r="D400" s="145"/>
      <c r="E400" s="146"/>
      <c r="F400" s="139"/>
      <c r="G400" s="139"/>
      <c r="H400" s="142">
        <f>IFERROR(VLOOKUP($C400,$C$5:$H$18,6,0)+SUMIF($C$19:$C400,$C400,$F$19:$F400)-SUMIF($C$19:$C400,$C400,$G$19:$G400),"")</f>
        <v>81211.819999998</v>
      </c>
      <c r="I400" s="144"/>
      <c r="J400" s="144"/>
      <c r="K400" s="22" t="str">
        <f t="shared" si="6"/>
        <v/>
      </c>
      <c r="L400" s="40"/>
      <c r="M400"/>
      <c r="N400"/>
      <c r="O400"/>
      <c r="P400"/>
      <c r="Q400"/>
      <c r="R400"/>
      <c r="S400"/>
      <c r="T400"/>
      <c r="U400"/>
      <c r="V400"/>
      <c r="W400" s="41"/>
      <c r="X400" s="41"/>
      <c r="Y400" s="41"/>
    </row>
    <row r="401" s="27" customFormat="1" ht="23" hidden="1" customHeight="1" spans="1:25">
      <c r="A401" s="133" t="str">
        <f>IF(B401="","",COUNTA($B$5:B401))</f>
        <v/>
      </c>
      <c r="B401" s="143"/>
      <c r="C401" s="144" t="s">
        <v>49</v>
      </c>
      <c r="D401" s="145"/>
      <c r="E401" s="146"/>
      <c r="F401" s="139"/>
      <c r="G401" s="139"/>
      <c r="H401" s="142">
        <f>IFERROR(VLOOKUP($C401,$C$5:$H$18,6,0)+SUMIF($C$19:$C401,$C401,$F$19:$F401)-SUMIF($C$19:$C401,$C401,$G$19:$G401),"")</f>
        <v>81211.819999998</v>
      </c>
      <c r="I401" s="144"/>
      <c r="J401" s="144"/>
      <c r="K401" s="22" t="str">
        <f t="shared" si="6"/>
        <v/>
      </c>
      <c r="L401" s="40"/>
      <c r="M401"/>
      <c r="N401"/>
      <c r="O401"/>
      <c r="P401"/>
      <c r="Q401"/>
      <c r="R401"/>
      <c r="S401"/>
      <c r="T401"/>
      <c r="U401"/>
      <c r="V401"/>
      <c r="W401" s="41"/>
      <c r="X401" s="41"/>
      <c r="Y401" s="41"/>
    </row>
    <row r="402" s="27" customFormat="1" ht="23" hidden="1" customHeight="1" spans="1:25">
      <c r="A402" s="133" t="str">
        <f>IF(B402="","",COUNTA($B$5:B402))</f>
        <v/>
      </c>
      <c r="B402" s="143"/>
      <c r="C402" s="144" t="s">
        <v>49</v>
      </c>
      <c r="D402" s="145"/>
      <c r="E402" s="146"/>
      <c r="F402" s="139"/>
      <c r="G402" s="139"/>
      <c r="H402" s="142">
        <f>IFERROR(VLOOKUP($C402,$C$5:$H$18,6,0)+SUMIF($C$19:$C402,$C402,$F$19:$F402)-SUMIF($C$19:$C402,$C402,$G$19:$G402),"")</f>
        <v>81211.819999998</v>
      </c>
      <c r="I402" s="144"/>
      <c r="J402" s="144"/>
      <c r="K402" s="22" t="str">
        <f t="shared" si="6"/>
        <v/>
      </c>
      <c r="L402" s="40"/>
      <c r="M402"/>
      <c r="N402"/>
      <c r="O402"/>
      <c r="P402"/>
      <c r="Q402"/>
      <c r="R402"/>
      <c r="S402"/>
      <c r="T402"/>
      <c r="U402"/>
      <c r="V402"/>
      <c r="W402" s="41"/>
      <c r="X402" s="41"/>
      <c r="Y402" s="41"/>
    </row>
    <row r="403" s="27" customFormat="1" ht="23" hidden="1" customHeight="1" spans="1:25">
      <c r="A403" s="133" t="str">
        <f>IF(B403="","",COUNTA($B$5:B403))</f>
        <v/>
      </c>
      <c r="B403" s="143"/>
      <c r="C403" s="144" t="s">
        <v>49</v>
      </c>
      <c r="D403" s="145"/>
      <c r="E403" s="146"/>
      <c r="F403" s="139"/>
      <c r="G403" s="139"/>
      <c r="H403" s="142">
        <f>IFERROR(VLOOKUP($C403,$C$5:$H$18,6,0)+SUMIF($C$19:$C403,$C403,$F$19:$F403)-SUMIF($C$19:$C403,$C403,$G$19:$G403),"")</f>
        <v>81211.819999998</v>
      </c>
      <c r="I403" s="144"/>
      <c r="J403" s="144"/>
      <c r="K403" s="22" t="str">
        <f t="shared" si="6"/>
        <v/>
      </c>
      <c r="L403" s="40"/>
      <c r="M403"/>
      <c r="N403"/>
      <c r="O403"/>
      <c r="P403"/>
      <c r="Q403"/>
      <c r="R403"/>
      <c r="S403"/>
      <c r="T403"/>
      <c r="U403"/>
      <c r="V403"/>
      <c r="W403" s="41"/>
      <c r="X403" s="41"/>
      <c r="Y403" s="41"/>
    </row>
    <row r="404" s="27" customFormat="1" ht="23" hidden="1" customHeight="1" spans="1:25">
      <c r="A404" s="133" t="str">
        <f>IF(B404="","",COUNTA($B$5:B404))</f>
        <v/>
      </c>
      <c r="B404" s="143"/>
      <c r="C404" s="144" t="s">
        <v>49</v>
      </c>
      <c r="D404" s="145"/>
      <c r="E404" s="146"/>
      <c r="F404" s="139"/>
      <c r="G404" s="139"/>
      <c r="H404" s="142">
        <f>IFERROR(VLOOKUP($C404,$C$5:$H$18,6,0)+SUMIF($C$19:$C404,$C404,$F$19:$F404)-SUMIF($C$19:$C404,$C404,$G$19:$G404),"")</f>
        <v>81211.819999998</v>
      </c>
      <c r="I404" s="144"/>
      <c r="J404" s="144"/>
      <c r="K404" s="22" t="str">
        <f t="shared" si="6"/>
        <v/>
      </c>
      <c r="L404" s="40"/>
      <c r="M404"/>
      <c r="N404"/>
      <c r="O404"/>
      <c r="P404"/>
      <c r="Q404"/>
      <c r="R404"/>
      <c r="S404"/>
      <c r="T404"/>
      <c r="U404"/>
      <c r="V404"/>
      <c r="W404" s="41"/>
      <c r="X404" s="41"/>
      <c r="Y404" s="41"/>
    </row>
    <row r="405" s="27" customFormat="1" ht="23" hidden="1" customHeight="1" spans="1:25">
      <c r="A405" s="133" t="str">
        <f>IF(B405="","",COUNTA($B$5:B405))</f>
        <v/>
      </c>
      <c r="B405" s="143"/>
      <c r="C405" s="144" t="s">
        <v>49</v>
      </c>
      <c r="D405" s="145"/>
      <c r="E405" s="146"/>
      <c r="F405" s="139"/>
      <c r="G405" s="139"/>
      <c r="H405" s="142">
        <f>IFERROR(VLOOKUP($C405,$C$5:$H$18,6,0)+SUMIF($C$19:$C405,$C405,$F$19:$F405)-SUMIF($C$19:$C405,$C405,$G$19:$G405),"")</f>
        <v>81211.819999998</v>
      </c>
      <c r="I405" s="144"/>
      <c r="J405" s="144"/>
      <c r="K405" s="22" t="str">
        <f t="shared" si="6"/>
        <v/>
      </c>
      <c r="L405" s="40"/>
      <c r="M405"/>
      <c r="N405"/>
      <c r="O405"/>
      <c r="P405"/>
      <c r="Q405"/>
      <c r="R405"/>
      <c r="S405"/>
      <c r="T405"/>
      <c r="U405"/>
      <c r="V405"/>
      <c r="W405" s="41"/>
      <c r="X405" s="41"/>
      <c r="Y405" s="41"/>
    </row>
    <row r="406" s="27" customFormat="1" ht="23" hidden="1" customHeight="1" spans="1:25">
      <c r="A406" s="133" t="str">
        <f>IF(B406="","",COUNTA($B$5:B406))</f>
        <v/>
      </c>
      <c r="B406" s="143"/>
      <c r="C406" s="144" t="s">
        <v>49</v>
      </c>
      <c r="D406" s="145"/>
      <c r="E406" s="146"/>
      <c r="F406" s="139"/>
      <c r="G406" s="139"/>
      <c r="H406" s="142">
        <f>IFERROR(VLOOKUP($C406,$C$5:$H$18,6,0)+SUMIF($C$19:$C406,$C406,$F$19:$F406)-SUMIF($C$19:$C406,$C406,$G$19:$G406),"")</f>
        <v>81211.819999998</v>
      </c>
      <c r="I406" s="144"/>
      <c r="J406" s="144"/>
      <c r="K406" s="22" t="str">
        <f t="shared" si="6"/>
        <v/>
      </c>
      <c r="L406" s="40"/>
      <c r="M406"/>
      <c r="N406"/>
      <c r="O406"/>
      <c r="P406"/>
      <c r="Q406"/>
      <c r="R406"/>
      <c r="S406"/>
      <c r="T406"/>
      <c r="U406"/>
      <c r="V406"/>
      <c r="W406" s="41"/>
      <c r="X406" s="41"/>
      <c r="Y406" s="41"/>
    </row>
    <row r="407" s="27" customFormat="1" ht="23" hidden="1" customHeight="1" spans="1:25">
      <c r="A407" s="133" t="str">
        <f>IF(B407="","",COUNTA($B$5:B407))</f>
        <v/>
      </c>
      <c r="B407" s="143"/>
      <c r="C407" s="144" t="s">
        <v>49</v>
      </c>
      <c r="D407" s="145"/>
      <c r="E407" s="146"/>
      <c r="F407" s="139"/>
      <c r="G407" s="139"/>
      <c r="H407" s="142">
        <f>IFERROR(VLOOKUP($C407,$C$5:$H$18,6,0)+SUMIF($C$19:$C407,$C407,$F$19:$F407)-SUMIF($C$19:$C407,$C407,$G$19:$G407),"")</f>
        <v>81211.819999998</v>
      </c>
      <c r="I407" s="144"/>
      <c r="J407" s="144"/>
      <c r="K407" s="22" t="str">
        <f t="shared" si="6"/>
        <v/>
      </c>
      <c r="L407" s="40"/>
      <c r="M407"/>
      <c r="N407"/>
      <c r="O407"/>
      <c r="P407"/>
      <c r="Q407"/>
      <c r="R407"/>
      <c r="S407"/>
      <c r="T407"/>
      <c r="U407"/>
      <c r="V407"/>
      <c r="W407" s="41"/>
      <c r="X407" s="41"/>
      <c r="Y407" s="41"/>
    </row>
    <row r="408" s="27" customFormat="1" ht="23" hidden="1" customHeight="1" spans="1:25">
      <c r="A408" s="133" t="str">
        <f>IF(B408="","",COUNTA($B$5:B408))</f>
        <v/>
      </c>
      <c r="B408" s="143"/>
      <c r="C408" s="144" t="s">
        <v>49</v>
      </c>
      <c r="D408" s="145"/>
      <c r="E408" s="146"/>
      <c r="F408" s="139"/>
      <c r="G408" s="139"/>
      <c r="H408" s="142">
        <f>IFERROR(VLOOKUP($C408,$C$5:$H$18,6,0)+SUMIF($C$19:$C408,$C408,$F$19:$F408)-SUMIF($C$19:$C408,$C408,$G$19:$G408),"")</f>
        <v>81211.819999998</v>
      </c>
      <c r="I408" s="144"/>
      <c r="J408" s="144"/>
      <c r="K408" s="22" t="str">
        <f t="shared" si="6"/>
        <v/>
      </c>
      <c r="L408" s="40"/>
      <c r="M408"/>
      <c r="N408"/>
      <c r="O408"/>
      <c r="P408"/>
      <c r="Q408"/>
      <c r="R408"/>
      <c r="S408"/>
      <c r="T408"/>
      <c r="U408"/>
      <c r="V408"/>
      <c r="W408" s="41"/>
      <c r="X408" s="41"/>
      <c r="Y408" s="41"/>
    </row>
    <row r="409" s="27" customFormat="1" ht="23" hidden="1" customHeight="1" spans="1:25">
      <c r="A409" s="133" t="str">
        <f>IF(B409="","",COUNTA($B$5:B409))</f>
        <v/>
      </c>
      <c r="B409" s="143"/>
      <c r="C409" s="144" t="s">
        <v>49</v>
      </c>
      <c r="D409" s="145"/>
      <c r="E409" s="146"/>
      <c r="F409" s="139"/>
      <c r="G409" s="139"/>
      <c r="H409" s="142">
        <f>IFERROR(VLOOKUP($C409,$C$5:$H$18,6,0)+SUMIF($C$19:$C409,$C409,$F$19:$F409)-SUMIF($C$19:$C409,$C409,$G$19:$G409),"")</f>
        <v>81211.819999998</v>
      </c>
      <c r="I409" s="144"/>
      <c r="J409" s="144"/>
      <c r="K409" s="22" t="str">
        <f t="shared" si="6"/>
        <v/>
      </c>
      <c r="L409" s="40"/>
      <c r="M409"/>
      <c r="N409"/>
      <c r="O409"/>
      <c r="P409"/>
      <c r="Q409"/>
      <c r="R409"/>
      <c r="S409"/>
      <c r="T409"/>
      <c r="U409"/>
      <c r="V409"/>
      <c r="W409" s="41"/>
      <c r="X409" s="41"/>
      <c r="Y409" s="41"/>
    </row>
    <row r="410" s="27" customFormat="1" ht="23" hidden="1" customHeight="1" spans="1:25">
      <c r="A410" s="133" t="str">
        <f>IF(B410="","",COUNTA($B$5:B410))</f>
        <v/>
      </c>
      <c r="B410" s="143"/>
      <c r="C410" s="144" t="s">
        <v>49</v>
      </c>
      <c r="D410" s="145"/>
      <c r="E410" s="146"/>
      <c r="F410" s="139"/>
      <c r="G410" s="139"/>
      <c r="H410" s="142">
        <f>IFERROR(VLOOKUP($C410,$C$5:$H$18,6,0)+SUMIF($C$19:$C410,$C410,$F$19:$F410)-SUMIF($C$19:$C410,$C410,$G$19:$G410),"")</f>
        <v>81211.819999998</v>
      </c>
      <c r="I410" s="144"/>
      <c r="J410" s="144"/>
      <c r="K410" s="22" t="str">
        <f t="shared" si="6"/>
        <v/>
      </c>
      <c r="L410" s="40"/>
      <c r="M410"/>
      <c r="N410"/>
      <c r="O410"/>
      <c r="P410"/>
      <c r="Q410"/>
      <c r="R410"/>
      <c r="S410"/>
      <c r="T410"/>
      <c r="U410"/>
      <c r="V410"/>
      <c r="W410" s="41"/>
      <c r="X410" s="41"/>
      <c r="Y410" s="41"/>
    </row>
    <row r="411" s="27" customFormat="1" ht="23" hidden="1" customHeight="1" spans="1:25">
      <c r="A411" s="133" t="str">
        <f>IF(B411="","",COUNTA($B$5:B411))</f>
        <v/>
      </c>
      <c r="B411" s="143"/>
      <c r="C411" s="144" t="s">
        <v>49</v>
      </c>
      <c r="D411" s="145"/>
      <c r="E411" s="146"/>
      <c r="F411" s="139"/>
      <c r="G411" s="139"/>
      <c r="H411" s="142">
        <f>IFERROR(VLOOKUP($C411,$C$5:$H$18,6,0)+SUMIF($C$19:$C411,$C411,$F$19:$F411)-SUMIF($C$19:$C411,$C411,$G$19:$G411),"")</f>
        <v>81211.819999998</v>
      </c>
      <c r="I411" s="144"/>
      <c r="J411" s="144"/>
      <c r="K411" s="22" t="str">
        <f t="shared" si="6"/>
        <v/>
      </c>
      <c r="L411" s="40"/>
      <c r="M411"/>
      <c r="N411"/>
      <c r="O411"/>
      <c r="P411"/>
      <c r="Q411"/>
      <c r="R411"/>
      <c r="S411"/>
      <c r="T411"/>
      <c r="U411"/>
      <c r="V411"/>
      <c r="W411" s="41"/>
      <c r="X411" s="41"/>
      <c r="Y411" s="41"/>
    </row>
    <row r="412" s="27" customFormat="1" ht="23" hidden="1" customHeight="1" spans="1:25">
      <c r="A412" s="133" t="str">
        <f>IF(B412="","",COUNTA($B$5:B412))</f>
        <v/>
      </c>
      <c r="B412" s="143"/>
      <c r="C412" s="144" t="s">
        <v>49</v>
      </c>
      <c r="D412" s="145"/>
      <c r="E412" s="146"/>
      <c r="F412" s="139"/>
      <c r="G412" s="139"/>
      <c r="H412" s="142">
        <f>IFERROR(VLOOKUP($C412,$C$5:$H$18,6,0)+SUMIF($C$19:$C412,$C412,$F$19:$F412)-SUMIF($C$19:$C412,$C412,$G$19:$G412),"")</f>
        <v>81211.819999998</v>
      </c>
      <c r="I412" s="144"/>
      <c r="J412" s="144"/>
      <c r="K412" s="22" t="str">
        <f t="shared" si="6"/>
        <v/>
      </c>
      <c r="L412" s="40"/>
      <c r="M412"/>
      <c r="N412"/>
      <c r="O412"/>
      <c r="P412"/>
      <c r="Q412"/>
      <c r="R412"/>
      <c r="S412"/>
      <c r="T412"/>
      <c r="U412"/>
      <c r="V412"/>
      <c r="W412" s="41"/>
      <c r="X412" s="41"/>
      <c r="Y412" s="41"/>
    </row>
    <row r="413" s="27" customFormat="1" ht="23" hidden="1" customHeight="1" spans="1:25">
      <c r="A413" s="133" t="str">
        <f>IF(B413="","",COUNTA($B$5:B413))</f>
        <v/>
      </c>
      <c r="B413" s="143"/>
      <c r="C413" s="144" t="s">
        <v>49</v>
      </c>
      <c r="D413" s="145"/>
      <c r="E413" s="146"/>
      <c r="F413" s="139"/>
      <c r="G413" s="139"/>
      <c r="H413" s="142">
        <f>IFERROR(VLOOKUP($C413,$C$5:$H$18,6,0)+SUMIF($C$19:$C413,$C413,$F$19:$F413)-SUMIF($C$19:$C413,$C413,$G$19:$G413),"")</f>
        <v>81211.819999998</v>
      </c>
      <c r="I413" s="144"/>
      <c r="J413" s="144"/>
      <c r="K413" s="22" t="str">
        <f t="shared" si="6"/>
        <v/>
      </c>
      <c r="L413" s="40"/>
      <c r="M413"/>
      <c r="N413"/>
      <c r="O413"/>
      <c r="P413"/>
      <c r="Q413"/>
      <c r="R413"/>
      <c r="S413"/>
      <c r="T413"/>
      <c r="U413"/>
      <c r="V413"/>
      <c r="W413" s="41"/>
      <c r="X413" s="41"/>
      <c r="Y413" s="41"/>
    </row>
    <row r="414" s="27" customFormat="1" ht="23" hidden="1" customHeight="1" spans="1:25">
      <c r="A414" s="133" t="str">
        <f>IF(B414="","",COUNTA($B$5:B414))</f>
        <v/>
      </c>
      <c r="B414" s="143"/>
      <c r="C414" s="144" t="s">
        <v>49</v>
      </c>
      <c r="D414" s="145"/>
      <c r="E414" s="146"/>
      <c r="F414" s="139"/>
      <c r="G414" s="139"/>
      <c r="H414" s="142">
        <f>IFERROR(VLOOKUP($C414,$C$5:$H$18,6,0)+SUMIF($C$19:$C414,$C414,$F$19:$F414)-SUMIF($C$19:$C414,$C414,$G$19:$G414),"")</f>
        <v>81211.819999998</v>
      </c>
      <c r="I414" s="144"/>
      <c r="J414" s="144"/>
      <c r="K414" s="22" t="str">
        <f t="shared" si="6"/>
        <v/>
      </c>
      <c r="L414" s="40"/>
      <c r="M414"/>
      <c r="N414"/>
      <c r="O414"/>
      <c r="P414"/>
      <c r="Q414"/>
      <c r="R414"/>
      <c r="S414"/>
      <c r="T414"/>
      <c r="U414"/>
      <c r="V414"/>
      <c r="W414" s="41"/>
      <c r="X414" s="41"/>
      <c r="Y414" s="41"/>
    </row>
    <row r="415" s="27" customFormat="1" ht="23" hidden="1" customHeight="1" spans="1:25">
      <c r="A415" s="133" t="str">
        <f>IF(B415="","",COUNTA($B$5:B415))</f>
        <v/>
      </c>
      <c r="B415" s="143"/>
      <c r="C415" s="144" t="s">
        <v>49</v>
      </c>
      <c r="D415" s="145"/>
      <c r="E415" s="146"/>
      <c r="F415" s="139"/>
      <c r="G415" s="139"/>
      <c r="H415" s="142">
        <f>IFERROR(VLOOKUP($C415,$C$5:$H$18,6,0)+SUMIF($C$19:$C415,$C415,$F$19:$F415)-SUMIF($C$19:$C415,$C415,$G$19:$G415),"")</f>
        <v>81211.819999998</v>
      </c>
      <c r="I415" s="144"/>
      <c r="J415" s="144"/>
      <c r="K415" s="22" t="str">
        <f t="shared" si="6"/>
        <v/>
      </c>
      <c r="L415" s="40"/>
      <c r="M415"/>
      <c r="N415"/>
      <c r="O415"/>
      <c r="P415"/>
      <c r="Q415"/>
      <c r="R415"/>
      <c r="S415"/>
      <c r="T415"/>
      <c r="U415"/>
      <c r="V415"/>
      <c r="W415" s="41"/>
      <c r="X415" s="41"/>
      <c r="Y415" s="41"/>
    </row>
    <row r="416" s="27" customFormat="1" ht="23" hidden="1" customHeight="1" spans="1:25">
      <c r="A416" s="133" t="str">
        <f>IF(B416="","",COUNTA($B$5:B416))</f>
        <v/>
      </c>
      <c r="B416" s="143"/>
      <c r="C416" s="144" t="s">
        <v>49</v>
      </c>
      <c r="D416" s="145"/>
      <c r="E416" s="146"/>
      <c r="F416" s="139"/>
      <c r="G416" s="139"/>
      <c r="H416" s="142">
        <f>IFERROR(VLOOKUP($C416,$C$5:$H$18,6,0)+SUMIF($C$19:$C416,$C416,$F$19:$F416)-SUMIF($C$19:$C416,$C416,$G$19:$G416),"")</f>
        <v>81211.819999998</v>
      </c>
      <c r="I416" s="144"/>
      <c r="J416" s="144"/>
      <c r="K416" s="22" t="str">
        <f t="shared" si="6"/>
        <v/>
      </c>
      <c r="L416" s="40"/>
      <c r="M416"/>
      <c r="N416"/>
      <c r="O416"/>
      <c r="P416"/>
      <c r="Q416"/>
      <c r="R416"/>
      <c r="S416"/>
      <c r="T416"/>
      <c r="U416"/>
      <c r="V416"/>
      <c r="W416" s="41"/>
      <c r="X416" s="41"/>
      <c r="Y416" s="41"/>
    </row>
    <row r="417" s="27" customFormat="1" ht="23" hidden="1" customHeight="1" spans="1:25">
      <c r="A417" s="133" t="str">
        <f>IF(B417="","",COUNTA($B$5:B417))</f>
        <v/>
      </c>
      <c r="B417" s="143"/>
      <c r="C417" s="144" t="s">
        <v>49</v>
      </c>
      <c r="D417" s="145"/>
      <c r="E417" s="146"/>
      <c r="F417" s="139"/>
      <c r="G417" s="139"/>
      <c r="H417" s="142">
        <f>IFERROR(VLOOKUP($C417,$C$5:$H$18,6,0)+SUMIF($C$19:$C417,$C417,$F$19:$F417)-SUMIF($C$19:$C417,$C417,$G$19:$G417),"")</f>
        <v>81211.819999998</v>
      </c>
      <c r="I417" s="144"/>
      <c r="J417" s="144"/>
      <c r="K417" s="22" t="str">
        <f t="shared" si="6"/>
        <v/>
      </c>
      <c r="L417" s="40"/>
      <c r="M417"/>
      <c r="N417"/>
      <c r="O417"/>
      <c r="P417"/>
      <c r="Q417"/>
      <c r="R417"/>
      <c r="S417"/>
      <c r="T417"/>
      <c r="U417"/>
      <c r="V417"/>
      <c r="W417" s="41"/>
      <c r="X417" s="41"/>
      <c r="Y417" s="41"/>
    </row>
    <row r="418" s="27" customFormat="1" ht="23" hidden="1" customHeight="1" spans="1:25">
      <c r="A418" s="133" t="str">
        <f>IF(B418="","",COUNTA($B$5:B418))</f>
        <v/>
      </c>
      <c r="B418" s="143"/>
      <c r="C418" s="144" t="s">
        <v>49</v>
      </c>
      <c r="D418" s="145"/>
      <c r="E418" s="146"/>
      <c r="F418" s="139"/>
      <c r="G418" s="139"/>
      <c r="H418" s="142">
        <f>IFERROR(VLOOKUP($C418,$C$5:$H$18,6,0)+SUMIF($C$19:$C418,$C418,$F$19:$F418)-SUMIF($C$19:$C418,$C418,$G$19:$G418),"")</f>
        <v>81211.819999998</v>
      </c>
      <c r="I418" s="144"/>
      <c r="J418" s="144"/>
      <c r="K418" s="22" t="str">
        <f t="shared" si="6"/>
        <v/>
      </c>
      <c r="L418" s="40"/>
      <c r="M418"/>
      <c r="N418"/>
      <c r="O418"/>
      <c r="P418"/>
      <c r="Q418"/>
      <c r="R418"/>
      <c r="S418"/>
      <c r="T418"/>
      <c r="U418"/>
      <c r="V418"/>
      <c r="W418" s="41"/>
      <c r="X418" s="41"/>
      <c r="Y418" s="41"/>
    </row>
    <row r="419" s="27" customFormat="1" ht="23" hidden="1" customHeight="1" spans="1:25">
      <c r="A419" s="133" t="str">
        <f>IF(B419="","",COUNTA($B$5:B419))</f>
        <v/>
      </c>
      <c r="B419" s="143"/>
      <c r="C419" s="144" t="s">
        <v>49</v>
      </c>
      <c r="D419" s="145"/>
      <c r="E419" s="146"/>
      <c r="F419" s="139"/>
      <c r="G419" s="139"/>
      <c r="H419" s="142">
        <f>IFERROR(VLOOKUP($C419,$C$5:$H$18,6,0)+SUMIF($C$19:$C419,$C419,$F$19:$F419)-SUMIF($C$19:$C419,$C419,$G$19:$G419),"")</f>
        <v>81211.819999998</v>
      </c>
      <c r="I419" s="144"/>
      <c r="J419" s="144"/>
      <c r="K419" s="22" t="str">
        <f t="shared" si="6"/>
        <v/>
      </c>
      <c r="L419" s="40"/>
      <c r="M419"/>
      <c r="N419"/>
      <c r="O419"/>
      <c r="P419"/>
      <c r="Q419"/>
      <c r="R419"/>
      <c r="S419"/>
      <c r="T419"/>
      <c r="U419"/>
      <c r="V419"/>
      <c r="W419" s="41"/>
      <c r="X419" s="41"/>
      <c r="Y419" s="41"/>
    </row>
    <row r="420" s="27" customFormat="1" ht="23" hidden="1" customHeight="1" spans="1:25">
      <c r="A420" s="133" t="str">
        <f>IF(B420="","",COUNTA($B$5:B420))</f>
        <v/>
      </c>
      <c r="B420" s="143"/>
      <c r="C420" s="144" t="s">
        <v>49</v>
      </c>
      <c r="D420" s="145"/>
      <c r="E420" s="146"/>
      <c r="F420" s="139"/>
      <c r="G420" s="139"/>
      <c r="H420" s="142">
        <f>IFERROR(VLOOKUP($C420,$C$5:$H$18,6,0)+SUMIF($C$19:$C420,$C420,$F$19:$F420)-SUMIF($C$19:$C420,$C420,$G$19:$G420),"")</f>
        <v>81211.819999998</v>
      </c>
      <c r="I420" s="144"/>
      <c r="J420" s="144"/>
      <c r="K420" s="22" t="str">
        <f t="shared" si="6"/>
        <v/>
      </c>
      <c r="L420" s="40"/>
      <c r="M420"/>
      <c r="N420"/>
      <c r="O420"/>
      <c r="P420"/>
      <c r="Q420"/>
      <c r="R420"/>
      <c r="S420"/>
      <c r="T420"/>
      <c r="U420"/>
      <c r="V420"/>
      <c r="W420" s="41"/>
      <c r="X420" s="41"/>
      <c r="Y420" s="41"/>
    </row>
    <row r="421" s="27" customFormat="1" ht="23" hidden="1" customHeight="1" spans="1:25">
      <c r="A421" s="133" t="str">
        <f>IF(B421="","",COUNTA($B$5:B421))</f>
        <v/>
      </c>
      <c r="B421" s="143"/>
      <c r="C421" s="144" t="s">
        <v>49</v>
      </c>
      <c r="D421" s="145"/>
      <c r="E421" s="146"/>
      <c r="F421" s="139"/>
      <c r="G421" s="139"/>
      <c r="H421" s="142">
        <f>IFERROR(VLOOKUP($C421,$C$5:$H$18,6,0)+SUMIF($C$19:$C421,$C421,$F$19:$F421)-SUMIF($C$19:$C421,$C421,$G$19:$G421),"")</f>
        <v>81211.819999998</v>
      </c>
      <c r="I421" s="144"/>
      <c r="J421" s="144"/>
      <c r="K421" s="22" t="str">
        <f t="shared" si="6"/>
        <v/>
      </c>
      <c r="L421" s="40"/>
      <c r="M421"/>
      <c r="N421"/>
      <c r="O421"/>
      <c r="P421"/>
      <c r="Q421"/>
      <c r="R421"/>
      <c r="S421"/>
      <c r="T421"/>
      <c r="U421"/>
      <c r="V421"/>
      <c r="W421" s="41"/>
      <c r="X421" s="41"/>
      <c r="Y421" s="41"/>
    </row>
    <row r="422" s="27" customFormat="1" ht="23" hidden="1" customHeight="1" spans="1:25">
      <c r="A422" s="133" t="str">
        <f>IF(B422="","",COUNTA($B$5:B422))</f>
        <v/>
      </c>
      <c r="B422" s="143"/>
      <c r="C422" s="144" t="s">
        <v>49</v>
      </c>
      <c r="D422" s="145"/>
      <c r="E422" s="146"/>
      <c r="F422" s="139"/>
      <c r="G422" s="139"/>
      <c r="H422" s="142">
        <f>IFERROR(VLOOKUP($C422,$C$5:$H$18,6,0)+SUMIF($C$19:$C422,$C422,$F$19:$F422)-SUMIF($C$19:$C422,$C422,$G$19:$G422),"")</f>
        <v>81211.819999998</v>
      </c>
      <c r="I422" s="144"/>
      <c r="J422" s="144"/>
      <c r="K422" s="22" t="str">
        <f t="shared" si="6"/>
        <v/>
      </c>
      <c r="L422" s="40"/>
      <c r="M422"/>
      <c r="N422"/>
      <c r="O422"/>
      <c r="P422"/>
      <c r="Q422"/>
      <c r="R422"/>
      <c r="S422"/>
      <c r="T422"/>
      <c r="U422"/>
      <c r="V422"/>
      <c r="W422" s="41"/>
      <c r="X422" s="41"/>
      <c r="Y422" s="41"/>
    </row>
    <row r="423" s="27" customFormat="1" ht="23" hidden="1" customHeight="1" spans="1:25">
      <c r="A423" s="133" t="str">
        <f>IF(B423="","",COUNTA($B$5:B423))</f>
        <v/>
      </c>
      <c r="B423" s="143"/>
      <c r="C423" s="144" t="s">
        <v>49</v>
      </c>
      <c r="D423" s="145"/>
      <c r="E423" s="146"/>
      <c r="F423" s="139"/>
      <c r="G423" s="139"/>
      <c r="H423" s="142">
        <f>IFERROR(VLOOKUP($C423,$C$5:$H$18,6,0)+SUMIF($C$19:$C423,$C423,$F$19:$F423)-SUMIF($C$19:$C423,$C423,$G$19:$G423),"")</f>
        <v>81211.819999998</v>
      </c>
      <c r="I423" s="144"/>
      <c r="J423" s="144"/>
      <c r="K423" s="22" t="str">
        <f t="shared" si="6"/>
        <v/>
      </c>
      <c r="L423" s="40"/>
      <c r="M423"/>
      <c r="N423"/>
      <c r="O423"/>
      <c r="P423"/>
      <c r="Q423"/>
      <c r="R423"/>
      <c r="S423"/>
      <c r="T423"/>
      <c r="U423"/>
      <c r="V423"/>
      <c r="W423" s="41"/>
      <c r="X423" s="41"/>
      <c r="Y423" s="41"/>
    </row>
    <row r="424" s="27" customFormat="1" ht="23" hidden="1" customHeight="1" spans="1:25">
      <c r="A424" s="133" t="str">
        <f>IF(B424="","",COUNTA($B$5:B424))</f>
        <v/>
      </c>
      <c r="B424" s="143"/>
      <c r="C424" s="144" t="s">
        <v>49</v>
      </c>
      <c r="D424" s="145"/>
      <c r="E424" s="146"/>
      <c r="F424" s="139"/>
      <c r="G424" s="139"/>
      <c r="H424" s="142">
        <f>IFERROR(VLOOKUP($C424,$C$5:$H$18,6,0)+SUMIF($C$19:$C424,$C424,$F$19:$F424)-SUMIF($C$19:$C424,$C424,$G$19:$G424),"")</f>
        <v>81211.819999998</v>
      </c>
      <c r="I424" s="144"/>
      <c r="J424" s="144"/>
      <c r="K424" s="22" t="str">
        <f t="shared" si="6"/>
        <v/>
      </c>
      <c r="L424" s="40"/>
      <c r="M424"/>
      <c r="N424"/>
      <c r="O424"/>
      <c r="P424"/>
      <c r="Q424"/>
      <c r="R424"/>
      <c r="S424"/>
      <c r="T424"/>
      <c r="U424"/>
      <c r="V424"/>
      <c r="W424" s="41"/>
      <c r="X424" s="41"/>
      <c r="Y424" s="41"/>
    </row>
    <row r="425" s="27" customFormat="1" ht="23" hidden="1" customHeight="1" spans="1:25">
      <c r="A425" s="133" t="str">
        <f>IF(B425="","",COUNTA($B$5:B425))</f>
        <v/>
      </c>
      <c r="B425" s="143"/>
      <c r="C425" s="144" t="s">
        <v>49</v>
      </c>
      <c r="D425" s="145"/>
      <c r="E425" s="146"/>
      <c r="F425" s="139"/>
      <c r="G425" s="139"/>
      <c r="H425" s="142">
        <f>IFERROR(VLOOKUP($C425,$C$5:$H$18,6,0)+SUMIF($C$19:$C425,$C425,$F$19:$F425)-SUMIF($C$19:$C425,$C425,$G$19:$G425),"")</f>
        <v>81211.819999998</v>
      </c>
      <c r="I425" s="144"/>
      <c r="J425" s="144"/>
      <c r="K425" s="22" t="str">
        <f t="shared" si="6"/>
        <v/>
      </c>
      <c r="L425" s="40"/>
      <c r="M425"/>
      <c r="N425"/>
      <c r="O425"/>
      <c r="P425"/>
      <c r="Q425"/>
      <c r="R425"/>
      <c r="S425"/>
      <c r="T425"/>
      <c r="U425"/>
      <c r="V425"/>
      <c r="W425" s="41"/>
      <c r="X425" s="41"/>
      <c r="Y425" s="41"/>
    </row>
    <row r="426" s="27" customFormat="1" ht="23" hidden="1" customHeight="1" spans="1:25">
      <c r="A426" s="133" t="str">
        <f>IF(B426="","",COUNTA($B$5:B426))</f>
        <v/>
      </c>
      <c r="B426" s="143"/>
      <c r="C426" s="144" t="s">
        <v>49</v>
      </c>
      <c r="D426" s="145"/>
      <c r="E426" s="146"/>
      <c r="F426" s="139"/>
      <c r="G426" s="139"/>
      <c r="H426" s="142">
        <f>IFERROR(VLOOKUP($C426,$C$5:$H$18,6,0)+SUMIF($C$19:$C426,$C426,$F$19:$F426)-SUMIF($C$19:$C426,$C426,$G$19:$G426),"")</f>
        <v>81211.819999998</v>
      </c>
      <c r="I426" s="144"/>
      <c r="J426" s="144"/>
      <c r="K426" s="22" t="str">
        <f t="shared" si="6"/>
        <v/>
      </c>
      <c r="L426" s="40"/>
      <c r="M426"/>
      <c r="N426"/>
      <c r="O426"/>
      <c r="P426"/>
      <c r="Q426"/>
      <c r="R426"/>
      <c r="S426"/>
      <c r="T426"/>
      <c r="U426"/>
      <c r="V426"/>
      <c r="W426" s="41"/>
      <c r="X426" s="41"/>
      <c r="Y426" s="41"/>
    </row>
    <row r="427" s="27" customFormat="1" ht="23" hidden="1" customHeight="1" spans="1:25">
      <c r="A427" s="133" t="str">
        <f>IF(B427="","",COUNTA($B$5:B427))</f>
        <v/>
      </c>
      <c r="B427" s="143"/>
      <c r="C427" s="144" t="s">
        <v>49</v>
      </c>
      <c r="D427" s="145"/>
      <c r="E427" s="146"/>
      <c r="F427" s="139"/>
      <c r="G427" s="139"/>
      <c r="H427" s="142">
        <f>IFERROR(VLOOKUP($C427,$C$5:$H$18,6,0)+SUMIF($C$19:$C427,$C427,$F$19:$F427)-SUMIF($C$19:$C427,$C427,$G$19:$G427),"")</f>
        <v>81211.819999998</v>
      </c>
      <c r="I427" s="144"/>
      <c r="J427" s="144"/>
      <c r="K427" s="22" t="str">
        <f t="shared" si="6"/>
        <v/>
      </c>
      <c r="L427" s="40"/>
      <c r="M427"/>
      <c r="N427"/>
      <c r="O427"/>
      <c r="P427"/>
      <c r="Q427"/>
      <c r="R427"/>
      <c r="S427"/>
      <c r="T427"/>
      <c r="U427"/>
      <c r="V427"/>
      <c r="W427" s="41"/>
      <c r="X427" s="41"/>
      <c r="Y427" s="41"/>
    </row>
    <row r="428" s="27" customFormat="1" ht="23" hidden="1" customHeight="1" spans="1:25">
      <c r="A428" s="133" t="str">
        <f>IF(B428="","",COUNTA($B$5:B428))</f>
        <v/>
      </c>
      <c r="B428" s="143"/>
      <c r="C428" s="144" t="s">
        <v>49</v>
      </c>
      <c r="D428" s="145"/>
      <c r="E428" s="146"/>
      <c r="F428" s="139"/>
      <c r="G428" s="139"/>
      <c r="H428" s="142">
        <f>IFERROR(VLOOKUP($C428,$C$5:$H$18,6,0)+SUMIF($C$19:$C428,$C428,$F$19:$F428)-SUMIF($C$19:$C428,$C428,$G$19:$G428),"")</f>
        <v>81211.819999998</v>
      </c>
      <c r="I428" s="144"/>
      <c r="J428" s="144"/>
      <c r="K428" s="22" t="str">
        <f t="shared" si="6"/>
        <v/>
      </c>
      <c r="L428" s="40"/>
      <c r="M428"/>
      <c r="N428"/>
      <c r="O428"/>
      <c r="P428"/>
      <c r="Q428"/>
      <c r="R428"/>
      <c r="S428"/>
      <c r="T428"/>
      <c r="U428"/>
      <c r="V428"/>
      <c r="W428" s="41"/>
      <c r="X428" s="41"/>
      <c r="Y428" s="41"/>
    </row>
    <row r="429" s="27" customFormat="1" ht="23" hidden="1" customHeight="1" spans="1:25">
      <c r="A429" s="133" t="str">
        <f>IF(B429="","",COUNTA($B$5:B429))</f>
        <v/>
      </c>
      <c r="B429" s="143"/>
      <c r="C429" s="144" t="s">
        <v>49</v>
      </c>
      <c r="D429" s="145"/>
      <c r="E429" s="146"/>
      <c r="F429" s="139"/>
      <c r="G429" s="139"/>
      <c r="H429" s="142">
        <f>IFERROR(VLOOKUP($C429,$C$5:$H$18,6,0)+SUMIF($C$19:$C429,$C429,$F$19:$F429)-SUMIF($C$19:$C429,$C429,$G$19:$G429),"")</f>
        <v>81211.819999998</v>
      </c>
      <c r="I429" s="144"/>
      <c r="J429" s="144"/>
      <c r="K429" s="22" t="str">
        <f t="shared" si="6"/>
        <v/>
      </c>
      <c r="L429" s="40"/>
      <c r="M429"/>
      <c r="N429"/>
      <c r="O429"/>
      <c r="P429"/>
      <c r="Q429"/>
      <c r="R429"/>
      <c r="S429"/>
      <c r="T429"/>
      <c r="U429"/>
      <c r="V429"/>
      <c r="W429" s="41"/>
      <c r="X429" s="41"/>
      <c r="Y429" s="41"/>
    </row>
    <row r="430" s="27" customFormat="1" ht="23" hidden="1" customHeight="1" spans="1:25">
      <c r="A430" s="133" t="str">
        <f>IF(B430="","",COUNTA($B$5:B430))</f>
        <v/>
      </c>
      <c r="B430" s="143"/>
      <c r="C430" s="144" t="s">
        <v>49</v>
      </c>
      <c r="D430" s="145"/>
      <c r="E430" s="146"/>
      <c r="F430" s="139"/>
      <c r="G430" s="139"/>
      <c r="H430" s="142">
        <f>IFERROR(VLOOKUP($C430,$C$5:$H$18,6,0)+SUMIF($C$19:$C430,$C430,$F$19:$F430)-SUMIF($C$19:$C430,$C430,$G$19:$G430),"")</f>
        <v>81211.819999998</v>
      </c>
      <c r="I430" s="144"/>
      <c r="J430" s="144"/>
      <c r="K430" s="22" t="str">
        <f t="shared" si="6"/>
        <v/>
      </c>
      <c r="L430" s="40"/>
      <c r="M430"/>
      <c r="N430"/>
      <c r="O430"/>
      <c r="P430"/>
      <c r="Q430"/>
      <c r="R430"/>
      <c r="S430"/>
      <c r="T430"/>
      <c r="U430"/>
      <c r="V430"/>
      <c r="W430" s="41"/>
      <c r="X430" s="41"/>
      <c r="Y430" s="41"/>
    </row>
    <row r="431" s="27" customFormat="1" ht="23" hidden="1" customHeight="1" spans="1:25">
      <c r="A431" s="133" t="str">
        <f>IF(B431="","",COUNTA($B$5:B431))</f>
        <v/>
      </c>
      <c r="B431" s="143"/>
      <c r="C431" s="144" t="s">
        <v>49</v>
      </c>
      <c r="D431" s="145"/>
      <c r="E431" s="146"/>
      <c r="F431" s="139"/>
      <c r="G431" s="139"/>
      <c r="H431" s="142">
        <f>IFERROR(VLOOKUP($C431,$C$5:$H$18,6,0)+SUMIF($C$19:$C431,$C431,$F$19:$F431)-SUMIF($C$19:$C431,$C431,$G$19:$G431),"")</f>
        <v>81211.819999998</v>
      </c>
      <c r="I431" s="144"/>
      <c r="J431" s="144"/>
      <c r="K431" s="22" t="str">
        <f t="shared" si="6"/>
        <v/>
      </c>
      <c r="L431" s="40"/>
      <c r="M431"/>
      <c r="N431"/>
      <c r="O431"/>
      <c r="P431"/>
      <c r="Q431"/>
      <c r="R431"/>
      <c r="S431"/>
      <c r="T431"/>
      <c r="U431"/>
      <c r="V431"/>
      <c r="W431" s="41"/>
      <c r="X431" s="41"/>
      <c r="Y431" s="41"/>
    </row>
    <row r="432" s="27" customFormat="1" ht="23" hidden="1" customHeight="1" spans="1:25">
      <c r="A432" s="133" t="str">
        <f>IF(B432="","",COUNTA($B$5:B432))</f>
        <v/>
      </c>
      <c r="B432" s="143"/>
      <c r="C432" s="144" t="s">
        <v>49</v>
      </c>
      <c r="D432" s="145"/>
      <c r="E432" s="146"/>
      <c r="F432" s="139"/>
      <c r="G432" s="139"/>
      <c r="H432" s="142">
        <f>IFERROR(VLOOKUP($C432,$C$5:$H$18,6,0)+SUMIF($C$19:$C432,$C432,$F$19:$F432)-SUMIF($C$19:$C432,$C432,$G$19:$G432),"")</f>
        <v>81211.819999998</v>
      </c>
      <c r="I432" s="144"/>
      <c r="J432" s="144"/>
      <c r="K432" s="22" t="str">
        <f t="shared" si="6"/>
        <v/>
      </c>
      <c r="L432" s="40"/>
      <c r="M432"/>
      <c r="N432"/>
      <c r="O432"/>
      <c r="P432"/>
      <c r="Q432"/>
      <c r="R432"/>
      <c r="S432"/>
      <c r="T432"/>
      <c r="U432"/>
      <c r="V432"/>
      <c r="W432" s="41"/>
      <c r="X432" s="41"/>
      <c r="Y432" s="41"/>
    </row>
    <row r="433" s="27" customFormat="1" ht="23" hidden="1" customHeight="1" spans="1:25">
      <c r="A433" s="133" t="str">
        <f>IF(B433="","",COUNTA($B$5:B433))</f>
        <v/>
      </c>
      <c r="B433" s="143"/>
      <c r="C433" s="144" t="s">
        <v>49</v>
      </c>
      <c r="D433" s="145"/>
      <c r="E433" s="146"/>
      <c r="F433" s="139"/>
      <c r="G433" s="139"/>
      <c r="H433" s="142">
        <f>IFERROR(VLOOKUP($C433,$C$5:$H$18,6,0)+SUMIF($C$19:$C433,$C433,$F$19:$F433)-SUMIF($C$19:$C433,$C433,$G$19:$G433),"")</f>
        <v>81211.819999998</v>
      </c>
      <c r="I433" s="144"/>
      <c r="J433" s="144"/>
      <c r="K433" s="22" t="str">
        <f t="shared" si="6"/>
        <v/>
      </c>
      <c r="L433" s="40"/>
      <c r="M433"/>
      <c r="N433"/>
      <c r="O433"/>
      <c r="P433"/>
      <c r="Q433"/>
      <c r="R433"/>
      <c r="S433"/>
      <c r="T433"/>
      <c r="U433"/>
      <c r="V433"/>
      <c r="W433" s="41"/>
      <c r="X433" s="41"/>
      <c r="Y433" s="41"/>
    </row>
    <row r="434" s="27" customFormat="1" ht="23" hidden="1" customHeight="1" spans="1:25">
      <c r="A434" s="133" t="str">
        <f>IF(B434="","",COUNTA($B$5:B434))</f>
        <v/>
      </c>
      <c r="B434" s="143"/>
      <c r="C434" s="144" t="s">
        <v>49</v>
      </c>
      <c r="D434" s="145"/>
      <c r="E434" s="146"/>
      <c r="F434" s="139"/>
      <c r="G434" s="139"/>
      <c r="H434" s="142">
        <f>IFERROR(VLOOKUP($C434,$C$5:$H$18,6,0)+SUMIF($C$19:$C434,$C434,$F$19:$F434)-SUMIF($C$19:$C434,$C434,$G$19:$G434),"")</f>
        <v>81211.819999998</v>
      </c>
      <c r="I434" s="144"/>
      <c r="J434" s="144"/>
      <c r="K434" s="22" t="str">
        <f t="shared" si="6"/>
        <v/>
      </c>
      <c r="L434" s="40"/>
      <c r="M434"/>
      <c r="N434"/>
      <c r="O434"/>
      <c r="P434"/>
      <c r="Q434"/>
      <c r="R434"/>
      <c r="S434"/>
      <c r="T434"/>
      <c r="U434"/>
      <c r="V434"/>
      <c r="W434" s="41"/>
      <c r="X434" s="41"/>
      <c r="Y434" s="41"/>
    </row>
    <row r="435" s="27" customFormat="1" ht="23" hidden="1" customHeight="1" spans="1:25">
      <c r="A435" s="133" t="str">
        <f>IF(B435="","",COUNTA($B$5:B435))</f>
        <v/>
      </c>
      <c r="B435" s="143"/>
      <c r="C435" s="144" t="s">
        <v>49</v>
      </c>
      <c r="D435" s="145"/>
      <c r="E435" s="146"/>
      <c r="F435" s="139"/>
      <c r="G435" s="139"/>
      <c r="H435" s="142">
        <f>IFERROR(VLOOKUP($C435,$C$5:$H$18,6,0)+SUMIF($C$19:$C435,$C435,$F$19:$F435)-SUMIF($C$19:$C435,$C435,$G$19:$G435),"")</f>
        <v>81211.819999998</v>
      </c>
      <c r="I435" s="144"/>
      <c r="J435" s="144"/>
      <c r="K435" s="22" t="str">
        <f t="shared" si="6"/>
        <v/>
      </c>
      <c r="L435" s="40"/>
      <c r="M435"/>
      <c r="N435"/>
      <c r="O435"/>
      <c r="P435"/>
      <c r="Q435"/>
      <c r="R435"/>
      <c r="S435"/>
      <c r="T435"/>
      <c r="U435"/>
      <c r="V435"/>
      <c r="W435" s="41"/>
      <c r="X435" s="41"/>
      <c r="Y435" s="41"/>
    </row>
    <row r="436" s="27" customFormat="1" ht="23" hidden="1" customHeight="1" spans="1:25">
      <c r="A436" s="133" t="str">
        <f>IF(B436="","",COUNTA($B$5:B436))</f>
        <v/>
      </c>
      <c r="B436" s="143"/>
      <c r="C436" s="144" t="s">
        <v>49</v>
      </c>
      <c r="D436" s="145"/>
      <c r="E436" s="146"/>
      <c r="F436" s="139"/>
      <c r="G436" s="139"/>
      <c r="H436" s="142">
        <f>IFERROR(VLOOKUP($C436,$C$5:$H$18,6,0)+SUMIF($C$19:$C436,$C436,$F$19:$F436)-SUMIF($C$19:$C436,$C436,$G$19:$G436),"")</f>
        <v>81211.819999998</v>
      </c>
      <c r="I436" s="144"/>
      <c r="J436" s="144"/>
      <c r="K436" s="22" t="str">
        <f t="shared" si="6"/>
        <v/>
      </c>
      <c r="L436" s="40"/>
      <c r="M436"/>
      <c r="N436"/>
      <c r="O436"/>
      <c r="P436"/>
      <c r="Q436"/>
      <c r="R436"/>
      <c r="S436"/>
      <c r="T436"/>
      <c r="U436"/>
      <c r="V436"/>
      <c r="W436" s="41"/>
      <c r="X436" s="41"/>
      <c r="Y436" s="41"/>
    </row>
    <row r="437" s="27" customFormat="1" ht="23" hidden="1" customHeight="1" spans="1:25">
      <c r="A437" s="133" t="str">
        <f>IF(B437="","",COUNTA($B$5:B437))</f>
        <v/>
      </c>
      <c r="B437" s="143"/>
      <c r="C437" s="144" t="s">
        <v>49</v>
      </c>
      <c r="D437" s="145"/>
      <c r="E437" s="146"/>
      <c r="F437" s="139"/>
      <c r="G437" s="139"/>
      <c r="H437" s="142">
        <f>IFERROR(VLOOKUP($C437,$C$5:$H$18,6,0)+SUMIF($C$19:$C437,$C437,$F$19:$F437)-SUMIF($C$19:$C437,$C437,$G$19:$G437),"")</f>
        <v>81211.819999998</v>
      </c>
      <c r="I437" s="144"/>
      <c r="J437" s="144"/>
      <c r="K437" s="22" t="str">
        <f t="shared" si="6"/>
        <v/>
      </c>
      <c r="L437" s="40"/>
      <c r="M437"/>
      <c r="N437"/>
      <c r="O437"/>
      <c r="P437"/>
      <c r="Q437"/>
      <c r="R437"/>
      <c r="S437"/>
      <c r="T437"/>
      <c r="U437"/>
      <c r="V437"/>
      <c r="W437" s="41"/>
      <c r="X437" s="41"/>
      <c r="Y437" s="41"/>
    </row>
    <row r="438" s="27" customFormat="1" ht="23" hidden="1" customHeight="1" spans="1:25">
      <c r="A438" s="133" t="str">
        <f>IF(B438="","",COUNTA($B$5:B438))</f>
        <v/>
      </c>
      <c r="B438" s="143"/>
      <c r="C438" s="144" t="s">
        <v>49</v>
      </c>
      <c r="D438" s="145"/>
      <c r="E438" s="146"/>
      <c r="F438" s="139"/>
      <c r="G438" s="139"/>
      <c r="H438" s="142">
        <f>IFERROR(VLOOKUP($C438,$C$5:$H$18,6,0)+SUMIF($C$19:$C438,$C438,$F$19:$F438)-SUMIF($C$19:$C438,$C438,$G$19:$G438),"")</f>
        <v>81211.819999998</v>
      </c>
      <c r="I438" s="144"/>
      <c r="J438" s="144"/>
      <c r="K438" s="22" t="str">
        <f t="shared" si="6"/>
        <v/>
      </c>
      <c r="L438" s="40"/>
      <c r="M438"/>
      <c r="N438"/>
      <c r="O438"/>
      <c r="P438"/>
      <c r="Q438"/>
      <c r="R438"/>
      <c r="S438"/>
      <c r="T438"/>
      <c r="U438"/>
      <c r="V438"/>
      <c r="W438" s="41"/>
      <c r="X438" s="41"/>
      <c r="Y438" s="41"/>
    </row>
    <row r="439" s="27" customFormat="1" ht="23" hidden="1" customHeight="1" spans="1:25">
      <c r="A439" s="133" t="str">
        <f>IF(B439="","",COUNTA($B$5:B439))</f>
        <v/>
      </c>
      <c r="B439" s="143"/>
      <c r="C439" s="144" t="s">
        <v>49</v>
      </c>
      <c r="D439" s="145"/>
      <c r="E439" s="146"/>
      <c r="F439" s="139"/>
      <c r="G439" s="139"/>
      <c r="H439" s="142">
        <f>IFERROR(VLOOKUP($C439,$C$5:$H$18,6,0)+SUMIF($C$19:$C439,$C439,$F$19:$F439)-SUMIF($C$19:$C439,$C439,$G$19:$G439),"")</f>
        <v>81211.819999998</v>
      </c>
      <c r="I439" s="144"/>
      <c r="J439" s="144"/>
      <c r="K439" s="22" t="str">
        <f t="shared" si="6"/>
        <v/>
      </c>
      <c r="L439" s="40"/>
      <c r="M439"/>
      <c r="N439"/>
      <c r="O439"/>
      <c r="P439"/>
      <c r="Q439"/>
      <c r="R439"/>
      <c r="S439"/>
      <c r="T439"/>
      <c r="U439"/>
      <c r="V439"/>
      <c r="W439" s="41"/>
      <c r="X439" s="41"/>
      <c r="Y439" s="41"/>
    </row>
    <row r="440" s="27" customFormat="1" ht="23" hidden="1" customHeight="1" spans="1:25">
      <c r="A440" s="133" t="str">
        <f>IF(B440="","",COUNTA($B$5:B440))</f>
        <v/>
      </c>
      <c r="B440" s="143"/>
      <c r="C440" s="144" t="s">
        <v>49</v>
      </c>
      <c r="D440" s="145"/>
      <c r="E440" s="146"/>
      <c r="F440" s="139"/>
      <c r="G440" s="139"/>
      <c r="H440" s="142">
        <f>IFERROR(VLOOKUP($C440,$C$5:$H$18,6,0)+SUMIF($C$19:$C440,$C440,$F$19:$F440)-SUMIF($C$19:$C440,$C440,$G$19:$G440),"")</f>
        <v>81211.819999998</v>
      </c>
      <c r="I440" s="144"/>
      <c r="J440" s="144"/>
      <c r="K440" s="22" t="str">
        <f t="shared" si="6"/>
        <v/>
      </c>
      <c r="L440" s="40"/>
      <c r="M440"/>
      <c r="N440"/>
      <c r="O440"/>
      <c r="P440"/>
      <c r="Q440"/>
      <c r="R440"/>
      <c r="S440"/>
      <c r="T440"/>
      <c r="U440"/>
      <c r="V440"/>
      <c r="W440" s="41"/>
      <c r="X440" s="41"/>
      <c r="Y440" s="41"/>
    </row>
    <row r="441" s="27" customFormat="1" ht="23" hidden="1" customHeight="1" spans="1:25">
      <c r="A441" s="133" t="str">
        <f>IF(B441="","",COUNTA($B$5:B441))</f>
        <v/>
      </c>
      <c r="B441" s="143"/>
      <c r="C441" s="144" t="s">
        <v>49</v>
      </c>
      <c r="D441" s="145"/>
      <c r="E441" s="146"/>
      <c r="F441" s="139"/>
      <c r="G441" s="139"/>
      <c r="H441" s="142">
        <f>IFERROR(VLOOKUP($C441,$C$5:$H$18,6,0)+SUMIF($C$19:$C441,$C441,$F$19:$F441)-SUMIF($C$19:$C441,$C441,$G$19:$G441),"")</f>
        <v>81211.819999998</v>
      </c>
      <c r="I441" s="144"/>
      <c r="J441" s="144"/>
      <c r="K441" s="22" t="str">
        <f t="shared" si="6"/>
        <v/>
      </c>
      <c r="L441" s="40"/>
      <c r="M441"/>
      <c r="N441"/>
      <c r="O441"/>
      <c r="P441"/>
      <c r="Q441"/>
      <c r="R441"/>
      <c r="S441"/>
      <c r="T441"/>
      <c r="U441"/>
      <c r="V441"/>
      <c r="W441" s="41"/>
      <c r="X441" s="41"/>
      <c r="Y441" s="41"/>
    </row>
    <row r="442" s="27" customFormat="1" ht="23" hidden="1" customHeight="1" spans="1:25">
      <c r="A442" s="133" t="str">
        <f>IF(B442="","",COUNTA($B$5:B442))</f>
        <v/>
      </c>
      <c r="B442" s="143"/>
      <c r="C442" s="144" t="s">
        <v>49</v>
      </c>
      <c r="D442" s="145"/>
      <c r="E442" s="146"/>
      <c r="F442" s="139"/>
      <c r="G442" s="139"/>
      <c r="H442" s="142">
        <f>IFERROR(VLOOKUP($C442,$C$5:$H$18,6,0)+SUMIF($C$19:$C442,$C442,$F$19:$F442)-SUMIF($C$19:$C442,$C442,$G$19:$G442),"")</f>
        <v>81211.819999998</v>
      </c>
      <c r="I442" s="144"/>
      <c r="J442" s="144"/>
      <c r="K442" s="22" t="str">
        <f t="shared" si="6"/>
        <v/>
      </c>
      <c r="L442" s="40"/>
      <c r="M442"/>
      <c r="N442"/>
      <c r="O442"/>
      <c r="P442"/>
      <c r="Q442"/>
      <c r="R442"/>
      <c r="S442"/>
      <c r="T442"/>
      <c r="U442"/>
      <c r="V442"/>
      <c r="W442" s="41"/>
      <c r="X442" s="41"/>
      <c r="Y442" s="41"/>
    </row>
    <row r="443" s="27" customFormat="1" ht="23" hidden="1" customHeight="1" spans="1:25">
      <c r="A443" s="133" t="str">
        <f>IF(B443="","",COUNTA($B$5:B443))</f>
        <v/>
      </c>
      <c r="B443" s="143"/>
      <c r="C443" s="144" t="s">
        <v>49</v>
      </c>
      <c r="D443" s="145"/>
      <c r="E443" s="146"/>
      <c r="F443" s="139"/>
      <c r="G443" s="139"/>
      <c r="H443" s="142">
        <f>IFERROR(VLOOKUP($C443,$C$5:$H$18,6,0)+SUMIF($C$19:$C443,$C443,$F$19:$F443)-SUMIF($C$19:$C443,$C443,$G$19:$G443),"")</f>
        <v>81211.819999998</v>
      </c>
      <c r="I443" s="144"/>
      <c r="J443" s="144"/>
      <c r="K443" s="22" t="str">
        <f t="shared" si="6"/>
        <v/>
      </c>
      <c r="L443" s="40"/>
      <c r="M443"/>
      <c r="N443"/>
      <c r="O443"/>
      <c r="P443"/>
      <c r="Q443"/>
      <c r="R443"/>
      <c r="S443"/>
      <c r="T443"/>
      <c r="U443"/>
      <c r="V443"/>
      <c r="W443" s="41"/>
      <c r="X443" s="41"/>
      <c r="Y443" s="41"/>
    </row>
    <row r="444" s="27" customFormat="1" ht="23" hidden="1" customHeight="1" spans="1:25">
      <c r="A444" s="133" t="str">
        <f>IF(B444="","",COUNTA($B$5:B444))</f>
        <v/>
      </c>
      <c r="B444" s="143"/>
      <c r="C444" s="144" t="s">
        <v>49</v>
      </c>
      <c r="D444" s="145"/>
      <c r="E444" s="146"/>
      <c r="F444" s="139"/>
      <c r="G444" s="139"/>
      <c r="H444" s="142">
        <f>IFERROR(VLOOKUP($C444,$C$5:$H$18,6,0)+SUMIF($C$19:$C444,$C444,$F$19:$F444)-SUMIF($C$19:$C444,$C444,$G$19:$G444),"")</f>
        <v>81211.819999998</v>
      </c>
      <c r="I444" s="144"/>
      <c r="J444" s="144"/>
      <c r="K444" s="22" t="str">
        <f t="shared" si="6"/>
        <v/>
      </c>
      <c r="L444" s="40"/>
      <c r="M444"/>
      <c r="N444"/>
      <c r="O444"/>
      <c r="P444"/>
      <c r="Q444"/>
      <c r="R444"/>
      <c r="S444"/>
      <c r="T444"/>
      <c r="U444"/>
      <c r="V444"/>
      <c r="W444" s="41"/>
      <c r="X444" s="41"/>
      <c r="Y444" s="41"/>
    </row>
    <row r="445" s="27" customFormat="1" ht="23" hidden="1" customHeight="1" spans="1:25">
      <c r="A445" s="133" t="str">
        <f>IF(B445="","",COUNTA($B$5:B445))</f>
        <v/>
      </c>
      <c r="B445" s="143"/>
      <c r="C445" s="144" t="s">
        <v>49</v>
      </c>
      <c r="D445" s="145"/>
      <c r="E445" s="146"/>
      <c r="F445" s="139"/>
      <c r="G445" s="139"/>
      <c r="H445" s="142">
        <f>IFERROR(VLOOKUP($C445,$C$5:$H$18,6,0)+SUMIF($C$19:$C445,$C445,$F$19:$F445)-SUMIF($C$19:$C445,$C445,$G$19:$G445),"")</f>
        <v>81211.819999998</v>
      </c>
      <c r="I445" s="144"/>
      <c r="J445" s="144"/>
      <c r="K445" s="22" t="str">
        <f t="shared" si="6"/>
        <v/>
      </c>
      <c r="L445" s="40"/>
      <c r="M445"/>
      <c r="N445"/>
      <c r="O445"/>
      <c r="P445"/>
      <c r="Q445"/>
      <c r="R445"/>
      <c r="S445"/>
      <c r="T445"/>
      <c r="U445"/>
      <c r="V445"/>
      <c r="W445" s="41"/>
      <c r="X445" s="41"/>
      <c r="Y445" s="41"/>
    </row>
    <row r="446" s="27" customFormat="1" ht="23" hidden="1" customHeight="1" spans="1:25">
      <c r="A446" s="133" t="str">
        <f>IF(B446="","",COUNTA($B$5:B446))</f>
        <v/>
      </c>
      <c r="B446" s="143"/>
      <c r="C446" s="144" t="s">
        <v>49</v>
      </c>
      <c r="D446" s="145"/>
      <c r="E446" s="146"/>
      <c r="F446" s="139"/>
      <c r="G446" s="139"/>
      <c r="H446" s="142">
        <f>IFERROR(VLOOKUP($C446,$C$5:$H$18,6,0)+SUMIF($C$19:$C446,$C446,$F$19:$F446)-SUMIF($C$19:$C446,$C446,$G$19:$G446),"")</f>
        <v>81211.819999998</v>
      </c>
      <c r="I446" s="144"/>
      <c r="J446" s="144"/>
      <c r="K446" s="22" t="str">
        <f t="shared" si="6"/>
        <v/>
      </c>
      <c r="L446" s="40"/>
      <c r="M446"/>
      <c r="N446"/>
      <c r="O446"/>
      <c r="P446"/>
      <c r="Q446"/>
      <c r="R446"/>
      <c r="S446"/>
      <c r="T446"/>
      <c r="U446"/>
      <c r="V446"/>
      <c r="W446" s="41"/>
      <c r="X446" s="41"/>
      <c r="Y446" s="41"/>
    </row>
    <row r="447" s="27" customFormat="1" ht="23" hidden="1" customHeight="1" spans="1:25">
      <c r="A447" s="133" t="str">
        <f>IF(B447="","",COUNTA($B$5:B447))</f>
        <v/>
      </c>
      <c r="B447" s="143"/>
      <c r="C447" s="144" t="s">
        <v>49</v>
      </c>
      <c r="D447" s="145"/>
      <c r="E447" s="146"/>
      <c r="F447" s="139"/>
      <c r="G447" s="139"/>
      <c r="H447" s="142">
        <f>IFERROR(VLOOKUP($C447,$C$5:$H$18,6,0)+SUMIF($C$19:$C447,$C447,$F$19:$F447)-SUMIF($C$19:$C447,$C447,$G$19:$G447),"")</f>
        <v>81211.819999998</v>
      </c>
      <c r="I447" s="144"/>
      <c r="J447" s="144"/>
      <c r="K447" s="22" t="str">
        <f t="shared" si="6"/>
        <v/>
      </c>
      <c r="L447" s="40"/>
      <c r="M447"/>
      <c r="N447"/>
      <c r="O447"/>
      <c r="P447"/>
      <c r="Q447"/>
      <c r="R447"/>
      <c r="S447"/>
      <c r="T447"/>
      <c r="U447"/>
      <c r="V447"/>
      <c r="W447" s="41"/>
      <c r="X447" s="41"/>
      <c r="Y447" s="41"/>
    </row>
    <row r="448" s="27" customFormat="1" ht="23" hidden="1" customHeight="1" spans="1:25">
      <c r="A448" s="133" t="str">
        <f>IF(B448="","",COUNTA($B$5:B448))</f>
        <v/>
      </c>
      <c r="B448" s="143"/>
      <c r="C448" s="144" t="s">
        <v>49</v>
      </c>
      <c r="D448" s="145"/>
      <c r="E448" s="146"/>
      <c r="F448" s="139"/>
      <c r="G448" s="139"/>
      <c r="H448" s="142">
        <f>IFERROR(VLOOKUP($C448,$C$5:$H$18,6,0)+SUMIF($C$19:$C448,$C448,$F$19:$F448)-SUMIF($C$19:$C448,$C448,$G$19:$G448),"")</f>
        <v>81211.819999998</v>
      </c>
      <c r="I448" s="144"/>
      <c r="J448" s="144"/>
      <c r="K448" s="22" t="str">
        <f t="shared" si="6"/>
        <v/>
      </c>
      <c r="L448" s="40"/>
      <c r="M448"/>
      <c r="N448"/>
      <c r="O448"/>
      <c r="P448"/>
      <c r="Q448"/>
      <c r="R448"/>
      <c r="S448"/>
      <c r="T448"/>
      <c r="U448"/>
      <c r="V448"/>
      <c r="W448" s="41"/>
      <c r="X448" s="41"/>
      <c r="Y448" s="41"/>
    </row>
    <row r="449" s="27" customFormat="1" ht="23" hidden="1" customHeight="1" spans="1:25">
      <c r="A449" s="133" t="str">
        <f>IF(B449="","",COUNTA($B$5:B449))</f>
        <v/>
      </c>
      <c r="B449" s="143"/>
      <c r="C449" s="144" t="s">
        <v>49</v>
      </c>
      <c r="D449" s="145"/>
      <c r="E449" s="146"/>
      <c r="F449" s="139"/>
      <c r="G449" s="139"/>
      <c r="H449" s="142">
        <f>IFERROR(VLOOKUP($C449,$C$5:$H$18,6,0)+SUMIF($C$19:$C449,$C449,$F$19:$F449)-SUMIF($C$19:$C449,$C449,$G$19:$G449),"")</f>
        <v>81211.819999998</v>
      </c>
      <c r="I449" s="144"/>
      <c r="J449" s="144"/>
      <c r="K449" s="22" t="str">
        <f t="shared" si="6"/>
        <v/>
      </c>
      <c r="L449" s="40"/>
      <c r="M449"/>
      <c r="N449"/>
      <c r="O449"/>
      <c r="P449"/>
      <c r="Q449"/>
      <c r="R449"/>
      <c r="S449"/>
      <c r="T449"/>
      <c r="U449"/>
      <c r="V449"/>
      <c r="W449" s="41"/>
      <c r="X449" s="41"/>
      <c r="Y449" s="41"/>
    </row>
    <row r="450" s="27" customFormat="1" ht="23" hidden="1" customHeight="1" spans="1:25">
      <c r="A450" s="133" t="str">
        <f>IF(B450="","",COUNTA($B$5:B450))</f>
        <v/>
      </c>
      <c r="B450" s="143"/>
      <c r="C450" s="144" t="s">
        <v>49</v>
      </c>
      <c r="D450" s="145"/>
      <c r="E450" s="146"/>
      <c r="F450" s="139"/>
      <c r="G450" s="139"/>
      <c r="H450" s="142">
        <f>IFERROR(VLOOKUP($C450,$C$5:$H$18,6,0)+SUMIF($C$19:$C450,$C450,$F$19:$F450)-SUMIF($C$19:$C450,$C450,$G$19:$G450),"")</f>
        <v>81211.819999998</v>
      </c>
      <c r="I450" s="144"/>
      <c r="J450" s="144"/>
      <c r="K450" s="22" t="str">
        <f t="shared" si="6"/>
        <v/>
      </c>
      <c r="L450" s="40"/>
      <c r="M450"/>
      <c r="N450"/>
      <c r="O450"/>
      <c r="P450"/>
      <c r="Q450"/>
      <c r="R450"/>
      <c r="S450"/>
      <c r="T450"/>
      <c r="U450"/>
      <c r="V450"/>
      <c r="W450" s="41"/>
      <c r="X450" s="41"/>
      <c r="Y450" s="41"/>
    </row>
    <row r="451" s="27" customFormat="1" ht="23" hidden="1" customHeight="1" spans="1:25">
      <c r="A451" s="133" t="str">
        <f>IF(B451="","",COUNTA($B$5:B451))</f>
        <v/>
      </c>
      <c r="B451" s="143"/>
      <c r="C451" s="144" t="s">
        <v>49</v>
      </c>
      <c r="D451" s="145"/>
      <c r="E451" s="146"/>
      <c r="F451" s="139"/>
      <c r="G451" s="139"/>
      <c r="H451" s="142">
        <f>IFERROR(VLOOKUP($C451,$C$5:$H$18,6,0)+SUMIF($C$19:$C451,$C451,$F$19:$F451)-SUMIF($C$19:$C451,$C451,$G$19:$G451),"")</f>
        <v>81211.819999998</v>
      </c>
      <c r="I451" s="144"/>
      <c r="J451" s="144"/>
      <c r="K451" s="22" t="str">
        <f t="shared" si="6"/>
        <v/>
      </c>
      <c r="L451" s="40"/>
      <c r="M451"/>
      <c r="N451"/>
      <c r="O451"/>
      <c r="P451"/>
      <c r="Q451"/>
      <c r="R451"/>
      <c r="S451"/>
      <c r="T451"/>
      <c r="U451"/>
      <c r="V451"/>
      <c r="W451" s="41"/>
      <c r="X451" s="41"/>
      <c r="Y451" s="41"/>
    </row>
    <row r="452" s="27" customFormat="1" ht="23" hidden="1" customHeight="1" spans="1:25">
      <c r="A452" s="133" t="str">
        <f>IF(B452="","",COUNTA($B$5:B452))</f>
        <v/>
      </c>
      <c r="B452" s="143"/>
      <c r="C452" s="144" t="s">
        <v>49</v>
      </c>
      <c r="D452" s="145"/>
      <c r="E452" s="146"/>
      <c r="F452" s="139"/>
      <c r="G452" s="139"/>
      <c r="H452" s="142">
        <f>IFERROR(VLOOKUP($C452,$C$5:$H$18,6,0)+SUMIF($C$19:$C452,$C452,$F$19:$F452)-SUMIF($C$19:$C452,$C452,$G$19:$G452),"")</f>
        <v>81211.819999998</v>
      </c>
      <c r="I452" s="144"/>
      <c r="J452" s="144"/>
      <c r="K452" s="22" t="str">
        <f t="shared" si="6"/>
        <v/>
      </c>
      <c r="L452" s="40"/>
      <c r="M452"/>
      <c r="N452"/>
      <c r="O452"/>
      <c r="P452"/>
      <c r="Q452"/>
      <c r="R452"/>
      <c r="S452"/>
      <c r="T452"/>
      <c r="U452"/>
      <c r="V452"/>
      <c r="W452" s="41"/>
      <c r="X452" s="41"/>
      <c r="Y452" s="41"/>
    </row>
    <row r="453" s="27" customFormat="1" ht="23" hidden="1" customHeight="1" spans="1:25">
      <c r="A453" s="133" t="str">
        <f>IF(B453="","",COUNTA($B$5:B453))</f>
        <v/>
      </c>
      <c r="B453" s="143"/>
      <c r="C453" s="144" t="s">
        <v>49</v>
      </c>
      <c r="D453" s="145"/>
      <c r="E453" s="146"/>
      <c r="F453" s="139"/>
      <c r="G453" s="139"/>
      <c r="H453" s="142">
        <f>IFERROR(VLOOKUP($C453,$C$5:$H$18,6,0)+SUMIF($C$19:$C453,$C453,$F$19:$F453)-SUMIF($C$19:$C453,$C453,$G$19:$G453),"")</f>
        <v>81211.819999998</v>
      </c>
      <c r="I453" s="144"/>
      <c r="J453" s="144"/>
      <c r="K453" s="22" t="str">
        <f t="shared" ref="K453:K516" si="7">IF($B453="","",--TEXT($B453,"yyyymm"))</f>
        <v/>
      </c>
      <c r="L453" s="40"/>
      <c r="M453"/>
      <c r="N453"/>
      <c r="O453"/>
      <c r="P453"/>
      <c r="Q453"/>
      <c r="R453"/>
      <c r="S453"/>
      <c r="T453"/>
      <c r="U453"/>
      <c r="V453"/>
      <c r="W453" s="41"/>
      <c r="X453" s="41"/>
      <c r="Y453" s="41"/>
    </row>
    <row r="454" s="27" customFormat="1" ht="23" hidden="1" customHeight="1" spans="1:25">
      <c r="A454" s="133" t="str">
        <f>IF(B454="","",COUNTA($B$5:B454))</f>
        <v/>
      </c>
      <c r="B454" s="143"/>
      <c r="C454" s="144" t="s">
        <v>49</v>
      </c>
      <c r="D454" s="145"/>
      <c r="E454" s="146"/>
      <c r="F454" s="139"/>
      <c r="G454" s="139"/>
      <c r="H454" s="142">
        <f>IFERROR(VLOOKUP($C454,$C$5:$H$18,6,0)+SUMIF($C$19:$C454,$C454,$F$19:$F454)-SUMIF($C$19:$C454,$C454,$G$19:$G454),"")</f>
        <v>81211.819999998</v>
      </c>
      <c r="I454" s="144"/>
      <c r="J454" s="144"/>
      <c r="K454" s="22" t="str">
        <f t="shared" si="7"/>
        <v/>
      </c>
      <c r="L454" s="40"/>
      <c r="M454"/>
      <c r="N454"/>
      <c r="O454"/>
      <c r="P454"/>
      <c r="Q454"/>
      <c r="R454"/>
      <c r="S454"/>
      <c r="T454"/>
      <c r="U454"/>
      <c r="V454"/>
      <c r="W454" s="41"/>
      <c r="X454" s="41"/>
      <c r="Y454" s="41"/>
    </row>
    <row r="455" s="27" customFormat="1" ht="23" hidden="1" customHeight="1" spans="1:25">
      <c r="A455" s="133" t="str">
        <f>IF(B455="","",COUNTA($B$5:B455))</f>
        <v/>
      </c>
      <c r="B455" s="143"/>
      <c r="C455" s="144" t="s">
        <v>49</v>
      </c>
      <c r="D455" s="145"/>
      <c r="E455" s="146"/>
      <c r="F455" s="139"/>
      <c r="G455" s="139"/>
      <c r="H455" s="142">
        <f>IFERROR(VLOOKUP($C455,$C$5:$H$18,6,0)+SUMIF($C$19:$C455,$C455,$F$19:$F455)-SUMIF($C$19:$C455,$C455,$G$19:$G455),"")</f>
        <v>81211.819999998</v>
      </c>
      <c r="I455" s="144"/>
      <c r="J455" s="144"/>
      <c r="K455" s="22" t="str">
        <f t="shared" si="7"/>
        <v/>
      </c>
      <c r="L455" s="40"/>
      <c r="M455"/>
      <c r="N455"/>
      <c r="O455"/>
      <c r="P455"/>
      <c r="Q455"/>
      <c r="R455"/>
      <c r="S455"/>
      <c r="T455"/>
      <c r="U455"/>
      <c r="V455"/>
      <c r="W455" s="41"/>
      <c r="X455" s="41"/>
      <c r="Y455" s="41"/>
    </row>
    <row r="456" s="27" customFormat="1" ht="23" hidden="1" customHeight="1" spans="1:25">
      <c r="A456" s="133" t="str">
        <f>IF(B456="","",COUNTA($B$5:B456))</f>
        <v/>
      </c>
      <c r="B456" s="143"/>
      <c r="C456" s="144" t="s">
        <v>49</v>
      </c>
      <c r="D456" s="145"/>
      <c r="E456" s="146"/>
      <c r="F456" s="139"/>
      <c r="G456" s="139"/>
      <c r="H456" s="142">
        <f>IFERROR(VLOOKUP($C456,$C$5:$H$18,6,0)+SUMIF($C$19:$C456,$C456,$F$19:$F456)-SUMIF($C$19:$C456,$C456,$G$19:$G456),"")</f>
        <v>81211.819999998</v>
      </c>
      <c r="I456" s="144"/>
      <c r="J456" s="144"/>
      <c r="K456" s="22" t="str">
        <f t="shared" si="7"/>
        <v/>
      </c>
      <c r="L456" s="40"/>
      <c r="M456"/>
      <c r="N456"/>
      <c r="O456"/>
      <c r="P456"/>
      <c r="Q456"/>
      <c r="R456"/>
      <c r="S456"/>
      <c r="T456"/>
      <c r="U456"/>
      <c r="V456"/>
      <c r="W456" s="41"/>
      <c r="X456" s="41"/>
      <c r="Y456" s="41"/>
    </row>
    <row r="457" s="27" customFormat="1" ht="23" hidden="1" customHeight="1" spans="1:25">
      <c r="A457" s="133" t="str">
        <f>IF(B457="","",COUNTA($B$5:B457))</f>
        <v/>
      </c>
      <c r="B457" s="143"/>
      <c r="C457" s="144" t="s">
        <v>49</v>
      </c>
      <c r="D457" s="145"/>
      <c r="E457" s="146"/>
      <c r="F457" s="139"/>
      <c r="G457" s="139"/>
      <c r="H457" s="142">
        <f>IFERROR(VLOOKUP($C457,$C$5:$H$18,6,0)+SUMIF($C$19:$C457,$C457,$F$19:$F457)-SUMIF($C$19:$C457,$C457,$G$19:$G457),"")</f>
        <v>81211.819999998</v>
      </c>
      <c r="I457" s="144"/>
      <c r="J457" s="144"/>
      <c r="K457" s="22" t="str">
        <f t="shared" si="7"/>
        <v/>
      </c>
      <c r="L457" s="40"/>
      <c r="M457"/>
      <c r="N457"/>
      <c r="O457"/>
      <c r="P457"/>
      <c r="Q457"/>
      <c r="R457"/>
      <c r="S457"/>
      <c r="T457"/>
      <c r="U457"/>
      <c r="V457"/>
      <c r="W457" s="41"/>
      <c r="X457" s="41"/>
      <c r="Y457" s="41"/>
    </row>
    <row r="458" s="27" customFormat="1" ht="23" hidden="1" customHeight="1" spans="1:25">
      <c r="A458" s="133" t="str">
        <f>IF(B458="","",COUNTA($B$5:B458))</f>
        <v/>
      </c>
      <c r="B458" s="143"/>
      <c r="C458" s="144" t="s">
        <v>49</v>
      </c>
      <c r="D458" s="145"/>
      <c r="E458" s="146"/>
      <c r="F458" s="139"/>
      <c r="G458" s="139"/>
      <c r="H458" s="142">
        <f>IFERROR(VLOOKUP($C458,$C$5:$H$18,6,0)+SUMIF($C$19:$C458,$C458,$F$19:$F458)-SUMIF($C$19:$C458,$C458,$G$19:$G458),"")</f>
        <v>81211.819999998</v>
      </c>
      <c r="I458" s="144"/>
      <c r="J458" s="144"/>
      <c r="K458" s="22" t="str">
        <f t="shared" si="7"/>
        <v/>
      </c>
      <c r="L458" s="40"/>
      <c r="M458"/>
      <c r="N458"/>
      <c r="O458"/>
      <c r="P458"/>
      <c r="Q458"/>
      <c r="R458"/>
      <c r="S458"/>
      <c r="T458"/>
      <c r="U458"/>
      <c r="V458"/>
      <c r="W458" s="41"/>
      <c r="X458" s="41"/>
      <c r="Y458" s="41"/>
    </row>
    <row r="459" s="27" customFormat="1" ht="23" hidden="1" customHeight="1" spans="1:25">
      <c r="A459" s="133" t="str">
        <f>IF(B459="","",COUNTA($B$5:B459))</f>
        <v/>
      </c>
      <c r="B459" s="143"/>
      <c r="C459" s="144" t="s">
        <v>49</v>
      </c>
      <c r="D459" s="145"/>
      <c r="E459" s="146"/>
      <c r="F459" s="139"/>
      <c r="G459" s="139"/>
      <c r="H459" s="142">
        <f>IFERROR(VLOOKUP($C459,$C$5:$H$18,6,0)+SUMIF($C$19:$C459,$C459,$F$19:$F459)-SUMIF($C$19:$C459,$C459,$G$19:$G459),"")</f>
        <v>81211.819999998</v>
      </c>
      <c r="I459" s="144"/>
      <c r="J459" s="144"/>
      <c r="K459" s="22" t="str">
        <f t="shared" si="7"/>
        <v/>
      </c>
      <c r="L459" s="40"/>
      <c r="M459"/>
      <c r="N459"/>
      <c r="O459"/>
      <c r="P459"/>
      <c r="Q459"/>
      <c r="R459"/>
      <c r="S459"/>
      <c r="T459"/>
      <c r="U459"/>
      <c r="V459"/>
      <c r="W459" s="41"/>
      <c r="X459" s="41"/>
      <c r="Y459" s="41"/>
    </row>
    <row r="460" s="27" customFormat="1" ht="23" hidden="1" customHeight="1" spans="1:25">
      <c r="A460" s="133" t="str">
        <f>IF(B460="","",COUNTA($B$5:B460))</f>
        <v/>
      </c>
      <c r="B460" s="143"/>
      <c r="C460" s="144" t="s">
        <v>49</v>
      </c>
      <c r="D460" s="145"/>
      <c r="E460" s="146"/>
      <c r="F460" s="139"/>
      <c r="G460" s="139"/>
      <c r="H460" s="142">
        <f>IFERROR(VLOOKUP($C460,$C$5:$H$18,6,0)+SUMIF($C$19:$C460,$C460,$F$19:$F460)-SUMIF($C$19:$C460,$C460,$G$19:$G460),"")</f>
        <v>81211.819999998</v>
      </c>
      <c r="I460" s="144"/>
      <c r="J460" s="144"/>
      <c r="K460" s="22" t="str">
        <f t="shared" si="7"/>
        <v/>
      </c>
      <c r="L460" s="40"/>
      <c r="M460"/>
      <c r="N460"/>
      <c r="O460"/>
      <c r="P460"/>
      <c r="Q460"/>
      <c r="R460"/>
      <c r="S460"/>
      <c r="T460"/>
      <c r="U460"/>
      <c r="V460"/>
      <c r="W460" s="41"/>
      <c r="X460" s="41"/>
      <c r="Y460" s="41"/>
    </row>
    <row r="461" s="27" customFormat="1" ht="23" hidden="1" customHeight="1" spans="1:25">
      <c r="A461" s="133" t="str">
        <f>IF(B461="","",COUNTA($B$5:B461))</f>
        <v/>
      </c>
      <c r="B461" s="143"/>
      <c r="C461" s="144" t="s">
        <v>49</v>
      </c>
      <c r="D461" s="145"/>
      <c r="E461" s="146"/>
      <c r="F461" s="139"/>
      <c r="G461" s="139"/>
      <c r="H461" s="142">
        <f>IFERROR(VLOOKUP($C461,$C$5:$H$18,6,0)+SUMIF($C$19:$C461,$C461,$F$19:$F461)-SUMIF($C$19:$C461,$C461,$G$19:$G461),"")</f>
        <v>81211.819999998</v>
      </c>
      <c r="I461" s="144"/>
      <c r="J461" s="144"/>
      <c r="K461" s="22" t="str">
        <f t="shared" si="7"/>
        <v/>
      </c>
      <c r="L461" s="40"/>
      <c r="M461"/>
      <c r="N461"/>
      <c r="O461"/>
      <c r="P461"/>
      <c r="Q461"/>
      <c r="R461"/>
      <c r="S461"/>
      <c r="T461"/>
      <c r="U461"/>
      <c r="V461"/>
      <c r="W461" s="41"/>
      <c r="X461" s="41"/>
      <c r="Y461" s="41"/>
    </row>
    <row r="462" s="27" customFormat="1" ht="23" hidden="1" customHeight="1" spans="1:25">
      <c r="A462" s="133" t="str">
        <f>IF(B462="","",COUNTA($B$5:B462))</f>
        <v/>
      </c>
      <c r="B462" s="143"/>
      <c r="C462" s="144" t="s">
        <v>49</v>
      </c>
      <c r="D462" s="145"/>
      <c r="E462" s="146"/>
      <c r="F462" s="139"/>
      <c r="G462" s="139"/>
      <c r="H462" s="142">
        <f>IFERROR(VLOOKUP($C462,$C$5:$H$18,6,0)+SUMIF($C$19:$C462,$C462,$F$19:$F462)-SUMIF($C$19:$C462,$C462,$G$19:$G462),"")</f>
        <v>81211.819999998</v>
      </c>
      <c r="I462" s="144"/>
      <c r="J462" s="144"/>
      <c r="K462" s="22" t="str">
        <f t="shared" si="7"/>
        <v/>
      </c>
      <c r="L462" s="40"/>
      <c r="M462"/>
      <c r="N462"/>
      <c r="O462"/>
      <c r="P462"/>
      <c r="Q462"/>
      <c r="R462"/>
      <c r="S462"/>
      <c r="T462"/>
      <c r="U462"/>
      <c r="V462"/>
      <c r="W462" s="41"/>
      <c r="X462" s="41"/>
      <c r="Y462" s="41"/>
    </row>
    <row r="463" s="27" customFormat="1" ht="23" hidden="1" customHeight="1" spans="1:25">
      <c r="A463" s="133" t="str">
        <f>IF(B463="","",COUNTA($B$5:B463))</f>
        <v/>
      </c>
      <c r="B463" s="143"/>
      <c r="C463" s="144" t="s">
        <v>49</v>
      </c>
      <c r="D463" s="145"/>
      <c r="E463" s="146"/>
      <c r="F463" s="139"/>
      <c r="G463" s="139"/>
      <c r="H463" s="142">
        <f>IFERROR(VLOOKUP($C463,$C$5:$H$18,6,0)+SUMIF($C$19:$C463,$C463,$F$19:$F463)-SUMIF($C$19:$C463,$C463,$G$19:$G463),"")</f>
        <v>81211.819999998</v>
      </c>
      <c r="I463" s="144"/>
      <c r="J463" s="144"/>
      <c r="K463" s="22" t="str">
        <f t="shared" si="7"/>
        <v/>
      </c>
      <c r="L463" s="40"/>
      <c r="M463"/>
      <c r="N463"/>
      <c r="O463"/>
      <c r="P463"/>
      <c r="Q463"/>
      <c r="R463"/>
      <c r="S463"/>
      <c r="T463"/>
      <c r="U463"/>
      <c r="V463"/>
      <c r="W463" s="41"/>
      <c r="X463" s="41"/>
      <c r="Y463" s="41"/>
    </row>
    <row r="464" s="27" customFormat="1" ht="23" hidden="1" customHeight="1" spans="1:25">
      <c r="A464" s="133" t="str">
        <f>IF(B464="","",COUNTA($B$5:B464))</f>
        <v/>
      </c>
      <c r="B464" s="143"/>
      <c r="C464" s="144" t="s">
        <v>49</v>
      </c>
      <c r="D464" s="145"/>
      <c r="E464" s="146"/>
      <c r="F464" s="139"/>
      <c r="G464" s="139"/>
      <c r="H464" s="142">
        <f>IFERROR(VLOOKUP($C464,$C$5:$H$18,6,0)+SUMIF($C$19:$C464,$C464,$F$19:$F464)-SUMIF($C$19:$C464,$C464,$G$19:$G464),"")</f>
        <v>81211.819999998</v>
      </c>
      <c r="I464" s="144"/>
      <c r="J464" s="144"/>
      <c r="K464" s="22" t="str">
        <f t="shared" si="7"/>
        <v/>
      </c>
      <c r="L464" s="40"/>
      <c r="M464"/>
      <c r="N464"/>
      <c r="O464"/>
      <c r="P464"/>
      <c r="Q464"/>
      <c r="R464"/>
      <c r="S464"/>
      <c r="T464"/>
      <c r="U464"/>
      <c r="V464"/>
      <c r="W464" s="41"/>
      <c r="X464" s="41"/>
      <c r="Y464" s="41"/>
    </row>
    <row r="465" s="27" customFormat="1" ht="23" hidden="1" customHeight="1" spans="1:25">
      <c r="A465" s="133" t="str">
        <f>IF(B465="","",COUNTA($B$5:B465))</f>
        <v/>
      </c>
      <c r="B465" s="143"/>
      <c r="C465" s="144" t="s">
        <v>49</v>
      </c>
      <c r="D465" s="145"/>
      <c r="E465" s="146"/>
      <c r="F465" s="139"/>
      <c r="G465" s="139"/>
      <c r="H465" s="142">
        <f>IFERROR(VLOOKUP($C465,$C$5:$H$18,6,0)+SUMIF($C$19:$C465,$C465,$F$19:$F465)-SUMIF($C$19:$C465,$C465,$G$19:$G465),"")</f>
        <v>81211.819999998</v>
      </c>
      <c r="I465" s="144"/>
      <c r="J465" s="144"/>
      <c r="K465" s="22" t="str">
        <f t="shared" si="7"/>
        <v/>
      </c>
      <c r="L465" s="40"/>
      <c r="M465"/>
      <c r="N465"/>
      <c r="O465"/>
      <c r="P465"/>
      <c r="Q465"/>
      <c r="R465"/>
      <c r="S465"/>
      <c r="T465"/>
      <c r="U465"/>
      <c r="V465"/>
      <c r="W465" s="41"/>
      <c r="X465" s="41"/>
      <c r="Y465" s="41"/>
    </row>
    <row r="466" s="27" customFormat="1" ht="23" hidden="1" customHeight="1" spans="1:25">
      <c r="A466" s="133" t="str">
        <f>IF(B466="","",COUNTA($B$5:B466))</f>
        <v/>
      </c>
      <c r="B466" s="143"/>
      <c r="C466" s="144" t="s">
        <v>49</v>
      </c>
      <c r="D466" s="145"/>
      <c r="E466" s="146"/>
      <c r="F466" s="139"/>
      <c r="G466" s="139"/>
      <c r="H466" s="142">
        <f>IFERROR(VLOOKUP($C466,$C$5:$H$18,6,0)+SUMIF($C$19:$C466,$C466,$F$19:$F466)-SUMIF($C$19:$C466,$C466,$G$19:$G466),"")</f>
        <v>81211.819999998</v>
      </c>
      <c r="I466" s="144"/>
      <c r="J466" s="144"/>
      <c r="K466" s="22" t="str">
        <f t="shared" si="7"/>
        <v/>
      </c>
      <c r="L466" s="40"/>
      <c r="M466"/>
      <c r="N466"/>
      <c r="O466"/>
      <c r="P466"/>
      <c r="Q466"/>
      <c r="R466"/>
      <c r="S466"/>
      <c r="T466"/>
      <c r="U466"/>
      <c r="V466"/>
      <c r="W466" s="41"/>
      <c r="X466" s="41"/>
      <c r="Y466" s="41"/>
    </row>
    <row r="467" s="27" customFormat="1" ht="23" hidden="1" customHeight="1" spans="1:25">
      <c r="A467" s="133" t="str">
        <f>IF(B467="","",COUNTA($B$5:B467))</f>
        <v/>
      </c>
      <c r="B467" s="143"/>
      <c r="C467" s="144" t="s">
        <v>49</v>
      </c>
      <c r="D467" s="145"/>
      <c r="E467" s="146"/>
      <c r="F467" s="139"/>
      <c r="G467" s="139"/>
      <c r="H467" s="142">
        <f>IFERROR(VLOOKUP($C467,$C$5:$H$18,6,0)+SUMIF($C$19:$C467,$C467,$F$19:$F467)-SUMIF($C$19:$C467,$C467,$G$19:$G467),"")</f>
        <v>81211.819999998</v>
      </c>
      <c r="I467" s="144"/>
      <c r="J467" s="144"/>
      <c r="K467" s="22" t="str">
        <f t="shared" si="7"/>
        <v/>
      </c>
      <c r="L467" s="40"/>
      <c r="M467"/>
      <c r="N467"/>
      <c r="O467"/>
      <c r="P467"/>
      <c r="Q467"/>
      <c r="R467"/>
      <c r="S467"/>
      <c r="T467"/>
      <c r="U467"/>
      <c r="V467"/>
      <c r="W467" s="41"/>
      <c r="X467" s="41"/>
      <c r="Y467" s="41"/>
    </row>
    <row r="468" s="27" customFormat="1" ht="23" hidden="1" customHeight="1" spans="1:25">
      <c r="A468" s="133" t="str">
        <f>IF(B468="","",COUNTA($B$5:B468))</f>
        <v/>
      </c>
      <c r="B468" s="143"/>
      <c r="C468" s="144" t="s">
        <v>49</v>
      </c>
      <c r="D468" s="145"/>
      <c r="E468" s="146"/>
      <c r="F468" s="139"/>
      <c r="G468" s="139"/>
      <c r="H468" s="142">
        <f>IFERROR(VLOOKUP($C468,$C$5:$H$18,6,0)+SUMIF($C$19:$C468,$C468,$F$19:$F468)-SUMIF($C$19:$C468,$C468,$G$19:$G468),"")</f>
        <v>81211.819999998</v>
      </c>
      <c r="I468" s="144"/>
      <c r="J468" s="144"/>
      <c r="K468" s="22" t="str">
        <f t="shared" si="7"/>
        <v/>
      </c>
      <c r="L468" s="40"/>
      <c r="M468"/>
      <c r="N468"/>
      <c r="O468"/>
      <c r="P468"/>
      <c r="Q468"/>
      <c r="R468"/>
      <c r="S468"/>
      <c r="T468"/>
      <c r="U468"/>
      <c r="V468"/>
      <c r="W468" s="41"/>
      <c r="X468" s="41"/>
      <c r="Y468" s="41"/>
    </row>
    <row r="469" s="27" customFormat="1" ht="23" hidden="1" customHeight="1" spans="1:25">
      <c r="A469" s="133" t="str">
        <f>IF(B469="","",COUNTA($B$5:B469))</f>
        <v/>
      </c>
      <c r="B469" s="143"/>
      <c r="C469" s="144" t="s">
        <v>49</v>
      </c>
      <c r="D469" s="145"/>
      <c r="E469" s="146"/>
      <c r="F469" s="139"/>
      <c r="G469" s="139"/>
      <c r="H469" s="142">
        <f>IFERROR(VLOOKUP($C469,$C$5:$H$18,6,0)+SUMIF($C$19:$C469,$C469,$F$19:$F469)-SUMIF($C$19:$C469,$C469,$G$19:$G469),"")</f>
        <v>81211.819999998</v>
      </c>
      <c r="I469" s="144"/>
      <c r="J469" s="144"/>
      <c r="K469" s="22" t="str">
        <f t="shared" si="7"/>
        <v/>
      </c>
      <c r="L469" s="40"/>
      <c r="M469"/>
      <c r="N469"/>
      <c r="O469"/>
      <c r="P469"/>
      <c r="Q469"/>
      <c r="R469"/>
      <c r="S469"/>
      <c r="T469"/>
      <c r="U469"/>
      <c r="V469"/>
      <c r="W469" s="41"/>
      <c r="X469" s="41"/>
      <c r="Y469" s="41"/>
    </row>
    <row r="470" s="27" customFormat="1" ht="23" hidden="1" customHeight="1" spans="1:25">
      <c r="A470" s="133" t="str">
        <f>IF(B470="","",COUNTA($B$5:B470))</f>
        <v/>
      </c>
      <c r="B470" s="143"/>
      <c r="C470" s="144" t="s">
        <v>49</v>
      </c>
      <c r="D470" s="145"/>
      <c r="E470" s="146"/>
      <c r="F470" s="139"/>
      <c r="G470" s="139"/>
      <c r="H470" s="142">
        <f>IFERROR(VLOOKUP($C470,$C$5:$H$18,6,0)+SUMIF($C$19:$C470,$C470,$F$19:$F470)-SUMIF($C$19:$C470,$C470,$G$19:$G470),"")</f>
        <v>81211.819999998</v>
      </c>
      <c r="I470" s="144"/>
      <c r="J470" s="144"/>
      <c r="K470" s="22" t="str">
        <f t="shared" si="7"/>
        <v/>
      </c>
      <c r="L470" s="40"/>
      <c r="M470"/>
      <c r="N470"/>
      <c r="O470"/>
      <c r="P470"/>
      <c r="Q470"/>
      <c r="R470"/>
      <c r="S470"/>
      <c r="T470"/>
      <c r="U470"/>
      <c r="V470"/>
      <c r="W470" s="41"/>
      <c r="X470" s="41"/>
      <c r="Y470" s="41"/>
    </row>
    <row r="471" s="27" customFormat="1" ht="23" hidden="1" customHeight="1" spans="1:25">
      <c r="A471" s="133" t="str">
        <f>IF(B471="","",COUNTA($B$5:B471))</f>
        <v/>
      </c>
      <c r="B471" s="143"/>
      <c r="C471" s="144" t="s">
        <v>49</v>
      </c>
      <c r="D471" s="145"/>
      <c r="E471" s="146"/>
      <c r="F471" s="139"/>
      <c r="G471" s="139"/>
      <c r="H471" s="142">
        <f>IFERROR(VLOOKUP($C471,$C$5:$H$18,6,0)+SUMIF($C$19:$C471,$C471,$F$19:$F471)-SUMIF($C$19:$C471,$C471,$G$19:$G471),"")</f>
        <v>81211.819999998</v>
      </c>
      <c r="I471" s="144"/>
      <c r="J471" s="144"/>
      <c r="K471" s="22" t="str">
        <f t="shared" si="7"/>
        <v/>
      </c>
      <c r="L471" s="40"/>
      <c r="M471"/>
      <c r="N471"/>
      <c r="O471"/>
      <c r="P471"/>
      <c r="Q471"/>
      <c r="R471"/>
      <c r="S471"/>
      <c r="T471"/>
      <c r="U471"/>
      <c r="V471"/>
      <c r="W471" s="41"/>
      <c r="X471" s="41"/>
      <c r="Y471" s="41"/>
    </row>
    <row r="472" s="27" customFormat="1" ht="23" hidden="1" customHeight="1" spans="1:25">
      <c r="A472" s="133" t="str">
        <f>IF(B472="","",COUNTA($B$5:B472))</f>
        <v/>
      </c>
      <c r="B472" s="143"/>
      <c r="C472" s="144" t="s">
        <v>49</v>
      </c>
      <c r="D472" s="145"/>
      <c r="E472" s="146"/>
      <c r="F472" s="139"/>
      <c r="G472" s="139"/>
      <c r="H472" s="142">
        <f>IFERROR(VLOOKUP($C472,$C$5:$H$18,6,0)+SUMIF($C$19:$C472,$C472,$F$19:$F472)-SUMIF($C$19:$C472,$C472,$G$19:$G472),"")</f>
        <v>81211.819999998</v>
      </c>
      <c r="I472" s="144"/>
      <c r="J472" s="144"/>
      <c r="K472" s="22" t="str">
        <f t="shared" si="7"/>
        <v/>
      </c>
      <c r="L472" s="40"/>
      <c r="M472"/>
      <c r="N472"/>
      <c r="O472"/>
      <c r="P472"/>
      <c r="Q472"/>
      <c r="R472"/>
      <c r="S472"/>
      <c r="T472"/>
      <c r="U472"/>
      <c r="V472"/>
      <c r="W472" s="41"/>
      <c r="X472" s="41"/>
      <c r="Y472" s="41"/>
    </row>
    <row r="473" s="27" customFormat="1" ht="23" hidden="1" customHeight="1" spans="1:25">
      <c r="A473" s="133" t="str">
        <f>IF(B473="","",COUNTA($B$5:B473))</f>
        <v/>
      </c>
      <c r="B473" s="143"/>
      <c r="C473" s="144" t="s">
        <v>49</v>
      </c>
      <c r="D473" s="145"/>
      <c r="E473" s="146"/>
      <c r="F473" s="139"/>
      <c r="G473" s="139"/>
      <c r="H473" s="142">
        <f>IFERROR(VLOOKUP($C473,$C$5:$H$18,6,0)+SUMIF($C$19:$C473,$C473,$F$19:$F473)-SUMIF($C$19:$C473,$C473,$G$19:$G473),"")</f>
        <v>81211.819999998</v>
      </c>
      <c r="I473" s="144"/>
      <c r="J473" s="144"/>
      <c r="K473" s="22" t="str">
        <f t="shared" si="7"/>
        <v/>
      </c>
      <c r="L473" s="40"/>
      <c r="M473"/>
      <c r="N473"/>
      <c r="O473"/>
      <c r="P473"/>
      <c r="Q473"/>
      <c r="R473"/>
      <c r="S473"/>
      <c r="T473"/>
      <c r="U473"/>
      <c r="V473"/>
      <c r="W473" s="41"/>
      <c r="X473" s="41"/>
      <c r="Y473" s="41"/>
    </row>
    <row r="474" s="27" customFormat="1" ht="23" hidden="1" customHeight="1" spans="1:25">
      <c r="A474" s="133" t="str">
        <f>IF(B474="","",COUNTA($B$5:B474))</f>
        <v/>
      </c>
      <c r="B474" s="143"/>
      <c r="C474" s="144" t="s">
        <v>49</v>
      </c>
      <c r="D474" s="145"/>
      <c r="E474" s="146"/>
      <c r="F474" s="139"/>
      <c r="G474" s="139"/>
      <c r="H474" s="142">
        <f>IFERROR(VLOOKUP($C474,$C$5:$H$18,6,0)+SUMIF($C$19:$C474,$C474,$F$19:$F474)-SUMIF($C$19:$C474,$C474,$G$19:$G474),"")</f>
        <v>81211.819999998</v>
      </c>
      <c r="I474" s="144"/>
      <c r="J474" s="144"/>
      <c r="K474" s="22" t="str">
        <f t="shared" si="7"/>
        <v/>
      </c>
      <c r="L474" s="40"/>
      <c r="M474"/>
      <c r="N474"/>
      <c r="O474"/>
      <c r="P474"/>
      <c r="Q474"/>
      <c r="R474"/>
      <c r="S474"/>
      <c r="T474"/>
      <c r="U474"/>
      <c r="V474"/>
      <c r="W474" s="41"/>
      <c r="X474" s="41"/>
      <c r="Y474" s="41"/>
    </row>
    <row r="475" s="27" customFormat="1" ht="23" hidden="1" customHeight="1" spans="1:25">
      <c r="A475" s="133" t="str">
        <f>IF(B475="","",COUNTA($B$5:B475))</f>
        <v/>
      </c>
      <c r="B475" s="143"/>
      <c r="C475" s="144" t="s">
        <v>49</v>
      </c>
      <c r="D475" s="145"/>
      <c r="E475" s="146"/>
      <c r="F475" s="139"/>
      <c r="G475" s="139"/>
      <c r="H475" s="142">
        <f>IFERROR(VLOOKUP($C475,$C$5:$H$18,6,0)+SUMIF($C$19:$C475,$C475,$F$19:$F475)-SUMIF($C$19:$C475,$C475,$G$19:$G475),"")</f>
        <v>81211.819999998</v>
      </c>
      <c r="I475" s="144"/>
      <c r="J475" s="144"/>
      <c r="K475" s="22" t="str">
        <f t="shared" si="7"/>
        <v/>
      </c>
      <c r="L475" s="40"/>
      <c r="M475"/>
      <c r="N475"/>
      <c r="O475"/>
      <c r="P475"/>
      <c r="Q475"/>
      <c r="R475"/>
      <c r="S475"/>
      <c r="T475"/>
      <c r="U475"/>
      <c r="V475"/>
      <c r="W475" s="41"/>
      <c r="X475" s="41"/>
      <c r="Y475" s="41"/>
    </row>
    <row r="476" s="27" customFormat="1" ht="23" hidden="1" customHeight="1" spans="1:25">
      <c r="A476" s="133" t="str">
        <f>IF(B476="","",COUNTA($B$5:B476))</f>
        <v/>
      </c>
      <c r="B476" s="143"/>
      <c r="C476" s="144" t="s">
        <v>49</v>
      </c>
      <c r="D476" s="145"/>
      <c r="E476" s="146"/>
      <c r="F476" s="139"/>
      <c r="G476" s="139"/>
      <c r="H476" s="142">
        <f>IFERROR(VLOOKUP($C476,$C$5:$H$18,6,0)+SUMIF($C$19:$C476,$C476,$F$19:$F476)-SUMIF($C$19:$C476,$C476,$G$19:$G476),"")</f>
        <v>81211.819999998</v>
      </c>
      <c r="I476" s="144"/>
      <c r="J476" s="144"/>
      <c r="K476" s="22" t="str">
        <f t="shared" si="7"/>
        <v/>
      </c>
      <c r="L476" s="40"/>
      <c r="M476"/>
      <c r="N476"/>
      <c r="O476"/>
      <c r="P476"/>
      <c r="Q476"/>
      <c r="R476"/>
      <c r="S476"/>
      <c r="T476"/>
      <c r="U476"/>
      <c r="V476"/>
      <c r="W476" s="41"/>
      <c r="X476" s="41"/>
      <c r="Y476" s="41"/>
    </row>
    <row r="477" s="27" customFormat="1" ht="23" hidden="1" customHeight="1" spans="1:25">
      <c r="A477" s="133" t="str">
        <f>IF(B477="","",COUNTA($B$5:B477))</f>
        <v/>
      </c>
      <c r="B477" s="143"/>
      <c r="C477" s="144" t="s">
        <v>49</v>
      </c>
      <c r="D477" s="145"/>
      <c r="E477" s="146"/>
      <c r="F477" s="139"/>
      <c r="G477" s="139"/>
      <c r="H477" s="142">
        <f>IFERROR(VLOOKUP($C477,$C$5:$H$18,6,0)+SUMIF($C$19:$C477,$C477,$F$19:$F477)-SUMIF($C$19:$C477,$C477,$G$19:$G477),"")</f>
        <v>81211.819999998</v>
      </c>
      <c r="I477" s="144"/>
      <c r="J477" s="144"/>
      <c r="K477" s="22" t="str">
        <f t="shared" si="7"/>
        <v/>
      </c>
      <c r="L477" s="40"/>
      <c r="M477"/>
      <c r="N477"/>
      <c r="O477"/>
      <c r="P477"/>
      <c r="Q477"/>
      <c r="R477"/>
      <c r="S477"/>
      <c r="T477"/>
      <c r="U477"/>
      <c r="V477"/>
      <c r="W477" s="41"/>
      <c r="X477" s="41"/>
      <c r="Y477" s="41"/>
    </row>
    <row r="478" s="27" customFormat="1" ht="23" hidden="1" customHeight="1" spans="1:25">
      <c r="A478" s="133" t="str">
        <f>IF(B478="","",COUNTA($B$5:B478))</f>
        <v/>
      </c>
      <c r="B478" s="143"/>
      <c r="C478" s="144" t="s">
        <v>49</v>
      </c>
      <c r="D478" s="145"/>
      <c r="E478" s="146"/>
      <c r="F478" s="139"/>
      <c r="G478" s="139"/>
      <c r="H478" s="142">
        <f>IFERROR(VLOOKUP($C478,$C$5:$H$18,6,0)+SUMIF($C$19:$C478,$C478,$F$19:$F478)-SUMIF($C$19:$C478,$C478,$G$19:$G478),"")</f>
        <v>81211.819999998</v>
      </c>
      <c r="I478" s="144"/>
      <c r="J478" s="144"/>
      <c r="K478" s="22" t="str">
        <f t="shared" si="7"/>
        <v/>
      </c>
      <c r="L478" s="40"/>
      <c r="M478"/>
      <c r="N478"/>
      <c r="O478"/>
      <c r="P478"/>
      <c r="Q478"/>
      <c r="R478"/>
      <c r="S478"/>
      <c r="T478"/>
      <c r="U478"/>
      <c r="V478"/>
      <c r="W478" s="41"/>
      <c r="X478" s="41"/>
      <c r="Y478" s="41"/>
    </row>
    <row r="479" s="27" customFormat="1" ht="23" hidden="1" customHeight="1" spans="1:25">
      <c r="A479" s="133" t="str">
        <f>IF(B479="","",COUNTA($B$5:B479))</f>
        <v/>
      </c>
      <c r="B479" s="143"/>
      <c r="C479" s="144" t="s">
        <v>49</v>
      </c>
      <c r="D479" s="145"/>
      <c r="E479" s="146"/>
      <c r="F479" s="139"/>
      <c r="G479" s="139"/>
      <c r="H479" s="142">
        <f>IFERROR(VLOOKUP($C479,$C$5:$H$18,6,0)+SUMIF($C$19:$C479,$C479,$F$19:$F479)-SUMIF($C$19:$C479,$C479,$G$19:$G479),"")</f>
        <v>81211.819999998</v>
      </c>
      <c r="I479" s="144"/>
      <c r="J479" s="144"/>
      <c r="K479" s="22" t="str">
        <f t="shared" si="7"/>
        <v/>
      </c>
      <c r="L479" s="40"/>
      <c r="M479"/>
      <c r="N479"/>
      <c r="O479"/>
      <c r="P479"/>
      <c r="Q479"/>
      <c r="R479"/>
      <c r="S479"/>
      <c r="T479"/>
      <c r="U479"/>
      <c r="V479"/>
      <c r="W479" s="41"/>
      <c r="X479" s="41"/>
      <c r="Y479" s="41"/>
    </row>
    <row r="480" s="27" customFormat="1" ht="23" hidden="1" customHeight="1" spans="1:25">
      <c r="A480" s="133" t="str">
        <f>IF(B480="","",COUNTA($B$5:B480))</f>
        <v/>
      </c>
      <c r="B480" s="143"/>
      <c r="C480" s="144" t="s">
        <v>49</v>
      </c>
      <c r="D480" s="145"/>
      <c r="E480" s="146"/>
      <c r="F480" s="139"/>
      <c r="G480" s="139"/>
      <c r="H480" s="142">
        <f>IFERROR(VLOOKUP($C480,$C$5:$H$18,6,0)+SUMIF($C$19:$C480,$C480,$F$19:$F480)-SUMIF($C$19:$C480,$C480,$G$19:$G480),"")</f>
        <v>81211.819999998</v>
      </c>
      <c r="I480" s="144"/>
      <c r="J480" s="144"/>
      <c r="K480" s="22" t="str">
        <f t="shared" si="7"/>
        <v/>
      </c>
      <c r="L480" s="40"/>
      <c r="M480"/>
      <c r="N480"/>
      <c r="O480"/>
      <c r="P480"/>
      <c r="Q480"/>
      <c r="R480"/>
      <c r="S480"/>
      <c r="T480"/>
      <c r="U480"/>
      <c r="V480"/>
      <c r="W480" s="41"/>
      <c r="X480" s="41"/>
      <c r="Y480" s="41"/>
    </row>
    <row r="481" s="27" customFormat="1" ht="23" hidden="1" customHeight="1" spans="1:25">
      <c r="A481" s="133" t="str">
        <f>IF(B481="","",COUNTA($B$5:B481))</f>
        <v/>
      </c>
      <c r="B481" s="143"/>
      <c r="C481" s="144" t="s">
        <v>49</v>
      </c>
      <c r="D481" s="145"/>
      <c r="E481" s="146"/>
      <c r="F481" s="139"/>
      <c r="G481" s="139"/>
      <c r="H481" s="142">
        <f>IFERROR(VLOOKUP($C481,$C$5:$H$18,6,0)+SUMIF($C$19:$C481,$C481,$F$19:$F481)-SUMIF($C$19:$C481,$C481,$G$19:$G481),"")</f>
        <v>81211.819999998</v>
      </c>
      <c r="I481" s="144"/>
      <c r="J481" s="144"/>
      <c r="K481" s="22" t="str">
        <f t="shared" si="7"/>
        <v/>
      </c>
      <c r="L481" s="40"/>
      <c r="M481"/>
      <c r="N481"/>
      <c r="O481"/>
      <c r="P481"/>
      <c r="Q481"/>
      <c r="R481"/>
      <c r="S481"/>
      <c r="T481"/>
      <c r="U481"/>
      <c r="V481"/>
      <c r="W481" s="41"/>
      <c r="X481" s="41"/>
      <c r="Y481" s="41"/>
    </row>
    <row r="482" s="27" customFormat="1" ht="23" hidden="1" customHeight="1" spans="1:25">
      <c r="A482" s="133" t="str">
        <f>IF(B482="","",COUNTA($B$5:B482))</f>
        <v/>
      </c>
      <c r="B482" s="143"/>
      <c r="C482" s="144" t="s">
        <v>49</v>
      </c>
      <c r="D482" s="145"/>
      <c r="E482" s="146"/>
      <c r="F482" s="139"/>
      <c r="G482" s="139"/>
      <c r="H482" s="142">
        <f>IFERROR(VLOOKUP($C482,$C$5:$H$18,6,0)+SUMIF($C$19:$C482,$C482,$F$19:$F482)-SUMIF($C$19:$C482,$C482,$G$19:$G482),"")</f>
        <v>81211.819999998</v>
      </c>
      <c r="I482" s="144"/>
      <c r="J482" s="144"/>
      <c r="K482" s="22" t="str">
        <f t="shared" si="7"/>
        <v/>
      </c>
      <c r="L482" s="40"/>
      <c r="M482"/>
      <c r="N482"/>
      <c r="O482"/>
      <c r="P482"/>
      <c r="Q482"/>
      <c r="R482"/>
      <c r="S482"/>
      <c r="T482"/>
      <c r="U482"/>
      <c r="V482"/>
      <c r="W482" s="41"/>
      <c r="X482" s="41"/>
      <c r="Y482" s="41"/>
    </row>
    <row r="483" s="27" customFormat="1" ht="23" hidden="1" customHeight="1" spans="1:25">
      <c r="A483" s="133" t="str">
        <f>IF(B483="","",COUNTA($B$5:B483))</f>
        <v/>
      </c>
      <c r="B483" s="143"/>
      <c r="C483" s="144" t="s">
        <v>49</v>
      </c>
      <c r="D483" s="145"/>
      <c r="E483" s="146"/>
      <c r="F483" s="139"/>
      <c r="G483" s="139"/>
      <c r="H483" s="142">
        <f>IFERROR(VLOOKUP($C483,$C$5:$H$18,6,0)+SUMIF($C$19:$C483,$C483,$F$19:$F483)-SUMIF($C$19:$C483,$C483,$G$19:$G483),"")</f>
        <v>81211.819999998</v>
      </c>
      <c r="I483" s="144"/>
      <c r="J483" s="144"/>
      <c r="K483" s="22" t="str">
        <f t="shared" si="7"/>
        <v/>
      </c>
      <c r="L483" s="40"/>
      <c r="M483"/>
      <c r="N483"/>
      <c r="O483"/>
      <c r="P483"/>
      <c r="Q483"/>
      <c r="R483"/>
      <c r="S483"/>
      <c r="T483"/>
      <c r="U483"/>
      <c r="V483"/>
      <c r="W483" s="41"/>
      <c r="X483" s="41"/>
      <c r="Y483" s="41"/>
    </row>
    <row r="484" s="27" customFormat="1" ht="23" hidden="1" customHeight="1" spans="1:25">
      <c r="A484" s="133" t="str">
        <f>IF(B484="","",COUNTA($B$5:B484))</f>
        <v/>
      </c>
      <c r="B484" s="143"/>
      <c r="C484" s="144" t="s">
        <v>49</v>
      </c>
      <c r="D484" s="145"/>
      <c r="E484" s="146"/>
      <c r="F484" s="139"/>
      <c r="G484" s="139"/>
      <c r="H484" s="142">
        <f>IFERROR(VLOOKUP($C484,$C$5:$H$18,6,0)+SUMIF($C$19:$C484,$C484,$F$19:$F484)-SUMIF($C$19:$C484,$C484,$G$19:$G484),"")</f>
        <v>81211.819999998</v>
      </c>
      <c r="I484" s="144"/>
      <c r="J484" s="144"/>
      <c r="K484" s="22" t="str">
        <f t="shared" si="7"/>
        <v/>
      </c>
      <c r="L484" s="40"/>
      <c r="M484"/>
      <c r="N484"/>
      <c r="O484"/>
      <c r="P484"/>
      <c r="Q484"/>
      <c r="R484"/>
      <c r="S484"/>
      <c r="T484"/>
      <c r="U484"/>
      <c r="V484"/>
      <c r="W484" s="41"/>
      <c r="X484" s="41"/>
      <c r="Y484" s="41"/>
    </row>
    <row r="485" s="27" customFormat="1" ht="23" hidden="1" customHeight="1" spans="1:25">
      <c r="A485" s="133" t="str">
        <f>IF(B485="","",COUNTA($B$5:B485))</f>
        <v/>
      </c>
      <c r="B485" s="143"/>
      <c r="C485" s="144" t="s">
        <v>49</v>
      </c>
      <c r="D485" s="145"/>
      <c r="E485" s="146"/>
      <c r="F485" s="139"/>
      <c r="G485" s="139"/>
      <c r="H485" s="142">
        <f>IFERROR(VLOOKUP($C485,$C$5:$H$18,6,0)+SUMIF($C$19:$C485,$C485,$F$19:$F485)-SUMIF($C$19:$C485,$C485,$G$19:$G485),"")</f>
        <v>81211.819999998</v>
      </c>
      <c r="I485" s="144"/>
      <c r="J485" s="144"/>
      <c r="K485" s="22" t="str">
        <f t="shared" si="7"/>
        <v/>
      </c>
      <c r="L485" s="40"/>
      <c r="M485"/>
      <c r="N485"/>
      <c r="O485"/>
      <c r="P485"/>
      <c r="Q485"/>
      <c r="R485"/>
      <c r="S485"/>
      <c r="T485"/>
      <c r="U485"/>
      <c r="V485"/>
      <c r="W485" s="41"/>
      <c r="X485" s="41"/>
      <c r="Y485" s="41"/>
    </row>
    <row r="486" s="27" customFormat="1" ht="23" hidden="1" customHeight="1" spans="1:25">
      <c r="A486" s="133" t="str">
        <f>IF(B486="","",COUNTA($B$5:B486))</f>
        <v/>
      </c>
      <c r="B486" s="143"/>
      <c r="C486" s="144" t="s">
        <v>49</v>
      </c>
      <c r="D486" s="145"/>
      <c r="E486" s="146"/>
      <c r="F486" s="139"/>
      <c r="G486" s="139"/>
      <c r="H486" s="142">
        <f>IFERROR(VLOOKUP($C486,$C$5:$H$18,6,0)+SUMIF($C$19:$C486,$C486,$F$19:$F486)-SUMIF($C$19:$C486,$C486,$G$19:$G486),"")</f>
        <v>81211.819999998</v>
      </c>
      <c r="I486" s="144"/>
      <c r="J486" s="144"/>
      <c r="K486" s="22" t="str">
        <f t="shared" si="7"/>
        <v/>
      </c>
      <c r="L486" s="40"/>
      <c r="M486"/>
      <c r="N486"/>
      <c r="O486"/>
      <c r="P486"/>
      <c r="Q486"/>
      <c r="R486"/>
      <c r="S486"/>
      <c r="T486"/>
      <c r="U486"/>
      <c r="V486"/>
      <c r="W486" s="41"/>
      <c r="X486" s="41"/>
      <c r="Y486" s="41"/>
    </row>
    <row r="487" s="27" customFormat="1" ht="23" hidden="1" customHeight="1" spans="1:25">
      <c r="A487" s="133" t="str">
        <f>IF(B487="","",COUNTA($B$5:B487))</f>
        <v/>
      </c>
      <c r="B487" s="143"/>
      <c r="C487" s="144" t="s">
        <v>49</v>
      </c>
      <c r="D487" s="145"/>
      <c r="E487" s="146"/>
      <c r="F487" s="139"/>
      <c r="G487" s="139"/>
      <c r="H487" s="142">
        <f>IFERROR(VLOOKUP($C487,$C$5:$H$18,6,0)+SUMIF($C$19:$C487,$C487,$F$19:$F487)-SUMIF($C$19:$C487,$C487,$G$19:$G487),"")</f>
        <v>81211.819999998</v>
      </c>
      <c r="I487" s="144"/>
      <c r="J487" s="144"/>
      <c r="K487" s="22" t="str">
        <f t="shared" si="7"/>
        <v/>
      </c>
      <c r="L487" s="40"/>
      <c r="M487"/>
      <c r="N487"/>
      <c r="O487"/>
      <c r="P487"/>
      <c r="Q487"/>
      <c r="R487"/>
      <c r="S487"/>
      <c r="T487"/>
      <c r="U487"/>
      <c r="V487"/>
      <c r="W487" s="41"/>
      <c r="X487" s="41"/>
      <c r="Y487" s="41"/>
    </row>
    <row r="488" s="27" customFormat="1" ht="23" hidden="1" customHeight="1" spans="1:25">
      <c r="A488" s="133" t="str">
        <f>IF(B488="","",COUNTA($B$5:B488))</f>
        <v/>
      </c>
      <c r="B488" s="143"/>
      <c r="C488" s="144" t="s">
        <v>49</v>
      </c>
      <c r="D488" s="145"/>
      <c r="E488" s="146"/>
      <c r="F488" s="139"/>
      <c r="G488" s="139"/>
      <c r="H488" s="142">
        <f>IFERROR(VLOOKUP($C488,$C$5:$H$18,6,0)+SUMIF($C$19:$C488,$C488,$F$19:$F488)-SUMIF($C$19:$C488,$C488,$G$19:$G488),"")</f>
        <v>81211.819999998</v>
      </c>
      <c r="I488" s="144"/>
      <c r="J488" s="144"/>
      <c r="K488" s="22" t="str">
        <f t="shared" si="7"/>
        <v/>
      </c>
      <c r="L488" s="40"/>
      <c r="M488"/>
      <c r="N488"/>
      <c r="O488"/>
      <c r="P488"/>
      <c r="Q488"/>
      <c r="R488"/>
      <c r="S488"/>
      <c r="T488"/>
      <c r="U488"/>
      <c r="V488"/>
      <c r="W488" s="41"/>
      <c r="X488" s="41"/>
      <c r="Y488" s="41"/>
    </row>
    <row r="489" s="27" customFormat="1" ht="23" hidden="1" customHeight="1" spans="1:25">
      <c r="A489" s="133" t="str">
        <f>IF(B489="","",COUNTA($B$5:B489))</f>
        <v/>
      </c>
      <c r="B489" s="143"/>
      <c r="C489" s="144" t="s">
        <v>49</v>
      </c>
      <c r="D489" s="145"/>
      <c r="E489" s="146"/>
      <c r="F489" s="139"/>
      <c r="G489" s="139"/>
      <c r="H489" s="142">
        <f>IFERROR(VLOOKUP($C489,$C$5:$H$18,6,0)+SUMIF($C$19:$C489,$C489,$F$19:$F489)-SUMIF($C$19:$C489,$C489,$G$19:$G489),"")</f>
        <v>81211.819999998</v>
      </c>
      <c r="I489" s="144"/>
      <c r="J489" s="144"/>
      <c r="K489" s="22" t="str">
        <f t="shared" si="7"/>
        <v/>
      </c>
      <c r="L489" s="40"/>
      <c r="M489"/>
      <c r="N489"/>
      <c r="O489"/>
      <c r="P489"/>
      <c r="Q489"/>
      <c r="R489"/>
      <c r="S489"/>
      <c r="T489"/>
      <c r="U489"/>
      <c r="V489"/>
      <c r="W489" s="41"/>
      <c r="X489" s="41"/>
      <c r="Y489" s="41"/>
    </row>
    <row r="490" s="27" customFormat="1" ht="23" hidden="1" customHeight="1" spans="1:25">
      <c r="A490" s="133" t="str">
        <f>IF(B490="","",COUNTA($B$5:B490))</f>
        <v/>
      </c>
      <c r="B490" s="143"/>
      <c r="C490" s="144" t="s">
        <v>49</v>
      </c>
      <c r="D490" s="145"/>
      <c r="E490" s="146"/>
      <c r="F490" s="139"/>
      <c r="G490" s="139"/>
      <c r="H490" s="142">
        <f>IFERROR(VLOOKUP($C490,$C$5:$H$18,6,0)+SUMIF($C$19:$C490,$C490,$F$19:$F490)-SUMIF($C$19:$C490,$C490,$G$19:$G490),"")</f>
        <v>81211.819999998</v>
      </c>
      <c r="I490" s="144"/>
      <c r="J490" s="144"/>
      <c r="K490" s="22" t="str">
        <f t="shared" si="7"/>
        <v/>
      </c>
      <c r="L490" s="40"/>
      <c r="M490"/>
      <c r="N490"/>
      <c r="O490"/>
      <c r="P490"/>
      <c r="Q490"/>
      <c r="R490"/>
      <c r="S490"/>
      <c r="T490"/>
      <c r="U490"/>
      <c r="V490"/>
      <c r="W490" s="41"/>
      <c r="X490" s="41"/>
      <c r="Y490" s="41"/>
    </row>
    <row r="491" s="27" customFormat="1" ht="23" hidden="1" customHeight="1" spans="1:25">
      <c r="A491" s="133" t="str">
        <f>IF(B491="","",COUNTA($B$5:B491))</f>
        <v/>
      </c>
      <c r="B491" s="143"/>
      <c r="C491" s="144" t="s">
        <v>49</v>
      </c>
      <c r="D491" s="145"/>
      <c r="E491" s="146"/>
      <c r="F491" s="139"/>
      <c r="G491" s="139"/>
      <c r="H491" s="142">
        <f>IFERROR(VLOOKUP($C491,$C$5:$H$18,6,0)+SUMIF($C$19:$C491,$C491,$F$19:$F491)-SUMIF($C$19:$C491,$C491,$G$19:$G491),"")</f>
        <v>81211.819999998</v>
      </c>
      <c r="I491" s="144"/>
      <c r="J491" s="144"/>
      <c r="K491" s="22" t="str">
        <f t="shared" si="7"/>
        <v/>
      </c>
      <c r="L491" s="40"/>
      <c r="M491"/>
      <c r="N491"/>
      <c r="O491"/>
      <c r="P491"/>
      <c r="Q491"/>
      <c r="R491"/>
      <c r="S491"/>
      <c r="T491"/>
      <c r="U491"/>
      <c r="V491"/>
      <c r="W491" s="41"/>
      <c r="X491" s="41"/>
      <c r="Y491" s="41"/>
    </row>
    <row r="492" s="27" customFormat="1" ht="23" hidden="1" customHeight="1" spans="1:25">
      <c r="A492" s="133" t="str">
        <f>IF(B492="","",COUNTA($B$5:B492))</f>
        <v/>
      </c>
      <c r="B492" s="143"/>
      <c r="C492" s="144" t="s">
        <v>49</v>
      </c>
      <c r="D492" s="145"/>
      <c r="E492" s="146"/>
      <c r="F492" s="139"/>
      <c r="G492" s="139"/>
      <c r="H492" s="142">
        <f>IFERROR(VLOOKUP($C492,$C$5:$H$18,6,0)+SUMIF($C$19:$C492,$C492,$F$19:$F492)-SUMIF($C$19:$C492,$C492,$G$19:$G492),"")</f>
        <v>81211.819999998</v>
      </c>
      <c r="I492" s="144"/>
      <c r="J492" s="144"/>
      <c r="K492" s="22" t="str">
        <f t="shared" si="7"/>
        <v/>
      </c>
      <c r="L492" s="40"/>
      <c r="M492"/>
      <c r="N492"/>
      <c r="O492"/>
      <c r="P492"/>
      <c r="Q492"/>
      <c r="R492"/>
      <c r="S492"/>
      <c r="T492"/>
      <c r="U492"/>
      <c r="V492"/>
      <c r="W492" s="41"/>
      <c r="X492" s="41"/>
      <c r="Y492" s="41"/>
    </row>
    <row r="493" s="27" customFormat="1" ht="23" hidden="1" customHeight="1" spans="1:25">
      <c r="A493" s="133" t="str">
        <f>IF(B493="","",COUNTA($B$5:B493))</f>
        <v/>
      </c>
      <c r="B493" s="143"/>
      <c r="C493" s="144" t="s">
        <v>49</v>
      </c>
      <c r="D493" s="145"/>
      <c r="E493" s="146"/>
      <c r="F493" s="139"/>
      <c r="G493" s="139"/>
      <c r="H493" s="142">
        <f>IFERROR(VLOOKUP($C493,$C$5:$H$18,6,0)+SUMIF($C$19:$C493,$C493,$F$19:$F493)-SUMIF($C$19:$C493,$C493,$G$19:$G493),"")</f>
        <v>81211.819999998</v>
      </c>
      <c r="I493" s="144"/>
      <c r="J493" s="144"/>
      <c r="K493" s="22" t="str">
        <f t="shared" si="7"/>
        <v/>
      </c>
      <c r="L493" s="40"/>
      <c r="M493"/>
      <c r="N493"/>
      <c r="O493"/>
      <c r="P493"/>
      <c r="Q493"/>
      <c r="R493"/>
      <c r="S493"/>
      <c r="T493"/>
      <c r="U493"/>
      <c r="V493"/>
      <c r="W493" s="41"/>
      <c r="X493" s="41"/>
      <c r="Y493" s="41"/>
    </row>
    <row r="494" s="27" customFormat="1" ht="23" hidden="1" customHeight="1" spans="1:25">
      <c r="A494" s="133" t="str">
        <f>IF(B494="","",COUNTA($B$5:B494))</f>
        <v/>
      </c>
      <c r="B494" s="143"/>
      <c r="C494" s="144" t="s">
        <v>49</v>
      </c>
      <c r="D494" s="145"/>
      <c r="E494" s="146"/>
      <c r="F494" s="139"/>
      <c r="G494" s="139"/>
      <c r="H494" s="142">
        <f>IFERROR(VLOOKUP($C494,$C$5:$H$18,6,0)+SUMIF($C$19:$C494,$C494,$F$19:$F494)-SUMIF($C$19:$C494,$C494,$G$19:$G494),"")</f>
        <v>81211.819999998</v>
      </c>
      <c r="I494" s="144"/>
      <c r="J494" s="144"/>
      <c r="K494" s="22" t="str">
        <f t="shared" si="7"/>
        <v/>
      </c>
      <c r="L494" s="40"/>
      <c r="M494"/>
      <c r="N494"/>
      <c r="O494"/>
      <c r="P494"/>
      <c r="Q494"/>
      <c r="R494"/>
      <c r="S494"/>
      <c r="T494"/>
      <c r="U494"/>
      <c r="V494"/>
      <c r="W494" s="41"/>
      <c r="X494" s="41"/>
      <c r="Y494" s="41"/>
    </row>
    <row r="495" s="27" customFormat="1" ht="23" hidden="1" customHeight="1" spans="1:25">
      <c r="A495" s="133" t="str">
        <f>IF(B495="","",COUNTA($B$5:B495))</f>
        <v/>
      </c>
      <c r="B495" s="143"/>
      <c r="C495" s="144" t="s">
        <v>49</v>
      </c>
      <c r="D495" s="145"/>
      <c r="E495" s="146"/>
      <c r="F495" s="139"/>
      <c r="G495" s="139"/>
      <c r="H495" s="142">
        <f>IFERROR(VLOOKUP($C495,$C$5:$H$18,6,0)+SUMIF($C$19:$C495,$C495,$F$19:$F495)-SUMIF($C$19:$C495,$C495,$G$19:$G495),"")</f>
        <v>81211.819999998</v>
      </c>
      <c r="I495" s="144"/>
      <c r="J495" s="144"/>
      <c r="K495" s="22" t="str">
        <f t="shared" si="7"/>
        <v/>
      </c>
      <c r="L495" s="40"/>
      <c r="M495"/>
      <c r="N495"/>
      <c r="O495"/>
      <c r="P495"/>
      <c r="Q495"/>
      <c r="R495"/>
      <c r="S495"/>
      <c r="T495"/>
      <c r="U495"/>
      <c r="V495"/>
      <c r="W495" s="41"/>
      <c r="X495" s="41"/>
      <c r="Y495" s="41"/>
    </row>
    <row r="496" s="27" customFormat="1" ht="23" hidden="1" customHeight="1" spans="1:25">
      <c r="A496" s="133" t="str">
        <f>IF(B496="","",COUNTA($B$5:B496))</f>
        <v/>
      </c>
      <c r="B496" s="143"/>
      <c r="C496" s="144" t="s">
        <v>49</v>
      </c>
      <c r="D496" s="145"/>
      <c r="E496" s="146"/>
      <c r="F496" s="139"/>
      <c r="G496" s="139"/>
      <c r="H496" s="142">
        <f>IFERROR(VLOOKUP($C496,$C$5:$H$18,6,0)+SUMIF($C$19:$C496,$C496,$F$19:$F496)-SUMIF($C$19:$C496,$C496,$G$19:$G496),"")</f>
        <v>81211.819999998</v>
      </c>
      <c r="I496" s="144"/>
      <c r="J496" s="144"/>
      <c r="K496" s="22" t="str">
        <f t="shared" si="7"/>
        <v/>
      </c>
      <c r="L496" s="40"/>
      <c r="M496"/>
      <c r="N496"/>
      <c r="O496"/>
      <c r="P496"/>
      <c r="Q496"/>
      <c r="R496"/>
      <c r="S496"/>
      <c r="T496"/>
      <c r="U496"/>
      <c r="V496"/>
      <c r="W496" s="41"/>
      <c r="X496" s="41"/>
      <c r="Y496" s="41"/>
    </row>
    <row r="497" s="27" customFormat="1" ht="23" hidden="1" customHeight="1" spans="1:25">
      <c r="A497" s="133" t="str">
        <f>IF(B497="","",COUNTA($B$5:B497))</f>
        <v/>
      </c>
      <c r="B497" s="143"/>
      <c r="C497" s="144" t="s">
        <v>49</v>
      </c>
      <c r="D497" s="145"/>
      <c r="E497" s="146"/>
      <c r="F497" s="139"/>
      <c r="G497" s="139"/>
      <c r="H497" s="142">
        <f>IFERROR(VLOOKUP($C497,$C$5:$H$18,6,0)+SUMIF($C$19:$C497,$C497,$F$19:$F497)-SUMIF($C$19:$C497,$C497,$G$19:$G497),"")</f>
        <v>81211.819999998</v>
      </c>
      <c r="I497" s="144"/>
      <c r="J497" s="144"/>
      <c r="K497" s="22" t="str">
        <f t="shared" si="7"/>
        <v/>
      </c>
      <c r="L497" s="40"/>
      <c r="M497"/>
      <c r="N497"/>
      <c r="O497"/>
      <c r="P497"/>
      <c r="Q497"/>
      <c r="R497"/>
      <c r="S497"/>
      <c r="T497"/>
      <c r="U497"/>
      <c r="V497"/>
      <c r="W497" s="41"/>
      <c r="X497" s="41"/>
      <c r="Y497" s="41"/>
    </row>
    <row r="498" s="27" customFormat="1" ht="23" hidden="1" customHeight="1" spans="1:25">
      <c r="A498" s="133" t="str">
        <f>IF(B498="","",COUNTA($B$5:B498))</f>
        <v/>
      </c>
      <c r="B498" s="143"/>
      <c r="C498" s="144" t="s">
        <v>49</v>
      </c>
      <c r="D498" s="145"/>
      <c r="E498" s="146"/>
      <c r="F498" s="139"/>
      <c r="G498" s="139"/>
      <c r="H498" s="142">
        <f>IFERROR(VLOOKUP($C498,$C$5:$H$18,6,0)+SUMIF($C$19:$C498,$C498,$F$19:$F498)-SUMIF($C$19:$C498,$C498,$G$19:$G498),"")</f>
        <v>81211.819999998</v>
      </c>
      <c r="I498" s="144"/>
      <c r="J498" s="144"/>
      <c r="K498" s="22" t="str">
        <f t="shared" si="7"/>
        <v/>
      </c>
      <c r="L498" s="40"/>
      <c r="M498"/>
      <c r="N498"/>
      <c r="O498"/>
      <c r="P498"/>
      <c r="Q498"/>
      <c r="R498"/>
      <c r="S498"/>
      <c r="T498"/>
      <c r="U498"/>
      <c r="V498"/>
      <c r="W498" s="41"/>
      <c r="X498" s="41"/>
      <c r="Y498" s="41"/>
    </row>
    <row r="499" s="27" customFormat="1" ht="23" hidden="1" customHeight="1" spans="1:25">
      <c r="A499" s="133" t="str">
        <f>IF(B499="","",COUNTA($B$5:B499))</f>
        <v/>
      </c>
      <c r="B499" s="143"/>
      <c r="C499" s="144" t="s">
        <v>49</v>
      </c>
      <c r="D499" s="145"/>
      <c r="E499" s="146"/>
      <c r="F499" s="139"/>
      <c r="G499" s="139"/>
      <c r="H499" s="142">
        <f>IFERROR(VLOOKUP($C499,$C$5:$H$18,6,0)+SUMIF($C$19:$C499,$C499,$F$19:$F499)-SUMIF($C$19:$C499,$C499,$G$19:$G499),"")</f>
        <v>81211.819999998</v>
      </c>
      <c r="I499" s="144"/>
      <c r="J499" s="144"/>
      <c r="K499" s="22" t="str">
        <f t="shared" si="7"/>
        <v/>
      </c>
      <c r="L499" s="40"/>
      <c r="M499"/>
      <c r="N499"/>
      <c r="O499"/>
      <c r="P499"/>
      <c r="Q499"/>
      <c r="R499"/>
      <c r="S499"/>
      <c r="T499"/>
      <c r="U499"/>
      <c r="V499"/>
      <c r="W499" s="41"/>
      <c r="X499" s="41"/>
      <c r="Y499" s="41"/>
    </row>
    <row r="500" s="27" customFormat="1" ht="23" hidden="1" customHeight="1" spans="1:25">
      <c r="A500" s="133" t="str">
        <f>IF(B500="","",COUNTA($B$5:B500))</f>
        <v/>
      </c>
      <c r="B500" s="143"/>
      <c r="C500" s="144" t="s">
        <v>49</v>
      </c>
      <c r="D500" s="145"/>
      <c r="E500" s="146"/>
      <c r="F500" s="139"/>
      <c r="G500" s="139"/>
      <c r="H500" s="142">
        <f>IFERROR(VLOOKUP($C500,$C$5:$H$18,6,0)+SUMIF($C$19:$C500,$C500,$F$19:$F500)-SUMIF($C$19:$C500,$C500,$G$19:$G500),"")</f>
        <v>81211.819999998</v>
      </c>
      <c r="I500" s="144"/>
      <c r="J500" s="144"/>
      <c r="K500" s="22" t="str">
        <f t="shared" si="7"/>
        <v/>
      </c>
      <c r="L500" s="40"/>
      <c r="M500"/>
      <c r="N500"/>
      <c r="O500"/>
      <c r="P500"/>
      <c r="Q500"/>
      <c r="R500"/>
      <c r="S500"/>
      <c r="T500"/>
      <c r="U500"/>
      <c r="V500"/>
      <c r="W500" s="41"/>
      <c r="X500" s="41"/>
      <c r="Y500" s="41"/>
    </row>
    <row r="501" s="27" customFormat="1" ht="23" hidden="1" customHeight="1" spans="1:25">
      <c r="A501" s="133" t="str">
        <f>IF(B501="","",COUNTA($B$5:B501))</f>
        <v/>
      </c>
      <c r="B501" s="143"/>
      <c r="C501" s="144" t="s">
        <v>49</v>
      </c>
      <c r="D501" s="145"/>
      <c r="E501" s="146"/>
      <c r="F501" s="139"/>
      <c r="G501" s="139"/>
      <c r="H501" s="142">
        <f>IFERROR(VLOOKUP($C501,$C$5:$H$18,6,0)+SUMIF($C$19:$C501,$C501,$F$19:$F501)-SUMIF($C$19:$C501,$C501,$G$19:$G501),"")</f>
        <v>81211.819999998</v>
      </c>
      <c r="I501" s="144"/>
      <c r="J501" s="144"/>
      <c r="K501" s="22" t="str">
        <f t="shared" si="7"/>
        <v/>
      </c>
      <c r="L501" s="40"/>
      <c r="M501"/>
      <c r="N501"/>
      <c r="O501"/>
      <c r="P501"/>
      <c r="Q501"/>
      <c r="R501"/>
      <c r="S501"/>
      <c r="T501"/>
      <c r="U501"/>
      <c r="V501"/>
      <c r="W501" s="41"/>
      <c r="X501" s="41"/>
      <c r="Y501" s="41"/>
    </row>
    <row r="502" s="27" customFormat="1" ht="23" hidden="1" customHeight="1" spans="1:25">
      <c r="A502" s="133" t="str">
        <f>IF(B502="","",COUNTA($B$5:B502))</f>
        <v/>
      </c>
      <c r="B502" s="143"/>
      <c r="C502" s="144" t="s">
        <v>49</v>
      </c>
      <c r="D502" s="145"/>
      <c r="E502" s="146"/>
      <c r="F502" s="139"/>
      <c r="G502" s="139"/>
      <c r="H502" s="142">
        <f>IFERROR(VLOOKUP($C502,$C$5:$H$18,6,0)+SUMIF($C$19:$C502,$C502,$F$19:$F502)-SUMIF($C$19:$C502,$C502,$G$19:$G502),"")</f>
        <v>81211.819999998</v>
      </c>
      <c r="I502" s="144"/>
      <c r="J502" s="144"/>
      <c r="K502" s="22" t="str">
        <f t="shared" si="7"/>
        <v/>
      </c>
      <c r="L502" s="40"/>
      <c r="M502"/>
      <c r="N502"/>
      <c r="O502"/>
      <c r="P502"/>
      <c r="Q502"/>
      <c r="R502"/>
      <c r="S502"/>
      <c r="T502"/>
      <c r="U502"/>
      <c r="V502"/>
      <c r="W502" s="41"/>
      <c r="X502" s="41"/>
      <c r="Y502" s="41"/>
    </row>
    <row r="503" s="27" customFormat="1" ht="23" hidden="1" customHeight="1" spans="1:25">
      <c r="A503" s="133" t="str">
        <f>IF(B503="","",COUNTA($B$5:B503))</f>
        <v/>
      </c>
      <c r="B503" s="143"/>
      <c r="C503" s="144" t="s">
        <v>49</v>
      </c>
      <c r="D503" s="145"/>
      <c r="E503" s="146"/>
      <c r="F503" s="139"/>
      <c r="G503" s="139"/>
      <c r="H503" s="142">
        <f>IFERROR(VLOOKUP($C503,$C$5:$H$18,6,0)+SUMIF($C$19:$C503,$C503,$F$19:$F503)-SUMIF($C$19:$C503,$C503,$G$19:$G503),"")</f>
        <v>81211.819999998</v>
      </c>
      <c r="I503" s="144"/>
      <c r="J503" s="144"/>
      <c r="K503" s="22" t="str">
        <f t="shared" si="7"/>
        <v/>
      </c>
      <c r="L503" s="40"/>
      <c r="M503"/>
      <c r="N503"/>
      <c r="O503"/>
      <c r="P503"/>
      <c r="Q503"/>
      <c r="R503"/>
      <c r="S503"/>
      <c r="T503"/>
      <c r="U503"/>
      <c r="V503"/>
      <c r="W503" s="41"/>
      <c r="X503" s="41"/>
      <c r="Y503" s="41"/>
    </row>
    <row r="504" s="27" customFormat="1" ht="23" hidden="1" customHeight="1" spans="1:25">
      <c r="A504" s="133" t="str">
        <f>IF(B504="","",COUNTA($B$5:B504))</f>
        <v/>
      </c>
      <c r="B504" s="143"/>
      <c r="C504" s="144" t="s">
        <v>49</v>
      </c>
      <c r="D504" s="145"/>
      <c r="E504" s="146"/>
      <c r="F504" s="139"/>
      <c r="G504" s="139"/>
      <c r="H504" s="142">
        <f>IFERROR(VLOOKUP($C504,$C$5:$H$18,6,0)+SUMIF($C$19:$C504,$C504,$F$19:$F504)-SUMIF($C$19:$C504,$C504,$G$19:$G504),"")</f>
        <v>81211.819999998</v>
      </c>
      <c r="I504" s="144"/>
      <c r="J504" s="144"/>
      <c r="K504" s="22" t="str">
        <f t="shared" si="7"/>
        <v/>
      </c>
      <c r="L504" s="40"/>
      <c r="M504"/>
      <c r="N504"/>
      <c r="O504"/>
      <c r="P504"/>
      <c r="Q504"/>
      <c r="R504"/>
      <c r="S504"/>
      <c r="T504"/>
      <c r="U504"/>
      <c r="V504"/>
      <c r="W504" s="41"/>
      <c r="X504" s="41"/>
      <c r="Y504" s="41"/>
    </row>
    <row r="505" s="27" customFormat="1" ht="23" hidden="1" customHeight="1" spans="1:25">
      <c r="A505" s="133" t="str">
        <f>IF(B505="","",COUNTA($B$5:B505))</f>
        <v/>
      </c>
      <c r="B505" s="143"/>
      <c r="C505" s="144" t="s">
        <v>49</v>
      </c>
      <c r="D505" s="145"/>
      <c r="E505" s="146"/>
      <c r="F505" s="139"/>
      <c r="G505" s="139"/>
      <c r="H505" s="142">
        <f>IFERROR(VLOOKUP($C505,$C$5:$H$18,6,0)+SUMIF($C$19:$C505,$C505,$F$19:$F505)-SUMIF($C$19:$C505,$C505,$G$19:$G505),"")</f>
        <v>81211.819999998</v>
      </c>
      <c r="I505" s="144"/>
      <c r="J505" s="144"/>
      <c r="K505" s="22" t="str">
        <f t="shared" si="7"/>
        <v/>
      </c>
      <c r="L505" s="40"/>
      <c r="M505"/>
      <c r="N505"/>
      <c r="O505"/>
      <c r="P505"/>
      <c r="Q505"/>
      <c r="R505"/>
      <c r="S505"/>
      <c r="T505"/>
      <c r="U505"/>
      <c r="V505"/>
      <c r="W505" s="41"/>
      <c r="X505" s="41"/>
      <c r="Y505" s="41"/>
    </row>
    <row r="506" s="27" customFormat="1" ht="23" hidden="1" customHeight="1" spans="1:25">
      <c r="A506" s="133" t="str">
        <f>IF(B506="","",COUNTA($B$5:B506))</f>
        <v/>
      </c>
      <c r="B506" s="143"/>
      <c r="C506" s="144" t="s">
        <v>49</v>
      </c>
      <c r="D506" s="145"/>
      <c r="E506" s="146"/>
      <c r="F506" s="139"/>
      <c r="G506" s="139"/>
      <c r="H506" s="142">
        <f>IFERROR(VLOOKUP($C506,$C$5:$H$18,6,0)+SUMIF($C$19:$C506,$C506,$F$19:$F506)-SUMIF($C$19:$C506,$C506,$G$19:$G506),"")</f>
        <v>81211.819999998</v>
      </c>
      <c r="I506" s="144"/>
      <c r="J506" s="144"/>
      <c r="K506" s="22" t="str">
        <f t="shared" si="7"/>
        <v/>
      </c>
      <c r="L506" s="40"/>
      <c r="M506"/>
      <c r="N506"/>
      <c r="O506"/>
      <c r="P506"/>
      <c r="Q506"/>
      <c r="R506"/>
      <c r="S506"/>
      <c r="T506"/>
      <c r="U506"/>
      <c r="V506"/>
      <c r="W506" s="41"/>
      <c r="X506" s="41"/>
      <c r="Y506" s="41"/>
    </row>
    <row r="507" s="27" customFormat="1" ht="23" hidden="1" customHeight="1" spans="1:25">
      <c r="A507" s="133" t="str">
        <f>IF(B507="","",COUNTA($B$5:B507))</f>
        <v/>
      </c>
      <c r="B507" s="143"/>
      <c r="C507" s="144" t="s">
        <v>49</v>
      </c>
      <c r="D507" s="145"/>
      <c r="E507" s="146"/>
      <c r="F507" s="139"/>
      <c r="G507" s="139"/>
      <c r="H507" s="142">
        <f>IFERROR(VLOOKUP($C507,$C$5:$H$18,6,0)+SUMIF($C$19:$C507,$C507,$F$19:$F507)-SUMIF($C$19:$C507,$C507,$G$19:$G507),"")</f>
        <v>81211.819999998</v>
      </c>
      <c r="I507" s="144"/>
      <c r="J507" s="144"/>
      <c r="K507" s="22" t="str">
        <f t="shared" si="7"/>
        <v/>
      </c>
      <c r="L507" s="40"/>
      <c r="M507"/>
      <c r="N507"/>
      <c r="O507"/>
      <c r="P507"/>
      <c r="Q507"/>
      <c r="R507"/>
      <c r="S507"/>
      <c r="T507"/>
      <c r="U507"/>
      <c r="V507"/>
      <c r="W507" s="41"/>
      <c r="X507" s="41"/>
      <c r="Y507" s="41"/>
    </row>
    <row r="508" s="27" customFormat="1" ht="23" hidden="1" customHeight="1" spans="1:25">
      <c r="A508" s="133" t="str">
        <f>IF(B508="","",COUNTA($B$5:B508))</f>
        <v/>
      </c>
      <c r="B508" s="143"/>
      <c r="C508" s="144" t="s">
        <v>49</v>
      </c>
      <c r="D508" s="145"/>
      <c r="E508" s="146"/>
      <c r="F508" s="139"/>
      <c r="G508" s="139"/>
      <c r="H508" s="142">
        <f>IFERROR(VLOOKUP($C508,$C$5:$H$18,6,0)+SUMIF($C$19:$C508,$C508,$F$19:$F508)-SUMIF($C$19:$C508,$C508,$G$19:$G508),"")</f>
        <v>81211.819999998</v>
      </c>
      <c r="I508" s="144"/>
      <c r="J508" s="144"/>
      <c r="K508" s="22" t="str">
        <f t="shared" si="7"/>
        <v/>
      </c>
      <c r="L508" s="40"/>
      <c r="M508"/>
      <c r="N508"/>
      <c r="O508"/>
      <c r="P508"/>
      <c r="Q508"/>
      <c r="R508"/>
      <c r="S508"/>
      <c r="T508"/>
      <c r="U508"/>
      <c r="V508"/>
      <c r="W508" s="41"/>
      <c r="X508" s="41"/>
      <c r="Y508" s="41"/>
    </row>
    <row r="509" s="27" customFormat="1" ht="23" hidden="1" customHeight="1" spans="1:25">
      <c r="A509" s="133" t="str">
        <f>IF(B509="","",COUNTA($B$5:B509))</f>
        <v/>
      </c>
      <c r="B509" s="143"/>
      <c r="C509" s="144" t="s">
        <v>49</v>
      </c>
      <c r="D509" s="145"/>
      <c r="E509" s="146"/>
      <c r="F509" s="139"/>
      <c r="G509" s="139"/>
      <c r="H509" s="142">
        <f>IFERROR(VLOOKUP($C509,$C$5:$H$18,6,0)+SUMIF($C$19:$C509,$C509,$F$19:$F509)-SUMIF($C$19:$C509,$C509,$G$19:$G509),"")</f>
        <v>81211.819999998</v>
      </c>
      <c r="I509" s="144"/>
      <c r="J509" s="144"/>
      <c r="K509" s="22" t="str">
        <f t="shared" si="7"/>
        <v/>
      </c>
      <c r="L509" s="40"/>
      <c r="M509"/>
      <c r="N509"/>
      <c r="O509"/>
      <c r="P509"/>
      <c r="Q509"/>
      <c r="R509"/>
      <c r="S509"/>
      <c r="T509"/>
      <c r="U509"/>
      <c r="V509"/>
      <c r="W509" s="41"/>
      <c r="X509" s="41"/>
      <c r="Y509" s="41"/>
    </row>
    <row r="510" s="27" customFormat="1" ht="23" hidden="1" customHeight="1" spans="1:25">
      <c r="A510" s="133" t="str">
        <f>IF(B510="","",COUNTA($B$5:B510))</f>
        <v/>
      </c>
      <c r="B510" s="143"/>
      <c r="C510" s="144" t="s">
        <v>49</v>
      </c>
      <c r="D510" s="145"/>
      <c r="E510" s="146"/>
      <c r="F510" s="139"/>
      <c r="G510" s="139"/>
      <c r="H510" s="142">
        <f>IFERROR(VLOOKUP($C510,$C$5:$H$18,6,0)+SUMIF($C$19:$C510,$C510,$F$19:$F510)-SUMIF($C$19:$C510,$C510,$G$19:$G510),"")</f>
        <v>81211.819999998</v>
      </c>
      <c r="I510" s="144"/>
      <c r="J510" s="144"/>
      <c r="K510" s="22" t="str">
        <f t="shared" si="7"/>
        <v/>
      </c>
      <c r="L510" s="40"/>
      <c r="M510"/>
      <c r="N510"/>
      <c r="O510"/>
      <c r="P510"/>
      <c r="Q510"/>
      <c r="R510"/>
      <c r="S510"/>
      <c r="T510"/>
      <c r="U510"/>
      <c r="V510"/>
      <c r="W510" s="41"/>
      <c r="X510" s="41"/>
      <c r="Y510" s="41"/>
    </row>
    <row r="511" s="27" customFormat="1" ht="23" hidden="1" customHeight="1" spans="1:25">
      <c r="A511" s="133" t="str">
        <f>IF(B511="","",COUNTA($B$5:B511))</f>
        <v/>
      </c>
      <c r="B511" s="143"/>
      <c r="C511" s="144" t="s">
        <v>49</v>
      </c>
      <c r="D511" s="145"/>
      <c r="E511" s="146"/>
      <c r="F511" s="139"/>
      <c r="G511" s="139"/>
      <c r="H511" s="142">
        <f>IFERROR(VLOOKUP($C511,$C$5:$H$18,6,0)+SUMIF($C$19:$C511,$C511,$F$19:$F511)-SUMIF($C$19:$C511,$C511,$G$19:$G511),"")</f>
        <v>81211.819999998</v>
      </c>
      <c r="I511" s="144"/>
      <c r="J511" s="144"/>
      <c r="K511" s="22" t="str">
        <f t="shared" si="7"/>
        <v/>
      </c>
      <c r="L511" s="40"/>
      <c r="M511"/>
      <c r="N511"/>
      <c r="O511"/>
      <c r="P511"/>
      <c r="Q511"/>
      <c r="R511"/>
      <c r="S511"/>
      <c r="T511"/>
      <c r="U511"/>
      <c r="V511"/>
      <c r="W511" s="41"/>
      <c r="X511" s="41"/>
      <c r="Y511" s="41"/>
    </row>
    <row r="512" s="27" customFormat="1" ht="23" hidden="1" customHeight="1" spans="1:25">
      <c r="A512" s="133" t="str">
        <f>IF(B512="","",COUNTA($B$5:B512))</f>
        <v/>
      </c>
      <c r="B512" s="143"/>
      <c r="C512" s="144" t="s">
        <v>49</v>
      </c>
      <c r="D512" s="145"/>
      <c r="E512" s="146"/>
      <c r="F512" s="139"/>
      <c r="G512" s="139"/>
      <c r="H512" s="142">
        <f>IFERROR(VLOOKUP($C512,$C$5:$H$18,6,0)+SUMIF($C$19:$C512,$C512,$F$19:$F512)-SUMIF($C$19:$C512,$C512,$G$19:$G512),"")</f>
        <v>81211.819999998</v>
      </c>
      <c r="I512" s="144"/>
      <c r="J512" s="144"/>
      <c r="K512" s="22" t="str">
        <f t="shared" si="7"/>
        <v/>
      </c>
      <c r="L512" s="40"/>
      <c r="M512"/>
      <c r="N512"/>
      <c r="O512"/>
      <c r="P512"/>
      <c r="Q512"/>
      <c r="R512"/>
      <c r="S512"/>
      <c r="T512"/>
      <c r="U512"/>
      <c r="V512"/>
      <c r="W512" s="41"/>
      <c r="X512" s="41"/>
      <c r="Y512" s="41"/>
    </row>
    <row r="513" s="27" customFormat="1" ht="23" hidden="1" customHeight="1" spans="1:25">
      <c r="A513" s="133" t="str">
        <f>IF(B513="","",COUNTA($B$5:B513))</f>
        <v/>
      </c>
      <c r="B513" s="143"/>
      <c r="C513" s="144" t="s">
        <v>49</v>
      </c>
      <c r="D513" s="145"/>
      <c r="E513" s="146"/>
      <c r="F513" s="139"/>
      <c r="G513" s="139"/>
      <c r="H513" s="142">
        <f>IFERROR(VLOOKUP($C513,$C$5:$H$18,6,0)+SUMIF($C$19:$C513,$C513,$F$19:$F513)-SUMIF($C$19:$C513,$C513,$G$19:$G513),"")</f>
        <v>81211.819999998</v>
      </c>
      <c r="I513" s="144"/>
      <c r="J513" s="144"/>
      <c r="K513" s="22" t="str">
        <f t="shared" si="7"/>
        <v/>
      </c>
      <c r="L513" s="40"/>
      <c r="M513"/>
      <c r="N513"/>
      <c r="O513"/>
      <c r="P513"/>
      <c r="Q513"/>
      <c r="R513"/>
      <c r="S513"/>
      <c r="T513"/>
      <c r="U513"/>
      <c r="V513"/>
      <c r="W513" s="41"/>
      <c r="X513" s="41"/>
      <c r="Y513" s="41"/>
    </row>
    <row r="514" s="27" customFormat="1" ht="23" hidden="1" customHeight="1" spans="1:25">
      <c r="A514" s="133" t="str">
        <f>IF(B514="","",COUNTA($B$5:B514))</f>
        <v/>
      </c>
      <c r="B514" s="143"/>
      <c r="C514" s="144" t="s">
        <v>49</v>
      </c>
      <c r="D514" s="145"/>
      <c r="E514" s="146"/>
      <c r="F514" s="139"/>
      <c r="G514" s="139"/>
      <c r="H514" s="142">
        <f>IFERROR(VLOOKUP($C514,$C$5:$H$18,6,0)+SUMIF($C$19:$C514,$C514,$F$19:$F514)-SUMIF($C$19:$C514,$C514,$G$19:$G514),"")</f>
        <v>81211.819999998</v>
      </c>
      <c r="I514" s="144"/>
      <c r="J514" s="144"/>
      <c r="K514" s="22" t="str">
        <f t="shared" si="7"/>
        <v/>
      </c>
      <c r="L514" s="40"/>
      <c r="M514"/>
      <c r="N514"/>
      <c r="O514"/>
      <c r="P514"/>
      <c r="Q514"/>
      <c r="R514"/>
      <c r="S514"/>
      <c r="T514"/>
      <c r="U514"/>
      <c r="V514"/>
      <c r="W514" s="41"/>
      <c r="X514" s="41"/>
      <c r="Y514" s="41"/>
    </row>
    <row r="515" s="27" customFormat="1" ht="23" hidden="1" customHeight="1" spans="1:25">
      <c r="A515" s="133" t="str">
        <f>IF(B515="","",COUNTA($B$5:B515))</f>
        <v/>
      </c>
      <c r="B515" s="143"/>
      <c r="C515" s="144" t="s">
        <v>49</v>
      </c>
      <c r="D515" s="145"/>
      <c r="E515" s="146"/>
      <c r="F515" s="139"/>
      <c r="G515" s="139"/>
      <c r="H515" s="142">
        <f>IFERROR(VLOOKUP($C515,$C$5:$H$18,6,0)+SUMIF($C$19:$C515,$C515,$F$19:$F515)-SUMIF($C$19:$C515,$C515,$G$19:$G515),"")</f>
        <v>81211.819999998</v>
      </c>
      <c r="I515" s="144"/>
      <c r="J515" s="144"/>
      <c r="K515" s="22" t="str">
        <f t="shared" si="7"/>
        <v/>
      </c>
      <c r="L515" s="40"/>
      <c r="M515"/>
      <c r="N515"/>
      <c r="O515"/>
      <c r="P515"/>
      <c r="Q515"/>
      <c r="R515"/>
      <c r="S515"/>
      <c r="T515"/>
      <c r="U515"/>
      <c r="V515"/>
      <c r="W515" s="41"/>
      <c r="X515" s="41"/>
      <c r="Y515" s="41"/>
    </row>
    <row r="516" s="27" customFormat="1" ht="23" hidden="1" customHeight="1" spans="1:25">
      <c r="A516" s="133" t="str">
        <f>IF(B516="","",COUNTA($B$5:B516))</f>
        <v/>
      </c>
      <c r="B516" s="143"/>
      <c r="C516" s="144" t="s">
        <v>49</v>
      </c>
      <c r="D516" s="145"/>
      <c r="E516" s="146"/>
      <c r="F516" s="139"/>
      <c r="G516" s="139"/>
      <c r="H516" s="142">
        <f>IFERROR(VLOOKUP($C516,$C$5:$H$18,6,0)+SUMIF($C$19:$C516,$C516,$F$19:$F516)-SUMIF($C$19:$C516,$C516,$G$19:$G516),"")</f>
        <v>81211.819999998</v>
      </c>
      <c r="I516" s="144"/>
      <c r="J516" s="144"/>
      <c r="K516" s="22" t="str">
        <f t="shared" si="7"/>
        <v/>
      </c>
      <c r="L516" s="40"/>
      <c r="M516"/>
      <c r="N516"/>
      <c r="O516"/>
      <c r="P516"/>
      <c r="Q516"/>
      <c r="R516"/>
      <c r="S516"/>
      <c r="T516"/>
      <c r="U516"/>
      <c r="V516"/>
      <c r="W516" s="41"/>
      <c r="X516" s="41"/>
      <c r="Y516" s="41"/>
    </row>
    <row r="517" s="27" customFormat="1" ht="23" hidden="1" customHeight="1" spans="1:25">
      <c r="A517" s="133" t="str">
        <f>IF(B517="","",COUNTA($B$5:B517))</f>
        <v/>
      </c>
      <c r="B517" s="143"/>
      <c r="C517" s="144" t="s">
        <v>49</v>
      </c>
      <c r="D517" s="145"/>
      <c r="E517" s="146"/>
      <c r="F517" s="139"/>
      <c r="G517" s="139"/>
      <c r="H517" s="142">
        <f>IFERROR(VLOOKUP($C517,$C$5:$H$18,6,0)+SUMIF($C$19:$C517,$C517,$F$19:$F517)-SUMIF($C$19:$C517,$C517,$G$19:$G517),"")</f>
        <v>81211.819999998</v>
      </c>
      <c r="I517" s="144"/>
      <c r="J517" s="144"/>
      <c r="K517" s="22" t="str">
        <f t="shared" ref="K517:K580" si="8">IF($B517="","",--TEXT($B517,"yyyymm"))</f>
        <v/>
      </c>
      <c r="L517" s="40"/>
      <c r="M517"/>
      <c r="N517"/>
      <c r="O517"/>
      <c r="P517"/>
      <c r="Q517"/>
      <c r="R517"/>
      <c r="S517"/>
      <c r="T517"/>
      <c r="U517"/>
      <c r="V517"/>
      <c r="W517" s="41"/>
      <c r="X517" s="41"/>
      <c r="Y517" s="41"/>
    </row>
    <row r="518" s="27" customFormat="1" ht="23" hidden="1" customHeight="1" spans="1:25">
      <c r="A518" s="133" t="str">
        <f>IF(B518="","",COUNTA($B$5:B518))</f>
        <v/>
      </c>
      <c r="B518" s="143"/>
      <c r="C518" s="144" t="s">
        <v>49</v>
      </c>
      <c r="D518" s="145"/>
      <c r="E518" s="146"/>
      <c r="F518" s="139"/>
      <c r="G518" s="139"/>
      <c r="H518" s="142">
        <f>IFERROR(VLOOKUP($C518,$C$5:$H$18,6,0)+SUMIF($C$19:$C518,$C518,$F$19:$F518)-SUMIF($C$19:$C518,$C518,$G$19:$G518),"")</f>
        <v>81211.819999998</v>
      </c>
      <c r="I518" s="144"/>
      <c r="J518" s="144"/>
      <c r="K518" s="22" t="str">
        <f t="shared" si="8"/>
        <v/>
      </c>
      <c r="L518" s="40"/>
      <c r="M518"/>
      <c r="N518"/>
      <c r="O518"/>
      <c r="P518"/>
      <c r="Q518"/>
      <c r="R518"/>
      <c r="S518"/>
      <c r="T518"/>
      <c r="U518"/>
      <c r="V518"/>
      <c r="W518" s="41"/>
      <c r="X518" s="41"/>
      <c r="Y518" s="41"/>
    </row>
    <row r="519" s="27" customFormat="1" ht="23" hidden="1" customHeight="1" spans="1:25">
      <c r="A519" s="133" t="str">
        <f>IF(B519="","",COUNTA($B$5:B519))</f>
        <v/>
      </c>
      <c r="B519" s="143"/>
      <c r="C519" s="144" t="s">
        <v>49</v>
      </c>
      <c r="D519" s="145"/>
      <c r="E519" s="146"/>
      <c r="F519" s="139"/>
      <c r="G519" s="139"/>
      <c r="H519" s="142">
        <f>IFERROR(VLOOKUP($C519,$C$5:$H$18,6,0)+SUMIF($C$19:$C519,$C519,$F$19:$F519)-SUMIF($C$19:$C519,$C519,$G$19:$G519),"")</f>
        <v>81211.819999998</v>
      </c>
      <c r="I519" s="144"/>
      <c r="J519" s="144"/>
      <c r="K519" s="22" t="str">
        <f t="shared" si="8"/>
        <v/>
      </c>
      <c r="L519" s="40"/>
      <c r="M519"/>
      <c r="N519"/>
      <c r="O519"/>
      <c r="P519"/>
      <c r="Q519"/>
      <c r="R519"/>
      <c r="S519"/>
      <c r="T519"/>
      <c r="U519"/>
      <c r="V519"/>
      <c r="W519" s="41"/>
      <c r="X519" s="41"/>
      <c r="Y519" s="41"/>
    </row>
    <row r="520" s="27" customFormat="1" ht="23" hidden="1" customHeight="1" spans="1:25">
      <c r="A520" s="133" t="str">
        <f>IF(B520="","",COUNTA($B$5:B520))</f>
        <v/>
      </c>
      <c r="B520" s="143"/>
      <c r="C520" s="144" t="s">
        <v>49</v>
      </c>
      <c r="D520" s="145"/>
      <c r="E520" s="146"/>
      <c r="F520" s="139"/>
      <c r="G520" s="139"/>
      <c r="H520" s="142">
        <f>IFERROR(VLOOKUP($C520,$C$5:$H$18,6,0)+SUMIF($C$19:$C520,$C520,$F$19:$F520)-SUMIF($C$19:$C520,$C520,$G$19:$G520),"")</f>
        <v>81211.819999998</v>
      </c>
      <c r="I520" s="144"/>
      <c r="J520" s="144"/>
      <c r="K520" s="22" t="str">
        <f t="shared" si="8"/>
        <v/>
      </c>
      <c r="L520" s="40"/>
      <c r="M520"/>
      <c r="N520"/>
      <c r="O520"/>
      <c r="P520"/>
      <c r="Q520"/>
      <c r="R520"/>
      <c r="S520"/>
      <c r="T520"/>
      <c r="U520"/>
      <c r="V520"/>
      <c r="W520" s="41"/>
      <c r="X520" s="41"/>
      <c r="Y520" s="41"/>
    </row>
    <row r="521" s="27" customFormat="1" ht="23" hidden="1" customHeight="1" spans="1:25">
      <c r="A521" s="133" t="str">
        <f>IF(B521="","",COUNTA($B$5:B521))</f>
        <v/>
      </c>
      <c r="B521" s="143"/>
      <c r="C521" s="144" t="s">
        <v>49</v>
      </c>
      <c r="D521" s="145"/>
      <c r="E521" s="146"/>
      <c r="F521" s="139"/>
      <c r="G521" s="139"/>
      <c r="H521" s="142">
        <f>IFERROR(VLOOKUP($C521,$C$5:$H$18,6,0)+SUMIF($C$19:$C521,$C521,$F$19:$F521)-SUMIF($C$19:$C521,$C521,$G$19:$G521),"")</f>
        <v>81211.819999998</v>
      </c>
      <c r="I521" s="144"/>
      <c r="J521" s="144"/>
      <c r="K521" s="22" t="str">
        <f t="shared" si="8"/>
        <v/>
      </c>
      <c r="L521" s="40"/>
      <c r="M521"/>
      <c r="N521"/>
      <c r="O521"/>
      <c r="P521"/>
      <c r="Q521"/>
      <c r="R521"/>
      <c r="S521"/>
      <c r="T521"/>
      <c r="U521"/>
      <c r="V521"/>
      <c r="W521" s="41"/>
      <c r="X521" s="41"/>
      <c r="Y521" s="41"/>
    </row>
    <row r="522" s="27" customFormat="1" ht="23" hidden="1" customHeight="1" spans="1:25">
      <c r="A522" s="133" t="str">
        <f>IF(B522="","",COUNTA($B$5:B522))</f>
        <v/>
      </c>
      <c r="B522" s="143"/>
      <c r="C522" s="144" t="s">
        <v>49</v>
      </c>
      <c r="D522" s="145"/>
      <c r="E522" s="146"/>
      <c r="F522" s="139"/>
      <c r="G522" s="139"/>
      <c r="H522" s="142">
        <f>IFERROR(VLOOKUP($C522,$C$5:$H$18,6,0)+SUMIF($C$19:$C522,$C522,$F$19:$F522)-SUMIF($C$19:$C522,$C522,$G$19:$G522),"")</f>
        <v>81211.819999998</v>
      </c>
      <c r="I522" s="144"/>
      <c r="J522" s="144"/>
      <c r="K522" s="22" t="str">
        <f t="shared" si="8"/>
        <v/>
      </c>
      <c r="L522" s="40"/>
      <c r="M522"/>
      <c r="N522"/>
      <c r="O522"/>
      <c r="P522"/>
      <c r="Q522"/>
      <c r="R522"/>
      <c r="S522"/>
      <c r="T522"/>
      <c r="U522"/>
      <c r="V522"/>
      <c r="W522" s="41"/>
      <c r="X522" s="41"/>
      <c r="Y522" s="41"/>
    </row>
    <row r="523" s="27" customFormat="1" ht="23" hidden="1" customHeight="1" spans="1:25">
      <c r="A523" s="133" t="str">
        <f>IF(B523="","",COUNTA($B$5:B523))</f>
        <v/>
      </c>
      <c r="B523" s="143"/>
      <c r="C523" s="144" t="s">
        <v>49</v>
      </c>
      <c r="D523" s="145"/>
      <c r="E523" s="146"/>
      <c r="F523" s="139"/>
      <c r="G523" s="139"/>
      <c r="H523" s="142">
        <f>IFERROR(VLOOKUP($C523,$C$5:$H$18,6,0)+SUMIF($C$19:$C523,$C523,$F$19:$F523)-SUMIF($C$19:$C523,$C523,$G$19:$G523),"")</f>
        <v>81211.819999998</v>
      </c>
      <c r="I523" s="144"/>
      <c r="J523" s="144"/>
      <c r="K523" s="22" t="str">
        <f t="shared" si="8"/>
        <v/>
      </c>
      <c r="L523" s="40"/>
      <c r="M523"/>
      <c r="N523"/>
      <c r="O523"/>
      <c r="P523"/>
      <c r="Q523"/>
      <c r="R523"/>
      <c r="S523"/>
      <c r="T523"/>
      <c r="U523"/>
      <c r="V523"/>
      <c r="W523" s="41"/>
      <c r="X523" s="41"/>
      <c r="Y523" s="41"/>
    </row>
    <row r="524" s="27" customFormat="1" ht="23" hidden="1" customHeight="1" spans="1:25">
      <c r="A524" s="133" t="str">
        <f>IF(B524="","",COUNTA($B$5:B524))</f>
        <v/>
      </c>
      <c r="B524" s="143"/>
      <c r="C524" s="144" t="s">
        <v>49</v>
      </c>
      <c r="D524" s="145"/>
      <c r="E524" s="146"/>
      <c r="F524" s="139"/>
      <c r="G524" s="139"/>
      <c r="H524" s="142">
        <f>IFERROR(VLOOKUP($C524,$C$5:$H$18,6,0)+SUMIF($C$19:$C524,$C524,$F$19:$F524)-SUMIF($C$19:$C524,$C524,$G$19:$G524),"")</f>
        <v>81211.819999998</v>
      </c>
      <c r="I524" s="144"/>
      <c r="J524" s="144"/>
      <c r="K524" s="22" t="str">
        <f t="shared" si="8"/>
        <v/>
      </c>
      <c r="L524" s="40"/>
      <c r="M524"/>
      <c r="N524"/>
      <c r="O524"/>
      <c r="P524"/>
      <c r="Q524"/>
      <c r="R524"/>
      <c r="S524"/>
      <c r="T524"/>
      <c r="U524"/>
      <c r="V524"/>
      <c r="W524" s="41"/>
      <c r="X524" s="41"/>
      <c r="Y524" s="41"/>
    </row>
    <row r="525" s="27" customFormat="1" ht="23" hidden="1" customHeight="1" spans="1:25">
      <c r="A525" s="133" t="str">
        <f>IF(B525="","",COUNTA($B$5:B525))</f>
        <v/>
      </c>
      <c r="B525" s="143"/>
      <c r="C525" s="144" t="s">
        <v>49</v>
      </c>
      <c r="D525" s="145"/>
      <c r="E525" s="146"/>
      <c r="F525" s="139"/>
      <c r="G525" s="139"/>
      <c r="H525" s="142">
        <f>IFERROR(VLOOKUP($C525,$C$5:$H$18,6,0)+SUMIF($C$19:$C525,$C525,$F$19:$F525)-SUMIF($C$19:$C525,$C525,$G$19:$G525),"")</f>
        <v>81211.819999998</v>
      </c>
      <c r="I525" s="144"/>
      <c r="J525" s="144"/>
      <c r="K525" s="22" t="str">
        <f t="shared" si="8"/>
        <v/>
      </c>
      <c r="L525" s="40"/>
      <c r="M525"/>
      <c r="N525"/>
      <c r="O525"/>
      <c r="P525"/>
      <c r="Q525"/>
      <c r="R525"/>
      <c r="S525"/>
      <c r="T525"/>
      <c r="U525"/>
      <c r="V525"/>
      <c r="W525" s="41"/>
      <c r="X525" s="41"/>
      <c r="Y525" s="41"/>
    </row>
    <row r="526" s="27" customFormat="1" ht="23" hidden="1" customHeight="1" spans="1:25">
      <c r="A526" s="133" t="str">
        <f>IF(B526="","",COUNTA($B$5:B526))</f>
        <v/>
      </c>
      <c r="B526" s="143"/>
      <c r="C526" s="144" t="s">
        <v>49</v>
      </c>
      <c r="D526" s="145"/>
      <c r="E526" s="146"/>
      <c r="F526" s="139"/>
      <c r="G526" s="139"/>
      <c r="H526" s="142">
        <f>IFERROR(VLOOKUP($C526,$C$5:$H$18,6,0)+SUMIF($C$19:$C526,$C526,$F$19:$F526)-SUMIF($C$19:$C526,$C526,$G$19:$G526),"")</f>
        <v>81211.819999998</v>
      </c>
      <c r="I526" s="144"/>
      <c r="J526" s="144"/>
      <c r="K526" s="22" t="str">
        <f t="shared" si="8"/>
        <v/>
      </c>
      <c r="L526" s="40"/>
      <c r="M526"/>
      <c r="N526"/>
      <c r="O526"/>
      <c r="P526"/>
      <c r="Q526"/>
      <c r="R526"/>
      <c r="S526"/>
      <c r="T526"/>
      <c r="U526"/>
      <c r="V526"/>
      <c r="W526" s="41"/>
      <c r="X526" s="41"/>
      <c r="Y526" s="41"/>
    </row>
    <row r="527" s="27" customFormat="1" ht="23" hidden="1" customHeight="1" spans="1:25">
      <c r="A527" s="133" t="str">
        <f>IF(B527="","",COUNTA($B$5:B527))</f>
        <v/>
      </c>
      <c r="B527" s="143"/>
      <c r="C527" s="144" t="s">
        <v>49</v>
      </c>
      <c r="D527" s="145"/>
      <c r="E527" s="146"/>
      <c r="F527" s="139"/>
      <c r="G527" s="139"/>
      <c r="H527" s="142">
        <f>IFERROR(VLOOKUP($C527,$C$5:$H$18,6,0)+SUMIF($C$19:$C527,$C527,$F$19:$F527)-SUMIF($C$19:$C527,$C527,$G$19:$G527),"")</f>
        <v>81211.819999998</v>
      </c>
      <c r="I527" s="144"/>
      <c r="J527" s="144"/>
      <c r="K527" s="22" t="str">
        <f t="shared" si="8"/>
        <v/>
      </c>
      <c r="L527" s="40"/>
      <c r="M527"/>
      <c r="N527"/>
      <c r="O527"/>
      <c r="P527"/>
      <c r="Q527"/>
      <c r="R527"/>
      <c r="S527"/>
      <c r="T527"/>
      <c r="U527"/>
      <c r="V527"/>
      <c r="W527" s="41"/>
      <c r="X527" s="41"/>
      <c r="Y527" s="41"/>
    </row>
    <row r="528" s="27" customFormat="1" ht="23" hidden="1" customHeight="1" spans="1:25">
      <c r="A528" s="133" t="str">
        <f>IF(B528="","",COUNTA($B$5:B528))</f>
        <v/>
      </c>
      <c r="B528" s="143"/>
      <c r="C528" s="144" t="s">
        <v>49</v>
      </c>
      <c r="D528" s="145"/>
      <c r="E528" s="146"/>
      <c r="F528" s="139"/>
      <c r="G528" s="139"/>
      <c r="H528" s="142">
        <f>IFERROR(VLOOKUP($C528,$C$5:$H$18,6,0)+SUMIF($C$19:$C528,$C528,$F$19:$F528)-SUMIF($C$19:$C528,$C528,$G$19:$G528),"")</f>
        <v>81211.819999998</v>
      </c>
      <c r="I528" s="144"/>
      <c r="J528" s="144"/>
      <c r="K528" s="22" t="str">
        <f t="shared" si="8"/>
        <v/>
      </c>
      <c r="L528" s="40"/>
      <c r="M528"/>
      <c r="N528"/>
      <c r="O528"/>
      <c r="P528"/>
      <c r="Q528"/>
      <c r="R528"/>
      <c r="S528"/>
      <c r="T528"/>
      <c r="U528"/>
      <c r="V528"/>
      <c r="W528" s="41"/>
      <c r="X528" s="41"/>
      <c r="Y528" s="41"/>
    </row>
    <row r="529" s="27" customFormat="1" ht="23" hidden="1" customHeight="1" spans="1:25">
      <c r="A529" s="133" t="str">
        <f>IF(B529="","",COUNTA($B$5:B529))</f>
        <v/>
      </c>
      <c r="B529" s="143"/>
      <c r="C529" s="144" t="s">
        <v>49</v>
      </c>
      <c r="D529" s="145"/>
      <c r="E529" s="146"/>
      <c r="F529" s="139"/>
      <c r="G529" s="139"/>
      <c r="H529" s="142">
        <f>IFERROR(VLOOKUP($C529,$C$5:$H$18,6,0)+SUMIF($C$19:$C529,$C529,$F$19:$F529)-SUMIF($C$19:$C529,$C529,$G$19:$G529),"")</f>
        <v>81211.819999998</v>
      </c>
      <c r="I529" s="144"/>
      <c r="J529" s="144"/>
      <c r="K529" s="22" t="str">
        <f t="shared" si="8"/>
        <v/>
      </c>
      <c r="L529" s="40"/>
      <c r="M529"/>
      <c r="N529"/>
      <c r="O529"/>
      <c r="P529"/>
      <c r="Q529"/>
      <c r="R529"/>
      <c r="S529"/>
      <c r="T529"/>
      <c r="U529"/>
      <c r="V529"/>
      <c r="W529" s="41"/>
      <c r="X529" s="41"/>
      <c r="Y529" s="41"/>
    </row>
    <row r="530" s="27" customFormat="1" ht="23" hidden="1" customHeight="1" spans="1:25">
      <c r="A530" s="133" t="str">
        <f>IF(B530="","",COUNTA($B$5:B530))</f>
        <v/>
      </c>
      <c r="B530" s="143"/>
      <c r="C530" s="144" t="s">
        <v>49</v>
      </c>
      <c r="D530" s="145"/>
      <c r="E530" s="146"/>
      <c r="F530" s="139"/>
      <c r="G530" s="139"/>
      <c r="H530" s="142">
        <f>IFERROR(VLOOKUP($C530,$C$5:$H$18,6,0)+SUMIF($C$19:$C530,$C530,$F$19:$F530)-SUMIF($C$19:$C530,$C530,$G$19:$G530),"")</f>
        <v>81211.819999998</v>
      </c>
      <c r="I530" s="144"/>
      <c r="J530" s="144"/>
      <c r="K530" s="22" t="str">
        <f t="shared" si="8"/>
        <v/>
      </c>
      <c r="L530" s="40"/>
      <c r="M530"/>
      <c r="N530"/>
      <c r="O530"/>
      <c r="P530"/>
      <c r="Q530"/>
      <c r="R530"/>
      <c r="S530"/>
      <c r="T530"/>
      <c r="U530"/>
      <c r="V530"/>
      <c r="W530" s="41"/>
      <c r="X530" s="41"/>
      <c r="Y530" s="41"/>
    </row>
    <row r="531" s="27" customFormat="1" ht="23" hidden="1" customHeight="1" spans="1:25">
      <c r="A531" s="133" t="str">
        <f>IF(B531="","",COUNTA($B$5:B531))</f>
        <v/>
      </c>
      <c r="B531" s="143"/>
      <c r="C531" s="144" t="s">
        <v>49</v>
      </c>
      <c r="D531" s="145"/>
      <c r="E531" s="146"/>
      <c r="F531" s="139"/>
      <c r="G531" s="139"/>
      <c r="H531" s="142">
        <f>IFERROR(VLOOKUP($C531,$C$5:$H$18,6,0)+SUMIF($C$19:$C531,$C531,$F$19:$F531)-SUMIF($C$19:$C531,$C531,$G$19:$G531),"")</f>
        <v>81211.819999998</v>
      </c>
      <c r="I531" s="144"/>
      <c r="J531" s="144"/>
      <c r="K531" s="22" t="str">
        <f t="shared" si="8"/>
        <v/>
      </c>
      <c r="L531" s="40"/>
      <c r="M531"/>
      <c r="N531"/>
      <c r="O531"/>
      <c r="P531"/>
      <c r="Q531"/>
      <c r="R531"/>
      <c r="S531"/>
      <c r="T531"/>
      <c r="U531"/>
      <c r="V531"/>
      <c r="W531" s="41"/>
      <c r="X531" s="41"/>
      <c r="Y531" s="41"/>
    </row>
    <row r="532" s="27" customFormat="1" ht="23" hidden="1" customHeight="1" spans="1:25">
      <c r="A532" s="133" t="str">
        <f>IF(B532="","",COUNTA($B$5:B532))</f>
        <v/>
      </c>
      <c r="B532" s="143"/>
      <c r="C532" s="144" t="s">
        <v>49</v>
      </c>
      <c r="D532" s="145"/>
      <c r="E532" s="146"/>
      <c r="F532" s="139"/>
      <c r="G532" s="139"/>
      <c r="H532" s="142">
        <f>IFERROR(VLOOKUP($C532,$C$5:$H$18,6,0)+SUMIF($C$19:$C532,$C532,$F$19:$F532)-SUMIF($C$19:$C532,$C532,$G$19:$G532),"")</f>
        <v>81211.819999998</v>
      </c>
      <c r="I532" s="144"/>
      <c r="J532" s="144"/>
      <c r="K532" s="22" t="str">
        <f t="shared" si="8"/>
        <v/>
      </c>
      <c r="L532" s="40"/>
      <c r="M532"/>
      <c r="N532"/>
      <c r="O532"/>
      <c r="P532"/>
      <c r="Q532"/>
      <c r="R532"/>
      <c r="S532"/>
      <c r="T532"/>
      <c r="U532"/>
      <c r="V532"/>
      <c r="W532" s="41"/>
      <c r="X532" s="41"/>
      <c r="Y532" s="41"/>
    </row>
    <row r="533" s="27" customFormat="1" ht="23" hidden="1" customHeight="1" spans="1:25">
      <c r="A533" s="133" t="str">
        <f>IF(B533="","",COUNTA($B$5:B533))</f>
        <v/>
      </c>
      <c r="B533" s="143"/>
      <c r="C533" s="144" t="s">
        <v>49</v>
      </c>
      <c r="D533" s="145"/>
      <c r="E533" s="146"/>
      <c r="F533" s="139"/>
      <c r="G533" s="139"/>
      <c r="H533" s="142">
        <f>IFERROR(VLOOKUP($C533,$C$5:$H$18,6,0)+SUMIF($C$19:$C533,$C533,$F$19:$F533)-SUMIF($C$19:$C533,$C533,$G$19:$G533),"")</f>
        <v>81211.819999998</v>
      </c>
      <c r="I533" s="144"/>
      <c r="J533" s="144"/>
      <c r="K533" s="22" t="str">
        <f t="shared" si="8"/>
        <v/>
      </c>
      <c r="L533" s="40"/>
      <c r="M533"/>
      <c r="N533"/>
      <c r="O533"/>
      <c r="P533"/>
      <c r="Q533"/>
      <c r="R533"/>
      <c r="S533"/>
      <c r="T533"/>
      <c r="U533"/>
      <c r="V533"/>
      <c r="W533" s="41"/>
      <c r="X533" s="41"/>
      <c r="Y533" s="41"/>
    </row>
    <row r="534" s="27" customFormat="1" ht="23" hidden="1" customHeight="1" spans="1:25">
      <c r="A534" s="133" t="str">
        <f>IF(B534="","",COUNTA($B$5:B534))</f>
        <v/>
      </c>
      <c r="B534" s="143"/>
      <c r="C534" s="144" t="s">
        <v>49</v>
      </c>
      <c r="D534" s="145"/>
      <c r="E534" s="146"/>
      <c r="F534" s="139"/>
      <c r="G534" s="139"/>
      <c r="H534" s="142">
        <f>IFERROR(VLOOKUP($C534,$C$5:$H$18,6,0)+SUMIF($C$19:$C534,$C534,$F$19:$F534)-SUMIF($C$19:$C534,$C534,$G$19:$G534),"")</f>
        <v>81211.819999998</v>
      </c>
      <c r="I534" s="144"/>
      <c r="J534" s="144"/>
      <c r="K534" s="22" t="str">
        <f t="shared" si="8"/>
        <v/>
      </c>
      <c r="L534" s="40"/>
      <c r="M534"/>
      <c r="N534"/>
      <c r="O534"/>
      <c r="P534"/>
      <c r="Q534"/>
      <c r="R534"/>
      <c r="S534"/>
      <c r="T534"/>
      <c r="U534"/>
      <c r="V534"/>
      <c r="W534" s="41"/>
      <c r="X534" s="41"/>
      <c r="Y534" s="41"/>
    </row>
    <row r="535" s="27" customFormat="1" ht="23" hidden="1" customHeight="1" spans="1:25">
      <c r="A535" s="133" t="str">
        <f>IF(B535="","",COUNTA($B$5:B535))</f>
        <v/>
      </c>
      <c r="B535" s="143"/>
      <c r="C535" s="144" t="s">
        <v>49</v>
      </c>
      <c r="D535" s="145"/>
      <c r="E535" s="146"/>
      <c r="F535" s="139"/>
      <c r="G535" s="139"/>
      <c r="H535" s="142">
        <f>IFERROR(VLOOKUP($C535,$C$5:$H$18,6,0)+SUMIF($C$19:$C535,$C535,$F$19:$F535)-SUMIF($C$19:$C535,$C535,$G$19:$G535),"")</f>
        <v>81211.819999998</v>
      </c>
      <c r="I535" s="144"/>
      <c r="J535" s="144"/>
      <c r="K535" s="22" t="str">
        <f t="shared" si="8"/>
        <v/>
      </c>
      <c r="L535" s="40"/>
      <c r="M535"/>
      <c r="N535"/>
      <c r="O535"/>
      <c r="P535"/>
      <c r="Q535"/>
      <c r="R535"/>
      <c r="S535"/>
      <c r="T535"/>
      <c r="U535"/>
      <c r="V535"/>
      <c r="W535" s="41"/>
      <c r="X535" s="41"/>
      <c r="Y535" s="41"/>
    </row>
    <row r="536" s="27" customFormat="1" ht="23" hidden="1" customHeight="1" spans="1:25">
      <c r="A536" s="133" t="str">
        <f>IF(B536="","",COUNTA($B$5:B536))</f>
        <v/>
      </c>
      <c r="B536" s="143"/>
      <c r="C536" s="144" t="s">
        <v>49</v>
      </c>
      <c r="D536" s="145"/>
      <c r="E536" s="146"/>
      <c r="F536" s="139"/>
      <c r="G536" s="139"/>
      <c r="H536" s="142">
        <f>IFERROR(VLOOKUP($C536,$C$5:$H$18,6,0)+SUMIF($C$19:$C536,$C536,$F$19:$F536)-SUMIF($C$19:$C536,$C536,$G$19:$G536),"")</f>
        <v>81211.819999998</v>
      </c>
      <c r="I536" s="144"/>
      <c r="J536" s="144"/>
      <c r="K536" s="22" t="str">
        <f t="shared" si="8"/>
        <v/>
      </c>
      <c r="L536" s="40"/>
      <c r="M536"/>
      <c r="N536"/>
      <c r="O536"/>
      <c r="P536"/>
      <c r="Q536"/>
      <c r="R536"/>
      <c r="S536"/>
      <c r="T536"/>
      <c r="U536"/>
      <c r="V536"/>
      <c r="W536" s="41"/>
      <c r="X536" s="41"/>
      <c r="Y536" s="41"/>
    </row>
    <row r="537" s="27" customFormat="1" ht="23" hidden="1" customHeight="1" spans="1:25">
      <c r="A537" s="133" t="str">
        <f>IF(B537="","",COUNTA($B$5:B537))</f>
        <v/>
      </c>
      <c r="B537" s="143"/>
      <c r="C537" s="144" t="s">
        <v>49</v>
      </c>
      <c r="D537" s="145"/>
      <c r="E537" s="146"/>
      <c r="F537" s="139"/>
      <c r="G537" s="139"/>
      <c r="H537" s="142">
        <f>IFERROR(VLOOKUP($C537,$C$5:$H$18,6,0)+SUMIF($C$19:$C537,$C537,$F$19:$F537)-SUMIF($C$19:$C537,$C537,$G$19:$G537),"")</f>
        <v>81211.819999998</v>
      </c>
      <c r="I537" s="144"/>
      <c r="J537" s="144"/>
      <c r="K537" s="22" t="str">
        <f t="shared" si="8"/>
        <v/>
      </c>
      <c r="L537" s="40"/>
      <c r="M537"/>
      <c r="N537"/>
      <c r="O537"/>
      <c r="P537"/>
      <c r="Q537"/>
      <c r="R537"/>
      <c r="S537"/>
      <c r="T537"/>
      <c r="U537"/>
      <c r="V537"/>
      <c r="W537" s="41"/>
      <c r="X537" s="41"/>
      <c r="Y537" s="41"/>
    </row>
    <row r="538" s="27" customFormat="1" ht="23" hidden="1" customHeight="1" spans="1:25">
      <c r="A538" s="133" t="str">
        <f>IF(B538="","",COUNTA($B$5:B538))</f>
        <v/>
      </c>
      <c r="B538" s="143"/>
      <c r="C538" s="144" t="s">
        <v>49</v>
      </c>
      <c r="D538" s="145"/>
      <c r="E538" s="146"/>
      <c r="F538" s="139"/>
      <c r="G538" s="139"/>
      <c r="H538" s="142">
        <f>IFERROR(VLOOKUP($C538,$C$5:$H$18,6,0)+SUMIF($C$19:$C538,$C538,$F$19:$F538)-SUMIF($C$19:$C538,$C538,$G$19:$G538),"")</f>
        <v>81211.819999998</v>
      </c>
      <c r="I538" s="144"/>
      <c r="J538" s="144"/>
      <c r="K538" s="22" t="str">
        <f t="shared" si="8"/>
        <v/>
      </c>
      <c r="L538" s="40"/>
      <c r="M538"/>
      <c r="N538"/>
      <c r="O538"/>
      <c r="P538"/>
      <c r="Q538"/>
      <c r="R538"/>
      <c r="S538"/>
      <c r="T538"/>
      <c r="U538"/>
      <c r="V538"/>
      <c r="W538" s="41"/>
      <c r="X538" s="41"/>
      <c r="Y538" s="41"/>
    </row>
    <row r="539" s="27" customFormat="1" ht="23" hidden="1" customHeight="1" spans="1:25">
      <c r="A539" s="133" t="str">
        <f>IF(B539="","",COUNTA($B$5:B539))</f>
        <v/>
      </c>
      <c r="B539" s="143"/>
      <c r="C539" s="144" t="s">
        <v>49</v>
      </c>
      <c r="D539" s="145"/>
      <c r="E539" s="146"/>
      <c r="F539" s="139"/>
      <c r="G539" s="139"/>
      <c r="H539" s="142">
        <f>IFERROR(VLOOKUP($C539,$C$5:$H$18,6,0)+SUMIF($C$19:$C539,$C539,$F$19:$F539)-SUMIF($C$19:$C539,$C539,$G$19:$G539),"")</f>
        <v>81211.819999998</v>
      </c>
      <c r="I539" s="144"/>
      <c r="J539" s="144"/>
      <c r="K539" s="22" t="str">
        <f t="shared" si="8"/>
        <v/>
      </c>
      <c r="L539" s="40"/>
      <c r="M539"/>
      <c r="N539"/>
      <c r="O539"/>
      <c r="P539"/>
      <c r="Q539"/>
      <c r="R539"/>
      <c r="S539"/>
      <c r="T539"/>
      <c r="U539"/>
      <c r="V539"/>
      <c r="W539" s="41"/>
      <c r="X539" s="41"/>
      <c r="Y539" s="41"/>
    </row>
    <row r="540" s="27" customFormat="1" ht="23" hidden="1" customHeight="1" spans="1:25">
      <c r="A540" s="133" t="str">
        <f>IF(B540="","",COUNTA($B$5:B540))</f>
        <v/>
      </c>
      <c r="B540" s="143"/>
      <c r="C540" s="144" t="s">
        <v>49</v>
      </c>
      <c r="D540" s="145"/>
      <c r="E540" s="146"/>
      <c r="F540" s="139"/>
      <c r="G540" s="139"/>
      <c r="H540" s="142">
        <f>IFERROR(VLOOKUP($C540,$C$5:$H$18,6,0)+SUMIF($C$19:$C540,$C540,$F$19:$F540)-SUMIF($C$19:$C540,$C540,$G$19:$G540),"")</f>
        <v>81211.819999998</v>
      </c>
      <c r="I540" s="144"/>
      <c r="J540" s="144"/>
      <c r="K540" s="22" t="str">
        <f t="shared" si="8"/>
        <v/>
      </c>
      <c r="L540" s="40"/>
      <c r="M540"/>
      <c r="N540"/>
      <c r="O540"/>
      <c r="P540"/>
      <c r="Q540"/>
      <c r="R540"/>
      <c r="S540"/>
      <c r="T540"/>
      <c r="U540"/>
      <c r="V540"/>
      <c r="W540" s="41"/>
      <c r="X540" s="41"/>
      <c r="Y540" s="41"/>
    </row>
    <row r="541" s="27" customFormat="1" ht="23" hidden="1" customHeight="1" spans="1:25">
      <c r="A541" s="133" t="str">
        <f>IF(B541="","",COUNTA($B$5:B541))</f>
        <v/>
      </c>
      <c r="B541" s="143"/>
      <c r="C541" s="144" t="s">
        <v>49</v>
      </c>
      <c r="D541" s="145"/>
      <c r="E541" s="146"/>
      <c r="F541" s="139"/>
      <c r="G541" s="139"/>
      <c r="H541" s="142">
        <f>IFERROR(VLOOKUP($C541,$C$5:$H$18,6,0)+SUMIF($C$19:$C541,$C541,$F$19:$F541)-SUMIF($C$19:$C541,$C541,$G$19:$G541),"")</f>
        <v>81211.819999998</v>
      </c>
      <c r="I541" s="144"/>
      <c r="J541" s="144"/>
      <c r="K541" s="22" t="str">
        <f t="shared" si="8"/>
        <v/>
      </c>
      <c r="L541" s="40"/>
      <c r="M541"/>
      <c r="N541"/>
      <c r="O541"/>
      <c r="P541"/>
      <c r="Q541"/>
      <c r="R541"/>
      <c r="S541"/>
      <c r="T541"/>
      <c r="U541"/>
      <c r="V541"/>
      <c r="W541" s="41"/>
      <c r="X541" s="41"/>
      <c r="Y541" s="41"/>
    </row>
    <row r="542" s="27" customFormat="1" ht="23" hidden="1" customHeight="1" spans="1:25">
      <c r="A542" s="133" t="str">
        <f>IF(B542="","",COUNTA($B$5:B542))</f>
        <v/>
      </c>
      <c r="B542" s="143"/>
      <c r="C542" s="144" t="s">
        <v>49</v>
      </c>
      <c r="D542" s="145"/>
      <c r="E542" s="146"/>
      <c r="F542" s="139"/>
      <c r="G542" s="139"/>
      <c r="H542" s="142">
        <f>IFERROR(VLOOKUP($C542,$C$5:$H$18,6,0)+SUMIF($C$19:$C542,$C542,$F$19:$F542)-SUMIF($C$19:$C542,$C542,$G$19:$G542),"")</f>
        <v>81211.819999998</v>
      </c>
      <c r="I542" s="144"/>
      <c r="J542" s="144"/>
      <c r="K542" s="22" t="str">
        <f t="shared" si="8"/>
        <v/>
      </c>
      <c r="L542" s="40"/>
      <c r="M542"/>
      <c r="N542"/>
      <c r="O542"/>
      <c r="P542"/>
      <c r="Q542"/>
      <c r="R542"/>
      <c r="S542"/>
      <c r="T542"/>
      <c r="U542"/>
      <c r="V542"/>
      <c r="W542" s="41"/>
      <c r="X542" s="41"/>
      <c r="Y542" s="41"/>
    </row>
    <row r="543" s="27" customFormat="1" ht="23" hidden="1" customHeight="1" spans="1:25">
      <c r="A543" s="133" t="str">
        <f>IF(B543="","",COUNTA($B$5:B543))</f>
        <v/>
      </c>
      <c r="B543" s="143"/>
      <c r="C543" s="144" t="s">
        <v>49</v>
      </c>
      <c r="D543" s="145"/>
      <c r="E543" s="146"/>
      <c r="F543" s="139"/>
      <c r="G543" s="139"/>
      <c r="H543" s="142">
        <f>IFERROR(VLOOKUP($C543,$C$5:$H$18,6,0)+SUMIF($C$19:$C543,$C543,$F$19:$F543)-SUMIF($C$19:$C543,$C543,$G$19:$G543),"")</f>
        <v>81211.819999998</v>
      </c>
      <c r="I543" s="144"/>
      <c r="J543" s="144"/>
      <c r="K543" s="22" t="str">
        <f t="shared" si="8"/>
        <v/>
      </c>
      <c r="L543" s="40"/>
      <c r="M543"/>
      <c r="N543"/>
      <c r="O543"/>
      <c r="P543"/>
      <c r="Q543"/>
      <c r="R543"/>
      <c r="S543"/>
      <c r="T543"/>
      <c r="U543"/>
      <c r="V543"/>
      <c r="W543" s="41"/>
      <c r="X543" s="41"/>
      <c r="Y543" s="41"/>
    </row>
    <row r="544" s="27" customFormat="1" ht="23" hidden="1" customHeight="1" spans="1:25">
      <c r="A544" s="133" t="str">
        <f>IF(B544="","",COUNTA($B$5:B544))</f>
        <v/>
      </c>
      <c r="B544" s="143"/>
      <c r="C544" s="144" t="s">
        <v>49</v>
      </c>
      <c r="D544" s="145"/>
      <c r="E544" s="146"/>
      <c r="F544" s="139"/>
      <c r="G544" s="139"/>
      <c r="H544" s="142">
        <f>IFERROR(VLOOKUP($C544,$C$5:$H$18,6,0)+SUMIF($C$19:$C544,$C544,$F$19:$F544)-SUMIF($C$19:$C544,$C544,$G$19:$G544),"")</f>
        <v>81211.819999998</v>
      </c>
      <c r="I544" s="144"/>
      <c r="J544" s="144"/>
      <c r="K544" s="22" t="str">
        <f t="shared" si="8"/>
        <v/>
      </c>
      <c r="L544" s="40"/>
      <c r="M544"/>
      <c r="N544"/>
      <c r="O544"/>
      <c r="P544"/>
      <c r="Q544"/>
      <c r="R544"/>
      <c r="S544"/>
      <c r="T544"/>
      <c r="U544"/>
      <c r="V544"/>
      <c r="W544" s="41"/>
      <c r="X544" s="41"/>
      <c r="Y544" s="41"/>
    </row>
    <row r="545" s="27" customFormat="1" ht="23" hidden="1" customHeight="1" spans="1:25">
      <c r="A545" s="133" t="str">
        <f>IF(B545="","",COUNTA($B$5:B545))</f>
        <v/>
      </c>
      <c r="B545" s="143"/>
      <c r="C545" s="144" t="s">
        <v>49</v>
      </c>
      <c r="D545" s="145"/>
      <c r="E545" s="146"/>
      <c r="F545" s="139"/>
      <c r="G545" s="139"/>
      <c r="H545" s="142">
        <f>IFERROR(VLOOKUP($C545,$C$5:$H$18,6,0)+SUMIF($C$19:$C545,$C545,$F$19:$F545)-SUMIF($C$19:$C545,$C545,$G$19:$G545),"")</f>
        <v>81211.819999998</v>
      </c>
      <c r="I545" s="144"/>
      <c r="J545" s="144"/>
      <c r="K545" s="22" t="str">
        <f t="shared" si="8"/>
        <v/>
      </c>
      <c r="L545" s="40"/>
      <c r="M545"/>
      <c r="N545"/>
      <c r="O545"/>
      <c r="P545"/>
      <c r="Q545"/>
      <c r="R545"/>
      <c r="S545"/>
      <c r="T545"/>
      <c r="U545"/>
      <c r="V545"/>
      <c r="W545" s="41"/>
      <c r="X545" s="41"/>
      <c r="Y545" s="41"/>
    </row>
    <row r="546" s="27" customFormat="1" ht="23" hidden="1" customHeight="1" spans="1:25">
      <c r="A546" s="133" t="str">
        <f>IF(B546="","",COUNTA($B$5:B546))</f>
        <v/>
      </c>
      <c r="B546" s="143"/>
      <c r="C546" s="144" t="s">
        <v>49</v>
      </c>
      <c r="D546" s="145"/>
      <c r="E546" s="146"/>
      <c r="F546" s="139"/>
      <c r="G546" s="139"/>
      <c r="H546" s="142">
        <f>IFERROR(VLOOKUP($C546,$C$5:$H$18,6,0)+SUMIF($C$19:$C546,$C546,$F$19:$F546)-SUMIF($C$19:$C546,$C546,$G$19:$G546),"")</f>
        <v>81211.819999998</v>
      </c>
      <c r="I546" s="144"/>
      <c r="J546" s="144"/>
      <c r="K546" s="22" t="str">
        <f t="shared" si="8"/>
        <v/>
      </c>
      <c r="L546" s="40"/>
      <c r="M546"/>
      <c r="N546"/>
      <c r="O546"/>
      <c r="P546"/>
      <c r="Q546"/>
      <c r="R546"/>
      <c r="S546"/>
      <c r="T546"/>
      <c r="U546"/>
      <c r="V546"/>
      <c r="W546" s="41"/>
      <c r="X546" s="41"/>
      <c r="Y546" s="41"/>
    </row>
    <row r="547" s="27" customFormat="1" ht="23" hidden="1" customHeight="1" spans="1:25">
      <c r="A547" s="133" t="str">
        <f>IF(B547="","",COUNTA($B$5:B547))</f>
        <v/>
      </c>
      <c r="B547" s="143"/>
      <c r="C547" s="144" t="s">
        <v>49</v>
      </c>
      <c r="D547" s="145"/>
      <c r="E547" s="146"/>
      <c r="F547" s="139"/>
      <c r="G547" s="139"/>
      <c r="H547" s="142">
        <f>IFERROR(VLOOKUP($C547,$C$5:$H$18,6,0)+SUMIF($C$19:$C547,$C547,$F$19:$F547)-SUMIF($C$19:$C547,$C547,$G$19:$G547),"")</f>
        <v>81211.819999998</v>
      </c>
      <c r="I547" s="144"/>
      <c r="J547" s="144"/>
      <c r="K547" s="22" t="str">
        <f t="shared" si="8"/>
        <v/>
      </c>
      <c r="L547" s="40"/>
      <c r="M547"/>
      <c r="N547"/>
      <c r="O547"/>
      <c r="P547"/>
      <c r="Q547"/>
      <c r="R547"/>
      <c r="S547"/>
      <c r="T547"/>
      <c r="U547"/>
      <c r="V547"/>
      <c r="W547" s="41"/>
      <c r="X547" s="41"/>
      <c r="Y547" s="41"/>
    </row>
    <row r="548" s="27" customFormat="1" ht="23" hidden="1" customHeight="1" spans="1:25">
      <c r="A548" s="133" t="str">
        <f>IF(B548="","",COUNTA($B$5:B548))</f>
        <v/>
      </c>
      <c r="B548" s="143"/>
      <c r="C548" s="144" t="s">
        <v>49</v>
      </c>
      <c r="D548" s="145"/>
      <c r="E548" s="146"/>
      <c r="F548" s="139"/>
      <c r="G548" s="139"/>
      <c r="H548" s="142">
        <f>IFERROR(VLOOKUP($C548,$C$5:$H$18,6,0)+SUMIF($C$19:$C548,$C548,$F$19:$F548)-SUMIF($C$19:$C548,$C548,$G$19:$G548),"")</f>
        <v>81211.819999998</v>
      </c>
      <c r="I548" s="144"/>
      <c r="J548" s="144"/>
      <c r="K548" s="22" t="str">
        <f t="shared" si="8"/>
        <v/>
      </c>
      <c r="L548" s="40"/>
      <c r="M548"/>
      <c r="N548"/>
      <c r="O548"/>
      <c r="P548"/>
      <c r="Q548"/>
      <c r="R548"/>
      <c r="S548"/>
      <c r="T548"/>
      <c r="U548"/>
      <c r="V548"/>
      <c r="W548" s="41"/>
      <c r="X548" s="41"/>
      <c r="Y548" s="41"/>
    </row>
    <row r="549" s="27" customFormat="1" ht="23" hidden="1" customHeight="1" spans="1:25">
      <c r="A549" s="133" t="str">
        <f>IF(B549="","",COUNTA($B$5:B549))</f>
        <v/>
      </c>
      <c r="B549" s="143"/>
      <c r="C549" s="144" t="s">
        <v>49</v>
      </c>
      <c r="D549" s="145"/>
      <c r="E549" s="146"/>
      <c r="F549" s="139"/>
      <c r="G549" s="139"/>
      <c r="H549" s="142">
        <f>IFERROR(VLOOKUP($C549,$C$5:$H$18,6,0)+SUMIF($C$19:$C549,$C549,$F$19:$F549)-SUMIF($C$19:$C549,$C549,$G$19:$G549),"")</f>
        <v>81211.819999998</v>
      </c>
      <c r="I549" s="144"/>
      <c r="J549" s="144"/>
      <c r="K549" s="22" t="str">
        <f t="shared" si="8"/>
        <v/>
      </c>
      <c r="L549" s="40"/>
      <c r="M549"/>
      <c r="N549"/>
      <c r="O549"/>
      <c r="P549"/>
      <c r="Q549"/>
      <c r="R549"/>
      <c r="S549"/>
      <c r="T549"/>
      <c r="U549"/>
      <c r="V549"/>
      <c r="W549" s="41"/>
      <c r="X549" s="41"/>
      <c r="Y549" s="41"/>
    </row>
    <row r="550" s="27" customFormat="1" ht="23" hidden="1" customHeight="1" spans="1:25">
      <c r="A550" s="133" t="str">
        <f>IF(B550="","",COUNTA($B$5:B550))</f>
        <v/>
      </c>
      <c r="B550" s="143"/>
      <c r="C550" s="144" t="s">
        <v>49</v>
      </c>
      <c r="D550" s="145"/>
      <c r="E550" s="146"/>
      <c r="F550" s="139"/>
      <c r="G550" s="139"/>
      <c r="H550" s="142">
        <f>IFERROR(VLOOKUP($C550,$C$5:$H$18,6,0)+SUMIF($C$19:$C550,$C550,$F$19:$F550)-SUMIF($C$19:$C550,$C550,$G$19:$G550),"")</f>
        <v>81211.819999998</v>
      </c>
      <c r="I550" s="144"/>
      <c r="J550" s="144"/>
      <c r="K550" s="22" t="str">
        <f t="shared" si="8"/>
        <v/>
      </c>
      <c r="L550" s="40"/>
      <c r="M550"/>
      <c r="N550"/>
      <c r="O550"/>
      <c r="P550"/>
      <c r="Q550"/>
      <c r="R550"/>
      <c r="S550"/>
      <c r="T550"/>
      <c r="U550"/>
      <c r="V550"/>
      <c r="W550" s="41"/>
      <c r="X550" s="41"/>
      <c r="Y550" s="41"/>
    </row>
    <row r="551" s="27" customFormat="1" ht="23" hidden="1" customHeight="1" spans="1:25">
      <c r="A551" s="133" t="str">
        <f>IF(B551="","",COUNTA($B$5:B551))</f>
        <v/>
      </c>
      <c r="B551" s="143"/>
      <c r="C551" s="144" t="s">
        <v>49</v>
      </c>
      <c r="D551" s="145"/>
      <c r="E551" s="146"/>
      <c r="F551" s="139"/>
      <c r="G551" s="139"/>
      <c r="H551" s="142">
        <f>IFERROR(VLOOKUP($C551,$C$5:$H$18,6,0)+SUMIF($C$19:$C551,$C551,$F$19:$F551)-SUMIF($C$19:$C551,$C551,$G$19:$G551),"")</f>
        <v>81211.819999998</v>
      </c>
      <c r="I551" s="144"/>
      <c r="J551" s="144"/>
      <c r="K551" s="22" t="str">
        <f t="shared" si="8"/>
        <v/>
      </c>
      <c r="L551" s="40"/>
      <c r="M551"/>
      <c r="N551"/>
      <c r="O551"/>
      <c r="P551"/>
      <c r="Q551"/>
      <c r="R551"/>
      <c r="S551"/>
      <c r="T551"/>
      <c r="U551"/>
      <c r="V551"/>
      <c r="W551" s="41"/>
      <c r="X551" s="41"/>
      <c r="Y551" s="41"/>
    </row>
    <row r="552" s="27" customFormat="1" ht="23" hidden="1" customHeight="1" spans="1:25">
      <c r="A552" s="133" t="str">
        <f>IF(B552="","",COUNTA($B$5:B552))</f>
        <v/>
      </c>
      <c r="B552" s="143"/>
      <c r="C552" s="144" t="s">
        <v>49</v>
      </c>
      <c r="D552" s="145"/>
      <c r="E552" s="146"/>
      <c r="F552" s="139"/>
      <c r="G552" s="139"/>
      <c r="H552" s="142">
        <f>IFERROR(VLOOKUP($C552,$C$5:$H$18,6,0)+SUMIF($C$19:$C552,$C552,$F$19:$F552)-SUMIF($C$19:$C552,$C552,$G$19:$G552),"")</f>
        <v>81211.819999998</v>
      </c>
      <c r="I552" s="144"/>
      <c r="J552" s="144"/>
      <c r="K552" s="22" t="str">
        <f t="shared" si="8"/>
        <v/>
      </c>
      <c r="L552" s="40"/>
      <c r="M552"/>
      <c r="N552"/>
      <c r="O552"/>
      <c r="P552"/>
      <c r="Q552"/>
      <c r="R552"/>
      <c r="S552"/>
      <c r="T552"/>
      <c r="U552"/>
      <c r="V552"/>
      <c r="W552" s="41"/>
      <c r="X552" s="41"/>
      <c r="Y552" s="41"/>
    </row>
    <row r="553" s="27" customFormat="1" ht="23" hidden="1" customHeight="1" spans="1:25">
      <c r="A553" s="133" t="str">
        <f>IF(B553="","",COUNTA($B$5:B553))</f>
        <v/>
      </c>
      <c r="B553" s="143"/>
      <c r="C553" s="144" t="s">
        <v>49</v>
      </c>
      <c r="D553" s="145"/>
      <c r="E553" s="146"/>
      <c r="F553" s="139"/>
      <c r="G553" s="139"/>
      <c r="H553" s="142">
        <f>IFERROR(VLOOKUP($C553,$C$5:$H$18,6,0)+SUMIF($C$19:$C553,$C553,$F$19:$F553)-SUMIF($C$19:$C553,$C553,$G$19:$G553),"")</f>
        <v>81211.819999998</v>
      </c>
      <c r="I553" s="144"/>
      <c r="J553" s="144"/>
      <c r="K553" s="22" t="str">
        <f t="shared" si="8"/>
        <v/>
      </c>
      <c r="L553" s="40"/>
      <c r="M553"/>
      <c r="N553"/>
      <c r="O553"/>
      <c r="P553"/>
      <c r="Q553"/>
      <c r="R553"/>
      <c r="S553"/>
      <c r="T553"/>
      <c r="U553"/>
      <c r="V553"/>
      <c r="W553" s="41"/>
      <c r="X553" s="41"/>
      <c r="Y553" s="41"/>
    </row>
    <row r="554" s="27" customFormat="1" ht="23" hidden="1" customHeight="1" spans="1:25">
      <c r="A554" s="133" t="str">
        <f>IF(B554="","",COUNTA($B$5:B554))</f>
        <v/>
      </c>
      <c r="B554" s="143"/>
      <c r="C554" s="144" t="s">
        <v>49</v>
      </c>
      <c r="D554" s="145"/>
      <c r="E554" s="146"/>
      <c r="F554" s="139"/>
      <c r="G554" s="139"/>
      <c r="H554" s="142">
        <f>IFERROR(VLOOKUP($C554,$C$5:$H$18,6,0)+SUMIF($C$19:$C554,$C554,$F$19:$F554)-SUMIF($C$19:$C554,$C554,$G$19:$G554),"")</f>
        <v>81211.819999998</v>
      </c>
      <c r="I554" s="144"/>
      <c r="J554" s="144"/>
      <c r="K554" s="22" t="str">
        <f t="shared" si="8"/>
        <v/>
      </c>
      <c r="L554" s="40"/>
      <c r="M554"/>
      <c r="N554"/>
      <c r="O554"/>
      <c r="P554"/>
      <c r="Q554"/>
      <c r="R554"/>
      <c r="S554"/>
      <c r="T554"/>
      <c r="U554"/>
      <c r="V554"/>
      <c r="W554" s="41"/>
      <c r="X554" s="41"/>
      <c r="Y554" s="41"/>
    </row>
    <row r="555" s="27" customFormat="1" ht="23" hidden="1" customHeight="1" spans="1:25">
      <c r="A555" s="133" t="str">
        <f>IF(B555="","",COUNTA($B$5:B555))</f>
        <v/>
      </c>
      <c r="B555" s="143"/>
      <c r="C555" s="144" t="s">
        <v>49</v>
      </c>
      <c r="D555" s="145"/>
      <c r="E555" s="146"/>
      <c r="F555" s="139"/>
      <c r="G555" s="139"/>
      <c r="H555" s="142">
        <f>IFERROR(VLOOKUP($C555,$C$5:$H$18,6,0)+SUMIF($C$19:$C555,$C555,$F$19:$F555)-SUMIF($C$19:$C555,$C555,$G$19:$G555),"")</f>
        <v>81211.819999998</v>
      </c>
      <c r="I555" s="144"/>
      <c r="J555" s="144"/>
      <c r="K555" s="22" t="str">
        <f t="shared" si="8"/>
        <v/>
      </c>
      <c r="L555" s="40"/>
      <c r="M555"/>
      <c r="N555"/>
      <c r="O555"/>
      <c r="P555"/>
      <c r="Q555"/>
      <c r="R555"/>
      <c r="S555"/>
      <c r="T555"/>
      <c r="U555"/>
      <c r="V555"/>
      <c r="W555" s="41"/>
      <c r="X555" s="41"/>
      <c r="Y555" s="41"/>
    </row>
    <row r="556" s="27" customFormat="1" ht="23" hidden="1" customHeight="1" spans="1:25">
      <c r="A556" s="133" t="str">
        <f>IF(B556="","",COUNTA($B$5:B556))</f>
        <v/>
      </c>
      <c r="B556" s="143"/>
      <c r="C556" s="144" t="s">
        <v>49</v>
      </c>
      <c r="D556" s="145"/>
      <c r="E556" s="146"/>
      <c r="F556" s="139"/>
      <c r="G556" s="139"/>
      <c r="H556" s="142">
        <f>IFERROR(VLOOKUP($C556,$C$5:$H$18,6,0)+SUMIF($C$19:$C556,$C556,$F$19:$F556)-SUMIF($C$19:$C556,$C556,$G$19:$G556),"")</f>
        <v>81211.819999998</v>
      </c>
      <c r="I556" s="144"/>
      <c r="J556" s="144"/>
      <c r="K556" s="22" t="str">
        <f t="shared" si="8"/>
        <v/>
      </c>
      <c r="L556" s="40"/>
      <c r="M556"/>
      <c r="N556"/>
      <c r="O556"/>
      <c r="P556"/>
      <c r="Q556"/>
      <c r="R556"/>
      <c r="S556"/>
      <c r="T556"/>
      <c r="U556"/>
      <c r="V556"/>
      <c r="W556" s="41"/>
      <c r="X556" s="41"/>
      <c r="Y556" s="41"/>
    </row>
    <row r="557" s="27" customFormat="1" ht="23" hidden="1" customHeight="1" spans="1:25">
      <c r="A557" s="133" t="str">
        <f>IF(B557="","",COUNTA($B$5:B557))</f>
        <v/>
      </c>
      <c r="B557" s="143"/>
      <c r="C557" s="144" t="s">
        <v>49</v>
      </c>
      <c r="D557" s="145"/>
      <c r="E557" s="146"/>
      <c r="F557" s="139"/>
      <c r="G557" s="139"/>
      <c r="H557" s="142">
        <f>IFERROR(VLOOKUP($C557,$C$5:$H$18,6,0)+SUMIF($C$19:$C557,$C557,$F$19:$F557)-SUMIF($C$19:$C557,$C557,$G$19:$G557),"")</f>
        <v>81211.819999998</v>
      </c>
      <c r="I557" s="144"/>
      <c r="J557" s="144"/>
      <c r="K557" s="22" t="str">
        <f t="shared" si="8"/>
        <v/>
      </c>
      <c r="L557" s="40"/>
      <c r="M557"/>
      <c r="N557"/>
      <c r="O557"/>
      <c r="P557"/>
      <c r="Q557"/>
      <c r="R557"/>
      <c r="S557"/>
      <c r="T557"/>
      <c r="U557"/>
      <c r="V557"/>
      <c r="W557" s="41"/>
      <c r="X557" s="41"/>
      <c r="Y557" s="41"/>
    </row>
    <row r="558" s="27" customFormat="1" ht="23" hidden="1" customHeight="1" spans="1:25">
      <c r="A558" s="133" t="str">
        <f>IF(B558="","",COUNTA($B$5:B558))</f>
        <v/>
      </c>
      <c r="B558" s="143"/>
      <c r="C558" s="144" t="s">
        <v>49</v>
      </c>
      <c r="D558" s="145"/>
      <c r="E558" s="146"/>
      <c r="F558" s="139"/>
      <c r="G558" s="139"/>
      <c r="H558" s="142">
        <f>IFERROR(VLOOKUP($C558,$C$5:$H$18,6,0)+SUMIF($C$19:$C558,$C558,$F$19:$F558)-SUMIF($C$19:$C558,$C558,$G$19:$G558),"")</f>
        <v>81211.819999998</v>
      </c>
      <c r="I558" s="144"/>
      <c r="J558" s="144"/>
      <c r="K558" s="22" t="str">
        <f t="shared" si="8"/>
        <v/>
      </c>
      <c r="L558" s="40"/>
      <c r="M558"/>
      <c r="N558"/>
      <c r="O558"/>
      <c r="P558"/>
      <c r="Q558"/>
      <c r="R558"/>
      <c r="S558"/>
      <c r="T558"/>
      <c r="U558"/>
      <c r="V558"/>
      <c r="W558" s="41"/>
      <c r="X558" s="41"/>
      <c r="Y558" s="41"/>
    </row>
    <row r="559" s="27" customFormat="1" ht="23" hidden="1" customHeight="1" spans="1:25">
      <c r="A559" s="133" t="str">
        <f>IF(B559="","",COUNTA($B$5:B559))</f>
        <v/>
      </c>
      <c r="B559" s="143"/>
      <c r="C559" s="144" t="s">
        <v>49</v>
      </c>
      <c r="D559" s="145"/>
      <c r="E559" s="146"/>
      <c r="F559" s="139"/>
      <c r="G559" s="139"/>
      <c r="H559" s="142">
        <f>IFERROR(VLOOKUP($C559,$C$5:$H$18,6,0)+SUMIF($C$19:$C559,$C559,$F$19:$F559)-SUMIF($C$19:$C559,$C559,$G$19:$G559),"")</f>
        <v>81211.819999998</v>
      </c>
      <c r="I559" s="144"/>
      <c r="J559" s="144"/>
      <c r="K559" s="22" t="str">
        <f t="shared" si="8"/>
        <v/>
      </c>
      <c r="L559" s="40"/>
      <c r="M559"/>
      <c r="N559"/>
      <c r="O559"/>
      <c r="P559"/>
      <c r="Q559"/>
      <c r="R559"/>
      <c r="S559"/>
      <c r="T559"/>
      <c r="U559"/>
      <c r="V559"/>
      <c r="W559" s="41"/>
      <c r="X559" s="41"/>
      <c r="Y559" s="41"/>
    </row>
    <row r="560" s="27" customFormat="1" ht="23" hidden="1" customHeight="1" spans="1:25">
      <c r="A560" s="133" t="str">
        <f>IF(B560="","",COUNTA($B$5:B560))</f>
        <v/>
      </c>
      <c r="B560" s="143"/>
      <c r="C560" s="144" t="s">
        <v>49</v>
      </c>
      <c r="D560" s="145"/>
      <c r="E560" s="146"/>
      <c r="F560" s="139"/>
      <c r="G560" s="139"/>
      <c r="H560" s="142">
        <f>IFERROR(VLOOKUP($C560,$C$5:$H$18,6,0)+SUMIF($C$19:$C560,$C560,$F$19:$F560)-SUMIF($C$19:$C560,$C560,$G$19:$G560),"")</f>
        <v>81211.819999998</v>
      </c>
      <c r="I560" s="144"/>
      <c r="J560" s="144"/>
      <c r="K560" s="22" t="str">
        <f t="shared" si="8"/>
        <v/>
      </c>
      <c r="L560" s="40"/>
      <c r="M560"/>
      <c r="N560"/>
      <c r="O560"/>
      <c r="P560"/>
      <c r="Q560"/>
      <c r="R560"/>
      <c r="S560"/>
      <c r="T560"/>
      <c r="U560"/>
      <c r="V560"/>
      <c r="W560" s="41"/>
      <c r="X560" s="41"/>
      <c r="Y560" s="41"/>
    </row>
    <row r="561" s="27" customFormat="1" ht="23" hidden="1" customHeight="1" spans="1:25">
      <c r="A561" s="133" t="str">
        <f>IF(B561="","",COUNTA($B$5:B561))</f>
        <v/>
      </c>
      <c r="B561" s="143"/>
      <c r="C561" s="144" t="s">
        <v>49</v>
      </c>
      <c r="D561" s="145"/>
      <c r="E561" s="146"/>
      <c r="F561" s="139"/>
      <c r="G561" s="139"/>
      <c r="H561" s="142">
        <f>IFERROR(VLOOKUP($C561,$C$5:$H$18,6,0)+SUMIF($C$19:$C561,$C561,$F$19:$F561)-SUMIF($C$19:$C561,$C561,$G$19:$G561),"")</f>
        <v>81211.819999998</v>
      </c>
      <c r="I561" s="144"/>
      <c r="J561" s="144"/>
      <c r="K561" s="22" t="str">
        <f t="shared" si="8"/>
        <v/>
      </c>
      <c r="L561" s="40"/>
      <c r="M561"/>
      <c r="N561"/>
      <c r="O561"/>
      <c r="P561"/>
      <c r="Q561"/>
      <c r="R561"/>
      <c r="S561"/>
      <c r="T561"/>
      <c r="U561"/>
      <c r="V561"/>
      <c r="W561" s="41"/>
      <c r="X561" s="41"/>
      <c r="Y561" s="41"/>
    </row>
    <row r="562" s="27" customFormat="1" ht="23" hidden="1" customHeight="1" spans="1:25">
      <c r="A562" s="133" t="str">
        <f>IF(B562="","",COUNTA($B$5:B562))</f>
        <v/>
      </c>
      <c r="B562" s="143"/>
      <c r="C562" s="144" t="s">
        <v>49</v>
      </c>
      <c r="D562" s="145"/>
      <c r="E562" s="146"/>
      <c r="F562" s="139"/>
      <c r="G562" s="139"/>
      <c r="H562" s="142">
        <f>IFERROR(VLOOKUP($C562,$C$5:$H$18,6,0)+SUMIF($C$19:$C562,$C562,$F$19:$F562)-SUMIF($C$19:$C562,$C562,$G$19:$G562),"")</f>
        <v>81211.819999998</v>
      </c>
      <c r="I562" s="144"/>
      <c r="J562" s="144"/>
      <c r="K562" s="22" t="str">
        <f t="shared" si="8"/>
        <v/>
      </c>
      <c r="L562" s="40"/>
      <c r="M562"/>
      <c r="N562"/>
      <c r="O562"/>
      <c r="P562"/>
      <c r="Q562"/>
      <c r="R562"/>
      <c r="S562"/>
      <c r="T562"/>
      <c r="U562"/>
      <c r="V562"/>
      <c r="W562" s="41"/>
      <c r="X562" s="41"/>
      <c r="Y562" s="41"/>
    </row>
    <row r="563" s="27" customFormat="1" ht="23" hidden="1" customHeight="1" spans="1:25">
      <c r="A563" s="133" t="str">
        <f>IF(B563="","",COUNTA($B$5:B563))</f>
        <v/>
      </c>
      <c r="B563" s="143"/>
      <c r="C563" s="144" t="s">
        <v>49</v>
      </c>
      <c r="D563" s="145"/>
      <c r="E563" s="146"/>
      <c r="F563" s="139"/>
      <c r="G563" s="139"/>
      <c r="H563" s="142">
        <f>IFERROR(VLOOKUP($C563,$C$5:$H$18,6,0)+SUMIF($C$19:$C563,$C563,$F$19:$F563)-SUMIF($C$19:$C563,$C563,$G$19:$G563),"")</f>
        <v>81211.819999998</v>
      </c>
      <c r="I563" s="144"/>
      <c r="J563" s="144"/>
      <c r="K563" s="22" t="str">
        <f t="shared" si="8"/>
        <v/>
      </c>
      <c r="L563" s="40"/>
      <c r="M563"/>
      <c r="N563"/>
      <c r="O563"/>
      <c r="P563"/>
      <c r="Q563"/>
      <c r="R563"/>
      <c r="S563"/>
      <c r="T563"/>
      <c r="U563"/>
      <c r="V563"/>
      <c r="W563" s="41"/>
      <c r="X563" s="41"/>
      <c r="Y563" s="41"/>
    </row>
    <row r="564" s="27" customFormat="1" ht="23" hidden="1" customHeight="1" spans="1:25">
      <c r="A564" s="133" t="str">
        <f>IF(B564="","",COUNTA($B$5:B564))</f>
        <v/>
      </c>
      <c r="B564" s="143"/>
      <c r="C564" s="144" t="s">
        <v>49</v>
      </c>
      <c r="D564" s="145"/>
      <c r="E564" s="146"/>
      <c r="F564" s="139"/>
      <c r="G564" s="139"/>
      <c r="H564" s="142">
        <f>IFERROR(VLOOKUP($C564,$C$5:$H$18,6,0)+SUMIF($C$19:$C564,$C564,$F$19:$F564)-SUMIF($C$19:$C564,$C564,$G$19:$G564),"")</f>
        <v>81211.819999998</v>
      </c>
      <c r="I564" s="144"/>
      <c r="J564" s="144"/>
      <c r="K564" s="22" t="str">
        <f t="shared" si="8"/>
        <v/>
      </c>
      <c r="L564" s="40"/>
      <c r="M564"/>
      <c r="N564"/>
      <c r="O564"/>
      <c r="P564"/>
      <c r="Q564"/>
      <c r="R564"/>
      <c r="S564"/>
      <c r="T564"/>
      <c r="U564"/>
      <c r="V564"/>
      <c r="W564" s="41"/>
      <c r="X564" s="41"/>
      <c r="Y564" s="41"/>
    </row>
    <row r="565" s="27" customFormat="1" ht="23" hidden="1" customHeight="1" spans="1:25">
      <c r="A565" s="133" t="str">
        <f>IF(B565="","",COUNTA($B$5:B565))</f>
        <v/>
      </c>
      <c r="B565" s="143"/>
      <c r="C565" s="144" t="s">
        <v>49</v>
      </c>
      <c r="D565" s="145"/>
      <c r="E565" s="146"/>
      <c r="F565" s="139"/>
      <c r="G565" s="139"/>
      <c r="H565" s="142">
        <f>IFERROR(VLOOKUP($C565,$C$5:$H$18,6,0)+SUMIF($C$19:$C565,$C565,$F$19:$F565)-SUMIF($C$19:$C565,$C565,$G$19:$G565),"")</f>
        <v>81211.819999998</v>
      </c>
      <c r="I565" s="144"/>
      <c r="J565" s="144"/>
      <c r="K565" s="22" t="str">
        <f t="shared" si="8"/>
        <v/>
      </c>
      <c r="L565" s="40"/>
      <c r="M565"/>
      <c r="N565"/>
      <c r="O565"/>
      <c r="P565"/>
      <c r="Q565"/>
      <c r="R565"/>
      <c r="S565"/>
      <c r="T565"/>
      <c r="U565"/>
      <c r="V565"/>
      <c r="W565" s="41"/>
      <c r="X565" s="41"/>
      <c r="Y565" s="41"/>
    </row>
    <row r="566" s="27" customFormat="1" ht="23" hidden="1" customHeight="1" spans="1:25">
      <c r="A566" s="133" t="str">
        <f>IF(B566="","",COUNTA($B$5:B566))</f>
        <v/>
      </c>
      <c r="B566" s="143"/>
      <c r="C566" s="144" t="s">
        <v>49</v>
      </c>
      <c r="D566" s="145"/>
      <c r="E566" s="146"/>
      <c r="F566" s="139"/>
      <c r="G566" s="139"/>
      <c r="H566" s="142">
        <f>IFERROR(VLOOKUP($C566,$C$5:$H$18,6,0)+SUMIF($C$19:$C566,$C566,$F$19:$F566)-SUMIF($C$19:$C566,$C566,$G$19:$G566),"")</f>
        <v>81211.819999998</v>
      </c>
      <c r="I566" s="144"/>
      <c r="J566" s="144"/>
      <c r="K566" s="22" t="str">
        <f t="shared" si="8"/>
        <v/>
      </c>
      <c r="L566" s="40"/>
      <c r="M566"/>
      <c r="N566"/>
      <c r="O566"/>
      <c r="P566"/>
      <c r="Q566"/>
      <c r="R566"/>
      <c r="S566"/>
      <c r="T566"/>
      <c r="U566"/>
      <c r="V566"/>
      <c r="W566" s="41"/>
      <c r="X566" s="41"/>
      <c r="Y566" s="41"/>
    </row>
    <row r="567" s="27" customFormat="1" ht="23" hidden="1" customHeight="1" spans="1:25">
      <c r="A567" s="133" t="str">
        <f>IF(B567="","",COUNTA($B$5:B567))</f>
        <v/>
      </c>
      <c r="B567" s="143"/>
      <c r="C567" s="144" t="s">
        <v>49</v>
      </c>
      <c r="D567" s="145"/>
      <c r="E567" s="146"/>
      <c r="F567" s="139"/>
      <c r="G567" s="139"/>
      <c r="H567" s="142">
        <f>IFERROR(VLOOKUP($C567,$C$5:$H$18,6,0)+SUMIF($C$19:$C567,$C567,$F$19:$F567)-SUMIF($C$19:$C567,$C567,$G$19:$G567),"")</f>
        <v>81211.819999998</v>
      </c>
      <c r="I567" s="144"/>
      <c r="J567" s="144"/>
      <c r="K567" s="22" t="str">
        <f t="shared" si="8"/>
        <v/>
      </c>
      <c r="L567" s="40"/>
      <c r="M567"/>
      <c r="N567"/>
      <c r="O567"/>
      <c r="P567"/>
      <c r="Q567"/>
      <c r="R567"/>
      <c r="S567"/>
      <c r="T567"/>
      <c r="U567"/>
      <c r="V567"/>
      <c r="W567" s="41"/>
      <c r="X567" s="41"/>
      <c r="Y567" s="41"/>
    </row>
    <row r="568" s="27" customFormat="1" ht="23" hidden="1" customHeight="1" spans="1:25">
      <c r="A568" s="133" t="str">
        <f>IF(B568="","",COUNTA($B$5:B568))</f>
        <v/>
      </c>
      <c r="B568" s="143"/>
      <c r="C568" s="144" t="s">
        <v>49</v>
      </c>
      <c r="D568" s="145"/>
      <c r="E568" s="146"/>
      <c r="F568" s="139"/>
      <c r="G568" s="139"/>
      <c r="H568" s="142">
        <f>IFERROR(VLOOKUP($C568,$C$5:$H$18,6,0)+SUMIF($C$19:$C568,$C568,$F$19:$F568)-SUMIF($C$19:$C568,$C568,$G$19:$G568),"")</f>
        <v>81211.819999998</v>
      </c>
      <c r="I568" s="144"/>
      <c r="J568" s="144"/>
      <c r="K568" s="22" t="str">
        <f t="shared" si="8"/>
        <v/>
      </c>
      <c r="L568" s="40"/>
      <c r="M568"/>
      <c r="N568"/>
      <c r="O568"/>
      <c r="P568"/>
      <c r="Q568"/>
      <c r="R568"/>
      <c r="S568"/>
      <c r="T568"/>
      <c r="U568"/>
      <c r="V568"/>
      <c r="W568" s="41"/>
      <c r="X568" s="41"/>
      <c r="Y568" s="41"/>
    </row>
    <row r="569" s="27" customFormat="1" ht="23" hidden="1" customHeight="1" spans="1:25">
      <c r="A569" s="133" t="str">
        <f>IF(B569="","",COUNTA($B$5:B569))</f>
        <v/>
      </c>
      <c r="B569" s="143"/>
      <c r="C569" s="144" t="s">
        <v>49</v>
      </c>
      <c r="D569" s="145"/>
      <c r="E569" s="146"/>
      <c r="F569" s="139"/>
      <c r="G569" s="139"/>
      <c r="H569" s="142">
        <f>IFERROR(VLOOKUP($C569,$C$5:$H$18,6,0)+SUMIF($C$19:$C569,$C569,$F$19:$F569)-SUMIF($C$19:$C569,$C569,$G$19:$G569),"")</f>
        <v>81211.819999998</v>
      </c>
      <c r="I569" s="144"/>
      <c r="J569" s="144"/>
      <c r="K569" s="22" t="str">
        <f t="shared" si="8"/>
        <v/>
      </c>
      <c r="L569" s="40"/>
      <c r="M569"/>
      <c r="N569"/>
      <c r="O569"/>
      <c r="P569"/>
      <c r="Q569"/>
      <c r="R569"/>
      <c r="S569"/>
      <c r="T569"/>
      <c r="U569"/>
      <c r="V569"/>
      <c r="W569" s="41"/>
      <c r="X569" s="41"/>
      <c r="Y569" s="41"/>
    </row>
    <row r="570" s="27" customFormat="1" ht="23" hidden="1" customHeight="1" spans="1:25">
      <c r="A570" s="133" t="str">
        <f>IF(B570="","",COUNTA($B$5:B570))</f>
        <v/>
      </c>
      <c r="B570" s="143"/>
      <c r="C570" s="144" t="s">
        <v>49</v>
      </c>
      <c r="D570" s="145"/>
      <c r="E570" s="146"/>
      <c r="F570" s="139"/>
      <c r="G570" s="139"/>
      <c r="H570" s="142">
        <f>IFERROR(VLOOKUP($C570,$C$5:$H$18,6,0)+SUMIF($C$19:$C570,$C570,$F$19:$F570)-SUMIF($C$19:$C570,$C570,$G$19:$G570),"")</f>
        <v>81211.819999998</v>
      </c>
      <c r="I570" s="144"/>
      <c r="J570" s="144"/>
      <c r="K570" s="22" t="str">
        <f t="shared" si="8"/>
        <v/>
      </c>
      <c r="L570" s="40"/>
      <c r="M570"/>
      <c r="N570"/>
      <c r="O570"/>
      <c r="P570"/>
      <c r="Q570"/>
      <c r="R570"/>
      <c r="S570"/>
      <c r="T570"/>
      <c r="U570"/>
      <c r="V570"/>
      <c r="W570" s="41"/>
      <c r="X570" s="41"/>
      <c r="Y570" s="41"/>
    </row>
    <row r="571" s="27" customFormat="1" ht="23" hidden="1" customHeight="1" spans="1:25">
      <c r="A571" s="133" t="str">
        <f>IF(B571="","",COUNTA($B$5:B571))</f>
        <v/>
      </c>
      <c r="B571" s="143"/>
      <c r="C571" s="144" t="s">
        <v>49</v>
      </c>
      <c r="D571" s="145"/>
      <c r="E571" s="146"/>
      <c r="F571" s="139"/>
      <c r="G571" s="139"/>
      <c r="H571" s="142">
        <f>IFERROR(VLOOKUP($C571,$C$5:$H$18,6,0)+SUMIF($C$19:$C571,$C571,$F$19:$F571)-SUMIF($C$19:$C571,$C571,$G$19:$G571),"")</f>
        <v>81211.819999998</v>
      </c>
      <c r="I571" s="144"/>
      <c r="J571" s="144"/>
      <c r="K571" s="22" t="str">
        <f t="shared" si="8"/>
        <v/>
      </c>
      <c r="L571" s="40"/>
      <c r="M571"/>
      <c r="N571"/>
      <c r="O571"/>
      <c r="P571"/>
      <c r="Q571"/>
      <c r="R571"/>
      <c r="S571"/>
      <c r="T571"/>
      <c r="U571"/>
      <c r="V571"/>
      <c r="W571" s="41"/>
      <c r="X571" s="41"/>
      <c r="Y571" s="41"/>
    </row>
    <row r="572" s="27" customFormat="1" ht="23" hidden="1" customHeight="1" spans="1:25">
      <c r="A572" s="133" t="str">
        <f>IF(B572="","",COUNTA($B$5:B572))</f>
        <v/>
      </c>
      <c r="B572" s="143"/>
      <c r="C572" s="144" t="s">
        <v>49</v>
      </c>
      <c r="D572" s="145"/>
      <c r="E572" s="146"/>
      <c r="F572" s="139"/>
      <c r="G572" s="139"/>
      <c r="H572" s="142">
        <f>IFERROR(VLOOKUP($C572,$C$5:$H$18,6,0)+SUMIF($C$19:$C572,$C572,$F$19:$F572)-SUMIF($C$19:$C572,$C572,$G$19:$G572),"")</f>
        <v>81211.819999998</v>
      </c>
      <c r="I572" s="144"/>
      <c r="J572" s="144"/>
      <c r="K572" s="22" t="str">
        <f t="shared" si="8"/>
        <v/>
      </c>
      <c r="L572" s="40"/>
      <c r="M572"/>
      <c r="N572"/>
      <c r="O572"/>
      <c r="P572"/>
      <c r="Q572"/>
      <c r="R572"/>
      <c r="S572"/>
      <c r="T572"/>
      <c r="U572"/>
      <c r="V572"/>
      <c r="W572" s="41"/>
      <c r="X572" s="41"/>
      <c r="Y572" s="41"/>
    </row>
    <row r="573" s="27" customFormat="1" ht="23" hidden="1" customHeight="1" spans="1:25">
      <c r="A573" s="133" t="str">
        <f>IF(B573="","",COUNTA($B$5:B573))</f>
        <v/>
      </c>
      <c r="B573" s="143"/>
      <c r="C573" s="144" t="s">
        <v>49</v>
      </c>
      <c r="D573" s="145"/>
      <c r="E573" s="146"/>
      <c r="F573" s="139"/>
      <c r="G573" s="139"/>
      <c r="H573" s="142">
        <f>IFERROR(VLOOKUP($C573,$C$5:$H$18,6,0)+SUMIF($C$19:$C573,$C573,$F$19:$F573)-SUMIF($C$19:$C573,$C573,$G$19:$G573),"")</f>
        <v>81211.819999998</v>
      </c>
      <c r="I573" s="144"/>
      <c r="J573" s="144"/>
      <c r="K573" s="22" t="str">
        <f t="shared" si="8"/>
        <v/>
      </c>
      <c r="L573" s="40"/>
      <c r="M573"/>
      <c r="N573"/>
      <c r="O573"/>
      <c r="P573"/>
      <c r="Q573"/>
      <c r="R573"/>
      <c r="S573"/>
      <c r="T573"/>
      <c r="U573"/>
      <c r="V573"/>
      <c r="W573" s="41"/>
      <c r="X573" s="41"/>
      <c r="Y573" s="41"/>
    </row>
    <row r="574" s="27" customFormat="1" ht="23" hidden="1" customHeight="1" spans="1:25">
      <c r="A574" s="133" t="str">
        <f>IF(B574="","",COUNTA($B$5:B574))</f>
        <v/>
      </c>
      <c r="B574" s="143"/>
      <c r="C574" s="144" t="s">
        <v>49</v>
      </c>
      <c r="D574" s="145"/>
      <c r="E574" s="146"/>
      <c r="F574" s="139"/>
      <c r="G574" s="139"/>
      <c r="H574" s="142">
        <f>IFERROR(VLOOKUP($C574,$C$5:$H$18,6,0)+SUMIF($C$19:$C574,$C574,$F$19:$F574)-SUMIF($C$19:$C574,$C574,$G$19:$G574),"")</f>
        <v>81211.819999998</v>
      </c>
      <c r="I574" s="144"/>
      <c r="J574" s="144"/>
      <c r="K574" s="22" t="str">
        <f t="shared" si="8"/>
        <v/>
      </c>
      <c r="L574" s="40"/>
      <c r="M574"/>
      <c r="N574"/>
      <c r="O574"/>
      <c r="P574"/>
      <c r="Q574"/>
      <c r="R574"/>
      <c r="S574"/>
      <c r="T574"/>
      <c r="U574"/>
      <c r="V574"/>
      <c r="W574" s="41"/>
      <c r="X574" s="41"/>
      <c r="Y574" s="41"/>
    </row>
    <row r="575" s="27" customFormat="1" ht="23" hidden="1" customHeight="1" spans="1:25">
      <c r="A575" s="133" t="str">
        <f>IF(B575="","",COUNTA($B$5:B575))</f>
        <v/>
      </c>
      <c r="B575" s="143"/>
      <c r="C575" s="144" t="s">
        <v>49</v>
      </c>
      <c r="D575" s="145"/>
      <c r="E575" s="146"/>
      <c r="F575" s="139"/>
      <c r="G575" s="139"/>
      <c r="H575" s="142">
        <f>IFERROR(VLOOKUP($C575,$C$5:$H$18,6,0)+SUMIF($C$19:$C575,$C575,$F$19:$F575)-SUMIF($C$19:$C575,$C575,$G$19:$G575),"")</f>
        <v>81211.819999998</v>
      </c>
      <c r="I575" s="144"/>
      <c r="J575" s="144"/>
      <c r="K575" s="22" t="str">
        <f t="shared" si="8"/>
        <v/>
      </c>
      <c r="L575" s="40"/>
      <c r="M575"/>
      <c r="N575"/>
      <c r="O575"/>
      <c r="P575"/>
      <c r="Q575"/>
      <c r="R575"/>
      <c r="S575"/>
      <c r="T575"/>
      <c r="U575"/>
      <c r="V575"/>
      <c r="W575" s="41"/>
      <c r="X575" s="41"/>
      <c r="Y575" s="41"/>
    </row>
    <row r="576" s="27" customFormat="1" ht="23" hidden="1" customHeight="1" spans="1:25">
      <c r="A576" s="133" t="str">
        <f>IF(B576="","",COUNTA($B$5:B576))</f>
        <v/>
      </c>
      <c r="B576" s="143"/>
      <c r="C576" s="144" t="s">
        <v>49</v>
      </c>
      <c r="D576" s="145"/>
      <c r="E576" s="146"/>
      <c r="F576" s="139"/>
      <c r="G576" s="139"/>
      <c r="H576" s="142">
        <f>IFERROR(VLOOKUP($C576,$C$5:$H$18,6,0)+SUMIF($C$19:$C576,$C576,$F$19:$F576)-SUMIF($C$19:$C576,$C576,$G$19:$G576),"")</f>
        <v>81211.819999998</v>
      </c>
      <c r="I576" s="22"/>
      <c r="J576" s="22"/>
      <c r="K576" s="22" t="str">
        <f t="shared" si="8"/>
        <v/>
      </c>
      <c r="L576" s="40"/>
      <c r="M576"/>
      <c r="N576"/>
      <c r="O576"/>
      <c r="P576"/>
      <c r="Q576"/>
      <c r="R576"/>
      <c r="S576"/>
      <c r="T576"/>
      <c r="U576"/>
      <c r="V576"/>
      <c r="W576" s="41"/>
      <c r="X576" s="41"/>
      <c r="Y576" s="41"/>
    </row>
    <row r="577" s="27" customFormat="1" ht="23" hidden="1" customHeight="1" spans="1:25">
      <c r="A577" s="133" t="str">
        <f>IF(B577="","",COUNTA($B$5:B577))</f>
        <v/>
      </c>
      <c r="B577" s="143"/>
      <c r="C577" s="144" t="s">
        <v>49</v>
      </c>
      <c r="D577" s="145"/>
      <c r="E577" s="146"/>
      <c r="F577" s="139"/>
      <c r="G577" s="139"/>
      <c r="H577" s="142">
        <f>IFERROR(VLOOKUP($C577,$C$5:$H$18,6,0)+SUMIF($C$19:$C577,$C577,$F$19:$F577)-SUMIF($C$19:$C577,$C577,$G$19:$G577),"")</f>
        <v>81211.819999998</v>
      </c>
      <c r="I577" s="22"/>
      <c r="J577" s="22"/>
      <c r="K577" s="22" t="str">
        <f t="shared" si="8"/>
        <v/>
      </c>
      <c r="L577" s="40"/>
      <c r="M577"/>
      <c r="N577"/>
      <c r="O577"/>
      <c r="P577"/>
      <c r="Q577"/>
      <c r="R577"/>
      <c r="S577"/>
      <c r="T577"/>
      <c r="U577"/>
      <c r="V577"/>
      <c r="W577" s="41"/>
      <c r="X577" s="41"/>
      <c r="Y577" s="41"/>
    </row>
    <row r="578" s="27" customFormat="1" ht="23" hidden="1" customHeight="1" spans="1:25">
      <c r="A578" s="133" t="str">
        <f>IF(B578="","",COUNTA($B$5:B578))</f>
        <v/>
      </c>
      <c r="B578" s="143"/>
      <c r="C578" s="144" t="s">
        <v>49</v>
      </c>
      <c r="D578" s="145"/>
      <c r="E578" s="146"/>
      <c r="F578" s="139"/>
      <c r="G578" s="139"/>
      <c r="H578" s="142">
        <f>IFERROR(VLOOKUP($C578,$C$5:$H$18,6,0)+SUMIF($C$19:$C578,$C578,$F$19:$F578)-SUMIF($C$19:$C578,$C578,$G$19:$G578),"")</f>
        <v>81211.819999998</v>
      </c>
      <c r="I578" s="22"/>
      <c r="J578" s="22"/>
      <c r="K578" s="22" t="str">
        <f t="shared" si="8"/>
        <v/>
      </c>
      <c r="L578" s="40"/>
      <c r="M578"/>
      <c r="N578"/>
      <c r="O578"/>
      <c r="P578"/>
      <c r="Q578"/>
      <c r="R578"/>
      <c r="S578"/>
      <c r="T578"/>
      <c r="U578"/>
      <c r="V578"/>
      <c r="W578" s="41"/>
      <c r="X578" s="41"/>
      <c r="Y578" s="41"/>
    </row>
    <row r="579" s="27" customFormat="1" ht="23" hidden="1" customHeight="1" spans="1:25">
      <c r="A579" s="133" t="str">
        <f>IF(B579="","",COUNTA($B$5:B579))</f>
        <v/>
      </c>
      <c r="B579" s="143"/>
      <c r="C579" s="144" t="s">
        <v>49</v>
      </c>
      <c r="D579" s="145"/>
      <c r="E579" s="146"/>
      <c r="F579" s="139"/>
      <c r="G579" s="139"/>
      <c r="H579" s="142">
        <f>IFERROR(VLOOKUP($C579,$C$5:$H$18,6,0)+SUMIF($C$19:$C579,$C579,$F$19:$F579)-SUMIF($C$19:$C579,$C579,$G$19:$G579),"")</f>
        <v>81211.819999998</v>
      </c>
      <c r="I579" s="22"/>
      <c r="J579" s="22"/>
      <c r="K579" s="22" t="str">
        <f t="shared" si="8"/>
        <v/>
      </c>
      <c r="L579" s="40"/>
      <c r="M579"/>
      <c r="N579"/>
      <c r="O579"/>
      <c r="P579"/>
      <c r="Q579"/>
      <c r="R579"/>
      <c r="S579"/>
      <c r="T579"/>
      <c r="U579"/>
      <c r="V579"/>
      <c r="W579" s="41"/>
      <c r="X579" s="41"/>
      <c r="Y579" s="41"/>
    </row>
    <row r="580" s="27" customFormat="1" ht="23" hidden="1" customHeight="1" spans="1:25">
      <c r="A580" s="133" t="str">
        <f>IF(B580="","",COUNTA($B$5:B580))</f>
        <v/>
      </c>
      <c r="B580" s="143"/>
      <c r="C580" s="144" t="s">
        <v>49</v>
      </c>
      <c r="D580" s="145"/>
      <c r="E580" s="146"/>
      <c r="F580" s="139"/>
      <c r="G580" s="139"/>
      <c r="H580" s="142">
        <f>IFERROR(VLOOKUP($C580,$C$5:$H$18,6,0)+SUMIF($C$19:$C580,$C580,$F$19:$F580)-SUMIF($C$19:$C580,$C580,$G$19:$G580),"")</f>
        <v>81211.819999998</v>
      </c>
      <c r="I580" s="22"/>
      <c r="J580" s="22"/>
      <c r="K580" s="22" t="str">
        <f t="shared" si="8"/>
        <v/>
      </c>
      <c r="L580" s="40"/>
      <c r="M580"/>
      <c r="N580"/>
      <c r="O580"/>
      <c r="P580"/>
      <c r="Q580"/>
      <c r="R580"/>
      <c r="S580"/>
      <c r="T580"/>
      <c r="U580"/>
      <c r="V580"/>
      <c r="W580" s="41"/>
      <c r="X580" s="41"/>
      <c r="Y580" s="41"/>
    </row>
    <row r="581" s="27" customFormat="1" ht="23" hidden="1" customHeight="1" spans="1:25">
      <c r="A581" s="133" t="str">
        <f>IF(B581="","",COUNTA($B$5:B581))</f>
        <v/>
      </c>
      <c r="B581" s="143"/>
      <c r="C581" s="144" t="s">
        <v>49</v>
      </c>
      <c r="D581" s="145"/>
      <c r="E581" s="146"/>
      <c r="F581" s="139"/>
      <c r="G581" s="139"/>
      <c r="H581" s="142">
        <f>IFERROR(VLOOKUP($C581,$C$5:$H$18,6,0)+SUMIF($C$19:$C581,$C581,$F$19:$F581)-SUMIF($C$19:$C581,$C581,$G$19:$G581),"")</f>
        <v>81211.819999998</v>
      </c>
      <c r="I581" s="22"/>
      <c r="J581" s="22"/>
      <c r="K581" s="22" t="str">
        <f t="shared" ref="K581:K644" si="9">IF($B581="","",--TEXT($B581,"yyyymm"))</f>
        <v/>
      </c>
      <c r="L581" s="40"/>
      <c r="M581"/>
      <c r="N581"/>
      <c r="O581"/>
      <c r="P581"/>
      <c r="Q581"/>
      <c r="R581"/>
      <c r="S581"/>
      <c r="T581"/>
      <c r="U581"/>
      <c r="V581"/>
      <c r="W581" s="41"/>
      <c r="X581" s="41"/>
      <c r="Y581" s="41"/>
    </row>
    <row r="582" s="27" customFormat="1" ht="23" hidden="1" customHeight="1" spans="1:25">
      <c r="A582" s="133" t="str">
        <f>IF(B582="","",COUNTA($B$5:B582))</f>
        <v/>
      </c>
      <c r="B582" s="143"/>
      <c r="C582" s="144" t="s">
        <v>49</v>
      </c>
      <c r="D582" s="145"/>
      <c r="E582" s="146"/>
      <c r="F582" s="139"/>
      <c r="G582" s="139"/>
      <c r="H582" s="142">
        <f>IFERROR(VLOOKUP($C582,$C$5:$H$18,6,0)+SUMIF($C$19:$C582,$C582,$F$19:$F582)-SUMIF($C$19:$C582,$C582,$G$19:$G582),"")</f>
        <v>81211.819999998</v>
      </c>
      <c r="I582" s="22"/>
      <c r="J582" s="22"/>
      <c r="K582" s="22" t="str">
        <f t="shared" si="9"/>
        <v/>
      </c>
      <c r="L582" s="40"/>
      <c r="M582"/>
      <c r="N582"/>
      <c r="O582"/>
      <c r="P582"/>
      <c r="Q582"/>
      <c r="R582"/>
      <c r="S582"/>
      <c r="T582"/>
      <c r="U582"/>
      <c r="V582"/>
      <c r="W582" s="41"/>
      <c r="X582" s="41"/>
      <c r="Y582" s="41"/>
    </row>
    <row r="583" s="27" customFormat="1" ht="23" hidden="1" customHeight="1" spans="1:25">
      <c r="A583" s="133" t="str">
        <f>IF(B583="","",COUNTA($B$5:B583))</f>
        <v/>
      </c>
      <c r="B583" s="143"/>
      <c r="C583" s="144" t="s">
        <v>49</v>
      </c>
      <c r="D583" s="145"/>
      <c r="E583" s="146"/>
      <c r="F583" s="139"/>
      <c r="G583" s="139"/>
      <c r="H583" s="142">
        <f>IFERROR(VLOOKUP($C583,$C$5:$H$18,6,0)+SUMIF($C$19:$C583,$C583,$F$19:$F583)-SUMIF($C$19:$C583,$C583,$G$19:$G583),"")</f>
        <v>81211.819999998</v>
      </c>
      <c r="I583" s="22"/>
      <c r="J583" s="22"/>
      <c r="K583" s="22" t="str">
        <f t="shared" si="9"/>
        <v/>
      </c>
      <c r="L583" s="40"/>
      <c r="M583"/>
      <c r="N583"/>
      <c r="O583"/>
      <c r="P583"/>
      <c r="Q583"/>
      <c r="R583"/>
      <c r="S583"/>
      <c r="T583"/>
      <c r="U583"/>
      <c r="V583"/>
      <c r="W583" s="41"/>
      <c r="X583" s="41"/>
      <c r="Y583" s="41"/>
    </row>
    <row r="584" s="27" customFormat="1" ht="23" hidden="1" customHeight="1" spans="1:25">
      <c r="A584" s="133" t="str">
        <f>IF(B584="","",COUNTA($B$5:B584))</f>
        <v/>
      </c>
      <c r="B584" s="143"/>
      <c r="C584" s="144" t="s">
        <v>49</v>
      </c>
      <c r="D584" s="145"/>
      <c r="E584" s="146"/>
      <c r="F584" s="139"/>
      <c r="G584" s="139"/>
      <c r="H584" s="142">
        <f>IFERROR(VLOOKUP($C584,$C$5:$H$18,6,0)+SUMIF($C$19:$C584,$C584,$F$19:$F584)-SUMIF($C$19:$C584,$C584,$G$19:$G584),"")</f>
        <v>81211.819999998</v>
      </c>
      <c r="I584" s="22"/>
      <c r="J584" s="22"/>
      <c r="K584" s="22" t="str">
        <f t="shared" si="9"/>
        <v/>
      </c>
      <c r="L584" s="40"/>
      <c r="M584"/>
      <c r="N584"/>
      <c r="O584"/>
      <c r="P584"/>
      <c r="Q584"/>
      <c r="R584"/>
      <c r="S584"/>
      <c r="T584"/>
      <c r="U584"/>
      <c r="V584"/>
      <c r="W584" s="41"/>
      <c r="X584" s="41"/>
      <c r="Y584" s="41"/>
    </row>
    <row r="585" s="27" customFormat="1" ht="23" hidden="1" customHeight="1" spans="1:25">
      <c r="A585" s="133" t="str">
        <f>IF(B585="","",COUNTA($B$5:B585))</f>
        <v/>
      </c>
      <c r="B585" s="143"/>
      <c r="C585" s="144" t="s">
        <v>49</v>
      </c>
      <c r="D585" s="145"/>
      <c r="E585" s="146"/>
      <c r="F585" s="139"/>
      <c r="G585" s="139"/>
      <c r="H585" s="142">
        <f>IFERROR(VLOOKUP($C585,$C$5:$H$18,6,0)+SUMIF($C$19:$C585,$C585,$F$19:$F585)-SUMIF($C$19:$C585,$C585,$G$19:$G585),"")</f>
        <v>81211.819999998</v>
      </c>
      <c r="I585" s="22"/>
      <c r="J585" s="22"/>
      <c r="K585" s="22" t="str">
        <f t="shared" si="9"/>
        <v/>
      </c>
      <c r="L585" s="40"/>
      <c r="M585"/>
      <c r="N585"/>
      <c r="O585"/>
      <c r="P585"/>
      <c r="Q585"/>
      <c r="R585"/>
      <c r="S585"/>
      <c r="T585"/>
      <c r="U585"/>
      <c r="V585"/>
      <c r="W585" s="41"/>
      <c r="X585" s="41"/>
      <c r="Y585" s="41"/>
    </row>
    <row r="586" s="27" customFormat="1" ht="23" hidden="1" customHeight="1" spans="1:25">
      <c r="A586" s="133" t="str">
        <f>IF(B586="","",COUNTA($B$5:B586))</f>
        <v/>
      </c>
      <c r="B586" s="143"/>
      <c r="C586" s="144" t="s">
        <v>49</v>
      </c>
      <c r="D586" s="145"/>
      <c r="E586" s="146"/>
      <c r="F586" s="139"/>
      <c r="G586" s="139"/>
      <c r="H586" s="142">
        <f>IFERROR(VLOOKUP($C586,$C$5:$H$18,6,0)+SUMIF($C$19:$C586,$C586,$F$19:$F586)-SUMIF($C$19:$C586,$C586,$G$19:$G586),"")</f>
        <v>81211.819999998</v>
      </c>
      <c r="I586" s="22"/>
      <c r="J586" s="22"/>
      <c r="K586" s="22" t="str">
        <f t="shared" si="9"/>
        <v/>
      </c>
      <c r="L586" s="40"/>
      <c r="M586"/>
      <c r="N586"/>
      <c r="O586"/>
      <c r="P586"/>
      <c r="Q586"/>
      <c r="R586"/>
      <c r="S586"/>
      <c r="T586"/>
      <c r="U586"/>
      <c r="V586"/>
      <c r="W586" s="41"/>
      <c r="X586" s="41"/>
      <c r="Y586" s="41"/>
    </row>
    <row r="587" s="27" customFormat="1" ht="23" hidden="1" customHeight="1" spans="1:25">
      <c r="A587" s="133" t="str">
        <f>IF(B587="","",COUNTA($B$5:B587))</f>
        <v/>
      </c>
      <c r="B587" s="143"/>
      <c r="C587" s="144" t="s">
        <v>49</v>
      </c>
      <c r="D587" s="145"/>
      <c r="E587" s="146"/>
      <c r="F587" s="139"/>
      <c r="G587" s="139"/>
      <c r="H587" s="142">
        <f>IFERROR(VLOOKUP($C587,$C$5:$H$18,6,0)+SUMIF($C$19:$C587,$C587,$F$19:$F587)-SUMIF($C$19:$C587,$C587,$G$19:$G587),"")</f>
        <v>81211.819999998</v>
      </c>
      <c r="I587" s="22"/>
      <c r="J587" s="22"/>
      <c r="K587" s="22" t="str">
        <f t="shared" si="9"/>
        <v/>
      </c>
      <c r="L587" s="40"/>
      <c r="M587"/>
      <c r="N587"/>
      <c r="O587"/>
      <c r="P587"/>
      <c r="Q587"/>
      <c r="R587"/>
      <c r="S587"/>
      <c r="T587"/>
      <c r="U587"/>
      <c r="V587"/>
      <c r="W587" s="41"/>
      <c r="X587" s="41"/>
      <c r="Y587" s="41"/>
    </row>
    <row r="588" s="27" customFormat="1" ht="23" hidden="1" customHeight="1" spans="1:25">
      <c r="A588" s="133" t="str">
        <f>IF(B588="","",COUNTA($B$5:B588))</f>
        <v/>
      </c>
      <c r="B588" s="143"/>
      <c r="C588" s="144" t="s">
        <v>49</v>
      </c>
      <c r="D588" s="145"/>
      <c r="E588" s="146"/>
      <c r="F588" s="139"/>
      <c r="G588" s="139"/>
      <c r="H588" s="142">
        <f>IFERROR(VLOOKUP($C588,$C$5:$H$18,6,0)+SUMIF($C$19:$C588,$C588,$F$19:$F588)-SUMIF($C$19:$C588,$C588,$G$19:$G588),"")</f>
        <v>81211.819999998</v>
      </c>
      <c r="I588" s="22"/>
      <c r="J588" s="22"/>
      <c r="K588" s="22" t="str">
        <f t="shared" si="9"/>
        <v/>
      </c>
      <c r="L588" s="40"/>
      <c r="M588"/>
      <c r="N588"/>
      <c r="O588"/>
      <c r="P588"/>
      <c r="Q588"/>
      <c r="R588"/>
      <c r="S588"/>
      <c r="T588"/>
      <c r="U588"/>
      <c r="V588"/>
      <c r="W588" s="41"/>
      <c r="X588" s="41"/>
      <c r="Y588" s="41"/>
    </row>
    <row r="589" s="27" customFormat="1" ht="23" hidden="1" customHeight="1" spans="1:25">
      <c r="A589" s="133" t="str">
        <f>IF(B589="","",COUNTA($B$5:B589))</f>
        <v/>
      </c>
      <c r="B589" s="143"/>
      <c r="C589" s="144" t="s">
        <v>49</v>
      </c>
      <c r="D589" s="145"/>
      <c r="E589" s="146"/>
      <c r="F589" s="139"/>
      <c r="G589" s="139"/>
      <c r="H589" s="142">
        <f>IFERROR(VLOOKUP($C589,$C$5:$H$18,6,0)+SUMIF($C$19:$C589,$C589,$F$19:$F589)-SUMIF($C$19:$C589,$C589,$G$19:$G589),"")</f>
        <v>81211.819999998</v>
      </c>
      <c r="I589" s="22"/>
      <c r="J589" s="22"/>
      <c r="K589" s="22" t="str">
        <f t="shared" si="9"/>
        <v/>
      </c>
      <c r="L589" s="40"/>
      <c r="M589"/>
      <c r="N589"/>
      <c r="O589"/>
      <c r="P589"/>
      <c r="Q589"/>
      <c r="R589"/>
      <c r="S589"/>
      <c r="T589"/>
      <c r="U589"/>
      <c r="V589"/>
      <c r="W589" s="41"/>
      <c r="X589" s="41"/>
      <c r="Y589" s="41"/>
    </row>
    <row r="590" s="27" customFormat="1" ht="23" hidden="1" customHeight="1" spans="1:25">
      <c r="A590" s="133" t="str">
        <f>IF(B590="","",COUNTA($B$5:B590))</f>
        <v/>
      </c>
      <c r="B590" s="143"/>
      <c r="C590" s="144" t="s">
        <v>49</v>
      </c>
      <c r="D590" s="145"/>
      <c r="E590" s="146"/>
      <c r="F590" s="139"/>
      <c r="G590" s="139"/>
      <c r="H590" s="142">
        <f>IFERROR(VLOOKUP($C590,$C$5:$H$18,6,0)+SUMIF($C$19:$C590,$C590,$F$19:$F590)-SUMIF($C$19:$C590,$C590,$G$19:$G590),"")</f>
        <v>81211.819999998</v>
      </c>
      <c r="I590" s="22"/>
      <c r="J590" s="22"/>
      <c r="K590" s="22" t="str">
        <f t="shared" si="9"/>
        <v/>
      </c>
      <c r="L590" s="40"/>
      <c r="M590"/>
      <c r="N590"/>
      <c r="O590"/>
      <c r="P590"/>
      <c r="Q590"/>
      <c r="R590"/>
      <c r="S590"/>
      <c r="T590"/>
      <c r="U590"/>
      <c r="V590"/>
      <c r="W590" s="41"/>
      <c r="X590" s="41"/>
      <c r="Y590" s="41"/>
    </row>
    <row r="591" s="27" customFormat="1" ht="23" hidden="1" customHeight="1" spans="1:25">
      <c r="A591" s="133" t="str">
        <f>IF(B591="","",COUNTA($B$5:B591))</f>
        <v/>
      </c>
      <c r="B591" s="143"/>
      <c r="C591" s="144" t="s">
        <v>49</v>
      </c>
      <c r="D591" s="145"/>
      <c r="E591" s="146"/>
      <c r="F591" s="139"/>
      <c r="G591" s="139"/>
      <c r="H591" s="142">
        <f>IFERROR(VLOOKUP($C591,$C$5:$H$18,6,0)+SUMIF($C$19:$C591,$C591,$F$19:$F591)-SUMIF($C$19:$C591,$C591,$G$19:$G591),"")</f>
        <v>81211.819999998</v>
      </c>
      <c r="I591" s="22"/>
      <c r="J591" s="22"/>
      <c r="K591" s="22" t="str">
        <f t="shared" si="9"/>
        <v/>
      </c>
      <c r="L591" s="40"/>
      <c r="M591"/>
      <c r="N591"/>
      <c r="O591"/>
      <c r="P591"/>
      <c r="Q591"/>
      <c r="R591"/>
      <c r="S591"/>
      <c r="T591"/>
      <c r="U591"/>
      <c r="V591"/>
      <c r="W591" s="41"/>
      <c r="X591" s="41"/>
      <c r="Y591" s="41"/>
    </row>
    <row r="592" s="27" customFormat="1" ht="23" hidden="1" customHeight="1" spans="1:25">
      <c r="A592" s="133" t="str">
        <f>IF(B592="","",COUNTA($B$5:B592))</f>
        <v/>
      </c>
      <c r="B592" s="143"/>
      <c r="C592" s="144" t="s">
        <v>49</v>
      </c>
      <c r="D592" s="145"/>
      <c r="E592" s="146"/>
      <c r="F592" s="139"/>
      <c r="G592" s="139"/>
      <c r="H592" s="142">
        <f>IFERROR(VLOOKUP($C592,$C$5:$H$18,6,0)+SUMIF($C$19:$C592,$C592,$F$19:$F592)-SUMIF($C$19:$C592,$C592,$G$19:$G592),"")</f>
        <v>81211.819999998</v>
      </c>
      <c r="I592" s="22"/>
      <c r="J592" s="22"/>
      <c r="K592" s="22" t="str">
        <f t="shared" si="9"/>
        <v/>
      </c>
      <c r="L592" s="40"/>
      <c r="M592"/>
      <c r="N592"/>
      <c r="O592"/>
      <c r="P592"/>
      <c r="Q592"/>
      <c r="R592"/>
      <c r="S592"/>
      <c r="T592"/>
      <c r="U592"/>
      <c r="V592"/>
      <c r="W592" s="41"/>
      <c r="X592" s="41"/>
      <c r="Y592" s="41"/>
    </row>
    <row r="593" s="27" customFormat="1" ht="23" hidden="1" customHeight="1" spans="1:25">
      <c r="A593" s="133" t="str">
        <f>IF(B593="","",COUNTA($B$5:B593))</f>
        <v/>
      </c>
      <c r="B593" s="143"/>
      <c r="C593" s="144" t="s">
        <v>49</v>
      </c>
      <c r="D593" s="145"/>
      <c r="E593" s="146"/>
      <c r="F593" s="139"/>
      <c r="G593" s="139"/>
      <c r="H593" s="142">
        <f>IFERROR(VLOOKUP($C593,$C$5:$H$18,6,0)+SUMIF($C$19:$C593,$C593,$F$19:$F593)-SUMIF($C$19:$C593,$C593,$G$19:$G593),"")</f>
        <v>81211.819999998</v>
      </c>
      <c r="I593" s="22"/>
      <c r="J593" s="22"/>
      <c r="K593" s="22" t="str">
        <f t="shared" si="9"/>
        <v/>
      </c>
      <c r="L593" s="40"/>
      <c r="M593"/>
      <c r="N593"/>
      <c r="O593"/>
      <c r="P593"/>
      <c r="Q593"/>
      <c r="R593"/>
      <c r="S593"/>
      <c r="T593"/>
      <c r="U593"/>
      <c r="V593"/>
      <c r="W593" s="41"/>
      <c r="X593" s="41"/>
      <c r="Y593" s="41"/>
    </row>
    <row r="594" s="27" customFormat="1" ht="23" hidden="1" customHeight="1" spans="1:25">
      <c r="A594" s="133" t="str">
        <f>IF(B594="","",COUNTA($B$5:B594))</f>
        <v/>
      </c>
      <c r="B594" s="143"/>
      <c r="C594" s="144" t="s">
        <v>49</v>
      </c>
      <c r="D594" s="145"/>
      <c r="E594" s="146"/>
      <c r="F594" s="139"/>
      <c r="G594" s="139"/>
      <c r="H594" s="142">
        <f>IFERROR(VLOOKUP($C594,$C$5:$H$18,6,0)+SUMIF($C$19:$C594,$C594,$F$19:$F594)-SUMIF($C$19:$C594,$C594,$G$19:$G594),"")</f>
        <v>81211.819999998</v>
      </c>
      <c r="I594" s="22"/>
      <c r="J594" s="22"/>
      <c r="K594" s="22" t="str">
        <f t="shared" si="9"/>
        <v/>
      </c>
      <c r="L594" s="40"/>
      <c r="M594"/>
      <c r="N594"/>
      <c r="O594"/>
      <c r="P594"/>
      <c r="Q594"/>
      <c r="R594"/>
      <c r="S594"/>
      <c r="T594"/>
      <c r="U594"/>
      <c r="V594"/>
      <c r="W594" s="41"/>
      <c r="X594" s="41"/>
      <c r="Y594" s="41"/>
    </row>
    <row r="595" s="27" customFormat="1" ht="23" hidden="1" customHeight="1" spans="1:25">
      <c r="A595" s="133" t="str">
        <f>IF(B595="","",COUNTA($B$5:B595))</f>
        <v/>
      </c>
      <c r="B595" s="143"/>
      <c r="C595" s="144" t="s">
        <v>49</v>
      </c>
      <c r="D595" s="145"/>
      <c r="E595" s="146"/>
      <c r="F595" s="139"/>
      <c r="G595" s="139"/>
      <c r="H595" s="142">
        <f>IFERROR(VLOOKUP($C595,$C$5:$H$18,6,0)+SUMIF($C$19:$C595,$C595,$F$19:$F595)-SUMIF($C$19:$C595,$C595,$G$19:$G595),"")</f>
        <v>81211.819999998</v>
      </c>
      <c r="I595" s="22"/>
      <c r="J595" s="22"/>
      <c r="K595" s="22" t="str">
        <f t="shared" si="9"/>
        <v/>
      </c>
      <c r="L595" s="40"/>
      <c r="M595"/>
      <c r="N595"/>
      <c r="O595"/>
      <c r="P595"/>
      <c r="Q595"/>
      <c r="R595"/>
      <c r="S595"/>
      <c r="T595"/>
      <c r="U595"/>
      <c r="V595"/>
      <c r="W595" s="41"/>
      <c r="X595" s="41"/>
      <c r="Y595" s="41"/>
    </row>
    <row r="596" s="27" customFormat="1" ht="23" hidden="1" customHeight="1" spans="1:25">
      <c r="A596" s="133" t="str">
        <f>IF(B596="","",COUNTA($B$5:B596))</f>
        <v/>
      </c>
      <c r="B596" s="143"/>
      <c r="C596" s="144" t="s">
        <v>49</v>
      </c>
      <c r="D596" s="145"/>
      <c r="E596" s="146"/>
      <c r="F596" s="139"/>
      <c r="G596" s="139"/>
      <c r="H596" s="142">
        <f>IFERROR(VLOOKUP($C596,$C$5:$H$18,6,0)+SUMIF($C$19:$C596,$C596,$F$19:$F596)-SUMIF($C$19:$C596,$C596,$G$19:$G596),"")</f>
        <v>81211.819999998</v>
      </c>
      <c r="I596" s="22"/>
      <c r="J596" s="22"/>
      <c r="K596" s="22" t="str">
        <f t="shared" si="9"/>
        <v/>
      </c>
      <c r="L596" s="40"/>
      <c r="M596"/>
      <c r="N596"/>
      <c r="O596"/>
      <c r="P596"/>
      <c r="Q596"/>
      <c r="R596"/>
      <c r="S596"/>
      <c r="T596"/>
      <c r="U596"/>
      <c r="V596"/>
      <c r="W596" s="41"/>
      <c r="X596" s="41"/>
      <c r="Y596" s="41"/>
    </row>
    <row r="597" s="27" customFormat="1" ht="23" hidden="1" customHeight="1" spans="1:25">
      <c r="A597" s="133" t="str">
        <f>IF(B597="","",COUNTA($B$5:B597))</f>
        <v/>
      </c>
      <c r="B597" s="143"/>
      <c r="C597" s="144" t="s">
        <v>49</v>
      </c>
      <c r="D597" s="145"/>
      <c r="E597" s="146"/>
      <c r="F597" s="139"/>
      <c r="G597" s="139"/>
      <c r="H597" s="142">
        <f>IFERROR(VLOOKUP($C597,$C$5:$H$18,6,0)+SUMIF($C$19:$C597,$C597,$F$19:$F597)-SUMIF($C$19:$C597,$C597,$G$19:$G597),"")</f>
        <v>81211.819999998</v>
      </c>
      <c r="I597" s="22"/>
      <c r="J597" s="22"/>
      <c r="K597" s="22" t="str">
        <f t="shared" si="9"/>
        <v/>
      </c>
      <c r="L597" s="40"/>
      <c r="M597"/>
      <c r="N597"/>
      <c r="O597"/>
      <c r="P597"/>
      <c r="Q597"/>
      <c r="R597"/>
      <c r="S597"/>
      <c r="T597"/>
      <c r="U597"/>
      <c r="V597"/>
      <c r="W597" s="41"/>
      <c r="X597" s="41"/>
      <c r="Y597" s="41"/>
    </row>
    <row r="598" s="27" customFormat="1" ht="23" hidden="1" customHeight="1" spans="1:25">
      <c r="A598" s="133" t="str">
        <f>IF(B598="","",COUNTA($B$5:B598))</f>
        <v/>
      </c>
      <c r="B598" s="143"/>
      <c r="C598" s="144" t="s">
        <v>49</v>
      </c>
      <c r="D598" s="145"/>
      <c r="E598" s="146"/>
      <c r="F598" s="139"/>
      <c r="G598" s="139"/>
      <c r="H598" s="142">
        <f>IFERROR(VLOOKUP($C598,$C$5:$H$18,6,0)+SUMIF($C$19:$C598,$C598,$F$19:$F598)-SUMIF($C$19:$C598,$C598,$G$19:$G598),"")</f>
        <v>81211.819999998</v>
      </c>
      <c r="I598" s="22"/>
      <c r="J598" s="22"/>
      <c r="K598" s="22" t="str">
        <f t="shared" si="9"/>
        <v/>
      </c>
      <c r="L598" s="40"/>
      <c r="M598"/>
      <c r="N598"/>
      <c r="O598"/>
      <c r="P598"/>
      <c r="Q598"/>
      <c r="R598"/>
      <c r="S598"/>
      <c r="T598"/>
      <c r="U598"/>
      <c r="V598"/>
      <c r="W598" s="41"/>
      <c r="X598" s="41"/>
      <c r="Y598" s="41"/>
    </row>
    <row r="599" s="27" customFormat="1" ht="23" hidden="1" customHeight="1" spans="1:25">
      <c r="A599" s="133" t="str">
        <f>IF(B599="","",COUNTA($B$5:B599))</f>
        <v/>
      </c>
      <c r="B599" s="143"/>
      <c r="C599" s="144" t="s">
        <v>49</v>
      </c>
      <c r="D599" s="145"/>
      <c r="E599" s="146"/>
      <c r="F599" s="139"/>
      <c r="G599" s="139"/>
      <c r="H599" s="142">
        <f>IFERROR(VLOOKUP($C599,$C$5:$H$18,6,0)+SUMIF($C$19:$C599,$C599,$F$19:$F599)-SUMIF($C$19:$C599,$C599,$G$19:$G599),"")</f>
        <v>81211.819999998</v>
      </c>
      <c r="I599" s="22"/>
      <c r="J599" s="22"/>
      <c r="K599" s="22" t="str">
        <f t="shared" si="9"/>
        <v/>
      </c>
      <c r="L599" s="40"/>
      <c r="M599"/>
      <c r="N599"/>
      <c r="O599"/>
      <c r="P599"/>
      <c r="Q599"/>
      <c r="R599"/>
      <c r="S599"/>
      <c r="T599"/>
      <c r="U599"/>
      <c r="V599"/>
      <c r="W599" s="41"/>
      <c r="X599" s="41"/>
      <c r="Y599" s="41"/>
    </row>
    <row r="600" s="27" customFormat="1" ht="23" hidden="1" customHeight="1" spans="1:25">
      <c r="A600" s="133" t="str">
        <f>IF(B600="","",COUNTA($B$5:B600))</f>
        <v/>
      </c>
      <c r="B600" s="143"/>
      <c r="C600" s="144" t="s">
        <v>49</v>
      </c>
      <c r="D600" s="145"/>
      <c r="E600" s="146"/>
      <c r="F600" s="139"/>
      <c r="G600" s="139"/>
      <c r="H600" s="142">
        <f>IFERROR(VLOOKUP($C600,$C$5:$H$18,6,0)+SUMIF($C$19:$C600,$C600,$F$19:$F600)-SUMIF($C$19:$C600,$C600,$G$19:$G600),"")</f>
        <v>81211.819999998</v>
      </c>
      <c r="I600" s="22"/>
      <c r="J600" s="22"/>
      <c r="K600" s="22" t="str">
        <f t="shared" si="9"/>
        <v/>
      </c>
      <c r="L600" s="40"/>
      <c r="M600"/>
      <c r="N600"/>
      <c r="O600"/>
      <c r="P600"/>
      <c r="Q600"/>
      <c r="R600"/>
      <c r="S600"/>
      <c r="T600"/>
      <c r="U600"/>
      <c r="V600"/>
      <c r="W600" s="41"/>
      <c r="X600" s="41"/>
      <c r="Y600" s="41"/>
    </row>
    <row r="601" s="27" customFormat="1" ht="23" hidden="1" customHeight="1" spans="1:25">
      <c r="A601" s="133" t="str">
        <f>IF(B601="","",COUNTA($B$5:B601))</f>
        <v/>
      </c>
      <c r="B601" s="143"/>
      <c r="C601" s="144" t="s">
        <v>49</v>
      </c>
      <c r="D601" s="145"/>
      <c r="E601" s="146"/>
      <c r="F601" s="139"/>
      <c r="G601" s="139"/>
      <c r="H601" s="142">
        <f>IFERROR(VLOOKUP($C601,$C$5:$H$18,6,0)+SUMIF($C$19:$C601,$C601,$F$19:$F601)-SUMIF($C$19:$C601,$C601,$G$19:$G601),"")</f>
        <v>81211.819999998</v>
      </c>
      <c r="I601" s="22"/>
      <c r="J601" s="22"/>
      <c r="K601" s="22" t="str">
        <f t="shared" si="9"/>
        <v/>
      </c>
      <c r="L601" s="40"/>
      <c r="M601"/>
      <c r="N601"/>
      <c r="O601"/>
      <c r="P601"/>
      <c r="Q601"/>
      <c r="R601"/>
      <c r="S601"/>
      <c r="T601"/>
      <c r="U601"/>
      <c r="V601"/>
      <c r="W601" s="41"/>
      <c r="X601" s="41"/>
      <c r="Y601" s="41"/>
    </row>
    <row r="602" s="27" customFormat="1" ht="23" hidden="1" customHeight="1" spans="1:25">
      <c r="A602" s="133" t="str">
        <f>IF(B602="","",COUNTA($B$5:B602))</f>
        <v/>
      </c>
      <c r="B602" s="143"/>
      <c r="C602" s="144" t="s">
        <v>49</v>
      </c>
      <c r="D602" s="145"/>
      <c r="E602" s="146"/>
      <c r="F602" s="139"/>
      <c r="G602" s="139"/>
      <c r="H602" s="142">
        <f>IFERROR(VLOOKUP($C602,$C$5:$H$18,6,0)+SUMIF($C$19:$C602,$C602,$F$19:$F602)-SUMIF($C$19:$C602,$C602,$G$19:$G602),"")</f>
        <v>81211.819999998</v>
      </c>
      <c r="I602" s="22"/>
      <c r="J602" s="22"/>
      <c r="K602" s="22" t="str">
        <f t="shared" si="9"/>
        <v/>
      </c>
      <c r="L602" s="40"/>
      <c r="M602"/>
      <c r="N602"/>
      <c r="O602"/>
      <c r="P602"/>
      <c r="Q602"/>
      <c r="R602"/>
      <c r="S602"/>
      <c r="T602"/>
      <c r="U602"/>
      <c r="V602"/>
      <c r="W602" s="41"/>
      <c r="X602" s="41"/>
      <c r="Y602" s="41"/>
    </row>
    <row r="603" s="27" customFormat="1" ht="23" hidden="1" customHeight="1" spans="1:25">
      <c r="A603" s="133" t="str">
        <f>IF(B603="","",COUNTA($B$5:B603))</f>
        <v/>
      </c>
      <c r="B603" s="143"/>
      <c r="C603" s="144" t="s">
        <v>49</v>
      </c>
      <c r="D603" s="145"/>
      <c r="E603" s="146"/>
      <c r="F603" s="139"/>
      <c r="G603" s="139"/>
      <c r="H603" s="142">
        <f>IFERROR(VLOOKUP($C603,$C$5:$H$18,6,0)+SUMIF($C$19:$C603,$C603,$F$19:$F603)-SUMIF($C$19:$C603,$C603,$G$19:$G603),"")</f>
        <v>81211.819999998</v>
      </c>
      <c r="I603" s="22"/>
      <c r="J603" s="22"/>
      <c r="K603" s="22" t="str">
        <f t="shared" si="9"/>
        <v/>
      </c>
      <c r="L603" s="40"/>
      <c r="M603"/>
      <c r="N603"/>
      <c r="O603"/>
      <c r="P603"/>
      <c r="Q603"/>
      <c r="R603"/>
      <c r="S603"/>
      <c r="T603"/>
      <c r="U603"/>
      <c r="V603"/>
      <c r="W603" s="41"/>
      <c r="X603" s="41"/>
      <c r="Y603" s="41"/>
    </row>
    <row r="604" s="27" customFormat="1" ht="23" hidden="1" customHeight="1" spans="1:25">
      <c r="A604" s="133" t="str">
        <f>IF(B604="","",COUNTA($B$5:B604))</f>
        <v/>
      </c>
      <c r="B604" s="143"/>
      <c r="C604" s="144" t="s">
        <v>49</v>
      </c>
      <c r="D604" s="145"/>
      <c r="E604" s="146"/>
      <c r="F604" s="139"/>
      <c r="G604" s="139"/>
      <c r="H604" s="142">
        <f>IFERROR(VLOOKUP($C604,$C$5:$H$18,6,0)+SUMIF($C$19:$C604,$C604,$F$19:$F604)-SUMIF($C$19:$C604,$C604,$G$19:$G604),"")</f>
        <v>81211.819999998</v>
      </c>
      <c r="I604" s="22"/>
      <c r="J604" s="22"/>
      <c r="K604" s="22" t="str">
        <f t="shared" si="9"/>
        <v/>
      </c>
      <c r="L604" s="40"/>
      <c r="M604"/>
      <c r="N604"/>
      <c r="O604"/>
      <c r="P604"/>
      <c r="Q604"/>
      <c r="R604"/>
      <c r="S604"/>
      <c r="T604"/>
      <c r="U604"/>
      <c r="V604"/>
      <c r="W604" s="41"/>
      <c r="X604" s="41"/>
      <c r="Y604" s="41"/>
    </row>
    <row r="605" s="27" customFormat="1" ht="23" hidden="1" customHeight="1" spans="1:25">
      <c r="A605" s="133" t="str">
        <f>IF(B605="","",COUNTA($B$5:B605))</f>
        <v/>
      </c>
      <c r="B605" s="143"/>
      <c r="C605" s="144" t="s">
        <v>49</v>
      </c>
      <c r="D605" s="145"/>
      <c r="E605" s="146"/>
      <c r="F605" s="139"/>
      <c r="G605" s="139"/>
      <c r="H605" s="142">
        <f>IFERROR(VLOOKUP($C605,$C$5:$H$18,6,0)+SUMIF($C$19:$C605,$C605,$F$19:$F605)-SUMIF($C$19:$C605,$C605,$G$19:$G605),"")</f>
        <v>81211.819999998</v>
      </c>
      <c r="I605" s="22"/>
      <c r="J605" s="22"/>
      <c r="K605" s="22" t="str">
        <f t="shared" si="9"/>
        <v/>
      </c>
      <c r="L605" s="40"/>
      <c r="M605"/>
      <c r="N605"/>
      <c r="O605"/>
      <c r="P605"/>
      <c r="Q605"/>
      <c r="R605"/>
      <c r="S605"/>
      <c r="T605"/>
      <c r="U605"/>
      <c r="V605"/>
      <c r="W605" s="41"/>
      <c r="X605" s="41"/>
      <c r="Y605" s="41"/>
    </row>
    <row r="606" s="27" customFormat="1" ht="23" hidden="1" customHeight="1" spans="1:25">
      <c r="A606" s="133" t="str">
        <f>IF(B606="","",COUNTA($B$5:B606))</f>
        <v/>
      </c>
      <c r="B606" s="143"/>
      <c r="C606" s="144" t="s">
        <v>49</v>
      </c>
      <c r="D606" s="145"/>
      <c r="E606" s="146"/>
      <c r="F606" s="139"/>
      <c r="G606" s="139"/>
      <c r="H606" s="142">
        <f>IFERROR(VLOOKUP($C606,$C$5:$H$18,6,0)+SUMIF($C$19:$C606,$C606,$F$19:$F606)-SUMIF($C$19:$C606,$C606,$G$19:$G606),"")</f>
        <v>81211.819999998</v>
      </c>
      <c r="I606" s="22"/>
      <c r="J606" s="22"/>
      <c r="K606" s="22" t="str">
        <f t="shared" si="9"/>
        <v/>
      </c>
      <c r="L606" s="40"/>
      <c r="M606"/>
      <c r="N606"/>
      <c r="O606"/>
      <c r="P606"/>
      <c r="Q606"/>
      <c r="R606"/>
      <c r="S606"/>
      <c r="T606"/>
      <c r="U606"/>
      <c r="V606"/>
      <c r="W606" s="41"/>
      <c r="X606" s="41"/>
      <c r="Y606" s="41"/>
    </row>
    <row r="607" s="27" customFormat="1" ht="23" hidden="1" customHeight="1" spans="1:25">
      <c r="A607" s="133" t="str">
        <f>IF(B607="","",COUNTA($B$5:B607))</f>
        <v/>
      </c>
      <c r="B607" s="143"/>
      <c r="C607" s="144" t="s">
        <v>49</v>
      </c>
      <c r="D607" s="145"/>
      <c r="E607" s="146"/>
      <c r="F607" s="139"/>
      <c r="G607" s="139"/>
      <c r="H607" s="142">
        <f>IFERROR(VLOOKUP($C607,$C$5:$H$18,6,0)+SUMIF($C$19:$C607,$C607,$F$19:$F607)-SUMIF($C$19:$C607,$C607,$G$19:$G607),"")</f>
        <v>81211.819999998</v>
      </c>
      <c r="I607" s="22"/>
      <c r="J607" s="22"/>
      <c r="K607" s="22" t="str">
        <f t="shared" si="9"/>
        <v/>
      </c>
      <c r="L607" s="40"/>
      <c r="M607"/>
      <c r="N607"/>
      <c r="O607"/>
      <c r="P607"/>
      <c r="Q607"/>
      <c r="R607"/>
      <c r="S607"/>
      <c r="T607"/>
      <c r="U607"/>
      <c r="V607"/>
      <c r="W607" s="41"/>
      <c r="X607" s="41"/>
      <c r="Y607" s="41"/>
    </row>
    <row r="608" s="27" customFormat="1" ht="23" hidden="1" customHeight="1" spans="1:25">
      <c r="A608" s="133" t="str">
        <f>IF(B608="","",COUNTA($B$5:B608))</f>
        <v/>
      </c>
      <c r="B608" s="143"/>
      <c r="C608" s="144" t="s">
        <v>49</v>
      </c>
      <c r="D608" s="145"/>
      <c r="E608" s="146"/>
      <c r="F608" s="139"/>
      <c r="G608" s="139"/>
      <c r="H608" s="142">
        <f>IFERROR(VLOOKUP($C608,$C$5:$H$18,6,0)+SUMIF($C$19:$C608,$C608,$F$19:$F608)-SUMIF($C$19:$C608,$C608,$G$19:$G608),"")</f>
        <v>81211.819999998</v>
      </c>
      <c r="I608" s="22"/>
      <c r="J608" s="22"/>
      <c r="K608" s="22" t="str">
        <f t="shared" si="9"/>
        <v/>
      </c>
      <c r="L608" s="40"/>
      <c r="M608"/>
      <c r="N608"/>
      <c r="O608"/>
      <c r="P608"/>
      <c r="Q608"/>
      <c r="R608"/>
      <c r="S608"/>
      <c r="T608"/>
      <c r="U608"/>
      <c r="V608"/>
      <c r="W608" s="41"/>
      <c r="X608" s="41"/>
      <c r="Y608" s="41"/>
    </row>
    <row r="609" s="27" customFormat="1" ht="23" hidden="1" customHeight="1" spans="1:25">
      <c r="A609" s="133" t="str">
        <f>IF(B609="","",COUNTA($B$5:B609))</f>
        <v/>
      </c>
      <c r="B609" s="143"/>
      <c r="C609" s="144" t="s">
        <v>49</v>
      </c>
      <c r="D609" s="145"/>
      <c r="E609" s="146"/>
      <c r="F609" s="139"/>
      <c r="G609" s="139"/>
      <c r="H609" s="142">
        <f>IFERROR(VLOOKUP($C609,$C$5:$H$18,6,0)+SUMIF($C$19:$C609,$C609,$F$19:$F609)-SUMIF($C$19:$C609,$C609,$G$19:$G609),"")</f>
        <v>81211.819999998</v>
      </c>
      <c r="I609" s="22"/>
      <c r="J609" s="22"/>
      <c r="K609" s="22" t="str">
        <f t="shared" si="9"/>
        <v/>
      </c>
      <c r="L609" s="40"/>
      <c r="M609"/>
      <c r="N609"/>
      <c r="O609"/>
      <c r="P609"/>
      <c r="Q609"/>
      <c r="R609"/>
      <c r="S609"/>
      <c r="T609"/>
      <c r="U609"/>
      <c r="V609"/>
      <c r="W609" s="41"/>
      <c r="X609" s="41"/>
      <c r="Y609" s="41"/>
    </row>
    <row r="610" s="27" customFormat="1" ht="23" hidden="1" customHeight="1" spans="1:25">
      <c r="A610" s="133" t="str">
        <f>IF(B610="","",COUNTA($B$5:B610))</f>
        <v/>
      </c>
      <c r="B610" s="143"/>
      <c r="C610" s="144" t="s">
        <v>49</v>
      </c>
      <c r="D610" s="145"/>
      <c r="E610" s="146"/>
      <c r="F610" s="139"/>
      <c r="G610" s="139"/>
      <c r="H610" s="142">
        <f>IFERROR(VLOOKUP($C610,$C$5:$H$18,6,0)+SUMIF($C$19:$C610,$C610,$F$19:$F610)-SUMIF($C$19:$C610,$C610,$G$19:$G610),"")</f>
        <v>81211.819999998</v>
      </c>
      <c r="I610" s="22"/>
      <c r="J610" s="22"/>
      <c r="K610" s="22" t="str">
        <f t="shared" si="9"/>
        <v/>
      </c>
      <c r="L610" s="40"/>
      <c r="M610"/>
      <c r="N610"/>
      <c r="O610"/>
      <c r="P610"/>
      <c r="Q610"/>
      <c r="R610"/>
      <c r="S610"/>
      <c r="T610"/>
      <c r="U610"/>
      <c r="V610"/>
      <c r="W610" s="41"/>
      <c r="X610" s="41"/>
      <c r="Y610" s="41"/>
    </row>
    <row r="611" s="27" customFormat="1" ht="23" hidden="1" customHeight="1" spans="1:25">
      <c r="A611" s="133" t="str">
        <f>IF(B611="","",COUNTA($B$5:B611))</f>
        <v/>
      </c>
      <c r="B611" s="143"/>
      <c r="C611" s="144" t="s">
        <v>49</v>
      </c>
      <c r="D611" s="145"/>
      <c r="E611" s="146"/>
      <c r="F611" s="139"/>
      <c r="G611" s="139"/>
      <c r="H611" s="142">
        <f>IFERROR(VLOOKUP($C611,$C$5:$H$18,6,0)+SUMIF($C$19:$C611,$C611,$F$19:$F611)-SUMIF($C$19:$C611,$C611,$G$19:$G611),"")</f>
        <v>81211.819999998</v>
      </c>
      <c r="I611" s="22"/>
      <c r="J611" s="22"/>
      <c r="K611" s="22" t="str">
        <f t="shared" si="9"/>
        <v/>
      </c>
      <c r="L611" s="40"/>
      <c r="M611"/>
      <c r="N611"/>
      <c r="O611"/>
      <c r="P611"/>
      <c r="Q611"/>
      <c r="R611"/>
      <c r="S611"/>
      <c r="T611"/>
      <c r="U611"/>
      <c r="V611"/>
      <c r="W611" s="41"/>
      <c r="X611" s="41"/>
      <c r="Y611" s="41"/>
    </row>
    <row r="612" s="27" customFormat="1" ht="23" hidden="1" customHeight="1" spans="1:25">
      <c r="A612" s="133" t="str">
        <f>IF(B612="","",COUNTA($B$5:B612))</f>
        <v/>
      </c>
      <c r="B612" s="143"/>
      <c r="C612" s="144" t="s">
        <v>49</v>
      </c>
      <c r="D612" s="145"/>
      <c r="E612" s="146"/>
      <c r="F612" s="139"/>
      <c r="G612" s="139"/>
      <c r="H612" s="142">
        <f>IFERROR(VLOOKUP($C612,$C$5:$H$18,6,0)+SUMIF($C$19:$C612,$C612,$F$19:$F612)-SUMIF($C$19:$C612,$C612,$G$19:$G612),"")</f>
        <v>81211.819999998</v>
      </c>
      <c r="I612" s="22"/>
      <c r="J612" s="22"/>
      <c r="K612" s="22" t="str">
        <f t="shared" si="9"/>
        <v/>
      </c>
      <c r="L612" s="40"/>
      <c r="M612"/>
      <c r="N612"/>
      <c r="O612"/>
      <c r="P612"/>
      <c r="Q612"/>
      <c r="R612"/>
      <c r="S612"/>
      <c r="T612"/>
      <c r="U612"/>
      <c r="V612"/>
      <c r="W612" s="41"/>
      <c r="X612" s="41"/>
      <c r="Y612" s="41"/>
    </row>
    <row r="613" s="27" customFormat="1" ht="23" hidden="1" customHeight="1" spans="1:25">
      <c r="A613" s="133" t="str">
        <f>IF(B613="","",COUNTA($B$5:B613))</f>
        <v/>
      </c>
      <c r="B613" s="143"/>
      <c r="C613" s="144" t="s">
        <v>49</v>
      </c>
      <c r="D613" s="145"/>
      <c r="E613" s="146"/>
      <c r="F613" s="139"/>
      <c r="G613" s="139"/>
      <c r="H613" s="142">
        <f>IFERROR(VLOOKUP($C613,$C$5:$H$18,6,0)+SUMIF($C$19:$C613,$C613,$F$19:$F613)-SUMIF($C$19:$C613,$C613,$G$19:$G613),"")</f>
        <v>81211.819999998</v>
      </c>
      <c r="I613" s="22"/>
      <c r="J613" s="22"/>
      <c r="K613" s="22" t="str">
        <f t="shared" si="9"/>
        <v/>
      </c>
      <c r="L613" s="40"/>
      <c r="M613"/>
      <c r="N613"/>
      <c r="O613"/>
      <c r="P613"/>
      <c r="Q613"/>
      <c r="R613"/>
      <c r="S613"/>
      <c r="T613"/>
      <c r="U613"/>
      <c r="V613"/>
      <c r="W613" s="41"/>
      <c r="X613" s="41"/>
      <c r="Y613" s="41"/>
    </row>
    <row r="614" s="27" customFormat="1" ht="23" hidden="1" customHeight="1" spans="1:25">
      <c r="A614" s="133" t="str">
        <f>IF(B614="","",COUNTA($B$5:B614))</f>
        <v/>
      </c>
      <c r="B614" s="143"/>
      <c r="C614" s="144" t="s">
        <v>49</v>
      </c>
      <c r="D614" s="145"/>
      <c r="E614" s="146"/>
      <c r="F614" s="139"/>
      <c r="G614" s="139"/>
      <c r="H614" s="142">
        <f>IFERROR(VLOOKUP($C614,$C$5:$H$18,6,0)+SUMIF($C$19:$C614,$C614,$F$19:$F614)-SUMIF($C$19:$C614,$C614,$G$19:$G614),"")</f>
        <v>81211.819999998</v>
      </c>
      <c r="I614" s="22"/>
      <c r="J614" s="22"/>
      <c r="K614" s="22" t="str">
        <f t="shared" si="9"/>
        <v/>
      </c>
      <c r="L614" s="40"/>
      <c r="M614"/>
      <c r="N614"/>
      <c r="O614"/>
      <c r="P614"/>
      <c r="Q614"/>
      <c r="R614"/>
      <c r="S614"/>
      <c r="T614"/>
      <c r="U614"/>
      <c r="V614"/>
      <c r="W614" s="41"/>
      <c r="X614" s="41"/>
      <c r="Y614" s="41"/>
    </row>
    <row r="615" s="27" customFormat="1" ht="23" hidden="1" customHeight="1" spans="1:25">
      <c r="A615" s="133" t="str">
        <f>IF(B615="","",COUNTA($B$5:B615))</f>
        <v/>
      </c>
      <c r="B615" s="143"/>
      <c r="C615" s="144" t="s">
        <v>49</v>
      </c>
      <c r="D615" s="145"/>
      <c r="E615" s="146"/>
      <c r="F615" s="139"/>
      <c r="G615" s="139"/>
      <c r="H615" s="142">
        <f>IFERROR(VLOOKUP($C615,$C$5:$H$18,6,0)+SUMIF($C$19:$C615,$C615,$F$19:$F615)-SUMIF($C$19:$C615,$C615,$G$19:$G615),"")</f>
        <v>81211.819999998</v>
      </c>
      <c r="I615" s="22"/>
      <c r="J615" s="22"/>
      <c r="K615" s="22" t="str">
        <f t="shared" si="9"/>
        <v/>
      </c>
      <c r="L615" s="40"/>
      <c r="M615"/>
      <c r="N615"/>
      <c r="O615"/>
      <c r="P615"/>
      <c r="Q615"/>
      <c r="R615"/>
      <c r="S615"/>
      <c r="T615"/>
      <c r="U615"/>
      <c r="V615"/>
      <c r="W615" s="41"/>
      <c r="X615" s="41"/>
      <c r="Y615" s="41"/>
    </row>
    <row r="616" s="27" customFormat="1" ht="23" hidden="1" customHeight="1" spans="1:25">
      <c r="A616" s="133" t="str">
        <f>IF(B616="","",COUNTA($B$5:B616))</f>
        <v/>
      </c>
      <c r="B616" s="143"/>
      <c r="C616" s="144" t="s">
        <v>49</v>
      </c>
      <c r="D616" s="145"/>
      <c r="E616" s="146"/>
      <c r="F616" s="139"/>
      <c r="G616" s="139"/>
      <c r="H616" s="142">
        <f>IFERROR(VLOOKUP($C616,$C$5:$H$18,6,0)+SUMIF($C$19:$C616,$C616,$F$19:$F616)-SUMIF($C$19:$C616,$C616,$G$19:$G616),"")</f>
        <v>81211.819999998</v>
      </c>
      <c r="I616" s="22"/>
      <c r="J616" s="22"/>
      <c r="K616" s="22" t="str">
        <f t="shared" si="9"/>
        <v/>
      </c>
      <c r="L616" s="40"/>
      <c r="M616"/>
      <c r="N616"/>
      <c r="O616"/>
      <c r="P616"/>
      <c r="Q616"/>
      <c r="R616"/>
      <c r="S616"/>
      <c r="T616"/>
      <c r="U616"/>
      <c r="V616"/>
      <c r="W616" s="41"/>
      <c r="X616" s="41"/>
      <c r="Y616" s="41"/>
    </row>
    <row r="617" s="27" customFormat="1" ht="23" hidden="1" customHeight="1" spans="1:25">
      <c r="A617" s="133" t="str">
        <f>IF(B617="","",COUNTA($B$5:B617))</f>
        <v/>
      </c>
      <c r="B617" s="143"/>
      <c r="C617" s="144" t="s">
        <v>49</v>
      </c>
      <c r="D617" s="145"/>
      <c r="E617" s="146"/>
      <c r="F617" s="139"/>
      <c r="G617" s="139"/>
      <c r="H617" s="142">
        <f>IFERROR(VLOOKUP($C617,$C$5:$H$18,6,0)+SUMIF($C$19:$C617,$C617,$F$19:$F617)-SUMIF($C$19:$C617,$C617,$G$19:$G617),"")</f>
        <v>81211.819999998</v>
      </c>
      <c r="I617" s="22"/>
      <c r="J617" s="22"/>
      <c r="K617" s="22" t="str">
        <f t="shared" si="9"/>
        <v/>
      </c>
      <c r="L617" s="40"/>
      <c r="M617"/>
      <c r="N617"/>
      <c r="O617"/>
      <c r="P617"/>
      <c r="Q617"/>
      <c r="R617"/>
      <c r="S617"/>
      <c r="T617"/>
      <c r="U617"/>
      <c r="V617"/>
      <c r="W617" s="41"/>
      <c r="X617" s="41"/>
      <c r="Y617" s="41"/>
    </row>
    <row r="618" s="27" customFormat="1" ht="23" hidden="1" customHeight="1" spans="1:25">
      <c r="A618" s="133" t="str">
        <f>IF(B618="","",COUNTA($B$5:B618))</f>
        <v/>
      </c>
      <c r="B618" s="143"/>
      <c r="C618" s="144" t="s">
        <v>49</v>
      </c>
      <c r="D618" s="145"/>
      <c r="E618" s="146"/>
      <c r="F618" s="139"/>
      <c r="G618" s="139"/>
      <c r="H618" s="142">
        <f>IFERROR(VLOOKUP($C618,$C$5:$H$18,6,0)+SUMIF($C$19:$C618,$C618,$F$19:$F618)-SUMIF($C$19:$C618,$C618,$G$19:$G618),"")</f>
        <v>81211.819999998</v>
      </c>
      <c r="I618" s="22"/>
      <c r="J618" s="22"/>
      <c r="K618" s="22" t="str">
        <f t="shared" si="9"/>
        <v/>
      </c>
      <c r="L618" s="40"/>
      <c r="M618"/>
      <c r="N618"/>
      <c r="O618"/>
      <c r="P618"/>
      <c r="Q618"/>
      <c r="R618"/>
      <c r="S618"/>
      <c r="T618"/>
      <c r="U618"/>
      <c r="V618"/>
      <c r="W618" s="41"/>
      <c r="X618" s="41"/>
      <c r="Y618" s="41"/>
    </row>
    <row r="619" s="27" customFormat="1" ht="23" hidden="1" customHeight="1" spans="1:25">
      <c r="A619" s="133" t="str">
        <f>IF(B619="","",COUNTA($B$5:B619))</f>
        <v/>
      </c>
      <c r="B619" s="143"/>
      <c r="C619" s="144" t="s">
        <v>49</v>
      </c>
      <c r="D619" s="145"/>
      <c r="E619" s="146"/>
      <c r="F619" s="139"/>
      <c r="G619" s="139"/>
      <c r="H619" s="142">
        <f>IFERROR(VLOOKUP($C619,$C$5:$H$18,6,0)+SUMIF($C$19:$C619,$C619,$F$19:$F619)-SUMIF($C$19:$C619,$C619,$G$19:$G619),"")</f>
        <v>81211.819999998</v>
      </c>
      <c r="I619" s="22"/>
      <c r="J619" s="22"/>
      <c r="K619" s="22" t="str">
        <f t="shared" si="9"/>
        <v/>
      </c>
      <c r="L619" s="40"/>
      <c r="M619"/>
      <c r="N619"/>
      <c r="O619"/>
      <c r="P619"/>
      <c r="Q619"/>
      <c r="R619"/>
      <c r="S619"/>
      <c r="T619"/>
      <c r="U619"/>
      <c r="V619"/>
      <c r="W619" s="41"/>
      <c r="X619" s="41"/>
      <c r="Y619" s="41"/>
    </row>
    <row r="620" s="27" customFormat="1" ht="23" hidden="1" customHeight="1" spans="1:25">
      <c r="A620" s="133" t="str">
        <f>IF(B620="","",COUNTA($B$5:B620))</f>
        <v/>
      </c>
      <c r="B620" s="143"/>
      <c r="C620" s="144" t="s">
        <v>49</v>
      </c>
      <c r="D620" s="145"/>
      <c r="E620" s="146"/>
      <c r="F620" s="139"/>
      <c r="G620" s="139"/>
      <c r="H620" s="142">
        <f>IFERROR(VLOOKUP($C620,$C$5:$H$18,6,0)+SUMIF($C$19:$C620,$C620,$F$19:$F620)-SUMIF($C$19:$C620,$C620,$G$19:$G620),"")</f>
        <v>81211.819999998</v>
      </c>
      <c r="I620" s="22"/>
      <c r="J620" s="22"/>
      <c r="K620" s="22" t="str">
        <f t="shared" si="9"/>
        <v/>
      </c>
      <c r="L620" s="40"/>
      <c r="M620"/>
      <c r="N620"/>
      <c r="O620"/>
      <c r="P620"/>
      <c r="Q620"/>
      <c r="R620"/>
      <c r="S620"/>
      <c r="T620"/>
      <c r="U620"/>
      <c r="V620"/>
      <c r="W620" s="41"/>
      <c r="X620" s="41"/>
      <c r="Y620" s="41"/>
    </row>
    <row r="621" s="27" customFormat="1" ht="23" hidden="1" customHeight="1" spans="1:25">
      <c r="A621" s="133" t="str">
        <f>IF(B621="","",COUNTA($B$5:B621))</f>
        <v/>
      </c>
      <c r="B621" s="143"/>
      <c r="C621" s="144" t="s">
        <v>49</v>
      </c>
      <c r="D621" s="145"/>
      <c r="E621" s="146"/>
      <c r="F621" s="139"/>
      <c r="G621" s="139"/>
      <c r="H621" s="142">
        <f>IFERROR(VLOOKUP($C621,$C$5:$H$18,6,0)+SUMIF($C$19:$C621,$C621,$F$19:$F621)-SUMIF($C$19:$C621,$C621,$G$19:$G621),"")</f>
        <v>81211.819999998</v>
      </c>
      <c r="I621" s="22"/>
      <c r="J621" s="22"/>
      <c r="K621" s="22" t="str">
        <f t="shared" si="9"/>
        <v/>
      </c>
      <c r="L621" s="40"/>
      <c r="M621"/>
      <c r="N621"/>
      <c r="O621"/>
      <c r="P621"/>
      <c r="Q621"/>
      <c r="R621"/>
      <c r="S621"/>
      <c r="T621"/>
      <c r="U621"/>
      <c r="V621"/>
      <c r="W621" s="41"/>
      <c r="X621" s="41"/>
      <c r="Y621" s="41"/>
    </row>
    <row r="622" s="27" customFormat="1" ht="23" hidden="1" customHeight="1" spans="1:25">
      <c r="A622" s="133" t="str">
        <f>IF(B622="","",COUNTA($B$5:B622))</f>
        <v/>
      </c>
      <c r="B622" s="143"/>
      <c r="C622" s="144" t="s">
        <v>49</v>
      </c>
      <c r="D622" s="145"/>
      <c r="E622" s="146"/>
      <c r="F622" s="139"/>
      <c r="G622" s="139"/>
      <c r="H622" s="142">
        <f>IFERROR(VLOOKUP($C622,$C$5:$H$18,6,0)+SUMIF($C$19:$C622,$C622,$F$19:$F622)-SUMIF($C$19:$C622,$C622,$G$19:$G622),"")</f>
        <v>81211.819999998</v>
      </c>
      <c r="I622" s="22"/>
      <c r="J622" s="22"/>
      <c r="K622" s="22" t="str">
        <f t="shared" si="9"/>
        <v/>
      </c>
      <c r="L622" s="40"/>
      <c r="M622"/>
      <c r="N622"/>
      <c r="O622"/>
      <c r="P622"/>
      <c r="Q622"/>
      <c r="R622"/>
      <c r="S622"/>
      <c r="T622"/>
      <c r="U622"/>
      <c r="V622"/>
      <c r="W622" s="41"/>
      <c r="X622" s="41"/>
      <c r="Y622" s="41"/>
    </row>
    <row r="623" s="27" customFormat="1" ht="23" hidden="1" customHeight="1" spans="1:25">
      <c r="A623" s="133" t="str">
        <f>IF(B623="","",COUNTA($B$5:B623))</f>
        <v/>
      </c>
      <c r="B623" s="143"/>
      <c r="C623" s="144" t="s">
        <v>49</v>
      </c>
      <c r="D623" s="145"/>
      <c r="E623" s="146"/>
      <c r="F623" s="139"/>
      <c r="G623" s="139"/>
      <c r="H623" s="142">
        <f>IFERROR(VLOOKUP($C623,$C$5:$H$18,6,0)+SUMIF($C$19:$C623,$C623,$F$19:$F623)-SUMIF($C$19:$C623,$C623,$G$19:$G623),"")</f>
        <v>81211.819999998</v>
      </c>
      <c r="I623" s="22"/>
      <c r="J623" s="22"/>
      <c r="K623" s="22" t="str">
        <f t="shared" si="9"/>
        <v/>
      </c>
      <c r="L623" s="40"/>
      <c r="M623"/>
      <c r="N623"/>
      <c r="O623"/>
      <c r="P623"/>
      <c r="Q623"/>
      <c r="R623"/>
      <c r="S623"/>
      <c r="T623"/>
      <c r="U623"/>
      <c r="V623"/>
      <c r="W623" s="41"/>
      <c r="X623" s="41"/>
      <c r="Y623" s="41"/>
    </row>
    <row r="624" s="27" customFormat="1" ht="23" hidden="1" customHeight="1" spans="1:25">
      <c r="A624" s="133" t="str">
        <f>IF(B624="","",COUNTA($B$5:B624))</f>
        <v/>
      </c>
      <c r="B624" s="143"/>
      <c r="C624" s="144" t="s">
        <v>49</v>
      </c>
      <c r="D624" s="145"/>
      <c r="E624" s="146"/>
      <c r="F624" s="139"/>
      <c r="G624" s="139"/>
      <c r="H624" s="142">
        <f>IFERROR(VLOOKUP($C624,$C$5:$H$18,6,0)+SUMIF($C$19:$C624,$C624,$F$19:$F624)-SUMIF($C$19:$C624,$C624,$G$19:$G624),"")</f>
        <v>81211.819999998</v>
      </c>
      <c r="I624" s="22"/>
      <c r="J624" s="22"/>
      <c r="K624" s="22" t="str">
        <f t="shared" si="9"/>
        <v/>
      </c>
      <c r="L624" s="40"/>
      <c r="M624"/>
      <c r="N624"/>
      <c r="O624"/>
      <c r="P624"/>
      <c r="Q624"/>
      <c r="R624"/>
      <c r="S624"/>
      <c r="T624"/>
      <c r="U624"/>
      <c r="V624"/>
      <c r="W624" s="41"/>
      <c r="X624" s="41"/>
      <c r="Y624" s="41"/>
    </row>
    <row r="625" s="27" customFormat="1" ht="23" hidden="1" customHeight="1" spans="1:25">
      <c r="A625" s="133" t="str">
        <f>IF(B625="","",COUNTA($B$5:B625))</f>
        <v/>
      </c>
      <c r="B625" s="143"/>
      <c r="C625" s="144" t="s">
        <v>49</v>
      </c>
      <c r="D625" s="145"/>
      <c r="E625" s="146"/>
      <c r="F625" s="139"/>
      <c r="G625" s="139"/>
      <c r="H625" s="142">
        <f>IFERROR(VLOOKUP($C625,$C$5:$H$18,6,0)+SUMIF($C$19:$C625,$C625,$F$19:$F625)-SUMIF($C$19:$C625,$C625,$G$19:$G625),"")</f>
        <v>81211.819999998</v>
      </c>
      <c r="I625" s="22"/>
      <c r="J625" s="22"/>
      <c r="K625" s="22" t="str">
        <f t="shared" si="9"/>
        <v/>
      </c>
      <c r="L625" s="40"/>
      <c r="M625"/>
      <c r="N625"/>
      <c r="O625"/>
      <c r="P625"/>
      <c r="Q625"/>
      <c r="R625"/>
      <c r="S625"/>
      <c r="T625"/>
      <c r="U625"/>
      <c r="V625"/>
      <c r="W625" s="41"/>
      <c r="X625" s="41"/>
      <c r="Y625" s="41"/>
    </row>
    <row r="626" s="27" customFormat="1" ht="23" hidden="1" customHeight="1" spans="1:25">
      <c r="A626" s="133" t="str">
        <f>IF(B626="","",COUNTA($B$5:B626))</f>
        <v/>
      </c>
      <c r="B626" s="143"/>
      <c r="C626" s="144" t="s">
        <v>49</v>
      </c>
      <c r="D626" s="145"/>
      <c r="E626" s="146"/>
      <c r="F626" s="139"/>
      <c r="G626" s="139"/>
      <c r="H626" s="142">
        <f>IFERROR(VLOOKUP($C626,$C$5:$H$18,6,0)+SUMIF($C$19:$C626,$C626,$F$19:$F626)-SUMIF($C$19:$C626,$C626,$G$19:$G626),"")</f>
        <v>81211.819999998</v>
      </c>
      <c r="I626" s="22"/>
      <c r="J626" s="22"/>
      <c r="K626" s="22" t="str">
        <f t="shared" si="9"/>
        <v/>
      </c>
      <c r="L626" s="40"/>
      <c r="M626"/>
      <c r="N626"/>
      <c r="O626"/>
      <c r="P626"/>
      <c r="Q626"/>
      <c r="R626"/>
      <c r="S626"/>
      <c r="T626"/>
      <c r="U626"/>
      <c r="V626"/>
      <c r="W626" s="41"/>
      <c r="X626" s="41"/>
      <c r="Y626" s="41"/>
    </row>
    <row r="627" s="27" customFormat="1" ht="23" hidden="1" customHeight="1" spans="1:25">
      <c r="A627" s="133" t="str">
        <f>IF(B627="","",COUNTA($B$5:B627))</f>
        <v/>
      </c>
      <c r="B627" s="143"/>
      <c r="C627" s="144" t="s">
        <v>49</v>
      </c>
      <c r="D627" s="145"/>
      <c r="E627" s="146"/>
      <c r="F627" s="139"/>
      <c r="G627" s="139"/>
      <c r="H627" s="142">
        <f>IFERROR(VLOOKUP($C627,$C$5:$H$18,6,0)+SUMIF($C$19:$C627,$C627,$F$19:$F627)-SUMIF($C$19:$C627,$C627,$G$19:$G627),"")</f>
        <v>81211.819999998</v>
      </c>
      <c r="I627" s="22"/>
      <c r="J627" s="22"/>
      <c r="K627" s="22" t="str">
        <f t="shared" si="9"/>
        <v/>
      </c>
      <c r="L627" s="40"/>
      <c r="M627"/>
      <c r="N627"/>
      <c r="O627"/>
      <c r="P627"/>
      <c r="Q627"/>
      <c r="R627"/>
      <c r="S627"/>
      <c r="T627"/>
      <c r="U627"/>
      <c r="V627"/>
      <c r="W627" s="41"/>
      <c r="X627" s="41"/>
      <c r="Y627" s="41"/>
    </row>
    <row r="628" s="27" customFormat="1" ht="23" hidden="1" customHeight="1" spans="1:25">
      <c r="A628" s="133" t="str">
        <f>IF(B628="","",COUNTA($B$5:B628))</f>
        <v/>
      </c>
      <c r="B628" s="143"/>
      <c r="C628" s="144" t="s">
        <v>49</v>
      </c>
      <c r="D628" s="145"/>
      <c r="E628" s="146"/>
      <c r="F628" s="139"/>
      <c r="G628" s="139"/>
      <c r="H628" s="142">
        <f>IFERROR(VLOOKUP($C628,$C$5:$H$18,6,0)+SUMIF($C$19:$C628,$C628,$F$19:$F628)-SUMIF($C$19:$C628,$C628,$G$19:$G628),"")</f>
        <v>81211.819999998</v>
      </c>
      <c r="I628" s="22"/>
      <c r="J628" s="22"/>
      <c r="K628" s="22" t="str">
        <f t="shared" si="9"/>
        <v/>
      </c>
      <c r="L628" s="40"/>
      <c r="M628"/>
      <c r="N628"/>
      <c r="O628"/>
      <c r="P628"/>
      <c r="Q628"/>
      <c r="R628"/>
      <c r="S628"/>
      <c r="T628"/>
      <c r="U628"/>
      <c r="V628"/>
      <c r="W628" s="41"/>
      <c r="X628" s="41"/>
      <c r="Y628" s="41"/>
    </row>
    <row r="629" s="27" customFormat="1" ht="23" hidden="1" customHeight="1" spans="1:25">
      <c r="A629" s="133" t="str">
        <f>IF(B629="","",COUNTA($B$5:B629))</f>
        <v/>
      </c>
      <c r="B629" s="143"/>
      <c r="C629" s="144" t="s">
        <v>49</v>
      </c>
      <c r="D629" s="145"/>
      <c r="E629" s="146"/>
      <c r="F629" s="139"/>
      <c r="G629" s="139"/>
      <c r="H629" s="142">
        <f>IFERROR(VLOOKUP($C629,$C$5:$H$18,6,0)+SUMIF($C$19:$C629,$C629,$F$19:$F629)-SUMIF($C$19:$C629,$C629,$G$19:$G629),"")</f>
        <v>81211.819999998</v>
      </c>
      <c r="I629" s="22"/>
      <c r="J629" s="22"/>
      <c r="K629" s="22" t="str">
        <f t="shared" si="9"/>
        <v/>
      </c>
      <c r="L629" s="40"/>
      <c r="M629"/>
      <c r="N629"/>
      <c r="O629"/>
      <c r="P629"/>
      <c r="Q629"/>
      <c r="R629"/>
      <c r="S629"/>
      <c r="T629"/>
      <c r="U629"/>
      <c r="V629"/>
      <c r="W629" s="41"/>
      <c r="X629" s="41"/>
      <c r="Y629" s="41"/>
    </row>
    <row r="630" s="27" customFormat="1" ht="23" hidden="1" customHeight="1" spans="1:25">
      <c r="A630" s="133" t="str">
        <f>IF(B630="","",COUNTA($B$5:B630))</f>
        <v/>
      </c>
      <c r="B630" s="143"/>
      <c r="C630" s="144" t="s">
        <v>49</v>
      </c>
      <c r="D630" s="145"/>
      <c r="E630" s="146"/>
      <c r="F630" s="139"/>
      <c r="G630" s="139"/>
      <c r="H630" s="142">
        <f>IFERROR(VLOOKUP($C630,$C$5:$H$18,6,0)+SUMIF($C$19:$C630,$C630,$F$19:$F630)-SUMIF($C$19:$C630,$C630,$G$19:$G630),"")</f>
        <v>81211.819999998</v>
      </c>
      <c r="I630" s="22"/>
      <c r="J630" s="22"/>
      <c r="K630" s="22" t="str">
        <f t="shared" si="9"/>
        <v/>
      </c>
      <c r="L630" s="40"/>
      <c r="M630"/>
      <c r="N630"/>
      <c r="O630"/>
      <c r="P630"/>
      <c r="Q630"/>
      <c r="R630"/>
      <c r="S630"/>
      <c r="T630"/>
      <c r="U630"/>
      <c r="V630"/>
      <c r="W630" s="41"/>
      <c r="X630" s="41"/>
      <c r="Y630" s="41"/>
    </row>
    <row r="631" s="27" customFormat="1" ht="23" hidden="1" customHeight="1" spans="1:25">
      <c r="A631" s="133" t="str">
        <f>IF(B631="","",COUNTA($B$5:B631))</f>
        <v/>
      </c>
      <c r="B631" s="143"/>
      <c r="C631" s="144" t="s">
        <v>49</v>
      </c>
      <c r="D631" s="145"/>
      <c r="E631" s="146"/>
      <c r="F631" s="139"/>
      <c r="G631" s="139"/>
      <c r="H631" s="142">
        <f>IFERROR(VLOOKUP($C631,$C$5:$H$18,6,0)+SUMIF($C$19:$C631,$C631,$F$19:$F631)-SUMIF($C$19:$C631,$C631,$G$19:$G631),"")</f>
        <v>81211.819999998</v>
      </c>
      <c r="I631" s="22"/>
      <c r="J631" s="22"/>
      <c r="K631" s="22" t="str">
        <f t="shared" si="9"/>
        <v/>
      </c>
      <c r="L631" s="40"/>
      <c r="M631"/>
      <c r="N631"/>
      <c r="O631"/>
      <c r="P631"/>
      <c r="Q631"/>
      <c r="R631"/>
      <c r="S631"/>
      <c r="T631"/>
      <c r="U631"/>
      <c r="V631"/>
      <c r="W631" s="41"/>
      <c r="X631" s="41"/>
      <c r="Y631" s="41"/>
    </row>
    <row r="632" s="27" customFormat="1" ht="23" hidden="1" customHeight="1" spans="1:25">
      <c r="A632" s="133" t="str">
        <f>IF(B632="","",COUNTA($B$5:B632))</f>
        <v/>
      </c>
      <c r="B632" s="143"/>
      <c r="C632" s="144" t="s">
        <v>49</v>
      </c>
      <c r="D632" s="145"/>
      <c r="E632" s="146"/>
      <c r="F632" s="139"/>
      <c r="G632" s="139"/>
      <c r="H632" s="142">
        <f>IFERROR(VLOOKUP($C632,$C$5:$H$18,6,0)+SUMIF($C$19:$C632,$C632,$F$19:$F632)-SUMIF($C$19:$C632,$C632,$G$19:$G632),"")</f>
        <v>81211.819999998</v>
      </c>
      <c r="I632" s="22"/>
      <c r="J632" s="22"/>
      <c r="K632" s="22" t="str">
        <f t="shared" si="9"/>
        <v/>
      </c>
      <c r="L632" s="40"/>
      <c r="M632"/>
      <c r="N632"/>
      <c r="O632"/>
      <c r="P632"/>
      <c r="Q632"/>
      <c r="R632"/>
      <c r="S632"/>
      <c r="T632"/>
      <c r="U632"/>
      <c r="V632"/>
      <c r="W632" s="41"/>
      <c r="X632" s="41"/>
      <c r="Y632" s="41"/>
    </row>
    <row r="633" s="27" customFormat="1" ht="23" hidden="1" customHeight="1" spans="1:25">
      <c r="A633" s="133" t="str">
        <f>IF(B633="","",COUNTA($B$5:B633))</f>
        <v/>
      </c>
      <c r="B633" s="143"/>
      <c r="C633" s="144" t="s">
        <v>49</v>
      </c>
      <c r="D633" s="145"/>
      <c r="E633" s="146"/>
      <c r="F633" s="139"/>
      <c r="G633" s="139"/>
      <c r="H633" s="142">
        <f>IFERROR(VLOOKUP($C633,$C$5:$H$18,6,0)+SUMIF($C$19:$C633,$C633,$F$19:$F633)-SUMIF($C$19:$C633,$C633,$G$19:$G633),"")</f>
        <v>81211.819999998</v>
      </c>
      <c r="I633" s="22"/>
      <c r="J633" s="22"/>
      <c r="K633" s="22" t="str">
        <f t="shared" si="9"/>
        <v/>
      </c>
      <c r="L633" s="40"/>
      <c r="M633"/>
      <c r="N633"/>
      <c r="O633"/>
      <c r="P633"/>
      <c r="Q633"/>
      <c r="R633"/>
      <c r="S633"/>
      <c r="T633"/>
      <c r="U633"/>
      <c r="V633"/>
      <c r="W633" s="41"/>
      <c r="X633" s="41"/>
      <c r="Y633" s="41"/>
    </row>
    <row r="634" s="27" customFormat="1" ht="23" hidden="1" customHeight="1" spans="1:25">
      <c r="A634" s="133" t="str">
        <f>IF(B634="","",COUNTA($B$5:B634))</f>
        <v/>
      </c>
      <c r="B634" s="143"/>
      <c r="C634" s="144" t="s">
        <v>49</v>
      </c>
      <c r="D634" s="145"/>
      <c r="E634" s="146"/>
      <c r="F634" s="139"/>
      <c r="G634" s="139"/>
      <c r="H634" s="142">
        <f>IFERROR(VLOOKUP($C634,$C$5:$H$18,6,0)+SUMIF($C$19:$C634,$C634,$F$19:$F634)-SUMIF($C$19:$C634,$C634,$G$19:$G634),"")</f>
        <v>81211.819999998</v>
      </c>
      <c r="I634" s="22"/>
      <c r="J634" s="22"/>
      <c r="K634" s="22" t="str">
        <f t="shared" si="9"/>
        <v/>
      </c>
      <c r="L634" s="40"/>
      <c r="M634"/>
      <c r="N634"/>
      <c r="O634"/>
      <c r="P634"/>
      <c r="Q634"/>
      <c r="R634"/>
      <c r="S634"/>
      <c r="T634"/>
      <c r="U634"/>
      <c r="V634"/>
      <c r="W634" s="41"/>
      <c r="X634" s="41"/>
      <c r="Y634" s="41"/>
    </row>
    <row r="635" s="27" customFormat="1" ht="23" hidden="1" customHeight="1" spans="1:25">
      <c r="A635" s="133" t="str">
        <f>IF(B635="","",COUNTA($B$5:B635))</f>
        <v/>
      </c>
      <c r="B635" s="143"/>
      <c r="C635" s="144" t="s">
        <v>49</v>
      </c>
      <c r="D635" s="145"/>
      <c r="E635" s="146"/>
      <c r="F635" s="139"/>
      <c r="G635" s="139"/>
      <c r="H635" s="142">
        <f>IFERROR(VLOOKUP($C635,$C$5:$H$18,6,0)+SUMIF($C$19:$C635,$C635,$F$19:$F635)-SUMIF($C$19:$C635,$C635,$G$19:$G635),"")</f>
        <v>81211.819999998</v>
      </c>
      <c r="I635" s="22"/>
      <c r="J635" s="22"/>
      <c r="K635" s="22" t="str">
        <f t="shared" si="9"/>
        <v/>
      </c>
      <c r="L635" s="40"/>
      <c r="M635"/>
      <c r="N635"/>
      <c r="O635"/>
      <c r="P635"/>
      <c r="Q635"/>
      <c r="R635"/>
      <c r="S635"/>
      <c r="T635"/>
      <c r="U635"/>
      <c r="V635"/>
      <c r="W635" s="41"/>
      <c r="X635" s="41"/>
      <c r="Y635" s="41"/>
    </row>
    <row r="636" s="27" customFormat="1" ht="23" hidden="1" customHeight="1" spans="1:25">
      <c r="A636" s="133" t="str">
        <f>IF(B636="","",COUNTA($B$5:B636))</f>
        <v/>
      </c>
      <c r="B636" s="143"/>
      <c r="C636" s="144" t="s">
        <v>49</v>
      </c>
      <c r="D636" s="145"/>
      <c r="E636" s="146"/>
      <c r="F636" s="139"/>
      <c r="G636" s="139"/>
      <c r="H636" s="142">
        <f>IFERROR(VLOOKUP($C636,$C$5:$H$18,6,0)+SUMIF($C$19:$C636,$C636,$F$19:$F636)-SUMIF($C$19:$C636,$C636,$G$19:$G636),"")</f>
        <v>81211.819999998</v>
      </c>
      <c r="I636" s="22"/>
      <c r="J636" s="22"/>
      <c r="K636" s="22" t="str">
        <f t="shared" si="9"/>
        <v/>
      </c>
      <c r="L636" s="40"/>
      <c r="M636"/>
      <c r="N636"/>
      <c r="O636"/>
      <c r="P636"/>
      <c r="Q636"/>
      <c r="R636"/>
      <c r="S636"/>
      <c r="T636"/>
      <c r="U636"/>
      <c r="V636"/>
      <c r="W636" s="41"/>
      <c r="X636" s="41"/>
      <c r="Y636" s="41"/>
    </row>
    <row r="637" s="27" customFormat="1" ht="23" hidden="1" customHeight="1" spans="1:25">
      <c r="A637" s="133" t="str">
        <f>IF(B637="","",COUNTA($B$5:B637))</f>
        <v/>
      </c>
      <c r="B637" s="143"/>
      <c r="C637" s="144" t="s">
        <v>49</v>
      </c>
      <c r="D637" s="145"/>
      <c r="E637" s="146"/>
      <c r="F637" s="139"/>
      <c r="G637" s="139"/>
      <c r="H637" s="142">
        <f>IFERROR(VLOOKUP($C637,$C$5:$H$18,6,0)+SUMIF($C$19:$C637,$C637,$F$19:$F637)-SUMIF($C$19:$C637,$C637,$G$19:$G637),"")</f>
        <v>81211.819999998</v>
      </c>
      <c r="I637" s="22"/>
      <c r="J637" s="22"/>
      <c r="K637" s="22" t="str">
        <f t="shared" si="9"/>
        <v/>
      </c>
      <c r="L637" s="40"/>
      <c r="M637"/>
      <c r="N637"/>
      <c r="O637"/>
      <c r="P637"/>
      <c r="Q637"/>
      <c r="R637"/>
      <c r="S637"/>
      <c r="T637"/>
      <c r="U637"/>
      <c r="V637"/>
      <c r="W637" s="41"/>
      <c r="X637" s="41"/>
      <c r="Y637" s="41"/>
    </row>
    <row r="638" s="27" customFormat="1" ht="23" hidden="1" customHeight="1" spans="1:25">
      <c r="A638" s="133" t="str">
        <f>IF(B638="","",COUNTA($B$5:B638))</f>
        <v/>
      </c>
      <c r="B638" s="143"/>
      <c r="C638" s="144" t="s">
        <v>49</v>
      </c>
      <c r="D638" s="145"/>
      <c r="E638" s="146"/>
      <c r="F638" s="139"/>
      <c r="G638" s="139"/>
      <c r="H638" s="142">
        <f>IFERROR(VLOOKUP($C638,$C$5:$H$18,6,0)+SUMIF($C$19:$C638,$C638,$F$19:$F638)-SUMIF($C$19:$C638,$C638,$G$19:$G638),"")</f>
        <v>81211.819999998</v>
      </c>
      <c r="I638" s="22"/>
      <c r="J638" s="22"/>
      <c r="K638" s="22" t="str">
        <f t="shared" si="9"/>
        <v/>
      </c>
      <c r="L638" s="40"/>
      <c r="M638"/>
      <c r="N638"/>
      <c r="O638"/>
      <c r="P638"/>
      <c r="Q638"/>
      <c r="R638"/>
      <c r="S638"/>
      <c r="T638"/>
      <c r="U638"/>
      <c r="V638"/>
      <c r="W638" s="41"/>
      <c r="X638" s="41"/>
      <c r="Y638" s="41"/>
    </row>
    <row r="639" s="27" customFormat="1" ht="23" hidden="1" customHeight="1" spans="1:25">
      <c r="A639" s="133" t="str">
        <f>IF(B639="","",COUNTA($B$5:B639))</f>
        <v/>
      </c>
      <c r="B639" s="143"/>
      <c r="C639" s="144" t="s">
        <v>49</v>
      </c>
      <c r="D639" s="145"/>
      <c r="E639" s="146"/>
      <c r="F639" s="139"/>
      <c r="G639" s="139"/>
      <c r="H639" s="142">
        <f>IFERROR(VLOOKUP($C639,$C$5:$H$18,6,0)+SUMIF($C$19:$C639,$C639,$F$19:$F639)-SUMIF($C$19:$C639,$C639,$G$19:$G639),"")</f>
        <v>81211.819999998</v>
      </c>
      <c r="I639" s="22"/>
      <c r="J639" s="22"/>
      <c r="K639" s="22" t="str">
        <f t="shared" si="9"/>
        <v/>
      </c>
      <c r="L639" s="40"/>
      <c r="M639"/>
      <c r="N639"/>
      <c r="O639"/>
      <c r="P639"/>
      <c r="Q639"/>
      <c r="R639"/>
      <c r="S639"/>
      <c r="T639"/>
      <c r="U639"/>
      <c r="V639"/>
      <c r="W639" s="41"/>
      <c r="X639" s="41"/>
      <c r="Y639" s="41"/>
    </row>
    <row r="640" s="27" customFormat="1" ht="23" hidden="1" customHeight="1" spans="1:25">
      <c r="A640" s="133" t="str">
        <f>IF(B640="","",COUNTA($B$5:B640))</f>
        <v/>
      </c>
      <c r="B640" s="143"/>
      <c r="C640" s="144" t="s">
        <v>49</v>
      </c>
      <c r="D640" s="145"/>
      <c r="E640" s="146"/>
      <c r="F640" s="139"/>
      <c r="G640" s="139"/>
      <c r="H640" s="142">
        <f>IFERROR(VLOOKUP($C640,$C$5:$H$18,6,0)+SUMIF($C$19:$C640,$C640,$F$19:$F640)-SUMIF($C$19:$C640,$C640,$G$19:$G640),"")</f>
        <v>81211.819999998</v>
      </c>
      <c r="I640" s="22"/>
      <c r="J640" s="22"/>
      <c r="K640" s="22" t="str">
        <f t="shared" si="9"/>
        <v/>
      </c>
      <c r="L640" s="40"/>
      <c r="M640"/>
      <c r="N640"/>
      <c r="O640"/>
      <c r="P640"/>
      <c r="Q640"/>
      <c r="R640"/>
      <c r="S640"/>
      <c r="T640"/>
      <c r="U640"/>
      <c r="V640"/>
      <c r="W640" s="41"/>
      <c r="X640" s="41"/>
      <c r="Y640" s="41"/>
    </row>
    <row r="641" s="27" customFormat="1" ht="23" hidden="1" customHeight="1" spans="1:25">
      <c r="A641" s="133" t="str">
        <f>IF(B641="","",COUNTA($B$5:B641))</f>
        <v/>
      </c>
      <c r="B641" s="143"/>
      <c r="C641" s="144" t="s">
        <v>49</v>
      </c>
      <c r="D641" s="145"/>
      <c r="E641" s="146"/>
      <c r="F641" s="139"/>
      <c r="G641" s="139"/>
      <c r="H641" s="142">
        <f>IFERROR(VLOOKUP($C641,$C$5:$H$18,6,0)+SUMIF($C$19:$C641,$C641,$F$19:$F641)-SUMIF($C$19:$C641,$C641,$G$19:$G641),"")</f>
        <v>81211.819999998</v>
      </c>
      <c r="I641" s="22"/>
      <c r="J641" s="22"/>
      <c r="K641" s="22" t="str">
        <f t="shared" si="9"/>
        <v/>
      </c>
      <c r="L641" s="40"/>
      <c r="M641"/>
      <c r="N641"/>
      <c r="O641"/>
      <c r="P641"/>
      <c r="Q641"/>
      <c r="R641"/>
      <c r="S641"/>
      <c r="T641"/>
      <c r="U641"/>
      <c r="V641"/>
      <c r="W641" s="41"/>
      <c r="X641" s="41"/>
      <c r="Y641" s="41"/>
    </row>
    <row r="642" s="27" customFormat="1" ht="23" hidden="1" customHeight="1" spans="1:25">
      <c r="A642" s="133" t="str">
        <f>IF(B642="","",COUNTA($B$5:B642))</f>
        <v/>
      </c>
      <c r="B642" s="143"/>
      <c r="C642" s="144" t="s">
        <v>49</v>
      </c>
      <c r="D642" s="145"/>
      <c r="E642" s="146"/>
      <c r="F642" s="139"/>
      <c r="G642" s="139"/>
      <c r="H642" s="142">
        <f>IFERROR(VLOOKUP($C642,$C$5:$H$18,6,0)+SUMIF($C$19:$C642,$C642,$F$19:$F642)-SUMIF($C$19:$C642,$C642,$G$19:$G642),"")</f>
        <v>81211.819999998</v>
      </c>
      <c r="I642" s="22"/>
      <c r="J642" s="22"/>
      <c r="K642" s="22" t="str">
        <f t="shared" si="9"/>
        <v/>
      </c>
      <c r="L642" s="40"/>
      <c r="M642"/>
      <c r="N642"/>
      <c r="O642"/>
      <c r="P642"/>
      <c r="Q642"/>
      <c r="R642"/>
      <c r="S642"/>
      <c r="T642"/>
      <c r="U642"/>
      <c r="V642"/>
      <c r="W642" s="41"/>
      <c r="X642" s="41"/>
      <c r="Y642" s="41"/>
    </row>
    <row r="643" s="27" customFormat="1" ht="23" hidden="1" customHeight="1" spans="1:25">
      <c r="A643" s="133" t="str">
        <f>IF(B643="","",COUNTA($B$5:B643))</f>
        <v/>
      </c>
      <c r="B643" s="143"/>
      <c r="C643" s="144" t="s">
        <v>49</v>
      </c>
      <c r="D643" s="145"/>
      <c r="E643" s="146"/>
      <c r="F643" s="139"/>
      <c r="G643" s="139"/>
      <c r="H643" s="142">
        <f>IFERROR(VLOOKUP($C643,$C$5:$H$18,6,0)+SUMIF($C$19:$C643,$C643,$F$19:$F643)-SUMIF($C$19:$C643,$C643,$G$19:$G643),"")</f>
        <v>81211.819999998</v>
      </c>
      <c r="I643" s="22"/>
      <c r="J643" s="22"/>
      <c r="K643" s="22" t="str">
        <f t="shared" si="9"/>
        <v/>
      </c>
      <c r="L643" s="40"/>
      <c r="M643"/>
      <c r="N643"/>
      <c r="O643"/>
      <c r="P643"/>
      <c r="Q643"/>
      <c r="R643"/>
      <c r="S643"/>
      <c r="T643"/>
      <c r="U643"/>
      <c r="V643"/>
      <c r="W643" s="41"/>
      <c r="X643" s="41"/>
      <c r="Y643" s="41"/>
    </row>
    <row r="644" s="27" customFormat="1" ht="23" hidden="1" customHeight="1" spans="1:25">
      <c r="A644" s="133" t="str">
        <f>IF(B644="","",COUNTA($B$5:B644))</f>
        <v/>
      </c>
      <c r="B644" s="143"/>
      <c r="C644" s="144" t="s">
        <v>49</v>
      </c>
      <c r="D644" s="145"/>
      <c r="E644" s="146"/>
      <c r="F644" s="139"/>
      <c r="G644" s="139"/>
      <c r="H644" s="142">
        <f>IFERROR(VLOOKUP($C644,$C$5:$H$18,6,0)+SUMIF($C$19:$C644,$C644,$F$19:$F644)-SUMIF($C$19:$C644,$C644,$G$19:$G644),"")</f>
        <v>81211.819999998</v>
      </c>
      <c r="I644" s="22"/>
      <c r="J644" s="22"/>
      <c r="K644" s="22" t="str">
        <f t="shared" si="9"/>
        <v/>
      </c>
      <c r="L644" s="40"/>
      <c r="M644"/>
      <c r="N644"/>
      <c r="O644"/>
      <c r="P644"/>
      <c r="Q644"/>
      <c r="R644"/>
      <c r="S644"/>
      <c r="T644"/>
      <c r="U644"/>
      <c r="V644"/>
      <c r="W644" s="41"/>
      <c r="X644" s="41"/>
      <c r="Y644" s="41"/>
    </row>
    <row r="645" s="27" customFormat="1" ht="23" hidden="1" customHeight="1" spans="1:25">
      <c r="A645" s="133" t="str">
        <f>IF(B645="","",COUNTA($B$5:B645))</f>
        <v/>
      </c>
      <c r="B645" s="143"/>
      <c r="C645" s="144" t="s">
        <v>49</v>
      </c>
      <c r="D645" s="145"/>
      <c r="E645" s="146"/>
      <c r="F645" s="139"/>
      <c r="G645" s="139"/>
      <c r="H645" s="142">
        <f>IFERROR(VLOOKUP($C645,$C$5:$H$18,6,0)+SUMIF($C$19:$C645,$C645,$F$19:$F645)-SUMIF($C$19:$C645,$C645,$G$19:$G645),"")</f>
        <v>81211.819999998</v>
      </c>
      <c r="I645" s="22"/>
      <c r="J645" s="22"/>
      <c r="K645" s="22" t="str">
        <f t="shared" ref="K645:K708" si="10">IF($B645="","",--TEXT($B645,"yyyymm"))</f>
        <v/>
      </c>
      <c r="L645" s="40"/>
      <c r="M645"/>
      <c r="N645"/>
      <c r="O645"/>
      <c r="P645"/>
      <c r="Q645"/>
      <c r="R645"/>
      <c r="S645"/>
      <c r="T645"/>
      <c r="U645"/>
      <c r="V645"/>
      <c r="W645" s="41"/>
      <c r="X645" s="41"/>
      <c r="Y645" s="41"/>
    </row>
    <row r="646" s="27" customFormat="1" ht="23" hidden="1" customHeight="1" spans="1:25">
      <c r="A646" s="133" t="str">
        <f>IF(B646="","",COUNTA($B$5:B646))</f>
        <v/>
      </c>
      <c r="B646" s="143"/>
      <c r="C646" s="144" t="s">
        <v>49</v>
      </c>
      <c r="D646" s="145"/>
      <c r="E646" s="146"/>
      <c r="F646" s="139"/>
      <c r="G646" s="139"/>
      <c r="H646" s="142">
        <f>IFERROR(VLOOKUP($C646,$C$5:$H$18,6,0)+SUMIF($C$19:$C646,$C646,$F$19:$F646)-SUMIF($C$19:$C646,$C646,$G$19:$G646),"")</f>
        <v>81211.819999998</v>
      </c>
      <c r="I646" s="22"/>
      <c r="J646" s="22"/>
      <c r="K646" s="22" t="str">
        <f t="shared" si="10"/>
        <v/>
      </c>
      <c r="L646" s="40"/>
      <c r="M646"/>
      <c r="N646"/>
      <c r="O646"/>
      <c r="P646"/>
      <c r="Q646"/>
      <c r="R646"/>
      <c r="S646"/>
      <c r="T646"/>
      <c r="U646"/>
      <c r="V646"/>
      <c r="W646" s="41"/>
      <c r="X646" s="41"/>
      <c r="Y646" s="41"/>
    </row>
    <row r="647" s="27" customFormat="1" ht="23" hidden="1" customHeight="1" spans="1:25">
      <c r="A647" s="133" t="str">
        <f>IF(B647="","",COUNTA($B$5:B647))</f>
        <v/>
      </c>
      <c r="B647" s="143"/>
      <c r="C647" s="144" t="s">
        <v>49</v>
      </c>
      <c r="D647" s="145"/>
      <c r="E647" s="146"/>
      <c r="F647" s="139"/>
      <c r="G647" s="139"/>
      <c r="H647" s="142">
        <f>IFERROR(VLOOKUP($C647,$C$5:$H$18,6,0)+SUMIF($C$19:$C647,$C647,$F$19:$F647)-SUMIF($C$19:$C647,$C647,$G$19:$G647),"")</f>
        <v>81211.819999998</v>
      </c>
      <c r="I647" s="22"/>
      <c r="J647" s="22"/>
      <c r="K647" s="22" t="str">
        <f t="shared" si="10"/>
        <v/>
      </c>
      <c r="L647" s="40"/>
      <c r="M647"/>
      <c r="N647"/>
      <c r="O647"/>
      <c r="P647"/>
      <c r="Q647"/>
      <c r="R647"/>
      <c r="S647"/>
      <c r="T647"/>
      <c r="U647"/>
      <c r="V647"/>
      <c r="W647" s="41"/>
      <c r="X647" s="41"/>
      <c r="Y647" s="41"/>
    </row>
    <row r="648" s="27" customFormat="1" ht="23" hidden="1" customHeight="1" spans="1:25">
      <c r="A648" s="133" t="str">
        <f>IF(B648="","",COUNTA($B$5:B648))</f>
        <v/>
      </c>
      <c r="B648" s="143"/>
      <c r="C648" s="144" t="s">
        <v>49</v>
      </c>
      <c r="D648" s="145"/>
      <c r="E648" s="146"/>
      <c r="F648" s="139"/>
      <c r="G648" s="139"/>
      <c r="H648" s="142">
        <f>IFERROR(VLOOKUP($C648,$C$5:$H$18,6,0)+SUMIF($C$19:$C648,$C648,$F$19:$F648)-SUMIF($C$19:$C648,$C648,$G$19:$G648),"")</f>
        <v>81211.819999998</v>
      </c>
      <c r="I648" s="22"/>
      <c r="J648" s="22"/>
      <c r="K648" s="22" t="str">
        <f t="shared" si="10"/>
        <v/>
      </c>
      <c r="L648" s="40"/>
      <c r="M648"/>
      <c r="N648"/>
      <c r="O648"/>
      <c r="P648"/>
      <c r="Q648"/>
      <c r="R648"/>
      <c r="S648"/>
      <c r="T648"/>
      <c r="U648"/>
      <c r="V648"/>
      <c r="W648" s="41"/>
      <c r="X648" s="41"/>
      <c r="Y648" s="41"/>
    </row>
    <row r="649" s="27" customFormat="1" ht="23" hidden="1" customHeight="1" spans="1:25">
      <c r="A649" s="133" t="str">
        <f>IF(B649="","",COUNTA($B$5:B649))</f>
        <v/>
      </c>
      <c r="B649" s="143"/>
      <c r="C649" s="144" t="s">
        <v>49</v>
      </c>
      <c r="D649" s="145"/>
      <c r="E649" s="146"/>
      <c r="F649" s="139"/>
      <c r="G649" s="139"/>
      <c r="H649" s="142">
        <f>IFERROR(VLOOKUP($C649,$C$5:$H$18,6,0)+SUMIF($C$19:$C649,$C649,$F$19:$F649)-SUMIF($C$19:$C649,$C649,$G$19:$G649),"")</f>
        <v>81211.819999998</v>
      </c>
      <c r="I649" s="22"/>
      <c r="J649" s="22"/>
      <c r="K649" s="22" t="str">
        <f t="shared" si="10"/>
        <v/>
      </c>
      <c r="L649" s="40"/>
      <c r="M649"/>
      <c r="N649"/>
      <c r="O649"/>
      <c r="P649"/>
      <c r="Q649"/>
      <c r="R649"/>
      <c r="S649"/>
      <c r="T649"/>
      <c r="U649"/>
      <c r="V649"/>
      <c r="W649" s="41"/>
      <c r="X649" s="41"/>
      <c r="Y649" s="41"/>
    </row>
    <row r="650" s="27" customFormat="1" ht="23" hidden="1" customHeight="1" spans="1:25">
      <c r="A650" s="133" t="str">
        <f>IF(B650="","",COUNTA($B$5:B650))</f>
        <v/>
      </c>
      <c r="B650" s="143"/>
      <c r="C650" s="144" t="s">
        <v>49</v>
      </c>
      <c r="D650" s="145"/>
      <c r="E650" s="146"/>
      <c r="F650" s="139"/>
      <c r="G650" s="139"/>
      <c r="H650" s="142">
        <f>IFERROR(VLOOKUP($C650,$C$5:$H$18,6,0)+SUMIF($C$19:$C650,$C650,$F$19:$F650)-SUMIF($C$19:$C650,$C650,$G$19:$G650),"")</f>
        <v>81211.819999998</v>
      </c>
      <c r="I650" s="22"/>
      <c r="J650" s="22"/>
      <c r="K650" s="22" t="str">
        <f t="shared" si="10"/>
        <v/>
      </c>
      <c r="L650" s="40"/>
      <c r="M650"/>
      <c r="N650"/>
      <c r="O650"/>
      <c r="P650"/>
      <c r="Q650"/>
      <c r="R650"/>
      <c r="S650"/>
      <c r="T650"/>
      <c r="U650"/>
      <c r="V650"/>
      <c r="W650" s="41"/>
      <c r="X650" s="41"/>
      <c r="Y650" s="41"/>
    </row>
    <row r="651" s="27" customFormat="1" ht="23" hidden="1" customHeight="1" spans="1:25">
      <c r="A651" s="133" t="str">
        <f>IF(B651="","",COUNTA($B$5:B651))</f>
        <v/>
      </c>
      <c r="B651" s="143"/>
      <c r="C651" s="144" t="s">
        <v>49</v>
      </c>
      <c r="D651" s="145"/>
      <c r="E651" s="146"/>
      <c r="F651" s="139"/>
      <c r="G651" s="139"/>
      <c r="H651" s="142">
        <f>IFERROR(VLOOKUP($C651,$C$5:$H$18,6,0)+SUMIF($C$19:$C651,$C651,$F$19:$F651)-SUMIF($C$19:$C651,$C651,$G$19:$G651),"")</f>
        <v>81211.819999998</v>
      </c>
      <c r="I651" s="22"/>
      <c r="J651" s="22"/>
      <c r="K651" s="22" t="str">
        <f t="shared" si="10"/>
        <v/>
      </c>
      <c r="L651" s="40"/>
      <c r="M651"/>
      <c r="N651"/>
      <c r="O651"/>
      <c r="P651"/>
      <c r="Q651"/>
      <c r="R651"/>
      <c r="S651"/>
      <c r="T651"/>
      <c r="U651"/>
      <c r="V651"/>
      <c r="W651" s="41"/>
      <c r="X651" s="41"/>
      <c r="Y651" s="41"/>
    </row>
    <row r="652" s="27" customFormat="1" ht="23" hidden="1" customHeight="1" spans="1:25">
      <c r="A652" s="133" t="str">
        <f>IF(B652="","",COUNTA($B$5:B652))</f>
        <v/>
      </c>
      <c r="B652" s="143"/>
      <c r="C652" s="144" t="s">
        <v>49</v>
      </c>
      <c r="D652" s="145"/>
      <c r="E652" s="146"/>
      <c r="F652" s="139"/>
      <c r="G652" s="139"/>
      <c r="H652" s="142">
        <f>IFERROR(VLOOKUP($C652,$C$5:$H$18,6,0)+SUMIF($C$19:$C652,$C652,$F$19:$F652)-SUMIF($C$19:$C652,$C652,$G$19:$G652),"")</f>
        <v>81211.819999998</v>
      </c>
      <c r="I652" s="22"/>
      <c r="J652" s="22"/>
      <c r="K652" s="22" t="str">
        <f t="shared" si="10"/>
        <v/>
      </c>
      <c r="L652" s="40"/>
      <c r="M652"/>
      <c r="N652"/>
      <c r="O652"/>
      <c r="P652"/>
      <c r="Q652"/>
      <c r="R652"/>
      <c r="S652"/>
      <c r="T652"/>
      <c r="U652"/>
      <c r="V652"/>
      <c r="W652" s="41"/>
      <c r="X652" s="41"/>
      <c r="Y652" s="41"/>
    </row>
    <row r="653" s="27" customFormat="1" ht="23" hidden="1" customHeight="1" spans="1:25">
      <c r="A653" s="133" t="str">
        <f>IF(B653="","",COUNTA($B$5:B653))</f>
        <v/>
      </c>
      <c r="B653" s="143"/>
      <c r="C653" s="144" t="s">
        <v>49</v>
      </c>
      <c r="D653" s="145"/>
      <c r="E653" s="146"/>
      <c r="F653" s="139"/>
      <c r="G653" s="139"/>
      <c r="H653" s="142">
        <f>IFERROR(VLOOKUP($C653,$C$5:$H$18,6,0)+SUMIF($C$19:$C653,$C653,$F$19:$F653)-SUMIF($C$19:$C653,$C653,$G$19:$G653),"")</f>
        <v>81211.819999998</v>
      </c>
      <c r="I653" s="22"/>
      <c r="J653" s="22"/>
      <c r="K653" s="22" t="str">
        <f t="shared" si="10"/>
        <v/>
      </c>
      <c r="L653" s="40"/>
      <c r="M653"/>
      <c r="N653"/>
      <c r="O653"/>
      <c r="P653"/>
      <c r="Q653"/>
      <c r="R653"/>
      <c r="S653"/>
      <c r="T653"/>
      <c r="U653"/>
      <c r="V653"/>
      <c r="W653" s="41"/>
      <c r="X653" s="41"/>
      <c r="Y653" s="41"/>
    </row>
    <row r="654" s="27" customFormat="1" ht="23" hidden="1" customHeight="1" spans="1:25">
      <c r="A654" s="133" t="str">
        <f>IF(B654="","",COUNTA($B$5:B654))</f>
        <v/>
      </c>
      <c r="B654" s="143"/>
      <c r="C654" s="144" t="s">
        <v>49</v>
      </c>
      <c r="D654" s="145"/>
      <c r="E654" s="146"/>
      <c r="F654" s="139"/>
      <c r="G654" s="139"/>
      <c r="H654" s="142">
        <f>IFERROR(VLOOKUP($C654,$C$5:$H$18,6,0)+SUMIF($C$19:$C654,$C654,$F$19:$F654)-SUMIF($C$19:$C654,$C654,$G$19:$G654),"")</f>
        <v>81211.819999998</v>
      </c>
      <c r="I654" s="22"/>
      <c r="J654" s="22"/>
      <c r="K654" s="22" t="str">
        <f t="shared" si="10"/>
        <v/>
      </c>
      <c r="L654" s="40"/>
      <c r="M654"/>
      <c r="N654"/>
      <c r="O654"/>
      <c r="P654"/>
      <c r="Q654"/>
      <c r="R654"/>
      <c r="S654"/>
      <c r="T654"/>
      <c r="U654"/>
      <c r="V654"/>
      <c r="W654" s="41"/>
      <c r="X654" s="41"/>
      <c r="Y654" s="41"/>
    </row>
    <row r="655" s="27" customFormat="1" ht="23" hidden="1" customHeight="1" spans="1:25">
      <c r="A655" s="133" t="str">
        <f>IF(B655="","",COUNTA($B$5:B655))</f>
        <v/>
      </c>
      <c r="B655" s="143"/>
      <c r="C655" s="144" t="s">
        <v>49</v>
      </c>
      <c r="D655" s="145"/>
      <c r="E655" s="146"/>
      <c r="F655" s="139"/>
      <c r="G655" s="139"/>
      <c r="H655" s="142">
        <f>IFERROR(VLOOKUP($C655,$C$5:$H$18,6,0)+SUMIF($C$19:$C655,$C655,$F$19:$F655)-SUMIF($C$19:$C655,$C655,$G$19:$G655),"")</f>
        <v>81211.819999998</v>
      </c>
      <c r="I655" s="22"/>
      <c r="J655" s="22"/>
      <c r="K655" s="22" t="str">
        <f t="shared" si="10"/>
        <v/>
      </c>
      <c r="L655" s="40"/>
      <c r="M655"/>
      <c r="N655"/>
      <c r="O655"/>
      <c r="P655"/>
      <c r="Q655"/>
      <c r="R655"/>
      <c r="S655"/>
      <c r="T655"/>
      <c r="U655"/>
      <c r="V655"/>
      <c r="W655" s="41"/>
      <c r="X655" s="41"/>
      <c r="Y655" s="41"/>
    </row>
    <row r="656" s="27" customFormat="1" ht="23" hidden="1" customHeight="1" spans="1:25">
      <c r="A656" s="133" t="str">
        <f>IF(B656="","",COUNTA($B$5:B656))</f>
        <v/>
      </c>
      <c r="B656" s="143"/>
      <c r="C656" s="144" t="s">
        <v>49</v>
      </c>
      <c r="D656" s="145"/>
      <c r="E656" s="146"/>
      <c r="F656" s="139"/>
      <c r="G656" s="139"/>
      <c r="H656" s="142">
        <f>IFERROR(VLOOKUP($C656,$C$5:$H$18,6,0)+SUMIF($C$19:$C656,$C656,$F$19:$F656)-SUMIF($C$19:$C656,$C656,$G$19:$G656),"")</f>
        <v>81211.819999998</v>
      </c>
      <c r="I656" s="22"/>
      <c r="J656" s="22"/>
      <c r="K656" s="22" t="str">
        <f t="shared" si="10"/>
        <v/>
      </c>
      <c r="L656" s="40"/>
      <c r="M656"/>
      <c r="N656"/>
      <c r="O656"/>
      <c r="P656"/>
      <c r="Q656"/>
      <c r="R656"/>
      <c r="S656"/>
      <c r="T656"/>
      <c r="U656"/>
      <c r="V656"/>
      <c r="W656" s="41"/>
      <c r="X656" s="41"/>
      <c r="Y656" s="41"/>
    </row>
    <row r="657" s="27" customFormat="1" ht="23" hidden="1" customHeight="1" spans="1:25">
      <c r="A657" s="133" t="str">
        <f>IF(B657="","",COUNTA($B$5:B657))</f>
        <v/>
      </c>
      <c r="B657" s="143"/>
      <c r="C657" s="144" t="s">
        <v>49</v>
      </c>
      <c r="D657" s="145"/>
      <c r="E657" s="146"/>
      <c r="F657" s="139"/>
      <c r="G657" s="139"/>
      <c r="H657" s="142">
        <f>IFERROR(VLOOKUP($C657,$C$5:$H$18,6,0)+SUMIF($C$19:$C657,$C657,$F$19:$F657)-SUMIF($C$19:$C657,$C657,$G$19:$G657),"")</f>
        <v>81211.819999998</v>
      </c>
      <c r="I657" s="22"/>
      <c r="J657" s="22"/>
      <c r="K657" s="22" t="str">
        <f t="shared" si="10"/>
        <v/>
      </c>
      <c r="L657" s="40"/>
      <c r="M657"/>
      <c r="N657"/>
      <c r="O657"/>
      <c r="P657"/>
      <c r="Q657"/>
      <c r="R657"/>
      <c r="S657"/>
      <c r="T657"/>
      <c r="U657"/>
      <c r="V657"/>
      <c r="W657" s="41"/>
      <c r="X657" s="41"/>
      <c r="Y657" s="41"/>
    </row>
    <row r="658" s="27" customFormat="1" ht="23" hidden="1" customHeight="1" spans="1:25">
      <c r="A658" s="133" t="str">
        <f>IF(B658="","",COUNTA($B$5:B658))</f>
        <v/>
      </c>
      <c r="B658" s="143"/>
      <c r="C658" s="144" t="s">
        <v>49</v>
      </c>
      <c r="D658" s="145"/>
      <c r="E658" s="146"/>
      <c r="F658" s="139"/>
      <c r="G658" s="139"/>
      <c r="H658" s="142">
        <f>IFERROR(VLOOKUP($C658,$C$5:$H$18,6,0)+SUMIF($C$19:$C658,$C658,$F$19:$F658)-SUMIF($C$19:$C658,$C658,$G$19:$G658),"")</f>
        <v>81211.819999998</v>
      </c>
      <c r="I658" s="22"/>
      <c r="J658" s="22"/>
      <c r="K658" s="22" t="str">
        <f t="shared" si="10"/>
        <v/>
      </c>
      <c r="L658" s="40"/>
      <c r="M658"/>
      <c r="N658"/>
      <c r="O658"/>
      <c r="P658"/>
      <c r="Q658"/>
      <c r="R658"/>
      <c r="S658"/>
      <c r="T658"/>
      <c r="U658"/>
      <c r="V658"/>
      <c r="W658" s="41"/>
      <c r="X658" s="41"/>
      <c r="Y658" s="41"/>
    </row>
    <row r="659" s="27" customFormat="1" ht="23" hidden="1" customHeight="1" spans="1:25">
      <c r="A659" s="133" t="str">
        <f>IF(B659="","",COUNTA($B$5:B659))</f>
        <v/>
      </c>
      <c r="B659" s="143"/>
      <c r="C659" s="144" t="s">
        <v>49</v>
      </c>
      <c r="D659" s="145"/>
      <c r="E659" s="146"/>
      <c r="F659" s="139"/>
      <c r="G659" s="139"/>
      <c r="H659" s="142">
        <f>IFERROR(VLOOKUP($C659,$C$5:$H$18,6,0)+SUMIF($C$19:$C659,$C659,$F$19:$F659)-SUMIF($C$19:$C659,$C659,$G$19:$G659),"")</f>
        <v>81211.819999998</v>
      </c>
      <c r="I659" s="22"/>
      <c r="J659" s="22"/>
      <c r="K659" s="22" t="str">
        <f t="shared" si="10"/>
        <v/>
      </c>
      <c r="L659" s="40"/>
      <c r="M659"/>
      <c r="N659"/>
      <c r="O659"/>
      <c r="P659"/>
      <c r="Q659"/>
      <c r="R659"/>
      <c r="S659"/>
      <c r="T659"/>
      <c r="U659"/>
      <c r="V659"/>
      <c r="W659" s="41"/>
      <c r="X659" s="41"/>
      <c r="Y659" s="41"/>
    </row>
    <row r="660" s="27" customFormat="1" ht="23" hidden="1" customHeight="1" spans="1:25">
      <c r="A660" s="133" t="str">
        <f>IF(B660="","",COUNTA($B$5:B660))</f>
        <v/>
      </c>
      <c r="B660" s="143"/>
      <c r="C660" s="144" t="s">
        <v>49</v>
      </c>
      <c r="D660" s="145"/>
      <c r="E660" s="146"/>
      <c r="F660" s="139"/>
      <c r="G660" s="139"/>
      <c r="H660" s="142">
        <f>IFERROR(VLOOKUP($C660,$C$5:$H$18,6,0)+SUMIF($C$19:$C660,$C660,$F$19:$F660)-SUMIF($C$19:$C660,$C660,$G$19:$G660),"")</f>
        <v>81211.819999998</v>
      </c>
      <c r="I660" s="22"/>
      <c r="J660" s="22"/>
      <c r="K660" s="22" t="str">
        <f t="shared" si="10"/>
        <v/>
      </c>
      <c r="L660" s="40"/>
      <c r="M660"/>
      <c r="N660"/>
      <c r="O660"/>
      <c r="P660"/>
      <c r="Q660"/>
      <c r="R660"/>
      <c r="S660"/>
      <c r="T660"/>
      <c r="U660"/>
      <c r="V660"/>
      <c r="W660" s="41"/>
      <c r="X660" s="41"/>
      <c r="Y660" s="41"/>
    </row>
    <row r="661" s="27" customFormat="1" ht="23" hidden="1" customHeight="1" spans="1:25">
      <c r="A661" s="133" t="str">
        <f>IF(B661="","",COUNTA($B$5:B661))</f>
        <v/>
      </c>
      <c r="B661" s="143"/>
      <c r="C661" s="144" t="s">
        <v>49</v>
      </c>
      <c r="D661" s="145"/>
      <c r="E661" s="146"/>
      <c r="F661" s="139"/>
      <c r="G661" s="139"/>
      <c r="H661" s="142">
        <f>IFERROR(VLOOKUP($C661,$C$5:$H$18,6,0)+SUMIF($C$19:$C661,$C661,$F$19:$F661)-SUMIF($C$19:$C661,$C661,$G$19:$G661),"")</f>
        <v>81211.819999998</v>
      </c>
      <c r="I661" s="22"/>
      <c r="J661" s="22"/>
      <c r="K661" s="22" t="str">
        <f t="shared" si="10"/>
        <v/>
      </c>
      <c r="L661" s="40"/>
      <c r="M661"/>
      <c r="N661"/>
      <c r="O661"/>
      <c r="P661"/>
      <c r="Q661"/>
      <c r="R661"/>
      <c r="S661"/>
      <c r="T661"/>
      <c r="U661"/>
      <c r="V661"/>
      <c r="W661" s="41"/>
      <c r="X661" s="41"/>
      <c r="Y661" s="41"/>
    </row>
    <row r="662" s="27" customFormat="1" ht="23" hidden="1" customHeight="1" spans="1:25">
      <c r="A662" s="133" t="str">
        <f>IF(B662="","",COUNTA($B$5:B662))</f>
        <v/>
      </c>
      <c r="B662" s="143"/>
      <c r="C662" s="144" t="s">
        <v>49</v>
      </c>
      <c r="D662" s="145"/>
      <c r="E662" s="146"/>
      <c r="F662" s="139"/>
      <c r="G662" s="139"/>
      <c r="H662" s="142">
        <f>IFERROR(VLOOKUP($C662,$C$5:$H$18,6,0)+SUMIF($C$19:$C662,$C662,$F$19:$F662)-SUMIF($C$19:$C662,$C662,$G$19:$G662),"")</f>
        <v>81211.819999998</v>
      </c>
      <c r="I662" s="22"/>
      <c r="J662" s="22"/>
      <c r="K662" s="22" t="str">
        <f t="shared" si="10"/>
        <v/>
      </c>
      <c r="L662" s="40"/>
      <c r="M662"/>
      <c r="N662"/>
      <c r="O662"/>
      <c r="P662"/>
      <c r="Q662"/>
      <c r="R662"/>
      <c r="S662"/>
      <c r="T662"/>
      <c r="U662"/>
      <c r="V662"/>
      <c r="W662" s="41"/>
      <c r="X662" s="41"/>
      <c r="Y662" s="41"/>
    </row>
    <row r="663" s="27" customFormat="1" ht="23" hidden="1" customHeight="1" spans="1:25">
      <c r="A663" s="133" t="str">
        <f>IF(B663="","",COUNTA($B$5:B663))</f>
        <v/>
      </c>
      <c r="B663" s="143"/>
      <c r="C663" s="144" t="s">
        <v>49</v>
      </c>
      <c r="D663" s="145"/>
      <c r="E663" s="146"/>
      <c r="F663" s="139"/>
      <c r="G663" s="139"/>
      <c r="H663" s="142">
        <f>IFERROR(VLOOKUP($C663,$C$5:$H$18,6,0)+SUMIF($C$19:$C663,$C663,$F$19:$F663)-SUMIF($C$19:$C663,$C663,$G$19:$G663),"")</f>
        <v>81211.819999998</v>
      </c>
      <c r="I663" s="22"/>
      <c r="J663" s="22"/>
      <c r="K663" s="22" t="str">
        <f t="shared" si="10"/>
        <v/>
      </c>
      <c r="L663" s="40"/>
      <c r="M663"/>
      <c r="N663"/>
      <c r="O663"/>
      <c r="P663"/>
      <c r="Q663"/>
      <c r="R663"/>
      <c r="S663"/>
      <c r="T663"/>
      <c r="U663"/>
      <c r="V663"/>
      <c r="W663" s="41"/>
      <c r="X663" s="41"/>
      <c r="Y663" s="41"/>
    </row>
    <row r="664" s="27" customFormat="1" ht="23" hidden="1" customHeight="1" spans="1:25">
      <c r="A664" s="133" t="str">
        <f>IF(B664="","",COUNTA($B$5:B664))</f>
        <v/>
      </c>
      <c r="B664" s="143"/>
      <c r="C664" s="144" t="s">
        <v>49</v>
      </c>
      <c r="D664" s="145"/>
      <c r="E664" s="146"/>
      <c r="F664" s="139"/>
      <c r="G664" s="139"/>
      <c r="H664" s="142">
        <f>IFERROR(VLOOKUP($C664,$C$5:$H$18,6,0)+SUMIF($C$19:$C664,$C664,$F$19:$F664)-SUMIF($C$19:$C664,$C664,$G$19:$G664),"")</f>
        <v>81211.819999998</v>
      </c>
      <c r="I664" s="22"/>
      <c r="J664" s="22"/>
      <c r="K664" s="22" t="str">
        <f t="shared" si="10"/>
        <v/>
      </c>
      <c r="L664" s="40"/>
      <c r="M664"/>
      <c r="N664"/>
      <c r="O664"/>
      <c r="P664"/>
      <c r="Q664"/>
      <c r="R664"/>
      <c r="S664"/>
      <c r="T664"/>
      <c r="U664"/>
      <c r="V664"/>
      <c r="W664" s="41"/>
      <c r="X664" s="41"/>
      <c r="Y664" s="41"/>
    </row>
    <row r="665" s="27" customFormat="1" ht="23" hidden="1" customHeight="1" spans="1:25">
      <c r="A665" s="133" t="str">
        <f>IF(B665="","",COUNTA($B$5:B665))</f>
        <v/>
      </c>
      <c r="B665" s="143"/>
      <c r="C665" s="144" t="s">
        <v>49</v>
      </c>
      <c r="D665" s="145"/>
      <c r="E665" s="146"/>
      <c r="F665" s="139"/>
      <c r="G665" s="139"/>
      <c r="H665" s="142">
        <f>IFERROR(VLOOKUP($C665,$C$5:$H$18,6,0)+SUMIF($C$19:$C665,$C665,$F$19:$F665)-SUMIF($C$19:$C665,$C665,$G$19:$G665),"")</f>
        <v>81211.819999998</v>
      </c>
      <c r="I665" s="22"/>
      <c r="J665" s="22"/>
      <c r="K665" s="22" t="str">
        <f t="shared" si="10"/>
        <v/>
      </c>
      <c r="L665" s="40"/>
      <c r="M665"/>
      <c r="N665"/>
      <c r="O665"/>
      <c r="P665"/>
      <c r="Q665"/>
      <c r="R665"/>
      <c r="S665"/>
      <c r="T665"/>
      <c r="U665"/>
      <c r="V665"/>
      <c r="W665" s="41"/>
      <c r="X665" s="41"/>
      <c r="Y665" s="41"/>
    </row>
    <row r="666" s="27" customFormat="1" ht="23" hidden="1" customHeight="1" spans="1:25">
      <c r="A666" s="133" t="str">
        <f>IF(B666="","",COUNTA($B$5:B666))</f>
        <v/>
      </c>
      <c r="B666" s="143"/>
      <c r="C666" s="144" t="s">
        <v>49</v>
      </c>
      <c r="D666" s="145"/>
      <c r="E666" s="146"/>
      <c r="F666" s="139"/>
      <c r="G666" s="139"/>
      <c r="H666" s="142">
        <f>IFERROR(VLOOKUP($C666,$C$5:$H$18,6,0)+SUMIF($C$19:$C666,$C666,$F$19:$F666)-SUMIF($C$19:$C666,$C666,$G$19:$G666),"")</f>
        <v>81211.819999998</v>
      </c>
      <c r="I666" s="22"/>
      <c r="J666" s="22"/>
      <c r="K666" s="22" t="str">
        <f t="shared" si="10"/>
        <v/>
      </c>
      <c r="L666" s="40"/>
      <c r="M666"/>
      <c r="N666"/>
      <c r="O666"/>
      <c r="P666"/>
      <c r="Q666"/>
      <c r="R666"/>
      <c r="S666"/>
      <c r="T666"/>
      <c r="U666"/>
      <c r="V666"/>
      <c r="W666" s="41"/>
      <c r="X666" s="41"/>
      <c r="Y666" s="41"/>
    </row>
    <row r="667" s="27" customFormat="1" ht="23" hidden="1" customHeight="1" spans="1:25">
      <c r="A667" s="133" t="str">
        <f>IF(B667="","",COUNTA($B$5:B667))</f>
        <v/>
      </c>
      <c r="B667" s="143"/>
      <c r="C667" s="144" t="s">
        <v>49</v>
      </c>
      <c r="D667" s="145"/>
      <c r="E667" s="146"/>
      <c r="F667" s="139"/>
      <c r="G667" s="139"/>
      <c r="H667" s="142">
        <f>IFERROR(VLOOKUP($C667,$C$5:$H$18,6,0)+SUMIF($C$19:$C667,$C667,$F$19:$F667)-SUMIF($C$19:$C667,$C667,$G$19:$G667),"")</f>
        <v>81211.819999998</v>
      </c>
      <c r="I667" s="22"/>
      <c r="J667" s="22"/>
      <c r="K667" s="22" t="str">
        <f t="shared" si="10"/>
        <v/>
      </c>
      <c r="L667" s="40"/>
      <c r="M667"/>
      <c r="N667"/>
      <c r="O667"/>
      <c r="P667"/>
      <c r="Q667"/>
      <c r="R667"/>
      <c r="S667"/>
      <c r="T667"/>
      <c r="U667"/>
      <c r="V667"/>
      <c r="W667" s="41"/>
      <c r="X667" s="41"/>
      <c r="Y667" s="41"/>
    </row>
    <row r="668" s="27" customFormat="1" ht="23" hidden="1" customHeight="1" spans="1:25">
      <c r="A668" s="133" t="str">
        <f>IF(B668="","",COUNTA($B$5:B668))</f>
        <v/>
      </c>
      <c r="B668" s="143"/>
      <c r="C668" s="144" t="s">
        <v>49</v>
      </c>
      <c r="D668" s="145"/>
      <c r="E668" s="146"/>
      <c r="F668" s="139"/>
      <c r="G668" s="139"/>
      <c r="H668" s="142">
        <f>IFERROR(VLOOKUP($C668,$C$5:$H$18,6,0)+SUMIF($C$19:$C668,$C668,$F$19:$F668)-SUMIF($C$19:$C668,$C668,$G$19:$G668),"")</f>
        <v>81211.819999998</v>
      </c>
      <c r="I668" s="22"/>
      <c r="J668" s="22"/>
      <c r="K668" s="22" t="str">
        <f t="shared" si="10"/>
        <v/>
      </c>
      <c r="L668" s="40"/>
      <c r="M668"/>
      <c r="N668"/>
      <c r="O668"/>
      <c r="P668"/>
      <c r="Q668"/>
      <c r="R668"/>
      <c r="S668"/>
      <c r="T668"/>
      <c r="U668"/>
      <c r="V668"/>
      <c r="W668" s="41"/>
      <c r="X668" s="41"/>
      <c r="Y668" s="41"/>
    </row>
    <row r="669" s="27" customFormat="1" ht="23" hidden="1" customHeight="1" spans="1:25">
      <c r="A669" s="133" t="str">
        <f>IF(B669="","",COUNTA($B$5:B669))</f>
        <v/>
      </c>
      <c r="B669" s="143"/>
      <c r="C669" s="144" t="s">
        <v>49</v>
      </c>
      <c r="D669" s="145"/>
      <c r="E669" s="146"/>
      <c r="F669" s="139"/>
      <c r="G669" s="139"/>
      <c r="H669" s="142">
        <f>IFERROR(VLOOKUP($C669,$C$5:$H$18,6,0)+SUMIF($C$19:$C669,$C669,$F$19:$F669)-SUMIF($C$19:$C669,$C669,$G$19:$G669),"")</f>
        <v>81211.819999998</v>
      </c>
      <c r="I669" s="22"/>
      <c r="J669" s="22"/>
      <c r="K669" s="22" t="str">
        <f t="shared" si="10"/>
        <v/>
      </c>
      <c r="L669" s="40"/>
      <c r="M669"/>
      <c r="N669"/>
      <c r="O669"/>
      <c r="P669"/>
      <c r="Q669"/>
      <c r="R669"/>
      <c r="S669"/>
      <c r="T669"/>
      <c r="U669"/>
      <c r="V669"/>
      <c r="W669" s="41"/>
      <c r="X669" s="41"/>
      <c r="Y669" s="41"/>
    </row>
    <row r="670" s="27" customFormat="1" ht="23" hidden="1" customHeight="1" spans="1:25">
      <c r="A670" s="133" t="str">
        <f>IF(B670="","",COUNTA($B$5:B670))</f>
        <v/>
      </c>
      <c r="B670" s="143"/>
      <c r="C670" s="144" t="s">
        <v>49</v>
      </c>
      <c r="D670" s="145"/>
      <c r="E670" s="146"/>
      <c r="F670" s="139"/>
      <c r="G670" s="139"/>
      <c r="H670" s="142">
        <f>IFERROR(VLOOKUP($C670,$C$5:$H$18,6,0)+SUMIF($C$19:$C670,$C670,$F$19:$F670)-SUMIF($C$19:$C670,$C670,$G$19:$G670),"")</f>
        <v>81211.819999998</v>
      </c>
      <c r="I670" s="22"/>
      <c r="J670" s="22"/>
      <c r="K670" s="22" t="str">
        <f t="shared" si="10"/>
        <v/>
      </c>
      <c r="L670" s="40"/>
      <c r="M670"/>
      <c r="N670"/>
      <c r="O670"/>
      <c r="P670"/>
      <c r="Q670"/>
      <c r="R670"/>
      <c r="S670"/>
      <c r="T670"/>
      <c r="U670"/>
      <c r="V670"/>
      <c r="W670" s="41"/>
      <c r="X670" s="41"/>
      <c r="Y670" s="41"/>
    </row>
    <row r="671" s="27" customFormat="1" ht="23" hidden="1" customHeight="1" spans="1:25">
      <c r="A671" s="133" t="str">
        <f>IF(B671="","",COUNTA($B$5:B671))</f>
        <v/>
      </c>
      <c r="B671" s="143"/>
      <c r="C671" s="144" t="s">
        <v>49</v>
      </c>
      <c r="D671" s="145"/>
      <c r="E671" s="146"/>
      <c r="F671" s="139"/>
      <c r="G671" s="139"/>
      <c r="H671" s="142">
        <f>IFERROR(VLOOKUP($C671,$C$5:$H$18,6,0)+SUMIF($C$19:$C671,$C671,$F$19:$F671)-SUMIF($C$19:$C671,$C671,$G$19:$G671),"")</f>
        <v>81211.819999998</v>
      </c>
      <c r="I671" s="22"/>
      <c r="J671" s="22"/>
      <c r="K671" s="22" t="str">
        <f t="shared" si="10"/>
        <v/>
      </c>
      <c r="L671" s="40"/>
      <c r="M671"/>
      <c r="N671"/>
      <c r="O671"/>
      <c r="P671"/>
      <c r="Q671"/>
      <c r="R671"/>
      <c r="S671"/>
      <c r="T671"/>
      <c r="U671"/>
      <c r="V671"/>
      <c r="W671" s="41"/>
      <c r="X671" s="41"/>
      <c r="Y671" s="41"/>
    </row>
    <row r="672" s="27" customFormat="1" ht="23" hidden="1" customHeight="1" spans="1:25">
      <c r="A672" s="133" t="str">
        <f>IF(B672="","",COUNTA($B$5:B672))</f>
        <v/>
      </c>
      <c r="B672" s="143"/>
      <c r="C672" s="144" t="s">
        <v>49</v>
      </c>
      <c r="D672" s="145"/>
      <c r="E672" s="146"/>
      <c r="F672" s="139"/>
      <c r="G672" s="139"/>
      <c r="H672" s="142">
        <f>IFERROR(VLOOKUP($C672,$C$5:$H$18,6,0)+SUMIF($C$19:$C672,$C672,$F$19:$F672)-SUMIF($C$19:$C672,$C672,$G$19:$G672),"")</f>
        <v>81211.819999998</v>
      </c>
      <c r="I672" s="22"/>
      <c r="J672" s="22"/>
      <c r="K672" s="22" t="str">
        <f t="shared" si="10"/>
        <v/>
      </c>
      <c r="L672" s="40"/>
      <c r="M672"/>
      <c r="N672"/>
      <c r="O672"/>
      <c r="P672"/>
      <c r="Q672"/>
      <c r="R672"/>
      <c r="S672"/>
      <c r="T672"/>
      <c r="U672"/>
      <c r="V672"/>
      <c r="W672" s="41"/>
      <c r="X672" s="41"/>
      <c r="Y672" s="41"/>
    </row>
    <row r="673" s="27" customFormat="1" ht="23" hidden="1" customHeight="1" spans="1:25">
      <c r="A673" s="133" t="str">
        <f>IF(B673="","",COUNTA($B$5:B673))</f>
        <v/>
      </c>
      <c r="B673" s="143"/>
      <c r="C673" s="144" t="s">
        <v>49</v>
      </c>
      <c r="D673" s="145"/>
      <c r="E673" s="146"/>
      <c r="F673" s="139"/>
      <c r="G673" s="139"/>
      <c r="H673" s="142">
        <f>IFERROR(VLOOKUP($C673,$C$5:$H$18,6,0)+SUMIF($C$19:$C673,$C673,$F$19:$F673)-SUMIF($C$19:$C673,$C673,$G$19:$G673),"")</f>
        <v>81211.819999998</v>
      </c>
      <c r="I673" s="22"/>
      <c r="J673" s="22"/>
      <c r="K673" s="22" t="str">
        <f t="shared" si="10"/>
        <v/>
      </c>
      <c r="L673" s="40"/>
      <c r="M673"/>
      <c r="N673"/>
      <c r="O673"/>
      <c r="P673"/>
      <c r="Q673"/>
      <c r="R673"/>
      <c r="S673"/>
      <c r="T673"/>
      <c r="U673"/>
      <c r="V673"/>
      <c r="W673" s="41"/>
      <c r="X673" s="41"/>
      <c r="Y673" s="41"/>
    </row>
    <row r="674" s="27" customFormat="1" ht="23" hidden="1" customHeight="1" spans="1:25">
      <c r="A674" s="133" t="str">
        <f>IF(B674="","",COUNTA($B$5:B674))</f>
        <v/>
      </c>
      <c r="B674" s="143"/>
      <c r="C674" s="144" t="s">
        <v>49</v>
      </c>
      <c r="D674" s="145"/>
      <c r="E674" s="146"/>
      <c r="F674" s="139"/>
      <c r="G674" s="139"/>
      <c r="H674" s="142">
        <f>IFERROR(VLOOKUP($C674,$C$5:$H$18,6,0)+SUMIF($C$19:$C674,$C674,$F$19:$F674)-SUMIF($C$19:$C674,$C674,$G$19:$G674),"")</f>
        <v>81211.819999998</v>
      </c>
      <c r="I674" s="22"/>
      <c r="J674" s="22"/>
      <c r="K674" s="22" t="str">
        <f t="shared" si="10"/>
        <v/>
      </c>
      <c r="L674" s="40"/>
      <c r="M674"/>
      <c r="N674"/>
      <c r="O674"/>
      <c r="P674"/>
      <c r="Q674"/>
      <c r="R674"/>
      <c r="S674"/>
      <c r="T674"/>
      <c r="U674"/>
      <c r="V674"/>
      <c r="W674" s="41"/>
      <c r="X674" s="41"/>
      <c r="Y674" s="41"/>
    </row>
    <row r="675" s="27" customFormat="1" ht="23" hidden="1" customHeight="1" spans="1:25">
      <c r="A675" s="133" t="str">
        <f>IF(B675="","",COUNTA($B$5:B675))</f>
        <v/>
      </c>
      <c r="B675" s="143"/>
      <c r="C675" s="144" t="s">
        <v>49</v>
      </c>
      <c r="D675" s="145"/>
      <c r="E675" s="146"/>
      <c r="F675" s="139"/>
      <c r="G675" s="139"/>
      <c r="H675" s="142">
        <f>IFERROR(VLOOKUP($C675,$C$5:$H$18,6,0)+SUMIF($C$19:$C675,$C675,$F$19:$F675)-SUMIF($C$19:$C675,$C675,$G$19:$G675),"")</f>
        <v>81211.819999998</v>
      </c>
      <c r="I675" s="22"/>
      <c r="J675" s="22"/>
      <c r="K675" s="22" t="str">
        <f t="shared" si="10"/>
        <v/>
      </c>
      <c r="L675" s="40"/>
      <c r="M675"/>
      <c r="N675"/>
      <c r="O675"/>
      <c r="P675"/>
      <c r="Q675"/>
      <c r="R675"/>
      <c r="S675"/>
      <c r="T675"/>
      <c r="U675"/>
      <c r="V675"/>
      <c r="W675" s="41"/>
      <c r="X675" s="41"/>
      <c r="Y675" s="41"/>
    </row>
    <row r="676" s="27" customFormat="1" ht="23" hidden="1" customHeight="1" spans="1:25">
      <c r="A676" s="133" t="str">
        <f>IF(B676="","",COUNTA($B$5:B676))</f>
        <v/>
      </c>
      <c r="B676" s="143"/>
      <c r="C676" s="144" t="s">
        <v>49</v>
      </c>
      <c r="D676" s="145"/>
      <c r="E676" s="146"/>
      <c r="F676" s="139"/>
      <c r="G676" s="139"/>
      <c r="H676" s="142">
        <f>IFERROR(VLOOKUP($C676,$C$5:$H$18,6,0)+SUMIF($C$19:$C676,$C676,$F$19:$F676)-SUMIF($C$19:$C676,$C676,$G$19:$G676),"")</f>
        <v>81211.819999998</v>
      </c>
      <c r="I676" s="22"/>
      <c r="J676" s="22"/>
      <c r="K676" s="22" t="str">
        <f t="shared" si="10"/>
        <v/>
      </c>
      <c r="L676" s="40"/>
      <c r="M676"/>
      <c r="N676"/>
      <c r="O676"/>
      <c r="P676"/>
      <c r="Q676"/>
      <c r="R676"/>
      <c r="S676"/>
      <c r="T676"/>
      <c r="U676"/>
      <c r="V676"/>
      <c r="W676" s="41"/>
      <c r="X676" s="41"/>
      <c r="Y676" s="41"/>
    </row>
    <row r="677" s="27" customFormat="1" ht="23" hidden="1" customHeight="1" spans="1:25">
      <c r="A677" s="133" t="str">
        <f>IF(B677="","",COUNTA($B$5:B677))</f>
        <v/>
      </c>
      <c r="B677" s="143"/>
      <c r="C677" s="144" t="s">
        <v>49</v>
      </c>
      <c r="D677" s="145"/>
      <c r="E677" s="146"/>
      <c r="F677" s="139"/>
      <c r="G677" s="139"/>
      <c r="H677" s="142">
        <f>IFERROR(VLOOKUP($C677,$C$5:$H$18,6,0)+SUMIF($C$19:$C677,$C677,$F$19:$F677)-SUMIF($C$19:$C677,$C677,$G$19:$G677),"")</f>
        <v>81211.819999998</v>
      </c>
      <c r="I677" s="22"/>
      <c r="J677" s="22"/>
      <c r="K677" s="22" t="str">
        <f t="shared" si="10"/>
        <v/>
      </c>
      <c r="L677" s="40"/>
      <c r="M677"/>
      <c r="N677"/>
      <c r="O677"/>
      <c r="P677"/>
      <c r="Q677"/>
      <c r="R677"/>
      <c r="S677"/>
      <c r="T677"/>
      <c r="U677"/>
      <c r="V677"/>
      <c r="W677" s="41"/>
      <c r="X677" s="41"/>
      <c r="Y677" s="41"/>
    </row>
    <row r="678" s="27" customFormat="1" ht="23" hidden="1" customHeight="1" spans="1:25">
      <c r="A678" s="133" t="str">
        <f>IF(B678="","",COUNTA($B$5:B678))</f>
        <v/>
      </c>
      <c r="B678" s="143"/>
      <c r="C678" s="144" t="s">
        <v>49</v>
      </c>
      <c r="D678" s="145"/>
      <c r="E678" s="146"/>
      <c r="F678" s="139"/>
      <c r="G678" s="139"/>
      <c r="H678" s="142">
        <f>IFERROR(VLOOKUP($C678,$C$5:$H$18,6,0)+SUMIF($C$19:$C678,$C678,$F$19:$F678)-SUMIF($C$19:$C678,$C678,$G$19:$G678),"")</f>
        <v>81211.819999998</v>
      </c>
      <c r="I678" s="22"/>
      <c r="J678" s="22"/>
      <c r="K678" s="22" t="str">
        <f t="shared" si="10"/>
        <v/>
      </c>
      <c r="L678" s="40"/>
      <c r="M678"/>
      <c r="N678"/>
      <c r="O678"/>
      <c r="P678"/>
      <c r="Q678"/>
      <c r="R678"/>
      <c r="S678"/>
      <c r="T678"/>
      <c r="U678"/>
      <c r="V678"/>
      <c r="W678" s="41"/>
      <c r="X678" s="41"/>
      <c r="Y678" s="41"/>
    </row>
    <row r="679" s="27" customFormat="1" ht="23" hidden="1" customHeight="1" spans="1:25">
      <c r="A679" s="133" t="str">
        <f>IF(B679="","",COUNTA($B$5:B679))</f>
        <v/>
      </c>
      <c r="B679" s="143"/>
      <c r="C679" s="144" t="s">
        <v>49</v>
      </c>
      <c r="D679" s="145"/>
      <c r="E679" s="146"/>
      <c r="F679" s="139"/>
      <c r="G679" s="139"/>
      <c r="H679" s="142">
        <f>IFERROR(VLOOKUP($C679,$C$5:$H$18,6,0)+SUMIF($C$19:$C679,$C679,$F$19:$F679)-SUMIF($C$19:$C679,$C679,$G$19:$G679),"")</f>
        <v>81211.819999998</v>
      </c>
      <c r="I679" s="22"/>
      <c r="J679" s="22"/>
      <c r="K679" s="22" t="str">
        <f t="shared" si="10"/>
        <v/>
      </c>
      <c r="L679" s="40"/>
      <c r="M679"/>
      <c r="N679"/>
      <c r="O679"/>
      <c r="P679"/>
      <c r="Q679"/>
      <c r="R679"/>
      <c r="S679"/>
      <c r="T679"/>
      <c r="U679"/>
      <c r="V679"/>
      <c r="W679" s="41"/>
      <c r="X679" s="41"/>
      <c r="Y679" s="41"/>
    </row>
    <row r="680" s="27" customFormat="1" ht="23" hidden="1" customHeight="1" spans="1:25">
      <c r="A680" s="133" t="str">
        <f>IF(B680="","",COUNTA($B$5:B680))</f>
        <v/>
      </c>
      <c r="B680" s="143"/>
      <c r="C680" s="144" t="s">
        <v>49</v>
      </c>
      <c r="D680" s="145"/>
      <c r="E680" s="146"/>
      <c r="F680" s="139"/>
      <c r="G680" s="139"/>
      <c r="H680" s="142">
        <f>IFERROR(VLOOKUP($C680,$C$5:$H$18,6,0)+SUMIF($C$19:$C680,$C680,$F$19:$F680)-SUMIF($C$19:$C680,$C680,$G$19:$G680),"")</f>
        <v>81211.819999998</v>
      </c>
      <c r="I680" s="22"/>
      <c r="J680" s="22"/>
      <c r="K680" s="22" t="str">
        <f t="shared" si="10"/>
        <v/>
      </c>
      <c r="L680" s="40"/>
      <c r="M680"/>
      <c r="N680"/>
      <c r="O680"/>
      <c r="P680"/>
      <c r="Q680"/>
      <c r="R680"/>
      <c r="S680"/>
      <c r="T680"/>
      <c r="U680"/>
      <c r="V680"/>
      <c r="W680" s="41"/>
      <c r="X680" s="41"/>
      <c r="Y680" s="41"/>
    </row>
    <row r="681" s="27" customFormat="1" ht="23" hidden="1" customHeight="1" spans="1:25">
      <c r="A681" s="133" t="str">
        <f>IF(B681="","",COUNTA($B$5:B681))</f>
        <v/>
      </c>
      <c r="B681" s="143"/>
      <c r="C681" s="144" t="s">
        <v>49</v>
      </c>
      <c r="D681" s="145"/>
      <c r="E681" s="146"/>
      <c r="F681" s="139"/>
      <c r="G681" s="139"/>
      <c r="H681" s="142">
        <f>IFERROR(VLOOKUP($C681,$C$5:$H$18,6,0)+SUMIF($C$19:$C681,$C681,$F$19:$F681)-SUMIF($C$19:$C681,$C681,$G$19:$G681),"")</f>
        <v>81211.819999998</v>
      </c>
      <c r="I681" s="22"/>
      <c r="J681" s="22"/>
      <c r="K681" s="22" t="str">
        <f t="shared" si="10"/>
        <v/>
      </c>
      <c r="L681" s="40"/>
      <c r="M681"/>
      <c r="N681"/>
      <c r="O681"/>
      <c r="P681"/>
      <c r="Q681"/>
      <c r="R681"/>
      <c r="S681"/>
      <c r="T681"/>
      <c r="U681"/>
      <c r="V681"/>
      <c r="W681" s="41"/>
      <c r="X681" s="41"/>
      <c r="Y681" s="41"/>
    </row>
    <row r="682" s="27" customFormat="1" ht="23" hidden="1" customHeight="1" spans="1:25">
      <c r="A682" s="133" t="str">
        <f>IF(B682="","",COUNTA($B$5:B682))</f>
        <v/>
      </c>
      <c r="B682" s="143"/>
      <c r="C682" s="144" t="s">
        <v>49</v>
      </c>
      <c r="D682" s="145"/>
      <c r="E682" s="146"/>
      <c r="F682" s="139"/>
      <c r="G682" s="139"/>
      <c r="H682" s="142">
        <f>IFERROR(VLOOKUP($C682,$C$5:$H$18,6,0)+SUMIF($C$19:$C682,$C682,$F$19:$F682)-SUMIF($C$19:$C682,$C682,$G$19:$G682),"")</f>
        <v>81211.819999998</v>
      </c>
      <c r="I682" s="22"/>
      <c r="J682" s="22"/>
      <c r="K682" s="22" t="str">
        <f t="shared" si="10"/>
        <v/>
      </c>
      <c r="L682" s="40"/>
      <c r="M682"/>
      <c r="N682"/>
      <c r="O682"/>
      <c r="P682"/>
      <c r="Q682"/>
      <c r="R682"/>
      <c r="S682"/>
      <c r="T682"/>
      <c r="U682"/>
      <c r="V682"/>
      <c r="W682" s="41"/>
      <c r="X682" s="41"/>
      <c r="Y682" s="41"/>
    </row>
    <row r="683" s="27" customFormat="1" ht="23" hidden="1" customHeight="1" spans="1:25">
      <c r="A683" s="133" t="str">
        <f>IF(B683="","",COUNTA($B$5:B683))</f>
        <v/>
      </c>
      <c r="B683" s="143"/>
      <c r="C683" s="144" t="s">
        <v>49</v>
      </c>
      <c r="D683" s="145"/>
      <c r="E683" s="146"/>
      <c r="F683" s="139"/>
      <c r="G683" s="139"/>
      <c r="H683" s="142">
        <f>IFERROR(VLOOKUP($C683,$C$5:$H$18,6,0)+SUMIF($C$19:$C683,$C683,$F$19:$F683)-SUMIF($C$19:$C683,$C683,$G$19:$G683),"")</f>
        <v>81211.819999998</v>
      </c>
      <c r="I683" s="22"/>
      <c r="J683" s="22"/>
      <c r="K683" s="22" t="str">
        <f t="shared" si="10"/>
        <v/>
      </c>
      <c r="L683" s="40"/>
      <c r="M683"/>
      <c r="N683"/>
      <c r="O683"/>
      <c r="P683"/>
      <c r="Q683"/>
      <c r="R683"/>
      <c r="S683"/>
      <c r="T683"/>
      <c r="U683"/>
      <c r="V683"/>
      <c r="W683" s="41"/>
      <c r="X683" s="41"/>
      <c r="Y683" s="41"/>
    </row>
    <row r="684" s="27" customFormat="1" ht="23" hidden="1" customHeight="1" spans="1:25">
      <c r="A684" s="133" t="str">
        <f>IF(B684="","",COUNTA($B$5:B684))</f>
        <v/>
      </c>
      <c r="B684" s="143"/>
      <c r="C684" s="144" t="s">
        <v>49</v>
      </c>
      <c r="D684" s="145"/>
      <c r="E684" s="146"/>
      <c r="F684" s="139"/>
      <c r="G684" s="139"/>
      <c r="H684" s="142">
        <f>IFERROR(VLOOKUP($C684,$C$5:$H$18,6,0)+SUMIF($C$19:$C684,$C684,$F$19:$F684)-SUMIF($C$19:$C684,$C684,$G$19:$G684),"")</f>
        <v>81211.819999998</v>
      </c>
      <c r="I684" s="22"/>
      <c r="J684" s="22"/>
      <c r="K684" s="22" t="str">
        <f t="shared" si="10"/>
        <v/>
      </c>
      <c r="L684" s="40"/>
      <c r="M684"/>
      <c r="N684"/>
      <c r="O684"/>
      <c r="P684"/>
      <c r="Q684"/>
      <c r="R684"/>
      <c r="S684"/>
      <c r="T684"/>
      <c r="U684"/>
      <c r="V684"/>
      <c r="W684" s="41"/>
      <c r="X684" s="41"/>
      <c r="Y684" s="41"/>
    </row>
    <row r="685" s="27" customFormat="1" ht="23" hidden="1" customHeight="1" spans="1:25">
      <c r="A685" s="133" t="str">
        <f>IF(B685="","",COUNTA($B$5:B685))</f>
        <v/>
      </c>
      <c r="B685" s="143"/>
      <c r="C685" s="144" t="s">
        <v>49</v>
      </c>
      <c r="D685" s="145"/>
      <c r="E685" s="146"/>
      <c r="F685" s="139"/>
      <c r="G685" s="139"/>
      <c r="H685" s="142">
        <f>IFERROR(VLOOKUP($C685,$C$5:$H$18,6,0)+SUMIF($C$19:$C685,$C685,$F$19:$F685)-SUMIF($C$19:$C685,$C685,$G$19:$G685),"")</f>
        <v>81211.819999998</v>
      </c>
      <c r="I685" s="22"/>
      <c r="J685" s="22"/>
      <c r="K685" s="22" t="str">
        <f t="shared" si="10"/>
        <v/>
      </c>
      <c r="L685" s="40"/>
      <c r="M685"/>
      <c r="N685"/>
      <c r="O685"/>
      <c r="P685"/>
      <c r="Q685"/>
      <c r="R685"/>
      <c r="S685"/>
      <c r="T685"/>
      <c r="U685"/>
      <c r="V685"/>
      <c r="W685" s="41"/>
      <c r="X685" s="41"/>
      <c r="Y685" s="41"/>
    </row>
    <row r="686" s="27" customFormat="1" ht="23" hidden="1" customHeight="1" spans="1:25">
      <c r="A686" s="133" t="str">
        <f>IF(B686="","",COUNTA($B$5:B686))</f>
        <v/>
      </c>
      <c r="B686" s="143"/>
      <c r="C686" s="144" t="s">
        <v>49</v>
      </c>
      <c r="D686" s="145"/>
      <c r="E686" s="146"/>
      <c r="F686" s="139"/>
      <c r="G686" s="139"/>
      <c r="H686" s="142">
        <f>IFERROR(VLOOKUP($C686,$C$5:$H$18,6,0)+SUMIF($C$19:$C686,$C686,$F$19:$F686)-SUMIF($C$19:$C686,$C686,$G$19:$G686),"")</f>
        <v>81211.819999998</v>
      </c>
      <c r="I686" s="22"/>
      <c r="J686" s="22"/>
      <c r="K686" s="22" t="str">
        <f t="shared" si="10"/>
        <v/>
      </c>
      <c r="L686" s="40"/>
      <c r="M686"/>
      <c r="N686"/>
      <c r="O686"/>
      <c r="P686"/>
      <c r="Q686"/>
      <c r="R686"/>
      <c r="S686"/>
      <c r="T686"/>
      <c r="U686"/>
      <c r="V686"/>
      <c r="W686" s="41"/>
      <c r="X686" s="41"/>
      <c r="Y686" s="41"/>
    </row>
    <row r="687" s="27" customFormat="1" ht="23" hidden="1" customHeight="1" spans="1:25">
      <c r="A687" s="133" t="str">
        <f>IF(B687="","",COUNTA($B$5:B687))</f>
        <v/>
      </c>
      <c r="B687" s="143"/>
      <c r="C687" s="144" t="s">
        <v>49</v>
      </c>
      <c r="D687" s="145"/>
      <c r="E687" s="146"/>
      <c r="F687" s="139"/>
      <c r="G687" s="139"/>
      <c r="H687" s="142">
        <f>IFERROR(VLOOKUP($C687,$C$5:$H$18,6,0)+SUMIF($C$19:$C687,$C687,$F$19:$F687)-SUMIF($C$19:$C687,$C687,$G$19:$G687),"")</f>
        <v>81211.819999998</v>
      </c>
      <c r="I687" s="22"/>
      <c r="J687" s="22"/>
      <c r="K687" s="22" t="str">
        <f t="shared" si="10"/>
        <v/>
      </c>
      <c r="L687" s="40"/>
      <c r="M687"/>
      <c r="N687"/>
      <c r="O687"/>
      <c r="P687"/>
      <c r="Q687"/>
      <c r="R687"/>
      <c r="S687"/>
      <c r="T687"/>
      <c r="U687"/>
      <c r="V687"/>
      <c r="W687" s="41"/>
      <c r="X687" s="41"/>
      <c r="Y687" s="41"/>
    </row>
    <row r="688" s="27" customFormat="1" ht="23" hidden="1" customHeight="1" spans="1:25">
      <c r="A688" s="133" t="str">
        <f>IF(B688="","",COUNTA($B$5:B688))</f>
        <v/>
      </c>
      <c r="B688" s="143"/>
      <c r="C688" s="144" t="s">
        <v>49</v>
      </c>
      <c r="D688" s="145"/>
      <c r="E688" s="146"/>
      <c r="F688" s="139"/>
      <c r="G688" s="139"/>
      <c r="H688" s="142">
        <f>IFERROR(VLOOKUP($C688,$C$5:$H$18,6,0)+SUMIF($C$19:$C688,$C688,$F$19:$F688)-SUMIF($C$19:$C688,$C688,$G$19:$G688),"")</f>
        <v>81211.819999998</v>
      </c>
      <c r="I688" s="22"/>
      <c r="J688" s="22"/>
      <c r="K688" s="22" t="str">
        <f t="shared" si="10"/>
        <v/>
      </c>
      <c r="L688" s="40"/>
      <c r="M688"/>
      <c r="N688"/>
      <c r="O688"/>
      <c r="P688"/>
      <c r="Q688"/>
      <c r="R688"/>
      <c r="S688"/>
      <c r="T688"/>
      <c r="U688"/>
      <c r="V688"/>
      <c r="W688" s="41"/>
      <c r="X688" s="41"/>
      <c r="Y688" s="41"/>
    </row>
    <row r="689" s="27" customFormat="1" ht="23" hidden="1" customHeight="1" spans="1:25">
      <c r="A689" s="133" t="str">
        <f>IF(B689="","",COUNTA($B$5:B689))</f>
        <v/>
      </c>
      <c r="B689" s="143"/>
      <c r="C689" s="144" t="s">
        <v>49</v>
      </c>
      <c r="D689" s="145"/>
      <c r="E689" s="146"/>
      <c r="F689" s="139"/>
      <c r="G689" s="139"/>
      <c r="H689" s="142">
        <f>IFERROR(VLOOKUP($C689,$C$5:$H$18,6,0)+SUMIF($C$19:$C689,$C689,$F$19:$F689)-SUMIF($C$19:$C689,$C689,$G$19:$G689),"")</f>
        <v>81211.819999998</v>
      </c>
      <c r="I689" s="22"/>
      <c r="J689" s="22"/>
      <c r="K689" s="22" t="str">
        <f t="shared" si="10"/>
        <v/>
      </c>
      <c r="L689" s="40"/>
      <c r="M689"/>
      <c r="N689"/>
      <c r="O689"/>
      <c r="P689"/>
      <c r="Q689"/>
      <c r="R689"/>
      <c r="S689"/>
      <c r="T689"/>
      <c r="U689"/>
      <c r="V689"/>
      <c r="W689" s="41"/>
      <c r="X689" s="41"/>
      <c r="Y689" s="41"/>
    </row>
    <row r="690" s="27" customFormat="1" ht="23" hidden="1" customHeight="1" spans="1:25">
      <c r="A690" s="133" t="str">
        <f>IF(B690="","",COUNTA($B$5:B690))</f>
        <v/>
      </c>
      <c r="B690" s="143"/>
      <c r="C690" s="144" t="s">
        <v>49</v>
      </c>
      <c r="D690" s="145"/>
      <c r="E690" s="146"/>
      <c r="F690" s="139"/>
      <c r="G690" s="139"/>
      <c r="H690" s="142">
        <f>IFERROR(VLOOKUP($C690,$C$5:$H$18,6,0)+SUMIF($C$19:$C690,$C690,$F$19:$F690)-SUMIF($C$19:$C690,$C690,$G$19:$G690),"")</f>
        <v>81211.819999998</v>
      </c>
      <c r="I690" s="22"/>
      <c r="J690" s="22"/>
      <c r="K690" s="22" t="str">
        <f t="shared" si="10"/>
        <v/>
      </c>
      <c r="L690" s="40"/>
      <c r="M690"/>
      <c r="N690"/>
      <c r="O690"/>
      <c r="P690"/>
      <c r="Q690"/>
      <c r="R690"/>
      <c r="S690"/>
      <c r="T690"/>
      <c r="U690"/>
      <c r="V690"/>
      <c r="W690" s="41"/>
      <c r="X690" s="41"/>
      <c r="Y690" s="41"/>
    </row>
    <row r="691" s="27" customFormat="1" ht="23" hidden="1" customHeight="1" spans="1:25">
      <c r="A691" s="133" t="str">
        <f>IF(B691="","",COUNTA($B$5:B691))</f>
        <v/>
      </c>
      <c r="B691" s="143"/>
      <c r="C691" s="144" t="s">
        <v>49</v>
      </c>
      <c r="D691" s="145"/>
      <c r="E691" s="146"/>
      <c r="F691" s="139"/>
      <c r="G691" s="139"/>
      <c r="H691" s="142">
        <f>IFERROR(VLOOKUP($C691,$C$5:$H$18,6,0)+SUMIF($C$19:$C691,$C691,$F$19:$F691)-SUMIF($C$19:$C691,$C691,$G$19:$G691),"")</f>
        <v>81211.819999998</v>
      </c>
      <c r="I691" s="22"/>
      <c r="J691" s="22"/>
      <c r="K691" s="22" t="str">
        <f t="shared" si="10"/>
        <v/>
      </c>
      <c r="L691" s="40"/>
      <c r="M691"/>
      <c r="N691"/>
      <c r="O691"/>
      <c r="P691"/>
      <c r="Q691"/>
      <c r="R691"/>
      <c r="S691"/>
      <c r="T691"/>
      <c r="U691"/>
      <c r="V691"/>
      <c r="W691" s="41"/>
      <c r="X691" s="41"/>
      <c r="Y691" s="41"/>
    </row>
    <row r="692" s="27" customFormat="1" ht="23" hidden="1" customHeight="1" spans="1:25">
      <c r="A692" s="133" t="str">
        <f>IF(B692="","",COUNTA($B$5:B692))</f>
        <v/>
      </c>
      <c r="B692" s="143"/>
      <c r="C692" s="144" t="s">
        <v>49</v>
      </c>
      <c r="D692" s="145"/>
      <c r="E692" s="146"/>
      <c r="F692" s="139"/>
      <c r="G692" s="139"/>
      <c r="H692" s="142">
        <f>IFERROR(VLOOKUP($C692,$C$5:$H$18,6,0)+SUMIF($C$19:$C692,$C692,$F$19:$F692)-SUMIF($C$19:$C692,$C692,$G$19:$G692),"")</f>
        <v>81211.819999998</v>
      </c>
      <c r="I692" s="22"/>
      <c r="J692" s="22"/>
      <c r="K692" s="22" t="str">
        <f t="shared" si="10"/>
        <v/>
      </c>
      <c r="L692" s="40"/>
      <c r="M692"/>
      <c r="N692"/>
      <c r="O692"/>
      <c r="P692"/>
      <c r="Q692"/>
      <c r="R692"/>
      <c r="S692"/>
      <c r="T692"/>
      <c r="U692"/>
      <c r="V692"/>
      <c r="W692" s="41"/>
      <c r="X692" s="41"/>
      <c r="Y692" s="41"/>
    </row>
    <row r="693" s="27" customFormat="1" ht="23" hidden="1" customHeight="1" spans="1:25">
      <c r="A693" s="133" t="str">
        <f>IF(B693="","",COUNTA($B$5:B693))</f>
        <v/>
      </c>
      <c r="B693" s="143"/>
      <c r="C693" s="144" t="s">
        <v>49</v>
      </c>
      <c r="D693" s="145"/>
      <c r="E693" s="146"/>
      <c r="F693" s="139"/>
      <c r="G693" s="139"/>
      <c r="H693" s="142">
        <f>IFERROR(VLOOKUP($C693,$C$5:$H$18,6,0)+SUMIF($C$19:$C693,$C693,$F$19:$F693)-SUMIF($C$19:$C693,$C693,$G$19:$G693),"")</f>
        <v>81211.819999998</v>
      </c>
      <c r="I693" s="22"/>
      <c r="J693" s="22"/>
      <c r="K693" s="22" t="str">
        <f t="shared" si="10"/>
        <v/>
      </c>
      <c r="L693" s="40"/>
      <c r="M693"/>
      <c r="N693"/>
      <c r="O693"/>
      <c r="P693"/>
      <c r="Q693"/>
      <c r="R693"/>
      <c r="S693"/>
      <c r="T693"/>
      <c r="U693"/>
      <c r="V693"/>
      <c r="W693" s="41"/>
      <c r="X693" s="41"/>
      <c r="Y693" s="41"/>
    </row>
    <row r="694" s="27" customFormat="1" ht="23" hidden="1" customHeight="1" spans="1:25">
      <c r="A694" s="133" t="str">
        <f>IF(B694="","",COUNTA($B$5:B694))</f>
        <v/>
      </c>
      <c r="B694" s="143"/>
      <c r="C694" s="144" t="s">
        <v>49</v>
      </c>
      <c r="D694" s="145"/>
      <c r="E694" s="146"/>
      <c r="F694" s="139"/>
      <c r="G694" s="139"/>
      <c r="H694" s="142">
        <f>IFERROR(VLOOKUP($C694,$C$5:$H$18,6,0)+SUMIF($C$19:$C694,$C694,$F$19:$F694)-SUMIF($C$19:$C694,$C694,$G$19:$G694),"")</f>
        <v>81211.819999998</v>
      </c>
      <c r="I694" s="22"/>
      <c r="J694" s="22"/>
      <c r="K694" s="22" t="str">
        <f t="shared" si="10"/>
        <v/>
      </c>
      <c r="L694" s="40"/>
      <c r="M694"/>
      <c r="N694"/>
      <c r="O694"/>
      <c r="P694"/>
      <c r="Q694"/>
      <c r="R694"/>
      <c r="S694"/>
      <c r="T694"/>
      <c r="U694"/>
      <c r="V694"/>
      <c r="W694" s="41"/>
      <c r="X694" s="41"/>
      <c r="Y694" s="41"/>
    </row>
    <row r="695" s="27" customFormat="1" ht="23" hidden="1" customHeight="1" spans="1:25">
      <c r="A695" s="133" t="str">
        <f>IF(B695="","",COUNTA($B$5:B695))</f>
        <v/>
      </c>
      <c r="B695" s="143"/>
      <c r="C695" s="144" t="s">
        <v>49</v>
      </c>
      <c r="D695" s="145"/>
      <c r="E695" s="146"/>
      <c r="F695" s="139"/>
      <c r="G695" s="139"/>
      <c r="H695" s="142">
        <f>IFERROR(VLOOKUP($C695,$C$5:$H$18,6,0)+SUMIF($C$19:$C695,$C695,$F$19:$F695)-SUMIF($C$19:$C695,$C695,$G$19:$G695),"")</f>
        <v>81211.819999998</v>
      </c>
      <c r="I695" s="22"/>
      <c r="J695" s="22"/>
      <c r="K695" s="22" t="str">
        <f t="shared" si="10"/>
        <v/>
      </c>
      <c r="L695" s="40"/>
      <c r="M695"/>
      <c r="N695"/>
      <c r="O695"/>
      <c r="P695"/>
      <c r="Q695"/>
      <c r="R695"/>
      <c r="S695"/>
      <c r="T695"/>
      <c r="U695"/>
      <c r="V695"/>
      <c r="W695" s="41"/>
      <c r="X695" s="41"/>
      <c r="Y695" s="41"/>
    </row>
    <row r="696" s="27" customFormat="1" ht="23" hidden="1" customHeight="1" spans="1:25">
      <c r="A696" s="133" t="str">
        <f>IF(B696="","",COUNTA($B$5:B696))</f>
        <v/>
      </c>
      <c r="B696" s="143"/>
      <c r="C696" s="144" t="s">
        <v>49</v>
      </c>
      <c r="D696" s="145"/>
      <c r="E696" s="146"/>
      <c r="F696" s="139"/>
      <c r="G696" s="139"/>
      <c r="H696" s="142">
        <f>IFERROR(VLOOKUP($C696,$C$5:$H$18,6,0)+SUMIF($C$19:$C696,$C696,$F$19:$F696)-SUMIF($C$19:$C696,$C696,$G$19:$G696),"")</f>
        <v>81211.819999998</v>
      </c>
      <c r="I696" s="22"/>
      <c r="J696" s="22"/>
      <c r="K696" s="22" t="str">
        <f t="shared" si="10"/>
        <v/>
      </c>
      <c r="L696" s="40"/>
      <c r="M696"/>
      <c r="N696"/>
      <c r="O696"/>
      <c r="P696"/>
      <c r="Q696"/>
      <c r="R696"/>
      <c r="S696"/>
      <c r="T696"/>
      <c r="U696"/>
      <c r="V696"/>
      <c r="W696" s="41"/>
      <c r="X696" s="41"/>
      <c r="Y696" s="41"/>
    </row>
    <row r="697" s="27" customFormat="1" ht="23" hidden="1" customHeight="1" spans="1:25">
      <c r="A697" s="133" t="str">
        <f>IF(B697="","",COUNTA($B$5:B697))</f>
        <v/>
      </c>
      <c r="B697" s="143"/>
      <c r="C697" s="144" t="s">
        <v>49</v>
      </c>
      <c r="D697" s="145"/>
      <c r="E697" s="146"/>
      <c r="F697" s="139"/>
      <c r="G697" s="139"/>
      <c r="H697" s="142">
        <f>IFERROR(VLOOKUP($C697,$C$5:$H$18,6,0)+SUMIF($C$19:$C697,$C697,$F$19:$F697)-SUMIF($C$19:$C697,$C697,$G$19:$G697),"")</f>
        <v>81211.819999998</v>
      </c>
      <c r="I697" s="22"/>
      <c r="J697" s="22"/>
      <c r="K697" s="22" t="str">
        <f t="shared" si="10"/>
        <v/>
      </c>
      <c r="L697" s="40"/>
      <c r="M697"/>
      <c r="N697"/>
      <c r="O697"/>
      <c r="P697"/>
      <c r="Q697"/>
      <c r="R697"/>
      <c r="S697"/>
      <c r="T697"/>
      <c r="U697"/>
      <c r="V697"/>
      <c r="W697" s="41"/>
      <c r="X697" s="41"/>
      <c r="Y697" s="41"/>
    </row>
    <row r="698" s="27" customFormat="1" ht="23" hidden="1" customHeight="1" spans="1:25">
      <c r="A698" s="133" t="str">
        <f>IF(B698="","",COUNTA($B$5:B698))</f>
        <v/>
      </c>
      <c r="B698" s="143"/>
      <c r="C698" s="144" t="s">
        <v>49</v>
      </c>
      <c r="D698" s="145"/>
      <c r="E698" s="146"/>
      <c r="F698" s="139"/>
      <c r="G698" s="139"/>
      <c r="H698" s="142">
        <f>IFERROR(VLOOKUP($C698,$C$5:$H$18,6,0)+SUMIF($C$19:$C698,$C698,$F$19:$F698)-SUMIF($C$19:$C698,$C698,$G$19:$G698),"")</f>
        <v>81211.819999998</v>
      </c>
      <c r="I698" s="22"/>
      <c r="J698" s="22"/>
      <c r="K698" s="22" t="str">
        <f t="shared" si="10"/>
        <v/>
      </c>
      <c r="L698" s="40"/>
      <c r="M698"/>
      <c r="N698"/>
      <c r="O698"/>
      <c r="P698"/>
      <c r="Q698"/>
      <c r="R698"/>
      <c r="S698"/>
      <c r="T698"/>
      <c r="U698"/>
      <c r="V698"/>
      <c r="W698" s="41"/>
      <c r="X698" s="41"/>
      <c r="Y698" s="41"/>
    </row>
    <row r="699" s="27" customFormat="1" ht="23" hidden="1" customHeight="1" spans="1:25">
      <c r="A699" s="133" t="str">
        <f>IF(B699="","",COUNTA($B$5:B699))</f>
        <v/>
      </c>
      <c r="B699" s="143"/>
      <c r="C699" s="144" t="s">
        <v>49</v>
      </c>
      <c r="D699" s="145"/>
      <c r="E699" s="146"/>
      <c r="F699" s="139"/>
      <c r="G699" s="139"/>
      <c r="H699" s="142">
        <f>IFERROR(VLOOKUP($C699,$C$5:$H$18,6,0)+SUMIF($C$19:$C699,$C699,$F$19:$F699)-SUMIF($C$19:$C699,$C699,$G$19:$G699),"")</f>
        <v>81211.819999998</v>
      </c>
      <c r="I699" s="22"/>
      <c r="J699" s="22"/>
      <c r="K699" s="22" t="str">
        <f t="shared" si="10"/>
        <v/>
      </c>
      <c r="L699" s="40"/>
      <c r="M699"/>
      <c r="N699"/>
      <c r="O699"/>
      <c r="P699"/>
      <c r="Q699"/>
      <c r="R699"/>
      <c r="S699"/>
      <c r="T699"/>
      <c r="U699"/>
      <c r="V699"/>
      <c r="W699" s="41"/>
      <c r="X699" s="41"/>
      <c r="Y699" s="41"/>
    </row>
    <row r="700" s="27" customFormat="1" ht="23" hidden="1" customHeight="1" spans="1:25">
      <c r="A700" s="133" t="str">
        <f>IF(B700="","",COUNTA($B$5:B700))</f>
        <v/>
      </c>
      <c r="B700" s="143"/>
      <c r="C700" s="144" t="s">
        <v>49</v>
      </c>
      <c r="D700" s="145"/>
      <c r="E700" s="146"/>
      <c r="F700" s="139"/>
      <c r="G700" s="139"/>
      <c r="H700" s="142">
        <f>IFERROR(VLOOKUP($C700,$C$5:$H$18,6,0)+SUMIF($C$19:$C700,$C700,$F$19:$F700)-SUMIF($C$19:$C700,$C700,$G$19:$G700),"")</f>
        <v>81211.819999998</v>
      </c>
      <c r="I700" s="22"/>
      <c r="J700" s="22"/>
      <c r="K700" s="22" t="str">
        <f t="shared" si="10"/>
        <v/>
      </c>
      <c r="L700" s="40"/>
      <c r="M700"/>
      <c r="N700"/>
      <c r="O700"/>
      <c r="P700"/>
      <c r="Q700"/>
      <c r="R700"/>
      <c r="S700"/>
      <c r="T700"/>
      <c r="U700"/>
      <c r="V700"/>
      <c r="W700" s="41"/>
      <c r="X700" s="41"/>
      <c r="Y700" s="41"/>
    </row>
    <row r="701" s="27" customFormat="1" ht="23" hidden="1" customHeight="1" spans="1:25">
      <c r="A701" s="133" t="str">
        <f>IF(B701="","",COUNTA($B$5:B701))</f>
        <v/>
      </c>
      <c r="B701" s="143"/>
      <c r="C701" s="144" t="s">
        <v>49</v>
      </c>
      <c r="D701" s="145"/>
      <c r="E701" s="146"/>
      <c r="F701" s="139"/>
      <c r="G701" s="139"/>
      <c r="H701" s="142">
        <f>IFERROR(VLOOKUP($C701,$C$5:$H$18,6,0)+SUMIF($C$19:$C701,$C701,$F$19:$F701)-SUMIF($C$19:$C701,$C701,$G$19:$G701),"")</f>
        <v>81211.819999998</v>
      </c>
      <c r="I701" s="22"/>
      <c r="J701" s="22"/>
      <c r="K701" s="22" t="str">
        <f t="shared" si="10"/>
        <v/>
      </c>
      <c r="L701" s="40"/>
      <c r="M701"/>
      <c r="N701"/>
      <c r="O701"/>
      <c r="P701"/>
      <c r="Q701"/>
      <c r="R701"/>
      <c r="S701"/>
      <c r="T701"/>
      <c r="U701"/>
      <c r="V701"/>
      <c r="W701" s="41"/>
      <c r="X701" s="41"/>
      <c r="Y701" s="41"/>
    </row>
    <row r="702" s="27" customFormat="1" ht="23" hidden="1" customHeight="1" spans="1:25">
      <c r="A702" s="133" t="str">
        <f>IF(B702="","",COUNTA($B$5:B702))</f>
        <v/>
      </c>
      <c r="B702" s="143"/>
      <c r="C702" s="144" t="s">
        <v>49</v>
      </c>
      <c r="D702" s="145"/>
      <c r="E702" s="146"/>
      <c r="F702" s="139"/>
      <c r="G702" s="139"/>
      <c r="H702" s="142">
        <f>IFERROR(VLOOKUP($C702,$C$5:$H$18,6,0)+SUMIF($C$19:$C702,$C702,$F$19:$F702)-SUMIF($C$19:$C702,$C702,$G$19:$G702),"")</f>
        <v>81211.819999998</v>
      </c>
      <c r="I702" s="22"/>
      <c r="J702" s="22"/>
      <c r="K702" s="22" t="str">
        <f t="shared" si="10"/>
        <v/>
      </c>
      <c r="L702" s="40"/>
      <c r="M702"/>
      <c r="N702"/>
      <c r="O702"/>
      <c r="P702"/>
      <c r="Q702"/>
      <c r="R702"/>
      <c r="S702"/>
      <c r="T702"/>
      <c r="U702"/>
      <c r="V702"/>
      <c r="W702" s="41"/>
      <c r="X702" s="41"/>
      <c r="Y702" s="41"/>
    </row>
    <row r="703" s="27" customFormat="1" ht="23" hidden="1" customHeight="1" spans="1:25">
      <c r="A703" s="133" t="str">
        <f>IF(B703="","",COUNTA($B$5:B703))</f>
        <v/>
      </c>
      <c r="B703" s="143"/>
      <c r="C703" s="144" t="s">
        <v>49</v>
      </c>
      <c r="D703" s="145"/>
      <c r="E703" s="146"/>
      <c r="F703" s="139"/>
      <c r="G703" s="139"/>
      <c r="H703" s="142">
        <f>IFERROR(VLOOKUP($C703,$C$5:$H$18,6,0)+SUMIF($C$19:$C703,$C703,$F$19:$F703)-SUMIF($C$19:$C703,$C703,$G$19:$G703),"")</f>
        <v>81211.819999998</v>
      </c>
      <c r="I703" s="22"/>
      <c r="J703" s="22"/>
      <c r="K703" s="22" t="str">
        <f t="shared" si="10"/>
        <v/>
      </c>
      <c r="L703" s="40"/>
      <c r="M703"/>
      <c r="N703"/>
      <c r="O703"/>
      <c r="P703"/>
      <c r="Q703"/>
      <c r="R703"/>
      <c r="S703"/>
      <c r="T703"/>
      <c r="U703"/>
      <c r="V703"/>
      <c r="W703" s="41"/>
      <c r="X703" s="41"/>
      <c r="Y703" s="41"/>
    </row>
    <row r="704" s="27" customFormat="1" ht="23" hidden="1" customHeight="1" spans="1:25">
      <c r="A704" s="133" t="str">
        <f>IF(B704="","",COUNTA($B$5:B704))</f>
        <v/>
      </c>
      <c r="B704" s="143"/>
      <c r="C704" s="144" t="s">
        <v>49</v>
      </c>
      <c r="D704" s="145"/>
      <c r="E704" s="146"/>
      <c r="F704" s="139"/>
      <c r="G704" s="139"/>
      <c r="H704" s="142">
        <f>IFERROR(VLOOKUP($C704,$C$5:$H$18,6,0)+SUMIF($C$19:$C704,$C704,$F$19:$F704)-SUMIF($C$19:$C704,$C704,$G$19:$G704),"")</f>
        <v>81211.819999998</v>
      </c>
      <c r="I704" s="22"/>
      <c r="J704" s="22"/>
      <c r="K704" s="22" t="str">
        <f t="shared" si="10"/>
        <v/>
      </c>
      <c r="L704" s="40"/>
      <c r="M704"/>
      <c r="N704"/>
      <c r="O704"/>
      <c r="P704"/>
      <c r="Q704"/>
      <c r="R704"/>
      <c r="S704"/>
      <c r="T704"/>
      <c r="U704"/>
      <c r="V704"/>
      <c r="W704" s="41"/>
      <c r="X704" s="41"/>
      <c r="Y704" s="41"/>
    </row>
    <row r="705" s="27" customFormat="1" ht="23" hidden="1" customHeight="1" spans="1:25">
      <c r="A705" s="133" t="str">
        <f>IF(B705="","",COUNTA($B$5:B705))</f>
        <v/>
      </c>
      <c r="B705" s="143"/>
      <c r="C705" s="144" t="s">
        <v>49</v>
      </c>
      <c r="D705" s="145"/>
      <c r="E705" s="146"/>
      <c r="F705" s="139"/>
      <c r="G705" s="139"/>
      <c r="H705" s="142">
        <f>IFERROR(VLOOKUP($C705,$C$5:$H$18,6,0)+SUMIF($C$19:$C705,$C705,$F$19:$F705)-SUMIF($C$19:$C705,$C705,$G$19:$G705),"")</f>
        <v>81211.819999998</v>
      </c>
      <c r="I705" s="22"/>
      <c r="J705" s="22"/>
      <c r="K705" s="22" t="str">
        <f t="shared" si="10"/>
        <v/>
      </c>
      <c r="L705" s="40"/>
      <c r="M705"/>
      <c r="N705"/>
      <c r="O705"/>
      <c r="P705"/>
      <c r="Q705"/>
      <c r="R705"/>
      <c r="S705"/>
      <c r="T705"/>
      <c r="U705"/>
      <c r="V705"/>
      <c r="W705" s="41"/>
      <c r="X705" s="41"/>
      <c r="Y705" s="41"/>
    </row>
    <row r="706" s="27" customFormat="1" ht="23" hidden="1" customHeight="1" spans="1:25">
      <c r="A706" s="133" t="str">
        <f>IF(B706="","",COUNTA($B$5:B706))</f>
        <v/>
      </c>
      <c r="B706" s="143"/>
      <c r="C706" s="144" t="s">
        <v>49</v>
      </c>
      <c r="D706" s="145"/>
      <c r="E706" s="146"/>
      <c r="F706" s="139"/>
      <c r="G706" s="139"/>
      <c r="H706" s="142">
        <f>IFERROR(VLOOKUP($C706,$C$5:$H$18,6,0)+SUMIF($C$19:$C706,$C706,$F$19:$F706)-SUMIF($C$19:$C706,$C706,$G$19:$G706),"")</f>
        <v>81211.819999998</v>
      </c>
      <c r="I706" s="22"/>
      <c r="J706" s="22"/>
      <c r="K706" s="22" t="str">
        <f t="shared" si="10"/>
        <v/>
      </c>
      <c r="L706" s="40"/>
      <c r="M706"/>
      <c r="N706"/>
      <c r="O706"/>
      <c r="P706"/>
      <c r="Q706"/>
      <c r="R706"/>
      <c r="S706"/>
      <c r="T706"/>
      <c r="U706"/>
      <c r="V706"/>
      <c r="W706" s="41"/>
      <c r="X706" s="41"/>
      <c r="Y706" s="41"/>
    </row>
    <row r="707" s="27" customFormat="1" ht="23" hidden="1" customHeight="1" spans="1:25">
      <c r="A707" s="133" t="str">
        <f>IF(B707="","",COUNTA($B$5:B707))</f>
        <v/>
      </c>
      <c r="B707" s="143"/>
      <c r="C707" s="144" t="s">
        <v>49</v>
      </c>
      <c r="D707" s="145"/>
      <c r="E707" s="146"/>
      <c r="F707" s="139"/>
      <c r="G707" s="139"/>
      <c r="H707" s="142">
        <f>IFERROR(VLOOKUP($C707,$C$5:$H$18,6,0)+SUMIF($C$19:$C707,$C707,$F$19:$F707)-SUMIF($C$19:$C707,$C707,$G$19:$G707),"")</f>
        <v>81211.819999998</v>
      </c>
      <c r="I707" s="22"/>
      <c r="J707" s="22"/>
      <c r="K707" s="22" t="str">
        <f t="shared" si="10"/>
        <v/>
      </c>
      <c r="L707" s="40"/>
      <c r="M707"/>
      <c r="N707"/>
      <c r="O707"/>
      <c r="P707"/>
      <c r="Q707"/>
      <c r="R707"/>
      <c r="S707"/>
      <c r="T707"/>
      <c r="U707"/>
      <c r="V707"/>
      <c r="W707" s="41"/>
      <c r="X707" s="41"/>
      <c r="Y707" s="41"/>
    </row>
    <row r="708" s="27" customFormat="1" ht="23" hidden="1" customHeight="1" spans="1:25">
      <c r="A708" s="133" t="str">
        <f>IF(B708="","",COUNTA($B$5:B708))</f>
        <v/>
      </c>
      <c r="B708" s="143"/>
      <c r="C708" s="144" t="s">
        <v>49</v>
      </c>
      <c r="D708" s="145"/>
      <c r="E708" s="146"/>
      <c r="F708" s="139"/>
      <c r="G708" s="139"/>
      <c r="H708" s="142">
        <f>IFERROR(VLOOKUP($C708,$C$5:$H$18,6,0)+SUMIF($C$19:$C708,$C708,$F$19:$F708)-SUMIF($C$19:$C708,$C708,$G$19:$G708),"")</f>
        <v>81211.819999998</v>
      </c>
      <c r="I708" s="22"/>
      <c r="J708" s="22"/>
      <c r="K708" s="22" t="str">
        <f t="shared" si="10"/>
        <v/>
      </c>
      <c r="L708" s="40"/>
      <c r="M708"/>
      <c r="N708"/>
      <c r="O708"/>
      <c r="P708"/>
      <c r="Q708"/>
      <c r="R708"/>
      <c r="S708"/>
      <c r="T708"/>
      <c r="U708"/>
      <c r="V708"/>
      <c r="W708" s="41"/>
      <c r="X708" s="41"/>
      <c r="Y708" s="41"/>
    </row>
    <row r="709" s="27" customFormat="1" ht="23" hidden="1" customHeight="1" spans="1:25">
      <c r="A709" s="133" t="str">
        <f>IF(B709="","",COUNTA($B$5:B709))</f>
        <v/>
      </c>
      <c r="B709" s="143"/>
      <c r="C709" s="144" t="s">
        <v>49</v>
      </c>
      <c r="D709" s="145"/>
      <c r="E709" s="146"/>
      <c r="F709" s="139"/>
      <c r="G709" s="139"/>
      <c r="H709" s="142">
        <f>IFERROR(VLOOKUP($C709,$C$5:$H$18,6,0)+SUMIF($C$19:$C709,$C709,$F$19:$F709)-SUMIF($C$19:$C709,$C709,$G$19:$G709),"")</f>
        <v>81211.819999998</v>
      </c>
      <c r="I709" s="22"/>
      <c r="J709" s="22"/>
      <c r="K709" s="22" t="str">
        <f t="shared" ref="K709:K772" si="11">IF($B709="","",--TEXT($B709,"yyyymm"))</f>
        <v/>
      </c>
      <c r="L709" s="40"/>
      <c r="M709"/>
      <c r="N709"/>
      <c r="O709"/>
      <c r="P709"/>
      <c r="Q709"/>
      <c r="R709"/>
      <c r="S709"/>
      <c r="T709"/>
      <c r="U709"/>
      <c r="V709"/>
      <c r="W709" s="41"/>
      <c r="X709" s="41"/>
      <c r="Y709" s="41"/>
    </row>
    <row r="710" s="27" customFormat="1" ht="23" hidden="1" customHeight="1" spans="1:25">
      <c r="A710" s="133" t="str">
        <f>IF(B710="","",COUNTA($B$5:B710))</f>
        <v/>
      </c>
      <c r="B710" s="143"/>
      <c r="C710" s="144" t="s">
        <v>49</v>
      </c>
      <c r="D710" s="145"/>
      <c r="E710" s="146"/>
      <c r="F710" s="139"/>
      <c r="G710" s="139"/>
      <c r="H710" s="142">
        <f>IFERROR(VLOOKUP($C710,$C$5:$H$18,6,0)+SUMIF($C$19:$C710,$C710,$F$19:$F710)-SUMIF($C$19:$C710,$C710,$G$19:$G710),"")</f>
        <v>81211.819999998</v>
      </c>
      <c r="I710" s="22"/>
      <c r="J710" s="22"/>
      <c r="K710" s="22" t="str">
        <f t="shared" si="11"/>
        <v/>
      </c>
      <c r="L710" s="40"/>
      <c r="M710"/>
      <c r="N710"/>
      <c r="O710"/>
      <c r="P710"/>
      <c r="Q710"/>
      <c r="R710"/>
      <c r="S710"/>
      <c r="T710"/>
      <c r="U710"/>
      <c r="V710"/>
      <c r="W710" s="41"/>
      <c r="X710" s="41"/>
      <c r="Y710" s="41"/>
    </row>
    <row r="711" s="27" customFormat="1" ht="23" hidden="1" customHeight="1" spans="1:25">
      <c r="A711" s="133" t="str">
        <f>IF(B711="","",COUNTA($B$5:B711))</f>
        <v/>
      </c>
      <c r="B711" s="143"/>
      <c r="C711" s="144" t="s">
        <v>49</v>
      </c>
      <c r="D711" s="145"/>
      <c r="E711" s="146"/>
      <c r="F711" s="139"/>
      <c r="G711" s="139"/>
      <c r="H711" s="142">
        <f>IFERROR(VLOOKUP($C711,$C$5:$H$18,6,0)+SUMIF($C$19:$C711,$C711,$F$19:$F711)-SUMIF($C$19:$C711,$C711,$G$19:$G711),"")</f>
        <v>81211.819999998</v>
      </c>
      <c r="I711" s="22"/>
      <c r="J711" s="22"/>
      <c r="K711" s="22" t="str">
        <f t="shared" si="11"/>
        <v/>
      </c>
      <c r="L711" s="40"/>
      <c r="M711"/>
      <c r="N711"/>
      <c r="O711"/>
      <c r="P711"/>
      <c r="Q711"/>
      <c r="R711"/>
      <c r="S711"/>
      <c r="T711"/>
      <c r="U711"/>
      <c r="V711"/>
      <c r="W711" s="41"/>
      <c r="X711" s="41"/>
      <c r="Y711" s="41"/>
    </row>
    <row r="712" s="27" customFormat="1" ht="23" hidden="1" customHeight="1" spans="1:25">
      <c r="A712" s="133" t="str">
        <f>IF(B712="","",COUNTA($B$5:B712))</f>
        <v/>
      </c>
      <c r="B712" s="143"/>
      <c r="C712" s="144" t="s">
        <v>49</v>
      </c>
      <c r="D712" s="145"/>
      <c r="E712" s="146"/>
      <c r="F712" s="139"/>
      <c r="G712" s="139"/>
      <c r="H712" s="142">
        <f>IFERROR(VLOOKUP($C712,$C$5:$H$18,6,0)+SUMIF($C$19:$C712,$C712,$F$19:$F712)-SUMIF($C$19:$C712,$C712,$G$19:$G712),"")</f>
        <v>81211.819999998</v>
      </c>
      <c r="I712" s="22"/>
      <c r="J712" s="22"/>
      <c r="K712" s="22" t="str">
        <f t="shared" si="11"/>
        <v/>
      </c>
      <c r="L712" s="40"/>
      <c r="M712"/>
      <c r="N712"/>
      <c r="O712"/>
      <c r="P712"/>
      <c r="Q712"/>
      <c r="R712"/>
      <c r="S712"/>
      <c r="T712"/>
      <c r="U712"/>
      <c r="V712"/>
      <c r="W712" s="41"/>
      <c r="X712" s="41"/>
      <c r="Y712" s="41"/>
    </row>
    <row r="713" s="27" customFormat="1" ht="23" hidden="1" customHeight="1" spans="1:25">
      <c r="A713" s="133" t="str">
        <f>IF(B713="","",COUNTA($B$5:B713))</f>
        <v/>
      </c>
      <c r="B713" s="143"/>
      <c r="C713" s="144" t="s">
        <v>49</v>
      </c>
      <c r="D713" s="145"/>
      <c r="E713" s="146"/>
      <c r="F713" s="139"/>
      <c r="G713" s="139"/>
      <c r="H713" s="142">
        <f>IFERROR(VLOOKUP($C713,$C$5:$H$18,6,0)+SUMIF($C$19:$C713,$C713,$F$19:$F713)-SUMIF($C$19:$C713,$C713,$G$19:$G713),"")</f>
        <v>81211.819999998</v>
      </c>
      <c r="I713" s="22"/>
      <c r="J713" s="22"/>
      <c r="K713" s="22" t="str">
        <f t="shared" si="11"/>
        <v/>
      </c>
      <c r="L713" s="40"/>
      <c r="M713"/>
      <c r="N713"/>
      <c r="O713"/>
      <c r="P713"/>
      <c r="Q713"/>
      <c r="R713"/>
      <c r="S713"/>
      <c r="T713"/>
      <c r="U713"/>
      <c r="V713"/>
      <c r="W713" s="41"/>
      <c r="X713" s="41"/>
      <c r="Y713" s="41"/>
    </row>
    <row r="714" s="27" customFormat="1" ht="23" hidden="1" customHeight="1" spans="1:25">
      <c r="A714" s="133" t="str">
        <f>IF(B714="","",COUNTA($B$5:B714))</f>
        <v/>
      </c>
      <c r="B714" s="143"/>
      <c r="C714" s="144" t="s">
        <v>49</v>
      </c>
      <c r="D714" s="145"/>
      <c r="E714" s="146"/>
      <c r="F714" s="139"/>
      <c r="G714" s="139"/>
      <c r="H714" s="142">
        <f>IFERROR(VLOOKUP($C714,$C$5:$H$18,6,0)+SUMIF($C$19:$C714,$C714,$F$19:$F714)-SUMIF($C$19:$C714,$C714,$G$19:$G714),"")</f>
        <v>81211.819999998</v>
      </c>
      <c r="I714" s="22"/>
      <c r="J714" s="22"/>
      <c r="K714" s="22" t="str">
        <f t="shared" si="11"/>
        <v/>
      </c>
      <c r="L714" s="40"/>
      <c r="M714"/>
      <c r="N714"/>
      <c r="O714"/>
      <c r="P714"/>
      <c r="Q714"/>
      <c r="R714"/>
      <c r="S714"/>
      <c r="T714"/>
      <c r="U714"/>
      <c r="V714"/>
      <c r="W714" s="41"/>
      <c r="X714" s="41"/>
      <c r="Y714" s="41"/>
    </row>
    <row r="715" s="27" customFormat="1" ht="23" hidden="1" customHeight="1" spans="1:25">
      <c r="A715" s="133" t="str">
        <f>IF(B715="","",COUNTA($B$5:B715))</f>
        <v/>
      </c>
      <c r="B715" s="143"/>
      <c r="C715" s="144" t="s">
        <v>49</v>
      </c>
      <c r="D715" s="145"/>
      <c r="E715" s="146"/>
      <c r="F715" s="139"/>
      <c r="G715" s="139"/>
      <c r="H715" s="142">
        <f>IFERROR(VLOOKUP($C715,$C$5:$H$18,6,0)+SUMIF($C$19:$C715,$C715,$F$19:$F715)-SUMIF($C$19:$C715,$C715,$G$19:$G715),"")</f>
        <v>81211.819999998</v>
      </c>
      <c r="I715" s="22"/>
      <c r="J715" s="22"/>
      <c r="K715" s="22" t="str">
        <f t="shared" si="11"/>
        <v/>
      </c>
      <c r="L715" s="40"/>
      <c r="M715"/>
      <c r="N715"/>
      <c r="O715"/>
      <c r="P715"/>
      <c r="Q715"/>
      <c r="R715"/>
      <c r="S715"/>
      <c r="T715"/>
      <c r="U715"/>
      <c r="V715"/>
      <c r="W715" s="41"/>
      <c r="X715" s="41"/>
      <c r="Y715" s="41"/>
    </row>
    <row r="716" s="27" customFormat="1" ht="23" hidden="1" customHeight="1" spans="1:25">
      <c r="A716" s="133" t="str">
        <f>IF(B716="","",COUNTA($B$5:B716))</f>
        <v/>
      </c>
      <c r="B716" s="143"/>
      <c r="C716" s="144" t="s">
        <v>49</v>
      </c>
      <c r="D716" s="145"/>
      <c r="E716" s="146"/>
      <c r="F716" s="139"/>
      <c r="G716" s="139"/>
      <c r="H716" s="142">
        <f>IFERROR(VLOOKUP($C716,$C$5:$H$18,6,0)+SUMIF($C$19:$C716,$C716,$F$19:$F716)-SUMIF($C$19:$C716,$C716,$G$19:$G716),"")</f>
        <v>81211.819999998</v>
      </c>
      <c r="I716" s="22"/>
      <c r="J716" s="22"/>
      <c r="K716" s="22" t="str">
        <f t="shared" si="11"/>
        <v/>
      </c>
      <c r="L716" s="40"/>
      <c r="M716"/>
      <c r="N716"/>
      <c r="O716"/>
      <c r="P716"/>
      <c r="Q716"/>
      <c r="R716"/>
      <c r="S716"/>
      <c r="T716"/>
      <c r="U716"/>
      <c r="V716"/>
      <c r="W716" s="41"/>
      <c r="X716" s="41"/>
      <c r="Y716" s="41"/>
    </row>
    <row r="717" s="27" customFormat="1" ht="23" hidden="1" customHeight="1" spans="1:25">
      <c r="A717" s="133" t="str">
        <f>IF(B717="","",COUNTA($B$5:B717))</f>
        <v/>
      </c>
      <c r="B717" s="143"/>
      <c r="C717" s="144" t="s">
        <v>49</v>
      </c>
      <c r="D717" s="145"/>
      <c r="E717" s="146"/>
      <c r="F717" s="139"/>
      <c r="G717" s="139"/>
      <c r="H717" s="142">
        <f>IFERROR(VLOOKUP($C717,$C$5:$H$18,6,0)+SUMIF($C$19:$C717,$C717,$F$19:$F717)-SUMIF($C$19:$C717,$C717,$G$19:$G717),"")</f>
        <v>81211.819999998</v>
      </c>
      <c r="I717" s="22"/>
      <c r="J717" s="22"/>
      <c r="K717" s="22" t="str">
        <f t="shared" si="11"/>
        <v/>
      </c>
      <c r="L717" s="40"/>
      <c r="M717"/>
      <c r="N717"/>
      <c r="O717"/>
      <c r="P717"/>
      <c r="Q717"/>
      <c r="R717"/>
      <c r="S717"/>
      <c r="T717"/>
      <c r="U717"/>
      <c r="V717"/>
      <c r="W717" s="41"/>
      <c r="X717" s="41"/>
      <c r="Y717" s="41"/>
    </row>
    <row r="718" s="27" customFormat="1" ht="23" hidden="1" customHeight="1" spans="1:25">
      <c r="A718" s="133" t="str">
        <f>IF(B718="","",COUNTA($B$5:B718))</f>
        <v/>
      </c>
      <c r="B718" s="143"/>
      <c r="C718" s="144" t="s">
        <v>49</v>
      </c>
      <c r="D718" s="145"/>
      <c r="E718" s="146"/>
      <c r="F718" s="139"/>
      <c r="G718" s="139"/>
      <c r="H718" s="142">
        <f>IFERROR(VLOOKUP($C718,$C$5:$H$18,6,0)+SUMIF($C$19:$C718,$C718,$F$19:$F718)-SUMIF($C$19:$C718,$C718,$G$19:$G718),"")</f>
        <v>81211.819999998</v>
      </c>
      <c r="I718" s="22"/>
      <c r="J718" s="22"/>
      <c r="K718" s="22" t="str">
        <f t="shared" si="11"/>
        <v/>
      </c>
      <c r="L718" s="40"/>
      <c r="M718"/>
      <c r="N718"/>
      <c r="O718"/>
      <c r="P718"/>
      <c r="Q718"/>
      <c r="R718"/>
      <c r="S718"/>
      <c r="T718"/>
      <c r="U718"/>
      <c r="V718"/>
      <c r="W718" s="41"/>
      <c r="X718" s="41"/>
      <c r="Y718" s="41"/>
    </row>
    <row r="719" s="27" customFormat="1" ht="23" hidden="1" customHeight="1" spans="1:25">
      <c r="A719" s="133" t="str">
        <f>IF(B719="","",COUNTA($B$5:B719))</f>
        <v/>
      </c>
      <c r="B719" s="143"/>
      <c r="C719" s="144" t="s">
        <v>49</v>
      </c>
      <c r="D719" s="145"/>
      <c r="E719" s="146"/>
      <c r="F719" s="139"/>
      <c r="G719" s="139"/>
      <c r="H719" s="142">
        <f>IFERROR(VLOOKUP($C719,$C$5:$H$18,6,0)+SUMIF($C$19:$C719,$C719,$F$19:$F719)-SUMIF($C$19:$C719,$C719,$G$19:$G719),"")</f>
        <v>81211.819999998</v>
      </c>
      <c r="I719" s="22"/>
      <c r="J719" s="22"/>
      <c r="K719" s="22" t="str">
        <f t="shared" si="11"/>
        <v/>
      </c>
      <c r="L719" s="40"/>
      <c r="M719"/>
      <c r="N719"/>
      <c r="O719"/>
      <c r="P719"/>
      <c r="Q719"/>
      <c r="R719"/>
      <c r="S719"/>
      <c r="T719"/>
      <c r="U719"/>
      <c r="V719"/>
      <c r="W719" s="41"/>
      <c r="X719" s="41"/>
      <c r="Y719" s="41"/>
    </row>
    <row r="720" s="27" customFormat="1" ht="23" hidden="1" customHeight="1" spans="1:25">
      <c r="A720" s="133" t="str">
        <f>IF(B720="","",COUNTA($B$5:B720))</f>
        <v/>
      </c>
      <c r="B720" s="143"/>
      <c r="C720" s="144" t="s">
        <v>49</v>
      </c>
      <c r="D720" s="145"/>
      <c r="E720" s="146"/>
      <c r="F720" s="139"/>
      <c r="G720" s="139"/>
      <c r="H720" s="142">
        <f>IFERROR(VLOOKUP($C720,$C$5:$H$18,6,0)+SUMIF($C$19:$C720,$C720,$F$19:$F720)-SUMIF($C$19:$C720,$C720,$G$19:$G720),"")</f>
        <v>81211.819999998</v>
      </c>
      <c r="I720" s="22"/>
      <c r="J720" s="22"/>
      <c r="K720" s="22" t="str">
        <f t="shared" si="11"/>
        <v/>
      </c>
      <c r="L720" s="40"/>
      <c r="M720"/>
      <c r="N720"/>
      <c r="O720"/>
      <c r="P720"/>
      <c r="Q720"/>
      <c r="R720"/>
      <c r="S720"/>
      <c r="T720"/>
      <c r="U720"/>
      <c r="V720"/>
      <c r="W720" s="41"/>
      <c r="X720" s="41"/>
      <c r="Y720" s="41"/>
    </row>
    <row r="721" s="27" customFormat="1" ht="23" hidden="1" customHeight="1" spans="1:25">
      <c r="A721" s="133" t="str">
        <f>IF(B721="","",COUNTA($B$5:B721))</f>
        <v/>
      </c>
      <c r="B721" s="143"/>
      <c r="C721" s="144" t="s">
        <v>49</v>
      </c>
      <c r="D721" s="145"/>
      <c r="E721" s="146"/>
      <c r="F721" s="139"/>
      <c r="G721" s="139"/>
      <c r="H721" s="142">
        <f>IFERROR(VLOOKUP($C721,$C$5:$H$18,6,0)+SUMIF($C$19:$C721,$C721,$F$19:$F721)-SUMIF($C$19:$C721,$C721,$G$19:$G721),"")</f>
        <v>81211.819999998</v>
      </c>
      <c r="I721" s="22"/>
      <c r="J721" s="22"/>
      <c r="K721" s="22" t="str">
        <f t="shared" si="11"/>
        <v/>
      </c>
      <c r="L721" s="40"/>
      <c r="M721"/>
      <c r="N721"/>
      <c r="O721"/>
      <c r="P721"/>
      <c r="Q721"/>
      <c r="R721"/>
      <c r="S721"/>
      <c r="T721"/>
      <c r="U721"/>
      <c r="V721"/>
      <c r="W721" s="41"/>
      <c r="X721" s="41"/>
      <c r="Y721" s="41"/>
    </row>
    <row r="722" s="27" customFormat="1" ht="23" hidden="1" customHeight="1" spans="1:25">
      <c r="A722" s="133" t="str">
        <f>IF(B722="","",COUNTA($B$5:B722))</f>
        <v/>
      </c>
      <c r="B722" s="143"/>
      <c r="C722" s="144" t="s">
        <v>49</v>
      </c>
      <c r="D722" s="145"/>
      <c r="E722" s="146"/>
      <c r="F722" s="139"/>
      <c r="G722" s="139"/>
      <c r="H722" s="142">
        <f>IFERROR(VLOOKUP($C722,$C$5:$H$18,6,0)+SUMIF($C$19:$C722,$C722,$F$19:$F722)-SUMIF($C$19:$C722,$C722,$G$19:$G722),"")</f>
        <v>81211.819999998</v>
      </c>
      <c r="I722" s="22"/>
      <c r="J722" s="22"/>
      <c r="K722" s="22" t="str">
        <f t="shared" si="11"/>
        <v/>
      </c>
      <c r="L722" s="40"/>
      <c r="M722"/>
      <c r="N722"/>
      <c r="O722"/>
      <c r="P722"/>
      <c r="Q722"/>
      <c r="R722"/>
      <c r="S722"/>
      <c r="T722"/>
      <c r="U722"/>
      <c r="V722"/>
      <c r="W722" s="41"/>
      <c r="X722" s="41"/>
      <c r="Y722" s="41"/>
    </row>
    <row r="723" s="27" customFormat="1" ht="23" hidden="1" customHeight="1" spans="1:25">
      <c r="A723" s="133" t="str">
        <f>IF(B723="","",COUNTA($B$5:B723))</f>
        <v/>
      </c>
      <c r="B723" s="143"/>
      <c r="C723" s="144" t="s">
        <v>49</v>
      </c>
      <c r="D723" s="145"/>
      <c r="E723" s="146"/>
      <c r="F723" s="139"/>
      <c r="G723" s="139"/>
      <c r="H723" s="142">
        <f>IFERROR(VLOOKUP($C723,$C$5:$H$18,6,0)+SUMIF($C$19:$C723,$C723,$F$19:$F723)-SUMIF($C$19:$C723,$C723,$G$19:$G723),"")</f>
        <v>81211.819999998</v>
      </c>
      <c r="I723" s="22"/>
      <c r="J723" s="22"/>
      <c r="K723" s="22" t="str">
        <f t="shared" si="11"/>
        <v/>
      </c>
      <c r="L723" s="40"/>
      <c r="M723"/>
      <c r="N723"/>
      <c r="O723"/>
      <c r="P723"/>
      <c r="Q723"/>
      <c r="R723"/>
      <c r="S723"/>
      <c r="T723"/>
      <c r="U723"/>
      <c r="V723"/>
      <c r="W723" s="41"/>
      <c r="X723" s="41"/>
      <c r="Y723" s="41"/>
    </row>
    <row r="724" s="27" customFormat="1" ht="23" hidden="1" customHeight="1" spans="1:25">
      <c r="A724" s="133" t="str">
        <f>IF(B724="","",COUNTA($B$5:B724))</f>
        <v/>
      </c>
      <c r="B724" s="143"/>
      <c r="C724" s="144" t="s">
        <v>49</v>
      </c>
      <c r="D724" s="145"/>
      <c r="E724" s="146"/>
      <c r="F724" s="139"/>
      <c r="G724" s="139"/>
      <c r="H724" s="142">
        <f>IFERROR(VLOOKUP($C724,$C$5:$H$18,6,0)+SUMIF($C$19:$C724,$C724,$F$19:$F724)-SUMIF($C$19:$C724,$C724,$G$19:$G724),"")</f>
        <v>81211.819999998</v>
      </c>
      <c r="I724" s="22"/>
      <c r="J724" s="22"/>
      <c r="K724" s="22" t="str">
        <f t="shared" si="11"/>
        <v/>
      </c>
      <c r="L724" s="40"/>
      <c r="M724"/>
      <c r="N724"/>
      <c r="O724"/>
      <c r="P724"/>
      <c r="Q724"/>
      <c r="R724"/>
      <c r="S724"/>
      <c r="T724"/>
      <c r="U724"/>
      <c r="V724"/>
      <c r="W724" s="41"/>
      <c r="X724" s="41"/>
      <c r="Y724" s="41"/>
    </row>
    <row r="725" s="27" customFormat="1" ht="23" hidden="1" customHeight="1" spans="1:25">
      <c r="A725" s="133" t="str">
        <f>IF(B725="","",COUNTA($B$5:B725))</f>
        <v/>
      </c>
      <c r="B725" s="143"/>
      <c r="C725" s="144" t="s">
        <v>49</v>
      </c>
      <c r="D725" s="145"/>
      <c r="E725" s="146"/>
      <c r="F725" s="139"/>
      <c r="G725" s="139"/>
      <c r="H725" s="142">
        <f>IFERROR(VLOOKUP($C725,$C$5:$H$18,6,0)+SUMIF($C$19:$C725,$C725,$F$19:$F725)-SUMIF($C$19:$C725,$C725,$G$19:$G725),"")</f>
        <v>81211.819999998</v>
      </c>
      <c r="I725" s="22"/>
      <c r="J725" s="22"/>
      <c r="K725" s="22" t="str">
        <f t="shared" si="11"/>
        <v/>
      </c>
      <c r="L725" s="40"/>
      <c r="M725"/>
      <c r="N725"/>
      <c r="O725"/>
      <c r="P725"/>
      <c r="Q725"/>
      <c r="R725"/>
      <c r="S725"/>
      <c r="T725"/>
      <c r="U725"/>
      <c r="V725"/>
      <c r="W725" s="41"/>
      <c r="X725" s="41"/>
      <c r="Y725" s="41"/>
    </row>
    <row r="726" s="27" customFormat="1" ht="23" hidden="1" customHeight="1" spans="1:25">
      <c r="A726" s="133" t="str">
        <f>IF(B726="","",COUNTA($B$5:B726))</f>
        <v/>
      </c>
      <c r="B726" s="143"/>
      <c r="C726" s="144" t="s">
        <v>49</v>
      </c>
      <c r="D726" s="145"/>
      <c r="E726" s="146"/>
      <c r="F726" s="139"/>
      <c r="G726" s="139"/>
      <c r="H726" s="142">
        <f>IFERROR(VLOOKUP($C726,$C$5:$H$18,6,0)+SUMIF($C$19:$C726,$C726,$F$19:$F726)-SUMIF($C$19:$C726,$C726,$G$19:$G726),"")</f>
        <v>81211.819999998</v>
      </c>
      <c r="I726" s="22"/>
      <c r="J726" s="22"/>
      <c r="K726" s="22" t="str">
        <f t="shared" si="11"/>
        <v/>
      </c>
      <c r="L726" s="40"/>
      <c r="M726"/>
      <c r="N726"/>
      <c r="O726"/>
      <c r="P726"/>
      <c r="Q726"/>
      <c r="R726"/>
      <c r="S726"/>
      <c r="T726"/>
      <c r="U726"/>
      <c r="V726"/>
      <c r="W726" s="41"/>
      <c r="X726" s="41"/>
      <c r="Y726" s="41"/>
    </row>
    <row r="727" s="27" customFormat="1" ht="23" hidden="1" customHeight="1" spans="1:25">
      <c r="A727" s="133" t="str">
        <f>IF(B727="","",COUNTA($B$5:B727))</f>
        <v/>
      </c>
      <c r="B727" s="143"/>
      <c r="C727" s="144" t="s">
        <v>49</v>
      </c>
      <c r="D727" s="145"/>
      <c r="E727" s="146"/>
      <c r="F727" s="139"/>
      <c r="G727" s="139"/>
      <c r="H727" s="142">
        <f>IFERROR(VLOOKUP($C727,$C$5:$H$18,6,0)+SUMIF($C$19:$C727,$C727,$F$19:$F727)-SUMIF($C$19:$C727,$C727,$G$19:$G727),"")</f>
        <v>81211.819999998</v>
      </c>
      <c r="I727" s="22"/>
      <c r="J727" s="22"/>
      <c r="K727" s="22" t="str">
        <f t="shared" si="11"/>
        <v/>
      </c>
      <c r="L727" s="40"/>
      <c r="M727"/>
      <c r="N727"/>
      <c r="O727"/>
      <c r="P727"/>
      <c r="Q727"/>
      <c r="R727"/>
      <c r="S727"/>
      <c r="T727"/>
      <c r="U727"/>
      <c r="V727"/>
      <c r="W727" s="41"/>
      <c r="X727" s="41"/>
      <c r="Y727" s="41"/>
    </row>
    <row r="728" s="27" customFormat="1" ht="23" hidden="1" customHeight="1" spans="1:25">
      <c r="A728" s="133" t="str">
        <f>IF(B728="","",COUNTA($B$5:B728))</f>
        <v/>
      </c>
      <c r="B728" s="143"/>
      <c r="C728" s="144" t="s">
        <v>49</v>
      </c>
      <c r="D728" s="145"/>
      <c r="E728" s="146"/>
      <c r="F728" s="139"/>
      <c r="G728" s="139"/>
      <c r="H728" s="142">
        <f>IFERROR(VLOOKUP($C728,$C$5:$H$18,6,0)+SUMIF($C$19:$C728,$C728,$F$19:$F728)-SUMIF($C$19:$C728,$C728,$G$19:$G728),"")</f>
        <v>81211.819999998</v>
      </c>
      <c r="I728" s="22"/>
      <c r="J728" s="22"/>
      <c r="K728" s="22" t="str">
        <f t="shared" si="11"/>
        <v/>
      </c>
      <c r="L728" s="40"/>
      <c r="M728"/>
      <c r="N728"/>
      <c r="O728"/>
      <c r="P728"/>
      <c r="Q728"/>
      <c r="R728"/>
      <c r="S728"/>
      <c r="T728"/>
      <c r="U728"/>
      <c r="V728"/>
      <c r="W728" s="41"/>
      <c r="X728" s="41"/>
      <c r="Y728" s="41"/>
    </row>
    <row r="729" s="27" customFormat="1" ht="23" hidden="1" customHeight="1" spans="1:25">
      <c r="A729" s="133" t="str">
        <f>IF(B729="","",COUNTA($B$5:B729))</f>
        <v/>
      </c>
      <c r="B729" s="143"/>
      <c r="C729" s="144" t="s">
        <v>49</v>
      </c>
      <c r="D729" s="145"/>
      <c r="E729" s="146"/>
      <c r="F729" s="139"/>
      <c r="G729" s="139"/>
      <c r="H729" s="142">
        <f>IFERROR(VLOOKUP($C729,$C$5:$H$18,6,0)+SUMIF($C$19:$C729,$C729,$F$19:$F729)-SUMIF($C$19:$C729,$C729,$G$19:$G729),"")</f>
        <v>81211.819999998</v>
      </c>
      <c r="I729" s="22"/>
      <c r="J729" s="22"/>
      <c r="K729" s="22" t="str">
        <f t="shared" si="11"/>
        <v/>
      </c>
      <c r="L729" s="40"/>
      <c r="M729"/>
      <c r="N729"/>
      <c r="O729"/>
      <c r="P729"/>
      <c r="Q729"/>
      <c r="R729"/>
      <c r="S729"/>
      <c r="T729"/>
      <c r="U729"/>
      <c r="V729"/>
      <c r="W729" s="41"/>
      <c r="X729" s="41"/>
      <c r="Y729" s="41"/>
    </row>
    <row r="730" s="27" customFormat="1" ht="23" hidden="1" customHeight="1" spans="1:25">
      <c r="A730" s="133" t="str">
        <f>IF(B730="","",COUNTA($B$5:B730))</f>
        <v/>
      </c>
      <c r="B730" s="143"/>
      <c r="C730" s="144" t="s">
        <v>49</v>
      </c>
      <c r="D730" s="145"/>
      <c r="E730" s="146"/>
      <c r="F730" s="139"/>
      <c r="G730" s="139"/>
      <c r="H730" s="142">
        <f>IFERROR(VLOOKUP($C730,$C$5:$H$18,6,0)+SUMIF($C$19:$C730,$C730,$F$19:$F730)-SUMIF($C$19:$C730,$C730,$G$19:$G730),"")</f>
        <v>81211.819999998</v>
      </c>
      <c r="I730" s="22"/>
      <c r="J730" s="22"/>
      <c r="K730" s="22" t="str">
        <f t="shared" si="11"/>
        <v/>
      </c>
      <c r="L730" s="40"/>
      <c r="M730"/>
      <c r="N730"/>
      <c r="O730"/>
      <c r="P730"/>
      <c r="Q730"/>
      <c r="R730"/>
      <c r="S730"/>
      <c r="T730"/>
      <c r="U730"/>
      <c r="V730"/>
      <c r="W730" s="41"/>
      <c r="X730" s="41"/>
      <c r="Y730" s="41"/>
    </row>
    <row r="731" s="27" customFormat="1" ht="23" hidden="1" customHeight="1" spans="1:25">
      <c r="A731" s="133" t="str">
        <f>IF(B731="","",COUNTA($B$5:B731))</f>
        <v/>
      </c>
      <c r="B731" s="143"/>
      <c r="C731" s="144" t="s">
        <v>49</v>
      </c>
      <c r="D731" s="145"/>
      <c r="E731" s="146"/>
      <c r="F731" s="139"/>
      <c r="G731" s="139"/>
      <c r="H731" s="142">
        <f>IFERROR(VLOOKUP($C731,$C$5:$H$18,6,0)+SUMIF($C$19:$C731,$C731,$F$19:$F731)-SUMIF($C$19:$C731,$C731,$G$19:$G731),"")</f>
        <v>81211.819999998</v>
      </c>
      <c r="I731" s="22"/>
      <c r="J731" s="22"/>
      <c r="K731" s="22" t="str">
        <f t="shared" si="11"/>
        <v/>
      </c>
      <c r="L731" s="40"/>
      <c r="M731"/>
      <c r="N731"/>
      <c r="O731"/>
      <c r="P731"/>
      <c r="Q731"/>
      <c r="R731"/>
      <c r="S731"/>
      <c r="T731"/>
      <c r="U731"/>
      <c r="V731"/>
      <c r="W731" s="41"/>
      <c r="X731" s="41"/>
      <c r="Y731" s="41"/>
    </row>
    <row r="732" s="27" customFormat="1" ht="23" hidden="1" customHeight="1" spans="1:25">
      <c r="A732" s="133" t="str">
        <f>IF(B732="","",COUNTA($B$5:B732))</f>
        <v/>
      </c>
      <c r="B732" s="143"/>
      <c r="C732" s="144" t="s">
        <v>49</v>
      </c>
      <c r="D732" s="145"/>
      <c r="E732" s="146"/>
      <c r="F732" s="139"/>
      <c r="G732" s="139"/>
      <c r="H732" s="142">
        <f>IFERROR(VLOOKUP($C732,$C$5:$H$18,6,0)+SUMIF($C$19:$C732,$C732,$F$19:$F732)-SUMIF($C$19:$C732,$C732,$G$19:$G732),"")</f>
        <v>81211.819999998</v>
      </c>
      <c r="I732" s="22"/>
      <c r="J732" s="22"/>
      <c r="K732" s="22" t="str">
        <f t="shared" si="11"/>
        <v/>
      </c>
      <c r="L732" s="40"/>
      <c r="M732"/>
      <c r="N732"/>
      <c r="O732"/>
      <c r="P732"/>
      <c r="Q732"/>
      <c r="R732"/>
      <c r="S732"/>
      <c r="T732"/>
      <c r="U732"/>
      <c r="V732"/>
      <c r="W732" s="41"/>
      <c r="X732" s="41"/>
      <c r="Y732" s="41"/>
    </row>
    <row r="733" s="27" customFormat="1" ht="23" hidden="1" customHeight="1" spans="1:25">
      <c r="A733" s="133" t="str">
        <f>IF(B733="","",COUNTA($B$5:B733))</f>
        <v/>
      </c>
      <c r="B733" s="143"/>
      <c r="C733" s="144" t="s">
        <v>49</v>
      </c>
      <c r="D733" s="145"/>
      <c r="E733" s="146"/>
      <c r="F733" s="139"/>
      <c r="G733" s="139"/>
      <c r="H733" s="142">
        <f>IFERROR(VLOOKUP($C733,$C$5:$H$18,6,0)+SUMIF($C$19:$C733,$C733,$F$19:$F733)-SUMIF($C$19:$C733,$C733,$G$19:$G733),"")</f>
        <v>81211.819999998</v>
      </c>
      <c r="I733" s="22"/>
      <c r="J733" s="22"/>
      <c r="K733" s="22" t="str">
        <f t="shared" si="11"/>
        <v/>
      </c>
      <c r="L733" s="40"/>
      <c r="M733"/>
      <c r="N733"/>
      <c r="O733"/>
      <c r="P733"/>
      <c r="Q733"/>
      <c r="R733"/>
      <c r="S733"/>
      <c r="T733"/>
      <c r="U733"/>
      <c r="V733"/>
      <c r="W733" s="41"/>
      <c r="X733" s="41"/>
      <c r="Y733" s="41"/>
    </row>
    <row r="734" s="27" customFormat="1" ht="23" hidden="1" customHeight="1" spans="1:25">
      <c r="A734" s="133" t="str">
        <f>IF(B734="","",COUNTA($B$5:B734))</f>
        <v/>
      </c>
      <c r="B734" s="143"/>
      <c r="C734" s="144" t="s">
        <v>49</v>
      </c>
      <c r="D734" s="145"/>
      <c r="E734" s="146"/>
      <c r="F734" s="139"/>
      <c r="G734" s="139"/>
      <c r="H734" s="142">
        <f>IFERROR(VLOOKUP($C734,$C$5:$H$18,6,0)+SUMIF($C$19:$C734,$C734,$F$19:$F734)-SUMIF($C$19:$C734,$C734,$G$19:$G734),"")</f>
        <v>81211.819999998</v>
      </c>
      <c r="I734" s="22"/>
      <c r="J734" s="22"/>
      <c r="K734" s="22" t="str">
        <f t="shared" si="11"/>
        <v/>
      </c>
      <c r="L734" s="40"/>
      <c r="M734"/>
      <c r="N734"/>
      <c r="O734"/>
      <c r="P734"/>
      <c r="Q734"/>
      <c r="R734"/>
      <c r="S734"/>
      <c r="T734"/>
      <c r="U734"/>
      <c r="V734"/>
      <c r="W734" s="41"/>
      <c r="X734" s="41"/>
      <c r="Y734" s="41"/>
    </row>
    <row r="735" s="27" customFormat="1" ht="23" hidden="1" customHeight="1" spans="1:25">
      <c r="A735" s="133" t="str">
        <f>IF(B735="","",COUNTA($B$5:B735))</f>
        <v/>
      </c>
      <c r="B735" s="143"/>
      <c r="C735" s="144" t="s">
        <v>49</v>
      </c>
      <c r="D735" s="145"/>
      <c r="E735" s="146"/>
      <c r="F735" s="139"/>
      <c r="G735" s="139"/>
      <c r="H735" s="142">
        <f>IFERROR(VLOOKUP($C735,$C$5:$H$18,6,0)+SUMIF($C$19:$C735,$C735,$F$19:$F735)-SUMIF($C$19:$C735,$C735,$G$19:$G735),"")</f>
        <v>81211.819999998</v>
      </c>
      <c r="I735" s="22"/>
      <c r="J735" s="22"/>
      <c r="K735" s="22" t="str">
        <f t="shared" si="11"/>
        <v/>
      </c>
      <c r="L735" s="40"/>
      <c r="M735"/>
      <c r="N735"/>
      <c r="O735"/>
      <c r="P735"/>
      <c r="Q735"/>
      <c r="R735"/>
      <c r="S735"/>
      <c r="T735"/>
      <c r="U735"/>
      <c r="V735"/>
      <c r="W735" s="41"/>
      <c r="X735" s="41"/>
      <c r="Y735" s="41"/>
    </row>
    <row r="736" s="27" customFormat="1" ht="23" hidden="1" customHeight="1" spans="1:25">
      <c r="A736" s="133" t="str">
        <f>IF(B736="","",COUNTA($B$5:B736))</f>
        <v/>
      </c>
      <c r="B736" s="143"/>
      <c r="C736" s="144" t="s">
        <v>49</v>
      </c>
      <c r="D736" s="145"/>
      <c r="E736" s="146"/>
      <c r="F736" s="139"/>
      <c r="G736" s="139"/>
      <c r="H736" s="142">
        <f>IFERROR(VLOOKUP($C736,$C$5:$H$18,6,0)+SUMIF($C$19:$C736,$C736,$F$19:$F736)-SUMIF($C$19:$C736,$C736,$G$19:$G736),"")</f>
        <v>81211.819999998</v>
      </c>
      <c r="I736" s="22"/>
      <c r="J736" s="22"/>
      <c r="K736" s="22" t="str">
        <f t="shared" si="11"/>
        <v/>
      </c>
      <c r="L736" s="40"/>
      <c r="M736"/>
      <c r="N736"/>
      <c r="O736"/>
      <c r="P736"/>
      <c r="Q736"/>
      <c r="R736"/>
      <c r="S736"/>
      <c r="T736"/>
      <c r="U736"/>
      <c r="V736"/>
      <c r="W736" s="41"/>
      <c r="X736" s="41"/>
      <c r="Y736" s="41"/>
    </row>
    <row r="737" s="27" customFormat="1" ht="23" hidden="1" customHeight="1" spans="1:25">
      <c r="A737" s="133" t="str">
        <f>IF(B737="","",COUNTA($B$5:B737))</f>
        <v/>
      </c>
      <c r="B737" s="143"/>
      <c r="C737" s="144" t="s">
        <v>49</v>
      </c>
      <c r="D737" s="145"/>
      <c r="E737" s="146"/>
      <c r="F737" s="139"/>
      <c r="G737" s="139"/>
      <c r="H737" s="142">
        <f>IFERROR(VLOOKUP($C737,$C$5:$H$18,6,0)+SUMIF($C$19:$C737,$C737,$F$19:$F737)-SUMIF($C$19:$C737,$C737,$G$19:$G737),"")</f>
        <v>81211.819999998</v>
      </c>
      <c r="I737" s="22"/>
      <c r="J737" s="22"/>
      <c r="K737" s="22" t="str">
        <f t="shared" si="11"/>
        <v/>
      </c>
      <c r="L737" s="40"/>
      <c r="M737"/>
      <c r="N737"/>
      <c r="O737"/>
      <c r="P737"/>
      <c r="Q737"/>
      <c r="R737"/>
      <c r="S737"/>
      <c r="T737"/>
      <c r="U737"/>
      <c r="V737"/>
      <c r="W737" s="41"/>
      <c r="X737" s="41"/>
      <c r="Y737" s="41"/>
    </row>
    <row r="738" s="27" customFormat="1" ht="23" hidden="1" customHeight="1" spans="1:25">
      <c r="A738" s="133" t="str">
        <f>IF(B738="","",COUNTA($B$5:B738))</f>
        <v/>
      </c>
      <c r="B738" s="143"/>
      <c r="C738" s="144" t="s">
        <v>49</v>
      </c>
      <c r="D738" s="145"/>
      <c r="E738" s="146"/>
      <c r="F738" s="139"/>
      <c r="G738" s="139"/>
      <c r="H738" s="142">
        <f>IFERROR(VLOOKUP($C738,$C$5:$H$18,6,0)+SUMIF($C$19:$C738,$C738,$F$19:$F738)-SUMIF($C$19:$C738,$C738,$G$19:$G738),"")</f>
        <v>81211.819999998</v>
      </c>
      <c r="I738" s="22"/>
      <c r="J738" s="22"/>
      <c r="K738" s="22" t="str">
        <f t="shared" si="11"/>
        <v/>
      </c>
      <c r="L738" s="40"/>
      <c r="M738"/>
      <c r="N738"/>
      <c r="O738"/>
      <c r="P738"/>
      <c r="Q738"/>
      <c r="R738"/>
      <c r="S738"/>
      <c r="T738"/>
      <c r="U738"/>
      <c r="V738"/>
      <c r="W738" s="41"/>
      <c r="X738" s="41"/>
      <c r="Y738" s="41"/>
    </row>
    <row r="739" s="27" customFormat="1" ht="23" hidden="1" customHeight="1" spans="1:25">
      <c r="A739" s="133" t="str">
        <f>IF(B739="","",COUNTA($B$5:B739))</f>
        <v/>
      </c>
      <c r="B739" s="143"/>
      <c r="C739" s="144" t="s">
        <v>49</v>
      </c>
      <c r="D739" s="145"/>
      <c r="E739" s="146"/>
      <c r="F739" s="139"/>
      <c r="G739" s="139"/>
      <c r="H739" s="142">
        <f>IFERROR(VLOOKUP($C739,$C$5:$H$18,6,0)+SUMIF($C$19:$C739,$C739,$F$19:$F739)-SUMIF($C$19:$C739,$C739,$G$19:$G739),"")</f>
        <v>81211.819999998</v>
      </c>
      <c r="I739" s="22"/>
      <c r="J739" s="22"/>
      <c r="K739" s="22" t="str">
        <f t="shared" si="11"/>
        <v/>
      </c>
      <c r="L739" s="40"/>
      <c r="M739"/>
      <c r="N739"/>
      <c r="O739"/>
      <c r="P739"/>
      <c r="Q739"/>
      <c r="R739"/>
      <c r="S739"/>
      <c r="T739"/>
      <c r="U739"/>
      <c r="V739"/>
      <c r="W739" s="41"/>
      <c r="X739" s="41"/>
      <c r="Y739" s="41"/>
    </row>
    <row r="740" s="27" customFormat="1" ht="23" hidden="1" customHeight="1" spans="1:25">
      <c r="A740" s="133" t="str">
        <f>IF(B740="","",COUNTA($B$5:B740))</f>
        <v/>
      </c>
      <c r="B740" s="143"/>
      <c r="C740" s="144" t="s">
        <v>49</v>
      </c>
      <c r="D740" s="145"/>
      <c r="E740" s="146"/>
      <c r="F740" s="139"/>
      <c r="G740" s="139"/>
      <c r="H740" s="142">
        <f>IFERROR(VLOOKUP($C740,$C$5:$H$18,6,0)+SUMIF($C$19:$C740,$C740,$F$19:$F740)-SUMIF($C$19:$C740,$C740,$G$19:$G740),"")</f>
        <v>81211.819999998</v>
      </c>
      <c r="I740" s="22"/>
      <c r="J740" s="22"/>
      <c r="K740" s="22" t="str">
        <f t="shared" si="11"/>
        <v/>
      </c>
      <c r="L740" s="40"/>
      <c r="M740"/>
      <c r="N740"/>
      <c r="O740"/>
      <c r="P740"/>
      <c r="Q740"/>
      <c r="R740"/>
      <c r="S740"/>
      <c r="T740"/>
      <c r="U740"/>
      <c r="V740"/>
      <c r="W740" s="41"/>
      <c r="X740" s="41"/>
      <c r="Y740" s="41"/>
    </row>
    <row r="741" s="27" customFormat="1" ht="23" hidden="1" customHeight="1" spans="1:25">
      <c r="A741" s="133" t="str">
        <f>IF(B741="","",COUNTA($B$5:B741))</f>
        <v/>
      </c>
      <c r="B741" s="143"/>
      <c r="C741" s="144" t="s">
        <v>49</v>
      </c>
      <c r="D741" s="145"/>
      <c r="E741" s="146"/>
      <c r="F741" s="139"/>
      <c r="G741" s="139"/>
      <c r="H741" s="142">
        <f>IFERROR(VLOOKUP($C741,$C$5:$H$18,6,0)+SUMIF($C$19:$C741,$C741,$F$19:$F741)-SUMIF($C$19:$C741,$C741,$G$19:$G741),"")</f>
        <v>81211.819999998</v>
      </c>
      <c r="I741" s="22"/>
      <c r="J741" s="22"/>
      <c r="K741" s="22" t="str">
        <f t="shared" si="11"/>
        <v/>
      </c>
      <c r="L741" s="40"/>
      <c r="M741"/>
      <c r="N741"/>
      <c r="O741"/>
      <c r="P741"/>
      <c r="Q741"/>
      <c r="R741"/>
      <c r="S741"/>
      <c r="T741"/>
      <c r="U741"/>
      <c r="V741"/>
      <c r="W741" s="41"/>
      <c r="X741" s="41"/>
      <c r="Y741" s="41"/>
    </row>
    <row r="742" s="27" customFormat="1" ht="23" hidden="1" customHeight="1" spans="1:25">
      <c r="A742" s="133" t="str">
        <f>IF(B742="","",COUNTA($B$5:B742))</f>
        <v/>
      </c>
      <c r="B742" s="143"/>
      <c r="C742" s="144" t="s">
        <v>49</v>
      </c>
      <c r="D742" s="145"/>
      <c r="E742" s="146"/>
      <c r="F742" s="139"/>
      <c r="G742" s="139"/>
      <c r="H742" s="142">
        <f>IFERROR(VLOOKUP($C742,$C$5:$H$18,6,0)+SUMIF($C$19:$C742,$C742,$F$19:$F742)-SUMIF($C$19:$C742,$C742,$G$19:$G742),"")</f>
        <v>81211.819999998</v>
      </c>
      <c r="I742" s="22"/>
      <c r="J742" s="22"/>
      <c r="K742" s="22" t="str">
        <f t="shared" si="11"/>
        <v/>
      </c>
      <c r="L742" s="40"/>
      <c r="M742"/>
      <c r="N742"/>
      <c r="O742"/>
      <c r="P742"/>
      <c r="Q742"/>
      <c r="R742"/>
      <c r="S742"/>
      <c r="T742"/>
      <c r="U742"/>
      <c r="V742"/>
      <c r="W742" s="41"/>
      <c r="X742" s="41"/>
      <c r="Y742" s="41"/>
    </row>
    <row r="743" s="27" customFormat="1" ht="23" hidden="1" customHeight="1" spans="1:25">
      <c r="A743" s="133" t="str">
        <f>IF(B743="","",COUNTA($B$5:B743))</f>
        <v/>
      </c>
      <c r="B743" s="143"/>
      <c r="C743" s="144" t="s">
        <v>49</v>
      </c>
      <c r="D743" s="145"/>
      <c r="E743" s="146"/>
      <c r="F743" s="139"/>
      <c r="G743" s="139"/>
      <c r="H743" s="142">
        <f>IFERROR(VLOOKUP($C743,$C$5:$H$18,6,0)+SUMIF($C$19:$C743,$C743,$F$19:$F743)-SUMIF($C$19:$C743,$C743,$G$19:$G743),"")</f>
        <v>81211.819999998</v>
      </c>
      <c r="I743" s="22"/>
      <c r="J743" s="22"/>
      <c r="K743" s="22" t="str">
        <f t="shared" si="11"/>
        <v/>
      </c>
      <c r="L743" s="40"/>
      <c r="M743"/>
      <c r="N743"/>
      <c r="O743"/>
      <c r="P743"/>
      <c r="Q743"/>
      <c r="R743"/>
      <c r="S743"/>
      <c r="T743"/>
      <c r="U743"/>
      <c r="V743"/>
      <c r="W743" s="41"/>
      <c r="X743" s="41"/>
      <c r="Y743" s="41"/>
    </row>
    <row r="744" s="27" customFormat="1" ht="23" hidden="1" customHeight="1" spans="1:25">
      <c r="A744" s="133" t="str">
        <f>IF(B744="","",COUNTA($B$5:B744))</f>
        <v/>
      </c>
      <c r="B744" s="143"/>
      <c r="C744" s="144" t="s">
        <v>49</v>
      </c>
      <c r="D744" s="145"/>
      <c r="E744" s="146"/>
      <c r="F744" s="139"/>
      <c r="G744" s="139"/>
      <c r="H744" s="142">
        <f>IFERROR(VLOOKUP($C744,$C$5:$H$18,6,0)+SUMIF($C$19:$C744,$C744,$F$19:$F744)-SUMIF($C$19:$C744,$C744,$G$19:$G744),"")</f>
        <v>81211.819999998</v>
      </c>
      <c r="I744" s="22"/>
      <c r="J744" s="22"/>
      <c r="K744" s="22" t="str">
        <f t="shared" si="11"/>
        <v/>
      </c>
      <c r="L744" s="40"/>
      <c r="M744"/>
      <c r="N744"/>
      <c r="O744"/>
      <c r="P744"/>
      <c r="Q744"/>
      <c r="R744"/>
      <c r="S744"/>
      <c r="T744"/>
      <c r="U744"/>
      <c r="V744"/>
      <c r="W744" s="41"/>
      <c r="X744" s="41"/>
      <c r="Y744" s="41"/>
    </row>
    <row r="745" s="27" customFormat="1" ht="23" hidden="1" customHeight="1" spans="1:25">
      <c r="A745" s="133" t="str">
        <f>IF(B745="","",COUNTA($B$5:B745))</f>
        <v/>
      </c>
      <c r="B745" s="143"/>
      <c r="C745" s="144" t="s">
        <v>49</v>
      </c>
      <c r="D745" s="145"/>
      <c r="E745" s="146"/>
      <c r="F745" s="139"/>
      <c r="G745" s="139"/>
      <c r="H745" s="142">
        <f>IFERROR(VLOOKUP($C745,$C$5:$H$18,6,0)+SUMIF($C$19:$C745,$C745,$F$19:$F745)-SUMIF($C$19:$C745,$C745,$G$19:$G745),"")</f>
        <v>81211.819999998</v>
      </c>
      <c r="I745" s="22"/>
      <c r="J745" s="22"/>
      <c r="K745" s="22" t="str">
        <f t="shared" si="11"/>
        <v/>
      </c>
      <c r="L745" s="40"/>
      <c r="M745"/>
      <c r="N745"/>
      <c r="O745"/>
      <c r="P745"/>
      <c r="Q745"/>
      <c r="R745"/>
      <c r="S745"/>
      <c r="T745"/>
      <c r="U745"/>
      <c r="V745"/>
      <c r="W745" s="41"/>
      <c r="X745" s="41"/>
      <c r="Y745" s="41"/>
    </row>
    <row r="746" s="27" customFormat="1" ht="23" hidden="1" customHeight="1" spans="1:25">
      <c r="A746" s="133" t="str">
        <f>IF(B746="","",COUNTA($B$5:B746))</f>
        <v/>
      </c>
      <c r="B746" s="143"/>
      <c r="C746" s="144" t="s">
        <v>49</v>
      </c>
      <c r="D746" s="145"/>
      <c r="E746" s="146"/>
      <c r="F746" s="139"/>
      <c r="G746" s="139"/>
      <c r="H746" s="142">
        <f>IFERROR(VLOOKUP($C746,$C$5:$H$18,6,0)+SUMIF($C$19:$C746,$C746,$F$19:$F746)-SUMIF($C$19:$C746,$C746,$G$19:$G746),"")</f>
        <v>81211.819999998</v>
      </c>
      <c r="I746" s="22"/>
      <c r="J746" s="22"/>
      <c r="K746" s="22" t="str">
        <f t="shared" si="11"/>
        <v/>
      </c>
      <c r="L746" s="40"/>
      <c r="M746"/>
      <c r="N746"/>
      <c r="O746"/>
      <c r="P746"/>
      <c r="Q746"/>
      <c r="R746"/>
      <c r="S746"/>
      <c r="T746"/>
      <c r="U746"/>
      <c r="V746"/>
      <c r="W746" s="41"/>
      <c r="X746" s="41"/>
      <c r="Y746" s="41"/>
    </row>
    <row r="747" s="27" customFormat="1" ht="23" hidden="1" customHeight="1" spans="1:25">
      <c r="A747" s="133" t="str">
        <f>IF(B747="","",COUNTA($B$5:B747))</f>
        <v/>
      </c>
      <c r="B747" s="143"/>
      <c r="C747" s="144" t="s">
        <v>49</v>
      </c>
      <c r="D747" s="145"/>
      <c r="E747" s="146"/>
      <c r="F747" s="139"/>
      <c r="G747" s="139"/>
      <c r="H747" s="142">
        <f>IFERROR(VLOOKUP($C747,$C$5:$H$18,6,0)+SUMIF($C$19:$C747,$C747,$F$19:$F747)-SUMIF($C$19:$C747,$C747,$G$19:$G747),"")</f>
        <v>81211.819999998</v>
      </c>
      <c r="I747" s="22"/>
      <c r="J747" s="22"/>
      <c r="K747" s="22" t="str">
        <f t="shared" si="11"/>
        <v/>
      </c>
      <c r="L747" s="40"/>
      <c r="M747"/>
      <c r="N747"/>
      <c r="O747"/>
      <c r="P747"/>
      <c r="Q747"/>
      <c r="R747"/>
      <c r="S747"/>
      <c r="T747"/>
      <c r="U747"/>
      <c r="V747"/>
      <c r="W747" s="41"/>
      <c r="X747" s="41"/>
      <c r="Y747" s="41"/>
    </row>
    <row r="748" s="27" customFormat="1" ht="23" hidden="1" customHeight="1" spans="1:25">
      <c r="A748" s="133" t="str">
        <f>IF(B748="","",COUNTA($B$5:B748))</f>
        <v/>
      </c>
      <c r="B748" s="143"/>
      <c r="C748" s="144" t="s">
        <v>49</v>
      </c>
      <c r="D748" s="145"/>
      <c r="E748" s="146"/>
      <c r="F748" s="139"/>
      <c r="G748" s="139"/>
      <c r="H748" s="142">
        <f>IFERROR(VLOOKUP($C748,$C$5:$H$18,6,0)+SUMIF($C$19:$C748,$C748,$F$19:$F748)-SUMIF($C$19:$C748,$C748,$G$19:$G748),"")</f>
        <v>81211.819999998</v>
      </c>
      <c r="I748" s="22"/>
      <c r="J748" s="22"/>
      <c r="K748" s="22" t="str">
        <f t="shared" si="11"/>
        <v/>
      </c>
      <c r="L748" s="40"/>
      <c r="M748"/>
      <c r="N748"/>
      <c r="O748"/>
      <c r="P748"/>
      <c r="Q748"/>
      <c r="R748"/>
      <c r="S748"/>
      <c r="T748"/>
      <c r="U748"/>
      <c r="V748"/>
      <c r="W748" s="41"/>
      <c r="X748" s="41"/>
      <c r="Y748" s="41"/>
    </row>
    <row r="749" s="27" customFormat="1" ht="23" hidden="1" customHeight="1" spans="1:25">
      <c r="A749" s="133" t="str">
        <f>IF(B749="","",COUNTA($B$5:B749))</f>
        <v/>
      </c>
      <c r="B749" s="143"/>
      <c r="C749" s="144" t="s">
        <v>49</v>
      </c>
      <c r="D749" s="145"/>
      <c r="E749" s="146"/>
      <c r="F749" s="139"/>
      <c r="G749" s="139"/>
      <c r="H749" s="142">
        <f>IFERROR(VLOOKUP($C749,$C$5:$H$18,6,0)+SUMIF($C$19:$C749,$C749,$F$19:$F749)-SUMIF($C$19:$C749,$C749,$G$19:$G749),"")</f>
        <v>81211.819999998</v>
      </c>
      <c r="I749" s="22"/>
      <c r="J749" s="22"/>
      <c r="K749" s="22" t="str">
        <f t="shared" si="11"/>
        <v/>
      </c>
      <c r="L749" s="40"/>
      <c r="M749"/>
      <c r="N749"/>
      <c r="O749"/>
      <c r="P749"/>
      <c r="Q749"/>
      <c r="R749"/>
      <c r="S749"/>
      <c r="T749"/>
      <c r="U749"/>
      <c r="V749"/>
      <c r="W749" s="41"/>
      <c r="X749" s="41"/>
      <c r="Y749" s="41"/>
    </row>
    <row r="750" s="27" customFormat="1" ht="23" hidden="1" customHeight="1" spans="1:25">
      <c r="A750" s="133" t="str">
        <f>IF(B750="","",COUNTA($B$5:B750))</f>
        <v/>
      </c>
      <c r="B750" s="143"/>
      <c r="C750" s="144" t="s">
        <v>49</v>
      </c>
      <c r="D750" s="145"/>
      <c r="E750" s="146"/>
      <c r="F750" s="139"/>
      <c r="G750" s="139"/>
      <c r="H750" s="142">
        <f>IFERROR(VLOOKUP($C750,$C$5:$H$18,6,0)+SUMIF($C$19:$C750,$C750,$F$19:$F750)-SUMIF($C$19:$C750,$C750,$G$19:$G750),"")</f>
        <v>81211.819999998</v>
      </c>
      <c r="I750" s="147"/>
      <c r="J750" s="147"/>
      <c r="K750" s="22" t="str">
        <f t="shared" si="11"/>
        <v/>
      </c>
      <c r="L750" s="40"/>
      <c r="M750"/>
      <c r="N750"/>
      <c r="O750"/>
      <c r="P750"/>
      <c r="Q750"/>
      <c r="R750"/>
      <c r="S750"/>
      <c r="T750"/>
      <c r="U750"/>
      <c r="V750"/>
      <c r="W750" s="41"/>
      <c r="X750" s="41"/>
      <c r="Y750" s="41"/>
    </row>
    <row r="751" s="27" customFormat="1" ht="23" hidden="1" customHeight="1" spans="1:25">
      <c r="A751" s="133" t="str">
        <f>IF(B751="","",COUNTA($B$5:B751))</f>
        <v/>
      </c>
      <c r="B751" s="143"/>
      <c r="C751" s="144" t="s">
        <v>49</v>
      </c>
      <c r="D751" s="145"/>
      <c r="E751" s="146"/>
      <c r="F751" s="139"/>
      <c r="G751" s="139"/>
      <c r="H751" s="142">
        <f>IFERROR(VLOOKUP($C751,$C$5:$H$18,6,0)+SUMIF($C$19:$C751,$C751,$F$19:$F751)-SUMIF($C$19:$C751,$C751,$G$19:$G751),"")</f>
        <v>81211.819999998</v>
      </c>
      <c r="I751" s="147"/>
      <c r="J751" s="147"/>
      <c r="K751" s="22" t="str">
        <f t="shared" si="11"/>
        <v/>
      </c>
      <c r="L751" s="40"/>
      <c r="M751"/>
      <c r="N751"/>
      <c r="O751"/>
      <c r="P751"/>
      <c r="Q751"/>
      <c r="R751"/>
      <c r="S751"/>
      <c r="T751"/>
      <c r="U751"/>
      <c r="V751"/>
      <c r="W751" s="41"/>
      <c r="X751" s="41"/>
      <c r="Y751" s="41"/>
    </row>
    <row r="752" s="27" customFormat="1" ht="23" hidden="1" customHeight="1" spans="1:25">
      <c r="A752" s="133" t="str">
        <f>IF(B752="","",COUNTA($B$5:B752))</f>
        <v/>
      </c>
      <c r="B752" s="143"/>
      <c r="C752" s="144" t="s">
        <v>49</v>
      </c>
      <c r="D752" s="145"/>
      <c r="E752" s="146"/>
      <c r="F752" s="139"/>
      <c r="G752" s="139"/>
      <c r="H752" s="142">
        <f>IFERROR(VLOOKUP($C752,$C$5:$H$18,6,0)+SUMIF($C$19:$C752,$C752,$F$19:$F752)-SUMIF($C$19:$C752,$C752,$G$19:$G752),"")</f>
        <v>81211.819999998</v>
      </c>
      <c r="I752" s="147"/>
      <c r="J752" s="147"/>
      <c r="K752" s="22" t="str">
        <f t="shared" si="11"/>
        <v/>
      </c>
      <c r="L752" s="40"/>
      <c r="M752"/>
      <c r="N752"/>
      <c r="O752"/>
      <c r="P752"/>
      <c r="Q752"/>
      <c r="R752"/>
      <c r="S752"/>
      <c r="T752"/>
      <c r="U752"/>
      <c r="V752"/>
      <c r="W752" s="41"/>
      <c r="X752" s="41"/>
      <c r="Y752" s="41"/>
    </row>
    <row r="753" s="27" customFormat="1" ht="23" hidden="1" customHeight="1" spans="1:25">
      <c r="A753" s="133" t="str">
        <f>IF(B753="","",COUNTA($B$5:B753))</f>
        <v/>
      </c>
      <c r="B753" s="143"/>
      <c r="C753" s="144" t="s">
        <v>49</v>
      </c>
      <c r="D753" s="145"/>
      <c r="E753" s="146"/>
      <c r="F753" s="139"/>
      <c r="G753" s="139"/>
      <c r="H753" s="142">
        <f>IFERROR(VLOOKUP($C753,$C$5:$H$18,6,0)+SUMIF($C$19:$C753,$C753,$F$19:$F753)-SUMIF($C$19:$C753,$C753,$G$19:$G753),"")</f>
        <v>81211.819999998</v>
      </c>
      <c r="I753" s="147"/>
      <c r="J753" s="147"/>
      <c r="K753" s="22" t="str">
        <f t="shared" si="11"/>
        <v/>
      </c>
      <c r="L753" s="40"/>
      <c r="M753"/>
      <c r="N753"/>
      <c r="O753"/>
      <c r="P753"/>
      <c r="Q753"/>
      <c r="R753"/>
      <c r="S753"/>
      <c r="T753"/>
      <c r="U753"/>
      <c r="V753"/>
      <c r="W753" s="41"/>
      <c r="X753" s="41"/>
      <c r="Y753" s="41"/>
    </row>
    <row r="754" s="27" customFormat="1" ht="23" hidden="1" customHeight="1" spans="1:25">
      <c r="A754" s="133" t="str">
        <f>IF(B754="","",COUNTA($B$5:B754))</f>
        <v/>
      </c>
      <c r="B754" s="143"/>
      <c r="C754" s="144" t="s">
        <v>49</v>
      </c>
      <c r="D754" s="145"/>
      <c r="E754" s="146"/>
      <c r="F754" s="139"/>
      <c r="G754" s="139"/>
      <c r="H754" s="142">
        <f>IFERROR(VLOOKUP($C754,$C$5:$H$18,6,0)+SUMIF($C$19:$C754,$C754,$F$19:$F754)-SUMIF($C$19:$C754,$C754,$G$19:$G754),"")</f>
        <v>81211.819999998</v>
      </c>
      <c r="I754" s="147"/>
      <c r="J754" s="147"/>
      <c r="K754" s="22" t="str">
        <f t="shared" si="11"/>
        <v/>
      </c>
      <c r="L754" s="40"/>
      <c r="M754"/>
      <c r="N754"/>
      <c r="O754"/>
      <c r="P754"/>
      <c r="Q754"/>
      <c r="R754"/>
      <c r="S754"/>
      <c r="T754"/>
      <c r="U754"/>
      <c r="V754"/>
      <c r="W754" s="41"/>
      <c r="X754" s="41"/>
      <c r="Y754" s="41"/>
    </row>
    <row r="755" s="27" customFormat="1" ht="23" hidden="1" customHeight="1" spans="1:25">
      <c r="A755" s="133" t="str">
        <f>IF(B755="","",COUNTA($B$5:B755))</f>
        <v/>
      </c>
      <c r="B755" s="143"/>
      <c r="C755" s="144" t="s">
        <v>49</v>
      </c>
      <c r="D755" s="145"/>
      <c r="E755" s="146"/>
      <c r="F755" s="139"/>
      <c r="G755" s="139"/>
      <c r="H755" s="142">
        <f>IFERROR(VLOOKUP($C755,$C$5:$H$18,6,0)+SUMIF($C$19:$C755,$C755,$F$19:$F755)-SUMIF($C$19:$C755,$C755,$G$19:$G755),"")</f>
        <v>81211.819999998</v>
      </c>
      <c r="I755" s="147"/>
      <c r="J755" s="147"/>
      <c r="K755" s="22" t="str">
        <f t="shared" si="11"/>
        <v/>
      </c>
      <c r="L755" s="40"/>
      <c r="M755"/>
      <c r="N755"/>
      <c r="O755"/>
      <c r="P755"/>
      <c r="Q755"/>
      <c r="R755"/>
      <c r="S755"/>
      <c r="T755"/>
      <c r="U755"/>
      <c r="V755"/>
      <c r="W755" s="41"/>
      <c r="X755" s="41"/>
      <c r="Y755" s="41"/>
    </row>
    <row r="756" s="27" customFormat="1" ht="23" hidden="1" customHeight="1" spans="1:25">
      <c r="A756" s="133" t="str">
        <f>IF(B756="","",COUNTA($B$5:B756))</f>
        <v/>
      </c>
      <c r="B756" s="143"/>
      <c r="C756" s="144" t="s">
        <v>49</v>
      </c>
      <c r="D756" s="145"/>
      <c r="E756" s="146"/>
      <c r="F756" s="139"/>
      <c r="G756" s="139"/>
      <c r="H756" s="142">
        <f>IFERROR(VLOOKUP($C756,$C$5:$H$18,6,0)+SUMIF($C$19:$C756,$C756,$F$19:$F756)-SUMIF($C$19:$C756,$C756,$G$19:$G756),"")</f>
        <v>81211.819999998</v>
      </c>
      <c r="I756" s="147"/>
      <c r="J756" s="147"/>
      <c r="K756" s="22" t="str">
        <f t="shared" si="11"/>
        <v/>
      </c>
      <c r="L756" s="40"/>
      <c r="M756"/>
      <c r="N756"/>
      <c r="O756"/>
      <c r="P756"/>
      <c r="Q756"/>
      <c r="R756"/>
      <c r="S756"/>
      <c r="T756"/>
      <c r="U756"/>
      <c r="V756"/>
      <c r="W756" s="41"/>
      <c r="X756" s="41"/>
      <c r="Y756" s="41"/>
    </row>
    <row r="757" s="27" customFormat="1" ht="23" hidden="1" customHeight="1" spans="1:25">
      <c r="A757" s="133" t="str">
        <f>IF(B757="","",COUNTA($B$5:B757))</f>
        <v/>
      </c>
      <c r="B757" s="143"/>
      <c r="C757" s="144" t="s">
        <v>49</v>
      </c>
      <c r="D757" s="145"/>
      <c r="E757" s="146"/>
      <c r="F757" s="139"/>
      <c r="G757" s="139"/>
      <c r="H757" s="142">
        <f>IFERROR(VLOOKUP($C757,$C$5:$H$18,6,0)+SUMIF($C$19:$C757,$C757,$F$19:$F757)-SUMIF($C$19:$C757,$C757,$G$19:$G757),"")</f>
        <v>81211.819999998</v>
      </c>
      <c r="I757" s="147"/>
      <c r="J757" s="147"/>
      <c r="K757" s="22" t="str">
        <f t="shared" si="11"/>
        <v/>
      </c>
      <c r="L757" s="40"/>
      <c r="M757"/>
      <c r="N757"/>
      <c r="O757"/>
      <c r="P757"/>
      <c r="Q757"/>
      <c r="R757"/>
      <c r="S757"/>
      <c r="T757"/>
      <c r="U757"/>
      <c r="V757"/>
      <c r="W757" s="41"/>
      <c r="X757" s="41"/>
      <c r="Y757" s="41"/>
    </row>
    <row r="758" s="27" customFormat="1" ht="23" hidden="1" customHeight="1" spans="1:25">
      <c r="A758" s="133" t="str">
        <f>IF(B758="","",COUNTA($B$5:B758))</f>
        <v/>
      </c>
      <c r="B758" s="143"/>
      <c r="C758" s="144" t="s">
        <v>49</v>
      </c>
      <c r="D758" s="145"/>
      <c r="E758" s="146"/>
      <c r="F758" s="139"/>
      <c r="G758" s="139"/>
      <c r="H758" s="142">
        <f>IFERROR(VLOOKUP($C758,$C$5:$H$18,6,0)+SUMIF($C$19:$C758,$C758,$F$19:$F758)-SUMIF($C$19:$C758,$C758,$G$19:$G758),"")</f>
        <v>81211.819999998</v>
      </c>
      <c r="I758" s="147"/>
      <c r="J758" s="147"/>
      <c r="K758" s="22" t="str">
        <f t="shared" si="11"/>
        <v/>
      </c>
      <c r="L758" s="40"/>
      <c r="M758"/>
      <c r="N758"/>
      <c r="O758"/>
      <c r="P758"/>
      <c r="Q758"/>
      <c r="R758"/>
      <c r="S758"/>
      <c r="T758"/>
      <c r="U758"/>
      <c r="V758"/>
      <c r="W758" s="41"/>
      <c r="X758" s="41"/>
      <c r="Y758" s="41"/>
    </row>
    <row r="759" s="27" customFormat="1" ht="23" hidden="1" customHeight="1" spans="1:25">
      <c r="A759" s="133" t="str">
        <f>IF(B759="","",COUNTA($B$5:B759))</f>
        <v/>
      </c>
      <c r="B759" s="143"/>
      <c r="C759" s="144" t="s">
        <v>49</v>
      </c>
      <c r="D759" s="145"/>
      <c r="E759" s="146"/>
      <c r="F759" s="139"/>
      <c r="G759" s="139"/>
      <c r="H759" s="142">
        <f>IFERROR(VLOOKUP($C759,$C$5:$H$18,6,0)+SUMIF($C$19:$C759,$C759,$F$19:$F759)-SUMIF($C$19:$C759,$C759,$G$19:$G759),"")</f>
        <v>81211.819999998</v>
      </c>
      <c r="I759" s="147"/>
      <c r="J759" s="147"/>
      <c r="K759" s="22" t="str">
        <f t="shared" si="11"/>
        <v/>
      </c>
      <c r="L759" s="40"/>
      <c r="M759"/>
      <c r="N759"/>
      <c r="O759"/>
      <c r="P759"/>
      <c r="Q759"/>
      <c r="R759"/>
      <c r="S759"/>
      <c r="T759"/>
      <c r="U759"/>
      <c r="V759"/>
      <c r="W759" s="41"/>
      <c r="X759" s="41"/>
      <c r="Y759" s="41"/>
    </row>
    <row r="760" s="27" customFormat="1" ht="23" hidden="1" customHeight="1" spans="1:25">
      <c r="A760" s="133" t="str">
        <f>IF(B760="","",COUNTA($B$5:B760))</f>
        <v/>
      </c>
      <c r="B760" s="143"/>
      <c r="C760" s="144" t="s">
        <v>49</v>
      </c>
      <c r="D760" s="145"/>
      <c r="E760" s="146"/>
      <c r="F760" s="139"/>
      <c r="G760" s="139"/>
      <c r="H760" s="142">
        <f>IFERROR(VLOOKUP($C760,$C$5:$H$18,6,0)+SUMIF($C$19:$C760,$C760,$F$19:$F760)-SUMIF($C$19:$C760,$C760,$G$19:$G760),"")</f>
        <v>81211.819999998</v>
      </c>
      <c r="I760" s="147"/>
      <c r="J760" s="147"/>
      <c r="K760" s="22" t="str">
        <f t="shared" si="11"/>
        <v/>
      </c>
      <c r="L760" s="40"/>
      <c r="M760"/>
      <c r="N760"/>
      <c r="O760"/>
      <c r="P760"/>
      <c r="Q760"/>
      <c r="R760"/>
      <c r="S760"/>
      <c r="T760"/>
      <c r="U760"/>
      <c r="V760"/>
      <c r="W760" s="41"/>
      <c r="X760" s="41"/>
      <c r="Y760" s="41"/>
    </row>
    <row r="761" s="27" customFormat="1" ht="23" hidden="1" customHeight="1" spans="1:25">
      <c r="A761" s="133" t="str">
        <f>IF(B761="","",COUNTA($B$5:B761))</f>
        <v/>
      </c>
      <c r="B761" s="143"/>
      <c r="C761" s="144" t="s">
        <v>49</v>
      </c>
      <c r="D761" s="145"/>
      <c r="E761" s="146"/>
      <c r="F761" s="139"/>
      <c r="G761" s="139"/>
      <c r="H761" s="142">
        <f>IFERROR(VLOOKUP($C761,$C$5:$H$18,6,0)+SUMIF($C$19:$C761,$C761,$F$19:$F761)-SUMIF($C$19:$C761,$C761,$G$19:$G761),"")</f>
        <v>81211.819999998</v>
      </c>
      <c r="I761" s="147"/>
      <c r="J761" s="147"/>
      <c r="K761" s="22" t="str">
        <f t="shared" si="11"/>
        <v/>
      </c>
      <c r="L761" s="40"/>
      <c r="M761"/>
      <c r="N761"/>
      <c r="O761"/>
      <c r="P761"/>
      <c r="Q761"/>
      <c r="R761"/>
      <c r="S761"/>
      <c r="T761"/>
      <c r="U761"/>
      <c r="V761"/>
      <c r="W761" s="41"/>
      <c r="X761" s="41"/>
      <c r="Y761" s="41"/>
    </row>
    <row r="762" s="27" customFormat="1" ht="23" hidden="1" customHeight="1" spans="1:25">
      <c r="A762" s="133" t="str">
        <f>IF(B762="","",COUNTA($B$5:B762))</f>
        <v/>
      </c>
      <c r="B762" s="143"/>
      <c r="C762" s="144" t="s">
        <v>49</v>
      </c>
      <c r="D762" s="145"/>
      <c r="E762" s="146"/>
      <c r="F762" s="139"/>
      <c r="G762" s="139"/>
      <c r="H762" s="142">
        <f>IFERROR(VLOOKUP($C762,$C$5:$H$18,6,0)+SUMIF($C$19:$C762,$C762,$F$19:$F762)-SUMIF($C$19:$C762,$C762,$G$19:$G762),"")</f>
        <v>81211.819999998</v>
      </c>
      <c r="I762" s="147"/>
      <c r="J762" s="147"/>
      <c r="K762" s="22" t="str">
        <f t="shared" si="11"/>
        <v/>
      </c>
      <c r="L762" s="40"/>
      <c r="M762"/>
      <c r="N762"/>
      <c r="O762"/>
      <c r="P762"/>
      <c r="Q762"/>
      <c r="R762"/>
      <c r="S762"/>
      <c r="T762"/>
      <c r="U762"/>
      <c r="V762"/>
      <c r="W762" s="41"/>
      <c r="X762" s="41"/>
      <c r="Y762" s="41"/>
    </row>
    <row r="763" s="27" customFormat="1" ht="23" hidden="1" customHeight="1" spans="1:25">
      <c r="A763" s="133" t="str">
        <f>IF(B763="","",COUNTA($B$5:B763))</f>
        <v/>
      </c>
      <c r="B763" s="143"/>
      <c r="C763" s="144" t="s">
        <v>49</v>
      </c>
      <c r="D763" s="145"/>
      <c r="E763" s="146"/>
      <c r="F763" s="139"/>
      <c r="G763" s="139"/>
      <c r="H763" s="142">
        <f>IFERROR(VLOOKUP($C763,$C$5:$H$18,6,0)+SUMIF($C$19:$C763,$C763,$F$19:$F763)-SUMIF($C$19:$C763,$C763,$G$19:$G763),"")</f>
        <v>81211.819999998</v>
      </c>
      <c r="I763" s="147"/>
      <c r="J763" s="147"/>
      <c r="K763" s="22" t="str">
        <f t="shared" si="11"/>
        <v/>
      </c>
      <c r="L763" s="40"/>
      <c r="M763"/>
      <c r="N763"/>
      <c r="O763"/>
      <c r="P763"/>
      <c r="Q763"/>
      <c r="R763"/>
      <c r="S763"/>
      <c r="T763"/>
      <c r="U763"/>
      <c r="V763"/>
      <c r="W763" s="41"/>
      <c r="X763" s="41"/>
      <c r="Y763" s="41"/>
    </row>
    <row r="764" s="27" customFormat="1" ht="23" hidden="1" customHeight="1" spans="1:25">
      <c r="A764" s="133" t="str">
        <f>IF(B764="","",COUNTA($B$5:B764))</f>
        <v/>
      </c>
      <c r="B764" s="143"/>
      <c r="C764" s="144" t="s">
        <v>49</v>
      </c>
      <c r="D764" s="145"/>
      <c r="E764" s="146"/>
      <c r="F764" s="139"/>
      <c r="G764" s="139"/>
      <c r="H764" s="142">
        <f>IFERROR(VLOOKUP($C764,$C$5:$H$18,6,0)+SUMIF($C$19:$C764,$C764,$F$19:$F764)-SUMIF($C$19:$C764,$C764,$G$19:$G764),"")</f>
        <v>81211.819999998</v>
      </c>
      <c r="I764" s="147"/>
      <c r="J764" s="147"/>
      <c r="K764" s="22" t="str">
        <f t="shared" si="11"/>
        <v/>
      </c>
      <c r="L764" s="40"/>
      <c r="M764"/>
      <c r="N764"/>
      <c r="O764"/>
      <c r="P764"/>
      <c r="Q764"/>
      <c r="R764"/>
      <c r="S764"/>
      <c r="T764"/>
      <c r="U764"/>
      <c r="V764"/>
      <c r="W764" s="41"/>
      <c r="X764" s="41"/>
      <c r="Y764" s="41"/>
    </row>
    <row r="765" s="27" customFormat="1" ht="23" hidden="1" customHeight="1" spans="1:25">
      <c r="A765" s="133" t="str">
        <f>IF(B765="","",COUNTA($B$5:B765))</f>
        <v/>
      </c>
      <c r="B765" s="143"/>
      <c r="C765" s="144" t="s">
        <v>49</v>
      </c>
      <c r="D765" s="145"/>
      <c r="E765" s="146"/>
      <c r="F765" s="139"/>
      <c r="G765" s="139"/>
      <c r="H765" s="142">
        <f>IFERROR(VLOOKUP($C765,$C$5:$H$18,6,0)+SUMIF($C$19:$C765,$C765,$F$19:$F765)-SUMIF($C$19:$C765,$C765,$G$19:$G765),"")</f>
        <v>81211.819999998</v>
      </c>
      <c r="I765" s="147"/>
      <c r="J765" s="147"/>
      <c r="K765" s="22" t="str">
        <f t="shared" si="11"/>
        <v/>
      </c>
      <c r="L765" s="40"/>
      <c r="M765"/>
      <c r="N765"/>
      <c r="O765"/>
      <c r="P765"/>
      <c r="Q765"/>
      <c r="R765"/>
      <c r="S765"/>
      <c r="T765"/>
      <c r="U765"/>
      <c r="V765"/>
      <c r="W765" s="41"/>
      <c r="X765" s="41"/>
      <c r="Y765" s="41"/>
    </row>
    <row r="766" s="27" customFormat="1" ht="23" hidden="1" customHeight="1" spans="1:25">
      <c r="A766" s="133" t="str">
        <f>IF(B766="","",COUNTA($B$5:B766))</f>
        <v/>
      </c>
      <c r="B766" s="143"/>
      <c r="C766" s="144" t="s">
        <v>49</v>
      </c>
      <c r="D766" s="145"/>
      <c r="E766" s="146"/>
      <c r="F766" s="139"/>
      <c r="G766" s="139"/>
      <c r="H766" s="142">
        <f>IFERROR(VLOOKUP($C766,$C$5:$H$18,6,0)+SUMIF($C$19:$C766,$C766,$F$19:$F766)-SUMIF($C$19:$C766,$C766,$G$19:$G766),"")</f>
        <v>81211.819999998</v>
      </c>
      <c r="I766" s="147"/>
      <c r="J766" s="147"/>
      <c r="K766" s="22" t="str">
        <f t="shared" si="11"/>
        <v/>
      </c>
      <c r="L766" s="40"/>
      <c r="M766"/>
      <c r="N766"/>
      <c r="O766"/>
      <c r="P766"/>
      <c r="Q766"/>
      <c r="R766"/>
      <c r="S766"/>
      <c r="T766"/>
      <c r="U766"/>
      <c r="V766"/>
      <c r="W766" s="41"/>
      <c r="X766" s="41"/>
      <c r="Y766" s="41"/>
    </row>
    <row r="767" s="27" customFormat="1" ht="23" hidden="1" customHeight="1" spans="1:25">
      <c r="A767" s="133" t="str">
        <f>IF(B767="","",COUNTA($B$5:B767))</f>
        <v/>
      </c>
      <c r="B767" s="143"/>
      <c r="C767" s="144" t="s">
        <v>49</v>
      </c>
      <c r="D767" s="145"/>
      <c r="E767" s="146"/>
      <c r="F767" s="139"/>
      <c r="G767" s="139"/>
      <c r="H767" s="142">
        <f>IFERROR(VLOOKUP($C767,$C$5:$H$18,6,0)+SUMIF($C$19:$C767,$C767,$F$19:$F767)-SUMIF($C$19:$C767,$C767,$G$19:$G767),"")</f>
        <v>81211.819999998</v>
      </c>
      <c r="I767" s="147"/>
      <c r="J767" s="147"/>
      <c r="K767" s="22" t="str">
        <f t="shared" si="11"/>
        <v/>
      </c>
      <c r="L767" s="40"/>
      <c r="M767"/>
      <c r="N767"/>
      <c r="O767"/>
      <c r="P767"/>
      <c r="Q767"/>
      <c r="R767"/>
      <c r="S767"/>
      <c r="T767"/>
      <c r="U767"/>
      <c r="V767"/>
      <c r="W767" s="41"/>
      <c r="X767" s="41"/>
      <c r="Y767" s="41"/>
    </row>
    <row r="768" s="27" customFormat="1" ht="23" hidden="1" customHeight="1" spans="1:25">
      <c r="A768" s="133" t="str">
        <f>IF(B768="","",COUNTA($B$5:B768))</f>
        <v/>
      </c>
      <c r="B768" s="143"/>
      <c r="C768" s="144" t="s">
        <v>49</v>
      </c>
      <c r="D768" s="145"/>
      <c r="E768" s="146"/>
      <c r="F768" s="139"/>
      <c r="G768" s="139"/>
      <c r="H768" s="142">
        <f>IFERROR(VLOOKUP($C768,$C$5:$H$18,6,0)+SUMIF($C$19:$C768,$C768,$F$19:$F768)-SUMIF($C$19:$C768,$C768,$G$19:$G768),"")</f>
        <v>81211.819999998</v>
      </c>
      <c r="I768" s="147"/>
      <c r="J768" s="147"/>
      <c r="K768" s="22" t="str">
        <f t="shared" si="11"/>
        <v/>
      </c>
      <c r="L768" s="40"/>
      <c r="M768"/>
      <c r="N768"/>
      <c r="O768"/>
      <c r="P768"/>
      <c r="Q768"/>
      <c r="R768"/>
      <c r="S768"/>
      <c r="T768"/>
      <c r="U768"/>
      <c r="V768"/>
      <c r="W768" s="41"/>
      <c r="X768" s="41"/>
      <c r="Y768" s="41"/>
    </row>
    <row r="769" s="27" customFormat="1" ht="23" hidden="1" customHeight="1" spans="1:25">
      <c r="A769" s="133" t="str">
        <f>IF(B769="","",COUNTA($B$5:B769))</f>
        <v/>
      </c>
      <c r="B769" s="143"/>
      <c r="C769" s="144" t="s">
        <v>49</v>
      </c>
      <c r="D769" s="145"/>
      <c r="E769" s="146"/>
      <c r="F769" s="139"/>
      <c r="G769" s="139"/>
      <c r="H769" s="142">
        <f>IFERROR(VLOOKUP($C769,$C$5:$H$18,6,0)+SUMIF($C$19:$C769,$C769,$F$19:$F769)-SUMIF($C$19:$C769,$C769,$G$19:$G769),"")</f>
        <v>81211.819999998</v>
      </c>
      <c r="I769" s="147"/>
      <c r="J769" s="147"/>
      <c r="K769" s="22" t="str">
        <f t="shared" si="11"/>
        <v/>
      </c>
      <c r="L769" s="40"/>
      <c r="M769"/>
      <c r="N769"/>
      <c r="O769"/>
      <c r="P769"/>
      <c r="Q769"/>
      <c r="R769"/>
      <c r="S769"/>
      <c r="T769"/>
      <c r="U769"/>
      <c r="V769"/>
      <c r="W769" s="41"/>
      <c r="X769" s="41"/>
      <c r="Y769" s="41"/>
    </row>
    <row r="770" s="27" customFormat="1" ht="23" hidden="1" customHeight="1" spans="1:25">
      <c r="A770" s="133" t="str">
        <f>IF(B770="","",COUNTA($B$5:B770))</f>
        <v/>
      </c>
      <c r="B770" s="143"/>
      <c r="C770" s="144" t="s">
        <v>49</v>
      </c>
      <c r="D770" s="145"/>
      <c r="E770" s="146"/>
      <c r="F770" s="139"/>
      <c r="G770" s="139"/>
      <c r="H770" s="142">
        <f>IFERROR(VLOOKUP($C770,$C$5:$H$18,6,0)+SUMIF($C$19:$C770,$C770,$F$19:$F770)-SUMIF($C$19:$C770,$C770,$G$19:$G770),"")</f>
        <v>81211.819999998</v>
      </c>
      <c r="I770" s="147"/>
      <c r="J770" s="147"/>
      <c r="K770" s="22" t="str">
        <f t="shared" si="11"/>
        <v/>
      </c>
      <c r="L770" s="40"/>
      <c r="M770"/>
      <c r="N770"/>
      <c r="O770"/>
      <c r="P770"/>
      <c r="Q770"/>
      <c r="R770"/>
      <c r="S770"/>
      <c r="T770"/>
      <c r="U770"/>
      <c r="V770"/>
      <c r="W770" s="41"/>
      <c r="X770" s="41"/>
      <c r="Y770" s="41"/>
    </row>
    <row r="771" s="27" customFormat="1" ht="23" hidden="1" customHeight="1" spans="1:25">
      <c r="A771" s="133" t="str">
        <f>IF(B771="","",COUNTA($B$5:B771))</f>
        <v/>
      </c>
      <c r="B771" s="143"/>
      <c r="C771" s="144" t="s">
        <v>49</v>
      </c>
      <c r="D771" s="145"/>
      <c r="E771" s="146"/>
      <c r="F771" s="139"/>
      <c r="G771" s="139"/>
      <c r="H771" s="142">
        <f>IFERROR(VLOOKUP($C771,$C$5:$H$18,6,0)+SUMIF($C$19:$C771,$C771,$F$19:$F771)-SUMIF($C$19:$C771,$C771,$G$19:$G771),"")</f>
        <v>81211.819999998</v>
      </c>
      <c r="I771" s="147"/>
      <c r="J771" s="147"/>
      <c r="K771" s="22" t="str">
        <f t="shared" si="11"/>
        <v/>
      </c>
      <c r="L771" s="40"/>
      <c r="M771"/>
      <c r="N771"/>
      <c r="O771"/>
      <c r="P771"/>
      <c r="Q771"/>
      <c r="R771"/>
      <c r="S771"/>
      <c r="T771"/>
      <c r="U771"/>
      <c r="V771"/>
      <c r="W771" s="41"/>
      <c r="X771" s="41"/>
      <c r="Y771" s="41"/>
    </row>
    <row r="772" s="27" customFormat="1" ht="23" hidden="1" customHeight="1" spans="1:25">
      <c r="A772" s="133" t="str">
        <f>IF(B772="","",COUNTA($B$5:B772))</f>
        <v/>
      </c>
      <c r="B772" s="143"/>
      <c r="C772" s="144" t="s">
        <v>49</v>
      </c>
      <c r="D772" s="145"/>
      <c r="E772" s="146"/>
      <c r="F772" s="139"/>
      <c r="G772" s="139"/>
      <c r="H772" s="142">
        <f>IFERROR(VLOOKUP($C772,$C$5:$H$18,6,0)+SUMIF($C$19:$C772,$C772,$F$19:$F772)-SUMIF($C$19:$C772,$C772,$G$19:$G772),"")</f>
        <v>81211.819999998</v>
      </c>
      <c r="I772" s="147"/>
      <c r="J772" s="147"/>
      <c r="K772" s="22" t="str">
        <f t="shared" si="11"/>
        <v/>
      </c>
      <c r="L772" s="40"/>
      <c r="M772"/>
      <c r="N772"/>
      <c r="O772"/>
      <c r="P772"/>
      <c r="Q772"/>
      <c r="R772"/>
      <c r="S772"/>
      <c r="T772"/>
      <c r="U772"/>
      <c r="V772"/>
      <c r="W772" s="41"/>
      <c r="X772" s="41"/>
      <c r="Y772" s="41"/>
    </row>
    <row r="773" s="27" customFormat="1" ht="23" hidden="1" customHeight="1" spans="1:25">
      <c r="A773" s="133" t="str">
        <f>IF(B773="","",COUNTA($B$5:B773))</f>
        <v/>
      </c>
      <c r="B773" s="143"/>
      <c r="C773" s="144" t="s">
        <v>49</v>
      </c>
      <c r="D773" s="145"/>
      <c r="E773" s="146"/>
      <c r="F773" s="139"/>
      <c r="G773" s="139"/>
      <c r="H773" s="142">
        <f>IFERROR(VLOOKUP($C773,$C$5:$H$18,6,0)+SUMIF($C$19:$C773,$C773,$F$19:$F773)-SUMIF($C$19:$C773,$C773,$G$19:$G773),"")</f>
        <v>81211.819999998</v>
      </c>
      <c r="I773" s="147"/>
      <c r="J773" s="147"/>
      <c r="K773" s="22" t="str">
        <f t="shared" ref="K773:K836" si="12">IF($B773="","",--TEXT($B773,"yyyymm"))</f>
        <v/>
      </c>
      <c r="L773" s="40"/>
      <c r="M773"/>
      <c r="N773"/>
      <c r="O773"/>
      <c r="P773"/>
      <c r="Q773"/>
      <c r="R773"/>
      <c r="S773"/>
      <c r="T773"/>
      <c r="U773"/>
      <c r="V773"/>
      <c r="W773" s="41"/>
      <c r="X773" s="41"/>
      <c r="Y773" s="41"/>
    </row>
    <row r="774" s="27" customFormat="1" ht="23" hidden="1" customHeight="1" spans="1:25">
      <c r="A774" s="133" t="str">
        <f>IF(B774="","",COUNTA($B$5:B774))</f>
        <v/>
      </c>
      <c r="B774" s="143"/>
      <c r="C774" s="144" t="s">
        <v>49</v>
      </c>
      <c r="D774" s="145"/>
      <c r="E774" s="146"/>
      <c r="F774" s="139"/>
      <c r="G774" s="139"/>
      <c r="H774" s="142">
        <f>IFERROR(VLOOKUP($C774,$C$5:$H$18,6,0)+SUMIF($C$19:$C774,$C774,$F$19:$F774)-SUMIF($C$19:$C774,$C774,$G$19:$G774),"")</f>
        <v>81211.819999998</v>
      </c>
      <c r="I774" s="147"/>
      <c r="J774" s="147"/>
      <c r="K774" s="22" t="str">
        <f t="shared" si="12"/>
        <v/>
      </c>
      <c r="L774" s="40"/>
      <c r="M774"/>
      <c r="N774"/>
      <c r="O774"/>
      <c r="P774"/>
      <c r="Q774"/>
      <c r="R774"/>
      <c r="S774"/>
      <c r="T774"/>
      <c r="U774"/>
      <c r="V774"/>
      <c r="W774" s="41"/>
      <c r="X774" s="41"/>
      <c r="Y774" s="41"/>
    </row>
    <row r="775" s="27" customFormat="1" ht="23" hidden="1" customHeight="1" spans="1:25">
      <c r="A775" s="133" t="str">
        <f>IF(B775="","",COUNTA($B$5:B775))</f>
        <v/>
      </c>
      <c r="B775" s="143"/>
      <c r="C775" s="144" t="s">
        <v>49</v>
      </c>
      <c r="D775" s="145"/>
      <c r="E775" s="146"/>
      <c r="F775" s="139"/>
      <c r="G775" s="139"/>
      <c r="H775" s="142">
        <f>IFERROR(VLOOKUP($C775,$C$5:$H$18,6,0)+SUMIF($C$19:$C775,$C775,$F$19:$F775)-SUMIF($C$19:$C775,$C775,$G$19:$G775),"")</f>
        <v>81211.819999998</v>
      </c>
      <c r="I775" s="147"/>
      <c r="J775" s="147"/>
      <c r="K775" s="22" t="str">
        <f t="shared" si="12"/>
        <v/>
      </c>
      <c r="L775" s="40"/>
      <c r="M775"/>
      <c r="N775"/>
      <c r="O775"/>
      <c r="P775"/>
      <c r="Q775"/>
      <c r="R775"/>
      <c r="S775"/>
      <c r="T775"/>
      <c r="U775"/>
      <c r="V775"/>
      <c r="W775" s="41"/>
      <c r="X775" s="41"/>
      <c r="Y775" s="41"/>
    </row>
    <row r="776" s="27" customFormat="1" ht="23" hidden="1" customHeight="1" spans="1:25">
      <c r="A776" s="133" t="str">
        <f>IF(B776="","",COUNTA($B$5:B776))</f>
        <v/>
      </c>
      <c r="B776" s="143"/>
      <c r="C776" s="144" t="s">
        <v>49</v>
      </c>
      <c r="D776" s="145"/>
      <c r="E776" s="146"/>
      <c r="F776" s="139"/>
      <c r="G776" s="139"/>
      <c r="H776" s="142">
        <f>IFERROR(VLOOKUP($C776,$C$5:$H$18,6,0)+SUMIF($C$19:$C776,$C776,$F$19:$F776)-SUMIF($C$19:$C776,$C776,$G$19:$G776),"")</f>
        <v>81211.819999998</v>
      </c>
      <c r="I776" s="147"/>
      <c r="J776" s="147"/>
      <c r="K776" s="22" t="str">
        <f t="shared" si="12"/>
        <v/>
      </c>
      <c r="L776" s="40"/>
      <c r="M776"/>
      <c r="N776"/>
      <c r="O776"/>
      <c r="P776"/>
      <c r="Q776"/>
      <c r="R776"/>
      <c r="S776"/>
      <c r="T776"/>
      <c r="U776"/>
      <c r="V776"/>
      <c r="W776" s="41"/>
      <c r="X776" s="41"/>
      <c r="Y776" s="41"/>
    </row>
    <row r="777" s="27" customFormat="1" ht="23" hidden="1" customHeight="1" spans="1:25">
      <c r="A777" s="133" t="str">
        <f>IF(B777="","",COUNTA($B$5:B777))</f>
        <v/>
      </c>
      <c r="B777" s="143"/>
      <c r="C777" s="144" t="s">
        <v>49</v>
      </c>
      <c r="D777" s="145"/>
      <c r="E777" s="146"/>
      <c r="F777" s="139"/>
      <c r="G777" s="139"/>
      <c r="H777" s="142">
        <f>IFERROR(VLOOKUP($C777,$C$5:$H$18,6,0)+SUMIF($C$19:$C777,$C777,$F$19:$F777)-SUMIF($C$19:$C777,$C777,$G$19:$G777),"")</f>
        <v>81211.819999998</v>
      </c>
      <c r="I777" s="147"/>
      <c r="J777" s="147"/>
      <c r="K777" s="22" t="str">
        <f t="shared" si="12"/>
        <v/>
      </c>
      <c r="L777" s="40"/>
      <c r="M777"/>
      <c r="N777"/>
      <c r="O777"/>
      <c r="P777"/>
      <c r="Q777"/>
      <c r="R777"/>
      <c r="S777"/>
      <c r="T777"/>
      <c r="U777"/>
      <c r="V777"/>
      <c r="W777" s="41"/>
      <c r="X777" s="41"/>
      <c r="Y777" s="41"/>
    </row>
    <row r="778" s="27" customFormat="1" ht="23" hidden="1" customHeight="1" spans="1:25">
      <c r="A778" s="133" t="str">
        <f>IF(B778="","",COUNTA($B$5:B778))</f>
        <v/>
      </c>
      <c r="B778" s="143"/>
      <c r="C778" s="144" t="s">
        <v>49</v>
      </c>
      <c r="D778" s="145"/>
      <c r="E778" s="146"/>
      <c r="F778" s="139"/>
      <c r="G778" s="139"/>
      <c r="H778" s="142">
        <f>IFERROR(VLOOKUP($C778,$C$5:$H$18,6,0)+SUMIF($C$19:$C778,$C778,$F$19:$F778)-SUMIF($C$19:$C778,$C778,$G$19:$G778),"")</f>
        <v>81211.819999998</v>
      </c>
      <c r="I778" s="147"/>
      <c r="J778" s="147"/>
      <c r="K778" s="22" t="str">
        <f t="shared" si="12"/>
        <v/>
      </c>
      <c r="L778" s="40"/>
      <c r="M778"/>
      <c r="N778"/>
      <c r="O778"/>
      <c r="P778"/>
      <c r="Q778"/>
      <c r="R778"/>
      <c r="S778"/>
      <c r="T778"/>
      <c r="U778"/>
      <c r="V778"/>
      <c r="W778" s="41"/>
      <c r="X778" s="41"/>
      <c r="Y778" s="41"/>
    </row>
    <row r="779" s="27" customFormat="1" ht="23" hidden="1" customHeight="1" spans="1:25">
      <c r="A779" s="133" t="str">
        <f>IF(B779="","",COUNTA($B$5:B779))</f>
        <v/>
      </c>
      <c r="B779" s="143"/>
      <c r="C779" s="144" t="s">
        <v>49</v>
      </c>
      <c r="D779" s="145"/>
      <c r="E779" s="146"/>
      <c r="F779" s="139"/>
      <c r="G779" s="139"/>
      <c r="H779" s="142">
        <f>IFERROR(VLOOKUP($C779,$C$5:$H$18,6,0)+SUMIF($C$19:$C779,$C779,$F$19:$F779)-SUMIF($C$19:$C779,$C779,$G$19:$G779),"")</f>
        <v>81211.819999998</v>
      </c>
      <c r="I779" s="147"/>
      <c r="J779" s="147"/>
      <c r="K779" s="22" t="str">
        <f t="shared" si="12"/>
        <v/>
      </c>
      <c r="L779" s="40"/>
      <c r="M779"/>
      <c r="N779"/>
      <c r="O779"/>
      <c r="P779"/>
      <c r="Q779"/>
      <c r="R779"/>
      <c r="S779"/>
      <c r="T779"/>
      <c r="U779"/>
      <c r="V779"/>
      <c r="W779" s="41"/>
      <c r="X779" s="41"/>
      <c r="Y779" s="41"/>
    </row>
    <row r="780" s="27" customFormat="1" ht="23" hidden="1" customHeight="1" spans="1:25">
      <c r="A780" s="133" t="str">
        <f>IF(B780="","",COUNTA($B$5:B780))</f>
        <v/>
      </c>
      <c r="B780" s="143"/>
      <c r="C780" s="144" t="s">
        <v>49</v>
      </c>
      <c r="D780" s="145"/>
      <c r="E780" s="146"/>
      <c r="F780" s="139"/>
      <c r="G780" s="139"/>
      <c r="H780" s="142">
        <f>IFERROR(VLOOKUP($C780,$C$5:$H$18,6,0)+SUMIF($C$19:$C780,$C780,$F$19:$F780)-SUMIF($C$19:$C780,$C780,$G$19:$G780),"")</f>
        <v>81211.819999998</v>
      </c>
      <c r="I780" s="147"/>
      <c r="J780" s="147"/>
      <c r="K780" s="22" t="str">
        <f t="shared" si="12"/>
        <v/>
      </c>
      <c r="L780" s="40"/>
      <c r="M780"/>
      <c r="N780"/>
      <c r="O780"/>
      <c r="P780"/>
      <c r="Q780"/>
      <c r="R780"/>
      <c r="S780"/>
      <c r="T780"/>
      <c r="U780"/>
      <c r="V780"/>
      <c r="W780" s="41"/>
      <c r="X780" s="41"/>
      <c r="Y780" s="41"/>
    </row>
    <row r="781" s="27" customFormat="1" ht="23" hidden="1" customHeight="1" spans="1:25">
      <c r="A781" s="133" t="str">
        <f>IF(B781="","",COUNTA($B$5:B781))</f>
        <v/>
      </c>
      <c r="B781" s="143"/>
      <c r="C781" s="144" t="s">
        <v>49</v>
      </c>
      <c r="D781" s="145"/>
      <c r="E781" s="146"/>
      <c r="F781" s="139"/>
      <c r="G781" s="139"/>
      <c r="H781" s="142">
        <f>IFERROR(VLOOKUP($C781,$C$5:$H$18,6,0)+SUMIF($C$19:$C781,$C781,$F$19:$F781)-SUMIF($C$19:$C781,$C781,$G$19:$G781),"")</f>
        <v>81211.819999998</v>
      </c>
      <c r="I781" s="147"/>
      <c r="J781" s="147"/>
      <c r="K781" s="22" t="str">
        <f t="shared" si="12"/>
        <v/>
      </c>
      <c r="L781" s="40"/>
      <c r="M781"/>
      <c r="N781"/>
      <c r="O781"/>
      <c r="P781"/>
      <c r="Q781"/>
      <c r="R781"/>
      <c r="S781"/>
      <c r="T781"/>
      <c r="U781"/>
      <c r="V781"/>
      <c r="W781" s="41"/>
      <c r="X781" s="41"/>
      <c r="Y781" s="41"/>
    </row>
    <row r="782" s="27" customFormat="1" ht="23" hidden="1" customHeight="1" spans="1:25">
      <c r="A782" s="133" t="str">
        <f>IF(B782="","",COUNTA($B$5:B782))</f>
        <v/>
      </c>
      <c r="B782" s="143"/>
      <c r="C782" s="144" t="s">
        <v>49</v>
      </c>
      <c r="D782" s="145"/>
      <c r="E782" s="146"/>
      <c r="F782" s="139"/>
      <c r="G782" s="139"/>
      <c r="H782" s="142">
        <f>IFERROR(VLOOKUP($C782,$C$5:$H$18,6,0)+SUMIF($C$19:$C782,$C782,$F$19:$F782)-SUMIF($C$19:$C782,$C782,$G$19:$G782),"")</f>
        <v>81211.819999998</v>
      </c>
      <c r="I782" s="147"/>
      <c r="J782" s="147"/>
      <c r="K782" s="22" t="str">
        <f t="shared" si="12"/>
        <v/>
      </c>
      <c r="L782" s="40"/>
      <c r="M782"/>
      <c r="N782"/>
      <c r="O782"/>
      <c r="P782"/>
      <c r="Q782"/>
      <c r="R782"/>
      <c r="S782"/>
      <c r="T782"/>
      <c r="U782"/>
      <c r="V782"/>
      <c r="W782" s="41"/>
      <c r="X782" s="41"/>
      <c r="Y782" s="41"/>
    </row>
    <row r="783" s="27" customFormat="1" ht="23" hidden="1" customHeight="1" spans="1:25">
      <c r="A783" s="133" t="str">
        <f>IF(B783="","",COUNTA($B$5:B783))</f>
        <v/>
      </c>
      <c r="B783" s="143"/>
      <c r="C783" s="144" t="s">
        <v>49</v>
      </c>
      <c r="D783" s="145"/>
      <c r="E783" s="146"/>
      <c r="F783" s="139"/>
      <c r="G783" s="139"/>
      <c r="H783" s="142">
        <f>IFERROR(VLOOKUP($C783,$C$5:$H$18,6,0)+SUMIF($C$19:$C783,$C783,$F$19:$F783)-SUMIF($C$19:$C783,$C783,$G$19:$G783),"")</f>
        <v>81211.819999998</v>
      </c>
      <c r="I783" s="147"/>
      <c r="J783" s="147"/>
      <c r="K783" s="22" t="str">
        <f t="shared" si="12"/>
        <v/>
      </c>
      <c r="L783" s="40"/>
      <c r="M783"/>
      <c r="N783"/>
      <c r="O783"/>
      <c r="P783"/>
      <c r="Q783"/>
      <c r="R783"/>
      <c r="S783"/>
      <c r="T783"/>
      <c r="U783"/>
      <c r="V783"/>
      <c r="W783" s="41"/>
      <c r="X783" s="41"/>
      <c r="Y783" s="41"/>
    </row>
    <row r="784" s="27" customFormat="1" ht="23" hidden="1" customHeight="1" spans="1:25">
      <c r="A784" s="133" t="str">
        <f>IF(B784="","",COUNTA($B$5:B784))</f>
        <v/>
      </c>
      <c r="B784" s="143"/>
      <c r="C784" s="144" t="s">
        <v>49</v>
      </c>
      <c r="D784" s="145"/>
      <c r="E784" s="146"/>
      <c r="F784" s="139"/>
      <c r="G784" s="139"/>
      <c r="H784" s="142">
        <f>IFERROR(VLOOKUP($C784,$C$5:$H$18,6,0)+SUMIF($C$19:$C784,$C784,$F$19:$F784)-SUMIF($C$19:$C784,$C784,$G$19:$G784),"")</f>
        <v>81211.819999998</v>
      </c>
      <c r="I784" s="147"/>
      <c r="J784" s="147"/>
      <c r="K784" s="22" t="str">
        <f t="shared" si="12"/>
        <v/>
      </c>
      <c r="L784" s="40"/>
      <c r="M784"/>
      <c r="N784"/>
      <c r="O784"/>
      <c r="P784"/>
      <c r="Q784"/>
      <c r="R784"/>
      <c r="S784"/>
      <c r="T784"/>
      <c r="U784"/>
      <c r="V784"/>
      <c r="W784" s="41"/>
      <c r="X784" s="41"/>
      <c r="Y784" s="41"/>
    </row>
    <row r="785" s="27" customFormat="1" ht="23" hidden="1" customHeight="1" spans="1:25">
      <c r="A785" s="133" t="str">
        <f>IF(B785="","",COUNTA($B$5:B785))</f>
        <v/>
      </c>
      <c r="B785" s="143"/>
      <c r="C785" s="144" t="s">
        <v>49</v>
      </c>
      <c r="D785" s="145"/>
      <c r="E785" s="146"/>
      <c r="F785" s="139"/>
      <c r="G785" s="139"/>
      <c r="H785" s="142">
        <f>IFERROR(VLOOKUP($C785,$C$5:$H$18,6,0)+SUMIF($C$19:$C785,$C785,$F$19:$F785)-SUMIF($C$19:$C785,$C785,$G$19:$G785),"")</f>
        <v>81211.819999998</v>
      </c>
      <c r="I785" s="147"/>
      <c r="J785" s="147"/>
      <c r="K785" s="22" t="str">
        <f t="shared" si="12"/>
        <v/>
      </c>
      <c r="L785" s="40"/>
      <c r="M785"/>
      <c r="N785"/>
      <c r="O785"/>
      <c r="P785"/>
      <c r="Q785"/>
      <c r="R785"/>
      <c r="S785"/>
      <c r="T785"/>
      <c r="U785"/>
      <c r="V785"/>
      <c r="W785" s="41"/>
      <c r="X785" s="41"/>
      <c r="Y785" s="41"/>
    </row>
    <row r="786" s="27" customFormat="1" ht="23" hidden="1" customHeight="1" spans="1:25">
      <c r="A786" s="133" t="str">
        <f>IF(B786="","",COUNTA($B$5:B786))</f>
        <v/>
      </c>
      <c r="B786" s="143"/>
      <c r="C786" s="144" t="s">
        <v>49</v>
      </c>
      <c r="D786" s="145"/>
      <c r="E786" s="146"/>
      <c r="F786" s="139"/>
      <c r="G786" s="139"/>
      <c r="H786" s="142">
        <f>IFERROR(VLOOKUP($C786,$C$5:$H$18,6,0)+SUMIF($C$19:$C786,$C786,$F$19:$F786)-SUMIF($C$19:$C786,$C786,$G$19:$G786),"")</f>
        <v>81211.819999998</v>
      </c>
      <c r="I786" s="147"/>
      <c r="J786" s="147"/>
      <c r="K786" s="22" t="str">
        <f t="shared" si="12"/>
        <v/>
      </c>
      <c r="L786" s="40"/>
      <c r="M786"/>
      <c r="N786"/>
      <c r="O786"/>
      <c r="P786"/>
      <c r="Q786"/>
      <c r="R786"/>
      <c r="S786"/>
      <c r="T786"/>
      <c r="U786"/>
      <c r="V786"/>
      <c r="W786" s="41"/>
      <c r="X786" s="41"/>
      <c r="Y786" s="41"/>
    </row>
    <row r="787" s="27" customFormat="1" ht="23" hidden="1" customHeight="1" spans="1:25">
      <c r="A787" s="133" t="str">
        <f>IF(B787="","",COUNTA($B$5:B787))</f>
        <v/>
      </c>
      <c r="B787" s="143"/>
      <c r="C787" s="144" t="s">
        <v>49</v>
      </c>
      <c r="D787" s="145"/>
      <c r="E787" s="146"/>
      <c r="F787" s="139"/>
      <c r="G787" s="139"/>
      <c r="H787" s="142">
        <f>IFERROR(VLOOKUP($C787,$C$5:$H$18,6,0)+SUMIF($C$19:$C787,$C787,$F$19:$F787)-SUMIF($C$19:$C787,$C787,$G$19:$G787),"")</f>
        <v>81211.819999998</v>
      </c>
      <c r="I787" s="147"/>
      <c r="J787" s="147"/>
      <c r="K787" s="22" t="str">
        <f t="shared" si="12"/>
        <v/>
      </c>
      <c r="L787" s="40"/>
      <c r="M787"/>
      <c r="N787"/>
      <c r="O787"/>
      <c r="P787"/>
      <c r="Q787"/>
      <c r="R787"/>
      <c r="S787"/>
      <c r="T787"/>
      <c r="U787"/>
      <c r="V787"/>
      <c r="W787" s="41"/>
      <c r="X787" s="41"/>
      <c r="Y787" s="41"/>
    </row>
    <row r="788" s="27" customFormat="1" ht="23" hidden="1" customHeight="1" spans="1:25">
      <c r="A788" s="133" t="str">
        <f>IF(B788="","",COUNTA($B$5:B788))</f>
        <v/>
      </c>
      <c r="B788" s="143"/>
      <c r="C788" s="144" t="s">
        <v>49</v>
      </c>
      <c r="D788" s="145"/>
      <c r="E788" s="146"/>
      <c r="F788" s="139"/>
      <c r="G788" s="139"/>
      <c r="H788" s="142">
        <f>IFERROR(VLOOKUP($C788,$C$5:$H$18,6,0)+SUMIF($C$19:$C788,$C788,$F$19:$F788)-SUMIF($C$19:$C788,$C788,$G$19:$G788),"")</f>
        <v>81211.819999998</v>
      </c>
      <c r="I788" s="147"/>
      <c r="J788" s="147"/>
      <c r="K788" s="22" t="str">
        <f t="shared" si="12"/>
        <v/>
      </c>
      <c r="L788" s="40"/>
      <c r="M788"/>
      <c r="N788"/>
      <c r="O788"/>
      <c r="P788"/>
      <c r="Q788"/>
      <c r="R788"/>
      <c r="S788"/>
      <c r="T788"/>
      <c r="U788"/>
      <c r="V788"/>
      <c r="W788" s="41"/>
      <c r="X788" s="41"/>
      <c r="Y788" s="41"/>
    </row>
    <row r="789" s="27" customFormat="1" ht="23" hidden="1" customHeight="1" spans="1:25">
      <c r="A789" s="133" t="str">
        <f>IF(B789="","",COUNTA($B$5:B789))</f>
        <v/>
      </c>
      <c r="B789" s="143"/>
      <c r="C789" s="144" t="s">
        <v>49</v>
      </c>
      <c r="D789" s="145"/>
      <c r="E789" s="146"/>
      <c r="F789" s="139"/>
      <c r="G789" s="139"/>
      <c r="H789" s="142">
        <f>IFERROR(VLOOKUP($C789,$C$5:$H$18,6,0)+SUMIF($C$19:$C789,$C789,$F$19:$F789)-SUMIF($C$19:$C789,$C789,$G$19:$G789),"")</f>
        <v>81211.819999998</v>
      </c>
      <c r="I789" s="147"/>
      <c r="J789" s="147"/>
      <c r="K789" s="22" t="str">
        <f t="shared" si="12"/>
        <v/>
      </c>
      <c r="L789" s="40"/>
      <c r="M789"/>
      <c r="N789"/>
      <c r="O789"/>
      <c r="P789"/>
      <c r="Q789"/>
      <c r="R789"/>
      <c r="S789"/>
      <c r="T789"/>
      <c r="U789"/>
      <c r="V789"/>
      <c r="W789" s="41"/>
      <c r="X789" s="41"/>
      <c r="Y789" s="41"/>
    </row>
    <row r="790" s="27" customFormat="1" ht="23" hidden="1" customHeight="1" spans="1:25">
      <c r="A790" s="133" t="str">
        <f>IF(B790="","",COUNTA($B$5:B790))</f>
        <v/>
      </c>
      <c r="B790" s="143"/>
      <c r="C790" s="144" t="s">
        <v>49</v>
      </c>
      <c r="D790" s="145"/>
      <c r="E790" s="146"/>
      <c r="F790" s="139"/>
      <c r="G790" s="139"/>
      <c r="H790" s="142">
        <f>IFERROR(VLOOKUP($C790,$C$5:$H$18,6,0)+SUMIF($C$19:$C790,$C790,$F$19:$F790)-SUMIF($C$19:$C790,$C790,$G$19:$G790),"")</f>
        <v>81211.819999998</v>
      </c>
      <c r="I790" s="147"/>
      <c r="J790" s="147"/>
      <c r="K790" s="22" t="str">
        <f t="shared" si="12"/>
        <v/>
      </c>
      <c r="L790" s="40"/>
      <c r="M790"/>
      <c r="N790"/>
      <c r="O790"/>
      <c r="P790"/>
      <c r="Q790"/>
      <c r="R790"/>
      <c r="S790"/>
      <c r="T790"/>
      <c r="U790"/>
      <c r="V790"/>
      <c r="W790" s="41"/>
      <c r="X790" s="41"/>
      <c r="Y790" s="41"/>
    </row>
    <row r="791" s="27" customFormat="1" ht="23" hidden="1" customHeight="1" spans="1:25">
      <c r="A791" s="133" t="str">
        <f>IF(B791="","",COUNTA($B$5:B791))</f>
        <v/>
      </c>
      <c r="B791" s="143"/>
      <c r="C791" s="144" t="s">
        <v>49</v>
      </c>
      <c r="D791" s="145"/>
      <c r="E791" s="146"/>
      <c r="F791" s="139"/>
      <c r="G791" s="139"/>
      <c r="H791" s="142">
        <f>IFERROR(VLOOKUP($C791,$C$5:$H$18,6,0)+SUMIF($C$19:$C791,$C791,$F$19:$F791)-SUMIF($C$19:$C791,$C791,$G$19:$G791),"")</f>
        <v>81211.819999998</v>
      </c>
      <c r="I791" s="147"/>
      <c r="J791" s="147"/>
      <c r="K791" s="22" t="str">
        <f t="shared" si="12"/>
        <v/>
      </c>
      <c r="L791" s="40"/>
      <c r="M791"/>
      <c r="N791"/>
      <c r="O791"/>
      <c r="P791"/>
      <c r="Q791"/>
      <c r="R791"/>
      <c r="S791"/>
      <c r="T791"/>
      <c r="U791"/>
      <c r="V791"/>
      <c r="W791" s="41"/>
      <c r="X791" s="41"/>
      <c r="Y791" s="41"/>
    </row>
    <row r="792" s="27" customFormat="1" ht="23" hidden="1" customHeight="1" spans="1:25">
      <c r="A792" s="133" t="str">
        <f>IF(B792="","",COUNTA($B$5:B792))</f>
        <v/>
      </c>
      <c r="B792" s="143"/>
      <c r="C792" s="144" t="s">
        <v>49</v>
      </c>
      <c r="D792" s="145"/>
      <c r="E792" s="146"/>
      <c r="F792" s="139"/>
      <c r="G792" s="139"/>
      <c r="H792" s="142">
        <f>IFERROR(VLOOKUP($C792,$C$5:$H$18,6,0)+SUMIF($C$19:$C792,$C792,$F$19:$F792)-SUMIF($C$19:$C792,$C792,$G$19:$G792),"")</f>
        <v>81211.819999998</v>
      </c>
      <c r="I792" s="147"/>
      <c r="J792" s="147"/>
      <c r="K792" s="22" t="str">
        <f t="shared" si="12"/>
        <v/>
      </c>
      <c r="L792" s="40"/>
      <c r="M792"/>
      <c r="N792"/>
      <c r="O792"/>
      <c r="P792"/>
      <c r="Q792"/>
      <c r="R792"/>
      <c r="S792"/>
      <c r="T792"/>
      <c r="U792"/>
      <c r="V792"/>
      <c r="W792" s="41"/>
      <c r="X792" s="41"/>
      <c r="Y792" s="41"/>
    </row>
    <row r="793" s="27" customFormat="1" ht="23" hidden="1" customHeight="1" spans="1:25">
      <c r="A793" s="133" t="str">
        <f>IF(B793="","",COUNTA($B$5:B793))</f>
        <v/>
      </c>
      <c r="B793" s="143"/>
      <c r="C793" s="144" t="s">
        <v>49</v>
      </c>
      <c r="D793" s="145"/>
      <c r="E793" s="146"/>
      <c r="F793" s="139"/>
      <c r="G793" s="139"/>
      <c r="H793" s="142">
        <f>IFERROR(VLOOKUP($C793,$C$5:$H$18,6,0)+SUMIF($C$19:$C793,$C793,$F$19:$F793)-SUMIF($C$19:$C793,$C793,$G$19:$G793),"")</f>
        <v>81211.819999998</v>
      </c>
      <c r="I793" s="147"/>
      <c r="J793" s="147"/>
      <c r="K793" s="22" t="str">
        <f t="shared" si="12"/>
        <v/>
      </c>
      <c r="L793" s="40"/>
      <c r="M793"/>
      <c r="N793"/>
      <c r="O793"/>
      <c r="P793"/>
      <c r="Q793"/>
      <c r="R793"/>
      <c r="S793"/>
      <c r="T793"/>
      <c r="U793"/>
      <c r="V793"/>
      <c r="W793" s="41"/>
      <c r="X793" s="41"/>
      <c r="Y793" s="41"/>
    </row>
    <row r="794" s="27" customFormat="1" ht="23" hidden="1" customHeight="1" spans="1:25">
      <c r="A794" s="133" t="str">
        <f>IF(B794="","",COUNTA($B$5:B794))</f>
        <v/>
      </c>
      <c r="B794" s="143"/>
      <c r="C794" s="144" t="s">
        <v>49</v>
      </c>
      <c r="D794" s="145"/>
      <c r="E794" s="146"/>
      <c r="F794" s="139"/>
      <c r="G794" s="139"/>
      <c r="H794" s="142">
        <f>IFERROR(VLOOKUP($C794,$C$5:$H$18,6,0)+SUMIF($C$19:$C794,$C794,$F$19:$F794)-SUMIF($C$19:$C794,$C794,$G$19:$G794),"")</f>
        <v>81211.819999998</v>
      </c>
      <c r="I794" s="147"/>
      <c r="J794" s="147"/>
      <c r="K794" s="22" t="str">
        <f t="shared" si="12"/>
        <v/>
      </c>
      <c r="L794" s="40"/>
      <c r="M794"/>
      <c r="N794"/>
      <c r="O794"/>
      <c r="P794"/>
      <c r="Q794"/>
      <c r="R794"/>
      <c r="S794"/>
      <c r="T794"/>
      <c r="U794"/>
      <c r="V794"/>
      <c r="W794" s="41"/>
      <c r="X794" s="41"/>
      <c r="Y794" s="41"/>
    </row>
    <row r="795" s="27" customFormat="1" ht="23" hidden="1" customHeight="1" spans="1:25">
      <c r="A795" s="133" t="str">
        <f>IF(B795="","",COUNTA($B$5:B795))</f>
        <v/>
      </c>
      <c r="B795" s="143"/>
      <c r="C795" s="144" t="s">
        <v>49</v>
      </c>
      <c r="D795" s="145"/>
      <c r="E795" s="146"/>
      <c r="F795" s="139"/>
      <c r="G795" s="139"/>
      <c r="H795" s="142">
        <f>IFERROR(VLOOKUP($C795,$C$5:$H$18,6,0)+SUMIF($C$19:$C795,$C795,$F$19:$F795)-SUMIF($C$19:$C795,$C795,$G$19:$G795),"")</f>
        <v>81211.819999998</v>
      </c>
      <c r="I795" s="147"/>
      <c r="J795" s="147"/>
      <c r="K795" s="22" t="str">
        <f t="shared" si="12"/>
        <v/>
      </c>
      <c r="L795" s="40"/>
      <c r="M795"/>
      <c r="N795"/>
      <c r="O795"/>
      <c r="P795"/>
      <c r="Q795"/>
      <c r="R795"/>
      <c r="S795"/>
      <c r="T795"/>
      <c r="U795"/>
      <c r="V795"/>
      <c r="W795" s="41"/>
      <c r="X795" s="41"/>
      <c r="Y795" s="41"/>
    </row>
    <row r="796" s="27" customFormat="1" ht="23" hidden="1" customHeight="1" spans="1:25">
      <c r="A796" s="133" t="str">
        <f>IF(B796="","",COUNTA($B$5:B796))</f>
        <v/>
      </c>
      <c r="B796" s="143"/>
      <c r="C796" s="144" t="s">
        <v>49</v>
      </c>
      <c r="D796" s="145"/>
      <c r="E796" s="146"/>
      <c r="F796" s="139"/>
      <c r="G796" s="139"/>
      <c r="H796" s="142">
        <f>IFERROR(VLOOKUP($C796,$C$5:$H$18,6,0)+SUMIF($C$19:$C796,$C796,$F$19:$F796)-SUMIF($C$19:$C796,$C796,$G$19:$G796),"")</f>
        <v>81211.819999998</v>
      </c>
      <c r="I796" s="147"/>
      <c r="J796" s="147"/>
      <c r="K796" s="22" t="str">
        <f t="shared" si="12"/>
        <v/>
      </c>
      <c r="L796" s="40"/>
      <c r="M796"/>
      <c r="N796"/>
      <c r="O796"/>
      <c r="P796"/>
      <c r="Q796"/>
      <c r="R796"/>
      <c r="S796"/>
      <c r="T796"/>
      <c r="U796"/>
      <c r="V796"/>
      <c r="W796" s="41"/>
      <c r="X796" s="41"/>
      <c r="Y796" s="41"/>
    </row>
    <row r="797" s="27" customFormat="1" ht="23" hidden="1" customHeight="1" spans="1:25">
      <c r="A797" s="133" t="str">
        <f>IF(B797="","",COUNTA($B$5:B797))</f>
        <v/>
      </c>
      <c r="B797" s="143"/>
      <c r="C797" s="144" t="s">
        <v>49</v>
      </c>
      <c r="D797" s="145"/>
      <c r="E797" s="146"/>
      <c r="F797" s="139"/>
      <c r="G797" s="139"/>
      <c r="H797" s="142">
        <f>IFERROR(VLOOKUP($C797,$C$5:$H$18,6,0)+SUMIF($C$19:$C797,$C797,$F$19:$F797)-SUMIF($C$19:$C797,$C797,$G$19:$G797),"")</f>
        <v>81211.819999998</v>
      </c>
      <c r="I797" s="147"/>
      <c r="J797" s="147"/>
      <c r="K797" s="22" t="str">
        <f t="shared" si="12"/>
        <v/>
      </c>
      <c r="L797" s="40"/>
      <c r="M797"/>
      <c r="N797"/>
      <c r="O797"/>
      <c r="P797"/>
      <c r="Q797"/>
      <c r="R797"/>
      <c r="S797"/>
      <c r="T797"/>
      <c r="U797"/>
      <c r="V797"/>
      <c r="W797" s="41"/>
      <c r="X797" s="41"/>
      <c r="Y797" s="41"/>
    </row>
    <row r="798" s="27" customFormat="1" ht="23" hidden="1" customHeight="1" spans="1:25">
      <c r="A798" s="133" t="str">
        <f>IF(B798="","",COUNTA($B$5:B798))</f>
        <v/>
      </c>
      <c r="B798" s="143"/>
      <c r="C798" s="144" t="s">
        <v>49</v>
      </c>
      <c r="D798" s="145"/>
      <c r="E798" s="146"/>
      <c r="F798" s="139"/>
      <c r="G798" s="139"/>
      <c r="H798" s="142">
        <f>IFERROR(VLOOKUP($C798,$C$5:$H$18,6,0)+SUMIF($C$19:$C798,$C798,$F$19:$F798)-SUMIF($C$19:$C798,$C798,$G$19:$G798),"")</f>
        <v>81211.819999998</v>
      </c>
      <c r="I798" s="147"/>
      <c r="J798" s="147"/>
      <c r="K798" s="22" t="str">
        <f t="shared" si="12"/>
        <v/>
      </c>
      <c r="L798" s="40"/>
      <c r="M798"/>
      <c r="N798"/>
      <c r="O798"/>
      <c r="P798"/>
      <c r="Q798"/>
      <c r="R798"/>
      <c r="S798"/>
      <c r="T798"/>
      <c r="U798"/>
      <c r="V798"/>
      <c r="W798" s="41"/>
      <c r="X798" s="41"/>
      <c r="Y798" s="41"/>
    </row>
    <row r="799" s="27" customFormat="1" ht="23" hidden="1" customHeight="1" spans="1:25">
      <c r="A799" s="133" t="str">
        <f>IF(B799="","",COUNTA($B$5:B799))</f>
        <v/>
      </c>
      <c r="B799" s="143"/>
      <c r="C799" s="144" t="s">
        <v>49</v>
      </c>
      <c r="D799" s="145"/>
      <c r="E799" s="146"/>
      <c r="F799" s="139"/>
      <c r="G799" s="139"/>
      <c r="H799" s="142">
        <f>IFERROR(VLOOKUP($C799,$C$5:$H$18,6,0)+SUMIF($C$19:$C799,$C799,$F$19:$F799)-SUMIF($C$19:$C799,$C799,$G$19:$G799),"")</f>
        <v>81211.819999998</v>
      </c>
      <c r="I799" s="147"/>
      <c r="J799" s="147"/>
      <c r="K799" s="22" t="str">
        <f t="shared" si="12"/>
        <v/>
      </c>
      <c r="L799" s="40"/>
      <c r="M799"/>
      <c r="N799"/>
      <c r="O799"/>
      <c r="P799"/>
      <c r="Q799"/>
      <c r="R799"/>
      <c r="S799"/>
      <c r="T799"/>
      <c r="U799"/>
      <c r="V799"/>
      <c r="W799" s="41"/>
      <c r="X799" s="41"/>
      <c r="Y799" s="41"/>
    </row>
    <row r="800" s="27" customFormat="1" ht="23" hidden="1" customHeight="1" spans="1:25">
      <c r="A800" s="133" t="str">
        <f>IF(B800="","",COUNTA($B$5:B800))</f>
        <v/>
      </c>
      <c r="B800" s="143"/>
      <c r="C800" s="144" t="s">
        <v>49</v>
      </c>
      <c r="D800" s="145"/>
      <c r="E800" s="146"/>
      <c r="F800" s="139"/>
      <c r="G800" s="139"/>
      <c r="H800" s="142">
        <f>IFERROR(VLOOKUP($C800,$C$5:$H$18,6,0)+SUMIF($C$19:$C800,$C800,$F$19:$F800)-SUMIF($C$19:$C800,$C800,$G$19:$G800),"")</f>
        <v>81211.819999998</v>
      </c>
      <c r="I800" s="147"/>
      <c r="J800" s="147"/>
      <c r="K800" s="22" t="str">
        <f t="shared" si="12"/>
        <v/>
      </c>
      <c r="L800" s="40"/>
      <c r="M800"/>
      <c r="N800"/>
      <c r="O800"/>
      <c r="P800"/>
      <c r="Q800"/>
      <c r="R800"/>
      <c r="S800"/>
      <c r="T800"/>
      <c r="U800"/>
      <c r="V800"/>
      <c r="W800" s="41"/>
      <c r="X800" s="41"/>
      <c r="Y800" s="41"/>
    </row>
    <row r="801" s="27" customFormat="1" ht="23" hidden="1" customHeight="1" spans="1:25">
      <c r="A801" s="133" t="str">
        <f>IF(B801="","",COUNTA($B$5:B801))</f>
        <v/>
      </c>
      <c r="B801" s="143"/>
      <c r="C801" s="144" t="s">
        <v>49</v>
      </c>
      <c r="D801" s="145"/>
      <c r="E801" s="146"/>
      <c r="F801" s="139"/>
      <c r="G801" s="139"/>
      <c r="H801" s="142">
        <f>IFERROR(VLOOKUP($C801,$C$5:$H$18,6,0)+SUMIF($C$19:$C801,$C801,$F$19:$F801)-SUMIF($C$19:$C801,$C801,$G$19:$G801),"")</f>
        <v>81211.819999998</v>
      </c>
      <c r="I801" s="147"/>
      <c r="J801" s="147"/>
      <c r="K801" s="22" t="str">
        <f t="shared" si="12"/>
        <v/>
      </c>
      <c r="L801" s="40"/>
      <c r="M801"/>
      <c r="N801"/>
      <c r="O801"/>
      <c r="P801"/>
      <c r="Q801"/>
      <c r="R801"/>
      <c r="S801"/>
      <c r="T801"/>
      <c r="U801"/>
      <c r="V801"/>
      <c r="W801" s="41"/>
      <c r="X801" s="41"/>
      <c r="Y801" s="41"/>
    </row>
    <row r="802" s="27" customFormat="1" ht="23" hidden="1" customHeight="1" spans="1:25">
      <c r="A802" s="133" t="str">
        <f>IF(B802="","",COUNTA($B$5:B802))</f>
        <v/>
      </c>
      <c r="B802" s="143"/>
      <c r="C802" s="144" t="s">
        <v>49</v>
      </c>
      <c r="D802" s="145"/>
      <c r="E802" s="146"/>
      <c r="F802" s="139"/>
      <c r="G802" s="139"/>
      <c r="H802" s="142">
        <f>IFERROR(VLOOKUP($C802,$C$5:$H$18,6,0)+SUMIF($C$19:$C802,$C802,$F$19:$F802)-SUMIF($C$19:$C802,$C802,$G$19:$G802),"")</f>
        <v>81211.819999998</v>
      </c>
      <c r="I802" s="147"/>
      <c r="J802" s="147"/>
      <c r="K802" s="22" t="str">
        <f t="shared" si="12"/>
        <v/>
      </c>
      <c r="L802" s="40"/>
      <c r="M802"/>
      <c r="N802"/>
      <c r="O802"/>
      <c r="P802"/>
      <c r="Q802"/>
      <c r="R802"/>
      <c r="S802"/>
      <c r="T802"/>
      <c r="U802"/>
      <c r="V802"/>
      <c r="W802" s="41"/>
      <c r="X802" s="41"/>
      <c r="Y802" s="41"/>
    </row>
    <row r="803" s="27" customFormat="1" ht="23" hidden="1" customHeight="1" spans="1:25">
      <c r="A803" s="133" t="str">
        <f>IF(B803="","",COUNTA($B$5:B803))</f>
        <v/>
      </c>
      <c r="B803" s="143"/>
      <c r="C803" s="144" t="s">
        <v>49</v>
      </c>
      <c r="D803" s="145"/>
      <c r="E803" s="146"/>
      <c r="F803" s="139"/>
      <c r="G803" s="139"/>
      <c r="H803" s="142">
        <f>IFERROR(VLOOKUP($C803,$C$5:$H$18,6,0)+SUMIF($C$19:$C803,$C803,$F$19:$F803)-SUMIF($C$19:$C803,$C803,$G$19:$G803),"")</f>
        <v>81211.819999998</v>
      </c>
      <c r="I803" s="147"/>
      <c r="J803" s="147"/>
      <c r="K803" s="22" t="str">
        <f t="shared" si="12"/>
        <v/>
      </c>
      <c r="L803" s="40"/>
      <c r="M803"/>
      <c r="N803"/>
      <c r="O803"/>
      <c r="P803"/>
      <c r="Q803"/>
      <c r="R803"/>
      <c r="S803"/>
      <c r="T803"/>
      <c r="U803"/>
      <c r="V803"/>
      <c r="W803" s="41"/>
      <c r="X803" s="41"/>
      <c r="Y803" s="41"/>
    </row>
    <row r="804" s="27" customFormat="1" ht="23" hidden="1" customHeight="1" spans="1:25">
      <c r="A804" s="133" t="str">
        <f>IF(B804="","",COUNTA($B$5:B804))</f>
        <v/>
      </c>
      <c r="B804" s="143"/>
      <c r="C804" s="144" t="s">
        <v>49</v>
      </c>
      <c r="D804" s="145"/>
      <c r="E804" s="146"/>
      <c r="F804" s="139"/>
      <c r="G804" s="139"/>
      <c r="H804" s="142">
        <f>IFERROR(VLOOKUP($C804,$C$5:$H$18,6,0)+SUMIF($C$19:$C804,$C804,$F$19:$F804)-SUMIF($C$19:$C804,$C804,$G$19:$G804),"")</f>
        <v>81211.819999998</v>
      </c>
      <c r="I804" s="147"/>
      <c r="J804" s="147"/>
      <c r="K804" s="22" t="str">
        <f t="shared" si="12"/>
        <v/>
      </c>
      <c r="L804" s="40"/>
      <c r="M804"/>
      <c r="N804"/>
      <c r="O804"/>
      <c r="P804"/>
      <c r="Q804"/>
      <c r="R804"/>
      <c r="S804"/>
      <c r="T804"/>
      <c r="U804"/>
      <c r="V804"/>
      <c r="W804" s="41"/>
      <c r="X804" s="41"/>
      <c r="Y804" s="41"/>
    </row>
    <row r="805" s="27" customFormat="1" ht="23" hidden="1" customHeight="1" spans="1:25">
      <c r="A805" s="133" t="str">
        <f>IF(B805="","",COUNTA($B$5:B805))</f>
        <v/>
      </c>
      <c r="B805" s="143"/>
      <c r="C805" s="144" t="s">
        <v>49</v>
      </c>
      <c r="D805" s="145"/>
      <c r="E805" s="146"/>
      <c r="F805" s="139"/>
      <c r="G805" s="139"/>
      <c r="H805" s="142">
        <f>IFERROR(VLOOKUP($C805,$C$5:$H$18,6,0)+SUMIF($C$19:$C805,$C805,$F$19:$F805)-SUMIF($C$19:$C805,$C805,$G$19:$G805),"")</f>
        <v>81211.819999998</v>
      </c>
      <c r="I805" s="147"/>
      <c r="J805" s="147"/>
      <c r="K805" s="22" t="str">
        <f t="shared" si="12"/>
        <v/>
      </c>
      <c r="L805" s="40"/>
      <c r="M805"/>
      <c r="N805"/>
      <c r="O805"/>
      <c r="P805"/>
      <c r="Q805"/>
      <c r="R805"/>
      <c r="S805"/>
      <c r="T805"/>
      <c r="U805"/>
      <c r="V805"/>
      <c r="W805" s="41"/>
      <c r="X805" s="41"/>
      <c r="Y805" s="41"/>
    </row>
    <row r="806" s="27" customFormat="1" ht="23" hidden="1" customHeight="1" spans="1:25">
      <c r="A806" s="133" t="str">
        <f>IF(B806="","",COUNTA($B$5:B806))</f>
        <v/>
      </c>
      <c r="B806" s="143"/>
      <c r="C806" s="144" t="s">
        <v>49</v>
      </c>
      <c r="D806" s="145"/>
      <c r="E806" s="146"/>
      <c r="F806" s="139"/>
      <c r="G806" s="139"/>
      <c r="H806" s="142">
        <f>IFERROR(VLOOKUP($C806,$C$5:$H$18,6,0)+SUMIF($C$19:$C806,$C806,$F$19:$F806)-SUMIF($C$19:$C806,$C806,$G$19:$G806),"")</f>
        <v>81211.819999998</v>
      </c>
      <c r="I806" s="147"/>
      <c r="J806" s="147"/>
      <c r="K806" s="22" t="str">
        <f t="shared" si="12"/>
        <v/>
      </c>
      <c r="L806" s="40"/>
      <c r="M806"/>
      <c r="N806"/>
      <c r="O806"/>
      <c r="P806"/>
      <c r="Q806"/>
      <c r="R806"/>
      <c r="S806"/>
      <c r="T806"/>
      <c r="U806"/>
      <c r="V806"/>
      <c r="W806" s="41"/>
      <c r="X806" s="41"/>
      <c r="Y806" s="41"/>
    </row>
    <row r="807" s="27" customFormat="1" ht="23" hidden="1" customHeight="1" spans="1:25">
      <c r="A807" s="133" t="str">
        <f>IF(B807="","",COUNTA($B$5:B807))</f>
        <v/>
      </c>
      <c r="B807" s="143"/>
      <c r="C807" s="144" t="s">
        <v>49</v>
      </c>
      <c r="D807" s="145"/>
      <c r="E807" s="146"/>
      <c r="F807" s="139"/>
      <c r="G807" s="139"/>
      <c r="H807" s="142">
        <f>IFERROR(VLOOKUP($C807,$C$5:$H$18,6,0)+SUMIF($C$19:$C807,$C807,$F$19:$F807)-SUMIF($C$19:$C807,$C807,$G$19:$G807),"")</f>
        <v>81211.819999998</v>
      </c>
      <c r="I807" s="147"/>
      <c r="J807" s="147"/>
      <c r="K807" s="22" t="str">
        <f t="shared" si="12"/>
        <v/>
      </c>
      <c r="L807" s="40"/>
      <c r="M807"/>
      <c r="N807"/>
      <c r="O807"/>
      <c r="P807"/>
      <c r="Q807"/>
      <c r="R807"/>
      <c r="S807"/>
      <c r="T807"/>
      <c r="U807"/>
      <c r="V807"/>
      <c r="W807" s="41"/>
      <c r="X807" s="41"/>
      <c r="Y807" s="41"/>
    </row>
    <row r="808" s="27" customFormat="1" ht="23" hidden="1" customHeight="1" spans="1:25">
      <c r="A808" s="133" t="str">
        <f>IF(B808="","",COUNTA($B$5:B808))</f>
        <v/>
      </c>
      <c r="B808" s="143"/>
      <c r="C808" s="144" t="s">
        <v>49</v>
      </c>
      <c r="D808" s="145"/>
      <c r="E808" s="146"/>
      <c r="F808" s="139"/>
      <c r="G808" s="139"/>
      <c r="H808" s="142">
        <f>IFERROR(VLOOKUP($C808,$C$5:$H$18,6,0)+SUMIF($C$19:$C808,$C808,$F$19:$F808)-SUMIF($C$19:$C808,$C808,$G$19:$G808),"")</f>
        <v>81211.819999998</v>
      </c>
      <c r="I808" s="147"/>
      <c r="J808" s="147"/>
      <c r="K808" s="22" t="str">
        <f t="shared" si="12"/>
        <v/>
      </c>
      <c r="L808" s="40"/>
      <c r="M808"/>
      <c r="N808"/>
      <c r="O808"/>
      <c r="P808"/>
      <c r="Q808"/>
      <c r="R808"/>
      <c r="S808"/>
      <c r="T808"/>
      <c r="U808"/>
      <c r="V808"/>
      <c r="W808" s="41"/>
      <c r="X808" s="41"/>
      <c r="Y808" s="41"/>
    </row>
    <row r="809" s="27" customFormat="1" ht="23" hidden="1" customHeight="1" spans="1:25">
      <c r="A809" s="133" t="str">
        <f>IF(B809="","",COUNTA($B$5:B809))</f>
        <v/>
      </c>
      <c r="B809" s="143"/>
      <c r="C809" s="144" t="s">
        <v>49</v>
      </c>
      <c r="D809" s="145"/>
      <c r="E809" s="146"/>
      <c r="F809" s="139"/>
      <c r="G809" s="139"/>
      <c r="H809" s="142">
        <f>IFERROR(VLOOKUP($C809,$C$5:$H$18,6,0)+SUMIF($C$19:$C809,$C809,$F$19:$F809)-SUMIF($C$19:$C809,$C809,$G$19:$G809),"")</f>
        <v>81211.819999998</v>
      </c>
      <c r="I809" s="147"/>
      <c r="J809" s="147"/>
      <c r="K809" s="22" t="str">
        <f t="shared" si="12"/>
        <v/>
      </c>
      <c r="L809" s="40"/>
      <c r="M809"/>
      <c r="N809"/>
      <c r="O809"/>
      <c r="P809"/>
      <c r="Q809"/>
      <c r="R809"/>
      <c r="S809"/>
      <c r="T809"/>
      <c r="U809"/>
      <c r="V809"/>
      <c r="W809" s="41"/>
      <c r="X809" s="41"/>
      <c r="Y809" s="41"/>
    </row>
    <row r="810" s="27" customFormat="1" ht="23" hidden="1" customHeight="1" spans="1:25">
      <c r="A810" s="133" t="str">
        <f>IF(B810="","",COUNTA($B$5:B810))</f>
        <v/>
      </c>
      <c r="B810" s="143"/>
      <c r="C810" s="144" t="s">
        <v>49</v>
      </c>
      <c r="D810" s="145"/>
      <c r="E810" s="146"/>
      <c r="F810" s="139"/>
      <c r="G810" s="139"/>
      <c r="H810" s="142">
        <f>IFERROR(VLOOKUP($C810,$C$5:$H$18,6,0)+SUMIF($C$19:$C810,$C810,$F$19:$F810)-SUMIF($C$19:$C810,$C810,$G$19:$G810),"")</f>
        <v>81211.819999998</v>
      </c>
      <c r="I810" s="147"/>
      <c r="J810" s="147"/>
      <c r="K810" s="22" t="str">
        <f t="shared" si="12"/>
        <v/>
      </c>
      <c r="L810" s="40"/>
      <c r="M810"/>
      <c r="N810"/>
      <c r="O810"/>
      <c r="P810"/>
      <c r="Q810"/>
      <c r="R810"/>
      <c r="S810"/>
      <c r="T810"/>
      <c r="U810"/>
      <c r="V810"/>
      <c r="W810" s="41"/>
      <c r="X810" s="41"/>
      <c r="Y810" s="41"/>
    </row>
    <row r="811" s="27" customFormat="1" ht="23" hidden="1" customHeight="1" spans="1:25">
      <c r="A811" s="133" t="str">
        <f>IF(B811="","",COUNTA($B$5:B811))</f>
        <v/>
      </c>
      <c r="B811" s="143"/>
      <c r="C811" s="144" t="s">
        <v>49</v>
      </c>
      <c r="D811" s="145"/>
      <c r="E811" s="146"/>
      <c r="F811" s="139"/>
      <c r="G811" s="139"/>
      <c r="H811" s="142">
        <f>IFERROR(VLOOKUP($C811,$C$5:$H$18,6,0)+SUMIF($C$19:$C811,$C811,$F$19:$F811)-SUMIF($C$19:$C811,$C811,$G$19:$G811),"")</f>
        <v>81211.819999998</v>
      </c>
      <c r="I811" s="147"/>
      <c r="J811" s="147"/>
      <c r="K811" s="22" t="str">
        <f t="shared" si="12"/>
        <v/>
      </c>
      <c r="L811" s="40"/>
      <c r="M811"/>
      <c r="N811"/>
      <c r="O811"/>
      <c r="P811"/>
      <c r="Q811"/>
      <c r="R811"/>
      <c r="S811"/>
      <c r="T811"/>
      <c r="U811"/>
      <c r="V811"/>
      <c r="W811" s="41"/>
      <c r="X811" s="41"/>
      <c r="Y811" s="41"/>
    </row>
    <row r="812" s="27" customFormat="1" ht="23" hidden="1" customHeight="1" spans="1:25">
      <c r="A812" s="133" t="str">
        <f>IF(B812="","",COUNTA($B$5:B812))</f>
        <v/>
      </c>
      <c r="B812" s="143"/>
      <c r="C812" s="144" t="s">
        <v>49</v>
      </c>
      <c r="D812" s="145"/>
      <c r="E812" s="146"/>
      <c r="F812" s="139"/>
      <c r="G812" s="139"/>
      <c r="H812" s="142">
        <f>IFERROR(VLOOKUP($C812,$C$5:$H$18,6,0)+SUMIF($C$19:$C812,$C812,$F$19:$F812)-SUMIF($C$19:$C812,$C812,$G$19:$G812),"")</f>
        <v>81211.819999998</v>
      </c>
      <c r="I812" s="147"/>
      <c r="J812" s="147"/>
      <c r="K812" s="22" t="str">
        <f t="shared" si="12"/>
        <v/>
      </c>
      <c r="L812" s="40"/>
      <c r="M812"/>
      <c r="N812"/>
      <c r="O812"/>
      <c r="P812"/>
      <c r="Q812"/>
      <c r="R812"/>
      <c r="S812"/>
      <c r="T812"/>
      <c r="U812"/>
      <c r="V812"/>
      <c r="W812" s="41"/>
      <c r="X812" s="41"/>
      <c r="Y812" s="41"/>
    </row>
    <row r="813" s="27" customFormat="1" ht="23" hidden="1" customHeight="1" spans="1:25">
      <c r="A813" s="133" t="str">
        <f>IF(B813="","",COUNTA($B$5:B813))</f>
        <v/>
      </c>
      <c r="B813" s="143"/>
      <c r="C813" s="144" t="s">
        <v>49</v>
      </c>
      <c r="D813" s="145"/>
      <c r="E813" s="146"/>
      <c r="F813" s="139"/>
      <c r="G813" s="139"/>
      <c r="H813" s="142">
        <f>IFERROR(VLOOKUP($C813,$C$5:$H$18,6,0)+SUMIF($C$19:$C813,$C813,$F$19:$F813)-SUMIF($C$19:$C813,$C813,$G$19:$G813),"")</f>
        <v>81211.819999998</v>
      </c>
      <c r="I813" s="147"/>
      <c r="J813" s="147"/>
      <c r="K813" s="22" t="str">
        <f t="shared" si="12"/>
        <v/>
      </c>
      <c r="L813" s="40"/>
      <c r="M813"/>
      <c r="N813"/>
      <c r="O813"/>
      <c r="P813"/>
      <c r="Q813"/>
      <c r="R813"/>
      <c r="S813"/>
      <c r="T813"/>
      <c r="U813"/>
      <c r="V813"/>
      <c r="W813" s="41"/>
      <c r="X813" s="41"/>
      <c r="Y813" s="41"/>
    </row>
    <row r="814" s="27" customFormat="1" ht="23" hidden="1" customHeight="1" spans="1:25">
      <c r="A814" s="133" t="str">
        <f>IF(B814="","",COUNTA($B$5:B814))</f>
        <v/>
      </c>
      <c r="B814" s="143"/>
      <c r="C814" s="144" t="s">
        <v>49</v>
      </c>
      <c r="D814" s="145"/>
      <c r="E814" s="146"/>
      <c r="F814" s="139"/>
      <c r="G814" s="139"/>
      <c r="H814" s="142">
        <f>IFERROR(VLOOKUP($C814,$C$5:$H$18,6,0)+SUMIF($C$19:$C814,$C814,$F$19:$F814)-SUMIF($C$19:$C814,$C814,$G$19:$G814),"")</f>
        <v>81211.819999998</v>
      </c>
      <c r="I814" s="147"/>
      <c r="J814" s="147"/>
      <c r="K814" s="22" t="str">
        <f t="shared" si="12"/>
        <v/>
      </c>
      <c r="L814" s="40"/>
      <c r="M814"/>
      <c r="N814"/>
      <c r="O814"/>
      <c r="P814"/>
      <c r="Q814"/>
      <c r="R814"/>
      <c r="S814"/>
      <c r="T814"/>
      <c r="U814"/>
      <c r="V814"/>
      <c r="W814" s="41"/>
      <c r="X814" s="41"/>
      <c r="Y814" s="41"/>
    </row>
    <row r="815" s="27" customFormat="1" ht="23" hidden="1" customHeight="1" spans="1:25">
      <c r="A815" s="133" t="str">
        <f>IF(B815="","",COUNTA($B$5:B815))</f>
        <v/>
      </c>
      <c r="B815" s="143"/>
      <c r="C815" s="144" t="s">
        <v>49</v>
      </c>
      <c r="D815" s="145"/>
      <c r="E815" s="146"/>
      <c r="F815" s="139"/>
      <c r="G815" s="139"/>
      <c r="H815" s="142">
        <f>IFERROR(VLOOKUP($C815,$C$5:$H$18,6,0)+SUMIF($C$19:$C815,$C815,$F$19:$F815)-SUMIF($C$19:$C815,$C815,$G$19:$G815),"")</f>
        <v>81211.819999998</v>
      </c>
      <c r="I815" s="147"/>
      <c r="J815" s="147"/>
      <c r="K815" s="22" t="str">
        <f t="shared" si="12"/>
        <v/>
      </c>
      <c r="L815" s="40"/>
      <c r="M815"/>
      <c r="N815"/>
      <c r="O815"/>
      <c r="P815"/>
      <c r="Q815"/>
      <c r="R815"/>
      <c r="S815"/>
      <c r="T815"/>
      <c r="U815"/>
      <c r="V815"/>
      <c r="W815" s="41"/>
      <c r="X815" s="41"/>
      <c r="Y815" s="41"/>
    </row>
    <row r="816" s="27" customFormat="1" ht="23" hidden="1" customHeight="1" spans="1:25">
      <c r="A816" s="133" t="str">
        <f>IF(B816="","",COUNTA($B$5:B816))</f>
        <v/>
      </c>
      <c r="B816" s="143"/>
      <c r="C816" s="144" t="s">
        <v>49</v>
      </c>
      <c r="D816" s="145"/>
      <c r="E816" s="146"/>
      <c r="F816" s="139"/>
      <c r="G816" s="139"/>
      <c r="H816" s="142">
        <f>IFERROR(VLOOKUP($C816,$C$5:$H$18,6,0)+SUMIF($C$19:$C816,$C816,$F$19:$F816)-SUMIF($C$19:$C816,$C816,$G$19:$G816),"")</f>
        <v>81211.819999998</v>
      </c>
      <c r="I816" s="147"/>
      <c r="J816" s="147"/>
      <c r="K816" s="22" t="str">
        <f t="shared" si="12"/>
        <v/>
      </c>
      <c r="L816" s="40"/>
      <c r="M816"/>
      <c r="N816"/>
      <c r="O816"/>
      <c r="P816"/>
      <c r="Q816"/>
      <c r="R816"/>
      <c r="S816"/>
      <c r="T816"/>
      <c r="U816"/>
      <c r="V816"/>
      <c r="W816" s="41"/>
      <c r="X816" s="41"/>
      <c r="Y816" s="41"/>
    </row>
    <row r="817" s="27" customFormat="1" ht="23" hidden="1" customHeight="1" spans="1:25">
      <c r="A817" s="133" t="str">
        <f>IF(B817="","",COUNTA($B$5:B817))</f>
        <v/>
      </c>
      <c r="B817" s="143"/>
      <c r="C817" s="144" t="s">
        <v>49</v>
      </c>
      <c r="D817" s="145"/>
      <c r="E817" s="146"/>
      <c r="F817" s="139"/>
      <c r="G817" s="139"/>
      <c r="H817" s="142">
        <f>IFERROR(VLOOKUP($C817,$C$5:$H$18,6,0)+SUMIF($C$19:$C817,$C817,$F$19:$F817)-SUMIF($C$19:$C817,$C817,$G$19:$G817),"")</f>
        <v>81211.819999998</v>
      </c>
      <c r="I817" s="147"/>
      <c r="J817" s="147"/>
      <c r="K817" s="22" t="str">
        <f t="shared" si="12"/>
        <v/>
      </c>
      <c r="L817" s="40"/>
      <c r="M817"/>
      <c r="N817"/>
      <c r="O817"/>
      <c r="P817"/>
      <c r="Q817"/>
      <c r="R817"/>
      <c r="S817"/>
      <c r="T817"/>
      <c r="U817"/>
      <c r="V817"/>
      <c r="W817" s="41"/>
      <c r="X817" s="41"/>
      <c r="Y817" s="41"/>
    </row>
    <row r="818" s="27" customFormat="1" ht="23" hidden="1" customHeight="1" spans="1:25">
      <c r="A818" s="133" t="str">
        <f>IF(B818="","",COUNTA($B$5:B818))</f>
        <v/>
      </c>
      <c r="B818" s="143"/>
      <c r="C818" s="144" t="s">
        <v>49</v>
      </c>
      <c r="D818" s="145"/>
      <c r="E818" s="146"/>
      <c r="F818" s="139"/>
      <c r="G818" s="139"/>
      <c r="H818" s="142">
        <f>IFERROR(VLOOKUP($C818,$C$5:$H$18,6,0)+SUMIF($C$19:$C818,$C818,$F$19:$F818)-SUMIF($C$19:$C818,$C818,$G$19:$G818),"")</f>
        <v>81211.819999998</v>
      </c>
      <c r="I818" s="147"/>
      <c r="J818" s="147"/>
      <c r="K818" s="22" t="str">
        <f t="shared" si="12"/>
        <v/>
      </c>
      <c r="L818" s="40"/>
      <c r="M818"/>
      <c r="N818"/>
      <c r="O818"/>
      <c r="P818"/>
      <c r="Q818"/>
      <c r="R818"/>
      <c r="S818"/>
      <c r="T818"/>
      <c r="U818"/>
      <c r="V818"/>
      <c r="W818" s="41"/>
      <c r="X818" s="41"/>
      <c r="Y818" s="41"/>
    </row>
    <row r="819" s="27" customFormat="1" ht="23" hidden="1" customHeight="1" spans="1:25">
      <c r="A819" s="133" t="str">
        <f>IF(B819="","",COUNTA($B$5:B819))</f>
        <v/>
      </c>
      <c r="B819" s="143"/>
      <c r="C819" s="144" t="s">
        <v>49</v>
      </c>
      <c r="D819" s="145"/>
      <c r="E819" s="146"/>
      <c r="F819" s="139"/>
      <c r="G819" s="139"/>
      <c r="H819" s="142">
        <f>IFERROR(VLOOKUP($C819,$C$5:$H$18,6,0)+SUMIF($C$19:$C819,$C819,$F$19:$F819)-SUMIF($C$19:$C819,$C819,$G$19:$G819),"")</f>
        <v>81211.819999998</v>
      </c>
      <c r="I819" s="147"/>
      <c r="J819" s="147"/>
      <c r="K819" s="22" t="str">
        <f t="shared" si="12"/>
        <v/>
      </c>
      <c r="L819" s="40"/>
      <c r="M819"/>
      <c r="N819"/>
      <c r="O819"/>
      <c r="P819"/>
      <c r="Q819"/>
      <c r="R819"/>
      <c r="S819"/>
      <c r="T819"/>
      <c r="U819"/>
      <c r="V819"/>
      <c r="W819" s="41"/>
      <c r="X819" s="41"/>
      <c r="Y819" s="41"/>
    </row>
    <row r="820" s="27" customFormat="1" ht="23" hidden="1" customHeight="1" spans="1:25">
      <c r="A820" s="133" t="str">
        <f>IF(B820="","",COUNTA($B$5:B820))</f>
        <v/>
      </c>
      <c r="B820" s="143"/>
      <c r="C820" s="144" t="s">
        <v>49</v>
      </c>
      <c r="D820" s="145"/>
      <c r="E820" s="146"/>
      <c r="F820" s="139"/>
      <c r="G820" s="139"/>
      <c r="H820" s="142">
        <f>IFERROR(VLOOKUP($C820,$C$5:$H$18,6,0)+SUMIF($C$19:$C820,$C820,$F$19:$F820)-SUMIF($C$19:$C820,$C820,$G$19:$G820),"")</f>
        <v>81211.819999998</v>
      </c>
      <c r="I820" s="147"/>
      <c r="J820" s="147"/>
      <c r="K820" s="22" t="str">
        <f t="shared" si="12"/>
        <v/>
      </c>
      <c r="L820" s="40"/>
      <c r="M820"/>
      <c r="N820"/>
      <c r="O820"/>
      <c r="P820"/>
      <c r="Q820"/>
      <c r="R820"/>
      <c r="S820"/>
      <c r="T820"/>
      <c r="U820"/>
      <c r="V820"/>
      <c r="W820" s="41"/>
      <c r="X820" s="41"/>
      <c r="Y820" s="41"/>
    </row>
    <row r="821" s="27" customFormat="1" ht="23" hidden="1" customHeight="1" spans="1:25">
      <c r="A821" s="133" t="str">
        <f>IF(B821="","",COUNTA($B$5:B821))</f>
        <v/>
      </c>
      <c r="B821" s="143"/>
      <c r="C821" s="144" t="s">
        <v>49</v>
      </c>
      <c r="D821" s="145"/>
      <c r="E821" s="146"/>
      <c r="F821" s="139"/>
      <c r="G821" s="139"/>
      <c r="H821" s="142">
        <f>IFERROR(VLOOKUP($C821,$C$5:$H$18,6,0)+SUMIF($C$19:$C821,$C821,$F$19:$F821)-SUMIF($C$19:$C821,$C821,$G$19:$G821),"")</f>
        <v>81211.819999998</v>
      </c>
      <c r="I821" s="147"/>
      <c r="J821" s="147"/>
      <c r="K821" s="22" t="str">
        <f t="shared" si="12"/>
        <v/>
      </c>
      <c r="L821" s="40"/>
      <c r="M821"/>
      <c r="N821"/>
      <c r="O821"/>
      <c r="P821"/>
      <c r="Q821"/>
      <c r="R821"/>
      <c r="S821"/>
      <c r="T821"/>
      <c r="U821"/>
      <c r="V821"/>
      <c r="W821" s="41"/>
      <c r="X821" s="41"/>
      <c r="Y821" s="41"/>
    </row>
    <row r="822" s="27" customFormat="1" ht="23" hidden="1" customHeight="1" spans="1:25">
      <c r="A822" s="133" t="str">
        <f>IF(B822="","",COUNTA($B$5:B822))</f>
        <v/>
      </c>
      <c r="B822" s="143"/>
      <c r="C822" s="144" t="s">
        <v>49</v>
      </c>
      <c r="D822" s="145"/>
      <c r="E822" s="146"/>
      <c r="F822" s="139"/>
      <c r="G822" s="139"/>
      <c r="H822" s="142">
        <f>IFERROR(VLOOKUP($C822,$C$5:$H$18,6,0)+SUMIF($C$19:$C822,$C822,$F$19:$F822)-SUMIF($C$19:$C822,$C822,$G$19:$G822),"")</f>
        <v>81211.819999998</v>
      </c>
      <c r="I822" s="147"/>
      <c r="J822" s="147"/>
      <c r="K822" s="22" t="str">
        <f t="shared" si="12"/>
        <v/>
      </c>
      <c r="L822" s="40"/>
      <c r="M822"/>
      <c r="N822"/>
      <c r="O822"/>
      <c r="P822"/>
      <c r="Q822"/>
      <c r="R822"/>
      <c r="S822"/>
      <c r="T822"/>
      <c r="U822"/>
      <c r="V822"/>
      <c r="W822" s="41"/>
      <c r="X822" s="41"/>
      <c r="Y822" s="41"/>
    </row>
    <row r="823" s="27" customFormat="1" ht="23" hidden="1" customHeight="1" spans="1:25">
      <c r="A823" s="133" t="str">
        <f>IF(B823="","",COUNTA($B$5:B823))</f>
        <v/>
      </c>
      <c r="B823" s="143"/>
      <c r="C823" s="144" t="s">
        <v>49</v>
      </c>
      <c r="D823" s="145"/>
      <c r="E823" s="146"/>
      <c r="F823" s="139"/>
      <c r="G823" s="139"/>
      <c r="H823" s="142">
        <f>IFERROR(VLOOKUP($C823,$C$5:$H$18,6,0)+SUMIF($C$19:$C823,$C823,$F$19:$F823)-SUMIF($C$19:$C823,$C823,$G$19:$G823),"")</f>
        <v>81211.819999998</v>
      </c>
      <c r="I823" s="147"/>
      <c r="J823" s="147"/>
      <c r="K823" s="22" t="str">
        <f t="shared" si="12"/>
        <v/>
      </c>
      <c r="L823" s="40"/>
      <c r="M823"/>
      <c r="N823"/>
      <c r="O823"/>
      <c r="P823"/>
      <c r="Q823"/>
      <c r="R823"/>
      <c r="S823"/>
      <c r="T823"/>
      <c r="U823"/>
      <c r="V823"/>
      <c r="W823" s="41"/>
      <c r="X823" s="41"/>
      <c r="Y823" s="41"/>
    </row>
    <row r="824" s="27" customFormat="1" ht="23" hidden="1" customHeight="1" spans="1:25">
      <c r="A824" s="133" t="str">
        <f>IF(B824="","",COUNTA($B$5:B824))</f>
        <v/>
      </c>
      <c r="B824" s="143"/>
      <c r="C824" s="144" t="s">
        <v>49</v>
      </c>
      <c r="D824" s="145"/>
      <c r="E824" s="146"/>
      <c r="F824" s="139"/>
      <c r="G824" s="139"/>
      <c r="H824" s="142">
        <f>IFERROR(VLOOKUP($C824,$C$5:$H$18,6,0)+SUMIF($C$19:$C824,$C824,$F$19:$F824)-SUMIF($C$19:$C824,$C824,$G$19:$G824),"")</f>
        <v>81211.819999998</v>
      </c>
      <c r="I824" s="147"/>
      <c r="J824" s="147"/>
      <c r="K824" s="22" t="str">
        <f t="shared" si="12"/>
        <v/>
      </c>
      <c r="L824" s="40"/>
      <c r="M824"/>
      <c r="N824"/>
      <c r="O824"/>
      <c r="P824"/>
      <c r="Q824"/>
      <c r="R824"/>
      <c r="S824"/>
      <c r="T824"/>
      <c r="U824"/>
      <c r="V824"/>
      <c r="W824" s="41"/>
      <c r="X824" s="41"/>
      <c r="Y824" s="41"/>
    </row>
    <row r="825" s="27" customFormat="1" ht="23" hidden="1" customHeight="1" spans="1:25">
      <c r="A825" s="133" t="str">
        <f>IF(B825="","",COUNTA($B$5:B825))</f>
        <v/>
      </c>
      <c r="B825" s="143"/>
      <c r="C825" s="144" t="s">
        <v>49</v>
      </c>
      <c r="D825" s="145"/>
      <c r="E825" s="146"/>
      <c r="F825" s="139"/>
      <c r="G825" s="139"/>
      <c r="H825" s="142">
        <f>IFERROR(VLOOKUP($C825,$C$5:$H$18,6,0)+SUMIF($C$19:$C825,$C825,$F$19:$F825)-SUMIF($C$19:$C825,$C825,$G$19:$G825),"")</f>
        <v>81211.819999998</v>
      </c>
      <c r="I825" s="147"/>
      <c r="J825" s="147"/>
      <c r="K825" s="22" t="str">
        <f t="shared" si="12"/>
        <v/>
      </c>
      <c r="L825" s="40"/>
      <c r="M825"/>
      <c r="N825"/>
      <c r="O825"/>
      <c r="P825"/>
      <c r="Q825"/>
      <c r="R825"/>
      <c r="S825"/>
      <c r="T825"/>
      <c r="U825"/>
      <c r="V825"/>
      <c r="W825" s="41"/>
      <c r="X825" s="41"/>
      <c r="Y825" s="41"/>
    </row>
    <row r="826" s="27" customFormat="1" ht="23" hidden="1" customHeight="1" spans="1:25">
      <c r="A826" s="133" t="str">
        <f>IF(B826="","",COUNTA($B$5:B826))</f>
        <v/>
      </c>
      <c r="B826" s="143"/>
      <c r="C826" s="144" t="s">
        <v>49</v>
      </c>
      <c r="D826" s="145"/>
      <c r="E826" s="146"/>
      <c r="F826" s="139"/>
      <c r="G826" s="139"/>
      <c r="H826" s="142">
        <f>IFERROR(VLOOKUP($C826,$C$5:$H$18,6,0)+SUMIF($C$19:$C826,$C826,$F$19:$F826)-SUMIF($C$19:$C826,$C826,$G$19:$G826),"")</f>
        <v>81211.819999998</v>
      </c>
      <c r="I826" s="147"/>
      <c r="J826" s="147"/>
      <c r="K826" s="22" t="str">
        <f t="shared" si="12"/>
        <v/>
      </c>
      <c r="L826" s="40"/>
      <c r="M826"/>
      <c r="N826"/>
      <c r="O826"/>
      <c r="P826"/>
      <c r="Q826"/>
      <c r="R826"/>
      <c r="S826"/>
      <c r="T826"/>
      <c r="U826"/>
      <c r="V826"/>
      <c r="W826" s="41"/>
      <c r="X826" s="41"/>
      <c r="Y826" s="41"/>
    </row>
    <row r="827" s="27" customFormat="1" ht="23" hidden="1" customHeight="1" spans="1:25">
      <c r="A827" s="133" t="str">
        <f>IF(B827="","",COUNTA($B$5:B827))</f>
        <v/>
      </c>
      <c r="B827" s="143"/>
      <c r="C827" s="144" t="s">
        <v>49</v>
      </c>
      <c r="D827" s="145"/>
      <c r="E827" s="146"/>
      <c r="F827" s="139"/>
      <c r="G827" s="139"/>
      <c r="H827" s="142">
        <f>IFERROR(VLOOKUP($C827,$C$5:$H$18,6,0)+SUMIF($C$19:$C827,$C827,$F$19:$F827)-SUMIF($C$19:$C827,$C827,$G$19:$G827),"")</f>
        <v>81211.819999998</v>
      </c>
      <c r="I827" s="147"/>
      <c r="J827" s="147"/>
      <c r="K827" s="22" t="str">
        <f t="shared" si="12"/>
        <v/>
      </c>
      <c r="L827" s="40"/>
      <c r="M827"/>
      <c r="N827"/>
      <c r="O827"/>
      <c r="P827"/>
      <c r="Q827"/>
      <c r="R827"/>
      <c r="S827"/>
      <c r="T827"/>
      <c r="U827"/>
      <c r="V827"/>
      <c r="W827" s="41"/>
      <c r="X827" s="41"/>
      <c r="Y827" s="41"/>
    </row>
    <row r="828" s="27" customFormat="1" ht="23" hidden="1" customHeight="1" spans="1:25">
      <c r="A828" s="133" t="str">
        <f>IF(B828="","",COUNTA($B$5:B828))</f>
        <v/>
      </c>
      <c r="B828" s="143"/>
      <c r="C828" s="144" t="s">
        <v>49</v>
      </c>
      <c r="D828" s="145"/>
      <c r="E828" s="146"/>
      <c r="F828" s="139"/>
      <c r="G828" s="139"/>
      <c r="H828" s="142">
        <f>IFERROR(VLOOKUP($C828,$C$5:$H$18,6,0)+SUMIF($C$19:$C828,$C828,$F$19:$F828)-SUMIF($C$19:$C828,$C828,$G$19:$G828),"")</f>
        <v>81211.819999998</v>
      </c>
      <c r="I828" s="147"/>
      <c r="J828" s="147"/>
      <c r="K828" s="22" t="str">
        <f t="shared" si="12"/>
        <v/>
      </c>
      <c r="L828" s="40"/>
      <c r="M828"/>
      <c r="N828"/>
      <c r="O828"/>
      <c r="P828"/>
      <c r="Q828"/>
      <c r="R828"/>
      <c r="S828"/>
      <c r="T828"/>
      <c r="U828"/>
      <c r="V828"/>
      <c r="W828" s="41"/>
      <c r="X828" s="41"/>
      <c r="Y828" s="41"/>
    </row>
    <row r="829" s="27" customFormat="1" ht="23" hidden="1" customHeight="1" spans="1:25">
      <c r="A829" s="133" t="str">
        <f>IF(B829="","",COUNTA($B$5:B829))</f>
        <v/>
      </c>
      <c r="B829" s="143"/>
      <c r="C829" s="144" t="s">
        <v>49</v>
      </c>
      <c r="D829" s="145"/>
      <c r="E829" s="146"/>
      <c r="F829" s="139"/>
      <c r="G829" s="139"/>
      <c r="H829" s="142">
        <f>IFERROR(VLOOKUP($C829,$C$5:$H$18,6,0)+SUMIF($C$19:$C829,$C829,$F$19:$F829)-SUMIF($C$19:$C829,$C829,$G$19:$G829),"")</f>
        <v>81211.819999998</v>
      </c>
      <c r="I829" s="147"/>
      <c r="J829" s="147"/>
      <c r="K829" s="22" t="str">
        <f t="shared" si="12"/>
        <v/>
      </c>
      <c r="L829" s="40"/>
      <c r="M829"/>
      <c r="N829"/>
      <c r="O829"/>
      <c r="P829"/>
      <c r="Q829"/>
      <c r="R829"/>
      <c r="S829"/>
      <c r="T829"/>
      <c r="U829"/>
      <c r="V829"/>
      <c r="W829" s="41"/>
      <c r="X829" s="41"/>
      <c r="Y829" s="41"/>
    </row>
    <row r="830" s="27" customFormat="1" ht="23" hidden="1" customHeight="1" spans="1:25">
      <c r="A830" s="133" t="str">
        <f>IF(B830="","",COUNTA($B$5:B830))</f>
        <v/>
      </c>
      <c r="B830" s="143"/>
      <c r="C830" s="144" t="s">
        <v>49</v>
      </c>
      <c r="D830" s="145"/>
      <c r="E830" s="146"/>
      <c r="F830" s="139"/>
      <c r="G830" s="139"/>
      <c r="H830" s="142">
        <f>IFERROR(VLOOKUP($C830,$C$5:$H$18,6,0)+SUMIF($C$19:$C830,$C830,$F$19:$F830)-SUMIF($C$19:$C830,$C830,$G$19:$G830),"")</f>
        <v>81211.819999998</v>
      </c>
      <c r="I830" s="147"/>
      <c r="J830" s="147"/>
      <c r="K830" s="22" t="str">
        <f t="shared" si="12"/>
        <v/>
      </c>
      <c r="L830" s="40"/>
      <c r="M830"/>
      <c r="N830"/>
      <c r="O830"/>
      <c r="P830"/>
      <c r="Q830"/>
      <c r="R830"/>
      <c r="S830"/>
      <c r="T830"/>
      <c r="U830"/>
      <c r="V830"/>
      <c r="W830" s="41"/>
      <c r="X830" s="41"/>
      <c r="Y830" s="41"/>
    </row>
    <row r="831" s="27" customFormat="1" ht="23" hidden="1" customHeight="1" spans="1:25">
      <c r="A831" s="133" t="str">
        <f>IF(B831="","",COUNTA($B$5:B831))</f>
        <v/>
      </c>
      <c r="B831" s="143"/>
      <c r="C831" s="144" t="s">
        <v>49</v>
      </c>
      <c r="D831" s="145"/>
      <c r="E831" s="146"/>
      <c r="F831" s="139"/>
      <c r="G831" s="139"/>
      <c r="H831" s="142">
        <f>IFERROR(VLOOKUP($C831,$C$5:$H$18,6,0)+SUMIF($C$19:$C831,$C831,$F$19:$F831)-SUMIF($C$19:$C831,$C831,$G$19:$G831),"")</f>
        <v>81211.819999998</v>
      </c>
      <c r="I831" s="147"/>
      <c r="J831" s="147"/>
      <c r="K831" s="22" t="str">
        <f t="shared" si="12"/>
        <v/>
      </c>
      <c r="L831" s="40"/>
      <c r="M831"/>
      <c r="N831"/>
      <c r="O831"/>
      <c r="P831"/>
      <c r="Q831"/>
      <c r="R831"/>
      <c r="S831"/>
      <c r="T831"/>
      <c r="U831"/>
      <c r="V831"/>
      <c r="W831" s="41"/>
      <c r="X831" s="41"/>
      <c r="Y831" s="41"/>
    </row>
    <row r="832" s="27" customFormat="1" ht="23" hidden="1" customHeight="1" spans="1:25">
      <c r="A832" s="133" t="str">
        <f>IF(B832="","",COUNTA($B$5:B832))</f>
        <v/>
      </c>
      <c r="B832" s="143"/>
      <c r="C832" s="144" t="s">
        <v>49</v>
      </c>
      <c r="D832" s="145"/>
      <c r="E832" s="146"/>
      <c r="F832" s="139"/>
      <c r="G832" s="139"/>
      <c r="H832" s="142">
        <f>IFERROR(VLOOKUP($C832,$C$5:$H$18,6,0)+SUMIF($C$19:$C832,$C832,$F$19:$F832)-SUMIF($C$19:$C832,$C832,$G$19:$G832),"")</f>
        <v>81211.819999998</v>
      </c>
      <c r="I832" s="147"/>
      <c r="J832" s="147"/>
      <c r="K832" s="22" t="str">
        <f t="shared" si="12"/>
        <v/>
      </c>
      <c r="L832" s="40"/>
      <c r="M832"/>
      <c r="N832"/>
      <c r="O832"/>
      <c r="P832"/>
      <c r="Q832"/>
      <c r="R832"/>
      <c r="S832"/>
      <c r="T832"/>
      <c r="U832"/>
      <c r="V832"/>
      <c r="W832" s="41"/>
      <c r="X832" s="41"/>
      <c r="Y832" s="41"/>
    </row>
    <row r="833" s="27" customFormat="1" ht="23" hidden="1" customHeight="1" spans="1:25">
      <c r="A833" s="133" t="str">
        <f>IF(B833="","",COUNTA($B$5:B833))</f>
        <v/>
      </c>
      <c r="B833" s="143"/>
      <c r="C833" s="144" t="s">
        <v>49</v>
      </c>
      <c r="D833" s="145"/>
      <c r="E833" s="146"/>
      <c r="F833" s="139"/>
      <c r="G833" s="139"/>
      <c r="H833" s="142">
        <f>IFERROR(VLOOKUP($C833,$C$5:$H$18,6,0)+SUMIF($C$19:$C833,$C833,$F$19:$F833)-SUMIF($C$19:$C833,$C833,$G$19:$G833),"")</f>
        <v>81211.819999998</v>
      </c>
      <c r="I833" s="147"/>
      <c r="J833" s="147"/>
      <c r="K833" s="22" t="str">
        <f t="shared" si="12"/>
        <v/>
      </c>
      <c r="L833" s="40"/>
      <c r="M833"/>
      <c r="N833"/>
      <c r="O833"/>
      <c r="P833"/>
      <c r="Q833"/>
      <c r="R833"/>
      <c r="S833"/>
      <c r="T833"/>
      <c r="U833"/>
      <c r="V833"/>
      <c r="W833" s="41"/>
      <c r="X833" s="41"/>
      <c r="Y833" s="41"/>
    </row>
    <row r="834" s="27" customFormat="1" ht="23" hidden="1" customHeight="1" spans="1:25">
      <c r="A834" s="133" t="str">
        <f>IF(B834="","",COUNTA($B$5:B834))</f>
        <v/>
      </c>
      <c r="B834" s="143"/>
      <c r="C834" s="144" t="s">
        <v>49</v>
      </c>
      <c r="D834" s="145"/>
      <c r="E834" s="146"/>
      <c r="F834" s="139"/>
      <c r="G834" s="139"/>
      <c r="H834" s="142">
        <f>IFERROR(VLOOKUP($C834,$C$5:$H$18,6,0)+SUMIF($C$19:$C834,$C834,$F$19:$F834)-SUMIF($C$19:$C834,$C834,$G$19:$G834),"")</f>
        <v>81211.819999998</v>
      </c>
      <c r="I834" s="147"/>
      <c r="J834" s="147"/>
      <c r="K834" s="22" t="str">
        <f t="shared" si="12"/>
        <v/>
      </c>
      <c r="L834" s="40"/>
      <c r="M834"/>
      <c r="N834"/>
      <c r="O834"/>
      <c r="P834"/>
      <c r="Q834"/>
      <c r="R834"/>
      <c r="S834"/>
      <c r="T834"/>
      <c r="U834"/>
      <c r="V834"/>
      <c r="W834" s="41"/>
      <c r="X834" s="41"/>
      <c r="Y834" s="41"/>
    </row>
    <row r="835" s="27" customFormat="1" ht="23" hidden="1" customHeight="1" spans="1:25">
      <c r="A835" s="133" t="str">
        <f>IF(B835="","",COUNTA($B$5:B835))</f>
        <v/>
      </c>
      <c r="B835" s="143"/>
      <c r="C835" s="144" t="s">
        <v>49</v>
      </c>
      <c r="D835" s="145"/>
      <c r="E835" s="146"/>
      <c r="F835" s="139"/>
      <c r="G835" s="139"/>
      <c r="H835" s="142">
        <f>IFERROR(VLOOKUP($C835,$C$5:$H$18,6,0)+SUMIF($C$19:$C835,$C835,$F$19:$F835)-SUMIF($C$19:$C835,$C835,$G$19:$G835),"")</f>
        <v>81211.819999998</v>
      </c>
      <c r="I835" s="147"/>
      <c r="J835" s="147"/>
      <c r="K835" s="22" t="str">
        <f t="shared" si="12"/>
        <v/>
      </c>
      <c r="L835" s="40"/>
      <c r="M835"/>
      <c r="N835"/>
      <c r="O835"/>
      <c r="P835"/>
      <c r="Q835"/>
      <c r="R835"/>
      <c r="S835"/>
      <c r="T835"/>
      <c r="U835"/>
      <c r="V835"/>
      <c r="W835" s="41"/>
      <c r="X835" s="41"/>
      <c r="Y835" s="41"/>
    </row>
    <row r="836" s="27" customFormat="1" ht="23" hidden="1" customHeight="1" spans="1:25">
      <c r="A836" s="133" t="str">
        <f>IF(B836="","",COUNTA($B$5:B836))</f>
        <v/>
      </c>
      <c r="B836" s="143"/>
      <c r="C836" s="144" t="s">
        <v>49</v>
      </c>
      <c r="D836" s="145"/>
      <c r="E836" s="146"/>
      <c r="F836" s="139"/>
      <c r="G836" s="139"/>
      <c r="H836" s="142">
        <f>IFERROR(VLOOKUP($C836,$C$5:$H$18,6,0)+SUMIF($C$19:$C836,$C836,$F$19:$F836)-SUMIF($C$19:$C836,$C836,$G$19:$G836),"")</f>
        <v>81211.819999998</v>
      </c>
      <c r="I836" s="147"/>
      <c r="J836" s="147"/>
      <c r="K836" s="22" t="str">
        <f t="shared" si="12"/>
        <v/>
      </c>
      <c r="L836" s="40"/>
      <c r="M836"/>
      <c r="N836"/>
      <c r="O836"/>
      <c r="P836"/>
      <c r="Q836"/>
      <c r="R836"/>
      <c r="S836"/>
      <c r="T836"/>
      <c r="U836"/>
      <c r="V836"/>
      <c r="W836" s="41"/>
      <c r="X836" s="41"/>
      <c r="Y836" s="41"/>
    </row>
    <row r="837" s="27" customFormat="1" ht="23" hidden="1" customHeight="1" spans="1:25">
      <c r="A837" s="133" t="str">
        <f>IF(B837="","",COUNTA($B$5:B837))</f>
        <v/>
      </c>
      <c r="B837" s="143"/>
      <c r="C837" s="144" t="s">
        <v>49</v>
      </c>
      <c r="D837" s="145"/>
      <c r="E837" s="146"/>
      <c r="F837" s="139"/>
      <c r="G837" s="139"/>
      <c r="H837" s="142">
        <f>IFERROR(VLOOKUP($C837,$C$5:$H$18,6,0)+SUMIF($C$19:$C837,$C837,$F$19:$F837)-SUMIF($C$19:$C837,$C837,$G$19:$G837),"")</f>
        <v>81211.819999998</v>
      </c>
      <c r="I837" s="147"/>
      <c r="J837" s="147"/>
      <c r="K837" s="22" t="str">
        <f t="shared" ref="K837:K900" si="13">IF($B837="","",--TEXT($B837,"yyyymm"))</f>
        <v/>
      </c>
      <c r="L837" s="40"/>
      <c r="M837"/>
      <c r="N837"/>
      <c r="O837"/>
      <c r="P837"/>
      <c r="Q837"/>
      <c r="R837"/>
      <c r="S837"/>
      <c r="T837"/>
      <c r="U837"/>
      <c r="V837"/>
      <c r="W837" s="41"/>
      <c r="X837" s="41"/>
      <c r="Y837" s="41"/>
    </row>
    <row r="838" s="27" customFormat="1" ht="23" hidden="1" customHeight="1" spans="1:25">
      <c r="A838" s="133" t="str">
        <f>IF(B838="","",COUNTA($B$5:B838))</f>
        <v/>
      </c>
      <c r="B838" s="143"/>
      <c r="C838" s="144" t="s">
        <v>49</v>
      </c>
      <c r="D838" s="145"/>
      <c r="E838" s="146"/>
      <c r="F838" s="139"/>
      <c r="G838" s="139"/>
      <c r="H838" s="142">
        <f>IFERROR(VLOOKUP($C838,$C$5:$H$18,6,0)+SUMIF($C$19:$C838,$C838,$F$19:$F838)-SUMIF($C$19:$C838,$C838,$G$19:$G838),"")</f>
        <v>81211.819999998</v>
      </c>
      <c r="I838" s="147"/>
      <c r="J838" s="147"/>
      <c r="K838" s="22" t="str">
        <f t="shared" si="13"/>
        <v/>
      </c>
      <c r="L838" s="40"/>
      <c r="M838"/>
      <c r="N838"/>
      <c r="O838"/>
      <c r="P838"/>
      <c r="Q838"/>
      <c r="R838"/>
      <c r="S838"/>
      <c r="T838"/>
      <c r="U838"/>
      <c r="V838"/>
      <c r="W838" s="41"/>
      <c r="X838" s="41"/>
      <c r="Y838" s="41"/>
    </row>
    <row r="839" s="27" customFormat="1" ht="23" hidden="1" customHeight="1" spans="1:25">
      <c r="A839" s="133" t="str">
        <f>IF(B839="","",COUNTA($B$5:B839))</f>
        <v/>
      </c>
      <c r="B839" s="143"/>
      <c r="C839" s="144" t="s">
        <v>49</v>
      </c>
      <c r="D839" s="145"/>
      <c r="E839" s="146"/>
      <c r="F839" s="139"/>
      <c r="G839" s="139"/>
      <c r="H839" s="142">
        <f>IFERROR(VLOOKUP($C839,$C$5:$H$18,6,0)+SUMIF($C$19:$C839,$C839,$F$19:$F839)-SUMIF($C$19:$C839,$C839,$G$19:$G839),"")</f>
        <v>81211.819999998</v>
      </c>
      <c r="I839" s="147"/>
      <c r="J839" s="147"/>
      <c r="K839" s="22" t="str">
        <f t="shared" si="13"/>
        <v/>
      </c>
      <c r="L839" s="40"/>
      <c r="M839"/>
      <c r="N839"/>
      <c r="O839"/>
      <c r="P839"/>
      <c r="Q839"/>
      <c r="R839"/>
      <c r="S839"/>
      <c r="T839"/>
      <c r="U839"/>
      <c r="V839"/>
      <c r="W839" s="41"/>
      <c r="X839" s="41"/>
      <c r="Y839" s="41"/>
    </row>
    <row r="840" s="27" customFormat="1" ht="23" hidden="1" customHeight="1" spans="1:25">
      <c r="A840" s="133" t="str">
        <f>IF(B840="","",COUNTA($B$5:B840))</f>
        <v/>
      </c>
      <c r="B840" s="143"/>
      <c r="C840" s="144" t="s">
        <v>49</v>
      </c>
      <c r="D840" s="145"/>
      <c r="E840" s="146"/>
      <c r="F840" s="139"/>
      <c r="G840" s="139"/>
      <c r="H840" s="142">
        <f>IFERROR(VLOOKUP($C840,$C$5:$H$18,6,0)+SUMIF($C$19:$C840,$C840,$F$19:$F840)-SUMIF($C$19:$C840,$C840,$G$19:$G840),"")</f>
        <v>81211.819999998</v>
      </c>
      <c r="I840" s="147"/>
      <c r="J840" s="147"/>
      <c r="K840" s="22" t="str">
        <f t="shared" si="13"/>
        <v/>
      </c>
      <c r="L840" s="40"/>
      <c r="M840"/>
      <c r="N840"/>
      <c r="O840"/>
      <c r="P840"/>
      <c r="Q840"/>
      <c r="R840"/>
      <c r="S840"/>
      <c r="T840"/>
      <c r="U840"/>
      <c r="V840"/>
      <c r="W840" s="41"/>
      <c r="X840" s="41"/>
      <c r="Y840" s="41"/>
    </row>
    <row r="841" s="27" customFormat="1" ht="23" hidden="1" customHeight="1" spans="1:25">
      <c r="A841" s="133" t="str">
        <f>IF(B841="","",COUNTA($B$5:B841))</f>
        <v/>
      </c>
      <c r="B841" s="143"/>
      <c r="C841" s="144" t="s">
        <v>49</v>
      </c>
      <c r="D841" s="145"/>
      <c r="E841" s="146"/>
      <c r="F841" s="139"/>
      <c r="G841" s="139"/>
      <c r="H841" s="142">
        <f>IFERROR(VLOOKUP($C841,$C$5:$H$18,6,0)+SUMIF($C$19:$C841,$C841,$F$19:$F841)-SUMIF($C$19:$C841,$C841,$G$19:$G841),"")</f>
        <v>81211.819999998</v>
      </c>
      <c r="I841" s="147"/>
      <c r="J841" s="147"/>
      <c r="K841" s="22" t="str">
        <f t="shared" si="13"/>
        <v/>
      </c>
      <c r="L841" s="40"/>
      <c r="M841"/>
      <c r="N841"/>
      <c r="O841"/>
      <c r="P841"/>
      <c r="Q841"/>
      <c r="R841"/>
      <c r="S841"/>
      <c r="T841"/>
      <c r="U841"/>
      <c r="V841"/>
      <c r="W841" s="41"/>
      <c r="X841" s="41"/>
      <c r="Y841" s="41"/>
    </row>
    <row r="842" s="27" customFormat="1" ht="23" hidden="1" customHeight="1" spans="1:25">
      <c r="A842" s="133" t="str">
        <f>IF(B842="","",COUNTA($B$5:B842))</f>
        <v/>
      </c>
      <c r="B842" s="143"/>
      <c r="C842" s="144" t="s">
        <v>49</v>
      </c>
      <c r="D842" s="145"/>
      <c r="E842" s="146"/>
      <c r="F842" s="139"/>
      <c r="G842" s="139"/>
      <c r="H842" s="142">
        <f>IFERROR(VLOOKUP($C842,$C$5:$H$18,6,0)+SUMIF($C$19:$C842,$C842,$F$19:$F842)-SUMIF($C$19:$C842,$C842,$G$19:$G842),"")</f>
        <v>81211.819999998</v>
      </c>
      <c r="I842" s="147"/>
      <c r="J842" s="147"/>
      <c r="K842" s="22" t="str">
        <f t="shared" si="13"/>
        <v/>
      </c>
      <c r="L842" s="40"/>
      <c r="M842"/>
      <c r="N842"/>
      <c r="O842"/>
      <c r="P842"/>
      <c r="Q842"/>
      <c r="R842"/>
      <c r="S842"/>
      <c r="T842"/>
      <c r="U842"/>
      <c r="V842"/>
      <c r="W842" s="41"/>
      <c r="X842" s="41"/>
      <c r="Y842" s="41"/>
    </row>
    <row r="843" s="27" customFormat="1" ht="23" hidden="1" customHeight="1" spans="1:25">
      <c r="A843" s="133" t="str">
        <f>IF(B843="","",COUNTA($B$5:B843))</f>
        <v/>
      </c>
      <c r="B843" s="143"/>
      <c r="C843" s="144" t="s">
        <v>49</v>
      </c>
      <c r="D843" s="145"/>
      <c r="E843" s="146"/>
      <c r="F843" s="139"/>
      <c r="G843" s="139"/>
      <c r="H843" s="142">
        <f>IFERROR(VLOOKUP($C843,$C$5:$H$18,6,0)+SUMIF($C$19:$C843,$C843,$F$19:$F843)-SUMIF($C$19:$C843,$C843,$G$19:$G843),"")</f>
        <v>81211.819999998</v>
      </c>
      <c r="I843" s="147"/>
      <c r="J843" s="147"/>
      <c r="K843" s="22" t="str">
        <f t="shared" si="13"/>
        <v/>
      </c>
      <c r="L843" s="40"/>
      <c r="M843"/>
      <c r="N843"/>
      <c r="O843"/>
      <c r="P843"/>
      <c r="Q843"/>
      <c r="R843"/>
      <c r="S843"/>
      <c r="T843"/>
      <c r="U843"/>
      <c r="V843"/>
      <c r="W843" s="41"/>
      <c r="X843" s="41"/>
      <c r="Y843" s="41"/>
    </row>
    <row r="844" s="27" customFormat="1" ht="23" hidden="1" customHeight="1" spans="1:25">
      <c r="A844" s="133" t="str">
        <f>IF(B844="","",COUNTA($B$5:B844))</f>
        <v/>
      </c>
      <c r="B844" s="143"/>
      <c r="C844" s="144" t="s">
        <v>49</v>
      </c>
      <c r="D844" s="145"/>
      <c r="E844" s="146"/>
      <c r="F844" s="139"/>
      <c r="G844" s="139"/>
      <c r="H844" s="142">
        <f>IFERROR(VLOOKUP($C844,$C$5:$H$18,6,0)+SUMIF($C$19:$C844,$C844,$F$19:$F844)-SUMIF($C$19:$C844,$C844,$G$19:$G844),"")</f>
        <v>81211.819999998</v>
      </c>
      <c r="I844" s="147"/>
      <c r="J844" s="147"/>
      <c r="K844" s="22" t="str">
        <f t="shared" si="13"/>
        <v/>
      </c>
      <c r="L844" s="40"/>
      <c r="M844"/>
      <c r="N844"/>
      <c r="O844"/>
      <c r="P844"/>
      <c r="Q844"/>
      <c r="R844"/>
      <c r="S844"/>
      <c r="T844"/>
      <c r="U844"/>
      <c r="V844"/>
      <c r="W844" s="41"/>
      <c r="X844" s="41"/>
      <c r="Y844" s="41"/>
    </row>
    <row r="845" s="27" customFormat="1" ht="23" hidden="1" customHeight="1" spans="1:25">
      <c r="A845" s="133" t="str">
        <f>IF(B845="","",COUNTA($B$5:B845))</f>
        <v/>
      </c>
      <c r="B845" s="143"/>
      <c r="C845" s="144" t="s">
        <v>49</v>
      </c>
      <c r="D845" s="145"/>
      <c r="E845" s="146"/>
      <c r="F845" s="139"/>
      <c r="G845" s="139"/>
      <c r="H845" s="142">
        <f>IFERROR(VLOOKUP($C845,$C$5:$H$18,6,0)+SUMIF($C$19:$C845,$C845,$F$19:$F845)-SUMIF($C$19:$C845,$C845,$G$19:$G845),"")</f>
        <v>81211.819999998</v>
      </c>
      <c r="I845" s="147"/>
      <c r="J845" s="147"/>
      <c r="K845" s="22" t="str">
        <f t="shared" si="13"/>
        <v/>
      </c>
      <c r="L845" s="40"/>
      <c r="M845"/>
      <c r="N845"/>
      <c r="O845"/>
      <c r="P845"/>
      <c r="Q845"/>
      <c r="R845"/>
      <c r="S845"/>
      <c r="T845"/>
      <c r="U845"/>
      <c r="V845"/>
      <c r="W845" s="41"/>
      <c r="X845" s="41"/>
      <c r="Y845" s="41"/>
    </row>
    <row r="846" s="27" customFormat="1" ht="23" hidden="1" customHeight="1" spans="1:25">
      <c r="A846" s="133" t="str">
        <f>IF(B846="","",COUNTA($B$5:B846))</f>
        <v/>
      </c>
      <c r="B846" s="143"/>
      <c r="C846" s="144" t="s">
        <v>49</v>
      </c>
      <c r="D846" s="145"/>
      <c r="E846" s="146"/>
      <c r="F846" s="139"/>
      <c r="G846" s="139"/>
      <c r="H846" s="142">
        <f>IFERROR(VLOOKUP($C846,$C$5:$H$18,6,0)+SUMIF($C$19:$C846,$C846,$F$19:$F846)-SUMIF($C$19:$C846,$C846,$G$19:$G846),"")</f>
        <v>81211.819999998</v>
      </c>
      <c r="I846" s="147"/>
      <c r="J846" s="147"/>
      <c r="K846" s="22" t="str">
        <f t="shared" si="13"/>
        <v/>
      </c>
      <c r="L846" s="40"/>
      <c r="M846"/>
      <c r="N846"/>
      <c r="O846"/>
      <c r="P846"/>
      <c r="Q846"/>
      <c r="R846"/>
      <c r="S846"/>
      <c r="T846"/>
      <c r="U846"/>
      <c r="V846"/>
      <c r="W846" s="41"/>
      <c r="X846" s="41"/>
      <c r="Y846" s="41"/>
    </row>
    <row r="847" s="27" customFormat="1" ht="23" hidden="1" customHeight="1" spans="1:25">
      <c r="A847" s="133" t="str">
        <f>IF(B847="","",COUNTA($B$5:B847))</f>
        <v/>
      </c>
      <c r="B847" s="143"/>
      <c r="C847" s="144" t="s">
        <v>49</v>
      </c>
      <c r="D847" s="145"/>
      <c r="E847" s="146"/>
      <c r="F847" s="139"/>
      <c r="G847" s="139"/>
      <c r="H847" s="142">
        <f>IFERROR(VLOOKUP($C847,$C$5:$H$18,6,0)+SUMIF($C$19:$C847,$C847,$F$19:$F847)-SUMIF($C$19:$C847,$C847,$G$19:$G847),"")</f>
        <v>81211.819999998</v>
      </c>
      <c r="I847" s="147"/>
      <c r="J847" s="147"/>
      <c r="K847" s="22" t="str">
        <f t="shared" si="13"/>
        <v/>
      </c>
      <c r="L847" s="40"/>
      <c r="M847"/>
      <c r="N847"/>
      <c r="O847"/>
      <c r="P847"/>
      <c r="Q847"/>
      <c r="R847"/>
      <c r="S847"/>
      <c r="T847"/>
      <c r="U847"/>
      <c r="V847"/>
      <c r="W847" s="41"/>
      <c r="X847" s="41"/>
      <c r="Y847" s="41"/>
    </row>
    <row r="848" s="27" customFormat="1" ht="23" hidden="1" customHeight="1" spans="1:25">
      <c r="A848" s="133" t="str">
        <f>IF(B848="","",COUNTA($B$5:B848))</f>
        <v/>
      </c>
      <c r="B848" s="143"/>
      <c r="C848" s="144" t="s">
        <v>49</v>
      </c>
      <c r="D848" s="145"/>
      <c r="E848" s="146"/>
      <c r="F848" s="139"/>
      <c r="G848" s="139"/>
      <c r="H848" s="142">
        <f>IFERROR(VLOOKUP($C848,$C$5:$H$18,6,0)+SUMIF($C$19:$C848,$C848,$F$19:$F848)-SUMIF($C$19:$C848,$C848,$G$19:$G848),"")</f>
        <v>81211.819999998</v>
      </c>
      <c r="I848" s="147"/>
      <c r="J848" s="147"/>
      <c r="K848" s="22" t="str">
        <f t="shared" si="13"/>
        <v/>
      </c>
      <c r="L848" s="40"/>
      <c r="M848"/>
      <c r="N848"/>
      <c r="O848"/>
      <c r="P848"/>
      <c r="Q848"/>
      <c r="R848"/>
      <c r="S848"/>
      <c r="T848"/>
      <c r="U848"/>
      <c r="V848"/>
      <c r="W848" s="41"/>
      <c r="X848" s="41"/>
      <c r="Y848" s="41"/>
    </row>
    <row r="849" s="27" customFormat="1" ht="23" hidden="1" customHeight="1" spans="1:25">
      <c r="A849" s="133" t="str">
        <f>IF(B849="","",COUNTA($B$5:B849))</f>
        <v/>
      </c>
      <c r="B849" s="143"/>
      <c r="C849" s="144" t="s">
        <v>49</v>
      </c>
      <c r="D849" s="145"/>
      <c r="E849" s="146"/>
      <c r="F849" s="139"/>
      <c r="G849" s="139"/>
      <c r="H849" s="142">
        <f>IFERROR(VLOOKUP($C849,$C$5:$H$18,6,0)+SUMIF($C$19:$C849,$C849,$F$19:$F849)-SUMIF($C$19:$C849,$C849,$G$19:$G849),"")</f>
        <v>81211.819999998</v>
      </c>
      <c r="I849" s="147"/>
      <c r="J849" s="147"/>
      <c r="K849" s="22" t="str">
        <f t="shared" si="13"/>
        <v/>
      </c>
      <c r="L849" s="40"/>
      <c r="M849"/>
      <c r="N849"/>
      <c r="O849"/>
      <c r="P849"/>
      <c r="Q849"/>
      <c r="R849"/>
      <c r="S849"/>
      <c r="T849"/>
      <c r="U849"/>
      <c r="V849"/>
      <c r="W849" s="41"/>
      <c r="X849" s="41"/>
      <c r="Y849" s="41"/>
    </row>
    <row r="850" s="27" customFormat="1" ht="23" hidden="1" customHeight="1" spans="1:25">
      <c r="A850" s="133" t="str">
        <f>IF(B850="","",COUNTA($B$5:B850))</f>
        <v/>
      </c>
      <c r="B850" s="143"/>
      <c r="C850" s="144" t="s">
        <v>49</v>
      </c>
      <c r="D850" s="145"/>
      <c r="E850" s="146"/>
      <c r="F850" s="139"/>
      <c r="G850" s="139"/>
      <c r="H850" s="142">
        <f>IFERROR(VLOOKUP($C850,$C$5:$H$18,6,0)+SUMIF($C$19:$C850,$C850,$F$19:$F850)-SUMIF($C$19:$C850,$C850,$G$19:$G850),"")</f>
        <v>81211.819999998</v>
      </c>
      <c r="I850" s="147"/>
      <c r="J850" s="147"/>
      <c r="K850" s="22" t="str">
        <f t="shared" si="13"/>
        <v/>
      </c>
      <c r="L850" s="40"/>
      <c r="M850"/>
      <c r="N850"/>
      <c r="O850"/>
      <c r="P850"/>
      <c r="Q850"/>
      <c r="R850"/>
      <c r="S850"/>
      <c r="T850"/>
      <c r="U850"/>
      <c r="V850"/>
      <c r="W850" s="41"/>
      <c r="X850" s="41"/>
      <c r="Y850" s="41"/>
    </row>
    <row r="851" s="27" customFormat="1" ht="23" hidden="1" customHeight="1" spans="1:25">
      <c r="A851" s="133" t="str">
        <f>IF(B851="","",COUNTA($B$5:B851))</f>
        <v/>
      </c>
      <c r="B851" s="143"/>
      <c r="C851" s="144" t="s">
        <v>49</v>
      </c>
      <c r="D851" s="145"/>
      <c r="E851" s="146"/>
      <c r="F851" s="139"/>
      <c r="G851" s="139"/>
      <c r="H851" s="142">
        <f>IFERROR(VLOOKUP($C851,$C$5:$H$18,6,0)+SUMIF($C$19:$C851,$C851,$F$19:$F851)-SUMIF($C$19:$C851,$C851,$G$19:$G851),"")</f>
        <v>81211.819999998</v>
      </c>
      <c r="I851" s="147"/>
      <c r="J851" s="147"/>
      <c r="K851" s="22" t="str">
        <f t="shared" si="13"/>
        <v/>
      </c>
      <c r="L851" s="40"/>
      <c r="M851"/>
      <c r="N851"/>
      <c r="O851"/>
      <c r="P851"/>
      <c r="Q851"/>
      <c r="R851"/>
      <c r="S851"/>
      <c r="T851"/>
      <c r="U851"/>
      <c r="V851"/>
      <c r="W851" s="41"/>
      <c r="X851" s="41"/>
      <c r="Y851" s="41"/>
    </row>
    <row r="852" s="27" customFormat="1" ht="23" hidden="1" customHeight="1" spans="1:25">
      <c r="A852" s="133" t="str">
        <f>IF(B852="","",COUNTA($B$5:B852))</f>
        <v/>
      </c>
      <c r="B852" s="143"/>
      <c r="C852" s="144" t="s">
        <v>49</v>
      </c>
      <c r="D852" s="145"/>
      <c r="E852" s="146"/>
      <c r="F852" s="139"/>
      <c r="G852" s="139"/>
      <c r="H852" s="142">
        <f>IFERROR(VLOOKUP($C852,$C$5:$H$18,6,0)+SUMIF($C$19:$C852,$C852,$F$19:$F852)-SUMIF($C$19:$C852,$C852,$G$19:$G852),"")</f>
        <v>81211.819999998</v>
      </c>
      <c r="I852" s="147"/>
      <c r="J852" s="147"/>
      <c r="K852" s="22" t="str">
        <f t="shared" si="13"/>
        <v/>
      </c>
      <c r="L852" s="40"/>
      <c r="M852"/>
      <c r="N852"/>
      <c r="O852"/>
      <c r="P852"/>
      <c r="Q852"/>
      <c r="R852"/>
      <c r="S852"/>
      <c r="T852"/>
      <c r="U852"/>
      <c r="V852"/>
      <c r="W852" s="41"/>
      <c r="X852" s="41"/>
      <c r="Y852" s="41"/>
    </row>
    <row r="853" s="27" customFormat="1" ht="23" hidden="1" customHeight="1" spans="1:25">
      <c r="A853" s="133" t="str">
        <f>IF(B853="","",COUNTA($B$5:B853))</f>
        <v/>
      </c>
      <c r="B853" s="143"/>
      <c r="C853" s="144" t="s">
        <v>49</v>
      </c>
      <c r="D853" s="145"/>
      <c r="E853" s="146"/>
      <c r="F853" s="139"/>
      <c r="G853" s="139"/>
      <c r="H853" s="142">
        <f>IFERROR(VLOOKUP($C853,$C$5:$H$18,6,0)+SUMIF($C$19:$C853,$C853,$F$19:$F853)-SUMIF($C$19:$C853,$C853,$G$19:$G853),"")</f>
        <v>81211.819999998</v>
      </c>
      <c r="I853" s="147"/>
      <c r="J853" s="147"/>
      <c r="K853" s="22" t="str">
        <f t="shared" si="13"/>
        <v/>
      </c>
      <c r="L853" s="40"/>
      <c r="M853"/>
      <c r="N853"/>
      <c r="O853"/>
      <c r="P853"/>
      <c r="Q853"/>
      <c r="R853"/>
      <c r="S853"/>
      <c r="T853"/>
      <c r="U853"/>
      <c r="V853"/>
      <c r="W853" s="41"/>
      <c r="X853" s="41"/>
      <c r="Y853" s="41"/>
    </row>
    <row r="854" s="27" customFormat="1" ht="23" hidden="1" customHeight="1" spans="1:25">
      <c r="A854" s="133" t="str">
        <f>IF(B854="","",COUNTA($B$5:B854))</f>
        <v/>
      </c>
      <c r="B854" s="143"/>
      <c r="C854" s="144" t="s">
        <v>49</v>
      </c>
      <c r="D854" s="145"/>
      <c r="E854" s="146"/>
      <c r="F854" s="139"/>
      <c r="G854" s="139"/>
      <c r="H854" s="142">
        <f>IFERROR(VLOOKUP($C854,$C$5:$H$18,6,0)+SUMIF($C$19:$C854,$C854,$F$19:$F854)-SUMIF($C$19:$C854,$C854,$G$19:$G854),"")</f>
        <v>81211.819999998</v>
      </c>
      <c r="I854" s="147"/>
      <c r="J854" s="147"/>
      <c r="K854" s="147" t="str">
        <f t="shared" si="13"/>
        <v/>
      </c>
      <c r="L854" s="40"/>
      <c r="M854"/>
      <c r="N854"/>
      <c r="O854"/>
      <c r="P854"/>
      <c r="Q854"/>
      <c r="R854"/>
      <c r="S854"/>
      <c r="T854"/>
      <c r="U854"/>
      <c r="V854"/>
      <c r="W854" s="41"/>
      <c r="X854" s="41"/>
      <c r="Y854" s="41"/>
    </row>
    <row r="855" s="27" customFormat="1" ht="23" hidden="1" customHeight="1" spans="1:25">
      <c r="A855" s="133" t="str">
        <f>IF(B855="","",COUNTA($B$5:B855))</f>
        <v/>
      </c>
      <c r="B855" s="143"/>
      <c r="C855" s="144" t="s">
        <v>49</v>
      </c>
      <c r="D855" s="145"/>
      <c r="E855" s="146"/>
      <c r="F855" s="139"/>
      <c r="G855" s="139"/>
      <c r="H855" s="142">
        <f>IFERROR(VLOOKUP($C855,$C$5:$H$18,6,0)+SUMIF($C$19:$C855,$C855,$F$19:$F855)-SUMIF($C$19:$C855,$C855,$G$19:$G855),"")</f>
        <v>81211.819999998</v>
      </c>
      <c r="I855" s="147"/>
      <c r="J855" s="147"/>
      <c r="K855" s="147" t="str">
        <f t="shared" si="13"/>
        <v/>
      </c>
      <c r="L855" s="40"/>
      <c r="M855"/>
      <c r="N855"/>
      <c r="O855"/>
      <c r="P855"/>
      <c r="Q855"/>
      <c r="R855"/>
      <c r="S855"/>
      <c r="T855"/>
      <c r="U855"/>
      <c r="V855"/>
      <c r="W855" s="41"/>
      <c r="X855" s="41"/>
      <c r="Y855" s="41"/>
    </row>
    <row r="856" s="27" customFormat="1" ht="23" hidden="1" customHeight="1" spans="1:25">
      <c r="A856" s="133" t="str">
        <f>IF(B856="","",COUNTA($B$5:B856))</f>
        <v/>
      </c>
      <c r="B856" s="143"/>
      <c r="C856" s="144" t="s">
        <v>49</v>
      </c>
      <c r="D856" s="145"/>
      <c r="E856" s="146"/>
      <c r="F856" s="139"/>
      <c r="G856" s="139"/>
      <c r="H856" s="142">
        <f>IFERROR(VLOOKUP($C856,$C$5:$H$18,6,0)+SUMIF($C$19:$C856,$C856,$F$19:$F856)-SUMIF($C$19:$C856,$C856,$G$19:$G856),"")</f>
        <v>81211.819999998</v>
      </c>
      <c r="I856" s="147"/>
      <c r="J856" s="147"/>
      <c r="K856" s="147" t="str">
        <f t="shared" si="13"/>
        <v/>
      </c>
      <c r="L856" s="40"/>
      <c r="M856"/>
      <c r="N856"/>
      <c r="O856"/>
      <c r="P856"/>
      <c r="Q856"/>
      <c r="R856"/>
      <c r="S856"/>
      <c r="T856"/>
      <c r="U856"/>
      <c r="V856"/>
      <c r="W856" s="41"/>
      <c r="X856" s="41"/>
      <c r="Y856" s="41"/>
    </row>
    <row r="857" s="27" customFormat="1" ht="23" hidden="1" customHeight="1" spans="1:25">
      <c r="A857" s="133" t="str">
        <f>IF(B857="","",COUNTA($B$5:B857))</f>
        <v/>
      </c>
      <c r="B857" s="143"/>
      <c r="C857" s="144" t="s">
        <v>49</v>
      </c>
      <c r="D857" s="145"/>
      <c r="E857" s="146"/>
      <c r="F857" s="139"/>
      <c r="G857" s="139"/>
      <c r="H857" s="142">
        <f>IFERROR(VLOOKUP($C857,$C$5:$H$18,6,0)+SUMIF($C$19:$C857,$C857,$F$19:$F857)-SUMIF($C$19:$C857,$C857,$G$19:$G857),"")</f>
        <v>81211.819999998</v>
      </c>
      <c r="I857" s="147"/>
      <c r="J857" s="147"/>
      <c r="K857" s="147" t="str">
        <f t="shared" si="13"/>
        <v/>
      </c>
      <c r="L857" s="40"/>
      <c r="M857"/>
      <c r="N857"/>
      <c r="O857"/>
      <c r="P857"/>
      <c r="Q857"/>
      <c r="R857"/>
      <c r="S857"/>
      <c r="T857"/>
      <c r="U857"/>
      <c r="V857"/>
      <c r="W857" s="41"/>
      <c r="X857" s="41"/>
      <c r="Y857" s="41"/>
    </row>
    <row r="858" s="27" customFormat="1" ht="23" hidden="1" customHeight="1" spans="1:25">
      <c r="A858" s="133" t="str">
        <f>IF(B858="","",COUNTA($B$5:B858))</f>
        <v/>
      </c>
      <c r="B858" s="143"/>
      <c r="C858" s="144" t="s">
        <v>49</v>
      </c>
      <c r="D858" s="145"/>
      <c r="E858" s="146"/>
      <c r="F858" s="139"/>
      <c r="G858" s="139"/>
      <c r="H858" s="142">
        <f>IFERROR(VLOOKUP($C858,$C$5:$H$18,6,0)+SUMIF($C$19:$C858,$C858,$F$19:$F858)-SUMIF($C$19:$C858,$C858,$G$19:$G858),"")</f>
        <v>81211.819999998</v>
      </c>
      <c r="I858" s="147"/>
      <c r="J858" s="147"/>
      <c r="K858" s="147" t="str">
        <f t="shared" si="13"/>
        <v/>
      </c>
      <c r="L858" s="40"/>
      <c r="M858"/>
      <c r="N858"/>
      <c r="O858"/>
      <c r="P858"/>
      <c r="Q858"/>
      <c r="R858"/>
      <c r="S858"/>
      <c r="T858"/>
      <c r="U858"/>
      <c r="V858"/>
      <c r="W858" s="41"/>
      <c r="X858" s="41"/>
      <c r="Y858" s="41"/>
    </row>
    <row r="859" s="27" customFormat="1" ht="23" hidden="1" customHeight="1" spans="1:25">
      <c r="A859" s="133" t="str">
        <f>IF(B859="","",COUNTA($B$5:B859))</f>
        <v/>
      </c>
      <c r="B859" s="143"/>
      <c r="C859" s="144" t="s">
        <v>49</v>
      </c>
      <c r="D859" s="145"/>
      <c r="E859" s="146"/>
      <c r="F859" s="139"/>
      <c r="G859" s="139"/>
      <c r="H859" s="142">
        <f>IFERROR(VLOOKUP($C859,$C$5:$H$18,6,0)+SUMIF($C$19:$C859,$C859,$F$19:$F859)-SUMIF($C$19:$C859,$C859,$G$19:$G859),"")</f>
        <v>81211.819999998</v>
      </c>
      <c r="I859" s="147"/>
      <c r="J859" s="147"/>
      <c r="K859" s="147" t="str">
        <f t="shared" si="13"/>
        <v/>
      </c>
      <c r="L859" s="40"/>
      <c r="M859"/>
      <c r="N859"/>
      <c r="O859"/>
      <c r="P859"/>
      <c r="Q859"/>
      <c r="R859"/>
      <c r="S859"/>
      <c r="T859"/>
      <c r="U859"/>
      <c r="V859"/>
      <c r="W859" s="41"/>
      <c r="X859" s="41"/>
      <c r="Y859" s="41"/>
    </row>
    <row r="860" s="27" customFormat="1" ht="23" hidden="1" customHeight="1" spans="1:25">
      <c r="A860" s="133" t="str">
        <f>IF(B860="","",COUNTA($B$5:B860))</f>
        <v/>
      </c>
      <c r="B860" s="143"/>
      <c r="C860" s="144" t="s">
        <v>49</v>
      </c>
      <c r="D860" s="145"/>
      <c r="E860" s="146"/>
      <c r="F860" s="139"/>
      <c r="G860" s="139"/>
      <c r="H860" s="142">
        <f>IFERROR(VLOOKUP($C860,$C$5:$H$18,6,0)+SUMIF($C$19:$C860,$C860,$F$19:$F860)-SUMIF($C$19:$C860,$C860,$G$19:$G860),"")</f>
        <v>81211.819999998</v>
      </c>
      <c r="I860" s="147"/>
      <c r="J860" s="147"/>
      <c r="K860" s="147" t="str">
        <f t="shared" si="13"/>
        <v/>
      </c>
      <c r="L860" s="40"/>
      <c r="M860"/>
      <c r="N860"/>
      <c r="O860"/>
      <c r="P860"/>
      <c r="Q860"/>
      <c r="R860"/>
      <c r="S860"/>
      <c r="T860"/>
      <c r="U860"/>
      <c r="V860"/>
      <c r="W860" s="41"/>
      <c r="X860" s="41"/>
      <c r="Y860" s="41"/>
    </row>
    <row r="861" s="27" customFormat="1" ht="23" hidden="1" customHeight="1" spans="1:25">
      <c r="A861" s="133" t="str">
        <f>IF(B861="","",COUNTA($B$5:B861))</f>
        <v/>
      </c>
      <c r="B861" s="143"/>
      <c r="C861" s="144" t="s">
        <v>49</v>
      </c>
      <c r="D861" s="145"/>
      <c r="E861" s="146"/>
      <c r="F861" s="139"/>
      <c r="G861" s="139"/>
      <c r="H861" s="142">
        <f>IFERROR(VLOOKUP($C861,$C$5:$H$18,6,0)+SUMIF($C$19:$C861,$C861,$F$19:$F861)-SUMIF($C$19:$C861,$C861,$G$19:$G861),"")</f>
        <v>81211.819999998</v>
      </c>
      <c r="I861" s="147"/>
      <c r="J861" s="147"/>
      <c r="K861" s="147" t="str">
        <f t="shared" si="13"/>
        <v/>
      </c>
      <c r="L861" s="40"/>
      <c r="M861"/>
      <c r="N861"/>
      <c r="O861"/>
      <c r="P861"/>
      <c r="Q861"/>
      <c r="R861"/>
      <c r="S861"/>
      <c r="T861"/>
      <c r="U861"/>
      <c r="V861"/>
      <c r="W861" s="41"/>
      <c r="X861" s="41"/>
      <c r="Y861" s="41"/>
    </row>
    <row r="862" s="27" customFormat="1" ht="23" hidden="1" customHeight="1" spans="1:25">
      <c r="A862" s="133" t="str">
        <f>IF(B862="","",COUNTA($B$5:B862))</f>
        <v/>
      </c>
      <c r="B862" s="143"/>
      <c r="C862" s="144" t="s">
        <v>49</v>
      </c>
      <c r="D862" s="145"/>
      <c r="E862" s="146"/>
      <c r="F862" s="139"/>
      <c r="G862" s="139"/>
      <c r="H862" s="142">
        <f>IFERROR(VLOOKUP($C862,$C$5:$H$18,6,0)+SUMIF($C$19:$C862,$C862,$F$19:$F862)-SUMIF($C$19:$C862,$C862,$G$19:$G862),"")</f>
        <v>81211.819999998</v>
      </c>
      <c r="I862" s="147"/>
      <c r="J862" s="147"/>
      <c r="K862" s="147" t="str">
        <f t="shared" si="13"/>
        <v/>
      </c>
      <c r="L862" s="40"/>
      <c r="M862"/>
      <c r="N862"/>
      <c r="O862"/>
      <c r="P862"/>
      <c r="Q862"/>
      <c r="R862"/>
      <c r="S862"/>
      <c r="T862"/>
      <c r="U862"/>
      <c r="V862"/>
      <c r="W862" s="41"/>
      <c r="X862" s="41"/>
      <c r="Y862" s="41"/>
    </row>
    <row r="863" s="27" customFormat="1" ht="23" hidden="1" customHeight="1" spans="1:25">
      <c r="A863" s="133" t="str">
        <f>IF(B863="","",COUNTA($B$5:B863))</f>
        <v/>
      </c>
      <c r="B863" s="143"/>
      <c r="C863" s="144" t="s">
        <v>49</v>
      </c>
      <c r="D863" s="145"/>
      <c r="E863" s="146"/>
      <c r="F863" s="139"/>
      <c r="G863" s="139"/>
      <c r="H863" s="142">
        <f>IFERROR(VLOOKUP($C863,$C$5:$H$18,6,0)+SUMIF($C$19:$C863,$C863,$F$19:$F863)-SUMIF($C$19:$C863,$C863,$G$19:$G863),"")</f>
        <v>81211.819999998</v>
      </c>
      <c r="I863" s="147"/>
      <c r="J863" s="147"/>
      <c r="K863" s="147" t="str">
        <f t="shared" si="13"/>
        <v/>
      </c>
      <c r="L863" s="40"/>
      <c r="M863"/>
      <c r="N863"/>
      <c r="O863"/>
      <c r="P863"/>
      <c r="Q863"/>
      <c r="R863"/>
      <c r="S863"/>
      <c r="T863"/>
      <c r="U863"/>
      <c r="V863"/>
      <c r="W863" s="41"/>
      <c r="X863" s="41"/>
      <c r="Y863" s="41"/>
    </row>
    <row r="864" s="27" customFormat="1" ht="23" hidden="1" customHeight="1" spans="1:25">
      <c r="A864" s="133" t="str">
        <f>IF(B864="","",COUNTA($B$5:B864))</f>
        <v/>
      </c>
      <c r="B864" s="143"/>
      <c r="C864" s="144" t="s">
        <v>49</v>
      </c>
      <c r="D864" s="145"/>
      <c r="E864" s="146"/>
      <c r="F864" s="139"/>
      <c r="G864" s="139"/>
      <c r="H864" s="142">
        <f>IFERROR(VLOOKUP($C864,$C$5:$H$18,6,0)+SUMIF($C$19:$C864,$C864,$F$19:$F864)-SUMIF($C$19:$C864,$C864,$G$19:$G864),"")</f>
        <v>81211.819999998</v>
      </c>
      <c r="I864" s="147"/>
      <c r="J864" s="147"/>
      <c r="K864" s="147" t="str">
        <f t="shared" si="13"/>
        <v/>
      </c>
      <c r="L864" s="40"/>
      <c r="M864"/>
      <c r="N864"/>
      <c r="O864"/>
      <c r="P864"/>
      <c r="Q864"/>
      <c r="R864"/>
      <c r="S864"/>
      <c r="T864"/>
      <c r="U864"/>
      <c r="V864"/>
      <c r="W864" s="41"/>
      <c r="X864" s="41"/>
      <c r="Y864" s="41"/>
    </row>
    <row r="865" s="27" customFormat="1" ht="23" hidden="1" customHeight="1" spans="1:25">
      <c r="A865" s="133" t="str">
        <f>IF(B865="","",COUNTA($B$5:B865))</f>
        <v/>
      </c>
      <c r="B865" s="143"/>
      <c r="C865" s="144" t="s">
        <v>49</v>
      </c>
      <c r="D865" s="145"/>
      <c r="E865" s="146"/>
      <c r="F865" s="139"/>
      <c r="G865" s="139"/>
      <c r="H865" s="142">
        <f>IFERROR(VLOOKUP($C865,$C$5:$H$18,6,0)+SUMIF($C$19:$C865,$C865,$F$19:$F865)-SUMIF($C$19:$C865,$C865,$G$19:$G865),"")</f>
        <v>81211.819999998</v>
      </c>
      <c r="I865" s="147"/>
      <c r="J865" s="147"/>
      <c r="K865" s="147" t="str">
        <f t="shared" si="13"/>
        <v/>
      </c>
      <c r="L865" s="40"/>
      <c r="M865"/>
      <c r="N865"/>
      <c r="O865"/>
      <c r="P865"/>
      <c r="Q865"/>
      <c r="R865"/>
      <c r="S865"/>
      <c r="T865"/>
      <c r="U865"/>
      <c r="V865"/>
      <c r="W865" s="41"/>
      <c r="X865" s="41"/>
      <c r="Y865" s="41"/>
    </row>
    <row r="866" s="27" customFormat="1" ht="23" hidden="1" customHeight="1" spans="1:25">
      <c r="A866" s="133" t="str">
        <f>IF(B866="","",COUNTA($B$5:B866))</f>
        <v/>
      </c>
      <c r="B866" s="143"/>
      <c r="C866" s="144" t="s">
        <v>49</v>
      </c>
      <c r="D866" s="145"/>
      <c r="E866" s="146"/>
      <c r="F866" s="139"/>
      <c r="G866" s="139"/>
      <c r="H866" s="142">
        <f>IFERROR(VLOOKUP($C866,$C$5:$H$18,6,0)+SUMIF($C$19:$C866,$C866,$F$19:$F866)-SUMIF($C$19:$C866,$C866,$G$19:$G866),"")</f>
        <v>81211.819999998</v>
      </c>
      <c r="I866" s="147"/>
      <c r="J866" s="147"/>
      <c r="K866" s="147" t="str">
        <f t="shared" si="13"/>
        <v/>
      </c>
      <c r="L866" s="40"/>
      <c r="M866"/>
      <c r="N866"/>
      <c r="O866"/>
      <c r="P866"/>
      <c r="Q866"/>
      <c r="R866"/>
      <c r="S866"/>
      <c r="T866"/>
      <c r="U866"/>
      <c r="V866"/>
      <c r="W866" s="41"/>
      <c r="X866" s="41"/>
      <c r="Y866" s="41"/>
    </row>
    <row r="867" s="27" customFormat="1" ht="23" hidden="1" customHeight="1" spans="1:25">
      <c r="A867" s="133" t="str">
        <f>IF(B867="","",COUNTA($B$5:B867))</f>
        <v/>
      </c>
      <c r="B867" s="143"/>
      <c r="C867" s="144" t="s">
        <v>49</v>
      </c>
      <c r="D867" s="145"/>
      <c r="E867" s="146"/>
      <c r="F867" s="139"/>
      <c r="G867" s="139"/>
      <c r="H867" s="142">
        <f>IFERROR(VLOOKUP($C867,$C$5:$H$18,6,0)+SUMIF($C$19:$C867,$C867,$F$19:$F867)-SUMIF($C$19:$C867,$C867,$G$19:$G867),"")</f>
        <v>81211.819999998</v>
      </c>
      <c r="I867" s="147"/>
      <c r="J867" s="147"/>
      <c r="K867" s="147" t="str">
        <f t="shared" si="13"/>
        <v/>
      </c>
      <c r="L867" s="40"/>
      <c r="M867"/>
      <c r="N867"/>
      <c r="O867"/>
      <c r="P867"/>
      <c r="Q867"/>
      <c r="R867"/>
      <c r="S867"/>
      <c r="T867"/>
      <c r="U867"/>
      <c r="V867"/>
      <c r="W867" s="41"/>
      <c r="X867" s="41"/>
      <c r="Y867" s="41"/>
    </row>
    <row r="868" s="27" customFormat="1" ht="23" hidden="1" customHeight="1" spans="1:25">
      <c r="A868" s="133" t="str">
        <f>IF(B868="","",COUNTA($B$5:B868))</f>
        <v/>
      </c>
      <c r="B868" s="143"/>
      <c r="C868" s="144" t="s">
        <v>49</v>
      </c>
      <c r="D868" s="145"/>
      <c r="E868" s="146"/>
      <c r="F868" s="139"/>
      <c r="G868" s="139"/>
      <c r="H868" s="142">
        <f>IFERROR(VLOOKUP($C868,$C$5:$H$18,6,0)+SUMIF($C$19:$C868,$C868,$F$19:$F868)-SUMIF($C$19:$C868,$C868,$G$19:$G868),"")</f>
        <v>81211.819999998</v>
      </c>
      <c r="I868" s="147"/>
      <c r="J868" s="147"/>
      <c r="K868" s="147" t="str">
        <f t="shared" si="13"/>
        <v/>
      </c>
      <c r="L868" s="40"/>
      <c r="M868"/>
      <c r="N868"/>
      <c r="O868"/>
      <c r="P868"/>
      <c r="Q868"/>
      <c r="R868"/>
      <c r="S868"/>
      <c r="T868"/>
      <c r="U868"/>
      <c r="V868"/>
      <c r="W868" s="41"/>
      <c r="X868" s="41"/>
      <c r="Y868" s="41"/>
    </row>
    <row r="869" s="27" customFormat="1" ht="23" hidden="1" customHeight="1" spans="1:25">
      <c r="A869" s="133" t="str">
        <f>IF(B869="","",COUNTA($B$5:B869))</f>
        <v/>
      </c>
      <c r="B869" s="143"/>
      <c r="C869" s="144" t="s">
        <v>49</v>
      </c>
      <c r="D869" s="145"/>
      <c r="E869" s="146"/>
      <c r="F869" s="139"/>
      <c r="G869" s="139"/>
      <c r="H869" s="142">
        <f>IFERROR(VLOOKUP($C869,$C$5:$H$18,6,0)+SUMIF($C$19:$C869,$C869,$F$19:$F869)-SUMIF($C$19:$C869,$C869,$G$19:$G869),"")</f>
        <v>81211.819999998</v>
      </c>
      <c r="I869" s="147"/>
      <c r="J869" s="147"/>
      <c r="K869" s="147" t="str">
        <f t="shared" si="13"/>
        <v/>
      </c>
      <c r="L869" s="40"/>
      <c r="M869"/>
      <c r="N869"/>
      <c r="O869"/>
      <c r="P869"/>
      <c r="Q869"/>
      <c r="R869"/>
      <c r="S869"/>
      <c r="T869"/>
      <c r="U869"/>
      <c r="V869"/>
      <c r="W869" s="41"/>
      <c r="X869" s="41"/>
      <c r="Y869" s="41"/>
    </row>
    <row r="870" s="27" customFormat="1" ht="23" hidden="1" customHeight="1" spans="1:25">
      <c r="A870" s="133" t="str">
        <f>IF(B870="","",COUNTA($B$5:B870))</f>
        <v/>
      </c>
      <c r="B870" s="143"/>
      <c r="C870" s="144" t="s">
        <v>49</v>
      </c>
      <c r="D870" s="145"/>
      <c r="E870" s="146"/>
      <c r="F870" s="139"/>
      <c r="G870" s="139"/>
      <c r="H870" s="142">
        <f>IFERROR(VLOOKUP($C870,$C$5:$H$18,6,0)+SUMIF($C$19:$C870,$C870,$F$19:$F870)-SUMIF($C$19:$C870,$C870,$G$19:$G870),"")</f>
        <v>81211.819999998</v>
      </c>
      <c r="I870" s="147"/>
      <c r="J870" s="147"/>
      <c r="K870" s="147" t="str">
        <f t="shared" si="13"/>
        <v/>
      </c>
      <c r="L870" s="40"/>
      <c r="M870"/>
      <c r="N870"/>
      <c r="O870"/>
      <c r="P870"/>
      <c r="Q870"/>
      <c r="R870"/>
      <c r="S870"/>
      <c r="T870"/>
      <c r="U870"/>
      <c r="V870"/>
      <c r="W870" s="41"/>
      <c r="X870" s="41"/>
      <c r="Y870" s="41"/>
    </row>
    <row r="871" s="27" customFormat="1" ht="23" hidden="1" customHeight="1" spans="1:25">
      <c r="A871" s="133" t="str">
        <f>IF(B871="","",COUNTA($B$5:B871))</f>
        <v/>
      </c>
      <c r="B871" s="143"/>
      <c r="C871" s="144" t="s">
        <v>49</v>
      </c>
      <c r="D871" s="145"/>
      <c r="E871" s="146"/>
      <c r="F871" s="139"/>
      <c r="G871" s="139"/>
      <c r="H871" s="142">
        <f>IFERROR(VLOOKUP($C871,$C$5:$H$18,6,0)+SUMIF($C$19:$C871,$C871,$F$19:$F871)-SUMIF($C$19:$C871,$C871,$G$19:$G871),"")</f>
        <v>81211.819999998</v>
      </c>
      <c r="I871" s="147"/>
      <c r="J871" s="147"/>
      <c r="K871" s="147" t="str">
        <f t="shared" si="13"/>
        <v/>
      </c>
      <c r="L871" s="40"/>
      <c r="M871"/>
      <c r="N871"/>
      <c r="O871"/>
      <c r="P871"/>
      <c r="Q871"/>
      <c r="R871"/>
      <c r="S871"/>
      <c r="T871"/>
      <c r="U871"/>
      <c r="V871"/>
      <c r="W871" s="41"/>
      <c r="X871" s="41"/>
      <c r="Y871" s="41"/>
    </row>
    <row r="872" s="27" customFormat="1" ht="23" hidden="1" customHeight="1" spans="1:25">
      <c r="A872" s="133" t="str">
        <f>IF(B872="","",COUNTA($B$5:B872))</f>
        <v/>
      </c>
      <c r="B872" s="143"/>
      <c r="C872" s="144" t="s">
        <v>49</v>
      </c>
      <c r="D872" s="145"/>
      <c r="E872" s="146"/>
      <c r="F872" s="139"/>
      <c r="G872" s="139"/>
      <c r="H872" s="142">
        <f>IFERROR(VLOOKUP($C872,$C$5:$H$18,6,0)+SUMIF($C$19:$C872,$C872,$F$19:$F872)-SUMIF($C$19:$C872,$C872,$G$19:$G872),"")</f>
        <v>81211.819999998</v>
      </c>
      <c r="I872" s="147"/>
      <c r="J872" s="147"/>
      <c r="K872" s="147" t="str">
        <f t="shared" si="13"/>
        <v/>
      </c>
      <c r="L872" s="40"/>
      <c r="M872"/>
      <c r="N872"/>
      <c r="O872"/>
      <c r="P872"/>
      <c r="Q872"/>
      <c r="R872"/>
      <c r="S872"/>
      <c r="T872"/>
      <c r="U872"/>
      <c r="V872"/>
      <c r="W872" s="41"/>
      <c r="X872" s="41"/>
      <c r="Y872" s="41"/>
    </row>
    <row r="873" s="27" customFormat="1" ht="23" hidden="1" customHeight="1" spans="1:25">
      <c r="A873" s="133" t="str">
        <f>IF(B873="","",COUNTA($B$5:B873))</f>
        <v/>
      </c>
      <c r="B873" s="143"/>
      <c r="C873" s="144" t="s">
        <v>49</v>
      </c>
      <c r="D873" s="145"/>
      <c r="E873" s="146"/>
      <c r="F873" s="139"/>
      <c r="G873" s="139"/>
      <c r="H873" s="142">
        <f>IFERROR(VLOOKUP($C873,$C$5:$H$18,6,0)+SUMIF($C$19:$C873,$C873,$F$19:$F873)-SUMIF($C$19:$C873,$C873,$G$19:$G873),"")</f>
        <v>81211.819999998</v>
      </c>
      <c r="I873" s="147"/>
      <c r="J873" s="147"/>
      <c r="K873" s="147" t="str">
        <f t="shared" si="13"/>
        <v/>
      </c>
      <c r="L873" s="40"/>
      <c r="M873"/>
      <c r="N873"/>
      <c r="O873"/>
      <c r="P873"/>
      <c r="Q873"/>
      <c r="R873"/>
      <c r="S873"/>
      <c r="T873"/>
      <c r="U873"/>
      <c r="V873"/>
      <c r="W873" s="41"/>
      <c r="X873" s="41"/>
      <c r="Y873" s="41"/>
    </row>
    <row r="874" s="27" customFormat="1" ht="23" hidden="1" customHeight="1" spans="1:25">
      <c r="A874" s="133" t="str">
        <f>IF(B874="","",COUNTA($B$5:B874))</f>
        <v/>
      </c>
      <c r="B874" s="143"/>
      <c r="C874" s="144" t="s">
        <v>49</v>
      </c>
      <c r="D874" s="145"/>
      <c r="E874" s="146"/>
      <c r="F874" s="139"/>
      <c r="G874" s="139"/>
      <c r="H874" s="142">
        <f>IFERROR(VLOOKUP($C874,$C$5:$H$18,6,0)+SUMIF($C$19:$C874,$C874,$F$19:$F874)-SUMIF($C$19:$C874,$C874,$G$19:$G874),"")</f>
        <v>81211.819999998</v>
      </c>
      <c r="I874" s="147"/>
      <c r="J874" s="147"/>
      <c r="K874" s="147" t="str">
        <f t="shared" si="13"/>
        <v/>
      </c>
      <c r="L874" s="40"/>
      <c r="M874"/>
      <c r="N874"/>
      <c r="O874"/>
      <c r="P874"/>
      <c r="Q874"/>
      <c r="R874"/>
      <c r="S874"/>
      <c r="T874"/>
      <c r="U874"/>
      <c r="V874"/>
      <c r="W874" s="41"/>
      <c r="X874" s="41"/>
      <c r="Y874" s="41"/>
    </row>
    <row r="875" s="27" customFormat="1" ht="23" hidden="1" customHeight="1" spans="1:25">
      <c r="A875" s="133" t="str">
        <f>IF(B875="","",COUNTA($B$5:B875))</f>
        <v/>
      </c>
      <c r="B875" s="143"/>
      <c r="C875" s="144" t="s">
        <v>49</v>
      </c>
      <c r="D875" s="145"/>
      <c r="E875" s="146"/>
      <c r="F875" s="139"/>
      <c r="G875" s="139"/>
      <c r="H875" s="142">
        <f>IFERROR(VLOOKUP($C875,$C$5:$H$18,6,0)+SUMIF($C$19:$C875,$C875,$F$19:$F875)-SUMIF($C$19:$C875,$C875,$G$19:$G875),"")</f>
        <v>81211.819999998</v>
      </c>
      <c r="I875" s="147"/>
      <c r="J875" s="147"/>
      <c r="K875" s="147" t="str">
        <f t="shared" si="13"/>
        <v/>
      </c>
      <c r="L875" s="40"/>
      <c r="M875"/>
      <c r="N875"/>
      <c r="O875"/>
      <c r="P875"/>
      <c r="Q875"/>
      <c r="R875"/>
      <c r="S875"/>
      <c r="T875"/>
      <c r="U875"/>
      <c r="V875"/>
      <c r="W875" s="41"/>
      <c r="X875" s="41"/>
      <c r="Y875" s="41"/>
    </row>
    <row r="876" s="27" customFormat="1" ht="23" hidden="1" customHeight="1" spans="1:25">
      <c r="A876" s="133" t="str">
        <f>IF(B876="","",COUNTA($B$5:B876))</f>
        <v/>
      </c>
      <c r="B876" s="148"/>
      <c r="C876" s="22" t="s">
        <v>49</v>
      </c>
      <c r="D876" s="149"/>
      <c r="E876" s="150"/>
      <c r="F876" s="151"/>
      <c r="G876" s="151"/>
      <c r="H876" s="142">
        <f>IFERROR(VLOOKUP($C876,$C$5:$H$18,6,0)+SUMIF($C$19:$C876,$C876,$F$19:$F876)-SUMIF($C$19:$C876,$C876,$G$19:$G876),"")</f>
        <v>81211.819999998</v>
      </c>
      <c r="I876" s="147"/>
      <c r="J876" s="147"/>
      <c r="K876" s="147" t="str">
        <f t="shared" si="13"/>
        <v/>
      </c>
      <c r="L876" s="40"/>
      <c r="M876"/>
      <c r="N876"/>
      <c r="O876"/>
      <c r="P876"/>
      <c r="Q876"/>
      <c r="R876"/>
      <c r="S876"/>
      <c r="T876"/>
      <c r="U876"/>
      <c r="V876"/>
      <c r="W876" s="41"/>
      <c r="X876" s="41"/>
      <c r="Y876" s="41"/>
    </row>
    <row r="877" s="27" customFormat="1" ht="23" hidden="1" customHeight="1" spans="1:25">
      <c r="A877" s="133" t="str">
        <f>IF(B877="","",COUNTA($B$5:B877))</f>
        <v/>
      </c>
      <c r="B877" s="148"/>
      <c r="C877" s="22" t="s">
        <v>49</v>
      </c>
      <c r="D877" s="149"/>
      <c r="E877" s="150"/>
      <c r="F877" s="151"/>
      <c r="G877" s="151"/>
      <c r="H877" s="142">
        <f>IFERROR(VLOOKUP($C877,$C$5:$H$18,6,0)+SUMIF($C$19:$C877,$C877,$F$19:$F877)-SUMIF($C$19:$C877,$C877,$G$19:$G877),"")</f>
        <v>81211.819999998</v>
      </c>
      <c r="I877" s="147"/>
      <c r="J877" s="147"/>
      <c r="K877" s="147" t="str">
        <f t="shared" si="13"/>
        <v/>
      </c>
      <c r="L877" s="40"/>
      <c r="M877"/>
      <c r="N877"/>
      <c r="O877"/>
      <c r="P877"/>
      <c r="Q877"/>
      <c r="R877"/>
      <c r="S877"/>
      <c r="T877"/>
      <c r="U877"/>
      <c r="V877"/>
      <c r="W877" s="41"/>
      <c r="X877" s="41"/>
      <c r="Y877" s="41"/>
    </row>
    <row r="878" s="27" customFormat="1" ht="23" hidden="1" customHeight="1" spans="1:25">
      <c r="A878" s="133" t="str">
        <f>IF(B878="","",COUNTA($B$5:B878))</f>
        <v/>
      </c>
      <c r="B878" s="148"/>
      <c r="C878" s="22" t="s">
        <v>49</v>
      </c>
      <c r="D878" s="149"/>
      <c r="E878" s="150"/>
      <c r="F878" s="151"/>
      <c r="G878" s="151"/>
      <c r="H878" s="142">
        <f>IFERROR(VLOOKUP($C878,$C$5:$H$18,6,0)+SUMIF($C$19:$C878,$C878,$F$19:$F878)-SUMIF($C$19:$C878,$C878,$G$19:$G878),"")</f>
        <v>81211.819999998</v>
      </c>
      <c r="I878" s="147"/>
      <c r="J878" s="147"/>
      <c r="K878" s="147" t="str">
        <f t="shared" si="13"/>
        <v/>
      </c>
      <c r="L878" s="40"/>
      <c r="M878"/>
      <c r="N878"/>
      <c r="O878"/>
      <c r="P878"/>
      <c r="Q878"/>
      <c r="R878"/>
      <c r="S878"/>
      <c r="T878"/>
      <c r="U878"/>
      <c r="V878"/>
      <c r="W878" s="41"/>
      <c r="X878" s="41"/>
      <c r="Y878" s="41"/>
    </row>
    <row r="879" s="27" customFormat="1" ht="23" hidden="1" customHeight="1" spans="1:25">
      <c r="A879" s="133" t="str">
        <f>IF(B879="","",COUNTA($B$5:B879))</f>
        <v/>
      </c>
      <c r="B879" s="148"/>
      <c r="C879" s="22" t="s">
        <v>49</v>
      </c>
      <c r="D879" s="149"/>
      <c r="E879" s="150"/>
      <c r="F879" s="151"/>
      <c r="G879" s="151"/>
      <c r="H879" s="142">
        <f>IFERROR(VLOOKUP($C879,$C$5:$H$18,6,0)+SUMIF($C$19:$C879,$C879,$F$19:$F879)-SUMIF($C$19:$C879,$C879,$G$19:$G879),"")</f>
        <v>81211.819999998</v>
      </c>
      <c r="I879" s="147"/>
      <c r="J879" s="147"/>
      <c r="K879" s="147" t="str">
        <f t="shared" si="13"/>
        <v/>
      </c>
      <c r="L879" s="40"/>
      <c r="M879"/>
      <c r="N879"/>
      <c r="O879"/>
      <c r="P879"/>
      <c r="Q879"/>
      <c r="R879"/>
      <c r="S879"/>
      <c r="T879"/>
      <c r="U879"/>
      <c r="V879"/>
      <c r="W879" s="41"/>
      <c r="X879" s="41"/>
      <c r="Y879" s="41"/>
    </row>
    <row r="880" s="27" customFormat="1" ht="23" hidden="1" customHeight="1" spans="1:25">
      <c r="A880" s="133" t="str">
        <f>IF(B880="","",COUNTA($B$5:B880))</f>
        <v/>
      </c>
      <c r="B880" s="148"/>
      <c r="C880" s="22" t="s">
        <v>49</v>
      </c>
      <c r="D880" s="149"/>
      <c r="E880" s="150"/>
      <c r="F880" s="151"/>
      <c r="G880" s="151"/>
      <c r="H880" s="142">
        <f>IFERROR(VLOOKUP($C880,$C$5:$H$18,6,0)+SUMIF($C$19:$C880,$C880,$F$19:$F880)-SUMIF($C$19:$C880,$C880,$G$19:$G880),"")</f>
        <v>81211.819999998</v>
      </c>
      <c r="I880" s="147"/>
      <c r="J880" s="147"/>
      <c r="K880" s="147" t="str">
        <f t="shared" si="13"/>
        <v/>
      </c>
      <c r="L880" s="40"/>
      <c r="M880"/>
      <c r="N880"/>
      <c r="O880"/>
      <c r="P880"/>
      <c r="Q880"/>
      <c r="R880"/>
      <c r="S880"/>
      <c r="T880"/>
      <c r="U880"/>
      <c r="V880"/>
      <c r="W880" s="41"/>
      <c r="X880" s="41"/>
      <c r="Y880" s="41"/>
    </row>
    <row r="881" s="27" customFormat="1" ht="23" hidden="1" customHeight="1" spans="1:25">
      <c r="A881" s="133" t="str">
        <f>IF(B881="","",COUNTA($B$5:B881))</f>
        <v/>
      </c>
      <c r="B881" s="148"/>
      <c r="C881" s="22" t="s">
        <v>49</v>
      </c>
      <c r="D881" s="149"/>
      <c r="E881" s="150"/>
      <c r="F881" s="151"/>
      <c r="G881" s="151"/>
      <c r="H881" s="142">
        <f>IFERROR(VLOOKUP($C881,$C$5:$H$18,6,0)+SUMIF($C$19:$C881,$C881,$F$19:$F881)-SUMIF($C$19:$C881,$C881,$G$19:$G881),"")</f>
        <v>81211.819999998</v>
      </c>
      <c r="I881" s="147"/>
      <c r="J881" s="147"/>
      <c r="K881" s="147" t="str">
        <f t="shared" si="13"/>
        <v/>
      </c>
      <c r="L881" s="40"/>
      <c r="M881"/>
      <c r="N881"/>
      <c r="O881"/>
      <c r="P881"/>
      <c r="Q881"/>
      <c r="R881"/>
      <c r="S881"/>
      <c r="T881"/>
      <c r="U881"/>
      <c r="V881"/>
      <c r="W881" s="41"/>
      <c r="X881" s="41"/>
      <c r="Y881" s="41"/>
    </row>
    <row r="882" s="27" customFormat="1" ht="23" hidden="1" customHeight="1" spans="1:25">
      <c r="A882" s="133" t="str">
        <f>IF(B882="","",COUNTA($B$5:B882))</f>
        <v/>
      </c>
      <c r="B882" s="148"/>
      <c r="C882" s="22" t="s">
        <v>49</v>
      </c>
      <c r="D882" s="149"/>
      <c r="E882" s="150"/>
      <c r="F882" s="151"/>
      <c r="G882" s="151"/>
      <c r="H882" s="142">
        <f>IFERROR(VLOOKUP($C882,$C$5:$H$18,6,0)+SUMIF($C$19:$C882,$C882,$F$19:$F882)-SUMIF($C$19:$C882,$C882,$G$19:$G882),"")</f>
        <v>81211.819999998</v>
      </c>
      <c r="I882" s="147"/>
      <c r="J882" s="147"/>
      <c r="K882" s="147" t="str">
        <f t="shared" si="13"/>
        <v/>
      </c>
      <c r="L882" s="40"/>
      <c r="M882"/>
      <c r="N882"/>
      <c r="O882"/>
      <c r="P882"/>
      <c r="Q882"/>
      <c r="R882"/>
      <c r="S882"/>
      <c r="T882"/>
      <c r="U882"/>
      <c r="V882"/>
      <c r="W882" s="41"/>
      <c r="X882" s="41"/>
      <c r="Y882" s="41"/>
    </row>
    <row r="883" s="27" customFormat="1" ht="23" hidden="1" customHeight="1" spans="1:25">
      <c r="A883" s="133" t="str">
        <f>IF(B883="","",COUNTA($B$5:B883))</f>
        <v/>
      </c>
      <c r="B883" s="148"/>
      <c r="C883" s="22" t="s">
        <v>49</v>
      </c>
      <c r="D883" s="149"/>
      <c r="E883" s="150"/>
      <c r="F883" s="151"/>
      <c r="G883" s="151"/>
      <c r="H883" s="142">
        <f>IFERROR(VLOOKUP($C883,$C$5:$H$18,6,0)+SUMIF($C$19:$C883,$C883,$F$19:$F883)-SUMIF($C$19:$C883,$C883,$G$19:$G883),"")</f>
        <v>81211.819999998</v>
      </c>
      <c r="I883" s="147"/>
      <c r="J883" s="147"/>
      <c r="K883" s="147" t="str">
        <f t="shared" si="13"/>
        <v/>
      </c>
      <c r="L883" s="40"/>
      <c r="M883"/>
      <c r="N883"/>
      <c r="O883"/>
      <c r="P883"/>
      <c r="Q883"/>
      <c r="R883"/>
      <c r="S883"/>
      <c r="T883"/>
      <c r="U883"/>
      <c r="V883"/>
      <c r="W883" s="41"/>
      <c r="X883" s="41"/>
      <c r="Y883" s="41"/>
    </row>
    <row r="884" s="27" customFormat="1" ht="23" hidden="1" customHeight="1" spans="1:25">
      <c r="A884" s="133" t="str">
        <f>IF(B884="","",COUNTA($B$5:B884))</f>
        <v/>
      </c>
      <c r="B884" s="148"/>
      <c r="C884" s="22" t="s">
        <v>49</v>
      </c>
      <c r="D884" s="149"/>
      <c r="E884" s="150"/>
      <c r="F884" s="151"/>
      <c r="G884" s="151"/>
      <c r="H884" s="142">
        <f>IFERROR(VLOOKUP($C884,$C$5:$H$18,6,0)+SUMIF($C$19:$C884,$C884,$F$19:$F884)-SUMIF($C$19:$C884,$C884,$G$19:$G884),"")</f>
        <v>81211.819999998</v>
      </c>
      <c r="I884" s="147"/>
      <c r="J884" s="147"/>
      <c r="K884" s="147" t="str">
        <f t="shared" si="13"/>
        <v/>
      </c>
      <c r="L884" s="40"/>
      <c r="M884"/>
      <c r="N884"/>
      <c r="O884"/>
      <c r="P884"/>
      <c r="Q884"/>
      <c r="R884"/>
      <c r="S884"/>
      <c r="T884"/>
      <c r="U884"/>
      <c r="V884"/>
      <c r="W884" s="41"/>
      <c r="X884" s="41"/>
      <c r="Y884" s="41"/>
    </row>
    <row r="885" s="27" customFormat="1" ht="23" hidden="1" customHeight="1" spans="1:25">
      <c r="A885" s="133" t="str">
        <f>IF(B885="","",COUNTA($B$5:B885))</f>
        <v/>
      </c>
      <c r="B885" s="148"/>
      <c r="C885" s="22" t="s">
        <v>49</v>
      </c>
      <c r="D885" s="149"/>
      <c r="E885" s="150"/>
      <c r="F885" s="151"/>
      <c r="G885" s="151"/>
      <c r="H885" s="142">
        <f>IFERROR(VLOOKUP($C885,$C$5:$H$18,6,0)+SUMIF($C$19:$C885,$C885,$F$19:$F885)-SUMIF($C$19:$C885,$C885,$G$19:$G885),"")</f>
        <v>81211.819999998</v>
      </c>
      <c r="I885" s="147"/>
      <c r="J885" s="147"/>
      <c r="K885" s="147" t="str">
        <f t="shared" si="13"/>
        <v/>
      </c>
      <c r="L885" s="40"/>
      <c r="M885"/>
      <c r="N885"/>
      <c r="O885"/>
      <c r="P885"/>
      <c r="Q885"/>
      <c r="R885"/>
      <c r="S885"/>
      <c r="T885"/>
      <c r="U885"/>
      <c r="V885"/>
      <c r="W885" s="41"/>
      <c r="X885" s="41"/>
      <c r="Y885" s="41"/>
    </row>
    <row r="886" s="27" customFormat="1" ht="23" hidden="1" customHeight="1" spans="1:25">
      <c r="A886" s="133" t="str">
        <f>IF(B886="","",COUNTA($B$5:B886))</f>
        <v/>
      </c>
      <c r="B886" s="148"/>
      <c r="C886" s="22" t="s">
        <v>49</v>
      </c>
      <c r="D886" s="149"/>
      <c r="E886" s="150"/>
      <c r="F886" s="151"/>
      <c r="G886" s="151"/>
      <c r="H886" s="142">
        <f>IFERROR(VLOOKUP($C886,$C$5:$H$18,6,0)+SUMIF($C$19:$C886,$C886,$F$19:$F886)-SUMIF($C$19:$C886,$C886,$G$19:$G886),"")</f>
        <v>81211.819999998</v>
      </c>
      <c r="I886" s="147"/>
      <c r="J886" s="147"/>
      <c r="K886" s="147" t="str">
        <f t="shared" si="13"/>
        <v/>
      </c>
      <c r="L886" s="40"/>
      <c r="M886"/>
      <c r="N886"/>
      <c r="O886"/>
      <c r="P886"/>
      <c r="Q886"/>
      <c r="R886"/>
      <c r="S886"/>
      <c r="T886"/>
      <c r="U886"/>
      <c r="V886"/>
      <c r="W886" s="41"/>
      <c r="X886" s="41"/>
      <c r="Y886" s="41"/>
    </row>
    <row r="887" s="27" customFormat="1" ht="23" hidden="1" customHeight="1" spans="1:25">
      <c r="A887" s="133" t="str">
        <f>IF(B887="","",COUNTA($B$5:B887))</f>
        <v/>
      </c>
      <c r="B887" s="148"/>
      <c r="C887" s="22" t="s">
        <v>49</v>
      </c>
      <c r="D887" s="149"/>
      <c r="E887" s="150"/>
      <c r="F887" s="151"/>
      <c r="G887" s="151"/>
      <c r="H887" s="142">
        <f>IFERROR(VLOOKUP($C887,$C$5:$H$18,6,0)+SUMIF($C$19:$C887,$C887,$F$19:$F887)-SUMIF($C$19:$C887,$C887,$G$19:$G887),"")</f>
        <v>81211.819999998</v>
      </c>
      <c r="I887" s="147"/>
      <c r="J887" s="147"/>
      <c r="K887" s="147" t="str">
        <f t="shared" si="13"/>
        <v/>
      </c>
      <c r="L887" s="40"/>
      <c r="M887"/>
      <c r="N887"/>
      <c r="O887"/>
      <c r="P887"/>
      <c r="Q887"/>
      <c r="R887"/>
      <c r="S887"/>
      <c r="T887"/>
      <c r="U887"/>
      <c r="V887"/>
      <c r="W887" s="41"/>
      <c r="X887" s="41"/>
      <c r="Y887" s="41"/>
    </row>
    <row r="888" s="27" customFormat="1" ht="23" hidden="1" customHeight="1" spans="1:25">
      <c r="A888" s="133" t="str">
        <f>IF(B888="","",COUNTA($B$5:B888))</f>
        <v/>
      </c>
      <c r="B888" s="148"/>
      <c r="C888" s="22" t="s">
        <v>49</v>
      </c>
      <c r="D888" s="149"/>
      <c r="E888" s="150"/>
      <c r="F888" s="151"/>
      <c r="G888" s="151"/>
      <c r="H888" s="142">
        <f>IFERROR(VLOOKUP($C888,$C$5:$H$18,6,0)+SUMIF($C$19:$C888,$C888,$F$19:$F888)-SUMIF($C$19:$C888,$C888,$G$19:$G888),"")</f>
        <v>81211.819999998</v>
      </c>
      <c r="I888" s="147"/>
      <c r="J888" s="147"/>
      <c r="K888" s="147" t="str">
        <f t="shared" si="13"/>
        <v/>
      </c>
      <c r="L888" s="40"/>
      <c r="M888"/>
      <c r="N888"/>
      <c r="O888"/>
      <c r="P888"/>
      <c r="Q888"/>
      <c r="R888"/>
      <c r="S888"/>
      <c r="T888"/>
      <c r="U888"/>
      <c r="V888"/>
      <c r="W888" s="41"/>
      <c r="X888" s="41"/>
      <c r="Y888" s="41"/>
    </row>
    <row r="889" s="27" customFormat="1" ht="23" hidden="1" customHeight="1" spans="1:25">
      <c r="A889" s="133" t="str">
        <f>IF(B889="","",COUNTA($B$5:B889))</f>
        <v/>
      </c>
      <c r="B889" s="148"/>
      <c r="C889" s="22" t="s">
        <v>49</v>
      </c>
      <c r="D889" s="149"/>
      <c r="E889" s="150"/>
      <c r="F889" s="151"/>
      <c r="G889" s="151"/>
      <c r="H889" s="142">
        <f>IFERROR(VLOOKUP($C889,$C$5:$H$18,6,0)+SUMIF($C$19:$C889,$C889,$F$19:$F889)-SUMIF($C$19:$C889,$C889,$G$19:$G889),"")</f>
        <v>81211.819999998</v>
      </c>
      <c r="I889" s="147"/>
      <c r="J889" s="147"/>
      <c r="K889" s="147" t="str">
        <f t="shared" si="13"/>
        <v/>
      </c>
      <c r="L889" s="40"/>
      <c r="M889"/>
      <c r="N889"/>
      <c r="O889"/>
      <c r="P889"/>
      <c r="Q889"/>
      <c r="R889"/>
      <c r="S889"/>
      <c r="T889"/>
      <c r="U889"/>
      <c r="V889"/>
      <c r="W889" s="41"/>
      <c r="X889" s="41"/>
      <c r="Y889" s="41"/>
    </row>
    <row r="890" s="27" customFormat="1" ht="23" hidden="1" customHeight="1" spans="1:25">
      <c r="A890" s="133" t="str">
        <f>IF(B890="","",COUNTA($B$5:B890))</f>
        <v/>
      </c>
      <c r="B890" s="148"/>
      <c r="C890" s="22" t="s">
        <v>49</v>
      </c>
      <c r="D890" s="149"/>
      <c r="E890" s="150"/>
      <c r="F890" s="151"/>
      <c r="G890" s="151"/>
      <c r="H890" s="142">
        <f>IFERROR(VLOOKUP($C890,$C$5:$H$18,6,0)+SUMIF($C$19:$C890,$C890,$F$19:$F890)-SUMIF($C$19:$C890,$C890,$G$19:$G890),"")</f>
        <v>81211.819999998</v>
      </c>
      <c r="I890" s="147"/>
      <c r="J890" s="147"/>
      <c r="K890" s="147" t="str">
        <f t="shared" si="13"/>
        <v/>
      </c>
      <c r="L890" s="40"/>
      <c r="M890"/>
      <c r="N890"/>
      <c r="O890"/>
      <c r="P890"/>
      <c r="Q890"/>
      <c r="R890"/>
      <c r="S890"/>
      <c r="T890"/>
      <c r="U890"/>
      <c r="V890"/>
      <c r="W890" s="41"/>
      <c r="X890" s="41"/>
      <c r="Y890" s="41"/>
    </row>
    <row r="891" s="27" customFormat="1" ht="23" hidden="1" customHeight="1" spans="1:25">
      <c r="A891" s="133" t="str">
        <f>IF(B891="","",COUNTA($B$5:B891))</f>
        <v/>
      </c>
      <c r="B891" s="148"/>
      <c r="C891" s="22" t="s">
        <v>49</v>
      </c>
      <c r="D891" s="149"/>
      <c r="E891" s="150"/>
      <c r="F891" s="151"/>
      <c r="G891" s="151"/>
      <c r="H891" s="142">
        <f>IFERROR(VLOOKUP($C891,$C$5:$H$18,6,0)+SUMIF($C$19:$C891,$C891,$F$19:$F891)-SUMIF($C$19:$C891,$C891,$G$19:$G891),"")</f>
        <v>81211.819999998</v>
      </c>
      <c r="I891" s="147"/>
      <c r="J891" s="147"/>
      <c r="K891" s="147" t="str">
        <f t="shared" si="13"/>
        <v/>
      </c>
      <c r="L891" s="40"/>
      <c r="M891"/>
      <c r="N891"/>
      <c r="O891"/>
      <c r="P891"/>
      <c r="Q891"/>
      <c r="R891"/>
      <c r="S891"/>
      <c r="T891"/>
      <c r="U891"/>
      <c r="V891"/>
      <c r="W891" s="41"/>
      <c r="X891" s="41"/>
      <c r="Y891" s="41"/>
    </row>
    <row r="892" s="27" customFormat="1" ht="23" hidden="1" customHeight="1" spans="1:25">
      <c r="A892" s="133" t="str">
        <f>IF(B892="","",COUNTA($B$5:B892))</f>
        <v/>
      </c>
      <c r="B892" s="148"/>
      <c r="C892" s="22" t="s">
        <v>49</v>
      </c>
      <c r="D892" s="149"/>
      <c r="E892" s="150"/>
      <c r="F892" s="151"/>
      <c r="G892" s="151"/>
      <c r="H892" s="142">
        <f>IFERROR(VLOOKUP($C892,$C$5:$H$18,6,0)+SUMIF($C$19:$C892,$C892,$F$19:$F892)-SUMIF($C$19:$C892,$C892,$G$19:$G892),"")</f>
        <v>81211.819999998</v>
      </c>
      <c r="I892" s="147"/>
      <c r="J892" s="147"/>
      <c r="K892" s="147" t="str">
        <f t="shared" si="13"/>
        <v/>
      </c>
      <c r="L892" s="40"/>
      <c r="M892"/>
      <c r="N892"/>
      <c r="O892"/>
      <c r="P892"/>
      <c r="Q892"/>
      <c r="R892"/>
      <c r="S892"/>
      <c r="T892"/>
      <c r="U892"/>
      <c r="V892"/>
      <c r="W892" s="41"/>
      <c r="X892" s="41"/>
      <c r="Y892" s="41"/>
    </row>
    <row r="893" s="27" customFormat="1" ht="23" hidden="1" customHeight="1" spans="1:25">
      <c r="A893" s="133" t="str">
        <f>IF(B893="","",COUNTA($B$5:B893))</f>
        <v/>
      </c>
      <c r="B893" s="148"/>
      <c r="C893" s="22" t="s">
        <v>49</v>
      </c>
      <c r="D893" s="149"/>
      <c r="E893" s="150"/>
      <c r="F893" s="151"/>
      <c r="G893" s="151"/>
      <c r="H893" s="142">
        <f>IFERROR(VLOOKUP($C893,$C$5:$H$18,6,0)+SUMIF($C$19:$C893,$C893,$F$19:$F893)-SUMIF($C$19:$C893,$C893,$G$19:$G893),"")</f>
        <v>81211.819999998</v>
      </c>
      <c r="I893" s="147"/>
      <c r="J893" s="147"/>
      <c r="K893" s="147" t="str">
        <f t="shared" si="13"/>
        <v/>
      </c>
      <c r="L893" s="40"/>
      <c r="M893"/>
      <c r="N893"/>
      <c r="O893"/>
      <c r="P893"/>
      <c r="Q893"/>
      <c r="R893"/>
      <c r="S893"/>
      <c r="T893"/>
      <c r="U893"/>
      <c r="V893"/>
      <c r="W893" s="41"/>
      <c r="X893" s="41"/>
      <c r="Y893" s="41"/>
    </row>
    <row r="894" s="27" customFormat="1" ht="23" hidden="1" customHeight="1" spans="1:25">
      <c r="A894" s="133" t="str">
        <f>IF(B894="","",COUNTA($B$5:B894))</f>
        <v/>
      </c>
      <c r="B894" s="148"/>
      <c r="C894" s="22" t="s">
        <v>49</v>
      </c>
      <c r="D894" s="149"/>
      <c r="E894" s="150"/>
      <c r="F894" s="151"/>
      <c r="G894" s="151"/>
      <c r="H894" s="142">
        <f>IFERROR(VLOOKUP($C894,$C$5:$H$18,6,0)+SUMIF($C$19:$C894,$C894,$F$19:$F894)-SUMIF($C$19:$C894,$C894,$G$19:$G894),"")</f>
        <v>81211.819999998</v>
      </c>
      <c r="I894" s="147"/>
      <c r="J894" s="147"/>
      <c r="K894" s="147" t="str">
        <f t="shared" si="13"/>
        <v/>
      </c>
      <c r="L894" s="40"/>
      <c r="M894"/>
      <c r="N894"/>
      <c r="O894"/>
      <c r="P894"/>
      <c r="Q894"/>
      <c r="R894"/>
      <c r="S894"/>
      <c r="T894"/>
      <c r="U894"/>
      <c r="V894"/>
      <c r="W894" s="41"/>
      <c r="X894" s="41"/>
      <c r="Y894" s="41"/>
    </row>
    <row r="895" s="27" customFormat="1" ht="23" hidden="1" customHeight="1" spans="1:25">
      <c r="A895" s="133" t="str">
        <f>IF(B895="","",COUNTA($B$5:B895))</f>
        <v/>
      </c>
      <c r="B895" s="148"/>
      <c r="C895" s="22" t="s">
        <v>49</v>
      </c>
      <c r="D895" s="149"/>
      <c r="E895" s="150"/>
      <c r="F895" s="151"/>
      <c r="G895" s="151"/>
      <c r="H895" s="142">
        <f>IFERROR(VLOOKUP($C895,$C$5:$H$18,6,0)+SUMIF($C$19:$C895,$C895,$F$19:$F895)-SUMIF($C$19:$C895,$C895,$G$19:$G895),"")</f>
        <v>81211.819999998</v>
      </c>
      <c r="I895" s="147"/>
      <c r="J895" s="147"/>
      <c r="K895" s="147" t="str">
        <f t="shared" si="13"/>
        <v/>
      </c>
      <c r="L895" s="40"/>
      <c r="M895"/>
      <c r="N895"/>
      <c r="O895"/>
      <c r="P895"/>
      <c r="Q895"/>
      <c r="R895"/>
      <c r="S895"/>
      <c r="T895"/>
      <c r="U895"/>
      <c r="V895"/>
      <c r="W895" s="41"/>
      <c r="X895" s="41"/>
      <c r="Y895" s="41"/>
    </row>
    <row r="896" s="27" customFormat="1" ht="23" hidden="1" customHeight="1" spans="1:25">
      <c r="A896" s="133" t="str">
        <f>IF(B896="","",COUNTA($B$5:B896))</f>
        <v/>
      </c>
      <c r="B896" s="148"/>
      <c r="C896" s="22" t="s">
        <v>49</v>
      </c>
      <c r="D896" s="149"/>
      <c r="E896" s="150"/>
      <c r="F896" s="151"/>
      <c r="G896" s="151"/>
      <c r="H896" s="142">
        <f>IFERROR(VLOOKUP($C896,$C$5:$H$18,6,0)+SUMIF($C$19:$C896,$C896,$F$19:$F896)-SUMIF($C$19:$C896,$C896,$G$19:$G896),"")</f>
        <v>81211.819999998</v>
      </c>
      <c r="I896" s="147"/>
      <c r="J896" s="147"/>
      <c r="K896" s="147" t="str">
        <f t="shared" si="13"/>
        <v/>
      </c>
      <c r="L896" s="40"/>
      <c r="M896"/>
      <c r="N896"/>
      <c r="O896"/>
      <c r="P896"/>
      <c r="Q896"/>
      <c r="R896"/>
      <c r="S896"/>
      <c r="T896"/>
      <c r="U896"/>
      <c r="V896"/>
      <c r="W896" s="41"/>
      <c r="X896" s="41"/>
      <c r="Y896" s="41"/>
    </row>
    <row r="897" s="27" customFormat="1" ht="23" hidden="1" customHeight="1" spans="1:25">
      <c r="A897" s="133" t="str">
        <f>IF(B897="","",COUNTA($B$5:B897))</f>
        <v/>
      </c>
      <c r="B897" s="148"/>
      <c r="C897" s="22" t="s">
        <v>49</v>
      </c>
      <c r="D897" s="149"/>
      <c r="E897" s="150"/>
      <c r="F897" s="151"/>
      <c r="G897" s="151"/>
      <c r="H897" s="142">
        <f>IFERROR(VLOOKUP($C897,$C$5:$H$18,6,0)+SUMIF($C$19:$C897,$C897,$F$19:$F897)-SUMIF($C$19:$C897,$C897,$G$19:$G897),"")</f>
        <v>81211.819999998</v>
      </c>
      <c r="I897" s="147"/>
      <c r="J897" s="147"/>
      <c r="K897" s="147" t="str">
        <f t="shared" si="13"/>
        <v/>
      </c>
      <c r="L897" s="40"/>
      <c r="M897"/>
      <c r="N897"/>
      <c r="O897"/>
      <c r="P897"/>
      <c r="Q897"/>
      <c r="R897"/>
      <c r="S897"/>
      <c r="T897"/>
      <c r="U897"/>
      <c r="V897"/>
      <c r="W897" s="41"/>
      <c r="X897" s="41"/>
      <c r="Y897" s="41"/>
    </row>
    <row r="898" s="27" customFormat="1" ht="23" hidden="1" customHeight="1" spans="1:25">
      <c r="A898" s="133" t="str">
        <f>IF(B898="","",COUNTA($B$5:B898))</f>
        <v/>
      </c>
      <c r="B898" s="148"/>
      <c r="C898" s="22" t="s">
        <v>49</v>
      </c>
      <c r="D898" s="149"/>
      <c r="E898" s="150"/>
      <c r="F898" s="151"/>
      <c r="G898" s="151"/>
      <c r="H898" s="142">
        <f>IFERROR(VLOOKUP($C898,$C$5:$H$18,6,0)+SUMIF($C$19:$C898,$C898,$F$19:$F898)-SUMIF($C$19:$C898,$C898,$G$19:$G898),"")</f>
        <v>81211.819999998</v>
      </c>
      <c r="I898" s="147"/>
      <c r="J898" s="147"/>
      <c r="K898" s="147" t="str">
        <f t="shared" si="13"/>
        <v/>
      </c>
      <c r="L898" s="40"/>
      <c r="M898"/>
      <c r="N898"/>
      <c r="O898"/>
      <c r="P898"/>
      <c r="Q898"/>
      <c r="R898"/>
      <c r="S898"/>
      <c r="T898"/>
      <c r="U898"/>
      <c r="V898"/>
      <c r="W898" s="41"/>
      <c r="X898" s="41"/>
      <c r="Y898" s="41"/>
    </row>
    <row r="899" s="27" customFormat="1" ht="23" hidden="1" customHeight="1" spans="1:25">
      <c r="A899" s="133" t="str">
        <f>IF(B899="","",COUNTA($B$5:B899))</f>
        <v/>
      </c>
      <c r="B899" s="148"/>
      <c r="C899" s="22" t="s">
        <v>49</v>
      </c>
      <c r="D899" s="149"/>
      <c r="E899" s="150"/>
      <c r="F899" s="151"/>
      <c r="G899" s="151"/>
      <c r="H899" s="142">
        <f>IFERROR(VLOOKUP($C899,$C$5:$H$18,6,0)+SUMIF($C$19:$C899,$C899,$F$19:$F899)-SUMIF($C$19:$C899,$C899,$G$19:$G899),"")</f>
        <v>81211.819999998</v>
      </c>
      <c r="I899" s="147"/>
      <c r="J899" s="147"/>
      <c r="K899" s="147" t="str">
        <f t="shared" si="13"/>
        <v/>
      </c>
      <c r="L899" s="40"/>
      <c r="M899"/>
      <c r="N899"/>
      <c r="O899"/>
      <c r="P899"/>
      <c r="Q899"/>
      <c r="R899"/>
      <c r="S899"/>
      <c r="T899"/>
      <c r="U899"/>
      <c r="V899"/>
      <c r="W899" s="41"/>
      <c r="X899" s="41"/>
      <c r="Y899" s="41"/>
    </row>
    <row r="900" s="27" customFormat="1" ht="23" hidden="1" customHeight="1" spans="1:25">
      <c r="A900" s="133" t="str">
        <f>IF(B900="","",COUNTA($B$5:B900))</f>
        <v/>
      </c>
      <c r="B900" s="148"/>
      <c r="C900" s="22" t="s">
        <v>49</v>
      </c>
      <c r="D900" s="149"/>
      <c r="E900" s="150"/>
      <c r="F900" s="151"/>
      <c r="G900" s="151"/>
      <c r="H900" s="142">
        <f>IFERROR(VLOOKUP($C900,$C$5:$H$18,6,0)+SUMIF($C$19:$C900,$C900,$F$19:$F900)-SUMIF($C$19:$C900,$C900,$G$19:$G900),"")</f>
        <v>81211.819999998</v>
      </c>
      <c r="I900" s="147"/>
      <c r="J900" s="147"/>
      <c r="K900" s="147" t="str">
        <f t="shared" si="13"/>
        <v/>
      </c>
      <c r="L900" s="40"/>
      <c r="M900"/>
      <c r="N900"/>
      <c r="O900"/>
      <c r="P900"/>
      <c r="Q900"/>
      <c r="R900"/>
      <c r="S900"/>
      <c r="T900"/>
      <c r="U900"/>
      <c r="V900"/>
      <c r="W900" s="41"/>
      <c r="X900" s="41"/>
      <c r="Y900" s="41"/>
    </row>
    <row r="901" s="27" customFormat="1" ht="23" hidden="1" customHeight="1" spans="1:25">
      <c r="A901" s="133" t="str">
        <f>IF(B901="","",COUNTA($B$5:B901))</f>
        <v/>
      </c>
      <c r="B901" s="148"/>
      <c r="C901" s="22" t="s">
        <v>49</v>
      </c>
      <c r="D901" s="149"/>
      <c r="E901" s="150"/>
      <c r="F901" s="151"/>
      <c r="G901" s="151"/>
      <c r="H901" s="142">
        <f>IFERROR(VLOOKUP($C901,$C$5:$H$18,6,0)+SUMIF($C$19:$C901,$C901,$F$19:$F901)-SUMIF($C$19:$C901,$C901,$G$19:$G901),"")</f>
        <v>81211.819999998</v>
      </c>
      <c r="I901" s="147"/>
      <c r="J901" s="147"/>
      <c r="K901" s="147" t="str">
        <f t="shared" ref="K901:K964" si="14">IF($B901="","",--TEXT($B901,"yyyymm"))</f>
        <v/>
      </c>
      <c r="L901" s="40"/>
      <c r="M901"/>
      <c r="N901"/>
      <c r="O901"/>
      <c r="P901"/>
      <c r="Q901"/>
      <c r="R901"/>
      <c r="S901"/>
      <c r="T901"/>
      <c r="U901"/>
      <c r="V901"/>
      <c r="W901" s="41"/>
      <c r="X901" s="41"/>
      <c r="Y901" s="41"/>
    </row>
    <row r="902" s="27" customFormat="1" ht="23" hidden="1" customHeight="1" spans="1:25">
      <c r="A902" s="133" t="str">
        <f>IF(B902="","",COUNTA($B$5:B902))</f>
        <v/>
      </c>
      <c r="B902" s="148"/>
      <c r="C902" s="22" t="s">
        <v>49</v>
      </c>
      <c r="D902" s="149"/>
      <c r="E902" s="150"/>
      <c r="F902" s="151"/>
      <c r="G902" s="151"/>
      <c r="H902" s="142">
        <f>IFERROR(VLOOKUP($C902,$C$5:$H$18,6,0)+SUMIF($C$19:$C902,$C902,$F$19:$F902)-SUMIF($C$19:$C902,$C902,$G$19:$G902),"")</f>
        <v>81211.819999998</v>
      </c>
      <c r="I902" s="147"/>
      <c r="J902" s="147"/>
      <c r="K902" s="147" t="str">
        <f t="shared" si="14"/>
        <v/>
      </c>
      <c r="L902" s="40"/>
      <c r="M902"/>
      <c r="N902"/>
      <c r="O902"/>
      <c r="P902"/>
      <c r="Q902"/>
      <c r="R902"/>
      <c r="S902"/>
      <c r="T902"/>
      <c r="U902"/>
      <c r="V902"/>
      <c r="W902" s="41"/>
      <c r="X902" s="41"/>
      <c r="Y902" s="41"/>
    </row>
    <row r="903" s="27" customFormat="1" ht="23" hidden="1" customHeight="1" spans="1:25">
      <c r="A903" s="133" t="str">
        <f>IF(B903="","",COUNTA($B$5:B903))</f>
        <v/>
      </c>
      <c r="B903" s="148"/>
      <c r="C903" s="22" t="s">
        <v>49</v>
      </c>
      <c r="D903" s="149"/>
      <c r="E903" s="150"/>
      <c r="F903" s="151"/>
      <c r="G903" s="151"/>
      <c r="H903" s="142">
        <f>IFERROR(VLOOKUP($C903,$C$5:$H$18,6,0)+SUMIF($C$19:$C903,$C903,$F$19:$F903)-SUMIF($C$19:$C903,$C903,$G$19:$G903),"")</f>
        <v>81211.819999998</v>
      </c>
      <c r="I903" s="147"/>
      <c r="J903" s="147"/>
      <c r="K903" s="147" t="str">
        <f t="shared" si="14"/>
        <v/>
      </c>
      <c r="L903" s="40"/>
      <c r="M903"/>
      <c r="N903"/>
      <c r="O903"/>
      <c r="P903"/>
      <c r="Q903"/>
      <c r="R903"/>
      <c r="S903"/>
      <c r="T903"/>
      <c r="U903"/>
      <c r="V903"/>
      <c r="W903" s="41"/>
      <c r="X903" s="41"/>
      <c r="Y903" s="41"/>
    </row>
    <row r="904" s="27" customFormat="1" ht="23" hidden="1" customHeight="1" spans="1:25">
      <c r="A904" s="133" t="str">
        <f>IF(B904="","",COUNTA($B$5:B904))</f>
        <v/>
      </c>
      <c r="B904" s="148"/>
      <c r="C904" s="22" t="s">
        <v>49</v>
      </c>
      <c r="D904" s="149"/>
      <c r="E904" s="150"/>
      <c r="F904" s="151"/>
      <c r="G904" s="151"/>
      <c r="H904" s="142">
        <f>IFERROR(VLOOKUP($C904,$C$5:$H$18,6,0)+SUMIF($C$19:$C904,$C904,$F$19:$F904)-SUMIF($C$19:$C904,$C904,$G$19:$G904),"")</f>
        <v>81211.819999998</v>
      </c>
      <c r="I904" s="147"/>
      <c r="J904" s="147"/>
      <c r="K904" s="147" t="str">
        <f t="shared" si="14"/>
        <v/>
      </c>
      <c r="L904" s="40"/>
      <c r="M904"/>
      <c r="N904"/>
      <c r="O904"/>
      <c r="P904"/>
      <c r="Q904"/>
      <c r="R904"/>
      <c r="S904"/>
      <c r="T904"/>
      <c r="U904"/>
      <c r="V904"/>
      <c r="W904" s="41"/>
      <c r="X904" s="41"/>
      <c r="Y904" s="41"/>
    </row>
    <row r="905" s="27" customFormat="1" ht="23" hidden="1" customHeight="1" spans="1:25">
      <c r="A905" s="133" t="str">
        <f>IF(B905="","",COUNTA($B$5:B905))</f>
        <v/>
      </c>
      <c r="B905" s="148"/>
      <c r="C905" s="22" t="s">
        <v>49</v>
      </c>
      <c r="D905" s="149"/>
      <c r="E905" s="150"/>
      <c r="F905" s="151"/>
      <c r="G905" s="151"/>
      <c r="H905" s="142">
        <f>IFERROR(VLOOKUP($C905,$C$5:$H$18,6,0)+SUMIF($C$19:$C905,$C905,$F$19:$F905)-SUMIF($C$19:$C905,$C905,$G$19:$G905),"")</f>
        <v>81211.819999998</v>
      </c>
      <c r="I905" s="147"/>
      <c r="J905" s="147"/>
      <c r="K905" s="147" t="str">
        <f t="shared" si="14"/>
        <v/>
      </c>
      <c r="L905" s="40"/>
      <c r="M905"/>
      <c r="N905"/>
      <c r="O905"/>
      <c r="P905"/>
      <c r="Q905"/>
      <c r="R905"/>
      <c r="S905"/>
      <c r="T905"/>
      <c r="U905"/>
      <c r="V905"/>
      <c r="W905" s="41"/>
      <c r="X905" s="41"/>
      <c r="Y905" s="41"/>
    </row>
    <row r="906" s="27" customFormat="1" ht="23" hidden="1" customHeight="1" spans="1:25">
      <c r="A906" s="133" t="str">
        <f>IF(B906="","",COUNTA($B$5:B906))</f>
        <v/>
      </c>
      <c r="B906" s="148"/>
      <c r="C906" s="22" t="s">
        <v>49</v>
      </c>
      <c r="D906" s="149"/>
      <c r="E906" s="150"/>
      <c r="F906" s="151"/>
      <c r="G906" s="151"/>
      <c r="H906" s="142">
        <f>IFERROR(VLOOKUP($C906,$C$5:$H$18,6,0)+SUMIF($C$19:$C906,$C906,$F$19:$F906)-SUMIF($C$19:$C906,$C906,$G$19:$G906),"")</f>
        <v>81211.819999998</v>
      </c>
      <c r="I906" s="147"/>
      <c r="J906" s="147"/>
      <c r="K906" s="147" t="str">
        <f t="shared" si="14"/>
        <v/>
      </c>
      <c r="L906" s="40"/>
      <c r="M906"/>
      <c r="N906"/>
      <c r="O906"/>
      <c r="P906"/>
      <c r="Q906"/>
      <c r="R906"/>
      <c r="S906"/>
      <c r="T906"/>
      <c r="U906"/>
      <c r="V906"/>
      <c r="W906" s="41"/>
      <c r="X906" s="41"/>
      <c r="Y906" s="41"/>
    </row>
    <row r="907" s="27" customFormat="1" ht="23" hidden="1" customHeight="1" spans="1:25">
      <c r="A907" s="133" t="str">
        <f>IF(B907="","",COUNTA($B$5:B907))</f>
        <v/>
      </c>
      <c r="B907" s="148"/>
      <c r="C907" s="22" t="s">
        <v>49</v>
      </c>
      <c r="D907" s="149"/>
      <c r="E907" s="150"/>
      <c r="F907" s="151"/>
      <c r="G907" s="151"/>
      <c r="H907" s="142">
        <f>IFERROR(VLOOKUP($C907,$C$5:$H$18,6,0)+SUMIF($C$19:$C907,$C907,$F$19:$F907)-SUMIF($C$19:$C907,$C907,$G$19:$G907),"")</f>
        <v>81211.819999998</v>
      </c>
      <c r="I907" s="147"/>
      <c r="J907" s="147"/>
      <c r="K907" s="147" t="str">
        <f t="shared" si="14"/>
        <v/>
      </c>
      <c r="L907" s="40"/>
      <c r="M907"/>
      <c r="N907"/>
      <c r="O907"/>
      <c r="P907"/>
      <c r="Q907"/>
      <c r="R907"/>
      <c r="S907"/>
      <c r="T907"/>
      <c r="U907"/>
      <c r="V907"/>
      <c r="W907" s="41"/>
      <c r="X907" s="41"/>
      <c r="Y907" s="41"/>
    </row>
    <row r="908" s="27" customFormat="1" ht="23" hidden="1" customHeight="1" spans="1:25">
      <c r="A908" s="133" t="str">
        <f>IF(B908="","",COUNTA($B$5:B908))</f>
        <v/>
      </c>
      <c r="B908" s="148"/>
      <c r="C908" s="22" t="s">
        <v>49</v>
      </c>
      <c r="D908" s="149"/>
      <c r="E908" s="150"/>
      <c r="F908" s="151"/>
      <c r="G908" s="151"/>
      <c r="H908" s="142">
        <f>IFERROR(VLOOKUP($C908,$C$5:$H$18,6,0)+SUMIF($C$19:$C908,$C908,$F$19:$F908)-SUMIF($C$19:$C908,$C908,$G$19:$G908),"")</f>
        <v>81211.819999998</v>
      </c>
      <c r="I908" s="147"/>
      <c r="J908" s="147"/>
      <c r="K908" s="147" t="str">
        <f t="shared" si="14"/>
        <v/>
      </c>
      <c r="L908" s="40"/>
      <c r="M908"/>
      <c r="N908"/>
      <c r="O908"/>
      <c r="P908"/>
      <c r="Q908"/>
      <c r="R908"/>
      <c r="S908"/>
      <c r="T908"/>
      <c r="U908"/>
      <c r="V908"/>
      <c r="W908" s="41"/>
      <c r="X908" s="41"/>
      <c r="Y908" s="41"/>
    </row>
    <row r="909" s="27" customFormat="1" ht="23" hidden="1" customHeight="1" spans="1:25">
      <c r="A909" s="133" t="str">
        <f>IF(B909="","",COUNTA($B$5:B909))</f>
        <v/>
      </c>
      <c r="B909" s="148"/>
      <c r="C909" s="22" t="s">
        <v>49</v>
      </c>
      <c r="D909" s="149"/>
      <c r="E909" s="150"/>
      <c r="F909" s="151"/>
      <c r="G909" s="151"/>
      <c r="H909" s="142">
        <f>IFERROR(VLOOKUP($C909,$C$5:$H$18,6,0)+SUMIF($C$19:$C909,$C909,$F$19:$F909)-SUMIF($C$19:$C909,$C909,$G$19:$G909),"")</f>
        <v>81211.819999998</v>
      </c>
      <c r="I909" s="147"/>
      <c r="J909" s="147"/>
      <c r="K909" s="147" t="str">
        <f t="shared" si="14"/>
        <v/>
      </c>
      <c r="L909" s="40"/>
      <c r="M909"/>
      <c r="N909"/>
      <c r="O909"/>
      <c r="P909"/>
      <c r="Q909"/>
      <c r="R909"/>
      <c r="S909"/>
      <c r="T909"/>
      <c r="U909"/>
      <c r="V909"/>
      <c r="W909" s="41"/>
      <c r="X909" s="41"/>
      <c r="Y909" s="41"/>
    </row>
    <row r="910" s="27" customFormat="1" ht="23" hidden="1" customHeight="1" spans="1:25">
      <c r="A910" s="133" t="str">
        <f>IF(B910="","",COUNTA($B$5:B910))</f>
        <v/>
      </c>
      <c r="B910" s="148"/>
      <c r="C910" s="22" t="s">
        <v>49</v>
      </c>
      <c r="D910" s="149"/>
      <c r="E910" s="150"/>
      <c r="F910" s="151"/>
      <c r="G910" s="151"/>
      <c r="H910" s="142">
        <f>IFERROR(VLOOKUP($C910,$C$5:$H$18,6,0)+SUMIF($C$19:$C910,$C910,$F$19:$F910)-SUMIF($C$19:$C910,$C910,$G$19:$G910),"")</f>
        <v>81211.819999998</v>
      </c>
      <c r="I910" s="147"/>
      <c r="J910" s="147"/>
      <c r="K910" s="147" t="str">
        <f t="shared" si="14"/>
        <v/>
      </c>
      <c r="L910" s="40"/>
      <c r="M910"/>
      <c r="N910"/>
      <c r="O910"/>
      <c r="P910"/>
      <c r="Q910"/>
      <c r="R910"/>
      <c r="S910"/>
      <c r="T910"/>
      <c r="U910"/>
      <c r="V910"/>
      <c r="W910" s="41"/>
      <c r="X910" s="41"/>
      <c r="Y910" s="41"/>
    </row>
    <row r="911" s="27" customFormat="1" ht="23" hidden="1" customHeight="1" spans="1:25">
      <c r="A911" s="133" t="str">
        <f>IF(B911="","",COUNTA($B$5:B911))</f>
        <v/>
      </c>
      <c r="B911" s="148"/>
      <c r="C911" s="22" t="s">
        <v>49</v>
      </c>
      <c r="D911" s="149"/>
      <c r="E911" s="150"/>
      <c r="F911" s="151"/>
      <c r="G911" s="151"/>
      <c r="H911" s="142">
        <f>IFERROR(VLOOKUP($C911,$C$5:$H$18,6,0)+SUMIF($C$19:$C911,$C911,$F$19:$F911)-SUMIF($C$19:$C911,$C911,$G$19:$G911),"")</f>
        <v>81211.819999998</v>
      </c>
      <c r="I911" s="147"/>
      <c r="J911" s="147"/>
      <c r="K911" s="147" t="str">
        <f t="shared" si="14"/>
        <v/>
      </c>
      <c r="L911" s="40"/>
      <c r="M911"/>
      <c r="N911"/>
      <c r="O911"/>
      <c r="P911"/>
      <c r="Q911"/>
      <c r="R911"/>
      <c r="S911"/>
      <c r="T911"/>
      <c r="U911"/>
      <c r="V911"/>
      <c r="W911" s="41"/>
      <c r="X911" s="41"/>
      <c r="Y911" s="41"/>
    </row>
    <row r="912" s="27" customFormat="1" ht="23" hidden="1" customHeight="1" spans="1:25">
      <c r="A912" s="133" t="str">
        <f>IF(B912="","",COUNTA($B$5:B912))</f>
        <v/>
      </c>
      <c r="B912" s="148"/>
      <c r="C912" s="22" t="s">
        <v>49</v>
      </c>
      <c r="D912" s="149"/>
      <c r="E912" s="150"/>
      <c r="F912" s="151"/>
      <c r="G912" s="151"/>
      <c r="H912" s="142">
        <f>IFERROR(VLOOKUP($C912,$C$5:$H$18,6,0)+SUMIF($C$19:$C912,$C912,$F$19:$F912)-SUMIF($C$19:$C912,$C912,$G$19:$G912),"")</f>
        <v>81211.819999998</v>
      </c>
      <c r="I912" s="147"/>
      <c r="J912" s="147"/>
      <c r="K912" s="147" t="str">
        <f t="shared" si="14"/>
        <v/>
      </c>
      <c r="L912" s="40"/>
      <c r="M912"/>
      <c r="N912"/>
      <c r="O912"/>
      <c r="P912"/>
      <c r="Q912"/>
      <c r="R912"/>
      <c r="S912"/>
      <c r="T912"/>
      <c r="U912"/>
      <c r="V912"/>
      <c r="W912" s="41"/>
      <c r="X912" s="41"/>
      <c r="Y912" s="41"/>
    </row>
    <row r="913" s="27" customFormat="1" ht="23" hidden="1" customHeight="1" spans="1:25">
      <c r="A913" s="133" t="str">
        <f>IF(B913="","",COUNTA($B$5:B913))</f>
        <v/>
      </c>
      <c r="B913" s="148"/>
      <c r="C913" s="22" t="s">
        <v>49</v>
      </c>
      <c r="D913" s="149"/>
      <c r="E913" s="150"/>
      <c r="F913" s="151"/>
      <c r="G913" s="151"/>
      <c r="H913" s="142">
        <f>IFERROR(VLOOKUP($C913,$C$5:$H$18,6,0)+SUMIF($C$19:$C913,$C913,$F$19:$F913)-SUMIF($C$19:$C913,$C913,$G$19:$G913),"")</f>
        <v>81211.819999998</v>
      </c>
      <c r="I913" s="147"/>
      <c r="J913" s="147"/>
      <c r="K913" s="147" t="str">
        <f t="shared" si="14"/>
        <v/>
      </c>
      <c r="L913" s="40"/>
      <c r="M913"/>
      <c r="N913"/>
      <c r="O913"/>
      <c r="P913"/>
      <c r="Q913"/>
      <c r="R913"/>
      <c r="S913"/>
      <c r="T913"/>
      <c r="U913"/>
      <c r="V913"/>
      <c r="W913" s="41"/>
      <c r="X913" s="41"/>
      <c r="Y913" s="41"/>
    </row>
    <row r="914" s="27" customFormat="1" ht="23" hidden="1" customHeight="1" spans="1:25">
      <c r="A914" s="133" t="str">
        <f>IF(B914="","",COUNTA($B$5:B914))</f>
        <v/>
      </c>
      <c r="B914" s="148"/>
      <c r="C914" s="22" t="s">
        <v>49</v>
      </c>
      <c r="D914" s="149"/>
      <c r="E914" s="150"/>
      <c r="F914" s="151"/>
      <c r="G914" s="151"/>
      <c r="H914" s="142">
        <f>IFERROR(VLOOKUP($C914,$C$5:$H$18,6,0)+SUMIF($C$19:$C914,$C914,$F$19:$F914)-SUMIF($C$19:$C914,$C914,$G$19:$G914),"")</f>
        <v>81211.819999998</v>
      </c>
      <c r="I914" s="147"/>
      <c r="J914" s="147"/>
      <c r="K914" s="147" t="str">
        <f t="shared" si="14"/>
        <v/>
      </c>
      <c r="L914" s="40"/>
      <c r="M914"/>
      <c r="N914"/>
      <c r="O914"/>
      <c r="P914"/>
      <c r="Q914"/>
      <c r="R914"/>
      <c r="S914"/>
      <c r="T914"/>
      <c r="U914"/>
      <c r="V914"/>
      <c r="W914" s="41"/>
      <c r="X914" s="41"/>
      <c r="Y914" s="41"/>
    </row>
    <row r="915" s="27" customFormat="1" ht="23" hidden="1" customHeight="1" spans="1:25">
      <c r="A915" s="133" t="str">
        <f>IF(B915="","",COUNTA($B$5:B915))</f>
        <v/>
      </c>
      <c r="B915" s="148"/>
      <c r="C915" s="22" t="s">
        <v>49</v>
      </c>
      <c r="D915" s="149"/>
      <c r="E915" s="150"/>
      <c r="F915" s="151"/>
      <c r="G915" s="151"/>
      <c r="H915" s="142">
        <f>IFERROR(VLOOKUP($C915,$C$5:$H$18,6,0)+SUMIF($C$19:$C915,$C915,$F$19:$F915)-SUMIF($C$19:$C915,$C915,$G$19:$G915),"")</f>
        <v>81211.819999998</v>
      </c>
      <c r="I915" s="147"/>
      <c r="J915" s="147"/>
      <c r="K915" s="147" t="str">
        <f t="shared" si="14"/>
        <v/>
      </c>
      <c r="L915" s="40"/>
      <c r="M915"/>
      <c r="N915"/>
      <c r="O915"/>
      <c r="P915"/>
      <c r="Q915"/>
      <c r="R915"/>
      <c r="S915"/>
      <c r="T915"/>
      <c r="U915"/>
      <c r="V915"/>
      <c r="W915" s="41"/>
      <c r="X915" s="41"/>
      <c r="Y915" s="41"/>
    </row>
    <row r="916" s="27" customFormat="1" ht="23" hidden="1" customHeight="1" spans="1:25">
      <c r="A916" s="133" t="str">
        <f>IF(B916="","",COUNTA($B$5:B916))</f>
        <v/>
      </c>
      <c r="B916" s="148"/>
      <c r="C916" s="22" t="s">
        <v>49</v>
      </c>
      <c r="D916" s="149"/>
      <c r="E916" s="150"/>
      <c r="F916" s="151"/>
      <c r="G916" s="151"/>
      <c r="H916" s="142">
        <f>IFERROR(VLOOKUP($C916,$C$5:$H$18,6,0)+SUMIF($C$19:$C916,$C916,$F$19:$F916)-SUMIF($C$19:$C916,$C916,$G$19:$G916),"")</f>
        <v>81211.819999998</v>
      </c>
      <c r="I916" s="147"/>
      <c r="J916" s="147"/>
      <c r="K916" s="147" t="str">
        <f t="shared" si="14"/>
        <v/>
      </c>
      <c r="L916" s="40"/>
      <c r="M916"/>
      <c r="N916"/>
      <c r="O916"/>
      <c r="P916"/>
      <c r="Q916"/>
      <c r="R916"/>
      <c r="S916"/>
      <c r="T916"/>
      <c r="U916"/>
      <c r="V916"/>
      <c r="W916" s="41"/>
      <c r="X916" s="41"/>
      <c r="Y916" s="41"/>
    </row>
    <row r="917" s="27" customFormat="1" ht="23" hidden="1" customHeight="1" spans="1:25">
      <c r="A917" s="133" t="str">
        <f>IF(B917="","",COUNTA($B$5:B917))</f>
        <v/>
      </c>
      <c r="B917" s="148"/>
      <c r="C917" s="22" t="s">
        <v>49</v>
      </c>
      <c r="D917" s="149"/>
      <c r="E917" s="150"/>
      <c r="F917" s="151"/>
      <c r="G917" s="151"/>
      <c r="H917" s="142">
        <f>IFERROR(VLOOKUP($C917,$C$5:$H$18,6,0)+SUMIF($C$19:$C917,$C917,$F$19:$F917)-SUMIF($C$19:$C917,$C917,$G$19:$G917),"")</f>
        <v>81211.819999998</v>
      </c>
      <c r="I917" s="147"/>
      <c r="J917" s="147"/>
      <c r="K917" s="147" t="str">
        <f t="shared" si="14"/>
        <v/>
      </c>
      <c r="L917" s="40"/>
      <c r="M917"/>
      <c r="N917"/>
      <c r="O917"/>
      <c r="P917"/>
      <c r="Q917"/>
      <c r="R917"/>
      <c r="S917"/>
      <c r="T917"/>
      <c r="U917"/>
      <c r="V917"/>
      <c r="W917" s="41"/>
      <c r="X917" s="41"/>
      <c r="Y917" s="41"/>
    </row>
    <row r="918" s="27" customFormat="1" ht="23" hidden="1" customHeight="1" spans="1:25">
      <c r="A918" s="133" t="str">
        <f>IF(B918="","",COUNTA($B$5:B918))</f>
        <v/>
      </c>
      <c r="B918" s="148"/>
      <c r="C918" s="22" t="s">
        <v>49</v>
      </c>
      <c r="D918" s="149"/>
      <c r="E918" s="150"/>
      <c r="F918" s="151"/>
      <c r="G918" s="151"/>
      <c r="H918" s="142">
        <f>IFERROR(VLOOKUP($C918,$C$5:$H$18,6,0)+SUMIF($C$19:$C918,$C918,$F$19:$F918)-SUMIF($C$19:$C918,$C918,$G$19:$G918),"")</f>
        <v>81211.819999998</v>
      </c>
      <c r="I918" s="147"/>
      <c r="J918" s="147"/>
      <c r="K918" s="147" t="str">
        <f t="shared" si="14"/>
        <v/>
      </c>
      <c r="L918" s="40"/>
      <c r="M918"/>
      <c r="N918"/>
      <c r="O918"/>
      <c r="P918"/>
      <c r="Q918"/>
      <c r="R918"/>
      <c r="S918"/>
      <c r="T918"/>
      <c r="U918"/>
      <c r="V918"/>
      <c r="W918" s="41"/>
      <c r="X918" s="41"/>
      <c r="Y918" s="41"/>
    </row>
    <row r="919" s="27" customFormat="1" ht="23" hidden="1" customHeight="1" spans="1:25">
      <c r="A919" s="133" t="str">
        <f>IF(B919="","",COUNTA($B$5:B919))</f>
        <v/>
      </c>
      <c r="B919" s="148"/>
      <c r="C919" s="22" t="s">
        <v>49</v>
      </c>
      <c r="D919" s="149"/>
      <c r="E919" s="150"/>
      <c r="F919" s="151"/>
      <c r="G919" s="151"/>
      <c r="H919" s="142">
        <f>IFERROR(VLOOKUP($C919,$C$5:$H$18,6,0)+SUMIF($C$19:$C919,$C919,$F$19:$F919)-SUMIF($C$19:$C919,$C919,$G$19:$G919),"")</f>
        <v>81211.819999998</v>
      </c>
      <c r="I919" s="147"/>
      <c r="J919" s="147"/>
      <c r="K919" s="147" t="str">
        <f t="shared" si="14"/>
        <v/>
      </c>
      <c r="L919" s="40"/>
      <c r="M919"/>
      <c r="N919"/>
      <c r="O919"/>
      <c r="P919"/>
      <c r="Q919"/>
      <c r="R919"/>
      <c r="S919"/>
      <c r="T919"/>
      <c r="U919"/>
      <c r="V919"/>
      <c r="W919" s="41"/>
      <c r="X919" s="41"/>
      <c r="Y919" s="41"/>
    </row>
    <row r="920" s="27" customFormat="1" ht="23" hidden="1" customHeight="1" spans="1:25">
      <c r="A920" s="133" t="str">
        <f>IF(B920="","",COUNTA($B$5:B920))</f>
        <v/>
      </c>
      <c r="B920" s="148"/>
      <c r="C920" s="22" t="s">
        <v>49</v>
      </c>
      <c r="D920" s="149"/>
      <c r="E920" s="150"/>
      <c r="F920" s="151"/>
      <c r="G920" s="151"/>
      <c r="H920" s="142">
        <f>IFERROR(VLOOKUP($C920,$C$5:$H$18,6,0)+SUMIF($C$19:$C920,$C920,$F$19:$F920)-SUMIF($C$19:$C920,$C920,$G$19:$G920),"")</f>
        <v>81211.819999998</v>
      </c>
      <c r="I920" s="147"/>
      <c r="J920" s="147"/>
      <c r="K920" s="147" t="str">
        <f t="shared" si="14"/>
        <v/>
      </c>
      <c r="L920" s="40"/>
      <c r="M920"/>
      <c r="N920"/>
      <c r="O920"/>
      <c r="P920"/>
      <c r="Q920"/>
      <c r="R920"/>
      <c r="S920"/>
      <c r="T920"/>
      <c r="U920"/>
      <c r="V920"/>
      <c r="W920" s="41"/>
      <c r="X920" s="41"/>
      <c r="Y920" s="41"/>
    </row>
    <row r="921" s="27" customFormat="1" ht="23" hidden="1" customHeight="1" spans="1:25">
      <c r="A921" s="133" t="str">
        <f>IF(B921="","",COUNTA($B$5:B921))</f>
        <v/>
      </c>
      <c r="B921" s="148"/>
      <c r="C921" s="22" t="s">
        <v>49</v>
      </c>
      <c r="D921" s="149"/>
      <c r="E921" s="150"/>
      <c r="F921" s="151"/>
      <c r="G921" s="151"/>
      <c r="H921" s="142">
        <f>IFERROR(VLOOKUP($C921,$C$5:$H$18,6,0)+SUMIF($C$19:$C921,$C921,$F$19:$F921)-SUMIF($C$19:$C921,$C921,$G$19:$G921),"")</f>
        <v>81211.819999998</v>
      </c>
      <c r="I921" s="147"/>
      <c r="J921" s="147"/>
      <c r="K921" s="147" t="str">
        <f t="shared" si="14"/>
        <v/>
      </c>
      <c r="L921" s="40"/>
      <c r="M921"/>
      <c r="N921"/>
      <c r="O921"/>
      <c r="P921"/>
      <c r="Q921"/>
      <c r="R921"/>
      <c r="S921"/>
      <c r="T921"/>
      <c r="U921"/>
      <c r="V921"/>
      <c r="W921" s="41"/>
      <c r="X921" s="41"/>
      <c r="Y921" s="41"/>
    </row>
    <row r="922" s="27" customFormat="1" ht="23" hidden="1" customHeight="1" spans="1:25">
      <c r="A922" s="133" t="str">
        <f>IF(B922="","",COUNTA($B$5:B922))</f>
        <v/>
      </c>
      <c r="B922" s="148"/>
      <c r="C922" s="22" t="s">
        <v>49</v>
      </c>
      <c r="D922" s="149"/>
      <c r="E922" s="150"/>
      <c r="F922" s="151"/>
      <c r="G922" s="151"/>
      <c r="H922" s="142">
        <f>IFERROR(VLOOKUP($C922,$C$5:$H$18,6,0)+SUMIF($C$19:$C922,$C922,$F$19:$F922)-SUMIF($C$19:$C922,$C922,$G$19:$G922),"")</f>
        <v>81211.819999998</v>
      </c>
      <c r="I922" s="147"/>
      <c r="J922" s="147"/>
      <c r="K922" s="147" t="str">
        <f t="shared" si="14"/>
        <v/>
      </c>
      <c r="L922" s="40"/>
      <c r="M922"/>
      <c r="N922"/>
      <c r="O922"/>
      <c r="P922"/>
      <c r="Q922"/>
      <c r="R922"/>
      <c r="S922"/>
      <c r="T922"/>
      <c r="U922"/>
      <c r="V922"/>
      <c r="W922" s="41"/>
      <c r="X922" s="41"/>
      <c r="Y922" s="41"/>
    </row>
    <row r="923" s="27" customFormat="1" ht="23" hidden="1" customHeight="1" spans="1:25">
      <c r="A923" s="133" t="str">
        <f>IF(B923="","",COUNTA($B$5:B923))</f>
        <v/>
      </c>
      <c r="B923" s="148"/>
      <c r="C923" s="22" t="s">
        <v>49</v>
      </c>
      <c r="D923" s="149"/>
      <c r="E923" s="150"/>
      <c r="F923" s="151"/>
      <c r="G923" s="151"/>
      <c r="H923" s="142">
        <f>IFERROR(VLOOKUP($C923,$C$5:$H$18,6,0)+SUMIF($C$19:$C923,$C923,$F$19:$F923)-SUMIF($C$19:$C923,$C923,$G$19:$G923),"")</f>
        <v>81211.819999998</v>
      </c>
      <c r="I923" s="147"/>
      <c r="J923" s="147"/>
      <c r="K923" s="147" t="str">
        <f t="shared" si="14"/>
        <v/>
      </c>
      <c r="L923" s="40"/>
      <c r="M923"/>
      <c r="N923"/>
      <c r="O923"/>
      <c r="P923"/>
      <c r="Q923"/>
      <c r="R923"/>
      <c r="S923"/>
      <c r="T923"/>
      <c r="U923"/>
      <c r="V923"/>
      <c r="W923" s="41"/>
      <c r="X923" s="41"/>
      <c r="Y923" s="41"/>
    </row>
    <row r="924" s="27" customFormat="1" ht="23" hidden="1" customHeight="1" spans="1:25">
      <c r="A924" s="133" t="str">
        <f>IF(B924="","",COUNTA($B$5:B924))</f>
        <v/>
      </c>
      <c r="B924" s="148"/>
      <c r="C924" s="22" t="s">
        <v>49</v>
      </c>
      <c r="D924" s="149"/>
      <c r="E924" s="150"/>
      <c r="F924" s="151"/>
      <c r="G924" s="151"/>
      <c r="H924" s="142">
        <f>IFERROR(VLOOKUP($C924,$C$5:$H$18,6,0)+SUMIF($C$19:$C924,$C924,$F$19:$F924)-SUMIF($C$19:$C924,$C924,$G$19:$G924),"")</f>
        <v>81211.819999998</v>
      </c>
      <c r="I924" s="147"/>
      <c r="J924" s="147"/>
      <c r="K924" s="147" t="str">
        <f t="shared" si="14"/>
        <v/>
      </c>
      <c r="L924" s="40"/>
      <c r="M924"/>
      <c r="N924"/>
      <c r="O924"/>
      <c r="P924"/>
      <c r="Q924"/>
      <c r="R924"/>
      <c r="S924"/>
      <c r="T924"/>
      <c r="U924"/>
      <c r="V924"/>
      <c r="W924" s="41"/>
      <c r="X924" s="41"/>
      <c r="Y924" s="41"/>
    </row>
    <row r="925" s="27" customFormat="1" ht="23" hidden="1" customHeight="1" spans="1:25">
      <c r="A925" s="133" t="str">
        <f>IF(B925="","",COUNTA($B$5:B925))</f>
        <v/>
      </c>
      <c r="B925" s="148"/>
      <c r="C925" s="22" t="s">
        <v>49</v>
      </c>
      <c r="D925" s="149"/>
      <c r="E925" s="150"/>
      <c r="F925" s="151"/>
      <c r="G925" s="151"/>
      <c r="H925" s="142">
        <f>IFERROR(VLOOKUP($C925,$C$5:$H$18,6,0)+SUMIF($C$19:$C925,$C925,$F$19:$F925)-SUMIF($C$19:$C925,$C925,$G$19:$G925),"")</f>
        <v>81211.819999998</v>
      </c>
      <c r="I925" s="147"/>
      <c r="J925" s="147"/>
      <c r="K925" s="147" t="str">
        <f t="shared" si="14"/>
        <v/>
      </c>
      <c r="L925" s="40"/>
      <c r="M925"/>
      <c r="N925"/>
      <c r="O925"/>
      <c r="P925"/>
      <c r="Q925"/>
      <c r="R925"/>
      <c r="S925"/>
      <c r="T925"/>
      <c r="U925"/>
      <c r="V925"/>
      <c r="W925" s="41"/>
      <c r="X925" s="41"/>
      <c r="Y925" s="41"/>
    </row>
    <row r="926" s="27" customFormat="1" ht="23" hidden="1" customHeight="1" spans="1:25">
      <c r="A926" s="133" t="str">
        <f>IF(B926="","",COUNTA($B$5:B926))</f>
        <v/>
      </c>
      <c r="B926" s="148"/>
      <c r="C926" s="22" t="s">
        <v>49</v>
      </c>
      <c r="D926" s="149"/>
      <c r="E926" s="150"/>
      <c r="F926" s="151"/>
      <c r="G926" s="151"/>
      <c r="H926" s="142">
        <f>IFERROR(VLOOKUP($C926,$C$5:$H$18,6,0)+SUMIF($C$19:$C926,$C926,$F$19:$F926)-SUMIF($C$19:$C926,$C926,$G$19:$G926),"")</f>
        <v>81211.819999998</v>
      </c>
      <c r="I926" s="147"/>
      <c r="J926" s="147"/>
      <c r="K926" s="147" t="str">
        <f t="shared" si="14"/>
        <v/>
      </c>
      <c r="L926" s="40"/>
      <c r="M926"/>
      <c r="N926"/>
      <c r="O926"/>
      <c r="P926"/>
      <c r="Q926"/>
      <c r="R926"/>
      <c r="S926"/>
      <c r="T926"/>
      <c r="U926"/>
      <c r="V926"/>
      <c r="W926" s="41"/>
      <c r="X926" s="41"/>
      <c r="Y926" s="41"/>
    </row>
    <row r="927" s="27" customFormat="1" ht="23" hidden="1" customHeight="1" spans="1:25">
      <c r="A927" s="133" t="str">
        <f>IF(B927="","",COUNTA($B$5:B927))</f>
        <v/>
      </c>
      <c r="B927" s="148"/>
      <c r="C927" s="22" t="s">
        <v>49</v>
      </c>
      <c r="D927" s="149"/>
      <c r="E927" s="150"/>
      <c r="F927" s="151"/>
      <c r="G927" s="151"/>
      <c r="H927" s="142">
        <f>IFERROR(VLOOKUP($C927,$C$5:$H$18,6,0)+SUMIF($C$19:$C927,$C927,$F$19:$F927)-SUMIF($C$19:$C927,$C927,$G$19:$G927),"")</f>
        <v>81211.819999998</v>
      </c>
      <c r="I927" s="147"/>
      <c r="J927" s="147"/>
      <c r="K927" s="147" t="str">
        <f t="shared" si="14"/>
        <v/>
      </c>
      <c r="L927" s="40"/>
      <c r="M927"/>
      <c r="N927"/>
      <c r="O927"/>
      <c r="P927"/>
      <c r="Q927"/>
      <c r="R927"/>
      <c r="S927"/>
      <c r="T927"/>
      <c r="U927"/>
      <c r="V927"/>
      <c r="W927" s="41"/>
      <c r="X927" s="41"/>
      <c r="Y927" s="41"/>
    </row>
    <row r="928" s="27" customFormat="1" ht="23" hidden="1" customHeight="1" spans="1:25">
      <c r="A928" s="133" t="str">
        <f>IF(B928="","",COUNTA($B$5:B928))</f>
        <v/>
      </c>
      <c r="B928" s="148"/>
      <c r="C928" s="22" t="s">
        <v>49</v>
      </c>
      <c r="D928" s="149"/>
      <c r="E928" s="150"/>
      <c r="F928" s="151"/>
      <c r="G928" s="151"/>
      <c r="H928" s="142">
        <f>IFERROR(VLOOKUP($C928,$C$5:$H$18,6,0)+SUMIF($C$19:$C928,$C928,$F$19:$F928)-SUMIF($C$19:$C928,$C928,$G$19:$G928),"")</f>
        <v>81211.819999998</v>
      </c>
      <c r="I928" s="147"/>
      <c r="J928" s="147"/>
      <c r="K928" s="147" t="str">
        <f t="shared" si="14"/>
        <v/>
      </c>
      <c r="L928" s="40"/>
      <c r="M928"/>
      <c r="N928"/>
      <c r="O928"/>
      <c r="P928"/>
      <c r="Q928"/>
      <c r="R928"/>
      <c r="S928"/>
      <c r="T928"/>
      <c r="U928"/>
      <c r="V928"/>
      <c r="W928" s="41"/>
      <c r="X928" s="41"/>
      <c r="Y928" s="41"/>
    </row>
    <row r="929" s="27" customFormat="1" ht="23" hidden="1" customHeight="1" spans="1:25">
      <c r="A929" s="133" t="str">
        <f>IF(B929="","",COUNTA($B$5:B929))</f>
        <v/>
      </c>
      <c r="B929" s="148"/>
      <c r="C929" s="22" t="s">
        <v>49</v>
      </c>
      <c r="D929" s="149"/>
      <c r="E929" s="150"/>
      <c r="F929" s="151"/>
      <c r="G929" s="151"/>
      <c r="H929" s="142">
        <f>IFERROR(VLOOKUP($C929,$C$5:$H$18,6,0)+SUMIF($C$19:$C929,$C929,$F$19:$F929)-SUMIF($C$19:$C929,$C929,$G$19:$G929),"")</f>
        <v>81211.819999998</v>
      </c>
      <c r="I929" s="147"/>
      <c r="J929" s="147"/>
      <c r="K929" s="147" t="str">
        <f t="shared" si="14"/>
        <v/>
      </c>
      <c r="L929" s="40"/>
      <c r="M929"/>
      <c r="N929"/>
      <c r="O929"/>
      <c r="P929"/>
      <c r="Q929"/>
      <c r="R929"/>
      <c r="S929"/>
      <c r="T929"/>
      <c r="U929"/>
      <c r="V929"/>
      <c r="W929" s="41"/>
      <c r="X929" s="41"/>
      <c r="Y929" s="41"/>
    </row>
    <row r="930" s="27" customFormat="1" ht="23" hidden="1" customHeight="1" spans="1:25">
      <c r="A930" s="133" t="str">
        <f>IF(B930="","",COUNTA($B$5:B930))</f>
        <v/>
      </c>
      <c r="B930" s="148"/>
      <c r="C930" s="22" t="s">
        <v>49</v>
      </c>
      <c r="D930" s="149"/>
      <c r="E930" s="150"/>
      <c r="F930" s="151"/>
      <c r="G930" s="151"/>
      <c r="H930" s="142">
        <f>IFERROR(VLOOKUP($C930,$C$5:$H$18,6,0)+SUMIF($C$19:$C930,$C930,$F$19:$F930)-SUMIF($C$19:$C930,$C930,$G$19:$G930),"")</f>
        <v>81211.819999998</v>
      </c>
      <c r="I930" s="147"/>
      <c r="J930" s="147"/>
      <c r="K930" s="147" t="str">
        <f t="shared" si="14"/>
        <v/>
      </c>
      <c r="L930" s="40"/>
      <c r="M930"/>
      <c r="N930"/>
      <c r="O930"/>
      <c r="P930"/>
      <c r="Q930"/>
      <c r="R930"/>
      <c r="S930"/>
      <c r="T930"/>
      <c r="U930"/>
      <c r="V930"/>
      <c r="W930" s="41"/>
      <c r="X930" s="41"/>
      <c r="Y930" s="41"/>
    </row>
    <row r="931" s="27" customFormat="1" ht="23" hidden="1" customHeight="1" spans="1:25">
      <c r="A931" s="133" t="str">
        <f>IF(B931="","",COUNTA($B$5:B931))</f>
        <v/>
      </c>
      <c r="B931" s="148"/>
      <c r="C931" s="22" t="s">
        <v>49</v>
      </c>
      <c r="D931" s="149"/>
      <c r="E931" s="150"/>
      <c r="F931" s="151"/>
      <c r="G931" s="151"/>
      <c r="H931" s="142">
        <f>IFERROR(VLOOKUP($C931,$C$5:$H$18,6,0)+SUMIF($C$19:$C931,$C931,$F$19:$F931)-SUMIF($C$19:$C931,$C931,$G$19:$G931),"")</f>
        <v>81211.819999998</v>
      </c>
      <c r="I931" s="147"/>
      <c r="J931" s="147"/>
      <c r="K931" s="147" t="str">
        <f t="shared" si="14"/>
        <v/>
      </c>
      <c r="L931" s="40"/>
      <c r="M931"/>
      <c r="N931"/>
      <c r="O931"/>
      <c r="P931"/>
      <c r="Q931"/>
      <c r="R931"/>
      <c r="S931"/>
      <c r="T931"/>
      <c r="U931"/>
      <c r="V931"/>
      <c r="W931" s="41"/>
      <c r="X931" s="41"/>
      <c r="Y931" s="41"/>
    </row>
    <row r="932" s="27" customFormat="1" ht="23" hidden="1" customHeight="1" spans="1:25">
      <c r="A932" s="133" t="str">
        <f>IF(B932="","",COUNTA($B$5:B932))</f>
        <v/>
      </c>
      <c r="B932" s="148"/>
      <c r="C932" s="22" t="s">
        <v>49</v>
      </c>
      <c r="D932" s="149"/>
      <c r="E932" s="150"/>
      <c r="F932" s="151"/>
      <c r="G932" s="151"/>
      <c r="H932" s="142">
        <f>IFERROR(VLOOKUP($C932,$C$5:$H$18,6,0)+SUMIF($C$19:$C932,$C932,$F$19:$F932)-SUMIF($C$19:$C932,$C932,$G$19:$G932),"")</f>
        <v>81211.819999998</v>
      </c>
      <c r="I932" s="147"/>
      <c r="J932" s="147"/>
      <c r="K932" s="147" t="str">
        <f t="shared" si="14"/>
        <v/>
      </c>
      <c r="L932" s="40"/>
      <c r="M932"/>
      <c r="N932"/>
      <c r="O932"/>
      <c r="P932"/>
      <c r="Q932"/>
      <c r="R932"/>
      <c r="S932"/>
      <c r="T932"/>
      <c r="U932"/>
      <c r="V932"/>
      <c r="W932" s="41"/>
      <c r="X932" s="41"/>
      <c r="Y932" s="41"/>
    </row>
    <row r="933" s="27" customFormat="1" ht="23" hidden="1" customHeight="1" spans="1:25">
      <c r="A933" s="133" t="str">
        <f>IF(B933="","",COUNTA($B$5:B933))</f>
        <v/>
      </c>
      <c r="B933" s="148"/>
      <c r="C933" s="22" t="s">
        <v>49</v>
      </c>
      <c r="D933" s="149"/>
      <c r="E933" s="150"/>
      <c r="F933" s="151"/>
      <c r="G933" s="151"/>
      <c r="H933" s="142">
        <f>IFERROR(VLOOKUP($C933,$C$5:$H$18,6,0)+SUMIF($C$19:$C933,$C933,$F$19:$F933)-SUMIF($C$19:$C933,$C933,$G$19:$G933),"")</f>
        <v>81211.819999998</v>
      </c>
      <c r="I933" s="147"/>
      <c r="J933" s="147"/>
      <c r="K933" s="147" t="str">
        <f t="shared" si="14"/>
        <v/>
      </c>
      <c r="L933" s="40"/>
      <c r="M933"/>
      <c r="N933"/>
      <c r="O933"/>
      <c r="P933"/>
      <c r="Q933"/>
      <c r="R933"/>
      <c r="S933"/>
      <c r="T933"/>
      <c r="U933"/>
      <c r="V933"/>
      <c r="W933" s="41"/>
      <c r="X933" s="41"/>
      <c r="Y933" s="41"/>
    </row>
    <row r="934" s="27" customFormat="1" ht="23" hidden="1" customHeight="1" spans="1:25">
      <c r="A934" s="133" t="str">
        <f>IF(B934="","",COUNTA($B$5:B934))</f>
        <v/>
      </c>
      <c r="B934" s="148"/>
      <c r="C934" s="22" t="s">
        <v>49</v>
      </c>
      <c r="D934" s="149"/>
      <c r="E934" s="150"/>
      <c r="F934" s="151"/>
      <c r="G934" s="151"/>
      <c r="H934" s="142">
        <f>IFERROR(VLOOKUP($C934,$C$5:$H$18,6,0)+SUMIF($C$19:$C934,$C934,$F$19:$F934)-SUMIF($C$19:$C934,$C934,$G$19:$G934),"")</f>
        <v>81211.819999998</v>
      </c>
      <c r="I934" s="147"/>
      <c r="J934" s="147"/>
      <c r="K934" s="147" t="str">
        <f t="shared" si="14"/>
        <v/>
      </c>
      <c r="L934" s="40"/>
      <c r="M934"/>
      <c r="N934"/>
      <c r="O934"/>
      <c r="P934"/>
      <c r="Q934"/>
      <c r="R934"/>
      <c r="S934"/>
      <c r="T934"/>
      <c r="U934"/>
      <c r="V934"/>
      <c r="W934" s="41"/>
      <c r="X934" s="41"/>
      <c r="Y934" s="41"/>
    </row>
    <row r="935" s="27" customFormat="1" ht="23" hidden="1" customHeight="1" spans="1:25">
      <c r="A935" s="133" t="str">
        <f>IF(B935="","",COUNTA($B$5:B935))</f>
        <v/>
      </c>
      <c r="B935" s="148"/>
      <c r="C935" s="22" t="s">
        <v>49</v>
      </c>
      <c r="D935" s="149"/>
      <c r="E935" s="150"/>
      <c r="F935" s="151"/>
      <c r="G935" s="151"/>
      <c r="H935" s="142">
        <f>IFERROR(VLOOKUP($C935,$C$5:$H$18,6,0)+SUMIF($C$19:$C935,$C935,$F$19:$F935)-SUMIF($C$19:$C935,$C935,$G$19:$G935),"")</f>
        <v>81211.819999998</v>
      </c>
      <c r="I935" s="147"/>
      <c r="J935" s="147"/>
      <c r="K935" s="147" t="str">
        <f t="shared" si="14"/>
        <v/>
      </c>
      <c r="L935" s="40"/>
      <c r="M935"/>
      <c r="N935"/>
      <c r="O935"/>
      <c r="P935"/>
      <c r="Q935"/>
      <c r="R935"/>
      <c r="S935"/>
      <c r="T935"/>
      <c r="U935"/>
      <c r="V935"/>
      <c r="W935" s="41"/>
      <c r="X935" s="41"/>
      <c r="Y935" s="41"/>
    </row>
    <row r="936" s="27" customFormat="1" ht="23" hidden="1" customHeight="1" spans="1:25">
      <c r="A936" s="133" t="str">
        <f>IF(B936="","",COUNTA($B$5:B936))</f>
        <v/>
      </c>
      <c r="B936" s="148"/>
      <c r="C936" s="22" t="s">
        <v>49</v>
      </c>
      <c r="D936" s="149"/>
      <c r="E936" s="150"/>
      <c r="F936" s="151"/>
      <c r="G936" s="151"/>
      <c r="H936" s="142">
        <f>IFERROR(VLOOKUP($C936,$C$5:$H$18,6,0)+SUMIF($C$19:$C936,$C936,$F$19:$F936)-SUMIF($C$19:$C936,$C936,$G$19:$G936),"")</f>
        <v>81211.819999998</v>
      </c>
      <c r="I936" s="147"/>
      <c r="J936" s="147"/>
      <c r="K936" s="147" t="str">
        <f t="shared" si="14"/>
        <v/>
      </c>
      <c r="L936" s="40"/>
      <c r="M936"/>
      <c r="N936"/>
      <c r="O936"/>
      <c r="P936"/>
      <c r="Q936"/>
      <c r="R936"/>
      <c r="S936"/>
      <c r="T936"/>
      <c r="U936"/>
      <c r="V936"/>
      <c r="W936" s="41"/>
      <c r="X936" s="41"/>
      <c r="Y936" s="41"/>
    </row>
    <row r="937" s="27" customFormat="1" ht="23" hidden="1" customHeight="1" spans="1:25">
      <c r="A937" s="133" t="str">
        <f>IF(B937="","",COUNTA($B$5:B937))</f>
        <v/>
      </c>
      <c r="B937" s="148"/>
      <c r="C937" s="22" t="s">
        <v>49</v>
      </c>
      <c r="D937" s="149"/>
      <c r="E937" s="150"/>
      <c r="F937" s="151"/>
      <c r="G937" s="151"/>
      <c r="H937" s="142">
        <f>IFERROR(VLOOKUP($C937,$C$5:$H$18,6,0)+SUMIF($C$19:$C937,$C937,$F$19:$F937)-SUMIF($C$19:$C937,$C937,$G$19:$G937),"")</f>
        <v>81211.819999998</v>
      </c>
      <c r="I937" s="147"/>
      <c r="J937" s="147"/>
      <c r="K937" s="147" t="str">
        <f t="shared" si="14"/>
        <v/>
      </c>
      <c r="L937" s="40"/>
      <c r="M937"/>
      <c r="N937"/>
      <c r="O937"/>
      <c r="P937"/>
      <c r="Q937"/>
      <c r="R937"/>
      <c r="S937"/>
      <c r="T937"/>
      <c r="U937"/>
      <c r="V937"/>
      <c r="W937" s="41"/>
      <c r="X937" s="41"/>
      <c r="Y937" s="41"/>
    </row>
    <row r="938" s="27" customFormat="1" ht="23" hidden="1" customHeight="1" spans="1:25">
      <c r="A938" s="133" t="str">
        <f>IF(B938="","",COUNTA($B$5:B938))</f>
        <v/>
      </c>
      <c r="B938" s="148"/>
      <c r="C938" s="22" t="s">
        <v>49</v>
      </c>
      <c r="D938" s="149"/>
      <c r="E938" s="150"/>
      <c r="F938" s="151"/>
      <c r="G938" s="151"/>
      <c r="H938" s="142">
        <f>IFERROR(VLOOKUP($C938,$C$5:$H$18,6,0)+SUMIF($C$19:$C938,$C938,$F$19:$F938)-SUMIF($C$19:$C938,$C938,$G$19:$G938),"")</f>
        <v>81211.819999998</v>
      </c>
      <c r="I938" s="147"/>
      <c r="J938" s="147"/>
      <c r="K938" s="147" t="str">
        <f t="shared" si="14"/>
        <v/>
      </c>
      <c r="L938" s="40"/>
      <c r="M938"/>
      <c r="N938"/>
      <c r="O938"/>
      <c r="P938"/>
      <c r="Q938"/>
      <c r="R938"/>
      <c r="S938"/>
      <c r="T938"/>
      <c r="U938"/>
      <c r="V938"/>
      <c r="W938" s="41"/>
      <c r="X938" s="41"/>
      <c r="Y938" s="41"/>
    </row>
    <row r="939" s="27" customFormat="1" ht="23" hidden="1" customHeight="1" spans="1:25">
      <c r="A939" s="133" t="str">
        <f>IF(B939="","",COUNTA($B$5:B939))</f>
        <v/>
      </c>
      <c r="B939" s="148"/>
      <c r="C939" s="22" t="s">
        <v>49</v>
      </c>
      <c r="D939" s="149"/>
      <c r="E939" s="150"/>
      <c r="F939" s="151"/>
      <c r="G939" s="151"/>
      <c r="H939" s="142">
        <f>IFERROR(VLOOKUP($C939,$C$5:$H$18,6,0)+SUMIF($C$19:$C939,$C939,$F$19:$F939)-SUMIF($C$19:$C939,$C939,$G$19:$G939),"")</f>
        <v>81211.819999998</v>
      </c>
      <c r="I939" s="147"/>
      <c r="J939" s="147"/>
      <c r="K939" s="147" t="str">
        <f t="shared" si="14"/>
        <v/>
      </c>
      <c r="L939" s="40"/>
      <c r="M939"/>
      <c r="N939"/>
      <c r="O939"/>
      <c r="P939"/>
      <c r="Q939"/>
      <c r="R939"/>
      <c r="S939"/>
      <c r="T939"/>
      <c r="U939"/>
      <c r="V939"/>
      <c r="W939" s="41"/>
      <c r="X939" s="41"/>
      <c r="Y939" s="41"/>
    </row>
    <row r="940" s="27" customFormat="1" ht="23" hidden="1" customHeight="1" spans="1:25">
      <c r="A940" s="133" t="str">
        <f>IF(B940="","",COUNTA($B$5:B940))</f>
        <v/>
      </c>
      <c r="B940" s="148"/>
      <c r="C940" s="22" t="s">
        <v>49</v>
      </c>
      <c r="D940" s="149"/>
      <c r="E940" s="150"/>
      <c r="F940" s="151"/>
      <c r="G940" s="151"/>
      <c r="H940" s="142">
        <f>IFERROR(VLOOKUP($C940,$C$5:$H$18,6,0)+SUMIF($C$19:$C940,$C940,$F$19:$F940)-SUMIF($C$19:$C940,$C940,$G$19:$G940),"")</f>
        <v>81211.819999998</v>
      </c>
      <c r="I940" s="147"/>
      <c r="J940" s="147"/>
      <c r="K940" s="147" t="str">
        <f t="shared" si="14"/>
        <v/>
      </c>
      <c r="L940" s="40"/>
      <c r="M940"/>
      <c r="N940"/>
      <c r="O940"/>
      <c r="P940"/>
      <c r="Q940"/>
      <c r="R940"/>
      <c r="S940"/>
      <c r="T940"/>
      <c r="U940"/>
      <c r="V940"/>
      <c r="W940" s="41"/>
      <c r="X940" s="41"/>
      <c r="Y940" s="41"/>
    </row>
    <row r="941" s="27" customFormat="1" ht="23" hidden="1" customHeight="1" spans="1:25">
      <c r="A941" s="133" t="str">
        <f>IF(B941="","",COUNTA($B$5:B941))</f>
        <v/>
      </c>
      <c r="B941" s="148"/>
      <c r="C941" s="22" t="s">
        <v>49</v>
      </c>
      <c r="D941" s="149"/>
      <c r="E941" s="150"/>
      <c r="F941" s="151"/>
      <c r="G941" s="151"/>
      <c r="H941" s="142">
        <f>IFERROR(VLOOKUP($C941,$C$5:$H$18,6,0)+SUMIF($C$19:$C941,$C941,$F$19:$F941)-SUMIF($C$19:$C941,$C941,$G$19:$G941),"")</f>
        <v>81211.819999998</v>
      </c>
      <c r="I941" s="147"/>
      <c r="J941" s="147"/>
      <c r="K941" s="147" t="str">
        <f t="shared" si="14"/>
        <v/>
      </c>
      <c r="L941" s="40"/>
      <c r="M941"/>
      <c r="N941"/>
      <c r="O941"/>
      <c r="P941"/>
      <c r="Q941"/>
      <c r="R941"/>
      <c r="S941"/>
      <c r="T941"/>
      <c r="U941"/>
      <c r="V941"/>
      <c r="W941" s="41"/>
      <c r="X941" s="41"/>
      <c r="Y941" s="41"/>
    </row>
    <row r="942" s="27" customFormat="1" ht="23" hidden="1" customHeight="1" spans="1:25">
      <c r="A942" s="133" t="str">
        <f>IF(B942="","",COUNTA($B$5:B942))</f>
        <v/>
      </c>
      <c r="B942" s="148"/>
      <c r="C942" s="22" t="s">
        <v>49</v>
      </c>
      <c r="D942" s="149"/>
      <c r="E942" s="150"/>
      <c r="F942" s="151"/>
      <c r="G942" s="151"/>
      <c r="H942" s="142">
        <f>IFERROR(VLOOKUP($C942,$C$5:$H$18,6,0)+SUMIF($C$19:$C942,$C942,$F$19:$F942)-SUMIF($C$19:$C942,$C942,$G$19:$G942),"")</f>
        <v>81211.819999998</v>
      </c>
      <c r="I942" s="147"/>
      <c r="J942" s="147"/>
      <c r="K942" s="147" t="str">
        <f t="shared" si="14"/>
        <v/>
      </c>
      <c r="L942" s="40"/>
      <c r="M942"/>
      <c r="N942"/>
      <c r="O942"/>
      <c r="P942"/>
      <c r="Q942"/>
      <c r="R942"/>
      <c r="S942"/>
      <c r="T942"/>
      <c r="U942"/>
      <c r="V942"/>
      <c r="W942" s="41"/>
      <c r="X942" s="41"/>
      <c r="Y942" s="41"/>
    </row>
    <row r="943" s="27" customFormat="1" ht="23" hidden="1" customHeight="1" spans="1:25">
      <c r="A943" s="133" t="str">
        <f>IF(B943="","",COUNTA($B$5:B943))</f>
        <v/>
      </c>
      <c r="B943" s="148"/>
      <c r="C943" s="22" t="s">
        <v>49</v>
      </c>
      <c r="D943" s="149"/>
      <c r="E943" s="150"/>
      <c r="F943" s="151"/>
      <c r="G943" s="151"/>
      <c r="H943" s="142">
        <f>IFERROR(VLOOKUP($C943,$C$5:$H$18,6,0)+SUMIF($C$19:$C943,$C943,$F$19:$F943)-SUMIF($C$19:$C943,$C943,$G$19:$G943),"")</f>
        <v>81211.819999998</v>
      </c>
      <c r="I943" s="147"/>
      <c r="J943" s="147"/>
      <c r="K943" s="147" t="str">
        <f t="shared" si="14"/>
        <v/>
      </c>
      <c r="L943" s="40"/>
      <c r="M943"/>
      <c r="N943"/>
      <c r="O943"/>
      <c r="P943"/>
      <c r="Q943"/>
      <c r="R943"/>
      <c r="S943"/>
      <c r="T943"/>
      <c r="U943"/>
      <c r="V943"/>
      <c r="W943" s="41"/>
      <c r="X943" s="41"/>
      <c r="Y943" s="41"/>
    </row>
    <row r="944" s="27" customFormat="1" ht="23" hidden="1" customHeight="1" spans="1:25">
      <c r="A944" s="133" t="str">
        <f>IF(B944="","",COUNTA($B$5:B944))</f>
        <v/>
      </c>
      <c r="B944" s="148"/>
      <c r="C944" s="22" t="s">
        <v>49</v>
      </c>
      <c r="D944" s="149"/>
      <c r="E944" s="150"/>
      <c r="F944" s="151"/>
      <c r="G944" s="151"/>
      <c r="H944" s="142">
        <f>IFERROR(VLOOKUP($C944,$C$5:$H$18,6,0)+SUMIF($C$19:$C944,$C944,$F$19:$F944)-SUMIF($C$19:$C944,$C944,$G$19:$G944),"")</f>
        <v>81211.819999998</v>
      </c>
      <c r="I944" s="147"/>
      <c r="J944" s="147"/>
      <c r="K944" s="147" t="str">
        <f t="shared" si="14"/>
        <v/>
      </c>
      <c r="L944" s="40"/>
      <c r="M944"/>
      <c r="N944"/>
      <c r="O944"/>
      <c r="P944"/>
      <c r="Q944"/>
      <c r="R944"/>
      <c r="S944"/>
      <c r="T944"/>
      <c r="U944"/>
      <c r="V944"/>
      <c r="W944" s="41"/>
      <c r="X944" s="41"/>
      <c r="Y944" s="41"/>
    </row>
    <row r="945" s="27" customFormat="1" ht="23" hidden="1" customHeight="1" spans="1:25">
      <c r="A945" s="133" t="str">
        <f>IF(B945="","",COUNTA($B$5:B945))</f>
        <v/>
      </c>
      <c r="B945" s="148"/>
      <c r="C945" s="22" t="s">
        <v>49</v>
      </c>
      <c r="D945" s="149"/>
      <c r="E945" s="150"/>
      <c r="F945" s="151"/>
      <c r="G945" s="151"/>
      <c r="H945" s="142">
        <f>IFERROR(VLOOKUP($C945,$C$5:$H$18,6,0)+SUMIF($C$19:$C945,$C945,$F$19:$F945)-SUMIF($C$19:$C945,$C945,$G$19:$G945),"")</f>
        <v>81211.819999998</v>
      </c>
      <c r="I945" s="147"/>
      <c r="J945" s="147"/>
      <c r="K945" s="147" t="str">
        <f t="shared" si="14"/>
        <v/>
      </c>
      <c r="L945" s="40"/>
      <c r="M945"/>
      <c r="N945"/>
      <c r="O945"/>
      <c r="P945"/>
      <c r="Q945"/>
      <c r="R945"/>
      <c r="S945"/>
      <c r="T945"/>
      <c r="U945"/>
      <c r="V945"/>
      <c r="W945" s="41"/>
      <c r="X945" s="41"/>
      <c r="Y945" s="41"/>
    </row>
    <row r="946" s="27" customFormat="1" ht="23" hidden="1" customHeight="1" spans="1:25">
      <c r="A946" s="133" t="str">
        <f>IF(B946="","",COUNTA($B$5:B946))</f>
        <v/>
      </c>
      <c r="B946" s="148"/>
      <c r="C946" s="22" t="s">
        <v>49</v>
      </c>
      <c r="D946" s="149"/>
      <c r="E946" s="150"/>
      <c r="F946" s="151"/>
      <c r="G946" s="151"/>
      <c r="H946" s="142">
        <f>IFERROR(VLOOKUP($C946,$C$5:$H$18,6,0)+SUMIF($C$19:$C946,$C946,$F$19:$F946)-SUMIF($C$19:$C946,$C946,$G$19:$G946),"")</f>
        <v>81211.819999998</v>
      </c>
      <c r="I946" s="147"/>
      <c r="J946" s="147"/>
      <c r="K946" s="147" t="str">
        <f t="shared" si="14"/>
        <v/>
      </c>
      <c r="L946" s="40"/>
      <c r="M946"/>
      <c r="N946"/>
      <c r="O946"/>
      <c r="P946"/>
      <c r="Q946"/>
      <c r="R946"/>
      <c r="S946"/>
      <c r="T946"/>
      <c r="U946"/>
      <c r="V946"/>
      <c r="W946" s="41"/>
      <c r="X946" s="41"/>
      <c r="Y946" s="41"/>
    </row>
    <row r="947" s="27" customFormat="1" ht="23" hidden="1" customHeight="1" spans="1:25">
      <c r="A947" s="133" t="str">
        <f>IF(B947="","",COUNTA($B$5:B947))</f>
        <v/>
      </c>
      <c r="B947" s="148"/>
      <c r="C947" s="22" t="s">
        <v>49</v>
      </c>
      <c r="D947" s="149"/>
      <c r="E947" s="150"/>
      <c r="F947" s="151"/>
      <c r="G947" s="151"/>
      <c r="H947" s="142">
        <f>IFERROR(VLOOKUP($C947,$C$5:$H$18,6,0)+SUMIF($C$19:$C947,$C947,$F$19:$F947)-SUMIF($C$19:$C947,$C947,$G$19:$G947),"")</f>
        <v>81211.819999998</v>
      </c>
      <c r="I947" s="147"/>
      <c r="J947" s="147"/>
      <c r="K947" s="147" t="str">
        <f t="shared" si="14"/>
        <v/>
      </c>
      <c r="L947" s="40"/>
      <c r="M947"/>
      <c r="N947"/>
      <c r="O947"/>
      <c r="P947"/>
      <c r="Q947"/>
      <c r="R947"/>
      <c r="S947"/>
      <c r="T947"/>
      <c r="U947"/>
      <c r="V947"/>
      <c r="W947" s="41"/>
      <c r="X947" s="41"/>
      <c r="Y947" s="41"/>
    </row>
    <row r="948" s="27" customFormat="1" ht="23" hidden="1" customHeight="1" spans="1:25">
      <c r="A948" s="133" t="str">
        <f>IF(B948="","",COUNTA($B$5:B948))</f>
        <v/>
      </c>
      <c r="B948" s="148"/>
      <c r="C948" s="22" t="s">
        <v>49</v>
      </c>
      <c r="D948" s="149"/>
      <c r="E948" s="150"/>
      <c r="F948" s="151"/>
      <c r="G948" s="151"/>
      <c r="H948" s="142">
        <f>IFERROR(VLOOKUP($C948,$C$5:$H$18,6,0)+SUMIF($C$19:$C948,$C948,$F$19:$F948)-SUMIF($C$19:$C948,$C948,$G$19:$G948),"")</f>
        <v>81211.819999998</v>
      </c>
      <c r="I948" s="147"/>
      <c r="J948" s="147"/>
      <c r="K948" s="147" t="str">
        <f t="shared" si="14"/>
        <v/>
      </c>
      <c r="L948" s="40"/>
      <c r="M948"/>
      <c r="N948"/>
      <c r="O948"/>
      <c r="P948"/>
      <c r="Q948"/>
      <c r="R948"/>
      <c r="S948"/>
      <c r="T948"/>
      <c r="U948"/>
      <c r="V948"/>
      <c r="W948" s="41"/>
      <c r="X948" s="41"/>
      <c r="Y948" s="41"/>
    </row>
    <row r="949" s="27" customFormat="1" ht="23" hidden="1" customHeight="1" spans="1:25">
      <c r="A949" s="133" t="str">
        <f>IF(B949="","",COUNTA($B$5:B949))</f>
        <v/>
      </c>
      <c r="B949" s="148"/>
      <c r="C949" s="22" t="s">
        <v>49</v>
      </c>
      <c r="D949" s="149"/>
      <c r="E949" s="150"/>
      <c r="F949" s="151"/>
      <c r="G949" s="151"/>
      <c r="H949" s="142">
        <f>IFERROR(VLOOKUP($C949,$C$5:$H$18,6,0)+SUMIF($C$19:$C949,$C949,$F$19:$F949)-SUMIF($C$19:$C949,$C949,$G$19:$G949),"")</f>
        <v>81211.819999998</v>
      </c>
      <c r="I949" s="147"/>
      <c r="J949" s="147"/>
      <c r="K949" s="147" t="str">
        <f t="shared" si="14"/>
        <v/>
      </c>
      <c r="L949" s="40"/>
      <c r="M949"/>
      <c r="N949"/>
      <c r="O949"/>
      <c r="P949"/>
      <c r="Q949"/>
      <c r="R949"/>
      <c r="S949"/>
      <c r="T949"/>
      <c r="U949"/>
      <c r="V949"/>
      <c r="W949" s="41"/>
      <c r="X949" s="41"/>
      <c r="Y949" s="41"/>
    </row>
    <row r="950" s="27" customFormat="1" ht="23" hidden="1" customHeight="1" spans="1:25">
      <c r="A950" s="133" t="str">
        <f>IF(B950="","",COUNTA($B$5:B950))</f>
        <v/>
      </c>
      <c r="B950" s="148"/>
      <c r="C950" s="22" t="s">
        <v>49</v>
      </c>
      <c r="D950" s="149"/>
      <c r="E950" s="150"/>
      <c r="F950" s="151"/>
      <c r="G950" s="151"/>
      <c r="H950" s="142">
        <f>IFERROR(VLOOKUP($C950,$C$5:$H$18,6,0)+SUMIF($C$19:$C950,$C950,$F$19:$F950)-SUMIF($C$19:$C950,$C950,$G$19:$G950),"")</f>
        <v>81211.819999998</v>
      </c>
      <c r="I950" s="147"/>
      <c r="J950" s="147"/>
      <c r="K950" s="147" t="str">
        <f t="shared" si="14"/>
        <v/>
      </c>
      <c r="L950" s="40"/>
      <c r="M950"/>
      <c r="N950"/>
      <c r="O950"/>
      <c r="P950"/>
      <c r="Q950"/>
      <c r="R950"/>
      <c r="S950"/>
      <c r="T950"/>
      <c r="U950"/>
      <c r="V950"/>
      <c r="W950" s="41"/>
      <c r="X950" s="41"/>
      <c r="Y950" s="41"/>
    </row>
    <row r="951" s="27" customFormat="1" ht="23" hidden="1" customHeight="1" spans="1:25">
      <c r="A951" s="133" t="str">
        <f>IF(B951="","",COUNTA($B$5:B951))</f>
        <v/>
      </c>
      <c r="B951" s="148"/>
      <c r="C951" s="22" t="s">
        <v>49</v>
      </c>
      <c r="D951" s="149"/>
      <c r="E951" s="150"/>
      <c r="F951" s="151"/>
      <c r="G951" s="151"/>
      <c r="H951" s="142">
        <f>IFERROR(VLOOKUP($C951,$C$5:$H$18,6,0)+SUMIF($C$19:$C951,$C951,$F$19:$F951)-SUMIF($C$19:$C951,$C951,$G$19:$G951),"")</f>
        <v>81211.819999998</v>
      </c>
      <c r="I951" s="147"/>
      <c r="J951" s="147"/>
      <c r="K951" s="147" t="str">
        <f t="shared" si="14"/>
        <v/>
      </c>
      <c r="L951" s="40"/>
      <c r="M951"/>
      <c r="N951"/>
      <c r="O951"/>
      <c r="P951"/>
      <c r="Q951"/>
      <c r="R951"/>
      <c r="S951"/>
      <c r="T951"/>
      <c r="U951"/>
      <c r="V951"/>
      <c r="W951" s="41"/>
      <c r="X951" s="41"/>
      <c r="Y951" s="41"/>
    </row>
    <row r="952" s="27" customFormat="1" ht="23" hidden="1" customHeight="1" spans="1:25">
      <c r="A952" s="133" t="str">
        <f>IF(B952="","",COUNTA($B$5:B952))</f>
        <v/>
      </c>
      <c r="B952" s="148"/>
      <c r="C952" s="22" t="s">
        <v>49</v>
      </c>
      <c r="D952" s="149"/>
      <c r="E952" s="150"/>
      <c r="F952" s="151"/>
      <c r="G952" s="151"/>
      <c r="H952" s="142">
        <f>IFERROR(VLOOKUP($C952,$C$5:$H$18,6,0)+SUMIF($C$19:$C952,$C952,$F$19:$F952)-SUMIF($C$19:$C952,$C952,$G$19:$G952),"")</f>
        <v>81211.819999998</v>
      </c>
      <c r="I952" s="147"/>
      <c r="J952" s="147"/>
      <c r="K952" s="147" t="str">
        <f t="shared" si="14"/>
        <v/>
      </c>
      <c r="L952" s="40"/>
      <c r="M952"/>
      <c r="N952"/>
      <c r="O952"/>
      <c r="P952"/>
      <c r="Q952"/>
      <c r="R952"/>
      <c r="S952"/>
      <c r="T952"/>
      <c r="U952"/>
      <c r="V952"/>
      <c r="W952" s="41"/>
      <c r="X952" s="41"/>
      <c r="Y952" s="41"/>
    </row>
    <row r="953" s="27" customFormat="1" ht="23" hidden="1" customHeight="1" spans="1:25">
      <c r="A953" s="133" t="str">
        <f>IF(B953="","",COUNTA($B$5:B953))</f>
        <v/>
      </c>
      <c r="B953" s="148"/>
      <c r="C953" s="22" t="s">
        <v>49</v>
      </c>
      <c r="D953" s="149"/>
      <c r="E953" s="150"/>
      <c r="F953" s="151"/>
      <c r="G953" s="151"/>
      <c r="H953" s="142">
        <f>IFERROR(VLOOKUP($C953,$C$5:$H$18,6,0)+SUMIF($C$19:$C953,$C953,$F$19:$F953)-SUMIF($C$19:$C953,$C953,$G$19:$G953),"")</f>
        <v>81211.819999998</v>
      </c>
      <c r="I953" s="147"/>
      <c r="J953" s="147"/>
      <c r="K953" s="147" t="str">
        <f t="shared" si="14"/>
        <v/>
      </c>
      <c r="L953" s="40"/>
      <c r="M953"/>
      <c r="N953"/>
      <c r="O953"/>
      <c r="P953"/>
      <c r="Q953"/>
      <c r="R953"/>
      <c r="S953"/>
      <c r="T953"/>
      <c r="U953"/>
      <c r="V953"/>
      <c r="W953" s="41"/>
      <c r="X953" s="41"/>
      <c r="Y953" s="41"/>
    </row>
    <row r="954" s="27" customFormat="1" ht="23" hidden="1" customHeight="1" spans="1:25">
      <c r="A954" s="133" t="str">
        <f>IF(B954="","",COUNTA($B$5:B954))</f>
        <v/>
      </c>
      <c r="B954" s="148"/>
      <c r="C954" s="22" t="s">
        <v>49</v>
      </c>
      <c r="D954" s="149"/>
      <c r="E954" s="150"/>
      <c r="F954" s="151"/>
      <c r="G954" s="151"/>
      <c r="H954" s="142">
        <f>IFERROR(VLOOKUP($C954,$C$5:$H$18,6,0)+SUMIF($C$19:$C954,$C954,$F$19:$F954)-SUMIF($C$19:$C954,$C954,$G$19:$G954),"")</f>
        <v>81211.819999998</v>
      </c>
      <c r="I954" s="147"/>
      <c r="J954" s="147"/>
      <c r="K954" s="147" t="str">
        <f t="shared" si="14"/>
        <v/>
      </c>
      <c r="L954" s="40"/>
      <c r="M954"/>
      <c r="N954"/>
      <c r="O954"/>
      <c r="P954"/>
      <c r="Q954"/>
      <c r="R954"/>
      <c r="S954"/>
      <c r="T954"/>
      <c r="U954"/>
      <c r="V954"/>
      <c r="W954" s="41"/>
      <c r="X954" s="41"/>
      <c r="Y954" s="41"/>
    </row>
    <row r="955" s="27" customFormat="1" ht="23" hidden="1" customHeight="1" spans="1:25">
      <c r="A955" s="133" t="str">
        <f>IF(B955="","",COUNTA($B$5:B955))</f>
        <v/>
      </c>
      <c r="B955" s="148"/>
      <c r="C955" s="22" t="s">
        <v>49</v>
      </c>
      <c r="D955" s="149"/>
      <c r="E955" s="150"/>
      <c r="F955" s="151"/>
      <c r="G955" s="151"/>
      <c r="H955" s="142">
        <f>IFERROR(VLOOKUP($C955,$C$5:$H$18,6,0)+SUMIF($C$19:$C955,$C955,$F$19:$F955)-SUMIF($C$19:$C955,$C955,$G$19:$G955),"")</f>
        <v>81211.819999998</v>
      </c>
      <c r="I955" s="147"/>
      <c r="J955" s="147"/>
      <c r="K955" s="147" t="str">
        <f t="shared" si="14"/>
        <v/>
      </c>
      <c r="L955" s="40"/>
      <c r="M955"/>
      <c r="N955"/>
      <c r="O955"/>
      <c r="P955"/>
      <c r="Q955"/>
      <c r="R955"/>
      <c r="S955"/>
      <c r="T955"/>
      <c r="U955"/>
      <c r="V955"/>
      <c r="W955" s="41"/>
      <c r="X955" s="41"/>
      <c r="Y955" s="41"/>
    </row>
    <row r="956" s="27" customFormat="1" ht="23" hidden="1" customHeight="1" spans="1:25">
      <c r="A956" s="133" t="str">
        <f>IF(B956="","",COUNTA($B$5:B956))</f>
        <v/>
      </c>
      <c r="B956" s="148"/>
      <c r="C956" s="22" t="s">
        <v>49</v>
      </c>
      <c r="D956" s="149"/>
      <c r="E956" s="150"/>
      <c r="F956" s="151"/>
      <c r="G956" s="151"/>
      <c r="H956" s="142">
        <f>IFERROR(VLOOKUP($C956,$C$5:$H$18,6,0)+SUMIF($C$19:$C956,$C956,$F$19:$F956)-SUMIF($C$19:$C956,$C956,$G$19:$G956),"")</f>
        <v>81211.819999998</v>
      </c>
      <c r="I956" s="147"/>
      <c r="J956" s="147"/>
      <c r="K956" s="147" t="str">
        <f t="shared" si="14"/>
        <v/>
      </c>
      <c r="L956" s="40"/>
      <c r="M956"/>
      <c r="N956"/>
      <c r="O956"/>
      <c r="P956"/>
      <c r="Q956"/>
      <c r="R956"/>
      <c r="S956"/>
      <c r="T956"/>
      <c r="U956"/>
      <c r="V956"/>
      <c r="W956" s="41"/>
      <c r="X956" s="41"/>
      <c r="Y956" s="41"/>
    </row>
    <row r="957" s="27" customFormat="1" ht="23" hidden="1" customHeight="1" spans="1:25">
      <c r="A957" s="133" t="str">
        <f>IF(B957="","",COUNTA($B$5:B957))</f>
        <v/>
      </c>
      <c r="B957" s="148"/>
      <c r="C957" s="22" t="s">
        <v>49</v>
      </c>
      <c r="D957" s="149"/>
      <c r="E957" s="150"/>
      <c r="F957" s="151"/>
      <c r="G957" s="151"/>
      <c r="H957" s="142">
        <f>IFERROR(VLOOKUP($C957,$C$5:$H$18,6,0)+SUMIF($C$19:$C957,$C957,$F$19:$F957)-SUMIF($C$19:$C957,$C957,$G$19:$G957),"")</f>
        <v>81211.819999998</v>
      </c>
      <c r="I957" s="147"/>
      <c r="J957" s="147"/>
      <c r="K957" s="147" t="str">
        <f t="shared" si="14"/>
        <v/>
      </c>
      <c r="L957" s="40"/>
      <c r="M957"/>
      <c r="N957"/>
      <c r="O957"/>
      <c r="P957"/>
      <c r="Q957"/>
      <c r="R957"/>
      <c r="S957"/>
      <c r="T957"/>
      <c r="U957"/>
      <c r="V957"/>
      <c r="W957" s="41"/>
      <c r="X957" s="41"/>
      <c r="Y957" s="41"/>
    </row>
    <row r="958" s="27" customFormat="1" ht="23" hidden="1" customHeight="1" spans="1:25">
      <c r="A958" s="133" t="str">
        <f>IF(B958="","",COUNTA($B$5:B958))</f>
        <v/>
      </c>
      <c r="B958" s="148"/>
      <c r="C958" s="22" t="s">
        <v>49</v>
      </c>
      <c r="D958" s="149"/>
      <c r="E958" s="150"/>
      <c r="F958" s="151"/>
      <c r="G958" s="151"/>
      <c r="H958" s="142">
        <f>IFERROR(VLOOKUP($C958,$C$5:$H$18,6,0)+SUMIF($C$19:$C958,$C958,$F$19:$F958)-SUMIF($C$19:$C958,$C958,$G$19:$G958),"")</f>
        <v>81211.819999998</v>
      </c>
      <c r="I958" s="147"/>
      <c r="J958" s="147"/>
      <c r="K958" s="147" t="str">
        <f t="shared" si="14"/>
        <v/>
      </c>
      <c r="L958" s="40"/>
      <c r="M958"/>
      <c r="N958"/>
      <c r="O958"/>
      <c r="P958"/>
      <c r="Q958"/>
      <c r="R958"/>
      <c r="S958"/>
      <c r="T958"/>
      <c r="U958"/>
      <c r="V958"/>
      <c r="W958" s="41"/>
      <c r="X958" s="41"/>
      <c r="Y958" s="41"/>
    </row>
    <row r="959" s="27" customFormat="1" ht="23" hidden="1" customHeight="1" spans="1:25">
      <c r="A959" s="133" t="str">
        <f>IF(B959="","",COUNTA($B$5:B959))</f>
        <v/>
      </c>
      <c r="B959" s="148"/>
      <c r="C959" s="22" t="s">
        <v>49</v>
      </c>
      <c r="D959" s="149"/>
      <c r="E959" s="150"/>
      <c r="F959" s="151"/>
      <c r="G959" s="151"/>
      <c r="H959" s="142">
        <f>IFERROR(VLOOKUP($C959,$C$5:$H$18,6,0)+SUMIF($C$19:$C959,$C959,$F$19:$F959)-SUMIF($C$19:$C959,$C959,$G$19:$G959),"")</f>
        <v>81211.819999998</v>
      </c>
      <c r="I959" s="147"/>
      <c r="J959" s="147"/>
      <c r="K959" s="147" t="str">
        <f t="shared" si="14"/>
        <v/>
      </c>
      <c r="L959" s="40"/>
      <c r="M959"/>
      <c r="N959"/>
      <c r="O959"/>
      <c r="P959"/>
      <c r="Q959"/>
      <c r="R959"/>
      <c r="S959"/>
      <c r="T959"/>
      <c r="U959"/>
      <c r="V959"/>
      <c r="W959" s="41"/>
      <c r="X959" s="41"/>
      <c r="Y959" s="41"/>
    </row>
    <row r="960" s="27" customFormat="1" ht="23" hidden="1" customHeight="1" spans="1:25">
      <c r="A960" s="133" t="str">
        <f>IF(B960="","",COUNTA($B$5:B960))</f>
        <v/>
      </c>
      <c r="B960" s="148"/>
      <c r="C960" s="22" t="s">
        <v>49</v>
      </c>
      <c r="D960" s="149"/>
      <c r="E960" s="150"/>
      <c r="F960" s="151"/>
      <c r="G960" s="151"/>
      <c r="H960" s="142">
        <f>IFERROR(VLOOKUP($C960,$C$5:$H$18,6,0)+SUMIF($C$19:$C960,$C960,$F$19:$F960)-SUMIF($C$19:$C960,$C960,$G$19:$G960),"")</f>
        <v>81211.819999998</v>
      </c>
      <c r="I960" s="147"/>
      <c r="J960" s="147"/>
      <c r="K960" s="147" t="str">
        <f t="shared" si="14"/>
        <v/>
      </c>
      <c r="L960" s="40"/>
      <c r="M960"/>
      <c r="N960"/>
      <c r="O960"/>
      <c r="P960"/>
      <c r="Q960"/>
      <c r="R960"/>
      <c r="S960"/>
      <c r="T960"/>
      <c r="U960"/>
      <c r="V960"/>
      <c r="W960" s="41"/>
      <c r="X960" s="41"/>
      <c r="Y960" s="41"/>
    </row>
    <row r="961" s="27" customFormat="1" ht="23" hidden="1" customHeight="1" spans="1:25">
      <c r="A961" s="133" t="str">
        <f>IF(B961="","",COUNTA($B$5:B961))</f>
        <v/>
      </c>
      <c r="B961" s="148"/>
      <c r="C961" s="22" t="s">
        <v>49</v>
      </c>
      <c r="D961" s="149"/>
      <c r="E961" s="150"/>
      <c r="F961" s="151"/>
      <c r="G961" s="151"/>
      <c r="H961" s="142">
        <f>IFERROR(VLOOKUP($C961,$C$5:$H$18,6,0)+SUMIF($C$19:$C961,$C961,$F$19:$F961)-SUMIF($C$19:$C961,$C961,$G$19:$G961),"")</f>
        <v>81211.819999998</v>
      </c>
      <c r="I961" s="147"/>
      <c r="J961" s="147"/>
      <c r="K961" s="147" t="str">
        <f t="shared" si="14"/>
        <v/>
      </c>
      <c r="L961" s="40"/>
      <c r="M961"/>
      <c r="N961"/>
      <c r="O961"/>
      <c r="P961"/>
      <c r="Q961"/>
      <c r="R961"/>
      <c r="S961"/>
      <c r="T961"/>
      <c r="U961"/>
      <c r="V961"/>
      <c r="W961" s="41"/>
      <c r="X961" s="41"/>
      <c r="Y961" s="41"/>
    </row>
    <row r="962" s="27" customFormat="1" ht="23" hidden="1" customHeight="1" spans="1:25">
      <c r="A962" s="133" t="str">
        <f>IF(B962="","",COUNTA($B$5:B962))</f>
        <v/>
      </c>
      <c r="B962" s="148"/>
      <c r="C962" s="22" t="s">
        <v>49</v>
      </c>
      <c r="D962" s="149"/>
      <c r="E962" s="150"/>
      <c r="F962" s="151"/>
      <c r="G962" s="151"/>
      <c r="H962" s="142">
        <f>IFERROR(VLOOKUP($C962,$C$5:$H$18,6,0)+SUMIF($C$19:$C962,$C962,$F$19:$F962)-SUMIF($C$19:$C962,$C962,$G$19:$G962),"")</f>
        <v>81211.819999998</v>
      </c>
      <c r="I962" s="147"/>
      <c r="J962" s="147"/>
      <c r="K962" s="147" t="str">
        <f t="shared" si="14"/>
        <v/>
      </c>
      <c r="L962" s="40"/>
      <c r="M962"/>
      <c r="N962"/>
      <c r="O962"/>
      <c r="P962"/>
      <c r="Q962"/>
      <c r="R962"/>
      <c r="S962"/>
      <c r="T962"/>
      <c r="U962"/>
      <c r="V962"/>
      <c r="W962" s="41"/>
      <c r="X962" s="41"/>
      <c r="Y962" s="41"/>
    </row>
    <row r="963" s="27" customFormat="1" ht="23" hidden="1" customHeight="1" spans="1:25">
      <c r="A963" s="133" t="str">
        <f>IF(B963="","",COUNTA($B$5:B963))</f>
        <v/>
      </c>
      <c r="B963" s="148"/>
      <c r="C963" s="22" t="s">
        <v>49</v>
      </c>
      <c r="D963" s="149"/>
      <c r="E963" s="150"/>
      <c r="F963" s="151"/>
      <c r="G963" s="151"/>
      <c r="H963" s="142">
        <f>IFERROR(VLOOKUP($C963,$C$5:$H$18,6,0)+SUMIF($C$19:$C963,$C963,$F$19:$F963)-SUMIF($C$19:$C963,$C963,$G$19:$G963),"")</f>
        <v>81211.819999998</v>
      </c>
      <c r="I963" s="147"/>
      <c r="J963" s="147"/>
      <c r="K963" s="147" t="str">
        <f t="shared" si="14"/>
        <v/>
      </c>
      <c r="L963" s="40"/>
      <c r="M963"/>
      <c r="N963"/>
      <c r="O963"/>
      <c r="P963"/>
      <c r="Q963"/>
      <c r="R963"/>
      <c r="S963"/>
      <c r="T963"/>
      <c r="U963"/>
      <c r="V963"/>
      <c r="W963" s="41"/>
      <c r="X963" s="41"/>
      <c r="Y963" s="41"/>
    </row>
    <row r="964" s="27" customFormat="1" ht="23" hidden="1" customHeight="1" spans="1:25">
      <c r="A964" s="133" t="str">
        <f>IF(B964="","",COUNTA($B$5:B964))</f>
        <v/>
      </c>
      <c r="B964" s="148"/>
      <c r="C964" s="22" t="s">
        <v>49</v>
      </c>
      <c r="D964" s="149"/>
      <c r="E964" s="150"/>
      <c r="F964" s="151"/>
      <c r="G964" s="151"/>
      <c r="H964" s="142">
        <f>IFERROR(VLOOKUP($C964,$C$5:$H$18,6,0)+SUMIF($C$19:$C964,$C964,$F$19:$F964)-SUMIF($C$19:$C964,$C964,$G$19:$G964),"")</f>
        <v>81211.819999998</v>
      </c>
      <c r="I964" s="147"/>
      <c r="J964" s="147"/>
      <c r="K964" s="147" t="str">
        <f t="shared" si="14"/>
        <v/>
      </c>
      <c r="L964" s="40"/>
      <c r="M964"/>
      <c r="N964"/>
      <c r="O964"/>
      <c r="P964"/>
      <c r="Q964"/>
      <c r="R964"/>
      <c r="S964"/>
      <c r="T964"/>
      <c r="U964"/>
      <c r="V964"/>
      <c r="W964" s="41"/>
      <c r="X964" s="41"/>
      <c r="Y964" s="41"/>
    </row>
    <row r="965" s="27" customFormat="1" ht="23" hidden="1" customHeight="1" spans="1:25">
      <c r="A965" s="133" t="str">
        <f>IF(B965="","",COUNTA($B$5:B965))</f>
        <v/>
      </c>
      <c r="B965" s="148"/>
      <c r="C965" s="22" t="s">
        <v>49</v>
      </c>
      <c r="D965" s="149"/>
      <c r="E965" s="150"/>
      <c r="F965" s="151"/>
      <c r="G965" s="151"/>
      <c r="H965" s="142">
        <f>IFERROR(VLOOKUP($C965,$C$5:$H$18,6,0)+SUMIF($C$19:$C965,$C965,$F$19:$F965)-SUMIF($C$19:$C965,$C965,$G$19:$G965),"")</f>
        <v>81211.819999998</v>
      </c>
      <c r="I965" s="147"/>
      <c r="J965" s="147"/>
      <c r="K965" s="147" t="str">
        <f t="shared" ref="K965:K1028" si="15">IF($B965="","",--TEXT($B965,"yyyymm"))</f>
        <v/>
      </c>
      <c r="L965" s="40"/>
      <c r="M965"/>
      <c r="N965"/>
      <c r="O965"/>
      <c r="P965"/>
      <c r="Q965"/>
      <c r="R965"/>
      <c r="S965"/>
      <c r="T965"/>
      <c r="U965"/>
      <c r="V965"/>
      <c r="W965" s="41"/>
      <c r="X965" s="41"/>
      <c r="Y965" s="41"/>
    </row>
    <row r="966" s="27" customFormat="1" ht="23" hidden="1" customHeight="1" spans="1:25">
      <c r="A966" s="133" t="str">
        <f>IF(B966="","",COUNTA($B$5:B966))</f>
        <v/>
      </c>
      <c r="B966" s="148"/>
      <c r="C966" s="22" t="s">
        <v>49</v>
      </c>
      <c r="D966" s="149"/>
      <c r="E966" s="150"/>
      <c r="F966" s="151"/>
      <c r="G966" s="151"/>
      <c r="H966" s="142">
        <f>IFERROR(VLOOKUP($C966,$C$5:$H$18,6,0)+SUMIF($C$19:$C966,$C966,$F$19:$F966)-SUMIF($C$19:$C966,$C966,$G$19:$G966),"")</f>
        <v>81211.819999998</v>
      </c>
      <c r="I966" s="147"/>
      <c r="J966" s="147"/>
      <c r="K966" s="147" t="str">
        <f t="shared" si="15"/>
        <v/>
      </c>
      <c r="L966" s="40"/>
      <c r="M966"/>
      <c r="N966"/>
      <c r="O966"/>
      <c r="P966"/>
      <c r="Q966"/>
      <c r="R966"/>
      <c r="S966"/>
      <c r="T966"/>
      <c r="U966"/>
      <c r="V966"/>
      <c r="W966" s="41"/>
      <c r="X966" s="41"/>
      <c r="Y966" s="41"/>
    </row>
    <row r="967" s="27" customFormat="1" ht="23" hidden="1" customHeight="1" spans="1:25">
      <c r="A967" s="133" t="str">
        <f>IF(B967="","",COUNTA($B$5:B967))</f>
        <v/>
      </c>
      <c r="B967" s="148"/>
      <c r="C967" s="22" t="s">
        <v>49</v>
      </c>
      <c r="D967" s="149"/>
      <c r="E967" s="150"/>
      <c r="F967" s="151"/>
      <c r="G967" s="151"/>
      <c r="H967" s="142">
        <f>IFERROR(VLOOKUP($C967,$C$5:$H$18,6,0)+SUMIF($C$19:$C967,$C967,$F$19:$F967)-SUMIF($C$19:$C967,$C967,$G$19:$G967),"")</f>
        <v>81211.819999998</v>
      </c>
      <c r="I967" s="147"/>
      <c r="J967" s="147"/>
      <c r="K967" s="147" t="str">
        <f t="shared" si="15"/>
        <v/>
      </c>
      <c r="L967" s="40"/>
      <c r="M967"/>
      <c r="N967"/>
      <c r="O967"/>
      <c r="P967"/>
      <c r="Q967"/>
      <c r="R967"/>
      <c r="S967"/>
      <c r="T967"/>
      <c r="U967"/>
      <c r="V967"/>
      <c r="W967" s="41"/>
      <c r="X967" s="41"/>
      <c r="Y967" s="41"/>
    </row>
    <row r="968" s="27" customFormat="1" ht="23" hidden="1" customHeight="1" spans="1:25">
      <c r="A968" s="133" t="str">
        <f>IF(B968="","",COUNTA($B$5:B968))</f>
        <v/>
      </c>
      <c r="B968" s="148"/>
      <c r="C968" s="22" t="s">
        <v>49</v>
      </c>
      <c r="D968" s="149"/>
      <c r="E968" s="150"/>
      <c r="F968" s="151"/>
      <c r="G968" s="151"/>
      <c r="H968" s="142">
        <f>IFERROR(VLOOKUP($C968,$C$5:$H$18,6,0)+SUMIF($C$19:$C968,$C968,$F$19:$F968)-SUMIF($C$19:$C968,$C968,$G$19:$G968),"")</f>
        <v>81211.819999998</v>
      </c>
      <c r="I968" s="147"/>
      <c r="J968" s="147"/>
      <c r="K968" s="147" t="str">
        <f t="shared" si="15"/>
        <v/>
      </c>
      <c r="L968" s="40"/>
      <c r="M968"/>
      <c r="N968"/>
      <c r="O968"/>
      <c r="P968"/>
      <c r="Q968"/>
      <c r="R968"/>
      <c r="S968"/>
      <c r="T968"/>
      <c r="U968"/>
      <c r="V968"/>
      <c r="W968" s="41"/>
      <c r="X968" s="41"/>
      <c r="Y968" s="41"/>
    </row>
    <row r="969" s="27" customFormat="1" ht="23" hidden="1" customHeight="1" spans="1:25">
      <c r="A969" s="133" t="str">
        <f>IF(B969="","",COUNTA($B$5:B969))</f>
        <v/>
      </c>
      <c r="B969" s="148"/>
      <c r="C969" s="22" t="s">
        <v>49</v>
      </c>
      <c r="D969" s="149"/>
      <c r="E969" s="150"/>
      <c r="F969" s="151"/>
      <c r="G969" s="151"/>
      <c r="H969" s="142">
        <f>IFERROR(VLOOKUP($C969,$C$5:$H$18,6,0)+SUMIF($C$19:$C969,$C969,$F$19:$F969)-SUMIF($C$19:$C969,$C969,$G$19:$G969),"")</f>
        <v>81211.819999998</v>
      </c>
      <c r="I969" s="147"/>
      <c r="J969" s="147"/>
      <c r="K969" s="147" t="str">
        <f t="shared" si="15"/>
        <v/>
      </c>
      <c r="L969" s="40"/>
      <c r="M969"/>
      <c r="N969"/>
      <c r="O969"/>
      <c r="P969"/>
      <c r="Q969"/>
      <c r="R969"/>
      <c r="S969"/>
      <c r="T969"/>
      <c r="U969"/>
      <c r="V969"/>
      <c r="W969" s="41"/>
      <c r="X969" s="41"/>
      <c r="Y969" s="41"/>
    </row>
    <row r="970" s="27" customFormat="1" ht="23" hidden="1" customHeight="1" spans="1:25">
      <c r="A970" s="133" t="str">
        <f>IF(B970="","",COUNTA($B$5:B970))</f>
        <v/>
      </c>
      <c r="B970" s="148"/>
      <c r="C970" s="22" t="s">
        <v>49</v>
      </c>
      <c r="D970" s="149"/>
      <c r="E970" s="150"/>
      <c r="F970" s="151"/>
      <c r="G970" s="151"/>
      <c r="H970" s="142">
        <f>IFERROR(VLOOKUP($C970,$C$5:$H$18,6,0)+SUMIF($C$19:$C970,$C970,$F$19:$F970)-SUMIF($C$19:$C970,$C970,$G$19:$G970),"")</f>
        <v>81211.819999998</v>
      </c>
      <c r="I970" s="147"/>
      <c r="J970" s="147"/>
      <c r="K970" s="147" t="str">
        <f t="shared" si="15"/>
        <v/>
      </c>
      <c r="L970" s="40"/>
      <c r="M970"/>
      <c r="N970"/>
      <c r="O970"/>
      <c r="P970"/>
      <c r="Q970"/>
      <c r="R970"/>
      <c r="S970"/>
      <c r="T970"/>
      <c r="U970"/>
      <c r="V970"/>
      <c r="W970" s="41"/>
      <c r="X970" s="41"/>
      <c r="Y970" s="41"/>
    </row>
    <row r="971" s="27" customFormat="1" ht="23" hidden="1" customHeight="1" spans="1:25">
      <c r="A971" s="133" t="str">
        <f>IF(B971="","",COUNTA($B$5:B971))</f>
        <v/>
      </c>
      <c r="B971" s="148"/>
      <c r="C971" s="22" t="s">
        <v>49</v>
      </c>
      <c r="D971" s="149"/>
      <c r="E971" s="150"/>
      <c r="F971" s="151"/>
      <c r="G971" s="151"/>
      <c r="H971" s="142">
        <f>IFERROR(VLOOKUP($C971,$C$5:$H$18,6,0)+SUMIF($C$19:$C971,$C971,$F$19:$F971)-SUMIF($C$19:$C971,$C971,$G$19:$G971),"")</f>
        <v>81211.819999998</v>
      </c>
      <c r="I971" s="147"/>
      <c r="J971" s="147"/>
      <c r="K971" s="147" t="str">
        <f t="shared" si="15"/>
        <v/>
      </c>
      <c r="L971" s="40"/>
      <c r="M971"/>
      <c r="N971"/>
      <c r="O971"/>
      <c r="P971"/>
      <c r="Q971"/>
      <c r="R971"/>
      <c r="S971"/>
      <c r="T971"/>
      <c r="U971"/>
      <c r="V971"/>
      <c r="W971" s="41"/>
      <c r="X971" s="41"/>
      <c r="Y971" s="41"/>
    </row>
    <row r="972" s="27" customFormat="1" ht="23" hidden="1" customHeight="1" spans="1:25">
      <c r="A972" s="133" t="str">
        <f>IF(B972="","",COUNTA($B$5:B972))</f>
        <v/>
      </c>
      <c r="B972" s="148"/>
      <c r="C972" s="22" t="s">
        <v>49</v>
      </c>
      <c r="D972" s="149"/>
      <c r="E972" s="150"/>
      <c r="F972" s="151"/>
      <c r="G972" s="151"/>
      <c r="H972" s="142">
        <f>IFERROR(VLOOKUP($C972,$C$5:$H$18,6,0)+SUMIF($C$19:$C972,$C972,$F$19:$F972)-SUMIF($C$19:$C972,$C972,$G$19:$G972),"")</f>
        <v>81211.819999998</v>
      </c>
      <c r="I972" s="147"/>
      <c r="J972" s="147"/>
      <c r="K972" s="147" t="str">
        <f t="shared" si="15"/>
        <v/>
      </c>
      <c r="L972" s="40"/>
      <c r="M972"/>
      <c r="N972"/>
      <c r="O972"/>
      <c r="P972"/>
      <c r="Q972"/>
      <c r="R972"/>
      <c r="S972"/>
      <c r="T972"/>
      <c r="U972"/>
      <c r="V972"/>
      <c r="W972" s="41"/>
      <c r="X972" s="41"/>
      <c r="Y972" s="41"/>
    </row>
    <row r="973" s="27" customFormat="1" ht="23" hidden="1" customHeight="1" spans="1:25">
      <c r="A973" s="133" t="str">
        <f>IF(B973="","",COUNTA($B$5:B973))</f>
        <v/>
      </c>
      <c r="B973" s="148"/>
      <c r="C973" s="22" t="s">
        <v>49</v>
      </c>
      <c r="D973" s="149"/>
      <c r="E973" s="150"/>
      <c r="F973" s="151"/>
      <c r="G973" s="151"/>
      <c r="H973" s="142">
        <f>IFERROR(VLOOKUP($C973,$C$5:$H$18,6,0)+SUMIF($C$19:$C973,$C973,$F$19:$F973)-SUMIF($C$19:$C973,$C973,$G$19:$G973),"")</f>
        <v>81211.819999998</v>
      </c>
      <c r="I973" s="147"/>
      <c r="J973" s="147"/>
      <c r="K973" s="147" t="str">
        <f t="shared" si="15"/>
        <v/>
      </c>
      <c r="L973" s="40"/>
      <c r="M973"/>
      <c r="N973"/>
      <c r="O973"/>
      <c r="P973"/>
      <c r="Q973"/>
      <c r="R973"/>
      <c r="S973"/>
      <c r="T973"/>
      <c r="U973"/>
      <c r="V973"/>
      <c r="W973" s="41"/>
      <c r="X973" s="41"/>
      <c r="Y973" s="41"/>
    </row>
    <row r="974" s="27" customFormat="1" ht="23" hidden="1" customHeight="1" spans="1:25">
      <c r="A974" s="133" t="str">
        <f>IF(B974="","",COUNTA($B$5:B974))</f>
        <v/>
      </c>
      <c r="B974" s="148"/>
      <c r="C974" s="22" t="s">
        <v>49</v>
      </c>
      <c r="D974" s="149"/>
      <c r="E974" s="150"/>
      <c r="F974" s="151"/>
      <c r="G974" s="151"/>
      <c r="H974" s="142">
        <f>IFERROR(VLOOKUP($C974,$C$5:$H$18,6,0)+SUMIF($C$19:$C974,$C974,$F$19:$F974)-SUMIF($C$19:$C974,$C974,$G$19:$G974),"")</f>
        <v>81211.819999998</v>
      </c>
      <c r="I974" s="147"/>
      <c r="J974" s="147"/>
      <c r="K974" s="147" t="str">
        <f t="shared" si="15"/>
        <v/>
      </c>
      <c r="L974" s="40"/>
      <c r="M974"/>
      <c r="N974"/>
      <c r="O974"/>
      <c r="P974"/>
      <c r="Q974"/>
      <c r="R974"/>
      <c r="S974"/>
      <c r="T974"/>
      <c r="U974"/>
      <c r="V974"/>
      <c r="W974" s="41"/>
      <c r="X974" s="41"/>
      <c r="Y974" s="41"/>
    </row>
    <row r="975" s="27" customFormat="1" ht="23" hidden="1" customHeight="1" spans="1:25">
      <c r="A975" s="133" t="str">
        <f>IF(B975="","",COUNTA($B$5:B975))</f>
        <v/>
      </c>
      <c r="B975" s="148"/>
      <c r="C975" s="22" t="s">
        <v>49</v>
      </c>
      <c r="D975" s="149"/>
      <c r="E975" s="150"/>
      <c r="F975" s="151"/>
      <c r="G975" s="151"/>
      <c r="H975" s="142">
        <f>IFERROR(VLOOKUP($C975,$C$5:$H$18,6,0)+SUMIF($C$19:$C975,$C975,$F$19:$F975)-SUMIF($C$19:$C975,$C975,$G$19:$G975),"")</f>
        <v>81211.819999998</v>
      </c>
      <c r="I975" s="147"/>
      <c r="J975" s="147"/>
      <c r="K975" s="147" t="str">
        <f t="shared" si="15"/>
        <v/>
      </c>
      <c r="L975" s="40"/>
      <c r="M975"/>
      <c r="N975"/>
      <c r="O975"/>
      <c r="P975"/>
      <c r="Q975"/>
      <c r="R975"/>
      <c r="S975"/>
      <c r="T975"/>
      <c r="U975"/>
      <c r="V975"/>
      <c r="W975" s="41"/>
      <c r="X975" s="41"/>
      <c r="Y975" s="41"/>
    </row>
    <row r="976" s="27" customFormat="1" ht="23" hidden="1" customHeight="1" spans="1:25">
      <c r="A976" s="133" t="str">
        <f>IF(B976="","",COUNTA($B$5:B976))</f>
        <v/>
      </c>
      <c r="B976" s="148"/>
      <c r="C976" s="22" t="s">
        <v>49</v>
      </c>
      <c r="D976" s="149"/>
      <c r="E976" s="150"/>
      <c r="F976" s="151"/>
      <c r="G976" s="151"/>
      <c r="H976" s="142">
        <f>IFERROR(VLOOKUP($C976,$C$5:$H$18,6,0)+SUMIF($C$19:$C976,$C976,$F$19:$F976)-SUMIF($C$19:$C976,$C976,$G$19:$G976),"")</f>
        <v>81211.819999998</v>
      </c>
      <c r="I976" s="147"/>
      <c r="J976" s="147"/>
      <c r="K976" s="147" t="str">
        <f t="shared" si="15"/>
        <v/>
      </c>
      <c r="L976" s="40"/>
      <c r="M976"/>
      <c r="N976"/>
      <c r="O976"/>
      <c r="P976"/>
      <c r="Q976"/>
      <c r="R976"/>
      <c r="S976"/>
      <c r="T976"/>
      <c r="U976"/>
      <c r="V976"/>
      <c r="W976" s="41"/>
      <c r="X976" s="41"/>
      <c r="Y976" s="41"/>
    </row>
    <row r="977" s="27" customFormat="1" ht="23" hidden="1" customHeight="1" spans="1:25">
      <c r="A977" s="133" t="str">
        <f>IF(B977="","",COUNTA($B$5:B977))</f>
        <v/>
      </c>
      <c r="B977" s="148"/>
      <c r="C977" s="22" t="s">
        <v>49</v>
      </c>
      <c r="D977" s="149"/>
      <c r="E977" s="150"/>
      <c r="F977" s="151"/>
      <c r="G977" s="151"/>
      <c r="H977" s="142">
        <f>IFERROR(VLOOKUP($C977,$C$5:$H$18,6,0)+SUMIF($C$19:$C977,$C977,$F$19:$F977)-SUMIF($C$19:$C977,$C977,$G$19:$G977),"")</f>
        <v>81211.819999998</v>
      </c>
      <c r="I977" s="147"/>
      <c r="J977" s="147"/>
      <c r="K977" s="147" t="str">
        <f t="shared" si="15"/>
        <v/>
      </c>
      <c r="L977" s="40"/>
      <c r="M977"/>
      <c r="N977"/>
      <c r="O977"/>
      <c r="P977"/>
      <c r="Q977"/>
      <c r="R977"/>
      <c r="S977"/>
      <c r="T977"/>
      <c r="U977"/>
      <c r="V977"/>
      <c r="W977" s="41"/>
      <c r="X977" s="41"/>
      <c r="Y977" s="41"/>
    </row>
    <row r="978" s="27" customFormat="1" ht="23" hidden="1" customHeight="1" spans="1:25">
      <c r="A978" s="133" t="str">
        <f>IF(B978="","",COUNTA($B$5:B978))</f>
        <v/>
      </c>
      <c r="B978" s="148"/>
      <c r="C978" s="22" t="s">
        <v>49</v>
      </c>
      <c r="D978" s="149"/>
      <c r="E978" s="150"/>
      <c r="F978" s="151"/>
      <c r="G978" s="151"/>
      <c r="H978" s="142">
        <f>IFERROR(VLOOKUP($C978,$C$5:$H$18,6,0)+SUMIF($C$19:$C978,$C978,$F$19:$F978)-SUMIF($C$19:$C978,$C978,$G$19:$G978),"")</f>
        <v>81211.819999998</v>
      </c>
      <c r="I978" s="147"/>
      <c r="J978" s="147"/>
      <c r="K978" s="147" t="str">
        <f t="shared" si="15"/>
        <v/>
      </c>
      <c r="L978" s="40"/>
      <c r="M978"/>
      <c r="N978"/>
      <c r="O978"/>
      <c r="P978"/>
      <c r="Q978"/>
      <c r="R978"/>
      <c r="S978"/>
      <c r="T978"/>
      <c r="U978"/>
      <c r="V978"/>
      <c r="W978" s="41"/>
      <c r="X978" s="41"/>
      <c r="Y978" s="41"/>
    </row>
    <row r="979" s="27" customFormat="1" ht="23" hidden="1" customHeight="1" spans="1:25">
      <c r="A979" s="133" t="str">
        <f>IF(B979="","",COUNTA($B$5:B979))</f>
        <v/>
      </c>
      <c r="B979" s="148"/>
      <c r="C979" s="22" t="s">
        <v>49</v>
      </c>
      <c r="D979" s="149"/>
      <c r="E979" s="150"/>
      <c r="F979" s="151"/>
      <c r="G979" s="151"/>
      <c r="H979" s="142">
        <f>IFERROR(VLOOKUP($C979,$C$5:$H$18,6,0)+SUMIF($C$19:$C979,$C979,$F$19:$F979)-SUMIF($C$19:$C979,$C979,$G$19:$G979),"")</f>
        <v>81211.819999998</v>
      </c>
      <c r="I979" s="147"/>
      <c r="J979" s="147"/>
      <c r="K979" s="147" t="str">
        <f t="shared" si="15"/>
        <v/>
      </c>
      <c r="L979" s="40"/>
      <c r="M979"/>
      <c r="N979"/>
      <c r="O979"/>
      <c r="P979"/>
      <c r="Q979"/>
      <c r="R979"/>
      <c r="S979"/>
      <c r="T979"/>
      <c r="U979"/>
      <c r="V979"/>
      <c r="W979" s="41"/>
      <c r="X979" s="41"/>
      <c r="Y979" s="41"/>
    </row>
    <row r="980" s="27" customFormat="1" ht="23" hidden="1" customHeight="1" spans="1:25">
      <c r="A980" s="133" t="str">
        <f>IF(B980="","",COUNTA($B$5:B980))</f>
        <v/>
      </c>
      <c r="B980" s="148"/>
      <c r="C980" s="22" t="s">
        <v>49</v>
      </c>
      <c r="D980" s="149"/>
      <c r="E980" s="150"/>
      <c r="F980" s="151"/>
      <c r="G980" s="151"/>
      <c r="H980" s="142">
        <f>IFERROR(VLOOKUP($C980,$C$5:$H$18,6,0)+SUMIF($C$19:$C980,$C980,$F$19:$F980)-SUMIF($C$19:$C980,$C980,$G$19:$G980),"")</f>
        <v>81211.819999998</v>
      </c>
      <c r="I980" s="147"/>
      <c r="J980" s="147"/>
      <c r="K980" s="147" t="str">
        <f t="shared" si="15"/>
        <v/>
      </c>
      <c r="L980" s="40"/>
      <c r="M980"/>
      <c r="N980"/>
      <c r="O980"/>
      <c r="P980"/>
      <c r="Q980"/>
      <c r="R980"/>
      <c r="S980"/>
      <c r="T980"/>
      <c r="U980"/>
      <c r="V980"/>
      <c r="W980" s="41"/>
      <c r="X980" s="41"/>
      <c r="Y980" s="41"/>
    </row>
    <row r="981" s="27" customFormat="1" ht="23" hidden="1" customHeight="1" spans="1:25">
      <c r="A981" s="133" t="str">
        <f>IF(B981="","",COUNTA($B$5:B981))</f>
        <v/>
      </c>
      <c r="B981" s="148"/>
      <c r="C981" s="22" t="s">
        <v>49</v>
      </c>
      <c r="D981" s="149"/>
      <c r="E981" s="150"/>
      <c r="F981" s="151"/>
      <c r="G981" s="151"/>
      <c r="H981" s="142">
        <f>IFERROR(VLOOKUP($C981,$C$5:$H$18,6,0)+SUMIF($C$19:$C981,$C981,$F$19:$F981)-SUMIF($C$19:$C981,$C981,$G$19:$G981),"")</f>
        <v>81211.819999998</v>
      </c>
      <c r="I981" s="147"/>
      <c r="J981" s="147"/>
      <c r="K981" s="147" t="str">
        <f t="shared" si="15"/>
        <v/>
      </c>
      <c r="L981" s="40"/>
      <c r="M981"/>
      <c r="N981"/>
      <c r="O981"/>
      <c r="P981"/>
      <c r="Q981"/>
      <c r="R981"/>
      <c r="S981"/>
      <c r="T981"/>
      <c r="U981"/>
      <c r="V981"/>
      <c r="W981" s="41"/>
      <c r="X981" s="41"/>
      <c r="Y981" s="41"/>
    </row>
    <row r="982" s="27" customFormat="1" ht="23" hidden="1" customHeight="1" spans="1:25">
      <c r="A982" s="133" t="str">
        <f>IF(B982="","",COUNTA($B$5:B982))</f>
        <v/>
      </c>
      <c r="B982" s="148"/>
      <c r="C982" s="22" t="s">
        <v>49</v>
      </c>
      <c r="D982" s="149"/>
      <c r="E982" s="150"/>
      <c r="F982" s="151"/>
      <c r="G982" s="151"/>
      <c r="H982" s="142">
        <f>IFERROR(VLOOKUP($C982,$C$5:$H$18,6,0)+SUMIF($C$19:$C982,$C982,$F$19:$F982)-SUMIF($C$19:$C982,$C982,$G$19:$G982),"")</f>
        <v>81211.819999998</v>
      </c>
      <c r="I982" s="147"/>
      <c r="J982" s="147"/>
      <c r="K982" s="147" t="str">
        <f t="shared" si="15"/>
        <v/>
      </c>
      <c r="L982" s="40"/>
      <c r="M982"/>
      <c r="N982"/>
      <c r="O982"/>
      <c r="P982"/>
      <c r="Q982"/>
      <c r="R982"/>
      <c r="S982"/>
      <c r="T982"/>
      <c r="U982"/>
      <c r="V982"/>
      <c r="W982" s="41"/>
      <c r="X982" s="41"/>
      <c r="Y982" s="41"/>
    </row>
    <row r="983" s="27" customFormat="1" ht="23" hidden="1" customHeight="1" spans="1:25">
      <c r="A983" s="133" t="str">
        <f>IF(B983="","",COUNTA($B$5:B983))</f>
        <v/>
      </c>
      <c r="B983" s="148"/>
      <c r="C983" s="22" t="s">
        <v>49</v>
      </c>
      <c r="D983" s="149"/>
      <c r="E983" s="150"/>
      <c r="F983" s="151"/>
      <c r="G983" s="151"/>
      <c r="H983" s="142">
        <f>IFERROR(VLOOKUP($C983,$C$5:$H$18,6,0)+SUMIF($C$19:$C983,$C983,$F$19:$F983)-SUMIF($C$19:$C983,$C983,$G$19:$G983),"")</f>
        <v>81211.819999998</v>
      </c>
      <c r="I983" s="147"/>
      <c r="J983" s="147"/>
      <c r="K983" s="147" t="str">
        <f t="shared" si="15"/>
        <v/>
      </c>
      <c r="L983" s="40"/>
      <c r="M983"/>
      <c r="N983"/>
      <c r="O983"/>
      <c r="P983"/>
      <c r="Q983"/>
      <c r="R983"/>
      <c r="S983"/>
      <c r="T983"/>
      <c r="U983"/>
      <c r="V983"/>
      <c r="W983" s="41"/>
      <c r="X983" s="41"/>
      <c r="Y983" s="41"/>
    </row>
    <row r="984" s="27" customFormat="1" ht="23" hidden="1" customHeight="1" spans="1:25">
      <c r="A984" s="133" t="str">
        <f>IF(B984="","",COUNTA($B$5:B984))</f>
        <v/>
      </c>
      <c r="B984" s="148"/>
      <c r="C984" s="22" t="s">
        <v>49</v>
      </c>
      <c r="D984" s="149"/>
      <c r="E984" s="150"/>
      <c r="F984" s="151"/>
      <c r="G984" s="151"/>
      <c r="H984" s="142">
        <f>IFERROR(VLOOKUP($C984,$C$5:$H$18,6,0)+SUMIF($C$19:$C984,$C984,$F$19:$F984)-SUMIF($C$19:$C984,$C984,$G$19:$G984),"")</f>
        <v>81211.819999998</v>
      </c>
      <c r="I984" s="147"/>
      <c r="J984" s="147"/>
      <c r="K984" s="147" t="str">
        <f t="shared" si="15"/>
        <v/>
      </c>
      <c r="L984" s="40"/>
      <c r="M984"/>
      <c r="N984"/>
      <c r="O984"/>
      <c r="P984"/>
      <c r="Q984"/>
      <c r="R984"/>
      <c r="S984"/>
      <c r="T984"/>
      <c r="U984"/>
      <c r="V984"/>
      <c r="W984" s="41"/>
      <c r="X984" s="41"/>
      <c r="Y984" s="41"/>
    </row>
    <row r="985" s="27" customFormat="1" ht="23" hidden="1" customHeight="1" spans="1:25">
      <c r="A985" s="133" t="str">
        <f>IF(B985="","",COUNTA($B$5:B985))</f>
        <v/>
      </c>
      <c r="B985" s="148"/>
      <c r="C985" s="22" t="s">
        <v>49</v>
      </c>
      <c r="D985" s="149"/>
      <c r="E985" s="150"/>
      <c r="F985" s="151"/>
      <c r="G985" s="151"/>
      <c r="H985" s="142">
        <f>IFERROR(VLOOKUP($C985,$C$5:$H$18,6,0)+SUMIF($C$19:$C985,$C985,$F$19:$F985)-SUMIF($C$19:$C985,$C985,$G$19:$G985),"")</f>
        <v>81211.819999998</v>
      </c>
      <c r="I985" s="147"/>
      <c r="J985" s="147"/>
      <c r="K985" s="147" t="str">
        <f t="shared" si="15"/>
        <v/>
      </c>
      <c r="L985" s="40"/>
      <c r="M985"/>
      <c r="N985"/>
      <c r="O985"/>
      <c r="P985"/>
      <c r="Q985"/>
      <c r="R985"/>
      <c r="S985"/>
      <c r="T985"/>
      <c r="U985"/>
      <c r="V985"/>
      <c r="W985" s="41"/>
      <c r="X985" s="41"/>
      <c r="Y985" s="41"/>
    </row>
    <row r="986" s="27" customFormat="1" ht="23" hidden="1" customHeight="1" spans="1:25">
      <c r="A986" s="133" t="str">
        <f>IF(B986="","",COUNTA($B$5:B986))</f>
        <v/>
      </c>
      <c r="B986" s="148"/>
      <c r="C986" s="22" t="s">
        <v>49</v>
      </c>
      <c r="D986" s="149"/>
      <c r="E986" s="150"/>
      <c r="F986" s="151"/>
      <c r="G986" s="151"/>
      <c r="H986" s="142">
        <f>IFERROR(VLOOKUP($C986,$C$5:$H$18,6,0)+SUMIF($C$19:$C986,$C986,$F$19:$F986)-SUMIF($C$19:$C986,$C986,$G$19:$G986),"")</f>
        <v>81211.819999998</v>
      </c>
      <c r="I986" s="147"/>
      <c r="J986" s="147"/>
      <c r="K986" s="147" t="str">
        <f t="shared" si="15"/>
        <v/>
      </c>
      <c r="L986" s="40"/>
      <c r="M986"/>
      <c r="N986"/>
      <c r="O986"/>
      <c r="P986"/>
      <c r="Q986"/>
      <c r="R986"/>
      <c r="S986"/>
      <c r="T986"/>
      <c r="U986"/>
      <c r="V986"/>
      <c r="W986" s="41"/>
      <c r="X986" s="41"/>
      <c r="Y986" s="41"/>
    </row>
    <row r="987" s="27" customFormat="1" ht="23" hidden="1" customHeight="1" spans="1:25">
      <c r="A987" s="133" t="str">
        <f>IF(B987="","",COUNTA($B$5:B987))</f>
        <v/>
      </c>
      <c r="B987" s="148"/>
      <c r="C987" s="22" t="s">
        <v>49</v>
      </c>
      <c r="D987" s="149"/>
      <c r="E987" s="150"/>
      <c r="F987" s="151"/>
      <c r="G987" s="151"/>
      <c r="H987" s="142">
        <f>IFERROR(VLOOKUP($C987,$C$5:$H$18,6,0)+SUMIF($C$19:$C987,$C987,$F$19:$F987)-SUMIF($C$19:$C987,$C987,$G$19:$G987),"")</f>
        <v>81211.819999998</v>
      </c>
      <c r="I987" s="147"/>
      <c r="J987" s="147"/>
      <c r="K987" s="147" t="str">
        <f t="shared" si="15"/>
        <v/>
      </c>
      <c r="L987" s="40"/>
      <c r="M987"/>
      <c r="N987"/>
      <c r="O987"/>
      <c r="P987"/>
      <c r="Q987"/>
      <c r="R987"/>
      <c r="S987"/>
      <c r="T987"/>
      <c r="U987"/>
      <c r="V987"/>
      <c r="W987" s="41"/>
      <c r="X987" s="41"/>
      <c r="Y987" s="41"/>
    </row>
    <row r="988" s="27" customFormat="1" ht="23" hidden="1" customHeight="1" spans="1:25">
      <c r="A988" s="133" t="str">
        <f>IF(B988="","",COUNTA($B$5:B988))</f>
        <v/>
      </c>
      <c r="B988" s="148"/>
      <c r="C988" s="22" t="s">
        <v>49</v>
      </c>
      <c r="D988" s="149"/>
      <c r="E988" s="150"/>
      <c r="F988" s="151"/>
      <c r="G988" s="151"/>
      <c r="H988" s="142">
        <f>IFERROR(VLOOKUP($C988,$C$5:$H$18,6,0)+SUMIF($C$19:$C988,$C988,$F$19:$F988)-SUMIF($C$19:$C988,$C988,$G$19:$G988),"")</f>
        <v>81211.819999998</v>
      </c>
      <c r="I988" s="147"/>
      <c r="J988" s="147"/>
      <c r="K988" s="147" t="str">
        <f t="shared" si="15"/>
        <v/>
      </c>
      <c r="L988" s="40"/>
      <c r="M988"/>
      <c r="N988"/>
      <c r="O988"/>
      <c r="P988"/>
      <c r="Q988"/>
      <c r="R988"/>
      <c r="S988"/>
      <c r="T988"/>
      <c r="U988"/>
      <c r="V988"/>
      <c r="W988" s="41"/>
      <c r="X988" s="41"/>
      <c r="Y988" s="41"/>
    </row>
    <row r="989" s="27" customFormat="1" ht="23" hidden="1" customHeight="1" spans="1:25">
      <c r="A989" s="133" t="str">
        <f>IF(B989="","",COUNTA($B$5:B989))</f>
        <v/>
      </c>
      <c r="B989" s="148"/>
      <c r="C989" s="22" t="s">
        <v>49</v>
      </c>
      <c r="D989" s="149"/>
      <c r="E989" s="150"/>
      <c r="F989" s="151"/>
      <c r="G989" s="151"/>
      <c r="H989" s="142">
        <f>IFERROR(VLOOKUP($C989,$C$5:$H$18,6,0)+SUMIF($C$19:$C989,$C989,$F$19:$F989)-SUMIF($C$19:$C989,$C989,$G$19:$G989),"")</f>
        <v>81211.819999998</v>
      </c>
      <c r="I989" s="147"/>
      <c r="J989" s="147"/>
      <c r="K989" s="147" t="str">
        <f t="shared" si="15"/>
        <v/>
      </c>
      <c r="L989" s="40"/>
      <c r="M989"/>
      <c r="N989"/>
      <c r="O989"/>
      <c r="P989"/>
      <c r="Q989"/>
      <c r="R989"/>
      <c r="S989"/>
      <c r="T989"/>
      <c r="U989"/>
      <c r="V989"/>
      <c r="W989" s="41"/>
      <c r="X989" s="41"/>
      <c r="Y989" s="41"/>
    </row>
    <row r="990" s="27" customFormat="1" ht="23" hidden="1" customHeight="1" spans="1:25">
      <c r="A990" s="133" t="str">
        <f>IF(B990="","",COUNTA($B$5:B990))</f>
        <v/>
      </c>
      <c r="B990" s="148"/>
      <c r="C990" s="22" t="s">
        <v>49</v>
      </c>
      <c r="D990" s="149"/>
      <c r="E990" s="150"/>
      <c r="F990" s="151"/>
      <c r="G990" s="151"/>
      <c r="H990" s="142">
        <f>IFERROR(VLOOKUP($C990,$C$5:$H$18,6,0)+SUMIF($C$19:$C990,$C990,$F$19:$F990)-SUMIF($C$19:$C990,$C990,$G$19:$G990),"")</f>
        <v>81211.819999998</v>
      </c>
      <c r="I990" s="147"/>
      <c r="J990" s="147"/>
      <c r="K990" s="147" t="str">
        <f t="shared" si="15"/>
        <v/>
      </c>
      <c r="L990" s="40"/>
      <c r="M990"/>
      <c r="N990"/>
      <c r="O990"/>
      <c r="P990"/>
      <c r="Q990"/>
      <c r="R990"/>
      <c r="S990"/>
      <c r="T990"/>
      <c r="U990"/>
      <c r="V990"/>
      <c r="W990" s="41"/>
      <c r="X990" s="41"/>
      <c r="Y990" s="41"/>
    </row>
    <row r="991" s="27" customFormat="1" ht="23" hidden="1" customHeight="1" spans="1:25">
      <c r="A991" s="133" t="str">
        <f>IF(B991="","",COUNTA($B$5:B991))</f>
        <v/>
      </c>
      <c r="B991" s="148"/>
      <c r="C991" s="22" t="s">
        <v>49</v>
      </c>
      <c r="D991" s="149"/>
      <c r="E991" s="150"/>
      <c r="F991" s="151"/>
      <c r="G991" s="151"/>
      <c r="H991" s="142">
        <f>IFERROR(VLOOKUP($C991,$C$5:$H$18,6,0)+SUMIF($C$19:$C991,$C991,$F$19:$F991)-SUMIF($C$19:$C991,$C991,$G$19:$G991),"")</f>
        <v>81211.819999998</v>
      </c>
      <c r="I991" s="147"/>
      <c r="J991" s="147"/>
      <c r="K991" s="147" t="str">
        <f t="shared" si="15"/>
        <v/>
      </c>
      <c r="L991" s="40"/>
      <c r="M991"/>
      <c r="N991"/>
      <c r="O991"/>
      <c r="P991"/>
      <c r="Q991"/>
      <c r="R991"/>
      <c r="S991"/>
      <c r="T991"/>
      <c r="U991"/>
      <c r="V991"/>
      <c r="W991" s="41"/>
      <c r="X991" s="41"/>
      <c r="Y991" s="41"/>
    </row>
    <row r="992" s="27" customFormat="1" ht="23" hidden="1" customHeight="1" spans="1:25">
      <c r="A992" s="133" t="str">
        <f>IF(B992="","",COUNTA($B$5:B992))</f>
        <v/>
      </c>
      <c r="B992" s="148"/>
      <c r="C992" s="22" t="s">
        <v>49</v>
      </c>
      <c r="D992" s="149"/>
      <c r="E992" s="150"/>
      <c r="F992" s="151"/>
      <c r="G992" s="151"/>
      <c r="H992" s="142">
        <f>IFERROR(VLOOKUP($C992,$C$5:$H$18,6,0)+SUMIF($C$19:$C992,$C992,$F$19:$F992)-SUMIF($C$19:$C992,$C992,$G$19:$G992),"")</f>
        <v>81211.819999998</v>
      </c>
      <c r="I992" s="147"/>
      <c r="J992" s="147"/>
      <c r="K992" s="147" t="str">
        <f t="shared" si="15"/>
        <v/>
      </c>
      <c r="L992" s="40"/>
      <c r="M992"/>
      <c r="N992"/>
      <c r="O992"/>
      <c r="P992"/>
      <c r="Q992"/>
      <c r="R992"/>
      <c r="S992"/>
      <c r="T992"/>
      <c r="U992"/>
      <c r="V992"/>
      <c r="W992" s="41"/>
      <c r="X992" s="41"/>
      <c r="Y992" s="41"/>
    </row>
    <row r="993" s="27" customFormat="1" ht="23" hidden="1" customHeight="1" spans="1:25">
      <c r="A993" s="133" t="str">
        <f>IF(B993="","",COUNTA($B$5:B993))</f>
        <v/>
      </c>
      <c r="B993" s="148"/>
      <c r="C993" s="22" t="s">
        <v>49</v>
      </c>
      <c r="D993" s="149"/>
      <c r="E993" s="150"/>
      <c r="F993" s="151"/>
      <c r="G993" s="151"/>
      <c r="H993" s="142">
        <f>IFERROR(VLOOKUP($C993,$C$5:$H$18,6,0)+SUMIF($C$19:$C993,$C993,$F$19:$F993)-SUMIF($C$19:$C993,$C993,$G$19:$G993),"")</f>
        <v>81211.819999998</v>
      </c>
      <c r="I993" s="147"/>
      <c r="J993" s="147"/>
      <c r="K993" s="147" t="str">
        <f t="shared" si="15"/>
        <v/>
      </c>
      <c r="L993" s="40"/>
      <c r="M993"/>
      <c r="N993"/>
      <c r="O993"/>
      <c r="P993"/>
      <c r="Q993"/>
      <c r="R993"/>
      <c r="S993"/>
      <c r="T993"/>
      <c r="U993"/>
      <c r="V993"/>
      <c r="W993" s="41"/>
      <c r="X993" s="41"/>
      <c r="Y993" s="41"/>
    </row>
    <row r="994" s="27" customFormat="1" ht="23" hidden="1" customHeight="1" spans="1:25">
      <c r="A994" s="133" t="str">
        <f>IF(B994="","",COUNTA($B$5:B994))</f>
        <v/>
      </c>
      <c r="B994" s="148"/>
      <c r="C994" s="22" t="s">
        <v>49</v>
      </c>
      <c r="D994" s="149"/>
      <c r="E994" s="150"/>
      <c r="F994" s="151"/>
      <c r="G994" s="151"/>
      <c r="H994" s="142">
        <f>IFERROR(VLOOKUP($C994,$C$5:$H$18,6,0)+SUMIF($C$19:$C994,$C994,$F$19:$F994)-SUMIF($C$19:$C994,$C994,$G$19:$G994),"")</f>
        <v>81211.819999998</v>
      </c>
      <c r="I994" s="147"/>
      <c r="J994" s="147"/>
      <c r="K994" s="147" t="str">
        <f t="shared" si="15"/>
        <v/>
      </c>
      <c r="L994" s="40"/>
      <c r="M994"/>
      <c r="N994"/>
      <c r="O994"/>
      <c r="P994"/>
      <c r="Q994"/>
      <c r="R994"/>
      <c r="S994"/>
      <c r="T994"/>
      <c r="U994"/>
      <c r="V994"/>
      <c r="W994" s="41"/>
      <c r="X994" s="41"/>
      <c r="Y994" s="41"/>
    </row>
    <row r="995" s="27" customFormat="1" ht="23" hidden="1" customHeight="1" spans="1:25">
      <c r="A995" s="133" t="str">
        <f>IF(B995="","",COUNTA($B$5:B995))</f>
        <v/>
      </c>
      <c r="B995" s="148"/>
      <c r="C995" s="22" t="s">
        <v>49</v>
      </c>
      <c r="D995" s="149"/>
      <c r="E995" s="150"/>
      <c r="F995" s="151"/>
      <c r="G995" s="151"/>
      <c r="H995" s="142">
        <f>IFERROR(VLOOKUP($C995,$C$5:$H$18,6,0)+SUMIF($C$19:$C995,$C995,$F$19:$F995)-SUMIF($C$19:$C995,$C995,$G$19:$G995),"")</f>
        <v>81211.819999998</v>
      </c>
      <c r="I995" s="147"/>
      <c r="J995" s="147"/>
      <c r="K995" s="147" t="str">
        <f t="shared" si="15"/>
        <v/>
      </c>
      <c r="L995" s="40"/>
      <c r="M995"/>
      <c r="N995"/>
      <c r="O995"/>
      <c r="P995"/>
      <c r="Q995"/>
      <c r="R995"/>
      <c r="S995"/>
      <c r="T995"/>
      <c r="U995"/>
      <c r="V995"/>
      <c r="W995" s="41"/>
      <c r="X995" s="41"/>
      <c r="Y995" s="41"/>
    </row>
    <row r="996" s="27" customFormat="1" ht="23" hidden="1" customHeight="1" spans="1:25">
      <c r="A996" s="133" t="str">
        <f>IF(B996="","",COUNTA($B$5:B996))</f>
        <v/>
      </c>
      <c r="B996" s="148"/>
      <c r="C996" s="22" t="s">
        <v>49</v>
      </c>
      <c r="D996" s="149"/>
      <c r="E996" s="150"/>
      <c r="F996" s="151"/>
      <c r="G996" s="151"/>
      <c r="H996" s="142">
        <f>IFERROR(VLOOKUP($C996,$C$5:$H$18,6,0)+SUMIF($C$19:$C996,$C996,$F$19:$F996)-SUMIF($C$19:$C996,$C996,$G$19:$G996),"")</f>
        <v>81211.819999998</v>
      </c>
      <c r="I996" s="147"/>
      <c r="J996" s="147"/>
      <c r="K996" s="147" t="str">
        <f t="shared" si="15"/>
        <v/>
      </c>
      <c r="L996" s="40"/>
      <c r="M996"/>
      <c r="N996"/>
      <c r="O996"/>
      <c r="P996"/>
      <c r="Q996"/>
      <c r="R996"/>
      <c r="S996"/>
      <c r="T996"/>
      <c r="U996"/>
      <c r="V996"/>
      <c r="W996" s="41"/>
      <c r="X996" s="41"/>
      <c r="Y996" s="41"/>
    </row>
    <row r="997" s="27" customFormat="1" ht="23" hidden="1" customHeight="1" spans="1:25">
      <c r="A997" s="133" t="str">
        <f>IF(B997="","",COUNTA($B$5:B997))</f>
        <v/>
      </c>
      <c r="B997" s="148"/>
      <c r="C997" s="22" t="s">
        <v>49</v>
      </c>
      <c r="D997" s="149"/>
      <c r="E997" s="150"/>
      <c r="F997" s="151"/>
      <c r="G997" s="151"/>
      <c r="H997" s="142">
        <f>IFERROR(VLOOKUP($C997,$C$5:$H$18,6,0)+SUMIF($C$19:$C997,$C997,$F$19:$F997)-SUMIF($C$19:$C997,$C997,$G$19:$G997),"")</f>
        <v>81211.819999998</v>
      </c>
      <c r="I997" s="147"/>
      <c r="J997" s="147"/>
      <c r="K997" s="147" t="str">
        <f t="shared" si="15"/>
        <v/>
      </c>
      <c r="L997" s="40"/>
      <c r="M997"/>
      <c r="N997"/>
      <c r="O997"/>
      <c r="P997"/>
      <c r="Q997"/>
      <c r="R997"/>
      <c r="S997"/>
      <c r="T997"/>
      <c r="U997"/>
      <c r="V997"/>
      <c r="W997" s="41"/>
      <c r="X997" s="41"/>
      <c r="Y997" s="41"/>
    </row>
    <row r="998" s="27" customFormat="1" ht="23" hidden="1" customHeight="1" spans="1:25">
      <c r="A998" s="133" t="str">
        <f>IF(B998="","",COUNTA($B$5:B998))</f>
        <v/>
      </c>
      <c r="B998" s="148"/>
      <c r="C998" s="22" t="s">
        <v>49</v>
      </c>
      <c r="D998" s="149"/>
      <c r="E998" s="150"/>
      <c r="F998" s="151"/>
      <c r="G998" s="151"/>
      <c r="H998" s="142">
        <f>IFERROR(VLOOKUP($C998,$C$5:$H$18,6,0)+SUMIF($C$19:$C998,$C998,$F$19:$F998)-SUMIF($C$19:$C998,$C998,$G$19:$G998),"")</f>
        <v>81211.819999998</v>
      </c>
      <c r="I998" s="147"/>
      <c r="J998" s="147"/>
      <c r="K998" s="147" t="str">
        <f t="shared" si="15"/>
        <v/>
      </c>
      <c r="L998" s="40"/>
      <c r="M998"/>
      <c r="N998"/>
      <c r="O998"/>
      <c r="P998"/>
      <c r="Q998"/>
      <c r="R998"/>
      <c r="S998"/>
      <c r="T998"/>
      <c r="U998"/>
      <c r="V998"/>
      <c r="W998" s="41"/>
      <c r="X998" s="41"/>
      <c r="Y998" s="41"/>
    </row>
    <row r="999" s="27" customFormat="1" ht="23" hidden="1" customHeight="1" spans="1:25">
      <c r="A999" s="133" t="str">
        <f>IF(B999="","",COUNTA($B$5:B999))</f>
        <v/>
      </c>
      <c r="B999" s="148"/>
      <c r="C999" s="22" t="s">
        <v>49</v>
      </c>
      <c r="D999" s="149"/>
      <c r="E999" s="150"/>
      <c r="F999" s="151"/>
      <c r="G999" s="151"/>
      <c r="H999" s="142">
        <f>IFERROR(VLOOKUP($C999,$C$5:$H$18,6,0)+SUMIF($C$19:$C999,$C999,$F$19:$F999)-SUMIF($C$19:$C999,$C999,$G$19:$G999),"")</f>
        <v>81211.819999998</v>
      </c>
      <c r="I999" s="147"/>
      <c r="J999" s="147"/>
      <c r="K999" s="147" t="str">
        <f t="shared" si="15"/>
        <v/>
      </c>
      <c r="L999" s="40"/>
      <c r="M999"/>
      <c r="N999"/>
      <c r="O999"/>
      <c r="P999"/>
      <c r="Q999"/>
      <c r="R999"/>
      <c r="S999"/>
      <c r="T999"/>
      <c r="U999"/>
      <c r="V999"/>
      <c r="W999" s="41"/>
      <c r="X999" s="41"/>
      <c r="Y999" s="41"/>
    </row>
    <row r="1000" s="27" customFormat="1" ht="23" hidden="1" customHeight="1" spans="1:25">
      <c r="A1000" s="133" t="str">
        <f>IF(B1000="","",COUNTA($B$5:B1000))</f>
        <v/>
      </c>
      <c r="B1000" s="148"/>
      <c r="C1000" s="22" t="s">
        <v>49</v>
      </c>
      <c r="D1000" s="149"/>
      <c r="E1000" s="150"/>
      <c r="F1000" s="151"/>
      <c r="G1000" s="151"/>
      <c r="H1000" s="142">
        <f>IFERROR(VLOOKUP($C1000,$C$5:$H$18,6,0)+SUMIF($C$19:$C1000,$C1000,$F$19:$F1000)-SUMIF($C$19:$C1000,$C1000,$G$19:$G1000),"")</f>
        <v>81211.819999998</v>
      </c>
      <c r="I1000" s="147"/>
      <c r="J1000" s="147"/>
      <c r="K1000" s="147" t="str">
        <f t="shared" si="15"/>
        <v/>
      </c>
      <c r="L1000" s="40"/>
      <c r="M1000"/>
      <c r="N1000"/>
      <c r="O1000"/>
      <c r="P1000"/>
      <c r="Q1000"/>
      <c r="R1000"/>
      <c r="S1000"/>
      <c r="T1000"/>
      <c r="U1000"/>
      <c r="V1000"/>
      <c r="W1000" s="41"/>
      <c r="X1000" s="41"/>
      <c r="Y1000" s="41"/>
    </row>
    <row r="1001" s="27" customFormat="1" ht="23" hidden="1" customHeight="1" spans="1:25">
      <c r="A1001" s="133" t="str">
        <f>IF(B1001="","",COUNTA($B$5:B1001))</f>
        <v/>
      </c>
      <c r="B1001" s="148"/>
      <c r="C1001" s="22" t="s">
        <v>49</v>
      </c>
      <c r="D1001" s="149"/>
      <c r="E1001" s="150"/>
      <c r="F1001" s="151"/>
      <c r="G1001" s="151"/>
      <c r="H1001" s="142">
        <f>IFERROR(VLOOKUP($C1001,$C$5:$H$18,6,0)+SUMIF($C$19:$C1001,$C1001,$F$19:$F1001)-SUMIF($C$19:$C1001,$C1001,$G$19:$G1001),"")</f>
        <v>81211.819999998</v>
      </c>
      <c r="I1001" s="147"/>
      <c r="J1001" s="147"/>
      <c r="K1001" s="147" t="str">
        <f t="shared" si="15"/>
        <v/>
      </c>
      <c r="L1001" s="40"/>
      <c r="M1001"/>
      <c r="N1001"/>
      <c r="O1001"/>
      <c r="P1001"/>
      <c r="Q1001"/>
      <c r="R1001"/>
      <c r="S1001"/>
      <c r="T1001"/>
      <c r="U1001"/>
      <c r="V1001"/>
      <c r="W1001" s="41"/>
      <c r="X1001" s="41"/>
      <c r="Y1001" s="41"/>
    </row>
    <row r="1002" s="27" customFormat="1" ht="23" hidden="1" customHeight="1" spans="1:25">
      <c r="A1002" s="133" t="str">
        <f>IF(B1002="","",COUNTA($B$5:B1002))</f>
        <v/>
      </c>
      <c r="B1002" s="148"/>
      <c r="C1002" s="22" t="s">
        <v>49</v>
      </c>
      <c r="D1002" s="149"/>
      <c r="E1002" s="150"/>
      <c r="F1002" s="151"/>
      <c r="G1002" s="151"/>
      <c r="H1002" s="142">
        <f>IFERROR(VLOOKUP($C1002,$C$5:$H$18,6,0)+SUMIF($C$19:$C1002,$C1002,$F$19:$F1002)-SUMIF($C$19:$C1002,$C1002,$G$19:$G1002),"")</f>
        <v>81211.819999998</v>
      </c>
      <c r="I1002" s="147"/>
      <c r="J1002" s="147"/>
      <c r="K1002" s="147" t="str">
        <f t="shared" si="15"/>
        <v/>
      </c>
      <c r="L1002" s="40"/>
      <c r="M1002"/>
      <c r="N1002"/>
      <c r="O1002"/>
      <c r="P1002"/>
      <c r="Q1002"/>
      <c r="R1002"/>
      <c r="S1002"/>
      <c r="T1002"/>
      <c r="U1002"/>
      <c r="V1002"/>
      <c r="W1002" s="41"/>
      <c r="X1002" s="41"/>
      <c r="Y1002" s="41"/>
    </row>
    <row r="1003" s="27" customFormat="1" ht="23" hidden="1" customHeight="1" spans="1:25">
      <c r="A1003" s="133" t="str">
        <f>IF(B1003="","",COUNTA($B$5:B1003))</f>
        <v/>
      </c>
      <c r="B1003" s="148"/>
      <c r="C1003" s="22" t="s">
        <v>49</v>
      </c>
      <c r="D1003" s="149"/>
      <c r="E1003" s="150"/>
      <c r="F1003" s="151"/>
      <c r="G1003" s="151"/>
      <c r="H1003" s="142">
        <f>IFERROR(VLOOKUP($C1003,$C$5:$H$18,6,0)+SUMIF($C$19:$C1003,$C1003,$F$19:$F1003)-SUMIF($C$19:$C1003,$C1003,$G$19:$G1003),"")</f>
        <v>81211.819999998</v>
      </c>
      <c r="I1003" s="147"/>
      <c r="J1003" s="147"/>
      <c r="K1003" s="147" t="str">
        <f t="shared" si="15"/>
        <v/>
      </c>
      <c r="L1003" s="40"/>
      <c r="M1003"/>
      <c r="N1003"/>
      <c r="O1003"/>
      <c r="P1003"/>
      <c r="Q1003"/>
      <c r="R1003"/>
      <c r="S1003"/>
      <c r="T1003"/>
      <c r="U1003"/>
      <c r="V1003"/>
      <c r="W1003" s="41"/>
      <c r="X1003" s="41"/>
      <c r="Y1003" s="41"/>
    </row>
    <row r="1004" s="27" customFormat="1" ht="23" hidden="1" customHeight="1" spans="1:25">
      <c r="A1004" s="133" t="str">
        <f>IF(B1004="","",COUNTA($B$5:B1004))</f>
        <v/>
      </c>
      <c r="B1004" s="148"/>
      <c r="C1004" s="22" t="s">
        <v>49</v>
      </c>
      <c r="D1004" s="149"/>
      <c r="E1004" s="150"/>
      <c r="F1004" s="151"/>
      <c r="G1004" s="151"/>
      <c r="H1004" s="142">
        <f>IFERROR(VLOOKUP($C1004,$C$5:$H$18,6,0)+SUMIF($C$19:$C1004,$C1004,$F$19:$F1004)-SUMIF($C$19:$C1004,$C1004,$G$19:$G1004),"")</f>
        <v>81211.819999998</v>
      </c>
      <c r="I1004" s="147"/>
      <c r="J1004" s="147"/>
      <c r="K1004" s="147" t="str">
        <f t="shared" si="15"/>
        <v/>
      </c>
      <c r="L1004" s="40"/>
      <c r="M1004"/>
      <c r="N1004"/>
      <c r="O1004"/>
      <c r="P1004"/>
      <c r="Q1004"/>
      <c r="R1004"/>
      <c r="S1004"/>
      <c r="T1004"/>
      <c r="U1004"/>
      <c r="V1004"/>
      <c r="W1004" s="41"/>
      <c r="X1004" s="41"/>
      <c r="Y1004" s="41"/>
    </row>
    <row r="1005" s="27" customFormat="1" ht="23" hidden="1" customHeight="1" spans="1:25">
      <c r="A1005" s="133" t="str">
        <f>IF(B1005="","",COUNTA($B$5:B1005))</f>
        <v/>
      </c>
      <c r="B1005" s="148"/>
      <c r="C1005" s="22" t="s">
        <v>49</v>
      </c>
      <c r="D1005" s="149"/>
      <c r="E1005" s="150"/>
      <c r="F1005" s="151"/>
      <c r="G1005" s="151"/>
      <c r="H1005" s="142">
        <f>IFERROR(VLOOKUP($C1005,$C$5:$H$18,6,0)+SUMIF($C$19:$C1005,$C1005,$F$19:$F1005)-SUMIF($C$19:$C1005,$C1005,$G$19:$G1005),"")</f>
        <v>81211.819999998</v>
      </c>
      <c r="I1005" s="147"/>
      <c r="J1005" s="147"/>
      <c r="K1005" s="147" t="str">
        <f t="shared" si="15"/>
        <v/>
      </c>
      <c r="L1005" s="40"/>
      <c r="M1005"/>
      <c r="N1005"/>
      <c r="O1005"/>
      <c r="P1005"/>
      <c r="Q1005"/>
      <c r="R1005"/>
      <c r="S1005"/>
      <c r="T1005"/>
      <c r="U1005"/>
      <c r="V1005"/>
      <c r="W1005" s="41"/>
      <c r="X1005" s="41"/>
      <c r="Y1005" s="41"/>
    </row>
    <row r="1006" s="27" customFormat="1" ht="23" hidden="1" customHeight="1" spans="1:25">
      <c r="A1006" s="133" t="str">
        <f>IF(B1006="","",COUNTA($B$5:B1006))</f>
        <v/>
      </c>
      <c r="B1006" s="148"/>
      <c r="C1006" s="22" t="s">
        <v>49</v>
      </c>
      <c r="D1006" s="149"/>
      <c r="E1006" s="150"/>
      <c r="F1006" s="151"/>
      <c r="G1006" s="151"/>
      <c r="H1006" s="142">
        <f>IFERROR(VLOOKUP($C1006,$C$5:$H$18,6,0)+SUMIF($C$19:$C1006,$C1006,$F$19:$F1006)-SUMIF($C$19:$C1006,$C1006,$G$19:$G1006),"")</f>
        <v>81211.819999998</v>
      </c>
      <c r="I1006" s="147"/>
      <c r="J1006" s="147"/>
      <c r="K1006" s="147" t="str">
        <f t="shared" si="15"/>
        <v/>
      </c>
      <c r="L1006" s="40"/>
      <c r="M1006"/>
      <c r="N1006"/>
      <c r="O1006"/>
      <c r="P1006"/>
      <c r="Q1006"/>
      <c r="R1006"/>
      <c r="S1006"/>
      <c r="T1006"/>
      <c r="U1006"/>
      <c r="V1006"/>
      <c r="W1006" s="41"/>
      <c r="X1006" s="41"/>
      <c r="Y1006" s="41"/>
    </row>
    <row r="1007" s="27" customFormat="1" ht="23" hidden="1" customHeight="1" spans="1:25">
      <c r="A1007" s="133" t="str">
        <f>IF(B1007="","",COUNTA($B$5:B1007))</f>
        <v/>
      </c>
      <c r="B1007" s="148"/>
      <c r="C1007" s="22" t="s">
        <v>49</v>
      </c>
      <c r="D1007" s="149"/>
      <c r="E1007" s="150"/>
      <c r="F1007" s="151"/>
      <c r="G1007" s="151"/>
      <c r="H1007" s="142">
        <f>IFERROR(VLOOKUP($C1007,$C$5:$H$18,6,0)+SUMIF($C$19:$C1007,$C1007,$F$19:$F1007)-SUMIF($C$19:$C1007,$C1007,$G$19:$G1007),"")</f>
        <v>81211.819999998</v>
      </c>
      <c r="I1007" s="147"/>
      <c r="J1007" s="147"/>
      <c r="K1007" s="147" t="str">
        <f t="shared" si="15"/>
        <v/>
      </c>
      <c r="L1007" s="40"/>
      <c r="M1007"/>
      <c r="N1007"/>
      <c r="O1007"/>
      <c r="P1007"/>
      <c r="Q1007"/>
      <c r="R1007"/>
      <c r="S1007"/>
      <c r="T1007"/>
      <c r="U1007"/>
      <c r="V1007"/>
      <c r="W1007" s="41"/>
      <c r="X1007" s="41"/>
      <c r="Y1007" s="41"/>
    </row>
    <row r="1008" s="27" customFormat="1" ht="23" hidden="1" customHeight="1" spans="1:25">
      <c r="A1008" s="133" t="str">
        <f>IF(B1008="","",COUNTA($B$5:B1008))</f>
        <v/>
      </c>
      <c r="B1008" s="148"/>
      <c r="C1008" s="22" t="s">
        <v>49</v>
      </c>
      <c r="D1008" s="149"/>
      <c r="E1008" s="150"/>
      <c r="F1008" s="151"/>
      <c r="G1008" s="151"/>
      <c r="H1008" s="142">
        <f>IFERROR(VLOOKUP($C1008,$C$5:$H$18,6,0)+SUMIF($C$19:$C1008,$C1008,$F$19:$F1008)-SUMIF($C$19:$C1008,$C1008,$G$19:$G1008),"")</f>
        <v>81211.819999998</v>
      </c>
      <c r="I1008" s="147"/>
      <c r="J1008" s="147"/>
      <c r="K1008" s="147" t="str">
        <f t="shared" si="15"/>
        <v/>
      </c>
      <c r="L1008" s="40"/>
      <c r="M1008"/>
      <c r="N1008"/>
      <c r="O1008"/>
      <c r="P1008"/>
      <c r="Q1008"/>
      <c r="R1008"/>
      <c r="S1008"/>
      <c r="T1008"/>
      <c r="U1008"/>
      <c r="V1008"/>
      <c r="W1008" s="41"/>
      <c r="X1008" s="41"/>
      <c r="Y1008" s="41"/>
    </row>
    <row r="1009" s="27" customFormat="1" ht="23" hidden="1" customHeight="1" spans="1:25">
      <c r="A1009" s="133" t="str">
        <f>IF(B1009="","",COUNTA($B$5:B1009))</f>
        <v/>
      </c>
      <c r="B1009" s="148"/>
      <c r="C1009" s="22" t="s">
        <v>49</v>
      </c>
      <c r="D1009" s="149"/>
      <c r="E1009" s="150"/>
      <c r="F1009" s="151"/>
      <c r="G1009" s="151"/>
      <c r="H1009" s="142">
        <f>IFERROR(VLOOKUP($C1009,$C$5:$H$18,6,0)+SUMIF($C$19:$C1009,$C1009,$F$19:$F1009)-SUMIF($C$19:$C1009,$C1009,$G$19:$G1009),"")</f>
        <v>81211.819999998</v>
      </c>
      <c r="I1009" s="147"/>
      <c r="J1009" s="147"/>
      <c r="K1009" s="147" t="str">
        <f t="shared" si="15"/>
        <v/>
      </c>
      <c r="L1009" s="40"/>
      <c r="M1009"/>
      <c r="N1009"/>
      <c r="O1009"/>
      <c r="P1009"/>
      <c r="Q1009"/>
      <c r="R1009"/>
      <c r="S1009"/>
      <c r="T1009"/>
      <c r="U1009"/>
      <c r="V1009"/>
      <c r="W1009" s="41"/>
      <c r="X1009" s="41"/>
      <c r="Y1009" s="41"/>
    </row>
    <row r="1010" s="27" customFormat="1" ht="23" hidden="1" customHeight="1" spans="1:25">
      <c r="A1010" s="133" t="str">
        <f>IF(B1010="","",COUNTA($B$5:B1010))</f>
        <v/>
      </c>
      <c r="B1010" s="148"/>
      <c r="C1010" s="22" t="s">
        <v>49</v>
      </c>
      <c r="D1010" s="149"/>
      <c r="E1010" s="150"/>
      <c r="F1010" s="151"/>
      <c r="G1010" s="151"/>
      <c r="H1010" s="142">
        <f>IFERROR(VLOOKUP($C1010,$C$5:$H$18,6,0)+SUMIF($C$19:$C1010,$C1010,$F$19:$F1010)-SUMIF($C$19:$C1010,$C1010,$G$19:$G1010),"")</f>
        <v>81211.819999998</v>
      </c>
      <c r="I1010" s="147"/>
      <c r="J1010" s="147"/>
      <c r="K1010" s="147" t="str">
        <f t="shared" si="15"/>
        <v/>
      </c>
      <c r="L1010" s="40"/>
      <c r="M1010"/>
      <c r="N1010"/>
      <c r="O1010"/>
      <c r="P1010"/>
      <c r="Q1010"/>
      <c r="R1010"/>
      <c r="S1010"/>
      <c r="T1010"/>
      <c r="U1010"/>
      <c r="V1010"/>
      <c r="W1010" s="41"/>
      <c r="X1010" s="41"/>
      <c r="Y1010" s="41"/>
    </row>
    <row r="1011" s="27" customFormat="1" ht="23" hidden="1" customHeight="1" spans="1:25">
      <c r="A1011" s="133" t="str">
        <f>IF(B1011="","",COUNTA($B$5:B1011))</f>
        <v/>
      </c>
      <c r="B1011" s="148"/>
      <c r="C1011" s="22" t="s">
        <v>49</v>
      </c>
      <c r="D1011" s="149"/>
      <c r="E1011" s="150"/>
      <c r="F1011" s="151"/>
      <c r="G1011" s="151"/>
      <c r="H1011" s="142">
        <f>IFERROR(VLOOKUP($C1011,$C$5:$H$18,6,0)+SUMIF($C$19:$C1011,$C1011,$F$19:$F1011)-SUMIF($C$19:$C1011,$C1011,$G$19:$G1011),"")</f>
        <v>81211.819999998</v>
      </c>
      <c r="I1011" s="147"/>
      <c r="J1011" s="147"/>
      <c r="K1011" s="147" t="str">
        <f t="shared" si="15"/>
        <v/>
      </c>
      <c r="L1011" s="40"/>
      <c r="M1011"/>
      <c r="N1011"/>
      <c r="O1011"/>
      <c r="P1011"/>
      <c r="Q1011"/>
      <c r="R1011"/>
      <c r="S1011"/>
      <c r="T1011"/>
      <c r="U1011"/>
      <c r="V1011"/>
      <c r="W1011" s="41"/>
      <c r="X1011" s="41"/>
      <c r="Y1011" s="41"/>
    </row>
    <row r="1012" s="27" customFormat="1" ht="23" hidden="1" customHeight="1" spans="1:25">
      <c r="A1012" s="133" t="str">
        <f>IF(B1012="","",COUNTA($B$5:B1012))</f>
        <v/>
      </c>
      <c r="B1012" s="148"/>
      <c r="C1012" s="22" t="s">
        <v>49</v>
      </c>
      <c r="D1012" s="149"/>
      <c r="E1012" s="150"/>
      <c r="F1012" s="151"/>
      <c r="G1012" s="151"/>
      <c r="H1012" s="142">
        <f>IFERROR(VLOOKUP($C1012,$C$5:$H$18,6,0)+SUMIF($C$19:$C1012,$C1012,$F$19:$F1012)-SUMIF($C$19:$C1012,$C1012,$G$19:$G1012),"")</f>
        <v>81211.819999998</v>
      </c>
      <c r="I1012" s="147"/>
      <c r="J1012" s="147"/>
      <c r="K1012" s="147" t="str">
        <f t="shared" si="15"/>
        <v/>
      </c>
      <c r="L1012" s="40"/>
      <c r="M1012"/>
      <c r="N1012"/>
      <c r="O1012"/>
      <c r="P1012"/>
      <c r="Q1012"/>
      <c r="R1012"/>
      <c r="S1012"/>
      <c r="T1012"/>
      <c r="U1012"/>
      <c r="V1012"/>
      <c r="W1012" s="41"/>
      <c r="X1012" s="41"/>
      <c r="Y1012" s="41"/>
    </row>
    <row r="1013" s="27" customFormat="1" ht="23" hidden="1" customHeight="1" spans="1:25">
      <c r="A1013" s="133" t="str">
        <f>IF(B1013="","",COUNTA($B$5:B1013))</f>
        <v/>
      </c>
      <c r="B1013" s="148"/>
      <c r="C1013" s="22" t="s">
        <v>49</v>
      </c>
      <c r="D1013" s="149"/>
      <c r="E1013" s="150"/>
      <c r="F1013" s="151"/>
      <c r="G1013" s="151"/>
      <c r="H1013" s="142">
        <f>IFERROR(VLOOKUP($C1013,$C$5:$H$18,6,0)+SUMIF($C$19:$C1013,$C1013,$F$19:$F1013)-SUMIF($C$19:$C1013,$C1013,$G$19:$G1013),"")</f>
        <v>81211.819999998</v>
      </c>
      <c r="I1013" s="147"/>
      <c r="J1013" s="147"/>
      <c r="K1013" s="147" t="str">
        <f t="shared" si="15"/>
        <v/>
      </c>
      <c r="L1013" s="40"/>
      <c r="M1013"/>
      <c r="N1013"/>
      <c r="O1013"/>
      <c r="P1013"/>
      <c r="Q1013"/>
      <c r="R1013"/>
      <c r="S1013"/>
      <c r="T1013"/>
      <c r="U1013"/>
      <c r="V1013"/>
      <c r="W1013" s="41"/>
      <c r="X1013" s="41"/>
      <c r="Y1013" s="41"/>
    </row>
    <row r="1014" s="27" customFormat="1" ht="23" hidden="1" customHeight="1" spans="1:25">
      <c r="A1014" s="133" t="str">
        <f>IF(B1014="","",COUNTA($B$5:B1014))</f>
        <v/>
      </c>
      <c r="B1014" s="148"/>
      <c r="C1014" s="22" t="s">
        <v>49</v>
      </c>
      <c r="D1014" s="149"/>
      <c r="E1014" s="150"/>
      <c r="F1014" s="151"/>
      <c r="G1014" s="151"/>
      <c r="H1014" s="142">
        <f>IFERROR(VLOOKUP($C1014,$C$5:$H$18,6,0)+SUMIF($C$19:$C1014,$C1014,$F$19:$F1014)-SUMIF($C$19:$C1014,$C1014,$G$19:$G1014),"")</f>
        <v>81211.819999998</v>
      </c>
      <c r="I1014" s="147"/>
      <c r="J1014" s="147"/>
      <c r="K1014" s="147" t="str">
        <f t="shared" si="15"/>
        <v/>
      </c>
      <c r="L1014" s="40"/>
      <c r="M1014"/>
      <c r="N1014"/>
      <c r="O1014"/>
      <c r="P1014"/>
      <c r="Q1014"/>
      <c r="R1014"/>
      <c r="S1014"/>
      <c r="T1014"/>
      <c r="U1014"/>
      <c r="V1014"/>
      <c r="W1014" s="41"/>
      <c r="X1014" s="41"/>
      <c r="Y1014" s="41"/>
    </row>
    <row r="1015" s="27" customFormat="1" ht="23" hidden="1" customHeight="1" spans="1:25">
      <c r="A1015" s="133" t="str">
        <f>IF(B1015="","",COUNTA($B$5:B1015))</f>
        <v/>
      </c>
      <c r="B1015" s="148"/>
      <c r="C1015" s="22" t="s">
        <v>49</v>
      </c>
      <c r="D1015" s="149"/>
      <c r="E1015" s="150"/>
      <c r="F1015" s="151"/>
      <c r="G1015" s="151"/>
      <c r="H1015" s="142">
        <f>IFERROR(VLOOKUP($C1015,$C$5:$H$18,6,0)+SUMIF($C$19:$C1015,$C1015,$F$19:$F1015)-SUMIF($C$19:$C1015,$C1015,$G$19:$G1015),"")</f>
        <v>81211.819999998</v>
      </c>
      <c r="I1015" s="147"/>
      <c r="J1015" s="147"/>
      <c r="K1015" s="147" t="str">
        <f t="shared" si="15"/>
        <v/>
      </c>
      <c r="L1015" s="40"/>
      <c r="M1015"/>
      <c r="N1015"/>
      <c r="O1015"/>
      <c r="P1015"/>
      <c r="Q1015"/>
      <c r="R1015"/>
      <c r="S1015"/>
      <c r="T1015"/>
      <c r="U1015"/>
      <c r="V1015"/>
      <c r="W1015" s="41"/>
      <c r="X1015" s="41"/>
      <c r="Y1015" s="41"/>
    </row>
    <row r="1016" s="27" customFormat="1" ht="23" hidden="1" customHeight="1" spans="1:25">
      <c r="A1016" s="133" t="str">
        <f>IF(B1016="","",COUNTA($B$5:B1016))</f>
        <v/>
      </c>
      <c r="B1016" s="148"/>
      <c r="C1016" s="22" t="s">
        <v>49</v>
      </c>
      <c r="D1016" s="149"/>
      <c r="E1016" s="150"/>
      <c r="F1016" s="151"/>
      <c r="G1016" s="151"/>
      <c r="H1016" s="142">
        <f>IFERROR(VLOOKUP($C1016,$C$5:$H$18,6,0)+SUMIF($C$19:$C1016,$C1016,$F$19:$F1016)-SUMIF($C$19:$C1016,$C1016,$G$19:$G1016),"")</f>
        <v>81211.819999998</v>
      </c>
      <c r="I1016" s="147"/>
      <c r="J1016" s="147"/>
      <c r="K1016" s="147" t="str">
        <f t="shared" si="15"/>
        <v/>
      </c>
      <c r="L1016" s="40"/>
      <c r="M1016"/>
      <c r="N1016"/>
      <c r="O1016"/>
      <c r="P1016"/>
      <c r="Q1016"/>
      <c r="R1016"/>
      <c r="S1016"/>
      <c r="T1016"/>
      <c r="U1016"/>
      <c r="V1016"/>
      <c r="W1016" s="41"/>
      <c r="X1016" s="41"/>
      <c r="Y1016" s="41"/>
    </row>
    <row r="1017" s="27" customFormat="1" ht="23" hidden="1" customHeight="1" spans="1:25">
      <c r="A1017" s="133" t="str">
        <f>IF(B1017="","",COUNTA($B$5:B1017))</f>
        <v/>
      </c>
      <c r="B1017" s="148"/>
      <c r="C1017" s="22" t="s">
        <v>49</v>
      </c>
      <c r="D1017" s="149"/>
      <c r="E1017" s="150"/>
      <c r="F1017" s="151"/>
      <c r="G1017" s="151"/>
      <c r="H1017" s="142">
        <f>IFERROR(VLOOKUP($C1017,$C$5:$H$18,6,0)+SUMIF($C$19:$C1017,$C1017,$F$19:$F1017)-SUMIF($C$19:$C1017,$C1017,$G$19:$G1017),"")</f>
        <v>81211.819999998</v>
      </c>
      <c r="I1017" s="147"/>
      <c r="J1017" s="147"/>
      <c r="K1017" s="147" t="str">
        <f t="shared" si="15"/>
        <v/>
      </c>
      <c r="L1017" s="40"/>
      <c r="M1017"/>
      <c r="N1017"/>
      <c r="O1017"/>
      <c r="P1017"/>
      <c r="Q1017"/>
      <c r="R1017"/>
      <c r="S1017"/>
      <c r="T1017"/>
      <c r="U1017"/>
      <c r="V1017"/>
      <c r="W1017" s="41"/>
      <c r="X1017" s="41"/>
      <c r="Y1017" s="41"/>
    </row>
    <row r="1018" s="27" customFormat="1" ht="23" hidden="1" customHeight="1" spans="1:25">
      <c r="A1018" s="133" t="str">
        <f>IF(B1018="","",COUNTA($B$5:B1018))</f>
        <v/>
      </c>
      <c r="B1018" s="148"/>
      <c r="C1018" s="22" t="s">
        <v>49</v>
      </c>
      <c r="D1018" s="149"/>
      <c r="E1018" s="150"/>
      <c r="F1018" s="151"/>
      <c r="G1018" s="151"/>
      <c r="H1018" s="142">
        <f>IFERROR(VLOOKUP($C1018,$C$5:$H$18,6,0)+SUMIF($C$19:$C1018,$C1018,$F$19:$F1018)-SUMIF($C$19:$C1018,$C1018,$G$19:$G1018),"")</f>
        <v>81211.819999998</v>
      </c>
      <c r="I1018" s="147"/>
      <c r="J1018" s="147"/>
      <c r="K1018" s="147" t="str">
        <f t="shared" si="15"/>
        <v/>
      </c>
      <c r="L1018" s="40"/>
      <c r="M1018"/>
      <c r="N1018"/>
      <c r="O1018"/>
      <c r="P1018"/>
      <c r="Q1018"/>
      <c r="R1018"/>
      <c r="S1018"/>
      <c r="T1018"/>
      <c r="U1018"/>
      <c r="V1018"/>
      <c r="W1018" s="41"/>
      <c r="X1018" s="41"/>
      <c r="Y1018" s="41"/>
    </row>
    <row r="1019" s="27" customFormat="1" ht="23" hidden="1" customHeight="1" spans="1:25">
      <c r="A1019" s="133" t="str">
        <f>IF(B1019="","",COUNTA($B$5:B1019))</f>
        <v/>
      </c>
      <c r="B1019" s="148"/>
      <c r="C1019" s="22" t="s">
        <v>49</v>
      </c>
      <c r="D1019" s="149"/>
      <c r="E1019" s="150"/>
      <c r="F1019" s="151"/>
      <c r="G1019" s="151"/>
      <c r="H1019" s="142">
        <f>IFERROR(VLOOKUP($C1019,$C$5:$H$18,6,0)+SUMIF($C$19:$C1019,$C1019,$F$19:$F1019)-SUMIF($C$19:$C1019,$C1019,$G$19:$G1019),"")</f>
        <v>81211.819999998</v>
      </c>
      <c r="I1019" s="147"/>
      <c r="J1019" s="147"/>
      <c r="K1019" s="147" t="str">
        <f t="shared" si="15"/>
        <v/>
      </c>
      <c r="L1019" s="40"/>
      <c r="M1019"/>
      <c r="N1019"/>
      <c r="O1019"/>
      <c r="P1019"/>
      <c r="Q1019"/>
      <c r="R1019"/>
      <c r="S1019"/>
      <c r="T1019"/>
      <c r="U1019"/>
      <c r="V1019"/>
      <c r="W1019" s="41"/>
      <c r="X1019" s="41"/>
      <c r="Y1019" s="41"/>
    </row>
    <row r="1020" s="27" customFormat="1" ht="23" hidden="1" customHeight="1" spans="1:25">
      <c r="A1020" s="133" t="str">
        <f>IF(B1020="","",COUNTA($B$5:B1020))</f>
        <v/>
      </c>
      <c r="B1020" s="148"/>
      <c r="C1020" s="22" t="s">
        <v>49</v>
      </c>
      <c r="D1020" s="149"/>
      <c r="E1020" s="150"/>
      <c r="F1020" s="151"/>
      <c r="G1020" s="151"/>
      <c r="H1020" s="142">
        <f>IFERROR(VLOOKUP($C1020,$C$5:$H$18,6,0)+SUMIF($C$19:$C1020,$C1020,$F$19:$F1020)-SUMIF($C$19:$C1020,$C1020,$G$19:$G1020),"")</f>
        <v>81211.819999998</v>
      </c>
      <c r="I1020" s="147"/>
      <c r="J1020" s="147"/>
      <c r="K1020" s="147" t="str">
        <f t="shared" si="15"/>
        <v/>
      </c>
      <c r="L1020" s="40"/>
      <c r="M1020"/>
      <c r="N1020"/>
      <c r="O1020"/>
      <c r="P1020"/>
      <c r="Q1020"/>
      <c r="R1020"/>
      <c r="S1020"/>
      <c r="T1020"/>
      <c r="U1020"/>
      <c r="V1020"/>
      <c r="W1020" s="41"/>
      <c r="X1020" s="41"/>
      <c r="Y1020" s="41"/>
    </row>
    <row r="1021" s="27" customFormat="1" ht="23" hidden="1" customHeight="1" spans="1:25">
      <c r="A1021" s="133" t="str">
        <f>IF(B1021="","",COUNTA($B$5:B1021))</f>
        <v/>
      </c>
      <c r="B1021" s="148"/>
      <c r="C1021" s="22" t="s">
        <v>49</v>
      </c>
      <c r="D1021" s="149"/>
      <c r="E1021" s="150"/>
      <c r="F1021" s="151"/>
      <c r="G1021" s="151"/>
      <c r="H1021" s="142">
        <f>IFERROR(VLOOKUP($C1021,$C$5:$H$18,6,0)+SUMIF($C$19:$C1021,$C1021,$F$19:$F1021)-SUMIF($C$19:$C1021,$C1021,$G$19:$G1021),"")</f>
        <v>81211.819999998</v>
      </c>
      <c r="I1021" s="147"/>
      <c r="J1021" s="147"/>
      <c r="K1021" s="147" t="str">
        <f t="shared" si="15"/>
        <v/>
      </c>
      <c r="L1021" s="40"/>
      <c r="M1021"/>
      <c r="N1021"/>
      <c r="O1021"/>
      <c r="P1021"/>
      <c r="Q1021"/>
      <c r="R1021"/>
      <c r="S1021"/>
      <c r="T1021"/>
      <c r="U1021"/>
      <c r="V1021"/>
      <c r="W1021" s="41"/>
      <c r="X1021" s="41"/>
      <c r="Y1021" s="41"/>
    </row>
    <row r="1022" s="27" customFormat="1" ht="23" hidden="1" customHeight="1" spans="1:25">
      <c r="A1022" s="133" t="str">
        <f>IF(B1022="","",COUNTA($B$5:B1022))</f>
        <v/>
      </c>
      <c r="B1022" s="148"/>
      <c r="C1022" s="22" t="s">
        <v>49</v>
      </c>
      <c r="D1022" s="149"/>
      <c r="E1022" s="150"/>
      <c r="F1022" s="151"/>
      <c r="G1022" s="151"/>
      <c r="H1022" s="142">
        <f>IFERROR(VLOOKUP($C1022,$C$5:$H$18,6,0)+SUMIF($C$19:$C1022,$C1022,$F$19:$F1022)-SUMIF($C$19:$C1022,$C1022,$G$19:$G1022),"")</f>
        <v>81211.819999998</v>
      </c>
      <c r="I1022" s="147"/>
      <c r="J1022" s="147"/>
      <c r="K1022" s="147" t="str">
        <f t="shared" si="15"/>
        <v/>
      </c>
      <c r="L1022" s="40"/>
      <c r="M1022"/>
      <c r="N1022"/>
      <c r="O1022"/>
      <c r="P1022"/>
      <c r="Q1022"/>
      <c r="R1022"/>
      <c r="S1022"/>
      <c r="T1022"/>
      <c r="U1022"/>
      <c r="V1022"/>
      <c r="W1022" s="41"/>
      <c r="X1022" s="41"/>
      <c r="Y1022" s="41"/>
    </row>
    <row r="1023" s="27" customFormat="1" ht="23" hidden="1" customHeight="1" spans="1:25">
      <c r="A1023" s="133" t="str">
        <f>IF(B1023="","",COUNTA($B$5:B1023))</f>
        <v/>
      </c>
      <c r="B1023" s="148"/>
      <c r="C1023" s="22" t="s">
        <v>49</v>
      </c>
      <c r="D1023" s="149"/>
      <c r="E1023" s="150"/>
      <c r="F1023" s="151"/>
      <c r="G1023" s="151"/>
      <c r="H1023" s="142">
        <f>IFERROR(VLOOKUP($C1023,$C$5:$H$18,6,0)+SUMIF($C$19:$C1023,$C1023,$F$19:$F1023)-SUMIF($C$19:$C1023,$C1023,$G$19:$G1023),"")</f>
        <v>81211.819999998</v>
      </c>
      <c r="I1023" s="147"/>
      <c r="J1023" s="147"/>
      <c r="K1023" s="147" t="str">
        <f t="shared" si="15"/>
        <v/>
      </c>
      <c r="L1023" s="40"/>
      <c r="M1023"/>
      <c r="N1023"/>
      <c r="O1023"/>
      <c r="P1023"/>
      <c r="Q1023"/>
      <c r="R1023"/>
      <c r="S1023"/>
      <c r="T1023"/>
      <c r="U1023"/>
      <c r="V1023"/>
      <c r="W1023" s="41"/>
      <c r="X1023" s="41"/>
      <c r="Y1023" s="41"/>
    </row>
    <row r="1024" s="27" customFormat="1" ht="23" hidden="1" customHeight="1" spans="1:25">
      <c r="A1024" s="133" t="str">
        <f>IF(B1024="","",COUNTA($B$5:B1024))</f>
        <v/>
      </c>
      <c r="B1024" s="148"/>
      <c r="C1024" s="22" t="s">
        <v>49</v>
      </c>
      <c r="D1024" s="149"/>
      <c r="E1024" s="150"/>
      <c r="F1024" s="151"/>
      <c r="G1024" s="151"/>
      <c r="H1024" s="142">
        <f>IFERROR(VLOOKUP($C1024,$C$5:$H$18,6,0)+SUMIF($C$19:$C1024,$C1024,$F$19:$F1024)-SUMIF($C$19:$C1024,$C1024,$G$19:$G1024),"")</f>
        <v>81211.819999998</v>
      </c>
      <c r="I1024" s="147"/>
      <c r="J1024" s="147"/>
      <c r="K1024" s="147" t="str">
        <f t="shared" si="15"/>
        <v/>
      </c>
      <c r="L1024" s="40"/>
      <c r="M1024"/>
      <c r="N1024"/>
      <c r="O1024"/>
      <c r="P1024"/>
      <c r="Q1024"/>
      <c r="R1024"/>
      <c r="S1024"/>
      <c r="T1024"/>
      <c r="U1024"/>
      <c r="V1024"/>
      <c r="W1024" s="41"/>
      <c r="X1024" s="41"/>
      <c r="Y1024" s="41"/>
    </row>
    <row r="1025" s="27" customFormat="1" ht="23" hidden="1" customHeight="1" spans="1:25">
      <c r="A1025" s="133" t="str">
        <f>IF(B1025="","",COUNTA($B$5:B1025))</f>
        <v/>
      </c>
      <c r="B1025" s="148"/>
      <c r="C1025" s="22" t="s">
        <v>49</v>
      </c>
      <c r="D1025" s="149"/>
      <c r="E1025" s="150"/>
      <c r="F1025" s="151"/>
      <c r="G1025" s="151"/>
      <c r="H1025" s="142">
        <f>IFERROR(VLOOKUP($C1025,$C$5:$H$18,6,0)+SUMIF($C$19:$C1025,$C1025,$F$19:$F1025)-SUMIF($C$19:$C1025,$C1025,$G$19:$G1025),"")</f>
        <v>81211.819999998</v>
      </c>
      <c r="I1025" s="147"/>
      <c r="J1025" s="147"/>
      <c r="K1025" s="147" t="str">
        <f t="shared" si="15"/>
        <v/>
      </c>
      <c r="L1025" s="40"/>
      <c r="M1025"/>
      <c r="N1025"/>
      <c r="O1025"/>
      <c r="P1025"/>
      <c r="Q1025"/>
      <c r="R1025"/>
      <c r="S1025"/>
      <c r="T1025"/>
      <c r="U1025"/>
      <c r="V1025"/>
      <c r="W1025" s="41"/>
      <c r="X1025" s="41"/>
      <c r="Y1025" s="41"/>
    </row>
    <row r="1026" s="27" customFormat="1" ht="23" hidden="1" customHeight="1" spans="1:25">
      <c r="A1026" s="133" t="str">
        <f>IF(B1026="","",COUNTA($B$5:B1026))</f>
        <v/>
      </c>
      <c r="B1026" s="148"/>
      <c r="C1026" s="22" t="s">
        <v>49</v>
      </c>
      <c r="D1026" s="149"/>
      <c r="E1026" s="150"/>
      <c r="F1026" s="151"/>
      <c r="G1026" s="151"/>
      <c r="H1026" s="142">
        <f>IFERROR(VLOOKUP($C1026,$C$5:$H$18,6,0)+SUMIF($C$19:$C1026,$C1026,$F$19:$F1026)-SUMIF($C$19:$C1026,$C1026,$G$19:$G1026),"")</f>
        <v>81211.819999998</v>
      </c>
      <c r="I1026" s="147"/>
      <c r="J1026" s="147"/>
      <c r="K1026" s="147" t="str">
        <f t="shared" si="15"/>
        <v/>
      </c>
      <c r="L1026" s="40"/>
      <c r="M1026"/>
      <c r="N1026"/>
      <c r="O1026"/>
      <c r="P1026"/>
      <c r="Q1026"/>
      <c r="R1026"/>
      <c r="S1026"/>
      <c r="T1026"/>
      <c r="U1026"/>
      <c r="V1026"/>
      <c r="W1026" s="41"/>
      <c r="X1026" s="41"/>
      <c r="Y1026" s="41"/>
    </row>
    <row r="1027" s="27" customFormat="1" ht="23" hidden="1" customHeight="1" spans="1:25">
      <c r="A1027" s="133" t="str">
        <f>IF(B1027="","",COUNTA($B$5:B1027))</f>
        <v/>
      </c>
      <c r="B1027" s="148"/>
      <c r="C1027" s="22" t="s">
        <v>49</v>
      </c>
      <c r="D1027" s="149"/>
      <c r="E1027" s="150"/>
      <c r="F1027" s="151"/>
      <c r="G1027" s="151"/>
      <c r="H1027" s="142">
        <f>IFERROR(VLOOKUP($C1027,$C$5:$H$18,6,0)+SUMIF($C$19:$C1027,$C1027,$F$19:$F1027)-SUMIF($C$19:$C1027,$C1027,$G$19:$G1027),"")</f>
        <v>81211.819999998</v>
      </c>
      <c r="I1027" s="147"/>
      <c r="J1027" s="147"/>
      <c r="K1027" s="147" t="str">
        <f t="shared" si="15"/>
        <v/>
      </c>
      <c r="L1027" s="40"/>
      <c r="M1027"/>
      <c r="N1027"/>
      <c r="O1027"/>
      <c r="P1027"/>
      <c r="Q1027"/>
      <c r="R1027"/>
      <c r="S1027"/>
      <c r="T1027"/>
      <c r="U1027"/>
      <c r="V1027"/>
      <c r="W1027" s="41"/>
      <c r="X1027" s="41"/>
      <c r="Y1027" s="41"/>
    </row>
    <row r="1028" s="27" customFormat="1" ht="23" hidden="1" customHeight="1" spans="1:25">
      <c r="A1028" s="133" t="str">
        <f>IF(B1028="","",COUNTA($B$5:B1028))</f>
        <v/>
      </c>
      <c r="B1028" s="148"/>
      <c r="C1028" s="22" t="s">
        <v>49</v>
      </c>
      <c r="D1028" s="149"/>
      <c r="E1028" s="150"/>
      <c r="F1028" s="151"/>
      <c r="G1028" s="151"/>
      <c r="H1028" s="142">
        <f>IFERROR(VLOOKUP($C1028,$C$5:$H$18,6,0)+SUMIF($C$19:$C1028,$C1028,$F$19:$F1028)-SUMIF($C$19:$C1028,$C1028,$G$19:$G1028),"")</f>
        <v>81211.819999998</v>
      </c>
      <c r="I1028" s="147"/>
      <c r="J1028" s="147"/>
      <c r="K1028" s="147" t="str">
        <f t="shared" si="15"/>
        <v/>
      </c>
      <c r="L1028" s="40"/>
      <c r="M1028"/>
      <c r="N1028"/>
      <c r="O1028"/>
      <c r="P1028"/>
      <c r="Q1028"/>
      <c r="R1028"/>
      <c r="S1028"/>
      <c r="T1028"/>
      <c r="U1028"/>
      <c r="V1028"/>
      <c r="W1028" s="41"/>
      <c r="X1028" s="41"/>
      <c r="Y1028" s="41"/>
    </row>
    <row r="1029" s="27" customFormat="1" ht="23" hidden="1" customHeight="1" spans="1:25">
      <c r="A1029" s="133" t="str">
        <f>IF(B1029="","",COUNTA($B$5:B1029))</f>
        <v/>
      </c>
      <c r="B1029" s="148"/>
      <c r="C1029" s="22" t="s">
        <v>49</v>
      </c>
      <c r="D1029" s="149"/>
      <c r="E1029" s="150"/>
      <c r="F1029" s="151"/>
      <c r="G1029" s="151"/>
      <c r="H1029" s="142">
        <f>IFERROR(VLOOKUP($C1029,$C$5:$H$18,6,0)+SUMIF($C$19:$C1029,$C1029,$F$19:$F1029)-SUMIF($C$19:$C1029,$C1029,$G$19:$G1029),"")</f>
        <v>81211.819999998</v>
      </c>
      <c r="I1029" s="147"/>
      <c r="J1029" s="147"/>
      <c r="K1029" s="147" t="str">
        <f t="shared" ref="K1029:K1092" si="16">IF($B1029="","",--TEXT($B1029,"yyyymm"))</f>
        <v/>
      </c>
      <c r="L1029" s="40"/>
      <c r="M1029"/>
      <c r="N1029"/>
      <c r="O1029"/>
      <c r="P1029"/>
      <c r="Q1029"/>
      <c r="R1029"/>
      <c r="S1029"/>
      <c r="T1029"/>
      <c r="U1029"/>
      <c r="V1029"/>
      <c r="W1029" s="41"/>
      <c r="X1029" s="41"/>
      <c r="Y1029" s="41"/>
    </row>
    <row r="1030" s="27" customFormat="1" ht="23" hidden="1" customHeight="1" spans="1:25">
      <c r="A1030" s="133" t="str">
        <f>IF(B1030="","",COUNTA($B$5:B1030))</f>
        <v/>
      </c>
      <c r="B1030" s="148"/>
      <c r="C1030" s="22" t="s">
        <v>49</v>
      </c>
      <c r="D1030" s="149"/>
      <c r="E1030" s="150"/>
      <c r="F1030" s="151"/>
      <c r="G1030" s="151"/>
      <c r="H1030" s="142">
        <f>IFERROR(VLOOKUP($C1030,$C$5:$H$18,6,0)+SUMIF($C$19:$C1030,$C1030,$F$19:$F1030)-SUMIF($C$19:$C1030,$C1030,$G$19:$G1030),"")</f>
        <v>81211.819999998</v>
      </c>
      <c r="I1030" s="147"/>
      <c r="J1030" s="147"/>
      <c r="K1030" s="147" t="str">
        <f t="shared" si="16"/>
        <v/>
      </c>
      <c r="L1030" s="40"/>
      <c r="M1030"/>
      <c r="N1030"/>
      <c r="O1030"/>
      <c r="P1030"/>
      <c r="Q1030"/>
      <c r="R1030"/>
      <c r="S1030"/>
      <c r="T1030"/>
      <c r="U1030"/>
      <c r="V1030"/>
      <c r="W1030" s="41"/>
      <c r="X1030" s="41"/>
      <c r="Y1030" s="41"/>
    </row>
    <row r="1031" s="27" customFormat="1" ht="23" hidden="1" customHeight="1" spans="1:25">
      <c r="A1031" s="133" t="str">
        <f>IF(B1031="","",COUNTA($B$5:B1031))</f>
        <v/>
      </c>
      <c r="B1031" s="148"/>
      <c r="C1031" s="22" t="s">
        <v>49</v>
      </c>
      <c r="D1031" s="149"/>
      <c r="E1031" s="150"/>
      <c r="F1031" s="151"/>
      <c r="G1031" s="151"/>
      <c r="H1031" s="142">
        <f>IFERROR(VLOOKUP($C1031,$C$5:$H$18,6,0)+SUMIF($C$19:$C1031,$C1031,$F$19:$F1031)-SUMIF($C$19:$C1031,$C1031,$G$19:$G1031),"")</f>
        <v>81211.819999998</v>
      </c>
      <c r="I1031" s="147"/>
      <c r="J1031" s="147"/>
      <c r="K1031" s="147" t="str">
        <f t="shared" si="16"/>
        <v/>
      </c>
      <c r="L1031" s="40"/>
      <c r="M1031"/>
      <c r="N1031"/>
      <c r="O1031"/>
      <c r="P1031"/>
      <c r="Q1031"/>
      <c r="R1031"/>
      <c r="S1031"/>
      <c r="T1031"/>
      <c r="U1031"/>
      <c r="V1031"/>
      <c r="W1031" s="41"/>
      <c r="X1031" s="41"/>
      <c r="Y1031" s="41"/>
    </row>
    <row r="1032" s="27" customFormat="1" ht="23" hidden="1" customHeight="1" spans="1:25">
      <c r="A1032" s="133" t="str">
        <f>IF(B1032="","",COUNTA($B$5:B1032))</f>
        <v/>
      </c>
      <c r="B1032" s="148"/>
      <c r="C1032" s="22" t="s">
        <v>49</v>
      </c>
      <c r="D1032" s="149"/>
      <c r="E1032" s="150"/>
      <c r="F1032" s="151"/>
      <c r="G1032" s="151"/>
      <c r="H1032" s="142">
        <f>IFERROR(VLOOKUP($C1032,$C$5:$H$18,6,0)+SUMIF($C$19:$C1032,$C1032,$F$19:$F1032)-SUMIF($C$19:$C1032,$C1032,$G$19:$G1032),"")</f>
        <v>81211.819999998</v>
      </c>
      <c r="I1032" s="147"/>
      <c r="J1032" s="147"/>
      <c r="K1032" s="147" t="str">
        <f t="shared" si="16"/>
        <v/>
      </c>
      <c r="L1032" s="40"/>
      <c r="M1032"/>
      <c r="N1032"/>
      <c r="O1032"/>
      <c r="P1032"/>
      <c r="Q1032"/>
      <c r="R1032"/>
      <c r="S1032"/>
      <c r="T1032"/>
      <c r="U1032"/>
      <c r="V1032"/>
      <c r="W1032" s="41"/>
      <c r="X1032" s="41"/>
      <c r="Y1032" s="41"/>
    </row>
    <row r="1033" s="27" customFormat="1" ht="23" hidden="1" customHeight="1" spans="1:25">
      <c r="A1033" s="133" t="str">
        <f>IF(B1033="","",COUNTA($B$5:B1033))</f>
        <v/>
      </c>
      <c r="B1033" s="148"/>
      <c r="C1033" s="22" t="s">
        <v>49</v>
      </c>
      <c r="D1033" s="149"/>
      <c r="E1033" s="150"/>
      <c r="F1033" s="151"/>
      <c r="G1033" s="151"/>
      <c r="H1033" s="142">
        <f>IFERROR(VLOOKUP($C1033,$C$5:$H$18,6,0)+SUMIF($C$19:$C1033,$C1033,$F$19:$F1033)-SUMIF($C$19:$C1033,$C1033,$G$19:$G1033),"")</f>
        <v>81211.819999998</v>
      </c>
      <c r="I1033" s="147"/>
      <c r="J1033" s="147"/>
      <c r="K1033" s="147" t="str">
        <f t="shared" si="16"/>
        <v/>
      </c>
      <c r="L1033" s="40"/>
      <c r="M1033"/>
      <c r="N1033"/>
      <c r="O1033"/>
      <c r="P1033"/>
      <c r="Q1033"/>
      <c r="R1033"/>
      <c r="S1033"/>
      <c r="T1033"/>
      <c r="U1033"/>
      <c r="V1033"/>
      <c r="W1033" s="41"/>
      <c r="X1033" s="41"/>
      <c r="Y1033" s="41"/>
    </row>
    <row r="1034" s="27" customFormat="1" ht="23" hidden="1" customHeight="1" spans="1:25">
      <c r="A1034" s="133" t="str">
        <f>IF(B1034="","",COUNTA($B$5:B1034))</f>
        <v/>
      </c>
      <c r="B1034" s="148"/>
      <c r="C1034" s="22" t="s">
        <v>49</v>
      </c>
      <c r="D1034" s="149"/>
      <c r="E1034" s="150"/>
      <c r="F1034" s="151"/>
      <c r="G1034" s="151"/>
      <c r="H1034" s="142">
        <f>IFERROR(VLOOKUP($C1034,$C$5:$H$18,6,0)+SUMIF($C$19:$C1034,$C1034,$F$19:$F1034)-SUMIF($C$19:$C1034,$C1034,$G$19:$G1034),"")</f>
        <v>81211.819999998</v>
      </c>
      <c r="I1034" s="147"/>
      <c r="J1034" s="147"/>
      <c r="K1034" s="147" t="str">
        <f t="shared" si="16"/>
        <v/>
      </c>
      <c r="L1034" s="40"/>
      <c r="M1034"/>
      <c r="N1034"/>
      <c r="O1034"/>
      <c r="P1034"/>
      <c r="Q1034"/>
      <c r="R1034"/>
      <c r="S1034"/>
      <c r="T1034"/>
      <c r="U1034"/>
      <c r="V1034"/>
      <c r="W1034" s="41"/>
      <c r="X1034" s="41"/>
      <c r="Y1034" s="41"/>
    </row>
    <row r="1035" s="27" customFormat="1" ht="23" hidden="1" customHeight="1" spans="1:25">
      <c r="A1035" s="133" t="str">
        <f>IF(B1035="","",COUNTA($B$5:B1035))</f>
        <v/>
      </c>
      <c r="B1035" s="148"/>
      <c r="C1035" s="22" t="s">
        <v>49</v>
      </c>
      <c r="D1035" s="149"/>
      <c r="E1035" s="150"/>
      <c r="F1035" s="151"/>
      <c r="G1035" s="151"/>
      <c r="H1035" s="142">
        <f>IFERROR(VLOOKUP($C1035,$C$5:$H$18,6,0)+SUMIF($C$19:$C1035,$C1035,$F$19:$F1035)-SUMIF($C$19:$C1035,$C1035,$G$19:$G1035),"")</f>
        <v>81211.819999998</v>
      </c>
      <c r="I1035" s="147"/>
      <c r="J1035" s="147"/>
      <c r="K1035" s="147" t="str">
        <f t="shared" si="16"/>
        <v/>
      </c>
      <c r="L1035" s="40"/>
      <c r="M1035"/>
      <c r="N1035"/>
      <c r="O1035"/>
      <c r="P1035"/>
      <c r="Q1035"/>
      <c r="R1035"/>
      <c r="S1035"/>
      <c r="T1035"/>
      <c r="U1035"/>
      <c r="V1035"/>
      <c r="W1035" s="41"/>
      <c r="X1035" s="41"/>
      <c r="Y1035" s="41"/>
    </row>
    <row r="1036" s="27" customFormat="1" ht="23" hidden="1" customHeight="1" spans="1:25">
      <c r="A1036" s="133" t="str">
        <f>IF(B1036="","",COUNTA($B$5:B1036))</f>
        <v/>
      </c>
      <c r="B1036" s="148"/>
      <c r="C1036" s="22" t="s">
        <v>49</v>
      </c>
      <c r="D1036" s="149"/>
      <c r="E1036" s="150"/>
      <c r="F1036" s="151"/>
      <c r="G1036" s="151"/>
      <c r="H1036" s="142">
        <f>IFERROR(VLOOKUP($C1036,$C$5:$H$18,6,0)+SUMIF($C$19:$C1036,$C1036,$F$19:$F1036)-SUMIF($C$19:$C1036,$C1036,$G$19:$G1036),"")</f>
        <v>81211.819999998</v>
      </c>
      <c r="I1036" s="147"/>
      <c r="J1036" s="147"/>
      <c r="K1036" s="147" t="str">
        <f t="shared" si="16"/>
        <v/>
      </c>
      <c r="L1036" s="40"/>
      <c r="M1036"/>
      <c r="N1036"/>
      <c r="O1036"/>
      <c r="P1036"/>
      <c r="Q1036"/>
      <c r="R1036"/>
      <c r="S1036"/>
      <c r="T1036"/>
      <c r="U1036"/>
      <c r="V1036"/>
      <c r="W1036" s="41"/>
      <c r="X1036" s="41"/>
      <c r="Y1036" s="41"/>
    </row>
    <row r="1037" s="27" customFormat="1" ht="23" hidden="1" customHeight="1" spans="1:25">
      <c r="A1037" s="133" t="str">
        <f>IF(B1037="","",COUNTA($B$5:B1037))</f>
        <v/>
      </c>
      <c r="B1037" s="148"/>
      <c r="C1037" s="22" t="s">
        <v>49</v>
      </c>
      <c r="D1037" s="149"/>
      <c r="E1037" s="150"/>
      <c r="F1037" s="151"/>
      <c r="G1037" s="151"/>
      <c r="H1037" s="142">
        <f>IFERROR(VLOOKUP($C1037,$C$5:$H$18,6,0)+SUMIF($C$19:$C1037,$C1037,$F$19:$F1037)-SUMIF($C$19:$C1037,$C1037,$G$19:$G1037),"")</f>
        <v>81211.819999998</v>
      </c>
      <c r="I1037" s="147"/>
      <c r="J1037" s="147"/>
      <c r="K1037" s="147" t="str">
        <f t="shared" si="16"/>
        <v/>
      </c>
      <c r="L1037" s="40"/>
      <c r="M1037"/>
      <c r="N1037"/>
      <c r="O1037"/>
      <c r="P1037"/>
      <c r="Q1037"/>
      <c r="R1037"/>
      <c r="S1037"/>
      <c r="T1037"/>
      <c r="U1037"/>
      <c r="V1037"/>
      <c r="W1037" s="41"/>
      <c r="X1037" s="41"/>
      <c r="Y1037" s="41"/>
    </row>
    <row r="1038" s="27" customFormat="1" ht="23" hidden="1" customHeight="1" spans="1:25">
      <c r="A1038" s="133" t="str">
        <f>IF(B1038="","",COUNTA($B$5:B1038))</f>
        <v/>
      </c>
      <c r="B1038" s="148"/>
      <c r="C1038" s="22" t="s">
        <v>49</v>
      </c>
      <c r="D1038" s="149"/>
      <c r="E1038" s="150"/>
      <c r="F1038" s="151"/>
      <c r="G1038" s="151"/>
      <c r="H1038" s="142">
        <f>IFERROR(VLOOKUP($C1038,$C$5:$H$18,6,0)+SUMIF($C$19:$C1038,$C1038,$F$19:$F1038)-SUMIF($C$19:$C1038,$C1038,$G$19:$G1038),"")</f>
        <v>81211.819999998</v>
      </c>
      <c r="I1038" s="147"/>
      <c r="J1038" s="147"/>
      <c r="K1038" s="147" t="str">
        <f t="shared" si="16"/>
        <v/>
      </c>
      <c r="L1038" s="40"/>
      <c r="M1038"/>
      <c r="N1038"/>
      <c r="O1038"/>
      <c r="P1038"/>
      <c r="Q1038"/>
      <c r="R1038"/>
      <c r="S1038"/>
      <c r="T1038"/>
      <c r="U1038"/>
      <c r="V1038"/>
      <c r="W1038" s="41"/>
      <c r="X1038" s="41"/>
      <c r="Y1038" s="41"/>
    </row>
    <row r="1039" s="27" customFormat="1" ht="23" hidden="1" customHeight="1" spans="1:25">
      <c r="A1039" s="133" t="str">
        <f>IF(B1039="","",COUNTA($B$5:B1039))</f>
        <v/>
      </c>
      <c r="B1039" s="148"/>
      <c r="C1039" s="22" t="s">
        <v>49</v>
      </c>
      <c r="D1039" s="149"/>
      <c r="E1039" s="150"/>
      <c r="F1039" s="151"/>
      <c r="G1039" s="151"/>
      <c r="H1039" s="142">
        <f>IFERROR(VLOOKUP($C1039,$C$5:$H$18,6,0)+SUMIF($C$19:$C1039,$C1039,$F$19:$F1039)-SUMIF($C$19:$C1039,$C1039,$G$19:$G1039),"")</f>
        <v>81211.819999998</v>
      </c>
      <c r="I1039" s="147"/>
      <c r="J1039" s="147"/>
      <c r="K1039" s="147" t="str">
        <f t="shared" si="16"/>
        <v/>
      </c>
      <c r="L1039" s="40"/>
      <c r="M1039"/>
      <c r="N1039"/>
      <c r="O1039"/>
      <c r="P1039"/>
      <c r="Q1039"/>
      <c r="R1039"/>
      <c r="S1039"/>
      <c r="T1039"/>
      <c r="U1039"/>
      <c r="V1039"/>
      <c r="W1039" s="41"/>
      <c r="X1039" s="41"/>
      <c r="Y1039" s="41"/>
    </row>
    <row r="1040" s="27" customFormat="1" ht="23" hidden="1" customHeight="1" spans="1:25">
      <c r="A1040" s="133" t="str">
        <f>IF(B1040="","",COUNTA($B$5:B1040))</f>
        <v/>
      </c>
      <c r="B1040" s="148"/>
      <c r="C1040" s="22" t="s">
        <v>49</v>
      </c>
      <c r="D1040" s="149"/>
      <c r="E1040" s="150"/>
      <c r="F1040" s="151"/>
      <c r="G1040" s="151"/>
      <c r="H1040" s="142">
        <f>IFERROR(VLOOKUP($C1040,$C$5:$H$18,6,0)+SUMIF($C$19:$C1040,$C1040,$F$19:$F1040)-SUMIF($C$19:$C1040,$C1040,$G$19:$G1040),"")</f>
        <v>81211.819999998</v>
      </c>
      <c r="I1040" s="147"/>
      <c r="J1040" s="147"/>
      <c r="K1040" s="147" t="str">
        <f t="shared" si="16"/>
        <v/>
      </c>
      <c r="L1040" s="40"/>
      <c r="M1040"/>
      <c r="N1040"/>
      <c r="O1040"/>
      <c r="P1040"/>
      <c r="Q1040"/>
      <c r="R1040"/>
      <c r="S1040"/>
      <c r="T1040"/>
      <c r="U1040"/>
      <c r="V1040"/>
      <c r="W1040" s="41"/>
      <c r="X1040" s="41"/>
      <c r="Y1040" s="41"/>
    </row>
    <row r="1041" s="27" customFormat="1" ht="23" hidden="1" customHeight="1" spans="1:25">
      <c r="A1041" s="133" t="str">
        <f>IF(B1041="","",COUNTA($B$5:B1041))</f>
        <v/>
      </c>
      <c r="B1041" s="148"/>
      <c r="C1041" s="22" t="s">
        <v>49</v>
      </c>
      <c r="D1041" s="149"/>
      <c r="E1041" s="150"/>
      <c r="F1041" s="151"/>
      <c r="G1041" s="151"/>
      <c r="H1041" s="142">
        <f>IFERROR(VLOOKUP($C1041,$C$5:$H$18,6,0)+SUMIF($C$19:$C1041,$C1041,$F$19:$F1041)-SUMIF($C$19:$C1041,$C1041,$G$19:$G1041),"")</f>
        <v>81211.819999998</v>
      </c>
      <c r="I1041" s="147"/>
      <c r="J1041" s="147"/>
      <c r="K1041" s="147" t="str">
        <f t="shared" si="16"/>
        <v/>
      </c>
      <c r="L1041" s="40"/>
      <c r="M1041"/>
      <c r="N1041"/>
      <c r="O1041"/>
      <c r="P1041"/>
      <c r="Q1041"/>
      <c r="R1041"/>
      <c r="S1041"/>
      <c r="T1041"/>
      <c r="U1041"/>
      <c r="V1041"/>
      <c r="W1041" s="41"/>
      <c r="X1041" s="41"/>
      <c r="Y1041" s="41"/>
    </row>
    <row r="1042" s="27" customFormat="1" ht="23" hidden="1" customHeight="1" spans="1:25">
      <c r="A1042" s="133" t="str">
        <f>IF(B1042="","",COUNTA($B$5:B1042))</f>
        <v/>
      </c>
      <c r="B1042" s="148"/>
      <c r="C1042" s="22" t="s">
        <v>49</v>
      </c>
      <c r="D1042" s="149"/>
      <c r="E1042" s="150"/>
      <c r="F1042" s="151"/>
      <c r="G1042" s="151"/>
      <c r="H1042" s="142">
        <f>IFERROR(VLOOKUP($C1042,$C$5:$H$18,6,0)+SUMIF($C$19:$C1042,$C1042,$F$19:$F1042)-SUMIF($C$19:$C1042,$C1042,$G$19:$G1042),"")</f>
        <v>81211.819999998</v>
      </c>
      <c r="I1042" s="147"/>
      <c r="J1042" s="147"/>
      <c r="K1042" s="147" t="str">
        <f t="shared" si="16"/>
        <v/>
      </c>
      <c r="L1042" s="40"/>
      <c r="M1042"/>
      <c r="N1042"/>
      <c r="O1042"/>
      <c r="P1042"/>
      <c r="Q1042"/>
      <c r="R1042"/>
      <c r="S1042"/>
      <c r="T1042"/>
      <c r="U1042"/>
      <c r="V1042"/>
      <c r="W1042" s="41"/>
      <c r="X1042" s="41"/>
      <c r="Y1042" s="41"/>
    </row>
    <row r="1043" s="27" customFormat="1" ht="23" hidden="1" customHeight="1" spans="1:25">
      <c r="A1043" s="133" t="str">
        <f>IF(B1043="","",COUNTA($B$5:B1043))</f>
        <v/>
      </c>
      <c r="B1043" s="148"/>
      <c r="C1043" s="22" t="s">
        <v>49</v>
      </c>
      <c r="D1043" s="149"/>
      <c r="E1043" s="150"/>
      <c r="F1043" s="151"/>
      <c r="G1043" s="151"/>
      <c r="H1043" s="142">
        <f>IFERROR(VLOOKUP($C1043,$C$5:$H$18,6,0)+SUMIF($C$19:$C1043,$C1043,$F$19:$F1043)-SUMIF($C$19:$C1043,$C1043,$G$19:$G1043),"")</f>
        <v>81211.819999998</v>
      </c>
      <c r="I1043" s="147"/>
      <c r="J1043" s="147"/>
      <c r="K1043" s="147" t="str">
        <f t="shared" si="16"/>
        <v/>
      </c>
      <c r="L1043" s="40"/>
      <c r="M1043"/>
      <c r="N1043"/>
      <c r="O1043"/>
      <c r="P1043"/>
      <c r="Q1043"/>
      <c r="R1043"/>
      <c r="S1043"/>
      <c r="T1043"/>
      <c r="U1043"/>
      <c r="V1043"/>
      <c r="W1043" s="41"/>
      <c r="X1043" s="41"/>
      <c r="Y1043" s="41"/>
    </row>
    <row r="1044" s="27" customFormat="1" ht="23" hidden="1" customHeight="1" spans="1:25">
      <c r="A1044" s="133" t="str">
        <f>IF(B1044="","",COUNTA($B$5:B1044))</f>
        <v/>
      </c>
      <c r="B1044" s="148"/>
      <c r="C1044" s="22" t="s">
        <v>49</v>
      </c>
      <c r="D1044" s="149"/>
      <c r="E1044" s="150"/>
      <c r="F1044" s="151"/>
      <c r="G1044" s="151"/>
      <c r="H1044" s="142">
        <f>IFERROR(VLOOKUP($C1044,$C$5:$H$18,6,0)+SUMIF($C$19:$C1044,$C1044,$F$19:$F1044)-SUMIF($C$19:$C1044,$C1044,$G$19:$G1044),"")</f>
        <v>81211.819999998</v>
      </c>
      <c r="I1044" s="147"/>
      <c r="J1044" s="147"/>
      <c r="K1044" s="147" t="str">
        <f t="shared" si="16"/>
        <v/>
      </c>
      <c r="L1044" s="40"/>
      <c r="M1044"/>
      <c r="N1044"/>
      <c r="O1044"/>
      <c r="P1044"/>
      <c r="Q1044"/>
      <c r="R1044"/>
      <c r="S1044"/>
      <c r="T1044"/>
      <c r="U1044"/>
      <c r="V1044"/>
      <c r="W1044" s="41"/>
      <c r="X1044" s="41"/>
      <c r="Y1044" s="41"/>
    </row>
    <row r="1045" s="27" customFormat="1" ht="23" hidden="1" customHeight="1" spans="1:25">
      <c r="A1045" s="133" t="str">
        <f>IF(B1045="","",COUNTA($B$5:B1045))</f>
        <v/>
      </c>
      <c r="B1045" s="148"/>
      <c r="C1045" s="22" t="s">
        <v>49</v>
      </c>
      <c r="D1045" s="149"/>
      <c r="E1045" s="150"/>
      <c r="F1045" s="151"/>
      <c r="G1045" s="151"/>
      <c r="H1045" s="142">
        <f>IFERROR(VLOOKUP($C1045,$C$5:$H$18,6,0)+SUMIF($C$19:$C1045,$C1045,$F$19:$F1045)-SUMIF($C$19:$C1045,$C1045,$G$19:$G1045),"")</f>
        <v>81211.819999998</v>
      </c>
      <c r="I1045" s="147"/>
      <c r="J1045" s="147"/>
      <c r="K1045" s="147" t="str">
        <f t="shared" si="16"/>
        <v/>
      </c>
      <c r="L1045" s="40"/>
      <c r="M1045"/>
      <c r="N1045"/>
      <c r="O1045"/>
      <c r="P1045"/>
      <c r="Q1045"/>
      <c r="R1045"/>
      <c r="S1045"/>
      <c r="T1045"/>
      <c r="U1045"/>
      <c r="V1045"/>
      <c r="W1045" s="41"/>
      <c r="X1045" s="41"/>
      <c r="Y1045" s="41"/>
    </row>
    <row r="1046" s="27" customFormat="1" ht="23" hidden="1" customHeight="1" spans="1:25">
      <c r="A1046" s="133" t="str">
        <f>IF(B1046="","",COUNTA($B$5:B1046))</f>
        <v/>
      </c>
      <c r="B1046" s="148"/>
      <c r="C1046" s="22" t="s">
        <v>49</v>
      </c>
      <c r="D1046" s="149"/>
      <c r="E1046" s="150"/>
      <c r="F1046" s="151"/>
      <c r="G1046" s="151"/>
      <c r="H1046" s="142">
        <f>IFERROR(VLOOKUP($C1046,$C$5:$H$18,6,0)+SUMIF($C$19:$C1046,$C1046,$F$19:$F1046)-SUMIF($C$19:$C1046,$C1046,$G$19:$G1046),"")</f>
        <v>81211.819999998</v>
      </c>
      <c r="I1046" s="147"/>
      <c r="J1046" s="147"/>
      <c r="K1046" s="147" t="str">
        <f t="shared" si="16"/>
        <v/>
      </c>
      <c r="L1046" s="40"/>
      <c r="M1046"/>
      <c r="N1046"/>
      <c r="O1046"/>
      <c r="P1046"/>
      <c r="Q1046"/>
      <c r="R1046"/>
      <c r="S1046"/>
      <c r="T1046"/>
      <c r="U1046"/>
      <c r="V1046"/>
      <c r="W1046" s="41"/>
      <c r="X1046" s="41"/>
      <c r="Y1046" s="41"/>
    </row>
    <row r="1047" s="27" customFormat="1" ht="23" hidden="1" customHeight="1" spans="1:25">
      <c r="A1047" s="133" t="str">
        <f>IF(B1047="","",COUNTA($B$5:B1047))</f>
        <v/>
      </c>
      <c r="B1047" s="148"/>
      <c r="C1047" s="22" t="s">
        <v>49</v>
      </c>
      <c r="D1047" s="149"/>
      <c r="E1047" s="150"/>
      <c r="F1047" s="151"/>
      <c r="G1047" s="151"/>
      <c r="H1047" s="142">
        <f>IFERROR(VLOOKUP($C1047,$C$5:$H$18,6,0)+SUMIF($C$19:$C1047,$C1047,$F$19:$F1047)-SUMIF($C$19:$C1047,$C1047,$G$19:$G1047),"")</f>
        <v>81211.819999998</v>
      </c>
      <c r="I1047" s="147"/>
      <c r="J1047" s="147"/>
      <c r="K1047" s="147" t="str">
        <f t="shared" si="16"/>
        <v/>
      </c>
      <c r="L1047" s="40"/>
      <c r="M1047"/>
      <c r="N1047"/>
      <c r="O1047"/>
      <c r="P1047"/>
      <c r="Q1047"/>
      <c r="R1047"/>
      <c r="S1047"/>
      <c r="T1047"/>
      <c r="U1047"/>
      <c r="V1047"/>
      <c r="W1047" s="41"/>
      <c r="X1047" s="41"/>
      <c r="Y1047" s="41"/>
    </row>
    <row r="1048" s="27" customFormat="1" ht="23" hidden="1" customHeight="1" spans="1:25">
      <c r="A1048" s="133" t="str">
        <f>IF(B1048="","",COUNTA($B$5:B1048))</f>
        <v/>
      </c>
      <c r="B1048" s="148"/>
      <c r="C1048" s="22" t="s">
        <v>49</v>
      </c>
      <c r="D1048" s="149"/>
      <c r="E1048" s="150"/>
      <c r="F1048" s="151"/>
      <c r="G1048" s="151"/>
      <c r="H1048" s="142">
        <f>IFERROR(VLOOKUP($C1048,$C$5:$H$18,6,0)+SUMIF($C$19:$C1048,$C1048,$F$19:$F1048)-SUMIF($C$19:$C1048,$C1048,$G$19:$G1048),"")</f>
        <v>81211.819999998</v>
      </c>
      <c r="I1048" s="147"/>
      <c r="J1048" s="147"/>
      <c r="K1048" s="147" t="str">
        <f t="shared" si="16"/>
        <v/>
      </c>
      <c r="L1048" s="40"/>
      <c r="M1048"/>
      <c r="N1048"/>
      <c r="O1048"/>
      <c r="P1048"/>
      <c r="Q1048"/>
      <c r="R1048"/>
      <c r="S1048"/>
      <c r="T1048"/>
      <c r="U1048"/>
      <c r="V1048"/>
      <c r="W1048" s="41"/>
      <c r="X1048" s="41"/>
      <c r="Y1048" s="41"/>
    </row>
    <row r="1049" s="27" customFormat="1" ht="23" hidden="1" customHeight="1" spans="1:25">
      <c r="A1049" s="133" t="str">
        <f>IF(B1049="","",COUNTA($B$5:B1049))</f>
        <v/>
      </c>
      <c r="B1049" s="148"/>
      <c r="C1049" s="22" t="s">
        <v>49</v>
      </c>
      <c r="D1049" s="149"/>
      <c r="E1049" s="150"/>
      <c r="F1049" s="151"/>
      <c r="G1049" s="151"/>
      <c r="H1049" s="142">
        <f>IFERROR(VLOOKUP($C1049,$C$5:$H$18,6,0)+SUMIF($C$19:$C1049,$C1049,$F$19:$F1049)-SUMIF($C$19:$C1049,$C1049,$G$19:$G1049),"")</f>
        <v>81211.819999998</v>
      </c>
      <c r="I1049" s="147"/>
      <c r="J1049" s="147"/>
      <c r="K1049" s="147" t="str">
        <f t="shared" si="16"/>
        <v/>
      </c>
      <c r="L1049" s="40"/>
      <c r="M1049"/>
      <c r="N1049"/>
      <c r="O1049"/>
      <c r="P1049"/>
      <c r="Q1049"/>
      <c r="R1049"/>
      <c r="S1049"/>
      <c r="T1049"/>
      <c r="U1049"/>
      <c r="V1049"/>
      <c r="W1049" s="41"/>
      <c r="X1049" s="41"/>
      <c r="Y1049" s="41"/>
    </row>
    <row r="1050" s="27" customFormat="1" ht="23" hidden="1" customHeight="1" spans="1:25">
      <c r="A1050" s="133" t="str">
        <f>IF(B1050="","",COUNTA($B$5:B1050))</f>
        <v/>
      </c>
      <c r="B1050" s="148"/>
      <c r="C1050" s="22" t="s">
        <v>49</v>
      </c>
      <c r="D1050" s="149"/>
      <c r="E1050" s="150"/>
      <c r="F1050" s="151"/>
      <c r="G1050" s="151"/>
      <c r="H1050" s="142">
        <f>IFERROR(VLOOKUP($C1050,$C$5:$H$18,6,0)+SUMIF($C$19:$C1050,$C1050,$F$19:$F1050)-SUMIF($C$19:$C1050,$C1050,$G$19:$G1050),"")</f>
        <v>81211.819999998</v>
      </c>
      <c r="I1050" s="147"/>
      <c r="J1050" s="147"/>
      <c r="K1050" s="147" t="str">
        <f t="shared" si="16"/>
        <v/>
      </c>
      <c r="L1050" s="40"/>
      <c r="M1050"/>
      <c r="N1050"/>
      <c r="O1050"/>
      <c r="P1050"/>
      <c r="Q1050"/>
      <c r="R1050"/>
      <c r="S1050"/>
      <c r="T1050"/>
      <c r="U1050"/>
      <c r="V1050"/>
      <c r="W1050" s="41"/>
      <c r="X1050" s="41"/>
      <c r="Y1050" s="41"/>
    </row>
    <row r="1051" s="27" customFormat="1" ht="23" hidden="1" customHeight="1" spans="1:25">
      <c r="A1051" s="133" t="str">
        <f>IF(B1051="","",COUNTA($B$5:B1051))</f>
        <v/>
      </c>
      <c r="B1051" s="148"/>
      <c r="C1051" s="22" t="s">
        <v>49</v>
      </c>
      <c r="D1051" s="149"/>
      <c r="E1051" s="150"/>
      <c r="F1051" s="151"/>
      <c r="G1051" s="151"/>
      <c r="H1051" s="142">
        <f>IFERROR(VLOOKUP($C1051,$C$5:$H$18,6,0)+SUMIF($C$19:$C1051,$C1051,$F$19:$F1051)-SUMIF($C$19:$C1051,$C1051,$G$19:$G1051),"")</f>
        <v>81211.819999998</v>
      </c>
      <c r="I1051" s="147"/>
      <c r="J1051" s="147"/>
      <c r="K1051" s="147" t="str">
        <f t="shared" si="16"/>
        <v/>
      </c>
      <c r="L1051" s="40"/>
      <c r="M1051"/>
      <c r="N1051"/>
      <c r="O1051"/>
      <c r="P1051"/>
      <c r="Q1051"/>
      <c r="R1051"/>
      <c r="S1051"/>
      <c r="T1051"/>
      <c r="U1051"/>
      <c r="V1051"/>
      <c r="W1051" s="41"/>
      <c r="X1051" s="41"/>
      <c r="Y1051" s="41"/>
    </row>
    <row r="1052" s="27" customFormat="1" ht="23" hidden="1" customHeight="1" spans="1:25">
      <c r="A1052" s="133" t="str">
        <f>IF(B1052="","",COUNTA($B$5:B1052))</f>
        <v/>
      </c>
      <c r="B1052" s="148"/>
      <c r="C1052" s="22" t="s">
        <v>49</v>
      </c>
      <c r="D1052" s="149"/>
      <c r="E1052" s="150"/>
      <c r="F1052" s="151"/>
      <c r="G1052" s="151"/>
      <c r="H1052" s="142">
        <f>IFERROR(VLOOKUP($C1052,$C$5:$H$18,6,0)+SUMIF($C$19:$C1052,$C1052,$F$19:$F1052)-SUMIF($C$19:$C1052,$C1052,$G$19:$G1052),"")</f>
        <v>81211.819999998</v>
      </c>
      <c r="I1052" s="147"/>
      <c r="J1052" s="147"/>
      <c r="K1052" s="147" t="str">
        <f t="shared" si="16"/>
        <v/>
      </c>
      <c r="L1052" s="40"/>
      <c r="M1052"/>
      <c r="N1052"/>
      <c r="O1052"/>
      <c r="P1052"/>
      <c r="Q1052"/>
      <c r="R1052"/>
      <c r="S1052"/>
      <c r="T1052"/>
      <c r="U1052"/>
      <c r="V1052"/>
      <c r="W1052" s="41"/>
      <c r="X1052" s="41"/>
      <c r="Y1052" s="41"/>
    </row>
    <row r="1053" s="27" customFormat="1" ht="23" hidden="1" customHeight="1" spans="1:25">
      <c r="A1053" s="133" t="str">
        <f>IF(B1053="","",COUNTA($B$5:B1053))</f>
        <v/>
      </c>
      <c r="B1053" s="148"/>
      <c r="C1053" s="22" t="s">
        <v>49</v>
      </c>
      <c r="D1053" s="149"/>
      <c r="E1053" s="150"/>
      <c r="F1053" s="151"/>
      <c r="G1053" s="151"/>
      <c r="H1053" s="142">
        <f>IFERROR(VLOOKUP($C1053,$C$5:$H$18,6,0)+SUMIF($C$19:$C1053,$C1053,$F$19:$F1053)-SUMIF($C$19:$C1053,$C1053,$G$19:$G1053),"")</f>
        <v>81211.819999998</v>
      </c>
      <c r="I1053" s="147"/>
      <c r="J1053" s="147"/>
      <c r="K1053" s="147" t="str">
        <f t="shared" si="16"/>
        <v/>
      </c>
      <c r="L1053" s="40"/>
      <c r="M1053"/>
      <c r="N1053"/>
      <c r="O1053"/>
      <c r="P1053"/>
      <c r="Q1053"/>
      <c r="R1053"/>
      <c r="S1053"/>
      <c r="T1053"/>
      <c r="U1053"/>
      <c r="V1053"/>
      <c r="W1053" s="41"/>
      <c r="X1053" s="41"/>
      <c r="Y1053" s="41"/>
    </row>
    <row r="1054" s="27" customFormat="1" ht="23" hidden="1" customHeight="1" spans="1:25">
      <c r="A1054" s="133" t="str">
        <f>IF(B1054="","",COUNTA($B$5:B1054))</f>
        <v/>
      </c>
      <c r="B1054" s="148"/>
      <c r="C1054" s="22" t="s">
        <v>49</v>
      </c>
      <c r="D1054" s="149"/>
      <c r="E1054" s="150"/>
      <c r="F1054" s="151"/>
      <c r="G1054" s="151"/>
      <c r="H1054" s="142">
        <f>IFERROR(VLOOKUP($C1054,$C$5:$H$18,6,0)+SUMIF($C$19:$C1054,$C1054,$F$19:$F1054)-SUMIF($C$19:$C1054,$C1054,$G$19:$G1054),"")</f>
        <v>81211.819999998</v>
      </c>
      <c r="I1054" s="147"/>
      <c r="J1054" s="147"/>
      <c r="K1054" s="147" t="str">
        <f t="shared" si="16"/>
        <v/>
      </c>
      <c r="L1054" s="40"/>
      <c r="M1054"/>
      <c r="N1054"/>
      <c r="O1054"/>
      <c r="P1054"/>
      <c r="Q1054"/>
      <c r="R1054"/>
      <c r="S1054"/>
      <c r="T1054"/>
      <c r="U1054"/>
      <c r="V1054"/>
      <c r="W1054" s="41"/>
      <c r="X1054" s="41"/>
      <c r="Y1054" s="41"/>
    </row>
    <row r="1055" s="27" customFormat="1" ht="23" hidden="1" customHeight="1" spans="1:25">
      <c r="A1055" s="133" t="str">
        <f>IF(B1055="","",COUNTA($B$5:B1055))</f>
        <v/>
      </c>
      <c r="B1055" s="148"/>
      <c r="C1055" s="22" t="s">
        <v>49</v>
      </c>
      <c r="D1055" s="149"/>
      <c r="E1055" s="150"/>
      <c r="F1055" s="151"/>
      <c r="G1055" s="151"/>
      <c r="H1055" s="142">
        <f>IFERROR(VLOOKUP($C1055,$C$5:$H$18,6,0)+SUMIF($C$19:$C1055,$C1055,$F$19:$F1055)-SUMIF($C$19:$C1055,$C1055,$G$19:$G1055),"")</f>
        <v>81211.819999998</v>
      </c>
      <c r="I1055" s="147"/>
      <c r="J1055" s="147"/>
      <c r="K1055" s="147" t="str">
        <f t="shared" si="16"/>
        <v/>
      </c>
      <c r="L1055" s="40"/>
      <c r="M1055"/>
      <c r="N1055"/>
      <c r="O1055"/>
      <c r="P1055"/>
      <c r="Q1055"/>
      <c r="R1055"/>
      <c r="S1055"/>
      <c r="T1055"/>
      <c r="U1055"/>
      <c r="V1055"/>
      <c r="W1055" s="41"/>
      <c r="X1055" s="41"/>
      <c r="Y1055" s="41"/>
    </row>
    <row r="1056" s="27" customFormat="1" ht="23" hidden="1" customHeight="1" spans="1:25">
      <c r="A1056" s="133" t="str">
        <f>IF(B1056="","",COUNTA($B$5:B1056))</f>
        <v/>
      </c>
      <c r="B1056" s="148"/>
      <c r="C1056" s="22" t="s">
        <v>49</v>
      </c>
      <c r="D1056" s="149"/>
      <c r="E1056" s="150"/>
      <c r="F1056" s="151"/>
      <c r="G1056" s="151"/>
      <c r="H1056" s="142">
        <f>IFERROR(VLOOKUP($C1056,$C$5:$H$18,6,0)+SUMIF($C$19:$C1056,$C1056,$F$19:$F1056)-SUMIF($C$19:$C1056,$C1056,$G$19:$G1056),"")</f>
        <v>81211.819999998</v>
      </c>
      <c r="I1056" s="147"/>
      <c r="J1056" s="147"/>
      <c r="K1056" s="147" t="str">
        <f t="shared" si="16"/>
        <v/>
      </c>
      <c r="L1056" s="40"/>
      <c r="M1056"/>
      <c r="N1056"/>
      <c r="O1056"/>
      <c r="P1056"/>
      <c r="Q1056"/>
      <c r="R1056"/>
      <c r="S1056"/>
      <c r="T1056"/>
      <c r="U1056"/>
      <c r="V1056"/>
      <c r="W1056" s="41"/>
      <c r="X1056" s="41"/>
      <c r="Y1056" s="41"/>
    </row>
    <row r="1057" s="27" customFormat="1" ht="23" hidden="1" customHeight="1" spans="1:25">
      <c r="A1057" s="133" t="str">
        <f>IF(B1057="","",COUNTA($B$5:B1057))</f>
        <v/>
      </c>
      <c r="B1057" s="148"/>
      <c r="C1057" s="22" t="s">
        <v>49</v>
      </c>
      <c r="D1057" s="149"/>
      <c r="E1057" s="150"/>
      <c r="F1057" s="151"/>
      <c r="G1057" s="151"/>
      <c r="H1057" s="142">
        <f>IFERROR(VLOOKUP($C1057,$C$5:$H$18,6,0)+SUMIF($C$19:$C1057,$C1057,$F$19:$F1057)-SUMIF($C$19:$C1057,$C1057,$G$19:$G1057),"")</f>
        <v>81211.819999998</v>
      </c>
      <c r="I1057" s="147"/>
      <c r="J1057" s="147"/>
      <c r="K1057" s="147" t="str">
        <f t="shared" si="16"/>
        <v/>
      </c>
      <c r="L1057" s="40"/>
      <c r="M1057"/>
      <c r="N1057"/>
      <c r="O1057"/>
      <c r="P1057"/>
      <c r="Q1057"/>
      <c r="R1057"/>
      <c r="S1057"/>
      <c r="T1057"/>
      <c r="U1057"/>
      <c r="V1057"/>
      <c r="W1057" s="41"/>
      <c r="X1057" s="41"/>
      <c r="Y1057" s="41"/>
    </row>
    <row r="1058" s="27" customFormat="1" ht="23" hidden="1" customHeight="1" spans="1:25">
      <c r="A1058" s="133" t="str">
        <f>IF(B1058="","",COUNTA($B$5:B1058))</f>
        <v/>
      </c>
      <c r="B1058" s="148"/>
      <c r="C1058" s="22" t="s">
        <v>49</v>
      </c>
      <c r="D1058" s="149"/>
      <c r="E1058" s="150"/>
      <c r="F1058" s="151"/>
      <c r="G1058" s="151"/>
      <c r="H1058" s="142">
        <f>IFERROR(VLOOKUP($C1058,$C$5:$H$18,6,0)+SUMIF($C$19:$C1058,$C1058,$F$19:$F1058)-SUMIF($C$19:$C1058,$C1058,$G$19:$G1058),"")</f>
        <v>81211.819999998</v>
      </c>
      <c r="I1058" s="147"/>
      <c r="J1058" s="147"/>
      <c r="K1058" s="147" t="str">
        <f t="shared" si="16"/>
        <v/>
      </c>
      <c r="L1058" s="40"/>
      <c r="M1058"/>
      <c r="N1058"/>
      <c r="O1058"/>
      <c r="P1058"/>
      <c r="Q1058"/>
      <c r="R1058"/>
      <c r="S1058"/>
      <c r="T1058"/>
      <c r="U1058"/>
      <c r="V1058"/>
      <c r="W1058" s="41"/>
      <c r="X1058" s="41"/>
      <c r="Y1058" s="41"/>
    </row>
    <row r="1059" s="27" customFormat="1" ht="23" hidden="1" customHeight="1" spans="1:25">
      <c r="A1059" s="133" t="str">
        <f>IF(B1059="","",COUNTA($B$5:B1059))</f>
        <v/>
      </c>
      <c r="B1059" s="148"/>
      <c r="C1059" s="22" t="s">
        <v>49</v>
      </c>
      <c r="D1059" s="149"/>
      <c r="E1059" s="150"/>
      <c r="F1059" s="151"/>
      <c r="G1059" s="151"/>
      <c r="H1059" s="142">
        <f>IFERROR(VLOOKUP($C1059,$C$5:$H$18,6,0)+SUMIF($C$19:$C1059,$C1059,$F$19:$F1059)-SUMIF($C$19:$C1059,$C1059,$G$19:$G1059),"")</f>
        <v>81211.819999998</v>
      </c>
      <c r="I1059" s="147"/>
      <c r="J1059" s="147"/>
      <c r="K1059" s="147" t="str">
        <f t="shared" si="16"/>
        <v/>
      </c>
      <c r="L1059" s="40"/>
      <c r="M1059"/>
      <c r="N1059"/>
      <c r="O1059"/>
      <c r="P1059"/>
      <c r="Q1059"/>
      <c r="R1059"/>
      <c r="S1059"/>
      <c r="T1059"/>
      <c r="U1059"/>
      <c r="V1059"/>
      <c r="W1059" s="41"/>
      <c r="X1059" s="41"/>
      <c r="Y1059" s="41"/>
    </row>
    <row r="1060" s="27" customFormat="1" ht="23" hidden="1" customHeight="1" spans="1:25">
      <c r="A1060" s="133" t="str">
        <f>IF(B1060="","",COUNTA($B$5:B1060))</f>
        <v/>
      </c>
      <c r="B1060" s="148"/>
      <c r="C1060" s="22" t="s">
        <v>49</v>
      </c>
      <c r="D1060" s="149"/>
      <c r="E1060" s="150"/>
      <c r="F1060" s="151"/>
      <c r="G1060" s="151"/>
      <c r="H1060" s="142">
        <f>IFERROR(VLOOKUP($C1060,$C$5:$H$18,6,0)+SUMIF($C$19:$C1060,$C1060,$F$19:$F1060)-SUMIF($C$19:$C1060,$C1060,$G$19:$G1060),"")</f>
        <v>81211.819999998</v>
      </c>
      <c r="I1060" s="147"/>
      <c r="J1060" s="147"/>
      <c r="K1060" s="147" t="str">
        <f t="shared" si="16"/>
        <v/>
      </c>
      <c r="L1060" s="40"/>
      <c r="M1060"/>
      <c r="N1060"/>
      <c r="O1060"/>
      <c r="P1060"/>
      <c r="Q1060"/>
      <c r="R1060"/>
      <c r="S1060"/>
      <c r="T1060"/>
      <c r="U1060"/>
      <c r="V1060"/>
      <c r="W1060" s="41"/>
      <c r="X1060" s="41"/>
      <c r="Y1060" s="41"/>
    </row>
    <row r="1061" s="27" customFormat="1" ht="23" hidden="1" customHeight="1" spans="1:25">
      <c r="A1061" s="133" t="str">
        <f>IF(B1061="","",COUNTA($B$5:B1061))</f>
        <v/>
      </c>
      <c r="B1061" s="148"/>
      <c r="C1061" s="22" t="s">
        <v>49</v>
      </c>
      <c r="D1061" s="149"/>
      <c r="E1061" s="150"/>
      <c r="F1061" s="151"/>
      <c r="G1061" s="151"/>
      <c r="H1061" s="142">
        <f>IFERROR(VLOOKUP($C1061,$C$5:$H$18,6,0)+SUMIF($C$19:$C1061,$C1061,$F$19:$F1061)-SUMIF($C$19:$C1061,$C1061,$G$19:$G1061),"")</f>
        <v>81211.819999998</v>
      </c>
      <c r="I1061" s="147"/>
      <c r="J1061" s="147"/>
      <c r="K1061" s="147" t="str">
        <f t="shared" si="16"/>
        <v/>
      </c>
      <c r="L1061" s="40"/>
      <c r="M1061"/>
      <c r="N1061"/>
      <c r="O1061"/>
      <c r="P1061"/>
      <c r="Q1061"/>
      <c r="R1061"/>
      <c r="S1061"/>
      <c r="T1061"/>
      <c r="U1061"/>
      <c r="V1061"/>
      <c r="W1061" s="41"/>
      <c r="X1061" s="41"/>
      <c r="Y1061" s="41"/>
    </row>
    <row r="1062" s="27" customFormat="1" ht="23" hidden="1" customHeight="1" spans="1:25">
      <c r="A1062" s="133" t="str">
        <f>IF(B1062="","",COUNTA($B$5:B1062))</f>
        <v/>
      </c>
      <c r="B1062" s="148"/>
      <c r="C1062" s="22" t="s">
        <v>49</v>
      </c>
      <c r="D1062" s="149"/>
      <c r="E1062" s="150"/>
      <c r="F1062" s="151"/>
      <c r="G1062" s="151"/>
      <c r="H1062" s="142">
        <f>IFERROR(VLOOKUP($C1062,$C$5:$H$18,6,0)+SUMIF($C$19:$C1062,$C1062,$F$19:$F1062)-SUMIF($C$19:$C1062,$C1062,$G$19:$G1062),"")</f>
        <v>81211.819999998</v>
      </c>
      <c r="I1062" s="147"/>
      <c r="J1062" s="147"/>
      <c r="K1062" s="147" t="str">
        <f t="shared" si="16"/>
        <v/>
      </c>
      <c r="L1062" s="40"/>
      <c r="M1062"/>
      <c r="N1062"/>
      <c r="O1062"/>
      <c r="P1062"/>
      <c r="Q1062"/>
      <c r="R1062"/>
      <c r="S1062"/>
      <c r="T1062"/>
      <c r="U1062"/>
      <c r="V1062"/>
      <c r="W1062" s="41"/>
      <c r="X1062" s="41"/>
      <c r="Y1062" s="41"/>
    </row>
    <row r="1063" s="27" customFormat="1" ht="23" hidden="1" customHeight="1" spans="1:25">
      <c r="A1063" s="133" t="str">
        <f>IF(B1063="","",COUNTA($B$5:B1063))</f>
        <v/>
      </c>
      <c r="B1063" s="148"/>
      <c r="C1063" s="22" t="s">
        <v>49</v>
      </c>
      <c r="D1063" s="149"/>
      <c r="E1063" s="150"/>
      <c r="F1063" s="151"/>
      <c r="G1063" s="151"/>
      <c r="H1063" s="142">
        <f>IFERROR(VLOOKUP($C1063,$C$5:$H$18,6,0)+SUMIF($C$19:$C1063,$C1063,$F$19:$F1063)-SUMIF($C$19:$C1063,$C1063,$G$19:$G1063),"")</f>
        <v>81211.819999998</v>
      </c>
      <c r="I1063" s="147"/>
      <c r="J1063" s="147"/>
      <c r="K1063" s="147" t="str">
        <f t="shared" si="16"/>
        <v/>
      </c>
      <c r="L1063" s="40"/>
      <c r="M1063"/>
      <c r="N1063"/>
      <c r="O1063"/>
      <c r="P1063"/>
      <c r="Q1063"/>
      <c r="R1063"/>
      <c r="S1063"/>
      <c r="T1063"/>
      <c r="U1063"/>
      <c r="V1063"/>
      <c r="W1063" s="41"/>
      <c r="X1063" s="41"/>
      <c r="Y1063" s="41"/>
    </row>
    <row r="1064" s="27" customFormat="1" ht="23" hidden="1" customHeight="1" spans="1:25">
      <c r="A1064" s="133" t="str">
        <f>IF(B1064="","",COUNTA($B$5:B1064))</f>
        <v/>
      </c>
      <c r="B1064" s="148"/>
      <c r="C1064" s="22" t="s">
        <v>49</v>
      </c>
      <c r="D1064" s="149"/>
      <c r="E1064" s="150"/>
      <c r="F1064" s="151"/>
      <c r="G1064" s="151"/>
      <c r="H1064" s="142">
        <f>IFERROR(VLOOKUP($C1064,$C$5:$H$18,6,0)+SUMIF($C$19:$C1064,$C1064,$F$19:$F1064)-SUMIF($C$19:$C1064,$C1064,$G$19:$G1064),"")</f>
        <v>81211.819999998</v>
      </c>
      <c r="I1064" s="147"/>
      <c r="J1064" s="147"/>
      <c r="K1064" s="147" t="str">
        <f t="shared" si="16"/>
        <v/>
      </c>
      <c r="L1064" s="40"/>
      <c r="M1064"/>
      <c r="N1064"/>
      <c r="O1064"/>
      <c r="P1064"/>
      <c r="Q1064"/>
      <c r="R1064"/>
      <c r="S1064"/>
      <c r="T1064"/>
      <c r="U1064"/>
      <c r="V1064"/>
      <c r="W1064" s="41"/>
      <c r="X1064" s="41"/>
      <c r="Y1064" s="41"/>
    </row>
    <row r="1065" s="27" customFormat="1" ht="23" hidden="1" customHeight="1" spans="1:25">
      <c r="A1065" s="133" t="str">
        <f>IF(B1065="","",COUNTA($B$5:B1065))</f>
        <v/>
      </c>
      <c r="B1065" s="148"/>
      <c r="C1065" s="22" t="s">
        <v>49</v>
      </c>
      <c r="D1065" s="149"/>
      <c r="E1065" s="150"/>
      <c r="F1065" s="151"/>
      <c r="G1065" s="151"/>
      <c r="H1065" s="142">
        <f>IFERROR(VLOOKUP($C1065,$C$5:$H$18,6,0)+SUMIF($C$19:$C1065,$C1065,$F$19:$F1065)-SUMIF($C$19:$C1065,$C1065,$G$19:$G1065),"")</f>
        <v>81211.819999998</v>
      </c>
      <c r="I1065" s="147"/>
      <c r="J1065" s="147"/>
      <c r="K1065" s="147" t="str">
        <f t="shared" si="16"/>
        <v/>
      </c>
      <c r="L1065" s="40"/>
      <c r="M1065"/>
      <c r="N1065"/>
      <c r="O1065"/>
      <c r="P1065"/>
      <c r="Q1065"/>
      <c r="R1065"/>
      <c r="S1065"/>
      <c r="T1065"/>
      <c r="U1065"/>
      <c r="V1065"/>
      <c r="W1065" s="41"/>
      <c r="X1065" s="41"/>
      <c r="Y1065" s="41"/>
    </row>
    <row r="1066" s="27" customFormat="1" ht="23" hidden="1" customHeight="1" spans="1:25">
      <c r="A1066" s="133" t="str">
        <f>IF(B1066="","",COUNTA($B$5:B1066))</f>
        <v/>
      </c>
      <c r="B1066" s="148"/>
      <c r="C1066" s="22" t="s">
        <v>49</v>
      </c>
      <c r="D1066" s="149"/>
      <c r="E1066" s="150"/>
      <c r="F1066" s="151"/>
      <c r="G1066" s="151"/>
      <c r="H1066" s="142">
        <f>IFERROR(VLOOKUP($C1066,$C$5:$H$18,6,0)+SUMIF($C$19:$C1066,$C1066,$F$19:$F1066)-SUMIF($C$19:$C1066,$C1066,$G$19:$G1066),"")</f>
        <v>81211.819999998</v>
      </c>
      <c r="I1066" s="147"/>
      <c r="J1066" s="147"/>
      <c r="K1066" s="147" t="str">
        <f t="shared" si="16"/>
        <v/>
      </c>
      <c r="L1066" s="40"/>
      <c r="M1066"/>
      <c r="N1066"/>
      <c r="O1066"/>
      <c r="P1066"/>
      <c r="Q1066"/>
      <c r="R1066"/>
      <c r="S1066"/>
      <c r="T1066"/>
      <c r="U1066"/>
      <c r="V1066"/>
      <c r="W1066" s="41"/>
      <c r="X1066" s="41"/>
      <c r="Y1066" s="41"/>
    </row>
    <row r="1067" s="27" customFormat="1" ht="23" hidden="1" customHeight="1" spans="1:25">
      <c r="A1067" s="133" t="str">
        <f>IF(B1067="","",COUNTA($B$5:B1067))</f>
        <v/>
      </c>
      <c r="B1067" s="148"/>
      <c r="C1067" s="22" t="s">
        <v>49</v>
      </c>
      <c r="D1067" s="149"/>
      <c r="E1067" s="150"/>
      <c r="F1067" s="151"/>
      <c r="G1067" s="151"/>
      <c r="H1067" s="142">
        <f>IFERROR(VLOOKUP($C1067,$C$5:$H$18,6,0)+SUMIF($C$19:$C1067,$C1067,$F$19:$F1067)-SUMIF($C$19:$C1067,$C1067,$G$19:$G1067),"")</f>
        <v>81211.819999998</v>
      </c>
      <c r="I1067" s="147"/>
      <c r="J1067" s="147"/>
      <c r="K1067" s="147" t="str">
        <f t="shared" si="16"/>
        <v/>
      </c>
      <c r="L1067" s="40"/>
      <c r="M1067"/>
      <c r="N1067"/>
      <c r="O1067"/>
      <c r="P1067"/>
      <c r="Q1067"/>
      <c r="R1067"/>
      <c r="S1067"/>
      <c r="T1067"/>
      <c r="U1067"/>
      <c r="V1067"/>
      <c r="W1067" s="41"/>
      <c r="X1067" s="41"/>
      <c r="Y1067" s="41"/>
    </row>
    <row r="1068" s="27" customFormat="1" ht="23" hidden="1" customHeight="1" spans="1:25">
      <c r="A1068" s="133" t="str">
        <f>IF(B1068="","",COUNTA($B$5:B1068))</f>
        <v/>
      </c>
      <c r="B1068" s="148"/>
      <c r="C1068" s="22" t="s">
        <v>49</v>
      </c>
      <c r="D1068" s="149"/>
      <c r="E1068" s="150"/>
      <c r="F1068" s="151"/>
      <c r="G1068" s="151"/>
      <c r="H1068" s="142">
        <f>IFERROR(VLOOKUP($C1068,$C$5:$H$18,6,0)+SUMIF($C$19:$C1068,$C1068,$F$19:$F1068)-SUMIF($C$19:$C1068,$C1068,$G$19:$G1068),"")</f>
        <v>81211.819999998</v>
      </c>
      <c r="I1068" s="147"/>
      <c r="J1068" s="147"/>
      <c r="K1068" s="147" t="str">
        <f t="shared" si="16"/>
        <v/>
      </c>
      <c r="L1068" s="40"/>
      <c r="M1068"/>
      <c r="N1068"/>
      <c r="O1068"/>
      <c r="P1068"/>
      <c r="Q1068"/>
      <c r="R1068"/>
      <c r="S1068"/>
      <c r="T1068"/>
      <c r="U1068"/>
      <c r="V1068"/>
      <c r="W1068" s="41"/>
      <c r="X1068" s="41"/>
      <c r="Y1068" s="41"/>
    </row>
    <row r="1069" s="27" customFormat="1" ht="23" hidden="1" customHeight="1" spans="1:25">
      <c r="A1069" s="133" t="str">
        <f>IF(B1069="","",COUNTA($B$5:B1069))</f>
        <v/>
      </c>
      <c r="B1069" s="148"/>
      <c r="C1069" s="22" t="s">
        <v>49</v>
      </c>
      <c r="D1069" s="149"/>
      <c r="E1069" s="150"/>
      <c r="F1069" s="151"/>
      <c r="G1069" s="151"/>
      <c r="H1069" s="142">
        <f>IFERROR(VLOOKUP($C1069,$C$5:$H$18,6,0)+SUMIF($C$19:$C1069,$C1069,$F$19:$F1069)-SUMIF($C$19:$C1069,$C1069,$G$19:$G1069),"")</f>
        <v>81211.819999998</v>
      </c>
      <c r="I1069" s="147"/>
      <c r="J1069" s="147"/>
      <c r="K1069" s="147" t="str">
        <f t="shared" si="16"/>
        <v/>
      </c>
      <c r="L1069" s="40"/>
      <c r="M1069"/>
      <c r="N1069"/>
      <c r="O1069"/>
      <c r="P1069"/>
      <c r="Q1069"/>
      <c r="R1069"/>
      <c r="S1069"/>
      <c r="T1069"/>
      <c r="U1069"/>
      <c r="V1069"/>
      <c r="W1069" s="41"/>
      <c r="X1069" s="41"/>
      <c r="Y1069" s="41"/>
    </row>
    <row r="1070" s="27" customFormat="1" ht="23" hidden="1" customHeight="1" spans="1:25">
      <c r="A1070" s="133" t="str">
        <f>IF(B1070="","",COUNTA($B$5:B1070))</f>
        <v/>
      </c>
      <c r="B1070" s="148"/>
      <c r="C1070" s="22" t="s">
        <v>49</v>
      </c>
      <c r="D1070" s="149"/>
      <c r="E1070" s="150"/>
      <c r="F1070" s="151"/>
      <c r="G1070" s="151"/>
      <c r="H1070" s="142">
        <f>IFERROR(VLOOKUP($C1070,$C$5:$H$18,6,0)+SUMIF($C$19:$C1070,$C1070,$F$19:$F1070)-SUMIF($C$19:$C1070,$C1070,$G$19:$G1070),"")</f>
        <v>81211.819999998</v>
      </c>
      <c r="I1070" s="147"/>
      <c r="J1070" s="147"/>
      <c r="K1070" s="147" t="str">
        <f t="shared" si="16"/>
        <v/>
      </c>
      <c r="L1070" s="40"/>
      <c r="M1070"/>
      <c r="N1070"/>
      <c r="O1070"/>
      <c r="P1070"/>
      <c r="Q1070"/>
      <c r="R1070"/>
      <c r="S1070"/>
      <c r="T1070"/>
      <c r="U1070"/>
      <c r="V1070"/>
      <c r="W1070" s="41"/>
      <c r="X1070" s="41"/>
      <c r="Y1070" s="41"/>
    </row>
    <row r="1071" s="27" customFormat="1" ht="23" hidden="1" customHeight="1" spans="1:25">
      <c r="A1071" s="133" t="str">
        <f>IF(B1071="","",COUNTA($B$5:B1071))</f>
        <v/>
      </c>
      <c r="B1071" s="148"/>
      <c r="C1071" s="22" t="s">
        <v>49</v>
      </c>
      <c r="D1071" s="149"/>
      <c r="E1071" s="150"/>
      <c r="F1071" s="151"/>
      <c r="G1071" s="151"/>
      <c r="H1071" s="142">
        <f>IFERROR(VLOOKUP($C1071,$C$5:$H$18,6,0)+SUMIF($C$19:$C1071,$C1071,$F$19:$F1071)-SUMIF($C$19:$C1071,$C1071,$G$19:$G1071),"")</f>
        <v>81211.819999998</v>
      </c>
      <c r="I1071" s="147"/>
      <c r="J1071" s="147"/>
      <c r="K1071" s="147" t="str">
        <f t="shared" si="16"/>
        <v/>
      </c>
      <c r="L1071" s="40"/>
      <c r="M1071"/>
      <c r="N1071"/>
      <c r="O1071"/>
      <c r="P1071"/>
      <c r="Q1071"/>
      <c r="R1071"/>
      <c r="S1071"/>
      <c r="T1071"/>
      <c r="U1071"/>
      <c r="V1071"/>
      <c r="W1071" s="41"/>
      <c r="X1071" s="41"/>
      <c r="Y1071" s="41"/>
    </row>
    <row r="1072" s="27" customFormat="1" ht="23" hidden="1" customHeight="1" spans="1:25">
      <c r="A1072" s="133" t="str">
        <f>IF(B1072="","",COUNTA($B$5:B1072))</f>
        <v/>
      </c>
      <c r="B1072" s="148"/>
      <c r="C1072" s="22" t="s">
        <v>49</v>
      </c>
      <c r="D1072" s="149"/>
      <c r="E1072" s="150"/>
      <c r="F1072" s="151"/>
      <c r="G1072" s="151"/>
      <c r="H1072" s="142">
        <f>IFERROR(VLOOKUP($C1072,$C$5:$H$18,6,0)+SUMIF($C$19:$C1072,$C1072,$F$19:$F1072)-SUMIF($C$19:$C1072,$C1072,$G$19:$G1072),"")</f>
        <v>81211.819999998</v>
      </c>
      <c r="I1072" s="147"/>
      <c r="J1072" s="147"/>
      <c r="K1072" s="147" t="str">
        <f t="shared" si="16"/>
        <v/>
      </c>
      <c r="L1072" s="40"/>
      <c r="M1072"/>
      <c r="N1072"/>
      <c r="O1072"/>
      <c r="P1072"/>
      <c r="Q1072"/>
      <c r="R1072"/>
      <c r="S1072"/>
      <c r="T1072"/>
      <c r="U1072"/>
      <c r="V1072"/>
      <c r="W1072" s="41"/>
      <c r="X1072" s="41"/>
      <c r="Y1072" s="41"/>
    </row>
    <row r="1073" s="27" customFormat="1" ht="23" hidden="1" customHeight="1" spans="1:25">
      <c r="A1073" s="133" t="str">
        <f>IF(B1073="","",COUNTA($B$5:B1073))</f>
        <v/>
      </c>
      <c r="B1073" s="148"/>
      <c r="C1073" s="22" t="s">
        <v>49</v>
      </c>
      <c r="D1073" s="149"/>
      <c r="E1073" s="150"/>
      <c r="F1073" s="151"/>
      <c r="G1073" s="151"/>
      <c r="H1073" s="142">
        <f>IFERROR(VLOOKUP($C1073,$C$5:$H$18,6,0)+SUMIF($C$19:$C1073,$C1073,$F$19:$F1073)-SUMIF($C$19:$C1073,$C1073,$G$19:$G1073),"")</f>
        <v>81211.819999998</v>
      </c>
      <c r="I1073" s="147"/>
      <c r="J1073" s="147"/>
      <c r="K1073" s="147" t="str">
        <f t="shared" si="16"/>
        <v/>
      </c>
      <c r="L1073" s="40"/>
      <c r="M1073"/>
      <c r="N1073"/>
      <c r="O1073"/>
      <c r="P1073"/>
      <c r="Q1073"/>
      <c r="R1073"/>
      <c r="S1073"/>
      <c r="T1073"/>
      <c r="U1073"/>
      <c r="V1073"/>
      <c r="W1073" s="41"/>
      <c r="X1073" s="41"/>
      <c r="Y1073" s="41"/>
    </row>
    <row r="1074" s="27" customFormat="1" ht="23" hidden="1" customHeight="1" spans="1:25">
      <c r="A1074" s="133" t="str">
        <f>IF(B1074="","",COUNTA($B$5:B1074))</f>
        <v/>
      </c>
      <c r="B1074" s="148"/>
      <c r="C1074" s="22" t="s">
        <v>49</v>
      </c>
      <c r="D1074" s="149"/>
      <c r="E1074" s="150"/>
      <c r="F1074" s="151"/>
      <c r="G1074" s="151"/>
      <c r="H1074" s="142">
        <f>IFERROR(VLOOKUP($C1074,$C$5:$H$18,6,0)+SUMIF($C$19:$C1074,$C1074,$F$19:$F1074)-SUMIF($C$19:$C1074,$C1074,$G$19:$G1074),"")</f>
        <v>81211.819999998</v>
      </c>
      <c r="I1074" s="147"/>
      <c r="J1074" s="147"/>
      <c r="K1074" s="147" t="str">
        <f t="shared" si="16"/>
        <v/>
      </c>
      <c r="L1074" s="40"/>
      <c r="M1074"/>
      <c r="N1074"/>
      <c r="O1074"/>
      <c r="P1074"/>
      <c r="Q1074"/>
      <c r="R1074"/>
      <c r="S1074"/>
      <c r="T1074"/>
      <c r="U1074"/>
      <c r="V1074"/>
      <c r="W1074" s="41"/>
      <c r="X1074" s="41"/>
      <c r="Y1074" s="41"/>
    </row>
    <row r="1075" s="27" customFormat="1" ht="23" hidden="1" customHeight="1" spans="1:25">
      <c r="A1075" s="133" t="str">
        <f>IF(B1075="","",COUNTA($B$5:B1075))</f>
        <v/>
      </c>
      <c r="B1075" s="148"/>
      <c r="C1075" s="22" t="s">
        <v>49</v>
      </c>
      <c r="D1075" s="149"/>
      <c r="E1075" s="150"/>
      <c r="F1075" s="151"/>
      <c r="G1075" s="151"/>
      <c r="H1075" s="142">
        <f>IFERROR(VLOOKUP($C1075,$C$5:$H$18,6,0)+SUMIF($C$19:$C1075,$C1075,$F$19:$F1075)-SUMIF($C$19:$C1075,$C1075,$G$19:$G1075),"")</f>
        <v>81211.819999998</v>
      </c>
      <c r="I1075" s="147"/>
      <c r="J1075" s="147"/>
      <c r="K1075" s="147" t="str">
        <f t="shared" si="16"/>
        <v/>
      </c>
      <c r="L1075" s="40"/>
      <c r="M1075"/>
      <c r="N1075"/>
      <c r="O1075"/>
      <c r="P1075"/>
      <c r="Q1075"/>
      <c r="R1075"/>
      <c r="S1075"/>
      <c r="T1075"/>
      <c r="U1075"/>
      <c r="V1075"/>
      <c r="W1075" s="41"/>
      <c r="X1075" s="41"/>
      <c r="Y1075" s="41"/>
    </row>
    <row r="1076" s="27" customFormat="1" ht="23" hidden="1" customHeight="1" spans="1:25">
      <c r="A1076" s="133" t="str">
        <f>IF(B1076="","",COUNTA($B$5:B1076))</f>
        <v/>
      </c>
      <c r="B1076" s="148"/>
      <c r="C1076" s="22" t="s">
        <v>49</v>
      </c>
      <c r="D1076" s="149"/>
      <c r="E1076" s="150"/>
      <c r="F1076" s="151"/>
      <c r="G1076" s="151"/>
      <c r="H1076" s="142">
        <f>IFERROR(VLOOKUP($C1076,$C$5:$H$18,6,0)+SUMIF($C$19:$C1076,$C1076,$F$19:$F1076)-SUMIF($C$19:$C1076,$C1076,$G$19:$G1076),"")</f>
        <v>81211.819999998</v>
      </c>
      <c r="I1076" s="147"/>
      <c r="J1076" s="147"/>
      <c r="K1076" s="147" t="str">
        <f t="shared" si="16"/>
        <v/>
      </c>
      <c r="L1076" s="40"/>
      <c r="M1076"/>
      <c r="N1076"/>
      <c r="O1076"/>
      <c r="P1076"/>
      <c r="Q1076"/>
      <c r="R1076"/>
      <c r="S1076"/>
      <c r="T1076"/>
      <c r="U1076"/>
      <c r="V1076"/>
      <c r="W1076" s="41"/>
      <c r="X1076" s="41"/>
      <c r="Y1076" s="41"/>
    </row>
    <row r="1077" s="27" customFormat="1" ht="23" hidden="1" customHeight="1" spans="1:25">
      <c r="A1077" s="133" t="str">
        <f>IF(B1077="","",COUNTA($B$5:B1077))</f>
        <v/>
      </c>
      <c r="B1077" s="148"/>
      <c r="C1077" s="22" t="s">
        <v>49</v>
      </c>
      <c r="D1077" s="149"/>
      <c r="E1077" s="150"/>
      <c r="F1077" s="151"/>
      <c r="G1077" s="151"/>
      <c r="H1077" s="142">
        <f>IFERROR(VLOOKUP($C1077,$C$5:$H$18,6,0)+SUMIF($C$19:$C1077,$C1077,$F$19:$F1077)-SUMIF($C$19:$C1077,$C1077,$G$19:$G1077),"")</f>
        <v>81211.819999998</v>
      </c>
      <c r="I1077" s="147"/>
      <c r="J1077" s="147"/>
      <c r="K1077" s="147" t="str">
        <f t="shared" si="16"/>
        <v/>
      </c>
      <c r="L1077" s="40"/>
      <c r="M1077"/>
      <c r="N1077"/>
      <c r="O1077"/>
      <c r="P1077"/>
      <c r="Q1077"/>
      <c r="R1077"/>
      <c r="S1077"/>
      <c r="T1077"/>
      <c r="U1077"/>
      <c r="V1077"/>
      <c r="W1077" s="41"/>
      <c r="X1077" s="41"/>
      <c r="Y1077" s="41"/>
    </row>
    <row r="1078" s="27" customFormat="1" ht="23" hidden="1" customHeight="1" spans="1:25">
      <c r="A1078" s="133" t="str">
        <f>IF(B1078="","",COUNTA($B$5:B1078))</f>
        <v/>
      </c>
      <c r="B1078" s="148"/>
      <c r="C1078" s="22" t="s">
        <v>49</v>
      </c>
      <c r="D1078" s="149"/>
      <c r="E1078" s="150"/>
      <c r="F1078" s="151"/>
      <c r="G1078" s="151"/>
      <c r="H1078" s="142">
        <f>IFERROR(VLOOKUP($C1078,$C$5:$H$18,6,0)+SUMIF($C$19:$C1078,$C1078,$F$19:$F1078)-SUMIF($C$19:$C1078,$C1078,$G$19:$G1078),"")</f>
        <v>81211.819999998</v>
      </c>
      <c r="I1078" s="147"/>
      <c r="J1078" s="147"/>
      <c r="K1078" s="147" t="str">
        <f t="shared" si="16"/>
        <v/>
      </c>
      <c r="L1078" s="40"/>
      <c r="M1078"/>
      <c r="N1078"/>
      <c r="O1078"/>
      <c r="P1078"/>
      <c r="Q1078"/>
      <c r="R1078"/>
      <c r="S1078"/>
      <c r="T1078"/>
      <c r="U1078"/>
      <c r="V1078"/>
      <c r="W1078" s="41"/>
      <c r="X1078" s="41"/>
      <c r="Y1078" s="41"/>
    </row>
    <row r="1079" s="27" customFormat="1" ht="23" hidden="1" customHeight="1" spans="1:25">
      <c r="A1079" s="133" t="str">
        <f>IF(B1079="","",COUNTA($B$5:B1079))</f>
        <v/>
      </c>
      <c r="B1079" s="148"/>
      <c r="C1079" s="22" t="s">
        <v>49</v>
      </c>
      <c r="D1079" s="149"/>
      <c r="E1079" s="150"/>
      <c r="F1079" s="151"/>
      <c r="G1079" s="151"/>
      <c r="H1079" s="142">
        <f>IFERROR(VLOOKUP($C1079,$C$5:$H$18,6,0)+SUMIF($C$19:$C1079,$C1079,$F$19:$F1079)-SUMIF($C$19:$C1079,$C1079,$G$19:$G1079),"")</f>
        <v>81211.819999998</v>
      </c>
      <c r="I1079" s="147"/>
      <c r="J1079" s="147"/>
      <c r="K1079" s="147" t="str">
        <f t="shared" si="16"/>
        <v/>
      </c>
      <c r="L1079" s="40"/>
      <c r="M1079"/>
      <c r="N1079"/>
      <c r="O1079"/>
      <c r="P1079"/>
      <c r="Q1079"/>
      <c r="R1079"/>
      <c r="S1079"/>
      <c r="T1079"/>
      <c r="U1079"/>
      <c r="V1079"/>
      <c r="W1079" s="41"/>
      <c r="X1079" s="41"/>
      <c r="Y1079" s="41"/>
    </row>
    <row r="1080" s="27" customFormat="1" ht="23" hidden="1" customHeight="1" spans="1:25">
      <c r="A1080" s="133" t="str">
        <f>IF(B1080="","",COUNTA($B$5:B1080))</f>
        <v/>
      </c>
      <c r="B1080" s="148"/>
      <c r="C1080" s="22" t="s">
        <v>49</v>
      </c>
      <c r="D1080" s="149"/>
      <c r="E1080" s="150"/>
      <c r="F1080" s="151"/>
      <c r="G1080" s="151"/>
      <c r="H1080" s="142">
        <f>IFERROR(VLOOKUP($C1080,$C$5:$H$18,6,0)+SUMIF($C$19:$C1080,$C1080,$F$19:$F1080)-SUMIF($C$19:$C1080,$C1080,$G$19:$G1080),"")</f>
        <v>81211.819999998</v>
      </c>
      <c r="I1080" s="147"/>
      <c r="J1080" s="147"/>
      <c r="K1080" s="147" t="str">
        <f t="shared" si="16"/>
        <v/>
      </c>
      <c r="L1080" s="40"/>
      <c r="M1080"/>
      <c r="N1080"/>
      <c r="O1080"/>
      <c r="P1080"/>
      <c r="Q1080"/>
      <c r="R1080"/>
      <c r="S1080"/>
      <c r="T1080"/>
      <c r="U1080"/>
      <c r="V1080"/>
      <c r="W1080" s="41"/>
      <c r="X1080" s="41"/>
      <c r="Y1080" s="41"/>
    </row>
    <row r="1081" s="27" customFormat="1" ht="23" hidden="1" customHeight="1" spans="1:25">
      <c r="A1081" s="133" t="str">
        <f>IF(B1081="","",COUNTA($B$5:B1081))</f>
        <v/>
      </c>
      <c r="B1081" s="148"/>
      <c r="C1081" s="22" t="s">
        <v>49</v>
      </c>
      <c r="D1081" s="149"/>
      <c r="E1081" s="150"/>
      <c r="F1081" s="151"/>
      <c r="G1081" s="151"/>
      <c r="H1081" s="142">
        <f>IFERROR(VLOOKUP($C1081,$C$5:$H$18,6,0)+SUMIF($C$19:$C1081,$C1081,$F$19:$F1081)-SUMIF($C$19:$C1081,$C1081,$G$19:$G1081),"")</f>
        <v>81211.819999998</v>
      </c>
      <c r="I1081" s="147"/>
      <c r="J1081" s="147"/>
      <c r="K1081" s="147" t="str">
        <f t="shared" si="16"/>
        <v/>
      </c>
      <c r="L1081" s="40"/>
      <c r="M1081"/>
      <c r="N1081"/>
      <c r="O1081"/>
      <c r="P1081"/>
      <c r="Q1081"/>
      <c r="R1081"/>
      <c r="S1081"/>
      <c r="T1081"/>
      <c r="U1081"/>
      <c r="V1081"/>
      <c r="W1081" s="41"/>
      <c r="X1081" s="41"/>
      <c r="Y1081" s="41"/>
    </row>
    <row r="1082" s="27" customFormat="1" ht="23" hidden="1" customHeight="1" spans="1:25">
      <c r="A1082" s="133" t="str">
        <f>IF(B1082="","",COUNTA($B$5:B1082))</f>
        <v/>
      </c>
      <c r="B1082" s="148"/>
      <c r="C1082" s="22" t="s">
        <v>49</v>
      </c>
      <c r="D1082" s="149"/>
      <c r="E1082" s="150"/>
      <c r="F1082" s="151"/>
      <c r="G1082" s="151"/>
      <c r="H1082" s="142">
        <f>IFERROR(VLOOKUP($C1082,$C$5:$H$18,6,0)+SUMIF($C$19:$C1082,$C1082,$F$19:$F1082)-SUMIF($C$19:$C1082,$C1082,$G$19:$G1082),"")</f>
        <v>81211.819999998</v>
      </c>
      <c r="I1082" s="147"/>
      <c r="J1082" s="147"/>
      <c r="K1082" s="147" t="str">
        <f t="shared" si="16"/>
        <v/>
      </c>
      <c r="L1082" s="40"/>
      <c r="M1082"/>
      <c r="N1082"/>
      <c r="O1082"/>
      <c r="P1082"/>
      <c r="Q1082"/>
      <c r="R1082"/>
      <c r="S1082"/>
      <c r="T1082"/>
      <c r="U1082"/>
      <c r="V1082"/>
      <c r="W1082" s="41"/>
      <c r="X1082" s="41"/>
      <c r="Y1082" s="41"/>
    </row>
    <row r="1083" s="27" customFormat="1" ht="23" hidden="1" customHeight="1" spans="1:25">
      <c r="A1083" s="133" t="str">
        <f>IF(B1083="","",COUNTA($B$5:B1083))</f>
        <v/>
      </c>
      <c r="B1083" s="148"/>
      <c r="C1083" s="22" t="s">
        <v>49</v>
      </c>
      <c r="D1083" s="149"/>
      <c r="E1083" s="150"/>
      <c r="F1083" s="151"/>
      <c r="G1083" s="151"/>
      <c r="H1083" s="142">
        <f>IFERROR(VLOOKUP($C1083,$C$5:$H$18,6,0)+SUMIF($C$19:$C1083,$C1083,$F$19:$F1083)-SUMIF($C$19:$C1083,$C1083,$G$19:$G1083),"")</f>
        <v>81211.819999998</v>
      </c>
      <c r="I1083" s="147"/>
      <c r="J1083" s="147"/>
      <c r="K1083" s="147" t="str">
        <f t="shared" si="16"/>
        <v/>
      </c>
      <c r="L1083" s="40"/>
      <c r="M1083"/>
      <c r="N1083"/>
      <c r="O1083"/>
      <c r="P1083"/>
      <c r="Q1083"/>
      <c r="R1083"/>
      <c r="S1083"/>
      <c r="T1083"/>
      <c r="U1083"/>
      <c r="V1083"/>
      <c r="W1083" s="41"/>
      <c r="X1083" s="41"/>
      <c r="Y1083" s="41"/>
    </row>
    <row r="1084" s="27" customFormat="1" ht="23" hidden="1" customHeight="1" spans="1:25">
      <c r="A1084" s="133" t="str">
        <f>IF(B1084="","",COUNTA($B$5:B1084))</f>
        <v/>
      </c>
      <c r="B1084" s="148"/>
      <c r="C1084" s="22" t="s">
        <v>49</v>
      </c>
      <c r="D1084" s="149"/>
      <c r="E1084" s="150"/>
      <c r="F1084" s="151"/>
      <c r="G1084" s="151"/>
      <c r="H1084" s="142">
        <f>IFERROR(VLOOKUP($C1084,$C$5:$H$18,6,0)+SUMIF($C$19:$C1084,$C1084,$F$19:$F1084)-SUMIF($C$19:$C1084,$C1084,$G$19:$G1084),"")</f>
        <v>81211.819999998</v>
      </c>
      <c r="I1084" s="147"/>
      <c r="J1084" s="147"/>
      <c r="K1084" s="147" t="str">
        <f t="shared" si="16"/>
        <v/>
      </c>
      <c r="L1084" s="40"/>
      <c r="M1084"/>
      <c r="N1084"/>
      <c r="O1084"/>
      <c r="P1084"/>
      <c r="Q1084"/>
      <c r="R1084"/>
      <c r="S1084"/>
      <c r="T1084"/>
      <c r="U1084"/>
      <c r="V1084"/>
      <c r="W1084" s="41"/>
      <c r="X1084" s="41"/>
      <c r="Y1084" s="41"/>
    </row>
    <row r="1085" s="27" customFormat="1" ht="23" hidden="1" customHeight="1" spans="1:25">
      <c r="A1085" s="133" t="str">
        <f>IF(B1085="","",COUNTA($B$5:B1085))</f>
        <v/>
      </c>
      <c r="B1085" s="148"/>
      <c r="C1085" s="22" t="s">
        <v>49</v>
      </c>
      <c r="D1085" s="149"/>
      <c r="E1085" s="150"/>
      <c r="F1085" s="151"/>
      <c r="G1085" s="151"/>
      <c r="H1085" s="142">
        <f>IFERROR(VLOOKUP($C1085,$C$5:$H$18,6,0)+SUMIF($C$19:$C1085,$C1085,$F$19:$F1085)-SUMIF($C$19:$C1085,$C1085,$G$19:$G1085),"")</f>
        <v>81211.819999998</v>
      </c>
      <c r="I1085" s="147"/>
      <c r="J1085" s="147"/>
      <c r="K1085" s="147" t="str">
        <f t="shared" si="16"/>
        <v/>
      </c>
      <c r="L1085" s="40"/>
      <c r="M1085"/>
      <c r="N1085"/>
      <c r="O1085"/>
      <c r="P1085"/>
      <c r="Q1085"/>
      <c r="R1085"/>
      <c r="S1085"/>
      <c r="T1085"/>
      <c r="U1085"/>
      <c r="V1085"/>
      <c r="W1085" s="41"/>
      <c r="X1085" s="41"/>
      <c r="Y1085" s="41"/>
    </row>
    <row r="1086" s="27" customFormat="1" ht="23" hidden="1" customHeight="1" spans="1:25">
      <c r="A1086" s="133" t="str">
        <f>IF(B1086="","",COUNTA($B$5:B1086))</f>
        <v/>
      </c>
      <c r="B1086" s="148"/>
      <c r="C1086" s="22" t="s">
        <v>49</v>
      </c>
      <c r="D1086" s="149"/>
      <c r="E1086" s="150"/>
      <c r="F1086" s="151"/>
      <c r="G1086" s="151"/>
      <c r="H1086" s="142">
        <f>IFERROR(VLOOKUP($C1086,$C$5:$H$18,6,0)+SUMIF($C$19:$C1086,$C1086,$F$19:$F1086)-SUMIF($C$19:$C1086,$C1086,$G$19:$G1086),"")</f>
        <v>81211.819999998</v>
      </c>
      <c r="I1086" s="147"/>
      <c r="J1086" s="147"/>
      <c r="K1086" s="147" t="str">
        <f t="shared" si="16"/>
        <v/>
      </c>
      <c r="L1086" s="40"/>
      <c r="M1086"/>
      <c r="N1086"/>
      <c r="O1086"/>
      <c r="P1086"/>
      <c r="Q1086"/>
      <c r="R1086"/>
      <c r="S1086"/>
      <c r="T1086"/>
      <c r="U1086"/>
      <c r="V1086"/>
      <c r="W1086" s="41"/>
      <c r="X1086" s="41"/>
      <c r="Y1086" s="41"/>
    </row>
    <row r="1087" s="27" customFormat="1" ht="23" hidden="1" customHeight="1" spans="1:25">
      <c r="A1087" s="133" t="str">
        <f>IF(B1087="","",COUNTA($B$5:B1087))</f>
        <v/>
      </c>
      <c r="B1087" s="148"/>
      <c r="C1087" s="22" t="s">
        <v>49</v>
      </c>
      <c r="D1087" s="149"/>
      <c r="E1087" s="150"/>
      <c r="F1087" s="151"/>
      <c r="G1087" s="151"/>
      <c r="H1087" s="142">
        <f>IFERROR(VLOOKUP($C1087,$C$5:$H$18,6,0)+SUMIF($C$19:$C1087,$C1087,$F$19:$F1087)-SUMIF($C$19:$C1087,$C1087,$G$19:$G1087),"")</f>
        <v>81211.819999998</v>
      </c>
      <c r="I1087" s="147"/>
      <c r="J1087" s="147"/>
      <c r="K1087" s="147" t="str">
        <f t="shared" si="16"/>
        <v/>
      </c>
      <c r="L1087" s="40"/>
      <c r="M1087"/>
      <c r="N1087"/>
      <c r="O1087"/>
      <c r="P1087"/>
      <c r="Q1087"/>
      <c r="R1087"/>
      <c r="S1087"/>
      <c r="T1087"/>
      <c r="U1087"/>
      <c r="V1087"/>
      <c r="W1087" s="41"/>
      <c r="X1087" s="41"/>
      <c r="Y1087" s="41"/>
    </row>
    <row r="1088" s="27" customFormat="1" ht="23" hidden="1" customHeight="1" spans="1:25">
      <c r="A1088" s="133" t="str">
        <f>IF(B1088="","",COUNTA($B$5:B1088))</f>
        <v/>
      </c>
      <c r="B1088" s="148"/>
      <c r="C1088" s="22" t="s">
        <v>49</v>
      </c>
      <c r="D1088" s="149"/>
      <c r="E1088" s="150"/>
      <c r="F1088" s="151"/>
      <c r="G1088" s="151"/>
      <c r="H1088" s="142">
        <f>IFERROR(VLOOKUP($C1088,$C$5:$H$18,6,0)+SUMIF($C$19:$C1088,$C1088,$F$19:$F1088)-SUMIF($C$19:$C1088,$C1088,$G$19:$G1088),"")</f>
        <v>81211.819999998</v>
      </c>
      <c r="I1088" s="147"/>
      <c r="J1088" s="147"/>
      <c r="K1088" s="147" t="str">
        <f t="shared" si="16"/>
        <v/>
      </c>
      <c r="L1088" s="40"/>
      <c r="M1088"/>
      <c r="N1088"/>
      <c r="O1088"/>
      <c r="P1088"/>
      <c r="Q1088"/>
      <c r="R1088"/>
      <c r="S1088"/>
      <c r="T1088"/>
      <c r="U1088"/>
      <c r="V1088"/>
      <c r="W1088" s="41"/>
      <c r="X1088" s="41"/>
      <c r="Y1088" s="41"/>
    </row>
    <row r="1089" s="27" customFormat="1" ht="23" hidden="1" customHeight="1" spans="1:25">
      <c r="A1089" s="133" t="str">
        <f>IF(B1089="","",COUNTA($B$5:B1089))</f>
        <v/>
      </c>
      <c r="B1089" s="148"/>
      <c r="C1089" s="22" t="s">
        <v>49</v>
      </c>
      <c r="D1089" s="149"/>
      <c r="E1089" s="150"/>
      <c r="F1089" s="151"/>
      <c r="G1089" s="151"/>
      <c r="H1089" s="142">
        <f>IFERROR(VLOOKUP($C1089,$C$5:$H$18,6,0)+SUMIF($C$19:$C1089,$C1089,$F$19:$F1089)-SUMIF($C$19:$C1089,$C1089,$G$19:$G1089),"")</f>
        <v>81211.819999998</v>
      </c>
      <c r="I1089" s="147"/>
      <c r="J1089" s="147"/>
      <c r="K1089" s="147" t="str">
        <f t="shared" si="16"/>
        <v/>
      </c>
      <c r="L1089" s="40"/>
      <c r="M1089"/>
      <c r="N1089"/>
      <c r="O1089"/>
      <c r="P1089"/>
      <c r="Q1089"/>
      <c r="R1089"/>
      <c r="S1089"/>
      <c r="T1089"/>
      <c r="U1089"/>
      <c r="V1089"/>
      <c r="W1089" s="41"/>
      <c r="X1089" s="41"/>
      <c r="Y1089" s="41"/>
    </row>
    <row r="1090" s="27" customFormat="1" ht="23" hidden="1" customHeight="1" spans="1:25">
      <c r="A1090" s="133" t="str">
        <f>IF(B1090="","",COUNTA($B$5:B1090))</f>
        <v/>
      </c>
      <c r="B1090" s="148"/>
      <c r="C1090" s="22" t="s">
        <v>49</v>
      </c>
      <c r="D1090" s="149"/>
      <c r="E1090" s="150"/>
      <c r="F1090" s="151"/>
      <c r="G1090" s="151"/>
      <c r="H1090" s="142">
        <f>IFERROR(VLOOKUP($C1090,$C$5:$H$18,6,0)+SUMIF($C$19:$C1090,$C1090,$F$19:$F1090)-SUMIF($C$19:$C1090,$C1090,$G$19:$G1090),"")</f>
        <v>81211.819999998</v>
      </c>
      <c r="I1090" s="147"/>
      <c r="J1090" s="147"/>
      <c r="K1090" s="147" t="str">
        <f t="shared" si="16"/>
        <v/>
      </c>
      <c r="L1090" s="40"/>
      <c r="M1090"/>
      <c r="N1090"/>
      <c r="O1090"/>
      <c r="P1090"/>
      <c r="Q1090"/>
      <c r="R1090"/>
      <c r="S1090"/>
      <c r="T1090"/>
      <c r="U1090"/>
      <c r="V1090"/>
      <c r="W1090" s="41"/>
      <c r="X1090" s="41"/>
      <c r="Y1090" s="41"/>
    </row>
    <row r="1091" s="27" customFormat="1" ht="23" hidden="1" customHeight="1" spans="1:25">
      <c r="A1091" s="133" t="str">
        <f>IF(B1091="","",COUNTA($B$5:B1091))</f>
        <v/>
      </c>
      <c r="B1091" s="148"/>
      <c r="C1091" s="22" t="s">
        <v>49</v>
      </c>
      <c r="D1091" s="149"/>
      <c r="E1091" s="150"/>
      <c r="F1091" s="151"/>
      <c r="G1091" s="151"/>
      <c r="H1091" s="142">
        <f>IFERROR(VLOOKUP($C1091,$C$5:$H$18,6,0)+SUMIF($C$19:$C1091,$C1091,$F$19:$F1091)-SUMIF($C$19:$C1091,$C1091,$G$19:$G1091),"")</f>
        <v>81211.819999998</v>
      </c>
      <c r="I1091" s="147"/>
      <c r="J1091" s="147"/>
      <c r="K1091" s="147" t="str">
        <f t="shared" si="16"/>
        <v/>
      </c>
      <c r="L1091" s="40"/>
      <c r="M1091"/>
      <c r="N1091"/>
      <c r="O1091"/>
      <c r="P1091"/>
      <c r="Q1091"/>
      <c r="R1091"/>
      <c r="S1091"/>
      <c r="T1091"/>
      <c r="U1091"/>
      <c r="V1091"/>
      <c r="W1091" s="41"/>
      <c r="X1091" s="41"/>
      <c r="Y1091" s="41"/>
    </row>
    <row r="1092" s="27" customFormat="1" ht="23" hidden="1" customHeight="1" spans="1:25">
      <c r="A1092" s="133" t="str">
        <f>IF(B1092="","",COUNTA($B$5:B1092))</f>
        <v/>
      </c>
      <c r="B1092" s="148"/>
      <c r="C1092" s="22" t="s">
        <v>49</v>
      </c>
      <c r="D1092" s="149"/>
      <c r="E1092" s="150"/>
      <c r="F1092" s="151"/>
      <c r="G1092" s="151"/>
      <c r="H1092" s="142">
        <f>IFERROR(VLOOKUP($C1092,$C$5:$H$18,6,0)+SUMIF($C$19:$C1092,$C1092,$F$19:$F1092)-SUMIF($C$19:$C1092,$C1092,$G$19:$G1092),"")</f>
        <v>81211.819999998</v>
      </c>
      <c r="I1092" s="147"/>
      <c r="J1092" s="147"/>
      <c r="K1092" s="147" t="str">
        <f t="shared" si="16"/>
        <v/>
      </c>
      <c r="L1092" s="40"/>
      <c r="M1092"/>
      <c r="N1092"/>
      <c r="O1092"/>
      <c r="P1092"/>
      <c r="Q1092"/>
      <c r="R1092"/>
      <c r="S1092"/>
      <c r="T1092"/>
      <c r="U1092"/>
      <c r="V1092"/>
      <c r="W1092" s="41"/>
      <c r="X1092" s="41"/>
      <c r="Y1092" s="41"/>
    </row>
    <row r="1093" s="27" customFormat="1" ht="23" hidden="1" customHeight="1" spans="1:25">
      <c r="A1093" s="133" t="str">
        <f>IF(B1093="","",COUNTA($B$5:B1093))</f>
        <v/>
      </c>
      <c r="B1093" s="148"/>
      <c r="C1093" s="22" t="s">
        <v>49</v>
      </c>
      <c r="D1093" s="149"/>
      <c r="E1093" s="150"/>
      <c r="F1093" s="151"/>
      <c r="G1093" s="151"/>
      <c r="H1093" s="142">
        <f>IFERROR(VLOOKUP($C1093,$C$5:$H$18,6,0)+SUMIF($C$19:$C1093,$C1093,$F$19:$F1093)-SUMIF($C$19:$C1093,$C1093,$G$19:$G1093),"")</f>
        <v>81211.819999998</v>
      </c>
      <c r="I1093" s="147"/>
      <c r="J1093" s="147"/>
      <c r="K1093" s="147" t="str">
        <f t="shared" ref="K1093:K1156" si="17">IF($B1093="","",--TEXT($B1093,"yyyymm"))</f>
        <v/>
      </c>
      <c r="L1093" s="40"/>
      <c r="M1093"/>
      <c r="N1093"/>
      <c r="O1093"/>
      <c r="P1093"/>
      <c r="Q1093"/>
      <c r="R1093"/>
      <c r="S1093"/>
      <c r="T1093"/>
      <c r="U1093"/>
      <c r="V1093"/>
      <c r="W1093" s="41"/>
      <c r="X1093" s="41"/>
      <c r="Y1093" s="41"/>
    </row>
    <row r="1094" s="27" customFormat="1" ht="23" hidden="1" customHeight="1" spans="1:25">
      <c r="A1094" s="133" t="str">
        <f>IF(B1094="","",COUNTA($B$5:B1094))</f>
        <v/>
      </c>
      <c r="B1094" s="148"/>
      <c r="C1094" s="22" t="s">
        <v>49</v>
      </c>
      <c r="D1094" s="149"/>
      <c r="E1094" s="150"/>
      <c r="F1094" s="151"/>
      <c r="G1094" s="151"/>
      <c r="H1094" s="142">
        <f>IFERROR(VLOOKUP($C1094,$C$5:$H$18,6,0)+SUMIF($C$19:$C1094,$C1094,$F$19:$F1094)-SUMIF($C$19:$C1094,$C1094,$G$19:$G1094),"")</f>
        <v>81211.819999998</v>
      </c>
      <c r="I1094" s="147"/>
      <c r="J1094" s="147"/>
      <c r="K1094" s="147" t="str">
        <f t="shared" si="17"/>
        <v/>
      </c>
      <c r="L1094" s="40"/>
      <c r="M1094"/>
      <c r="N1094"/>
      <c r="O1094"/>
      <c r="P1094"/>
      <c r="Q1094"/>
      <c r="R1094"/>
      <c r="S1094"/>
      <c r="T1094"/>
      <c r="U1094"/>
      <c r="V1094"/>
      <c r="W1094" s="41"/>
      <c r="X1094" s="41"/>
      <c r="Y1094" s="41"/>
    </row>
    <row r="1095" s="27" customFormat="1" ht="23" hidden="1" customHeight="1" spans="1:25">
      <c r="A1095" s="133" t="str">
        <f>IF(B1095="","",COUNTA($B$5:B1095))</f>
        <v/>
      </c>
      <c r="B1095" s="148"/>
      <c r="C1095" s="22" t="s">
        <v>49</v>
      </c>
      <c r="D1095" s="149"/>
      <c r="E1095" s="150"/>
      <c r="F1095" s="151"/>
      <c r="G1095" s="151"/>
      <c r="H1095" s="142">
        <f>IFERROR(VLOOKUP($C1095,$C$5:$H$18,6,0)+SUMIF($C$19:$C1095,$C1095,$F$19:$F1095)-SUMIF($C$19:$C1095,$C1095,$G$19:$G1095),"")</f>
        <v>81211.819999998</v>
      </c>
      <c r="I1095" s="147"/>
      <c r="J1095" s="147"/>
      <c r="K1095" s="147" t="str">
        <f t="shared" si="17"/>
        <v/>
      </c>
      <c r="L1095" s="40"/>
      <c r="M1095"/>
      <c r="N1095"/>
      <c r="O1095"/>
      <c r="P1095"/>
      <c r="Q1095"/>
      <c r="R1095"/>
      <c r="S1095"/>
      <c r="T1095"/>
      <c r="U1095"/>
      <c r="V1095"/>
      <c r="W1095" s="41"/>
      <c r="X1095" s="41"/>
      <c r="Y1095" s="41"/>
    </row>
    <row r="1096" s="27" customFormat="1" ht="23" hidden="1" customHeight="1" spans="1:25">
      <c r="A1096" s="133" t="str">
        <f>IF(B1096="","",COUNTA($B$5:B1096))</f>
        <v/>
      </c>
      <c r="B1096" s="148"/>
      <c r="C1096" s="22" t="s">
        <v>49</v>
      </c>
      <c r="D1096" s="149"/>
      <c r="E1096" s="150"/>
      <c r="F1096" s="151"/>
      <c r="G1096" s="151"/>
      <c r="H1096" s="142">
        <f>IFERROR(VLOOKUP($C1096,$C$5:$H$18,6,0)+SUMIF($C$19:$C1096,$C1096,$F$19:$F1096)-SUMIF($C$19:$C1096,$C1096,$G$19:$G1096),"")</f>
        <v>81211.819999998</v>
      </c>
      <c r="I1096" s="147"/>
      <c r="J1096" s="147"/>
      <c r="K1096" s="147" t="str">
        <f t="shared" si="17"/>
        <v/>
      </c>
      <c r="L1096" s="40"/>
      <c r="M1096"/>
      <c r="N1096"/>
      <c r="O1096"/>
      <c r="P1096"/>
      <c r="Q1096"/>
      <c r="R1096"/>
      <c r="S1096"/>
      <c r="T1096"/>
      <c r="U1096"/>
      <c r="V1096"/>
      <c r="W1096" s="41"/>
      <c r="X1096" s="41"/>
      <c r="Y1096" s="41"/>
    </row>
    <row r="1097" s="27" customFormat="1" ht="23" hidden="1" customHeight="1" spans="1:25">
      <c r="A1097" s="133" t="str">
        <f>IF(B1097="","",COUNTA($B$5:B1097))</f>
        <v/>
      </c>
      <c r="B1097" s="148"/>
      <c r="C1097" s="22" t="s">
        <v>49</v>
      </c>
      <c r="D1097" s="149"/>
      <c r="E1097" s="150"/>
      <c r="F1097" s="151"/>
      <c r="G1097" s="151"/>
      <c r="H1097" s="142">
        <f>IFERROR(VLOOKUP($C1097,$C$5:$H$18,6,0)+SUMIF($C$19:$C1097,$C1097,$F$19:$F1097)-SUMIF($C$19:$C1097,$C1097,$G$19:$G1097),"")</f>
        <v>81211.819999998</v>
      </c>
      <c r="I1097" s="147"/>
      <c r="J1097" s="147"/>
      <c r="K1097" s="147" t="str">
        <f t="shared" si="17"/>
        <v/>
      </c>
      <c r="L1097" s="40"/>
      <c r="M1097"/>
      <c r="N1097"/>
      <c r="O1097"/>
      <c r="P1097"/>
      <c r="Q1097"/>
      <c r="R1097"/>
      <c r="S1097"/>
      <c r="T1097"/>
      <c r="U1097"/>
      <c r="V1097"/>
      <c r="W1097" s="41"/>
      <c r="X1097" s="41"/>
      <c r="Y1097" s="41"/>
    </row>
    <row r="1098" s="27" customFormat="1" ht="23" hidden="1" customHeight="1" spans="1:25">
      <c r="A1098" s="133" t="str">
        <f>IF(B1098="","",COUNTA($B$5:B1098))</f>
        <v/>
      </c>
      <c r="B1098" s="148"/>
      <c r="C1098" s="22" t="s">
        <v>49</v>
      </c>
      <c r="D1098" s="149"/>
      <c r="E1098" s="150"/>
      <c r="F1098" s="151"/>
      <c r="G1098" s="151"/>
      <c r="H1098" s="142">
        <f>IFERROR(VLOOKUP($C1098,$C$5:$H$18,6,0)+SUMIF($C$19:$C1098,$C1098,$F$19:$F1098)-SUMIF($C$19:$C1098,$C1098,$G$19:$G1098),"")</f>
        <v>81211.819999998</v>
      </c>
      <c r="I1098" s="147"/>
      <c r="J1098" s="147"/>
      <c r="K1098" s="147" t="str">
        <f t="shared" si="17"/>
        <v/>
      </c>
      <c r="L1098" s="40"/>
      <c r="M1098"/>
      <c r="N1098"/>
      <c r="O1098"/>
      <c r="P1098"/>
      <c r="Q1098"/>
      <c r="R1098"/>
      <c r="S1098"/>
      <c r="T1098"/>
      <c r="U1098"/>
      <c r="V1098"/>
      <c r="W1098" s="41"/>
      <c r="X1098" s="41"/>
      <c r="Y1098" s="41"/>
    </row>
    <row r="1099" s="27" customFormat="1" ht="23" hidden="1" customHeight="1" spans="1:25">
      <c r="A1099" s="133" t="str">
        <f>IF(B1099="","",COUNTA($B$5:B1099))</f>
        <v/>
      </c>
      <c r="B1099" s="148"/>
      <c r="C1099" s="22" t="s">
        <v>49</v>
      </c>
      <c r="D1099" s="149"/>
      <c r="E1099" s="150"/>
      <c r="F1099" s="151"/>
      <c r="G1099" s="151"/>
      <c r="H1099" s="142">
        <f>IFERROR(VLOOKUP($C1099,$C$5:$H$18,6,0)+SUMIF($C$19:$C1099,$C1099,$F$19:$F1099)-SUMIF($C$19:$C1099,$C1099,$G$19:$G1099),"")</f>
        <v>81211.819999998</v>
      </c>
      <c r="I1099" s="147"/>
      <c r="J1099" s="147"/>
      <c r="K1099" s="147" t="str">
        <f t="shared" si="17"/>
        <v/>
      </c>
      <c r="L1099" s="40"/>
      <c r="M1099"/>
      <c r="N1099"/>
      <c r="O1099"/>
      <c r="P1099"/>
      <c r="Q1099"/>
      <c r="R1099"/>
      <c r="S1099"/>
      <c r="T1099"/>
      <c r="U1099"/>
      <c r="V1099"/>
      <c r="W1099" s="41"/>
      <c r="X1099" s="41"/>
      <c r="Y1099" s="41"/>
    </row>
    <row r="1100" s="27" customFormat="1" ht="23" hidden="1" customHeight="1" spans="1:25">
      <c r="A1100" s="133" t="str">
        <f>IF(B1100="","",COUNTA($B$5:B1100))</f>
        <v/>
      </c>
      <c r="B1100" s="148"/>
      <c r="C1100" s="22" t="s">
        <v>49</v>
      </c>
      <c r="D1100" s="149"/>
      <c r="E1100" s="150"/>
      <c r="F1100" s="151"/>
      <c r="G1100" s="151"/>
      <c r="H1100" s="142">
        <f>IFERROR(VLOOKUP($C1100,$C$5:$H$18,6,0)+SUMIF($C$19:$C1100,$C1100,$F$19:$F1100)-SUMIF($C$19:$C1100,$C1100,$G$19:$G1100),"")</f>
        <v>81211.819999998</v>
      </c>
      <c r="I1100" s="147"/>
      <c r="J1100" s="147"/>
      <c r="K1100" s="147" t="str">
        <f t="shared" si="17"/>
        <v/>
      </c>
      <c r="L1100" s="40"/>
      <c r="M1100"/>
      <c r="N1100"/>
      <c r="O1100"/>
      <c r="P1100"/>
      <c r="Q1100"/>
      <c r="R1100"/>
      <c r="S1100"/>
      <c r="T1100"/>
      <c r="U1100"/>
      <c r="V1100"/>
      <c r="W1100" s="41"/>
      <c r="X1100" s="41"/>
      <c r="Y1100" s="41"/>
    </row>
    <row r="1101" s="27" customFormat="1" ht="23" hidden="1" customHeight="1" spans="1:25">
      <c r="A1101" s="133" t="str">
        <f>IF(B1101="","",COUNTA($B$5:B1101))</f>
        <v/>
      </c>
      <c r="B1101" s="148"/>
      <c r="C1101" s="22" t="s">
        <v>49</v>
      </c>
      <c r="D1101" s="149"/>
      <c r="E1101" s="150"/>
      <c r="F1101" s="151"/>
      <c r="G1101" s="151"/>
      <c r="H1101" s="142">
        <f>IFERROR(VLOOKUP($C1101,$C$5:$H$18,6,0)+SUMIF($C$19:$C1101,$C1101,$F$19:$F1101)-SUMIF($C$19:$C1101,$C1101,$G$19:$G1101),"")</f>
        <v>81211.819999998</v>
      </c>
      <c r="I1101" s="147"/>
      <c r="J1101" s="147"/>
      <c r="K1101" s="147" t="str">
        <f t="shared" si="17"/>
        <v/>
      </c>
      <c r="L1101" s="40"/>
      <c r="M1101"/>
      <c r="N1101"/>
      <c r="O1101"/>
      <c r="P1101"/>
      <c r="Q1101"/>
      <c r="R1101"/>
      <c r="S1101"/>
      <c r="T1101"/>
      <c r="U1101"/>
      <c r="V1101"/>
      <c r="W1101" s="41"/>
      <c r="X1101" s="41"/>
      <c r="Y1101" s="41"/>
    </row>
    <row r="1102" s="27" customFormat="1" ht="23" hidden="1" customHeight="1" spans="1:25">
      <c r="A1102" s="133" t="str">
        <f>IF(B1102="","",COUNTA($B$5:B1102))</f>
        <v/>
      </c>
      <c r="B1102" s="148"/>
      <c r="C1102" s="22" t="s">
        <v>49</v>
      </c>
      <c r="D1102" s="149"/>
      <c r="E1102" s="150"/>
      <c r="F1102" s="151"/>
      <c r="G1102" s="151"/>
      <c r="H1102" s="142">
        <f>IFERROR(VLOOKUP($C1102,$C$5:$H$18,6,0)+SUMIF($C$19:$C1102,$C1102,$F$19:$F1102)-SUMIF($C$19:$C1102,$C1102,$G$19:$G1102),"")</f>
        <v>81211.819999998</v>
      </c>
      <c r="I1102" s="147"/>
      <c r="J1102" s="147"/>
      <c r="K1102" s="147" t="str">
        <f t="shared" si="17"/>
        <v/>
      </c>
      <c r="L1102" s="40"/>
      <c r="M1102"/>
      <c r="N1102"/>
      <c r="O1102"/>
      <c r="P1102"/>
      <c r="Q1102"/>
      <c r="R1102"/>
      <c r="S1102"/>
      <c r="T1102"/>
      <c r="U1102"/>
      <c r="V1102"/>
      <c r="W1102" s="41"/>
      <c r="X1102" s="41"/>
      <c r="Y1102" s="41"/>
    </row>
    <row r="1103" s="27" customFormat="1" ht="23" hidden="1" customHeight="1" spans="1:25">
      <c r="A1103" s="133" t="str">
        <f>IF(B1103="","",COUNTA($B$5:B1103))</f>
        <v/>
      </c>
      <c r="B1103" s="148"/>
      <c r="C1103" s="22" t="s">
        <v>49</v>
      </c>
      <c r="D1103" s="149"/>
      <c r="E1103" s="150"/>
      <c r="F1103" s="151"/>
      <c r="G1103" s="151"/>
      <c r="H1103" s="142">
        <f>IFERROR(VLOOKUP($C1103,$C$5:$H$18,6,0)+SUMIF($C$19:$C1103,$C1103,$F$19:$F1103)-SUMIF($C$19:$C1103,$C1103,$G$19:$G1103),"")</f>
        <v>81211.819999998</v>
      </c>
      <c r="I1103" s="147"/>
      <c r="J1103" s="147"/>
      <c r="K1103" s="147" t="str">
        <f t="shared" si="17"/>
        <v/>
      </c>
      <c r="L1103" s="40"/>
      <c r="M1103"/>
      <c r="N1103"/>
      <c r="O1103"/>
      <c r="P1103"/>
      <c r="Q1103"/>
      <c r="R1103"/>
      <c r="S1103"/>
      <c r="T1103"/>
      <c r="U1103"/>
      <c r="V1103"/>
      <c r="W1103" s="41"/>
      <c r="X1103" s="41"/>
      <c r="Y1103" s="41"/>
    </row>
    <row r="1104" s="27" customFormat="1" ht="23" hidden="1" customHeight="1" spans="1:25">
      <c r="A1104" s="133" t="str">
        <f>IF(B1104="","",COUNTA($B$5:B1104))</f>
        <v/>
      </c>
      <c r="B1104" s="148"/>
      <c r="C1104" s="22" t="s">
        <v>49</v>
      </c>
      <c r="D1104" s="149"/>
      <c r="E1104" s="150"/>
      <c r="F1104" s="151"/>
      <c r="G1104" s="151"/>
      <c r="H1104" s="142">
        <f>IFERROR(VLOOKUP($C1104,$C$5:$H$18,6,0)+SUMIF($C$19:$C1104,$C1104,$F$19:$F1104)-SUMIF($C$19:$C1104,$C1104,$G$19:$G1104),"")</f>
        <v>81211.819999998</v>
      </c>
      <c r="I1104" s="147"/>
      <c r="J1104" s="147"/>
      <c r="K1104" s="147" t="str">
        <f t="shared" si="17"/>
        <v/>
      </c>
      <c r="L1104" s="40"/>
      <c r="M1104"/>
      <c r="N1104"/>
      <c r="O1104"/>
      <c r="P1104"/>
      <c r="Q1104"/>
      <c r="R1104"/>
      <c r="S1104"/>
      <c r="T1104"/>
      <c r="U1104"/>
      <c r="V1104"/>
      <c r="W1104" s="41"/>
      <c r="X1104" s="41"/>
      <c r="Y1104" s="41"/>
    </row>
    <row r="1105" s="27" customFormat="1" ht="23" hidden="1" customHeight="1" spans="1:25">
      <c r="A1105" s="133" t="str">
        <f>IF(B1105="","",COUNTA($B$5:B1105))</f>
        <v/>
      </c>
      <c r="B1105" s="148"/>
      <c r="C1105" s="22" t="s">
        <v>49</v>
      </c>
      <c r="D1105" s="149"/>
      <c r="E1105" s="150"/>
      <c r="F1105" s="151"/>
      <c r="G1105" s="151"/>
      <c r="H1105" s="142">
        <f>IFERROR(VLOOKUP($C1105,$C$5:$H$18,6,0)+SUMIF($C$19:$C1105,$C1105,$F$19:$F1105)-SUMIF($C$19:$C1105,$C1105,$G$19:$G1105),"")</f>
        <v>81211.819999998</v>
      </c>
      <c r="I1105" s="147"/>
      <c r="J1105" s="147"/>
      <c r="K1105" s="147" t="str">
        <f t="shared" si="17"/>
        <v/>
      </c>
      <c r="L1105" s="40"/>
      <c r="M1105"/>
      <c r="N1105"/>
      <c r="O1105"/>
      <c r="P1105"/>
      <c r="Q1105"/>
      <c r="R1105"/>
      <c r="S1105"/>
      <c r="T1105"/>
      <c r="U1105"/>
      <c r="V1105"/>
      <c r="W1105" s="41"/>
      <c r="X1105" s="41"/>
      <c r="Y1105" s="41"/>
    </row>
    <row r="1106" s="27" customFormat="1" ht="23" hidden="1" customHeight="1" spans="1:25">
      <c r="A1106" s="133" t="str">
        <f>IF(B1106="","",COUNTA($B$5:B1106))</f>
        <v/>
      </c>
      <c r="B1106" s="148"/>
      <c r="C1106" s="22" t="s">
        <v>49</v>
      </c>
      <c r="D1106" s="149"/>
      <c r="E1106" s="150"/>
      <c r="F1106" s="151"/>
      <c r="G1106" s="151"/>
      <c r="H1106" s="142">
        <f>IFERROR(VLOOKUP($C1106,$C$5:$H$18,6,0)+SUMIF($C$19:$C1106,$C1106,$F$19:$F1106)-SUMIF($C$19:$C1106,$C1106,$G$19:$G1106),"")</f>
        <v>81211.819999998</v>
      </c>
      <c r="I1106" s="147"/>
      <c r="J1106" s="147"/>
      <c r="K1106" s="147" t="str">
        <f t="shared" si="17"/>
        <v/>
      </c>
      <c r="L1106" s="40"/>
      <c r="M1106"/>
      <c r="N1106"/>
      <c r="O1106"/>
      <c r="P1106"/>
      <c r="Q1106"/>
      <c r="R1106"/>
      <c r="S1106"/>
      <c r="T1106"/>
      <c r="U1106"/>
      <c r="V1106"/>
      <c r="W1106" s="41"/>
      <c r="X1106" s="41"/>
      <c r="Y1106" s="41"/>
    </row>
    <row r="1107" s="27" customFormat="1" ht="23" hidden="1" customHeight="1" spans="1:25">
      <c r="A1107" s="133" t="str">
        <f>IF(B1107="","",COUNTA($B$5:B1107))</f>
        <v/>
      </c>
      <c r="B1107" s="148"/>
      <c r="C1107" s="22" t="s">
        <v>49</v>
      </c>
      <c r="D1107" s="149"/>
      <c r="E1107" s="150"/>
      <c r="F1107" s="151"/>
      <c r="G1107" s="151"/>
      <c r="H1107" s="142">
        <f>IFERROR(VLOOKUP($C1107,$C$5:$H$18,6,0)+SUMIF($C$19:$C1107,$C1107,$F$19:$F1107)-SUMIF($C$19:$C1107,$C1107,$G$19:$G1107),"")</f>
        <v>81211.819999998</v>
      </c>
      <c r="I1107" s="147"/>
      <c r="J1107" s="147"/>
      <c r="K1107" s="147" t="str">
        <f t="shared" si="17"/>
        <v/>
      </c>
      <c r="L1107" s="40"/>
      <c r="M1107"/>
      <c r="N1107"/>
      <c r="O1107"/>
      <c r="P1107"/>
      <c r="Q1107"/>
      <c r="R1107"/>
      <c r="S1107"/>
      <c r="T1107"/>
      <c r="U1107"/>
      <c r="V1107"/>
      <c r="W1107" s="41"/>
      <c r="X1107" s="41"/>
      <c r="Y1107" s="41"/>
    </row>
    <row r="1108" s="27" customFormat="1" ht="23" hidden="1" customHeight="1" spans="1:25">
      <c r="A1108" s="133" t="str">
        <f>IF(B1108="","",COUNTA($B$5:B1108))</f>
        <v/>
      </c>
      <c r="B1108" s="148"/>
      <c r="C1108" s="22" t="s">
        <v>49</v>
      </c>
      <c r="D1108" s="149"/>
      <c r="E1108" s="150"/>
      <c r="F1108" s="151"/>
      <c r="G1108" s="151"/>
      <c r="H1108" s="142">
        <f>IFERROR(VLOOKUP($C1108,$C$5:$H$18,6,0)+SUMIF($C$19:$C1108,$C1108,$F$19:$F1108)-SUMIF($C$19:$C1108,$C1108,$G$19:$G1108),"")</f>
        <v>81211.819999998</v>
      </c>
      <c r="I1108" s="147"/>
      <c r="J1108" s="147"/>
      <c r="K1108" s="147" t="str">
        <f t="shared" si="17"/>
        <v/>
      </c>
      <c r="L1108" s="40"/>
      <c r="M1108"/>
      <c r="N1108"/>
      <c r="O1108"/>
      <c r="P1108"/>
      <c r="Q1108"/>
      <c r="R1108"/>
      <c r="S1108"/>
      <c r="T1108"/>
      <c r="U1108"/>
      <c r="V1108"/>
      <c r="W1108" s="41"/>
      <c r="X1108" s="41"/>
      <c r="Y1108" s="41"/>
    </row>
    <row r="1109" s="27" customFormat="1" ht="23" hidden="1" customHeight="1" spans="1:25">
      <c r="A1109" s="133" t="str">
        <f>IF(B1109="","",COUNTA($B$5:B1109))</f>
        <v/>
      </c>
      <c r="B1109" s="148"/>
      <c r="C1109" s="22" t="s">
        <v>49</v>
      </c>
      <c r="D1109" s="149"/>
      <c r="E1109" s="150"/>
      <c r="F1109" s="151"/>
      <c r="G1109" s="151"/>
      <c r="H1109" s="142">
        <f>IFERROR(VLOOKUP($C1109,$C$5:$H$18,6,0)+SUMIF($C$19:$C1109,$C1109,$F$19:$F1109)-SUMIF($C$19:$C1109,$C1109,$G$19:$G1109),"")</f>
        <v>81211.819999998</v>
      </c>
      <c r="I1109" s="147"/>
      <c r="J1109" s="147"/>
      <c r="K1109" s="147" t="str">
        <f t="shared" si="17"/>
        <v/>
      </c>
      <c r="L1109" s="40"/>
      <c r="M1109"/>
      <c r="N1109"/>
      <c r="O1109"/>
      <c r="P1109"/>
      <c r="Q1109"/>
      <c r="R1109"/>
      <c r="S1109"/>
      <c r="T1109"/>
      <c r="U1109"/>
      <c r="V1109"/>
      <c r="W1109" s="41"/>
      <c r="X1109" s="41"/>
      <c r="Y1109" s="41"/>
    </row>
    <row r="1110" s="27" customFormat="1" ht="23" hidden="1" customHeight="1" spans="1:25">
      <c r="A1110" s="133" t="str">
        <f>IF(B1110="","",COUNTA($B$5:B1110))</f>
        <v/>
      </c>
      <c r="B1110" s="148"/>
      <c r="C1110" s="22" t="s">
        <v>49</v>
      </c>
      <c r="D1110" s="149"/>
      <c r="E1110" s="150"/>
      <c r="F1110" s="151"/>
      <c r="G1110" s="151"/>
      <c r="H1110" s="142">
        <f>IFERROR(VLOOKUP($C1110,$C$5:$H$18,6,0)+SUMIF($C$19:$C1110,$C1110,$F$19:$F1110)-SUMIF($C$19:$C1110,$C1110,$G$19:$G1110),"")</f>
        <v>81211.819999998</v>
      </c>
      <c r="I1110" s="147"/>
      <c r="J1110" s="147"/>
      <c r="K1110" s="147" t="str">
        <f t="shared" si="17"/>
        <v/>
      </c>
      <c r="L1110" s="40"/>
      <c r="M1110"/>
      <c r="N1110"/>
      <c r="O1110"/>
      <c r="P1110"/>
      <c r="Q1110"/>
      <c r="R1110"/>
      <c r="S1110"/>
      <c r="T1110"/>
      <c r="U1110"/>
      <c r="V1110"/>
      <c r="W1110" s="41"/>
      <c r="X1110" s="41"/>
      <c r="Y1110" s="41"/>
    </row>
    <row r="1111" s="27" customFormat="1" ht="23" hidden="1" customHeight="1" spans="1:25">
      <c r="A1111" s="133" t="str">
        <f>IF(B1111="","",COUNTA($B$5:B1111))</f>
        <v/>
      </c>
      <c r="B1111" s="148"/>
      <c r="C1111" s="22" t="s">
        <v>49</v>
      </c>
      <c r="D1111" s="149"/>
      <c r="E1111" s="150"/>
      <c r="F1111" s="151"/>
      <c r="G1111" s="151"/>
      <c r="H1111" s="142">
        <f>IFERROR(VLOOKUP($C1111,$C$5:$H$18,6,0)+SUMIF($C$19:$C1111,$C1111,$F$19:$F1111)-SUMIF($C$19:$C1111,$C1111,$G$19:$G1111),"")</f>
        <v>81211.819999998</v>
      </c>
      <c r="I1111" s="147"/>
      <c r="J1111" s="147"/>
      <c r="K1111" s="147" t="str">
        <f t="shared" si="17"/>
        <v/>
      </c>
      <c r="L1111" s="40"/>
      <c r="M1111"/>
      <c r="N1111"/>
      <c r="O1111"/>
      <c r="P1111"/>
      <c r="Q1111"/>
      <c r="R1111"/>
      <c r="S1111"/>
      <c r="T1111"/>
      <c r="U1111"/>
      <c r="V1111"/>
      <c r="W1111" s="41"/>
      <c r="X1111" s="41"/>
      <c r="Y1111" s="41"/>
    </row>
    <row r="1112" s="27" customFormat="1" ht="23" hidden="1" customHeight="1" spans="1:25">
      <c r="A1112" s="133" t="str">
        <f>IF(B1112="","",COUNTA($B$5:B1112))</f>
        <v/>
      </c>
      <c r="B1112" s="148"/>
      <c r="C1112" s="22" t="s">
        <v>49</v>
      </c>
      <c r="D1112" s="149"/>
      <c r="E1112" s="150"/>
      <c r="F1112" s="151"/>
      <c r="G1112" s="151"/>
      <c r="H1112" s="142">
        <f>IFERROR(VLOOKUP($C1112,$C$5:$H$18,6,0)+SUMIF($C$19:$C1112,$C1112,$F$19:$F1112)-SUMIF($C$19:$C1112,$C1112,$G$19:$G1112),"")</f>
        <v>81211.819999998</v>
      </c>
      <c r="I1112" s="147"/>
      <c r="J1112" s="147"/>
      <c r="K1112" s="147" t="str">
        <f t="shared" si="17"/>
        <v/>
      </c>
      <c r="L1112" s="40"/>
      <c r="M1112"/>
      <c r="N1112"/>
      <c r="O1112"/>
      <c r="P1112"/>
      <c r="Q1112"/>
      <c r="R1112"/>
      <c r="S1112"/>
      <c r="T1112"/>
      <c r="U1112"/>
      <c r="V1112"/>
      <c r="W1112" s="41"/>
      <c r="X1112" s="41"/>
      <c r="Y1112" s="41"/>
    </row>
    <row r="1113" s="27" customFormat="1" ht="23" hidden="1" customHeight="1" spans="1:25">
      <c r="A1113" s="133" t="str">
        <f>IF(B1113="","",COUNTA($B$5:B1113))</f>
        <v/>
      </c>
      <c r="B1113" s="148"/>
      <c r="C1113" s="22" t="s">
        <v>49</v>
      </c>
      <c r="D1113" s="149"/>
      <c r="E1113" s="150"/>
      <c r="F1113" s="151"/>
      <c r="G1113" s="151"/>
      <c r="H1113" s="142">
        <f>IFERROR(VLOOKUP($C1113,$C$5:$H$18,6,0)+SUMIF($C$19:$C1113,$C1113,$F$19:$F1113)-SUMIF($C$19:$C1113,$C1113,$G$19:$G1113),"")</f>
        <v>81211.819999998</v>
      </c>
      <c r="I1113" s="147"/>
      <c r="J1113" s="147"/>
      <c r="K1113" s="147" t="str">
        <f t="shared" si="17"/>
        <v/>
      </c>
      <c r="L1113" s="40"/>
      <c r="M1113"/>
      <c r="N1113"/>
      <c r="O1113"/>
      <c r="P1113"/>
      <c r="Q1113"/>
      <c r="R1113"/>
      <c r="S1113"/>
      <c r="T1113"/>
      <c r="U1113"/>
      <c r="V1113"/>
      <c r="W1113" s="41"/>
      <c r="X1113" s="41"/>
      <c r="Y1113" s="41"/>
    </row>
    <row r="1114" s="27" customFormat="1" ht="23" hidden="1" customHeight="1" spans="1:25">
      <c r="A1114" s="133" t="str">
        <f>IF(B1114="","",COUNTA($B$5:B1114))</f>
        <v/>
      </c>
      <c r="B1114" s="148"/>
      <c r="C1114" s="22" t="s">
        <v>49</v>
      </c>
      <c r="D1114" s="149"/>
      <c r="E1114" s="150"/>
      <c r="F1114" s="151"/>
      <c r="G1114" s="151"/>
      <c r="H1114" s="142">
        <f>IFERROR(VLOOKUP($C1114,$C$5:$H$18,6,0)+SUMIF($C$19:$C1114,$C1114,$F$19:$F1114)-SUMIF($C$19:$C1114,$C1114,$G$19:$G1114),"")</f>
        <v>81211.819999998</v>
      </c>
      <c r="I1114" s="147"/>
      <c r="J1114" s="147"/>
      <c r="K1114" s="147" t="str">
        <f t="shared" si="17"/>
        <v/>
      </c>
      <c r="L1114" s="40"/>
      <c r="M1114"/>
      <c r="N1114"/>
      <c r="O1114"/>
      <c r="P1114"/>
      <c r="Q1114"/>
      <c r="R1114"/>
      <c r="S1114"/>
      <c r="T1114"/>
      <c r="U1114"/>
      <c r="V1114"/>
      <c r="W1114" s="41"/>
      <c r="X1114" s="41"/>
      <c r="Y1114" s="41"/>
    </row>
    <row r="1115" s="27" customFormat="1" ht="23" hidden="1" customHeight="1" spans="1:25">
      <c r="A1115" s="133" t="str">
        <f>IF(B1115="","",COUNTA($B$5:B1115))</f>
        <v/>
      </c>
      <c r="B1115" s="148"/>
      <c r="C1115" s="22" t="s">
        <v>49</v>
      </c>
      <c r="D1115" s="149"/>
      <c r="E1115" s="150"/>
      <c r="F1115" s="151"/>
      <c r="G1115" s="151"/>
      <c r="H1115" s="142">
        <f>IFERROR(VLOOKUP($C1115,$C$5:$H$18,6,0)+SUMIF($C$19:$C1115,$C1115,$F$19:$F1115)-SUMIF($C$19:$C1115,$C1115,$G$19:$G1115),"")</f>
        <v>81211.819999998</v>
      </c>
      <c r="I1115" s="147"/>
      <c r="J1115" s="147"/>
      <c r="K1115" s="147" t="str">
        <f t="shared" si="17"/>
        <v/>
      </c>
      <c r="L1115" s="40"/>
      <c r="M1115"/>
      <c r="N1115"/>
      <c r="O1115"/>
      <c r="P1115"/>
      <c r="Q1115"/>
      <c r="R1115"/>
      <c r="S1115"/>
      <c r="T1115"/>
      <c r="U1115"/>
      <c r="V1115"/>
      <c r="W1115" s="41"/>
      <c r="X1115" s="41"/>
      <c r="Y1115" s="41"/>
    </row>
    <row r="1116" s="27" customFormat="1" ht="23" hidden="1" customHeight="1" spans="1:25">
      <c r="A1116" s="133" t="str">
        <f>IF(B1116="","",COUNTA($B$5:B1116))</f>
        <v/>
      </c>
      <c r="B1116" s="148"/>
      <c r="C1116" s="22" t="s">
        <v>49</v>
      </c>
      <c r="D1116" s="149"/>
      <c r="E1116" s="150"/>
      <c r="F1116" s="151"/>
      <c r="G1116" s="151"/>
      <c r="H1116" s="142">
        <f>IFERROR(VLOOKUP($C1116,$C$5:$H$18,6,0)+SUMIF($C$19:$C1116,$C1116,$F$19:$F1116)-SUMIF($C$19:$C1116,$C1116,$G$19:$G1116),"")</f>
        <v>81211.819999998</v>
      </c>
      <c r="I1116" s="147"/>
      <c r="J1116" s="147"/>
      <c r="K1116" s="147" t="str">
        <f t="shared" si="17"/>
        <v/>
      </c>
      <c r="L1116" s="40"/>
      <c r="M1116"/>
      <c r="N1116"/>
      <c r="O1116"/>
      <c r="P1116"/>
      <c r="Q1116"/>
      <c r="R1116"/>
      <c r="S1116"/>
      <c r="T1116"/>
      <c r="U1116"/>
      <c r="V1116"/>
      <c r="W1116" s="41"/>
      <c r="X1116" s="41"/>
      <c r="Y1116" s="41"/>
    </row>
    <row r="1117" s="27" customFormat="1" ht="23" hidden="1" customHeight="1" spans="1:25">
      <c r="A1117" s="133" t="str">
        <f>IF(B1117="","",COUNTA($B$5:B1117))</f>
        <v/>
      </c>
      <c r="B1117" s="148"/>
      <c r="C1117" s="22" t="s">
        <v>49</v>
      </c>
      <c r="D1117" s="149"/>
      <c r="E1117" s="150"/>
      <c r="F1117" s="151"/>
      <c r="G1117" s="151"/>
      <c r="H1117" s="142">
        <f>IFERROR(VLOOKUP($C1117,$C$5:$H$18,6,0)+SUMIF($C$19:$C1117,$C1117,$F$19:$F1117)-SUMIF($C$19:$C1117,$C1117,$G$19:$G1117),"")</f>
        <v>81211.819999998</v>
      </c>
      <c r="I1117" s="147"/>
      <c r="J1117" s="147"/>
      <c r="K1117" s="147" t="str">
        <f t="shared" si="17"/>
        <v/>
      </c>
      <c r="L1117" s="40"/>
      <c r="M1117"/>
      <c r="N1117"/>
      <c r="O1117"/>
      <c r="P1117"/>
      <c r="Q1117"/>
      <c r="R1117"/>
      <c r="S1117"/>
      <c r="T1117"/>
      <c r="U1117"/>
      <c r="V1117"/>
      <c r="W1117" s="41"/>
      <c r="X1117" s="41"/>
      <c r="Y1117" s="41"/>
    </row>
    <row r="1118" s="27" customFormat="1" ht="23" hidden="1" customHeight="1" spans="1:25">
      <c r="A1118" s="133" t="str">
        <f>IF(B1118="","",COUNTA($B$5:B1118))</f>
        <v/>
      </c>
      <c r="B1118" s="148"/>
      <c r="C1118" s="22" t="s">
        <v>49</v>
      </c>
      <c r="D1118" s="149"/>
      <c r="E1118" s="150"/>
      <c r="F1118" s="151"/>
      <c r="G1118" s="151"/>
      <c r="H1118" s="142">
        <f>IFERROR(VLOOKUP($C1118,$C$5:$H$18,6,0)+SUMIF($C$19:$C1118,$C1118,$F$19:$F1118)-SUMIF($C$19:$C1118,$C1118,$G$19:$G1118),"")</f>
        <v>81211.819999998</v>
      </c>
      <c r="I1118" s="147"/>
      <c r="J1118" s="147"/>
      <c r="K1118" s="147" t="str">
        <f t="shared" si="17"/>
        <v/>
      </c>
      <c r="L1118" s="40"/>
      <c r="M1118"/>
      <c r="N1118"/>
      <c r="O1118"/>
      <c r="P1118"/>
      <c r="Q1118"/>
      <c r="R1118"/>
      <c r="S1118"/>
      <c r="T1118"/>
      <c r="U1118"/>
      <c r="V1118"/>
      <c r="W1118" s="41"/>
      <c r="X1118" s="41"/>
      <c r="Y1118" s="41"/>
    </row>
    <row r="1119" s="27" customFormat="1" ht="23" hidden="1" customHeight="1" spans="1:25">
      <c r="A1119" s="133" t="str">
        <f>IF(B1119="","",COUNTA($B$5:B1119))</f>
        <v/>
      </c>
      <c r="B1119" s="148"/>
      <c r="C1119" s="22" t="s">
        <v>49</v>
      </c>
      <c r="D1119" s="149"/>
      <c r="E1119" s="150"/>
      <c r="F1119" s="151"/>
      <c r="G1119" s="151"/>
      <c r="H1119" s="142">
        <f>IFERROR(VLOOKUP($C1119,$C$5:$H$18,6,0)+SUMIF($C$19:$C1119,$C1119,$F$19:$F1119)-SUMIF($C$19:$C1119,$C1119,$G$19:$G1119),"")</f>
        <v>81211.819999998</v>
      </c>
      <c r="I1119" s="147"/>
      <c r="J1119" s="147"/>
      <c r="K1119" s="147" t="str">
        <f t="shared" si="17"/>
        <v/>
      </c>
      <c r="L1119" s="40"/>
      <c r="M1119"/>
      <c r="N1119"/>
      <c r="O1119"/>
      <c r="P1119"/>
      <c r="Q1119"/>
      <c r="R1119"/>
      <c r="S1119"/>
      <c r="T1119"/>
      <c r="U1119"/>
      <c r="V1119"/>
      <c r="W1119" s="41"/>
      <c r="X1119" s="41"/>
      <c r="Y1119" s="41"/>
    </row>
    <row r="1120" s="27" customFormat="1" ht="23" hidden="1" customHeight="1" spans="1:25">
      <c r="A1120" s="133" t="str">
        <f>IF(B1120="","",COUNTA($B$5:B1120))</f>
        <v/>
      </c>
      <c r="B1120" s="148"/>
      <c r="C1120" s="22" t="s">
        <v>49</v>
      </c>
      <c r="D1120" s="149"/>
      <c r="E1120" s="150"/>
      <c r="F1120" s="151"/>
      <c r="G1120" s="151"/>
      <c r="H1120" s="142">
        <f>IFERROR(VLOOKUP($C1120,$C$5:$H$18,6,0)+SUMIF($C$19:$C1120,$C1120,$F$19:$F1120)-SUMIF($C$19:$C1120,$C1120,$G$19:$G1120),"")</f>
        <v>81211.819999998</v>
      </c>
      <c r="I1120" s="147"/>
      <c r="J1120" s="147"/>
      <c r="K1120" s="147" t="str">
        <f t="shared" si="17"/>
        <v/>
      </c>
      <c r="L1120" s="40"/>
      <c r="M1120"/>
      <c r="N1120"/>
      <c r="O1120"/>
      <c r="P1120"/>
      <c r="Q1120"/>
      <c r="R1120"/>
      <c r="S1120"/>
      <c r="T1120"/>
      <c r="U1120"/>
      <c r="V1120"/>
      <c r="W1120" s="41"/>
      <c r="X1120" s="41"/>
      <c r="Y1120" s="41"/>
    </row>
    <row r="1121" s="27" customFormat="1" ht="23" hidden="1" customHeight="1" spans="1:25">
      <c r="A1121" s="133" t="str">
        <f>IF(B1121="","",COUNTA($B$5:B1121))</f>
        <v/>
      </c>
      <c r="B1121" s="148"/>
      <c r="C1121" s="22" t="s">
        <v>49</v>
      </c>
      <c r="D1121" s="149"/>
      <c r="E1121" s="150"/>
      <c r="F1121" s="151"/>
      <c r="G1121" s="151"/>
      <c r="H1121" s="142">
        <f>IFERROR(VLOOKUP($C1121,$C$5:$H$18,6,0)+SUMIF($C$19:$C1121,$C1121,$F$19:$F1121)-SUMIF($C$19:$C1121,$C1121,$G$19:$G1121),"")</f>
        <v>81211.819999998</v>
      </c>
      <c r="I1121" s="147"/>
      <c r="J1121" s="147"/>
      <c r="K1121" s="147" t="str">
        <f t="shared" si="17"/>
        <v/>
      </c>
      <c r="L1121" s="40"/>
      <c r="M1121"/>
      <c r="N1121"/>
      <c r="O1121"/>
      <c r="P1121"/>
      <c r="Q1121"/>
      <c r="R1121"/>
      <c r="S1121"/>
      <c r="T1121"/>
      <c r="U1121"/>
      <c r="V1121"/>
      <c r="W1121" s="41"/>
      <c r="X1121" s="41"/>
      <c r="Y1121" s="41"/>
    </row>
    <row r="1122" s="27" customFormat="1" ht="23" hidden="1" customHeight="1" spans="1:25">
      <c r="A1122" s="133" t="str">
        <f>IF(B1122="","",COUNTA($B$5:B1122))</f>
        <v/>
      </c>
      <c r="B1122" s="148"/>
      <c r="C1122" s="22" t="s">
        <v>49</v>
      </c>
      <c r="D1122" s="149"/>
      <c r="E1122" s="150"/>
      <c r="F1122" s="151"/>
      <c r="G1122" s="151"/>
      <c r="H1122" s="142">
        <f>IFERROR(VLOOKUP($C1122,$C$5:$H$18,6,0)+SUMIF($C$19:$C1122,$C1122,$F$19:$F1122)-SUMIF($C$19:$C1122,$C1122,$G$19:$G1122),"")</f>
        <v>81211.819999998</v>
      </c>
      <c r="I1122" s="147"/>
      <c r="J1122" s="147"/>
      <c r="K1122" s="147" t="str">
        <f t="shared" si="17"/>
        <v/>
      </c>
      <c r="L1122" s="40"/>
      <c r="M1122"/>
      <c r="N1122"/>
      <c r="O1122"/>
      <c r="P1122"/>
      <c r="Q1122"/>
      <c r="R1122"/>
      <c r="S1122"/>
      <c r="T1122"/>
      <c r="U1122"/>
      <c r="V1122"/>
      <c r="W1122" s="41"/>
      <c r="X1122" s="41"/>
      <c r="Y1122" s="41"/>
    </row>
    <row r="1123" s="27" customFormat="1" ht="23" hidden="1" customHeight="1" spans="1:25">
      <c r="A1123" s="133" t="str">
        <f>IF(B1123="","",COUNTA($B$5:B1123))</f>
        <v/>
      </c>
      <c r="B1123" s="148"/>
      <c r="C1123" s="22" t="s">
        <v>49</v>
      </c>
      <c r="D1123" s="149"/>
      <c r="E1123" s="150"/>
      <c r="F1123" s="151"/>
      <c r="G1123" s="151"/>
      <c r="H1123" s="142">
        <f>IFERROR(VLOOKUP($C1123,$C$5:$H$18,6,0)+SUMIF($C$19:$C1123,$C1123,$F$19:$F1123)-SUMIF($C$19:$C1123,$C1123,$G$19:$G1123),"")</f>
        <v>81211.819999998</v>
      </c>
      <c r="I1123" s="147"/>
      <c r="J1123" s="147"/>
      <c r="K1123" s="147" t="str">
        <f t="shared" si="17"/>
        <v/>
      </c>
      <c r="L1123" s="40"/>
      <c r="M1123"/>
      <c r="N1123"/>
      <c r="O1123"/>
      <c r="P1123"/>
      <c r="Q1123"/>
      <c r="R1123"/>
      <c r="S1123"/>
      <c r="T1123"/>
      <c r="U1123"/>
      <c r="V1123"/>
      <c r="W1123" s="41"/>
      <c r="X1123" s="41"/>
      <c r="Y1123" s="41"/>
    </row>
    <row r="1124" s="27" customFormat="1" ht="23" hidden="1" customHeight="1" spans="1:25">
      <c r="A1124" s="133" t="str">
        <f>IF(B1124="","",COUNTA($B$5:B1124))</f>
        <v/>
      </c>
      <c r="B1124" s="148"/>
      <c r="C1124" s="22" t="s">
        <v>49</v>
      </c>
      <c r="D1124" s="149"/>
      <c r="E1124" s="150"/>
      <c r="F1124" s="151"/>
      <c r="G1124" s="151"/>
      <c r="H1124" s="142">
        <f>IFERROR(VLOOKUP($C1124,$C$5:$H$18,6,0)+SUMIF($C$19:$C1124,$C1124,$F$19:$F1124)-SUMIF($C$19:$C1124,$C1124,$G$19:$G1124),"")</f>
        <v>81211.819999998</v>
      </c>
      <c r="I1124" s="147"/>
      <c r="J1124" s="147"/>
      <c r="K1124" s="147" t="str">
        <f t="shared" si="17"/>
        <v/>
      </c>
      <c r="L1124" s="40"/>
      <c r="M1124"/>
      <c r="N1124"/>
      <c r="O1124"/>
      <c r="P1124"/>
      <c r="Q1124"/>
      <c r="R1124"/>
      <c r="S1124"/>
      <c r="T1124"/>
      <c r="U1124"/>
      <c r="V1124"/>
      <c r="W1124" s="41"/>
      <c r="X1124" s="41"/>
      <c r="Y1124" s="41"/>
    </row>
    <row r="1125" s="27" customFormat="1" ht="23" hidden="1" customHeight="1" spans="1:25">
      <c r="A1125" s="133" t="str">
        <f>IF(B1125="","",COUNTA($B$5:B1125))</f>
        <v/>
      </c>
      <c r="B1125" s="148"/>
      <c r="C1125" s="22" t="s">
        <v>49</v>
      </c>
      <c r="D1125" s="149"/>
      <c r="E1125" s="150"/>
      <c r="F1125" s="151"/>
      <c r="G1125" s="151"/>
      <c r="H1125" s="142">
        <f>IFERROR(VLOOKUP($C1125,$C$5:$H$18,6,0)+SUMIF($C$19:$C1125,$C1125,$F$19:$F1125)-SUMIF($C$19:$C1125,$C1125,$G$19:$G1125),"")</f>
        <v>81211.819999998</v>
      </c>
      <c r="I1125" s="147"/>
      <c r="J1125" s="147"/>
      <c r="K1125" s="147" t="str">
        <f t="shared" si="17"/>
        <v/>
      </c>
      <c r="L1125" s="40"/>
      <c r="M1125"/>
      <c r="N1125"/>
      <c r="O1125"/>
      <c r="P1125"/>
      <c r="Q1125"/>
      <c r="R1125"/>
      <c r="S1125"/>
      <c r="T1125"/>
      <c r="U1125"/>
      <c r="V1125"/>
      <c r="W1125" s="41"/>
      <c r="X1125" s="41"/>
      <c r="Y1125" s="41"/>
    </row>
    <row r="1126" s="27" customFormat="1" ht="23" hidden="1" customHeight="1" spans="1:25">
      <c r="A1126" s="133" t="str">
        <f>IF(B1126="","",COUNTA($B$5:B1126))</f>
        <v/>
      </c>
      <c r="B1126" s="148"/>
      <c r="C1126" s="22" t="s">
        <v>49</v>
      </c>
      <c r="D1126" s="149"/>
      <c r="E1126" s="150"/>
      <c r="F1126" s="151"/>
      <c r="G1126" s="151"/>
      <c r="H1126" s="142">
        <f>IFERROR(VLOOKUP($C1126,$C$5:$H$18,6,0)+SUMIF($C$19:$C1126,$C1126,$F$19:$F1126)-SUMIF($C$19:$C1126,$C1126,$G$19:$G1126),"")</f>
        <v>81211.819999998</v>
      </c>
      <c r="I1126" s="147"/>
      <c r="J1126" s="147"/>
      <c r="K1126" s="147" t="str">
        <f t="shared" si="17"/>
        <v/>
      </c>
      <c r="L1126" s="40"/>
      <c r="M1126"/>
      <c r="N1126"/>
      <c r="O1126"/>
      <c r="P1126"/>
      <c r="Q1126"/>
      <c r="R1126"/>
      <c r="S1126"/>
      <c r="T1126"/>
      <c r="U1126"/>
      <c r="V1126"/>
      <c r="W1126" s="41"/>
      <c r="X1126" s="41"/>
      <c r="Y1126" s="41"/>
    </row>
    <row r="1127" s="27" customFormat="1" ht="23" hidden="1" customHeight="1" spans="1:25">
      <c r="A1127" s="133" t="str">
        <f>IF(B1127="","",COUNTA($B$5:B1127))</f>
        <v/>
      </c>
      <c r="B1127" s="148"/>
      <c r="C1127" s="22" t="s">
        <v>49</v>
      </c>
      <c r="D1127" s="149"/>
      <c r="E1127" s="150"/>
      <c r="F1127" s="151"/>
      <c r="G1127" s="151"/>
      <c r="H1127" s="142">
        <f>IFERROR(VLOOKUP($C1127,$C$5:$H$18,6,0)+SUMIF($C$19:$C1127,$C1127,$F$19:$F1127)-SUMIF($C$19:$C1127,$C1127,$G$19:$G1127),"")</f>
        <v>81211.819999998</v>
      </c>
      <c r="I1127" s="147"/>
      <c r="J1127" s="147"/>
      <c r="K1127" s="147" t="str">
        <f t="shared" si="17"/>
        <v/>
      </c>
      <c r="L1127" s="40"/>
      <c r="M1127"/>
      <c r="N1127"/>
      <c r="O1127"/>
      <c r="P1127"/>
      <c r="Q1127"/>
      <c r="R1127"/>
      <c r="S1127"/>
      <c r="T1127"/>
      <c r="U1127"/>
      <c r="V1127"/>
      <c r="W1127" s="41"/>
      <c r="X1127" s="41"/>
      <c r="Y1127" s="41"/>
    </row>
    <row r="1128" s="27" customFormat="1" ht="23" hidden="1" customHeight="1" spans="1:25">
      <c r="A1128" s="133" t="str">
        <f>IF(B1128="","",COUNTA($B$5:B1128))</f>
        <v/>
      </c>
      <c r="B1128" s="148"/>
      <c r="C1128" s="22" t="s">
        <v>49</v>
      </c>
      <c r="D1128" s="149"/>
      <c r="E1128" s="150"/>
      <c r="F1128" s="151"/>
      <c r="G1128" s="151"/>
      <c r="H1128" s="142">
        <f>IFERROR(VLOOKUP($C1128,$C$5:$H$18,6,0)+SUMIF($C$19:$C1128,$C1128,$F$19:$F1128)-SUMIF($C$19:$C1128,$C1128,$G$19:$G1128),"")</f>
        <v>81211.819999998</v>
      </c>
      <c r="I1128" s="147"/>
      <c r="J1128" s="147"/>
      <c r="K1128" s="147" t="str">
        <f t="shared" si="17"/>
        <v/>
      </c>
      <c r="L1128" s="40"/>
      <c r="M1128"/>
      <c r="N1128"/>
      <c r="O1128"/>
      <c r="P1128"/>
      <c r="Q1128"/>
      <c r="R1128"/>
      <c r="S1128"/>
      <c r="T1128"/>
      <c r="U1128"/>
      <c r="V1128"/>
      <c r="W1128" s="41"/>
      <c r="X1128" s="41"/>
      <c r="Y1128" s="41"/>
    </row>
    <row r="1129" s="27" customFormat="1" ht="23" hidden="1" customHeight="1" spans="1:25">
      <c r="A1129" s="133" t="str">
        <f>IF(B1129="","",COUNTA($B$5:B1129))</f>
        <v/>
      </c>
      <c r="B1129" s="148"/>
      <c r="C1129" s="22" t="s">
        <v>49</v>
      </c>
      <c r="D1129" s="149"/>
      <c r="E1129" s="150"/>
      <c r="F1129" s="151"/>
      <c r="G1129" s="151"/>
      <c r="H1129" s="142">
        <f>IFERROR(VLOOKUP($C1129,$C$5:$H$18,6,0)+SUMIF($C$19:$C1129,$C1129,$F$19:$F1129)-SUMIF($C$19:$C1129,$C1129,$G$19:$G1129),"")</f>
        <v>81211.819999998</v>
      </c>
      <c r="I1129" s="147"/>
      <c r="J1129" s="147"/>
      <c r="K1129" s="147" t="str">
        <f t="shared" si="17"/>
        <v/>
      </c>
      <c r="L1129" s="40"/>
      <c r="M1129"/>
      <c r="N1129"/>
      <c r="O1129"/>
      <c r="P1129"/>
      <c r="Q1129"/>
      <c r="R1129"/>
      <c r="S1129"/>
      <c r="T1129"/>
      <c r="U1129"/>
      <c r="V1129"/>
      <c r="W1129" s="41"/>
      <c r="X1129" s="41"/>
      <c r="Y1129" s="41"/>
    </row>
    <row r="1130" s="27" customFormat="1" ht="23" hidden="1" customHeight="1" spans="1:25">
      <c r="A1130" s="133" t="str">
        <f>IF(B1130="","",COUNTA($B$5:B1130))</f>
        <v/>
      </c>
      <c r="B1130" s="148"/>
      <c r="C1130" s="22" t="s">
        <v>49</v>
      </c>
      <c r="D1130" s="149"/>
      <c r="E1130" s="150"/>
      <c r="F1130" s="151"/>
      <c r="G1130" s="151"/>
      <c r="H1130" s="142">
        <f>IFERROR(VLOOKUP($C1130,$C$5:$H$18,6,0)+SUMIF($C$19:$C1130,$C1130,$F$19:$F1130)-SUMIF($C$19:$C1130,$C1130,$G$19:$G1130),"")</f>
        <v>81211.819999998</v>
      </c>
      <c r="I1130" s="147"/>
      <c r="J1130" s="147"/>
      <c r="K1130" s="147" t="str">
        <f t="shared" si="17"/>
        <v/>
      </c>
      <c r="L1130" s="40"/>
      <c r="M1130"/>
      <c r="N1130"/>
      <c r="O1130"/>
      <c r="P1130"/>
      <c r="Q1130"/>
      <c r="R1130"/>
      <c r="S1130"/>
      <c r="T1130"/>
      <c r="U1130"/>
      <c r="V1130"/>
      <c r="W1130" s="41"/>
      <c r="X1130" s="41"/>
      <c r="Y1130" s="41"/>
    </row>
    <row r="1131" s="27" customFormat="1" ht="23" hidden="1" customHeight="1" spans="1:25">
      <c r="A1131" s="133" t="str">
        <f>IF(B1131="","",COUNTA($B$5:B1131))</f>
        <v/>
      </c>
      <c r="B1131" s="148"/>
      <c r="C1131" s="22" t="s">
        <v>49</v>
      </c>
      <c r="D1131" s="149"/>
      <c r="E1131" s="150"/>
      <c r="F1131" s="151"/>
      <c r="G1131" s="151"/>
      <c r="H1131" s="142">
        <f>IFERROR(VLOOKUP($C1131,$C$5:$H$18,6,0)+SUMIF($C$19:$C1131,$C1131,$F$19:$F1131)-SUMIF($C$19:$C1131,$C1131,$G$19:$G1131),"")</f>
        <v>81211.819999998</v>
      </c>
      <c r="I1131" s="147"/>
      <c r="J1131" s="147"/>
      <c r="K1131" s="147" t="str">
        <f t="shared" si="17"/>
        <v/>
      </c>
      <c r="L1131" s="40"/>
      <c r="M1131"/>
      <c r="N1131"/>
      <c r="O1131"/>
      <c r="P1131"/>
      <c r="Q1131"/>
      <c r="R1131"/>
      <c r="S1131"/>
      <c r="T1131"/>
      <c r="U1131"/>
      <c r="V1131"/>
      <c r="W1131" s="41"/>
      <c r="X1131" s="41"/>
      <c r="Y1131" s="41"/>
    </row>
    <row r="1132" s="27" customFormat="1" ht="23" hidden="1" customHeight="1" spans="1:25">
      <c r="A1132" s="133" t="str">
        <f>IF(B1132="","",COUNTA($B$5:B1132))</f>
        <v/>
      </c>
      <c r="B1132" s="148"/>
      <c r="C1132" s="22" t="s">
        <v>49</v>
      </c>
      <c r="D1132" s="149"/>
      <c r="E1132" s="150"/>
      <c r="F1132" s="151"/>
      <c r="G1132" s="151"/>
      <c r="H1132" s="142">
        <f>IFERROR(VLOOKUP($C1132,$C$5:$H$18,6,0)+SUMIF($C$19:$C1132,$C1132,$F$19:$F1132)-SUMIF($C$19:$C1132,$C1132,$G$19:$G1132),"")</f>
        <v>81211.819999998</v>
      </c>
      <c r="I1132" s="147"/>
      <c r="J1132" s="147"/>
      <c r="K1132" s="147" t="str">
        <f t="shared" si="17"/>
        <v/>
      </c>
      <c r="L1132" s="40"/>
      <c r="M1132"/>
      <c r="N1132"/>
      <c r="O1132"/>
      <c r="P1132"/>
      <c r="Q1132"/>
      <c r="R1132"/>
      <c r="S1132"/>
      <c r="T1132"/>
      <c r="U1132"/>
      <c r="V1132"/>
      <c r="W1132" s="41"/>
      <c r="X1132" s="41"/>
      <c r="Y1132" s="41"/>
    </row>
    <row r="1133" s="27" customFormat="1" ht="23" hidden="1" customHeight="1" spans="1:25">
      <c r="A1133" s="133" t="str">
        <f>IF(B1133="","",COUNTA($B$5:B1133))</f>
        <v/>
      </c>
      <c r="B1133" s="148"/>
      <c r="C1133" s="22" t="s">
        <v>49</v>
      </c>
      <c r="D1133" s="149"/>
      <c r="E1133" s="150"/>
      <c r="F1133" s="151"/>
      <c r="G1133" s="151"/>
      <c r="H1133" s="142">
        <f>IFERROR(VLOOKUP($C1133,$C$5:$H$18,6,0)+SUMIF($C$19:$C1133,$C1133,$F$19:$F1133)-SUMIF($C$19:$C1133,$C1133,$G$19:$G1133),"")</f>
        <v>81211.819999998</v>
      </c>
      <c r="I1133" s="147"/>
      <c r="J1133" s="147"/>
      <c r="K1133" s="147" t="str">
        <f t="shared" si="17"/>
        <v/>
      </c>
      <c r="L1133" s="40"/>
      <c r="M1133"/>
      <c r="N1133"/>
      <c r="O1133"/>
      <c r="P1133"/>
      <c r="Q1133"/>
      <c r="R1133"/>
      <c r="S1133"/>
      <c r="T1133"/>
      <c r="U1133"/>
      <c r="V1133"/>
      <c r="W1133" s="41"/>
      <c r="X1133" s="41"/>
      <c r="Y1133" s="41"/>
    </row>
    <row r="1134" s="27" customFormat="1" ht="23" hidden="1" customHeight="1" spans="1:25">
      <c r="A1134" s="133" t="str">
        <f>IF(B1134="","",COUNTA($B$5:B1134))</f>
        <v/>
      </c>
      <c r="B1134" s="148"/>
      <c r="C1134" s="22" t="s">
        <v>49</v>
      </c>
      <c r="D1134" s="149"/>
      <c r="E1134" s="150"/>
      <c r="F1134" s="151"/>
      <c r="G1134" s="151"/>
      <c r="H1134" s="142">
        <f>IFERROR(VLOOKUP($C1134,$C$5:$H$18,6,0)+SUMIF($C$19:$C1134,$C1134,$F$19:$F1134)-SUMIF($C$19:$C1134,$C1134,$G$19:$G1134),"")</f>
        <v>81211.819999998</v>
      </c>
      <c r="I1134" s="147"/>
      <c r="J1134" s="147"/>
      <c r="K1134" s="147" t="str">
        <f t="shared" si="17"/>
        <v/>
      </c>
      <c r="L1134" s="40"/>
      <c r="M1134"/>
      <c r="N1134"/>
      <c r="O1134"/>
      <c r="P1134"/>
      <c r="Q1134"/>
      <c r="R1134"/>
      <c r="S1134"/>
      <c r="T1134"/>
      <c r="U1134"/>
      <c r="V1134"/>
      <c r="W1134" s="41"/>
      <c r="X1134" s="41"/>
      <c r="Y1134" s="41"/>
    </row>
    <row r="1135" s="27" customFormat="1" ht="23" hidden="1" customHeight="1" spans="1:25">
      <c r="A1135" s="133" t="str">
        <f>IF(B1135="","",COUNTA($B$5:B1135))</f>
        <v/>
      </c>
      <c r="B1135" s="148"/>
      <c r="C1135" s="22" t="s">
        <v>49</v>
      </c>
      <c r="D1135" s="149"/>
      <c r="E1135" s="150"/>
      <c r="F1135" s="151"/>
      <c r="G1135" s="151"/>
      <c r="H1135" s="142">
        <f>IFERROR(VLOOKUP($C1135,$C$5:$H$18,6,0)+SUMIF($C$19:$C1135,$C1135,$F$19:$F1135)-SUMIF($C$19:$C1135,$C1135,$G$19:$G1135),"")</f>
        <v>81211.819999998</v>
      </c>
      <c r="I1135" s="147"/>
      <c r="J1135" s="147"/>
      <c r="K1135" s="147" t="str">
        <f t="shared" si="17"/>
        <v/>
      </c>
      <c r="L1135" s="40"/>
      <c r="M1135"/>
      <c r="N1135"/>
      <c r="O1135"/>
      <c r="P1135"/>
      <c r="Q1135"/>
      <c r="R1135"/>
      <c r="S1135"/>
      <c r="T1135"/>
      <c r="U1135"/>
      <c r="V1135"/>
      <c r="W1135" s="41"/>
      <c r="X1135" s="41"/>
      <c r="Y1135" s="41"/>
    </row>
    <row r="1136" s="27" customFormat="1" ht="23" hidden="1" customHeight="1" spans="1:25">
      <c r="A1136" s="133" t="str">
        <f>IF(B1136="","",COUNTA($B$5:B1136))</f>
        <v/>
      </c>
      <c r="B1136" s="148"/>
      <c r="C1136" s="22" t="s">
        <v>49</v>
      </c>
      <c r="D1136" s="149"/>
      <c r="E1136" s="150"/>
      <c r="F1136" s="151"/>
      <c r="G1136" s="151"/>
      <c r="H1136" s="142">
        <f>IFERROR(VLOOKUP($C1136,$C$5:$H$18,6,0)+SUMIF($C$19:$C1136,$C1136,$F$19:$F1136)-SUMIF($C$19:$C1136,$C1136,$G$19:$G1136),"")</f>
        <v>81211.819999998</v>
      </c>
      <c r="I1136" s="147"/>
      <c r="J1136" s="147"/>
      <c r="K1136" s="147" t="str">
        <f t="shared" si="17"/>
        <v/>
      </c>
      <c r="L1136" s="40"/>
      <c r="M1136"/>
      <c r="N1136"/>
      <c r="O1136"/>
      <c r="P1136"/>
      <c r="Q1136"/>
      <c r="R1136"/>
      <c r="S1136"/>
      <c r="T1136"/>
      <c r="U1136"/>
      <c r="V1136"/>
      <c r="W1136" s="41"/>
      <c r="X1136" s="41"/>
      <c r="Y1136" s="41"/>
    </row>
    <row r="1137" s="27" customFormat="1" ht="23" hidden="1" customHeight="1" spans="1:25">
      <c r="A1137" s="133" t="str">
        <f>IF(B1137="","",COUNTA($B$5:B1137))</f>
        <v/>
      </c>
      <c r="B1137" s="148"/>
      <c r="C1137" s="22" t="s">
        <v>49</v>
      </c>
      <c r="D1137" s="149"/>
      <c r="E1137" s="150"/>
      <c r="F1137" s="151"/>
      <c r="G1137" s="151"/>
      <c r="H1137" s="142">
        <f>IFERROR(VLOOKUP($C1137,$C$5:$H$18,6,0)+SUMIF($C$19:$C1137,$C1137,$F$19:$F1137)-SUMIF($C$19:$C1137,$C1137,$G$19:$G1137),"")</f>
        <v>81211.819999998</v>
      </c>
      <c r="I1137" s="147"/>
      <c r="J1137" s="147"/>
      <c r="K1137" s="147" t="str">
        <f t="shared" si="17"/>
        <v/>
      </c>
      <c r="L1137" s="40"/>
      <c r="M1137"/>
      <c r="N1137"/>
      <c r="O1137"/>
      <c r="P1137"/>
      <c r="Q1137"/>
      <c r="R1137"/>
      <c r="S1137"/>
      <c r="T1137"/>
      <c r="U1137"/>
      <c r="V1137"/>
      <c r="W1137" s="41"/>
      <c r="X1137" s="41"/>
      <c r="Y1137" s="41"/>
    </row>
    <row r="1138" s="27" customFormat="1" ht="23" hidden="1" customHeight="1" spans="1:25">
      <c r="A1138" s="133" t="str">
        <f>IF(B1138="","",COUNTA($B$5:B1138))</f>
        <v/>
      </c>
      <c r="B1138" s="148"/>
      <c r="C1138" s="22" t="s">
        <v>49</v>
      </c>
      <c r="D1138" s="149"/>
      <c r="E1138" s="150"/>
      <c r="F1138" s="151"/>
      <c r="G1138" s="151"/>
      <c r="H1138" s="142">
        <f>IFERROR(VLOOKUP($C1138,$C$5:$H$18,6,0)+SUMIF($C$19:$C1138,$C1138,$F$19:$F1138)-SUMIF($C$19:$C1138,$C1138,$G$19:$G1138),"")</f>
        <v>81211.819999998</v>
      </c>
      <c r="I1138" s="147"/>
      <c r="J1138" s="147"/>
      <c r="K1138" s="147" t="str">
        <f t="shared" si="17"/>
        <v/>
      </c>
      <c r="L1138" s="40"/>
      <c r="M1138"/>
      <c r="N1138"/>
      <c r="O1138"/>
      <c r="P1138"/>
      <c r="Q1138"/>
      <c r="R1138"/>
      <c r="S1138"/>
      <c r="T1138"/>
      <c r="U1138"/>
      <c r="V1138"/>
      <c r="W1138" s="41"/>
      <c r="X1138" s="41"/>
      <c r="Y1138" s="41"/>
    </row>
    <row r="1139" s="27" customFormat="1" ht="23" hidden="1" customHeight="1" spans="1:25">
      <c r="A1139" s="133" t="str">
        <f>IF(B1139="","",COUNTA($B$5:B1139))</f>
        <v/>
      </c>
      <c r="B1139" s="148"/>
      <c r="C1139" s="22" t="s">
        <v>49</v>
      </c>
      <c r="D1139" s="149"/>
      <c r="E1139" s="150"/>
      <c r="F1139" s="151"/>
      <c r="G1139" s="151"/>
      <c r="H1139" s="142">
        <f>IFERROR(VLOOKUP($C1139,$C$5:$H$18,6,0)+SUMIF($C$19:$C1139,$C1139,$F$19:$F1139)-SUMIF($C$19:$C1139,$C1139,$G$19:$G1139),"")</f>
        <v>81211.819999998</v>
      </c>
      <c r="I1139" s="147"/>
      <c r="J1139" s="147"/>
      <c r="K1139" s="147" t="str">
        <f t="shared" si="17"/>
        <v/>
      </c>
      <c r="L1139" s="40"/>
      <c r="M1139"/>
      <c r="N1139"/>
      <c r="O1139"/>
      <c r="P1139"/>
      <c r="Q1139"/>
      <c r="R1139"/>
      <c r="S1139"/>
      <c r="T1139"/>
      <c r="U1139"/>
      <c r="V1139"/>
      <c r="W1139" s="41"/>
      <c r="X1139" s="41"/>
      <c r="Y1139" s="41"/>
    </row>
    <row r="1140" s="27" customFormat="1" ht="23" hidden="1" customHeight="1" spans="1:25">
      <c r="A1140" s="133" t="str">
        <f>IF(B1140="","",COUNTA($B$5:B1140))</f>
        <v/>
      </c>
      <c r="B1140" s="148"/>
      <c r="C1140" s="22" t="s">
        <v>49</v>
      </c>
      <c r="D1140" s="149"/>
      <c r="E1140" s="150"/>
      <c r="F1140" s="151"/>
      <c r="G1140" s="151"/>
      <c r="H1140" s="142">
        <f>IFERROR(VLOOKUP($C1140,$C$5:$H$18,6,0)+SUMIF($C$19:$C1140,$C1140,$F$19:$F1140)-SUMIF($C$19:$C1140,$C1140,$G$19:$G1140),"")</f>
        <v>81211.819999998</v>
      </c>
      <c r="I1140" s="147"/>
      <c r="J1140" s="147"/>
      <c r="K1140" s="147" t="str">
        <f t="shared" si="17"/>
        <v/>
      </c>
      <c r="L1140" s="40"/>
      <c r="M1140"/>
      <c r="N1140"/>
      <c r="O1140"/>
      <c r="P1140"/>
      <c r="Q1140"/>
      <c r="R1140"/>
      <c r="S1140"/>
      <c r="T1140"/>
      <c r="U1140"/>
      <c r="V1140"/>
      <c r="W1140" s="41"/>
      <c r="X1140" s="41"/>
      <c r="Y1140" s="41"/>
    </row>
    <row r="1141" s="27" customFormat="1" ht="23" hidden="1" customHeight="1" spans="1:25">
      <c r="A1141" s="133" t="str">
        <f>IF(B1141="","",COUNTA($B$5:B1141))</f>
        <v/>
      </c>
      <c r="B1141" s="148"/>
      <c r="C1141" s="22" t="s">
        <v>49</v>
      </c>
      <c r="D1141" s="149"/>
      <c r="E1141" s="150"/>
      <c r="F1141" s="151"/>
      <c r="G1141" s="151"/>
      <c r="H1141" s="142">
        <f>IFERROR(VLOOKUP($C1141,$C$5:$H$18,6,0)+SUMIF($C$19:$C1141,$C1141,$F$19:$F1141)-SUMIF($C$19:$C1141,$C1141,$G$19:$G1141),"")</f>
        <v>81211.819999998</v>
      </c>
      <c r="I1141" s="147"/>
      <c r="J1141" s="147"/>
      <c r="K1141" s="147" t="str">
        <f t="shared" si="17"/>
        <v/>
      </c>
      <c r="L1141" s="40"/>
      <c r="M1141"/>
      <c r="N1141"/>
      <c r="O1141"/>
      <c r="P1141"/>
      <c r="Q1141"/>
      <c r="R1141"/>
      <c r="S1141"/>
      <c r="T1141"/>
      <c r="U1141"/>
      <c r="V1141"/>
      <c r="W1141" s="41"/>
      <c r="X1141" s="41"/>
      <c r="Y1141" s="41"/>
    </row>
    <row r="1142" s="27" customFormat="1" ht="23" hidden="1" customHeight="1" spans="1:25">
      <c r="A1142" s="133" t="str">
        <f>IF(B1142="","",COUNTA($B$5:B1142))</f>
        <v/>
      </c>
      <c r="B1142" s="148"/>
      <c r="C1142" s="22" t="s">
        <v>49</v>
      </c>
      <c r="D1142" s="149"/>
      <c r="E1142" s="150"/>
      <c r="F1142" s="151"/>
      <c r="G1142" s="151"/>
      <c r="H1142" s="142">
        <f>IFERROR(VLOOKUP($C1142,$C$5:$H$18,6,0)+SUMIF($C$19:$C1142,$C1142,$F$19:$F1142)-SUMIF($C$19:$C1142,$C1142,$G$19:$G1142),"")</f>
        <v>81211.819999998</v>
      </c>
      <c r="I1142" s="147"/>
      <c r="J1142" s="147"/>
      <c r="K1142" s="147" t="str">
        <f t="shared" si="17"/>
        <v/>
      </c>
      <c r="L1142" s="40"/>
      <c r="M1142"/>
      <c r="N1142"/>
      <c r="O1142"/>
      <c r="P1142"/>
      <c r="Q1142"/>
      <c r="R1142"/>
      <c r="S1142"/>
      <c r="T1142"/>
      <c r="U1142"/>
      <c r="V1142"/>
      <c r="W1142" s="41"/>
      <c r="X1142" s="41"/>
      <c r="Y1142" s="41"/>
    </row>
    <row r="1143" s="27" customFormat="1" ht="23" hidden="1" customHeight="1" spans="1:25">
      <c r="A1143" s="133" t="str">
        <f>IF(B1143="","",COUNTA($B$5:B1143))</f>
        <v/>
      </c>
      <c r="B1143" s="148"/>
      <c r="C1143" s="22" t="s">
        <v>49</v>
      </c>
      <c r="D1143" s="149"/>
      <c r="E1143" s="150"/>
      <c r="F1143" s="151"/>
      <c r="G1143" s="151"/>
      <c r="H1143" s="142">
        <f>IFERROR(VLOOKUP($C1143,$C$5:$H$18,6,0)+SUMIF($C$19:$C1143,$C1143,$F$19:$F1143)-SUMIF($C$19:$C1143,$C1143,$G$19:$G1143),"")</f>
        <v>81211.819999998</v>
      </c>
      <c r="I1143" s="147"/>
      <c r="J1143" s="147"/>
      <c r="K1143" s="147" t="str">
        <f t="shared" si="17"/>
        <v/>
      </c>
      <c r="L1143" s="40"/>
      <c r="M1143"/>
      <c r="N1143"/>
      <c r="O1143"/>
      <c r="P1143"/>
      <c r="Q1143"/>
      <c r="R1143"/>
      <c r="S1143"/>
      <c r="T1143"/>
      <c r="U1143"/>
      <c r="V1143"/>
      <c r="W1143" s="41"/>
      <c r="X1143" s="41"/>
      <c r="Y1143" s="41"/>
    </row>
    <row r="1144" s="27" customFormat="1" ht="23" hidden="1" customHeight="1" spans="1:25">
      <c r="A1144" s="133" t="str">
        <f>IF(B1144="","",COUNTA($B$5:B1144))</f>
        <v/>
      </c>
      <c r="B1144" s="148"/>
      <c r="C1144" s="22" t="s">
        <v>49</v>
      </c>
      <c r="D1144" s="149"/>
      <c r="E1144" s="150"/>
      <c r="F1144" s="151"/>
      <c r="G1144" s="151"/>
      <c r="H1144" s="142">
        <f>IFERROR(VLOOKUP($C1144,$C$5:$H$18,6,0)+SUMIF($C$19:$C1144,$C1144,$F$19:$F1144)-SUMIF($C$19:$C1144,$C1144,$G$19:$G1144),"")</f>
        <v>81211.819999998</v>
      </c>
      <c r="I1144" s="147"/>
      <c r="J1144" s="147"/>
      <c r="K1144" s="147" t="str">
        <f t="shared" si="17"/>
        <v/>
      </c>
      <c r="L1144" s="40"/>
      <c r="M1144"/>
      <c r="N1144"/>
      <c r="O1144"/>
      <c r="P1144"/>
      <c r="Q1144"/>
      <c r="R1144"/>
      <c r="S1144"/>
      <c r="T1144"/>
      <c r="U1144"/>
      <c r="V1144"/>
      <c r="W1144" s="41"/>
      <c r="X1144" s="41"/>
      <c r="Y1144" s="41"/>
    </row>
    <row r="1145" s="27" customFormat="1" ht="23" hidden="1" customHeight="1" spans="1:25">
      <c r="A1145" s="133" t="str">
        <f>IF(B1145="","",COUNTA($B$5:B1145))</f>
        <v/>
      </c>
      <c r="B1145" s="148"/>
      <c r="C1145" s="22" t="s">
        <v>49</v>
      </c>
      <c r="D1145" s="149"/>
      <c r="E1145" s="150"/>
      <c r="F1145" s="151"/>
      <c r="G1145" s="151"/>
      <c r="H1145" s="142">
        <f>IFERROR(VLOOKUP($C1145,$C$5:$H$18,6,0)+SUMIF($C$19:$C1145,$C1145,$F$19:$F1145)-SUMIF($C$19:$C1145,$C1145,$G$19:$G1145),"")</f>
        <v>81211.819999998</v>
      </c>
      <c r="I1145" s="147"/>
      <c r="J1145" s="147"/>
      <c r="K1145" s="147" t="str">
        <f t="shared" si="17"/>
        <v/>
      </c>
      <c r="L1145" s="40"/>
      <c r="M1145"/>
      <c r="N1145"/>
      <c r="O1145"/>
      <c r="P1145"/>
      <c r="Q1145"/>
      <c r="R1145"/>
      <c r="S1145"/>
      <c r="T1145"/>
      <c r="U1145"/>
      <c r="V1145"/>
      <c r="W1145" s="41"/>
      <c r="X1145" s="41"/>
      <c r="Y1145" s="41"/>
    </row>
    <row r="1146" s="27" customFormat="1" ht="23" hidden="1" customHeight="1" spans="1:25">
      <c r="A1146" s="133" t="str">
        <f>IF(B1146="","",COUNTA($B$5:B1146))</f>
        <v/>
      </c>
      <c r="B1146" s="148"/>
      <c r="C1146" s="22" t="s">
        <v>49</v>
      </c>
      <c r="D1146" s="149"/>
      <c r="E1146" s="150"/>
      <c r="F1146" s="151"/>
      <c r="G1146" s="151"/>
      <c r="H1146" s="142">
        <f>IFERROR(VLOOKUP($C1146,$C$5:$H$18,6,0)+SUMIF($C$19:$C1146,$C1146,$F$19:$F1146)-SUMIF($C$19:$C1146,$C1146,$G$19:$G1146),"")</f>
        <v>81211.819999998</v>
      </c>
      <c r="I1146" s="147"/>
      <c r="J1146" s="147"/>
      <c r="K1146" s="147" t="str">
        <f t="shared" si="17"/>
        <v/>
      </c>
      <c r="L1146" s="40"/>
      <c r="M1146"/>
      <c r="N1146"/>
      <c r="O1146"/>
      <c r="P1146"/>
      <c r="Q1146"/>
      <c r="R1146"/>
      <c r="S1146"/>
      <c r="T1146"/>
      <c r="U1146"/>
      <c r="V1146"/>
      <c r="W1146" s="41"/>
      <c r="X1146" s="41"/>
      <c r="Y1146" s="41"/>
    </row>
    <row r="1147" s="27" customFormat="1" ht="23" hidden="1" customHeight="1" spans="1:25">
      <c r="A1147" s="133" t="str">
        <f>IF(B1147="","",COUNTA($B$5:B1147))</f>
        <v/>
      </c>
      <c r="B1147" s="148"/>
      <c r="C1147" s="22" t="s">
        <v>49</v>
      </c>
      <c r="D1147" s="149"/>
      <c r="E1147" s="150"/>
      <c r="F1147" s="151"/>
      <c r="G1147" s="151"/>
      <c r="H1147" s="142">
        <f>IFERROR(VLOOKUP($C1147,$C$5:$H$18,6,0)+SUMIF($C$19:$C1147,$C1147,$F$19:$F1147)-SUMIF($C$19:$C1147,$C1147,$G$19:$G1147),"")</f>
        <v>81211.819999998</v>
      </c>
      <c r="I1147" s="147"/>
      <c r="J1147" s="147"/>
      <c r="K1147" s="147" t="str">
        <f t="shared" si="17"/>
        <v/>
      </c>
      <c r="L1147" s="40"/>
      <c r="M1147"/>
      <c r="N1147"/>
      <c r="O1147"/>
      <c r="P1147"/>
      <c r="Q1147"/>
      <c r="R1147"/>
      <c r="S1147"/>
      <c r="T1147"/>
      <c r="U1147"/>
      <c r="V1147"/>
      <c r="W1147" s="41"/>
      <c r="X1147" s="41"/>
      <c r="Y1147" s="41"/>
    </row>
    <row r="1148" s="27" customFormat="1" ht="23" hidden="1" customHeight="1" spans="1:25">
      <c r="A1148" s="133" t="str">
        <f>IF(B1148="","",COUNTA($B$5:B1148))</f>
        <v/>
      </c>
      <c r="B1148" s="148"/>
      <c r="C1148" s="22" t="s">
        <v>49</v>
      </c>
      <c r="D1148" s="149"/>
      <c r="E1148" s="150"/>
      <c r="F1148" s="151"/>
      <c r="G1148" s="151"/>
      <c r="H1148" s="142">
        <f>IFERROR(VLOOKUP($C1148,$C$5:$H$18,6,0)+SUMIF($C$19:$C1148,$C1148,$F$19:$F1148)-SUMIF($C$19:$C1148,$C1148,$G$19:$G1148),"")</f>
        <v>81211.819999998</v>
      </c>
      <c r="I1148" s="147"/>
      <c r="J1148" s="147"/>
      <c r="K1148" s="147" t="str">
        <f t="shared" si="17"/>
        <v/>
      </c>
      <c r="L1148" s="40"/>
      <c r="M1148"/>
      <c r="N1148"/>
      <c r="O1148"/>
      <c r="P1148"/>
      <c r="Q1148"/>
      <c r="R1148"/>
      <c r="S1148"/>
      <c r="T1148"/>
      <c r="U1148"/>
      <c r="V1148"/>
      <c r="W1148" s="41"/>
      <c r="X1148" s="41"/>
      <c r="Y1148" s="41"/>
    </row>
    <row r="1149" s="27" customFormat="1" ht="23" hidden="1" customHeight="1" spans="1:25">
      <c r="A1149" s="133" t="str">
        <f>IF(B1149="","",COUNTA($B$5:B1149))</f>
        <v/>
      </c>
      <c r="B1149" s="148"/>
      <c r="C1149" s="22" t="s">
        <v>49</v>
      </c>
      <c r="D1149" s="149"/>
      <c r="E1149" s="150"/>
      <c r="F1149" s="151"/>
      <c r="G1149" s="151"/>
      <c r="H1149" s="142">
        <f>IFERROR(VLOOKUP($C1149,$C$5:$H$18,6,0)+SUMIF($C$19:$C1149,$C1149,$F$19:$F1149)-SUMIF($C$19:$C1149,$C1149,$G$19:$G1149),"")</f>
        <v>81211.819999998</v>
      </c>
      <c r="I1149" s="147"/>
      <c r="J1149" s="147"/>
      <c r="K1149" s="147" t="str">
        <f t="shared" si="17"/>
        <v/>
      </c>
      <c r="L1149" s="40"/>
      <c r="M1149"/>
      <c r="N1149"/>
      <c r="O1149"/>
      <c r="P1149"/>
      <c r="Q1149"/>
      <c r="R1149"/>
      <c r="S1149"/>
      <c r="T1149"/>
      <c r="U1149"/>
      <c r="V1149"/>
      <c r="W1149" s="41"/>
      <c r="X1149" s="41"/>
      <c r="Y1149" s="41"/>
    </row>
    <row r="1150" s="27" customFormat="1" ht="23" hidden="1" customHeight="1" spans="1:25">
      <c r="A1150" s="133" t="str">
        <f>IF(B1150="","",COUNTA($B$5:B1150))</f>
        <v/>
      </c>
      <c r="B1150" s="148"/>
      <c r="C1150" s="22" t="s">
        <v>49</v>
      </c>
      <c r="D1150" s="149"/>
      <c r="E1150" s="150"/>
      <c r="F1150" s="151"/>
      <c r="G1150" s="151"/>
      <c r="H1150" s="142">
        <f>IFERROR(VLOOKUP($C1150,$C$5:$H$18,6,0)+SUMIF($C$19:$C1150,$C1150,$F$19:$F1150)-SUMIF($C$19:$C1150,$C1150,$G$19:$G1150),"")</f>
        <v>81211.819999998</v>
      </c>
      <c r="I1150" s="147"/>
      <c r="J1150" s="147"/>
      <c r="K1150" s="147" t="str">
        <f t="shared" si="17"/>
        <v/>
      </c>
      <c r="L1150" s="40"/>
      <c r="M1150"/>
      <c r="N1150"/>
      <c r="O1150"/>
      <c r="P1150"/>
      <c r="Q1150"/>
      <c r="R1150"/>
      <c r="S1150"/>
      <c r="T1150"/>
      <c r="U1150"/>
      <c r="V1150"/>
      <c r="W1150" s="41"/>
      <c r="X1150" s="41"/>
      <c r="Y1150" s="41"/>
    </row>
    <row r="1151" s="27" customFormat="1" ht="23" hidden="1" customHeight="1" spans="1:25">
      <c r="A1151" s="133" t="str">
        <f>IF(B1151="","",COUNTA($B$5:B1151))</f>
        <v/>
      </c>
      <c r="B1151" s="148"/>
      <c r="C1151" s="22" t="s">
        <v>49</v>
      </c>
      <c r="D1151" s="149"/>
      <c r="E1151" s="150"/>
      <c r="F1151" s="151"/>
      <c r="G1151" s="151"/>
      <c r="H1151" s="142">
        <f>IFERROR(VLOOKUP($C1151,$C$5:$H$18,6,0)+SUMIF($C$19:$C1151,$C1151,$F$19:$F1151)-SUMIF($C$19:$C1151,$C1151,$G$19:$G1151),"")</f>
        <v>81211.819999998</v>
      </c>
      <c r="I1151" s="147"/>
      <c r="J1151" s="147"/>
      <c r="K1151" s="147" t="str">
        <f t="shared" si="17"/>
        <v/>
      </c>
      <c r="L1151" s="40"/>
      <c r="M1151"/>
      <c r="N1151"/>
      <c r="O1151"/>
      <c r="P1151"/>
      <c r="Q1151"/>
      <c r="R1151"/>
      <c r="S1151"/>
      <c r="T1151"/>
      <c r="U1151"/>
      <c r="V1151"/>
      <c r="W1151" s="41"/>
      <c r="X1151" s="41"/>
      <c r="Y1151" s="41"/>
    </row>
    <row r="1152" s="27" customFormat="1" ht="23" hidden="1" customHeight="1" spans="1:25">
      <c r="A1152" s="133" t="str">
        <f>IF(B1152="","",COUNTA($B$5:B1152))</f>
        <v/>
      </c>
      <c r="B1152" s="148"/>
      <c r="C1152" s="22" t="s">
        <v>49</v>
      </c>
      <c r="D1152" s="149"/>
      <c r="E1152" s="150"/>
      <c r="F1152" s="151"/>
      <c r="G1152" s="151"/>
      <c r="H1152" s="142">
        <f>IFERROR(VLOOKUP($C1152,$C$5:$H$18,6,0)+SUMIF($C$19:$C1152,$C1152,$F$19:$F1152)-SUMIF($C$19:$C1152,$C1152,$G$19:$G1152),"")</f>
        <v>81211.819999998</v>
      </c>
      <c r="I1152" s="147"/>
      <c r="J1152" s="147"/>
      <c r="K1152" s="147" t="str">
        <f t="shared" si="17"/>
        <v/>
      </c>
      <c r="L1152" s="40"/>
      <c r="M1152"/>
      <c r="N1152"/>
      <c r="O1152"/>
      <c r="P1152"/>
      <c r="Q1152"/>
      <c r="R1152"/>
      <c r="S1152"/>
      <c r="T1152"/>
      <c r="U1152"/>
      <c r="V1152"/>
      <c r="W1152" s="41"/>
      <c r="X1152" s="41"/>
      <c r="Y1152" s="41"/>
    </row>
    <row r="1153" s="27" customFormat="1" ht="23" hidden="1" customHeight="1" spans="1:25">
      <c r="A1153" s="133" t="str">
        <f>IF(B1153="","",COUNTA($B$5:B1153))</f>
        <v/>
      </c>
      <c r="B1153" s="148"/>
      <c r="C1153" s="22" t="s">
        <v>49</v>
      </c>
      <c r="D1153" s="149"/>
      <c r="E1153" s="150"/>
      <c r="F1153" s="151"/>
      <c r="G1153" s="151"/>
      <c r="H1153" s="142">
        <f>IFERROR(VLOOKUP($C1153,$C$5:$H$18,6,0)+SUMIF($C$19:$C1153,$C1153,$F$19:$F1153)-SUMIF($C$19:$C1153,$C1153,$G$19:$G1153),"")</f>
        <v>81211.819999998</v>
      </c>
      <c r="I1153" s="147"/>
      <c r="J1153" s="147"/>
      <c r="K1153" s="147" t="str">
        <f t="shared" si="17"/>
        <v/>
      </c>
      <c r="L1153" s="40"/>
      <c r="M1153"/>
      <c r="N1153"/>
      <c r="O1153"/>
      <c r="P1153"/>
      <c r="Q1153"/>
      <c r="R1153"/>
      <c r="S1153"/>
      <c r="T1153"/>
      <c r="U1153"/>
      <c r="V1153"/>
      <c r="W1153" s="41"/>
      <c r="X1153" s="41"/>
      <c r="Y1153" s="41"/>
    </row>
    <row r="1154" s="27" customFormat="1" ht="23" hidden="1" customHeight="1" spans="1:25">
      <c r="A1154" s="133" t="str">
        <f>IF(B1154="","",COUNTA($B$5:B1154))</f>
        <v/>
      </c>
      <c r="B1154" s="148"/>
      <c r="C1154" s="22" t="s">
        <v>49</v>
      </c>
      <c r="D1154" s="149"/>
      <c r="E1154" s="150"/>
      <c r="F1154" s="151"/>
      <c r="G1154" s="151"/>
      <c r="H1154" s="142">
        <f>IFERROR(VLOOKUP($C1154,$C$5:$H$18,6,0)+SUMIF($C$19:$C1154,$C1154,$F$19:$F1154)-SUMIF($C$19:$C1154,$C1154,$G$19:$G1154),"")</f>
        <v>81211.819999998</v>
      </c>
      <c r="I1154" s="147"/>
      <c r="J1154" s="147"/>
      <c r="K1154" s="147" t="str">
        <f t="shared" si="17"/>
        <v/>
      </c>
      <c r="L1154" s="40"/>
      <c r="M1154"/>
      <c r="N1154"/>
      <c r="O1154"/>
      <c r="P1154"/>
      <c r="Q1154"/>
      <c r="R1154"/>
      <c r="S1154"/>
      <c r="T1154"/>
      <c r="U1154"/>
      <c r="V1154"/>
      <c r="W1154" s="41"/>
      <c r="X1154" s="41"/>
      <c r="Y1154" s="41"/>
    </row>
    <row r="1155" s="27" customFormat="1" ht="23" hidden="1" customHeight="1" spans="1:25">
      <c r="A1155" s="133" t="str">
        <f>IF(B1155="","",COUNTA($B$5:B1155))</f>
        <v/>
      </c>
      <c r="B1155" s="148"/>
      <c r="C1155" s="22" t="s">
        <v>49</v>
      </c>
      <c r="D1155" s="149"/>
      <c r="E1155" s="150"/>
      <c r="F1155" s="151"/>
      <c r="G1155" s="151"/>
      <c r="H1155" s="142">
        <f>IFERROR(VLOOKUP($C1155,$C$5:$H$18,6,0)+SUMIF($C$19:$C1155,$C1155,$F$19:$F1155)-SUMIF($C$19:$C1155,$C1155,$G$19:$G1155),"")</f>
        <v>81211.819999998</v>
      </c>
      <c r="I1155" s="147"/>
      <c r="J1155" s="147"/>
      <c r="K1155" s="147" t="str">
        <f t="shared" si="17"/>
        <v/>
      </c>
      <c r="L1155" s="40"/>
      <c r="M1155"/>
      <c r="N1155"/>
      <c r="O1155"/>
      <c r="P1155"/>
      <c r="Q1155"/>
      <c r="R1155"/>
      <c r="S1155"/>
      <c r="T1155"/>
      <c r="U1155"/>
      <c r="V1155"/>
      <c r="W1155" s="41"/>
      <c r="X1155" s="41"/>
      <c r="Y1155" s="41"/>
    </row>
    <row r="1156" s="27" customFormat="1" ht="23" hidden="1" customHeight="1" spans="1:25">
      <c r="A1156" s="133" t="str">
        <f>IF(B1156="","",COUNTA($B$5:B1156))</f>
        <v/>
      </c>
      <c r="B1156" s="148"/>
      <c r="C1156" s="22" t="s">
        <v>49</v>
      </c>
      <c r="D1156" s="149"/>
      <c r="E1156" s="150"/>
      <c r="F1156" s="151"/>
      <c r="G1156" s="151"/>
      <c r="H1156" s="142">
        <f>IFERROR(VLOOKUP($C1156,$C$5:$H$18,6,0)+SUMIF($C$19:$C1156,$C1156,$F$19:$F1156)-SUMIF($C$19:$C1156,$C1156,$G$19:$G1156),"")</f>
        <v>81211.819999998</v>
      </c>
      <c r="I1156" s="147"/>
      <c r="J1156" s="147"/>
      <c r="K1156" s="147" t="str">
        <f t="shared" si="17"/>
        <v/>
      </c>
      <c r="L1156" s="40"/>
      <c r="M1156"/>
      <c r="N1156"/>
      <c r="O1156"/>
      <c r="P1156"/>
      <c r="Q1156"/>
      <c r="R1156"/>
      <c r="S1156"/>
      <c r="T1156"/>
      <c r="U1156"/>
      <c r="V1156"/>
      <c r="W1156" s="41"/>
      <c r="X1156" s="41"/>
      <c r="Y1156" s="41"/>
    </row>
    <row r="1157" s="27" customFormat="1" ht="23" hidden="1" customHeight="1" spans="1:25">
      <c r="A1157" s="133" t="str">
        <f>IF(B1157="","",COUNTA($B$5:B1157))</f>
        <v/>
      </c>
      <c r="B1157" s="148"/>
      <c r="C1157" s="22" t="s">
        <v>49</v>
      </c>
      <c r="D1157" s="149"/>
      <c r="E1157" s="150"/>
      <c r="F1157" s="151"/>
      <c r="G1157" s="151"/>
      <c r="H1157" s="142">
        <f>IFERROR(VLOOKUP($C1157,$C$5:$H$18,6,0)+SUMIF($C$19:$C1157,$C1157,$F$19:$F1157)-SUMIF($C$19:$C1157,$C1157,$G$19:$G1157),"")</f>
        <v>81211.819999998</v>
      </c>
      <c r="I1157" s="147"/>
      <c r="J1157" s="147"/>
      <c r="K1157" s="147" t="str">
        <f t="shared" ref="K1157:K1220" si="18">IF($B1157="","",--TEXT($B1157,"yyyymm"))</f>
        <v/>
      </c>
      <c r="L1157" s="40"/>
      <c r="M1157"/>
      <c r="N1157"/>
      <c r="O1157"/>
      <c r="P1157"/>
      <c r="Q1157"/>
      <c r="R1157"/>
      <c r="S1157"/>
      <c r="T1157"/>
      <c r="U1157"/>
      <c r="V1157"/>
      <c r="W1157" s="41"/>
      <c r="X1157" s="41"/>
      <c r="Y1157" s="41"/>
    </row>
    <row r="1158" s="27" customFormat="1" ht="23" hidden="1" customHeight="1" spans="1:25">
      <c r="A1158" s="133" t="str">
        <f>IF(B1158="","",COUNTA($B$5:B1158))</f>
        <v/>
      </c>
      <c r="B1158" s="148"/>
      <c r="C1158" s="22" t="s">
        <v>49</v>
      </c>
      <c r="D1158" s="149"/>
      <c r="E1158" s="150"/>
      <c r="F1158" s="151"/>
      <c r="G1158" s="151"/>
      <c r="H1158" s="142">
        <f>IFERROR(VLOOKUP($C1158,$C$5:$H$18,6,0)+SUMIF($C$19:$C1158,$C1158,$F$19:$F1158)-SUMIF($C$19:$C1158,$C1158,$G$19:$G1158),"")</f>
        <v>81211.819999998</v>
      </c>
      <c r="I1158" s="147"/>
      <c r="J1158" s="147"/>
      <c r="K1158" s="147" t="str">
        <f t="shared" si="18"/>
        <v/>
      </c>
      <c r="L1158" s="40"/>
      <c r="M1158"/>
      <c r="N1158"/>
      <c r="O1158"/>
      <c r="P1158"/>
      <c r="Q1158"/>
      <c r="R1158"/>
      <c r="S1158"/>
      <c r="T1158"/>
      <c r="U1158"/>
      <c r="V1158"/>
      <c r="W1158" s="41"/>
      <c r="X1158" s="41"/>
      <c r="Y1158" s="41"/>
    </row>
    <row r="1159" s="27" customFormat="1" ht="23" hidden="1" customHeight="1" spans="1:25">
      <c r="A1159" s="133" t="str">
        <f>IF(B1159="","",COUNTA($B$5:B1159))</f>
        <v/>
      </c>
      <c r="B1159" s="148"/>
      <c r="C1159" s="22" t="s">
        <v>49</v>
      </c>
      <c r="D1159" s="149"/>
      <c r="E1159" s="150"/>
      <c r="F1159" s="151"/>
      <c r="G1159" s="151"/>
      <c r="H1159" s="142">
        <f>IFERROR(VLOOKUP($C1159,$C$5:$H$18,6,0)+SUMIF($C$19:$C1159,$C1159,$F$19:$F1159)-SUMIF($C$19:$C1159,$C1159,$G$19:$G1159),"")</f>
        <v>81211.819999998</v>
      </c>
      <c r="I1159" s="147"/>
      <c r="J1159" s="147"/>
      <c r="K1159" s="147" t="str">
        <f t="shared" si="18"/>
        <v/>
      </c>
      <c r="L1159" s="40"/>
      <c r="M1159"/>
      <c r="N1159"/>
      <c r="O1159"/>
      <c r="P1159"/>
      <c r="Q1159"/>
      <c r="R1159"/>
      <c r="S1159"/>
      <c r="T1159"/>
      <c r="U1159"/>
      <c r="V1159"/>
      <c r="W1159" s="41"/>
      <c r="X1159" s="41"/>
      <c r="Y1159" s="41"/>
    </row>
    <row r="1160" s="27" customFormat="1" ht="23" hidden="1" customHeight="1" spans="1:25">
      <c r="A1160" s="133" t="str">
        <f>IF(B1160="","",COUNTA($B$5:B1160))</f>
        <v/>
      </c>
      <c r="B1160" s="148"/>
      <c r="C1160" s="22" t="s">
        <v>49</v>
      </c>
      <c r="D1160" s="149"/>
      <c r="E1160" s="150"/>
      <c r="F1160" s="151"/>
      <c r="G1160" s="151"/>
      <c r="H1160" s="142">
        <f>IFERROR(VLOOKUP($C1160,$C$5:$H$18,6,0)+SUMIF($C$19:$C1160,$C1160,$F$19:$F1160)-SUMIF($C$19:$C1160,$C1160,$G$19:$G1160),"")</f>
        <v>81211.819999998</v>
      </c>
      <c r="I1160" s="147"/>
      <c r="J1160" s="147"/>
      <c r="K1160" s="147" t="str">
        <f t="shared" si="18"/>
        <v/>
      </c>
      <c r="L1160" s="40"/>
      <c r="M1160"/>
      <c r="N1160"/>
      <c r="O1160"/>
      <c r="P1160"/>
      <c r="Q1160"/>
      <c r="R1160"/>
      <c r="S1160"/>
      <c r="T1160"/>
      <c r="U1160"/>
      <c r="V1160"/>
      <c r="W1160" s="41"/>
      <c r="X1160" s="41"/>
      <c r="Y1160" s="41"/>
    </row>
    <row r="1161" s="27" customFormat="1" ht="23" hidden="1" customHeight="1" spans="1:25">
      <c r="A1161" s="133" t="str">
        <f>IF(B1161="","",COUNTA($B$5:B1161))</f>
        <v/>
      </c>
      <c r="B1161" s="148"/>
      <c r="C1161" s="22" t="s">
        <v>49</v>
      </c>
      <c r="D1161" s="149"/>
      <c r="E1161" s="150"/>
      <c r="F1161" s="151"/>
      <c r="G1161" s="151"/>
      <c r="H1161" s="142">
        <f>IFERROR(VLOOKUP($C1161,$C$5:$H$18,6,0)+SUMIF($C$19:$C1161,$C1161,$F$19:$F1161)-SUMIF($C$19:$C1161,$C1161,$G$19:$G1161),"")</f>
        <v>81211.819999998</v>
      </c>
      <c r="I1161" s="147"/>
      <c r="J1161" s="147"/>
      <c r="K1161" s="147" t="str">
        <f t="shared" si="18"/>
        <v/>
      </c>
      <c r="L1161" s="40"/>
      <c r="M1161"/>
      <c r="N1161"/>
      <c r="O1161"/>
      <c r="P1161"/>
      <c r="Q1161"/>
      <c r="R1161"/>
      <c r="S1161"/>
      <c r="T1161"/>
      <c r="U1161"/>
      <c r="V1161"/>
      <c r="W1161" s="41"/>
      <c r="X1161" s="41"/>
      <c r="Y1161" s="41"/>
    </row>
    <row r="1162" s="27" customFormat="1" ht="23" hidden="1" customHeight="1" spans="1:25">
      <c r="A1162" s="133" t="str">
        <f>IF(B1162="","",COUNTA($B$5:B1162))</f>
        <v/>
      </c>
      <c r="B1162" s="148"/>
      <c r="C1162" s="22" t="s">
        <v>49</v>
      </c>
      <c r="D1162" s="149"/>
      <c r="E1162" s="150"/>
      <c r="F1162" s="151"/>
      <c r="G1162" s="151"/>
      <c r="H1162" s="142">
        <f>IFERROR(VLOOKUP($C1162,$C$5:$H$18,6,0)+SUMIF($C$19:$C1162,$C1162,$F$19:$F1162)-SUMIF($C$19:$C1162,$C1162,$G$19:$G1162),"")</f>
        <v>81211.819999998</v>
      </c>
      <c r="I1162" s="147"/>
      <c r="J1162" s="147"/>
      <c r="K1162" s="147" t="str">
        <f t="shared" si="18"/>
        <v/>
      </c>
      <c r="L1162" s="40"/>
      <c r="M1162"/>
      <c r="N1162"/>
      <c r="O1162"/>
      <c r="P1162"/>
      <c r="Q1162"/>
      <c r="R1162"/>
      <c r="S1162"/>
      <c r="T1162"/>
      <c r="U1162"/>
      <c r="V1162"/>
      <c r="W1162" s="41"/>
      <c r="X1162" s="41"/>
      <c r="Y1162" s="41"/>
    </row>
    <row r="1163" s="27" customFormat="1" ht="23" hidden="1" customHeight="1" spans="1:25">
      <c r="A1163" s="133" t="str">
        <f>IF(B1163="","",COUNTA($B$5:B1163))</f>
        <v/>
      </c>
      <c r="B1163" s="148"/>
      <c r="C1163" s="22" t="s">
        <v>49</v>
      </c>
      <c r="D1163" s="149"/>
      <c r="E1163" s="150"/>
      <c r="F1163" s="151"/>
      <c r="G1163" s="151"/>
      <c r="H1163" s="142">
        <f>IFERROR(VLOOKUP($C1163,$C$5:$H$18,6,0)+SUMIF($C$19:$C1163,$C1163,$F$19:$F1163)-SUMIF($C$19:$C1163,$C1163,$G$19:$G1163),"")</f>
        <v>81211.819999998</v>
      </c>
      <c r="I1163" s="147"/>
      <c r="J1163" s="147"/>
      <c r="K1163" s="147" t="str">
        <f t="shared" si="18"/>
        <v/>
      </c>
      <c r="L1163" s="40"/>
      <c r="M1163"/>
      <c r="N1163"/>
      <c r="O1163"/>
      <c r="P1163"/>
      <c r="Q1163"/>
      <c r="R1163"/>
      <c r="S1163"/>
      <c r="T1163"/>
      <c r="U1163"/>
      <c r="V1163"/>
      <c r="W1163" s="41"/>
      <c r="X1163" s="41"/>
      <c r="Y1163" s="41"/>
    </row>
    <row r="1164" s="27" customFormat="1" ht="23" hidden="1" customHeight="1" spans="1:25">
      <c r="A1164" s="133" t="str">
        <f>IF(B1164="","",COUNTA($B$5:B1164))</f>
        <v/>
      </c>
      <c r="B1164" s="148"/>
      <c r="C1164" s="22" t="s">
        <v>49</v>
      </c>
      <c r="D1164" s="149"/>
      <c r="E1164" s="150"/>
      <c r="F1164" s="151"/>
      <c r="G1164" s="151"/>
      <c r="H1164" s="142">
        <f>IFERROR(VLOOKUP($C1164,$C$5:$H$18,6,0)+SUMIF($C$19:$C1164,$C1164,$F$19:$F1164)-SUMIF($C$19:$C1164,$C1164,$G$19:$G1164),"")</f>
        <v>81211.819999998</v>
      </c>
      <c r="I1164" s="147"/>
      <c r="J1164" s="147"/>
      <c r="K1164" s="147" t="str">
        <f t="shared" si="18"/>
        <v/>
      </c>
      <c r="L1164" s="40"/>
      <c r="M1164"/>
      <c r="N1164"/>
      <c r="O1164"/>
      <c r="P1164"/>
      <c r="Q1164"/>
      <c r="R1164"/>
      <c r="S1164"/>
      <c r="T1164"/>
      <c r="U1164"/>
      <c r="V1164"/>
      <c r="W1164" s="41"/>
      <c r="X1164" s="41"/>
      <c r="Y1164" s="41"/>
    </row>
    <row r="1165" s="27" customFormat="1" ht="23" hidden="1" customHeight="1" spans="1:25">
      <c r="A1165" s="133" t="str">
        <f>IF(B1165="","",COUNTA($B$5:B1165))</f>
        <v/>
      </c>
      <c r="B1165" s="148"/>
      <c r="C1165" s="22" t="s">
        <v>49</v>
      </c>
      <c r="D1165" s="149"/>
      <c r="E1165" s="150"/>
      <c r="F1165" s="151"/>
      <c r="G1165" s="151"/>
      <c r="H1165" s="142">
        <f>IFERROR(VLOOKUP($C1165,$C$5:$H$18,6,0)+SUMIF($C$19:$C1165,$C1165,$F$19:$F1165)-SUMIF($C$19:$C1165,$C1165,$G$19:$G1165),"")</f>
        <v>81211.819999998</v>
      </c>
      <c r="I1165" s="147"/>
      <c r="J1165" s="147"/>
      <c r="K1165" s="147" t="str">
        <f t="shared" si="18"/>
        <v/>
      </c>
      <c r="L1165" s="40"/>
      <c r="M1165"/>
      <c r="N1165"/>
      <c r="O1165"/>
      <c r="P1165"/>
      <c r="Q1165"/>
      <c r="R1165"/>
      <c r="S1165"/>
      <c r="T1165"/>
      <c r="U1165"/>
      <c r="V1165"/>
      <c r="W1165" s="41"/>
      <c r="X1165" s="41"/>
      <c r="Y1165" s="41"/>
    </row>
    <row r="1166" s="27" customFormat="1" ht="23" hidden="1" customHeight="1" spans="1:25">
      <c r="A1166" s="133" t="str">
        <f>IF(B1166="","",COUNTA($B$5:B1166))</f>
        <v/>
      </c>
      <c r="B1166" s="148"/>
      <c r="C1166" s="22" t="s">
        <v>49</v>
      </c>
      <c r="D1166" s="149"/>
      <c r="E1166" s="150"/>
      <c r="F1166" s="151"/>
      <c r="G1166" s="151"/>
      <c r="H1166" s="142">
        <f>IFERROR(VLOOKUP($C1166,$C$5:$H$18,6,0)+SUMIF($C$19:$C1166,$C1166,$F$19:$F1166)-SUMIF($C$19:$C1166,$C1166,$G$19:$G1166),"")</f>
        <v>81211.819999998</v>
      </c>
      <c r="I1166" s="147"/>
      <c r="J1166" s="147"/>
      <c r="K1166" s="147" t="str">
        <f t="shared" si="18"/>
        <v/>
      </c>
      <c r="L1166" s="40"/>
      <c r="M1166"/>
      <c r="N1166"/>
      <c r="O1166"/>
      <c r="P1166"/>
      <c r="Q1166"/>
      <c r="R1166"/>
      <c r="S1166"/>
      <c r="T1166"/>
      <c r="U1166"/>
      <c r="V1166"/>
      <c r="W1166" s="41"/>
      <c r="X1166" s="41"/>
      <c r="Y1166" s="41"/>
    </row>
    <row r="1167" s="27" customFormat="1" ht="23" hidden="1" customHeight="1" spans="1:25">
      <c r="A1167" s="133" t="str">
        <f>IF(B1167="","",COUNTA($B$5:B1167))</f>
        <v/>
      </c>
      <c r="B1167" s="148"/>
      <c r="C1167" s="22" t="s">
        <v>49</v>
      </c>
      <c r="D1167" s="149"/>
      <c r="E1167" s="150"/>
      <c r="F1167" s="151"/>
      <c r="G1167" s="151"/>
      <c r="H1167" s="142">
        <f>IFERROR(VLOOKUP($C1167,$C$5:$H$18,6,0)+SUMIF($C$19:$C1167,$C1167,$F$19:$F1167)-SUMIF($C$19:$C1167,$C1167,$G$19:$G1167),"")</f>
        <v>81211.819999998</v>
      </c>
      <c r="I1167" s="147"/>
      <c r="J1167" s="147"/>
      <c r="K1167" s="147" t="str">
        <f t="shared" si="18"/>
        <v/>
      </c>
      <c r="L1167" s="40"/>
      <c r="M1167"/>
      <c r="N1167"/>
      <c r="O1167"/>
      <c r="P1167"/>
      <c r="Q1167"/>
      <c r="R1167"/>
      <c r="S1167"/>
      <c r="T1167"/>
      <c r="U1167"/>
      <c r="V1167"/>
      <c r="W1167" s="41"/>
      <c r="X1167" s="41"/>
      <c r="Y1167" s="41"/>
    </row>
    <row r="1168" s="27" customFormat="1" ht="23" hidden="1" customHeight="1" spans="1:25">
      <c r="A1168" s="133" t="str">
        <f>IF(B1168="","",COUNTA($B$5:B1168))</f>
        <v/>
      </c>
      <c r="B1168" s="148"/>
      <c r="C1168" s="22" t="s">
        <v>49</v>
      </c>
      <c r="D1168" s="149"/>
      <c r="E1168" s="150"/>
      <c r="F1168" s="151"/>
      <c r="G1168" s="151"/>
      <c r="H1168" s="142">
        <f>IFERROR(VLOOKUP($C1168,$C$5:$H$18,6,0)+SUMIF($C$19:$C1168,$C1168,$F$19:$F1168)-SUMIF($C$19:$C1168,$C1168,$G$19:$G1168),"")</f>
        <v>81211.819999998</v>
      </c>
      <c r="I1168" s="147"/>
      <c r="J1168" s="147"/>
      <c r="K1168" s="147" t="str">
        <f t="shared" si="18"/>
        <v/>
      </c>
      <c r="L1168" s="40"/>
      <c r="M1168"/>
      <c r="N1168"/>
      <c r="O1168"/>
      <c r="P1168"/>
      <c r="Q1168"/>
      <c r="R1168"/>
      <c r="S1168"/>
      <c r="T1168"/>
      <c r="U1168"/>
      <c r="V1168"/>
      <c r="W1168" s="41"/>
      <c r="X1168" s="41"/>
      <c r="Y1168" s="41"/>
    </row>
    <row r="1169" s="27" customFormat="1" ht="23" hidden="1" customHeight="1" spans="1:25">
      <c r="A1169" s="133" t="str">
        <f>IF(B1169="","",COUNTA($B$5:B1169))</f>
        <v/>
      </c>
      <c r="B1169" s="148"/>
      <c r="C1169" s="22" t="s">
        <v>49</v>
      </c>
      <c r="D1169" s="149"/>
      <c r="E1169" s="150"/>
      <c r="F1169" s="151"/>
      <c r="G1169" s="151"/>
      <c r="H1169" s="142">
        <f>IFERROR(VLOOKUP($C1169,$C$5:$H$18,6,0)+SUMIF($C$19:$C1169,$C1169,$F$19:$F1169)-SUMIF($C$19:$C1169,$C1169,$G$19:$G1169),"")</f>
        <v>81211.819999998</v>
      </c>
      <c r="I1169" s="147"/>
      <c r="J1169" s="147"/>
      <c r="K1169" s="147" t="str">
        <f t="shared" si="18"/>
        <v/>
      </c>
      <c r="L1169" s="40"/>
      <c r="M1169"/>
      <c r="N1169"/>
      <c r="O1169"/>
      <c r="P1169"/>
      <c r="Q1169"/>
      <c r="R1169"/>
      <c r="S1169"/>
      <c r="T1169"/>
      <c r="U1169"/>
      <c r="V1169"/>
      <c r="W1169" s="41"/>
      <c r="X1169" s="41"/>
      <c r="Y1169" s="41"/>
    </row>
    <row r="1170" s="27" customFormat="1" ht="23" hidden="1" customHeight="1" spans="1:25">
      <c r="A1170" s="133" t="str">
        <f>IF(B1170="","",COUNTA($B$5:B1170))</f>
        <v/>
      </c>
      <c r="B1170" s="148"/>
      <c r="C1170" s="22" t="s">
        <v>49</v>
      </c>
      <c r="D1170" s="149"/>
      <c r="E1170" s="150"/>
      <c r="F1170" s="151"/>
      <c r="G1170" s="151"/>
      <c r="H1170" s="142">
        <f>IFERROR(VLOOKUP($C1170,$C$5:$H$18,6,0)+SUMIF($C$19:$C1170,$C1170,$F$19:$F1170)-SUMIF($C$19:$C1170,$C1170,$G$19:$G1170),"")</f>
        <v>81211.819999998</v>
      </c>
      <c r="I1170" s="147"/>
      <c r="J1170" s="147"/>
      <c r="K1170" s="147" t="str">
        <f t="shared" si="18"/>
        <v/>
      </c>
      <c r="L1170" s="40"/>
      <c r="M1170"/>
      <c r="N1170"/>
      <c r="O1170"/>
      <c r="P1170"/>
      <c r="Q1170"/>
      <c r="R1170"/>
      <c r="S1170"/>
      <c r="T1170"/>
      <c r="U1170"/>
      <c r="V1170"/>
      <c r="W1170" s="41"/>
      <c r="X1170" s="41"/>
      <c r="Y1170" s="41"/>
    </row>
    <row r="1171" s="27" customFormat="1" ht="23" hidden="1" customHeight="1" spans="1:25">
      <c r="A1171" s="133" t="str">
        <f>IF(B1171="","",COUNTA($B$5:B1171))</f>
        <v/>
      </c>
      <c r="B1171" s="148"/>
      <c r="C1171" s="22" t="s">
        <v>49</v>
      </c>
      <c r="D1171" s="149"/>
      <c r="E1171" s="150"/>
      <c r="F1171" s="151"/>
      <c r="G1171" s="151"/>
      <c r="H1171" s="142">
        <f>IFERROR(VLOOKUP($C1171,$C$5:$H$18,6,0)+SUMIF($C$19:$C1171,$C1171,$F$19:$F1171)-SUMIF($C$19:$C1171,$C1171,$G$19:$G1171),"")</f>
        <v>81211.819999998</v>
      </c>
      <c r="I1171" s="147"/>
      <c r="J1171" s="147"/>
      <c r="K1171" s="147" t="str">
        <f t="shared" si="18"/>
        <v/>
      </c>
      <c r="L1171" s="40"/>
      <c r="M1171"/>
      <c r="N1171"/>
      <c r="O1171"/>
      <c r="P1171"/>
      <c r="Q1171"/>
      <c r="R1171"/>
      <c r="S1171"/>
      <c r="T1171"/>
      <c r="U1171"/>
      <c r="V1171"/>
      <c r="W1171" s="41"/>
      <c r="X1171" s="41"/>
      <c r="Y1171" s="41"/>
    </row>
    <row r="1172" s="27" customFormat="1" ht="23" hidden="1" customHeight="1" spans="1:25">
      <c r="A1172" s="133" t="str">
        <f>IF(B1172="","",COUNTA($B$5:B1172))</f>
        <v/>
      </c>
      <c r="B1172" s="148"/>
      <c r="C1172" s="22" t="s">
        <v>49</v>
      </c>
      <c r="D1172" s="149"/>
      <c r="E1172" s="150"/>
      <c r="F1172" s="151"/>
      <c r="G1172" s="151"/>
      <c r="H1172" s="142">
        <f>IFERROR(VLOOKUP($C1172,$C$5:$H$18,6,0)+SUMIF($C$19:$C1172,$C1172,$F$19:$F1172)-SUMIF($C$19:$C1172,$C1172,$G$19:$G1172),"")</f>
        <v>81211.819999998</v>
      </c>
      <c r="I1172" s="147"/>
      <c r="J1172" s="147"/>
      <c r="K1172" s="147" t="str">
        <f t="shared" si="18"/>
        <v/>
      </c>
      <c r="L1172" s="40"/>
      <c r="M1172"/>
      <c r="N1172"/>
      <c r="O1172"/>
      <c r="P1172"/>
      <c r="Q1172"/>
      <c r="R1172"/>
      <c r="S1172"/>
      <c r="T1172"/>
      <c r="U1172"/>
      <c r="V1172"/>
      <c r="W1172" s="41"/>
      <c r="X1172" s="41"/>
      <c r="Y1172" s="41"/>
    </row>
    <row r="1173" s="27" customFormat="1" ht="23" hidden="1" customHeight="1" spans="1:25">
      <c r="A1173" s="133" t="str">
        <f>IF(B1173="","",COUNTA($B$5:B1173))</f>
        <v/>
      </c>
      <c r="B1173" s="148"/>
      <c r="C1173" s="22" t="s">
        <v>49</v>
      </c>
      <c r="D1173" s="149"/>
      <c r="E1173" s="150"/>
      <c r="F1173" s="151"/>
      <c r="G1173" s="151"/>
      <c r="H1173" s="142">
        <f>IFERROR(VLOOKUP($C1173,$C$5:$H$18,6,0)+SUMIF($C$19:$C1173,$C1173,$F$19:$F1173)-SUMIF($C$19:$C1173,$C1173,$G$19:$G1173),"")</f>
        <v>81211.819999998</v>
      </c>
      <c r="I1173" s="147"/>
      <c r="J1173" s="147"/>
      <c r="K1173" s="147" t="str">
        <f t="shared" si="18"/>
        <v/>
      </c>
      <c r="L1173" s="40"/>
      <c r="M1173"/>
      <c r="N1173"/>
      <c r="O1173"/>
      <c r="P1173"/>
      <c r="Q1173"/>
      <c r="R1173"/>
      <c r="S1173"/>
      <c r="T1173"/>
      <c r="U1173"/>
      <c r="V1173"/>
      <c r="W1173" s="41"/>
      <c r="X1173" s="41"/>
      <c r="Y1173" s="41"/>
    </row>
    <row r="1174" s="27" customFormat="1" ht="23" hidden="1" customHeight="1" spans="1:25">
      <c r="A1174" s="133" t="str">
        <f>IF(B1174="","",COUNTA($B$5:B1174))</f>
        <v/>
      </c>
      <c r="B1174" s="148"/>
      <c r="C1174" s="22" t="s">
        <v>49</v>
      </c>
      <c r="D1174" s="149"/>
      <c r="E1174" s="150"/>
      <c r="F1174" s="151"/>
      <c r="G1174" s="151"/>
      <c r="H1174" s="142">
        <f>IFERROR(VLOOKUP($C1174,$C$5:$H$18,6,0)+SUMIF($C$19:$C1174,$C1174,$F$19:$F1174)-SUMIF($C$19:$C1174,$C1174,$G$19:$G1174),"")</f>
        <v>81211.819999998</v>
      </c>
      <c r="I1174" s="147"/>
      <c r="J1174" s="147"/>
      <c r="K1174" s="147" t="str">
        <f t="shared" si="18"/>
        <v/>
      </c>
      <c r="L1174" s="40"/>
      <c r="M1174"/>
      <c r="N1174"/>
      <c r="O1174"/>
      <c r="P1174"/>
      <c r="Q1174"/>
      <c r="R1174"/>
      <c r="S1174"/>
      <c r="T1174"/>
      <c r="U1174"/>
      <c r="V1174"/>
      <c r="W1174" s="41"/>
      <c r="X1174" s="41"/>
      <c r="Y1174" s="41"/>
    </row>
    <row r="1175" s="27" customFormat="1" ht="23" hidden="1" customHeight="1" spans="1:25">
      <c r="A1175" s="133" t="str">
        <f>IF(B1175="","",COUNTA($B$5:B1175))</f>
        <v/>
      </c>
      <c r="B1175" s="148"/>
      <c r="C1175" s="22" t="s">
        <v>49</v>
      </c>
      <c r="D1175" s="149"/>
      <c r="E1175" s="150"/>
      <c r="F1175" s="151"/>
      <c r="G1175" s="151"/>
      <c r="H1175" s="142">
        <f>IFERROR(VLOOKUP($C1175,$C$5:$H$18,6,0)+SUMIF($C$19:$C1175,$C1175,$F$19:$F1175)-SUMIF($C$19:$C1175,$C1175,$G$19:$G1175),"")</f>
        <v>81211.819999998</v>
      </c>
      <c r="I1175" s="147"/>
      <c r="J1175" s="147"/>
      <c r="K1175" s="147" t="str">
        <f t="shared" si="18"/>
        <v/>
      </c>
      <c r="L1175" s="40"/>
      <c r="M1175"/>
      <c r="N1175"/>
      <c r="O1175"/>
      <c r="P1175"/>
      <c r="Q1175"/>
      <c r="R1175"/>
      <c r="S1175"/>
      <c r="T1175"/>
      <c r="U1175"/>
      <c r="V1175"/>
      <c r="W1175" s="41"/>
      <c r="X1175" s="41"/>
      <c r="Y1175" s="41"/>
    </row>
    <row r="1176" s="27" customFormat="1" ht="23" hidden="1" customHeight="1" spans="1:25">
      <c r="A1176" s="133" t="str">
        <f>IF(B1176="","",COUNTA($B$5:B1176))</f>
        <v/>
      </c>
      <c r="B1176" s="148"/>
      <c r="C1176" s="22" t="s">
        <v>49</v>
      </c>
      <c r="D1176" s="149"/>
      <c r="E1176" s="150"/>
      <c r="F1176" s="151"/>
      <c r="G1176" s="151"/>
      <c r="H1176" s="142">
        <f>IFERROR(VLOOKUP($C1176,$C$5:$H$18,6,0)+SUMIF($C$19:$C1176,$C1176,$F$19:$F1176)-SUMIF($C$19:$C1176,$C1176,$G$19:$G1176),"")</f>
        <v>81211.819999998</v>
      </c>
      <c r="I1176" s="147"/>
      <c r="J1176" s="147"/>
      <c r="K1176" s="147" t="str">
        <f t="shared" si="18"/>
        <v/>
      </c>
      <c r="L1176" s="40"/>
      <c r="M1176"/>
      <c r="N1176"/>
      <c r="O1176"/>
      <c r="P1176"/>
      <c r="Q1176"/>
      <c r="R1176"/>
      <c r="S1176"/>
      <c r="T1176"/>
      <c r="U1176"/>
      <c r="V1176"/>
      <c r="W1176" s="41"/>
      <c r="X1176" s="41"/>
      <c r="Y1176" s="41"/>
    </row>
    <row r="1177" s="27" customFormat="1" ht="23" hidden="1" customHeight="1" spans="1:25">
      <c r="A1177" s="133" t="str">
        <f>IF(B1177="","",COUNTA($B$5:B1177))</f>
        <v/>
      </c>
      <c r="B1177" s="148"/>
      <c r="C1177" s="22" t="s">
        <v>49</v>
      </c>
      <c r="D1177" s="149"/>
      <c r="E1177" s="150"/>
      <c r="F1177" s="151"/>
      <c r="G1177" s="151"/>
      <c r="H1177" s="142">
        <f>IFERROR(VLOOKUP($C1177,$C$5:$H$18,6,0)+SUMIF($C$19:$C1177,$C1177,$F$19:$F1177)-SUMIF($C$19:$C1177,$C1177,$G$19:$G1177),"")</f>
        <v>81211.819999998</v>
      </c>
      <c r="I1177" s="147"/>
      <c r="J1177" s="147"/>
      <c r="K1177" s="147" t="str">
        <f t="shared" si="18"/>
        <v/>
      </c>
      <c r="L1177" s="40"/>
      <c r="M1177"/>
      <c r="N1177"/>
      <c r="O1177"/>
      <c r="P1177"/>
      <c r="Q1177"/>
      <c r="R1177"/>
      <c r="S1177"/>
      <c r="T1177"/>
      <c r="U1177"/>
      <c r="V1177"/>
      <c r="W1177" s="41"/>
      <c r="X1177" s="41"/>
      <c r="Y1177" s="41"/>
    </row>
    <row r="1178" s="27" customFormat="1" ht="23" hidden="1" customHeight="1" spans="1:25">
      <c r="A1178" s="133" t="str">
        <f>IF(B1178="","",COUNTA($B$5:B1178))</f>
        <v/>
      </c>
      <c r="B1178" s="148"/>
      <c r="C1178" s="22" t="s">
        <v>49</v>
      </c>
      <c r="D1178" s="149"/>
      <c r="E1178" s="150"/>
      <c r="F1178" s="151"/>
      <c r="G1178" s="151"/>
      <c r="H1178" s="142">
        <f>IFERROR(VLOOKUP($C1178,$C$5:$H$18,6,0)+SUMIF($C$19:$C1178,$C1178,$F$19:$F1178)-SUMIF($C$19:$C1178,$C1178,$G$19:$G1178),"")</f>
        <v>81211.819999998</v>
      </c>
      <c r="I1178" s="147"/>
      <c r="J1178" s="147"/>
      <c r="K1178" s="147" t="str">
        <f t="shared" si="18"/>
        <v/>
      </c>
      <c r="L1178" s="40"/>
      <c r="M1178"/>
      <c r="N1178"/>
      <c r="O1178"/>
      <c r="P1178"/>
      <c r="Q1178"/>
      <c r="R1178"/>
      <c r="S1178"/>
      <c r="T1178"/>
      <c r="U1178"/>
      <c r="V1178"/>
      <c r="W1178" s="41"/>
      <c r="X1178" s="41"/>
      <c r="Y1178" s="41"/>
    </row>
    <row r="1179" s="27" customFormat="1" ht="23" hidden="1" customHeight="1" spans="1:25">
      <c r="A1179" s="133" t="str">
        <f>IF(B1179="","",COUNTA($B$5:B1179))</f>
        <v/>
      </c>
      <c r="B1179" s="148"/>
      <c r="C1179" s="22" t="s">
        <v>49</v>
      </c>
      <c r="D1179" s="149"/>
      <c r="E1179" s="150"/>
      <c r="F1179" s="151"/>
      <c r="G1179" s="151"/>
      <c r="H1179" s="142">
        <f>IFERROR(VLOOKUP($C1179,$C$5:$H$18,6,0)+SUMIF($C$19:$C1179,$C1179,$F$19:$F1179)-SUMIF($C$19:$C1179,$C1179,$G$19:$G1179),"")</f>
        <v>81211.819999998</v>
      </c>
      <c r="I1179" s="147"/>
      <c r="J1179" s="147"/>
      <c r="K1179" s="147" t="str">
        <f t="shared" si="18"/>
        <v/>
      </c>
      <c r="L1179" s="40"/>
      <c r="M1179"/>
      <c r="N1179"/>
      <c r="O1179"/>
      <c r="P1179"/>
      <c r="Q1179"/>
      <c r="R1179"/>
      <c r="S1179"/>
      <c r="T1179"/>
      <c r="U1179"/>
      <c r="V1179"/>
      <c r="W1179" s="41"/>
      <c r="X1179" s="41"/>
      <c r="Y1179" s="41"/>
    </row>
    <row r="1180" s="27" customFormat="1" ht="23" hidden="1" customHeight="1" spans="1:25">
      <c r="A1180" s="133" t="str">
        <f>IF(B1180="","",COUNTA($B$5:B1180))</f>
        <v/>
      </c>
      <c r="B1180" s="148"/>
      <c r="C1180" s="22" t="s">
        <v>49</v>
      </c>
      <c r="D1180" s="149"/>
      <c r="E1180" s="150"/>
      <c r="F1180" s="151"/>
      <c r="G1180" s="151"/>
      <c r="H1180" s="142">
        <f>IFERROR(VLOOKUP($C1180,$C$5:$H$18,6,0)+SUMIF($C$19:$C1180,$C1180,$F$19:$F1180)-SUMIF($C$19:$C1180,$C1180,$G$19:$G1180),"")</f>
        <v>81211.819999998</v>
      </c>
      <c r="I1180" s="147"/>
      <c r="J1180" s="147"/>
      <c r="K1180" s="147" t="str">
        <f t="shared" si="18"/>
        <v/>
      </c>
      <c r="L1180" s="40"/>
      <c r="M1180"/>
      <c r="N1180"/>
      <c r="O1180"/>
      <c r="P1180"/>
      <c r="Q1180"/>
      <c r="R1180"/>
      <c r="S1180"/>
      <c r="T1180"/>
      <c r="U1180"/>
      <c r="V1180"/>
      <c r="W1180" s="41"/>
      <c r="X1180" s="41"/>
      <c r="Y1180" s="41"/>
    </row>
    <row r="1181" s="27" customFormat="1" ht="23" hidden="1" customHeight="1" spans="1:25">
      <c r="A1181" s="133" t="str">
        <f>IF(B1181="","",COUNTA($B$5:B1181))</f>
        <v/>
      </c>
      <c r="B1181" s="148"/>
      <c r="C1181" s="22" t="s">
        <v>49</v>
      </c>
      <c r="D1181" s="149"/>
      <c r="E1181" s="150"/>
      <c r="F1181" s="151"/>
      <c r="G1181" s="151"/>
      <c r="H1181" s="142">
        <f>IFERROR(VLOOKUP($C1181,$C$5:$H$18,6,0)+SUMIF($C$19:$C1181,$C1181,$F$19:$F1181)-SUMIF($C$19:$C1181,$C1181,$G$19:$G1181),"")</f>
        <v>81211.819999998</v>
      </c>
      <c r="I1181" s="147"/>
      <c r="J1181" s="147"/>
      <c r="K1181" s="147" t="str">
        <f t="shared" si="18"/>
        <v/>
      </c>
      <c r="L1181" s="40"/>
      <c r="M1181"/>
      <c r="N1181"/>
      <c r="O1181"/>
      <c r="P1181"/>
      <c r="Q1181"/>
      <c r="R1181"/>
      <c r="S1181"/>
      <c r="T1181"/>
      <c r="U1181"/>
      <c r="V1181"/>
      <c r="W1181" s="41"/>
      <c r="X1181" s="41"/>
      <c r="Y1181" s="41"/>
    </row>
    <row r="1182" s="27" customFormat="1" ht="23" hidden="1" customHeight="1" spans="1:25">
      <c r="A1182" s="133" t="str">
        <f>IF(B1182="","",COUNTA($B$5:B1182))</f>
        <v/>
      </c>
      <c r="B1182" s="148"/>
      <c r="C1182" s="22" t="s">
        <v>49</v>
      </c>
      <c r="D1182" s="149"/>
      <c r="E1182" s="150"/>
      <c r="F1182" s="151"/>
      <c r="G1182" s="151"/>
      <c r="H1182" s="142">
        <f>IFERROR(VLOOKUP($C1182,$C$5:$H$18,6,0)+SUMIF($C$19:$C1182,$C1182,$F$19:$F1182)-SUMIF($C$19:$C1182,$C1182,$G$19:$G1182),"")</f>
        <v>81211.819999998</v>
      </c>
      <c r="I1182" s="147"/>
      <c r="J1182" s="147"/>
      <c r="K1182" s="147" t="str">
        <f t="shared" si="18"/>
        <v/>
      </c>
      <c r="L1182" s="40"/>
      <c r="M1182"/>
      <c r="N1182"/>
      <c r="O1182"/>
      <c r="P1182"/>
      <c r="Q1182"/>
      <c r="R1182"/>
      <c r="S1182"/>
      <c r="T1182"/>
      <c r="U1182"/>
      <c r="V1182"/>
      <c r="W1182" s="41"/>
      <c r="X1182" s="41"/>
      <c r="Y1182" s="41"/>
    </row>
    <row r="1183" s="27" customFormat="1" ht="23" hidden="1" customHeight="1" spans="1:25">
      <c r="A1183" s="133" t="str">
        <f>IF(B1183="","",COUNTA($B$5:B1183))</f>
        <v/>
      </c>
      <c r="B1183" s="148"/>
      <c r="C1183" s="22" t="s">
        <v>49</v>
      </c>
      <c r="D1183" s="149"/>
      <c r="E1183" s="150"/>
      <c r="F1183" s="151"/>
      <c r="G1183" s="151"/>
      <c r="H1183" s="142">
        <f>IFERROR(VLOOKUP($C1183,$C$5:$H$18,6,0)+SUMIF($C$19:$C1183,$C1183,$F$19:$F1183)-SUMIF($C$19:$C1183,$C1183,$G$19:$G1183),"")</f>
        <v>81211.819999998</v>
      </c>
      <c r="I1183" s="147"/>
      <c r="J1183" s="147"/>
      <c r="K1183" s="147" t="str">
        <f t="shared" si="18"/>
        <v/>
      </c>
      <c r="L1183" s="40"/>
      <c r="M1183"/>
      <c r="N1183"/>
      <c r="O1183"/>
      <c r="P1183"/>
      <c r="Q1183"/>
      <c r="R1183"/>
      <c r="S1183"/>
      <c r="T1183"/>
      <c r="U1183"/>
      <c r="V1183"/>
      <c r="W1183" s="41"/>
      <c r="X1183" s="41"/>
      <c r="Y1183" s="41"/>
    </row>
    <row r="1184" s="27" customFormat="1" ht="23" hidden="1" customHeight="1" spans="1:25">
      <c r="A1184" s="133" t="str">
        <f>IF(B1184="","",COUNTA($B$5:B1184))</f>
        <v/>
      </c>
      <c r="B1184" s="148"/>
      <c r="C1184" s="22" t="s">
        <v>49</v>
      </c>
      <c r="D1184" s="149"/>
      <c r="E1184" s="150"/>
      <c r="F1184" s="151"/>
      <c r="G1184" s="151"/>
      <c r="H1184" s="142">
        <f>IFERROR(VLOOKUP($C1184,$C$5:$H$18,6,0)+SUMIF($C$19:$C1184,$C1184,$F$19:$F1184)-SUMIF($C$19:$C1184,$C1184,$G$19:$G1184),"")</f>
        <v>81211.819999998</v>
      </c>
      <c r="I1184" s="147"/>
      <c r="J1184" s="147"/>
      <c r="K1184" s="147" t="str">
        <f t="shared" si="18"/>
        <v/>
      </c>
      <c r="L1184" s="40"/>
      <c r="M1184"/>
      <c r="N1184"/>
      <c r="O1184"/>
      <c r="P1184"/>
      <c r="Q1184"/>
      <c r="R1184"/>
      <c r="S1184"/>
      <c r="T1184"/>
      <c r="U1184"/>
      <c r="V1184"/>
      <c r="W1184" s="41"/>
      <c r="X1184" s="41"/>
      <c r="Y1184" s="41"/>
    </row>
    <row r="1185" s="27" customFormat="1" ht="23" hidden="1" customHeight="1" spans="1:25">
      <c r="A1185" s="133" t="str">
        <f>IF(B1185="","",COUNTA($B$5:B1185))</f>
        <v/>
      </c>
      <c r="B1185" s="148"/>
      <c r="C1185" s="22" t="s">
        <v>49</v>
      </c>
      <c r="D1185" s="149"/>
      <c r="E1185" s="150"/>
      <c r="F1185" s="151"/>
      <c r="G1185" s="151"/>
      <c r="H1185" s="142">
        <f>IFERROR(VLOOKUP($C1185,$C$5:$H$18,6,0)+SUMIF($C$19:$C1185,$C1185,$F$19:$F1185)-SUMIF($C$19:$C1185,$C1185,$G$19:$G1185),"")</f>
        <v>81211.819999998</v>
      </c>
      <c r="I1185" s="147"/>
      <c r="J1185" s="147"/>
      <c r="K1185" s="147" t="str">
        <f t="shared" si="18"/>
        <v/>
      </c>
      <c r="L1185" s="40"/>
      <c r="M1185"/>
      <c r="N1185"/>
      <c r="O1185"/>
      <c r="P1185"/>
      <c r="Q1185"/>
      <c r="R1185"/>
      <c r="S1185"/>
      <c r="T1185"/>
      <c r="U1185"/>
      <c r="V1185"/>
      <c r="W1185" s="41"/>
      <c r="X1185" s="41"/>
      <c r="Y1185" s="41"/>
    </row>
    <row r="1186" s="27" customFormat="1" ht="23" hidden="1" customHeight="1" spans="1:25">
      <c r="A1186" s="133" t="str">
        <f>IF(B1186="","",COUNTA($B$5:B1186))</f>
        <v/>
      </c>
      <c r="B1186" s="148"/>
      <c r="C1186" s="22" t="s">
        <v>49</v>
      </c>
      <c r="D1186" s="149"/>
      <c r="E1186" s="150"/>
      <c r="F1186" s="151"/>
      <c r="G1186" s="151"/>
      <c r="H1186" s="142">
        <f>IFERROR(VLOOKUP($C1186,$C$5:$H$18,6,0)+SUMIF($C$19:$C1186,$C1186,$F$19:$F1186)-SUMIF($C$19:$C1186,$C1186,$G$19:$G1186),"")</f>
        <v>81211.819999998</v>
      </c>
      <c r="I1186" s="147"/>
      <c r="J1186" s="147"/>
      <c r="K1186" s="147" t="str">
        <f t="shared" si="18"/>
        <v/>
      </c>
      <c r="L1186" s="40"/>
      <c r="M1186"/>
      <c r="N1186"/>
      <c r="O1186"/>
      <c r="P1186"/>
      <c r="Q1186"/>
      <c r="R1186"/>
      <c r="S1186"/>
      <c r="T1186"/>
      <c r="U1186"/>
      <c r="V1186"/>
      <c r="W1186" s="41"/>
      <c r="X1186" s="41"/>
      <c r="Y1186" s="41"/>
    </row>
    <row r="1187" s="27" customFormat="1" ht="23" hidden="1" customHeight="1" spans="1:25">
      <c r="A1187" s="133" t="str">
        <f>IF(B1187="","",COUNTA($B$5:B1187))</f>
        <v/>
      </c>
      <c r="B1187" s="148"/>
      <c r="C1187" s="22" t="s">
        <v>49</v>
      </c>
      <c r="D1187" s="149"/>
      <c r="E1187" s="150"/>
      <c r="F1187" s="151"/>
      <c r="G1187" s="151"/>
      <c r="H1187" s="142">
        <f>IFERROR(VLOOKUP($C1187,$C$5:$H$18,6,0)+SUMIF($C$19:$C1187,$C1187,$F$19:$F1187)-SUMIF($C$19:$C1187,$C1187,$G$19:$G1187),"")</f>
        <v>81211.819999998</v>
      </c>
      <c r="I1187" s="147"/>
      <c r="J1187" s="147"/>
      <c r="K1187" s="147" t="str">
        <f t="shared" si="18"/>
        <v/>
      </c>
      <c r="L1187" s="40"/>
      <c r="M1187"/>
      <c r="N1187"/>
      <c r="O1187"/>
      <c r="P1187"/>
      <c r="Q1187"/>
      <c r="R1187"/>
      <c r="S1187"/>
      <c r="T1187"/>
      <c r="U1187"/>
      <c r="V1187"/>
      <c r="W1187" s="41"/>
      <c r="X1187" s="41"/>
      <c r="Y1187" s="41"/>
    </row>
    <row r="1188" s="27" customFormat="1" ht="23" hidden="1" customHeight="1" spans="1:25">
      <c r="A1188" s="133" t="str">
        <f>IF(B1188="","",COUNTA($B$5:B1188))</f>
        <v/>
      </c>
      <c r="B1188" s="148"/>
      <c r="C1188" s="22" t="s">
        <v>49</v>
      </c>
      <c r="D1188" s="149"/>
      <c r="E1188" s="150"/>
      <c r="F1188" s="151"/>
      <c r="G1188" s="151"/>
      <c r="H1188" s="142">
        <f>IFERROR(VLOOKUP($C1188,$C$5:$H$18,6,0)+SUMIF($C$19:$C1188,$C1188,$F$19:$F1188)-SUMIF($C$19:$C1188,$C1188,$G$19:$G1188),"")</f>
        <v>81211.819999998</v>
      </c>
      <c r="I1188" s="147"/>
      <c r="J1188" s="147"/>
      <c r="K1188" s="147" t="str">
        <f t="shared" si="18"/>
        <v/>
      </c>
      <c r="L1188" s="40"/>
      <c r="M1188"/>
      <c r="N1188"/>
      <c r="O1188"/>
      <c r="P1188"/>
      <c r="Q1188"/>
      <c r="R1188"/>
      <c r="S1188"/>
      <c r="T1188"/>
      <c r="U1188"/>
      <c r="V1188"/>
      <c r="W1188" s="41"/>
      <c r="X1188" s="41"/>
      <c r="Y1188" s="41"/>
    </row>
    <row r="1189" s="27" customFormat="1" ht="23" hidden="1" customHeight="1" spans="1:25">
      <c r="A1189" s="133" t="str">
        <f>IF(B1189="","",COUNTA($B$5:B1189))</f>
        <v/>
      </c>
      <c r="B1189" s="148"/>
      <c r="C1189" s="22" t="s">
        <v>49</v>
      </c>
      <c r="D1189" s="149"/>
      <c r="E1189" s="150"/>
      <c r="F1189" s="151"/>
      <c r="G1189" s="151"/>
      <c r="H1189" s="142">
        <f>IFERROR(VLOOKUP($C1189,$C$5:$H$18,6,0)+SUMIF($C$19:$C1189,$C1189,$F$19:$F1189)-SUMIF($C$19:$C1189,$C1189,$G$19:$G1189),"")</f>
        <v>81211.819999998</v>
      </c>
      <c r="I1189" s="147"/>
      <c r="J1189" s="147"/>
      <c r="K1189" s="147" t="str">
        <f t="shared" si="18"/>
        <v/>
      </c>
      <c r="L1189" s="40"/>
      <c r="M1189"/>
      <c r="N1189"/>
      <c r="O1189"/>
      <c r="P1189"/>
      <c r="Q1189"/>
      <c r="R1189"/>
      <c r="S1189"/>
      <c r="T1189"/>
      <c r="U1189"/>
      <c r="V1189"/>
      <c r="W1189" s="41"/>
      <c r="X1189" s="41"/>
      <c r="Y1189" s="41"/>
    </row>
    <row r="1190" s="27" customFormat="1" ht="23" hidden="1" customHeight="1" spans="1:25">
      <c r="A1190" s="133" t="str">
        <f>IF(B1190="","",COUNTA($B$5:B1190))</f>
        <v/>
      </c>
      <c r="B1190" s="148"/>
      <c r="C1190" s="22" t="s">
        <v>49</v>
      </c>
      <c r="D1190" s="149"/>
      <c r="E1190" s="150"/>
      <c r="F1190" s="151"/>
      <c r="G1190" s="151"/>
      <c r="H1190" s="142">
        <f>IFERROR(VLOOKUP($C1190,$C$5:$H$18,6,0)+SUMIF($C$19:$C1190,$C1190,$F$19:$F1190)-SUMIF($C$19:$C1190,$C1190,$G$19:$G1190),"")</f>
        <v>81211.819999998</v>
      </c>
      <c r="I1190" s="147"/>
      <c r="J1190" s="147"/>
      <c r="K1190" s="147" t="str">
        <f t="shared" si="18"/>
        <v/>
      </c>
      <c r="L1190" s="40"/>
      <c r="M1190"/>
      <c r="N1190"/>
      <c r="O1190"/>
      <c r="P1190"/>
      <c r="Q1190"/>
      <c r="R1190"/>
      <c r="S1190"/>
      <c r="T1190"/>
      <c r="U1190"/>
      <c r="V1190"/>
      <c r="W1190" s="41"/>
      <c r="X1190" s="41"/>
      <c r="Y1190" s="41"/>
    </row>
    <row r="1191" s="27" customFormat="1" ht="23" hidden="1" customHeight="1" spans="1:25">
      <c r="A1191" s="133" t="str">
        <f>IF(B1191="","",COUNTA($B$5:B1191))</f>
        <v/>
      </c>
      <c r="B1191" s="148"/>
      <c r="C1191" s="22" t="s">
        <v>49</v>
      </c>
      <c r="D1191" s="149"/>
      <c r="E1191" s="150"/>
      <c r="F1191" s="151"/>
      <c r="G1191" s="151"/>
      <c r="H1191" s="142">
        <f>IFERROR(VLOOKUP($C1191,$C$5:$H$18,6,0)+SUMIF($C$19:$C1191,$C1191,$F$19:$F1191)-SUMIF($C$19:$C1191,$C1191,$G$19:$G1191),"")</f>
        <v>81211.819999998</v>
      </c>
      <c r="I1191" s="147"/>
      <c r="J1191" s="147"/>
      <c r="K1191" s="147" t="str">
        <f t="shared" si="18"/>
        <v/>
      </c>
      <c r="L1191" s="40"/>
      <c r="M1191"/>
      <c r="N1191"/>
      <c r="O1191"/>
      <c r="P1191"/>
      <c r="Q1191"/>
      <c r="R1191"/>
      <c r="S1191"/>
      <c r="T1191"/>
      <c r="U1191"/>
      <c r="V1191"/>
      <c r="W1191" s="41"/>
      <c r="X1191" s="41"/>
      <c r="Y1191" s="41"/>
    </row>
    <row r="1192" s="27" customFormat="1" ht="23" hidden="1" customHeight="1" spans="1:25">
      <c r="A1192" s="133" t="str">
        <f>IF(B1192="","",COUNTA($B$5:B1192))</f>
        <v/>
      </c>
      <c r="B1192" s="148"/>
      <c r="C1192" s="22" t="s">
        <v>49</v>
      </c>
      <c r="D1192" s="149"/>
      <c r="E1192" s="150"/>
      <c r="F1192" s="151"/>
      <c r="G1192" s="151"/>
      <c r="H1192" s="142">
        <f>IFERROR(VLOOKUP($C1192,$C$5:$H$18,6,0)+SUMIF($C$19:$C1192,$C1192,$F$19:$F1192)-SUMIF($C$19:$C1192,$C1192,$G$19:$G1192),"")</f>
        <v>81211.819999998</v>
      </c>
      <c r="I1192" s="147"/>
      <c r="J1192" s="147"/>
      <c r="K1192" s="147" t="str">
        <f t="shared" si="18"/>
        <v/>
      </c>
      <c r="L1192" s="40"/>
      <c r="M1192"/>
      <c r="N1192"/>
      <c r="O1192"/>
      <c r="P1192"/>
      <c r="Q1192"/>
      <c r="R1192"/>
      <c r="S1192"/>
      <c r="T1192"/>
      <c r="U1192"/>
      <c r="V1192"/>
      <c r="W1192" s="41"/>
      <c r="X1192" s="41"/>
      <c r="Y1192" s="41"/>
    </row>
    <row r="1193" s="27" customFormat="1" ht="23" hidden="1" customHeight="1" spans="1:25">
      <c r="A1193" s="133" t="str">
        <f>IF(B1193="","",COUNTA($B$5:B1193))</f>
        <v/>
      </c>
      <c r="B1193" s="148"/>
      <c r="C1193" s="22" t="s">
        <v>49</v>
      </c>
      <c r="D1193" s="149"/>
      <c r="E1193" s="150"/>
      <c r="F1193" s="151"/>
      <c r="G1193" s="151"/>
      <c r="H1193" s="142">
        <f>IFERROR(VLOOKUP($C1193,$C$5:$H$18,6,0)+SUMIF($C$19:$C1193,$C1193,$F$19:$F1193)-SUMIF($C$19:$C1193,$C1193,$G$19:$G1193),"")</f>
        <v>81211.819999998</v>
      </c>
      <c r="I1193" s="147"/>
      <c r="J1193" s="147"/>
      <c r="K1193" s="147" t="str">
        <f t="shared" si="18"/>
        <v/>
      </c>
      <c r="L1193" s="40"/>
      <c r="M1193"/>
      <c r="N1193"/>
      <c r="O1193"/>
      <c r="P1193"/>
      <c r="Q1193"/>
      <c r="R1193"/>
      <c r="S1193"/>
      <c r="T1193"/>
      <c r="U1193"/>
      <c r="V1193"/>
      <c r="W1193" s="41"/>
      <c r="X1193" s="41"/>
      <c r="Y1193" s="41"/>
    </row>
    <row r="1194" s="27" customFormat="1" ht="23" hidden="1" customHeight="1" spans="1:25">
      <c r="A1194" s="133" t="str">
        <f>IF(B1194="","",COUNTA($B$5:B1194))</f>
        <v/>
      </c>
      <c r="B1194" s="148"/>
      <c r="C1194" s="22" t="s">
        <v>49</v>
      </c>
      <c r="D1194" s="149"/>
      <c r="E1194" s="150"/>
      <c r="F1194" s="151"/>
      <c r="G1194" s="151"/>
      <c r="H1194" s="142">
        <f>IFERROR(VLOOKUP($C1194,$C$5:$H$18,6,0)+SUMIF($C$19:$C1194,$C1194,$F$19:$F1194)-SUMIF($C$19:$C1194,$C1194,$G$19:$G1194),"")</f>
        <v>81211.819999998</v>
      </c>
      <c r="I1194" s="147"/>
      <c r="J1194" s="147"/>
      <c r="K1194" s="147" t="str">
        <f t="shared" si="18"/>
        <v/>
      </c>
      <c r="L1194" s="40"/>
      <c r="M1194"/>
      <c r="N1194"/>
      <c r="O1194"/>
      <c r="P1194"/>
      <c r="Q1194"/>
      <c r="R1194"/>
      <c r="S1194"/>
      <c r="T1194"/>
      <c r="U1194"/>
      <c r="V1194"/>
      <c r="W1194" s="41"/>
      <c r="X1194" s="41"/>
      <c r="Y1194" s="41"/>
    </row>
    <row r="1195" s="27" customFormat="1" ht="23" hidden="1" customHeight="1" spans="1:25">
      <c r="A1195" s="133" t="str">
        <f>IF(B1195="","",COUNTA($B$5:B1195))</f>
        <v/>
      </c>
      <c r="B1195" s="148"/>
      <c r="C1195" s="22" t="s">
        <v>49</v>
      </c>
      <c r="D1195" s="149"/>
      <c r="E1195" s="150"/>
      <c r="F1195" s="151"/>
      <c r="G1195" s="151"/>
      <c r="H1195" s="142">
        <f>IFERROR(VLOOKUP($C1195,$C$5:$H$18,6,0)+SUMIF($C$19:$C1195,$C1195,$F$19:$F1195)-SUMIF($C$19:$C1195,$C1195,$G$19:$G1195),"")</f>
        <v>81211.819999998</v>
      </c>
      <c r="I1195" s="147"/>
      <c r="J1195" s="147"/>
      <c r="K1195" s="147" t="str">
        <f t="shared" si="18"/>
        <v/>
      </c>
      <c r="L1195" s="40"/>
      <c r="M1195"/>
      <c r="N1195"/>
      <c r="O1195"/>
      <c r="P1195"/>
      <c r="Q1195"/>
      <c r="R1195"/>
      <c r="S1195"/>
      <c r="T1195"/>
      <c r="U1195"/>
      <c r="V1195"/>
      <c r="W1195" s="41"/>
      <c r="X1195" s="41"/>
      <c r="Y1195" s="41"/>
    </row>
    <row r="1196" s="27" customFormat="1" ht="23" hidden="1" customHeight="1" spans="1:25">
      <c r="A1196" s="133" t="str">
        <f>IF(B1196="","",COUNTA($B$5:B1196))</f>
        <v/>
      </c>
      <c r="B1196" s="148"/>
      <c r="C1196" s="22" t="s">
        <v>49</v>
      </c>
      <c r="D1196" s="149"/>
      <c r="E1196" s="150"/>
      <c r="F1196" s="151"/>
      <c r="G1196" s="151"/>
      <c r="H1196" s="142">
        <f>IFERROR(VLOOKUP($C1196,$C$5:$H$18,6,0)+SUMIF($C$19:$C1196,$C1196,$F$19:$F1196)-SUMIF($C$19:$C1196,$C1196,$G$19:$G1196),"")</f>
        <v>81211.819999998</v>
      </c>
      <c r="I1196" s="147"/>
      <c r="J1196" s="147"/>
      <c r="K1196" s="147" t="str">
        <f t="shared" si="18"/>
        <v/>
      </c>
      <c r="L1196" s="40"/>
      <c r="M1196"/>
      <c r="N1196"/>
      <c r="O1196"/>
      <c r="P1196"/>
      <c r="Q1196"/>
      <c r="R1196"/>
      <c r="S1196"/>
      <c r="T1196"/>
      <c r="U1196"/>
      <c r="V1196"/>
      <c r="W1196" s="41"/>
      <c r="X1196" s="41"/>
      <c r="Y1196" s="41"/>
    </row>
    <row r="1197" s="27" customFormat="1" ht="23" hidden="1" customHeight="1" spans="1:25">
      <c r="A1197" s="133" t="str">
        <f>IF(B1197="","",COUNTA($B$5:B1197))</f>
        <v/>
      </c>
      <c r="B1197" s="148"/>
      <c r="C1197" s="22" t="s">
        <v>49</v>
      </c>
      <c r="D1197" s="149"/>
      <c r="E1197" s="150"/>
      <c r="F1197" s="151"/>
      <c r="G1197" s="151"/>
      <c r="H1197" s="142">
        <f>IFERROR(VLOOKUP($C1197,$C$5:$H$18,6,0)+SUMIF($C$19:$C1197,$C1197,$F$19:$F1197)-SUMIF($C$19:$C1197,$C1197,$G$19:$G1197),"")</f>
        <v>81211.819999998</v>
      </c>
      <c r="I1197" s="147"/>
      <c r="J1197" s="147"/>
      <c r="K1197" s="147" t="str">
        <f t="shared" si="18"/>
        <v/>
      </c>
      <c r="L1197" s="40"/>
      <c r="M1197"/>
      <c r="N1197"/>
      <c r="O1197"/>
      <c r="P1197"/>
      <c r="Q1197"/>
      <c r="R1197"/>
      <c r="S1197"/>
      <c r="T1197"/>
      <c r="U1197"/>
      <c r="V1197"/>
      <c r="W1197" s="41"/>
      <c r="X1197" s="41"/>
      <c r="Y1197" s="41"/>
    </row>
    <row r="1198" s="27" customFormat="1" ht="23" hidden="1" customHeight="1" spans="1:25">
      <c r="A1198" s="133" t="str">
        <f>IF(B1198="","",COUNTA($B$5:B1198))</f>
        <v/>
      </c>
      <c r="B1198" s="148"/>
      <c r="C1198" s="22" t="s">
        <v>49</v>
      </c>
      <c r="D1198" s="149"/>
      <c r="E1198" s="150"/>
      <c r="F1198" s="151"/>
      <c r="G1198" s="151"/>
      <c r="H1198" s="142">
        <f>IFERROR(VLOOKUP($C1198,$C$5:$H$18,6,0)+SUMIF($C$19:$C1198,$C1198,$F$19:$F1198)-SUMIF($C$19:$C1198,$C1198,$G$19:$G1198),"")</f>
        <v>81211.819999998</v>
      </c>
      <c r="I1198" s="147"/>
      <c r="J1198" s="147"/>
      <c r="K1198" s="147" t="str">
        <f t="shared" si="18"/>
        <v/>
      </c>
      <c r="L1198" s="40"/>
      <c r="M1198"/>
      <c r="N1198"/>
      <c r="O1198"/>
      <c r="P1198"/>
      <c r="Q1198"/>
      <c r="R1198"/>
      <c r="S1198"/>
      <c r="T1198"/>
      <c r="U1198"/>
      <c r="V1198"/>
      <c r="W1198" s="41"/>
      <c r="X1198" s="41"/>
      <c r="Y1198" s="41"/>
    </row>
    <row r="1199" s="27" customFormat="1" ht="23" hidden="1" customHeight="1" spans="1:25">
      <c r="A1199" s="133" t="str">
        <f>IF(B1199="","",COUNTA($B$5:B1199))</f>
        <v/>
      </c>
      <c r="B1199" s="148"/>
      <c r="C1199" s="22" t="s">
        <v>49</v>
      </c>
      <c r="D1199" s="149"/>
      <c r="E1199" s="150"/>
      <c r="F1199" s="151"/>
      <c r="G1199" s="151"/>
      <c r="H1199" s="142">
        <f>IFERROR(VLOOKUP($C1199,$C$5:$H$18,6,0)+SUMIF($C$19:$C1199,$C1199,$F$19:$F1199)-SUMIF($C$19:$C1199,$C1199,$G$19:$G1199),"")</f>
        <v>81211.819999998</v>
      </c>
      <c r="I1199" s="147"/>
      <c r="J1199" s="147"/>
      <c r="K1199" s="147" t="str">
        <f t="shared" si="18"/>
        <v/>
      </c>
      <c r="L1199" s="40"/>
      <c r="M1199"/>
      <c r="N1199"/>
      <c r="O1199"/>
      <c r="P1199"/>
      <c r="Q1199"/>
      <c r="R1199"/>
      <c r="S1199"/>
      <c r="T1199"/>
      <c r="U1199"/>
      <c r="V1199"/>
      <c r="W1199" s="41"/>
      <c r="X1199" s="41"/>
      <c r="Y1199" s="41"/>
    </row>
    <row r="1200" s="27" customFormat="1" ht="23" hidden="1" customHeight="1" spans="1:25">
      <c r="A1200" s="133" t="str">
        <f>IF(B1200="","",COUNTA($B$5:B1200))</f>
        <v/>
      </c>
      <c r="B1200" s="148"/>
      <c r="C1200" s="22" t="s">
        <v>49</v>
      </c>
      <c r="D1200" s="149"/>
      <c r="E1200" s="150"/>
      <c r="F1200" s="151"/>
      <c r="G1200" s="151"/>
      <c r="H1200" s="142">
        <f>IFERROR(VLOOKUP($C1200,$C$5:$H$18,6,0)+SUMIF($C$19:$C1200,$C1200,$F$19:$F1200)-SUMIF($C$19:$C1200,$C1200,$G$19:$G1200),"")</f>
        <v>81211.819999998</v>
      </c>
      <c r="I1200" s="147"/>
      <c r="J1200" s="147"/>
      <c r="K1200" s="147" t="str">
        <f t="shared" si="18"/>
        <v/>
      </c>
      <c r="L1200" s="40"/>
      <c r="M1200"/>
      <c r="N1200"/>
      <c r="O1200"/>
      <c r="P1200"/>
      <c r="Q1200"/>
      <c r="R1200"/>
      <c r="S1200"/>
      <c r="T1200"/>
      <c r="U1200"/>
      <c r="V1200"/>
      <c r="W1200" s="41"/>
      <c r="X1200" s="41"/>
      <c r="Y1200" s="41"/>
    </row>
    <row r="1201" s="27" customFormat="1" ht="23" hidden="1" customHeight="1" spans="1:25">
      <c r="A1201" s="133" t="str">
        <f>IF(B1201="","",COUNTA($B$5:B1201))</f>
        <v/>
      </c>
      <c r="B1201" s="148"/>
      <c r="C1201" s="22" t="s">
        <v>49</v>
      </c>
      <c r="D1201" s="149"/>
      <c r="E1201" s="150"/>
      <c r="F1201" s="151"/>
      <c r="G1201" s="151"/>
      <c r="H1201" s="142">
        <f>IFERROR(VLOOKUP($C1201,$C$5:$H$18,6,0)+SUMIF($C$19:$C1201,$C1201,$F$19:$F1201)-SUMIF($C$19:$C1201,$C1201,$G$19:$G1201),"")</f>
        <v>81211.819999998</v>
      </c>
      <c r="I1201" s="147"/>
      <c r="J1201" s="147"/>
      <c r="K1201" s="147" t="str">
        <f t="shared" si="18"/>
        <v/>
      </c>
      <c r="L1201" s="40"/>
      <c r="M1201"/>
      <c r="N1201"/>
      <c r="O1201"/>
      <c r="P1201"/>
      <c r="Q1201"/>
      <c r="R1201"/>
      <c r="S1201"/>
      <c r="T1201"/>
      <c r="U1201"/>
      <c r="V1201"/>
      <c r="W1201" s="41"/>
      <c r="X1201" s="41"/>
      <c r="Y1201" s="41"/>
    </row>
    <row r="1202" s="27" customFormat="1" ht="23" hidden="1" customHeight="1" spans="1:25">
      <c r="A1202" s="133" t="str">
        <f>IF(B1202="","",COUNTA($B$5:B1202))</f>
        <v/>
      </c>
      <c r="B1202" s="148"/>
      <c r="C1202" s="22" t="s">
        <v>49</v>
      </c>
      <c r="D1202" s="149"/>
      <c r="E1202" s="150"/>
      <c r="F1202" s="151"/>
      <c r="G1202" s="151"/>
      <c r="H1202" s="142">
        <f>IFERROR(VLOOKUP($C1202,$C$5:$H$18,6,0)+SUMIF($C$19:$C1202,$C1202,$F$19:$F1202)-SUMIF($C$19:$C1202,$C1202,$G$19:$G1202),"")</f>
        <v>81211.819999998</v>
      </c>
      <c r="I1202" s="147"/>
      <c r="J1202" s="147"/>
      <c r="K1202" s="147" t="str">
        <f t="shared" si="18"/>
        <v/>
      </c>
      <c r="L1202" s="40"/>
      <c r="M1202"/>
      <c r="N1202"/>
      <c r="O1202"/>
      <c r="P1202"/>
      <c r="Q1202"/>
      <c r="R1202"/>
      <c r="S1202"/>
      <c r="T1202"/>
      <c r="U1202"/>
      <c r="V1202"/>
      <c r="W1202" s="41"/>
      <c r="X1202" s="41"/>
      <c r="Y1202" s="41"/>
    </row>
    <row r="1203" s="27" customFormat="1" ht="23" hidden="1" customHeight="1" spans="1:25">
      <c r="A1203" s="133" t="str">
        <f>IF(B1203="","",COUNTA($B$5:B1203))</f>
        <v/>
      </c>
      <c r="B1203" s="148"/>
      <c r="C1203" s="22" t="s">
        <v>49</v>
      </c>
      <c r="D1203" s="149"/>
      <c r="E1203" s="150"/>
      <c r="F1203" s="151"/>
      <c r="G1203" s="151"/>
      <c r="H1203" s="142">
        <f>IFERROR(VLOOKUP($C1203,$C$5:$H$18,6,0)+SUMIF($C$19:$C1203,$C1203,$F$19:$F1203)-SUMIF($C$19:$C1203,$C1203,$G$19:$G1203),"")</f>
        <v>81211.819999998</v>
      </c>
      <c r="I1203" s="147"/>
      <c r="J1203" s="147"/>
      <c r="K1203" s="147" t="str">
        <f t="shared" si="18"/>
        <v/>
      </c>
      <c r="L1203" s="40"/>
      <c r="M1203"/>
      <c r="N1203"/>
      <c r="O1203"/>
      <c r="P1203"/>
      <c r="Q1203"/>
      <c r="R1203"/>
      <c r="S1203"/>
      <c r="T1203"/>
      <c r="U1203"/>
      <c r="V1203"/>
      <c r="W1203" s="41"/>
      <c r="X1203" s="41"/>
      <c r="Y1203" s="41"/>
    </row>
    <row r="1204" s="27" customFormat="1" ht="23" hidden="1" customHeight="1" spans="1:25">
      <c r="A1204" s="133" t="str">
        <f>IF(B1204="","",COUNTA($B$5:B1204))</f>
        <v/>
      </c>
      <c r="B1204" s="148"/>
      <c r="C1204" s="22" t="s">
        <v>49</v>
      </c>
      <c r="D1204" s="149"/>
      <c r="E1204" s="150"/>
      <c r="F1204" s="151"/>
      <c r="G1204" s="151"/>
      <c r="H1204" s="142">
        <f>IFERROR(VLOOKUP($C1204,$C$5:$H$18,6,0)+SUMIF($C$19:$C1204,$C1204,$F$19:$F1204)-SUMIF($C$19:$C1204,$C1204,$G$19:$G1204),"")</f>
        <v>81211.819999998</v>
      </c>
      <c r="I1204" s="147"/>
      <c r="J1204" s="147"/>
      <c r="K1204" s="147" t="str">
        <f t="shared" si="18"/>
        <v/>
      </c>
      <c r="L1204" s="40"/>
      <c r="M1204"/>
      <c r="N1204"/>
      <c r="O1204"/>
      <c r="P1204"/>
      <c r="Q1204"/>
      <c r="R1204"/>
      <c r="S1204"/>
      <c r="T1204"/>
      <c r="U1204"/>
      <c r="V1204"/>
      <c r="W1204" s="41"/>
      <c r="X1204" s="41"/>
      <c r="Y1204" s="41"/>
    </row>
    <row r="1205" s="27" customFormat="1" ht="23" hidden="1" customHeight="1" spans="1:25">
      <c r="A1205" s="133" t="str">
        <f>IF(B1205="","",COUNTA($B$5:B1205))</f>
        <v/>
      </c>
      <c r="B1205" s="148"/>
      <c r="C1205" s="22" t="s">
        <v>49</v>
      </c>
      <c r="D1205" s="149"/>
      <c r="E1205" s="150"/>
      <c r="F1205" s="151"/>
      <c r="G1205" s="151"/>
      <c r="H1205" s="142">
        <f>IFERROR(VLOOKUP($C1205,$C$5:$H$18,6,0)+SUMIF($C$19:$C1205,$C1205,$F$19:$F1205)-SUMIF($C$19:$C1205,$C1205,$G$19:$G1205),"")</f>
        <v>81211.819999998</v>
      </c>
      <c r="I1205" s="147"/>
      <c r="J1205" s="147"/>
      <c r="K1205" s="147" t="str">
        <f t="shared" si="18"/>
        <v/>
      </c>
      <c r="L1205" s="40"/>
      <c r="M1205"/>
      <c r="N1205"/>
      <c r="O1205"/>
      <c r="P1205"/>
      <c r="Q1205"/>
      <c r="R1205"/>
      <c r="S1205"/>
      <c r="T1205"/>
      <c r="U1205"/>
      <c r="V1205"/>
      <c r="W1205" s="41"/>
      <c r="X1205" s="41"/>
      <c r="Y1205" s="41"/>
    </row>
    <row r="1206" s="27" customFormat="1" ht="23" hidden="1" customHeight="1" spans="1:25">
      <c r="A1206" s="133" t="str">
        <f>IF(B1206="","",COUNTA($B$5:B1206))</f>
        <v/>
      </c>
      <c r="B1206" s="148"/>
      <c r="C1206" s="22" t="s">
        <v>49</v>
      </c>
      <c r="D1206" s="149"/>
      <c r="E1206" s="150"/>
      <c r="F1206" s="151"/>
      <c r="G1206" s="151"/>
      <c r="H1206" s="142">
        <f>IFERROR(VLOOKUP($C1206,$C$5:$H$18,6,0)+SUMIF($C$19:$C1206,$C1206,$F$19:$F1206)-SUMIF($C$19:$C1206,$C1206,$G$19:$G1206),"")</f>
        <v>81211.819999998</v>
      </c>
      <c r="I1206" s="147"/>
      <c r="J1206" s="147"/>
      <c r="K1206" s="147" t="str">
        <f t="shared" si="18"/>
        <v/>
      </c>
      <c r="L1206" s="40"/>
      <c r="M1206"/>
      <c r="N1206"/>
      <c r="O1206"/>
      <c r="P1206"/>
      <c r="Q1206"/>
      <c r="R1206"/>
      <c r="S1206"/>
      <c r="T1206"/>
      <c r="U1206"/>
      <c r="V1206"/>
      <c r="W1206" s="41"/>
      <c r="X1206" s="41"/>
      <c r="Y1206" s="41"/>
    </row>
    <row r="1207" s="27" customFormat="1" ht="23" hidden="1" customHeight="1" spans="1:25">
      <c r="A1207" s="133" t="str">
        <f>IF(B1207="","",COUNTA($B$5:B1207))</f>
        <v/>
      </c>
      <c r="B1207" s="148"/>
      <c r="C1207" s="22" t="s">
        <v>49</v>
      </c>
      <c r="D1207" s="149"/>
      <c r="E1207" s="150"/>
      <c r="F1207" s="151"/>
      <c r="G1207" s="151"/>
      <c r="H1207" s="142">
        <f>IFERROR(VLOOKUP($C1207,$C$5:$H$18,6,0)+SUMIF($C$19:$C1207,$C1207,$F$19:$F1207)-SUMIF($C$19:$C1207,$C1207,$G$19:$G1207),"")</f>
        <v>81211.819999998</v>
      </c>
      <c r="I1207" s="147"/>
      <c r="J1207" s="147"/>
      <c r="K1207" s="147" t="str">
        <f t="shared" si="18"/>
        <v/>
      </c>
      <c r="L1207" s="40"/>
      <c r="M1207"/>
      <c r="N1207"/>
      <c r="O1207"/>
      <c r="P1207"/>
      <c r="Q1207"/>
      <c r="R1207"/>
      <c r="S1207"/>
      <c r="T1207"/>
      <c r="U1207"/>
      <c r="V1207"/>
      <c r="W1207" s="41"/>
      <c r="X1207" s="41"/>
      <c r="Y1207" s="41"/>
    </row>
    <row r="1208" s="27" customFormat="1" ht="23" hidden="1" customHeight="1" spans="1:25">
      <c r="A1208" s="133" t="str">
        <f>IF(B1208="","",COUNTA($B$5:B1208))</f>
        <v/>
      </c>
      <c r="B1208" s="148"/>
      <c r="C1208" s="22" t="s">
        <v>49</v>
      </c>
      <c r="D1208" s="149"/>
      <c r="E1208" s="150"/>
      <c r="F1208" s="151"/>
      <c r="G1208" s="151"/>
      <c r="H1208" s="142">
        <f>IFERROR(VLOOKUP($C1208,$C$5:$H$18,6,0)+SUMIF($C$19:$C1208,$C1208,$F$19:$F1208)-SUMIF($C$19:$C1208,$C1208,$G$19:$G1208),"")</f>
        <v>81211.819999998</v>
      </c>
      <c r="I1208" s="147"/>
      <c r="J1208" s="147"/>
      <c r="K1208" s="147" t="str">
        <f t="shared" si="18"/>
        <v/>
      </c>
      <c r="L1208" s="40"/>
      <c r="M1208"/>
      <c r="N1208"/>
      <c r="O1208"/>
      <c r="P1208"/>
      <c r="Q1208"/>
      <c r="R1208"/>
      <c r="S1208"/>
      <c r="T1208"/>
      <c r="U1208"/>
      <c r="V1208"/>
      <c r="W1208" s="41"/>
      <c r="X1208" s="41"/>
      <c r="Y1208" s="41"/>
    </row>
    <row r="1209" s="27" customFormat="1" ht="23" hidden="1" customHeight="1" spans="1:25">
      <c r="A1209" s="133" t="str">
        <f>IF(B1209="","",COUNTA($B$5:B1209))</f>
        <v/>
      </c>
      <c r="B1209" s="148"/>
      <c r="C1209" s="22" t="s">
        <v>49</v>
      </c>
      <c r="D1209" s="149"/>
      <c r="E1209" s="150"/>
      <c r="F1209" s="151"/>
      <c r="G1209" s="151"/>
      <c r="H1209" s="142">
        <f>IFERROR(VLOOKUP($C1209,$C$5:$H$18,6,0)+SUMIF($C$19:$C1209,$C1209,$F$19:$F1209)-SUMIF($C$19:$C1209,$C1209,$G$19:$G1209),"")</f>
        <v>81211.819999998</v>
      </c>
      <c r="I1209" s="147"/>
      <c r="J1209" s="147"/>
      <c r="K1209" s="147" t="str">
        <f t="shared" si="18"/>
        <v/>
      </c>
      <c r="L1209" s="40"/>
      <c r="M1209"/>
      <c r="N1209"/>
      <c r="O1209"/>
      <c r="P1209"/>
      <c r="Q1209"/>
      <c r="R1209"/>
      <c r="S1209"/>
      <c r="T1209"/>
      <c r="U1209"/>
      <c r="V1209"/>
      <c r="W1209" s="41"/>
      <c r="X1209" s="41"/>
      <c r="Y1209" s="41"/>
    </row>
    <row r="1210" s="27" customFormat="1" ht="23" hidden="1" customHeight="1" spans="1:25">
      <c r="A1210" s="133" t="str">
        <f>IF(B1210="","",COUNTA($B$5:B1210))</f>
        <v/>
      </c>
      <c r="B1210" s="148"/>
      <c r="C1210" s="22" t="s">
        <v>49</v>
      </c>
      <c r="D1210" s="149"/>
      <c r="E1210" s="150"/>
      <c r="F1210" s="151"/>
      <c r="G1210" s="151"/>
      <c r="H1210" s="142">
        <f>IFERROR(VLOOKUP($C1210,$C$5:$H$18,6,0)+SUMIF($C$19:$C1210,$C1210,$F$19:$F1210)-SUMIF($C$19:$C1210,$C1210,$G$19:$G1210),"")</f>
        <v>81211.819999998</v>
      </c>
      <c r="I1210" s="147"/>
      <c r="J1210" s="147"/>
      <c r="K1210" s="147" t="str">
        <f t="shared" si="18"/>
        <v/>
      </c>
      <c r="L1210" s="40"/>
      <c r="M1210"/>
      <c r="N1210"/>
      <c r="O1210"/>
      <c r="P1210"/>
      <c r="Q1210"/>
      <c r="R1210"/>
      <c r="S1210"/>
      <c r="T1210"/>
      <c r="U1210"/>
      <c r="V1210"/>
      <c r="W1210" s="41"/>
      <c r="X1210" s="41"/>
      <c r="Y1210" s="41"/>
    </row>
    <row r="1211" s="27" customFormat="1" ht="23" hidden="1" customHeight="1" spans="1:25">
      <c r="A1211" s="133" t="str">
        <f>IF(B1211="","",COUNTA($B$5:B1211))</f>
        <v/>
      </c>
      <c r="B1211" s="148"/>
      <c r="C1211" s="22" t="s">
        <v>49</v>
      </c>
      <c r="D1211" s="149"/>
      <c r="E1211" s="150"/>
      <c r="F1211" s="151"/>
      <c r="G1211" s="151"/>
      <c r="H1211" s="142">
        <f>IFERROR(VLOOKUP($C1211,$C$5:$H$18,6,0)+SUMIF($C$19:$C1211,$C1211,$F$19:$F1211)-SUMIF($C$19:$C1211,$C1211,$G$19:$G1211),"")</f>
        <v>81211.819999998</v>
      </c>
      <c r="I1211" s="147"/>
      <c r="J1211" s="147"/>
      <c r="K1211" s="147" t="str">
        <f t="shared" si="18"/>
        <v/>
      </c>
      <c r="L1211" s="40"/>
      <c r="M1211"/>
      <c r="N1211"/>
      <c r="O1211"/>
      <c r="P1211"/>
      <c r="Q1211"/>
      <c r="R1211"/>
      <c r="S1211"/>
      <c r="T1211"/>
      <c r="U1211"/>
      <c r="V1211"/>
      <c r="W1211" s="41"/>
      <c r="X1211" s="41"/>
      <c r="Y1211" s="41"/>
    </row>
    <row r="1212" s="27" customFormat="1" ht="23" hidden="1" customHeight="1" spans="1:25">
      <c r="A1212" s="133" t="str">
        <f>IF(B1212="","",COUNTA($B$5:B1212))</f>
        <v/>
      </c>
      <c r="B1212" s="148"/>
      <c r="C1212" s="22" t="s">
        <v>49</v>
      </c>
      <c r="D1212" s="149"/>
      <c r="E1212" s="150"/>
      <c r="F1212" s="151"/>
      <c r="G1212" s="151"/>
      <c r="H1212" s="142">
        <f>IFERROR(VLOOKUP($C1212,$C$5:$H$18,6,0)+SUMIF($C$19:$C1212,$C1212,$F$19:$F1212)-SUMIF($C$19:$C1212,$C1212,$G$19:$G1212),"")</f>
        <v>81211.819999998</v>
      </c>
      <c r="I1212" s="147"/>
      <c r="J1212" s="147"/>
      <c r="K1212" s="147" t="str">
        <f t="shared" si="18"/>
        <v/>
      </c>
      <c r="L1212" s="40"/>
      <c r="M1212"/>
      <c r="N1212"/>
      <c r="O1212"/>
      <c r="P1212"/>
      <c r="Q1212"/>
      <c r="R1212"/>
      <c r="S1212"/>
      <c r="T1212"/>
      <c r="U1212"/>
      <c r="V1212"/>
      <c r="W1212" s="41"/>
      <c r="X1212" s="41"/>
      <c r="Y1212" s="41"/>
    </row>
    <row r="1213" s="27" customFormat="1" ht="23" hidden="1" customHeight="1" spans="1:25">
      <c r="A1213" s="133" t="str">
        <f>IF(B1213="","",COUNTA($B$5:B1213))</f>
        <v/>
      </c>
      <c r="B1213" s="148"/>
      <c r="C1213" s="22" t="s">
        <v>49</v>
      </c>
      <c r="D1213" s="149"/>
      <c r="E1213" s="150"/>
      <c r="F1213" s="151"/>
      <c r="G1213" s="151"/>
      <c r="H1213" s="142">
        <f>IFERROR(VLOOKUP($C1213,$C$5:$H$18,6,0)+SUMIF($C$19:$C1213,$C1213,$F$19:$F1213)-SUMIF($C$19:$C1213,$C1213,$G$19:$G1213),"")</f>
        <v>81211.819999998</v>
      </c>
      <c r="I1213" s="147"/>
      <c r="J1213" s="147"/>
      <c r="K1213" s="147" t="str">
        <f t="shared" si="18"/>
        <v/>
      </c>
      <c r="L1213" s="40"/>
      <c r="M1213"/>
      <c r="N1213"/>
      <c r="O1213"/>
      <c r="P1213"/>
      <c r="Q1213"/>
      <c r="R1213"/>
      <c r="S1213"/>
      <c r="T1213"/>
      <c r="U1213"/>
      <c r="V1213"/>
      <c r="W1213" s="41"/>
      <c r="X1213" s="41"/>
      <c r="Y1213" s="41"/>
    </row>
    <row r="1214" s="27" customFormat="1" ht="23" hidden="1" customHeight="1" spans="1:25">
      <c r="A1214" s="133" t="str">
        <f>IF(B1214="","",COUNTA($B$5:B1214))</f>
        <v/>
      </c>
      <c r="B1214" s="148"/>
      <c r="C1214" s="22" t="s">
        <v>49</v>
      </c>
      <c r="D1214" s="149"/>
      <c r="E1214" s="150"/>
      <c r="F1214" s="151"/>
      <c r="G1214" s="151"/>
      <c r="H1214" s="142">
        <f>IFERROR(VLOOKUP($C1214,$C$5:$H$18,6,0)+SUMIF($C$19:$C1214,$C1214,$F$19:$F1214)-SUMIF($C$19:$C1214,$C1214,$G$19:$G1214),"")</f>
        <v>81211.819999998</v>
      </c>
      <c r="I1214" s="147"/>
      <c r="J1214" s="147"/>
      <c r="K1214" s="147" t="str">
        <f t="shared" si="18"/>
        <v/>
      </c>
      <c r="L1214" s="40"/>
      <c r="M1214"/>
      <c r="N1214"/>
      <c r="O1214"/>
      <c r="P1214"/>
      <c r="Q1214"/>
      <c r="R1214"/>
      <c r="S1214"/>
      <c r="T1214"/>
      <c r="U1214"/>
      <c r="V1214"/>
      <c r="W1214" s="41"/>
      <c r="X1214" s="41"/>
      <c r="Y1214" s="41"/>
    </row>
    <row r="1215" s="27" customFormat="1" ht="23" hidden="1" customHeight="1" spans="1:25">
      <c r="A1215" s="133" t="str">
        <f>IF(B1215="","",COUNTA($B$5:B1215))</f>
        <v/>
      </c>
      <c r="B1215" s="148"/>
      <c r="C1215" s="22" t="s">
        <v>49</v>
      </c>
      <c r="D1215" s="149"/>
      <c r="E1215" s="150"/>
      <c r="F1215" s="151"/>
      <c r="G1215" s="151"/>
      <c r="H1215" s="142">
        <f>IFERROR(VLOOKUP($C1215,$C$5:$H$18,6,0)+SUMIF($C$19:$C1215,$C1215,$F$19:$F1215)-SUMIF($C$19:$C1215,$C1215,$G$19:$G1215),"")</f>
        <v>81211.819999998</v>
      </c>
      <c r="I1215" s="147"/>
      <c r="J1215" s="147"/>
      <c r="K1215" s="147" t="str">
        <f t="shared" si="18"/>
        <v/>
      </c>
      <c r="L1215" s="40"/>
      <c r="M1215"/>
      <c r="N1215"/>
      <c r="O1215"/>
      <c r="P1215"/>
      <c r="Q1215"/>
      <c r="R1215"/>
      <c r="S1215"/>
      <c r="T1215"/>
      <c r="U1215"/>
      <c r="V1215"/>
      <c r="W1215" s="41"/>
      <c r="X1215" s="41"/>
      <c r="Y1215" s="41"/>
    </row>
    <row r="1216" s="27" customFormat="1" ht="23" hidden="1" customHeight="1" spans="1:25">
      <c r="A1216" s="133" t="str">
        <f>IF(B1216="","",COUNTA($B$5:B1216))</f>
        <v/>
      </c>
      <c r="B1216" s="148"/>
      <c r="C1216" s="22" t="s">
        <v>49</v>
      </c>
      <c r="D1216" s="149"/>
      <c r="E1216" s="150"/>
      <c r="F1216" s="151"/>
      <c r="G1216" s="151"/>
      <c r="H1216" s="142">
        <f>IFERROR(VLOOKUP($C1216,$C$5:$H$18,6,0)+SUMIF($C$19:$C1216,$C1216,$F$19:$F1216)-SUMIF($C$19:$C1216,$C1216,$G$19:$G1216),"")</f>
        <v>81211.819999998</v>
      </c>
      <c r="I1216" s="147"/>
      <c r="J1216" s="147"/>
      <c r="K1216" s="147" t="str">
        <f t="shared" si="18"/>
        <v/>
      </c>
      <c r="L1216" s="40"/>
      <c r="M1216"/>
      <c r="N1216"/>
      <c r="O1216"/>
      <c r="P1216"/>
      <c r="Q1216"/>
      <c r="R1216"/>
      <c r="S1216"/>
      <c r="T1216"/>
      <c r="U1216"/>
      <c r="V1216"/>
      <c r="W1216" s="41"/>
      <c r="X1216" s="41"/>
      <c r="Y1216" s="41"/>
    </row>
    <row r="1217" s="27" customFormat="1" ht="23" hidden="1" customHeight="1" spans="1:25">
      <c r="A1217" s="133" t="str">
        <f>IF(B1217="","",COUNTA($B$5:B1217))</f>
        <v/>
      </c>
      <c r="B1217" s="148"/>
      <c r="C1217" s="22" t="s">
        <v>49</v>
      </c>
      <c r="D1217" s="149"/>
      <c r="E1217" s="150"/>
      <c r="F1217" s="151"/>
      <c r="G1217" s="151"/>
      <c r="H1217" s="142">
        <f>IFERROR(VLOOKUP($C1217,$C$5:$H$18,6,0)+SUMIF($C$19:$C1217,$C1217,$F$19:$F1217)-SUMIF($C$19:$C1217,$C1217,$G$19:$G1217),"")</f>
        <v>81211.819999998</v>
      </c>
      <c r="I1217" s="147"/>
      <c r="J1217" s="147"/>
      <c r="K1217" s="147" t="str">
        <f t="shared" si="18"/>
        <v/>
      </c>
      <c r="L1217" s="40"/>
      <c r="M1217"/>
      <c r="N1217"/>
      <c r="O1217"/>
      <c r="P1217"/>
      <c r="Q1217"/>
      <c r="R1217"/>
      <c r="S1217"/>
      <c r="T1217"/>
      <c r="U1217"/>
      <c r="V1217"/>
      <c r="W1217" s="41"/>
      <c r="X1217" s="41"/>
      <c r="Y1217" s="41"/>
    </row>
    <row r="1218" s="27" customFormat="1" ht="23" hidden="1" customHeight="1" spans="1:25">
      <c r="A1218" s="133" t="str">
        <f>IF(B1218="","",COUNTA($B$5:B1218))</f>
        <v/>
      </c>
      <c r="B1218" s="148"/>
      <c r="C1218" s="22" t="s">
        <v>49</v>
      </c>
      <c r="D1218" s="149"/>
      <c r="E1218" s="150"/>
      <c r="F1218" s="151"/>
      <c r="G1218" s="151"/>
      <c r="H1218" s="142">
        <f>IFERROR(VLOOKUP($C1218,$C$5:$H$18,6,0)+SUMIF($C$19:$C1218,$C1218,$F$19:$F1218)-SUMIF($C$19:$C1218,$C1218,$G$19:$G1218),"")</f>
        <v>81211.819999998</v>
      </c>
      <c r="I1218" s="147"/>
      <c r="J1218" s="147"/>
      <c r="K1218" s="147" t="str">
        <f t="shared" si="18"/>
        <v/>
      </c>
      <c r="L1218" s="40"/>
      <c r="M1218"/>
      <c r="N1218"/>
      <c r="O1218"/>
      <c r="P1218"/>
      <c r="Q1218"/>
      <c r="R1218"/>
      <c r="S1218"/>
      <c r="T1218"/>
      <c r="U1218"/>
      <c r="V1218"/>
      <c r="W1218" s="41"/>
      <c r="X1218" s="41"/>
      <c r="Y1218" s="41"/>
    </row>
    <row r="1219" s="27" customFormat="1" ht="23" hidden="1" customHeight="1" spans="1:25">
      <c r="A1219" s="133" t="str">
        <f>IF(B1219="","",COUNTA($B$5:B1219))</f>
        <v/>
      </c>
      <c r="B1219" s="148"/>
      <c r="C1219" s="22" t="s">
        <v>49</v>
      </c>
      <c r="D1219" s="149"/>
      <c r="E1219" s="150"/>
      <c r="F1219" s="151"/>
      <c r="G1219" s="151"/>
      <c r="H1219" s="142">
        <f>IFERROR(VLOOKUP($C1219,$C$5:$H$18,6,0)+SUMIF($C$19:$C1219,$C1219,$F$19:$F1219)-SUMIF($C$19:$C1219,$C1219,$G$19:$G1219),"")</f>
        <v>81211.819999998</v>
      </c>
      <c r="I1219" s="147"/>
      <c r="J1219" s="147"/>
      <c r="K1219" s="147" t="str">
        <f t="shared" si="18"/>
        <v/>
      </c>
      <c r="L1219" s="40"/>
      <c r="M1219"/>
      <c r="N1219"/>
      <c r="O1219"/>
      <c r="P1219"/>
      <c r="Q1219"/>
      <c r="R1219"/>
      <c r="S1219"/>
      <c r="T1219"/>
      <c r="U1219"/>
      <c r="V1219"/>
      <c r="W1219" s="41"/>
      <c r="X1219" s="41"/>
      <c r="Y1219" s="41"/>
    </row>
    <row r="1220" s="27" customFormat="1" ht="23" hidden="1" customHeight="1" spans="1:25">
      <c r="A1220" s="133" t="str">
        <f>IF(B1220="","",COUNTA($B$5:B1220))</f>
        <v/>
      </c>
      <c r="B1220" s="148"/>
      <c r="C1220" s="22" t="s">
        <v>49</v>
      </c>
      <c r="D1220" s="149"/>
      <c r="E1220" s="150"/>
      <c r="F1220" s="151"/>
      <c r="G1220" s="151"/>
      <c r="H1220" s="142">
        <f>IFERROR(VLOOKUP($C1220,$C$5:$H$18,6,0)+SUMIF($C$19:$C1220,$C1220,$F$19:$F1220)-SUMIF($C$19:$C1220,$C1220,$G$19:$G1220),"")</f>
        <v>81211.819999998</v>
      </c>
      <c r="I1220" s="147"/>
      <c r="J1220" s="147"/>
      <c r="K1220" s="147" t="str">
        <f t="shared" si="18"/>
        <v/>
      </c>
      <c r="L1220" s="40"/>
      <c r="M1220"/>
      <c r="N1220"/>
      <c r="O1220"/>
      <c r="P1220"/>
      <c r="Q1220"/>
      <c r="R1220"/>
      <c r="S1220"/>
      <c r="T1220"/>
      <c r="U1220"/>
      <c r="V1220"/>
      <c r="W1220" s="41"/>
      <c r="X1220" s="41"/>
      <c r="Y1220" s="41"/>
    </row>
    <row r="1221" s="27" customFormat="1" ht="23" hidden="1" customHeight="1" spans="1:25">
      <c r="A1221" s="133" t="str">
        <f>IF(B1221="","",COUNTA($B$5:B1221))</f>
        <v/>
      </c>
      <c r="B1221" s="148"/>
      <c r="C1221" s="22" t="s">
        <v>49</v>
      </c>
      <c r="D1221" s="149"/>
      <c r="E1221" s="150"/>
      <c r="F1221" s="151"/>
      <c r="G1221" s="151"/>
      <c r="H1221" s="142">
        <f>IFERROR(VLOOKUP($C1221,$C$5:$H$18,6,0)+SUMIF($C$19:$C1221,$C1221,$F$19:$F1221)-SUMIF($C$19:$C1221,$C1221,$G$19:$G1221),"")</f>
        <v>81211.819999998</v>
      </c>
      <c r="I1221" s="147"/>
      <c r="J1221" s="147"/>
      <c r="K1221" s="147" t="str">
        <f t="shared" ref="K1221:K1284" si="19">IF($B1221="","",--TEXT($B1221,"yyyymm"))</f>
        <v/>
      </c>
      <c r="L1221" s="40"/>
      <c r="M1221"/>
      <c r="N1221"/>
      <c r="O1221"/>
      <c r="P1221"/>
      <c r="Q1221"/>
      <c r="R1221"/>
      <c r="S1221"/>
      <c r="T1221"/>
      <c r="U1221"/>
      <c r="V1221"/>
      <c r="W1221" s="41"/>
      <c r="X1221" s="41"/>
      <c r="Y1221" s="41"/>
    </row>
    <row r="1222" s="27" customFormat="1" ht="23" hidden="1" customHeight="1" spans="1:25">
      <c r="A1222" s="133" t="str">
        <f>IF(B1222="","",COUNTA($B$5:B1222))</f>
        <v/>
      </c>
      <c r="B1222" s="148"/>
      <c r="C1222" s="22" t="s">
        <v>49</v>
      </c>
      <c r="D1222" s="149"/>
      <c r="E1222" s="150"/>
      <c r="F1222" s="151"/>
      <c r="G1222" s="151"/>
      <c r="H1222" s="142">
        <f>IFERROR(VLOOKUP($C1222,$C$5:$H$18,6,0)+SUMIF($C$19:$C1222,$C1222,$F$19:$F1222)-SUMIF($C$19:$C1222,$C1222,$G$19:$G1222),"")</f>
        <v>81211.819999998</v>
      </c>
      <c r="I1222" s="147"/>
      <c r="J1222" s="147"/>
      <c r="K1222" s="147" t="str">
        <f t="shared" si="19"/>
        <v/>
      </c>
      <c r="L1222" s="40"/>
      <c r="M1222"/>
      <c r="N1222"/>
      <c r="O1222"/>
      <c r="P1222"/>
      <c r="Q1222"/>
      <c r="R1222"/>
      <c r="S1222"/>
      <c r="T1222"/>
      <c r="U1222"/>
      <c r="V1222"/>
      <c r="W1222" s="41"/>
      <c r="X1222" s="41"/>
      <c r="Y1222" s="41"/>
    </row>
    <row r="1223" s="27" customFormat="1" ht="23" hidden="1" customHeight="1" spans="1:25">
      <c r="A1223" s="133" t="str">
        <f>IF(B1223="","",COUNTA($B$5:B1223))</f>
        <v/>
      </c>
      <c r="B1223" s="148"/>
      <c r="C1223" s="22" t="s">
        <v>49</v>
      </c>
      <c r="D1223" s="149"/>
      <c r="E1223" s="150"/>
      <c r="F1223" s="151"/>
      <c r="G1223" s="151"/>
      <c r="H1223" s="142">
        <f>IFERROR(VLOOKUP($C1223,$C$5:$H$18,6,0)+SUMIF($C$19:$C1223,$C1223,$F$19:$F1223)-SUMIF($C$19:$C1223,$C1223,$G$19:$G1223),"")</f>
        <v>81211.819999998</v>
      </c>
      <c r="I1223" s="147"/>
      <c r="J1223" s="147"/>
      <c r="K1223" s="147" t="str">
        <f t="shared" si="19"/>
        <v/>
      </c>
      <c r="L1223" s="40"/>
      <c r="M1223"/>
      <c r="N1223"/>
      <c r="O1223"/>
      <c r="P1223"/>
      <c r="Q1223"/>
      <c r="R1223"/>
      <c r="S1223"/>
      <c r="T1223"/>
      <c r="U1223"/>
      <c r="V1223"/>
      <c r="W1223" s="41"/>
      <c r="X1223" s="41"/>
      <c r="Y1223" s="41"/>
    </row>
    <row r="1224" s="27" customFormat="1" ht="23" hidden="1" customHeight="1" spans="1:25">
      <c r="A1224" s="133" t="str">
        <f>IF(B1224="","",COUNTA($B$5:B1224))</f>
        <v/>
      </c>
      <c r="B1224" s="148"/>
      <c r="C1224" s="22" t="s">
        <v>49</v>
      </c>
      <c r="D1224" s="149"/>
      <c r="E1224" s="150"/>
      <c r="F1224" s="151"/>
      <c r="G1224" s="151"/>
      <c r="H1224" s="142">
        <f>IFERROR(VLOOKUP($C1224,$C$5:$H$18,6,0)+SUMIF($C$19:$C1224,$C1224,$F$19:$F1224)-SUMIF($C$19:$C1224,$C1224,$G$19:$G1224),"")</f>
        <v>81211.819999998</v>
      </c>
      <c r="I1224" s="147"/>
      <c r="J1224" s="147"/>
      <c r="K1224" s="147" t="str">
        <f t="shared" si="19"/>
        <v/>
      </c>
      <c r="L1224" s="40"/>
      <c r="M1224"/>
      <c r="N1224"/>
      <c r="O1224"/>
      <c r="P1224"/>
      <c r="Q1224"/>
      <c r="R1224"/>
      <c r="S1224"/>
      <c r="T1224"/>
      <c r="U1224"/>
      <c r="V1224"/>
      <c r="W1224" s="41"/>
      <c r="X1224" s="41"/>
      <c r="Y1224" s="41"/>
    </row>
    <row r="1225" s="27" customFormat="1" ht="23" hidden="1" customHeight="1" spans="1:25">
      <c r="A1225" s="133" t="str">
        <f>IF(B1225="","",COUNTA($B$5:B1225))</f>
        <v/>
      </c>
      <c r="B1225" s="148"/>
      <c r="C1225" s="22" t="s">
        <v>49</v>
      </c>
      <c r="D1225" s="149"/>
      <c r="E1225" s="150"/>
      <c r="F1225" s="151"/>
      <c r="G1225" s="151"/>
      <c r="H1225" s="142">
        <f>IFERROR(VLOOKUP($C1225,$C$5:$H$18,6,0)+SUMIF($C$19:$C1225,$C1225,$F$19:$F1225)-SUMIF($C$19:$C1225,$C1225,$G$19:$G1225),"")</f>
        <v>81211.819999998</v>
      </c>
      <c r="I1225" s="147"/>
      <c r="J1225" s="147"/>
      <c r="K1225" s="147" t="str">
        <f t="shared" si="19"/>
        <v/>
      </c>
      <c r="L1225" s="40"/>
      <c r="M1225"/>
      <c r="N1225"/>
      <c r="O1225"/>
      <c r="P1225"/>
      <c r="Q1225"/>
      <c r="R1225"/>
      <c r="S1225"/>
      <c r="T1225"/>
      <c r="U1225"/>
      <c r="V1225"/>
      <c r="W1225" s="41"/>
      <c r="X1225" s="41"/>
      <c r="Y1225" s="41"/>
    </row>
    <row r="1226" s="27" customFormat="1" ht="23" hidden="1" customHeight="1" spans="1:25">
      <c r="A1226" s="133" t="str">
        <f>IF(B1226="","",COUNTA($B$5:B1226))</f>
        <v/>
      </c>
      <c r="B1226" s="148"/>
      <c r="C1226" s="22" t="s">
        <v>49</v>
      </c>
      <c r="D1226" s="149"/>
      <c r="E1226" s="150"/>
      <c r="F1226" s="151"/>
      <c r="G1226" s="151"/>
      <c r="H1226" s="142">
        <f>IFERROR(VLOOKUP($C1226,$C$5:$H$18,6,0)+SUMIF($C$19:$C1226,$C1226,$F$19:$F1226)-SUMIF($C$19:$C1226,$C1226,$G$19:$G1226),"")</f>
        <v>81211.819999998</v>
      </c>
      <c r="I1226" s="147"/>
      <c r="J1226" s="147"/>
      <c r="K1226" s="147" t="str">
        <f t="shared" si="19"/>
        <v/>
      </c>
      <c r="L1226" s="40"/>
      <c r="M1226"/>
      <c r="N1226"/>
      <c r="O1226"/>
      <c r="P1226"/>
      <c r="Q1226"/>
      <c r="R1226"/>
      <c r="S1226"/>
      <c r="T1226"/>
      <c r="U1226"/>
      <c r="V1226"/>
      <c r="W1226" s="41"/>
      <c r="X1226" s="41"/>
      <c r="Y1226" s="41"/>
    </row>
    <row r="1227" s="27" customFormat="1" ht="23" hidden="1" customHeight="1" spans="1:25">
      <c r="A1227" s="133" t="str">
        <f>IF(B1227="","",COUNTA($B$5:B1227))</f>
        <v/>
      </c>
      <c r="B1227" s="148"/>
      <c r="C1227" s="22" t="s">
        <v>49</v>
      </c>
      <c r="D1227" s="149"/>
      <c r="E1227" s="150"/>
      <c r="F1227" s="151"/>
      <c r="G1227" s="151"/>
      <c r="H1227" s="142">
        <f>IFERROR(VLOOKUP($C1227,$C$5:$H$18,6,0)+SUMIF($C$19:$C1227,$C1227,$F$19:$F1227)-SUMIF($C$19:$C1227,$C1227,$G$19:$G1227),"")</f>
        <v>81211.819999998</v>
      </c>
      <c r="I1227" s="147"/>
      <c r="J1227" s="147"/>
      <c r="K1227" s="147" t="str">
        <f t="shared" si="19"/>
        <v/>
      </c>
      <c r="L1227" s="40"/>
      <c r="M1227"/>
      <c r="N1227"/>
      <c r="O1227"/>
      <c r="P1227"/>
      <c r="Q1227"/>
      <c r="R1227"/>
      <c r="S1227"/>
      <c r="T1227"/>
      <c r="U1227"/>
      <c r="V1227"/>
      <c r="W1227" s="41"/>
      <c r="X1227" s="41"/>
      <c r="Y1227" s="41"/>
    </row>
    <row r="1228" s="27" customFormat="1" ht="23" hidden="1" customHeight="1" spans="1:25">
      <c r="A1228" s="133" t="str">
        <f>IF(B1228="","",COUNTA($B$5:B1228))</f>
        <v/>
      </c>
      <c r="B1228" s="148"/>
      <c r="C1228" s="22" t="s">
        <v>49</v>
      </c>
      <c r="D1228" s="149"/>
      <c r="E1228" s="150"/>
      <c r="F1228" s="151"/>
      <c r="G1228" s="151"/>
      <c r="H1228" s="142">
        <f>IFERROR(VLOOKUP($C1228,$C$5:$H$18,6,0)+SUMIF($C$19:$C1228,$C1228,$F$19:$F1228)-SUMIF($C$19:$C1228,$C1228,$G$19:$G1228),"")</f>
        <v>81211.819999998</v>
      </c>
      <c r="I1228" s="147"/>
      <c r="J1228" s="147"/>
      <c r="K1228" s="147" t="str">
        <f t="shared" si="19"/>
        <v/>
      </c>
      <c r="L1228" s="40"/>
      <c r="M1228"/>
      <c r="N1228"/>
      <c r="O1228"/>
      <c r="P1228"/>
      <c r="Q1228"/>
      <c r="R1228"/>
      <c r="S1228"/>
      <c r="T1228"/>
      <c r="U1228"/>
      <c r="V1228"/>
      <c r="W1228" s="41"/>
      <c r="X1228" s="41"/>
      <c r="Y1228" s="41"/>
    </row>
    <row r="1229" s="27" customFormat="1" ht="23" hidden="1" customHeight="1" spans="1:25">
      <c r="A1229" s="133" t="str">
        <f>IF(B1229="","",COUNTA($B$5:B1229))</f>
        <v/>
      </c>
      <c r="B1229" s="148"/>
      <c r="C1229" s="22" t="s">
        <v>49</v>
      </c>
      <c r="D1229" s="149"/>
      <c r="E1229" s="150"/>
      <c r="F1229" s="151"/>
      <c r="G1229" s="151"/>
      <c r="H1229" s="142">
        <f>IFERROR(VLOOKUP($C1229,$C$5:$H$18,6,0)+SUMIF($C$19:$C1229,$C1229,$F$19:$F1229)-SUMIF($C$19:$C1229,$C1229,$G$19:$G1229),"")</f>
        <v>81211.819999998</v>
      </c>
      <c r="I1229" s="147"/>
      <c r="J1229" s="147"/>
      <c r="K1229" s="147" t="str">
        <f t="shared" si="19"/>
        <v/>
      </c>
      <c r="L1229" s="40"/>
      <c r="M1229"/>
      <c r="N1229"/>
      <c r="O1229"/>
      <c r="P1229"/>
      <c r="Q1229"/>
      <c r="R1229"/>
      <c r="S1229"/>
      <c r="T1229"/>
      <c r="U1229"/>
      <c r="V1229"/>
      <c r="W1229" s="41"/>
      <c r="X1229" s="41"/>
      <c r="Y1229" s="41"/>
    </row>
    <row r="1230" s="27" customFormat="1" ht="23" hidden="1" customHeight="1" spans="1:25">
      <c r="A1230" s="133" t="str">
        <f>IF(B1230="","",COUNTA($B$5:B1230))</f>
        <v/>
      </c>
      <c r="B1230" s="148"/>
      <c r="C1230" s="22" t="s">
        <v>49</v>
      </c>
      <c r="D1230" s="149"/>
      <c r="E1230" s="150"/>
      <c r="F1230" s="151"/>
      <c r="G1230" s="151"/>
      <c r="H1230" s="142">
        <f>IFERROR(VLOOKUP($C1230,$C$5:$H$18,6,0)+SUMIF($C$19:$C1230,$C1230,$F$19:$F1230)-SUMIF($C$19:$C1230,$C1230,$G$19:$G1230),"")</f>
        <v>81211.819999998</v>
      </c>
      <c r="I1230" s="147"/>
      <c r="J1230" s="147"/>
      <c r="K1230" s="147" t="str">
        <f t="shared" si="19"/>
        <v/>
      </c>
      <c r="L1230" s="40"/>
      <c r="M1230"/>
      <c r="N1230"/>
      <c r="O1230"/>
      <c r="P1230"/>
      <c r="Q1230"/>
      <c r="R1230"/>
      <c r="S1230"/>
      <c r="T1230"/>
      <c r="U1230"/>
      <c r="V1230"/>
      <c r="W1230" s="41"/>
      <c r="X1230" s="41"/>
      <c r="Y1230" s="41"/>
    </row>
    <row r="1231" s="27" customFormat="1" ht="23" hidden="1" customHeight="1" spans="1:25">
      <c r="A1231" s="133" t="str">
        <f>IF(B1231="","",COUNTA($B$5:B1231))</f>
        <v/>
      </c>
      <c r="B1231" s="148"/>
      <c r="C1231" s="22" t="s">
        <v>49</v>
      </c>
      <c r="D1231" s="149"/>
      <c r="E1231" s="150"/>
      <c r="F1231" s="151"/>
      <c r="G1231" s="151"/>
      <c r="H1231" s="142">
        <f>IFERROR(VLOOKUP($C1231,$C$5:$H$18,6,0)+SUMIF($C$19:$C1231,$C1231,$F$19:$F1231)-SUMIF($C$19:$C1231,$C1231,$G$19:$G1231),"")</f>
        <v>81211.819999998</v>
      </c>
      <c r="I1231" s="147"/>
      <c r="J1231" s="147"/>
      <c r="K1231" s="147" t="str">
        <f t="shared" si="19"/>
        <v/>
      </c>
      <c r="L1231" s="40"/>
      <c r="M1231"/>
      <c r="N1231"/>
      <c r="O1231"/>
      <c r="P1231"/>
      <c r="Q1231"/>
      <c r="R1231"/>
      <c r="S1231"/>
      <c r="T1231"/>
      <c r="U1231"/>
      <c r="V1231"/>
      <c r="W1231" s="41"/>
      <c r="X1231" s="41"/>
      <c r="Y1231" s="41"/>
    </row>
    <row r="1232" s="27" customFormat="1" ht="23" hidden="1" customHeight="1" spans="1:25">
      <c r="A1232" s="133" t="str">
        <f>IF(B1232="","",COUNTA($B$5:B1232))</f>
        <v/>
      </c>
      <c r="B1232" s="148"/>
      <c r="C1232" s="22" t="s">
        <v>49</v>
      </c>
      <c r="D1232" s="149"/>
      <c r="E1232" s="150"/>
      <c r="F1232" s="151"/>
      <c r="G1232" s="151"/>
      <c r="H1232" s="142">
        <f>IFERROR(VLOOKUP($C1232,$C$5:$H$18,6,0)+SUMIF($C$19:$C1232,$C1232,$F$19:$F1232)-SUMIF($C$19:$C1232,$C1232,$G$19:$G1232),"")</f>
        <v>81211.819999998</v>
      </c>
      <c r="I1232" s="147"/>
      <c r="J1232" s="147"/>
      <c r="K1232" s="147" t="str">
        <f t="shared" si="19"/>
        <v/>
      </c>
      <c r="L1232" s="40"/>
      <c r="M1232"/>
      <c r="N1232"/>
      <c r="O1232"/>
      <c r="P1232"/>
      <c r="Q1232"/>
      <c r="R1232"/>
      <c r="S1232"/>
      <c r="T1232"/>
      <c r="U1232"/>
      <c r="V1232"/>
      <c r="W1232" s="41"/>
      <c r="X1232" s="41"/>
      <c r="Y1232" s="41"/>
    </row>
    <row r="1233" s="27" customFormat="1" ht="23" hidden="1" customHeight="1" spans="1:25">
      <c r="A1233" s="133" t="str">
        <f>IF(B1233="","",COUNTA($B$5:B1233))</f>
        <v/>
      </c>
      <c r="B1233" s="148"/>
      <c r="C1233" s="22" t="s">
        <v>49</v>
      </c>
      <c r="D1233" s="149"/>
      <c r="E1233" s="150"/>
      <c r="F1233" s="151"/>
      <c r="G1233" s="151"/>
      <c r="H1233" s="142">
        <f>IFERROR(VLOOKUP($C1233,$C$5:$H$18,6,0)+SUMIF($C$19:$C1233,$C1233,$F$19:$F1233)-SUMIF($C$19:$C1233,$C1233,$G$19:$G1233),"")</f>
        <v>81211.819999998</v>
      </c>
      <c r="I1233" s="147"/>
      <c r="J1233" s="147"/>
      <c r="K1233" s="147" t="str">
        <f t="shared" si="19"/>
        <v/>
      </c>
      <c r="L1233" s="40"/>
      <c r="M1233"/>
      <c r="N1233"/>
      <c r="O1233"/>
      <c r="P1233"/>
      <c r="Q1233"/>
      <c r="R1233"/>
      <c r="S1233"/>
      <c r="T1233"/>
      <c r="U1233"/>
      <c r="V1233"/>
      <c r="W1233" s="41"/>
      <c r="X1233" s="41"/>
      <c r="Y1233" s="41"/>
    </row>
    <row r="1234" s="27" customFormat="1" ht="23" hidden="1" customHeight="1" spans="1:25">
      <c r="A1234" s="133" t="str">
        <f>IF(B1234="","",COUNTA($B$5:B1234))</f>
        <v/>
      </c>
      <c r="B1234" s="148"/>
      <c r="C1234" s="22" t="s">
        <v>49</v>
      </c>
      <c r="D1234" s="149"/>
      <c r="E1234" s="150"/>
      <c r="F1234" s="151"/>
      <c r="G1234" s="151"/>
      <c r="H1234" s="142">
        <f>IFERROR(VLOOKUP($C1234,$C$5:$H$18,6,0)+SUMIF($C$19:$C1234,$C1234,$F$19:$F1234)-SUMIF($C$19:$C1234,$C1234,$G$19:$G1234),"")</f>
        <v>81211.819999998</v>
      </c>
      <c r="I1234" s="147"/>
      <c r="J1234" s="147"/>
      <c r="K1234" s="147" t="str">
        <f t="shared" si="19"/>
        <v/>
      </c>
      <c r="L1234" s="40"/>
      <c r="M1234"/>
      <c r="N1234"/>
      <c r="O1234"/>
      <c r="P1234"/>
      <c r="Q1234"/>
      <c r="R1234"/>
      <c r="S1234"/>
      <c r="T1234"/>
      <c r="U1234"/>
      <c r="V1234"/>
      <c r="W1234" s="41"/>
      <c r="X1234" s="41"/>
      <c r="Y1234" s="41"/>
    </row>
    <row r="1235" s="27" customFormat="1" ht="23" hidden="1" customHeight="1" spans="1:25">
      <c r="A1235" s="133" t="str">
        <f>IF(B1235="","",COUNTA($B$5:B1235))</f>
        <v/>
      </c>
      <c r="B1235" s="148"/>
      <c r="C1235" s="22" t="s">
        <v>49</v>
      </c>
      <c r="D1235" s="149"/>
      <c r="E1235" s="150"/>
      <c r="F1235" s="151"/>
      <c r="G1235" s="151"/>
      <c r="H1235" s="142">
        <f>IFERROR(VLOOKUP($C1235,$C$5:$H$18,6,0)+SUMIF($C$19:$C1235,$C1235,$F$19:$F1235)-SUMIF($C$19:$C1235,$C1235,$G$19:$G1235),"")</f>
        <v>81211.819999998</v>
      </c>
      <c r="I1235" s="147"/>
      <c r="J1235" s="147"/>
      <c r="K1235" s="147" t="str">
        <f t="shared" si="19"/>
        <v/>
      </c>
      <c r="L1235" s="40"/>
      <c r="M1235"/>
      <c r="N1235"/>
      <c r="O1235"/>
      <c r="P1235"/>
      <c r="Q1235"/>
      <c r="R1235"/>
      <c r="S1235"/>
      <c r="T1235"/>
      <c r="U1235"/>
      <c r="V1235"/>
      <c r="W1235" s="41"/>
      <c r="X1235" s="41"/>
      <c r="Y1235" s="41"/>
    </row>
    <row r="1236" s="27" customFormat="1" ht="23" hidden="1" customHeight="1" spans="1:25">
      <c r="A1236" s="133" t="str">
        <f>IF(B1236="","",COUNTA($B$5:B1236))</f>
        <v/>
      </c>
      <c r="B1236" s="148"/>
      <c r="C1236" s="22" t="s">
        <v>49</v>
      </c>
      <c r="D1236" s="149"/>
      <c r="E1236" s="150"/>
      <c r="F1236" s="151"/>
      <c r="G1236" s="151"/>
      <c r="H1236" s="142">
        <f>IFERROR(VLOOKUP($C1236,$C$5:$H$18,6,0)+SUMIF($C$19:$C1236,$C1236,$F$19:$F1236)-SUMIF($C$19:$C1236,$C1236,$G$19:$G1236),"")</f>
        <v>81211.819999998</v>
      </c>
      <c r="I1236" s="147"/>
      <c r="J1236" s="147"/>
      <c r="K1236" s="147" t="str">
        <f t="shared" si="19"/>
        <v/>
      </c>
      <c r="L1236" s="40"/>
      <c r="M1236"/>
      <c r="N1236"/>
      <c r="O1236"/>
      <c r="P1236"/>
      <c r="Q1236"/>
      <c r="R1236"/>
      <c r="S1236"/>
      <c r="T1236"/>
      <c r="U1236"/>
      <c r="V1236"/>
      <c r="W1236" s="41"/>
      <c r="X1236" s="41"/>
      <c r="Y1236" s="41"/>
    </row>
    <row r="1237" s="27" customFormat="1" ht="23" hidden="1" customHeight="1" spans="1:25">
      <c r="A1237" s="133" t="str">
        <f>IF(B1237="","",COUNTA($B$5:B1237))</f>
        <v/>
      </c>
      <c r="B1237" s="148"/>
      <c r="C1237" s="22" t="s">
        <v>49</v>
      </c>
      <c r="D1237" s="149"/>
      <c r="E1237" s="150"/>
      <c r="F1237" s="151"/>
      <c r="G1237" s="151"/>
      <c r="H1237" s="142">
        <f>IFERROR(VLOOKUP($C1237,$C$5:$H$18,6,0)+SUMIF($C$19:$C1237,$C1237,$F$19:$F1237)-SUMIF($C$19:$C1237,$C1237,$G$19:$G1237),"")</f>
        <v>81211.819999998</v>
      </c>
      <c r="I1237" s="147"/>
      <c r="J1237" s="147"/>
      <c r="K1237" s="147" t="str">
        <f t="shared" si="19"/>
        <v/>
      </c>
      <c r="L1237" s="40"/>
      <c r="M1237"/>
      <c r="N1237"/>
      <c r="O1237"/>
      <c r="P1237"/>
      <c r="Q1237"/>
      <c r="R1237"/>
      <c r="S1237"/>
      <c r="T1237"/>
      <c r="U1237"/>
      <c r="V1237"/>
      <c r="W1237" s="41"/>
      <c r="X1237" s="41"/>
      <c r="Y1237" s="41"/>
    </row>
    <row r="1238" s="27" customFormat="1" ht="23" hidden="1" customHeight="1" spans="1:25">
      <c r="A1238" s="133" t="str">
        <f>IF(B1238="","",COUNTA($B$5:B1238))</f>
        <v/>
      </c>
      <c r="B1238" s="148"/>
      <c r="C1238" s="22" t="s">
        <v>49</v>
      </c>
      <c r="D1238" s="149"/>
      <c r="E1238" s="150"/>
      <c r="F1238" s="151"/>
      <c r="G1238" s="151"/>
      <c r="H1238" s="142">
        <f>IFERROR(VLOOKUP($C1238,$C$5:$H$18,6,0)+SUMIF($C$19:$C1238,$C1238,$F$19:$F1238)-SUMIF($C$19:$C1238,$C1238,$G$19:$G1238),"")</f>
        <v>81211.819999998</v>
      </c>
      <c r="I1238" s="147"/>
      <c r="J1238" s="147"/>
      <c r="K1238" s="147" t="str">
        <f t="shared" si="19"/>
        <v/>
      </c>
      <c r="L1238" s="40"/>
      <c r="M1238"/>
      <c r="N1238"/>
      <c r="O1238"/>
      <c r="P1238"/>
      <c r="Q1238"/>
      <c r="R1238"/>
      <c r="S1238"/>
      <c r="T1238"/>
      <c r="U1238"/>
      <c r="V1238"/>
      <c r="W1238" s="41"/>
      <c r="X1238" s="41"/>
      <c r="Y1238" s="41"/>
    </row>
    <row r="1239" s="27" customFormat="1" ht="23" hidden="1" customHeight="1" spans="1:25">
      <c r="A1239" s="133" t="str">
        <f>IF(B1239="","",COUNTA($B$5:B1239))</f>
        <v/>
      </c>
      <c r="B1239" s="148"/>
      <c r="C1239" s="22" t="s">
        <v>49</v>
      </c>
      <c r="D1239" s="149"/>
      <c r="E1239" s="150"/>
      <c r="F1239" s="151"/>
      <c r="G1239" s="151"/>
      <c r="H1239" s="142">
        <f>IFERROR(VLOOKUP($C1239,$C$5:$H$18,6,0)+SUMIF($C$19:$C1239,$C1239,$F$19:$F1239)-SUMIF($C$19:$C1239,$C1239,$G$19:$G1239),"")</f>
        <v>81211.819999998</v>
      </c>
      <c r="I1239" s="147"/>
      <c r="J1239" s="147"/>
      <c r="K1239" s="147" t="str">
        <f t="shared" si="19"/>
        <v/>
      </c>
      <c r="L1239" s="40"/>
      <c r="M1239"/>
      <c r="N1239"/>
      <c r="O1239"/>
      <c r="P1239"/>
      <c r="Q1239"/>
      <c r="R1239"/>
      <c r="S1239"/>
      <c r="T1239"/>
      <c r="U1239"/>
      <c r="V1239"/>
      <c r="W1239" s="41"/>
      <c r="X1239" s="41"/>
      <c r="Y1239" s="41"/>
    </row>
    <row r="1240" s="27" customFormat="1" ht="23" hidden="1" customHeight="1" spans="1:25">
      <c r="A1240" s="133" t="str">
        <f>IF(B1240="","",COUNTA($B$5:B1240))</f>
        <v/>
      </c>
      <c r="B1240" s="148"/>
      <c r="C1240" s="22" t="s">
        <v>49</v>
      </c>
      <c r="D1240" s="149"/>
      <c r="E1240" s="150"/>
      <c r="F1240" s="151"/>
      <c r="G1240" s="151"/>
      <c r="H1240" s="142">
        <f>IFERROR(VLOOKUP($C1240,$C$5:$H$18,6,0)+SUMIF($C$19:$C1240,$C1240,$F$19:$F1240)-SUMIF($C$19:$C1240,$C1240,$G$19:$G1240),"")</f>
        <v>81211.819999998</v>
      </c>
      <c r="I1240" s="147"/>
      <c r="J1240" s="147"/>
      <c r="K1240" s="147" t="str">
        <f t="shared" si="19"/>
        <v/>
      </c>
      <c r="L1240" s="40"/>
      <c r="M1240"/>
      <c r="N1240"/>
      <c r="O1240"/>
      <c r="P1240"/>
      <c r="Q1240"/>
      <c r="R1240"/>
      <c r="S1240"/>
      <c r="T1240"/>
      <c r="U1240"/>
      <c r="V1240"/>
      <c r="W1240" s="41"/>
      <c r="X1240" s="41"/>
      <c r="Y1240" s="41"/>
    </row>
    <row r="1241" s="27" customFormat="1" ht="23" hidden="1" customHeight="1" spans="1:25">
      <c r="A1241" s="133" t="str">
        <f>IF(B1241="","",COUNTA($B$5:B1241))</f>
        <v/>
      </c>
      <c r="B1241" s="148"/>
      <c r="C1241" s="22" t="s">
        <v>49</v>
      </c>
      <c r="D1241" s="149"/>
      <c r="E1241" s="150"/>
      <c r="F1241" s="151"/>
      <c r="G1241" s="151"/>
      <c r="H1241" s="142">
        <f>IFERROR(VLOOKUP($C1241,$C$5:$H$18,6,0)+SUMIF($C$19:$C1241,$C1241,$F$19:$F1241)-SUMIF($C$19:$C1241,$C1241,$G$19:$G1241),"")</f>
        <v>81211.819999998</v>
      </c>
      <c r="I1241" s="147"/>
      <c r="J1241" s="147"/>
      <c r="K1241" s="147" t="str">
        <f t="shared" si="19"/>
        <v/>
      </c>
      <c r="L1241" s="40"/>
      <c r="M1241"/>
      <c r="N1241"/>
      <c r="O1241"/>
      <c r="P1241"/>
      <c r="Q1241"/>
      <c r="R1241"/>
      <c r="S1241"/>
      <c r="T1241"/>
      <c r="U1241"/>
      <c r="V1241"/>
      <c r="W1241" s="41"/>
      <c r="X1241" s="41"/>
      <c r="Y1241" s="41"/>
    </row>
    <row r="1242" s="27" customFormat="1" ht="23" hidden="1" customHeight="1" spans="1:25">
      <c r="A1242" s="133" t="str">
        <f>IF(B1242="","",COUNTA($B$5:B1242))</f>
        <v/>
      </c>
      <c r="B1242" s="148"/>
      <c r="C1242" s="22" t="s">
        <v>49</v>
      </c>
      <c r="D1242" s="149"/>
      <c r="E1242" s="150"/>
      <c r="F1242" s="151"/>
      <c r="G1242" s="151"/>
      <c r="H1242" s="142">
        <f>IFERROR(VLOOKUP($C1242,$C$5:$H$18,6,0)+SUMIF($C$19:$C1242,$C1242,$F$19:$F1242)-SUMIF($C$19:$C1242,$C1242,$G$19:$G1242),"")</f>
        <v>81211.819999998</v>
      </c>
      <c r="I1242" s="147"/>
      <c r="J1242" s="147"/>
      <c r="K1242" s="147" t="str">
        <f t="shared" si="19"/>
        <v/>
      </c>
      <c r="L1242" s="40"/>
      <c r="M1242"/>
      <c r="N1242"/>
      <c r="O1242"/>
      <c r="P1242"/>
      <c r="Q1242"/>
      <c r="R1242"/>
      <c r="S1242"/>
      <c r="T1242"/>
      <c r="U1242"/>
      <c r="V1242"/>
      <c r="W1242" s="41"/>
      <c r="X1242" s="41"/>
      <c r="Y1242" s="41"/>
    </row>
    <row r="1243" s="27" customFormat="1" ht="23" hidden="1" customHeight="1" spans="1:25">
      <c r="A1243" s="133" t="str">
        <f>IF(B1243="","",COUNTA($B$5:B1243))</f>
        <v/>
      </c>
      <c r="B1243" s="148"/>
      <c r="C1243" s="22" t="s">
        <v>49</v>
      </c>
      <c r="D1243" s="149"/>
      <c r="E1243" s="150"/>
      <c r="F1243" s="151"/>
      <c r="G1243" s="151"/>
      <c r="H1243" s="142">
        <f>IFERROR(VLOOKUP($C1243,$C$5:$H$18,6,0)+SUMIF($C$19:$C1243,$C1243,$F$19:$F1243)-SUMIF($C$19:$C1243,$C1243,$G$19:$G1243),"")</f>
        <v>81211.819999998</v>
      </c>
      <c r="I1243" s="147"/>
      <c r="J1243" s="147"/>
      <c r="K1243" s="147" t="str">
        <f t="shared" si="19"/>
        <v/>
      </c>
      <c r="L1243" s="40"/>
      <c r="M1243"/>
      <c r="N1243"/>
      <c r="O1243"/>
      <c r="P1243"/>
      <c r="Q1243"/>
      <c r="R1243"/>
      <c r="S1243"/>
      <c r="T1243"/>
      <c r="U1243"/>
      <c r="V1243"/>
      <c r="W1243" s="41"/>
      <c r="X1243" s="41"/>
      <c r="Y1243" s="41"/>
    </row>
    <row r="1244" s="27" customFormat="1" ht="23" hidden="1" customHeight="1" spans="1:25">
      <c r="A1244" s="133" t="str">
        <f>IF(B1244="","",COUNTA($B$5:B1244))</f>
        <v/>
      </c>
      <c r="B1244" s="148"/>
      <c r="C1244" s="22" t="s">
        <v>49</v>
      </c>
      <c r="D1244" s="149"/>
      <c r="E1244" s="150"/>
      <c r="F1244" s="151"/>
      <c r="G1244" s="151"/>
      <c r="H1244" s="142">
        <f>IFERROR(VLOOKUP($C1244,$C$5:$H$18,6,0)+SUMIF($C$19:$C1244,$C1244,$F$19:$F1244)-SUMIF($C$19:$C1244,$C1244,$G$19:$G1244),"")</f>
        <v>81211.819999998</v>
      </c>
      <c r="I1244" s="147"/>
      <c r="J1244" s="147"/>
      <c r="K1244" s="147" t="str">
        <f t="shared" si="19"/>
        <v/>
      </c>
      <c r="L1244" s="40"/>
      <c r="M1244"/>
      <c r="N1244"/>
      <c r="O1244"/>
      <c r="P1244"/>
      <c r="Q1244"/>
      <c r="R1244"/>
      <c r="S1244"/>
      <c r="T1244"/>
      <c r="U1244"/>
      <c r="V1244"/>
      <c r="W1244" s="41"/>
      <c r="X1244" s="41"/>
      <c r="Y1244" s="41"/>
    </row>
    <row r="1245" s="27" customFormat="1" ht="23" hidden="1" customHeight="1" spans="1:25">
      <c r="A1245" s="133" t="str">
        <f>IF(B1245="","",COUNTA($B$5:B1245))</f>
        <v/>
      </c>
      <c r="B1245" s="148"/>
      <c r="C1245" s="22" t="s">
        <v>49</v>
      </c>
      <c r="D1245" s="149"/>
      <c r="E1245" s="150"/>
      <c r="F1245" s="151"/>
      <c r="G1245" s="151"/>
      <c r="H1245" s="142">
        <f>IFERROR(VLOOKUP($C1245,$C$5:$H$18,6,0)+SUMIF($C$19:$C1245,$C1245,$F$19:$F1245)-SUMIF($C$19:$C1245,$C1245,$G$19:$G1245),"")</f>
        <v>81211.819999998</v>
      </c>
      <c r="I1245" s="147"/>
      <c r="J1245" s="147"/>
      <c r="K1245" s="147" t="str">
        <f t="shared" si="19"/>
        <v/>
      </c>
      <c r="L1245" s="40"/>
      <c r="M1245"/>
      <c r="N1245"/>
      <c r="O1245"/>
      <c r="P1245"/>
      <c r="Q1245"/>
      <c r="R1245"/>
      <c r="S1245"/>
      <c r="T1245"/>
      <c r="U1245"/>
      <c r="V1245"/>
      <c r="W1245" s="41"/>
      <c r="X1245" s="41"/>
      <c r="Y1245" s="41"/>
    </row>
    <row r="1246" s="27" customFormat="1" ht="23" hidden="1" customHeight="1" spans="1:25">
      <c r="A1246" s="133" t="str">
        <f>IF(B1246="","",COUNTA($B$5:B1246))</f>
        <v/>
      </c>
      <c r="B1246" s="148"/>
      <c r="C1246" s="22" t="s">
        <v>49</v>
      </c>
      <c r="D1246" s="149"/>
      <c r="E1246" s="150"/>
      <c r="F1246" s="151"/>
      <c r="G1246" s="151"/>
      <c r="H1246" s="142">
        <f>IFERROR(VLOOKUP($C1246,$C$5:$H$18,6,0)+SUMIF($C$19:$C1246,$C1246,$F$19:$F1246)-SUMIF($C$19:$C1246,$C1246,$G$19:$G1246),"")</f>
        <v>81211.819999998</v>
      </c>
      <c r="I1246" s="147"/>
      <c r="J1246" s="147"/>
      <c r="K1246" s="147" t="str">
        <f t="shared" si="19"/>
        <v/>
      </c>
      <c r="L1246" s="40"/>
      <c r="M1246"/>
      <c r="N1246"/>
      <c r="O1246"/>
      <c r="P1246"/>
      <c r="Q1246"/>
      <c r="R1246"/>
      <c r="S1246"/>
      <c r="T1246"/>
      <c r="U1246"/>
      <c r="V1246"/>
      <c r="W1246" s="41"/>
      <c r="X1246" s="41"/>
      <c r="Y1246" s="41"/>
    </row>
    <row r="1247" s="27" customFormat="1" ht="23" hidden="1" customHeight="1" spans="1:25">
      <c r="A1247" s="133" t="str">
        <f>IF(B1247="","",COUNTA($B$5:B1247))</f>
        <v/>
      </c>
      <c r="B1247" s="148"/>
      <c r="C1247" s="22" t="s">
        <v>49</v>
      </c>
      <c r="D1247" s="149"/>
      <c r="E1247" s="150"/>
      <c r="F1247" s="151"/>
      <c r="G1247" s="151"/>
      <c r="H1247" s="142">
        <f>IFERROR(VLOOKUP($C1247,$C$5:$H$18,6,0)+SUMIF($C$19:$C1247,$C1247,$F$19:$F1247)-SUMIF($C$19:$C1247,$C1247,$G$19:$G1247),"")</f>
        <v>81211.819999998</v>
      </c>
      <c r="I1247" s="147"/>
      <c r="J1247" s="147"/>
      <c r="K1247" s="147" t="str">
        <f t="shared" si="19"/>
        <v/>
      </c>
      <c r="L1247" s="40"/>
      <c r="M1247"/>
      <c r="N1247"/>
      <c r="O1247"/>
      <c r="P1247"/>
      <c r="Q1247"/>
      <c r="R1247"/>
      <c r="S1247"/>
      <c r="T1247"/>
      <c r="U1247"/>
      <c r="V1247"/>
      <c r="W1247" s="41"/>
      <c r="X1247" s="41"/>
      <c r="Y1247" s="41"/>
    </row>
    <row r="1248" s="27" customFormat="1" ht="23" hidden="1" customHeight="1" spans="1:25">
      <c r="A1248" s="133" t="str">
        <f>IF(B1248="","",COUNTA($B$5:B1248))</f>
        <v/>
      </c>
      <c r="B1248" s="148"/>
      <c r="C1248" s="22" t="s">
        <v>49</v>
      </c>
      <c r="D1248" s="149"/>
      <c r="E1248" s="150"/>
      <c r="F1248" s="151"/>
      <c r="G1248" s="151"/>
      <c r="H1248" s="142">
        <f>IFERROR(VLOOKUP($C1248,$C$5:$H$18,6,0)+SUMIF($C$19:$C1248,$C1248,$F$19:$F1248)-SUMIF($C$19:$C1248,$C1248,$G$19:$G1248),"")</f>
        <v>81211.819999998</v>
      </c>
      <c r="I1248" s="147"/>
      <c r="J1248" s="147"/>
      <c r="K1248" s="147" t="str">
        <f t="shared" si="19"/>
        <v/>
      </c>
      <c r="L1248" s="40"/>
      <c r="M1248"/>
      <c r="N1248"/>
      <c r="O1248"/>
      <c r="P1248"/>
      <c r="Q1248"/>
      <c r="R1248"/>
      <c r="S1248"/>
      <c r="T1248"/>
      <c r="U1248"/>
      <c r="V1248"/>
      <c r="W1248" s="41"/>
      <c r="X1248" s="41"/>
      <c r="Y1248" s="41"/>
    </row>
    <row r="1249" s="27" customFormat="1" ht="23" hidden="1" customHeight="1" spans="1:25">
      <c r="A1249" s="133" t="str">
        <f>IF(B1249="","",COUNTA($B$5:B1249))</f>
        <v/>
      </c>
      <c r="B1249" s="148"/>
      <c r="C1249" s="22" t="s">
        <v>49</v>
      </c>
      <c r="D1249" s="149"/>
      <c r="E1249" s="150"/>
      <c r="F1249" s="151"/>
      <c r="G1249" s="151"/>
      <c r="H1249" s="142">
        <f>IFERROR(VLOOKUP($C1249,$C$5:$H$18,6,0)+SUMIF($C$19:$C1249,$C1249,$F$19:$F1249)-SUMIF($C$19:$C1249,$C1249,$G$19:$G1249),"")</f>
        <v>81211.819999998</v>
      </c>
      <c r="I1249" s="147"/>
      <c r="J1249" s="147"/>
      <c r="K1249" s="147" t="str">
        <f t="shared" si="19"/>
        <v/>
      </c>
      <c r="L1249" s="40"/>
      <c r="M1249"/>
      <c r="N1249"/>
      <c r="O1249"/>
      <c r="P1249"/>
      <c r="Q1249"/>
      <c r="R1249"/>
      <c r="S1249"/>
      <c r="T1249"/>
      <c r="U1249"/>
      <c r="V1249"/>
      <c r="W1249" s="41"/>
      <c r="X1249" s="41"/>
      <c r="Y1249" s="41"/>
    </row>
    <row r="1250" s="27" customFormat="1" ht="23" hidden="1" customHeight="1" spans="1:25">
      <c r="A1250" s="133" t="str">
        <f>IF(B1250="","",COUNTA($B$5:B1250))</f>
        <v/>
      </c>
      <c r="B1250" s="148"/>
      <c r="C1250" s="22" t="s">
        <v>49</v>
      </c>
      <c r="D1250" s="149"/>
      <c r="E1250" s="150"/>
      <c r="F1250" s="151"/>
      <c r="G1250" s="151"/>
      <c r="H1250" s="142">
        <f>IFERROR(VLOOKUP($C1250,$C$5:$H$18,6,0)+SUMIF($C$19:$C1250,$C1250,$F$19:$F1250)-SUMIF($C$19:$C1250,$C1250,$G$19:$G1250),"")</f>
        <v>81211.819999998</v>
      </c>
      <c r="I1250" s="147"/>
      <c r="J1250" s="147"/>
      <c r="K1250" s="147" t="str">
        <f t="shared" si="19"/>
        <v/>
      </c>
      <c r="L1250" s="40"/>
      <c r="M1250"/>
      <c r="N1250"/>
      <c r="O1250"/>
      <c r="P1250"/>
      <c r="Q1250"/>
      <c r="R1250"/>
      <c r="S1250"/>
      <c r="T1250"/>
      <c r="U1250"/>
      <c r="V1250"/>
      <c r="W1250" s="41"/>
      <c r="X1250" s="41"/>
      <c r="Y1250" s="41"/>
    </row>
    <row r="1251" s="27" customFormat="1" ht="23" hidden="1" customHeight="1" spans="1:25">
      <c r="A1251" s="133" t="str">
        <f>IF(B1251="","",COUNTA($B$5:B1251))</f>
        <v/>
      </c>
      <c r="B1251" s="148"/>
      <c r="C1251" s="22" t="s">
        <v>49</v>
      </c>
      <c r="D1251" s="149"/>
      <c r="E1251" s="150"/>
      <c r="F1251" s="151"/>
      <c r="G1251" s="151"/>
      <c r="H1251" s="142">
        <f>IFERROR(VLOOKUP($C1251,$C$5:$H$18,6,0)+SUMIF($C$19:$C1251,$C1251,$F$19:$F1251)-SUMIF($C$19:$C1251,$C1251,$G$19:$G1251),"")</f>
        <v>81211.819999998</v>
      </c>
      <c r="I1251" s="147"/>
      <c r="J1251" s="147"/>
      <c r="K1251" s="147" t="str">
        <f t="shared" si="19"/>
        <v/>
      </c>
      <c r="L1251" s="40"/>
      <c r="M1251"/>
      <c r="N1251"/>
      <c r="O1251"/>
      <c r="P1251"/>
      <c r="Q1251"/>
      <c r="R1251"/>
      <c r="S1251"/>
      <c r="T1251"/>
      <c r="U1251"/>
      <c r="V1251"/>
      <c r="W1251" s="41"/>
      <c r="X1251" s="41"/>
      <c r="Y1251" s="41"/>
    </row>
    <row r="1252" s="27" customFormat="1" ht="23" hidden="1" customHeight="1" spans="1:25">
      <c r="A1252" s="133" t="str">
        <f>IF(B1252="","",COUNTA($B$5:B1252))</f>
        <v/>
      </c>
      <c r="B1252" s="148"/>
      <c r="C1252" s="22" t="s">
        <v>49</v>
      </c>
      <c r="D1252" s="149"/>
      <c r="E1252" s="150"/>
      <c r="F1252" s="151"/>
      <c r="G1252" s="151"/>
      <c r="H1252" s="142">
        <f>IFERROR(VLOOKUP($C1252,$C$5:$H$18,6,0)+SUMIF($C$19:$C1252,$C1252,$F$19:$F1252)-SUMIF($C$19:$C1252,$C1252,$G$19:$G1252),"")</f>
        <v>81211.819999998</v>
      </c>
      <c r="I1252" s="147"/>
      <c r="J1252" s="147"/>
      <c r="K1252" s="147" t="str">
        <f t="shared" si="19"/>
        <v/>
      </c>
      <c r="L1252" s="40"/>
      <c r="M1252"/>
      <c r="N1252"/>
      <c r="O1252"/>
      <c r="P1252"/>
      <c r="Q1252"/>
      <c r="R1252"/>
      <c r="S1252"/>
      <c r="T1252"/>
      <c r="U1252"/>
      <c r="V1252"/>
      <c r="W1252" s="41"/>
      <c r="X1252" s="41"/>
      <c r="Y1252" s="41"/>
    </row>
    <row r="1253" s="27" customFormat="1" ht="23" hidden="1" customHeight="1" spans="1:25">
      <c r="A1253" s="133" t="str">
        <f>IF(B1253="","",COUNTA($B$5:B1253))</f>
        <v/>
      </c>
      <c r="B1253" s="148"/>
      <c r="C1253" s="22" t="s">
        <v>49</v>
      </c>
      <c r="D1253" s="149"/>
      <c r="E1253" s="150"/>
      <c r="F1253" s="151"/>
      <c r="G1253" s="151"/>
      <c r="H1253" s="142">
        <f>IFERROR(VLOOKUP($C1253,$C$5:$H$18,6,0)+SUMIF($C$19:$C1253,$C1253,$F$19:$F1253)-SUMIF($C$19:$C1253,$C1253,$G$19:$G1253),"")</f>
        <v>81211.819999998</v>
      </c>
      <c r="I1253" s="147"/>
      <c r="J1253" s="147"/>
      <c r="K1253" s="147" t="str">
        <f t="shared" si="19"/>
        <v/>
      </c>
      <c r="L1253" s="40"/>
      <c r="M1253"/>
      <c r="N1253"/>
      <c r="O1253"/>
      <c r="P1253"/>
      <c r="Q1253"/>
      <c r="R1253"/>
      <c r="S1253"/>
      <c r="T1253"/>
      <c r="U1253"/>
      <c r="V1253"/>
      <c r="W1253" s="41"/>
      <c r="X1253" s="41"/>
      <c r="Y1253" s="41"/>
    </row>
    <row r="1254" s="27" customFormat="1" ht="23" hidden="1" customHeight="1" spans="1:25">
      <c r="A1254" s="133" t="str">
        <f>IF(B1254="","",COUNTA($B$5:B1254))</f>
        <v/>
      </c>
      <c r="B1254" s="148"/>
      <c r="C1254" s="22" t="s">
        <v>49</v>
      </c>
      <c r="D1254" s="149"/>
      <c r="E1254" s="150"/>
      <c r="F1254" s="151"/>
      <c r="G1254" s="151"/>
      <c r="H1254" s="142">
        <f>IFERROR(VLOOKUP($C1254,$C$5:$H$18,6,0)+SUMIF($C$19:$C1254,$C1254,$F$19:$F1254)-SUMIF($C$19:$C1254,$C1254,$G$19:$G1254),"")</f>
        <v>81211.819999998</v>
      </c>
      <c r="I1254" s="147"/>
      <c r="J1254" s="147"/>
      <c r="K1254" s="147" t="str">
        <f t="shared" si="19"/>
        <v/>
      </c>
      <c r="L1254" s="40"/>
      <c r="M1254"/>
      <c r="N1254"/>
      <c r="O1254"/>
      <c r="P1254"/>
      <c r="Q1254"/>
      <c r="R1254"/>
      <c r="S1254"/>
      <c r="T1254"/>
      <c r="U1254"/>
      <c r="V1254"/>
      <c r="W1254" s="41"/>
      <c r="X1254" s="41"/>
      <c r="Y1254" s="41"/>
    </row>
    <row r="1255" s="27" customFormat="1" ht="23" hidden="1" customHeight="1" spans="1:25">
      <c r="A1255" s="133" t="str">
        <f>IF(B1255="","",COUNTA($B$5:B1255))</f>
        <v/>
      </c>
      <c r="B1255" s="148"/>
      <c r="C1255" s="22" t="s">
        <v>49</v>
      </c>
      <c r="D1255" s="149"/>
      <c r="E1255" s="150"/>
      <c r="F1255" s="151"/>
      <c r="G1255" s="151"/>
      <c r="H1255" s="142">
        <f>IFERROR(VLOOKUP($C1255,$C$5:$H$18,6,0)+SUMIF($C$19:$C1255,$C1255,$F$19:$F1255)-SUMIF($C$19:$C1255,$C1255,$G$19:$G1255),"")</f>
        <v>81211.819999998</v>
      </c>
      <c r="I1255" s="147"/>
      <c r="J1255" s="147"/>
      <c r="K1255" s="147" t="str">
        <f t="shared" si="19"/>
        <v/>
      </c>
      <c r="L1255" s="40"/>
      <c r="M1255"/>
      <c r="N1255"/>
      <c r="O1255"/>
      <c r="P1255"/>
      <c r="Q1255"/>
      <c r="R1255"/>
      <c r="S1255"/>
      <c r="T1255"/>
      <c r="U1255"/>
      <c r="V1255"/>
      <c r="W1255" s="41"/>
      <c r="X1255" s="41"/>
      <c r="Y1255" s="41"/>
    </row>
    <row r="1256" s="27" customFormat="1" ht="23" hidden="1" customHeight="1" spans="1:25">
      <c r="A1256" s="133" t="str">
        <f>IF(B1256="","",COUNTA($B$5:B1256))</f>
        <v/>
      </c>
      <c r="B1256" s="148"/>
      <c r="C1256" s="22" t="s">
        <v>49</v>
      </c>
      <c r="D1256" s="149"/>
      <c r="E1256" s="150"/>
      <c r="F1256" s="151"/>
      <c r="G1256" s="151"/>
      <c r="H1256" s="142">
        <f>IFERROR(VLOOKUP($C1256,$C$5:$H$18,6,0)+SUMIF($C$19:$C1256,$C1256,$F$19:$F1256)-SUMIF($C$19:$C1256,$C1256,$G$19:$G1256),"")</f>
        <v>81211.819999998</v>
      </c>
      <c r="I1256" s="147"/>
      <c r="J1256" s="147"/>
      <c r="K1256" s="147" t="str">
        <f t="shared" si="19"/>
        <v/>
      </c>
      <c r="L1256" s="40"/>
      <c r="M1256"/>
      <c r="N1256"/>
      <c r="O1256"/>
      <c r="P1256"/>
      <c r="Q1256"/>
      <c r="R1256"/>
      <c r="S1256"/>
      <c r="T1256"/>
      <c r="U1256"/>
      <c r="V1256"/>
      <c r="W1256" s="41"/>
      <c r="X1256" s="41"/>
      <c r="Y1256" s="41"/>
    </row>
    <row r="1257" s="27" customFormat="1" ht="23" hidden="1" customHeight="1" spans="1:25">
      <c r="A1257" s="133" t="str">
        <f>IF(B1257="","",COUNTA($B$5:B1257))</f>
        <v/>
      </c>
      <c r="B1257" s="148"/>
      <c r="C1257" s="22" t="s">
        <v>49</v>
      </c>
      <c r="D1257" s="149"/>
      <c r="E1257" s="150"/>
      <c r="F1257" s="151"/>
      <c r="G1257" s="151"/>
      <c r="H1257" s="142">
        <f>IFERROR(VLOOKUP($C1257,$C$5:$H$18,6,0)+SUMIF($C$19:$C1257,$C1257,$F$19:$F1257)-SUMIF($C$19:$C1257,$C1257,$G$19:$G1257),"")</f>
        <v>81211.819999998</v>
      </c>
      <c r="I1257" s="147"/>
      <c r="J1257" s="147"/>
      <c r="K1257" s="147" t="str">
        <f t="shared" si="19"/>
        <v/>
      </c>
      <c r="L1257" s="40"/>
      <c r="M1257"/>
      <c r="N1257"/>
      <c r="O1257"/>
      <c r="P1257"/>
      <c r="Q1257"/>
      <c r="R1257"/>
      <c r="S1257"/>
      <c r="T1257"/>
      <c r="U1257"/>
      <c r="V1257"/>
      <c r="W1257" s="41"/>
      <c r="X1257" s="41"/>
      <c r="Y1257" s="41"/>
    </row>
    <row r="1258" s="27" customFormat="1" ht="23" hidden="1" customHeight="1" spans="1:25">
      <c r="A1258" s="133" t="str">
        <f>IF(B1258="","",COUNTA($B$5:B1258))</f>
        <v/>
      </c>
      <c r="B1258" s="148"/>
      <c r="C1258" s="22" t="s">
        <v>49</v>
      </c>
      <c r="D1258" s="149"/>
      <c r="E1258" s="150"/>
      <c r="F1258" s="151"/>
      <c r="G1258" s="151"/>
      <c r="H1258" s="142">
        <f>IFERROR(VLOOKUP($C1258,$C$5:$H$18,6,0)+SUMIF($C$19:$C1258,$C1258,$F$19:$F1258)-SUMIF($C$19:$C1258,$C1258,$G$19:$G1258),"")</f>
        <v>81211.819999998</v>
      </c>
      <c r="I1258" s="147"/>
      <c r="J1258" s="147"/>
      <c r="K1258" s="147" t="str">
        <f t="shared" si="19"/>
        <v/>
      </c>
      <c r="L1258" s="40"/>
      <c r="M1258"/>
      <c r="N1258"/>
      <c r="O1258"/>
      <c r="P1258"/>
      <c r="Q1258"/>
      <c r="R1258"/>
      <c r="S1258"/>
      <c r="T1258"/>
      <c r="U1258"/>
      <c r="V1258"/>
      <c r="W1258" s="41"/>
      <c r="X1258" s="41"/>
      <c r="Y1258" s="41"/>
    </row>
    <row r="1259" s="27" customFormat="1" ht="23" hidden="1" customHeight="1" spans="1:25">
      <c r="A1259" s="133" t="str">
        <f>IF(B1259="","",COUNTA($B$5:B1259))</f>
        <v/>
      </c>
      <c r="B1259" s="148"/>
      <c r="C1259" s="22" t="s">
        <v>49</v>
      </c>
      <c r="D1259" s="149"/>
      <c r="E1259" s="150"/>
      <c r="F1259" s="151"/>
      <c r="G1259" s="151"/>
      <c r="H1259" s="142">
        <f>IFERROR(VLOOKUP($C1259,$C$5:$H$18,6,0)+SUMIF($C$19:$C1259,$C1259,$F$19:$F1259)-SUMIF($C$19:$C1259,$C1259,$G$19:$G1259),"")</f>
        <v>81211.819999998</v>
      </c>
      <c r="I1259" s="147"/>
      <c r="J1259" s="147"/>
      <c r="K1259" s="147" t="str">
        <f t="shared" si="19"/>
        <v/>
      </c>
      <c r="L1259" s="40"/>
      <c r="M1259"/>
      <c r="N1259"/>
      <c r="O1259"/>
      <c r="P1259"/>
      <c r="Q1259"/>
      <c r="R1259"/>
      <c r="S1259"/>
      <c r="T1259"/>
      <c r="U1259"/>
      <c r="V1259"/>
      <c r="W1259" s="41"/>
      <c r="X1259" s="41"/>
      <c r="Y1259" s="41"/>
    </row>
    <row r="1260" s="27" customFormat="1" ht="23" hidden="1" customHeight="1" spans="1:25">
      <c r="A1260" s="133" t="str">
        <f>IF(B1260="","",COUNTA($B$5:B1260))</f>
        <v/>
      </c>
      <c r="B1260" s="148"/>
      <c r="C1260" s="22" t="s">
        <v>49</v>
      </c>
      <c r="D1260" s="149"/>
      <c r="E1260" s="150"/>
      <c r="F1260" s="151"/>
      <c r="G1260" s="151"/>
      <c r="H1260" s="142">
        <f>IFERROR(VLOOKUP($C1260,$C$5:$H$18,6,0)+SUMIF($C$19:$C1260,$C1260,$F$19:$F1260)-SUMIF($C$19:$C1260,$C1260,$G$19:$G1260),"")</f>
        <v>81211.819999998</v>
      </c>
      <c r="I1260" s="147"/>
      <c r="J1260" s="147"/>
      <c r="K1260" s="147" t="str">
        <f t="shared" si="19"/>
        <v/>
      </c>
      <c r="L1260" s="40"/>
      <c r="M1260"/>
      <c r="N1260"/>
      <c r="O1260"/>
      <c r="P1260"/>
      <c r="Q1260"/>
      <c r="R1260"/>
      <c r="S1260"/>
      <c r="T1260"/>
      <c r="U1260"/>
      <c r="V1260"/>
      <c r="W1260" s="41"/>
      <c r="X1260" s="41"/>
      <c r="Y1260" s="41"/>
    </row>
    <row r="1261" s="27" customFormat="1" ht="23" hidden="1" customHeight="1" spans="1:25">
      <c r="A1261" s="133" t="str">
        <f>IF(B1261="","",COUNTA($B$5:B1261))</f>
        <v/>
      </c>
      <c r="B1261" s="148"/>
      <c r="C1261" s="22" t="s">
        <v>49</v>
      </c>
      <c r="D1261" s="149"/>
      <c r="E1261" s="150"/>
      <c r="F1261" s="151"/>
      <c r="G1261" s="151"/>
      <c r="H1261" s="142">
        <f>IFERROR(VLOOKUP($C1261,$C$5:$H$18,6,0)+SUMIF($C$19:$C1261,$C1261,$F$19:$F1261)-SUMIF($C$19:$C1261,$C1261,$G$19:$G1261),"")</f>
        <v>81211.819999998</v>
      </c>
      <c r="I1261" s="147"/>
      <c r="J1261" s="147"/>
      <c r="K1261" s="147" t="str">
        <f t="shared" si="19"/>
        <v/>
      </c>
      <c r="L1261" s="40"/>
      <c r="M1261"/>
      <c r="N1261"/>
      <c r="O1261"/>
      <c r="P1261"/>
      <c r="Q1261"/>
      <c r="R1261"/>
      <c r="S1261"/>
      <c r="T1261"/>
      <c r="U1261"/>
      <c r="V1261"/>
      <c r="W1261" s="41"/>
      <c r="X1261" s="41"/>
      <c r="Y1261" s="41"/>
    </row>
    <row r="1262" s="27" customFormat="1" ht="23" hidden="1" customHeight="1" spans="1:25">
      <c r="A1262" s="133" t="str">
        <f>IF(B1262="","",COUNTA($B$5:B1262))</f>
        <v/>
      </c>
      <c r="B1262" s="148"/>
      <c r="C1262" s="22" t="s">
        <v>49</v>
      </c>
      <c r="D1262" s="149"/>
      <c r="E1262" s="150"/>
      <c r="F1262" s="151"/>
      <c r="G1262" s="151"/>
      <c r="H1262" s="142">
        <f>IFERROR(VLOOKUP($C1262,$C$5:$H$18,6,0)+SUMIF($C$19:$C1262,$C1262,$F$19:$F1262)-SUMIF($C$19:$C1262,$C1262,$G$19:$G1262),"")</f>
        <v>81211.819999998</v>
      </c>
      <c r="I1262" s="147"/>
      <c r="J1262" s="147"/>
      <c r="K1262" s="147" t="str">
        <f t="shared" si="19"/>
        <v/>
      </c>
      <c r="L1262" s="40"/>
      <c r="M1262"/>
      <c r="N1262"/>
      <c r="O1262"/>
      <c r="P1262"/>
      <c r="Q1262"/>
      <c r="R1262"/>
      <c r="S1262"/>
      <c r="T1262"/>
      <c r="U1262"/>
      <c r="V1262"/>
      <c r="W1262" s="41"/>
      <c r="X1262" s="41"/>
      <c r="Y1262" s="41"/>
    </row>
    <row r="1263" s="27" customFormat="1" ht="23" hidden="1" customHeight="1" spans="1:25">
      <c r="A1263" s="133" t="str">
        <f>IF(B1263="","",COUNTA($B$5:B1263))</f>
        <v/>
      </c>
      <c r="B1263" s="148"/>
      <c r="C1263" s="22" t="s">
        <v>49</v>
      </c>
      <c r="D1263" s="149"/>
      <c r="E1263" s="150"/>
      <c r="F1263" s="151"/>
      <c r="G1263" s="151"/>
      <c r="H1263" s="142">
        <f>IFERROR(VLOOKUP($C1263,$C$5:$H$18,6,0)+SUMIF($C$19:$C1263,$C1263,$F$19:$F1263)-SUMIF($C$19:$C1263,$C1263,$G$19:$G1263),"")</f>
        <v>81211.819999998</v>
      </c>
      <c r="I1263" s="147"/>
      <c r="J1263" s="147"/>
      <c r="K1263" s="147" t="str">
        <f t="shared" si="19"/>
        <v/>
      </c>
      <c r="L1263" s="40"/>
      <c r="M1263"/>
      <c r="N1263"/>
      <c r="O1263"/>
      <c r="P1263"/>
      <c r="Q1263"/>
      <c r="R1263"/>
      <c r="S1263"/>
      <c r="T1263"/>
      <c r="U1263"/>
      <c r="V1263"/>
      <c r="W1263" s="41"/>
      <c r="X1263" s="41"/>
      <c r="Y1263" s="41"/>
    </row>
    <row r="1264" s="27" customFormat="1" ht="23" hidden="1" customHeight="1" spans="1:25">
      <c r="A1264" s="133" t="str">
        <f>IF(B1264="","",COUNTA($B$5:B1264))</f>
        <v/>
      </c>
      <c r="B1264" s="148"/>
      <c r="C1264" s="22" t="s">
        <v>49</v>
      </c>
      <c r="D1264" s="149"/>
      <c r="E1264" s="150"/>
      <c r="F1264" s="151"/>
      <c r="G1264" s="151"/>
      <c r="H1264" s="142">
        <f>IFERROR(VLOOKUP($C1264,$C$5:$H$18,6,0)+SUMIF($C$19:$C1264,$C1264,$F$19:$F1264)-SUMIF($C$19:$C1264,$C1264,$G$19:$G1264),"")</f>
        <v>81211.819999998</v>
      </c>
      <c r="I1264" s="147"/>
      <c r="J1264" s="147"/>
      <c r="K1264" s="147" t="str">
        <f t="shared" si="19"/>
        <v/>
      </c>
      <c r="L1264" s="40"/>
      <c r="M1264"/>
      <c r="N1264"/>
      <c r="O1264"/>
      <c r="P1264"/>
      <c r="Q1264"/>
      <c r="R1264"/>
      <c r="S1264"/>
      <c r="T1264"/>
      <c r="U1264"/>
      <c r="V1264"/>
      <c r="W1264" s="41"/>
      <c r="X1264" s="41"/>
      <c r="Y1264" s="41"/>
    </row>
    <row r="1265" s="27" customFormat="1" ht="23" hidden="1" customHeight="1" spans="1:25">
      <c r="A1265" s="133" t="str">
        <f>IF(B1265="","",COUNTA($B$5:B1265))</f>
        <v/>
      </c>
      <c r="B1265" s="148"/>
      <c r="C1265" s="22" t="s">
        <v>49</v>
      </c>
      <c r="D1265" s="149"/>
      <c r="E1265" s="150"/>
      <c r="F1265" s="151"/>
      <c r="G1265" s="151"/>
      <c r="H1265" s="142">
        <f>IFERROR(VLOOKUP($C1265,$C$5:$H$18,6,0)+SUMIF($C$19:$C1265,$C1265,$F$19:$F1265)-SUMIF($C$19:$C1265,$C1265,$G$19:$G1265),"")</f>
        <v>81211.819999998</v>
      </c>
      <c r="I1265" s="147"/>
      <c r="J1265" s="147"/>
      <c r="K1265" s="147" t="str">
        <f t="shared" si="19"/>
        <v/>
      </c>
      <c r="L1265" s="40"/>
      <c r="M1265"/>
      <c r="N1265"/>
      <c r="O1265"/>
      <c r="P1265"/>
      <c r="Q1265"/>
      <c r="R1265"/>
      <c r="S1265"/>
      <c r="T1265"/>
      <c r="U1265"/>
      <c r="V1265"/>
      <c r="W1265" s="41"/>
      <c r="X1265" s="41"/>
      <c r="Y1265" s="41"/>
    </row>
    <row r="1266" s="27" customFormat="1" ht="23" hidden="1" customHeight="1" spans="1:25">
      <c r="A1266" s="133" t="str">
        <f>IF(B1266="","",COUNTA($B$5:B1266))</f>
        <v/>
      </c>
      <c r="B1266" s="148"/>
      <c r="C1266" s="22" t="s">
        <v>49</v>
      </c>
      <c r="D1266" s="149"/>
      <c r="E1266" s="150"/>
      <c r="F1266" s="151"/>
      <c r="G1266" s="151"/>
      <c r="H1266" s="142">
        <f>IFERROR(VLOOKUP($C1266,$C$5:$H$18,6,0)+SUMIF($C$19:$C1266,$C1266,$F$19:$F1266)-SUMIF($C$19:$C1266,$C1266,$G$19:$G1266),"")</f>
        <v>81211.819999998</v>
      </c>
      <c r="I1266" s="147"/>
      <c r="J1266" s="147"/>
      <c r="K1266" s="147" t="str">
        <f t="shared" si="19"/>
        <v/>
      </c>
      <c r="L1266" s="40"/>
      <c r="M1266"/>
      <c r="N1266"/>
      <c r="O1266"/>
      <c r="P1266"/>
      <c r="Q1266"/>
      <c r="R1266"/>
      <c r="S1266"/>
      <c r="T1266"/>
      <c r="U1266"/>
      <c r="V1266"/>
      <c r="W1266" s="41"/>
      <c r="X1266" s="41"/>
      <c r="Y1266" s="41"/>
    </row>
    <row r="1267" s="27" customFormat="1" ht="23" hidden="1" customHeight="1" spans="1:25">
      <c r="A1267" s="133" t="str">
        <f>IF(B1267="","",COUNTA($B$5:B1267))</f>
        <v/>
      </c>
      <c r="B1267" s="148"/>
      <c r="C1267" s="22" t="s">
        <v>49</v>
      </c>
      <c r="D1267" s="149"/>
      <c r="E1267" s="150"/>
      <c r="F1267" s="151"/>
      <c r="G1267" s="151"/>
      <c r="H1267" s="142">
        <f>IFERROR(VLOOKUP($C1267,$C$5:$H$18,6,0)+SUMIF($C$19:$C1267,$C1267,$F$19:$F1267)-SUMIF($C$19:$C1267,$C1267,$G$19:$G1267),"")</f>
        <v>81211.819999998</v>
      </c>
      <c r="I1267" s="147"/>
      <c r="J1267" s="147"/>
      <c r="K1267" s="147" t="str">
        <f t="shared" si="19"/>
        <v/>
      </c>
      <c r="L1267" s="40"/>
      <c r="M1267"/>
      <c r="N1267"/>
      <c r="O1267"/>
      <c r="P1267"/>
      <c r="Q1267"/>
      <c r="R1267"/>
      <c r="S1267"/>
      <c r="T1267"/>
      <c r="U1267"/>
      <c r="V1267"/>
      <c r="W1267" s="41"/>
      <c r="X1267" s="41"/>
      <c r="Y1267" s="41"/>
    </row>
    <row r="1268" s="27" customFormat="1" ht="23" hidden="1" customHeight="1" spans="1:25">
      <c r="A1268" s="133" t="str">
        <f>IF(B1268="","",COUNTA($B$5:B1268))</f>
        <v/>
      </c>
      <c r="B1268" s="148"/>
      <c r="C1268" s="22" t="s">
        <v>49</v>
      </c>
      <c r="D1268" s="149"/>
      <c r="E1268" s="150"/>
      <c r="F1268" s="151"/>
      <c r="G1268" s="151"/>
      <c r="H1268" s="142">
        <f>IFERROR(VLOOKUP($C1268,$C$5:$H$18,6,0)+SUMIF($C$19:$C1268,$C1268,$F$19:$F1268)-SUMIF($C$19:$C1268,$C1268,$G$19:$G1268),"")</f>
        <v>81211.819999998</v>
      </c>
      <c r="I1268" s="147"/>
      <c r="J1268" s="147"/>
      <c r="K1268" s="147" t="str">
        <f t="shared" si="19"/>
        <v/>
      </c>
      <c r="L1268" s="40"/>
      <c r="M1268"/>
      <c r="N1268"/>
      <c r="O1268"/>
      <c r="P1268"/>
      <c r="Q1268"/>
      <c r="R1268"/>
      <c r="S1268"/>
      <c r="T1268"/>
      <c r="U1268"/>
      <c r="V1268"/>
      <c r="W1268" s="41"/>
      <c r="X1268" s="41"/>
      <c r="Y1268" s="41"/>
    </row>
    <row r="1269" s="27" customFormat="1" ht="23" hidden="1" customHeight="1" spans="1:25">
      <c r="A1269" s="133" t="str">
        <f>IF(B1269="","",COUNTA($B$5:B1269))</f>
        <v/>
      </c>
      <c r="B1269" s="148"/>
      <c r="C1269" s="22" t="s">
        <v>49</v>
      </c>
      <c r="D1269" s="149"/>
      <c r="E1269" s="150"/>
      <c r="F1269" s="151"/>
      <c r="G1269" s="151"/>
      <c r="H1269" s="142">
        <f>IFERROR(VLOOKUP($C1269,$C$5:$H$18,6,0)+SUMIF($C$19:$C1269,$C1269,$F$19:$F1269)-SUMIF($C$19:$C1269,$C1269,$G$19:$G1269),"")</f>
        <v>81211.819999998</v>
      </c>
      <c r="I1269" s="147"/>
      <c r="J1269" s="147"/>
      <c r="K1269" s="147" t="str">
        <f t="shared" si="19"/>
        <v/>
      </c>
      <c r="L1269" s="40"/>
      <c r="M1269"/>
      <c r="N1269"/>
      <c r="O1269"/>
      <c r="P1269"/>
      <c r="Q1269"/>
      <c r="R1269"/>
      <c r="S1269"/>
      <c r="T1269"/>
      <c r="U1269"/>
      <c r="V1269"/>
      <c r="W1269" s="41"/>
      <c r="X1269" s="41"/>
      <c r="Y1269" s="41"/>
    </row>
    <row r="1270" s="27" customFormat="1" ht="23" hidden="1" customHeight="1" spans="1:25">
      <c r="A1270" s="133" t="str">
        <f>IF(B1270="","",COUNTA($B$5:B1270))</f>
        <v/>
      </c>
      <c r="B1270" s="148"/>
      <c r="C1270" s="22" t="s">
        <v>49</v>
      </c>
      <c r="D1270" s="149"/>
      <c r="E1270" s="150"/>
      <c r="F1270" s="151"/>
      <c r="G1270" s="151"/>
      <c r="H1270" s="142">
        <f>IFERROR(VLOOKUP($C1270,$C$5:$H$18,6,0)+SUMIF($C$19:$C1270,$C1270,$F$19:$F1270)-SUMIF($C$19:$C1270,$C1270,$G$19:$G1270),"")</f>
        <v>81211.819999998</v>
      </c>
      <c r="I1270" s="147"/>
      <c r="J1270" s="147"/>
      <c r="K1270" s="147" t="str">
        <f t="shared" si="19"/>
        <v/>
      </c>
      <c r="L1270" s="40"/>
      <c r="M1270"/>
      <c r="N1270"/>
      <c r="O1270"/>
      <c r="P1270"/>
      <c r="Q1270"/>
      <c r="R1270"/>
      <c r="S1270"/>
      <c r="T1270"/>
      <c r="U1270"/>
      <c r="V1270"/>
      <c r="W1270" s="41"/>
      <c r="X1270" s="41"/>
      <c r="Y1270" s="41"/>
    </row>
    <row r="1271" s="27" customFormat="1" ht="23" hidden="1" customHeight="1" spans="1:25">
      <c r="A1271" s="133" t="str">
        <f>IF(B1271="","",COUNTA($B$5:B1271))</f>
        <v/>
      </c>
      <c r="B1271" s="148"/>
      <c r="C1271" s="22" t="s">
        <v>49</v>
      </c>
      <c r="D1271" s="149"/>
      <c r="E1271" s="150"/>
      <c r="F1271" s="151"/>
      <c r="G1271" s="151"/>
      <c r="H1271" s="142">
        <f>IFERROR(VLOOKUP($C1271,$C$5:$H$18,6,0)+SUMIF($C$19:$C1271,$C1271,$F$19:$F1271)-SUMIF($C$19:$C1271,$C1271,$G$19:$G1271),"")</f>
        <v>81211.819999998</v>
      </c>
      <c r="I1271" s="147"/>
      <c r="J1271" s="147"/>
      <c r="K1271" s="147" t="str">
        <f t="shared" si="19"/>
        <v/>
      </c>
      <c r="L1271" s="40"/>
      <c r="M1271"/>
      <c r="N1271"/>
      <c r="O1271"/>
      <c r="P1271"/>
      <c r="Q1271"/>
      <c r="R1271"/>
      <c r="S1271"/>
      <c r="T1271"/>
      <c r="U1271"/>
      <c r="V1271"/>
      <c r="W1271" s="41"/>
      <c r="X1271" s="41"/>
      <c r="Y1271" s="41"/>
    </row>
    <row r="1272" s="27" customFormat="1" ht="23" hidden="1" customHeight="1" spans="1:25">
      <c r="A1272" s="133" t="str">
        <f>IF(B1272="","",COUNTA($B$5:B1272))</f>
        <v/>
      </c>
      <c r="B1272" s="148"/>
      <c r="C1272" s="22" t="s">
        <v>49</v>
      </c>
      <c r="D1272" s="149"/>
      <c r="E1272" s="150"/>
      <c r="F1272" s="151"/>
      <c r="G1272" s="151"/>
      <c r="H1272" s="142">
        <f>IFERROR(VLOOKUP($C1272,$C$5:$H$18,6,0)+SUMIF($C$19:$C1272,$C1272,$F$19:$F1272)-SUMIF($C$19:$C1272,$C1272,$G$19:$G1272),"")</f>
        <v>81211.819999998</v>
      </c>
      <c r="I1272" s="147"/>
      <c r="J1272" s="147"/>
      <c r="K1272" s="147" t="str">
        <f t="shared" si="19"/>
        <v/>
      </c>
      <c r="L1272" s="40"/>
      <c r="M1272"/>
      <c r="N1272"/>
      <c r="O1272"/>
      <c r="P1272"/>
      <c r="Q1272"/>
      <c r="R1272"/>
      <c r="S1272"/>
      <c r="T1272"/>
      <c r="U1272"/>
      <c r="V1272"/>
      <c r="W1272" s="41"/>
      <c r="X1272" s="41"/>
      <c r="Y1272" s="41"/>
    </row>
    <row r="1273" s="27" customFormat="1" ht="23" hidden="1" customHeight="1" spans="1:25">
      <c r="A1273" s="133" t="str">
        <f>IF(B1273="","",COUNTA($B$5:B1273))</f>
        <v/>
      </c>
      <c r="B1273" s="148"/>
      <c r="C1273" s="22" t="s">
        <v>49</v>
      </c>
      <c r="D1273" s="149"/>
      <c r="E1273" s="150"/>
      <c r="F1273" s="151"/>
      <c r="G1273" s="151"/>
      <c r="H1273" s="142">
        <f>IFERROR(VLOOKUP($C1273,$C$5:$H$18,6,0)+SUMIF($C$19:$C1273,$C1273,$F$19:$F1273)-SUMIF($C$19:$C1273,$C1273,$G$19:$G1273),"")</f>
        <v>81211.819999998</v>
      </c>
      <c r="I1273" s="147"/>
      <c r="J1273" s="147"/>
      <c r="K1273" s="147" t="str">
        <f t="shared" si="19"/>
        <v/>
      </c>
      <c r="L1273" s="40"/>
      <c r="M1273"/>
      <c r="N1273"/>
      <c r="O1273"/>
      <c r="P1273"/>
      <c r="Q1273"/>
      <c r="R1273"/>
      <c r="S1273"/>
      <c r="T1273"/>
      <c r="U1273"/>
      <c r="V1273"/>
      <c r="W1273" s="41"/>
      <c r="X1273" s="41"/>
      <c r="Y1273" s="41"/>
    </row>
    <row r="1274" s="27" customFormat="1" ht="23" hidden="1" customHeight="1" spans="1:25">
      <c r="A1274" s="133" t="str">
        <f>IF(B1274="","",COUNTA($B$5:B1274))</f>
        <v/>
      </c>
      <c r="B1274" s="148"/>
      <c r="C1274" s="22" t="s">
        <v>49</v>
      </c>
      <c r="D1274" s="149"/>
      <c r="E1274" s="150"/>
      <c r="F1274" s="151"/>
      <c r="G1274" s="151"/>
      <c r="H1274" s="142">
        <f>IFERROR(VLOOKUP($C1274,$C$5:$H$18,6,0)+SUMIF($C$19:$C1274,$C1274,$F$19:$F1274)-SUMIF($C$19:$C1274,$C1274,$G$19:$G1274),"")</f>
        <v>81211.819999998</v>
      </c>
      <c r="I1274" s="147"/>
      <c r="J1274" s="147"/>
      <c r="K1274" s="147" t="str">
        <f t="shared" si="19"/>
        <v/>
      </c>
      <c r="L1274" s="40"/>
      <c r="M1274"/>
      <c r="N1274"/>
      <c r="O1274"/>
      <c r="P1274"/>
      <c r="Q1274"/>
      <c r="R1274"/>
      <c r="S1274"/>
      <c r="T1274"/>
      <c r="U1274"/>
      <c r="V1274"/>
      <c r="W1274" s="41"/>
      <c r="X1274" s="41"/>
      <c r="Y1274" s="41"/>
    </row>
    <row r="1275" s="27" customFormat="1" ht="23" hidden="1" customHeight="1" spans="1:25">
      <c r="A1275" s="133" t="str">
        <f>IF(B1275="","",COUNTA($B$5:B1275))</f>
        <v/>
      </c>
      <c r="B1275" s="148"/>
      <c r="C1275" s="22" t="s">
        <v>49</v>
      </c>
      <c r="D1275" s="149"/>
      <c r="E1275" s="150"/>
      <c r="F1275" s="151"/>
      <c r="G1275" s="151"/>
      <c r="H1275" s="142">
        <f>IFERROR(VLOOKUP($C1275,$C$5:$H$18,6,0)+SUMIF($C$19:$C1275,$C1275,$F$19:$F1275)-SUMIF($C$19:$C1275,$C1275,$G$19:$G1275),"")</f>
        <v>81211.819999998</v>
      </c>
      <c r="I1275" s="147"/>
      <c r="J1275" s="147"/>
      <c r="K1275" s="147" t="str">
        <f t="shared" si="19"/>
        <v/>
      </c>
      <c r="L1275" s="40"/>
      <c r="M1275"/>
      <c r="N1275"/>
      <c r="O1275"/>
      <c r="P1275"/>
      <c r="Q1275"/>
      <c r="R1275"/>
      <c r="S1275"/>
      <c r="T1275"/>
      <c r="U1275"/>
      <c r="V1275"/>
      <c r="W1275" s="41"/>
      <c r="X1275" s="41"/>
      <c r="Y1275" s="41"/>
    </row>
    <row r="1276" s="27" customFormat="1" ht="23" hidden="1" customHeight="1" spans="1:25">
      <c r="A1276" s="133" t="str">
        <f>IF(B1276="","",COUNTA($B$5:B1276))</f>
        <v/>
      </c>
      <c r="B1276" s="148"/>
      <c r="C1276" s="22" t="s">
        <v>49</v>
      </c>
      <c r="D1276" s="149"/>
      <c r="E1276" s="150"/>
      <c r="F1276" s="151"/>
      <c r="G1276" s="151"/>
      <c r="H1276" s="142">
        <f>IFERROR(VLOOKUP($C1276,$C$5:$H$18,6,0)+SUMIF($C$19:$C1276,$C1276,$F$19:$F1276)-SUMIF($C$19:$C1276,$C1276,$G$19:$G1276),"")</f>
        <v>81211.819999998</v>
      </c>
      <c r="I1276" s="147"/>
      <c r="J1276" s="147"/>
      <c r="K1276" s="147" t="str">
        <f t="shared" si="19"/>
        <v/>
      </c>
      <c r="L1276" s="40"/>
      <c r="M1276"/>
      <c r="N1276"/>
      <c r="O1276"/>
      <c r="P1276"/>
      <c r="Q1276"/>
      <c r="R1276"/>
      <c r="S1276"/>
      <c r="T1276"/>
      <c r="U1276"/>
      <c r="V1276"/>
      <c r="W1276" s="41"/>
      <c r="X1276" s="41"/>
      <c r="Y1276" s="41"/>
    </row>
    <row r="1277" s="27" customFormat="1" ht="23" hidden="1" customHeight="1" spans="1:25">
      <c r="A1277" s="133" t="str">
        <f>IF(B1277="","",COUNTA($B$5:B1277))</f>
        <v/>
      </c>
      <c r="B1277" s="148"/>
      <c r="C1277" s="22" t="s">
        <v>49</v>
      </c>
      <c r="D1277" s="149"/>
      <c r="E1277" s="150"/>
      <c r="F1277" s="151"/>
      <c r="G1277" s="151"/>
      <c r="H1277" s="142">
        <f>IFERROR(VLOOKUP($C1277,$C$5:$H$18,6,0)+SUMIF($C$19:$C1277,$C1277,$F$19:$F1277)-SUMIF($C$19:$C1277,$C1277,$G$19:$G1277),"")</f>
        <v>81211.819999998</v>
      </c>
      <c r="I1277" s="147"/>
      <c r="J1277" s="147"/>
      <c r="K1277" s="147" t="str">
        <f t="shared" si="19"/>
        <v/>
      </c>
      <c r="L1277" s="40"/>
      <c r="M1277"/>
      <c r="N1277"/>
      <c r="O1277"/>
      <c r="P1277"/>
      <c r="Q1277"/>
      <c r="R1277"/>
      <c r="S1277"/>
      <c r="T1277"/>
      <c r="U1277"/>
      <c r="V1277"/>
      <c r="W1277" s="41"/>
      <c r="X1277" s="41"/>
      <c r="Y1277" s="41"/>
    </row>
    <row r="1278" s="27" customFormat="1" ht="23" hidden="1" customHeight="1" spans="1:25">
      <c r="A1278" s="133" t="str">
        <f>IF(B1278="","",COUNTA($B$5:B1278))</f>
        <v/>
      </c>
      <c r="B1278" s="148"/>
      <c r="C1278" s="22" t="s">
        <v>49</v>
      </c>
      <c r="D1278" s="149"/>
      <c r="E1278" s="150"/>
      <c r="F1278" s="151"/>
      <c r="G1278" s="151"/>
      <c r="H1278" s="142">
        <f>IFERROR(VLOOKUP($C1278,$C$5:$H$18,6,0)+SUMIF($C$19:$C1278,$C1278,$F$19:$F1278)-SUMIF($C$19:$C1278,$C1278,$G$19:$G1278),"")</f>
        <v>81211.819999998</v>
      </c>
      <c r="I1278" s="147"/>
      <c r="J1278" s="147"/>
      <c r="K1278" s="147" t="str">
        <f t="shared" si="19"/>
        <v/>
      </c>
      <c r="L1278" s="40"/>
      <c r="M1278"/>
      <c r="N1278"/>
      <c r="O1278"/>
      <c r="P1278"/>
      <c r="Q1278"/>
      <c r="R1278"/>
      <c r="S1278"/>
      <c r="T1278"/>
      <c r="U1278"/>
      <c r="V1278"/>
      <c r="W1278" s="41"/>
      <c r="X1278" s="41"/>
      <c r="Y1278" s="41"/>
    </row>
    <row r="1279" s="27" customFormat="1" ht="23" hidden="1" customHeight="1" spans="1:25">
      <c r="A1279" s="133" t="str">
        <f>IF(B1279="","",COUNTA($B$5:B1279))</f>
        <v/>
      </c>
      <c r="B1279" s="148"/>
      <c r="C1279" s="22" t="s">
        <v>49</v>
      </c>
      <c r="D1279" s="149"/>
      <c r="E1279" s="150"/>
      <c r="F1279" s="151"/>
      <c r="G1279" s="151"/>
      <c r="H1279" s="142">
        <f>IFERROR(VLOOKUP($C1279,$C$5:$H$18,6,0)+SUMIF($C$19:$C1279,$C1279,$F$19:$F1279)-SUMIF($C$19:$C1279,$C1279,$G$19:$G1279),"")</f>
        <v>81211.819999998</v>
      </c>
      <c r="I1279" s="147"/>
      <c r="J1279" s="147"/>
      <c r="K1279" s="147" t="str">
        <f t="shared" si="19"/>
        <v/>
      </c>
      <c r="L1279" s="40"/>
      <c r="M1279"/>
      <c r="N1279"/>
      <c r="O1279"/>
      <c r="P1279"/>
      <c r="Q1279"/>
      <c r="R1279"/>
      <c r="S1279"/>
      <c r="T1279"/>
      <c r="U1279"/>
      <c r="V1279"/>
      <c r="W1279" s="41"/>
      <c r="X1279" s="41"/>
      <c r="Y1279" s="41"/>
    </row>
    <row r="1280" s="27" customFormat="1" ht="23" hidden="1" customHeight="1" spans="1:25">
      <c r="A1280" s="133" t="str">
        <f>IF(B1280="","",COUNTA($B$5:B1280))</f>
        <v/>
      </c>
      <c r="B1280" s="148"/>
      <c r="C1280" s="22" t="s">
        <v>49</v>
      </c>
      <c r="D1280" s="149"/>
      <c r="E1280" s="150"/>
      <c r="F1280" s="151"/>
      <c r="G1280" s="151"/>
      <c r="H1280" s="142">
        <f>IFERROR(VLOOKUP($C1280,$C$5:$H$18,6,0)+SUMIF($C$19:$C1280,$C1280,$F$19:$F1280)-SUMIF($C$19:$C1280,$C1280,$G$19:$G1280),"")</f>
        <v>81211.819999998</v>
      </c>
      <c r="I1280" s="147"/>
      <c r="J1280" s="147"/>
      <c r="K1280" s="147" t="str">
        <f t="shared" si="19"/>
        <v/>
      </c>
      <c r="L1280" s="40"/>
      <c r="M1280"/>
      <c r="N1280"/>
      <c r="O1280"/>
      <c r="P1280"/>
      <c r="Q1280"/>
      <c r="R1280"/>
      <c r="S1280"/>
      <c r="T1280"/>
      <c r="U1280"/>
      <c r="V1280"/>
      <c r="W1280" s="41"/>
      <c r="X1280" s="41"/>
      <c r="Y1280" s="41"/>
    </row>
    <row r="1281" s="27" customFormat="1" ht="23" hidden="1" customHeight="1" spans="1:25">
      <c r="A1281" s="133" t="str">
        <f>IF(B1281="","",COUNTA($B$5:B1281))</f>
        <v/>
      </c>
      <c r="B1281" s="148"/>
      <c r="C1281" s="22" t="s">
        <v>49</v>
      </c>
      <c r="D1281" s="149"/>
      <c r="E1281" s="150"/>
      <c r="F1281" s="151"/>
      <c r="G1281" s="151"/>
      <c r="H1281" s="142">
        <f>IFERROR(VLOOKUP($C1281,$C$5:$H$18,6,0)+SUMIF($C$19:$C1281,$C1281,$F$19:$F1281)-SUMIF($C$19:$C1281,$C1281,$G$19:$G1281),"")</f>
        <v>81211.819999998</v>
      </c>
      <c r="I1281" s="147"/>
      <c r="J1281" s="147"/>
      <c r="K1281" s="147" t="str">
        <f t="shared" si="19"/>
        <v/>
      </c>
      <c r="L1281" s="40"/>
      <c r="M1281"/>
      <c r="N1281"/>
      <c r="O1281"/>
      <c r="P1281"/>
      <c r="Q1281"/>
      <c r="R1281"/>
      <c r="S1281"/>
      <c r="T1281"/>
      <c r="U1281"/>
      <c r="V1281"/>
      <c r="W1281" s="41"/>
      <c r="X1281" s="41"/>
      <c r="Y1281" s="41"/>
    </row>
    <row r="1282" s="27" customFormat="1" ht="23" hidden="1" customHeight="1" spans="1:25">
      <c r="A1282" s="133" t="str">
        <f>IF(B1282="","",COUNTA($B$5:B1282))</f>
        <v/>
      </c>
      <c r="B1282" s="148"/>
      <c r="C1282" s="22" t="s">
        <v>49</v>
      </c>
      <c r="D1282" s="149"/>
      <c r="E1282" s="150"/>
      <c r="F1282" s="151"/>
      <c r="G1282" s="151"/>
      <c r="H1282" s="142">
        <f>IFERROR(VLOOKUP($C1282,$C$5:$H$18,6,0)+SUMIF($C$19:$C1282,$C1282,$F$19:$F1282)-SUMIF($C$19:$C1282,$C1282,$G$19:$G1282),"")</f>
        <v>81211.819999998</v>
      </c>
      <c r="I1282" s="147"/>
      <c r="J1282" s="147"/>
      <c r="K1282" s="147" t="str">
        <f t="shared" si="19"/>
        <v/>
      </c>
      <c r="L1282" s="40"/>
      <c r="M1282"/>
      <c r="N1282"/>
      <c r="O1282"/>
      <c r="P1282"/>
      <c r="Q1282"/>
      <c r="R1282"/>
      <c r="S1282"/>
      <c r="T1282"/>
      <c r="U1282"/>
      <c r="V1282"/>
      <c r="W1282" s="41"/>
      <c r="X1282" s="41"/>
      <c r="Y1282" s="41"/>
    </row>
    <row r="1283" s="27" customFormat="1" ht="23" hidden="1" customHeight="1" spans="1:25">
      <c r="A1283" s="133" t="str">
        <f>IF(B1283="","",COUNTA($B$5:B1283))</f>
        <v/>
      </c>
      <c r="B1283" s="148"/>
      <c r="C1283" s="22" t="s">
        <v>49</v>
      </c>
      <c r="D1283" s="149"/>
      <c r="E1283" s="150"/>
      <c r="F1283" s="151"/>
      <c r="G1283" s="151"/>
      <c r="H1283" s="142">
        <f>IFERROR(VLOOKUP($C1283,$C$5:$H$18,6,0)+SUMIF($C$19:$C1283,$C1283,$F$19:$F1283)-SUMIF($C$19:$C1283,$C1283,$G$19:$G1283),"")</f>
        <v>81211.819999998</v>
      </c>
      <c r="I1283" s="147"/>
      <c r="J1283" s="147"/>
      <c r="K1283" s="147" t="str">
        <f t="shared" si="19"/>
        <v/>
      </c>
      <c r="L1283" s="40"/>
      <c r="M1283"/>
      <c r="N1283"/>
      <c r="O1283"/>
      <c r="P1283"/>
      <c r="Q1283"/>
      <c r="R1283"/>
      <c r="S1283"/>
      <c r="T1283"/>
      <c r="U1283"/>
      <c r="V1283"/>
      <c r="W1283" s="41"/>
      <c r="X1283" s="41"/>
      <c r="Y1283" s="41"/>
    </row>
    <row r="1284" s="27" customFormat="1" ht="23" hidden="1" customHeight="1" spans="1:25">
      <c r="A1284" s="133" t="str">
        <f>IF(B1284="","",COUNTA($B$5:B1284))</f>
        <v/>
      </c>
      <c r="B1284" s="148"/>
      <c r="C1284" s="22" t="s">
        <v>49</v>
      </c>
      <c r="D1284" s="149"/>
      <c r="E1284" s="150"/>
      <c r="F1284" s="151"/>
      <c r="G1284" s="151"/>
      <c r="H1284" s="142">
        <f>IFERROR(VLOOKUP($C1284,$C$5:$H$18,6,0)+SUMIF($C$19:$C1284,$C1284,$F$19:$F1284)-SUMIF($C$19:$C1284,$C1284,$G$19:$G1284),"")</f>
        <v>81211.819999998</v>
      </c>
      <c r="I1284" s="147"/>
      <c r="J1284" s="147"/>
      <c r="K1284" s="147" t="str">
        <f t="shared" si="19"/>
        <v/>
      </c>
      <c r="L1284" s="40"/>
      <c r="M1284"/>
      <c r="N1284"/>
      <c r="O1284"/>
      <c r="P1284"/>
      <c r="Q1284"/>
      <c r="R1284"/>
      <c r="S1284"/>
      <c r="T1284"/>
      <c r="U1284"/>
      <c r="V1284"/>
      <c r="W1284" s="41"/>
      <c r="X1284" s="41"/>
      <c r="Y1284" s="41"/>
    </row>
    <row r="1285" s="27" customFormat="1" ht="23" hidden="1" customHeight="1" spans="1:25">
      <c r="A1285" s="133" t="str">
        <f>IF(B1285="","",COUNTA($B$5:B1285))</f>
        <v/>
      </c>
      <c r="B1285" s="148"/>
      <c r="C1285" s="22" t="s">
        <v>49</v>
      </c>
      <c r="D1285" s="149"/>
      <c r="E1285" s="150"/>
      <c r="F1285" s="151"/>
      <c r="G1285" s="151"/>
      <c r="H1285" s="142">
        <f>IFERROR(VLOOKUP($C1285,$C$5:$H$18,6,0)+SUMIF($C$19:$C1285,$C1285,$F$19:$F1285)-SUMIF($C$19:$C1285,$C1285,$G$19:$G1285),"")</f>
        <v>81211.819999998</v>
      </c>
      <c r="I1285" s="147"/>
      <c r="J1285" s="147"/>
      <c r="K1285" s="147" t="str">
        <f t="shared" ref="K1285:K1348" si="20">IF($B1285="","",--TEXT($B1285,"yyyymm"))</f>
        <v/>
      </c>
      <c r="L1285" s="40"/>
      <c r="M1285"/>
      <c r="N1285"/>
      <c r="O1285"/>
      <c r="P1285"/>
      <c r="Q1285"/>
      <c r="R1285"/>
      <c r="S1285"/>
      <c r="T1285"/>
      <c r="U1285"/>
      <c r="V1285"/>
      <c r="W1285" s="41"/>
      <c r="X1285" s="41"/>
      <c r="Y1285" s="41"/>
    </row>
    <row r="1286" s="27" customFormat="1" ht="23" hidden="1" customHeight="1" spans="1:25">
      <c r="A1286" s="133" t="str">
        <f>IF(B1286="","",COUNTA($B$5:B1286))</f>
        <v/>
      </c>
      <c r="B1286" s="148"/>
      <c r="C1286" s="22" t="s">
        <v>49</v>
      </c>
      <c r="D1286" s="149"/>
      <c r="E1286" s="150"/>
      <c r="F1286" s="151"/>
      <c r="G1286" s="151"/>
      <c r="H1286" s="142">
        <f>IFERROR(VLOOKUP($C1286,$C$5:$H$18,6,0)+SUMIF($C$19:$C1286,$C1286,$F$19:$F1286)-SUMIF($C$19:$C1286,$C1286,$G$19:$G1286),"")</f>
        <v>81211.819999998</v>
      </c>
      <c r="I1286" s="147"/>
      <c r="J1286" s="147"/>
      <c r="K1286" s="147" t="str">
        <f t="shared" si="20"/>
        <v/>
      </c>
      <c r="L1286" s="40"/>
      <c r="M1286"/>
      <c r="N1286"/>
      <c r="O1286"/>
      <c r="P1286"/>
      <c r="Q1286"/>
      <c r="R1286"/>
      <c r="S1286"/>
      <c r="T1286"/>
      <c r="U1286"/>
      <c r="V1286"/>
      <c r="W1286" s="41"/>
      <c r="X1286" s="41"/>
      <c r="Y1286" s="41"/>
    </row>
    <row r="1287" s="27" customFormat="1" ht="23" hidden="1" customHeight="1" spans="1:25">
      <c r="A1287" s="133" t="str">
        <f>IF(B1287="","",COUNTA($B$5:B1287))</f>
        <v/>
      </c>
      <c r="B1287" s="148"/>
      <c r="C1287" s="22" t="s">
        <v>49</v>
      </c>
      <c r="D1287" s="149"/>
      <c r="E1287" s="150"/>
      <c r="F1287" s="151"/>
      <c r="G1287" s="151"/>
      <c r="H1287" s="142">
        <f>IFERROR(VLOOKUP($C1287,$C$5:$H$18,6,0)+SUMIF($C$19:$C1287,$C1287,$F$19:$F1287)-SUMIF($C$19:$C1287,$C1287,$G$19:$G1287),"")</f>
        <v>81211.819999998</v>
      </c>
      <c r="I1287" s="147"/>
      <c r="J1287" s="147"/>
      <c r="K1287" s="147" t="str">
        <f t="shared" si="20"/>
        <v/>
      </c>
      <c r="L1287" s="40"/>
      <c r="M1287"/>
      <c r="N1287"/>
      <c r="O1287"/>
      <c r="P1287"/>
      <c r="Q1287"/>
      <c r="R1287"/>
      <c r="S1287"/>
      <c r="T1287"/>
      <c r="U1287"/>
      <c r="V1287"/>
      <c r="W1287" s="41"/>
      <c r="X1287" s="41"/>
      <c r="Y1287" s="41"/>
    </row>
    <row r="1288" s="27" customFormat="1" ht="23" hidden="1" customHeight="1" spans="1:25">
      <c r="A1288" s="133" t="str">
        <f>IF(B1288="","",COUNTA($B$5:B1288))</f>
        <v/>
      </c>
      <c r="B1288" s="148"/>
      <c r="C1288" s="22" t="s">
        <v>49</v>
      </c>
      <c r="D1288" s="149"/>
      <c r="E1288" s="150"/>
      <c r="F1288" s="151"/>
      <c r="G1288" s="151"/>
      <c r="H1288" s="142">
        <f>IFERROR(VLOOKUP($C1288,$C$5:$H$18,6,0)+SUMIF($C$19:$C1288,$C1288,$F$19:$F1288)-SUMIF($C$19:$C1288,$C1288,$G$19:$G1288),"")</f>
        <v>81211.819999998</v>
      </c>
      <c r="I1288" s="147"/>
      <c r="J1288" s="147"/>
      <c r="K1288" s="147" t="str">
        <f t="shared" si="20"/>
        <v/>
      </c>
      <c r="L1288" s="40"/>
      <c r="M1288"/>
      <c r="N1288"/>
      <c r="O1288"/>
      <c r="P1288"/>
      <c r="Q1288"/>
      <c r="R1288"/>
      <c r="S1288"/>
      <c r="T1288"/>
      <c r="U1288"/>
      <c r="V1288"/>
      <c r="W1288" s="41"/>
      <c r="X1288" s="41"/>
      <c r="Y1288" s="41"/>
    </row>
    <row r="1289" s="27" customFormat="1" ht="23" hidden="1" customHeight="1" spans="1:25">
      <c r="A1289" s="133" t="str">
        <f>IF(B1289="","",COUNTA($B$5:B1289))</f>
        <v/>
      </c>
      <c r="B1289" s="148"/>
      <c r="C1289" s="22" t="s">
        <v>49</v>
      </c>
      <c r="D1289" s="149"/>
      <c r="E1289" s="150"/>
      <c r="F1289" s="151"/>
      <c r="G1289" s="151"/>
      <c r="H1289" s="142">
        <f>IFERROR(VLOOKUP($C1289,$C$5:$H$18,6,0)+SUMIF($C$19:$C1289,$C1289,$F$19:$F1289)-SUMIF($C$19:$C1289,$C1289,$G$19:$G1289),"")</f>
        <v>81211.819999998</v>
      </c>
      <c r="I1289" s="147"/>
      <c r="J1289" s="147"/>
      <c r="K1289" s="147" t="str">
        <f t="shared" si="20"/>
        <v/>
      </c>
      <c r="L1289" s="40"/>
      <c r="M1289"/>
      <c r="N1289"/>
      <c r="O1289"/>
      <c r="P1289"/>
      <c r="Q1289"/>
      <c r="R1289"/>
      <c r="S1289"/>
      <c r="T1289"/>
      <c r="U1289"/>
      <c r="V1289"/>
      <c r="W1289" s="41"/>
      <c r="X1289" s="41"/>
      <c r="Y1289" s="41"/>
    </row>
    <row r="1290" s="27" customFormat="1" ht="23" hidden="1" customHeight="1" spans="1:25">
      <c r="A1290" s="133" t="str">
        <f>IF(B1290="","",COUNTA($B$5:B1290))</f>
        <v/>
      </c>
      <c r="B1290" s="148"/>
      <c r="C1290" s="22" t="s">
        <v>49</v>
      </c>
      <c r="D1290" s="149"/>
      <c r="E1290" s="150"/>
      <c r="F1290" s="151"/>
      <c r="G1290" s="151"/>
      <c r="H1290" s="142">
        <f>IFERROR(VLOOKUP($C1290,$C$5:$H$18,6,0)+SUMIF($C$19:$C1290,$C1290,$F$19:$F1290)-SUMIF($C$19:$C1290,$C1290,$G$19:$G1290),"")</f>
        <v>81211.819999998</v>
      </c>
      <c r="I1290" s="147"/>
      <c r="J1290" s="147"/>
      <c r="K1290" s="147" t="str">
        <f t="shared" si="20"/>
        <v/>
      </c>
      <c r="L1290" s="40"/>
      <c r="M1290"/>
      <c r="N1290"/>
      <c r="O1290"/>
      <c r="P1290"/>
      <c r="Q1290"/>
      <c r="R1290"/>
      <c r="S1290"/>
      <c r="T1290"/>
      <c r="U1290"/>
      <c r="V1290"/>
      <c r="W1290" s="41"/>
      <c r="X1290" s="41"/>
      <c r="Y1290" s="41"/>
    </row>
    <row r="1291" s="27" customFormat="1" ht="23" hidden="1" customHeight="1" spans="1:25">
      <c r="A1291" s="133" t="str">
        <f>IF(B1291="","",COUNTA($B$5:B1291))</f>
        <v/>
      </c>
      <c r="B1291" s="148"/>
      <c r="C1291" s="22" t="s">
        <v>49</v>
      </c>
      <c r="D1291" s="149"/>
      <c r="E1291" s="150"/>
      <c r="F1291" s="151"/>
      <c r="G1291" s="151"/>
      <c r="H1291" s="142">
        <f>IFERROR(VLOOKUP($C1291,$C$5:$H$18,6,0)+SUMIF($C$19:$C1291,$C1291,$F$19:$F1291)-SUMIF($C$19:$C1291,$C1291,$G$19:$G1291),"")</f>
        <v>81211.819999998</v>
      </c>
      <c r="I1291" s="147"/>
      <c r="J1291" s="147"/>
      <c r="K1291" s="147" t="str">
        <f t="shared" si="20"/>
        <v/>
      </c>
      <c r="L1291" s="40"/>
      <c r="M1291"/>
      <c r="N1291"/>
      <c r="O1291"/>
      <c r="P1291"/>
      <c r="Q1291"/>
      <c r="R1291"/>
      <c r="S1291"/>
      <c r="T1291"/>
      <c r="U1291"/>
      <c r="V1291"/>
      <c r="W1291" s="41"/>
      <c r="X1291" s="41"/>
      <c r="Y1291" s="41"/>
    </row>
    <row r="1292" s="27" customFormat="1" ht="23" hidden="1" customHeight="1" spans="1:25">
      <c r="A1292" s="133" t="str">
        <f>IF(B1292="","",COUNTA($B$5:B1292))</f>
        <v/>
      </c>
      <c r="B1292" s="148"/>
      <c r="C1292" s="22" t="s">
        <v>49</v>
      </c>
      <c r="D1292" s="149"/>
      <c r="E1292" s="150"/>
      <c r="F1292" s="151"/>
      <c r="G1292" s="151"/>
      <c r="H1292" s="142">
        <f>IFERROR(VLOOKUP($C1292,$C$5:$H$18,6,0)+SUMIF($C$19:$C1292,$C1292,$F$19:$F1292)-SUMIF($C$19:$C1292,$C1292,$G$19:$G1292),"")</f>
        <v>81211.819999998</v>
      </c>
      <c r="I1292" s="147"/>
      <c r="J1292" s="147"/>
      <c r="K1292" s="147" t="str">
        <f t="shared" si="20"/>
        <v/>
      </c>
      <c r="L1292" s="40"/>
      <c r="M1292"/>
      <c r="N1292"/>
      <c r="O1292"/>
      <c r="P1292"/>
      <c r="Q1292"/>
      <c r="R1292"/>
      <c r="S1292"/>
      <c r="T1292"/>
      <c r="U1292"/>
      <c r="V1292"/>
      <c r="W1292" s="41"/>
      <c r="X1292" s="41"/>
      <c r="Y1292" s="41"/>
    </row>
    <row r="1293" s="27" customFormat="1" ht="23" hidden="1" customHeight="1" spans="1:25">
      <c r="A1293" s="133" t="str">
        <f>IF(B1293="","",COUNTA($B$5:B1293))</f>
        <v/>
      </c>
      <c r="B1293" s="148"/>
      <c r="C1293" s="22" t="s">
        <v>49</v>
      </c>
      <c r="D1293" s="149"/>
      <c r="E1293" s="150"/>
      <c r="F1293" s="151"/>
      <c r="G1293" s="151"/>
      <c r="H1293" s="142">
        <f>IFERROR(VLOOKUP($C1293,$C$5:$H$18,6,0)+SUMIF($C$19:$C1293,$C1293,$F$19:$F1293)-SUMIF($C$19:$C1293,$C1293,$G$19:$G1293),"")</f>
        <v>81211.819999998</v>
      </c>
      <c r="I1293" s="147"/>
      <c r="J1293" s="147"/>
      <c r="K1293" s="147" t="str">
        <f t="shared" si="20"/>
        <v/>
      </c>
      <c r="L1293" s="40"/>
      <c r="M1293"/>
      <c r="N1293"/>
      <c r="O1293"/>
      <c r="P1293"/>
      <c r="Q1293"/>
      <c r="R1293"/>
      <c r="S1293"/>
      <c r="T1293"/>
      <c r="U1293"/>
      <c r="V1293"/>
      <c r="W1293" s="41"/>
      <c r="X1293" s="41"/>
      <c r="Y1293" s="41"/>
    </row>
    <row r="1294" s="27" customFormat="1" ht="23" hidden="1" customHeight="1" spans="1:25">
      <c r="A1294" s="133" t="str">
        <f>IF(B1294="","",COUNTA($B$5:B1294))</f>
        <v/>
      </c>
      <c r="B1294" s="148"/>
      <c r="C1294" s="22" t="s">
        <v>49</v>
      </c>
      <c r="D1294" s="149"/>
      <c r="E1294" s="150"/>
      <c r="F1294" s="151"/>
      <c r="G1294" s="151"/>
      <c r="H1294" s="142">
        <f>IFERROR(VLOOKUP($C1294,$C$5:$H$18,6,0)+SUMIF($C$19:$C1294,$C1294,$F$19:$F1294)-SUMIF($C$19:$C1294,$C1294,$G$19:$G1294),"")</f>
        <v>81211.819999998</v>
      </c>
      <c r="I1294" s="147"/>
      <c r="J1294" s="147"/>
      <c r="K1294" s="147" t="str">
        <f t="shared" si="20"/>
        <v/>
      </c>
      <c r="L1294" s="40"/>
      <c r="M1294"/>
      <c r="N1294"/>
      <c r="O1294"/>
      <c r="P1294"/>
      <c r="Q1294"/>
      <c r="R1294"/>
      <c r="S1294"/>
      <c r="T1294"/>
      <c r="U1294"/>
      <c r="V1294"/>
      <c r="W1294" s="41"/>
      <c r="X1294" s="41"/>
      <c r="Y1294" s="41"/>
    </row>
    <row r="1295" s="27" customFormat="1" ht="23" hidden="1" customHeight="1" spans="1:25">
      <c r="A1295" s="133" t="str">
        <f>IF(B1295="","",COUNTA($B$5:B1295))</f>
        <v/>
      </c>
      <c r="B1295" s="148"/>
      <c r="C1295" s="22" t="s">
        <v>49</v>
      </c>
      <c r="D1295" s="149"/>
      <c r="E1295" s="150"/>
      <c r="F1295" s="151"/>
      <c r="G1295" s="151"/>
      <c r="H1295" s="142">
        <f>IFERROR(VLOOKUP($C1295,$C$5:$H$18,6,0)+SUMIF($C$19:$C1295,$C1295,$F$19:$F1295)-SUMIF($C$19:$C1295,$C1295,$G$19:$G1295),"")</f>
        <v>81211.819999998</v>
      </c>
      <c r="I1295" s="147"/>
      <c r="J1295" s="147"/>
      <c r="K1295" s="147" t="str">
        <f t="shared" si="20"/>
        <v/>
      </c>
      <c r="L1295" s="40"/>
      <c r="M1295"/>
      <c r="N1295"/>
      <c r="O1295"/>
      <c r="P1295"/>
      <c r="Q1295"/>
      <c r="R1295"/>
      <c r="S1295"/>
      <c r="T1295"/>
      <c r="U1295"/>
      <c r="V1295"/>
      <c r="W1295" s="41"/>
      <c r="X1295" s="41"/>
      <c r="Y1295" s="41"/>
    </row>
    <row r="1296" s="27" customFormat="1" ht="23" hidden="1" customHeight="1" spans="1:25">
      <c r="A1296" s="133" t="str">
        <f>IF(B1296="","",COUNTA($B$5:B1296))</f>
        <v/>
      </c>
      <c r="B1296" s="148"/>
      <c r="C1296" s="22" t="s">
        <v>49</v>
      </c>
      <c r="D1296" s="149"/>
      <c r="E1296" s="150"/>
      <c r="F1296" s="151"/>
      <c r="G1296" s="151"/>
      <c r="H1296" s="142">
        <f>IFERROR(VLOOKUP($C1296,$C$5:$H$18,6,0)+SUMIF($C$19:$C1296,$C1296,$F$19:$F1296)-SUMIF($C$19:$C1296,$C1296,$G$19:$G1296),"")</f>
        <v>81211.819999998</v>
      </c>
      <c r="I1296" s="147"/>
      <c r="J1296" s="147"/>
      <c r="K1296" s="147" t="str">
        <f t="shared" si="20"/>
        <v/>
      </c>
      <c r="L1296" s="40"/>
      <c r="M1296"/>
      <c r="N1296"/>
      <c r="O1296"/>
      <c r="P1296"/>
      <c r="Q1296"/>
      <c r="R1296"/>
      <c r="S1296"/>
      <c r="T1296"/>
      <c r="U1296"/>
      <c r="V1296"/>
      <c r="W1296" s="41"/>
      <c r="X1296" s="41"/>
      <c r="Y1296" s="41"/>
    </row>
    <row r="1297" s="27" customFormat="1" ht="23" hidden="1" customHeight="1" spans="1:25">
      <c r="A1297" s="133" t="str">
        <f>IF(B1297="","",COUNTA($B$5:B1297))</f>
        <v/>
      </c>
      <c r="B1297" s="148"/>
      <c r="C1297" s="22" t="s">
        <v>49</v>
      </c>
      <c r="D1297" s="149"/>
      <c r="E1297" s="150"/>
      <c r="F1297" s="151"/>
      <c r="G1297" s="151"/>
      <c r="H1297" s="142">
        <f>IFERROR(VLOOKUP($C1297,$C$5:$H$18,6,0)+SUMIF($C$19:$C1297,$C1297,$F$19:$F1297)-SUMIF($C$19:$C1297,$C1297,$G$19:$G1297),"")</f>
        <v>81211.819999998</v>
      </c>
      <c r="I1297" s="147"/>
      <c r="J1297" s="147"/>
      <c r="K1297" s="147" t="str">
        <f t="shared" si="20"/>
        <v/>
      </c>
      <c r="L1297" s="40"/>
      <c r="M1297"/>
      <c r="N1297"/>
      <c r="O1297"/>
      <c r="P1297"/>
      <c r="Q1297"/>
      <c r="R1297"/>
      <c r="S1297"/>
      <c r="T1297"/>
      <c r="U1297"/>
      <c r="V1297"/>
      <c r="W1297" s="41"/>
      <c r="X1297" s="41"/>
      <c r="Y1297" s="41"/>
    </row>
    <row r="1298" s="27" customFormat="1" ht="23" hidden="1" customHeight="1" spans="1:25">
      <c r="A1298" s="133" t="str">
        <f>IF(B1298="","",COUNTA($B$5:B1298))</f>
        <v/>
      </c>
      <c r="B1298" s="148"/>
      <c r="C1298" s="22" t="s">
        <v>49</v>
      </c>
      <c r="D1298" s="149"/>
      <c r="E1298" s="150"/>
      <c r="F1298" s="151"/>
      <c r="G1298" s="151"/>
      <c r="H1298" s="142">
        <f>IFERROR(VLOOKUP($C1298,$C$5:$H$18,6,0)+SUMIF($C$19:$C1298,$C1298,$F$19:$F1298)-SUMIF($C$19:$C1298,$C1298,$G$19:$G1298),"")</f>
        <v>81211.819999998</v>
      </c>
      <c r="I1298" s="147"/>
      <c r="J1298" s="147"/>
      <c r="K1298" s="147" t="str">
        <f t="shared" si="20"/>
        <v/>
      </c>
      <c r="L1298" s="40"/>
      <c r="M1298"/>
      <c r="N1298"/>
      <c r="O1298"/>
      <c r="P1298"/>
      <c r="Q1298"/>
      <c r="R1298"/>
      <c r="S1298"/>
      <c r="T1298"/>
      <c r="U1298"/>
      <c r="V1298"/>
      <c r="W1298" s="41"/>
      <c r="X1298" s="41"/>
      <c r="Y1298" s="41"/>
    </row>
    <row r="1299" s="27" customFormat="1" ht="23" hidden="1" customHeight="1" spans="1:25">
      <c r="A1299" s="133" t="str">
        <f>IF(B1299="","",COUNTA($B$5:B1299))</f>
        <v/>
      </c>
      <c r="B1299" s="148"/>
      <c r="C1299" s="22" t="s">
        <v>49</v>
      </c>
      <c r="D1299" s="149"/>
      <c r="E1299" s="150"/>
      <c r="F1299" s="151"/>
      <c r="G1299" s="151"/>
      <c r="H1299" s="142">
        <f>IFERROR(VLOOKUP($C1299,$C$5:$H$18,6,0)+SUMIF($C$19:$C1299,$C1299,$F$19:$F1299)-SUMIF($C$19:$C1299,$C1299,$G$19:$G1299),"")</f>
        <v>81211.819999998</v>
      </c>
      <c r="I1299" s="147"/>
      <c r="J1299" s="147"/>
      <c r="K1299" s="147" t="str">
        <f t="shared" si="20"/>
        <v/>
      </c>
      <c r="L1299" s="40"/>
      <c r="M1299"/>
      <c r="N1299"/>
      <c r="O1299"/>
      <c r="P1299"/>
      <c r="Q1299"/>
      <c r="R1299"/>
      <c r="S1299"/>
      <c r="T1299"/>
      <c r="U1299"/>
      <c r="V1299"/>
      <c r="W1299" s="41"/>
      <c r="X1299" s="41"/>
      <c r="Y1299" s="41"/>
    </row>
    <row r="1300" s="27" customFormat="1" ht="23" hidden="1" customHeight="1" spans="1:25">
      <c r="A1300" s="133" t="str">
        <f>IF(B1300="","",COUNTA($B$5:B1300))</f>
        <v/>
      </c>
      <c r="B1300" s="148"/>
      <c r="C1300" s="22" t="s">
        <v>49</v>
      </c>
      <c r="D1300" s="149"/>
      <c r="E1300" s="150"/>
      <c r="F1300" s="151"/>
      <c r="G1300" s="151"/>
      <c r="H1300" s="142">
        <f>IFERROR(VLOOKUP($C1300,$C$5:$H$18,6,0)+SUMIF($C$19:$C1300,$C1300,$F$19:$F1300)-SUMIF($C$19:$C1300,$C1300,$G$19:$G1300),"")</f>
        <v>81211.819999998</v>
      </c>
      <c r="I1300" s="147"/>
      <c r="J1300" s="147"/>
      <c r="K1300" s="147" t="str">
        <f t="shared" si="20"/>
        <v/>
      </c>
      <c r="L1300" s="40"/>
      <c r="M1300"/>
      <c r="N1300"/>
      <c r="O1300"/>
      <c r="P1300"/>
      <c r="Q1300"/>
      <c r="R1300"/>
      <c r="S1300"/>
      <c r="T1300"/>
      <c r="U1300"/>
      <c r="V1300"/>
      <c r="W1300" s="41"/>
      <c r="X1300" s="41"/>
      <c r="Y1300" s="41"/>
    </row>
    <row r="1301" s="27" customFormat="1" ht="23" hidden="1" customHeight="1" spans="1:25">
      <c r="A1301" s="133" t="str">
        <f>IF(B1301="","",COUNTA($B$5:B1301))</f>
        <v/>
      </c>
      <c r="B1301" s="148"/>
      <c r="C1301" s="22" t="s">
        <v>49</v>
      </c>
      <c r="D1301" s="149"/>
      <c r="E1301" s="150"/>
      <c r="F1301" s="151"/>
      <c r="G1301" s="151"/>
      <c r="H1301" s="142">
        <f>IFERROR(VLOOKUP($C1301,$C$5:$H$18,6,0)+SUMIF($C$19:$C1301,$C1301,$F$19:$F1301)-SUMIF($C$19:$C1301,$C1301,$G$19:$G1301),"")</f>
        <v>81211.819999998</v>
      </c>
      <c r="I1301" s="147"/>
      <c r="J1301" s="147"/>
      <c r="K1301" s="147" t="str">
        <f t="shared" si="20"/>
        <v/>
      </c>
      <c r="L1301" s="40"/>
      <c r="M1301"/>
      <c r="N1301"/>
      <c r="O1301"/>
      <c r="P1301"/>
      <c r="Q1301"/>
      <c r="R1301"/>
      <c r="S1301"/>
      <c r="T1301"/>
      <c r="U1301"/>
      <c r="V1301"/>
      <c r="W1301" s="41"/>
      <c r="X1301" s="41"/>
      <c r="Y1301" s="41"/>
    </row>
    <row r="1302" s="27" customFormat="1" ht="23" hidden="1" customHeight="1" spans="1:25">
      <c r="A1302" s="133" t="str">
        <f>IF(B1302="","",COUNTA($B$5:B1302))</f>
        <v/>
      </c>
      <c r="B1302" s="148"/>
      <c r="C1302" s="22" t="s">
        <v>49</v>
      </c>
      <c r="D1302" s="149"/>
      <c r="E1302" s="150"/>
      <c r="F1302" s="151"/>
      <c r="G1302" s="151"/>
      <c r="H1302" s="142">
        <f>IFERROR(VLOOKUP($C1302,$C$5:$H$18,6,0)+SUMIF($C$19:$C1302,$C1302,$F$19:$F1302)-SUMIF($C$19:$C1302,$C1302,$G$19:$G1302),"")</f>
        <v>81211.819999998</v>
      </c>
      <c r="I1302" s="147"/>
      <c r="J1302" s="147"/>
      <c r="K1302" s="147" t="str">
        <f t="shared" si="20"/>
        <v/>
      </c>
      <c r="L1302" s="40"/>
      <c r="M1302"/>
      <c r="N1302"/>
      <c r="O1302"/>
      <c r="P1302"/>
      <c r="Q1302"/>
      <c r="R1302"/>
      <c r="S1302"/>
      <c r="T1302"/>
      <c r="U1302"/>
      <c r="V1302"/>
      <c r="W1302" s="41"/>
      <c r="X1302" s="41"/>
      <c r="Y1302" s="41"/>
    </row>
    <row r="1303" s="27" customFormat="1" ht="23" hidden="1" customHeight="1" spans="1:25">
      <c r="A1303" s="133" t="str">
        <f>IF(B1303="","",COUNTA($B$5:B1303))</f>
        <v/>
      </c>
      <c r="B1303" s="148"/>
      <c r="C1303" s="22" t="s">
        <v>49</v>
      </c>
      <c r="D1303" s="149"/>
      <c r="E1303" s="150"/>
      <c r="F1303" s="151"/>
      <c r="G1303" s="151"/>
      <c r="H1303" s="142">
        <f>IFERROR(VLOOKUP($C1303,$C$5:$H$18,6,0)+SUMIF($C$19:$C1303,$C1303,$F$19:$F1303)-SUMIF($C$19:$C1303,$C1303,$G$19:$G1303),"")</f>
        <v>81211.819999998</v>
      </c>
      <c r="I1303" s="147"/>
      <c r="J1303" s="147"/>
      <c r="K1303" s="147" t="str">
        <f t="shared" si="20"/>
        <v/>
      </c>
      <c r="L1303" s="40"/>
      <c r="M1303"/>
      <c r="N1303"/>
      <c r="O1303"/>
      <c r="P1303"/>
      <c r="Q1303"/>
      <c r="R1303"/>
      <c r="S1303"/>
      <c r="T1303"/>
      <c r="U1303"/>
      <c r="V1303"/>
      <c r="W1303" s="41"/>
      <c r="X1303" s="41"/>
      <c r="Y1303" s="41"/>
    </row>
    <row r="1304" s="27" customFormat="1" ht="23" hidden="1" customHeight="1" spans="1:25">
      <c r="A1304" s="133" t="str">
        <f>IF(B1304="","",COUNTA($B$5:B1304))</f>
        <v/>
      </c>
      <c r="B1304" s="148"/>
      <c r="C1304" s="22" t="s">
        <v>49</v>
      </c>
      <c r="D1304" s="149"/>
      <c r="E1304" s="150"/>
      <c r="F1304" s="151"/>
      <c r="G1304" s="151"/>
      <c r="H1304" s="142">
        <f>IFERROR(VLOOKUP($C1304,$C$5:$H$18,6,0)+SUMIF($C$19:$C1304,$C1304,$F$19:$F1304)-SUMIF($C$19:$C1304,$C1304,$G$19:$G1304),"")</f>
        <v>81211.819999998</v>
      </c>
      <c r="I1304" s="147"/>
      <c r="J1304" s="147"/>
      <c r="K1304" s="147" t="str">
        <f t="shared" si="20"/>
        <v/>
      </c>
      <c r="L1304" s="40"/>
      <c r="M1304"/>
      <c r="N1304"/>
      <c r="O1304"/>
      <c r="P1304"/>
      <c r="Q1304"/>
      <c r="R1304"/>
      <c r="S1304"/>
      <c r="T1304"/>
      <c r="U1304"/>
      <c r="V1304"/>
      <c r="W1304" s="41"/>
      <c r="X1304" s="41"/>
      <c r="Y1304" s="41"/>
    </row>
    <row r="1305" s="27" customFormat="1" ht="23" hidden="1" customHeight="1" spans="1:25">
      <c r="A1305" s="133" t="str">
        <f>IF(B1305="","",COUNTA($B$5:B1305))</f>
        <v/>
      </c>
      <c r="B1305" s="148"/>
      <c r="C1305" s="22" t="s">
        <v>49</v>
      </c>
      <c r="D1305" s="149"/>
      <c r="E1305" s="150"/>
      <c r="F1305" s="151"/>
      <c r="G1305" s="151"/>
      <c r="H1305" s="142">
        <f>IFERROR(VLOOKUP($C1305,$C$5:$H$18,6,0)+SUMIF($C$19:$C1305,$C1305,$F$19:$F1305)-SUMIF($C$19:$C1305,$C1305,$G$19:$G1305),"")</f>
        <v>81211.819999998</v>
      </c>
      <c r="I1305" s="147"/>
      <c r="J1305" s="147"/>
      <c r="K1305" s="147" t="str">
        <f t="shared" si="20"/>
        <v/>
      </c>
      <c r="L1305" s="40"/>
      <c r="M1305"/>
      <c r="N1305"/>
      <c r="O1305"/>
      <c r="P1305"/>
      <c r="Q1305"/>
      <c r="R1305"/>
      <c r="S1305"/>
      <c r="T1305"/>
      <c r="U1305"/>
      <c r="V1305"/>
      <c r="W1305" s="41"/>
      <c r="X1305" s="41"/>
      <c r="Y1305" s="41"/>
    </row>
    <row r="1306" s="27" customFormat="1" ht="23" hidden="1" customHeight="1" spans="1:25">
      <c r="A1306" s="133" t="str">
        <f>IF(B1306="","",COUNTA($B$5:B1306))</f>
        <v/>
      </c>
      <c r="B1306" s="148"/>
      <c r="C1306" s="22" t="s">
        <v>49</v>
      </c>
      <c r="D1306" s="149"/>
      <c r="E1306" s="150"/>
      <c r="F1306" s="151"/>
      <c r="G1306" s="151"/>
      <c r="H1306" s="142">
        <f>IFERROR(VLOOKUP($C1306,$C$5:$H$18,6,0)+SUMIF($C$19:$C1306,$C1306,$F$19:$F1306)-SUMIF($C$19:$C1306,$C1306,$G$19:$G1306),"")</f>
        <v>81211.819999998</v>
      </c>
      <c r="I1306" s="147"/>
      <c r="J1306" s="147"/>
      <c r="K1306" s="147" t="str">
        <f t="shared" si="20"/>
        <v/>
      </c>
      <c r="L1306" s="40"/>
      <c r="M1306"/>
      <c r="N1306"/>
      <c r="O1306"/>
      <c r="P1306"/>
      <c r="Q1306"/>
      <c r="R1306"/>
      <c r="S1306"/>
      <c r="T1306"/>
      <c r="U1306"/>
      <c r="V1306"/>
      <c r="W1306" s="41"/>
      <c r="X1306" s="41"/>
      <c r="Y1306" s="41"/>
    </row>
    <row r="1307" s="27" customFormat="1" ht="23" hidden="1" customHeight="1" spans="1:25">
      <c r="A1307" s="133" t="str">
        <f>IF(B1307="","",COUNTA($B$5:B1307))</f>
        <v/>
      </c>
      <c r="B1307" s="148"/>
      <c r="C1307" s="22" t="s">
        <v>49</v>
      </c>
      <c r="D1307" s="149"/>
      <c r="E1307" s="150"/>
      <c r="F1307" s="151"/>
      <c r="G1307" s="151"/>
      <c r="H1307" s="142">
        <f>IFERROR(VLOOKUP($C1307,$C$5:$H$18,6,0)+SUMIF($C$19:$C1307,$C1307,$F$19:$F1307)-SUMIF($C$19:$C1307,$C1307,$G$19:$G1307),"")</f>
        <v>81211.819999998</v>
      </c>
      <c r="I1307" s="147"/>
      <c r="J1307" s="147"/>
      <c r="K1307" s="147" t="str">
        <f t="shared" si="20"/>
        <v/>
      </c>
      <c r="L1307" s="40"/>
      <c r="M1307"/>
      <c r="N1307"/>
      <c r="O1307"/>
      <c r="P1307"/>
      <c r="Q1307"/>
      <c r="R1307"/>
      <c r="S1307"/>
      <c r="T1307"/>
      <c r="U1307"/>
      <c r="V1307"/>
      <c r="W1307" s="41"/>
      <c r="X1307" s="41"/>
      <c r="Y1307" s="41"/>
    </row>
    <row r="1308" s="27" customFormat="1" ht="23" hidden="1" customHeight="1" spans="1:25">
      <c r="A1308" s="133" t="str">
        <f>IF(B1308="","",COUNTA($B$5:B1308))</f>
        <v/>
      </c>
      <c r="B1308" s="148"/>
      <c r="C1308" s="22" t="s">
        <v>49</v>
      </c>
      <c r="D1308" s="149"/>
      <c r="E1308" s="150"/>
      <c r="F1308" s="151"/>
      <c r="G1308" s="151"/>
      <c r="H1308" s="142">
        <f>IFERROR(VLOOKUP($C1308,$C$5:$H$18,6,0)+SUMIF($C$19:$C1308,$C1308,$F$19:$F1308)-SUMIF($C$19:$C1308,$C1308,$G$19:$G1308),"")</f>
        <v>81211.819999998</v>
      </c>
      <c r="I1308" s="147"/>
      <c r="J1308" s="147"/>
      <c r="K1308" s="147" t="str">
        <f t="shared" si="20"/>
        <v/>
      </c>
      <c r="L1308" s="40"/>
      <c r="M1308"/>
      <c r="N1308"/>
      <c r="O1308"/>
      <c r="P1308"/>
      <c r="Q1308"/>
      <c r="R1308"/>
      <c r="S1308"/>
      <c r="T1308"/>
      <c r="U1308"/>
      <c r="V1308"/>
      <c r="W1308" s="41"/>
      <c r="X1308" s="41"/>
      <c r="Y1308" s="41"/>
    </row>
    <row r="1309" s="27" customFormat="1" ht="23" hidden="1" customHeight="1" spans="1:25">
      <c r="A1309" s="133" t="str">
        <f>IF(B1309="","",COUNTA($B$5:B1309))</f>
        <v/>
      </c>
      <c r="B1309" s="148"/>
      <c r="C1309" s="22" t="s">
        <v>49</v>
      </c>
      <c r="D1309" s="149"/>
      <c r="E1309" s="150"/>
      <c r="F1309" s="151"/>
      <c r="G1309" s="151"/>
      <c r="H1309" s="142">
        <f>IFERROR(VLOOKUP($C1309,$C$5:$H$18,6,0)+SUMIF($C$19:$C1309,$C1309,$F$19:$F1309)-SUMIF($C$19:$C1309,$C1309,$G$19:$G1309),"")</f>
        <v>81211.819999998</v>
      </c>
      <c r="I1309" s="147"/>
      <c r="J1309" s="147"/>
      <c r="K1309" s="147" t="str">
        <f t="shared" si="20"/>
        <v/>
      </c>
      <c r="L1309" s="40"/>
      <c r="M1309"/>
      <c r="N1309"/>
      <c r="O1309"/>
      <c r="P1309"/>
      <c r="Q1309"/>
      <c r="R1309"/>
      <c r="S1309"/>
      <c r="T1309"/>
      <c r="U1309"/>
      <c r="V1309"/>
      <c r="W1309" s="41"/>
      <c r="X1309" s="41"/>
      <c r="Y1309" s="41"/>
    </row>
    <row r="1310" s="27" customFormat="1" ht="23" hidden="1" customHeight="1" spans="1:25">
      <c r="A1310" s="133" t="str">
        <f>IF(B1310="","",COUNTA($B$5:B1310))</f>
        <v/>
      </c>
      <c r="B1310" s="148"/>
      <c r="C1310" s="22" t="s">
        <v>49</v>
      </c>
      <c r="D1310" s="149"/>
      <c r="E1310" s="150"/>
      <c r="F1310" s="151"/>
      <c r="G1310" s="151"/>
      <c r="H1310" s="142">
        <f>IFERROR(VLOOKUP($C1310,$C$5:$H$18,6,0)+SUMIF($C$19:$C1310,$C1310,$F$19:$F1310)-SUMIF($C$19:$C1310,$C1310,$G$19:$G1310),"")</f>
        <v>81211.819999998</v>
      </c>
      <c r="I1310" s="147"/>
      <c r="J1310" s="147"/>
      <c r="K1310" s="147" t="str">
        <f t="shared" si="20"/>
        <v/>
      </c>
      <c r="L1310" s="40"/>
      <c r="M1310"/>
      <c r="N1310"/>
      <c r="O1310"/>
      <c r="P1310"/>
      <c r="Q1310"/>
      <c r="R1310"/>
      <c r="S1310"/>
      <c r="T1310"/>
      <c r="U1310"/>
      <c r="V1310"/>
      <c r="W1310" s="41"/>
      <c r="X1310" s="41"/>
      <c r="Y1310" s="41"/>
    </row>
    <row r="1311" s="27" customFormat="1" ht="23" hidden="1" customHeight="1" spans="1:25">
      <c r="A1311" s="133" t="str">
        <f>IF(B1311="","",COUNTA($B$5:B1311))</f>
        <v/>
      </c>
      <c r="B1311" s="148"/>
      <c r="C1311" s="22" t="s">
        <v>49</v>
      </c>
      <c r="D1311" s="149"/>
      <c r="E1311" s="150"/>
      <c r="F1311" s="151"/>
      <c r="G1311" s="151"/>
      <c r="H1311" s="142">
        <f>IFERROR(VLOOKUP($C1311,$C$5:$H$18,6,0)+SUMIF($C$19:$C1311,$C1311,$F$19:$F1311)-SUMIF($C$19:$C1311,$C1311,$G$19:$G1311),"")</f>
        <v>81211.819999998</v>
      </c>
      <c r="I1311" s="147"/>
      <c r="J1311" s="147"/>
      <c r="K1311" s="147" t="str">
        <f t="shared" si="20"/>
        <v/>
      </c>
      <c r="L1311" s="40"/>
      <c r="M1311"/>
      <c r="N1311"/>
      <c r="O1311"/>
      <c r="P1311"/>
      <c r="Q1311"/>
      <c r="R1311"/>
      <c r="S1311"/>
      <c r="T1311"/>
      <c r="U1311"/>
      <c r="V1311"/>
      <c r="W1311" s="41"/>
      <c r="X1311" s="41"/>
      <c r="Y1311" s="41"/>
    </row>
    <row r="1312" s="27" customFormat="1" ht="23" hidden="1" customHeight="1" spans="1:25">
      <c r="A1312" s="133" t="str">
        <f>IF(B1312="","",COUNTA($B$5:B1312))</f>
        <v/>
      </c>
      <c r="B1312" s="148"/>
      <c r="C1312" s="22" t="s">
        <v>49</v>
      </c>
      <c r="D1312" s="149"/>
      <c r="E1312" s="150"/>
      <c r="F1312" s="151"/>
      <c r="G1312" s="151"/>
      <c r="H1312" s="142">
        <f>IFERROR(VLOOKUP($C1312,$C$5:$H$18,6,0)+SUMIF($C$19:$C1312,$C1312,$F$19:$F1312)-SUMIF($C$19:$C1312,$C1312,$G$19:$G1312),"")</f>
        <v>81211.819999998</v>
      </c>
      <c r="I1312" s="147"/>
      <c r="J1312" s="147"/>
      <c r="K1312" s="147" t="str">
        <f t="shared" si="20"/>
        <v/>
      </c>
      <c r="L1312" s="40"/>
      <c r="M1312"/>
      <c r="N1312"/>
      <c r="O1312"/>
      <c r="P1312"/>
      <c r="Q1312"/>
      <c r="R1312"/>
      <c r="S1312"/>
      <c r="T1312"/>
      <c r="U1312"/>
      <c r="V1312"/>
      <c r="W1312" s="41"/>
      <c r="X1312" s="41"/>
      <c r="Y1312" s="41"/>
    </row>
    <row r="1313" s="27" customFormat="1" ht="23" hidden="1" customHeight="1" spans="1:25">
      <c r="A1313" s="133" t="str">
        <f>IF(B1313="","",COUNTA($B$5:B1313))</f>
        <v/>
      </c>
      <c r="B1313" s="148"/>
      <c r="C1313" s="22" t="s">
        <v>49</v>
      </c>
      <c r="D1313" s="149"/>
      <c r="E1313" s="150"/>
      <c r="F1313" s="151"/>
      <c r="G1313" s="151"/>
      <c r="H1313" s="142">
        <f>IFERROR(VLOOKUP($C1313,$C$5:$H$18,6,0)+SUMIF($C$19:$C1313,$C1313,$F$19:$F1313)-SUMIF($C$19:$C1313,$C1313,$G$19:$G1313),"")</f>
        <v>81211.819999998</v>
      </c>
      <c r="I1313" s="147"/>
      <c r="J1313" s="147"/>
      <c r="K1313" s="147" t="str">
        <f t="shared" si="20"/>
        <v/>
      </c>
      <c r="L1313" s="40"/>
      <c r="M1313"/>
      <c r="N1313"/>
      <c r="O1313"/>
      <c r="P1313"/>
      <c r="Q1313"/>
      <c r="R1313"/>
      <c r="S1313"/>
      <c r="T1313"/>
      <c r="U1313"/>
      <c r="V1313"/>
      <c r="W1313" s="41"/>
      <c r="X1313" s="41"/>
      <c r="Y1313" s="41"/>
    </row>
    <row r="1314" s="27" customFormat="1" ht="23" hidden="1" customHeight="1" spans="1:25">
      <c r="A1314" s="133" t="str">
        <f>IF(B1314="","",COUNTA($B$5:B1314))</f>
        <v/>
      </c>
      <c r="B1314" s="148"/>
      <c r="C1314" s="22" t="s">
        <v>49</v>
      </c>
      <c r="D1314" s="149"/>
      <c r="E1314" s="150"/>
      <c r="F1314" s="151"/>
      <c r="G1314" s="151"/>
      <c r="H1314" s="142">
        <f>IFERROR(VLOOKUP($C1314,$C$5:$H$18,6,0)+SUMIF($C$19:$C1314,$C1314,$F$19:$F1314)-SUMIF($C$19:$C1314,$C1314,$G$19:$G1314),"")</f>
        <v>81211.819999998</v>
      </c>
      <c r="I1314" s="147"/>
      <c r="J1314" s="147"/>
      <c r="K1314" s="147" t="str">
        <f t="shared" si="20"/>
        <v/>
      </c>
      <c r="L1314" s="40"/>
      <c r="M1314"/>
      <c r="N1314"/>
      <c r="O1314"/>
      <c r="P1314"/>
      <c r="Q1314"/>
      <c r="R1314"/>
      <c r="S1314"/>
      <c r="T1314"/>
      <c r="U1314"/>
      <c r="V1314"/>
      <c r="W1314" s="41"/>
      <c r="X1314" s="41"/>
      <c r="Y1314" s="41"/>
    </row>
    <row r="1315" s="27" customFormat="1" ht="23" hidden="1" customHeight="1" spans="1:25">
      <c r="A1315" s="133" t="str">
        <f>IF(B1315="","",COUNTA($B$5:B1315))</f>
        <v/>
      </c>
      <c r="B1315" s="148"/>
      <c r="C1315" s="22" t="s">
        <v>49</v>
      </c>
      <c r="D1315" s="149"/>
      <c r="E1315" s="150"/>
      <c r="F1315" s="151"/>
      <c r="G1315" s="151"/>
      <c r="H1315" s="142">
        <f>IFERROR(VLOOKUP($C1315,$C$5:$H$18,6,0)+SUMIF($C$19:$C1315,$C1315,$F$19:$F1315)-SUMIF($C$19:$C1315,$C1315,$G$19:$G1315),"")</f>
        <v>81211.819999998</v>
      </c>
      <c r="I1315" s="147"/>
      <c r="J1315" s="147"/>
      <c r="K1315" s="147" t="str">
        <f t="shared" si="20"/>
        <v/>
      </c>
      <c r="L1315" s="40"/>
      <c r="M1315"/>
      <c r="N1315"/>
      <c r="O1315"/>
      <c r="P1315"/>
      <c r="Q1315"/>
      <c r="R1315"/>
      <c r="S1315"/>
      <c r="T1315"/>
      <c r="U1315"/>
      <c r="V1315"/>
      <c r="W1315" s="41"/>
      <c r="X1315" s="41"/>
      <c r="Y1315" s="41"/>
    </row>
    <row r="1316" s="27" customFormat="1" ht="23" hidden="1" customHeight="1" spans="1:25">
      <c r="A1316" s="133" t="str">
        <f>IF(B1316="","",COUNTA($B$5:B1316))</f>
        <v/>
      </c>
      <c r="B1316" s="148"/>
      <c r="C1316" s="22" t="s">
        <v>49</v>
      </c>
      <c r="D1316" s="149"/>
      <c r="E1316" s="150"/>
      <c r="F1316" s="151"/>
      <c r="G1316" s="151"/>
      <c r="H1316" s="142">
        <f>IFERROR(VLOOKUP($C1316,$C$5:$H$18,6,0)+SUMIF($C$19:$C1316,$C1316,$F$19:$F1316)-SUMIF($C$19:$C1316,$C1316,$G$19:$G1316),"")</f>
        <v>81211.819999998</v>
      </c>
      <c r="I1316" s="147"/>
      <c r="J1316" s="147"/>
      <c r="K1316" s="147" t="str">
        <f t="shared" si="20"/>
        <v/>
      </c>
      <c r="L1316" s="40"/>
      <c r="M1316"/>
      <c r="N1316"/>
      <c r="O1316"/>
      <c r="P1316"/>
      <c r="Q1316"/>
      <c r="R1316"/>
      <c r="S1316"/>
      <c r="T1316"/>
      <c r="U1316"/>
      <c r="V1316"/>
      <c r="W1316" s="41"/>
      <c r="X1316" s="41"/>
      <c r="Y1316" s="41"/>
    </row>
    <row r="1317" s="27" customFormat="1" ht="23" hidden="1" customHeight="1" spans="1:25">
      <c r="A1317" s="133" t="str">
        <f>IF(B1317="","",COUNTA($B$5:B1317))</f>
        <v/>
      </c>
      <c r="B1317" s="148"/>
      <c r="C1317" s="22" t="s">
        <v>49</v>
      </c>
      <c r="D1317" s="149"/>
      <c r="E1317" s="150"/>
      <c r="F1317" s="151"/>
      <c r="G1317" s="151"/>
      <c r="H1317" s="142">
        <f>IFERROR(VLOOKUP($C1317,$C$5:$H$18,6,0)+SUMIF($C$19:$C1317,$C1317,$F$19:$F1317)-SUMIF($C$19:$C1317,$C1317,$G$19:$G1317),"")</f>
        <v>81211.819999998</v>
      </c>
      <c r="I1317" s="147"/>
      <c r="J1317" s="147"/>
      <c r="K1317" s="147" t="str">
        <f t="shared" si="20"/>
        <v/>
      </c>
      <c r="L1317" s="40"/>
      <c r="M1317"/>
      <c r="N1317"/>
      <c r="O1317"/>
      <c r="P1317"/>
      <c r="Q1317"/>
      <c r="R1317"/>
      <c r="S1317"/>
      <c r="T1317"/>
      <c r="U1317"/>
      <c r="V1317"/>
      <c r="W1317" s="41"/>
      <c r="X1317" s="41"/>
      <c r="Y1317" s="41"/>
    </row>
    <row r="1318" s="27" customFormat="1" ht="23" hidden="1" customHeight="1" spans="1:25">
      <c r="A1318" s="133" t="str">
        <f>IF(B1318="","",COUNTA($B$5:B1318))</f>
        <v/>
      </c>
      <c r="B1318" s="148"/>
      <c r="C1318" s="22" t="s">
        <v>49</v>
      </c>
      <c r="D1318" s="149"/>
      <c r="E1318" s="150"/>
      <c r="F1318" s="151"/>
      <c r="G1318" s="151"/>
      <c r="H1318" s="142">
        <f>IFERROR(VLOOKUP($C1318,$C$5:$H$18,6,0)+SUMIF($C$19:$C1318,$C1318,$F$19:$F1318)-SUMIF($C$19:$C1318,$C1318,$G$19:$G1318),"")</f>
        <v>81211.819999998</v>
      </c>
      <c r="I1318" s="147"/>
      <c r="J1318" s="147"/>
      <c r="K1318" s="147" t="str">
        <f t="shared" si="20"/>
        <v/>
      </c>
      <c r="L1318" s="40"/>
      <c r="M1318"/>
      <c r="N1318"/>
      <c r="O1318"/>
      <c r="P1318"/>
      <c r="Q1318"/>
      <c r="R1318"/>
      <c r="S1318"/>
      <c r="T1318"/>
      <c r="U1318"/>
      <c r="V1318"/>
      <c r="W1318" s="41"/>
      <c r="X1318" s="41"/>
      <c r="Y1318" s="41"/>
    </row>
    <row r="1319" s="27" customFormat="1" ht="23" hidden="1" customHeight="1" spans="1:25">
      <c r="A1319" s="133" t="str">
        <f>IF(B1319="","",COUNTA($B$5:B1319))</f>
        <v/>
      </c>
      <c r="B1319" s="148"/>
      <c r="C1319" s="22" t="s">
        <v>49</v>
      </c>
      <c r="D1319" s="149"/>
      <c r="E1319" s="150"/>
      <c r="F1319" s="151"/>
      <c r="G1319" s="151"/>
      <c r="H1319" s="142">
        <f>IFERROR(VLOOKUP($C1319,$C$5:$H$18,6,0)+SUMIF($C$19:$C1319,$C1319,$F$19:$F1319)-SUMIF($C$19:$C1319,$C1319,$G$19:$G1319),"")</f>
        <v>81211.819999998</v>
      </c>
      <c r="I1319" s="147"/>
      <c r="J1319" s="147"/>
      <c r="K1319" s="147" t="str">
        <f t="shared" si="20"/>
        <v/>
      </c>
      <c r="L1319" s="40"/>
      <c r="M1319"/>
      <c r="N1319"/>
      <c r="O1319"/>
      <c r="P1319"/>
      <c r="Q1319"/>
      <c r="R1319"/>
      <c r="S1319"/>
      <c r="T1319"/>
      <c r="U1319"/>
      <c r="V1319"/>
      <c r="W1319" s="41"/>
      <c r="X1319" s="41"/>
      <c r="Y1319" s="41"/>
    </row>
    <row r="1320" s="27" customFormat="1" ht="23" hidden="1" customHeight="1" spans="1:25">
      <c r="A1320" s="133" t="str">
        <f>IF(B1320="","",COUNTA($B$5:B1320))</f>
        <v/>
      </c>
      <c r="B1320" s="148"/>
      <c r="C1320" s="22" t="s">
        <v>49</v>
      </c>
      <c r="D1320" s="149"/>
      <c r="E1320" s="150"/>
      <c r="F1320" s="151"/>
      <c r="G1320" s="151"/>
      <c r="H1320" s="142">
        <f>IFERROR(VLOOKUP($C1320,$C$5:$H$18,6,0)+SUMIF($C$19:$C1320,$C1320,$F$19:$F1320)-SUMIF($C$19:$C1320,$C1320,$G$19:$G1320),"")</f>
        <v>81211.819999998</v>
      </c>
      <c r="I1320" s="147"/>
      <c r="J1320" s="147"/>
      <c r="K1320" s="147" t="str">
        <f t="shared" si="20"/>
        <v/>
      </c>
      <c r="L1320" s="40"/>
      <c r="M1320"/>
      <c r="N1320"/>
      <c r="O1320"/>
      <c r="P1320"/>
      <c r="Q1320"/>
      <c r="R1320"/>
      <c r="S1320"/>
      <c r="T1320"/>
      <c r="U1320"/>
      <c r="V1320"/>
      <c r="W1320" s="41"/>
      <c r="X1320" s="41"/>
      <c r="Y1320" s="41"/>
    </row>
    <row r="1321" s="27" customFormat="1" ht="23" hidden="1" customHeight="1" spans="1:25">
      <c r="A1321" s="133" t="str">
        <f>IF(B1321="","",COUNTA($B$5:B1321))</f>
        <v/>
      </c>
      <c r="B1321" s="148"/>
      <c r="C1321" s="22" t="s">
        <v>49</v>
      </c>
      <c r="D1321" s="149"/>
      <c r="E1321" s="150"/>
      <c r="F1321" s="151"/>
      <c r="G1321" s="151"/>
      <c r="H1321" s="142">
        <f>IFERROR(VLOOKUP($C1321,$C$5:$H$18,6,0)+SUMIF($C$19:$C1321,$C1321,$F$19:$F1321)-SUMIF($C$19:$C1321,$C1321,$G$19:$G1321),"")</f>
        <v>81211.819999998</v>
      </c>
      <c r="I1321" s="147"/>
      <c r="J1321" s="147"/>
      <c r="K1321" s="147" t="str">
        <f t="shared" si="20"/>
        <v/>
      </c>
      <c r="L1321" s="40"/>
      <c r="M1321"/>
      <c r="N1321"/>
      <c r="O1321"/>
      <c r="P1321"/>
      <c r="Q1321"/>
      <c r="R1321"/>
      <c r="S1321"/>
      <c r="T1321"/>
      <c r="U1321"/>
      <c r="V1321"/>
      <c r="W1321" s="41"/>
      <c r="X1321" s="41"/>
      <c r="Y1321" s="41"/>
    </row>
    <row r="1322" s="27" customFormat="1" ht="23" hidden="1" customHeight="1" spans="1:25">
      <c r="A1322" s="133" t="str">
        <f>IF(B1322="","",COUNTA($B$5:B1322))</f>
        <v/>
      </c>
      <c r="B1322" s="148"/>
      <c r="C1322" s="22" t="s">
        <v>49</v>
      </c>
      <c r="D1322" s="149"/>
      <c r="E1322" s="150"/>
      <c r="F1322" s="151"/>
      <c r="G1322" s="151"/>
      <c r="H1322" s="142">
        <f>IFERROR(VLOOKUP($C1322,$C$5:$H$18,6,0)+SUMIF($C$19:$C1322,$C1322,$F$19:$F1322)-SUMIF($C$19:$C1322,$C1322,$G$19:$G1322),"")</f>
        <v>81211.819999998</v>
      </c>
      <c r="I1322" s="147"/>
      <c r="J1322" s="147"/>
      <c r="K1322" s="147" t="str">
        <f t="shared" si="20"/>
        <v/>
      </c>
      <c r="L1322" s="40"/>
      <c r="M1322"/>
      <c r="N1322"/>
      <c r="O1322"/>
      <c r="P1322"/>
      <c r="Q1322"/>
      <c r="R1322"/>
      <c r="S1322"/>
      <c r="T1322"/>
      <c r="U1322"/>
      <c r="V1322"/>
      <c r="W1322" s="41"/>
      <c r="X1322" s="41"/>
      <c r="Y1322" s="41"/>
    </row>
    <row r="1323" s="27" customFormat="1" ht="23" hidden="1" customHeight="1" spans="1:25">
      <c r="A1323" s="133" t="str">
        <f>IF(B1323="","",COUNTA($B$5:B1323))</f>
        <v/>
      </c>
      <c r="B1323" s="148"/>
      <c r="C1323" s="22" t="s">
        <v>49</v>
      </c>
      <c r="D1323" s="149"/>
      <c r="E1323" s="150"/>
      <c r="F1323" s="151"/>
      <c r="G1323" s="151"/>
      <c r="H1323" s="142">
        <f>IFERROR(VLOOKUP($C1323,$C$5:$H$18,6,0)+SUMIF($C$19:$C1323,$C1323,$F$19:$F1323)-SUMIF($C$19:$C1323,$C1323,$G$19:$G1323),"")</f>
        <v>81211.819999998</v>
      </c>
      <c r="I1323" s="147"/>
      <c r="J1323" s="147"/>
      <c r="K1323" s="147" t="str">
        <f t="shared" si="20"/>
        <v/>
      </c>
      <c r="L1323" s="40"/>
      <c r="M1323"/>
      <c r="N1323"/>
      <c r="O1323"/>
      <c r="P1323"/>
      <c r="Q1323"/>
      <c r="R1323"/>
      <c r="S1323"/>
      <c r="T1323"/>
      <c r="U1323"/>
      <c r="V1323"/>
      <c r="W1323" s="41"/>
      <c r="X1323" s="41"/>
      <c r="Y1323" s="41"/>
    </row>
    <row r="1324" s="27" customFormat="1" ht="23" hidden="1" customHeight="1" spans="1:25">
      <c r="A1324" s="133" t="str">
        <f>IF(B1324="","",COUNTA($B$5:B1324))</f>
        <v/>
      </c>
      <c r="B1324" s="148"/>
      <c r="C1324" s="22" t="s">
        <v>49</v>
      </c>
      <c r="D1324" s="149"/>
      <c r="E1324" s="150"/>
      <c r="F1324" s="151"/>
      <c r="G1324" s="151"/>
      <c r="H1324" s="142">
        <f>IFERROR(VLOOKUP($C1324,$C$5:$H$18,6,0)+SUMIF($C$19:$C1324,$C1324,$F$19:$F1324)-SUMIF($C$19:$C1324,$C1324,$G$19:$G1324),"")</f>
        <v>81211.819999998</v>
      </c>
      <c r="I1324" s="147"/>
      <c r="J1324" s="147"/>
      <c r="K1324" s="147" t="str">
        <f t="shared" si="20"/>
        <v/>
      </c>
      <c r="L1324" s="40"/>
      <c r="M1324"/>
      <c r="N1324"/>
      <c r="O1324"/>
      <c r="P1324"/>
      <c r="Q1324"/>
      <c r="R1324"/>
      <c r="S1324"/>
      <c r="T1324"/>
      <c r="U1324"/>
      <c r="V1324"/>
      <c r="W1324" s="41"/>
      <c r="X1324" s="41"/>
      <c r="Y1324" s="41"/>
    </row>
    <row r="1325" s="27" customFormat="1" ht="23" hidden="1" customHeight="1" spans="1:25">
      <c r="A1325" s="133" t="str">
        <f>IF(B1325="","",COUNTA($B$5:B1325))</f>
        <v/>
      </c>
      <c r="B1325" s="148"/>
      <c r="C1325" s="22" t="s">
        <v>49</v>
      </c>
      <c r="D1325" s="149"/>
      <c r="E1325" s="150"/>
      <c r="F1325" s="151"/>
      <c r="G1325" s="151"/>
      <c r="H1325" s="142">
        <f>IFERROR(VLOOKUP($C1325,$C$5:$H$18,6,0)+SUMIF($C$19:$C1325,$C1325,$F$19:$F1325)-SUMIF($C$19:$C1325,$C1325,$G$19:$G1325),"")</f>
        <v>81211.819999998</v>
      </c>
      <c r="I1325" s="147"/>
      <c r="J1325" s="147"/>
      <c r="K1325" s="147" t="str">
        <f t="shared" si="20"/>
        <v/>
      </c>
      <c r="L1325" s="40"/>
      <c r="M1325"/>
      <c r="N1325"/>
      <c r="O1325"/>
      <c r="P1325"/>
      <c r="Q1325"/>
      <c r="R1325"/>
      <c r="S1325"/>
      <c r="T1325"/>
      <c r="U1325"/>
      <c r="V1325"/>
      <c r="W1325" s="41"/>
      <c r="X1325" s="41"/>
      <c r="Y1325" s="41"/>
    </row>
    <row r="1326" s="27" customFormat="1" ht="23" hidden="1" customHeight="1" spans="1:25">
      <c r="A1326" s="133" t="str">
        <f>IF(B1326="","",COUNTA($B$5:B1326))</f>
        <v/>
      </c>
      <c r="B1326" s="148"/>
      <c r="C1326" s="22" t="s">
        <v>49</v>
      </c>
      <c r="D1326" s="149"/>
      <c r="E1326" s="150"/>
      <c r="F1326" s="151"/>
      <c r="G1326" s="151"/>
      <c r="H1326" s="142">
        <f>IFERROR(VLOOKUP($C1326,$C$5:$H$18,6,0)+SUMIF($C$19:$C1326,$C1326,$F$19:$F1326)-SUMIF($C$19:$C1326,$C1326,$G$19:$G1326),"")</f>
        <v>81211.819999998</v>
      </c>
      <c r="I1326" s="147"/>
      <c r="J1326" s="147"/>
      <c r="K1326" s="147" t="str">
        <f t="shared" si="20"/>
        <v/>
      </c>
      <c r="L1326" s="40"/>
      <c r="M1326"/>
      <c r="N1326"/>
      <c r="O1326"/>
      <c r="P1326"/>
      <c r="Q1326"/>
      <c r="R1326"/>
      <c r="S1326"/>
      <c r="T1326"/>
      <c r="U1326"/>
      <c r="V1326"/>
      <c r="W1326" s="41"/>
      <c r="X1326" s="41"/>
      <c r="Y1326" s="41"/>
    </row>
    <row r="1327" s="27" customFormat="1" ht="23" hidden="1" customHeight="1" spans="1:25">
      <c r="A1327" s="133" t="str">
        <f>IF(B1327="","",COUNTA($B$5:B1327))</f>
        <v/>
      </c>
      <c r="B1327" s="148"/>
      <c r="C1327" s="22" t="s">
        <v>49</v>
      </c>
      <c r="D1327" s="149"/>
      <c r="E1327" s="150"/>
      <c r="F1327" s="151"/>
      <c r="G1327" s="151"/>
      <c r="H1327" s="142">
        <f>IFERROR(VLOOKUP($C1327,$C$5:$H$18,6,0)+SUMIF($C$19:$C1327,$C1327,$F$19:$F1327)-SUMIF($C$19:$C1327,$C1327,$G$19:$G1327),"")</f>
        <v>81211.819999998</v>
      </c>
      <c r="I1327" s="147"/>
      <c r="J1327" s="147"/>
      <c r="K1327" s="147" t="str">
        <f t="shared" si="20"/>
        <v/>
      </c>
      <c r="L1327" s="40"/>
      <c r="M1327"/>
      <c r="N1327"/>
      <c r="O1327"/>
      <c r="P1327"/>
      <c r="Q1327"/>
      <c r="R1327"/>
      <c r="S1327"/>
      <c r="T1327"/>
      <c r="U1327"/>
      <c r="V1327"/>
      <c r="W1327" s="41"/>
      <c r="X1327" s="41"/>
      <c r="Y1327" s="41"/>
    </row>
    <row r="1328" s="27" customFormat="1" ht="23" hidden="1" customHeight="1" spans="1:25">
      <c r="A1328" s="133" t="str">
        <f>IF(B1328="","",COUNTA($B$5:B1328))</f>
        <v/>
      </c>
      <c r="B1328" s="148"/>
      <c r="C1328" s="22" t="s">
        <v>49</v>
      </c>
      <c r="D1328" s="149"/>
      <c r="E1328" s="150"/>
      <c r="F1328" s="151"/>
      <c r="G1328" s="151"/>
      <c r="H1328" s="142">
        <f>IFERROR(VLOOKUP($C1328,$C$5:$H$18,6,0)+SUMIF($C$19:$C1328,$C1328,$F$19:$F1328)-SUMIF($C$19:$C1328,$C1328,$G$19:$G1328),"")</f>
        <v>81211.819999998</v>
      </c>
      <c r="I1328" s="147"/>
      <c r="J1328" s="147"/>
      <c r="K1328" s="147" t="str">
        <f t="shared" si="20"/>
        <v/>
      </c>
      <c r="L1328" s="40"/>
      <c r="M1328"/>
      <c r="N1328"/>
      <c r="O1328"/>
      <c r="P1328"/>
      <c r="Q1328"/>
      <c r="R1328"/>
      <c r="S1328"/>
      <c r="T1328"/>
      <c r="U1328"/>
      <c r="V1328"/>
      <c r="W1328" s="41"/>
      <c r="X1328" s="41"/>
      <c r="Y1328" s="41"/>
    </row>
    <row r="1329" s="27" customFormat="1" ht="23" hidden="1" customHeight="1" spans="1:25">
      <c r="A1329" s="133" t="str">
        <f>IF(B1329="","",COUNTA($B$5:B1329))</f>
        <v/>
      </c>
      <c r="B1329" s="148"/>
      <c r="C1329" s="22" t="s">
        <v>49</v>
      </c>
      <c r="D1329" s="149"/>
      <c r="E1329" s="150"/>
      <c r="F1329" s="151"/>
      <c r="G1329" s="151"/>
      <c r="H1329" s="142">
        <f>IFERROR(VLOOKUP($C1329,$C$5:$H$18,6,0)+SUMIF($C$19:$C1329,$C1329,$F$19:$F1329)-SUMIF($C$19:$C1329,$C1329,$G$19:$G1329),"")</f>
        <v>81211.819999998</v>
      </c>
      <c r="I1329" s="147"/>
      <c r="J1329" s="147"/>
      <c r="K1329" s="147" t="str">
        <f t="shared" si="20"/>
        <v/>
      </c>
      <c r="L1329" s="40"/>
      <c r="M1329"/>
      <c r="N1329"/>
      <c r="O1329"/>
      <c r="P1329"/>
      <c r="Q1329"/>
      <c r="R1329"/>
      <c r="S1329"/>
      <c r="T1329"/>
      <c r="U1329"/>
      <c r="V1329"/>
      <c r="W1329" s="41"/>
      <c r="X1329" s="41"/>
      <c r="Y1329" s="41"/>
    </row>
    <row r="1330" s="27" customFormat="1" ht="23" hidden="1" customHeight="1" spans="1:25">
      <c r="A1330" s="133" t="str">
        <f>IF(B1330="","",COUNTA($B$5:B1330))</f>
        <v/>
      </c>
      <c r="B1330" s="148"/>
      <c r="C1330" s="22" t="s">
        <v>49</v>
      </c>
      <c r="D1330" s="149"/>
      <c r="E1330" s="150"/>
      <c r="F1330" s="151"/>
      <c r="G1330" s="151"/>
      <c r="H1330" s="142">
        <f>IFERROR(VLOOKUP($C1330,$C$5:$H$18,6,0)+SUMIF($C$19:$C1330,$C1330,$F$19:$F1330)-SUMIF($C$19:$C1330,$C1330,$G$19:$G1330),"")</f>
        <v>81211.819999998</v>
      </c>
      <c r="I1330" s="147"/>
      <c r="J1330" s="147"/>
      <c r="K1330" s="147" t="str">
        <f t="shared" si="20"/>
        <v/>
      </c>
      <c r="L1330" s="40"/>
      <c r="M1330"/>
      <c r="N1330"/>
      <c r="O1330"/>
      <c r="P1330"/>
      <c r="Q1330"/>
      <c r="R1330"/>
      <c r="S1330"/>
      <c r="T1330"/>
      <c r="U1330"/>
      <c r="V1330"/>
      <c r="W1330" s="41"/>
      <c r="X1330" s="41"/>
      <c r="Y1330" s="41"/>
    </row>
    <row r="1331" s="27" customFormat="1" ht="23" hidden="1" customHeight="1" spans="1:25">
      <c r="A1331" s="133" t="str">
        <f>IF(B1331="","",COUNTA($B$5:B1331))</f>
        <v/>
      </c>
      <c r="B1331" s="148"/>
      <c r="C1331" s="22" t="s">
        <v>49</v>
      </c>
      <c r="D1331" s="149"/>
      <c r="E1331" s="150"/>
      <c r="F1331" s="151"/>
      <c r="G1331" s="151"/>
      <c r="H1331" s="142">
        <f>IFERROR(VLOOKUP($C1331,$C$5:$H$18,6,0)+SUMIF($C$19:$C1331,$C1331,$F$19:$F1331)-SUMIF($C$19:$C1331,$C1331,$G$19:$G1331),"")</f>
        <v>81211.819999998</v>
      </c>
      <c r="I1331" s="147"/>
      <c r="J1331" s="147"/>
      <c r="K1331" s="147" t="str">
        <f t="shared" si="20"/>
        <v/>
      </c>
      <c r="L1331" s="40"/>
      <c r="M1331"/>
      <c r="N1331"/>
      <c r="O1331"/>
      <c r="P1331"/>
      <c r="Q1331"/>
      <c r="R1331"/>
      <c r="S1331"/>
      <c r="T1331"/>
      <c r="U1331"/>
      <c r="V1331"/>
      <c r="W1331" s="41"/>
      <c r="X1331" s="41"/>
      <c r="Y1331" s="41"/>
    </row>
    <row r="1332" s="27" customFormat="1" ht="23" hidden="1" customHeight="1" spans="1:25">
      <c r="A1332" s="133" t="str">
        <f>IF(B1332="","",COUNTA($B$5:B1332))</f>
        <v/>
      </c>
      <c r="B1332" s="148"/>
      <c r="C1332" s="22" t="s">
        <v>49</v>
      </c>
      <c r="D1332" s="149"/>
      <c r="E1332" s="150"/>
      <c r="F1332" s="151"/>
      <c r="G1332" s="151"/>
      <c r="H1332" s="142">
        <f>IFERROR(VLOOKUP($C1332,$C$5:$H$18,6,0)+SUMIF($C$19:$C1332,$C1332,$F$19:$F1332)-SUMIF($C$19:$C1332,$C1332,$G$19:$G1332),"")</f>
        <v>81211.819999998</v>
      </c>
      <c r="I1332" s="147"/>
      <c r="J1332" s="147"/>
      <c r="K1332" s="147" t="str">
        <f t="shared" si="20"/>
        <v/>
      </c>
      <c r="L1332" s="40"/>
      <c r="M1332"/>
      <c r="N1332"/>
      <c r="O1332"/>
      <c r="P1332"/>
      <c r="Q1332"/>
      <c r="R1332"/>
      <c r="S1332"/>
      <c r="T1332"/>
      <c r="U1332"/>
      <c r="V1332"/>
      <c r="W1332" s="41"/>
      <c r="X1332" s="41"/>
      <c r="Y1332" s="41"/>
    </row>
    <row r="1333" s="27" customFormat="1" ht="23" hidden="1" customHeight="1" spans="1:25">
      <c r="A1333" s="133" t="str">
        <f>IF(B1333="","",COUNTA($B$5:B1333))</f>
        <v/>
      </c>
      <c r="B1333" s="148"/>
      <c r="C1333" s="22" t="s">
        <v>49</v>
      </c>
      <c r="D1333" s="149"/>
      <c r="E1333" s="150"/>
      <c r="F1333" s="151"/>
      <c r="G1333" s="151"/>
      <c r="H1333" s="142">
        <f>IFERROR(VLOOKUP($C1333,$C$5:$H$18,6,0)+SUMIF($C$19:$C1333,$C1333,$F$19:$F1333)-SUMIF($C$19:$C1333,$C1333,$G$19:$G1333),"")</f>
        <v>81211.819999998</v>
      </c>
      <c r="I1333" s="147"/>
      <c r="J1333" s="147"/>
      <c r="K1333" s="147" t="str">
        <f t="shared" si="20"/>
        <v/>
      </c>
      <c r="L1333" s="40"/>
      <c r="M1333"/>
      <c r="N1333"/>
      <c r="O1333"/>
      <c r="P1333"/>
      <c r="Q1333"/>
      <c r="R1333"/>
      <c r="S1333"/>
      <c r="T1333"/>
      <c r="U1333"/>
      <c r="V1333"/>
      <c r="W1333" s="41"/>
      <c r="X1333" s="41"/>
      <c r="Y1333" s="41"/>
    </row>
    <row r="1334" s="27" customFormat="1" ht="23" hidden="1" customHeight="1" spans="1:25">
      <c r="A1334" s="133" t="str">
        <f>IF(B1334="","",COUNTA($B$5:B1334))</f>
        <v/>
      </c>
      <c r="B1334" s="148"/>
      <c r="C1334" s="22" t="s">
        <v>49</v>
      </c>
      <c r="D1334" s="149"/>
      <c r="E1334" s="150"/>
      <c r="F1334" s="151"/>
      <c r="G1334" s="151"/>
      <c r="H1334" s="142">
        <f>IFERROR(VLOOKUP($C1334,$C$5:$H$18,6,0)+SUMIF($C$19:$C1334,$C1334,$F$19:$F1334)-SUMIF($C$19:$C1334,$C1334,$G$19:$G1334),"")</f>
        <v>81211.819999998</v>
      </c>
      <c r="I1334" s="147"/>
      <c r="J1334" s="147"/>
      <c r="K1334" s="147" t="str">
        <f t="shared" si="20"/>
        <v/>
      </c>
      <c r="L1334" s="40"/>
      <c r="M1334"/>
      <c r="N1334"/>
      <c r="O1334"/>
      <c r="P1334"/>
      <c r="Q1334"/>
      <c r="R1334"/>
      <c r="S1334"/>
      <c r="T1334"/>
      <c r="U1334"/>
      <c r="V1334"/>
      <c r="W1334" s="41"/>
      <c r="X1334" s="41"/>
      <c r="Y1334" s="41"/>
    </row>
    <row r="1335" s="27" customFormat="1" ht="23" hidden="1" customHeight="1" spans="1:25">
      <c r="A1335" s="133" t="str">
        <f>IF(B1335="","",COUNTA($B$5:B1335))</f>
        <v/>
      </c>
      <c r="B1335" s="148"/>
      <c r="C1335" s="22" t="s">
        <v>49</v>
      </c>
      <c r="D1335" s="149"/>
      <c r="E1335" s="150"/>
      <c r="F1335" s="151"/>
      <c r="G1335" s="151"/>
      <c r="H1335" s="142">
        <f>IFERROR(VLOOKUP($C1335,$C$5:$H$18,6,0)+SUMIF($C$19:$C1335,$C1335,$F$19:$F1335)-SUMIF($C$19:$C1335,$C1335,$G$19:$G1335),"")</f>
        <v>81211.819999998</v>
      </c>
      <c r="I1335" s="147"/>
      <c r="J1335" s="147"/>
      <c r="K1335" s="147" t="str">
        <f t="shared" si="20"/>
        <v/>
      </c>
      <c r="L1335" s="40"/>
      <c r="M1335"/>
      <c r="N1335"/>
      <c r="O1335"/>
      <c r="P1335"/>
      <c r="Q1335"/>
      <c r="R1335"/>
      <c r="S1335"/>
      <c r="T1335"/>
      <c r="U1335"/>
      <c r="V1335"/>
      <c r="W1335" s="41"/>
      <c r="X1335" s="41"/>
      <c r="Y1335" s="41"/>
    </row>
    <row r="1336" s="27" customFormat="1" ht="23" hidden="1" customHeight="1" spans="1:25">
      <c r="A1336" s="133" t="str">
        <f>IF(B1336="","",COUNTA($B$5:B1336))</f>
        <v/>
      </c>
      <c r="B1336" s="148"/>
      <c r="C1336" s="22" t="s">
        <v>49</v>
      </c>
      <c r="D1336" s="149"/>
      <c r="E1336" s="150"/>
      <c r="F1336" s="151"/>
      <c r="G1336" s="151"/>
      <c r="H1336" s="142">
        <f>IFERROR(VLOOKUP($C1336,$C$5:$H$18,6,0)+SUMIF($C$19:$C1336,$C1336,$F$19:$F1336)-SUMIF($C$19:$C1336,$C1336,$G$19:$G1336),"")</f>
        <v>81211.819999998</v>
      </c>
      <c r="I1336" s="147"/>
      <c r="J1336" s="147"/>
      <c r="K1336" s="147" t="str">
        <f t="shared" si="20"/>
        <v/>
      </c>
      <c r="L1336" s="40"/>
      <c r="M1336"/>
      <c r="N1336"/>
      <c r="O1336"/>
      <c r="P1336"/>
      <c r="Q1336"/>
      <c r="R1336"/>
      <c r="S1336"/>
      <c r="T1336"/>
      <c r="U1336"/>
      <c r="V1336"/>
      <c r="W1336" s="41"/>
      <c r="X1336" s="41"/>
      <c r="Y1336" s="41"/>
    </row>
    <row r="1337" s="27" customFormat="1" ht="23" hidden="1" customHeight="1" spans="1:25">
      <c r="A1337" s="133" t="str">
        <f>IF(B1337="","",COUNTA($B$5:B1337))</f>
        <v/>
      </c>
      <c r="B1337" s="148"/>
      <c r="C1337" s="22" t="s">
        <v>49</v>
      </c>
      <c r="D1337" s="149"/>
      <c r="E1337" s="150"/>
      <c r="F1337" s="151"/>
      <c r="G1337" s="151"/>
      <c r="H1337" s="142">
        <f>IFERROR(VLOOKUP($C1337,$C$5:$H$18,6,0)+SUMIF($C$19:$C1337,$C1337,$F$19:$F1337)-SUMIF($C$19:$C1337,$C1337,$G$19:$G1337),"")</f>
        <v>81211.819999998</v>
      </c>
      <c r="I1337" s="147"/>
      <c r="J1337" s="147"/>
      <c r="K1337" s="147" t="str">
        <f t="shared" si="20"/>
        <v/>
      </c>
      <c r="L1337" s="40"/>
      <c r="M1337"/>
      <c r="N1337"/>
      <c r="O1337"/>
      <c r="P1337"/>
      <c r="Q1337"/>
      <c r="R1337"/>
      <c r="S1337"/>
      <c r="T1337"/>
      <c r="U1337"/>
      <c r="V1337"/>
      <c r="W1337" s="41"/>
      <c r="X1337" s="41"/>
      <c r="Y1337" s="41"/>
    </row>
    <row r="1338" s="27" customFormat="1" ht="23" hidden="1" customHeight="1" spans="1:25">
      <c r="A1338" s="133" t="str">
        <f>IF(B1338="","",COUNTA($B$5:B1338))</f>
        <v/>
      </c>
      <c r="B1338" s="148"/>
      <c r="C1338" s="22" t="s">
        <v>49</v>
      </c>
      <c r="D1338" s="149"/>
      <c r="E1338" s="150"/>
      <c r="F1338" s="151"/>
      <c r="G1338" s="151"/>
      <c r="H1338" s="142">
        <f>IFERROR(VLOOKUP($C1338,$C$5:$H$18,6,0)+SUMIF($C$19:$C1338,$C1338,$F$19:$F1338)-SUMIF($C$19:$C1338,$C1338,$G$19:$G1338),"")</f>
        <v>81211.819999998</v>
      </c>
      <c r="I1338" s="147"/>
      <c r="J1338" s="147"/>
      <c r="K1338" s="147" t="str">
        <f t="shared" si="20"/>
        <v/>
      </c>
      <c r="L1338" s="40"/>
      <c r="M1338"/>
      <c r="N1338"/>
      <c r="O1338"/>
      <c r="P1338"/>
      <c r="Q1338"/>
      <c r="R1338"/>
      <c r="S1338"/>
      <c r="T1338"/>
      <c r="U1338"/>
      <c r="V1338"/>
      <c r="W1338" s="41"/>
      <c r="X1338" s="41"/>
      <c r="Y1338" s="41"/>
    </row>
    <row r="1339" s="27" customFormat="1" ht="23" hidden="1" customHeight="1" spans="1:25">
      <c r="A1339" s="133" t="str">
        <f>IF(B1339="","",COUNTA($B$5:B1339))</f>
        <v/>
      </c>
      <c r="B1339" s="148"/>
      <c r="C1339" s="22" t="s">
        <v>49</v>
      </c>
      <c r="D1339" s="149"/>
      <c r="E1339" s="150"/>
      <c r="F1339" s="151"/>
      <c r="G1339" s="151"/>
      <c r="H1339" s="142">
        <f>IFERROR(VLOOKUP($C1339,$C$5:$H$18,6,0)+SUMIF($C$19:$C1339,$C1339,$F$19:$F1339)-SUMIF($C$19:$C1339,$C1339,$G$19:$G1339),"")</f>
        <v>81211.819999998</v>
      </c>
      <c r="I1339" s="147"/>
      <c r="J1339" s="147"/>
      <c r="K1339" s="147" t="str">
        <f t="shared" si="20"/>
        <v/>
      </c>
      <c r="L1339" s="40"/>
      <c r="M1339"/>
      <c r="N1339"/>
      <c r="O1339"/>
      <c r="P1339"/>
      <c r="Q1339"/>
      <c r="R1339"/>
      <c r="S1339"/>
      <c r="T1339"/>
      <c r="U1339"/>
      <c r="V1339"/>
      <c r="W1339" s="41"/>
      <c r="X1339" s="41"/>
      <c r="Y1339" s="41"/>
    </row>
    <row r="1340" s="27" customFormat="1" ht="23" hidden="1" customHeight="1" spans="1:25">
      <c r="A1340" s="133" t="str">
        <f>IF(B1340="","",COUNTA($B$5:B1340))</f>
        <v/>
      </c>
      <c r="B1340" s="148"/>
      <c r="C1340" s="22" t="s">
        <v>49</v>
      </c>
      <c r="D1340" s="149"/>
      <c r="E1340" s="150"/>
      <c r="F1340" s="151"/>
      <c r="G1340" s="151"/>
      <c r="H1340" s="142">
        <f>IFERROR(VLOOKUP($C1340,$C$5:$H$18,6,0)+SUMIF($C$19:$C1340,$C1340,$F$19:$F1340)-SUMIF($C$19:$C1340,$C1340,$G$19:$G1340),"")</f>
        <v>81211.819999998</v>
      </c>
      <c r="I1340" s="147"/>
      <c r="J1340" s="147"/>
      <c r="K1340" s="147" t="str">
        <f t="shared" si="20"/>
        <v/>
      </c>
      <c r="L1340" s="40"/>
      <c r="M1340"/>
      <c r="N1340"/>
      <c r="O1340"/>
      <c r="P1340"/>
      <c r="Q1340"/>
      <c r="R1340"/>
      <c r="S1340"/>
      <c r="T1340"/>
      <c r="U1340"/>
      <c r="V1340"/>
      <c r="W1340" s="41"/>
      <c r="X1340" s="41"/>
      <c r="Y1340" s="41"/>
    </row>
    <row r="1341" s="27" customFormat="1" ht="23" hidden="1" customHeight="1" spans="1:25">
      <c r="A1341" s="133" t="str">
        <f>IF(B1341="","",COUNTA($B$5:B1341))</f>
        <v/>
      </c>
      <c r="B1341" s="148"/>
      <c r="C1341" s="22" t="s">
        <v>49</v>
      </c>
      <c r="D1341" s="149"/>
      <c r="E1341" s="150"/>
      <c r="F1341" s="151"/>
      <c r="G1341" s="151"/>
      <c r="H1341" s="142">
        <f>IFERROR(VLOOKUP($C1341,$C$5:$H$18,6,0)+SUMIF($C$19:$C1341,$C1341,$F$19:$F1341)-SUMIF($C$19:$C1341,$C1341,$G$19:$G1341),"")</f>
        <v>81211.819999998</v>
      </c>
      <c r="I1341" s="147"/>
      <c r="J1341" s="147"/>
      <c r="K1341" s="147" t="str">
        <f t="shared" si="20"/>
        <v/>
      </c>
      <c r="L1341" s="40"/>
      <c r="M1341"/>
      <c r="N1341"/>
      <c r="O1341"/>
      <c r="P1341"/>
      <c r="Q1341"/>
      <c r="R1341"/>
      <c r="S1341"/>
      <c r="T1341"/>
      <c r="U1341"/>
      <c r="V1341"/>
      <c r="W1341" s="41"/>
      <c r="X1341" s="41"/>
      <c r="Y1341" s="41"/>
    </row>
    <row r="1342" s="27" customFormat="1" ht="23" hidden="1" customHeight="1" spans="1:25">
      <c r="A1342" s="133" t="str">
        <f>IF(B1342="","",COUNTA($B$5:B1342))</f>
        <v/>
      </c>
      <c r="B1342" s="148"/>
      <c r="C1342" s="22" t="s">
        <v>49</v>
      </c>
      <c r="D1342" s="149"/>
      <c r="E1342" s="150"/>
      <c r="F1342" s="151"/>
      <c r="G1342" s="151"/>
      <c r="H1342" s="142">
        <f>IFERROR(VLOOKUP($C1342,$C$5:$H$18,6,0)+SUMIF($C$19:$C1342,$C1342,$F$19:$F1342)-SUMIF($C$19:$C1342,$C1342,$G$19:$G1342),"")</f>
        <v>81211.819999998</v>
      </c>
      <c r="I1342" s="147"/>
      <c r="J1342" s="147"/>
      <c r="K1342" s="147" t="str">
        <f t="shared" si="20"/>
        <v/>
      </c>
      <c r="L1342" s="40"/>
      <c r="M1342"/>
      <c r="N1342"/>
      <c r="O1342"/>
      <c r="P1342"/>
      <c r="Q1342"/>
      <c r="R1342"/>
      <c r="S1342"/>
      <c r="T1342"/>
      <c r="U1342"/>
      <c r="V1342"/>
      <c r="W1342" s="41"/>
      <c r="X1342" s="41"/>
      <c r="Y1342" s="41"/>
    </row>
    <row r="1343" s="27" customFormat="1" ht="23" hidden="1" customHeight="1" spans="1:25">
      <c r="A1343" s="133" t="str">
        <f>IF(B1343="","",COUNTA($B$5:B1343))</f>
        <v/>
      </c>
      <c r="B1343" s="148"/>
      <c r="C1343" s="22" t="s">
        <v>49</v>
      </c>
      <c r="D1343" s="149"/>
      <c r="E1343" s="150"/>
      <c r="F1343" s="151"/>
      <c r="G1343" s="151"/>
      <c r="H1343" s="142">
        <f>IFERROR(VLOOKUP($C1343,$C$5:$H$18,6,0)+SUMIF($C$19:$C1343,$C1343,$F$19:$F1343)-SUMIF($C$19:$C1343,$C1343,$G$19:$G1343),"")</f>
        <v>81211.819999998</v>
      </c>
      <c r="I1343" s="147"/>
      <c r="J1343" s="147"/>
      <c r="K1343" s="147" t="str">
        <f t="shared" si="20"/>
        <v/>
      </c>
      <c r="L1343" s="40"/>
      <c r="M1343"/>
      <c r="N1343"/>
      <c r="O1343"/>
      <c r="P1343"/>
      <c r="Q1343"/>
      <c r="R1343"/>
      <c r="S1343"/>
      <c r="T1343"/>
      <c r="U1343"/>
      <c r="V1343"/>
      <c r="W1343" s="41"/>
      <c r="X1343" s="41"/>
      <c r="Y1343" s="41"/>
    </row>
    <row r="1344" s="27" customFormat="1" ht="23" hidden="1" customHeight="1" spans="1:25">
      <c r="A1344" s="133" t="str">
        <f>IF(B1344="","",COUNTA($B$5:B1344))</f>
        <v/>
      </c>
      <c r="B1344" s="148"/>
      <c r="C1344" s="22" t="s">
        <v>49</v>
      </c>
      <c r="D1344" s="149"/>
      <c r="E1344" s="150"/>
      <c r="F1344" s="151"/>
      <c r="G1344" s="151"/>
      <c r="H1344" s="142">
        <f>IFERROR(VLOOKUP($C1344,$C$5:$H$18,6,0)+SUMIF($C$19:$C1344,$C1344,$F$19:$F1344)-SUMIF($C$19:$C1344,$C1344,$G$19:$G1344),"")</f>
        <v>81211.819999998</v>
      </c>
      <c r="I1344" s="147"/>
      <c r="J1344" s="147"/>
      <c r="K1344" s="147" t="str">
        <f t="shared" si="20"/>
        <v/>
      </c>
      <c r="L1344" s="40"/>
      <c r="M1344"/>
      <c r="N1344"/>
      <c r="O1344"/>
      <c r="P1344"/>
      <c r="Q1344"/>
      <c r="R1344"/>
      <c r="S1344"/>
      <c r="T1344"/>
      <c r="U1344"/>
      <c r="V1344"/>
      <c r="W1344" s="41"/>
      <c r="X1344" s="41"/>
      <c r="Y1344" s="41"/>
    </row>
    <row r="1345" s="27" customFormat="1" ht="23" hidden="1" customHeight="1" spans="1:25">
      <c r="A1345" s="133" t="str">
        <f>IF(B1345="","",COUNTA($B$5:B1345))</f>
        <v/>
      </c>
      <c r="B1345" s="148"/>
      <c r="C1345" s="22" t="s">
        <v>49</v>
      </c>
      <c r="D1345" s="149"/>
      <c r="E1345" s="150"/>
      <c r="F1345" s="151"/>
      <c r="G1345" s="151"/>
      <c r="H1345" s="142">
        <f>IFERROR(VLOOKUP($C1345,$C$5:$H$18,6,0)+SUMIF($C$19:$C1345,$C1345,$F$19:$F1345)-SUMIF($C$19:$C1345,$C1345,$G$19:$G1345),"")</f>
        <v>81211.819999998</v>
      </c>
      <c r="I1345" s="147"/>
      <c r="J1345" s="147"/>
      <c r="K1345" s="147" t="str">
        <f t="shared" si="20"/>
        <v/>
      </c>
      <c r="L1345" s="40"/>
      <c r="M1345"/>
      <c r="N1345"/>
      <c r="O1345"/>
      <c r="P1345"/>
      <c r="Q1345"/>
      <c r="R1345"/>
      <c r="S1345"/>
      <c r="T1345"/>
      <c r="U1345"/>
      <c r="V1345"/>
      <c r="W1345" s="41"/>
      <c r="X1345" s="41"/>
      <c r="Y1345" s="41"/>
    </row>
    <row r="1346" s="27" customFormat="1" ht="23" hidden="1" customHeight="1" spans="1:25">
      <c r="A1346" s="133" t="str">
        <f>IF(B1346="","",COUNTA($B$5:B1346))</f>
        <v/>
      </c>
      <c r="B1346" s="148"/>
      <c r="C1346" s="22" t="s">
        <v>49</v>
      </c>
      <c r="D1346" s="149"/>
      <c r="E1346" s="150"/>
      <c r="F1346" s="151"/>
      <c r="G1346" s="151"/>
      <c r="H1346" s="142">
        <f>IFERROR(VLOOKUP($C1346,$C$5:$H$18,6,0)+SUMIF($C$19:$C1346,$C1346,$F$19:$F1346)-SUMIF($C$19:$C1346,$C1346,$G$19:$G1346),"")</f>
        <v>81211.819999998</v>
      </c>
      <c r="I1346" s="147"/>
      <c r="J1346" s="147"/>
      <c r="K1346" s="147" t="str">
        <f t="shared" si="20"/>
        <v/>
      </c>
      <c r="L1346" s="40"/>
      <c r="M1346"/>
      <c r="N1346"/>
      <c r="O1346"/>
      <c r="P1346"/>
      <c r="Q1346"/>
      <c r="R1346"/>
      <c r="S1346"/>
      <c r="T1346"/>
      <c r="U1346"/>
      <c r="V1346"/>
      <c r="W1346" s="41"/>
      <c r="X1346" s="41"/>
      <c r="Y1346" s="41"/>
    </row>
    <row r="1347" s="27" customFormat="1" ht="23" hidden="1" customHeight="1" spans="1:25">
      <c r="A1347" s="133" t="str">
        <f>IF(B1347="","",COUNTA($B$5:B1347))</f>
        <v/>
      </c>
      <c r="B1347" s="148"/>
      <c r="C1347" s="22" t="s">
        <v>49</v>
      </c>
      <c r="D1347" s="149"/>
      <c r="E1347" s="150"/>
      <c r="F1347" s="151"/>
      <c r="G1347" s="151"/>
      <c r="H1347" s="142">
        <f>IFERROR(VLOOKUP($C1347,$C$5:$H$18,6,0)+SUMIF($C$19:$C1347,$C1347,$F$19:$F1347)-SUMIF($C$19:$C1347,$C1347,$G$19:$G1347),"")</f>
        <v>81211.819999998</v>
      </c>
      <c r="I1347" s="147"/>
      <c r="J1347" s="147"/>
      <c r="K1347" s="147" t="str">
        <f t="shared" si="20"/>
        <v/>
      </c>
      <c r="L1347" s="40"/>
      <c r="M1347"/>
      <c r="N1347"/>
      <c r="O1347"/>
      <c r="P1347"/>
      <c r="Q1347"/>
      <c r="R1347"/>
      <c r="S1347"/>
      <c r="T1347"/>
      <c r="U1347"/>
      <c r="V1347"/>
      <c r="W1347" s="41"/>
      <c r="X1347" s="41"/>
      <c r="Y1347" s="41"/>
    </row>
    <row r="1348" s="27" customFormat="1" ht="23" hidden="1" customHeight="1" spans="1:25">
      <c r="A1348" s="133" t="str">
        <f>IF(B1348="","",COUNTA($B$5:B1348))</f>
        <v/>
      </c>
      <c r="B1348" s="148"/>
      <c r="C1348" s="22" t="s">
        <v>49</v>
      </c>
      <c r="D1348" s="149"/>
      <c r="E1348" s="150"/>
      <c r="F1348" s="151"/>
      <c r="G1348" s="151"/>
      <c r="H1348" s="142">
        <f>IFERROR(VLOOKUP($C1348,$C$5:$H$18,6,0)+SUMIF($C$19:$C1348,$C1348,$F$19:$F1348)-SUMIF($C$19:$C1348,$C1348,$G$19:$G1348),"")</f>
        <v>81211.819999998</v>
      </c>
      <c r="I1348" s="147"/>
      <c r="J1348" s="147"/>
      <c r="K1348" s="147" t="str">
        <f t="shared" si="20"/>
        <v/>
      </c>
      <c r="L1348" s="40"/>
      <c r="M1348"/>
      <c r="N1348"/>
      <c r="O1348"/>
      <c r="P1348"/>
      <c r="Q1348"/>
      <c r="R1348"/>
      <c r="S1348"/>
      <c r="T1348"/>
      <c r="U1348"/>
      <c r="V1348"/>
      <c r="W1348" s="41"/>
      <c r="X1348" s="41"/>
      <c r="Y1348" s="41"/>
    </row>
    <row r="1349" s="27" customFormat="1" ht="23" hidden="1" customHeight="1" spans="1:25">
      <c r="A1349" s="133" t="str">
        <f>IF(B1349="","",COUNTA($B$5:B1349))</f>
        <v/>
      </c>
      <c r="B1349" s="148"/>
      <c r="C1349" s="22" t="s">
        <v>49</v>
      </c>
      <c r="D1349" s="149"/>
      <c r="E1349" s="150"/>
      <c r="F1349" s="151"/>
      <c r="G1349" s="151"/>
      <c r="H1349" s="142">
        <f>IFERROR(VLOOKUP($C1349,$C$5:$H$18,6,0)+SUMIF($C$19:$C1349,$C1349,$F$19:$F1349)-SUMIF($C$19:$C1349,$C1349,$G$19:$G1349),"")</f>
        <v>81211.819999998</v>
      </c>
      <c r="I1349" s="147"/>
      <c r="J1349" s="147"/>
      <c r="K1349" s="147" t="str">
        <f t="shared" ref="K1349:K1412" si="21">IF($B1349="","",--TEXT($B1349,"yyyymm"))</f>
        <v/>
      </c>
      <c r="L1349" s="40"/>
      <c r="M1349"/>
      <c r="N1349"/>
      <c r="O1349"/>
      <c r="P1349"/>
      <c r="Q1349"/>
      <c r="R1349"/>
      <c r="S1349"/>
      <c r="T1349"/>
      <c r="U1349"/>
      <c r="V1349"/>
      <c r="W1349" s="41"/>
      <c r="X1349" s="41"/>
      <c r="Y1349" s="41"/>
    </row>
    <row r="1350" s="27" customFormat="1" ht="23" hidden="1" customHeight="1" spans="1:25">
      <c r="A1350" s="133" t="str">
        <f>IF(B1350="","",COUNTA($B$5:B1350))</f>
        <v/>
      </c>
      <c r="B1350" s="148"/>
      <c r="C1350" s="22" t="s">
        <v>49</v>
      </c>
      <c r="D1350" s="149"/>
      <c r="E1350" s="150"/>
      <c r="F1350" s="151"/>
      <c r="G1350" s="151"/>
      <c r="H1350" s="142">
        <f>IFERROR(VLOOKUP($C1350,$C$5:$H$18,6,0)+SUMIF($C$19:$C1350,$C1350,$F$19:$F1350)-SUMIF($C$19:$C1350,$C1350,$G$19:$G1350),"")</f>
        <v>81211.819999998</v>
      </c>
      <c r="I1350" s="147"/>
      <c r="J1350" s="147"/>
      <c r="K1350" s="147" t="str">
        <f t="shared" si="21"/>
        <v/>
      </c>
      <c r="L1350" s="40"/>
      <c r="M1350"/>
      <c r="N1350"/>
      <c r="O1350"/>
      <c r="P1350"/>
      <c r="Q1350"/>
      <c r="R1350"/>
      <c r="S1350"/>
      <c r="T1350"/>
      <c r="U1350"/>
      <c r="V1350"/>
      <c r="W1350" s="41"/>
      <c r="X1350" s="41"/>
      <c r="Y1350" s="41"/>
    </row>
    <row r="1351" s="27" customFormat="1" ht="23" hidden="1" customHeight="1" spans="1:25">
      <c r="A1351" s="133" t="str">
        <f>IF(B1351="","",COUNTA($B$5:B1351))</f>
        <v/>
      </c>
      <c r="B1351" s="148"/>
      <c r="C1351" s="22" t="s">
        <v>49</v>
      </c>
      <c r="D1351" s="149"/>
      <c r="E1351" s="150"/>
      <c r="F1351" s="151"/>
      <c r="G1351" s="151"/>
      <c r="H1351" s="142">
        <f>IFERROR(VLOOKUP($C1351,$C$5:$H$18,6,0)+SUMIF($C$19:$C1351,$C1351,$F$19:$F1351)-SUMIF($C$19:$C1351,$C1351,$G$19:$G1351),"")</f>
        <v>81211.819999998</v>
      </c>
      <c r="I1351" s="147"/>
      <c r="J1351" s="147"/>
      <c r="K1351" s="147" t="str">
        <f t="shared" si="21"/>
        <v/>
      </c>
      <c r="L1351" s="40"/>
      <c r="M1351"/>
      <c r="N1351"/>
      <c r="O1351"/>
      <c r="P1351"/>
      <c r="Q1351"/>
      <c r="R1351"/>
      <c r="S1351"/>
      <c r="T1351"/>
      <c r="U1351"/>
      <c r="V1351"/>
      <c r="W1351" s="41"/>
      <c r="X1351" s="41"/>
      <c r="Y1351" s="41"/>
    </row>
    <row r="1352" s="27" customFormat="1" ht="23" hidden="1" customHeight="1" spans="1:25">
      <c r="A1352" s="133" t="str">
        <f>IF(B1352="","",COUNTA($B$5:B1352))</f>
        <v/>
      </c>
      <c r="B1352" s="148"/>
      <c r="C1352" s="22" t="s">
        <v>49</v>
      </c>
      <c r="D1352" s="149"/>
      <c r="E1352" s="150"/>
      <c r="F1352" s="151"/>
      <c r="G1352" s="151"/>
      <c r="H1352" s="142">
        <f>IFERROR(VLOOKUP($C1352,$C$5:$H$18,6,0)+SUMIF($C$19:$C1352,$C1352,$F$19:$F1352)-SUMIF($C$19:$C1352,$C1352,$G$19:$G1352),"")</f>
        <v>81211.819999998</v>
      </c>
      <c r="I1352" s="147"/>
      <c r="J1352" s="147"/>
      <c r="K1352" s="147" t="str">
        <f t="shared" si="21"/>
        <v/>
      </c>
      <c r="L1352" s="40"/>
      <c r="M1352"/>
      <c r="N1352"/>
      <c r="O1352"/>
      <c r="P1352"/>
      <c r="Q1352"/>
      <c r="R1352"/>
      <c r="S1352"/>
      <c r="T1352"/>
      <c r="U1352"/>
      <c r="V1352"/>
      <c r="W1352" s="41"/>
      <c r="X1352" s="41"/>
      <c r="Y1352" s="41"/>
    </row>
    <row r="1353" s="27" customFormat="1" ht="23" hidden="1" customHeight="1" spans="1:25">
      <c r="A1353" s="133" t="str">
        <f>IF(B1353="","",COUNTA($B$5:B1353))</f>
        <v/>
      </c>
      <c r="B1353" s="148"/>
      <c r="C1353" s="22" t="s">
        <v>49</v>
      </c>
      <c r="D1353" s="149"/>
      <c r="E1353" s="150"/>
      <c r="F1353" s="151"/>
      <c r="G1353" s="151"/>
      <c r="H1353" s="142">
        <f>IFERROR(VLOOKUP($C1353,$C$5:$H$18,6,0)+SUMIF($C$19:$C1353,$C1353,$F$19:$F1353)-SUMIF($C$19:$C1353,$C1353,$G$19:$G1353),"")</f>
        <v>81211.819999998</v>
      </c>
      <c r="I1353" s="147"/>
      <c r="J1353" s="147"/>
      <c r="K1353" s="147" t="str">
        <f t="shared" si="21"/>
        <v/>
      </c>
      <c r="L1353" s="40"/>
      <c r="M1353"/>
      <c r="N1353"/>
      <c r="O1353"/>
      <c r="P1353"/>
      <c r="Q1353"/>
      <c r="R1353"/>
      <c r="S1353"/>
      <c r="T1353"/>
      <c r="U1353"/>
      <c r="V1353"/>
      <c r="W1353" s="41"/>
      <c r="X1353" s="41"/>
      <c r="Y1353" s="41"/>
    </row>
    <row r="1354" s="27" customFormat="1" ht="23" hidden="1" customHeight="1" spans="1:25">
      <c r="A1354" s="133" t="str">
        <f>IF(B1354="","",COUNTA($B$5:B1354))</f>
        <v/>
      </c>
      <c r="B1354" s="148"/>
      <c r="C1354" s="22" t="s">
        <v>49</v>
      </c>
      <c r="D1354" s="149"/>
      <c r="E1354" s="150"/>
      <c r="F1354" s="151"/>
      <c r="G1354" s="151"/>
      <c r="H1354" s="142">
        <f>IFERROR(VLOOKUP($C1354,$C$5:$H$18,6,0)+SUMIF($C$19:$C1354,$C1354,$F$19:$F1354)-SUMIF($C$19:$C1354,$C1354,$G$19:$G1354),"")</f>
        <v>81211.819999998</v>
      </c>
      <c r="I1354" s="147"/>
      <c r="J1354" s="147"/>
      <c r="K1354" s="147" t="str">
        <f t="shared" si="21"/>
        <v/>
      </c>
      <c r="L1354" s="40"/>
      <c r="M1354"/>
      <c r="N1354"/>
      <c r="O1354"/>
      <c r="P1354"/>
      <c r="Q1354"/>
      <c r="R1354"/>
      <c r="S1354"/>
      <c r="T1354"/>
      <c r="U1354"/>
      <c r="V1354"/>
      <c r="W1354" s="41"/>
      <c r="X1354" s="41"/>
      <c r="Y1354" s="41"/>
    </row>
    <row r="1355" s="27" customFormat="1" ht="23" hidden="1" customHeight="1" spans="1:25">
      <c r="A1355" s="133" t="str">
        <f>IF(B1355="","",COUNTA($B$5:B1355))</f>
        <v/>
      </c>
      <c r="B1355" s="148"/>
      <c r="C1355" s="22" t="s">
        <v>49</v>
      </c>
      <c r="D1355" s="149"/>
      <c r="E1355" s="150"/>
      <c r="F1355" s="151"/>
      <c r="G1355" s="151"/>
      <c r="H1355" s="142">
        <f>IFERROR(VLOOKUP($C1355,$C$5:$H$18,6,0)+SUMIF($C$19:$C1355,$C1355,$F$19:$F1355)-SUMIF($C$19:$C1355,$C1355,$G$19:$G1355),"")</f>
        <v>81211.819999998</v>
      </c>
      <c r="I1355" s="147"/>
      <c r="J1355" s="147"/>
      <c r="K1355" s="147" t="str">
        <f t="shared" si="21"/>
        <v/>
      </c>
      <c r="L1355" s="40"/>
      <c r="M1355"/>
      <c r="N1355"/>
      <c r="O1355"/>
      <c r="P1355"/>
      <c r="Q1355"/>
      <c r="R1355"/>
      <c r="S1355"/>
      <c r="T1355"/>
      <c r="U1355"/>
      <c r="V1355"/>
      <c r="W1355" s="41"/>
      <c r="X1355" s="41"/>
      <c r="Y1355" s="41"/>
    </row>
    <row r="1356" s="27" customFormat="1" ht="23" hidden="1" customHeight="1" spans="1:25">
      <c r="A1356" s="133" t="str">
        <f>IF(B1356="","",COUNTA($B$5:B1356))</f>
        <v/>
      </c>
      <c r="B1356" s="148"/>
      <c r="C1356" s="22" t="s">
        <v>49</v>
      </c>
      <c r="D1356" s="149"/>
      <c r="E1356" s="150"/>
      <c r="F1356" s="151"/>
      <c r="G1356" s="151"/>
      <c r="H1356" s="142">
        <f>IFERROR(VLOOKUP($C1356,$C$5:$H$18,6,0)+SUMIF($C$19:$C1356,$C1356,$F$19:$F1356)-SUMIF($C$19:$C1356,$C1356,$G$19:$G1356),"")</f>
        <v>81211.819999998</v>
      </c>
      <c r="I1356" s="147"/>
      <c r="J1356" s="147"/>
      <c r="K1356" s="147" t="str">
        <f t="shared" si="21"/>
        <v/>
      </c>
      <c r="L1356" s="40"/>
      <c r="M1356"/>
      <c r="N1356"/>
      <c r="O1356"/>
      <c r="P1356"/>
      <c r="Q1356"/>
      <c r="R1356"/>
      <c r="S1356"/>
      <c r="T1356"/>
      <c r="U1356"/>
      <c r="V1356"/>
      <c r="W1356" s="41"/>
      <c r="X1356" s="41"/>
      <c r="Y1356" s="41"/>
    </row>
    <row r="1357" s="27" customFormat="1" ht="23" hidden="1" customHeight="1" spans="1:25">
      <c r="A1357" s="133" t="str">
        <f>IF(B1357="","",COUNTA($B$5:B1357))</f>
        <v/>
      </c>
      <c r="B1357" s="148"/>
      <c r="C1357" s="22" t="s">
        <v>49</v>
      </c>
      <c r="D1357" s="149"/>
      <c r="E1357" s="150"/>
      <c r="F1357" s="151"/>
      <c r="G1357" s="151"/>
      <c r="H1357" s="142">
        <f>IFERROR(VLOOKUP($C1357,$C$5:$H$18,6,0)+SUMIF($C$19:$C1357,$C1357,$F$19:$F1357)-SUMIF($C$19:$C1357,$C1357,$G$19:$G1357),"")</f>
        <v>81211.819999998</v>
      </c>
      <c r="I1357" s="147"/>
      <c r="J1357" s="147"/>
      <c r="K1357" s="147" t="str">
        <f t="shared" si="21"/>
        <v/>
      </c>
      <c r="L1357" s="40"/>
      <c r="M1357"/>
      <c r="N1357"/>
      <c r="O1357"/>
      <c r="P1357"/>
      <c r="Q1357"/>
      <c r="R1357"/>
      <c r="S1357"/>
      <c r="T1357"/>
      <c r="U1357"/>
      <c r="V1357"/>
      <c r="W1357" s="41"/>
      <c r="X1357" s="41"/>
      <c r="Y1357" s="41"/>
    </row>
    <row r="1358" s="27" customFormat="1" ht="23" hidden="1" customHeight="1" spans="1:25">
      <c r="A1358" s="133" t="str">
        <f>IF(B1358="","",COUNTA($B$5:B1358))</f>
        <v/>
      </c>
      <c r="B1358" s="148"/>
      <c r="C1358" s="22" t="s">
        <v>49</v>
      </c>
      <c r="D1358" s="149"/>
      <c r="E1358" s="150"/>
      <c r="F1358" s="151"/>
      <c r="G1358" s="151"/>
      <c r="H1358" s="142">
        <f>IFERROR(VLOOKUP($C1358,$C$5:$H$18,6,0)+SUMIF($C$19:$C1358,$C1358,$F$19:$F1358)-SUMIF($C$19:$C1358,$C1358,$G$19:$G1358),"")</f>
        <v>81211.819999998</v>
      </c>
      <c r="I1358" s="147"/>
      <c r="J1358" s="147"/>
      <c r="K1358" s="147" t="str">
        <f t="shared" si="21"/>
        <v/>
      </c>
      <c r="L1358" s="40"/>
      <c r="M1358"/>
      <c r="N1358"/>
      <c r="O1358"/>
      <c r="P1358"/>
      <c r="Q1358"/>
      <c r="R1358"/>
      <c r="S1358"/>
      <c r="T1358"/>
      <c r="U1358"/>
      <c r="V1358"/>
      <c r="W1358" s="41"/>
      <c r="X1358" s="41"/>
      <c r="Y1358" s="41"/>
    </row>
    <row r="1359" s="27" customFormat="1" ht="23" hidden="1" customHeight="1" spans="1:25">
      <c r="A1359" s="133" t="str">
        <f>IF(B1359="","",COUNTA($B$5:B1359))</f>
        <v/>
      </c>
      <c r="B1359" s="148"/>
      <c r="C1359" s="22" t="s">
        <v>49</v>
      </c>
      <c r="D1359" s="149"/>
      <c r="E1359" s="150"/>
      <c r="F1359" s="151"/>
      <c r="G1359" s="151"/>
      <c r="H1359" s="142">
        <f>IFERROR(VLOOKUP($C1359,$C$5:$H$18,6,0)+SUMIF($C$19:$C1359,$C1359,$F$19:$F1359)-SUMIF($C$19:$C1359,$C1359,$G$19:$G1359),"")</f>
        <v>81211.819999998</v>
      </c>
      <c r="I1359" s="147"/>
      <c r="J1359" s="147"/>
      <c r="K1359" s="147" t="str">
        <f t="shared" si="21"/>
        <v/>
      </c>
      <c r="L1359" s="40"/>
      <c r="M1359"/>
      <c r="N1359"/>
      <c r="O1359"/>
      <c r="P1359"/>
      <c r="Q1359"/>
      <c r="R1359"/>
      <c r="S1359"/>
      <c r="T1359"/>
      <c r="U1359"/>
      <c r="V1359"/>
      <c r="W1359" s="41"/>
      <c r="X1359" s="41"/>
      <c r="Y1359" s="41"/>
    </row>
    <row r="1360" s="27" customFormat="1" ht="23" hidden="1" customHeight="1" spans="1:25">
      <c r="A1360" s="133" t="str">
        <f>IF(B1360="","",COUNTA($B$5:B1360))</f>
        <v/>
      </c>
      <c r="B1360" s="148"/>
      <c r="C1360" s="22" t="s">
        <v>49</v>
      </c>
      <c r="D1360" s="149"/>
      <c r="E1360" s="150"/>
      <c r="F1360" s="151"/>
      <c r="G1360" s="151"/>
      <c r="H1360" s="142">
        <f>IFERROR(VLOOKUP($C1360,$C$5:$H$18,6,0)+SUMIF($C$19:$C1360,$C1360,$F$19:$F1360)-SUMIF($C$19:$C1360,$C1360,$G$19:$G1360),"")</f>
        <v>81211.819999998</v>
      </c>
      <c r="I1360" s="147"/>
      <c r="J1360" s="147"/>
      <c r="K1360" s="147" t="str">
        <f t="shared" si="21"/>
        <v/>
      </c>
      <c r="L1360" s="40"/>
      <c r="M1360"/>
      <c r="N1360"/>
      <c r="O1360"/>
      <c r="P1360"/>
      <c r="Q1360"/>
      <c r="R1360"/>
      <c r="S1360"/>
      <c r="T1360"/>
      <c r="U1360"/>
      <c r="V1360"/>
      <c r="W1360" s="41"/>
      <c r="X1360" s="41"/>
      <c r="Y1360" s="41"/>
    </row>
    <row r="1361" s="27" customFormat="1" ht="23" hidden="1" customHeight="1" spans="1:25">
      <c r="A1361" s="133" t="str">
        <f>IF(B1361="","",COUNTA($B$5:B1361))</f>
        <v/>
      </c>
      <c r="B1361" s="148"/>
      <c r="C1361" s="22" t="s">
        <v>49</v>
      </c>
      <c r="D1361" s="149"/>
      <c r="E1361" s="150"/>
      <c r="F1361" s="151"/>
      <c r="G1361" s="151"/>
      <c r="H1361" s="142">
        <f>IFERROR(VLOOKUP($C1361,$C$5:$H$18,6,0)+SUMIF($C$19:$C1361,$C1361,$F$19:$F1361)-SUMIF($C$19:$C1361,$C1361,$G$19:$G1361),"")</f>
        <v>81211.819999998</v>
      </c>
      <c r="I1361" s="147"/>
      <c r="J1361" s="147"/>
      <c r="K1361" s="147" t="str">
        <f t="shared" si="21"/>
        <v/>
      </c>
      <c r="L1361" s="40"/>
      <c r="M1361"/>
      <c r="N1361"/>
      <c r="O1361"/>
      <c r="P1361"/>
      <c r="Q1361"/>
      <c r="R1361"/>
      <c r="S1361"/>
      <c r="T1361"/>
      <c r="U1361"/>
      <c r="V1361"/>
      <c r="W1361" s="41"/>
      <c r="X1361" s="41"/>
      <c r="Y1361" s="41"/>
    </row>
    <row r="1362" s="27" customFormat="1" ht="23" hidden="1" customHeight="1" spans="1:25">
      <c r="A1362" s="133" t="str">
        <f>IF(B1362="","",COUNTA($B$5:B1362))</f>
        <v/>
      </c>
      <c r="B1362" s="148"/>
      <c r="C1362" s="22" t="s">
        <v>49</v>
      </c>
      <c r="D1362" s="149"/>
      <c r="E1362" s="150"/>
      <c r="F1362" s="151"/>
      <c r="G1362" s="151"/>
      <c r="H1362" s="142">
        <f>IFERROR(VLOOKUP($C1362,$C$5:$H$18,6,0)+SUMIF($C$19:$C1362,$C1362,$F$19:$F1362)-SUMIF($C$19:$C1362,$C1362,$G$19:$G1362),"")</f>
        <v>81211.819999998</v>
      </c>
      <c r="I1362" s="147"/>
      <c r="J1362" s="147"/>
      <c r="K1362" s="147" t="str">
        <f t="shared" si="21"/>
        <v/>
      </c>
      <c r="L1362" s="40"/>
      <c r="M1362"/>
      <c r="N1362"/>
      <c r="O1362"/>
      <c r="P1362"/>
      <c r="Q1362"/>
      <c r="R1362"/>
      <c r="S1362"/>
      <c r="T1362"/>
      <c r="U1362"/>
      <c r="V1362"/>
      <c r="W1362" s="41"/>
      <c r="X1362" s="41"/>
      <c r="Y1362" s="41"/>
    </row>
    <row r="1363" s="27" customFormat="1" ht="23" hidden="1" customHeight="1" spans="1:25">
      <c r="A1363" s="133" t="str">
        <f>IF(B1363="","",COUNTA($B$5:B1363))</f>
        <v/>
      </c>
      <c r="B1363" s="148"/>
      <c r="C1363" s="22" t="s">
        <v>49</v>
      </c>
      <c r="D1363" s="149"/>
      <c r="E1363" s="150"/>
      <c r="F1363" s="151"/>
      <c r="G1363" s="151"/>
      <c r="H1363" s="142">
        <f>IFERROR(VLOOKUP($C1363,$C$5:$H$18,6,0)+SUMIF($C$19:$C1363,$C1363,$F$19:$F1363)-SUMIF($C$19:$C1363,$C1363,$G$19:$G1363),"")</f>
        <v>81211.819999998</v>
      </c>
      <c r="I1363" s="147"/>
      <c r="J1363" s="147"/>
      <c r="K1363" s="147" t="str">
        <f t="shared" si="21"/>
        <v/>
      </c>
      <c r="L1363" s="40"/>
      <c r="M1363"/>
      <c r="N1363"/>
      <c r="O1363"/>
      <c r="P1363"/>
      <c r="Q1363"/>
      <c r="R1363"/>
      <c r="S1363"/>
      <c r="T1363"/>
      <c r="U1363"/>
      <c r="V1363"/>
      <c r="W1363" s="41"/>
      <c r="X1363" s="41"/>
      <c r="Y1363" s="41"/>
    </row>
    <row r="1364" s="27" customFormat="1" ht="23" hidden="1" customHeight="1" spans="1:25">
      <c r="A1364" s="133" t="str">
        <f>IF(B1364="","",COUNTA($B$5:B1364))</f>
        <v/>
      </c>
      <c r="B1364" s="148"/>
      <c r="C1364" s="22" t="s">
        <v>49</v>
      </c>
      <c r="D1364" s="149"/>
      <c r="E1364" s="150"/>
      <c r="F1364" s="151"/>
      <c r="G1364" s="151"/>
      <c r="H1364" s="142">
        <f>IFERROR(VLOOKUP($C1364,$C$5:$H$18,6,0)+SUMIF($C$19:$C1364,$C1364,$F$19:$F1364)-SUMIF($C$19:$C1364,$C1364,$G$19:$G1364),"")</f>
        <v>81211.819999998</v>
      </c>
      <c r="I1364" s="147"/>
      <c r="J1364" s="147"/>
      <c r="K1364" s="147" t="str">
        <f t="shared" si="21"/>
        <v/>
      </c>
      <c r="L1364" s="40"/>
      <c r="M1364"/>
      <c r="N1364"/>
      <c r="O1364"/>
      <c r="P1364"/>
      <c r="Q1364"/>
      <c r="R1364"/>
      <c r="S1364"/>
      <c r="T1364"/>
      <c r="U1364"/>
      <c r="V1364"/>
      <c r="W1364" s="41"/>
      <c r="X1364" s="41"/>
      <c r="Y1364" s="41"/>
    </row>
    <row r="1365" s="27" customFormat="1" ht="23" hidden="1" customHeight="1" spans="1:25">
      <c r="A1365" s="133" t="str">
        <f>IF(B1365="","",COUNTA($B$5:B1365))</f>
        <v/>
      </c>
      <c r="B1365" s="148"/>
      <c r="C1365" s="22" t="s">
        <v>49</v>
      </c>
      <c r="D1365" s="149"/>
      <c r="E1365" s="150"/>
      <c r="F1365" s="151"/>
      <c r="G1365" s="151"/>
      <c r="H1365" s="142">
        <f>IFERROR(VLOOKUP($C1365,$C$5:$H$18,6,0)+SUMIF($C$19:$C1365,$C1365,$F$19:$F1365)-SUMIF($C$19:$C1365,$C1365,$G$19:$G1365),"")</f>
        <v>81211.819999998</v>
      </c>
      <c r="I1365" s="147"/>
      <c r="J1365" s="147"/>
      <c r="K1365" s="147" t="str">
        <f t="shared" si="21"/>
        <v/>
      </c>
      <c r="L1365" s="40"/>
      <c r="M1365"/>
      <c r="N1365"/>
      <c r="O1365"/>
      <c r="P1365"/>
      <c r="Q1365"/>
      <c r="R1365"/>
      <c r="S1365"/>
      <c r="T1365"/>
      <c r="U1365"/>
      <c r="V1365"/>
      <c r="W1365" s="41"/>
      <c r="X1365" s="41"/>
      <c r="Y1365" s="41"/>
    </row>
    <row r="1366" s="27" customFormat="1" ht="23" hidden="1" customHeight="1" spans="1:25">
      <c r="A1366" s="133" t="str">
        <f>IF(B1366="","",COUNTA($B$5:B1366))</f>
        <v/>
      </c>
      <c r="B1366" s="148"/>
      <c r="C1366" s="22" t="s">
        <v>49</v>
      </c>
      <c r="D1366" s="149"/>
      <c r="E1366" s="150"/>
      <c r="F1366" s="151"/>
      <c r="G1366" s="151"/>
      <c r="H1366" s="142">
        <f>IFERROR(VLOOKUP($C1366,$C$5:$H$18,6,0)+SUMIF($C$19:$C1366,$C1366,$F$19:$F1366)-SUMIF($C$19:$C1366,$C1366,$G$19:$G1366),"")</f>
        <v>81211.819999998</v>
      </c>
      <c r="I1366" s="147"/>
      <c r="J1366" s="147"/>
      <c r="K1366" s="147" t="str">
        <f t="shared" si="21"/>
        <v/>
      </c>
      <c r="L1366" s="40"/>
      <c r="M1366"/>
      <c r="N1366"/>
      <c r="O1366"/>
      <c r="P1366"/>
      <c r="Q1366"/>
      <c r="R1366"/>
      <c r="S1366"/>
      <c r="T1366"/>
      <c r="U1366"/>
      <c r="V1366"/>
      <c r="W1366" s="41"/>
      <c r="X1366" s="41"/>
      <c r="Y1366" s="41"/>
    </row>
    <row r="1367" s="27" customFormat="1" ht="23" hidden="1" customHeight="1" spans="1:25">
      <c r="A1367" s="133" t="str">
        <f>IF(B1367="","",COUNTA($B$5:B1367))</f>
        <v/>
      </c>
      <c r="B1367" s="148"/>
      <c r="C1367" s="22" t="s">
        <v>49</v>
      </c>
      <c r="D1367" s="149"/>
      <c r="E1367" s="150"/>
      <c r="F1367" s="151"/>
      <c r="G1367" s="151"/>
      <c r="H1367" s="142">
        <f>IFERROR(VLOOKUP($C1367,$C$5:$H$18,6,0)+SUMIF($C$19:$C1367,$C1367,$F$19:$F1367)-SUMIF($C$19:$C1367,$C1367,$G$19:$G1367),"")</f>
        <v>81211.819999998</v>
      </c>
      <c r="I1367" s="147"/>
      <c r="J1367" s="147"/>
      <c r="K1367" s="147" t="str">
        <f t="shared" si="21"/>
        <v/>
      </c>
      <c r="L1367" s="40"/>
      <c r="M1367"/>
      <c r="N1367"/>
      <c r="O1367"/>
      <c r="P1367"/>
      <c r="Q1367"/>
      <c r="R1367"/>
      <c r="S1367"/>
      <c r="T1367"/>
      <c r="U1367"/>
      <c r="V1367"/>
      <c r="W1367" s="41"/>
      <c r="X1367" s="41"/>
      <c r="Y1367" s="41"/>
    </row>
    <row r="1368" s="27" customFormat="1" ht="23" hidden="1" customHeight="1" spans="1:25">
      <c r="A1368" s="133" t="str">
        <f>IF(B1368="","",COUNTA($B$5:B1368))</f>
        <v/>
      </c>
      <c r="B1368" s="148"/>
      <c r="C1368" s="22" t="s">
        <v>49</v>
      </c>
      <c r="D1368" s="149"/>
      <c r="E1368" s="150"/>
      <c r="F1368" s="151"/>
      <c r="G1368" s="151"/>
      <c r="H1368" s="142">
        <f>IFERROR(VLOOKUP($C1368,$C$5:$H$18,6,0)+SUMIF($C$19:$C1368,$C1368,$F$19:$F1368)-SUMIF($C$19:$C1368,$C1368,$G$19:$G1368),"")</f>
        <v>81211.819999998</v>
      </c>
      <c r="I1368" s="147"/>
      <c r="J1368" s="147"/>
      <c r="K1368" s="147" t="str">
        <f t="shared" si="21"/>
        <v/>
      </c>
      <c r="L1368" s="40"/>
      <c r="M1368"/>
      <c r="N1368"/>
      <c r="O1368"/>
      <c r="P1368"/>
      <c r="Q1368"/>
      <c r="R1368"/>
      <c r="S1368"/>
      <c r="T1368"/>
      <c r="U1368"/>
      <c r="V1368"/>
      <c r="W1368" s="41"/>
      <c r="X1368" s="41"/>
      <c r="Y1368" s="41"/>
    </row>
    <row r="1369" s="27" customFormat="1" ht="23" hidden="1" customHeight="1" spans="1:25">
      <c r="A1369" s="133" t="str">
        <f>IF(B1369="","",COUNTA($B$5:B1369))</f>
        <v/>
      </c>
      <c r="B1369" s="148"/>
      <c r="C1369" s="22" t="s">
        <v>49</v>
      </c>
      <c r="D1369" s="149"/>
      <c r="E1369" s="150"/>
      <c r="F1369" s="151"/>
      <c r="G1369" s="151"/>
      <c r="H1369" s="142">
        <f>IFERROR(VLOOKUP($C1369,$C$5:$H$18,6,0)+SUMIF($C$19:$C1369,$C1369,$F$19:$F1369)-SUMIF($C$19:$C1369,$C1369,$G$19:$G1369),"")</f>
        <v>81211.819999998</v>
      </c>
      <c r="I1369" s="147"/>
      <c r="J1369" s="147"/>
      <c r="K1369" s="147" t="str">
        <f t="shared" si="21"/>
        <v/>
      </c>
      <c r="L1369" s="40"/>
      <c r="M1369"/>
      <c r="N1369"/>
      <c r="O1369"/>
      <c r="P1369"/>
      <c r="Q1369"/>
      <c r="R1369"/>
      <c r="S1369"/>
      <c r="T1369"/>
      <c r="U1369"/>
      <c r="V1369"/>
      <c r="W1369" s="41"/>
      <c r="X1369" s="41"/>
      <c r="Y1369" s="41"/>
    </row>
    <row r="1370" s="27" customFormat="1" ht="23" hidden="1" customHeight="1" spans="1:25">
      <c r="A1370" s="133" t="str">
        <f>IF(B1370="","",COUNTA($B$5:B1370))</f>
        <v/>
      </c>
      <c r="B1370" s="148"/>
      <c r="C1370" s="22" t="s">
        <v>49</v>
      </c>
      <c r="D1370" s="149"/>
      <c r="E1370" s="150"/>
      <c r="F1370" s="151"/>
      <c r="G1370" s="151"/>
      <c r="H1370" s="142">
        <f>IFERROR(VLOOKUP($C1370,$C$5:$H$18,6,0)+SUMIF($C$19:$C1370,$C1370,$F$19:$F1370)-SUMIF($C$19:$C1370,$C1370,$G$19:$G1370),"")</f>
        <v>81211.819999998</v>
      </c>
      <c r="I1370" s="147"/>
      <c r="J1370" s="147"/>
      <c r="K1370" s="147" t="str">
        <f t="shared" si="21"/>
        <v/>
      </c>
      <c r="L1370" s="40"/>
      <c r="M1370"/>
      <c r="N1370"/>
      <c r="O1370"/>
      <c r="P1370"/>
      <c r="Q1370"/>
      <c r="R1370"/>
      <c r="S1370"/>
      <c r="T1370"/>
      <c r="U1370"/>
      <c r="V1370"/>
      <c r="W1370" s="41"/>
      <c r="X1370" s="41"/>
      <c r="Y1370" s="41"/>
    </row>
    <row r="1371" s="27" customFormat="1" ht="23" hidden="1" customHeight="1" spans="1:25">
      <c r="A1371" s="133" t="str">
        <f>IF(B1371="","",COUNTA($B$5:B1371))</f>
        <v/>
      </c>
      <c r="B1371" s="148"/>
      <c r="C1371" s="22" t="s">
        <v>49</v>
      </c>
      <c r="D1371" s="149"/>
      <c r="E1371" s="150"/>
      <c r="F1371" s="151"/>
      <c r="G1371" s="151"/>
      <c r="H1371" s="142">
        <f>IFERROR(VLOOKUP($C1371,$C$5:$H$18,6,0)+SUMIF($C$19:$C1371,$C1371,$F$19:$F1371)-SUMIF($C$19:$C1371,$C1371,$G$19:$G1371),"")</f>
        <v>81211.819999998</v>
      </c>
      <c r="I1371" s="147"/>
      <c r="J1371" s="147"/>
      <c r="K1371" s="147" t="str">
        <f t="shared" si="21"/>
        <v/>
      </c>
      <c r="L1371" s="40"/>
      <c r="M1371"/>
      <c r="N1371"/>
      <c r="O1371"/>
      <c r="P1371"/>
      <c r="Q1371"/>
      <c r="R1371"/>
      <c r="S1371"/>
      <c r="T1371"/>
      <c r="U1371"/>
      <c r="V1371"/>
      <c r="W1371" s="41"/>
      <c r="X1371" s="41"/>
      <c r="Y1371" s="41"/>
    </row>
    <row r="1372" s="27" customFormat="1" ht="23" hidden="1" customHeight="1" spans="1:25">
      <c r="A1372" s="133" t="str">
        <f>IF(B1372="","",COUNTA($B$5:B1372))</f>
        <v/>
      </c>
      <c r="B1372" s="148"/>
      <c r="C1372" s="22" t="s">
        <v>49</v>
      </c>
      <c r="D1372" s="149"/>
      <c r="E1372" s="150"/>
      <c r="F1372" s="151"/>
      <c r="G1372" s="151"/>
      <c r="H1372" s="142">
        <f>IFERROR(VLOOKUP($C1372,$C$5:$H$18,6,0)+SUMIF($C$19:$C1372,$C1372,$F$19:$F1372)-SUMIF($C$19:$C1372,$C1372,$G$19:$G1372),"")</f>
        <v>81211.819999998</v>
      </c>
      <c r="I1372" s="147"/>
      <c r="J1372" s="147"/>
      <c r="K1372" s="147" t="str">
        <f t="shared" si="21"/>
        <v/>
      </c>
      <c r="L1372" s="40"/>
      <c r="M1372"/>
      <c r="N1372"/>
      <c r="O1372"/>
      <c r="P1372"/>
      <c r="Q1372"/>
      <c r="R1372"/>
      <c r="S1372"/>
      <c r="T1372"/>
      <c r="U1372"/>
      <c r="V1372"/>
      <c r="W1372" s="41"/>
      <c r="X1372" s="41"/>
      <c r="Y1372" s="41"/>
    </row>
    <row r="1373" s="27" customFormat="1" ht="23" hidden="1" customHeight="1" spans="1:25">
      <c r="A1373" s="133" t="str">
        <f>IF(B1373="","",COUNTA($B$5:B1373))</f>
        <v/>
      </c>
      <c r="B1373" s="148"/>
      <c r="C1373" s="22" t="s">
        <v>49</v>
      </c>
      <c r="D1373" s="149"/>
      <c r="E1373" s="150"/>
      <c r="F1373" s="151"/>
      <c r="G1373" s="151"/>
      <c r="H1373" s="142">
        <f>IFERROR(VLOOKUP($C1373,$C$5:$H$18,6,0)+SUMIF($C$19:$C1373,$C1373,$F$19:$F1373)-SUMIF($C$19:$C1373,$C1373,$G$19:$G1373),"")</f>
        <v>81211.819999998</v>
      </c>
      <c r="I1373" s="147"/>
      <c r="J1373" s="147"/>
      <c r="K1373" s="147" t="str">
        <f t="shared" si="21"/>
        <v/>
      </c>
      <c r="L1373" s="40"/>
      <c r="M1373"/>
      <c r="N1373"/>
      <c r="O1373"/>
      <c r="P1373"/>
      <c r="Q1373"/>
      <c r="R1373"/>
      <c r="S1373"/>
      <c r="T1373"/>
      <c r="U1373"/>
      <c r="V1373"/>
      <c r="W1373" s="41"/>
      <c r="X1373" s="41"/>
      <c r="Y1373" s="41"/>
    </row>
    <row r="1374" s="27" customFormat="1" ht="23" hidden="1" customHeight="1" spans="1:25">
      <c r="A1374" s="133" t="str">
        <f>IF(B1374="","",COUNTA($B$5:B1374))</f>
        <v/>
      </c>
      <c r="B1374" s="148"/>
      <c r="C1374" s="22" t="s">
        <v>49</v>
      </c>
      <c r="D1374" s="149"/>
      <c r="E1374" s="150"/>
      <c r="F1374" s="151"/>
      <c r="G1374" s="151"/>
      <c r="H1374" s="142">
        <f>IFERROR(VLOOKUP($C1374,$C$5:$H$18,6,0)+SUMIF($C$19:$C1374,$C1374,$F$19:$F1374)-SUMIF($C$19:$C1374,$C1374,$G$19:$G1374),"")</f>
        <v>81211.819999998</v>
      </c>
      <c r="I1374" s="147"/>
      <c r="J1374" s="147"/>
      <c r="K1374" s="147" t="str">
        <f t="shared" si="21"/>
        <v/>
      </c>
      <c r="L1374" s="40"/>
      <c r="M1374"/>
      <c r="N1374"/>
      <c r="O1374"/>
      <c r="P1374"/>
      <c r="Q1374"/>
      <c r="R1374"/>
      <c r="S1374"/>
      <c r="T1374"/>
      <c r="U1374"/>
      <c r="V1374"/>
      <c r="W1374" s="41"/>
      <c r="X1374" s="41"/>
      <c r="Y1374" s="41"/>
    </row>
    <row r="1375" s="27" customFormat="1" ht="23" hidden="1" customHeight="1" spans="1:25">
      <c r="A1375" s="133" t="str">
        <f>IF(B1375="","",COUNTA($B$5:B1375))</f>
        <v/>
      </c>
      <c r="B1375" s="148"/>
      <c r="C1375" s="22" t="s">
        <v>49</v>
      </c>
      <c r="D1375" s="149"/>
      <c r="E1375" s="150"/>
      <c r="F1375" s="151"/>
      <c r="G1375" s="151"/>
      <c r="H1375" s="142">
        <f>IFERROR(VLOOKUP($C1375,$C$5:$H$18,6,0)+SUMIF($C$19:$C1375,$C1375,$F$19:$F1375)-SUMIF($C$19:$C1375,$C1375,$G$19:$G1375),"")</f>
        <v>81211.819999998</v>
      </c>
      <c r="I1375" s="147"/>
      <c r="J1375" s="147"/>
      <c r="K1375" s="147" t="str">
        <f t="shared" si="21"/>
        <v/>
      </c>
      <c r="L1375" s="40"/>
      <c r="M1375"/>
      <c r="N1375"/>
      <c r="O1375"/>
      <c r="P1375"/>
      <c r="Q1375"/>
      <c r="R1375"/>
      <c r="S1375"/>
      <c r="T1375"/>
      <c r="U1375"/>
      <c r="V1375"/>
      <c r="W1375" s="41"/>
      <c r="X1375" s="41"/>
      <c r="Y1375" s="41"/>
    </row>
    <row r="1376" s="27" customFormat="1" ht="23" hidden="1" customHeight="1" spans="1:25">
      <c r="A1376" s="133" t="str">
        <f>IF(B1376="","",COUNTA($B$5:B1376))</f>
        <v/>
      </c>
      <c r="B1376" s="148"/>
      <c r="C1376" s="22" t="s">
        <v>49</v>
      </c>
      <c r="D1376" s="149"/>
      <c r="E1376" s="150"/>
      <c r="F1376" s="151"/>
      <c r="G1376" s="151"/>
      <c r="H1376" s="142">
        <f>IFERROR(VLOOKUP($C1376,$C$5:$H$18,6,0)+SUMIF($C$19:$C1376,$C1376,$F$19:$F1376)-SUMIF($C$19:$C1376,$C1376,$G$19:$G1376),"")</f>
        <v>81211.819999998</v>
      </c>
      <c r="I1376" s="147"/>
      <c r="J1376" s="147"/>
      <c r="K1376" s="147" t="str">
        <f t="shared" si="21"/>
        <v/>
      </c>
      <c r="L1376" s="40"/>
      <c r="M1376"/>
      <c r="N1376"/>
      <c r="O1376"/>
      <c r="P1376"/>
      <c r="Q1376"/>
      <c r="R1376"/>
      <c r="S1376"/>
      <c r="T1376"/>
      <c r="U1376"/>
      <c r="V1376"/>
      <c r="W1376" s="41"/>
      <c r="X1376" s="41"/>
      <c r="Y1376" s="41"/>
    </row>
    <row r="1377" s="27" customFormat="1" ht="23" hidden="1" customHeight="1" spans="1:25">
      <c r="A1377" s="133" t="str">
        <f>IF(B1377="","",COUNTA($B$5:B1377))</f>
        <v/>
      </c>
      <c r="B1377" s="148"/>
      <c r="C1377" s="22" t="s">
        <v>49</v>
      </c>
      <c r="D1377" s="149"/>
      <c r="E1377" s="150"/>
      <c r="F1377" s="151"/>
      <c r="G1377" s="151"/>
      <c r="H1377" s="142">
        <f>IFERROR(VLOOKUP($C1377,$C$5:$H$18,6,0)+SUMIF($C$19:$C1377,$C1377,$F$19:$F1377)-SUMIF($C$19:$C1377,$C1377,$G$19:$G1377),"")</f>
        <v>81211.819999998</v>
      </c>
      <c r="I1377" s="147"/>
      <c r="J1377" s="147"/>
      <c r="K1377" s="147" t="str">
        <f t="shared" si="21"/>
        <v/>
      </c>
      <c r="L1377" s="40"/>
      <c r="M1377"/>
      <c r="N1377"/>
      <c r="O1377"/>
      <c r="P1377"/>
      <c r="Q1377"/>
      <c r="R1377"/>
      <c r="S1377"/>
      <c r="T1377"/>
      <c r="U1377"/>
      <c r="V1377"/>
      <c r="W1377" s="41"/>
      <c r="X1377" s="41"/>
      <c r="Y1377" s="41"/>
    </row>
    <row r="1378" s="27" customFormat="1" ht="23" hidden="1" customHeight="1" spans="1:25">
      <c r="A1378" s="133" t="str">
        <f>IF(B1378="","",COUNTA($B$5:B1378))</f>
        <v/>
      </c>
      <c r="B1378" s="148"/>
      <c r="C1378" s="22" t="s">
        <v>49</v>
      </c>
      <c r="D1378" s="149"/>
      <c r="E1378" s="150"/>
      <c r="F1378" s="151"/>
      <c r="G1378" s="151"/>
      <c r="H1378" s="142">
        <f>IFERROR(VLOOKUP($C1378,$C$5:$H$18,6,0)+SUMIF($C$19:$C1378,$C1378,$F$19:$F1378)-SUMIF($C$19:$C1378,$C1378,$G$19:$G1378),"")</f>
        <v>81211.819999998</v>
      </c>
      <c r="I1378" s="147"/>
      <c r="J1378" s="147"/>
      <c r="K1378" s="147" t="str">
        <f t="shared" si="21"/>
        <v/>
      </c>
      <c r="L1378" s="40"/>
      <c r="M1378"/>
      <c r="N1378"/>
      <c r="O1378"/>
      <c r="P1378"/>
      <c r="Q1378"/>
      <c r="R1378"/>
      <c r="S1378"/>
      <c r="T1378"/>
      <c r="U1378"/>
      <c r="V1378"/>
      <c r="W1378" s="41"/>
      <c r="X1378" s="41"/>
      <c r="Y1378" s="41"/>
    </row>
    <row r="1379" s="27" customFormat="1" ht="23" hidden="1" customHeight="1" spans="1:25">
      <c r="A1379" s="133" t="str">
        <f>IF(B1379="","",COUNTA($B$5:B1379))</f>
        <v/>
      </c>
      <c r="B1379" s="148"/>
      <c r="C1379" s="22" t="s">
        <v>49</v>
      </c>
      <c r="D1379" s="149"/>
      <c r="E1379" s="150"/>
      <c r="F1379" s="151"/>
      <c r="G1379" s="151"/>
      <c r="H1379" s="142">
        <f>IFERROR(VLOOKUP($C1379,$C$5:$H$18,6,0)+SUMIF($C$19:$C1379,$C1379,$F$19:$F1379)-SUMIF($C$19:$C1379,$C1379,$G$19:$G1379),"")</f>
        <v>81211.819999998</v>
      </c>
      <c r="I1379" s="147"/>
      <c r="J1379" s="147"/>
      <c r="K1379" s="147" t="str">
        <f t="shared" si="21"/>
        <v/>
      </c>
      <c r="L1379" s="40"/>
      <c r="M1379"/>
      <c r="N1379"/>
      <c r="O1379"/>
      <c r="P1379"/>
      <c r="Q1379"/>
      <c r="R1379"/>
      <c r="S1379"/>
      <c r="T1379"/>
      <c r="U1379"/>
      <c r="V1379"/>
      <c r="W1379" s="41"/>
      <c r="X1379" s="41"/>
      <c r="Y1379" s="41"/>
    </row>
    <row r="1380" s="27" customFormat="1" ht="23" hidden="1" customHeight="1" spans="1:25">
      <c r="A1380" s="133" t="str">
        <f>IF(B1380="","",COUNTA($B$5:B1380))</f>
        <v/>
      </c>
      <c r="B1380" s="148"/>
      <c r="C1380" s="22" t="s">
        <v>49</v>
      </c>
      <c r="D1380" s="149"/>
      <c r="E1380" s="150"/>
      <c r="F1380" s="151"/>
      <c r="G1380" s="151"/>
      <c r="H1380" s="142">
        <f>IFERROR(VLOOKUP($C1380,$C$5:$H$18,6,0)+SUMIF($C$19:$C1380,$C1380,$F$19:$F1380)-SUMIF($C$19:$C1380,$C1380,$G$19:$G1380),"")</f>
        <v>81211.819999998</v>
      </c>
      <c r="I1380" s="147"/>
      <c r="J1380" s="147"/>
      <c r="K1380" s="147" t="str">
        <f t="shared" si="21"/>
        <v/>
      </c>
      <c r="L1380" s="40"/>
      <c r="M1380"/>
      <c r="N1380"/>
      <c r="O1380"/>
      <c r="P1380"/>
      <c r="Q1380"/>
      <c r="R1380"/>
      <c r="S1380"/>
      <c r="T1380"/>
      <c r="U1380"/>
      <c r="V1380"/>
      <c r="W1380" s="41"/>
      <c r="X1380" s="41"/>
      <c r="Y1380" s="41"/>
    </row>
    <row r="1381" s="27" customFormat="1" ht="23" hidden="1" customHeight="1" spans="1:25">
      <c r="A1381" s="133" t="str">
        <f>IF(B1381="","",COUNTA($B$5:B1381))</f>
        <v/>
      </c>
      <c r="B1381" s="148"/>
      <c r="C1381" s="22" t="s">
        <v>49</v>
      </c>
      <c r="D1381" s="149"/>
      <c r="E1381" s="150"/>
      <c r="F1381" s="151"/>
      <c r="G1381" s="151"/>
      <c r="H1381" s="142">
        <f>IFERROR(VLOOKUP($C1381,$C$5:$H$18,6,0)+SUMIF($C$19:$C1381,$C1381,$F$19:$F1381)-SUMIF($C$19:$C1381,$C1381,$G$19:$G1381),"")</f>
        <v>81211.819999998</v>
      </c>
      <c r="I1381" s="147"/>
      <c r="J1381" s="147"/>
      <c r="K1381" s="147" t="str">
        <f t="shared" si="21"/>
        <v/>
      </c>
      <c r="L1381" s="40"/>
      <c r="M1381"/>
      <c r="N1381"/>
      <c r="O1381"/>
      <c r="P1381"/>
      <c r="Q1381"/>
      <c r="R1381"/>
      <c r="S1381"/>
      <c r="T1381"/>
      <c r="U1381"/>
      <c r="V1381"/>
      <c r="W1381" s="41"/>
      <c r="X1381" s="41"/>
      <c r="Y1381" s="41"/>
    </row>
    <row r="1382" s="27" customFormat="1" ht="23" hidden="1" customHeight="1" spans="1:25">
      <c r="A1382" s="133" t="str">
        <f>IF(B1382="","",COUNTA($B$5:B1382))</f>
        <v/>
      </c>
      <c r="B1382" s="148"/>
      <c r="C1382" s="22" t="s">
        <v>49</v>
      </c>
      <c r="D1382" s="149"/>
      <c r="E1382" s="150"/>
      <c r="F1382" s="151"/>
      <c r="G1382" s="151"/>
      <c r="H1382" s="142">
        <f>IFERROR(VLOOKUP($C1382,$C$5:$H$18,6,0)+SUMIF($C$19:$C1382,$C1382,$F$19:$F1382)-SUMIF($C$19:$C1382,$C1382,$G$19:$G1382),"")</f>
        <v>81211.819999998</v>
      </c>
      <c r="I1382" s="147"/>
      <c r="J1382" s="147"/>
      <c r="K1382" s="147" t="str">
        <f t="shared" si="21"/>
        <v/>
      </c>
      <c r="L1382" s="40"/>
      <c r="M1382"/>
      <c r="N1382"/>
      <c r="O1382"/>
      <c r="P1382"/>
      <c r="Q1382"/>
      <c r="R1382"/>
      <c r="S1382"/>
      <c r="T1382"/>
      <c r="U1382"/>
      <c r="V1382"/>
      <c r="W1382" s="41"/>
      <c r="X1382" s="41"/>
      <c r="Y1382" s="41"/>
    </row>
    <row r="1383" s="27" customFormat="1" ht="23" hidden="1" customHeight="1" spans="1:25">
      <c r="A1383" s="133" t="str">
        <f>IF(B1383="","",COUNTA($B$5:B1383))</f>
        <v/>
      </c>
      <c r="B1383" s="148"/>
      <c r="C1383" s="22" t="s">
        <v>49</v>
      </c>
      <c r="D1383" s="149"/>
      <c r="E1383" s="150"/>
      <c r="F1383" s="151"/>
      <c r="G1383" s="151"/>
      <c r="H1383" s="142">
        <f>IFERROR(VLOOKUP($C1383,$C$5:$H$18,6,0)+SUMIF($C$19:$C1383,$C1383,$F$19:$F1383)-SUMIF($C$19:$C1383,$C1383,$G$19:$G1383),"")</f>
        <v>81211.819999998</v>
      </c>
      <c r="I1383" s="147"/>
      <c r="J1383" s="147"/>
      <c r="K1383" s="147" t="str">
        <f t="shared" si="21"/>
        <v/>
      </c>
      <c r="L1383" s="40"/>
      <c r="M1383"/>
      <c r="N1383"/>
      <c r="O1383"/>
      <c r="P1383"/>
      <c r="Q1383"/>
      <c r="R1383"/>
      <c r="S1383"/>
      <c r="T1383"/>
      <c r="U1383"/>
      <c r="V1383"/>
      <c r="W1383" s="41"/>
      <c r="X1383" s="41"/>
      <c r="Y1383" s="41"/>
    </row>
    <row r="1384" s="27" customFormat="1" ht="23" hidden="1" customHeight="1" spans="1:25">
      <c r="A1384" s="133" t="str">
        <f>IF(B1384="","",COUNTA($B$5:B1384))</f>
        <v/>
      </c>
      <c r="B1384" s="148"/>
      <c r="C1384" s="22" t="s">
        <v>49</v>
      </c>
      <c r="D1384" s="149"/>
      <c r="E1384" s="150"/>
      <c r="F1384" s="151"/>
      <c r="G1384" s="151"/>
      <c r="H1384" s="142">
        <f>IFERROR(VLOOKUP($C1384,$C$5:$H$18,6,0)+SUMIF($C$19:$C1384,$C1384,$F$19:$F1384)-SUMIF($C$19:$C1384,$C1384,$G$19:$G1384),"")</f>
        <v>81211.819999998</v>
      </c>
      <c r="I1384" s="147"/>
      <c r="J1384" s="147"/>
      <c r="K1384" s="147" t="str">
        <f t="shared" si="21"/>
        <v/>
      </c>
      <c r="L1384" s="40"/>
      <c r="M1384"/>
      <c r="N1384"/>
      <c r="O1384"/>
      <c r="P1384"/>
      <c r="Q1384"/>
      <c r="R1384"/>
      <c r="S1384"/>
      <c r="T1384"/>
      <c r="U1384"/>
      <c r="V1384"/>
      <c r="W1384" s="41"/>
      <c r="X1384" s="41"/>
      <c r="Y1384" s="41"/>
    </row>
    <row r="1385" s="27" customFormat="1" ht="23" hidden="1" customHeight="1" spans="1:25">
      <c r="A1385" s="133" t="str">
        <f>IF(B1385="","",COUNTA($B$5:B1385))</f>
        <v/>
      </c>
      <c r="B1385" s="148"/>
      <c r="C1385" s="22" t="s">
        <v>49</v>
      </c>
      <c r="D1385" s="149"/>
      <c r="E1385" s="150"/>
      <c r="F1385" s="151"/>
      <c r="G1385" s="151"/>
      <c r="H1385" s="142">
        <f>IFERROR(VLOOKUP($C1385,$C$5:$H$18,6,0)+SUMIF($C$19:$C1385,$C1385,$F$19:$F1385)-SUMIF($C$19:$C1385,$C1385,$G$19:$G1385),"")</f>
        <v>81211.819999998</v>
      </c>
      <c r="I1385" s="147"/>
      <c r="J1385" s="147"/>
      <c r="K1385" s="147" t="str">
        <f t="shared" si="21"/>
        <v/>
      </c>
      <c r="L1385" s="40"/>
      <c r="M1385"/>
      <c r="N1385"/>
      <c r="O1385"/>
      <c r="P1385"/>
      <c r="Q1385"/>
      <c r="R1385"/>
      <c r="S1385"/>
      <c r="T1385"/>
      <c r="U1385"/>
      <c r="V1385"/>
      <c r="W1385" s="41"/>
      <c r="X1385" s="41"/>
      <c r="Y1385" s="41"/>
    </row>
    <row r="1386" s="27" customFormat="1" ht="23" hidden="1" customHeight="1" spans="1:25">
      <c r="A1386" s="133" t="str">
        <f>IF(B1386="","",COUNTA($B$5:B1386))</f>
        <v/>
      </c>
      <c r="B1386" s="148"/>
      <c r="C1386" s="22" t="s">
        <v>49</v>
      </c>
      <c r="D1386" s="149"/>
      <c r="E1386" s="150"/>
      <c r="F1386" s="151"/>
      <c r="G1386" s="151"/>
      <c r="H1386" s="142">
        <f>IFERROR(VLOOKUP($C1386,$C$5:$H$18,6,0)+SUMIF($C$19:$C1386,$C1386,$F$19:$F1386)-SUMIF($C$19:$C1386,$C1386,$G$19:$G1386),"")</f>
        <v>81211.819999998</v>
      </c>
      <c r="I1386" s="147"/>
      <c r="J1386" s="147"/>
      <c r="K1386" s="147" t="str">
        <f t="shared" si="21"/>
        <v/>
      </c>
      <c r="L1386" s="40"/>
      <c r="M1386"/>
      <c r="N1386"/>
      <c r="O1386"/>
      <c r="P1386"/>
      <c r="Q1386"/>
      <c r="R1386"/>
      <c r="S1386"/>
      <c r="T1386"/>
      <c r="U1386"/>
      <c r="V1386"/>
      <c r="W1386" s="41"/>
      <c r="X1386" s="41"/>
      <c r="Y1386" s="41"/>
    </row>
    <row r="1387" s="27" customFormat="1" ht="23" hidden="1" customHeight="1" spans="1:25">
      <c r="A1387" s="133" t="str">
        <f>IF(B1387="","",COUNTA($B$5:B1387))</f>
        <v/>
      </c>
      <c r="B1387" s="148"/>
      <c r="C1387" s="22" t="s">
        <v>49</v>
      </c>
      <c r="D1387" s="149"/>
      <c r="E1387" s="150"/>
      <c r="F1387" s="151"/>
      <c r="G1387" s="151"/>
      <c r="H1387" s="142">
        <f>IFERROR(VLOOKUP($C1387,$C$5:$H$18,6,0)+SUMIF($C$19:$C1387,$C1387,$F$19:$F1387)-SUMIF($C$19:$C1387,$C1387,$G$19:$G1387),"")</f>
        <v>81211.819999998</v>
      </c>
      <c r="I1387" s="147"/>
      <c r="J1387" s="147"/>
      <c r="K1387" s="147" t="str">
        <f t="shared" si="21"/>
        <v/>
      </c>
      <c r="L1387" s="40"/>
      <c r="M1387"/>
      <c r="N1387"/>
      <c r="O1387"/>
      <c r="P1387"/>
      <c r="Q1387"/>
      <c r="R1387"/>
      <c r="S1387"/>
      <c r="T1387"/>
      <c r="U1387"/>
      <c r="V1387"/>
      <c r="W1387" s="41"/>
      <c r="X1387" s="41"/>
      <c r="Y1387" s="41"/>
    </row>
    <row r="1388" s="27" customFormat="1" ht="23" hidden="1" customHeight="1" spans="1:25">
      <c r="A1388" s="133" t="str">
        <f>IF(B1388="","",COUNTA($B$5:B1388))</f>
        <v/>
      </c>
      <c r="B1388" s="148"/>
      <c r="C1388" s="22" t="s">
        <v>49</v>
      </c>
      <c r="D1388" s="149"/>
      <c r="E1388" s="150"/>
      <c r="F1388" s="151"/>
      <c r="G1388" s="151"/>
      <c r="H1388" s="142">
        <f>IFERROR(VLOOKUP($C1388,$C$5:$H$18,6,0)+SUMIF($C$19:$C1388,$C1388,$F$19:$F1388)-SUMIF($C$19:$C1388,$C1388,$G$19:$G1388),"")</f>
        <v>81211.819999998</v>
      </c>
      <c r="I1388" s="147"/>
      <c r="J1388" s="147"/>
      <c r="K1388" s="147" t="str">
        <f t="shared" si="21"/>
        <v/>
      </c>
      <c r="L1388" s="40"/>
      <c r="M1388"/>
      <c r="N1388"/>
      <c r="O1388"/>
      <c r="P1388"/>
      <c r="Q1388"/>
      <c r="R1388"/>
      <c r="S1388"/>
      <c r="T1388"/>
      <c r="U1388"/>
      <c r="V1388"/>
      <c r="W1388" s="41"/>
      <c r="X1388" s="41"/>
      <c r="Y1388" s="41"/>
    </row>
    <row r="1389" s="27" customFormat="1" ht="23" hidden="1" customHeight="1" spans="1:25">
      <c r="A1389" s="133" t="str">
        <f>IF(B1389="","",COUNTA($B$5:B1389))</f>
        <v/>
      </c>
      <c r="B1389" s="148"/>
      <c r="C1389" s="22" t="s">
        <v>49</v>
      </c>
      <c r="D1389" s="149"/>
      <c r="E1389" s="150"/>
      <c r="F1389" s="151"/>
      <c r="G1389" s="151"/>
      <c r="H1389" s="142">
        <f>IFERROR(VLOOKUP($C1389,$C$5:$H$18,6,0)+SUMIF($C$19:$C1389,$C1389,$F$19:$F1389)-SUMIF($C$19:$C1389,$C1389,$G$19:$G1389),"")</f>
        <v>81211.819999998</v>
      </c>
      <c r="I1389" s="147"/>
      <c r="J1389" s="147"/>
      <c r="K1389" s="147" t="str">
        <f t="shared" si="21"/>
        <v/>
      </c>
      <c r="L1389" s="40"/>
      <c r="M1389"/>
      <c r="N1389"/>
      <c r="O1389"/>
      <c r="P1389"/>
      <c r="Q1389"/>
      <c r="R1389"/>
      <c r="S1389"/>
      <c r="T1389"/>
      <c r="U1389"/>
      <c r="V1389"/>
      <c r="W1389" s="41"/>
      <c r="X1389" s="41"/>
      <c r="Y1389" s="41"/>
    </row>
    <row r="1390" s="27" customFormat="1" ht="23" hidden="1" customHeight="1" spans="1:25">
      <c r="A1390" s="133" t="str">
        <f>IF(B1390="","",COUNTA($B$5:B1390))</f>
        <v/>
      </c>
      <c r="B1390" s="148"/>
      <c r="C1390" s="22" t="s">
        <v>49</v>
      </c>
      <c r="D1390" s="149"/>
      <c r="E1390" s="150"/>
      <c r="F1390" s="151"/>
      <c r="G1390" s="151"/>
      <c r="H1390" s="142">
        <f>IFERROR(VLOOKUP($C1390,$C$5:$H$18,6,0)+SUMIF($C$19:$C1390,$C1390,$F$19:$F1390)-SUMIF($C$19:$C1390,$C1390,$G$19:$G1390),"")</f>
        <v>81211.819999998</v>
      </c>
      <c r="I1390" s="147"/>
      <c r="J1390" s="147"/>
      <c r="K1390" s="147" t="str">
        <f t="shared" si="21"/>
        <v/>
      </c>
      <c r="L1390" s="40"/>
      <c r="M1390"/>
      <c r="N1390"/>
      <c r="O1390"/>
      <c r="P1390"/>
      <c r="Q1390"/>
      <c r="R1390"/>
      <c r="S1390"/>
      <c r="T1390"/>
      <c r="U1390"/>
      <c r="V1390"/>
      <c r="W1390" s="41"/>
      <c r="X1390" s="41"/>
      <c r="Y1390" s="41"/>
    </row>
    <row r="1391" s="27" customFormat="1" ht="23" hidden="1" customHeight="1" spans="1:25">
      <c r="A1391" s="133" t="str">
        <f>IF(B1391="","",COUNTA($B$5:B1391))</f>
        <v/>
      </c>
      <c r="B1391" s="148"/>
      <c r="C1391" s="22" t="s">
        <v>49</v>
      </c>
      <c r="D1391" s="149"/>
      <c r="E1391" s="150"/>
      <c r="F1391" s="151"/>
      <c r="G1391" s="151"/>
      <c r="H1391" s="142">
        <f>IFERROR(VLOOKUP($C1391,$C$5:$H$18,6,0)+SUMIF($C$19:$C1391,$C1391,$F$19:$F1391)-SUMIF($C$19:$C1391,$C1391,$G$19:$G1391),"")</f>
        <v>81211.819999998</v>
      </c>
      <c r="I1391" s="147"/>
      <c r="J1391" s="147"/>
      <c r="K1391" s="147" t="str">
        <f t="shared" si="21"/>
        <v/>
      </c>
      <c r="L1391" s="40"/>
      <c r="M1391"/>
      <c r="N1391"/>
      <c r="O1391"/>
      <c r="P1391"/>
      <c r="Q1391"/>
      <c r="R1391"/>
      <c r="S1391"/>
      <c r="T1391"/>
      <c r="U1391"/>
      <c r="V1391"/>
      <c r="W1391" s="41"/>
      <c r="X1391" s="41"/>
      <c r="Y1391" s="41"/>
    </row>
    <row r="1392" s="27" customFormat="1" ht="23" hidden="1" customHeight="1" spans="1:25">
      <c r="A1392" s="133" t="str">
        <f>IF(B1392="","",COUNTA($B$5:B1392))</f>
        <v/>
      </c>
      <c r="B1392" s="148"/>
      <c r="C1392" s="22" t="s">
        <v>49</v>
      </c>
      <c r="D1392" s="149"/>
      <c r="E1392" s="150"/>
      <c r="F1392" s="151"/>
      <c r="G1392" s="151"/>
      <c r="H1392" s="142">
        <f>IFERROR(VLOOKUP($C1392,$C$5:$H$18,6,0)+SUMIF($C$19:$C1392,$C1392,$F$19:$F1392)-SUMIF($C$19:$C1392,$C1392,$G$19:$G1392),"")</f>
        <v>81211.819999998</v>
      </c>
      <c r="I1392" s="147"/>
      <c r="J1392" s="147"/>
      <c r="K1392" s="147" t="str">
        <f t="shared" si="21"/>
        <v/>
      </c>
      <c r="L1392" s="40"/>
      <c r="M1392"/>
      <c r="N1392"/>
      <c r="O1392"/>
      <c r="P1392"/>
      <c r="Q1392"/>
      <c r="R1392"/>
      <c r="S1392"/>
      <c r="T1392"/>
      <c r="U1392"/>
      <c r="V1392"/>
      <c r="W1392" s="41"/>
      <c r="X1392" s="41"/>
      <c r="Y1392" s="41"/>
    </row>
    <row r="1393" s="27" customFormat="1" ht="23" hidden="1" customHeight="1" spans="1:25">
      <c r="A1393" s="133" t="str">
        <f>IF(B1393="","",COUNTA($B$5:B1393))</f>
        <v/>
      </c>
      <c r="B1393" s="148"/>
      <c r="C1393" s="22" t="s">
        <v>49</v>
      </c>
      <c r="D1393" s="149"/>
      <c r="E1393" s="150"/>
      <c r="F1393" s="151"/>
      <c r="G1393" s="151"/>
      <c r="H1393" s="142">
        <f>IFERROR(VLOOKUP($C1393,$C$5:$H$18,6,0)+SUMIF($C$19:$C1393,$C1393,$F$19:$F1393)-SUMIF($C$19:$C1393,$C1393,$G$19:$G1393),"")</f>
        <v>81211.819999998</v>
      </c>
      <c r="I1393" s="147"/>
      <c r="J1393" s="147"/>
      <c r="K1393" s="147" t="str">
        <f t="shared" si="21"/>
        <v/>
      </c>
      <c r="L1393" s="40"/>
      <c r="M1393"/>
      <c r="N1393"/>
      <c r="O1393"/>
      <c r="P1393"/>
      <c r="Q1393"/>
      <c r="R1393"/>
      <c r="S1393"/>
      <c r="T1393"/>
      <c r="U1393"/>
      <c r="V1393"/>
      <c r="W1393" s="41"/>
      <c r="X1393" s="41"/>
      <c r="Y1393" s="41"/>
    </row>
    <row r="1394" s="27" customFormat="1" ht="23" hidden="1" customHeight="1" spans="1:25">
      <c r="A1394" s="133" t="str">
        <f>IF(B1394="","",COUNTA($B$5:B1394))</f>
        <v/>
      </c>
      <c r="B1394" s="148"/>
      <c r="C1394" s="22" t="s">
        <v>49</v>
      </c>
      <c r="D1394" s="149"/>
      <c r="E1394" s="150"/>
      <c r="F1394" s="151"/>
      <c r="G1394" s="151"/>
      <c r="H1394" s="142">
        <f>IFERROR(VLOOKUP($C1394,$C$5:$H$18,6,0)+SUMIF($C$19:$C1394,$C1394,$F$19:$F1394)-SUMIF($C$19:$C1394,$C1394,$G$19:$G1394),"")</f>
        <v>81211.819999998</v>
      </c>
      <c r="I1394" s="147"/>
      <c r="J1394" s="147"/>
      <c r="K1394" s="147" t="str">
        <f t="shared" si="21"/>
        <v/>
      </c>
      <c r="L1394" s="40"/>
      <c r="M1394"/>
      <c r="N1394"/>
      <c r="O1394"/>
      <c r="P1394"/>
      <c r="Q1394"/>
      <c r="R1394"/>
      <c r="S1394"/>
      <c r="T1394"/>
      <c r="U1394"/>
      <c r="V1394"/>
      <c r="W1394" s="41"/>
      <c r="X1394" s="41"/>
      <c r="Y1394" s="41"/>
    </row>
    <row r="1395" s="27" customFormat="1" ht="23" hidden="1" customHeight="1" spans="1:25">
      <c r="A1395" s="133" t="str">
        <f>IF(B1395="","",COUNTA($B$5:B1395))</f>
        <v/>
      </c>
      <c r="B1395" s="148"/>
      <c r="C1395" s="22" t="s">
        <v>49</v>
      </c>
      <c r="D1395" s="149"/>
      <c r="E1395" s="150"/>
      <c r="F1395" s="151"/>
      <c r="G1395" s="151"/>
      <c r="H1395" s="142">
        <f>IFERROR(VLOOKUP($C1395,$C$5:$H$18,6,0)+SUMIF($C$19:$C1395,$C1395,$F$19:$F1395)-SUMIF($C$19:$C1395,$C1395,$G$19:$G1395),"")</f>
        <v>81211.819999998</v>
      </c>
      <c r="I1395" s="147"/>
      <c r="J1395" s="147"/>
      <c r="K1395" s="147" t="str">
        <f t="shared" si="21"/>
        <v/>
      </c>
      <c r="L1395" s="40"/>
      <c r="M1395"/>
      <c r="N1395"/>
      <c r="O1395"/>
      <c r="P1395"/>
      <c r="Q1395"/>
      <c r="R1395"/>
      <c r="S1395"/>
      <c r="T1395"/>
      <c r="U1395"/>
      <c r="V1395"/>
      <c r="W1395" s="41"/>
      <c r="X1395" s="41"/>
      <c r="Y1395" s="41"/>
    </row>
    <row r="1396" s="27" customFormat="1" ht="23" hidden="1" customHeight="1" spans="1:25">
      <c r="A1396" s="133" t="str">
        <f>IF(B1396="","",COUNTA($B$5:B1396))</f>
        <v/>
      </c>
      <c r="B1396" s="148"/>
      <c r="C1396" s="22" t="s">
        <v>49</v>
      </c>
      <c r="D1396" s="149"/>
      <c r="E1396" s="150"/>
      <c r="F1396" s="151"/>
      <c r="G1396" s="151"/>
      <c r="H1396" s="142">
        <f>IFERROR(VLOOKUP($C1396,$C$5:$H$18,6,0)+SUMIF($C$19:$C1396,$C1396,$F$19:$F1396)-SUMIF($C$19:$C1396,$C1396,$G$19:$G1396),"")</f>
        <v>81211.819999998</v>
      </c>
      <c r="I1396" s="147"/>
      <c r="J1396" s="147"/>
      <c r="K1396" s="147" t="str">
        <f t="shared" si="21"/>
        <v/>
      </c>
      <c r="L1396" s="40"/>
      <c r="M1396"/>
      <c r="N1396"/>
      <c r="O1396"/>
      <c r="P1396"/>
      <c r="Q1396"/>
      <c r="R1396"/>
      <c r="S1396"/>
      <c r="T1396"/>
      <c r="U1396"/>
      <c r="V1396"/>
      <c r="W1396" s="41"/>
      <c r="X1396" s="41"/>
      <c r="Y1396" s="41"/>
    </row>
    <row r="1397" s="27" customFormat="1" ht="23" hidden="1" customHeight="1" spans="1:25">
      <c r="A1397" s="133" t="str">
        <f>IF(B1397="","",COUNTA($B$5:B1397))</f>
        <v/>
      </c>
      <c r="B1397" s="148"/>
      <c r="C1397" s="22" t="s">
        <v>49</v>
      </c>
      <c r="D1397" s="149"/>
      <c r="E1397" s="150"/>
      <c r="F1397" s="151"/>
      <c r="G1397" s="151"/>
      <c r="H1397" s="142">
        <f>IFERROR(VLOOKUP($C1397,$C$5:$H$18,6,0)+SUMIF($C$19:$C1397,$C1397,$F$19:$F1397)-SUMIF($C$19:$C1397,$C1397,$G$19:$G1397),"")</f>
        <v>81211.819999998</v>
      </c>
      <c r="I1397" s="147"/>
      <c r="J1397" s="147"/>
      <c r="K1397" s="147" t="str">
        <f t="shared" si="21"/>
        <v/>
      </c>
      <c r="L1397" s="40"/>
      <c r="M1397"/>
      <c r="N1397"/>
      <c r="O1397"/>
      <c r="P1397"/>
      <c r="Q1397"/>
      <c r="R1397"/>
      <c r="S1397"/>
      <c r="T1397"/>
      <c r="U1397"/>
      <c r="V1397"/>
      <c r="W1397" s="41"/>
      <c r="X1397" s="41"/>
      <c r="Y1397" s="41"/>
    </row>
    <row r="1398" s="27" customFormat="1" ht="23" hidden="1" customHeight="1" spans="1:25">
      <c r="A1398" s="133" t="str">
        <f>IF(B1398="","",COUNTA($B$5:B1398))</f>
        <v/>
      </c>
      <c r="B1398" s="148"/>
      <c r="C1398" s="22" t="s">
        <v>49</v>
      </c>
      <c r="D1398" s="149"/>
      <c r="E1398" s="150"/>
      <c r="F1398" s="151"/>
      <c r="G1398" s="151"/>
      <c r="H1398" s="142">
        <f>IFERROR(VLOOKUP($C1398,$C$5:$H$18,6,0)+SUMIF($C$19:$C1398,$C1398,$F$19:$F1398)-SUMIF($C$19:$C1398,$C1398,$G$19:$G1398),"")</f>
        <v>81211.819999998</v>
      </c>
      <c r="I1398" s="147"/>
      <c r="J1398" s="147"/>
      <c r="K1398" s="147" t="str">
        <f t="shared" si="21"/>
        <v/>
      </c>
      <c r="L1398" s="40"/>
      <c r="M1398"/>
      <c r="N1398"/>
      <c r="O1398"/>
      <c r="P1398"/>
      <c r="Q1398"/>
      <c r="R1398"/>
      <c r="S1398"/>
      <c r="T1398"/>
      <c r="U1398"/>
      <c r="V1398"/>
      <c r="W1398" s="41"/>
      <c r="X1398" s="41"/>
      <c r="Y1398" s="41"/>
    </row>
    <row r="1399" s="27" customFormat="1" ht="23" hidden="1" customHeight="1" spans="1:25">
      <c r="A1399" s="133" t="str">
        <f>IF(B1399="","",COUNTA($B$5:B1399))</f>
        <v/>
      </c>
      <c r="B1399" s="148"/>
      <c r="C1399" s="22" t="s">
        <v>49</v>
      </c>
      <c r="D1399" s="149"/>
      <c r="E1399" s="150"/>
      <c r="F1399" s="151"/>
      <c r="G1399" s="151"/>
      <c r="H1399" s="142">
        <f>IFERROR(VLOOKUP($C1399,$C$5:$H$18,6,0)+SUMIF($C$19:$C1399,$C1399,$F$19:$F1399)-SUMIF($C$19:$C1399,$C1399,$G$19:$G1399),"")</f>
        <v>81211.819999998</v>
      </c>
      <c r="I1399" s="147"/>
      <c r="J1399" s="147"/>
      <c r="K1399" s="147" t="str">
        <f t="shared" si="21"/>
        <v/>
      </c>
      <c r="L1399" s="40"/>
      <c r="M1399"/>
      <c r="N1399"/>
      <c r="O1399"/>
      <c r="P1399"/>
      <c r="Q1399"/>
      <c r="R1399"/>
      <c r="S1399"/>
      <c r="T1399"/>
      <c r="U1399"/>
      <c r="V1399"/>
      <c r="W1399" s="41"/>
      <c r="X1399" s="41"/>
      <c r="Y1399" s="41"/>
    </row>
    <row r="1400" s="27" customFormat="1" ht="23" hidden="1" customHeight="1" spans="1:25">
      <c r="A1400" s="133" t="str">
        <f>IF(B1400="","",COUNTA($B$5:B1400))</f>
        <v/>
      </c>
      <c r="B1400" s="148"/>
      <c r="C1400" s="22" t="s">
        <v>49</v>
      </c>
      <c r="D1400" s="149"/>
      <c r="E1400" s="150"/>
      <c r="F1400" s="151"/>
      <c r="G1400" s="151"/>
      <c r="H1400" s="142">
        <f>IFERROR(VLOOKUP($C1400,$C$5:$H$18,6,0)+SUMIF($C$19:$C1400,$C1400,$F$19:$F1400)-SUMIF($C$19:$C1400,$C1400,$G$19:$G1400),"")</f>
        <v>81211.819999998</v>
      </c>
      <c r="I1400" s="147"/>
      <c r="J1400" s="147"/>
      <c r="K1400" s="147" t="str">
        <f t="shared" si="21"/>
        <v/>
      </c>
      <c r="L1400" s="40"/>
      <c r="M1400"/>
      <c r="N1400"/>
      <c r="O1400"/>
      <c r="P1400"/>
      <c r="Q1400"/>
      <c r="R1400"/>
      <c r="S1400"/>
      <c r="T1400"/>
      <c r="U1400"/>
      <c r="V1400"/>
      <c r="W1400" s="41"/>
      <c r="X1400" s="41"/>
      <c r="Y1400" s="41"/>
    </row>
    <row r="1401" s="27" customFormat="1" ht="23" hidden="1" customHeight="1" spans="1:25">
      <c r="A1401" s="133" t="str">
        <f>IF(B1401="","",COUNTA($B$5:B1401))</f>
        <v/>
      </c>
      <c r="B1401" s="148"/>
      <c r="C1401" s="22" t="s">
        <v>49</v>
      </c>
      <c r="D1401" s="149"/>
      <c r="E1401" s="150"/>
      <c r="F1401" s="151"/>
      <c r="G1401" s="151"/>
      <c r="H1401" s="142">
        <f>IFERROR(VLOOKUP($C1401,$C$5:$H$18,6,0)+SUMIF($C$19:$C1401,$C1401,$F$19:$F1401)-SUMIF($C$19:$C1401,$C1401,$G$19:$G1401),"")</f>
        <v>81211.819999998</v>
      </c>
      <c r="I1401" s="147"/>
      <c r="J1401" s="147"/>
      <c r="K1401" s="147" t="str">
        <f t="shared" si="21"/>
        <v/>
      </c>
      <c r="L1401" s="40"/>
      <c r="M1401"/>
      <c r="N1401"/>
      <c r="O1401"/>
      <c r="P1401"/>
      <c r="Q1401"/>
      <c r="R1401"/>
      <c r="S1401"/>
      <c r="T1401"/>
      <c r="U1401"/>
      <c r="V1401"/>
      <c r="W1401" s="41"/>
      <c r="X1401" s="41"/>
      <c r="Y1401" s="41"/>
    </row>
    <row r="1402" s="27" customFormat="1" ht="23" hidden="1" customHeight="1" spans="1:25">
      <c r="A1402" s="133" t="str">
        <f>IF(B1402="","",COUNTA($B$5:B1402))</f>
        <v/>
      </c>
      <c r="B1402" s="148"/>
      <c r="C1402" s="22" t="s">
        <v>49</v>
      </c>
      <c r="D1402" s="149"/>
      <c r="E1402" s="150"/>
      <c r="F1402" s="151"/>
      <c r="G1402" s="151"/>
      <c r="H1402" s="142">
        <f>IFERROR(VLOOKUP($C1402,$C$5:$H$18,6,0)+SUMIF($C$19:$C1402,$C1402,$F$19:$F1402)-SUMIF($C$19:$C1402,$C1402,$G$19:$G1402),"")</f>
        <v>81211.819999998</v>
      </c>
      <c r="I1402" s="147"/>
      <c r="J1402" s="147"/>
      <c r="K1402" s="147" t="str">
        <f t="shared" si="21"/>
        <v/>
      </c>
      <c r="L1402" s="40"/>
      <c r="M1402"/>
      <c r="N1402"/>
      <c r="O1402"/>
      <c r="P1402"/>
      <c r="Q1402"/>
      <c r="R1402"/>
      <c r="S1402"/>
      <c r="T1402"/>
      <c r="U1402"/>
      <c r="V1402"/>
      <c r="W1402" s="41"/>
      <c r="X1402" s="41"/>
      <c r="Y1402" s="41"/>
    </row>
    <row r="1403" s="27" customFormat="1" ht="23" hidden="1" customHeight="1" spans="1:25">
      <c r="A1403" s="133" t="str">
        <f>IF(B1403="","",COUNTA($B$5:B1403))</f>
        <v/>
      </c>
      <c r="B1403" s="148"/>
      <c r="C1403" s="22" t="s">
        <v>49</v>
      </c>
      <c r="D1403" s="149"/>
      <c r="E1403" s="150"/>
      <c r="F1403" s="151"/>
      <c r="G1403" s="151"/>
      <c r="H1403" s="142">
        <f>IFERROR(VLOOKUP($C1403,$C$5:$H$18,6,0)+SUMIF($C$19:$C1403,$C1403,$F$19:$F1403)-SUMIF($C$19:$C1403,$C1403,$G$19:$G1403),"")</f>
        <v>81211.819999998</v>
      </c>
      <c r="I1403" s="147"/>
      <c r="J1403" s="147"/>
      <c r="K1403" s="147" t="str">
        <f t="shared" si="21"/>
        <v/>
      </c>
      <c r="L1403" s="40"/>
      <c r="M1403"/>
      <c r="N1403"/>
      <c r="O1403"/>
      <c r="P1403"/>
      <c r="Q1403"/>
      <c r="R1403"/>
      <c r="S1403"/>
      <c r="T1403"/>
      <c r="U1403"/>
      <c r="V1403"/>
      <c r="W1403" s="41"/>
      <c r="X1403" s="41"/>
      <c r="Y1403" s="41"/>
    </row>
    <row r="1404" s="27" customFormat="1" ht="23" hidden="1" customHeight="1" spans="1:25">
      <c r="A1404" s="133" t="str">
        <f>IF(B1404="","",COUNTA($B$5:B1404))</f>
        <v/>
      </c>
      <c r="B1404" s="148"/>
      <c r="C1404" s="22" t="s">
        <v>49</v>
      </c>
      <c r="D1404" s="149"/>
      <c r="E1404" s="150"/>
      <c r="F1404" s="151"/>
      <c r="G1404" s="151"/>
      <c r="H1404" s="142">
        <f>IFERROR(VLOOKUP($C1404,$C$5:$H$18,6,0)+SUMIF($C$19:$C1404,$C1404,$F$19:$F1404)-SUMIF($C$19:$C1404,$C1404,$G$19:$G1404),"")</f>
        <v>81211.819999998</v>
      </c>
      <c r="I1404" s="147"/>
      <c r="J1404" s="147"/>
      <c r="K1404" s="147" t="str">
        <f t="shared" si="21"/>
        <v/>
      </c>
      <c r="L1404" s="40"/>
      <c r="M1404"/>
      <c r="N1404"/>
      <c r="O1404"/>
      <c r="P1404"/>
      <c r="Q1404"/>
      <c r="R1404"/>
      <c r="S1404"/>
      <c r="T1404"/>
      <c r="U1404"/>
      <c r="V1404"/>
      <c r="W1404" s="41"/>
      <c r="X1404" s="41"/>
      <c r="Y1404" s="41"/>
    </row>
    <row r="1405" s="27" customFormat="1" ht="23" hidden="1" customHeight="1" spans="1:25">
      <c r="A1405" s="133" t="str">
        <f>IF(B1405="","",COUNTA($B$5:B1405))</f>
        <v/>
      </c>
      <c r="B1405" s="148"/>
      <c r="C1405" s="22" t="s">
        <v>49</v>
      </c>
      <c r="D1405" s="149"/>
      <c r="E1405" s="150"/>
      <c r="F1405" s="151"/>
      <c r="G1405" s="151"/>
      <c r="H1405" s="142">
        <f>IFERROR(VLOOKUP($C1405,$C$5:$H$18,6,0)+SUMIF($C$19:$C1405,$C1405,$F$19:$F1405)-SUMIF($C$19:$C1405,$C1405,$G$19:$G1405),"")</f>
        <v>81211.819999998</v>
      </c>
      <c r="I1405" s="147"/>
      <c r="J1405" s="147"/>
      <c r="K1405" s="147" t="str">
        <f t="shared" si="21"/>
        <v/>
      </c>
      <c r="L1405" s="40"/>
      <c r="M1405"/>
      <c r="N1405"/>
      <c r="O1405"/>
      <c r="P1405"/>
      <c r="Q1405"/>
      <c r="R1405"/>
      <c r="S1405"/>
      <c r="T1405"/>
      <c r="U1405"/>
      <c r="V1405"/>
      <c r="W1405" s="41"/>
      <c r="X1405" s="41"/>
      <c r="Y1405" s="41"/>
    </row>
    <row r="1406" s="27" customFormat="1" ht="23" hidden="1" customHeight="1" spans="1:25">
      <c r="A1406" s="133" t="str">
        <f>IF(B1406="","",COUNTA($B$5:B1406))</f>
        <v/>
      </c>
      <c r="B1406" s="148"/>
      <c r="C1406" s="22" t="s">
        <v>49</v>
      </c>
      <c r="D1406" s="149"/>
      <c r="E1406" s="150"/>
      <c r="F1406" s="151"/>
      <c r="G1406" s="151"/>
      <c r="H1406" s="142">
        <f>IFERROR(VLOOKUP($C1406,$C$5:$H$18,6,0)+SUMIF($C$19:$C1406,$C1406,$F$19:$F1406)-SUMIF($C$19:$C1406,$C1406,$G$19:$G1406),"")</f>
        <v>81211.819999998</v>
      </c>
      <c r="I1406" s="147"/>
      <c r="J1406" s="147"/>
      <c r="K1406" s="147" t="str">
        <f t="shared" si="21"/>
        <v/>
      </c>
      <c r="L1406" s="40"/>
      <c r="M1406"/>
      <c r="N1406"/>
      <c r="O1406"/>
      <c r="P1406"/>
      <c r="Q1406"/>
      <c r="R1406"/>
      <c r="S1406"/>
      <c r="T1406"/>
      <c r="U1406"/>
      <c r="V1406"/>
      <c r="W1406" s="41"/>
      <c r="X1406" s="41"/>
      <c r="Y1406" s="41"/>
    </row>
    <row r="1407" s="27" customFormat="1" ht="23" hidden="1" customHeight="1" spans="1:25">
      <c r="A1407" s="133" t="str">
        <f>IF(B1407="","",COUNTA($B$5:B1407))</f>
        <v/>
      </c>
      <c r="B1407" s="148"/>
      <c r="C1407" s="22" t="s">
        <v>49</v>
      </c>
      <c r="D1407" s="149"/>
      <c r="E1407" s="150"/>
      <c r="F1407" s="151"/>
      <c r="G1407" s="151"/>
      <c r="H1407" s="142">
        <f>IFERROR(VLOOKUP($C1407,$C$5:$H$18,6,0)+SUMIF($C$19:$C1407,$C1407,$F$19:$F1407)-SUMIF($C$19:$C1407,$C1407,$G$19:$G1407),"")</f>
        <v>81211.819999998</v>
      </c>
      <c r="I1407" s="147"/>
      <c r="J1407" s="147"/>
      <c r="K1407" s="147" t="str">
        <f t="shared" si="21"/>
        <v/>
      </c>
      <c r="L1407" s="40"/>
      <c r="M1407"/>
      <c r="N1407"/>
      <c r="O1407"/>
      <c r="P1407"/>
      <c r="Q1407"/>
      <c r="R1407"/>
      <c r="S1407"/>
      <c r="T1407"/>
      <c r="U1407"/>
      <c r="V1407"/>
      <c r="W1407" s="41"/>
      <c r="X1407" s="41"/>
      <c r="Y1407" s="41"/>
    </row>
    <row r="1408" s="27" customFormat="1" ht="23" hidden="1" customHeight="1" spans="1:25">
      <c r="A1408" s="133" t="str">
        <f>IF(B1408="","",COUNTA($B$5:B1408))</f>
        <v/>
      </c>
      <c r="B1408" s="148"/>
      <c r="C1408" s="22" t="s">
        <v>49</v>
      </c>
      <c r="D1408" s="149"/>
      <c r="E1408" s="150"/>
      <c r="F1408" s="151"/>
      <c r="G1408" s="151"/>
      <c r="H1408" s="142">
        <f>IFERROR(VLOOKUP($C1408,$C$5:$H$18,6,0)+SUMIF($C$19:$C1408,$C1408,$F$19:$F1408)-SUMIF($C$19:$C1408,$C1408,$G$19:$G1408),"")</f>
        <v>81211.819999998</v>
      </c>
      <c r="I1408" s="147"/>
      <c r="J1408" s="147"/>
      <c r="K1408" s="147" t="str">
        <f t="shared" si="21"/>
        <v/>
      </c>
      <c r="L1408" s="40"/>
      <c r="M1408"/>
      <c r="N1408"/>
      <c r="O1408"/>
      <c r="P1408"/>
      <c r="Q1408"/>
      <c r="R1408"/>
      <c r="S1408"/>
      <c r="T1408"/>
      <c r="U1408"/>
      <c r="V1408"/>
      <c r="W1408" s="41"/>
      <c r="X1408" s="41"/>
      <c r="Y1408" s="41"/>
    </row>
    <row r="1409" s="27" customFormat="1" ht="23" hidden="1" customHeight="1" spans="1:25">
      <c r="A1409" s="133" t="str">
        <f>IF(B1409="","",COUNTA($B$5:B1409))</f>
        <v/>
      </c>
      <c r="B1409" s="148"/>
      <c r="C1409" s="22" t="s">
        <v>49</v>
      </c>
      <c r="D1409" s="149"/>
      <c r="E1409" s="150"/>
      <c r="F1409" s="151"/>
      <c r="G1409" s="151"/>
      <c r="H1409" s="142">
        <f>IFERROR(VLOOKUP($C1409,$C$5:$H$18,6,0)+SUMIF($C$19:$C1409,$C1409,$F$19:$F1409)-SUMIF($C$19:$C1409,$C1409,$G$19:$G1409),"")</f>
        <v>81211.819999998</v>
      </c>
      <c r="I1409" s="147"/>
      <c r="J1409" s="147"/>
      <c r="K1409" s="147" t="str">
        <f t="shared" si="21"/>
        <v/>
      </c>
      <c r="L1409" s="40"/>
      <c r="M1409"/>
      <c r="N1409"/>
      <c r="O1409"/>
      <c r="P1409"/>
      <c r="Q1409"/>
      <c r="R1409"/>
      <c r="S1409"/>
      <c r="T1409"/>
      <c r="U1409"/>
      <c r="V1409"/>
      <c r="W1409" s="41"/>
      <c r="X1409" s="41"/>
      <c r="Y1409" s="41"/>
    </row>
    <row r="1410" s="27" customFormat="1" ht="23" hidden="1" customHeight="1" spans="1:25">
      <c r="A1410" s="133" t="str">
        <f>IF(B1410="","",COUNTA($B$5:B1410))</f>
        <v/>
      </c>
      <c r="B1410" s="148"/>
      <c r="C1410" s="22" t="s">
        <v>49</v>
      </c>
      <c r="D1410" s="149"/>
      <c r="E1410" s="150"/>
      <c r="F1410" s="151"/>
      <c r="G1410" s="151"/>
      <c r="H1410" s="142">
        <f>IFERROR(VLOOKUP($C1410,$C$5:$H$18,6,0)+SUMIF($C$19:$C1410,$C1410,$F$19:$F1410)-SUMIF($C$19:$C1410,$C1410,$G$19:$G1410),"")</f>
        <v>81211.819999998</v>
      </c>
      <c r="I1410" s="147"/>
      <c r="J1410" s="147"/>
      <c r="K1410" s="147" t="str">
        <f t="shared" si="21"/>
        <v/>
      </c>
      <c r="L1410" s="40"/>
      <c r="M1410"/>
      <c r="N1410"/>
      <c r="O1410"/>
      <c r="P1410"/>
      <c r="Q1410"/>
      <c r="R1410"/>
      <c r="S1410"/>
      <c r="T1410"/>
      <c r="U1410"/>
      <c r="V1410"/>
      <c r="W1410" s="41"/>
      <c r="X1410" s="41"/>
      <c r="Y1410" s="41"/>
    </row>
    <row r="1411" s="27" customFormat="1" ht="23" hidden="1" customHeight="1" spans="1:25">
      <c r="A1411" s="133" t="str">
        <f>IF(B1411="","",COUNTA($B$5:B1411))</f>
        <v/>
      </c>
      <c r="B1411" s="148"/>
      <c r="C1411" s="22" t="s">
        <v>49</v>
      </c>
      <c r="D1411" s="149"/>
      <c r="E1411" s="150"/>
      <c r="F1411" s="151"/>
      <c r="G1411" s="151"/>
      <c r="H1411" s="142">
        <f>IFERROR(VLOOKUP($C1411,$C$5:$H$18,6,0)+SUMIF($C$19:$C1411,$C1411,$F$19:$F1411)-SUMIF($C$19:$C1411,$C1411,$G$19:$G1411),"")</f>
        <v>81211.819999998</v>
      </c>
      <c r="I1411" s="147"/>
      <c r="J1411" s="147"/>
      <c r="K1411" s="147" t="str">
        <f t="shared" si="21"/>
        <v/>
      </c>
      <c r="L1411" s="40"/>
      <c r="M1411"/>
      <c r="N1411"/>
      <c r="O1411"/>
      <c r="P1411"/>
      <c r="Q1411"/>
      <c r="R1411"/>
      <c r="S1411"/>
      <c r="T1411"/>
      <c r="U1411"/>
      <c r="V1411"/>
      <c r="W1411" s="41"/>
      <c r="X1411" s="41"/>
      <c r="Y1411" s="41"/>
    </row>
    <row r="1412" s="27" customFormat="1" ht="23" hidden="1" customHeight="1" spans="1:25">
      <c r="A1412" s="133" t="str">
        <f>IF(B1412="","",COUNTA($B$5:B1412))</f>
        <v/>
      </c>
      <c r="B1412" s="148"/>
      <c r="C1412" s="22" t="s">
        <v>49</v>
      </c>
      <c r="D1412" s="149"/>
      <c r="E1412" s="150"/>
      <c r="F1412" s="151"/>
      <c r="G1412" s="151"/>
      <c r="H1412" s="142">
        <f>IFERROR(VLOOKUP($C1412,$C$5:$H$18,6,0)+SUMIF($C$19:$C1412,$C1412,$F$19:$F1412)-SUMIF($C$19:$C1412,$C1412,$G$19:$G1412),"")</f>
        <v>81211.819999998</v>
      </c>
      <c r="I1412" s="147"/>
      <c r="J1412" s="147"/>
      <c r="K1412" s="147" t="str">
        <f t="shared" si="21"/>
        <v/>
      </c>
      <c r="L1412" s="40"/>
      <c r="M1412"/>
      <c r="N1412"/>
      <c r="O1412"/>
      <c r="P1412"/>
      <c r="Q1412"/>
      <c r="R1412"/>
      <c r="S1412"/>
      <c r="T1412"/>
      <c r="U1412"/>
      <c r="V1412"/>
      <c r="W1412" s="41"/>
      <c r="X1412" s="41"/>
      <c r="Y1412" s="41"/>
    </row>
    <row r="1413" s="27" customFormat="1" ht="23" hidden="1" customHeight="1" spans="1:25">
      <c r="A1413" s="133" t="str">
        <f>IF(B1413="","",COUNTA($B$5:B1413))</f>
        <v/>
      </c>
      <c r="B1413" s="148"/>
      <c r="C1413" s="22" t="s">
        <v>49</v>
      </c>
      <c r="D1413" s="149"/>
      <c r="E1413" s="150"/>
      <c r="F1413" s="151"/>
      <c r="G1413" s="151"/>
      <c r="H1413" s="142">
        <f>IFERROR(VLOOKUP($C1413,$C$5:$H$18,6,0)+SUMIF($C$19:$C1413,$C1413,$F$19:$F1413)-SUMIF($C$19:$C1413,$C1413,$G$19:$G1413),"")</f>
        <v>81211.819999998</v>
      </c>
      <c r="I1413" s="147"/>
      <c r="J1413" s="147"/>
      <c r="K1413" s="147" t="str">
        <f t="shared" ref="K1413:K1476" si="22">IF($B1413="","",--TEXT($B1413,"yyyymm"))</f>
        <v/>
      </c>
      <c r="L1413" s="40"/>
      <c r="M1413"/>
      <c r="N1413"/>
      <c r="O1413"/>
      <c r="P1413"/>
      <c r="Q1413"/>
      <c r="R1413"/>
      <c r="S1413"/>
      <c r="T1413"/>
      <c r="U1413"/>
      <c r="V1413"/>
      <c r="W1413" s="41"/>
      <c r="X1413" s="41"/>
      <c r="Y1413" s="41"/>
    </row>
    <row r="1414" s="27" customFormat="1" ht="23" hidden="1" customHeight="1" spans="1:25">
      <c r="A1414" s="133" t="str">
        <f>IF(B1414="","",COUNTA($B$5:B1414))</f>
        <v/>
      </c>
      <c r="B1414" s="148"/>
      <c r="C1414" s="22" t="s">
        <v>49</v>
      </c>
      <c r="D1414" s="149"/>
      <c r="E1414" s="150"/>
      <c r="F1414" s="151"/>
      <c r="G1414" s="151"/>
      <c r="H1414" s="142">
        <f>IFERROR(VLOOKUP($C1414,$C$5:$H$18,6,0)+SUMIF($C$19:$C1414,$C1414,$F$19:$F1414)-SUMIF($C$19:$C1414,$C1414,$G$19:$G1414),"")</f>
        <v>81211.819999998</v>
      </c>
      <c r="I1414" s="147"/>
      <c r="J1414" s="147"/>
      <c r="K1414" s="147" t="str">
        <f t="shared" si="22"/>
        <v/>
      </c>
      <c r="L1414" s="40"/>
      <c r="M1414"/>
      <c r="N1414"/>
      <c r="O1414"/>
      <c r="P1414"/>
      <c r="Q1414"/>
      <c r="R1414"/>
      <c r="S1414"/>
      <c r="T1414"/>
      <c r="U1414"/>
      <c r="V1414"/>
      <c r="W1414" s="41"/>
      <c r="X1414" s="41"/>
      <c r="Y1414" s="41"/>
    </row>
    <row r="1415" s="27" customFormat="1" ht="23" hidden="1" customHeight="1" spans="1:25">
      <c r="A1415" s="133" t="str">
        <f>IF(B1415="","",COUNTA($B$5:B1415))</f>
        <v/>
      </c>
      <c r="B1415" s="148"/>
      <c r="C1415" s="22" t="s">
        <v>49</v>
      </c>
      <c r="D1415" s="149"/>
      <c r="E1415" s="150"/>
      <c r="F1415" s="151"/>
      <c r="G1415" s="151"/>
      <c r="H1415" s="142">
        <f>IFERROR(VLOOKUP($C1415,$C$5:$H$18,6,0)+SUMIF($C$19:$C1415,$C1415,$F$19:$F1415)-SUMIF($C$19:$C1415,$C1415,$G$19:$G1415),"")</f>
        <v>81211.819999998</v>
      </c>
      <c r="I1415" s="147"/>
      <c r="J1415" s="147"/>
      <c r="K1415" s="147" t="str">
        <f t="shared" si="22"/>
        <v/>
      </c>
      <c r="L1415" s="40"/>
      <c r="M1415"/>
      <c r="N1415"/>
      <c r="O1415"/>
      <c r="P1415"/>
      <c r="Q1415"/>
      <c r="R1415"/>
      <c r="S1415"/>
      <c r="T1415"/>
      <c r="U1415"/>
      <c r="V1415"/>
      <c r="W1415" s="41"/>
      <c r="X1415" s="41"/>
      <c r="Y1415" s="41"/>
    </row>
    <row r="1416" s="27" customFormat="1" ht="23" hidden="1" customHeight="1" spans="1:25">
      <c r="A1416" s="133" t="str">
        <f>IF(B1416="","",COUNTA($B$5:B1416))</f>
        <v/>
      </c>
      <c r="B1416" s="148"/>
      <c r="C1416" s="22" t="s">
        <v>49</v>
      </c>
      <c r="D1416" s="149"/>
      <c r="E1416" s="150"/>
      <c r="F1416" s="151"/>
      <c r="G1416" s="151"/>
      <c r="H1416" s="142">
        <f>IFERROR(VLOOKUP($C1416,$C$5:$H$18,6,0)+SUMIF($C$19:$C1416,$C1416,$F$19:$F1416)-SUMIF($C$19:$C1416,$C1416,$G$19:$G1416),"")</f>
        <v>81211.819999998</v>
      </c>
      <c r="I1416" s="147"/>
      <c r="J1416" s="147"/>
      <c r="K1416" s="147" t="str">
        <f t="shared" si="22"/>
        <v/>
      </c>
      <c r="L1416" s="40"/>
      <c r="M1416"/>
      <c r="N1416"/>
      <c r="O1416"/>
      <c r="P1416"/>
      <c r="Q1416"/>
      <c r="R1416"/>
      <c r="S1416"/>
      <c r="T1416"/>
      <c r="U1416"/>
      <c r="V1416"/>
      <c r="W1416" s="41"/>
      <c r="X1416" s="41"/>
      <c r="Y1416" s="41"/>
    </row>
    <row r="1417" s="27" customFormat="1" ht="23" hidden="1" customHeight="1" spans="1:25">
      <c r="A1417" s="133" t="str">
        <f>IF(B1417="","",COUNTA($B$5:B1417))</f>
        <v/>
      </c>
      <c r="B1417" s="148"/>
      <c r="C1417" s="22" t="s">
        <v>49</v>
      </c>
      <c r="D1417" s="149"/>
      <c r="E1417" s="150"/>
      <c r="F1417" s="151"/>
      <c r="G1417" s="151"/>
      <c r="H1417" s="142">
        <f>IFERROR(VLOOKUP($C1417,$C$5:$H$18,6,0)+SUMIF($C$19:$C1417,$C1417,$F$19:$F1417)-SUMIF($C$19:$C1417,$C1417,$G$19:$G1417),"")</f>
        <v>81211.819999998</v>
      </c>
      <c r="I1417" s="147"/>
      <c r="J1417" s="147"/>
      <c r="K1417" s="147" t="str">
        <f t="shared" si="22"/>
        <v/>
      </c>
      <c r="L1417" s="40"/>
      <c r="M1417"/>
      <c r="N1417"/>
      <c r="O1417"/>
      <c r="P1417"/>
      <c r="Q1417"/>
      <c r="R1417"/>
      <c r="S1417"/>
      <c r="T1417"/>
      <c r="U1417"/>
      <c r="V1417"/>
      <c r="W1417" s="41"/>
      <c r="X1417" s="41"/>
      <c r="Y1417" s="41"/>
    </row>
    <row r="1418" s="27" customFormat="1" ht="23" hidden="1" customHeight="1" spans="1:25">
      <c r="A1418" s="133" t="str">
        <f>IF(B1418="","",COUNTA($B$5:B1418))</f>
        <v/>
      </c>
      <c r="B1418" s="148"/>
      <c r="C1418" s="22" t="s">
        <v>49</v>
      </c>
      <c r="D1418" s="149"/>
      <c r="E1418" s="150"/>
      <c r="F1418" s="151"/>
      <c r="G1418" s="151"/>
      <c r="H1418" s="142">
        <f>IFERROR(VLOOKUP($C1418,$C$5:$H$18,6,0)+SUMIF($C$19:$C1418,$C1418,$F$19:$F1418)-SUMIF($C$19:$C1418,$C1418,$G$19:$G1418),"")</f>
        <v>81211.819999998</v>
      </c>
      <c r="I1418" s="147"/>
      <c r="J1418" s="147"/>
      <c r="K1418" s="147" t="str">
        <f t="shared" si="22"/>
        <v/>
      </c>
      <c r="L1418" s="40"/>
      <c r="M1418"/>
      <c r="N1418"/>
      <c r="O1418"/>
      <c r="P1418"/>
      <c r="Q1418"/>
      <c r="R1418"/>
      <c r="S1418"/>
      <c r="T1418"/>
      <c r="U1418"/>
      <c r="V1418"/>
      <c r="W1418" s="41"/>
      <c r="X1418" s="41"/>
      <c r="Y1418" s="41"/>
    </row>
    <row r="1419" s="27" customFormat="1" ht="23" hidden="1" customHeight="1" spans="1:25">
      <c r="A1419" s="133" t="str">
        <f>IF(B1419="","",COUNTA($B$5:B1419))</f>
        <v/>
      </c>
      <c r="B1419" s="148"/>
      <c r="C1419" s="22" t="s">
        <v>49</v>
      </c>
      <c r="D1419" s="149"/>
      <c r="E1419" s="150"/>
      <c r="F1419" s="151"/>
      <c r="G1419" s="151"/>
      <c r="H1419" s="142">
        <f>IFERROR(VLOOKUP($C1419,$C$5:$H$18,6,0)+SUMIF($C$19:$C1419,$C1419,$F$19:$F1419)-SUMIF($C$19:$C1419,$C1419,$G$19:$G1419),"")</f>
        <v>81211.819999998</v>
      </c>
      <c r="I1419" s="147"/>
      <c r="J1419" s="147"/>
      <c r="K1419" s="147" t="str">
        <f t="shared" si="22"/>
        <v/>
      </c>
      <c r="L1419" s="40"/>
      <c r="M1419"/>
      <c r="N1419"/>
      <c r="O1419"/>
      <c r="P1419"/>
      <c r="Q1419"/>
      <c r="R1419"/>
      <c r="S1419"/>
      <c r="T1419"/>
      <c r="U1419"/>
      <c r="V1419"/>
      <c r="W1419" s="41"/>
      <c r="X1419" s="41"/>
      <c r="Y1419" s="41"/>
    </row>
    <row r="1420" s="27" customFormat="1" ht="23" hidden="1" customHeight="1" spans="1:25">
      <c r="A1420" s="133" t="str">
        <f>IF(B1420="","",COUNTA($B$5:B1420))</f>
        <v/>
      </c>
      <c r="B1420" s="148"/>
      <c r="C1420" s="22" t="s">
        <v>49</v>
      </c>
      <c r="D1420" s="149"/>
      <c r="E1420" s="150"/>
      <c r="F1420" s="151"/>
      <c r="G1420" s="151"/>
      <c r="H1420" s="142">
        <f>IFERROR(VLOOKUP($C1420,$C$5:$H$18,6,0)+SUMIF($C$19:$C1420,$C1420,$F$19:$F1420)-SUMIF($C$19:$C1420,$C1420,$G$19:$G1420),"")</f>
        <v>81211.819999998</v>
      </c>
      <c r="I1420" s="147"/>
      <c r="J1420" s="147"/>
      <c r="K1420" s="147" t="str">
        <f t="shared" si="22"/>
        <v/>
      </c>
      <c r="L1420" s="40"/>
      <c r="M1420"/>
      <c r="N1420"/>
      <c r="O1420"/>
      <c r="P1420"/>
      <c r="Q1420"/>
      <c r="R1420"/>
      <c r="S1420"/>
      <c r="T1420"/>
      <c r="U1420"/>
      <c r="V1420"/>
      <c r="W1420" s="41"/>
      <c r="X1420" s="41"/>
      <c r="Y1420" s="41"/>
    </row>
    <row r="1421" s="27" customFormat="1" ht="23" hidden="1" customHeight="1" spans="1:25">
      <c r="A1421" s="133" t="str">
        <f>IF(B1421="","",COUNTA($B$5:B1421))</f>
        <v/>
      </c>
      <c r="B1421" s="148"/>
      <c r="C1421" s="22" t="s">
        <v>49</v>
      </c>
      <c r="D1421" s="149"/>
      <c r="E1421" s="150"/>
      <c r="F1421" s="151"/>
      <c r="G1421" s="151"/>
      <c r="H1421" s="142">
        <f>IFERROR(VLOOKUP($C1421,$C$5:$H$18,6,0)+SUMIF($C$19:$C1421,$C1421,$F$19:$F1421)-SUMIF($C$19:$C1421,$C1421,$G$19:$G1421),"")</f>
        <v>81211.819999998</v>
      </c>
      <c r="I1421" s="147"/>
      <c r="J1421" s="147"/>
      <c r="K1421" s="147" t="str">
        <f t="shared" si="22"/>
        <v/>
      </c>
      <c r="L1421" s="40"/>
      <c r="M1421"/>
      <c r="N1421"/>
      <c r="O1421"/>
      <c r="P1421"/>
      <c r="Q1421"/>
      <c r="R1421"/>
      <c r="S1421"/>
      <c r="T1421"/>
      <c r="U1421"/>
      <c r="V1421"/>
      <c r="W1421" s="41"/>
      <c r="X1421" s="41"/>
      <c r="Y1421" s="41"/>
    </row>
    <row r="1422" s="27" customFormat="1" ht="23" hidden="1" customHeight="1" spans="1:25">
      <c r="A1422" s="133" t="str">
        <f>IF(B1422="","",COUNTA($B$5:B1422))</f>
        <v/>
      </c>
      <c r="B1422" s="148"/>
      <c r="C1422" s="22" t="s">
        <v>49</v>
      </c>
      <c r="D1422" s="149"/>
      <c r="E1422" s="150"/>
      <c r="F1422" s="151"/>
      <c r="G1422" s="151"/>
      <c r="H1422" s="142">
        <f>IFERROR(VLOOKUP($C1422,$C$5:$H$18,6,0)+SUMIF($C$19:$C1422,$C1422,$F$19:$F1422)-SUMIF($C$19:$C1422,$C1422,$G$19:$G1422),"")</f>
        <v>81211.819999998</v>
      </c>
      <c r="I1422" s="147"/>
      <c r="J1422" s="147"/>
      <c r="K1422" s="147" t="str">
        <f t="shared" si="22"/>
        <v/>
      </c>
      <c r="L1422" s="40"/>
      <c r="M1422"/>
      <c r="N1422"/>
      <c r="O1422"/>
      <c r="P1422"/>
      <c r="Q1422"/>
      <c r="R1422"/>
      <c r="S1422"/>
      <c r="T1422"/>
      <c r="U1422"/>
      <c r="V1422"/>
      <c r="W1422" s="41"/>
      <c r="X1422" s="41"/>
      <c r="Y1422" s="41"/>
    </row>
    <row r="1423" s="27" customFormat="1" ht="23" hidden="1" customHeight="1" spans="1:25">
      <c r="A1423" s="133" t="str">
        <f>IF(B1423="","",COUNTA($B$5:B1423))</f>
        <v/>
      </c>
      <c r="B1423" s="148"/>
      <c r="C1423" s="22" t="s">
        <v>49</v>
      </c>
      <c r="D1423" s="149"/>
      <c r="E1423" s="150"/>
      <c r="F1423" s="151"/>
      <c r="G1423" s="151"/>
      <c r="H1423" s="142">
        <f>IFERROR(VLOOKUP($C1423,$C$5:$H$18,6,0)+SUMIF($C$19:$C1423,$C1423,$F$19:$F1423)-SUMIF($C$19:$C1423,$C1423,$G$19:$G1423),"")</f>
        <v>81211.819999998</v>
      </c>
      <c r="I1423" s="147"/>
      <c r="J1423" s="147"/>
      <c r="K1423" s="147" t="str">
        <f t="shared" si="22"/>
        <v/>
      </c>
      <c r="L1423" s="40"/>
      <c r="M1423"/>
      <c r="N1423"/>
      <c r="O1423"/>
      <c r="P1423"/>
      <c r="Q1423"/>
      <c r="R1423"/>
      <c r="S1423"/>
      <c r="T1423"/>
      <c r="U1423"/>
      <c r="V1423"/>
      <c r="W1423" s="41"/>
      <c r="X1423" s="41"/>
      <c r="Y1423" s="41"/>
    </row>
    <row r="1424" s="27" customFormat="1" ht="23" hidden="1" customHeight="1" spans="1:25">
      <c r="A1424" s="133" t="str">
        <f>IF(B1424="","",COUNTA($B$5:B1424))</f>
        <v/>
      </c>
      <c r="B1424" s="148"/>
      <c r="C1424" s="22" t="s">
        <v>49</v>
      </c>
      <c r="D1424" s="149"/>
      <c r="E1424" s="150"/>
      <c r="F1424" s="151"/>
      <c r="G1424" s="151"/>
      <c r="H1424" s="142">
        <f>IFERROR(VLOOKUP($C1424,$C$5:$H$18,6,0)+SUMIF($C$19:$C1424,$C1424,$F$19:$F1424)-SUMIF($C$19:$C1424,$C1424,$G$19:$G1424),"")</f>
        <v>81211.819999998</v>
      </c>
      <c r="I1424" s="147"/>
      <c r="J1424" s="147"/>
      <c r="K1424" s="147" t="str">
        <f t="shared" si="22"/>
        <v/>
      </c>
      <c r="L1424" s="40"/>
      <c r="M1424"/>
      <c r="N1424"/>
      <c r="O1424"/>
      <c r="P1424"/>
      <c r="Q1424"/>
      <c r="R1424"/>
      <c r="S1424"/>
      <c r="T1424"/>
      <c r="U1424"/>
      <c r="V1424"/>
      <c r="W1424" s="41"/>
      <c r="X1424" s="41"/>
      <c r="Y1424" s="41"/>
    </row>
    <row r="1425" s="27" customFormat="1" ht="23" hidden="1" customHeight="1" spans="1:25">
      <c r="A1425" s="133" t="str">
        <f>IF(B1425="","",COUNTA($B$5:B1425))</f>
        <v/>
      </c>
      <c r="B1425" s="148"/>
      <c r="C1425" s="22" t="s">
        <v>49</v>
      </c>
      <c r="D1425" s="149"/>
      <c r="E1425" s="150"/>
      <c r="F1425" s="151"/>
      <c r="G1425" s="151"/>
      <c r="H1425" s="142">
        <f>IFERROR(VLOOKUP($C1425,$C$5:$H$18,6,0)+SUMIF($C$19:$C1425,$C1425,$F$19:$F1425)-SUMIF($C$19:$C1425,$C1425,$G$19:$G1425),"")</f>
        <v>81211.819999998</v>
      </c>
      <c r="I1425" s="147"/>
      <c r="J1425" s="147"/>
      <c r="K1425" s="147" t="str">
        <f t="shared" si="22"/>
        <v/>
      </c>
      <c r="L1425" s="40"/>
      <c r="M1425"/>
      <c r="N1425"/>
      <c r="O1425"/>
      <c r="P1425"/>
      <c r="Q1425"/>
      <c r="R1425"/>
      <c r="S1425"/>
      <c r="T1425"/>
      <c r="U1425"/>
      <c r="V1425"/>
      <c r="W1425" s="41"/>
      <c r="X1425" s="41"/>
      <c r="Y1425" s="41"/>
    </row>
    <row r="1426" s="27" customFormat="1" ht="23" hidden="1" customHeight="1" spans="1:25">
      <c r="A1426" s="133" t="str">
        <f>IF(B1426="","",COUNTA($B$5:B1426))</f>
        <v/>
      </c>
      <c r="B1426" s="148"/>
      <c r="C1426" s="22" t="s">
        <v>49</v>
      </c>
      <c r="D1426" s="149"/>
      <c r="E1426" s="150"/>
      <c r="F1426" s="151"/>
      <c r="G1426" s="151"/>
      <c r="H1426" s="142">
        <f>IFERROR(VLOOKUP($C1426,$C$5:$H$18,6,0)+SUMIF($C$19:$C1426,$C1426,$F$19:$F1426)-SUMIF($C$19:$C1426,$C1426,$G$19:$G1426),"")</f>
        <v>81211.819999998</v>
      </c>
      <c r="I1426" s="147"/>
      <c r="J1426" s="147"/>
      <c r="K1426" s="147" t="str">
        <f t="shared" si="22"/>
        <v/>
      </c>
      <c r="L1426" s="40"/>
      <c r="M1426"/>
      <c r="N1426"/>
      <c r="O1426"/>
      <c r="P1426"/>
      <c r="Q1426"/>
      <c r="R1426"/>
      <c r="S1426"/>
      <c r="T1426"/>
      <c r="U1426"/>
      <c r="V1426"/>
      <c r="W1426" s="41"/>
      <c r="X1426" s="41"/>
      <c r="Y1426" s="41"/>
    </row>
    <row r="1427" s="27" customFormat="1" ht="23" hidden="1" customHeight="1" spans="1:25">
      <c r="A1427" s="133" t="str">
        <f>IF(B1427="","",COUNTA($B$5:B1427))</f>
        <v/>
      </c>
      <c r="B1427" s="148"/>
      <c r="C1427" s="22" t="s">
        <v>49</v>
      </c>
      <c r="D1427" s="149"/>
      <c r="E1427" s="150"/>
      <c r="F1427" s="151"/>
      <c r="G1427" s="151"/>
      <c r="H1427" s="142">
        <f>IFERROR(VLOOKUP($C1427,$C$5:$H$18,6,0)+SUMIF($C$19:$C1427,$C1427,$F$19:$F1427)-SUMIF($C$19:$C1427,$C1427,$G$19:$G1427),"")</f>
        <v>81211.819999998</v>
      </c>
      <c r="I1427" s="147"/>
      <c r="J1427" s="147"/>
      <c r="K1427" s="147" t="str">
        <f t="shared" si="22"/>
        <v/>
      </c>
      <c r="L1427" s="40"/>
      <c r="M1427"/>
      <c r="N1427"/>
      <c r="O1427"/>
      <c r="P1427"/>
      <c r="Q1427"/>
      <c r="R1427"/>
      <c r="S1427"/>
      <c r="T1427"/>
      <c r="U1427"/>
      <c r="V1427"/>
      <c r="W1427" s="41"/>
      <c r="X1427" s="41"/>
      <c r="Y1427" s="41"/>
    </row>
    <row r="1428" s="27" customFormat="1" ht="23" hidden="1" customHeight="1" spans="1:25">
      <c r="A1428" s="133" t="str">
        <f>IF(B1428="","",COUNTA($B$5:B1428))</f>
        <v/>
      </c>
      <c r="B1428" s="148"/>
      <c r="C1428" s="22" t="s">
        <v>49</v>
      </c>
      <c r="D1428" s="149"/>
      <c r="E1428" s="150"/>
      <c r="F1428" s="151"/>
      <c r="G1428" s="151"/>
      <c r="H1428" s="142">
        <f>IFERROR(VLOOKUP($C1428,$C$5:$H$18,6,0)+SUMIF($C$19:$C1428,$C1428,$F$19:$F1428)-SUMIF($C$19:$C1428,$C1428,$G$19:$G1428),"")</f>
        <v>81211.819999998</v>
      </c>
      <c r="I1428" s="147"/>
      <c r="J1428" s="147"/>
      <c r="K1428" s="147" t="str">
        <f t="shared" si="22"/>
        <v/>
      </c>
      <c r="L1428" s="40"/>
      <c r="M1428"/>
      <c r="N1428"/>
      <c r="O1428"/>
      <c r="P1428"/>
      <c r="Q1428"/>
      <c r="R1428"/>
      <c r="S1428"/>
      <c r="T1428"/>
      <c r="U1428"/>
      <c r="V1428"/>
      <c r="W1428" s="41"/>
      <c r="X1428" s="41"/>
      <c r="Y1428" s="41"/>
    </row>
    <row r="1429" s="27" customFormat="1" ht="23" hidden="1" customHeight="1" spans="1:25">
      <c r="A1429" s="133" t="str">
        <f>IF(B1429="","",COUNTA($B$5:B1429))</f>
        <v/>
      </c>
      <c r="B1429" s="148"/>
      <c r="C1429" s="22" t="s">
        <v>49</v>
      </c>
      <c r="D1429" s="149"/>
      <c r="E1429" s="150"/>
      <c r="F1429" s="151"/>
      <c r="G1429" s="151"/>
      <c r="H1429" s="142">
        <f>IFERROR(VLOOKUP($C1429,$C$5:$H$18,6,0)+SUMIF($C$19:$C1429,$C1429,$F$19:$F1429)-SUMIF($C$19:$C1429,$C1429,$G$19:$G1429),"")</f>
        <v>81211.819999998</v>
      </c>
      <c r="I1429" s="147"/>
      <c r="J1429" s="147"/>
      <c r="K1429" s="147" t="str">
        <f t="shared" si="22"/>
        <v/>
      </c>
      <c r="L1429" s="40"/>
      <c r="M1429"/>
      <c r="N1429"/>
      <c r="O1429"/>
      <c r="P1429"/>
      <c r="Q1429"/>
      <c r="R1429"/>
      <c r="S1429"/>
      <c r="T1429"/>
      <c r="U1429"/>
      <c r="V1429"/>
      <c r="W1429" s="41"/>
      <c r="X1429" s="41"/>
      <c r="Y1429" s="41"/>
    </row>
    <row r="1430" s="27" customFormat="1" ht="23" hidden="1" customHeight="1" spans="1:25">
      <c r="A1430" s="133" t="str">
        <f>IF(B1430="","",COUNTA($B$5:B1430))</f>
        <v/>
      </c>
      <c r="B1430" s="148"/>
      <c r="C1430" s="22" t="s">
        <v>49</v>
      </c>
      <c r="D1430" s="149"/>
      <c r="E1430" s="150"/>
      <c r="F1430" s="151"/>
      <c r="G1430" s="151"/>
      <c r="H1430" s="142">
        <f>IFERROR(VLOOKUP($C1430,$C$5:$H$18,6,0)+SUMIF($C$19:$C1430,$C1430,$F$19:$F1430)-SUMIF($C$19:$C1430,$C1430,$G$19:$G1430),"")</f>
        <v>81211.819999998</v>
      </c>
      <c r="I1430" s="147"/>
      <c r="J1430" s="147"/>
      <c r="K1430" s="147" t="str">
        <f t="shared" si="22"/>
        <v/>
      </c>
      <c r="L1430" s="40"/>
      <c r="M1430"/>
      <c r="N1430"/>
      <c r="O1430"/>
      <c r="P1430"/>
      <c r="Q1430"/>
      <c r="R1430"/>
      <c r="S1430"/>
      <c r="T1430"/>
      <c r="U1430"/>
      <c r="V1430"/>
      <c r="W1430" s="41"/>
      <c r="X1430" s="41"/>
      <c r="Y1430" s="41"/>
    </row>
    <row r="1431" s="27" customFormat="1" ht="23" hidden="1" customHeight="1" spans="1:25">
      <c r="A1431" s="133" t="str">
        <f>IF(B1431="","",COUNTA($B$5:B1431))</f>
        <v/>
      </c>
      <c r="B1431" s="148"/>
      <c r="C1431" s="22" t="s">
        <v>49</v>
      </c>
      <c r="D1431" s="149"/>
      <c r="E1431" s="150"/>
      <c r="F1431" s="151"/>
      <c r="G1431" s="151"/>
      <c r="H1431" s="142">
        <f>IFERROR(VLOOKUP($C1431,$C$5:$H$18,6,0)+SUMIF($C$19:$C1431,$C1431,$F$19:$F1431)-SUMIF($C$19:$C1431,$C1431,$G$19:$G1431),"")</f>
        <v>81211.819999998</v>
      </c>
      <c r="I1431" s="147"/>
      <c r="J1431" s="147"/>
      <c r="K1431" s="147" t="str">
        <f t="shared" si="22"/>
        <v/>
      </c>
      <c r="L1431" s="40"/>
      <c r="M1431"/>
      <c r="N1431"/>
      <c r="O1431"/>
      <c r="P1431"/>
      <c r="Q1431"/>
      <c r="R1431"/>
      <c r="S1431"/>
      <c r="T1431"/>
      <c r="U1431"/>
      <c r="V1431"/>
      <c r="W1431" s="41"/>
      <c r="X1431" s="41"/>
      <c r="Y1431" s="41"/>
    </row>
    <row r="1432" s="27" customFormat="1" ht="23" hidden="1" customHeight="1" spans="1:25">
      <c r="A1432" s="133" t="str">
        <f>IF(B1432="","",COUNTA($B$5:B1432))</f>
        <v/>
      </c>
      <c r="B1432" s="148"/>
      <c r="C1432" s="22" t="s">
        <v>49</v>
      </c>
      <c r="D1432" s="149"/>
      <c r="E1432" s="150"/>
      <c r="F1432" s="151"/>
      <c r="G1432" s="151"/>
      <c r="H1432" s="142">
        <f>IFERROR(VLOOKUP($C1432,$C$5:$H$18,6,0)+SUMIF($C$19:$C1432,$C1432,$F$19:$F1432)-SUMIF($C$19:$C1432,$C1432,$G$19:$G1432),"")</f>
        <v>81211.819999998</v>
      </c>
      <c r="I1432" s="147"/>
      <c r="J1432" s="147"/>
      <c r="K1432" s="147" t="str">
        <f t="shared" si="22"/>
        <v/>
      </c>
      <c r="L1432" s="40"/>
      <c r="M1432"/>
      <c r="N1432"/>
      <c r="O1432"/>
      <c r="P1432"/>
      <c r="Q1432"/>
      <c r="R1432"/>
      <c r="S1432"/>
      <c r="T1432"/>
      <c r="U1432"/>
      <c r="V1432"/>
      <c r="W1432" s="41"/>
      <c r="X1432" s="41"/>
      <c r="Y1432" s="41"/>
    </row>
    <row r="1433" s="27" customFormat="1" ht="23" hidden="1" customHeight="1" spans="1:25">
      <c r="A1433" s="133" t="str">
        <f>IF(B1433="","",COUNTA($B$5:B1433))</f>
        <v/>
      </c>
      <c r="B1433" s="148"/>
      <c r="C1433" s="22" t="s">
        <v>49</v>
      </c>
      <c r="D1433" s="149"/>
      <c r="E1433" s="150"/>
      <c r="F1433" s="151"/>
      <c r="G1433" s="151"/>
      <c r="H1433" s="142">
        <f>IFERROR(VLOOKUP($C1433,$C$5:$H$18,6,0)+SUMIF($C$19:$C1433,$C1433,$F$19:$F1433)-SUMIF($C$19:$C1433,$C1433,$G$19:$G1433),"")</f>
        <v>81211.819999998</v>
      </c>
      <c r="I1433" s="147"/>
      <c r="J1433" s="147"/>
      <c r="K1433" s="147" t="str">
        <f t="shared" si="22"/>
        <v/>
      </c>
      <c r="L1433" s="40"/>
      <c r="M1433"/>
      <c r="N1433"/>
      <c r="O1433"/>
      <c r="P1433"/>
      <c r="Q1433"/>
      <c r="R1433"/>
      <c r="S1433"/>
      <c r="T1433"/>
      <c r="U1433"/>
      <c r="V1433"/>
      <c r="W1433" s="41"/>
      <c r="X1433" s="41"/>
      <c r="Y1433" s="41"/>
    </row>
    <row r="1434" s="27" customFormat="1" ht="23" hidden="1" customHeight="1" spans="1:25">
      <c r="A1434" s="133" t="str">
        <f>IF(B1434="","",COUNTA($B$5:B1434))</f>
        <v/>
      </c>
      <c r="B1434" s="148"/>
      <c r="C1434" s="22" t="s">
        <v>49</v>
      </c>
      <c r="D1434" s="149"/>
      <c r="E1434" s="150"/>
      <c r="F1434" s="151"/>
      <c r="G1434" s="151"/>
      <c r="H1434" s="142">
        <f>IFERROR(VLOOKUP($C1434,$C$5:$H$18,6,0)+SUMIF($C$19:$C1434,$C1434,$F$19:$F1434)-SUMIF($C$19:$C1434,$C1434,$G$19:$G1434),"")</f>
        <v>81211.819999998</v>
      </c>
      <c r="I1434" s="147"/>
      <c r="J1434" s="147"/>
      <c r="K1434" s="147" t="str">
        <f t="shared" si="22"/>
        <v/>
      </c>
      <c r="L1434" s="40"/>
      <c r="M1434"/>
      <c r="N1434"/>
      <c r="O1434"/>
      <c r="P1434"/>
      <c r="Q1434"/>
      <c r="R1434"/>
      <c r="S1434"/>
      <c r="T1434"/>
      <c r="U1434"/>
      <c r="V1434"/>
      <c r="W1434" s="41"/>
      <c r="X1434" s="41"/>
      <c r="Y1434" s="41"/>
    </row>
    <row r="1435" s="27" customFormat="1" ht="23" hidden="1" customHeight="1" spans="1:25">
      <c r="A1435" s="133" t="str">
        <f>IF(B1435="","",COUNTA($B$5:B1435))</f>
        <v/>
      </c>
      <c r="B1435" s="148"/>
      <c r="C1435" s="22" t="s">
        <v>49</v>
      </c>
      <c r="D1435" s="149"/>
      <c r="E1435" s="150"/>
      <c r="F1435" s="151"/>
      <c r="G1435" s="151"/>
      <c r="H1435" s="142">
        <f>IFERROR(VLOOKUP($C1435,$C$5:$H$18,6,0)+SUMIF($C$19:$C1435,$C1435,$F$19:$F1435)-SUMIF($C$19:$C1435,$C1435,$G$19:$G1435),"")</f>
        <v>81211.819999998</v>
      </c>
      <c r="I1435" s="147"/>
      <c r="J1435" s="147"/>
      <c r="K1435" s="147" t="str">
        <f t="shared" si="22"/>
        <v/>
      </c>
      <c r="L1435" s="40"/>
      <c r="M1435"/>
      <c r="N1435"/>
      <c r="O1435"/>
      <c r="P1435"/>
      <c r="Q1435"/>
      <c r="R1435"/>
      <c r="S1435"/>
      <c r="T1435"/>
      <c r="U1435"/>
      <c r="V1435"/>
      <c r="W1435" s="41"/>
      <c r="X1435" s="41"/>
      <c r="Y1435" s="41"/>
    </row>
    <row r="1436" s="27" customFormat="1" ht="23" hidden="1" customHeight="1" spans="1:25">
      <c r="A1436" s="133" t="str">
        <f>IF(B1436="","",COUNTA($B$5:B1436))</f>
        <v/>
      </c>
      <c r="B1436" s="148"/>
      <c r="C1436" s="22" t="s">
        <v>49</v>
      </c>
      <c r="D1436" s="149"/>
      <c r="E1436" s="150"/>
      <c r="F1436" s="151"/>
      <c r="G1436" s="151"/>
      <c r="H1436" s="142">
        <f>IFERROR(VLOOKUP($C1436,$C$5:$H$18,6,0)+SUMIF($C$19:$C1436,$C1436,$F$19:$F1436)-SUMIF($C$19:$C1436,$C1436,$G$19:$G1436),"")</f>
        <v>81211.819999998</v>
      </c>
      <c r="I1436" s="147"/>
      <c r="J1436" s="147"/>
      <c r="K1436" s="147" t="str">
        <f t="shared" si="22"/>
        <v/>
      </c>
      <c r="L1436" s="40"/>
      <c r="M1436"/>
      <c r="N1436"/>
      <c r="O1436"/>
      <c r="P1436"/>
      <c r="Q1436"/>
      <c r="R1436"/>
      <c r="S1436"/>
      <c r="T1436"/>
      <c r="U1436"/>
      <c r="V1436"/>
      <c r="W1436" s="41"/>
      <c r="X1436" s="41"/>
      <c r="Y1436" s="41"/>
    </row>
    <row r="1437" s="27" customFormat="1" ht="23" hidden="1" customHeight="1" spans="1:25">
      <c r="A1437" s="133" t="str">
        <f>IF(B1437="","",COUNTA($B$5:B1437))</f>
        <v/>
      </c>
      <c r="B1437" s="148"/>
      <c r="C1437" s="22" t="s">
        <v>49</v>
      </c>
      <c r="D1437" s="149"/>
      <c r="E1437" s="150"/>
      <c r="F1437" s="151"/>
      <c r="G1437" s="151"/>
      <c r="H1437" s="142">
        <f>IFERROR(VLOOKUP($C1437,$C$5:$H$18,6,0)+SUMIF($C$19:$C1437,$C1437,$F$19:$F1437)-SUMIF($C$19:$C1437,$C1437,$G$19:$G1437),"")</f>
        <v>81211.819999998</v>
      </c>
      <c r="I1437" s="147"/>
      <c r="J1437" s="147"/>
      <c r="K1437" s="147" t="str">
        <f t="shared" si="22"/>
        <v/>
      </c>
      <c r="L1437" s="40"/>
      <c r="M1437"/>
      <c r="N1437"/>
      <c r="O1437"/>
      <c r="P1437"/>
      <c r="Q1437"/>
      <c r="R1437"/>
      <c r="S1437"/>
      <c r="T1437"/>
      <c r="U1437"/>
      <c r="V1437"/>
      <c r="W1437" s="41"/>
      <c r="X1437" s="41"/>
      <c r="Y1437" s="41"/>
    </row>
    <row r="1438" s="27" customFormat="1" ht="23" hidden="1" customHeight="1" spans="1:25">
      <c r="A1438" s="133" t="str">
        <f>IF(B1438="","",COUNTA($B$5:B1438))</f>
        <v/>
      </c>
      <c r="B1438" s="148"/>
      <c r="C1438" s="22" t="s">
        <v>49</v>
      </c>
      <c r="D1438" s="149"/>
      <c r="E1438" s="150"/>
      <c r="F1438" s="151"/>
      <c r="G1438" s="151"/>
      <c r="H1438" s="142">
        <f>IFERROR(VLOOKUP($C1438,$C$5:$H$18,6,0)+SUMIF($C$19:$C1438,$C1438,$F$19:$F1438)-SUMIF($C$19:$C1438,$C1438,$G$19:$G1438),"")</f>
        <v>81211.819999998</v>
      </c>
      <c r="I1438" s="147"/>
      <c r="J1438" s="147"/>
      <c r="K1438" s="147" t="str">
        <f t="shared" si="22"/>
        <v/>
      </c>
      <c r="L1438" s="40"/>
      <c r="M1438"/>
      <c r="N1438"/>
      <c r="O1438"/>
      <c r="P1438"/>
      <c r="Q1438"/>
      <c r="R1438"/>
      <c r="S1438"/>
      <c r="T1438"/>
      <c r="U1438"/>
      <c r="V1438"/>
      <c r="W1438" s="41"/>
      <c r="X1438" s="41"/>
      <c r="Y1438" s="41"/>
    </row>
    <row r="1439" s="27" customFormat="1" ht="23" hidden="1" customHeight="1" spans="1:25">
      <c r="A1439" s="133" t="str">
        <f>IF(B1439="","",COUNTA($B$5:B1439))</f>
        <v/>
      </c>
      <c r="B1439" s="148"/>
      <c r="C1439" s="22" t="s">
        <v>49</v>
      </c>
      <c r="D1439" s="149"/>
      <c r="E1439" s="150"/>
      <c r="F1439" s="151"/>
      <c r="G1439" s="151"/>
      <c r="H1439" s="142">
        <f>IFERROR(VLOOKUP($C1439,$C$5:$H$18,6,0)+SUMIF($C$19:$C1439,$C1439,$F$19:$F1439)-SUMIF($C$19:$C1439,$C1439,$G$19:$G1439),"")</f>
        <v>81211.819999998</v>
      </c>
      <c r="I1439" s="147"/>
      <c r="J1439" s="147"/>
      <c r="K1439" s="147" t="str">
        <f t="shared" si="22"/>
        <v/>
      </c>
      <c r="L1439" s="40"/>
      <c r="M1439"/>
      <c r="N1439"/>
      <c r="O1439"/>
      <c r="P1439"/>
      <c r="Q1439"/>
      <c r="R1439"/>
      <c r="S1439"/>
      <c r="T1439"/>
      <c r="U1439"/>
      <c r="V1439"/>
      <c r="W1439" s="41"/>
      <c r="X1439" s="41"/>
      <c r="Y1439" s="41"/>
    </row>
    <row r="1440" s="27" customFormat="1" ht="23" hidden="1" customHeight="1" spans="1:25">
      <c r="A1440" s="133" t="str">
        <f>IF(B1440="","",COUNTA($B$5:B1440))</f>
        <v/>
      </c>
      <c r="B1440" s="148"/>
      <c r="C1440" s="22" t="s">
        <v>49</v>
      </c>
      <c r="D1440" s="149"/>
      <c r="E1440" s="150"/>
      <c r="F1440" s="151"/>
      <c r="G1440" s="151"/>
      <c r="H1440" s="142">
        <f>IFERROR(VLOOKUP($C1440,$C$5:$H$18,6,0)+SUMIF($C$19:$C1440,$C1440,$F$19:$F1440)-SUMIF($C$19:$C1440,$C1440,$G$19:$G1440),"")</f>
        <v>81211.819999998</v>
      </c>
      <c r="I1440" s="147"/>
      <c r="J1440" s="147"/>
      <c r="K1440" s="147" t="str">
        <f t="shared" si="22"/>
        <v/>
      </c>
      <c r="L1440" s="40"/>
      <c r="M1440"/>
      <c r="N1440"/>
      <c r="O1440"/>
      <c r="P1440"/>
      <c r="Q1440"/>
      <c r="R1440"/>
      <c r="S1440"/>
      <c r="T1440"/>
      <c r="U1440"/>
      <c r="V1440"/>
      <c r="W1440" s="41"/>
      <c r="X1440" s="41"/>
      <c r="Y1440" s="41"/>
    </row>
    <row r="1441" s="27" customFormat="1" ht="23" hidden="1" customHeight="1" spans="1:25">
      <c r="A1441" s="133" t="str">
        <f>IF(B1441="","",COUNTA($B$5:B1441))</f>
        <v/>
      </c>
      <c r="B1441" s="148"/>
      <c r="C1441" s="22" t="s">
        <v>49</v>
      </c>
      <c r="D1441" s="149"/>
      <c r="E1441" s="150"/>
      <c r="F1441" s="151"/>
      <c r="G1441" s="151"/>
      <c r="H1441" s="142">
        <f>IFERROR(VLOOKUP($C1441,$C$5:$H$18,6,0)+SUMIF($C$19:$C1441,$C1441,$F$19:$F1441)-SUMIF($C$19:$C1441,$C1441,$G$19:$G1441),"")</f>
        <v>81211.819999998</v>
      </c>
      <c r="I1441" s="147"/>
      <c r="J1441" s="147"/>
      <c r="K1441" s="147" t="str">
        <f t="shared" si="22"/>
        <v/>
      </c>
      <c r="L1441" s="40"/>
      <c r="M1441"/>
      <c r="N1441"/>
      <c r="O1441"/>
      <c r="P1441"/>
      <c r="Q1441"/>
      <c r="R1441"/>
      <c r="S1441"/>
      <c r="T1441"/>
      <c r="U1441"/>
      <c r="V1441"/>
      <c r="W1441" s="41"/>
      <c r="X1441" s="41"/>
      <c r="Y1441" s="41"/>
    </row>
    <row r="1442" s="27" customFormat="1" ht="23" hidden="1" customHeight="1" spans="1:25">
      <c r="A1442" s="133" t="str">
        <f>IF(B1442="","",COUNTA($B$5:B1442))</f>
        <v/>
      </c>
      <c r="B1442" s="148"/>
      <c r="C1442" s="22" t="s">
        <v>49</v>
      </c>
      <c r="D1442" s="149"/>
      <c r="E1442" s="150"/>
      <c r="F1442" s="151"/>
      <c r="G1442" s="151"/>
      <c r="H1442" s="142">
        <f>IFERROR(VLOOKUP($C1442,$C$5:$H$18,6,0)+SUMIF($C$19:$C1442,$C1442,$F$19:$F1442)-SUMIF($C$19:$C1442,$C1442,$G$19:$G1442),"")</f>
        <v>81211.819999998</v>
      </c>
      <c r="I1442" s="147"/>
      <c r="J1442" s="147"/>
      <c r="K1442" s="147" t="str">
        <f t="shared" si="22"/>
        <v/>
      </c>
      <c r="L1442" s="40"/>
      <c r="M1442"/>
      <c r="N1442"/>
      <c r="O1442"/>
      <c r="P1442"/>
      <c r="Q1442"/>
      <c r="R1442"/>
      <c r="S1442"/>
      <c r="T1442"/>
      <c r="U1442"/>
      <c r="V1442"/>
      <c r="W1442" s="41"/>
      <c r="X1442" s="41"/>
      <c r="Y1442" s="41"/>
    </row>
    <row r="1443" s="27" customFormat="1" ht="23" hidden="1" customHeight="1" spans="1:25">
      <c r="A1443" s="133" t="str">
        <f>IF(B1443="","",COUNTA($B$5:B1443))</f>
        <v/>
      </c>
      <c r="B1443" s="148"/>
      <c r="C1443" s="22" t="s">
        <v>49</v>
      </c>
      <c r="D1443" s="149"/>
      <c r="E1443" s="150"/>
      <c r="F1443" s="151"/>
      <c r="G1443" s="151"/>
      <c r="H1443" s="142">
        <f>IFERROR(VLOOKUP($C1443,$C$5:$H$18,6,0)+SUMIF($C$19:$C1443,$C1443,$F$19:$F1443)-SUMIF($C$19:$C1443,$C1443,$G$19:$G1443),"")</f>
        <v>81211.819999998</v>
      </c>
      <c r="I1443" s="147"/>
      <c r="J1443" s="147"/>
      <c r="K1443" s="147" t="str">
        <f t="shared" si="22"/>
        <v/>
      </c>
      <c r="L1443" s="40"/>
      <c r="M1443"/>
      <c r="N1443"/>
      <c r="O1443"/>
      <c r="P1443"/>
      <c r="Q1443"/>
      <c r="R1443"/>
      <c r="S1443"/>
      <c r="T1443"/>
      <c r="U1443"/>
      <c r="V1443"/>
      <c r="W1443" s="41"/>
      <c r="X1443" s="41"/>
      <c r="Y1443" s="41"/>
    </row>
    <row r="1444" s="27" customFormat="1" ht="23" hidden="1" customHeight="1" spans="1:25">
      <c r="A1444" s="133" t="str">
        <f>IF(B1444="","",COUNTA($B$5:B1444))</f>
        <v/>
      </c>
      <c r="B1444" s="148"/>
      <c r="C1444" s="22" t="s">
        <v>49</v>
      </c>
      <c r="D1444" s="149"/>
      <c r="E1444" s="150"/>
      <c r="F1444" s="151"/>
      <c r="G1444" s="151"/>
      <c r="H1444" s="142">
        <f>IFERROR(VLOOKUP($C1444,$C$5:$H$18,6,0)+SUMIF($C$19:$C1444,$C1444,$F$19:$F1444)-SUMIF($C$19:$C1444,$C1444,$G$19:$G1444),"")</f>
        <v>81211.819999998</v>
      </c>
      <c r="I1444" s="147"/>
      <c r="J1444" s="147"/>
      <c r="K1444" s="147" t="str">
        <f t="shared" si="22"/>
        <v/>
      </c>
      <c r="L1444" s="40"/>
      <c r="M1444"/>
      <c r="N1444"/>
      <c r="O1444"/>
      <c r="P1444"/>
      <c r="Q1444"/>
      <c r="R1444"/>
      <c r="S1444"/>
      <c r="T1444"/>
      <c r="U1444"/>
      <c r="V1444"/>
      <c r="W1444" s="41"/>
      <c r="X1444" s="41"/>
      <c r="Y1444" s="41"/>
    </row>
    <row r="1445" s="27" customFormat="1" ht="23" hidden="1" customHeight="1" spans="1:25">
      <c r="A1445" s="133" t="str">
        <f>IF(B1445="","",COUNTA($B$5:B1445))</f>
        <v/>
      </c>
      <c r="B1445" s="148"/>
      <c r="C1445" s="22" t="s">
        <v>49</v>
      </c>
      <c r="D1445" s="149"/>
      <c r="E1445" s="150"/>
      <c r="F1445" s="151"/>
      <c r="G1445" s="151"/>
      <c r="H1445" s="142">
        <f>IFERROR(VLOOKUP($C1445,$C$5:$H$18,6,0)+SUMIF($C$19:$C1445,$C1445,$F$19:$F1445)-SUMIF($C$19:$C1445,$C1445,$G$19:$G1445),"")</f>
        <v>81211.819999998</v>
      </c>
      <c r="I1445" s="147"/>
      <c r="J1445" s="147"/>
      <c r="K1445" s="147" t="str">
        <f t="shared" si="22"/>
        <v/>
      </c>
      <c r="L1445" s="40"/>
      <c r="M1445"/>
      <c r="N1445"/>
      <c r="O1445"/>
      <c r="P1445"/>
      <c r="Q1445"/>
      <c r="R1445"/>
      <c r="S1445"/>
      <c r="T1445"/>
      <c r="U1445"/>
      <c r="V1445"/>
      <c r="W1445" s="41"/>
      <c r="X1445" s="41"/>
      <c r="Y1445" s="41"/>
    </row>
    <row r="1446" s="27" customFormat="1" ht="23" hidden="1" customHeight="1" spans="1:25">
      <c r="A1446" s="133" t="str">
        <f>IF(B1446="","",COUNTA($B$5:B1446))</f>
        <v/>
      </c>
      <c r="B1446" s="148"/>
      <c r="C1446" s="22" t="s">
        <v>49</v>
      </c>
      <c r="D1446" s="149"/>
      <c r="E1446" s="150"/>
      <c r="F1446" s="151"/>
      <c r="G1446" s="151"/>
      <c r="H1446" s="142">
        <f>IFERROR(VLOOKUP($C1446,$C$5:$H$18,6,0)+SUMIF($C$19:$C1446,$C1446,$F$19:$F1446)-SUMIF($C$19:$C1446,$C1446,$G$19:$G1446),"")</f>
        <v>81211.819999998</v>
      </c>
      <c r="I1446" s="147"/>
      <c r="J1446" s="147"/>
      <c r="K1446" s="147" t="str">
        <f t="shared" si="22"/>
        <v/>
      </c>
      <c r="L1446" s="40"/>
      <c r="M1446"/>
      <c r="N1446"/>
      <c r="O1446"/>
      <c r="P1446"/>
      <c r="Q1446"/>
      <c r="R1446"/>
      <c r="S1446"/>
      <c r="T1446"/>
      <c r="U1446"/>
      <c r="V1446"/>
      <c r="W1446" s="41"/>
      <c r="X1446" s="41"/>
      <c r="Y1446" s="41"/>
    </row>
    <row r="1447" s="27" customFormat="1" ht="23" hidden="1" customHeight="1" spans="1:25">
      <c r="A1447" s="133" t="str">
        <f>IF(B1447="","",COUNTA($B$5:B1447))</f>
        <v/>
      </c>
      <c r="B1447" s="148"/>
      <c r="C1447" s="22" t="s">
        <v>49</v>
      </c>
      <c r="D1447" s="149"/>
      <c r="E1447" s="150"/>
      <c r="F1447" s="151"/>
      <c r="G1447" s="151"/>
      <c r="H1447" s="142">
        <f>IFERROR(VLOOKUP($C1447,$C$5:$H$18,6,0)+SUMIF($C$19:$C1447,$C1447,$F$19:$F1447)-SUMIF($C$19:$C1447,$C1447,$G$19:$G1447),"")</f>
        <v>81211.819999998</v>
      </c>
      <c r="I1447" s="147"/>
      <c r="J1447" s="147"/>
      <c r="K1447" s="147" t="str">
        <f t="shared" si="22"/>
        <v/>
      </c>
      <c r="L1447" s="40"/>
      <c r="M1447"/>
      <c r="N1447"/>
      <c r="O1447"/>
      <c r="P1447"/>
      <c r="Q1447"/>
      <c r="R1447"/>
      <c r="S1447"/>
      <c r="T1447"/>
      <c r="U1447"/>
      <c r="V1447"/>
      <c r="W1447" s="41"/>
      <c r="X1447" s="41"/>
      <c r="Y1447" s="41"/>
    </row>
    <row r="1448" s="27" customFormat="1" ht="23" hidden="1" customHeight="1" spans="1:25">
      <c r="A1448" s="133" t="str">
        <f>IF(B1448="","",COUNTA($B$5:B1448))</f>
        <v/>
      </c>
      <c r="B1448" s="148"/>
      <c r="C1448" s="22" t="s">
        <v>49</v>
      </c>
      <c r="D1448" s="149"/>
      <c r="E1448" s="150"/>
      <c r="F1448" s="151"/>
      <c r="G1448" s="151"/>
      <c r="H1448" s="142">
        <f>IFERROR(VLOOKUP($C1448,$C$5:$H$18,6,0)+SUMIF($C$19:$C1448,$C1448,$F$19:$F1448)-SUMIF($C$19:$C1448,$C1448,$G$19:$G1448),"")</f>
        <v>81211.819999998</v>
      </c>
      <c r="I1448" s="147"/>
      <c r="J1448" s="147"/>
      <c r="K1448" s="147" t="str">
        <f t="shared" si="22"/>
        <v/>
      </c>
      <c r="L1448" s="40"/>
      <c r="M1448"/>
      <c r="N1448"/>
      <c r="O1448"/>
      <c r="P1448"/>
      <c r="Q1448"/>
      <c r="R1448"/>
      <c r="S1448"/>
      <c r="T1448"/>
      <c r="U1448"/>
      <c r="V1448"/>
      <c r="W1448" s="41"/>
      <c r="X1448" s="41"/>
      <c r="Y1448" s="41"/>
    </row>
    <row r="1449" s="27" customFormat="1" ht="23" hidden="1" customHeight="1" spans="1:25">
      <c r="A1449" s="133" t="str">
        <f>IF(B1449="","",COUNTA($B$5:B1449))</f>
        <v/>
      </c>
      <c r="B1449" s="148"/>
      <c r="C1449" s="22" t="s">
        <v>49</v>
      </c>
      <c r="D1449" s="149"/>
      <c r="E1449" s="150"/>
      <c r="F1449" s="151"/>
      <c r="G1449" s="151"/>
      <c r="H1449" s="142">
        <f>IFERROR(VLOOKUP($C1449,$C$5:$H$18,6,0)+SUMIF($C$19:$C1449,$C1449,$F$19:$F1449)-SUMIF($C$19:$C1449,$C1449,$G$19:$G1449),"")</f>
        <v>81211.819999998</v>
      </c>
      <c r="I1449" s="147"/>
      <c r="J1449" s="147"/>
      <c r="K1449" s="147" t="str">
        <f t="shared" si="22"/>
        <v/>
      </c>
      <c r="L1449" s="40"/>
      <c r="M1449"/>
      <c r="N1449"/>
      <c r="O1449"/>
      <c r="P1449"/>
      <c r="Q1449"/>
      <c r="R1449"/>
      <c r="S1449"/>
      <c r="T1449"/>
      <c r="U1449"/>
      <c r="V1449"/>
      <c r="W1449" s="41"/>
      <c r="X1449" s="41"/>
      <c r="Y1449" s="41"/>
    </row>
    <row r="1450" s="27" customFormat="1" ht="23" hidden="1" customHeight="1" spans="1:25">
      <c r="A1450" s="133" t="str">
        <f>IF(B1450="","",COUNTA($B$5:B1450))</f>
        <v/>
      </c>
      <c r="B1450" s="148"/>
      <c r="C1450" s="22" t="s">
        <v>49</v>
      </c>
      <c r="D1450" s="149"/>
      <c r="E1450" s="150"/>
      <c r="F1450" s="151"/>
      <c r="G1450" s="151"/>
      <c r="H1450" s="142">
        <f>IFERROR(VLOOKUP($C1450,$C$5:$H$18,6,0)+SUMIF($C$19:$C1450,$C1450,$F$19:$F1450)-SUMIF($C$19:$C1450,$C1450,$G$19:$G1450),"")</f>
        <v>81211.819999998</v>
      </c>
      <c r="I1450" s="147"/>
      <c r="J1450" s="147"/>
      <c r="K1450" s="147" t="str">
        <f t="shared" si="22"/>
        <v/>
      </c>
      <c r="L1450" s="40"/>
      <c r="M1450"/>
      <c r="N1450"/>
      <c r="O1450"/>
      <c r="P1450"/>
      <c r="Q1450"/>
      <c r="R1450"/>
      <c r="S1450"/>
      <c r="T1450"/>
      <c r="U1450"/>
      <c r="V1450"/>
      <c r="W1450" s="41"/>
      <c r="X1450" s="41"/>
      <c r="Y1450" s="41"/>
    </row>
    <row r="1451" s="27" customFormat="1" ht="23" hidden="1" customHeight="1" spans="1:25">
      <c r="A1451" s="133" t="str">
        <f>IF(B1451="","",COUNTA($B$5:B1451))</f>
        <v/>
      </c>
      <c r="B1451" s="148"/>
      <c r="C1451" s="22" t="s">
        <v>49</v>
      </c>
      <c r="D1451" s="149"/>
      <c r="E1451" s="150"/>
      <c r="F1451" s="151"/>
      <c r="G1451" s="151"/>
      <c r="H1451" s="142">
        <f>IFERROR(VLOOKUP($C1451,$C$5:$H$18,6,0)+SUMIF($C$19:$C1451,$C1451,$F$19:$F1451)-SUMIF($C$19:$C1451,$C1451,$G$19:$G1451),"")</f>
        <v>81211.819999998</v>
      </c>
      <c r="I1451" s="147"/>
      <c r="J1451" s="147"/>
      <c r="K1451" s="147" t="str">
        <f t="shared" si="22"/>
        <v/>
      </c>
      <c r="L1451" s="40"/>
      <c r="M1451"/>
      <c r="N1451"/>
      <c r="O1451"/>
      <c r="P1451"/>
      <c r="Q1451"/>
      <c r="R1451"/>
      <c r="S1451"/>
      <c r="T1451"/>
      <c r="U1451"/>
      <c r="V1451"/>
      <c r="W1451" s="41"/>
      <c r="X1451" s="41"/>
      <c r="Y1451" s="41"/>
    </row>
    <row r="1452" s="27" customFormat="1" ht="23" hidden="1" customHeight="1" spans="1:25">
      <c r="A1452" s="133" t="str">
        <f>IF(B1452="","",COUNTA($B$5:B1452))</f>
        <v/>
      </c>
      <c r="B1452" s="148"/>
      <c r="C1452" s="22" t="s">
        <v>49</v>
      </c>
      <c r="D1452" s="149"/>
      <c r="E1452" s="150"/>
      <c r="F1452" s="151"/>
      <c r="G1452" s="151"/>
      <c r="H1452" s="142">
        <f>IFERROR(VLOOKUP($C1452,$C$5:$H$18,6,0)+SUMIF($C$19:$C1452,$C1452,$F$19:$F1452)-SUMIF($C$19:$C1452,$C1452,$G$19:$G1452),"")</f>
        <v>81211.819999998</v>
      </c>
      <c r="I1452" s="147"/>
      <c r="J1452" s="147"/>
      <c r="K1452" s="147" t="str">
        <f t="shared" si="22"/>
        <v/>
      </c>
      <c r="L1452" s="40"/>
      <c r="M1452"/>
      <c r="N1452"/>
      <c r="O1452"/>
      <c r="P1452"/>
      <c r="Q1452"/>
      <c r="R1452"/>
      <c r="S1452"/>
      <c r="T1452"/>
      <c r="U1452"/>
      <c r="V1452"/>
      <c r="W1452" s="41"/>
      <c r="X1452" s="41"/>
      <c r="Y1452" s="41"/>
    </row>
    <row r="1453" s="27" customFormat="1" ht="23" hidden="1" customHeight="1" spans="1:25">
      <c r="A1453" s="133" t="str">
        <f>IF(B1453="","",COUNTA($B$5:B1453))</f>
        <v/>
      </c>
      <c r="B1453" s="148"/>
      <c r="C1453" s="22" t="s">
        <v>49</v>
      </c>
      <c r="D1453" s="149"/>
      <c r="E1453" s="150"/>
      <c r="F1453" s="151"/>
      <c r="G1453" s="151"/>
      <c r="H1453" s="142">
        <f>IFERROR(VLOOKUP($C1453,$C$5:$H$18,6,0)+SUMIF($C$19:$C1453,$C1453,$F$19:$F1453)-SUMIF($C$19:$C1453,$C1453,$G$19:$G1453),"")</f>
        <v>81211.819999998</v>
      </c>
      <c r="I1453" s="147"/>
      <c r="J1453" s="147"/>
      <c r="K1453" s="147" t="str">
        <f t="shared" si="22"/>
        <v/>
      </c>
      <c r="L1453" s="40"/>
      <c r="M1453"/>
      <c r="N1453"/>
      <c r="O1453"/>
      <c r="P1453"/>
      <c r="Q1453"/>
      <c r="R1453"/>
      <c r="S1453"/>
      <c r="T1453"/>
      <c r="U1453"/>
      <c r="V1453"/>
      <c r="W1453" s="41"/>
      <c r="X1453" s="41"/>
      <c r="Y1453" s="41"/>
    </row>
    <row r="1454" s="27" customFormat="1" ht="23" hidden="1" customHeight="1" spans="1:25">
      <c r="A1454" s="133" t="str">
        <f>IF(B1454="","",COUNTA($B$5:B1454))</f>
        <v/>
      </c>
      <c r="B1454" s="148"/>
      <c r="C1454" s="22" t="s">
        <v>49</v>
      </c>
      <c r="D1454" s="149"/>
      <c r="E1454" s="150"/>
      <c r="F1454" s="151"/>
      <c r="G1454" s="151"/>
      <c r="H1454" s="142">
        <f>IFERROR(VLOOKUP($C1454,$C$5:$H$18,6,0)+SUMIF($C$19:$C1454,$C1454,$F$19:$F1454)-SUMIF($C$19:$C1454,$C1454,$G$19:$G1454),"")</f>
        <v>81211.819999998</v>
      </c>
      <c r="I1454" s="147"/>
      <c r="J1454" s="147"/>
      <c r="K1454" s="147" t="str">
        <f t="shared" si="22"/>
        <v/>
      </c>
      <c r="L1454" s="40"/>
      <c r="M1454"/>
      <c r="N1454"/>
      <c r="O1454"/>
      <c r="P1454"/>
      <c r="Q1454"/>
      <c r="R1454"/>
      <c r="S1454"/>
      <c r="T1454"/>
      <c r="U1454"/>
      <c r="V1454"/>
      <c r="W1454" s="41"/>
      <c r="X1454" s="41"/>
      <c r="Y1454" s="41"/>
    </row>
    <row r="1455" s="27" customFormat="1" ht="23" hidden="1" customHeight="1" spans="1:25">
      <c r="A1455" s="133" t="str">
        <f>IF(B1455="","",COUNTA($B$5:B1455))</f>
        <v/>
      </c>
      <c r="B1455" s="148"/>
      <c r="C1455" s="22" t="s">
        <v>49</v>
      </c>
      <c r="D1455" s="149"/>
      <c r="E1455" s="150"/>
      <c r="F1455" s="151"/>
      <c r="G1455" s="151"/>
      <c r="H1455" s="142">
        <f>IFERROR(VLOOKUP($C1455,$C$5:$H$18,6,0)+SUMIF($C$19:$C1455,$C1455,$F$19:$F1455)-SUMIF($C$19:$C1455,$C1455,$G$19:$G1455),"")</f>
        <v>81211.819999998</v>
      </c>
      <c r="I1455" s="147"/>
      <c r="J1455" s="147"/>
      <c r="K1455" s="147" t="str">
        <f t="shared" si="22"/>
        <v/>
      </c>
      <c r="L1455" s="40"/>
      <c r="M1455"/>
      <c r="N1455"/>
      <c r="O1455"/>
      <c r="P1455"/>
      <c r="Q1455"/>
      <c r="R1455"/>
      <c r="S1455"/>
      <c r="T1455"/>
      <c r="U1455"/>
      <c r="V1455"/>
      <c r="W1455" s="41"/>
      <c r="X1455" s="41"/>
      <c r="Y1455" s="41"/>
    </row>
    <row r="1456" s="27" customFormat="1" ht="23" hidden="1" customHeight="1" spans="1:25">
      <c r="A1456" s="133" t="str">
        <f>IF(B1456="","",COUNTA($B$5:B1456))</f>
        <v/>
      </c>
      <c r="B1456" s="148"/>
      <c r="C1456" s="22" t="s">
        <v>49</v>
      </c>
      <c r="D1456" s="149"/>
      <c r="E1456" s="150"/>
      <c r="F1456" s="151"/>
      <c r="G1456" s="151"/>
      <c r="H1456" s="142">
        <f>IFERROR(VLOOKUP($C1456,$C$5:$H$18,6,0)+SUMIF($C$19:$C1456,$C1456,$F$19:$F1456)-SUMIF($C$19:$C1456,$C1456,$G$19:$G1456),"")</f>
        <v>81211.819999998</v>
      </c>
      <c r="I1456" s="147"/>
      <c r="J1456" s="147"/>
      <c r="K1456" s="147" t="str">
        <f t="shared" si="22"/>
        <v/>
      </c>
      <c r="L1456" s="40"/>
      <c r="M1456"/>
      <c r="N1456"/>
      <c r="O1456"/>
      <c r="P1456"/>
      <c r="Q1456"/>
      <c r="R1456"/>
      <c r="S1456"/>
      <c r="T1456"/>
      <c r="U1456"/>
      <c r="V1456"/>
      <c r="W1456" s="41"/>
      <c r="X1456" s="41"/>
      <c r="Y1456" s="41"/>
    </row>
    <row r="1457" s="27" customFormat="1" ht="23" hidden="1" customHeight="1" spans="1:25">
      <c r="A1457" s="133" t="str">
        <f>IF(B1457="","",COUNTA($B$5:B1457))</f>
        <v/>
      </c>
      <c r="B1457" s="148"/>
      <c r="C1457" s="22" t="s">
        <v>49</v>
      </c>
      <c r="D1457" s="149"/>
      <c r="E1457" s="150"/>
      <c r="F1457" s="151"/>
      <c r="G1457" s="151"/>
      <c r="H1457" s="142">
        <f>IFERROR(VLOOKUP($C1457,$C$5:$H$18,6,0)+SUMIF($C$19:$C1457,$C1457,$F$19:$F1457)-SUMIF($C$19:$C1457,$C1457,$G$19:$G1457),"")</f>
        <v>81211.819999998</v>
      </c>
      <c r="I1457" s="147"/>
      <c r="J1457" s="147"/>
      <c r="K1457" s="147" t="str">
        <f t="shared" si="22"/>
        <v/>
      </c>
      <c r="L1457" s="40"/>
      <c r="M1457"/>
      <c r="N1457"/>
      <c r="O1457"/>
      <c r="P1457"/>
      <c r="Q1457"/>
      <c r="R1457"/>
      <c r="S1457"/>
      <c r="T1457"/>
      <c r="U1457"/>
      <c r="V1457"/>
      <c r="W1457" s="41"/>
      <c r="X1457" s="41"/>
      <c r="Y1457" s="41"/>
    </row>
    <row r="1458" s="27" customFormat="1" ht="23" hidden="1" customHeight="1" spans="1:25">
      <c r="A1458" s="133" t="str">
        <f>IF(B1458="","",COUNTA($B$5:B1458))</f>
        <v/>
      </c>
      <c r="B1458" s="148"/>
      <c r="C1458" s="22" t="s">
        <v>49</v>
      </c>
      <c r="D1458" s="149"/>
      <c r="E1458" s="150"/>
      <c r="F1458" s="151"/>
      <c r="G1458" s="151"/>
      <c r="H1458" s="142">
        <f>IFERROR(VLOOKUP($C1458,$C$5:$H$18,6,0)+SUMIF($C$19:$C1458,$C1458,$F$19:$F1458)-SUMIF($C$19:$C1458,$C1458,$G$19:$G1458),"")</f>
        <v>81211.819999998</v>
      </c>
      <c r="I1458" s="147"/>
      <c r="J1458" s="147"/>
      <c r="K1458" s="147" t="str">
        <f t="shared" si="22"/>
        <v/>
      </c>
      <c r="L1458" s="40"/>
      <c r="M1458"/>
      <c r="N1458"/>
      <c r="O1458"/>
      <c r="P1458"/>
      <c r="Q1458"/>
      <c r="R1458"/>
      <c r="S1458"/>
      <c r="T1458"/>
      <c r="U1458"/>
      <c r="V1458"/>
      <c r="W1458" s="41"/>
      <c r="X1458" s="41"/>
      <c r="Y1458" s="41"/>
    </row>
    <row r="1459" s="27" customFormat="1" ht="23" hidden="1" customHeight="1" spans="1:25">
      <c r="A1459" s="133" t="str">
        <f>IF(B1459="","",COUNTA($B$5:B1459))</f>
        <v/>
      </c>
      <c r="B1459" s="148"/>
      <c r="C1459" s="22" t="s">
        <v>49</v>
      </c>
      <c r="D1459" s="149"/>
      <c r="E1459" s="150"/>
      <c r="F1459" s="151"/>
      <c r="G1459" s="151"/>
      <c r="H1459" s="142">
        <f>IFERROR(VLOOKUP($C1459,$C$5:$H$18,6,0)+SUMIF($C$19:$C1459,$C1459,$F$19:$F1459)-SUMIF($C$19:$C1459,$C1459,$G$19:$G1459),"")</f>
        <v>81211.819999998</v>
      </c>
      <c r="I1459" s="147"/>
      <c r="J1459" s="147"/>
      <c r="K1459" s="147" t="str">
        <f t="shared" si="22"/>
        <v/>
      </c>
      <c r="L1459" s="40"/>
      <c r="M1459"/>
      <c r="N1459"/>
      <c r="O1459"/>
      <c r="P1459"/>
      <c r="Q1459"/>
      <c r="R1459"/>
      <c r="S1459"/>
      <c r="T1459"/>
      <c r="U1459"/>
      <c r="V1459"/>
      <c r="W1459" s="41"/>
      <c r="X1459" s="41"/>
      <c r="Y1459" s="41"/>
    </row>
    <row r="1460" s="27" customFormat="1" ht="23" hidden="1" customHeight="1" spans="1:25">
      <c r="A1460" s="133" t="str">
        <f>IF(B1460="","",COUNTA($B$5:B1460))</f>
        <v/>
      </c>
      <c r="B1460" s="148"/>
      <c r="C1460" s="22" t="s">
        <v>49</v>
      </c>
      <c r="D1460" s="149"/>
      <c r="E1460" s="150"/>
      <c r="F1460" s="151"/>
      <c r="G1460" s="151"/>
      <c r="H1460" s="142">
        <f>IFERROR(VLOOKUP($C1460,$C$5:$H$18,6,0)+SUMIF($C$19:$C1460,$C1460,$F$19:$F1460)-SUMIF($C$19:$C1460,$C1460,$G$19:$G1460),"")</f>
        <v>81211.819999998</v>
      </c>
      <c r="I1460" s="147"/>
      <c r="J1460" s="147"/>
      <c r="K1460" s="147" t="str">
        <f t="shared" si="22"/>
        <v/>
      </c>
      <c r="L1460" s="40"/>
      <c r="M1460"/>
      <c r="N1460"/>
      <c r="O1460"/>
      <c r="P1460"/>
      <c r="Q1460"/>
      <c r="R1460"/>
      <c r="S1460"/>
      <c r="T1460"/>
      <c r="U1460"/>
      <c r="V1460"/>
      <c r="W1460" s="41"/>
      <c r="X1460" s="41"/>
      <c r="Y1460" s="41"/>
    </row>
    <row r="1461" s="27" customFormat="1" ht="23" hidden="1" customHeight="1" spans="1:25">
      <c r="A1461" s="133" t="str">
        <f>IF(B1461="","",COUNTA($B$5:B1461))</f>
        <v/>
      </c>
      <c r="B1461" s="148"/>
      <c r="C1461" s="22" t="s">
        <v>49</v>
      </c>
      <c r="D1461" s="149"/>
      <c r="E1461" s="150"/>
      <c r="F1461" s="151"/>
      <c r="G1461" s="151"/>
      <c r="H1461" s="142">
        <f>IFERROR(VLOOKUP($C1461,$C$5:$H$18,6,0)+SUMIF($C$19:$C1461,$C1461,$F$19:$F1461)-SUMIF($C$19:$C1461,$C1461,$G$19:$G1461),"")</f>
        <v>81211.819999998</v>
      </c>
      <c r="I1461" s="147"/>
      <c r="J1461" s="147"/>
      <c r="K1461" s="147" t="str">
        <f t="shared" si="22"/>
        <v/>
      </c>
      <c r="L1461" s="40"/>
      <c r="M1461"/>
      <c r="N1461"/>
      <c r="O1461"/>
      <c r="P1461"/>
      <c r="Q1461"/>
      <c r="R1461"/>
      <c r="S1461"/>
      <c r="T1461"/>
      <c r="U1461"/>
      <c r="V1461"/>
      <c r="W1461" s="41"/>
      <c r="X1461" s="41"/>
      <c r="Y1461" s="41"/>
    </row>
    <row r="1462" s="27" customFormat="1" ht="23" hidden="1" customHeight="1" spans="1:25">
      <c r="A1462" s="133" t="str">
        <f>IF(B1462="","",COUNTA($B$5:B1462))</f>
        <v/>
      </c>
      <c r="B1462" s="148"/>
      <c r="C1462" s="22" t="s">
        <v>49</v>
      </c>
      <c r="D1462" s="149"/>
      <c r="E1462" s="150"/>
      <c r="F1462" s="151"/>
      <c r="G1462" s="151"/>
      <c r="H1462" s="142">
        <f>IFERROR(VLOOKUP($C1462,$C$5:$H$18,6,0)+SUMIF($C$19:$C1462,$C1462,$F$19:$F1462)-SUMIF($C$19:$C1462,$C1462,$G$19:$G1462),"")</f>
        <v>81211.819999998</v>
      </c>
      <c r="I1462" s="147"/>
      <c r="J1462" s="147"/>
      <c r="K1462" s="147" t="str">
        <f t="shared" si="22"/>
        <v/>
      </c>
      <c r="L1462" s="40"/>
      <c r="M1462"/>
      <c r="N1462"/>
      <c r="O1462"/>
      <c r="P1462"/>
      <c r="Q1462"/>
      <c r="R1462"/>
      <c r="S1462"/>
      <c r="T1462"/>
      <c r="U1462"/>
      <c r="V1462"/>
      <c r="W1462" s="41"/>
      <c r="X1462" s="41"/>
      <c r="Y1462" s="41"/>
    </row>
    <row r="1463" s="27" customFormat="1" ht="23" hidden="1" customHeight="1" spans="1:25">
      <c r="A1463" s="133" t="str">
        <f>IF(B1463="","",COUNTA($B$5:B1463))</f>
        <v/>
      </c>
      <c r="B1463" s="148"/>
      <c r="C1463" s="22" t="s">
        <v>49</v>
      </c>
      <c r="D1463" s="149"/>
      <c r="E1463" s="150"/>
      <c r="F1463" s="151"/>
      <c r="G1463" s="151"/>
      <c r="H1463" s="142">
        <f>IFERROR(VLOOKUP($C1463,$C$5:$H$18,6,0)+SUMIF($C$19:$C1463,$C1463,$F$19:$F1463)-SUMIF($C$19:$C1463,$C1463,$G$19:$G1463),"")</f>
        <v>81211.819999998</v>
      </c>
      <c r="I1463" s="147"/>
      <c r="J1463" s="147"/>
      <c r="K1463" s="147" t="str">
        <f t="shared" si="22"/>
        <v/>
      </c>
      <c r="L1463" s="40"/>
      <c r="M1463"/>
      <c r="N1463"/>
      <c r="O1463"/>
      <c r="P1463"/>
      <c r="Q1463"/>
      <c r="R1463"/>
      <c r="S1463"/>
      <c r="T1463"/>
      <c r="U1463"/>
      <c r="V1463"/>
      <c r="W1463" s="41"/>
      <c r="X1463" s="41"/>
      <c r="Y1463" s="41"/>
    </row>
    <row r="1464" s="27" customFormat="1" ht="23" hidden="1" customHeight="1" spans="1:25">
      <c r="A1464" s="133" t="str">
        <f>IF(B1464="","",COUNTA($B$5:B1464))</f>
        <v/>
      </c>
      <c r="B1464" s="148"/>
      <c r="C1464" s="22" t="s">
        <v>49</v>
      </c>
      <c r="D1464" s="149"/>
      <c r="E1464" s="150"/>
      <c r="F1464" s="151"/>
      <c r="G1464" s="151"/>
      <c r="H1464" s="142">
        <f>IFERROR(VLOOKUP($C1464,$C$5:$H$18,6,0)+SUMIF($C$19:$C1464,$C1464,$F$19:$F1464)-SUMIF($C$19:$C1464,$C1464,$G$19:$G1464),"")</f>
        <v>81211.819999998</v>
      </c>
      <c r="I1464" s="147"/>
      <c r="J1464" s="147"/>
      <c r="K1464" s="147" t="str">
        <f t="shared" si="22"/>
        <v/>
      </c>
      <c r="L1464" s="40"/>
      <c r="M1464"/>
      <c r="N1464"/>
      <c r="O1464"/>
      <c r="P1464"/>
      <c r="Q1464"/>
      <c r="R1464"/>
      <c r="S1464"/>
      <c r="T1464"/>
      <c r="U1464"/>
      <c r="V1464"/>
      <c r="W1464" s="41"/>
      <c r="X1464" s="41"/>
      <c r="Y1464" s="41"/>
    </row>
    <row r="1465" s="27" customFormat="1" ht="23" hidden="1" customHeight="1" spans="1:25">
      <c r="A1465" s="133" t="str">
        <f>IF(B1465="","",COUNTA($B$5:B1465))</f>
        <v/>
      </c>
      <c r="B1465" s="148"/>
      <c r="C1465" s="22" t="s">
        <v>49</v>
      </c>
      <c r="D1465" s="149"/>
      <c r="E1465" s="150"/>
      <c r="F1465" s="151"/>
      <c r="G1465" s="151"/>
      <c r="H1465" s="142">
        <f>IFERROR(VLOOKUP($C1465,$C$5:$H$18,6,0)+SUMIF($C$19:$C1465,$C1465,$F$19:$F1465)-SUMIF($C$19:$C1465,$C1465,$G$19:$G1465),"")</f>
        <v>81211.819999998</v>
      </c>
      <c r="I1465" s="147"/>
      <c r="J1465" s="147"/>
      <c r="K1465" s="147" t="str">
        <f t="shared" si="22"/>
        <v/>
      </c>
      <c r="L1465" s="40"/>
      <c r="M1465"/>
      <c r="N1465"/>
      <c r="O1465"/>
      <c r="P1465"/>
      <c r="Q1465"/>
      <c r="R1465"/>
      <c r="S1465"/>
      <c r="T1465"/>
      <c r="U1465"/>
      <c r="V1465"/>
      <c r="W1465" s="41"/>
      <c r="X1465" s="41"/>
      <c r="Y1465" s="41"/>
    </row>
    <row r="1466" s="27" customFormat="1" ht="23" hidden="1" customHeight="1" spans="1:25">
      <c r="A1466" s="133" t="str">
        <f>IF(B1466="","",COUNTA($B$5:B1466))</f>
        <v/>
      </c>
      <c r="B1466" s="148"/>
      <c r="C1466" s="22" t="s">
        <v>49</v>
      </c>
      <c r="D1466" s="149"/>
      <c r="E1466" s="150"/>
      <c r="F1466" s="151"/>
      <c r="G1466" s="151"/>
      <c r="H1466" s="142">
        <f>IFERROR(VLOOKUP($C1466,$C$5:$H$18,6,0)+SUMIF($C$19:$C1466,$C1466,$F$19:$F1466)-SUMIF($C$19:$C1466,$C1466,$G$19:$G1466),"")</f>
        <v>81211.819999998</v>
      </c>
      <c r="I1466" s="147"/>
      <c r="J1466" s="147"/>
      <c r="K1466" s="147" t="str">
        <f t="shared" si="22"/>
        <v/>
      </c>
      <c r="L1466" s="40"/>
      <c r="M1466"/>
      <c r="N1466"/>
      <c r="O1466"/>
      <c r="P1466"/>
      <c r="Q1466"/>
      <c r="R1466"/>
      <c r="S1466"/>
      <c r="T1466"/>
      <c r="U1466"/>
      <c r="V1466"/>
      <c r="W1466" s="41"/>
      <c r="X1466" s="41"/>
      <c r="Y1466" s="41"/>
    </row>
    <row r="1467" s="27" customFormat="1" ht="23" hidden="1" customHeight="1" spans="1:25">
      <c r="A1467" s="133" t="str">
        <f>IF(B1467="","",COUNTA($B$5:B1467))</f>
        <v/>
      </c>
      <c r="B1467" s="148"/>
      <c r="C1467" s="22" t="s">
        <v>49</v>
      </c>
      <c r="D1467" s="149"/>
      <c r="E1467" s="150"/>
      <c r="F1467" s="151"/>
      <c r="G1467" s="151"/>
      <c r="H1467" s="142">
        <f>IFERROR(VLOOKUP($C1467,$C$5:$H$18,6,0)+SUMIF($C$19:$C1467,$C1467,$F$19:$F1467)-SUMIF($C$19:$C1467,$C1467,$G$19:$G1467),"")</f>
        <v>81211.819999998</v>
      </c>
      <c r="I1467" s="147"/>
      <c r="J1467" s="147"/>
      <c r="K1467" s="147" t="str">
        <f t="shared" si="22"/>
        <v/>
      </c>
      <c r="L1467" s="40"/>
      <c r="M1467"/>
      <c r="N1467"/>
      <c r="O1467"/>
      <c r="P1467"/>
      <c r="Q1467"/>
      <c r="R1467"/>
      <c r="S1467"/>
      <c r="T1467"/>
      <c r="U1467"/>
      <c r="V1467"/>
      <c r="W1467" s="41"/>
      <c r="X1467" s="41"/>
      <c r="Y1467" s="41"/>
    </row>
    <row r="1468" s="27" customFormat="1" ht="23" hidden="1" customHeight="1" spans="1:25">
      <c r="A1468" s="133" t="str">
        <f>IF(B1468="","",COUNTA($B$5:B1468))</f>
        <v/>
      </c>
      <c r="B1468" s="148"/>
      <c r="C1468" s="22" t="s">
        <v>49</v>
      </c>
      <c r="D1468" s="149"/>
      <c r="E1468" s="150"/>
      <c r="F1468" s="151"/>
      <c r="G1468" s="151"/>
      <c r="H1468" s="142">
        <f>IFERROR(VLOOKUP($C1468,$C$5:$H$18,6,0)+SUMIF($C$19:$C1468,$C1468,$F$19:$F1468)-SUMIF($C$19:$C1468,$C1468,$G$19:$G1468),"")</f>
        <v>81211.819999998</v>
      </c>
      <c r="I1468" s="147"/>
      <c r="J1468" s="147"/>
      <c r="K1468" s="147" t="str">
        <f t="shared" si="22"/>
        <v/>
      </c>
      <c r="L1468" s="40"/>
      <c r="M1468"/>
      <c r="N1468"/>
      <c r="O1468"/>
      <c r="P1468"/>
      <c r="Q1468"/>
      <c r="R1468"/>
      <c r="S1468"/>
      <c r="T1468"/>
      <c r="U1468"/>
      <c r="V1468"/>
      <c r="W1468" s="41"/>
      <c r="X1468" s="41"/>
      <c r="Y1468" s="41"/>
    </row>
    <row r="1469" s="27" customFormat="1" ht="23" hidden="1" customHeight="1" spans="1:25">
      <c r="A1469" s="133" t="str">
        <f>IF(B1469="","",COUNTA($B$5:B1469))</f>
        <v/>
      </c>
      <c r="B1469" s="148"/>
      <c r="C1469" s="22" t="s">
        <v>49</v>
      </c>
      <c r="D1469" s="149"/>
      <c r="E1469" s="150"/>
      <c r="F1469" s="151"/>
      <c r="G1469" s="151"/>
      <c r="H1469" s="142">
        <f>IFERROR(VLOOKUP($C1469,$C$5:$H$18,6,0)+SUMIF($C$19:$C1469,$C1469,$F$19:$F1469)-SUMIF($C$19:$C1469,$C1469,$G$19:$G1469),"")</f>
        <v>81211.819999998</v>
      </c>
      <c r="I1469" s="147"/>
      <c r="J1469" s="147"/>
      <c r="K1469" s="147" t="str">
        <f t="shared" si="22"/>
        <v/>
      </c>
      <c r="L1469" s="40"/>
      <c r="M1469"/>
      <c r="N1469"/>
      <c r="O1469"/>
      <c r="P1469"/>
      <c r="Q1469"/>
      <c r="R1469"/>
      <c r="S1469"/>
      <c r="T1469"/>
      <c r="U1469"/>
      <c r="V1469"/>
      <c r="W1469" s="41"/>
      <c r="X1469" s="41"/>
      <c r="Y1469" s="41"/>
    </row>
    <row r="1470" s="27" customFormat="1" ht="23" hidden="1" customHeight="1" spans="1:25">
      <c r="A1470" s="133" t="str">
        <f>IF(B1470="","",COUNTA($B$5:B1470))</f>
        <v/>
      </c>
      <c r="B1470" s="148"/>
      <c r="C1470" s="22" t="s">
        <v>49</v>
      </c>
      <c r="D1470" s="149"/>
      <c r="E1470" s="150"/>
      <c r="F1470" s="151"/>
      <c r="G1470" s="151"/>
      <c r="H1470" s="142">
        <f>IFERROR(VLOOKUP($C1470,$C$5:$H$18,6,0)+SUMIF($C$19:$C1470,$C1470,$F$19:$F1470)-SUMIF($C$19:$C1470,$C1470,$G$19:$G1470),"")</f>
        <v>81211.819999998</v>
      </c>
      <c r="I1470" s="147"/>
      <c r="J1470" s="147"/>
      <c r="K1470" s="147" t="str">
        <f t="shared" si="22"/>
        <v/>
      </c>
      <c r="L1470" s="40"/>
      <c r="M1470"/>
      <c r="N1470"/>
      <c r="O1470"/>
      <c r="P1470"/>
      <c r="Q1470"/>
      <c r="R1470"/>
      <c r="S1470"/>
      <c r="T1470"/>
      <c r="U1470"/>
      <c r="V1470"/>
      <c r="W1470" s="41"/>
      <c r="X1470" s="41"/>
      <c r="Y1470" s="41"/>
    </row>
    <row r="1471" s="27" customFormat="1" ht="23" hidden="1" customHeight="1" spans="1:25">
      <c r="A1471" s="133" t="str">
        <f>IF(B1471="","",COUNTA($B$5:B1471))</f>
        <v/>
      </c>
      <c r="B1471" s="148"/>
      <c r="C1471" s="22" t="s">
        <v>49</v>
      </c>
      <c r="D1471" s="149"/>
      <c r="E1471" s="150"/>
      <c r="F1471" s="151"/>
      <c r="G1471" s="151"/>
      <c r="H1471" s="142">
        <f>IFERROR(VLOOKUP($C1471,$C$5:$H$18,6,0)+SUMIF($C$19:$C1471,$C1471,$F$19:$F1471)-SUMIF($C$19:$C1471,$C1471,$G$19:$G1471),"")</f>
        <v>81211.819999998</v>
      </c>
      <c r="I1471" s="147"/>
      <c r="J1471" s="147"/>
      <c r="K1471" s="147" t="str">
        <f t="shared" si="22"/>
        <v/>
      </c>
      <c r="L1471" s="40"/>
      <c r="M1471"/>
      <c r="N1471"/>
      <c r="O1471"/>
      <c r="P1471"/>
      <c r="Q1471"/>
      <c r="R1471"/>
      <c r="S1471"/>
      <c r="T1471"/>
      <c r="U1471"/>
      <c r="V1471"/>
      <c r="W1471" s="41"/>
      <c r="X1471" s="41"/>
      <c r="Y1471" s="41"/>
    </row>
    <row r="1472" s="27" customFormat="1" ht="23" hidden="1" customHeight="1" spans="1:25">
      <c r="A1472" s="133" t="str">
        <f>IF(B1472="","",COUNTA($B$5:B1472))</f>
        <v/>
      </c>
      <c r="B1472" s="148"/>
      <c r="C1472" s="22" t="s">
        <v>49</v>
      </c>
      <c r="D1472" s="149"/>
      <c r="E1472" s="150"/>
      <c r="F1472" s="151"/>
      <c r="G1472" s="151"/>
      <c r="H1472" s="142">
        <f>IFERROR(VLOOKUP($C1472,$C$5:$H$18,6,0)+SUMIF($C$19:$C1472,$C1472,$F$19:$F1472)-SUMIF($C$19:$C1472,$C1472,$G$19:$G1472),"")</f>
        <v>81211.819999998</v>
      </c>
      <c r="I1472" s="147"/>
      <c r="J1472" s="147"/>
      <c r="K1472" s="147" t="str">
        <f t="shared" si="22"/>
        <v/>
      </c>
      <c r="L1472" s="40"/>
      <c r="M1472"/>
      <c r="N1472"/>
      <c r="O1472"/>
      <c r="P1472"/>
      <c r="Q1472"/>
      <c r="R1472"/>
      <c r="S1472"/>
      <c r="T1472"/>
      <c r="U1472"/>
      <c r="V1472"/>
      <c r="W1472" s="41"/>
      <c r="X1472" s="41"/>
      <c r="Y1472" s="41"/>
    </row>
    <row r="1473" s="27" customFormat="1" ht="23" hidden="1" customHeight="1" spans="1:25">
      <c r="A1473" s="133" t="str">
        <f>IF(B1473="","",COUNTA($B$5:B1473))</f>
        <v/>
      </c>
      <c r="B1473" s="148"/>
      <c r="C1473" s="22" t="s">
        <v>49</v>
      </c>
      <c r="D1473" s="149"/>
      <c r="E1473" s="150"/>
      <c r="F1473" s="151"/>
      <c r="G1473" s="151"/>
      <c r="H1473" s="142">
        <f>IFERROR(VLOOKUP($C1473,$C$5:$H$18,6,0)+SUMIF($C$19:$C1473,$C1473,$F$19:$F1473)-SUMIF($C$19:$C1473,$C1473,$G$19:$G1473),"")</f>
        <v>81211.819999998</v>
      </c>
      <c r="I1473" s="147"/>
      <c r="J1473" s="147"/>
      <c r="K1473" s="147" t="str">
        <f t="shared" si="22"/>
        <v/>
      </c>
      <c r="L1473" s="40"/>
      <c r="M1473"/>
      <c r="N1473"/>
      <c r="O1473"/>
      <c r="P1473"/>
      <c r="Q1473"/>
      <c r="R1473"/>
      <c r="S1473"/>
      <c r="T1473"/>
      <c r="U1473"/>
      <c r="V1473"/>
      <c r="W1473" s="41"/>
      <c r="X1473" s="41"/>
      <c r="Y1473" s="41"/>
    </row>
    <row r="1474" s="27" customFormat="1" ht="23" hidden="1" customHeight="1" spans="1:25">
      <c r="A1474" s="133" t="str">
        <f>IF(B1474="","",COUNTA($B$5:B1474))</f>
        <v/>
      </c>
      <c r="B1474" s="148"/>
      <c r="C1474" s="22" t="s">
        <v>49</v>
      </c>
      <c r="D1474" s="149"/>
      <c r="E1474" s="150"/>
      <c r="F1474" s="151"/>
      <c r="G1474" s="151"/>
      <c r="H1474" s="142">
        <f>IFERROR(VLOOKUP($C1474,$C$5:$H$18,6,0)+SUMIF($C$19:$C1474,$C1474,$F$19:$F1474)-SUMIF($C$19:$C1474,$C1474,$G$19:$G1474),"")</f>
        <v>81211.819999998</v>
      </c>
      <c r="I1474" s="147"/>
      <c r="J1474" s="147"/>
      <c r="K1474" s="147" t="str">
        <f t="shared" si="22"/>
        <v/>
      </c>
      <c r="L1474" s="40"/>
      <c r="M1474"/>
      <c r="N1474"/>
      <c r="O1474"/>
      <c r="P1474"/>
      <c r="Q1474"/>
      <c r="R1474"/>
      <c r="S1474"/>
      <c r="T1474"/>
      <c r="U1474"/>
      <c r="V1474"/>
      <c r="W1474" s="41"/>
      <c r="X1474" s="41"/>
      <c r="Y1474" s="41"/>
    </row>
    <row r="1475" s="27" customFormat="1" ht="23" hidden="1" customHeight="1" spans="1:25">
      <c r="A1475" s="133" t="str">
        <f>IF(B1475="","",COUNTA($B$5:B1475))</f>
        <v/>
      </c>
      <c r="B1475" s="148"/>
      <c r="C1475" s="22" t="s">
        <v>49</v>
      </c>
      <c r="D1475" s="149"/>
      <c r="E1475" s="150"/>
      <c r="F1475" s="151"/>
      <c r="G1475" s="151"/>
      <c r="H1475" s="142">
        <f>IFERROR(VLOOKUP($C1475,$C$5:$H$18,6,0)+SUMIF($C$19:$C1475,$C1475,$F$19:$F1475)-SUMIF($C$19:$C1475,$C1475,$G$19:$G1475),"")</f>
        <v>81211.819999998</v>
      </c>
      <c r="I1475" s="147"/>
      <c r="J1475" s="147"/>
      <c r="K1475" s="147" t="str">
        <f t="shared" si="22"/>
        <v/>
      </c>
      <c r="L1475" s="40"/>
      <c r="M1475"/>
      <c r="N1475"/>
      <c r="O1475"/>
      <c r="P1475"/>
      <c r="Q1475"/>
      <c r="R1475"/>
      <c r="S1475"/>
      <c r="T1475"/>
      <c r="U1475"/>
      <c r="V1475"/>
      <c r="W1475" s="41"/>
      <c r="X1475" s="41"/>
      <c r="Y1475" s="41"/>
    </row>
    <row r="1476" s="27" customFormat="1" ht="23" hidden="1" customHeight="1" spans="1:25">
      <c r="A1476" s="133" t="str">
        <f>IF(B1476="","",COUNTA($B$5:B1476))</f>
        <v/>
      </c>
      <c r="B1476" s="148"/>
      <c r="C1476" s="22" t="s">
        <v>49</v>
      </c>
      <c r="D1476" s="149"/>
      <c r="E1476" s="150"/>
      <c r="F1476" s="151"/>
      <c r="G1476" s="151"/>
      <c r="H1476" s="142">
        <f>IFERROR(VLOOKUP($C1476,$C$5:$H$18,6,0)+SUMIF($C$19:$C1476,$C1476,$F$19:$F1476)-SUMIF($C$19:$C1476,$C1476,$G$19:$G1476),"")</f>
        <v>81211.819999998</v>
      </c>
      <c r="I1476" s="147"/>
      <c r="J1476" s="147"/>
      <c r="K1476" s="147" t="str">
        <f t="shared" si="22"/>
        <v/>
      </c>
      <c r="L1476" s="40"/>
      <c r="M1476"/>
      <c r="N1476"/>
      <c r="O1476"/>
      <c r="P1476"/>
      <c r="Q1476"/>
      <c r="R1476"/>
      <c r="S1476"/>
      <c r="T1476"/>
      <c r="U1476"/>
      <c r="V1476"/>
      <c r="W1476" s="41"/>
      <c r="X1476" s="41"/>
      <c r="Y1476" s="41"/>
    </row>
    <row r="1477" s="27" customFormat="1" ht="23" hidden="1" customHeight="1" spans="1:25">
      <c r="A1477" s="133" t="str">
        <f>IF(B1477="","",COUNTA($B$5:B1477))</f>
        <v/>
      </c>
      <c r="B1477" s="148"/>
      <c r="C1477" s="22" t="s">
        <v>49</v>
      </c>
      <c r="D1477" s="149"/>
      <c r="E1477" s="150"/>
      <c r="F1477" s="151"/>
      <c r="G1477" s="151"/>
      <c r="H1477" s="142">
        <f>IFERROR(VLOOKUP($C1477,$C$5:$H$18,6,0)+SUMIF($C$19:$C1477,$C1477,$F$19:$F1477)-SUMIF($C$19:$C1477,$C1477,$G$19:$G1477),"")</f>
        <v>81211.819999998</v>
      </c>
      <c r="I1477" s="147"/>
      <c r="J1477" s="147"/>
      <c r="K1477" s="147" t="str">
        <f t="shared" ref="K1477:K1540" si="23">IF($B1477="","",--TEXT($B1477,"yyyymm"))</f>
        <v/>
      </c>
      <c r="L1477" s="40"/>
      <c r="M1477"/>
      <c r="N1477"/>
      <c r="O1477"/>
      <c r="P1477"/>
      <c r="Q1477"/>
      <c r="R1477"/>
      <c r="S1477"/>
      <c r="T1477"/>
      <c r="U1477"/>
      <c r="V1477"/>
      <c r="W1477" s="41"/>
      <c r="X1477" s="41"/>
      <c r="Y1477" s="41"/>
    </row>
    <row r="1478" s="27" customFormat="1" ht="23" hidden="1" customHeight="1" spans="1:25">
      <c r="A1478" s="133" t="str">
        <f>IF(B1478="","",COUNTA($B$5:B1478))</f>
        <v/>
      </c>
      <c r="B1478" s="148"/>
      <c r="C1478" s="22" t="s">
        <v>49</v>
      </c>
      <c r="D1478" s="149"/>
      <c r="E1478" s="150"/>
      <c r="F1478" s="151"/>
      <c r="G1478" s="151"/>
      <c r="H1478" s="142">
        <f>IFERROR(VLOOKUP($C1478,$C$5:$H$18,6,0)+SUMIF($C$19:$C1478,$C1478,$F$19:$F1478)-SUMIF($C$19:$C1478,$C1478,$G$19:$G1478),"")</f>
        <v>81211.819999998</v>
      </c>
      <c r="I1478" s="147"/>
      <c r="J1478" s="147"/>
      <c r="K1478" s="147" t="str">
        <f t="shared" si="23"/>
        <v/>
      </c>
      <c r="L1478" s="40"/>
      <c r="M1478"/>
      <c r="N1478"/>
      <c r="O1478"/>
      <c r="P1478"/>
      <c r="Q1478"/>
      <c r="R1478"/>
      <c r="S1478"/>
      <c r="T1478"/>
      <c r="U1478"/>
      <c r="V1478"/>
      <c r="W1478" s="41"/>
      <c r="X1478" s="41"/>
      <c r="Y1478" s="41"/>
    </row>
    <row r="1479" s="27" customFormat="1" ht="23" hidden="1" customHeight="1" spans="1:25">
      <c r="A1479" s="133" t="str">
        <f>IF(B1479="","",COUNTA($B$5:B1479))</f>
        <v/>
      </c>
      <c r="B1479" s="148"/>
      <c r="C1479" s="22" t="s">
        <v>49</v>
      </c>
      <c r="D1479" s="149"/>
      <c r="E1479" s="150"/>
      <c r="F1479" s="151"/>
      <c r="G1479" s="151"/>
      <c r="H1479" s="142">
        <f>IFERROR(VLOOKUP($C1479,$C$5:$H$18,6,0)+SUMIF($C$19:$C1479,$C1479,$F$19:$F1479)-SUMIF($C$19:$C1479,$C1479,$G$19:$G1479),"")</f>
        <v>81211.819999998</v>
      </c>
      <c r="I1479" s="147"/>
      <c r="J1479" s="147"/>
      <c r="K1479" s="147" t="str">
        <f t="shared" si="23"/>
        <v/>
      </c>
      <c r="L1479" s="40"/>
      <c r="M1479"/>
      <c r="N1479"/>
      <c r="O1479"/>
      <c r="P1479"/>
      <c r="Q1479"/>
      <c r="R1479"/>
      <c r="S1479"/>
      <c r="T1479"/>
      <c r="U1479"/>
      <c r="V1479"/>
      <c r="W1479" s="41"/>
      <c r="X1479" s="41"/>
      <c r="Y1479" s="41"/>
    </row>
    <row r="1480" s="27" customFormat="1" ht="23" hidden="1" customHeight="1" spans="1:25">
      <c r="A1480" s="133" t="str">
        <f>IF(B1480="","",COUNTA($B$5:B1480))</f>
        <v/>
      </c>
      <c r="B1480" s="148"/>
      <c r="C1480" s="22" t="s">
        <v>49</v>
      </c>
      <c r="D1480" s="149"/>
      <c r="E1480" s="150"/>
      <c r="F1480" s="151"/>
      <c r="G1480" s="151"/>
      <c r="H1480" s="142">
        <f>IFERROR(VLOOKUP($C1480,$C$5:$H$18,6,0)+SUMIF($C$19:$C1480,$C1480,$F$19:$F1480)-SUMIF($C$19:$C1480,$C1480,$G$19:$G1480),"")</f>
        <v>81211.819999998</v>
      </c>
      <c r="I1480" s="147"/>
      <c r="J1480" s="147"/>
      <c r="K1480" s="147" t="str">
        <f t="shared" si="23"/>
        <v/>
      </c>
      <c r="L1480" s="40"/>
      <c r="M1480"/>
      <c r="N1480"/>
      <c r="O1480"/>
      <c r="P1480"/>
      <c r="Q1480"/>
      <c r="R1480"/>
      <c r="S1480"/>
      <c r="T1480"/>
      <c r="U1480"/>
      <c r="V1480"/>
      <c r="W1480" s="41"/>
      <c r="X1480" s="41"/>
      <c r="Y1480" s="41"/>
    </row>
    <row r="1481" s="27" customFormat="1" ht="23" hidden="1" customHeight="1" spans="1:25">
      <c r="A1481" s="133" t="str">
        <f>IF(B1481="","",COUNTA($B$5:B1481))</f>
        <v/>
      </c>
      <c r="B1481" s="148"/>
      <c r="C1481" s="22" t="s">
        <v>49</v>
      </c>
      <c r="D1481" s="149"/>
      <c r="E1481" s="150"/>
      <c r="F1481" s="151"/>
      <c r="G1481" s="151"/>
      <c r="H1481" s="142">
        <f>IFERROR(VLOOKUP($C1481,$C$5:$H$18,6,0)+SUMIF($C$19:$C1481,$C1481,$F$19:$F1481)-SUMIF($C$19:$C1481,$C1481,$G$19:$G1481),"")</f>
        <v>81211.819999998</v>
      </c>
      <c r="I1481" s="147"/>
      <c r="J1481" s="147"/>
      <c r="K1481" s="147" t="str">
        <f t="shared" si="23"/>
        <v/>
      </c>
      <c r="L1481" s="40"/>
      <c r="M1481"/>
      <c r="N1481"/>
      <c r="O1481"/>
      <c r="P1481"/>
      <c r="Q1481"/>
      <c r="R1481"/>
      <c r="S1481"/>
      <c r="T1481"/>
      <c r="U1481"/>
      <c r="V1481"/>
      <c r="W1481" s="41"/>
      <c r="X1481" s="41"/>
      <c r="Y1481" s="41"/>
    </row>
    <row r="1482" s="27" customFormat="1" ht="23" hidden="1" customHeight="1" spans="1:25">
      <c r="A1482" s="133" t="str">
        <f>IF(B1482="","",COUNTA($B$5:B1482))</f>
        <v/>
      </c>
      <c r="B1482" s="148"/>
      <c r="C1482" s="22" t="s">
        <v>49</v>
      </c>
      <c r="D1482" s="149"/>
      <c r="E1482" s="150"/>
      <c r="F1482" s="151"/>
      <c r="G1482" s="151"/>
      <c r="H1482" s="142">
        <f>IFERROR(VLOOKUP($C1482,$C$5:$H$18,6,0)+SUMIF($C$19:$C1482,$C1482,$F$19:$F1482)-SUMIF($C$19:$C1482,$C1482,$G$19:$G1482),"")</f>
        <v>81211.819999998</v>
      </c>
      <c r="I1482" s="147"/>
      <c r="J1482" s="147"/>
      <c r="K1482" s="147" t="str">
        <f t="shared" si="23"/>
        <v/>
      </c>
      <c r="L1482" s="40"/>
      <c r="M1482"/>
      <c r="N1482"/>
      <c r="O1482"/>
      <c r="P1482"/>
      <c r="Q1482"/>
      <c r="R1482"/>
      <c r="S1482"/>
      <c r="T1482"/>
      <c r="U1482"/>
      <c r="V1482"/>
      <c r="W1482" s="41"/>
      <c r="X1482" s="41"/>
      <c r="Y1482" s="41"/>
    </row>
    <row r="1483" s="27" customFormat="1" ht="23" hidden="1" customHeight="1" spans="1:25">
      <c r="A1483" s="133" t="str">
        <f>IF(B1483="","",COUNTA($B$5:B1483))</f>
        <v/>
      </c>
      <c r="B1483" s="148"/>
      <c r="C1483" s="22" t="s">
        <v>49</v>
      </c>
      <c r="D1483" s="149"/>
      <c r="E1483" s="150"/>
      <c r="F1483" s="151"/>
      <c r="G1483" s="151"/>
      <c r="H1483" s="142">
        <f>IFERROR(VLOOKUP($C1483,$C$5:$H$18,6,0)+SUMIF($C$19:$C1483,$C1483,$F$19:$F1483)-SUMIF($C$19:$C1483,$C1483,$G$19:$G1483),"")</f>
        <v>81211.819999998</v>
      </c>
      <c r="I1483" s="147"/>
      <c r="J1483" s="147"/>
      <c r="K1483" s="147" t="str">
        <f t="shared" si="23"/>
        <v/>
      </c>
      <c r="L1483" s="40"/>
      <c r="M1483"/>
      <c r="N1483"/>
      <c r="O1483"/>
      <c r="P1483"/>
      <c r="Q1483"/>
      <c r="R1483"/>
      <c r="S1483"/>
      <c r="T1483"/>
      <c r="U1483"/>
      <c r="V1483"/>
      <c r="W1483" s="41"/>
      <c r="X1483" s="41"/>
      <c r="Y1483" s="41"/>
    </row>
    <row r="1484" s="27" customFormat="1" ht="23" hidden="1" customHeight="1" spans="1:25">
      <c r="A1484" s="133" t="str">
        <f>IF(B1484="","",COUNTA($B$5:B1484))</f>
        <v/>
      </c>
      <c r="B1484" s="148"/>
      <c r="C1484" s="22" t="s">
        <v>49</v>
      </c>
      <c r="D1484" s="149"/>
      <c r="E1484" s="150"/>
      <c r="F1484" s="151"/>
      <c r="G1484" s="151"/>
      <c r="H1484" s="142">
        <f>IFERROR(VLOOKUP($C1484,$C$5:$H$18,6,0)+SUMIF($C$19:$C1484,$C1484,$F$19:$F1484)-SUMIF($C$19:$C1484,$C1484,$G$19:$G1484),"")</f>
        <v>81211.819999998</v>
      </c>
      <c r="I1484" s="147"/>
      <c r="J1484" s="147"/>
      <c r="K1484" s="147" t="str">
        <f t="shared" si="23"/>
        <v/>
      </c>
      <c r="L1484" s="40"/>
      <c r="M1484"/>
      <c r="N1484"/>
      <c r="O1484"/>
      <c r="P1484"/>
      <c r="Q1484"/>
      <c r="R1484"/>
      <c r="S1484"/>
      <c r="T1484"/>
      <c r="U1484"/>
      <c r="V1484"/>
      <c r="W1484" s="41"/>
      <c r="X1484" s="41"/>
      <c r="Y1484" s="41"/>
    </row>
    <row r="1485" s="27" customFormat="1" ht="23" hidden="1" customHeight="1" spans="1:25">
      <c r="A1485" s="133" t="str">
        <f>IF(B1485="","",COUNTA($B$5:B1485))</f>
        <v/>
      </c>
      <c r="B1485" s="148"/>
      <c r="C1485" s="22" t="s">
        <v>49</v>
      </c>
      <c r="D1485" s="149"/>
      <c r="E1485" s="150"/>
      <c r="F1485" s="151"/>
      <c r="G1485" s="151"/>
      <c r="H1485" s="142">
        <f>IFERROR(VLOOKUP($C1485,$C$5:$H$18,6,0)+SUMIF($C$19:$C1485,$C1485,$F$19:$F1485)-SUMIF($C$19:$C1485,$C1485,$G$19:$G1485),"")</f>
        <v>81211.819999998</v>
      </c>
      <c r="I1485" s="147"/>
      <c r="J1485" s="147"/>
      <c r="K1485" s="147" t="str">
        <f t="shared" si="23"/>
        <v/>
      </c>
      <c r="L1485" s="40"/>
      <c r="M1485"/>
      <c r="N1485"/>
      <c r="O1485"/>
      <c r="P1485"/>
      <c r="Q1485"/>
      <c r="R1485"/>
      <c r="S1485"/>
      <c r="T1485"/>
      <c r="U1485"/>
      <c r="V1485"/>
      <c r="W1485" s="41"/>
      <c r="X1485" s="41"/>
      <c r="Y1485" s="41"/>
    </row>
    <row r="1486" s="27" customFormat="1" ht="23" hidden="1" customHeight="1" spans="1:25">
      <c r="A1486" s="133" t="str">
        <f>IF(B1486="","",COUNTA($B$5:B1486))</f>
        <v/>
      </c>
      <c r="B1486" s="148"/>
      <c r="C1486" s="22" t="s">
        <v>49</v>
      </c>
      <c r="D1486" s="149"/>
      <c r="E1486" s="150"/>
      <c r="F1486" s="151"/>
      <c r="G1486" s="151"/>
      <c r="H1486" s="142">
        <f>IFERROR(VLOOKUP($C1486,$C$5:$H$18,6,0)+SUMIF($C$19:$C1486,$C1486,$F$19:$F1486)-SUMIF($C$19:$C1486,$C1486,$G$19:$G1486),"")</f>
        <v>81211.819999998</v>
      </c>
      <c r="I1486" s="147"/>
      <c r="J1486" s="147"/>
      <c r="K1486" s="147" t="str">
        <f t="shared" si="23"/>
        <v/>
      </c>
      <c r="L1486" s="40"/>
      <c r="M1486"/>
      <c r="N1486"/>
      <c r="O1486"/>
      <c r="P1486"/>
      <c r="Q1486"/>
      <c r="R1486"/>
      <c r="S1486"/>
      <c r="T1486"/>
      <c r="U1486"/>
      <c r="V1486"/>
      <c r="W1486" s="41"/>
      <c r="X1486" s="41"/>
      <c r="Y1486" s="41"/>
    </row>
    <row r="1487" s="27" customFormat="1" ht="23" hidden="1" customHeight="1" spans="1:25">
      <c r="A1487" s="133" t="str">
        <f>IF(B1487="","",COUNTA($B$5:B1487))</f>
        <v/>
      </c>
      <c r="B1487" s="148"/>
      <c r="C1487" s="22" t="s">
        <v>49</v>
      </c>
      <c r="D1487" s="149"/>
      <c r="E1487" s="150"/>
      <c r="F1487" s="151"/>
      <c r="G1487" s="151"/>
      <c r="H1487" s="142">
        <f>IFERROR(VLOOKUP($C1487,$C$5:$H$18,6,0)+SUMIF($C$19:$C1487,$C1487,$F$19:$F1487)-SUMIF($C$19:$C1487,$C1487,$G$19:$G1487),"")</f>
        <v>81211.819999998</v>
      </c>
      <c r="I1487" s="147"/>
      <c r="J1487" s="147"/>
      <c r="K1487" s="147" t="str">
        <f t="shared" si="23"/>
        <v/>
      </c>
      <c r="L1487" s="40"/>
      <c r="M1487"/>
      <c r="N1487"/>
      <c r="O1487"/>
      <c r="P1487"/>
      <c r="Q1487"/>
      <c r="R1487"/>
      <c r="S1487"/>
      <c r="T1487"/>
      <c r="U1487"/>
      <c r="V1487"/>
      <c r="W1487" s="41"/>
      <c r="X1487" s="41"/>
      <c r="Y1487" s="41"/>
    </row>
    <row r="1488" s="27" customFormat="1" ht="23" hidden="1" customHeight="1" spans="1:25">
      <c r="A1488" s="133" t="str">
        <f>IF(B1488="","",COUNTA($B$5:B1488))</f>
        <v/>
      </c>
      <c r="B1488" s="148"/>
      <c r="C1488" s="22" t="s">
        <v>49</v>
      </c>
      <c r="D1488" s="149"/>
      <c r="E1488" s="150"/>
      <c r="F1488" s="151"/>
      <c r="G1488" s="151"/>
      <c r="H1488" s="142">
        <f>IFERROR(VLOOKUP($C1488,$C$5:$H$18,6,0)+SUMIF($C$19:$C1488,$C1488,$F$19:$F1488)-SUMIF($C$19:$C1488,$C1488,$G$19:$G1488),"")</f>
        <v>81211.819999998</v>
      </c>
      <c r="I1488" s="147"/>
      <c r="J1488" s="147"/>
      <c r="K1488" s="147" t="str">
        <f t="shared" si="23"/>
        <v/>
      </c>
      <c r="L1488" s="40"/>
      <c r="M1488"/>
      <c r="N1488"/>
      <c r="O1488"/>
      <c r="P1488"/>
      <c r="Q1488"/>
      <c r="R1488"/>
      <c r="S1488"/>
      <c r="T1488"/>
      <c r="U1488"/>
      <c r="V1488"/>
      <c r="W1488" s="41"/>
      <c r="X1488" s="41"/>
      <c r="Y1488" s="41"/>
    </row>
    <row r="1489" s="27" customFormat="1" ht="23" hidden="1" customHeight="1" spans="1:25">
      <c r="A1489" s="133" t="str">
        <f>IF(B1489="","",COUNTA($B$5:B1489))</f>
        <v/>
      </c>
      <c r="B1489" s="148"/>
      <c r="C1489" s="22" t="s">
        <v>49</v>
      </c>
      <c r="D1489" s="149"/>
      <c r="E1489" s="150"/>
      <c r="F1489" s="151"/>
      <c r="G1489" s="151"/>
      <c r="H1489" s="142">
        <f>IFERROR(VLOOKUP($C1489,$C$5:$H$18,6,0)+SUMIF($C$19:$C1489,$C1489,$F$19:$F1489)-SUMIF($C$19:$C1489,$C1489,$G$19:$G1489),"")</f>
        <v>81211.819999998</v>
      </c>
      <c r="I1489" s="147"/>
      <c r="J1489" s="147"/>
      <c r="K1489" s="147" t="str">
        <f t="shared" si="23"/>
        <v/>
      </c>
      <c r="L1489" s="40"/>
      <c r="M1489"/>
      <c r="N1489"/>
      <c r="O1489"/>
      <c r="P1489"/>
      <c r="Q1489"/>
      <c r="R1489"/>
      <c r="S1489"/>
      <c r="T1489"/>
      <c r="U1489"/>
      <c r="V1489"/>
      <c r="W1489" s="41"/>
      <c r="X1489" s="41"/>
      <c r="Y1489" s="41"/>
    </row>
    <row r="1490" s="27" customFormat="1" ht="23" hidden="1" customHeight="1" spans="1:25">
      <c r="A1490" s="133" t="str">
        <f>IF(B1490="","",COUNTA($B$5:B1490))</f>
        <v/>
      </c>
      <c r="B1490" s="148"/>
      <c r="C1490" s="22" t="s">
        <v>49</v>
      </c>
      <c r="D1490" s="149"/>
      <c r="E1490" s="150"/>
      <c r="F1490" s="151"/>
      <c r="G1490" s="151"/>
      <c r="H1490" s="142">
        <f>IFERROR(VLOOKUP($C1490,$C$5:$H$18,6,0)+SUMIF($C$19:$C1490,$C1490,$F$19:$F1490)-SUMIF($C$19:$C1490,$C1490,$G$19:$G1490),"")</f>
        <v>81211.819999998</v>
      </c>
      <c r="I1490" s="147"/>
      <c r="J1490" s="147"/>
      <c r="K1490" s="147" t="str">
        <f t="shared" si="23"/>
        <v/>
      </c>
      <c r="L1490" s="40"/>
      <c r="M1490"/>
      <c r="N1490"/>
      <c r="O1490"/>
      <c r="P1490"/>
      <c r="Q1490"/>
      <c r="R1490"/>
      <c r="S1490"/>
      <c r="T1490"/>
      <c r="U1490"/>
      <c r="V1490"/>
      <c r="W1490" s="41"/>
      <c r="X1490" s="41"/>
      <c r="Y1490" s="41"/>
    </row>
    <row r="1491" s="27" customFormat="1" ht="23" hidden="1" customHeight="1" spans="1:25">
      <c r="A1491" s="133" t="str">
        <f>IF(B1491="","",COUNTA($B$5:B1491))</f>
        <v/>
      </c>
      <c r="B1491" s="148"/>
      <c r="C1491" s="22" t="s">
        <v>49</v>
      </c>
      <c r="D1491" s="149"/>
      <c r="E1491" s="150"/>
      <c r="F1491" s="151"/>
      <c r="G1491" s="151"/>
      <c r="H1491" s="142">
        <f>IFERROR(VLOOKUP($C1491,$C$5:$H$18,6,0)+SUMIF($C$19:$C1491,$C1491,$F$19:$F1491)-SUMIF($C$19:$C1491,$C1491,$G$19:$G1491),"")</f>
        <v>81211.819999998</v>
      </c>
      <c r="I1491" s="147"/>
      <c r="J1491" s="147"/>
      <c r="K1491" s="147" t="str">
        <f t="shared" si="23"/>
        <v/>
      </c>
      <c r="L1491" s="40"/>
      <c r="M1491"/>
      <c r="N1491"/>
      <c r="O1491"/>
      <c r="P1491"/>
      <c r="Q1491"/>
      <c r="R1491"/>
      <c r="S1491"/>
      <c r="T1491"/>
      <c r="U1491"/>
      <c r="V1491"/>
      <c r="W1491" s="41"/>
      <c r="X1491" s="41"/>
      <c r="Y1491" s="41"/>
    </row>
    <row r="1492" s="27" customFormat="1" ht="23" hidden="1" customHeight="1" spans="1:25">
      <c r="A1492" s="133" t="str">
        <f>IF(B1492="","",COUNTA($B$5:B1492))</f>
        <v/>
      </c>
      <c r="B1492" s="148"/>
      <c r="C1492" s="22" t="s">
        <v>49</v>
      </c>
      <c r="D1492" s="149"/>
      <c r="E1492" s="150"/>
      <c r="F1492" s="151"/>
      <c r="G1492" s="151"/>
      <c r="H1492" s="142">
        <f>IFERROR(VLOOKUP($C1492,$C$5:$H$18,6,0)+SUMIF($C$19:$C1492,$C1492,$F$19:$F1492)-SUMIF($C$19:$C1492,$C1492,$G$19:$G1492),"")</f>
        <v>81211.819999998</v>
      </c>
      <c r="I1492" s="147"/>
      <c r="J1492" s="147"/>
      <c r="K1492" s="147" t="str">
        <f t="shared" si="23"/>
        <v/>
      </c>
      <c r="L1492" s="40"/>
      <c r="M1492"/>
      <c r="N1492"/>
      <c r="O1492"/>
      <c r="P1492"/>
      <c r="Q1492"/>
      <c r="R1492"/>
      <c r="S1492"/>
      <c r="T1492"/>
      <c r="U1492"/>
      <c r="V1492"/>
      <c r="W1492" s="41"/>
      <c r="X1492" s="41"/>
      <c r="Y1492" s="41"/>
    </row>
    <row r="1493" s="27" customFormat="1" ht="23" hidden="1" customHeight="1" spans="1:25">
      <c r="A1493" s="133" t="str">
        <f>IF(B1493="","",COUNTA($B$5:B1493))</f>
        <v/>
      </c>
      <c r="B1493" s="148"/>
      <c r="C1493" s="22" t="s">
        <v>49</v>
      </c>
      <c r="D1493" s="149"/>
      <c r="E1493" s="150"/>
      <c r="F1493" s="151"/>
      <c r="G1493" s="151"/>
      <c r="H1493" s="142">
        <f>IFERROR(VLOOKUP($C1493,$C$5:$H$18,6,0)+SUMIF($C$19:$C1493,$C1493,$F$19:$F1493)-SUMIF($C$19:$C1493,$C1493,$G$19:$G1493),"")</f>
        <v>81211.819999998</v>
      </c>
      <c r="I1493" s="147"/>
      <c r="J1493" s="147"/>
      <c r="K1493" s="147" t="str">
        <f t="shared" si="23"/>
        <v/>
      </c>
      <c r="L1493" s="40"/>
      <c r="M1493"/>
      <c r="N1493"/>
      <c r="O1493"/>
      <c r="P1493"/>
      <c r="Q1493"/>
      <c r="R1493"/>
      <c r="S1493"/>
      <c r="T1493"/>
      <c r="U1493"/>
      <c r="V1493"/>
      <c r="W1493" s="41"/>
      <c r="X1493" s="41"/>
      <c r="Y1493" s="41"/>
    </row>
    <row r="1494" s="27" customFormat="1" ht="23" hidden="1" customHeight="1" spans="1:25">
      <c r="A1494" s="133" t="str">
        <f>IF(B1494="","",COUNTA($B$5:B1494))</f>
        <v/>
      </c>
      <c r="B1494" s="148"/>
      <c r="C1494" s="22" t="s">
        <v>49</v>
      </c>
      <c r="D1494" s="149"/>
      <c r="E1494" s="150"/>
      <c r="F1494" s="151"/>
      <c r="G1494" s="151"/>
      <c r="H1494" s="142">
        <f>IFERROR(VLOOKUP($C1494,$C$5:$H$18,6,0)+SUMIF($C$19:$C1494,$C1494,$F$19:$F1494)-SUMIF($C$19:$C1494,$C1494,$G$19:$G1494),"")</f>
        <v>81211.819999998</v>
      </c>
      <c r="I1494" s="147"/>
      <c r="J1494" s="147"/>
      <c r="K1494" s="147" t="str">
        <f t="shared" si="23"/>
        <v/>
      </c>
      <c r="L1494" s="40"/>
      <c r="M1494"/>
      <c r="N1494"/>
      <c r="O1494"/>
      <c r="P1494"/>
      <c r="Q1494"/>
      <c r="R1494"/>
      <c r="S1494"/>
      <c r="T1494"/>
      <c r="U1494"/>
      <c r="V1494"/>
      <c r="W1494" s="41"/>
      <c r="X1494" s="41"/>
      <c r="Y1494" s="41"/>
    </row>
    <row r="1495" s="27" customFormat="1" ht="23" hidden="1" customHeight="1" spans="1:25">
      <c r="A1495" s="133" t="str">
        <f>IF(B1495="","",COUNTA($B$5:B1495))</f>
        <v/>
      </c>
      <c r="B1495" s="148"/>
      <c r="C1495" s="22" t="s">
        <v>49</v>
      </c>
      <c r="D1495" s="149"/>
      <c r="E1495" s="150"/>
      <c r="F1495" s="151"/>
      <c r="G1495" s="151"/>
      <c r="H1495" s="142">
        <f>IFERROR(VLOOKUP($C1495,$C$5:$H$18,6,0)+SUMIF($C$19:$C1495,$C1495,$F$19:$F1495)-SUMIF($C$19:$C1495,$C1495,$G$19:$G1495),"")</f>
        <v>81211.819999998</v>
      </c>
      <c r="I1495" s="147"/>
      <c r="J1495" s="147"/>
      <c r="K1495" s="147" t="str">
        <f t="shared" si="23"/>
        <v/>
      </c>
      <c r="L1495" s="40"/>
      <c r="M1495"/>
      <c r="N1495"/>
      <c r="O1495"/>
      <c r="P1495"/>
      <c r="Q1495"/>
      <c r="R1495"/>
      <c r="S1495"/>
      <c r="T1495"/>
      <c r="U1495"/>
      <c r="V1495"/>
      <c r="W1495" s="41"/>
      <c r="X1495" s="41"/>
      <c r="Y1495" s="41"/>
    </row>
    <row r="1496" s="27" customFormat="1" ht="23" hidden="1" customHeight="1" spans="1:25">
      <c r="A1496" s="133" t="str">
        <f>IF(B1496="","",COUNTA($B$5:B1496))</f>
        <v/>
      </c>
      <c r="B1496" s="148"/>
      <c r="C1496" s="22" t="s">
        <v>49</v>
      </c>
      <c r="D1496" s="149"/>
      <c r="E1496" s="150"/>
      <c r="F1496" s="151"/>
      <c r="G1496" s="151"/>
      <c r="H1496" s="142">
        <f>IFERROR(VLOOKUP($C1496,$C$5:$H$18,6,0)+SUMIF($C$19:$C1496,$C1496,$F$19:$F1496)-SUMIF($C$19:$C1496,$C1496,$G$19:$G1496),"")</f>
        <v>81211.819999998</v>
      </c>
      <c r="I1496" s="147"/>
      <c r="J1496" s="147"/>
      <c r="K1496" s="147" t="str">
        <f t="shared" si="23"/>
        <v/>
      </c>
      <c r="L1496" s="40"/>
      <c r="M1496"/>
      <c r="N1496"/>
      <c r="O1496"/>
      <c r="P1496"/>
      <c r="Q1496"/>
      <c r="R1496"/>
      <c r="S1496"/>
      <c r="T1496"/>
      <c r="U1496"/>
      <c r="V1496"/>
      <c r="W1496" s="41"/>
      <c r="X1496" s="41"/>
      <c r="Y1496" s="41"/>
    </row>
    <row r="1497" s="27" customFormat="1" ht="23" hidden="1" customHeight="1" spans="1:25">
      <c r="A1497" s="133" t="str">
        <f>IF(B1497="","",COUNTA($B$5:B1497))</f>
        <v/>
      </c>
      <c r="B1497" s="148"/>
      <c r="C1497" s="22" t="s">
        <v>49</v>
      </c>
      <c r="D1497" s="149"/>
      <c r="E1497" s="150"/>
      <c r="F1497" s="151"/>
      <c r="G1497" s="151"/>
      <c r="H1497" s="142">
        <f>IFERROR(VLOOKUP($C1497,$C$5:$H$18,6,0)+SUMIF($C$19:$C1497,$C1497,$F$19:$F1497)-SUMIF($C$19:$C1497,$C1497,$G$19:$G1497),"")</f>
        <v>81211.819999998</v>
      </c>
      <c r="I1497" s="147"/>
      <c r="J1497" s="147"/>
      <c r="K1497" s="147" t="str">
        <f t="shared" si="23"/>
        <v/>
      </c>
      <c r="L1497" s="40"/>
      <c r="M1497"/>
      <c r="N1497"/>
      <c r="O1497"/>
      <c r="P1497"/>
      <c r="Q1497"/>
      <c r="R1497"/>
      <c r="S1497"/>
      <c r="T1497"/>
      <c r="U1497"/>
      <c r="V1497"/>
      <c r="W1497" s="41"/>
      <c r="X1497" s="41"/>
      <c r="Y1497" s="41"/>
    </row>
    <row r="1498" s="27" customFormat="1" ht="23" hidden="1" customHeight="1" spans="1:25">
      <c r="A1498" s="133" t="str">
        <f>IF(B1498="","",COUNTA($B$5:B1498))</f>
        <v/>
      </c>
      <c r="B1498" s="148"/>
      <c r="C1498" s="22" t="s">
        <v>49</v>
      </c>
      <c r="D1498" s="149"/>
      <c r="E1498" s="150"/>
      <c r="F1498" s="151"/>
      <c r="G1498" s="151"/>
      <c r="H1498" s="142">
        <f>IFERROR(VLOOKUP($C1498,$C$5:$H$18,6,0)+SUMIF($C$19:$C1498,$C1498,$F$19:$F1498)-SUMIF($C$19:$C1498,$C1498,$G$19:$G1498),"")</f>
        <v>81211.819999998</v>
      </c>
      <c r="I1498" s="147"/>
      <c r="J1498" s="147"/>
      <c r="K1498" s="147" t="str">
        <f t="shared" si="23"/>
        <v/>
      </c>
      <c r="L1498" s="40"/>
      <c r="M1498"/>
      <c r="N1498"/>
      <c r="O1498"/>
      <c r="P1498"/>
      <c r="Q1498"/>
      <c r="R1498"/>
      <c r="S1498"/>
      <c r="T1498"/>
      <c r="U1498"/>
      <c r="V1498"/>
      <c r="W1498" s="41"/>
      <c r="X1498" s="41"/>
      <c r="Y1498" s="41"/>
    </row>
    <row r="1499" s="27" customFormat="1" ht="23" hidden="1" customHeight="1" spans="1:25">
      <c r="A1499" s="133" t="str">
        <f>IF(B1499="","",COUNTA($B$5:B1499))</f>
        <v/>
      </c>
      <c r="B1499" s="148"/>
      <c r="C1499" s="22" t="s">
        <v>49</v>
      </c>
      <c r="D1499" s="149"/>
      <c r="E1499" s="150"/>
      <c r="F1499" s="151"/>
      <c r="G1499" s="151"/>
      <c r="H1499" s="142">
        <f>IFERROR(VLOOKUP($C1499,$C$5:$H$18,6,0)+SUMIF($C$19:$C1499,$C1499,$F$19:$F1499)-SUMIF($C$19:$C1499,$C1499,$G$19:$G1499),"")</f>
        <v>81211.819999998</v>
      </c>
      <c r="I1499" s="147"/>
      <c r="J1499" s="147"/>
      <c r="K1499" s="147" t="str">
        <f t="shared" si="23"/>
        <v/>
      </c>
      <c r="L1499" s="40"/>
      <c r="M1499"/>
      <c r="N1499"/>
      <c r="O1499"/>
      <c r="P1499"/>
      <c r="Q1499"/>
      <c r="R1499"/>
      <c r="S1499"/>
      <c r="T1499"/>
      <c r="U1499"/>
      <c r="V1499"/>
      <c r="W1499" s="41"/>
      <c r="X1499" s="41"/>
      <c r="Y1499" s="41"/>
    </row>
    <row r="1500" s="27" customFormat="1" ht="23" hidden="1" customHeight="1" spans="1:25">
      <c r="A1500" s="133" t="str">
        <f>IF(B1500="","",COUNTA($B$5:B1500))</f>
        <v/>
      </c>
      <c r="B1500" s="148"/>
      <c r="C1500" s="22" t="s">
        <v>49</v>
      </c>
      <c r="D1500" s="149"/>
      <c r="E1500" s="150"/>
      <c r="F1500" s="151"/>
      <c r="G1500" s="151"/>
      <c r="H1500" s="142">
        <f>IFERROR(VLOOKUP($C1500,$C$5:$H$18,6,0)+SUMIF($C$19:$C1500,$C1500,$F$19:$F1500)-SUMIF($C$19:$C1500,$C1500,$G$19:$G1500),"")</f>
        <v>81211.819999998</v>
      </c>
      <c r="I1500" s="147"/>
      <c r="J1500" s="147"/>
      <c r="K1500" s="147" t="str">
        <f t="shared" si="23"/>
        <v/>
      </c>
      <c r="L1500" s="40"/>
      <c r="M1500"/>
      <c r="N1500"/>
      <c r="O1500"/>
      <c r="P1500"/>
      <c r="Q1500"/>
      <c r="R1500"/>
      <c r="S1500"/>
      <c r="T1500"/>
      <c r="U1500"/>
      <c r="V1500"/>
      <c r="W1500" s="41"/>
      <c r="X1500" s="41"/>
      <c r="Y1500" s="41"/>
    </row>
    <row r="1501" s="27" customFormat="1" ht="23" hidden="1" customHeight="1" spans="1:25">
      <c r="A1501" s="133" t="str">
        <f>IF(B1501="","",COUNTA($B$5:B1501))</f>
        <v/>
      </c>
      <c r="B1501" s="148"/>
      <c r="C1501" s="22" t="s">
        <v>49</v>
      </c>
      <c r="D1501" s="149"/>
      <c r="E1501" s="150"/>
      <c r="F1501" s="151"/>
      <c r="G1501" s="151"/>
      <c r="H1501" s="142">
        <f>IFERROR(VLOOKUP($C1501,$C$5:$H$18,6,0)+SUMIF($C$19:$C1501,$C1501,$F$19:$F1501)-SUMIF($C$19:$C1501,$C1501,$G$19:$G1501),"")</f>
        <v>81211.819999998</v>
      </c>
      <c r="I1501" s="147"/>
      <c r="J1501" s="147"/>
      <c r="K1501" s="147" t="str">
        <f t="shared" si="23"/>
        <v/>
      </c>
      <c r="L1501" s="40"/>
      <c r="M1501"/>
      <c r="N1501"/>
      <c r="O1501"/>
      <c r="P1501"/>
      <c r="Q1501"/>
      <c r="R1501"/>
      <c r="S1501"/>
      <c r="T1501"/>
      <c r="U1501"/>
      <c r="V1501"/>
      <c r="W1501" s="41"/>
      <c r="X1501" s="41"/>
      <c r="Y1501" s="41"/>
    </row>
    <row r="1502" s="27" customFormat="1" ht="23" hidden="1" customHeight="1" spans="1:25">
      <c r="A1502" s="133" t="str">
        <f>IF(B1502="","",COUNTA($B$5:B1502))</f>
        <v/>
      </c>
      <c r="B1502" s="148"/>
      <c r="C1502" s="22" t="s">
        <v>49</v>
      </c>
      <c r="D1502" s="149"/>
      <c r="E1502" s="150"/>
      <c r="F1502" s="151"/>
      <c r="G1502" s="151"/>
      <c r="H1502" s="142">
        <f>IFERROR(VLOOKUP($C1502,$C$5:$H$18,6,0)+SUMIF($C$19:$C1502,$C1502,$F$19:$F1502)-SUMIF($C$19:$C1502,$C1502,$G$19:$G1502),"")</f>
        <v>81211.819999998</v>
      </c>
      <c r="I1502" s="147"/>
      <c r="J1502" s="147"/>
      <c r="K1502" s="147" t="str">
        <f t="shared" si="23"/>
        <v/>
      </c>
      <c r="L1502" s="40"/>
      <c r="M1502"/>
      <c r="N1502"/>
      <c r="O1502"/>
      <c r="P1502"/>
      <c r="Q1502"/>
      <c r="R1502"/>
      <c r="S1502"/>
      <c r="T1502"/>
      <c r="U1502"/>
      <c r="V1502"/>
      <c r="W1502" s="41"/>
      <c r="X1502" s="41"/>
      <c r="Y1502" s="41"/>
    </row>
    <row r="1503" s="27" customFormat="1" ht="23" hidden="1" customHeight="1" spans="1:25">
      <c r="A1503" s="133" t="str">
        <f>IF(B1503="","",COUNTA($B$5:B1503))</f>
        <v/>
      </c>
      <c r="B1503" s="148"/>
      <c r="C1503" s="22" t="s">
        <v>49</v>
      </c>
      <c r="D1503" s="149"/>
      <c r="E1503" s="150"/>
      <c r="F1503" s="151"/>
      <c r="G1503" s="151"/>
      <c r="H1503" s="142">
        <f>IFERROR(VLOOKUP($C1503,$C$5:$H$18,6,0)+SUMIF($C$19:$C1503,$C1503,$F$19:$F1503)-SUMIF($C$19:$C1503,$C1503,$G$19:$G1503),"")</f>
        <v>81211.819999998</v>
      </c>
      <c r="I1503" s="147"/>
      <c r="J1503" s="147"/>
      <c r="K1503" s="147" t="str">
        <f t="shared" si="23"/>
        <v/>
      </c>
      <c r="L1503" s="40"/>
      <c r="M1503"/>
      <c r="N1503"/>
      <c r="O1503"/>
      <c r="P1503"/>
      <c r="Q1503"/>
      <c r="R1503"/>
      <c r="S1503"/>
      <c r="T1503"/>
      <c r="U1503"/>
      <c r="V1503"/>
      <c r="W1503" s="41"/>
      <c r="X1503" s="41"/>
      <c r="Y1503" s="41"/>
    </row>
    <row r="1504" s="27" customFormat="1" ht="23" hidden="1" customHeight="1" spans="1:25">
      <c r="A1504" s="133" t="str">
        <f>IF(B1504="","",COUNTA($B$5:B1504))</f>
        <v/>
      </c>
      <c r="B1504" s="148"/>
      <c r="C1504" s="22" t="s">
        <v>49</v>
      </c>
      <c r="D1504" s="149"/>
      <c r="E1504" s="150"/>
      <c r="F1504" s="151"/>
      <c r="G1504" s="151"/>
      <c r="H1504" s="142">
        <f>IFERROR(VLOOKUP($C1504,$C$5:$H$18,6,0)+SUMIF($C$19:$C1504,$C1504,$F$19:$F1504)-SUMIF($C$19:$C1504,$C1504,$G$19:$G1504),"")</f>
        <v>81211.819999998</v>
      </c>
      <c r="I1504" s="147"/>
      <c r="J1504" s="147"/>
      <c r="K1504" s="147" t="str">
        <f t="shared" si="23"/>
        <v/>
      </c>
      <c r="L1504" s="40"/>
      <c r="M1504"/>
      <c r="N1504"/>
      <c r="O1504"/>
      <c r="P1504"/>
      <c r="Q1504"/>
      <c r="R1504"/>
      <c r="S1504"/>
      <c r="T1504"/>
      <c r="U1504"/>
      <c r="V1504"/>
      <c r="W1504" s="41"/>
      <c r="X1504" s="41"/>
      <c r="Y1504" s="41"/>
    </row>
    <row r="1505" s="27" customFormat="1" ht="23" hidden="1" customHeight="1" spans="1:25">
      <c r="A1505" s="133" t="str">
        <f>IF(B1505="","",COUNTA($B$5:B1505))</f>
        <v/>
      </c>
      <c r="B1505" s="148"/>
      <c r="C1505" s="22" t="s">
        <v>49</v>
      </c>
      <c r="D1505" s="149"/>
      <c r="E1505" s="150"/>
      <c r="F1505" s="151"/>
      <c r="G1505" s="151"/>
      <c r="H1505" s="142">
        <f>IFERROR(VLOOKUP($C1505,$C$5:$H$18,6,0)+SUMIF($C$19:$C1505,$C1505,$F$19:$F1505)-SUMIF($C$19:$C1505,$C1505,$G$19:$G1505),"")</f>
        <v>81211.819999998</v>
      </c>
      <c r="I1505" s="147"/>
      <c r="J1505" s="147"/>
      <c r="K1505" s="147" t="str">
        <f t="shared" si="23"/>
        <v/>
      </c>
      <c r="L1505" s="40"/>
      <c r="M1505"/>
      <c r="N1505"/>
      <c r="O1505"/>
      <c r="P1505"/>
      <c r="Q1505"/>
      <c r="R1505"/>
      <c r="S1505"/>
      <c r="T1505"/>
      <c r="U1505"/>
      <c r="V1505"/>
      <c r="W1505" s="41"/>
      <c r="X1505" s="41"/>
      <c r="Y1505" s="41"/>
    </row>
    <row r="1506" s="27" customFormat="1" ht="23" hidden="1" customHeight="1" spans="1:25">
      <c r="A1506" s="133" t="str">
        <f>IF(B1506="","",COUNTA($B$5:B1506))</f>
        <v/>
      </c>
      <c r="B1506" s="148"/>
      <c r="C1506" s="22" t="s">
        <v>49</v>
      </c>
      <c r="D1506" s="149"/>
      <c r="E1506" s="150"/>
      <c r="F1506" s="151"/>
      <c r="G1506" s="151"/>
      <c r="H1506" s="142">
        <f>IFERROR(VLOOKUP($C1506,$C$5:$H$18,6,0)+SUMIF($C$19:$C1506,$C1506,$F$19:$F1506)-SUMIF($C$19:$C1506,$C1506,$G$19:$G1506),"")</f>
        <v>81211.819999998</v>
      </c>
      <c r="I1506" s="147"/>
      <c r="J1506" s="147"/>
      <c r="K1506" s="147" t="str">
        <f t="shared" si="23"/>
        <v/>
      </c>
      <c r="L1506" s="40"/>
      <c r="M1506"/>
      <c r="N1506"/>
      <c r="O1506"/>
      <c r="P1506"/>
      <c r="Q1506"/>
      <c r="R1506"/>
      <c r="S1506"/>
      <c r="T1506"/>
      <c r="U1506"/>
      <c r="V1506"/>
      <c r="W1506" s="41"/>
      <c r="X1506" s="41"/>
      <c r="Y1506" s="41"/>
    </row>
    <row r="1507" s="27" customFormat="1" ht="23" hidden="1" customHeight="1" spans="1:25">
      <c r="A1507" s="133" t="str">
        <f>IF(B1507="","",COUNTA($B$5:B1507))</f>
        <v/>
      </c>
      <c r="B1507" s="148"/>
      <c r="C1507" s="22" t="s">
        <v>49</v>
      </c>
      <c r="D1507" s="149"/>
      <c r="E1507" s="150"/>
      <c r="F1507" s="151"/>
      <c r="G1507" s="151"/>
      <c r="H1507" s="142">
        <f>IFERROR(VLOOKUP($C1507,$C$5:$H$18,6,0)+SUMIF($C$19:$C1507,$C1507,$F$19:$F1507)-SUMIF($C$19:$C1507,$C1507,$G$19:$G1507),"")</f>
        <v>81211.819999998</v>
      </c>
      <c r="I1507" s="147"/>
      <c r="J1507" s="147"/>
      <c r="K1507" s="147" t="str">
        <f t="shared" si="23"/>
        <v/>
      </c>
      <c r="L1507" s="40"/>
      <c r="M1507"/>
      <c r="N1507"/>
      <c r="O1507"/>
      <c r="P1507"/>
      <c r="Q1507"/>
      <c r="R1507"/>
      <c r="S1507"/>
      <c r="T1507"/>
      <c r="U1507"/>
      <c r="V1507"/>
      <c r="W1507" s="41"/>
      <c r="X1507" s="41"/>
      <c r="Y1507" s="41"/>
    </row>
    <row r="1508" s="27" customFormat="1" ht="23" hidden="1" customHeight="1" spans="1:25">
      <c r="A1508" s="133" t="str">
        <f>IF(B1508="","",COUNTA($B$5:B1508))</f>
        <v/>
      </c>
      <c r="B1508" s="148"/>
      <c r="C1508" s="22" t="s">
        <v>49</v>
      </c>
      <c r="D1508" s="149"/>
      <c r="E1508" s="150"/>
      <c r="F1508" s="151"/>
      <c r="G1508" s="151"/>
      <c r="H1508" s="142">
        <f>IFERROR(VLOOKUP($C1508,$C$5:$H$18,6,0)+SUMIF($C$19:$C1508,$C1508,$F$19:$F1508)-SUMIF($C$19:$C1508,$C1508,$G$19:$G1508),"")</f>
        <v>81211.819999998</v>
      </c>
      <c r="I1508" s="147"/>
      <c r="J1508" s="147"/>
      <c r="K1508" s="147" t="str">
        <f t="shared" si="23"/>
        <v/>
      </c>
      <c r="L1508" s="40"/>
      <c r="M1508"/>
      <c r="N1508"/>
      <c r="O1508"/>
      <c r="P1508"/>
      <c r="Q1508"/>
      <c r="R1508"/>
      <c r="S1508"/>
      <c r="T1508"/>
      <c r="U1508"/>
      <c r="V1508"/>
      <c r="W1508" s="41"/>
      <c r="X1508" s="41"/>
      <c r="Y1508" s="41"/>
    </row>
    <row r="1509" s="27" customFormat="1" ht="23" hidden="1" customHeight="1" spans="1:25">
      <c r="A1509" s="133" t="str">
        <f>IF(B1509="","",COUNTA($B$5:B1509))</f>
        <v/>
      </c>
      <c r="B1509" s="148"/>
      <c r="C1509" s="22" t="s">
        <v>49</v>
      </c>
      <c r="D1509" s="149"/>
      <c r="E1509" s="150"/>
      <c r="F1509" s="151"/>
      <c r="G1509" s="151"/>
      <c r="H1509" s="142">
        <f>IFERROR(VLOOKUP($C1509,$C$5:$H$18,6,0)+SUMIF($C$19:$C1509,$C1509,$F$19:$F1509)-SUMIF($C$19:$C1509,$C1509,$G$19:$G1509),"")</f>
        <v>81211.819999998</v>
      </c>
      <c r="I1509" s="147"/>
      <c r="J1509" s="147"/>
      <c r="K1509" s="147" t="str">
        <f t="shared" si="23"/>
        <v/>
      </c>
      <c r="L1509" s="40"/>
      <c r="M1509"/>
      <c r="N1509"/>
      <c r="O1509"/>
      <c r="P1509"/>
      <c r="Q1509"/>
      <c r="R1509"/>
      <c r="S1509"/>
      <c r="T1509"/>
      <c r="U1509"/>
      <c r="V1509"/>
      <c r="W1509" s="41"/>
      <c r="X1509" s="41"/>
      <c r="Y1509" s="41"/>
    </row>
    <row r="1510" s="27" customFormat="1" ht="23" hidden="1" customHeight="1" spans="1:25">
      <c r="A1510" s="133" t="str">
        <f>IF(B1510="","",COUNTA($B$5:B1510))</f>
        <v/>
      </c>
      <c r="B1510" s="148"/>
      <c r="C1510" s="22" t="s">
        <v>49</v>
      </c>
      <c r="D1510" s="149"/>
      <c r="E1510" s="150"/>
      <c r="F1510" s="151"/>
      <c r="G1510" s="151"/>
      <c r="H1510" s="142">
        <f>IFERROR(VLOOKUP($C1510,$C$5:$H$18,6,0)+SUMIF($C$19:$C1510,$C1510,$F$19:$F1510)-SUMIF($C$19:$C1510,$C1510,$G$19:$G1510),"")</f>
        <v>81211.819999998</v>
      </c>
      <c r="I1510" s="147"/>
      <c r="J1510" s="147"/>
      <c r="K1510" s="147" t="str">
        <f t="shared" si="23"/>
        <v/>
      </c>
      <c r="L1510" s="40"/>
      <c r="M1510"/>
      <c r="N1510"/>
      <c r="O1510"/>
      <c r="P1510"/>
      <c r="Q1510"/>
      <c r="R1510"/>
      <c r="S1510"/>
      <c r="T1510"/>
      <c r="U1510"/>
      <c r="V1510"/>
      <c r="W1510" s="41"/>
      <c r="X1510" s="41"/>
      <c r="Y1510" s="41"/>
    </row>
    <row r="1511" s="27" customFormat="1" ht="23" hidden="1" customHeight="1" spans="1:25">
      <c r="A1511" s="133" t="str">
        <f>IF(B1511="","",COUNTA($B$5:B1511))</f>
        <v/>
      </c>
      <c r="B1511" s="148"/>
      <c r="C1511" s="22" t="s">
        <v>49</v>
      </c>
      <c r="D1511" s="149"/>
      <c r="E1511" s="150"/>
      <c r="F1511" s="151"/>
      <c r="G1511" s="151"/>
      <c r="H1511" s="142">
        <f>IFERROR(VLOOKUP($C1511,$C$5:$H$18,6,0)+SUMIF($C$19:$C1511,$C1511,$F$19:$F1511)-SUMIF($C$19:$C1511,$C1511,$G$19:$G1511),"")</f>
        <v>81211.819999998</v>
      </c>
      <c r="I1511" s="147"/>
      <c r="J1511" s="147"/>
      <c r="K1511" s="147" t="str">
        <f t="shared" si="23"/>
        <v/>
      </c>
      <c r="L1511" s="40"/>
      <c r="M1511"/>
      <c r="N1511"/>
      <c r="O1511"/>
      <c r="P1511"/>
      <c r="Q1511"/>
      <c r="R1511"/>
      <c r="S1511"/>
      <c r="T1511"/>
      <c r="U1511"/>
      <c r="V1511"/>
      <c r="W1511" s="41"/>
      <c r="X1511" s="41"/>
      <c r="Y1511" s="41"/>
    </row>
    <row r="1512" s="27" customFormat="1" ht="23" hidden="1" customHeight="1" spans="1:25">
      <c r="A1512" s="133" t="str">
        <f>IF(B1512="","",COUNTA($B$5:B1512))</f>
        <v/>
      </c>
      <c r="B1512" s="148"/>
      <c r="C1512" s="22" t="s">
        <v>49</v>
      </c>
      <c r="D1512" s="149"/>
      <c r="E1512" s="150"/>
      <c r="F1512" s="151"/>
      <c r="G1512" s="151"/>
      <c r="H1512" s="142">
        <f>IFERROR(VLOOKUP($C1512,$C$5:$H$18,6,0)+SUMIF($C$19:$C1512,$C1512,$F$19:$F1512)-SUMIF($C$19:$C1512,$C1512,$G$19:$G1512),"")</f>
        <v>81211.819999998</v>
      </c>
      <c r="I1512" s="147"/>
      <c r="J1512" s="147"/>
      <c r="K1512" s="147" t="str">
        <f t="shared" si="23"/>
        <v/>
      </c>
      <c r="L1512" s="40"/>
      <c r="M1512"/>
      <c r="N1512"/>
      <c r="O1512"/>
      <c r="P1512"/>
      <c r="Q1512"/>
      <c r="R1512"/>
      <c r="S1512"/>
      <c r="T1512"/>
      <c r="U1512"/>
      <c r="V1512"/>
      <c r="W1512" s="41"/>
      <c r="X1512" s="41"/>
      <c r="Y1512" s="41"/>
    </row>
    <row r="1513" s="27" customFormat="1" ht="23" hidden="1" customHeight="1" spans="1:25">
      <c r="A1513" s="133" t="str">
        <f>IF(B1513="","",COUNTA($B$5:B1513))</f>
        <v/>
      </c>
      <c r="B1513" s="148"/>
      <c r="C1513" s="22" t="s">
        <v>49</v>
      </c>
      <c r="D1513" s="149"/>
      <c r="E1513" s="150"/>
      <c r="F1513" s="151"/>
      <c r="G1513" s="151"/>
      <c r="H1513" s="142">
        <f>IFERROR(VLOOKUP($C1513,$C$5:$H$18,6,0)+SUMIF($C$19:$C1513,$C1513,$F$19:$F1513)-SUMIF($C$19:$C1513,$C1513,$G$19:$G1513),"")</f>
        <v>81211.819999998</v>
      </c>
      <c r="I1513" s="147"/>
      <c r="J1513" s="147"/>
      <c r="K1513" s="147" t="str">
        <f t="shared" si="23"/>
        <v/>
      </c>
      <c r="L1513" s="40"/>
      <c r="M1513"/>
      <c r="N1513"/>
      <c r="O1513"/>
      <c r="P1513"/>
      <c r="Q1513"/>
      <c r="R1513"/>
      <c r="S1513"/>
      <c r="T1513"/>
      <c r="U1513"/>
      <c r="V1513"/>
      <c r="W1513" s="41"/>
      <c r="X1513" s="41"/>
      <c r="Y1513" s="41"/>
    </row>
    <row r="1514" s="27" customFormat="1" ht="23" hidden="1" customHeight="1" spans="1:25">
      <c r="A1514" s="133" t="str">
        <f>IF(B1514="","",COUNTA($B$5:B1514))</f>
        <v/>
      </c>
      <c r="B1514" s="148"/>
      <c r="C1514" s="22" t="s">
        <v>49</v>
      </c>
      <c r="D1514" s="149"/>
      <c r="E1514" s="150"/>
      <c r="F1514" s="151"/>
      <c r="G1514" s="151"/>
      <c r="H1514" s="142">
        <f>IFERROR(VLOOKUP($C1514,$C$5:$H$18,6,0)+SUMIF($C$19:$C1514,$C1514,$F$19:$F1514)-SUMIF($C$19:$C1514,$C1514,$G$19:$G1514),"")</f>
        <v>81211.819999998</v>
      </c>
      <c r="I1514" s="147"/>
      <c r="J1514" s="147"/>
      <c r="K1514" s="147" t="str">
        <f t="shared" si="23"/>
        <v/>
      </c>
      <c r="L1514" s="40"/>
      <c r="M1514"/>
      <c r="N1514"/>
      <c r="O1514"/>
      <c r="P1514"/>
      <c r="Q1514"/>
      <c r="R1514"/>
      <c r="S1514"/>
      <c r="T1514"/>
      <c r="U1514"/>
      <c r="V1514"/>
      <c r="W1514" s="41"/>
      <c r="X1514" s="41"/>
      <c r="Y1514" s="41"/>
    </row>
    <row r="1515" s="27" customFormat="1" ht="23" hidden="1" customHeight="1" spans="1:25">
      <c r="A1515" s="133" t="str">
        <f>IF(B1515="","",COUNTA($B$5:B1515))</f>
        <v/>
      </c>
      <c r="B1515" s="148"/>
      <c r="C1515" s="22" t="s">
        <v>49</v>
      </c>
      <c r="D1515" s="149"/>
      <c r="E1515" s="150"/>
      <c r="F1515" s="151"/>
      <c r="G1515" s="151"/>
      <c r="H1515" s="142">
        <f>IFERROR(VLOOKUP($C1515,$C$5:$H$18,6,0)+SUMIF($C$19:$C1515,$C1515,$F$19:$F1515)-SUMIF($C$19:$C1515,$C1515,$G$19:$G1515),"")</f>
        <v>81211.819999998</v>
      </c>
      <c r="I1515" s="147"/>
      <c r="J1515" s="147"/>
      <c r="K1515" s="147" t="str">
        <f t="shared" si="23"/>
        <v/>
      </c>
      <c r="L1515" s="40"/>
      <c r="M1515"/>
      <c r="N1515"/>
      <c r="O1515"/>
      <c r="P1515"/>
      <c r="Q1515"/>
      <c r="R1515"/>
      <c r="S1515"/>
      <c r="T1515"/>
      <c r="U1515"/>
      <c r="V1515"/>
      <c r="W1515" s="41"/>
      <c r="X1515" s="41"/>
      <c r="Y1515" s="41"/>
    </row>
    <row r="1516" s="27" customFormat="1" ht="23" hidden="1" customHeight="1" spans="1:25">
      <c r="A1516" s="133" t="str">
        <f>IF(B1516="","",COUNTA($B$5:B1516))</f>
        <v/>
      </c>
      <c r="B1516" s="148"/>
      <c r="C1516" s="22" t="s">
        <v>49</v>
      </c>
      <c r="D1516" s="149"/>
      <c r="E1516" s="150"/>
      <c r="F1516" s="151"/>
      <c r="G1516" s="151"/>
      <c r="H1516" s="142">
        <f>IFERROR(VLOOKUP($C1516,$C$5:$H$18,6,0)+SUMIF($C$19:$C1516,$C1516,$F$19:$F1516)-SUMIF($C$19:$C1516,$C1516,$G$19:$G1516),"")</f>
        <v>81211.819999998</v>
      </c>
      <c r="I1516" s="147"/>
      <c r="J1516" s="147"/>
      <c r="K1516" s="147" t="str">
        <f t="shared" si="23"/>
        <v/>
      </c>
      <c r="L1516" s="40"/>
      <c r="M1516"/>
      <c r="N1516"/>
      <c r="O1516"/>
      <c r="P1516"/>
      <c r="Q1516"/>
      <c r="R1516"/>
      <c r="S1516"/>
      <c r="T1516"/>
      <c r="U1516"/>
      <c r="V1516"/>
      <c r="W1516" s="41"/>
      <c r="X1516" s="41"/>
      <c r="Y1516" s="41"/>
    </row>
    <row r="1517" s="27" customFormat="1" ht="23" hidden="1" customHeight="1" spans="1:25">
      <c r="A1517" s="133" t="str">
        <f>IF(B1517="","",COUNTA($B$5:B1517))</f>
        <v/>
      </c>
      <c r="B1517" s="148"/>
      <c r="C1517" s="22" t="s">
        <v>49</v>
      </c>
      <c r="D1517" s="149"/>
      <c r="E1517" s="150"/>
      <c r="F1517" s="151"/>
      <c r="G1517" s="151"/>
      <c r="H1517" s="142">
        <f>IFERROR(VLOOKUP($C1517,$C$5:$H$18,6,0)+SUMIF($C$19:$C1517,$C1517,$F$19:$F1517)-SUMIF($C$19:$C1517,$C1517,$G$19:$G1517),"")</f>
        <v>81211.819999998</v>
      </c>
      <c r="I1517" s="147"/>
      <c r="J1517" s="147"/>
      <c r="K1517" s="147" t="str">
        <f t="shared" si="23"/>
        <v/>
      </c>
      <c r="L1517" s="40"/>
      <c r="M1517"/>
      <c r="N1517"/>
      <c r="O1517"/>
      <c r="P1517"/>
      <c r="Q1517"/>
      <c r="R1517"/>
      <c r="S1517"/>
      <c r="T1517"/>
      <c r="U1517"/>
      <c r="V1517"/>
      <c r="W1517" s="41"/>
      <c r="X1517" s="41"/>
      <c r="Y1517" s="41"/>
    </row>
    <row r="1518" s="27" customFormat="1" ht="23" hidden="1" customHeight="1" spans="1:25">
      <c r="A1518" s="133" t="str">
        <f>IF(B1518="","",COUNTA($B$5:B1518))</f>
        <v/>
      </c>
      <c r="B1518" s="148"/>
      <c r="C1518" s="22" t="s">
        <v>49</v>
      </c>
      <c r="D1518" s="149"/>
      <c r="E1518" s="150"/>
      <c r="F1518" s="151"/>
      <c r="G1518" s="151"/>
      <c r="H1518" s="142">
        <f>IFERROR(VLOOKUP($C1518,$C$5:$H$18,6,0)+SUMIF($C$19:$C1518,$C1518,$F$19:$F1518)-SUMIF($C$19:$C1518,$C1518,$G$19:$G1518),"")</f>
        <v>81211.819999998</v>
      </c>
      <c r="I1518" s="147"/>
      <c r="J1518" s="147"/>
      <c r="K1518" s="147" t="str">
        <f t="shared" si="23"/>
        <v/>
      </c>
      <c r="L1518" s="40"/>
      <c r="M1518"/>
      <c r="N1518"/>
      <c r="O1518"/>
      <c r="P1518"/>
      <c r="Q1518"/>
      <c r="R1518"/>
      <c r="S1518"/>
      <c r="T1518"/>
      <c r="U1518"/>
      <c r="V1518"/>
      <c r="W1518" s="41"/>
      <c r="X1518" s="41"/>
      <c r="Y1518" s="41"/>
    </row>
    <row r="1519" s="27" customFormat="1" ht="23" hidden="1" customHeight="1" spans="1:25">
      <c r="A1519" s="133" t="str">
        <f>IF(B1519="","",COUNTA($B$5:B1519))</f>
        <v/>
      </c>
      <c r="B1519" s="148"/>
      <c r="C1519" s="22" t="s">
        <v>49</v>
      </c>
      <c r="D1519" s="149"/>
      <c r="E1519" s="150"/>
      <c r="F1519" s="151"/>
      <c r="G1519" s="151"/>
      <c r="H1519" s="142">
        <f>IFERROR(VLOOKUP($C1519,$C$5:$H$18,6,0)+SUMIF($C$19:$C1519,$C1519,$F$19:$F1519)-SUMIF($C$19:$C1519,$C1519,$G$19:$G1519),"")</f>
        <v>81211.819999998</v>
      </c>
      <c r="I1519" s="147"/>
      <c r="J1519" s="147"/>
      <c r="K1519" s="147" t="str">
        <f t="shared" si="23"/>
        <v/>
      </c>
      <c r="L1519" s="40"/>
      <c r="M1519"/>
      <c r="N1519"/>
      <c r="O1519"/>
      <c r="P1519"/>
      <c r="Q1519"/>
      <c r="R1519"/>
      <c r="S1519"/>
      <c r="T1519"/>
      <c r="U1519"/>
      <c r="V1519"/>
      <c r="W1519" s="41"/>
      <c r="X1519" s="41"/>
      <c r="Y1519" s="41"/>
    </row>
    <row r="1520" s="27" customFormat="1" ht="23" hidden="1" customHeight="1" spans="1:25">
      <c r="A1520" s="133" t="str">
        <f>IF(B1520="","",COUNTA($B$5:B1520))</f>
        <v/>
      </c>
      <c r="B1520" s="148"/>
      <c r="C1520" s="22" t="s">
        <v>49</v>
      </c>
      <c r="D1520" s="149"/>
      <c r="E1520" s="150"/>
      <c r="F1520" s="151"/>
      <c r="G1520" s="151"/>
      <c r="H1520" s="142">
        <f>IFERROR(VLOOKUP($C1520,$C$5:$H$18,6,0)+SUMIF($C$19:$C1520,$C1520,$F$19:$F1520)-SUMIF($C$19:$C1520,$C1520,$G$19:$G1520),"")</f>
        <v>81211.819999998</v>
      </c>
      <c r="I1520" s="147"/>
      <c r="J1520" s="147"/>
      <c r="K1520" s="147" t="str">
        <f t="shared" si="23"/>
        <v/>
      </c>
      <c r="L1520" s="40"/>
      <c r="M1520"/>
      <c r="N1520"/>
      <c r="O1520"/>
      <c r="P1520"/>
      <c r="Q1520"/>
      <c r="R1520"/>
      <c r="S1520"/>
      <c r="T1520"/>
      <c r="U1520"/>
      <c r="V1520"/>
      <c r="W1520" s="41"/>
      <c r="X1520" s="41"/>
      <c r="Y1520" s="41"/>
    </row>
    <row r="1521" s="27" customFormat="1" ht="23" hidden="1" customHeight="1" spans="1:25">
      <c r="A1521" s="133" t="str">
        <f>IF(B1521="","",COUNTA($B$5:B1521))</f>
        <v/>
      </c>
      <c r="B1521" s="148"/>
      <c r="C1521" s="22" t="s">
        <v>49</v>
      </c>
      <c r="D1521" s="149"/>
      <c r="E1521" s="150"/>
      <c r="F1521" s="151"/>
      <c r="G1521" s="151"/>
      <c r="H1521" s="142">
        <f>IFERROR(VLOOKUP($C1521,$C$5:$H$18,6,0)+SUMIF($C$19:$C1521,$C1521,$F$19:$F1521)-SUMIF($C$19:$C1521,$C1521,$G$19:$G1521),"")</f>
        <v>81211.819999998</v>
      </c>
      <c r="I1521" s="147"/>
      <c r="J1521" s="147"/>
      <c r="K1521" s="147" t="str">
        <f t="shared" si="23"/>
        <v/>
      </c>
      <c r="L1521" s="40"/>
      <c r="M1521"/>
      <c r="N1521"/>
      <c r="O1521"/>
      <c r="P1521"/>
      <c r="Q1521"/>
      <c r="R1521"/>
      <c r="S1521"/>
      <c r="T1521"/>
      <c r="U1521"/>
      <c r="V1521"/>
      <c r="W1521" s="41"/>
      <c r="X1521" s="41"/>
      <c r="Y1521" s="41"/>
    </row>
    <row r="1522" s="27" customFormat="1" ht="23" hidden="1" customHeight="1" spans="1:25">
      <c r="A1522" s="133" t="str">
        <f>IF(B1522="","",COUNTA($B$5:B1522))</f>
        <v/>
      </c>
      <c r="B1522" s="148"/>
      <c r="C1522" s="22" t="s">
        <v>49</v>
      </c>
      <c r="D1522" s="149"/>
      <c r="E1522" s="150"/>
      <c r="F1522" s="151"/>
      <c r="G1522" s="151"/>
      <c r="H1522" s="142">
        <f>IFERROR(VLOOKUP($C1522,$C$5:$H$18,6,0)+SUMIF($C$19:$C1522,$C1522,$F$19:$F1522)-SUMIF($C$19:$C1522,$C1522,$G$19:$G1522),"")</f>
        <v>81211.819999998</v>
      </c>
      <c r="I1522" s="147"/>
      <c r="J1522" s="147"/>
      <c r="K1522" s="147" t="str">
        <f t="shared" si="23"/>
        <v/>
      </c>
      <c r="L1522" s="40"/>
      <c r="M1522"/>
      <c r="N1522"/>
      <c r="O1522"/>
      <c r="P1522"/>
      <c r="Q1522"/>
      <c r="R1522"/>
      <c r="S1522"/>
      <c r="T1522"/>
      <c r="U1522"/>
      <c r="V1522"/>
      <c r="W1522" s="41"/>
      <c r="X1522" s="41"/>
      <c r="Y1522" s="41"/>
    </row>
    <row r="1523" s="27" customFormat="1" ht="23" hidden="1" customHeight="1" spans="1:25">
      <c r="A1523" s="133" t="str">
        <f>IF(B1523="","",COUNTA($B$5:B1523))</f>
        <v/>
      </c>
      <c r="B1523" s="148"/>
      <c r="C1523" s="22" t="s">
        <v>49</v>
      </c>
      <c r="D1523" s="149"/>
      <c r="E1523" s="150"/>
      <c r="F1523" s="151"/>
      <c r="G1523" s="151"/>
      <c r="H1523" s="142">
        <f>IFERROR(VLOOKUP($C1523,$C$5:$H$18,6,0)+SUMIF($C$19:$C1523,$C1523,$F$19:$F1523)-SUMIF($C$19:$C1523,$C1523,$G$19:$G1523),"")</f>
        <v>81211.819999998</v>
      </c>
      <c r="I1523" s="147"/>
      <c r="J1523" s="147"/>
      <c r="K1523" s="147" t="str">
        <f t="shared" si="23"/>
        <v/>
      </c>
      <c r="L1523" s="40"/>
      <c r="M1523"/>
      <c r="N1523"/>
      <c r="O1523"/>
      <c r="P1523"/>
      <c r="Q1523"/>
      <c r="R1523"/>
      <c r="S1523"/>
      <c r="T1523"/>
      <c r="U1523"/>
      <c r="V1523"/>
      <c r="W1523" s="41"/>
      <c r="X1523" s="41"/>
      <c r="Y1523" s="41"/>
    </row>
    <row r="1524" s="27" customFormat="1" ht="23" hidden="1" customHeight="1" spans="1:25">
      <c r="A1524" s="133" t="str">
        <f>IF(B1524="","",COUNTA($B$5:B1524))</f>
        <v/>
      </c>
      <c r="B1524" s="148"/>
      <c r="C1524" s="22" t="s">
        <v>49</v>
      </c>
      <c r="D1524" s="149"/>
      <c r="E1524" s="150"/>
      <c r="F1524" s="151"/>
      <c r="G1524" s="151"/>
      <c r="H1524" s="142">
        <f>IFERROR(VLOOKUP($C1524,$C$5:$H$18,6,0)+SUMIF($C$19:$C1524,$C1524,$F$19:$F1524)-SUMIF($C$19:$C1524,$C1524,$G$19:$G1524),"")</f>
        <v>81211.819999998</v>
      </c>
      <c r="I1524" s="147"/>
      <c r="J1524" s="147"/>
      <c r="K1524" s="147" t="str">
        <f t="shared" si="23"/>
        <v/>
      </c>
      <c r="L1524" s="40"/>
      <c r="M1524"/>
      <c r="N1524"/>
      <c r="O1524"/>
      <c r="P1524"/>
      <c r="Q1524"/>
      <c r="R1524"/>
      <c r="S1524"/>
      <c r="T1524"/>
      <c r="U1524"/>
      <c r="V1524"/>
      <c r="W1524" s="41"/>
      <c r="X1524" s="41"/>
      <c r="Y1524" s="41"/>
    </row>
    <row r="1525" s="27" customFormat="1" ht="23" hidden="1" customHeight="1" spans="1:25">
      <c r="A1525" s="133" t="str">
        <f>IF(B1525="","",COUNTA($B$5:B1525))</f>
        <v/>
      </c>
      <c r="B1525" s="148"/>
      <c r="C1525" s="22" t="s">
        <v>49</v>
      </c>
      <c r="D1525" s="149"/>
      <c r="E1525" s="150"/>
      <c r="F1525" s="151"/>
      <c r="G1525" s="151"/>
      <c r="H1525" s="142">
        <f>IFERROR(VLOOKUP($C1525,$C$5:$H$18,6,0)+SUMIF($C$19:$C1525,$C1525,$F$19:$F1525)-SUMIF($C$19:$C1525,$C1525,$G$19:$G1525),"")</f>
        <v>81211.819999998</v>
      </c>
      <c r="I1525" s="147"/>
      <c r="J1525" s="147"/>
      <c r="K1525" s="147" t="str">
        <f t="shared" si="23"/>
        <v/>
      </c>
      <c r="L1525" s="40"/>
      <c r="M1525"/>
      <c r="N1525"/>
      <c r="O1525"/>
      <c r="P1525"/>
      <c r="Q1525"/>
      <c r="R1525"/>
      <c r="S1525"/>
      <c r="T1525"/>
      <c r="U1525"/>
      <c r="V1525"/>
      <c r="W1525" s="41"/>
      <c r="X1525" s="41"/>
      <c r="Y1525" s="41"/>
    </row>
    <row r="1526" s="27" customFormat="1" ht="23" hidden="1" customHeight="1" spans="1:25">
      <c r="A1526" s="133" t="str">
        <f>IF(B1526="","",COUNTA($B$5:B1526))</f>
        <v/>
      </c>
      <c r="B1526" s="148"/>
      <c r="C1526" s="22" t="s">
        <v>49</v>
      </c>
      <c r="D1526" s="149"/>
      <c r="E1526" s="150"/>
      <c r="F1526" s="151"/>
      <c r="G1526" s="151"/>
      <c r="H1526" s="142">
        <f>IFERROR(VLOOKUP($C1526,$C$5:$H$18,6,0)+SUMIF($C$19:$C1526,$C1526,$F$19:$F1526)-SUMIF($C$19:$C1526,$C1526,$G$19:$G1526),"")</f>
        <v>81211.819999998</v>
      </c>
      <c r="I1526" s="147"/>
      <c r="J1526" s="147"/>
      <c r="K1526" s="147" t="str">
        <f t="shared" si="23"/>
        <v/>
      </c>
      <c r="L1526" s="40"/>
      <c r="M1526"/>
      <c r="N1526"/>
      <c r="O1526"/>
      <c r="P1526"/>
      <c r="Q1526"/>
      <c r="R1526"/>
      <c r="S1526"/>
      <c r="T1526"/>
      <c r="U1526"/>
      <c r="V1526"/>
      <c r="W1526" s="41"/>
      <c r="X1526" s="41"/>
      <c r="Y1526" s="41"/>
    </row>
    <row r="1527" s="27" customFormat="1" ht="23" hidden="1" customHeight="1" spans="1:25">
      <c r="A1527" s="133" t="str">
        <f>IF(B1527="","",COUNTA($B$5:B1527))</f>
        <v/>
      </c>
      <c r="B1527" s="148"/>
      <c r="C1527" s="22" t="s">
        <v>49</v>
      </c>
      <c r="D1527" s="149"/>
      <c r="E1527" s="150"/>
      <c r="F1527" s="151"/>
      <c r="G1527" s="151"/>
      <c r="H1527" s="142">
        <f>IFERROR(VLOOKUP($C1527,$C$5:$H$18,6,0)+SUMIF($C$19:$C1527,$C1527,$F$19:$F1527)-SUMIF($C$19:$C1527,$C1527,$G$19:$G1527),"")</f>
        <v>81211.819999998</v>
      </c>
      <c r="I1527" s="147"/>
      <c r="J1527" s="147"/>
      <c r="K1527" s="147" t="str">
        <f t="shared" si="23"/>
        <v/>
      </c>
      <c r="L1527" s="40"/>
      <c r="M1527"/>
      <c r="N1527"/>
      <c r="O1527"/>
      <c r="P1527"/>
      <c r="Q1527"/>
      <c r="R1527"/>
      <c r="S1527"/>
      <c r="T1527"/>
      <c r="U1527"/>
      <c r="V1527"/>
      <c r="W1527" s="41"/>
      <c r="X1527" s="41"/>
      <c r="Y1527" s="41"/>
    </row>
    <row r="1528" s="27" customFormat="1" ht="23" hidden="1" customHeight="1" spans="1:25">
      <c r="A1528" s="133" t="str">
        <f>IF(B1528="","",COUNTA($B$5:B1528))</f>
        <v/>
      </c>
      <c r="B1528" s="148"/>
      <c r="C1528" s="22" t="s">
        <v>49</v>
      </c>
      <c r="D1528" s="149"/>
      <c r="E1528" s="150"/>
      <c r="F1528" s="151"/>
      <c r="G1528" s="151"/>
      <c r="H1528" s="142">
        <f>IFERROR(VLOOKUP($C1528,$C$5:$H$18,6,0)+SUMIF($C$19:$C1528,$C1528,$F$19:$F1528)-SUMIF($C$19:$C1528,$C1528,$G$19:$G1528),"")</f>
        <v>81211.819999998</v>
      </c>
      <c r="I1528" s="147"/>
      <c r="J1528" s="147"/>
      <c r="K1528" s="147" t="str">
        <f t="shared" si="23"/>
        <v/>
      </c>
      <c r="L1528" s="40"/>
      <c r="M1528"/>
      <c r="N1528"/>
      <c r="O1528"/>
      <c r="P1528"/>
      <c r="Q1528"/>
      <c r="R1528"/>
      <c r="S1528"/>
      <c r="T1528"/>
      <c r="U1528"/>
      <c r="V1528"/>
      <c r="W1528" s="41"/>
      <c r="X1528" s="41"/>
      <c r="Y1528" s="41"/>
    </row>
    <row r="1529" s="27" customFormat="1" ht="23" hidden="1" customHeight="1" spans="1:25">
      <c r="A1529" s="133" t="str">
        <f>IF(B1529="","",COUNTA($B$5:B1529))</f>
        <v/>
      </c>
      <c r="B1529" s="148"/>
      <c r="C1529" s="22" t="s">
        <v>49</v>
      </c>
      <c r="D1529" s="149"/>
      <c r="E1529" s="150"/>
      <c r="F1529" s="151"/>
      <c r="G1529" s="151"/>
      <c r="H1529" s="142">
        <f>IFERROR(VLOOKUP($C1529,$C$5:$H$18,6,0)+SUMIF($C$19:$C1529,$C1529,$F$19:$F1529)-SUMIF($C$19:$C1529,$C1529,$G$19:$G1529),"")</f>
        <v>81211.819999998</v>
      </c>
      <c r="I1529" s="147"/>
      <c r="J1529" s="147"/>
      <c r="K1529" s="147" t="str">
        <f t="shared" si="23"/>
        <v/>
      </c>
      <c r="L1529" s="40"/>
      <c r="M1529"/>
      <c r="N1529"/>
      <c r="O1529"/>
      <c r="P1529"/>
      <c r="Q1529"/>
      <c r="R1529"/>
      <c r="S1529"/>
      <c r="T1529"/>
      <c r="U1529"/>
      <c r="V1529"/>
      <c r="W1529" s="41"/>
      <c r="X1529" s="41"/>
      <c r="Y1529" s="41"/>
    </row>
    <row r="1530" s="27" customFormat="1" ht="23" hidden="1" customHeight="1" spans="1:25">
      <c r="A1530" s="133" t="str">
        <f>IF(B1530="","",COUNTA($B$5:B1530))</f>
        <v/>
      </c>
      <c r="B1530" s="148"/>
      <c r="C1530" s="22" t="s">
        <v>49</v>
      </c>
      <c r="D1530" s="149"/>
      <c r="E1530" s="150"/>
      <c r="F1530" s="151"/>
      <c r="G1530" s="151"/>
      <c r="H1530" s="142">
        <f>IFERROR(VLOOKUP($C1530,$C$5:$H$18,6,0)+SUMIF($C$19:$C1530,$C1530,$F$19:$F1530)-SUMIF($C$19:$C1530,$C1530,$G$19:$G1530),"")</f>
        <v>81211.819999998</v>
      </c>
      <c r="I1530" s="147"/>
      <c r="J1530" s="147"/>
      <c r="K1530" s="147" t="str">
        <f t="shared" si="23"/>
        <v/>
      </c>
      <c r="L1530" s="40"/>
      <c r="M1530"/>
      <c r="N1530"/>
      <c r="O1530"/>
      <c r="P1530"/>
      <c r="Q1530"/>
      <c r="R1530"/>
      <c r="S1530"/>
      <c r="T1530"/>
      <c r="U1530"/>
      <c r="V1530"/>
      <c r="W1530" s="41"/>
      <c r="X1530" s="41"/>
      <c r="Y1530" s="41"/>
    </row>
    <row r="1531" s="27" customFormat="1" ht="23" hidden="1" customHeight="1" spans="1:25">
      <c r="A1531" s="133" t="str">
        <f>IF(B1531="","",COUNTA($B$5:B1531))</f>
        <v/>
      </c>
      <c r="B1531" s="148"/>
      <c r="C1531" s="22" t="s">
        <v>49</v>
      </c>
      <c r="D1531" s="149"/>
      <c r="E1531" s="150"/>
      <c r="F1531" s="151"/>
      <c r="G1531" s="151"/>
      <c r="H1531" s="142">
        <f>IFERROR(VLOOKUP($C1531,$C$5:$H$18,6,0)+SUMIF($C$19:$C1531,$C1531,$F$19:$F1531)-SUMIF($C$19:$C1531,$C1531,$G$19:$G1531),"")</f>
        <v>81211.819999998</v>
      </c>
      <c r="I1531" s="147"/>
      <c r="J1531" s="147"/>
      <c r="K1531" s="147" t="str">
        <f t="shared" si="23"/>
        <v/>
      </c>
      <c r="L1531" s="40"/>
      <c r="M1531"/>
      <c r="N1531"/>
      <c r="O1531"/>
      <c r="P1531"/>
      <c r="Q1531"/>
      <c r="R1531"/>
      <c r="S1531"/>
      <c r="T1531"/>
      <c r="U1531"/>
      <c r="V1531"/>
      <c r="W1531" s="41"/>
      <c r="X1531" s="41"/>
      <c r="Y1531" s="41"/>
    </row>
    <row r="1532" s="27" customFormat="1" ht="23" hidden="1" customHeight="1" spans="1:25">
      <c r="A1532" s="133" t="str">
        <f>IF(B1532="","",COUNTA($B$5:B1532))</f>
        <v/>
      </c>
      <c r="B1532" s="148"/>
      <c r="C1532" s="22" t="s">
        <v>49</v>
      </c>
      <c r="D1532" s="149"/>
      <c r="E1532" s="150"/>
      <c r="F1532" s="151"/>
      <c r="G1532" s="151"/>
      <c r="H1532" s="142">
        <f>IFERROR(VLOOKUP($C1532,$C$5:$H$18,6,0)+SUMIF($C$19:$C1532,$C1532,$F$19:$F1532)-SUMIF($C$19:$C1532,$C1532,$G$19:$G1532),"")</f>
        <v>81211.819999998</v>
      </c>
      <c r="I1532" s="147"/>
      <c r="J1532" s="147"/>
      <c r="K1532" s="147" t="str">
        <f t="shared" si="23"/>
        <v/>
      </c>
      <c r="L1532" s="40"/>
      <c r="M1532"/>
      <c r="N1532"/>
      <c r="O1532"/>
      <c r="P1532"/>
      <c r="Q1532"/>
      <c r="R1532"/>
      <c r="S1532"/>
      <c r="T1532"/>
      <c r="U1532"/>
      <c r="V1532"/>
      <c r="W1532" s="41"/>
      <c r="X1532" s="41"/>
      <c r="Y1532" s="41"/>
    </row>
    <row r="1533" s="27" customFormat="1" ht="23" hidden="1" customHeight="1" spans="1:25">
      <c r="A1533" s="133" t="str">
        <f>IF(B1533="","",COUNTA($B$5:B1533))</f>
        <v/>
      </c>
      <c r="B1533" s="148"/>
      <c r="C1533" s="22" t="s">
        <v>49</v>
      </c>
      <c r="D1533" s="149"/>
      <c r="E1533" s="150"/>
      <c r="F1533" s="151"/>
      <c r="G1533" s="151"/>
      <c r="H1533" s="142">
        <f>IFERROR(VLOOKUP($C1533,$C$5:$H$18,6,0)+SUMIF($C$19:$C1533,$C1533,$F$19:$F1533)-SUMIF($C$19:$C1533,$C1533,$G$19:$G1533),"")</f>
        <v>81211.819999998</v>
      </c>
      <c r="I1533" s="147"/>
      <c r="J1533" s="147"/>
      <c r="K1533" s="147" t="str">
        <f t="shared" si="23"/>
        <v/>
      </c>
      <c r="L1533" s="40"/>
      <c r="M1533"/>
      <c r="N1533"/>
      <c r="O1533"/>
      <c r="P1533"/>
      <c r="Q1533"/>
      <c r="R1533"/>
      <c r="S1533"/>
      <c r="T1533"/>
      <c r="U1533"/>
      <c r="V1533"/>
      <c r="W1533" s="41"/>
      <c r="X1533" s="41"/>
      <c r="Y1533" s="41"/>
    </row>
    <row r="1534" s="27" customFormat="1" ht="23" hidden="1" customHeight="1" spans="1:25">
      <c r="A1534" s="133" t="str">
        <f>IF(B1534="","",COUNTA($B$5:B1534))</f>
        <v/>
      </c>
      <c r="B1534" s="148"/>
      <c r="C1534" s="22" t="s">
        <v>49</v>
      </c>
      <c r="D1534" s="149"/>
      <c r="E1534" s="150"/>
      <c r="F1534" s="151"/>
      <c r="G1534" s="151"/>
      <c r="H1534" s="142">
        <f>IFERROR(VLOOKUP($C1534,$C$5:$H$18,6,0)+SUMIF($C$19:$C1534,$C1534,$F$19:$F1534)-SUMIF($C$19:$C1534,$C1534,$G$19:$G1534),"")</f>
        <v>81211.819999998</v>
      </c>
      <c r="I1534" s="147"/>
      <c r="J1534" s="147"/>
      <c r="K1534" s="147" t="str">
        <f t="shared" si="23"/>
        <v/>
      </c>
      <c r="L1534" s="40"/>
      <c r="M1534"/>
      <c r="N1534"/>
      <c r="O1534"/>
      <c r="P1534"/>
      <c r="Q1534"/>
      <c r="R1534"/>
      <c r="S1534"/>
      <c r="T1534"/>
      <c r="U1534"/>
      <c r="V1534"/>
      <c r="W1534" s="41"/>
      <c r="X1534" s="41"/>
      <c r="Y1534" s="41"/>
    </row>
    <row r="1535" s="27" customFormat="1" ht="23" hidden="1" customHeight="1" spans="1:25">
      <c r="A1535" s="133" t="str">
        <f>IF(B1535="","",COUNTA($B$5:B1535))</f>
        <v/>
      </c>
      <c r="B1535" s="148"/>
      <c r="C1535" s="22" t="s">
        <v>49</v>
      </c>
      <c r="D1535" s="149"/>
      <c r="E1535" s="150"/>
      <c r="F1535" s="151"/>
      <c r="G1535" s="151"/>
      <c r="H1535" s="142">
        <f>IFERROR(VLOOKUP($C1535,$C$5:$H$18,6,0)+SUMIF($C$19:$C1535,$C1535,$F$19:$F1535)-SUMIF($C$19:$C1535,$C1535,$G$19:$G1535),"")</f>
        <v>81211.819999998</v>
      </c>
      <c r="I1535" s="147"/>
      <c r="J1535" s="147"/>
      <c r="K1535" s="147" t="str">
        <f t="shared" si="23"/>
        <v/>
      </c>
      <c r="L1535" s="40"/>
      <c r="M1535"/>
      <c r="N1535"/>
      <c r="O1535"/>
      <c r="P1535"/>
      <c r="Q1535"/>
      <c r="R1535"/>
      <c r="S1535"/>
      <c r="T1535"/>
      <c r="U1535"/>
      <c r="V1535"/>
      <c r="W1535" s="41"/>
      <c r="X1535" s="41"/>
      <c r="Y1535" s="41"/>
    </row>
    <row r="1536" s="27" customFormat="1" ht="23" hidden="1" customHeight="1" spans="1:25">
      <c r="A1536" s="133" t="str">
        <f>IF(B1536="","",COUNTA($B$5:B1536))</f>
        <v/>
      </c>
      <c r="B1536" s="148"/>
      <c r="C1536" s="22" t="s">
        <v>49</v>
      </c>
      <c r="D1536" s="149"/>
      <c r="E1536" s="150"/>
      <c r="F1536" s="151"/>
      <c r="G1536" s="151"/>
      <c r="H1536" s="142">
        <f>IFERROR(VLOOKUP($C1536,$C$5:$H$18,6,0)+SUMIF($C$19:$C1536,$C1536,$F$19:$F1536)-SUMIF($C$19:$C1536,$C1536,$G$19:$G1536),"")</f>
        <v>81211.819999998</v>
      </c>
      <c r="I1536" s="147"/>
      <c r="J1536" s="147"/>
      <c r="K1536" s="147" t="str">
        <f t="shared" si="23"/>
        <v/>
      </c>
      <c r="L1536" s="40"/>
      <c r="M1536"/>
      <c r="N1536"/>
      <c r="O1536"/>
      <c r="P1536"/>
      <c r="Q1536"/>
      <c r="R1536"/>
      <c r="S1536"/>
      <c r="T1536"/>
      <c r="U1536"/>
      <c r="V1536"/>
      <c r="W1536" s="41"/>
      <c r="X1536" s="41"/>
      <c r="Y1536" s="41"/>
    </row>
    <row r="1537" s="27" customFormat="1" ht="23" hidden="1" customHeight="1" spans="1:25">
      <c r="A1537" s="133" t="str">
        <f>IF(B1537="","",COUNTA($B$5:B1537))</f>
        <v/>
      </c>
      <c r="B1537" s="148"/>
      <c r="C1537" s="22" t="s">
        <v>49</v>
      </c>
      <c r="D1537" s="149"/>
      <c r="E1537" s="150"/>
      <c r="F1537" s="151"/>
      <c r="G1537" s="151"/>
      <c r="H1537" s="142">
        <f>IFERROR(VLOOKUP($C1537,$C$5:$H$18,6,0)+SUMIF($C$19:$C1537,$C1537,$F$19:$F1537)-SUMIF($C$19:$C1537,$C1537,$G$19:$G1537),"")</f>
        <v>81211.819999998</v>
      </c>
      <c r="I1537" s="147"/>
      <c r="J1537" s="147"/>
      <c r="K1537" s="147" t="str">
        <f t="shared" si="23"/>
        <v/>
      </c>
      <c r="L1537" s="40"/>
      <c r="M1537"/>
      <c r="N1537"/>
      <c r="O1537"/>
      <c r="P1537"/>
      <c r="Q1537"/>
      <c r="R1537"/>
      <c r="S1537"/>
      <c r="T1537"/>
      <c r="U1537"/>
      <c r="V1537"/>
      <c r="W1537" s="41"/>
      <c r="X1537" s="41"/>
      <c r="Y1537" s="41"/>
    </row>
    <row r="1538" s="27" customFormat="1" ht="23" hidden="1" customHeight="1" spans="1:25">
      <c r="A1538" s="133" t="str">
        <f>IF(B1538="","",COUNTA($B$5:B1538))</f>
        <v/>
      </c>
      <c r="B1538" s="148"/>
      <c r="C1538" s="22" t="s">
        <v>49</v>
      </c>
      <c r="D1538" s="149"/>
      <c r="E1538" s="150"/>
      <c r="F1538" s="151"/>
      <c r="G1538" s="151"/>
      <c r="H1538" s="142">
        <f>IFERROR(VLOOKUP($C1538,$C$5:$H$18,6,0)+SUMIF($C$19:$C1538,$C1538,$F$19:$F1538)-SUMIF($C$19:$C1538,$C1538,$G$19:$G1538),"")</f>
        <v>81211.819999998</v>
      </c>
      <c r="I1538" s="147"/>
      <c r="J1538" s="147"/>
      <c r="K1538" s="147" t="str">
        <f t="shared" si="23"/>
        <v/>
      </c>
      <c r="L1538" s="40"/>
      <c r="M1538"/>
      <c r="N1538"/>
      <c r="O1538"/>
      <c r="P1538"/>
      <c r="Q1538"/>
      <c r="R1538"/>
      <c r="S1538"/>
      <c r="T1538"/>
      <c r="U1538"/>
      <c r="V1538"/>
      <c r="W1538" s="41"/>
      <c r="X1538" s="41"/>
      <c r="Y1538" s="41"/>
    </row>
    <row r="1539" s="27" customFormat="1" ht="23" hidden="1" customHeight="1" spans="1:25">
      <c r="A1539" s="133" t="str">
        <f>IF(B1539="","",COUNTA($B$5:B1539))</f>
        <v/>
      </c>
      <c r="B1539" s="148"/>
      <c r="C1539" s="22" t="s">
        <v>49</v>
      </c>
      <c r="D1539" s="149"/>
      <c r="E1539" s="150"/>
      <c r="F1539" s="151"/>
      <c r="G1539" s="151"/>
      <c r="H1539" s="142">
        <f>IFERROR(VLOOKUP($C1539,$C$5:$H$18,6,0)+SUMIF($C$19:$C1539,$C1539,$F$19:$F1539)-SUMIF($C$19:$C1539,$C1539,$G$19:$G1539),"")</f>
        <v>81211.819999998</v>
      </c>
      <c r="I1539" s="147"/>
      <c r="J1539" s="147"/>
      <c r="K1539" s="147" t="str">
        <f t="shared" si="23"/>
        <v/>
      </c>
      <c r="L1539" s="40"/>
      <c r="M1539"/>
      <c r="N1539"/>
      <c r="O1539"/>
      <c r="P1539"/>
      <c r="Q1539"/>
      <c r="R1539"/>
      <c r="S1539"/>
      <c r="T1539"/>
      <c r="U1539"/>
      <c r="V1539"/>
      <c r="W1539" s="41"/>
      <c r="X1539" s="41"/>
      <c r="Y1539" s="41"/>
    </row>
    <row r="1540" s="27" customFormat="1" ht="23" hidden="1" customHeight="1" spans="1:25">
      <c r="A1540" s="133" t="str">
        <f>IF(B1540="","",COUNTA($B$5:B1540))</f>
        <v/>
      </c>
      <c r="B1540" s="148"/>
      <c r="C1540" s="22" t="s">
        <v>49</v>
      </c>
      <c r="D1540" s="149"/>
      <c r="E1540" s="150"/>
      <c r="F1540" s="151"/>
      <c r="G1540" s="151"/>
      <c r="H1540" s="142">
        <f>IFERROR(VLOOKUP($C1540,$C$5:$H$18,6,0)+SUMIF($C$19:$C1540,$C1540,$F$19:$F1540)-SUMIF($C$19:$C1540,$C1540,$G$19:$G1540),"")</f>
        <v>81211.819999998</v>
      </c>
      <c r="I1540" s="147"/>
      <c r="J1540" s="147"/>
      <c r="K1540" s="147" t="str">
        <f t="shared" si="23"/>
        <v/>
      </c>
      <c r="L1540" s="40"/>
      <c r="M1540"/>
      <c r="N1540"/>
      <c r="O1540"/>
      <c r="P1540"/>
      <c r="Q1540"/>
      <c r="R1540"/>
      <c r="S1540"/>
      <c r="T1540"/>
      <c r="U1540"/>
      <c r="V1540"/>
      <c r="W1540" s="41"/>
      <c r="X1540" s="41"/>
      <c r="Y1540" s="41"/>
    </row>
    <row r="1541" s="27" customFormat="1" ht="23" hidden="1" customHeight="1" spans="1:25">
      <c r="A1541" s="133" t="str">
        <f>IF(B1541="","",COUNTA($B$5:B1541))</f>
        <v/>
      </c>
      <c r="B1541" s="148"/>
      <c r="C1541" s="22" t="s">
        <v>49</v>
      </c>
      <c r="D1541" s="149"/>
      <c r="E1541" s="150"/>
      <c r="F1541" s="151"/>
      <c r="G1541" s="151"/>
      <c r="H1541" s="142">
        <f>IFERROR(VLOOKUP($C1541,$C$5:$H$18,6,0)+SUMIF($C$19:$C1541,$C1541,$F$19:$F1541)-SUMIF($C$19:$C1541,$C1541,$G$19:$G1541),"")</f>
        <v>81211.819999998</v>
      </c>
      <c r="I1541" s="147"/>
      <c r="J1541" s="147"/>
      <c r="K1541" s="147" t="str">
        <f t="shared" ref="K1541:K1604" si="24">IF($B1541="","",--TEXT($B1541,"yyyymm"))</f>
        <v/>
      </c>
      <c r="L1541" s="40"/>
      <c r="M1541"/>
      <c r="N1541"/>
      <c r="O1541"/>
      <c r="P1541"/>
      <c r="Q1541"/>
      <c r="R1541"/>
      <c r="S1541"/>
      <c r="T1541"/>
      <c r="U1541"/>
      <c r="V1541"/>
      <c r="W1541" s="41"/>
      <c r="X1541" s="41"/>
      <c r="Y1541" s="41"/>
    </row>
    <row r="1542" s="27" customFormat="1" ht="23" hidden="1" customHeight="1" spans="1:25">
      <c r="A1542" s="133" t="str">
        <f>IF(B1542="","",COUNTA($B$5:B1542))</f>
        <v/>
      </c>
      <c r="B1542" s="148"/>
      <c r="C1542" s="22" t="s">
        <v>49</v>
      </c>
      <c r="D1542" s="149"/>
      <c r="E1542" s="150"/>
      <c r="F1542" s="151"/>
      <c r="G1542" s="151"/>
      <c r="H1542" s="142">
        <f>IFERROR(VLOOKUP($C1542,$C$5:$H$18,6,0)+SUMIF($C$19:$C1542,$C1542,$F$19:$F1542)-SUMIF($C$19:$C1542,$C1542,$G$19:$G1542),"")</f>
        <v>81211.819999998</v>
      </c>
      <c r="I1542" s="147"/>
      <c r="J1542" s="147"/>
      <c r="K1542" s="147" t="str">
        <f t="shared" si="24"/>
        <v/>
      </c>
      <c r="L1542" s="40"/>
      <c r="M1542"/>
      <c r="N1542"/>
      <c r="O1542"/>
      <c r="P1542"/>
      <c r="Q1542"/>
      <c r="R1542"/>
      <c r="S1542"/>
      <c r="T1542"/>
      <c r="U1542"/>
      <c r="V1542"/>
      <c r="W1542" s="41"/>
      <c r="X1542" s="41"/>
      <c r="Y1542" s="41"/>
    </row>
    <row r="1543" s="27" customFormat="1" ht="23" hidden="1" customHeight="1" spans="1:25">
      <c r="A1543" s="133" t="str">
        <f>IF(B1543="","",COUNTA($B$5:B1543))</f>
        <v/>
      </c>
      <c r="B1543" s="148"/>
      <c r="C1543" s="22" t="s">
        <v>49</v>
      </c>
      <c r="D1543" s="149"/>
      <c r="E1543" s="150"/>
      <c r="F1543" s="151"/>
      <c r="G1543" s="151"/>
      <c r="H1543" s="142">
        <f>IFERROR(VLOOKUP($C1543,$C$5:$H$18,6,0)+SUMIF($C$19:$C1543,$C1543,$F$19:$F1543)-SUMIF($C$19:$C1543,$C1543,$G$19:$G1543),"")</f>
        <v>81211.819999998</v>
      </c>
      <c r="I1543" s="147"/>
      <c r="J1543" s="147"/>
      <c r="K1543" s="147" t="str">
        <f t="shared" si="24"/>
        <v/>
      </c>
      <c r="L1543" s="40"/>
      <c r="M1543"/>
      <c r="N1543"/>
      <c r="O1543"/>
      <c r="P1543"/>
      <c r="Q1543"/>
      <c r="R1543"/>
      <c r="S1543"/>
      <c r="T1543"/>
      <c r="U1543"/>
      <c r="V1543"/>
      <c r="W1543" s="41"/>
      <c r="X1543" s="41"/>
      <c r="Y1543" s="41"/>
    </row>
    <row r="1544" s="27" customFormat="1" ht="23" hidden="1" customHeight="1" spans="1:25">
      <c r="A1544" s="133" t="str">
        <f>IF(B1544="","",COUNTA($B$5:B1544))</f>
        <v/>
      </c>
      <c r="B1544" s="148"/>
      <c r="C1544" s="22" t="s">
        <v>49</v>
      </c>
      <c r="D1544" s="149"/>
      <c r="E1544" s="150"/>
      <c r="F1544" s="151"/>
      <c r="G1544" s="151"/>
      <c r="H1544" s="142">
        <f>IFERROR(VLOOKUP($C1544,$C$5:$H$18,6,0)+SUMIF($C$19:$C1544,$C1544,$F$19:$F1544)-SUMIF($C$19:$C1544,$C1544,$G$19:$G1544),"")</f>
        <v>81211.819999998</v>
      </c>
      <c r="I1544" s="147"/>
      <c r="J1544" s="147"/>
      <c r="K1544" s="147" t="str">
        <f t="shared" si="24"/>
        <v/>
      </c>
      <c r="L1544" s="40"/>
      <c r="M1544"/>
      <c r="N1544"/>
      <c r="O1544"/>
      <c r="P1544"/>
      <c r="Q1544"/>
      <c r="R1544"/>
      <c r="S1544"/>
      <c r="T1544"/>
      <c r="U1544"/>
      <c r="V1544"/>
      <c r="W1544" s="41"/>
      <c r="X1544" s="41"/>
      <c r="Y1544" s="41"/>
    </row>
    <row r="1545" s="27" customFormat="1" ht="23" hidden="1" customHeight="1" spans="1:25">
      <c r="A1545" s="133" t="str">
        <f>IF(B1545="","",COUNTA($B$5:B1545))</f>
        <v/>
      </c>
      <c r="B1545" s="148"/>
      <c r="C1545" s="22" t="s">
        <v>49</v>
      </c>
      <c r="D1545" s="149"/>
      <c r="E1545" s="150"/>
      <c r="F1545" s="151"/>
      <c r="G1545" s="151"/>
      <c r="H1545" s="142">
        <f>IFERROR(VLOOKUP($C1545,$C$5:$H$18,6,0)+SUMIF($C$19:$C1545,$C1545,$F$19:$F1545)-SUMIF($C$19:$C1545,$C1545,$G$19:$G1545),"")</f>
        <v>81211.819999998</v>
      </c>
      <c r="I1545" s="147"/>
      <c r="J1545" s="147"/>
      <c r="K1545" s="147" t="str">
        <f t="shared" si="24"/>
        <v/>
      </c>
      <c r="L1545" s="40"/>
      <c r="M1545"/>
      <c r="N1545"/>
      <c r="O1545"/>
      <c r="P1545"/>
      <c r="Q1545"/>
      <c r="R1545"/>
      <c r="S1545"/>
      <c r="T1545"/>
      <c r="U1545"/>
      <c r="V1545"/>
      <c r="W1545" s="41"/>
      <c r="X1545" s="41"/>
      <c r="Y1545" s="41"/>
    </row>
    <row r="1546" s="27" customFormat="1" ht="23" hidden="1" customHeight="1" spans="1:25">
      <c r="A1546" s="133" t="str">
        <f>IF(B1546="","",COUNTA($B$5:B1546))</f>
        <v/>
      </c>
      <c r="B1546" s="148"/>
      <c r="C1546" s="22" t="s">
        <v>49</v>
      </c>
      <c r="D1546" s="149"/>
      <c r="E1546" s="150"/>
      <c r="F1546" s="151"/>
      <c r="G1546" s="151"/>
      <c r="H1546" s="142">
        <f>IFERROR(VLOOKUP($C1546,$C$5:$H$18,6,0)+SUMIF($C$19:$C1546,$C1546,$F$19:$F1546)-SUMIF($C$19:$C1546,$C1546,$G$19:$G1546),"")</f>
        <v>81211.819999998</v>
      </c>
      <c r="I1546" s="147"/>
      <c r="J1546" s="147"/>
      <c r="K1546" s="147" t="str">
        <f t="shared" si="24"/>
        <v/>
      </c>
      <c r="L1546" s="40"/>
      <c r="M1546"/>
      <c r="N1546"/>
      <c r="O1546"/>
      <c r="P1546"/>
      <c r="Q1546"/>
      <c r="R1546"/>
      <c r="S1546"/>
      <c r="T1546"/>
      <c r="U1546"/>
      <c r="V1546"/>
      <c r="W1546" s="41"/>
      <c r="X1546" s="41"/>
      <c r="Y1546" s="41"/>
    </row>
    <row r="1547" s="27" customFormat="1" ht="23" hidden="1" customHeight="1" spans="1:25">
      <c r="A1547" s="133" t="str">
        <f>IF(B1547="","",COUNTA($B$5:B1547))</f>
        <v/>
      </c>
      <c r="B1547" s="148"/>
      <c r="C1547" s="22" t="s">
        <v>49</v>
      </c>
      <c r="D1547" s="149"/>
      <c r="E1547" s="150"/>
      <c r="F1547" s="151"/>
      <c r="G1547" s="151"/>
      <c r="H1547" s="142">
        <f>IFERROR(VLOOKUP($C1547,$C$5:$H$18,6,0)+SUMIF($C$19:$C1547,$C1547,$F$19:$F1547)-SUMIF($C$19:$C1547,$C1547,$G$19:$G1547),"")</f>
        <v>81211.819999998</v>
      </c>
      <c r="I1547" s="147"/>
      <c r="J1547" s="147"/>
      <c r="K1547" s="147" t="str">
        <f t="shared" si="24"/>
        <v/>
      </c>
      <c r="L1547" s="40"/>
      <c r="M1547"/>
      <c r="N1547"/>
      <c r="O1547"/>
      <c r="P1547"/>
      <c r="Q1547"/>
      <c r="R1547"/>
      <c r="S1547"/>
      <c r="T1547"/>
      <c r="U1547"/>
      <c r="V1547"/>
      <c r="W1547" s="41"/>
      <c r="X1547" s="41"/>
      <c r="Y1547" s="41"/>
    </row>
    <row r="1548" s="27" customFormat="1" ht="23" hidden="1" customHeight="1" spans="1:25">
      <c r="A1548" s="133" t="str">
        <f>IF(B1548="","",COUNTA($B$5:B1548))</f>
        <v/>
      </c>
      <c r="B1548" s="148"/>
      <c r="C1548" s="22" t="s">
        <v>49</v>
      </c>
      <c r="D1548" s="149"/>
      <c r="E1548" s="150"/>
      <c r="F1548" s="151"/>
      <c r="G1548" s="151"/>
      <c r="H1548" s="142">
        <f>IFERROR(VLOOKUP($C1548,$C$5:$H$18,6,0)+SUMIF($C$19:$C1548,$C1548,$F$19:$F1548)-SUMIF($C$19:$C1548,$C1548,$G$19:$G1548),"")</f>
        <v>81211.819999998</v>
      </c>
      <c r="I1548" s="147"/>
      <c r="J1548" s="147"/>
      <c r="K1548" s="147" t="str">
        <f t="shared" si="24"/>
        <v/>
      </c>
      <c r="L1548" s="40"/>
      <c r="M1548"/>
      <c r="N1548"/>
      <c r="O1548"/>
      <c r="P1548"/>
      <c r="Q1548"/>
      <c r="R1548"/>
      <c r="S1548"/>
      <c r="T1548"/>
      <c r="U1548"/>
      <c r="V1548"/>
      <c r="W1548" s="41"/>
      <c r="X1548" s="41"/>
      <c r="Y1548" s="41"/>
    </row>
    <row r="1549" s="27" customFormat="1" ht="23" hidden="1" customHeight="1" spans="1:25">
      <c r="A1549" s="133" t="str">
        <f>IF(B1549="","",COUNTA($B$5:B1549))</f>
        <v/>
      </c>
      <c r="B1549" s="148"/>
      <c r="C1549" s="22" t="s">
        <v>49</v>
      </c>
      <c r="D1549" s="149"/>
      <c r="E1549" s="150"/>
      <c r="F1549" s="151"/>
      <c r="G1549" s="151"/>
      <c r="H1549" s="142">
        <f>IFERROR(VLOOKUP($C1549,$C$5:$H$18,6,0)+SUMIF($C$19:$C1549,$C1549,$F$19:$F1549)-SUMIF($C$19:$C1549,$C1549,$G$19:$G1549),"")</f>
        <v>81211.819999998</v>
      </c>
      <c r="I1549" s="147"/>
      <c r="J1549" s="147"/>
      <c r="K1549" s="147" t="str">
        <f t="shared" si="24"/>
        <v/>
      </c>
      <c r="L1549" s="40"/>
      <c r="M1549"/>
      <c r="N1549"/>
      <c r="O1549"/>
      <c r="P1549"/>
      <c r="Q1549"/>
      <c r="R1549"/>
      <c r="S1549"/>
      <c r="T1549"/>
      <c r="U1549"/>
      <c r="V1549"/>
      <c r="W1549" s="41"/>
      <c r="X1549" s="41"/>
      <c r="Y1549" s="41"/>
    </row>
    <row r="1550" s="27" customFormat="1" ht="23" hidden="1" customHeight="1" spans="1:25">
      <c r="A1550" s="133" t="str">
        <f>IF(B1550="","",COUNTA($B$5:B1550))</f>
        <v/>
      </c>
      <c r="B1550" s="148"/>
      <c r="C1550" s="22" t="s">
        <v>49</v>
      </c>
      <c r="D1550" s="149"/>
      <c r="E1550" s="150"/>
      <c r="F1550" s="151"/>
      <c r="G1550" s="151"/>
      <c r="H1550" s="142">
        <f>IFERROR(VLOOKUP($C1550,$C$5:$H$18,6,0)+SUMIF($C$19:$C1550,$C1550,$F$19:$F1550)-SUMIF($C$19:$C1550,$C1550,$G$19:$G1550),"")</f>
        <v>81211.819999998</v>
      </c>
      <c r="I1550" s="147"/>
      <c r="J1550" s="147"/>
      <c r="K1550" s="147" t="str">
        <f t="shared" si="24"/>
        <v/>
      </c>
      <c r="L1550" s="40"/>
      <c r="M1550"/>
      <c r="N1550"/>
      <c r="O1550"/>
      <c r="P1550"/>
      <c r="Q1550"/>
      <c r="R1550"/>
      <c r="S1550"/>
      <c r="T1550"/>
      <c r="U1550"/>
      <c r="V1550"/>
      <c r="W1550" s="41"/>
      <c r="X1550" s="41"/>
      <c r="Y1550" s="41"/>
    </row>
    <row r="1551" s="27" customFormat="1" ht="23" hidden="1" customHeight="1" spans="1:25">
      <c r="A1551" s="133" t="str">
        <f>IF(B1551="","",COUNTA($B$5:B1551))</f>
        <v/>
      </c>
      <c r="B1551" s="148"/>
      <c r="C1551" s="22" t="s">
        <v>49</v>
      </c>
      <c r="D1551" s="149"/>
      <c r="E1551" s="150"/>
      <c r="F1551" s="151"/>
      <c r="G1551" s="151"/>
      <c r="H1551" s="142">
        <f>IFERROR(VLOOKUP($C1551,$C$5:$H$18,6,0)+SUMIF($C$19:$C1551,$C1551,$F$19:$F1551)-SUMIF($C$19:$C1551,$C1551,$G$19:$G1551),"")</f>
        <v>81211.819999998</v>
      </c>
      <c r="I1551" s="147"/>
      <c r="J1551" s="147"/>
      <c r="K1551" s="147" t="str">
        <f t="shared" si="24"/>
        <v/>
      </c>
      <c r="L1551" s="40"/>
      <c r="M1551"/>
      <c r="N1551"/>
      <c r="O1551"/>
      <c r="P1551"/>
      <c r="Q1551"/>
      <c r="R1551"/>
      <c r="S1551"/>
      <c r="T1551"/>
      <c r="U1551"/>
      <c r="V1551"/>
      <c r="W1551" s="41"/>
      <c r="X1551" s="41"/>
      <c r="Y1551" s="41"/>
    </row>
    <row r="1552" s="27" customFormat="1" ht="23" hidden="1" customHeight="1" spans="1:25">
      <c r="A1552" s="133" t="str">
        <f>IF(B1552="","",COUNTA($B$5:B1552))</f>
        <v/>
      </c>
      <c r="B1552" s="148"/>
      <c r="C1552" s="22" t="s">
        <v>49</v>
      </c>
      <c r="D1552" s="149"/>
      <c r="E1552" s="150"/>
      <c r="F1552" s="151"/>
      <c r="G1552" s="151"/>
      <c r="H1552" s="142">
        <f>IFERROR(VLOOKUP($C1552,$C$5:$H$18,6,0)+SUMIF($C$19:$C1552,$C1552,$F$19:$F1552)-SUMIF($C$19:$C1552,$C1552,$G$19:$G1552),"")</f>
        <v>81211.819999998</v>
      </c>
      <c r="I1552" s="147"/>
      <c r="J1552" s="147"/>
      <c r="K1552" s="147" t="str">
        <f t="shared" si="24"/>
        <v/>
      </c>
      <c r="L1552" s="40"/>
      <c r="M1552"/>
      <c r="N1552"/>
      <c r="O1552"/>
      <c r="P1552"/>
      <c r="Q1552"/>
      <c r="R1552"/>
      <c r="S1552"/>
      <c r="T1552"/>
      <c r="U1552"/>
      <c r="V1552"/>
      <c r="W1552" s="41"/>
      <c r="X1552" s="41"/>
      <c r="Y1552" s="41"/>
    </row>
    <row r="1553" s="27" customFormat="1" ht="23" hidden="1" customHeight="1" spans="1:25">
      <c r="A1553" s="133" t="str">
        <f>IF(B1553="","",COUNTA($B$5:B1553))</f>
        <v/>
      </c>
      <c r="B1553" s="148"/>
      <c r="C1553" s="22" t="s">
        <v>49</v>
      </c>
      <c r="D1553" s="149"/>
      <c r="E1553" s="150"/>
      <c r="F1553" s="151"/>
      <c r="G1553" s="151"/>
      <c r="H1553" s="142">
        <f>IFERROR(VLOOKUP($C1553,$C$5:$H$18,6,0)+SUMIF($C$19:$C1553,$C1553,$F$19:$F1553)-SUMIF($C$19:$C1553,$C1553,$G$19:$G1553),"")</f>
        <v>81211.819999998</v>
      </c>
      <c r="I1553" s="147"/>
      <c r="J1553" s="147"/>
      <c r="K1553" s="147" t="str">
        <f t="shared" si="24"/>
        <v/>
      </c>
      <c r="L1553" s="40"/>
      <c r="M1553"/>
      <c r="N1553"/>
      <c r="O1553"/>
      <c r="P1553"/>
      <c r="Q1553"/>
      <c r="R1553"/>
      <c r="S1553"/>
      <c r="T1553"/>
      <c r="U1553"/>
      <c r="V1553"/>
      <c r="W1553" s="41"/>
      <c r="X1553" s="41"/>
      <c r="Y1553" s="41"/>
    </row>
    <row r="1554" s="27" customFormat="1" ht="23" hidden="1" customHeight="1" spans="1:25">
      <c r="A1554" s="133" t="str">
        <f>IF(B1554="","",COUNTA($B$5:B1554))</f>
        <v/>
      </c>
      <c r="B1554" s="148"/>
      <c r="C1554" s="22" t="s">
        <v>49</v>
      </c>
      <c r="D1554" s="149"/>
      <c r="E1554" s="150"/>
      <c r="F1554" s="151"/>
      <c r="G1554" s="151"/>
      <c r="H1554" s="142">
        <f>IFERROR(VLOOKUP($C1554,$C$5:$H$18,6,0)+SUMIF($C$19:$C1554,$C1554,$F$19:$F1554)-SUMIF($C$19:$C1554,$C1554,$G$19:$G1554),"")</f>
        <v>81211.819999998</v>
      </c>
      <c r="I1554" s="147"/>
      <c r="J1554" s="147"/>
      <c r="K1554" s="147" t="str">
        <f t="shared" si="24"/>
        <v/>
      </c>
      <c r="L1554" s="40"/>
      <c r="M1554"/>
      <c r="N1554"/>
      <c r="O1554"/>
      <c r="P1554"/>
      <c r="Q1554"/>
      <c r="R1554"/>
      <c r="S1554"/>
      <c r="T1554"/>
      <c r="U1554"/>
      <c r="V1554"/>
      <c r="W1554" s="41"/>
      <c r="X1554" s="41"/>
      <c r="Y1554" s="41"/>
    </row>
    <row r="1555" s="27" customFormat="1" ht="23" hidden="1" customHeight="1" spans="1:25">
      <c r="A1555" s="133" t="str">
        <f>IF(B1555="","",COUNTA($B$5:B1555))</f>
        <v/>
      </c>
      <c r="B1555" s="148"/>
      <c r="C1555" s="22" t="s">
        <v>49</v>
      </c>
      <c r="D1555" s="149"/>
      <c r="E1555" s="150"/>
      <c r="F1555" s="151"/>
      <c r="G1555" s="151"/>
      <c r="H1555" s="142">
        <f>IFERROR(VLOOKUP($C1555,$C$5:$H$18,6,0)+SUMIF($C$19:$C1555,$C1555,$F$19:$F1555)-SUMIF($C$19:$C1555,$C1555,$G$19:$G1555),"")</f>
        <v>81211.819999998</v>
      </c>
      <c r="I1555" s="147"/>
      <c r="J1555" s="147"/>
      <c r="K1555" s="147" t="str">
        <f t="shared" si="24"/>
        <v/>
      </c>
      <c r="L1555" s="40"/>
      <c r="M1555"/>
      <c r="N1555"/>
      <c r="O1555"/>
      <c r="P1555"/>
      <c r="Q1555"/>
      <c r="R1555"/>
      <c r="S1555"/>
      <c r="T1555"/>
      <c r="U1555"/>
      <c r="V1555"/>
      <c r="W1555" s="41"/>
      <c r="X1555" s="41"/>
      <c r="Y1555" s="41"/>
    </row>
    <row r="1556" s="27" customFormat="1" ht="23" hidden="1" customHeight="1" spans="1:25">
      <c r="A1556" s="133" t="str">
        <f>IF(B1556="","",COUNTA($B$5:B1556))</f>
        <v/>
      </c>
      <c r="B1556" s="148"/>
      <c r="C1556" s="22" t="s">
        <v>49</v>
      </c>
      <c r="D1556" s="149"/>
      <c r="E1556" s="150"/>
      <c r="F1556" s="151"/>
      <c r="G1556" s="151"/>
      <c r="H1556" s="142">
        <f>IFERROR(VLOOKUP($C1556,$C$5:$H$18,6,0)+SUMIF($C$19:$C1556,$C1556,$F$19:$F1556)-SUMIF($C$19:$C1556,$C1556,$G$19:$G1556),"")</f>
        <v>81211.819999998</v>
      </c>
      <c r="I1556" s="147"/>
      <c r="J1556" s="147"/>
      <c r="K1556" s="147" t="str">
        <f t="shared" si="24"/>
        <v/>
      </c>
      <c r="L1556" s="40"/>
      <c r="M1556"/>
      <c r="N1556"/>
      <c r="O1556"/>
      <c r="P1556"/>
      <c r="Q1556"/>
      <c r="R1556"/>
      <c r="S1556"/>
      <c r="T1556"/>
      <c r="U1556"/>
      <c r="V1556"/>
      <c r="W1556" s="41"/>
      <c r="X1556" s="41"/>
      <c r="Y1556" s="41"/>
    </row>
    <row r="1557" s="27" customFormat="1" ht="23" hidden="1" customHeight="1" spans="1:25">
      <c r="A1557" s="133" t="str">
        <f>IF(B1557="","",COUNTA($B$5:B1557))</f>
        <v/>
      </c>
      <c r="B1557" s="148"/>
      <c r="C1557" s="22" t="s">
        <v>49</v>
      </c>
      <c r="D1557" s="149"/>
      <c r="E1557" s="150"/>
      <c r="F1557" s="151"/>
      <c r="G1557" s="151"/>
      <c r="H1557" s="142">
        <f>IFERROR(VLOOKUP($C1557,$C$5:$H$18,6,0)+SUMIF($C$19:$C1557,$C1557,$F$19:$F1557)-SUMIF($C$19:$C1557,$C1557,$G$19:$G1557),"")</f>
        <v>81211.819999998</v>
      </c>
      <c r="I1557" s="147"/>
      <c r="J1557" s="147"/>
      <c r="K1557" s="147" t="str">
        <f t="shared" si="24"/>
        <v/>
      </c>
      <c r="L1557" s="40"/>
      <c r="M1557"/>
      <c r="N1557"/>
      <c r="O1557"/>
      <c r="P1557"/>
      <c r="Q1557"/>
      <c r="R1557"/>
      <c r="S1557"/>
      <c r="T1557"/>
      <c r="U1557"/>
      <c r="V1557"/>
      <c r="W1557" s="41"/>
      <c r="X1557" s="41"/>
      <c r="Y1557" s="41"/>
    </row>
    <row r="1558" s="27" customFormat="1" ht="23" hidden="1" customHeight="1" spans="1:25">
      <c r="A1558" s="133" t="str">
        <f>IF(B1558="","",COUNTA($B$5:B1558))</f>
        <v/>
      </c>
      <c r="B1558" s="148"/>
      <c r="C1558" s="22" t="s">
        <v>49</v>
      </c>
      <c r="D1558" s="149"/>
      <c r="E1558" s="150"/>
      <c r="F1558" s="151"/>
      <c r="G1558" s="151"/>
      <c r="H1558" s="142">
        <f>IFERROR(VLOOKUP($C1558,$C$5:$H$18,6,0)+SUMIF($C$19:$C1558,$C1558,$F$19:$F1558)-SUMIF($C$19:$C1558,$C1558,$G$19:$G1558),"")</f>
        <v>81211.819999998</v>
      </c>
      <c r="I1558" s="147"/>
      <c r="J1558" s="147"/>
      <c r="K1558" s="147" t="str">
        <f t="shared" si="24"/>
        <v/>
      </c>
      <c r="L1558" s="40"/>
      <c r="M1558"/>
      <c r="N1558"/>
      <c r="O1558"/>
      <c r="P1558"/>
      <c r="Q1558"/>
      <c r="R1558"/>
      <c r="S1558"/>
      <c r="T1558"/>
      <c r="U1558"/>
      <c r="V1558"/>
      <c r="W1558" s="41"/>
      <c r="X1558" s="41"/>
      <c r="Y1558" s="41"/>
    </row>
    <row r="1559" s="27" customFormat="1" ht="23" hidden="1" customHeight="1" spans="1:25">
      <c r="A1559" s="133" t="str">
        <f>IF(B1559="","",COUNTA($B$5:B1559))</f>
        <v/>
      </c>
      <c r="B1559" s="148"/>
      <c r="C1559" s="22" t="s">
        <v>49</v>
      </c>
      <c r="D1559" s="149"/>
      <c r="E1559" s="150"/>
      <c r="F1559" s="151"/>
      <c r="G1559" s="151"/>
      <c r="H1559" s="142">
        <f>IFERROR(VLOOKUP($C1559,$C$5:$H$18,6,0)+SUMIF($C$19:$C1559,$C1559,$F$19:$F1559)-SUMIF($C$19:$C1559,$C1559,$G$19:$G1559),"")</f>
        <v>81211.819999998</v>
      </c>
      <c r="I1559" s="147"/>
      <c r="J1559" s="147"/>
      <c r="K1559" s="147" t="str">
        <f t="shared" si="24"/>
        <v/>
      </c>
      <c r="L1559" s="40"/>
      <c r="M1559"/>
      <c r="N1559"/>
      <c r="O1559"/>
      <c r="P1559"/>
      <c r="Q1559"/>
      <c r="R1559"/>
      <c r="S1559"/>
      <c r="T1559"/>
      <c r="U1559"/>
      <c r="V1559"/>
      <c r="W1559" s="41"/>
      <c r="X1559" s="41"/>
      <c r="Y1559" s="41"/>
    </row>
    <row r="1560" s="27" customFormat="1" ht="23" hidden="1" customHeight="1" spans="1:25">
      <c r="A1560" s="133" t="str">
        <f>IF(B1560="","",COUNTA($B$5:B1560))</f>
        <v/>
      </c>
      <c r="B1560" s="148"/>
      <c r="C1560" s="22" t="s">
        <v>49</v>
      </c>
      <c r="D1560" s="149"/>
      <c r="E1560" s="150"/>
      <c r="F1560" s="151"/>
      <c r="G1560" s="151"/>
      <c r="H1560" s="142">
        <f>IFERROR(VLOOKUP($C1560,$C$5:$H$18,6,0)+SUMIF($C$19:$C1560,$C1560,$F$19:$F1560)-SUMIF($C$19:$C1560,$C1560,$G$19:$G1560),"")</f>
        <v>81211.819999998</v>
      </c>
      <c r="I1560" s="147"/>
      <c r="J1560" s="147"/>
      <c r="K1560" s="147" t="str">
        <f t="shared" si="24"/>
        <v/>
      </c>
      <c r="L1560" s="40"/>
      <c r="M1560"/>
      <c r="N1560"/>
      <c r="O1560"/>
      <c r="P1560"/>
      <c r="Q1560"/>
      <c r="R1560"/>
      <c r="S1560"/>
      <c r="T1560"/>
      <c r="U1560"/>
      <c r="V1560"/>
      <c r="W1560" s="41"/>
      <c r="X1560" s="41"/>
      <c r="Y1560" s="41"/>
    </row>
    <row r="1561" s="27" customFormat="1" ht="23" hidden="1" customHeight="1" spans="1:25">
      <c r="A1561" s="133" t="str">
        <f>IF(B1561="","",COUNTA($B$5:B1561))</f>
        <v/>
      </c>
      <c r="B1561" s="148"/>
      <c r="C1561" s="22" t="s">
        <v>49</v>
      </c>
      <c r="D1561" s="149"/>
      <c r="E1561" s="150"/>
      <c r="F1561" s="151"/>
      <c r="G1561" s="151"/>
      <c r="H1561" s="142">
        <f>IFERROR(VLOOKUP($C1561,$C$5:$H$18,6,0)+SUMIF($C$19:$C1561,$C1561,$F$19:$F1561)-SUMIF($C$19:$C1561,$C1561,$G$19:$G1561),"")</f>
        <v>81211.819999998</v>
      </c>
      <c r="I1561" s="147"/>
      <c r="J1561" s="147"/>
      <c r="K1561" s="147" t="str">
        <f t="shared" si="24"/>
        <v/>
      </c>
      <c r="L1561" s="40"/>
      <c r="M1561"/>
      <c r="N1561"/>
      <c r="O1561"/>
      <c r="P1561"/>
      <c r="Q1561"/>
      <c r="R1561"/>
      <c r="S1561"/>
      <c r="T1561"/>
      <c r="U1561"/>
      <c r="V1561"/>
      <c r="W1561" s="41"/>
      <c r="X1561" s="41"/>
      <c r="Y1561" s="41"/>
    </row>
    <row r="1562" s="27" customFormat="1" ht="23" hidden="1" customHeight="1" spans="1:25">
      <c r="A1562" s="133" t="str">
        <f>IF(B1562="","",COUNTA($B$5:B1562))</f>
        <v/>
      </c>
      <c r="B1562" s="148"/>
      <c r="C1562" s="22" t="s">
        <v>49</v>
      </c>
      <c r="D1562" s="149"/>
      <c r="E1562" s="150"/>
      <c r="F1562" s="151"/>
      <c r="G1562" s="151"/>
      <c r="H1562" s="142">
        <f>IFERROR(VLOOKUP($C1562,$C$5:$H$18,6,0)+SUMIF($C$19:$C1562,$C1562,$F$19:$F1562)-SUMIF($C$19:$C1562,$C1562,$G$19:$G1562),"")</f>
        <v>81211.819999998</v>
      </c>
      <c r="I1562" s="147"/>
      <c r="J1562" s="147"/>
      <c r="K1562" s="147" t="str">
        <f t="shared" si="24"/>
        <v/>
      </c>
      <c r="L1562" s="40"/>
      <c r="M1562"/>
      <c r="N1562"/>
      <c r="O1562"/>
      <c r="P1562"/>
      <c r="Q1562"/>
      <c r="R1562"/>
      <c r="S1562"/>
      <c r="T1562"/>
      <c r="U1562"/>
      <c r="V1562"/>
      <c r="W1562" s="41"/>
      <c r="X1562" s="41"/>
      <c r="Y1562" s="41"/>
    </row>
    <row r="1563" s="27" customFormat="1" ht="23" hidden="1" customHeight="1" spans="1:25">
      <c r="A1563" s="133" t="str">
        <f>IF(B1563="","",COUNTA($B$5:B1563))</f>
        <v/>
      </c>
      <c r="B1563" s="148"/>
      <c r="C1563" s="22" t="s">
        <v>49</v>
      </c>
      <c r="D1563" s="149"/>
      <c r="E1563" s="150"/>
      <c r="F1563" s="151"/>
      <c r="G1563" s="151"/>
      <c r="H1563" s="142">
        <f>IFERROR(VLOOKUP($C1563,$C$5:$H$18,6,0)+SUMIF($C$19:$C1563,$C1563,$F$19:$F1563)-SUMIF($C$19:$C1563,$C1563,$G$19:$G1563),"")</f>
        <v>81211.819999998</v>
      </c>
      <c r="I1563" s="147"/>
      <c r="J1563" s="147"/>
      <c r="K1563" s="147" t="str">
        <f t="shared" si="24"/>
        <v/>
      </c>
      <c r="L1563" s="40"/>
      <c r="M1563"/>
      <c r="N1563"/>
      <c r="O1563"/>
      <c r="P1563"/>
      <c r="Q1563"/>
      <c r="R1563"/>
      <c r="S1563"/>
      <c r="T1563"/>
      <c r="U1563"/>
      <c r="V1563"/>
      <c r="W1563" s="41"/>
      <c r="X1563" s="41"/>
      <c r="Y1563" s="41"/>
    </row>
    <row r="1564" s="27" customFormat="1" ht="23" hidden="1" customHeight="1" spans="1:25">
      <c r="A1564" s="133" t="str">
        <f>IF(B1564="","",COUNTA($B$5:B1564))</f>
        <v/>
      </c>
      <c r="B1564" s="148"/>
      <c r="C1564" s="22" t="s">
        <v>49</v>
      </c>
      <c r="D1564" s="149"/>
      <c r="E1564" s="150"/>
      <c r="F1564" s="151"/>
      <c r="G1564" s="151"/>
      <c r="H1564" s="142">
        <f>IFERROR(VLOOKUP($C1564,$C$5:$H$18,6,0)+SUMIF($C$19:$C1564,$C1564,$F$19:$F1564)-SUMIF($C$19:$C1564,$C1564,$G$19:$G1564),"")</f>
        <v>81211.819999998</v>
      </c>
      <c r="I1564" s="147"/>
      <c r="J1564" s="147"/>
      <c r="K1564" s="147" t="str">
        <f t="shared" si="24"/>
        <v/>
      </c>
      <c r="L1564" s="40"/>
      <c r="M1564"/>
      <c r="N1564"/>
      <c r="O1564"/>
      <c r="P1564"/>
      <c r="Q1564"/>
      <c r="R1564"/>
      <c r="S1564"/>
      <c r="T1564"/>
      <c r="U1564"/>
      <c r="V1564"/>
      <c r="W1564" s="41"/>
      <c r="X1564" s="41"/>
      <c r="Y1564" s="41"/>
    </row>
    <row r="1565" s="27" customFormat="1" ht="23" hidden="1" customHeight="1" spans="1:25">
      <c r="A1565" s="133" t="str">
        <f>IF(B1565="","",COUNTA($B$5:B1565))</f>
        <v/>
      </c>
      <c r="B1565" s="148"/>
      <c r="C1565" s="22" t="s">
        <v>49</v>
      </c>
      <c r="D1565" s="149"/>
      <c r="E1565" s="150"/>
      <c r="F1565" s="151"/>
      <c r="G1565" s="151"/>
      <c r="H1565" s="142">
        <f>IFERROR(VLOOKUP($C1565,$C$5:$H$18,6,0)+SUMIF($C$19:$C1565,$C1565,$F$19:$F1565)-SUMIF($C$19:$C1565,$C1565,$G$19:$G1565),"")</f>
        <v>81211.819999998</v>
      </c>
      <c r="I1565" s="147"/>
      <c r="J1565" s="147"/>
      <c r="K1565" s="147" t="str">
        <f t="shared" si="24"/>
        <v/>
      </c>
      <c r="L1565" s="40"/>
      <c r="M1565"/>
      <c r="N1565"/>
      <c r="O1565"/>
      <c r="P1565"/>
      <c r="Q1565"/>
      <c r="R1565"/>
      <c r="S1565"/>
      <c r="T1565"/>
      <c r="U1565"/>
      <c r="V1565"/>
      <c r="W1565" s="41"/>
      <c r="X1565" s="41"/>
      <c r="Y1565" s="41"/>
    </row>
    <row r="1566" s="27" customFormat="1" ht="23" hidden="1" customHeight="1" spans="1:25">
      <c r="A1566" s="133" t="str">
        <f>IF(B1566="","",COUNTA($B$5:B1566))</f>
        <v/>
      </c>
      <c r="B1566" s="148"/>
      <c r="C1566" s="22" t="s">
        <v>49</v>
      </c>
      <c r="D1566" s="149"/>
      <c r="E1566" s="150"/>
      <c r="F1566" s="151"/>
      <c r="G1566" s="151"/>
      <c r="H1566" s="142">
        <f>IFERROR(VLOOKUP($C1566,$C$5:$H$18,6,0)+SUMIF($C$19:$C1566,$C1566,$F$19:$F1566)-SUMIF($C$19:$C1566,$C1566,$G$19:$G1566),"")</f>
        <v>81211.819999998</v>
      </c>
      <c r="I1566" s="147"/>
      <c r="J1566" s="147"/>
      <c r="K1566" s="147" t="str">
        <f t="shared" si="24"/>
        <v/>
      </c>
      <c r="L1566" s="40"/>
      <c r="M1566"/>
      <c r="N1566"/>
      <c r="O1566"/>
      <c r="P1566"/>
      <c r="Q1566"/>
      <c r="R1566"/>
      <c r="S1566"/>
      <c r="T1566"/>
      <c r="U1566"/>
      <c r="V1566"/>
      <c r="W1566" s="41"/>
      <c r="X1566" s="41"/>
      <c r="Y1566" s="41"/>
    </row>
    <row r="1567" s="27" customFormat="1" ht="23" hidden="1" customHeight="1" spans="1:25">
      <c r="A1567" s="133" t="str">
        <f>IF(B1567="","",COUNTA($B$5:B1567))</f>
        <v/>
      </c>
      <c r="B1567" s="148"/>
      <c r="C1567" s="22" t="s">
        <v>49</v>
      </c>
      <c r="D1567" s="149"/>
      <c r="E1567" s="150"/>
      <c r="F1567" s="151"/>
      <c r="G1567" s="151"/>
      <c r="H1567" s="142">
        <f>IFERROR(VLOOKUP($C1567,$C$5:$H$18,6,0)+SUMIF($C$19:$C1567,$C1567,$F$19:$F1567)-SUMIF($C$19:$C1567,$C1567,$G$19:$G1567),"")</f>
        <v>81211.819999998</v>
      </c>
      <c r="I1567" s="147"/>
      <c r="J1567" s="147"/>
      <c r="K1567" s="147" t="str">
        <f t="shared" si="24"/>
        <v/>
      </c>
      <c r="L1567" s="40"/>
      <c r="M1567"/>
      <c r="N1567"/>
      <c r="O1567"/>
      <c r="P1567"/>
      <c r="Q1567"/>
      <c r="R1567"/>
      <c r="S1567"/>
      <c r="T1567"/>
      <c r="U1567"/>
      <c r="V1567"/>
      <c r="W1567" s="41"/>
      <c r="X1567" s="41"/>
      <c r="Y1567" s="41"/>
    </row>
    <row r="1568" s="27" customFormat="1" ht="23" hidden="1" customHeight="1" spans="1:25">
      <c r="A1568" s="133" t="str">
        <f>IF(B1568="","",COUNTA($B$5:B1568))</f>
        <v/>
      </c>
      <c r="B1568" s="148"/>
      <c r="C1568" s="22" t="s">
        <v>49</v>
      </c>
      <c r="D1568" s="149"/>
      <c r="E1568" s="150"/>
      <c r="F1568" s="151"/>
      <c r="G1568" s="151"/>
      <c r="H1568" s="142">
        <f>IFERROR(VLOOKUP($C1568,$C$5:$H$18,6,0)+SUMIF($C$19:$C1568,$C1568,$F$19:$F1568)-SUMIF($C$19:$C1568,$C1568,$G$19:$G1568),"")</f>
        <v>81211.819999998</v>
      </c>
      <c r="I1568" s="147"/>
      <c r="J1568" s="147"/>
      <c r="K1568" s="147" t="str">
        <f t="shared" si="24"/>
        <v/>
      </c>
      <c r="L1568" s="40"/>
      <c r="M1568"/>
      <c r="N1568"/>
      <c r="O1568"/>
      <c r="P1568"/>
      <c r="Q1568"/>
      <c r="R1568"/>
      <c r="S1568"/>
      <c r="T1568"/>
      <c r="U1568"/>
      <c r="V1568"/>
      <c r="W1568" s="41"/>
      <c r="X1568" s="41"/>
      <c r="Y1568" s="41"/>
    </row>
    <row r="1569" s="27" customFormat="1" ht="23" hidden="1" customHeight="1" spans="1:25">
      <c r="A1569" s="133" t="str">
        <f>IF(B1569="","",COUNTA($B$5:B1569))</f>
        <v/>
      </c>
      <c r="B1569" s="148"/>
      <c r="C1569" s="22" t="s">
        <v>49</v>
      </c>
      <c r="D1569" s="149"/>
      <c r="E1569" s="150"/>
      <c r="F1569" s="151"/>
      <c r="G1569" s="151"/>
      <c r="H1569" s="142">
        <f>IFERROR(VLOOKUP($C1569,$C$5:$H$18,6,0)+SUMIF($C$19:$C1569,$C1569,$F$19:$F1569)-SUMIF($C$19:$C1569,$C1569,$G$19:$G1569),"")</f>
        <v>81211.819999998</v>
      </c>
      <c r="I1569" s="147"/>
      <c r="J1569" s="147"/>
      <c r="K1569" s="147" t="str">
        <f t="shared" si="24"/>
        <v/>
      </c>
      <c r="L1569" s="40"/>
      <c r="M1569"/>
      <c r="N1569"/>
      <c r="O1569"/>
      <c r="P1569"/>
      <c r="Q1569"/>
      <c r="R1569"/>
      <c r="S1569"/>
      <c r="T1569"/>
      <c r="U1569"/>
      <c r="V1569"/>
      <c r="W1569" s="41"/>
      <c r="X1569" s="41"/>
      <c r="Y1569" s="41"/>
    </row>
    <row r="1570" s="27" customFormat="1" ht="23" hidden="1" customHeight="1" spans="1:25">
      <c r="A1570" s="133" t="str">
        <f>IF(B1570="","",COUNTA($B$5:B1570))</f>
        <v/>
      </c>
      <c r="B1570" s="148"/>
      <c r="C1570" s="22" t="s">
        <v>49</v>
      </c>
      <c r="D1570" s="149"/>
      <c r="E1570" s="150"/>
      <c r="F1570" s="151"/>
      <c r="G1570" s="151"/>
      <c r="H1570" s="142">
        <f>IFERROR(VLOOKUP($C1570,$C$5:$H$18,6,0)+SUMIF($C$19:$C1570,$C1570,$F$19:$F1570)-SUMIF($C$19:$C1570,$C1570,$G$19:$G1570),"")</f>
        <v>81211.819999998</v>
      </c>
      <c r="I1570" s="147"/>
      <c r="J1570" s="147"/>
      <c r="K1570" s="147" t="str">
        <f t="shared" si="24"/>
        <v/>
      </c>
      <c r="L1570" s="40"/>
      <c r="M1570"/>
      <c r="N1570"/>
      <c r="O1570"/>
      <c r="P1570"/>
      <c r="Q1570"/>
      <c r="R1570"/>
      <c r="S1570"/>
      <c r="T1570"/>
      <c r="U1570"/>
      <c r="V1570"/>
      <c r="W1570" s="41"/>
      <c r="X1570" s="41"/>
      <c r="Y1570" s="41"/>
    </row>
    <row r="1571" s="27" customFormat="1" ht="23" hidden="1" customHeight="1" spans="1:25">
      <c r="A1571" s="133" t="str">
        <f>IF(B1571="","",COUNTA($B$5:B1571))</f>
        <v/>
      </c>
      <c r="B1571" s="148"/>
      <c r="C1571" s="22" t="s">
        <v>49</v>
      </c>
      <c r="D1571" s="149"/>
      <c r="E1571" s="150"/>
      <c r="F1571" s="151"/>
      <c r="G1571" s="151"/>
      <c r="H1571" s="142">
        <f>IFERROR(VLOOKUP($C1571,$C$5:$H$18,6,0)+SUMIF($C$19:$C1571,$C1571,$F$19:$F1571)-SUMIF($C$19:$C1571,$C1571,$G$19:$G1571),"")</f>
        <v>81211.819999998</v>
      </c>
      <c r="I1571" s="147"/>
      <c r="J1571" s="147"/>
      <c r="K1571" s="147" t="str">
        <f t="shared" si="24"/>
        <v/>
      </c>
      <c r="L1571" s="40"/>
      <c r="M1571"/>
      <c r="N1571"/>
      <c r="O1571"/>
      <c r="P1571"/>
      <c r="Q1571"/>
      <c r="R1571"/>
      <c r="S1571"/>
      <c r="T1571"/>
      <c r="U1571"/>
      <c r="V1571"/>
      <c r="W1571" s="41"/>
      <c r="X1571" s="41"/>
      <c r="Y1571" s="41"/>
    </row>
    <row r="1572" s="27" customFormat="1" ht="23" hidden="1" customHeight="1" spans="1:25">
      <c r="A1572" s="133" t="str">
        <f>IF(B1572="","",COUNTA($B$5:B1572))</f>
        <v/>
      </c>
      <c r="B1572" s="148"/>
      <c r="C1572" s="22" t="s">
        <v>49</v>
      </c>
      <c r="D1572" s="149"/>
      <c r="E1572" s="150"/>
      <c r="F1572" s="151"/>
      <c r="G1572" s="151"/>
      <c r="H1572" s="142">
        <f>IFERROR(VLOOKUP($C1572,$C$5:$H$18,6,0)+SUMIF($C$19:$C1572,$C1572,$F$19:$F1572)-SUMIF($C$19:$C1572,$C1572,$G$19:$G1572),"")</f>
        <v>81211.819999998</v>
      </c>
      <c r="I1572" s="147"/>
      <c r="J1572" s="147"/>
      <c r="K1572" s="147" t="str">
        <f t="shared" si="24"/>
        <v/>
      </c>
      <c r="L1572" s="40"/>
      <c r="M1572"/>
      <c r="N1572"/>
      <c r="O1572"/>
      <c r="P1572"/>
      <c r="Q1572"/>
      <c r="R1572"/>
      <c r="S1572"/>
      <c r="T1572"/>
      <c r="U1572"/>
      <c r="V1572"/>
      <c r="W1572" s="41"/>
      <c r="X1572" s="41"/>
      <c r="Y1572" s="41"/>
    </row>
    <row r="1573" s="27" customFormat="1" ht="23" hidden="1" customHeight="1" spans="1:25">
      <c r="A1573" s="133" t="str">
        <f>IF(B1573="","",COUNTA($B$5:B1573))</f>
        <v/>
      </c>
      <c r="B1573" s="148"/>
      <c r="C1573" s="22" t="s">
        <v>49</v>
      </c>
      <c r="D1573" s="149"/>
      <c r="E1573" s="150"/>
      <c r="F1573" s="151"/>
      <c r="G1573" s="151"/>
      <c r="H1573" s="142">
        <f>IFERROR(VLOOKUP($C1573,$C$5:$H$18,6,0)+SUMIF($C$19:$C1573,$C1573,$F$19:$F1573)-SUMIF($C$19:$C1573,$C1573,$G$19:$G1573),"")</f>
        <v>81211.819999998</v>
      </c>
      <c r="I1573" s="147"/>
      <c r="J1573" s="147"/>
      <c r="K1573" s="147" t="str">
        <f t="shared" si="24"/>
        <v/>
      </c>
      <c r="L1573" s="40"/>
      <c r="M1573"/>
      <c r="N1573"/>
      <c r="O1573"/>
      <c r="P1573"/>
      <c r="Q1573"/>
      <c r="R1573"/>
      <c r="S1573"/>
      <c r="T1573"/>
      <c r="U1573"/>
      <c r="V1573"/>
      <c r="W1573" s="41"/>
      <c r="X1573" s="41"/>
      <c r="Y1573" s="41"/>
    </row>
    <row r="1574" s="27" customFormat="1" ht="23" hidden="1" customHeight="1" spans="1:25">
      <c r="A1574" s="133" t="str">
        <f>IF(B1574="","",COUNTA($B$5:B1574))</f>
        <v/>
      </c>
      <c r="B1574" s="148"/>
      <c r="C1574" s="22" t="s">
        <v>49</v>
      </c>
      <c r="D1574" s="149"/>
      <c r="E1574" s="150"/>
      <c r="F1574" s="151"/>
      <c r="G1574" s="151"/>
      <c r="H1574" s="142">
        <f>IFERROR(VLOOKUP($C1574,$C$5:$H$18,6,0)+SUMIF($C$19:$C1574,$C1574,$F$19:$F1574)-SUMIF($C$19:$C1574,$C1574,$G$19:$G1574),"")</f>
        <v>81211.819999998</v>
      </c>
      <c r="I1574" s="147"/>
      <c r="J1574" s="147"/>
      <c r="K1574" s="147" t="str">
        <f t="shared" si="24"/>
        <v/>
      </c>
      <c r="L1574" s="40"/>
      <c r="M1574"/>
      <c r="N1574"/>
      <c r="O1574"/>
      <c r="P1574"/>
      <c r="Q1574"/>
      <c r="R1574"/>
      <c r="S1574"/>
      <c r="T1574"/>
      <c r="U1574"/>
      <c r="V1574"/>
      <c r="W1574" s="41"/>
      <c r="X1574" s="41"/>
      <c r="Y1574" s="41"/>
    </row>
    <row r="1575" s="27" customFormat="1" ht="23" hidden="1" customHeight="1" spans="1:25">
      <c r="A1575" s="133" t="str">
        <f>IF(B1575="","",COUNTA($B$5:B1575))</f>
        <v/>
      </c>
      <c r="B1575" s="148"/>
      <c r="C1575" s="22" t="s">
        <v>49</v>
      </c>
      <c r="D1575" s="149"/>
      <c r="E1575" s="150"/>
      <c r="F1575" s="151"/>
      <c r="G1575" s="151"/>
      <c r="H1575" s="142">
        <f>IFERROR(VLOOKUP($C1575,$C$5:$H$18,6,0)+SUMIF($C$19:$C1575,$C1575,$F$19:$F1575)-SUMIF($C$19:$C1575,$C1575,$G$19:$G1575),"")</f>
        <v>81211.819999998</v>
      </c>
      <c r="I1575" s="147"/>
      <c r="J1575" s="147"/>
      <c r="K1575" s="147" t="str">
        <f t="shared" si="24"/>
        <v/>
      </c>
      <c r="L1575" s="40"/>
      <c r="M1575"/>
      <c r="N1575"/>
      <c r="O1575"/>
      <c r="P1575"/>
      <c r="Q1575"/>
      <c r="R1575"/>
      <c r="S1575"/>
      <c r="T1575"/>
      <c r="U1575"/>
      <c r="V1575"/>
      <c r="W1575" s="41"/>
      <c r="X1575" s="41"/>
      <c r="Y1575" s="41"/>
    </row>
    <row r="1576" s="27" customFormat="1" ht="23" hidden="1" customHeight="1" spans="1:25">
      <c r="A1576" s="133" t="str">
        <f>IF(B1576="","",COUNTA($B$5:B1576))</f>
        <v/>
      </c>
      <c r="B1576" s="148"/>
      <c r="C1576" s="22" t="s">
        <v>49</v>
      </c>
      <c r="D1576" s="149"/>
      <c r="E1576" s="150"/>
      <c r="F1576" s="151"/>
      <c r="G1576" s="151"/>
      <c r="H1576" s="142">
        <f>IFERROR(VLOOKUP($C1576,$C$5:$H$18,6,0)+SUMIF($C$19:$C1576,$C1576,$F$19:$F1576)-SUMIF($C$19:$C1576,$C1576,$G$19:$G1576),"")</f>
        <v>81211.819999998</v>
      </c>
      <c r="I1576" s="147"/>
      <c r="J1576" s="147"/>
      <c r="K1576" s="147" t="str">
        <f t="shared" si="24"/>
        <v/>
      </c>
      <c r="L1576" s="40"/>
      <c r="M1576"/>
      <c r="N1576"/>
      <c r="O1576"/>
      <c r="P1576"/>
      <c r="Q1576"/>
      <c r="R1576"/>
      <c r="S1576"/>
      <c r="T1576"/>
      <c r="U1576"/>
      <c r="V1576"/>
      <c r="W1576" s="41"/>
      <c r="X1576" s="41"/>
      <c r="Y1576" s="41"/>
    </row>
    <row r="1577" s="27" customFormat="1" ht="23" hidden="1" customHeight="1" spans="1:25">
      <c r="A1577" s="133" t="str">
        <f>IF(B1577="","",COUNTA($B$5:B1577))</f>
        <v/>
      </c>
      <c r="B1577" s="148"/>
      <c r="C1577" s="22" t="s">
        <v>49</v>
      </c>
      <c r="D1577" s="149"/>
      <c r="E1577" s="150"/>
      <c r="F1577" s="151"/>
      <c r="G1577" s="151"/>
      <c r="H1577" s="142">
        <f>IFERROR(VLOOKUP($C1577,$C$5:$H$18,6,0)+SUMIF($C$19:$C1577,$C1577,$F$19:$F1577)-SUMIF($C$19:$C1577,$C1577,$G$19:$G1577),"")</f>
        <v>81211.819999998</v>
      </c>
      <c r="I1577" s="147"/>
      <c r="J1577" s="147"/>
      <c r="K1577" s="147" t="str">
        <f t="shared" si="24"/>
        <v/>
      </c>
      <c r="L1577" s="40"/>
      <c r="M1577"/>
      <c r="N1577"/>
      <c r="O1577"/>
      <c r="P1577"/>
      <c r="Q1577"/>
      <c r="R1577"/>
      <c r="S1577"/>
      <c r="T1577"/>
      <c r="U1577"/>
      <c r="V1577"/>
      <c r="W1577" s="41"/>
      <c r="X1577" s="41"/>
      <c r="Y1577" s="41"/>
    </row>
    <row r="1578" s="27" customFormat="1" ht="23" hidden="1" customHeight="1" spans="1:25">
      <c r="A1578" s="133" t="str">
        <f>IF(B1578="","",COUNTA($B$5:B1578))</f>
        <v/>
      </c>
      <c r="B1578" s="148"/>
      <c r="C1578" s="22" t="s">
        <v>49</v>
      </c>
      <c r="D1578" s="149"/>
      <c r="E1578" s="150"/>
      <c r="F1578" s="151"/>
      <c r="G1578" s="151"/>
      <c r="H1578" s="142">
        <f>IFERROR(VLOOKUP($C1578,$C$5:$H$18,6,0)+SUMIF($C$19:$C1578,$C1578,$F$19:$F1578)-SUMIF($C$19:$C1578,$C1578,$G$19:$G1578),"")</f>
        <v>81211.819999998</v>
      </c>
      <c r="I1578" s="147"/>
      <c r="J1578" s="147"/>
      <c r="K1578" s="147" t="str">
        <f t="shared" si="24"/>
        <v/>
      </c>
      <c r="L1578" s="40"/>
      <c r="M1578"/>
      <c r="N1578"/>
      <c r="O1578"/>
      <c r="P1578"/>
      <c r="Q1578"/>
      <c r="R1578"/>
      <c r="S1578"/>
      <c r="T1578"/>
      <c r="U1578"/>
      <c r="V1578"/>
      <c r="W1578" s="41"/>
      <c r="X1578" s="41"/>
      <c r="Y1578" s="41"/>
    </row>
    <row r="1579" s="27" customFormat="1" ht="23" hidden="1" customHeight="1" spans="1:25">
      <c r="A1579" s="133" t="str">
        <f>IF(B1579="","",COUNTA($B$5:B1579))</f>
        <v/>
      </c>
      <c r="B1579" s="148"/>
      <c r="C1579" s="22" t="s">
        <v>49</v>
      </c>
      <c r="D1579" s="149"/>
      <c r="E1579" s="150"/>
      <c r="F1579" s="151"/>
      <c r="G1579" s="151"/>
      <c r="H1579" s="142">
        <f>IFERROR(VLOOKUP($C1579,$C$5:$H$18,6,0)+SUMIF($C$19:$C1579,$C1579,$F$19:$F1579)-SUMIF($C$19:$C1579,$C1579,$G$19:$G1579),"")</f>
        <v>81211.819999998</v>
      </c>
      <c r="I1579" s="147"/>
      <c r="J1579" s="147"/>
      <c r="K1579" s="147" t="str">
        <f t="shared" si="24"/>
        <v/>
      </c>
      <c r="L1579" s="40"/>
      <c r="M1579"/>
      <c r="N1579"/>
      <c r="O1579"/>
      <c r="P1579"/>
      <c r="Q1579"/>
      <c r="R1579"/>
      <c r="S1579"/>
      <c r="T1579"/>
      <c r="U1579"/>
      <c r="V1579"/>
      <c r="W1579" s="41"/>
      <c r="X1579" s="41"/>
      <c r="Y1579" s="41"/>
    </row>
    <row r="1580" s="27" customFormat="1" ht="23" hidden="1" customHeight="1" spans="1:25">
      <c r="A1580" s="133" t="str">
        <f>IF(B1580="","",COUNTA($B$5:B1580))</f>
        <v/>
      </c>
      <c r="B1580" s="148"/>
      <c r="C1580" s="22" t="s">
        <v>49</v>
      </c>
      <c r="D1580" s="149"/>
      <c r="E1580" s="150"/>
      <c r="F1580" s="151"/>
      <c r="G1580" s="151"/>
      <c r="H1580" s="142">
        <f>IFERROR(VLOOKUP($C1580,$C$5:$H$18,6,0)+SUMIF($C$19:$C1580,$C1580,$F$19:$F1580)-SUMIF($C$19:$C1580,$C1580,$G$19:$G1580),"")</f>
        <v>81211.819999998</v>
      </c>
      <c r="I1580" s="147"/>
      <c r="J1580" s="147"/>
      <c r="K1580" s="147" t="str">
        <f t="shared" si="24"/>
        <v/>
      </c>
      <c r="L1580" s="40"/>
      <c r="M1580"/>
      <c r="N1580"/>
      <c r="O1580"/>
      <c r="P1580"/>
      <c r="Q1580"/>
      <c r="R1580"/>
      <c r="S1580"/>
      <c r="T1580"/>
      <c r="U1580"/>
      <c r="V1580"/>
      <c r="W1580" s="41"/>
      <c r="X1580" s="41"/>
      <c r="Y1580" s="41"/>
    </row>
    <row r="1581" s="27" customFormat="1" ht="23" hidden="1" customHeight="1" spans="1:25">
      <c r="A1581" s="133" t="str">
        <f>IF(B1581="","",COUNTA($B$5:B1581))</f>
        <v/>
      </c>
      <c r="B1581" s="148"/>
      <c r="C1581" s="22" t="s">
        <v>49</v>
      </c>
      <c r="D1581" s="149"/>
      <c r="E1581" s="150"/>
      <c r="F1581" s="151"/>
      <c r="G1581" s="151"/>
      <c r="H1581" s="142">
        <f>IFERROR(VLOOKUP($C1581,$C$5:$H$18,6,0)+SUMIF($C$19:$C1581,$C1581,$F$19:$F1581)-SUMIF($C$19:$C1581,$C1581,$G$19:$G1581),"")</f>
        <v>81211.819999998</v>
      </c>
      <c r="I1581" s="147"/>
      <c r="J1581" s="147"/>
      <c r="K1581" s="147" t="str">
        <f t="shared" si="24"/>
        <v/>
      </c>
      <c r="L1581" s="40"/>
      <c r="M1581"/>
      <c r="N1581"/>
      <c r="O1581"/>
      <c r="P1581"/>
      <c r="Q1581"/>
      <c r="R1581"/>
      <c r="S1581"/>
      <c r="T1581"/>
      <c r="U1581"/>
      <c r="V1581"/>
      <c r="W1581" s="41"/>
      <c r="X1581" s="41"/>
      <c r="Y1581" s="41"/>
    </row>
    <row r="1582" s="27" customFormat="1" ht="23" hidden="1" customHeight="1" spans="1:25">
      <c r="A1582" s="133" t="str">
        <f>IF(B1582="","",COUNTA($B$5:B1582))</f>
        <v/>
      </c>
      <c r="B1582" s="148"/>
      <c r="C1582" s="22" t="s">
        <v>49</v>
      </c>
      <c r="D1582" s="149"/>
      <c r="E1582" s="150"/>
      <c r="F1582" s="151"/>
      <c r="G1582" s="151"/>
      <c r="H1582" s="142">
        <f>IFERROR(VLOOKUP($C1582,$C$5:$H$18,6,0)+SUMIF($C$19:$C1582,$C1582,$F$19:$F1582)-SUMIF($C$19:$C1582,$C1582,$G$19:$G1582),"")</f>
        <v>81211.819999998</v>
      </c>
      <c r="I1582" s="147"/>
      <c r="J1582" s="147"/>
      <c r="K1582" s="147" t="str">
        <f t="shared" si="24"/>
        <v/>
      </c>
      <c r="L1582" s="40"/>
      <c r="M1582"/>
      <c r="N1582"/>
      <c r="O1582"/>
      <c r="P1582"/>
      <c r="Q1582"/>
      <c r="R1582"/>
      <c r="S1582"/>
      <c r="T1582"/>
      <c r="U1582"/>
      <c r="V1582"/>
      <c r="W1582" s="41"/>
      <c r="X1582" s="41"/>
      <c r="Y1582" s="41"/>
    </row>
    <row r="1583" s="27" customFormat="1" ht="23" hidden="1" customHeight="1" spans="1:25">
      <c r="A1583" s="133" t="str">
        <f>IF(B1583="","",COUNTA($B$5:B1583))</f>
        <v/>
      </c>
      <c r="B1583" s="148"/>
      <c r="C1583" s="22" t="s">
        <v>49</v>
      </c>
      <c r="D1583" s="149"/>
      <c r="E1583" s="150"/>
      <c r="F1583" s="151"/>
      <c r="G1583" s="151"/>
      <c r="H1583" s="142">
        <f>IFERROR(VLOOKUP($C1583,$C$5:$H$18,6,0)+SUMIF($C$19:$C1583,$C1583,$F$19:$F1583)-SUMIF($C$19:$C1583,$C1583,$G$19:$G1583),"")</f>
        <v>81211.819999998</v>
      </c>
      <c r="I1583" s="147"/>
      <c r="J1583" s="147"/>
      <c r="K1583" s="147" t="str">
        <f t="shared" si="24"/>
        <v/>
      </c>
      <c r="L1583" s="40"/>
      <c r="M1583"/>
      <c r="N1583"/>
      <c r="O1583"/>
      <c r="P1583"/>
      <c r="Q1583"/>
      <c r="R1583"/>
      <c r="S1583"/>
      <c r="T1583"/>
      <c r="U1583"/>
      <c r="V1583"/>
      <c r="W1583" s="41"/>
      <c r="X1583" s="41"/>
      <c r="Y1583" s="41"/>
    </row>
    <row r="1584" s="27" customFormat="1" ht="23" hidden="1" customHeight="1" spans="1:25">
      <c r="A1584" s="133" t="str">
        <f>IF(B1584="","",COUNTA($B$5:B1584))</f>
        <v/>
      </c>
      <c r="B1584" s="148"/>
      <c r="C1584" s="22" t="s">
        <v>49</v>
      </c>
      <c r="D1584" s="149"/>
      <c r="E1584" s="150"/>
      <c r="F1584" s="151"/>
      <c r="G1584" s="151"/>
      <c r="H1584" s="142">
        <f>IFERROR(VLOOKUP($C1584,$C$5:$H$18,6,0)+SUMIF($C$19:$C1584,$C1584,$F$19:$F1584)-SUMIF($C$19:$C1584,$C1584,$G$19:$G1584),"")</f>
        <v>81211.819999998</v>
      </c>
      <c r="I1584" s="147"/>
      <c r="J1584" s="147"/>
      <c r="K1584" s="147" t="str">
        <f t="shared" si="24"/>
        <v/>
      </c>
      <c r="L1584" s="40"/>
      <c r="M1584"/>
      <c r="N1584"/>
      <c r="O1584"/>
      <c r="P1584"/>
      <c r="Q1584"/>
      <c r="R1584"/>
      <c r="S1584"/>
      <c r="T1584"/>
      <c r="U1584"/>
      <c r="V1584"/>
      <c r="W1584" s="41"/>
      <c r="X1584" s="41"/>
      <c r="Y1584" s="41"/>
    </row>
    <row r="1585" s="27" customFormat="1" ht="23" hidden="1" customHeight="1" spans="1:25">
      <c r="A1585" s="133" t="str">
        <f>IF(B1585="","",COUNTA($B$5:B1585))</f>
        <v/>
      </c>
      <c r="B1585" s="148"/>
      <c r="C1585" s="22" t="s">
        <v>49</v>
      </c>
      <c r="D1585" s="149"/>
      <c r="E1585" s="150"/>
      <c r="F1585" s="151"/>
      <c r="G1585" s="151"/>
      <c r="H1585" s="142">
        <f>IFERROR(VLOOKUP($C1585,$C$5:$H$18,6,0)+SUMIF($C$19:$C1585,$C1585,$F$19:$F1585)-SUMIF($C$19:$C1585,$C1585,$G$19:$G1585),"")</f>
        <v>81211.819999998</v>
      </c>
      <c r="I1585" s="147"/>
      <c r="J1585" s="147"/>
      <c r="K1585" s="147" t="str">
        <f t="shared" si="24"/>
        <v/>
      </c>
      <c r="L1585" s="40"/>
      <c r="M1585"/>
      <c r="N1585"/>
      <c r="O1585"/>
      <c r="P1585"/>
      <c r="Q1585"/>
      <c r="R1585"/>
      <c r="S1585"/>
      <c r="T1585"/>
      <c r="U1585"/>
      <c r="V1585"/>
      <c r="W1585" s="41"/>
      <c r="X1585" s="41"/>
      <c r="Y1585" s="41"/>
    </row>
    <row r="1586" s="27" customFormat="1" ht="23" hidden="1" customHeight="1" spans="1:25">
      <c r="A1586" s="133" t="str">
        <f>IF(B1586="","",COUNTA($B$5:B1586))</f>
        <v/>
      </c>
      <c r="B1586" s="148"/>
      <c r="C1586" s="22" t="s">
        <v>49</v>
      </c>
      <c r="D1586" s="149"/>
      <c r="E1586" s="150"/>
      <c r="F1586" s="151"/>
      <c r="G1586" s="151"/>
      <c r="H1586" s="142">
        <f>IFERROR(VLOOKUP($C1586,$C$5:$H$18,6,0)+SUMIF($C$19:$C1586,$C1586,$F$19:$F1586)-SUMIF($C$19:$C1586,$C1586,$G$19:$G1586),"")</f>
        <v>81211.819999998</v>
      </c>
      <c r="I1586" s="147"/>
      <c r="J1586" s="147"/>
      <c r="K1586" s="147" t="str">
        <f t="shared" si="24"/>
        <v/>
      </c>
      <c r="L1586" s="40"/>
      <c r="M1586"/>
      <c r="N1586"/>
      <c r="O1586"/>
      <c r="P1586"/>
      <c r="Q1586"/>
      <c r="R1586"/>
      <c r="S1586"/>
      <c r="T1586"/>
      <c r="U1586"/>
      <c r="V1586"/>
      <c r="W1586" s="41"/>
      <c r="X1586" s="41"/>
      <c r="Y1586" s="41"/>
    </row>
    <row r="1587" s="27" customFormat="1" ht="23" hidden="1" customHeight="1" spans="1:25">
      <c r="A1587" s="133" t="str">
        <f>IF(B1587="","",COUNTA($B$5:B1587))</f>
        <v/>
      </c>
      <c r="B1587" s="148"/>
      <c r="C1587" s="22" t="s">
        <v>49</v>
      </c>
      <c r="D1587" s="149"/>
      <c r="E1587" s="150"/>
      <c r="F1587" s="151"/>
      <c r="G1587" s="151"/>
      <c r="H1587" s="142">
        <f>IFERROR(VLOOKUP($C1587,$C$5:$H$18,6,0)+SUMIF($C$19:$C1587,$C1587,$F$19:$F1587)-SUMIF($C$19:$C1587,$C1587,$G$19:$G1587),"")</f>
        <v>81211.819999998</v>
      </c>
      <c r="I1587" s="147"/>
      <c r="J1587" s="147"/>
      <c r="K1587" s="147" t="str">
        <f t="shared" si="24"/>
        <v/>
      </c>
      <c r="L1587" s="40"/>
      <c r="M1587"/>
      <c r="N1587"/>
      <c r="O1587"/>
      <c r="P1587"/>
      <c r="Q1587"/>
      <c r="R1587"/>
      <c r="S1587"/>
      <c r="T1587"/>
      <c r="U1587"/>
      <c r="V1587"/>
      <c r="W1587" s="41"/>
      <c r="X1587" s="41"/>
      <c r="Y1587" s="41"/>
    </row>
    <row r="1588" s="27" customFormat="1" ht="23" hidden="1" customHeight="1" spans="1:25">
      <c r="A1588" s="133" t="str">
        <f>IF(B1588="","",COUNTA($B$5:B1588))</f>
        <v/>
      </c>
      <c r="B1588" s="148"/>
      <c r="C1588" s="22" t="s">
        <v>49</v>
      </c>
      <c r="D1588" s="149"/>
      <c r="E1588" s="150"/>
      <c r="F1588" s="151"/>
      <c r="G1588" s="151"/>
      <c r="H1588" s="142">
        <f>IFERROR(VLOOKUP($C1588,$C$5:$H$18,6,0)+SUMIF($C$19:$C1588,$C1588,$F$19:$F1588)-SUMIF($C$19:$C1588,$C1588,$G$19:$G1588),"")</f>
        <v>81211.819999998</v>
      </c>
      <c r="I1588" s="147"/>
      <c r="J1588" s="147"/>
      <c r="K1588" s="147" t="str">
        <f t="shared" si="24"/>
        <v/>
      </c>
      <c r="L1588" s="40"/>
      <c r="M1588"/>
      <c r="N1588"/>
      <c r="O1588"/>
      <c r="P1588"/>
      <c r="Q1588"/>
      <c r="R1588"/>
      <c r="S1588"/>
      <c r="T1588"/>
      <c r="U1588"/>
      <c r="V1588"/>
      <c r="W1588" s="41"/>
      <c r="X1588" s="41"/>
      <c r="Y1588" s="41"/>
    </row>
    <row r="1589" s="27" customFormat="1" ht="23" hidden="1" customHeight="1" spans="1:25">
      <c r="A1589" s="133" t="str">
        <f>IF(B1589="","",COUNTA($B$5:B1589))</f>
        <v/>
      </c>
      <c r="B1589" s="148"/>
      <c r="C1589" s="22" t="s">
        <v>49</v>
      </c>
      <c r="D1589" s="149"/>
      <c r="E1589" s="150"/>
      <c r="F1589" s="151"/>
      <c r="G1589" s="151"/>
      <c r="H1589" s="142">
        <f>IFERROR(VLOOKUP($C1589,$C$5:$H$18,6,0)+SUMIF($C$19:$C1589,$C1589,$F$19:$F1589)-SUMIF($C$19:$C1589,$C1589,$G$19:$G1589),"")</f>
        <v>81211.819999998</v>
      </c>
      <c r="I1589" s="147"/>
      <c r="J1589" s="147"/>
      <c r="K1589" s="147" t="str">
        <f t="shared" si="24"/>
        <v/>
      </c>
      <c r="L1589" s="40"/>
      <c r="M1589"/>
      <c r="N1589"/>
      <c r="O1589"/>
      <c r="P1589"/>
      <c r="Q1589"/>
      <c r="R1589"/>
      <c r="S1589"/>
      <c r="T1589"/>
      <c r="U1589"/>
      <c r="V1589"/>
      <c r="W1589" s="41"/>
      <c r="X1589" s="41"/>
      <c r="Y1589" s="41"/>
    </row>
    <row r="1590" s="27" customFormat="1" ht="23" hidden="1" customHeight="1" spans="1:25">
      <c r="A1590" s="133" t="str">
        <f>IF(B1590="","",COUNTA($B$5:B1590))</f>
        <v/>
      </c>
      <c r="B1590" s="148"/>
      <c r="C1590" s="22" t="s">
        <v>49</v>
      </c>
      <c r="D1590" s="149"/>
      <c r="E1590" s="150"/>
      <c r="F1590" s="151"/>
      <c r="G1590" s="151"/>
      <c r="H1590" s="142">
        <f>IFERROR(VLOOKUP($C1590,$C$5:$H$18,6,0)+SUMIF($C$19:$C1590,$C1590,$F$19:$F1590)-SUMIF($C$19:$C1590,$C1590,$G$19:$G1590),"")</f>
        <v>81211.819999998</v>
      </c>
      <c r="I1590" s="147"/>
      <c r="J1590" s="147"/>
      <c r="K1590" s="147" t="str">
        <f t="shared" si="24"/>
        <v/>
      </c>
      <c r="L1590" s="40"/>
      <c r="M1590"/>
      <c r="N1590"/>
      <c r="O1590"/>
      <c r="P1590"/>
      <c r="Q1590"/>
      <c r="R1590"/>
      <c r="S1590"/>
      <c r="T1590"/>
      <c r="U1590"/>
      <c r="V1590"/>
      <c r="W1590" s="41"/>
      <c r="X1590" s="41"/>
      <c r="Y1590" s="41"/>
    </row>
    <row r="1591" s="27" customFormat="1" ht="23" hidden="1" customHeight="1" spans="1:25">
      <c r="A1591" s="133" t="str">
        <f>IF(B1591="","",COUNTA($B$5:B1591))</f>
        <v/>
      </c>
      <c r="B1591" s="148"/>
      <c r="C1591" s="22" t="s">
        <v>49</v>
      </c>
      <c r="D1591" s="149"/>
      <c r="E1591" s="150"/>
      <c r="F1591" s="151"/>
      <c r="G1591" s="151"/>
      <c r="H1591" s="142">
        <f>IFERROR(VLOOKUP($C1591,$C$5:$H$18,6,0)+SUMIF($C$19:$C1591,$C1591,$F$19:$F1591)-SUMIF($C$19:$C1591,$C1591,$G$19:$G1591),"")</f>
        <v>81211.819999998</v>
      </c>
      <c r="I1591" s="147"/>
      <c r="J1591" s="147"/>
      <c r="K1591" s="147" t="str">
        <f t="shared" si="24"/>
        <v/>
      </c>
      <c r="L1591" s="40"/>
      <c r="M1591"/>
      <c r="N1591"/>
      <c r="O1591"/>
      <c r="P1591"/>
      <c r="Q1591"/>
      <c r="R1591"/>
      <c r="S1591"/>
      <c r="T1591"/>
      <c r="U1591"/>
      <c r="V1591"/>
      <c r="W1591" s="41"/>
      <c r="X1591" s="41"/>
      <c r="Y1591" s="41"/>
    </row>
    <row r="1592" s="27" customFormat="1" ht="23" hidden="1" customHeight="1" spans="1:25">
      <c r="A1592" s="133" t="str">
        <f>IF(B1592="","",COUNTA($B$5:B1592))</f>
        <v/>
      </c>
      <c r="B1592" s="148"/>
      <c r="C1592" s="22" t="s">
        <v>49</v>
      </c>
      <c r="D1592" s="149"/>
      <c r="E1592" s="150"/>
      <c r="F1592" s="151"/>
      <c r="G1592" s="151"/>
      <c r="H1592" s="142">
        <f>IFERROR(VLOOKUP($C1592,$C$5:$H$18,6,0)+SUMIF($C$19:$C1592,$C1592,$F$19:$F1592)-SUMIF($C$19:$C1592,$C1592,$G$19:$G1592),"")</f>
        <v>81211.819999998</v>
      </c>
      <c r="I1592" s="147"/>
      <c r="J1592" s="147"/>
      <c r="K1592" s="147" t="str">
        <f t="shared" si="24"/>
        <v/>
      </c>
      <c r="L1592" s="40"/>
      <c r="M1592"/>
      <c r="N1592"/>
      <c r="O1592"/>
      <c r="P1592"/>
      <c r="Q1592"/>
      <c r="R1592"/>
      <c r="S1592"/>
      <c r="T1592"/>
      <c r="U1592"/>
      <c r="V1592"/>
      <c r="W1592" s="41"/>
      <c r="X1592" s="41"/>
      <c r="Y1592" s="41"/>
    </row>
    <row r="1593" s="27" customFormat="1" ht="23" hidden="1" customHeight="1" spans="1:25">
      <c r="A1593" s="133" t="str">
        <f>IF(B1593="","",COUNTA($B$5:B1593))</f>
        <v/>
      </c>
      <c r="B1593" s="148"/>
      <c r="C1593" s="22" t="s">
        <v>49</v>
      </c>
      <c r="D1593" s="149"/>
      <c r="E1593" s="150"/>
      <c r="F1593" s="151"/>
      <c r="G1593" s="151"/>
      <c r="H1593" s="142">
        <f>IFERROR(VLOOKUP($C1593,$C$5:$H$18,6,0)+SUMIF($C$19:$C1593,$C1593,$F$19:$F1593)-SUMIF($C$19:$C1593,$C1593,$G$19:$G1593),"")</f>
        <v>81211.819999998</v>
      </c>
      <c r="I1593" s="147"/>
      <c r="J1593" s="147"/>
      <c r="K1593" s="147" t="str">
        <f t="shared" si="24"/>
        <v/>
      </c>
      <c r="L1593" s="40"/>
      <c r="M1593"/>
      <c r="N1593"/>
      <c r="O1593"/>
      <c r="P1593"/>
      <c r="Q1593"/>
      <c r="R1593"/>
      <c r="S1593"/>
      <c r="T1593"/>
      <c r="U1593"/>
      <c r="V1593"/>
      <c r="W1593" s="41"/>
      <c r="X1593" s="41"/>
      <c r="Y1593" s="41"/>
    </row>
    <row r="1594" s="27" customFormat="1" ht="23" hidden="1" customHeight="1" spans="1:25">
      <c r="A1594" s="133" t="str">
        <f>IF(B1594="","",COUNTA($B$5:B1594))</f>
        <v/>
      </c>
      <c r="B1594" s="148"/>
      <c r="C1594" s="22" t="s">
        <v>49</v>
      </c>
      <c r="D1594" s="149"/>
      <c r="E1594" s="150"/>
      <c r="F1594" s="151"/>
      <c r="G1594" s="151"/>
      <c r="H1594" s="142">
        <f>IFERROR(VLOOKUP($C1594,$C$5:$H$18,6,0)+SUMIF($C$19:$C1594,$C1594,$F$19:$F1594)-SUMIF($C$19:$C1594,$C1594,$G$19:$G1594),"")</f>
        <v>81211.819999998</v>
      </c>
      <c r="I1594" s="147"/>
      <c r="J1594" s="147"/>
      <c r="K1594" s="147" t="str">
        <f t="shared" si="24"/>
        <v/>
      </c>
      <c r="L1594" s="40"/>
      <c r="M1594"/>
      <c r="N1594"/>
      <c r="O1594"/>
      <c r="P1594"/>
      <c r="Q1594"/>
      <c r="R1594"/>
      <c r="S1594"/>
      <c r="T1594"/>
      <c r="U1594"/>
      <c r="V1594"/>
      <c r="W1594" s="41"/>
      <c r="X1594" s="41"/>
      <c r="Y1594" s="41"/>
    </row>
    <row r="1595" s="27" customFormat="1" ht="23" hidden="1" customHeight="1" spans="1:25">
      <c r="A1595" s="133" t="str">
        <f>IF(B1595="","",COUNTA($B$5:B1595))</f>
        <v/>
      </c>
      <c r="B1595" s="148"/>
      <c r="C1595" s="22" t="s">
        <v>49</v>
      </c>
      <c r="D1595" s="149"/>
      <c r="E1595" s="150"/>
      <c r="F1595" s="151"/>
      <c r="G1595" s="151"/>
      <c r="H1595" s="142">
        <f>IFERROR(VLOOKUP($C1595,$C$5:$H$18,6,0)+SUMIF($C$19:$C1595,$C1595,$F$19:$F1595)-SUMIF($C$19:$C1595,$C1595,$G$19:$G1595),"")</f>
        <v>81211.819999998</v>
      </c>
      <c r="I1595" s="147"/>
      <c r="J1595" s="147"/>
      <c r="K1595" s="147" t="str">
        <f t="shared" si="24"/>
        <v/>
      </c>
      <c r="L1595" s="40"/>
      <c r="M1595"/>
      <c r="N1595"/>
      <c r="O1595"/>
      <c r="P1595"/>
      <c r="Q1595"/>
      <c r="R1595"/>
      <c r="S1595"/>
      <c r="T1595"/>
      <c r="U1595"/>
      <c r="V1595"/>
      <c r="W1595" s="41"/>
      <c r="X1595" s="41"/>
      <c r="Y1595" s="41"/>
    </row>
    <row r="1596" s="27" customFormat="1" ht="23" hidden="1" customHeight="1" spans="1:25">
      <c r="A1596" s="133" t="str">
        <f>IF(B1596="","",COUNTA($B$5:B1596))</f>
        <v/>
      </c>
      <c r="B1596" s="148"/>
      <c r="C1596" s="22" t="s">
        <v>49</v>
      </c>
      <c r="D1596" s="149"/>
      <c r="E1596" s="150"/>
      <c r="F1596" s="151"/>
      <c r="G1596" s="151"/>
      <c r="H1596" s="142">
        <f>IFERROR(VLOOKUP($C1596,$C$5:$H$18,6,0)+SUMIF($C$19:$C1596,$C1596,$F$19:$F1596)-SUMIF($C$19:$C1596,$C1596,$G$19:$G1596),"")</f>
        <v>81211.819999998</v>
      </c>
      <c r="I1596" s="147"/>
      <c r="J1596" s="147"/>
      <c r="K1596" s="147" t="str">
        <f t="shared" si="24"/>
        <v/>
      </c>
      <c r="L1596" s="40"/>
      <c r="M1596"/>
      <c r="N1596"/>
      <c r="O1596"/>
      <c r="P1596"/>
      <c r="Q1596"/>
      <c r="R1596"/>
      <c r="S1596"/>
      <c r="T1596"/>
      <c r="U1596"/>
      <c r="V1596"/>
      <c r="W1596" s="41"/>
      <c r="X1596" s="41"/>
      <c r="Y1596" s="41"/>
    </row>
    <row r="1597" s="27" customFormat="1" ht="23" hidden="1" customHeight="1" spans="1:25">
      <c r="A1597" s="133" t="str">
        <f>IF(B1597="","",COUNTA($B$5:B1597))</f>
        <v/>
      </c>
      <c r="B1597" s="148"/>
      <c r="C1597" s="22" t="s">
        <v>49</v>
      </c>
      <c r="D1597" s="149"/>
      <c r="E1597" s="150"/>
      <c r="F1597" s="151"/>
      <c r="G1597" s="151"/>
      <c r="H1597" s="142">
        <f>IFERROR(VLOOKUP($C1597,$C$5:$H$18,6,0)+SUMIF($C$19:$C1597,$C1597,$F$19:$F1597)-SUMIF($C$19:$C1597,$C1597,$G$19:$G1597),"")</f>
        <v>81211.819999998</v>
      </c>
      <c r="I1597" s="147"/>
      <c r="J1597" s="147"/>
      <c r="K1597" s="147" t="str">
        <f t="shared" si="24"/>
        <v/>
      </c>
      <c r="L1597" s="40"/>
      <c r="M1597"/>
      <c r="N1597"/>
      <c r="O1597"/>
      <c r="P1597"/>
      <c r="Q1597"/>
      <c r="R1597"/>
      <c r="S1597"/>
      <c r="T1597"/>
      <c r="U1597"/>
      <c r="V1597"/>
      <c r="W1597" s="41"/>
      <c r="X1597" s="41"/>
      <c r="Y1597" s="41"/>
    </row>
    <row r="1598" s="27" customFormat="1" ht="23" hidden="1" customHeight="1" spans="1:25">
      <c r="A1598" s="133" t="str">
        <f>IF(B1598="","",COUNTA($B$5:B1598))</f>
        <v/>
      </c>
      <c r="B1598" s="148"/>
      <c r="C1598" s="22" t="s">
        <v>49</v>
      </c>
      <c r="D1598" s="149"/>
      <c r="E1598" s="150"/>
      <c r="F1598" s="151"/>
      <c r="G1598" s="151"/>
      <c r="H1598" s="142">
        <f>IFERROR(VLOOKUP($C1598,$C$5:$H$18,6,0)+SUMIF($C$19:$C1598,$C1598,$F$19:$F1598)-SUMIF($C$19:$C1598,$C1598,$G$19:$G1598),"")</f>
        <v>81211.819999998</v>
      </c>
      <c r="I1598" s="147"/>
      <c r="J1598" s="147"/>
      <c r="K1598" s="147" t="str">
        <f t="shared" si="24"/>
        <v/>
      </c>
      <c r="L1598" s="40"/>
      <c r="M1598"/>
      <c r="N1598"/>
      <c r="O1598"/>
      <c r="P1598"/>
      <c r="Q1598"/>
      <c r="R1598"/>
      <c r="S1598"/>
      <c r="T1598"/>
      <c r="U1598"/>
      <c r="V1598"/>
      <c r="W1598" s="41"/>
      <c r="X1598" s="41"/>
      <c r="Y1598" s="41"/>
    </row>
    <row r="1599" s="27" customFormat="1" ht="23" hidden="1" customHeight="1" spans="1:25">
      <c r="A1599" s="133" t="str">
        <f>IF(B1599="","",COUNTA($B$5:B1599))</f>
        <v/>
      </c>
      <c r="B1599" s="148"/>
      <c r="C1599" s="22" t="s">
        <v>49</v>
      </c>
      <c r="D1599" s="149"/>
      <c r="E1599" s="150"/>
      <c r="F1599" s="151"/>
      <c r="G1599" s="151"/>
      <c r="H1599" s="142">
        <f>IFERROR(VLOOKUP($C1599,$C$5:$H$18,6,0)+SUMIF($C$19:$C1599,$C1599,$F$19:$F1599)-SUMIF($C$19:$C1599,$C1599,$G$19:$G1599),"")</f>
        <v>81211.819999998</v>
      </c>
      <c r="I1599" s="147"/>
      <c r="J1599" s="147"/>
      <c r="K1599" s="147" t="str">
        <f t="shared" si="24"/>
        <v/>
      </c>
      <c r="L1599" s="40"/>
      <c r="M1599"/>
      <c r="N1599"/>
      <c r="O1599"/>
      <c r="P1599"/>
      <c r="Q1599"/>
      <c r="R1599"/>
      <c r="S1599"/>
      <c r="T1599"/>
      <c r="U1599"/>
      <c r="V1599"/>
      <c r="W1599" s="41"/>
      <c r="X1599" s="41"/>
      <c r="Y1599" s="41"/>
    </row>
    <row r="1600" s="27" customFormat="1" ht="23" hidden="1" customHeight="1" spans="1:25">
      <c r="A1600" s="133" t="str">
        <f>IF(B1600="","",COUNTA($B$5:B1600))</f>
        <v/>
      </c>
      <c r="B1600" s="148"/>
      <c r="C1600" s="22" t="s">
        <v>49</v>
      </c>
      <c r="D1600" s="149"/>
      <c r="E1600" s="150"/>
      <c r="F1600" s="151"/>
      <c r="G1600" s="151"/>
      <c r="H1600" s="142">
        <f>IFERROR(VLOOKUP($C1600,$C$5:$H$18,6,0)+SUMIF($C$19:$C1600,$C1600,$F$19:$F1600)-SUMIF($C$19:$C1600,$C1600,$G$19:$G1600),"")</f>
        <v>81211.819999998</v>
      </c>
      <c r="I1600" s="147"/>
      <c r="J1600" s="147"/>
      <c r="K1600" s="147" t="str">
        <f t="shared" si="24"/>
        <v/>
      </c>
      <c r="L1600" s="40"/>
      <c r="M1600"/>
      <c r="N1600"/>
      <c r="O1600"/>
      <c r="P1600"/>
      <c r="Q1600"/>
      <c r="R1600"/>
      <c r="S1600"/>
      <c r="T1600"/>
      <c r="U1600"/>
      <c r="V1600"/>
      <c r="W1600" s="41"/>
      <c r="X1600" s="41"/>
      <c r="Y1600" s="41"/>
    </row>
    <row r="1601" s="27" customFormat="1" ht="23" hidden="1" customHeight="1" spans="1:25">
      <c r="A1601" s="133" t="str">
        <f>IF(B1601="","",COUNTA($B$5:B1601))</f>
        <v/>
      </c>
      <c r="B1601" s="148"/>
      <c r="C1601" s="22" t="s">
        <v>49</v>
      </c>
      <c r="D1601" s="149"/>
      <c r="E1601" s="150"/>
      <c r="F1601" s="151"/>
      <c r="G1601" s="151"/>
      <c r="H1601" s="142">
        <f>IFERROR(VLOOKUP($C1601,$C$5:$H$18,6,0)+SUMIF($C$19:$C1601,$C1601,$F$19:$F1601)-SUMIF($C$19:$C1601,$C1601,$G$19:$G1601),"")</f>
        <v>81211.819999998</v>
      </c>
      <c r="I1601" s="147"/>
      <c r="J1601" s="147"/>
      <c r="K1601" s="147" t="str">
        <f t="shared" si="24"/>
        <v/>
      </c>
      <c r="L1601" s="40"/>
      <c r="M1601"/>
      <c r="N1601"/>
      <c r="O1601"/>
      <c r="P1601"/>
      <c r="Q1601"/>
      <c r="R1601"/>
      <c r="S1601"/>
      <c r="T1601"/>
      <c r="U1601"/>
      <c r="V1601"/>
      <c r="W1601" s="41"/>
      <c r="X1601" s="41"/>
      <c r="Y1601" s="41"/>
    </row>
    <row r="1602" s="27" customFormat="1" ht="23" hidden="1" customHeight="1" spans="1:25">
      <c r="A1602" s="133" t="str">
        <f>IF(B1602="","",COUNTA($B$5:B1602))</f>
        <v/>
      </c>
      <c r="B1602" s="148"/>
      <c r="C1602" s="22" t="s">
        <v>49</v>
      </c>
      <c r="D1602" s="149"/>
      <c r="E1602" s="150"/>
      <c r="F1602" s="151"/>
      <c r="G1602" s="151"/>
      <c r="H1602" s="142">
        <f>IFERROR(VLOOKUP($C1602,$C$5:$H$18,6,0)+SUMIF($C$19:$C1602,$C1602,$F$19:$F1602)-SUMIF($C$19:$C1602,$C1602,$G$19:$G1602),"")</f>
        <v>81211.819999998</v>
      </c>
      <c r="I1602" s="147"/>
      <c r="J1602" s="147"/>
      <c r="K1602" s="147" t="str">
        <f t="shared" si="24"/>
        <v/>
      </c>
      <c r="L1602" s="40"/>
      <c r="M1602"/>
      <c r="N1602"/>
      <c r="O1602"/>
      <c r="P1602"/>
      <c r="Q1602"/>
      <c r="R1602"/>
      <c r="S1602"/>
      <c r="T1602"/>
      <c r="U1602"/>
      <c r="V1602"/>
      <c r="W1602" s="41"/>
      <c r="X1602" s="41"/>
      <c r="Y1602" s="41"/>
    </row>
    <row r="1603" s="27" customFormat="1" ht="23" hidden="1" customHeight="1" spans="1:25">
      <c r="A1603" s="133" t="str">
        <f>IF(B1603="","",COUNTA($B$5:B1603))</f>
        <v/>
      </c>
      <c r="B1603" s="148"/>
      <c r="C1603" s="22" t="s">
        <v>49</v>
      </c>
      <c r="D1603" s="149"/>
      <c r="E1603" s="150"/>
      <c r="F1603" s="151"/>
      <c r="G1603" s="151"/>
      <c r="H1603" s="142">
        <f>IFERROR(VLOOKUP($C1603,$C$5:$H$18,6,0)+SUMIF($C$19:$C1603,$C1603,$F$19:$F1603)-SUMIF($C$19:$C1603,$C1603,$G$19:$G1603),"")</f>
        <v>81211.819999998</v>
      </c>
      <c r="I1603" s="147"/>
      <c r="J1603" s="147"/>
      <c r="K1603" s="147" t="str">
        <f t="shared" si="24"/>
        <v/>
      </c>
      <c r="L1603" s="40"/>
      <c r="M1603"/>
      <c r="N1603"/>
      <c r="O1603"/>
      <c r="P1603"/>
      <c r="Q1603"/>
      <c r="R1603"/>
      <c r="S1603"/>
      <c r="T1603"/>
      <c r="U1603"/>
      <c r="V1603"/>
      <c r="W1603" s="41"/>
      <c r="X1603" s="41"/>
      <c r="Y1603" s="41"/>
    </row>
    <row r="1604" s="27" customFormat="1" ht="23" hidden="1" customHeight="1" spans="1:25">
      <c r="A1604" s="133" t="str">
        <f>IF(B1604="","",COUNTA($B$5:B1604))</f>
        <v/>
      </c>
      <c r="B1604" s="148"/>
      <c r="C1604" s="22" t="s">
        <v>49</v>
      </c>
      <c r="D1604" s="149"/>
      <c r="E1604" s="150"/>
      <c r="F1604" s="151"/>
      <c r="G1604" s="151"/>
      <c r="H1604" s="142">
        <f>IFERROR(VLOOKUP($C1604,$C$5:$H$18,6,0)+SUMIF($C$19:$C1604,$C1604,$F$19:$F1604)-SUMIF($C$19:$C1604,$C1604,$G$19:$G1604),"")</f>
        <v>81211.819999998</v>
      </c>
      <c r="I1604" s="147"/>
      <c r="J1604" s="147"/>
      <c r="K1604" s="147" t="str">
        <f t="shared" si="24"/>
        <v/>
      </c>
      <c r="L1604" s="40"/>
      <c r="M1604"/>
      <c r="N1604"/>
      <c r="O1604"/>
      <c r="P1604"/>
      <c r="Q1604"/>
      <c r="R1604"/>
      <c r="S1604"/>
      <c r="T1604"/>
      <c r="U1604"/>
      <c r="V1604"/>
      <c r="W1604" s="41"/>
      <c r="X1604" s="41"/>
      <c r="Y1604" s="41"/>
    </row>
    <row r="1605" s="27" customFormat="1" ht="23" hidden="1" customHeight="1" spans="1:25">
      <c r="A1605" s="133" t="str">
        <f>IF(B1605="","",COUNTA($B$5:B1605))</f>
        <v/>
      </c>
      <c r="B1605" s="148"/>
      <c r="C1605" s="22" t="s">
        <v>49</v>
      </c>
      <c r="D1605" s="149"/>
      <c r="E1605" s="150"/>
      <c r="F1605" s="151"/>
      <c r="G1605" s="151"/>
      <c r="H1605" s="142">
        <f>IFERROR(VLOOKUP($C1605,$C$5:$H$18,6,0)+SUMIF($C$19:$C1605,$C1605,$F$19:$F1605)-SUMIF($C$19:$C1605,$C1605,$G$19:$G1605),"")</f>
        <v>81211.819999998</v>
      </c>
      <c r="I1605" s="147"/>
      <c r="J1605" s="147"/>
      <c r="K1605" s="147" t="str">
        <f t="shared" ref="K1605:K1668" si="25">IF($B1605="","",--TEXT($B1605,"yyyymm"))</f>
        <v/>
      </c>
      <c r="L1605" s="40"/>
      <c r="M1605"/>
      <c r="N1605"/>
      <c r="O1605"/>
      <c r="P1605"/>
      <c r="Q1605"/>
      <c r="R1605"/>
      <c r="S1605"/>
      <c r="T1605"/>
      <c r="U1605"/>
      <c r="V1605"/>
      <c r="W1605" s="41"/>
      <c r="X1605" s="41"/>
      <c r="Y1605" s="41"/>
    </row>
    <row r="1606" s="27" customFormat="1" ht="23" hidden="1" customHeight="1" spans="1:25">
      <c r="A1606" s="133" t="str">
        <f>IF(B1606="","",COUNTA($B$5:B1606))</f>
        <v/>
      </c>
      <c r="B1606" s="148"/>
      <c r="C1606" s="22" t="s">
        <v>49</v>
      </c>
      <c r="D1606" s="149"/>
      <c r="E1606" s="150"/>
      <c r="F1606" s="151"/>
      <c r="G1606" s="151"/>
      <c r="H1606" s="142">
        <f>IFERROR(VLOOKUP($C1606,$C$5:$H$18,6,0)+SUMIF($C$19:$C1606,$C1606,$F$19:$F1606)-SUMIF($C$19:$C1606,$C1606,$G$19:$G1606),"")</f>
        <v>81211.819999998</v>
      </c>
      <c r="I1606" s="147"/>
      <c r="J1606" s="147"/>
      <c r="K1606" s="147" t="str">
        <f t="shared" si="25"/>
        <v/>
      </c>
      <c r="L1606" s="40"/>
      <c r="M1606"/>
      <c r="N1606"/>
      <c r="O1606"/>
      <c r="P1606"/>
      <c r="Q1606"/>
      <c r="R1606"/>
      <c r="S1606"/>
      <c r="T1606"/>
      <c r="U1606"/>
      <c r="V1606"/>
      <c r="W1606" s="41"/>
      <c r="X1606" s="41"/>
      <c r="Y1606" s="41"/>
    </row>
    <row r="1607" s="27" customFormat="1" ht="23" hidden="1" customHeight="1" spans="1:25">
      <c r="A1607" s="133" t="str">
        <f>IF(B1607="","",COUNTA($B$5:B1607))</f>
        <v/>
      </c>
      <c r="B1607" s="148"/>
      <c r="C1607" s="22" t="s">
        <v>49</v>
      </c>
      <c r="D1607" s="149"/>
      <c r="E1607" s="150"/>
      <c r="F1607" s="151"/>
      <c r="G1607" s="151"/>
      <c r="H1607" s="142">
        <f>IFERROR(VLOOKUP($C1607,$C$5:$H$18,6,0)+SUMIF($C$19:$C1607,$C1607,$F$19:$F1607)-SUMIF($C$19:$C1607,$C1607,$G$19:$G1607),"")</f>
        <v>81211.819999998</v>
      </c>
      <c r="I1607" s="147"/>
      <c r="J1607" s="147"/>
      <c r="K1607" s="147" t="str">
        <f t="shared" si="25"/>
        <v/>
      </c>
      <c r="L1607" s="40"/>
      <c r="M1607"/>
      <c r="N1607"/>
      <c r="O1607"/>
      <c r="P1607"/>
      <c r="Q1607"/>
      <c r="R1607"/>
      <c r="S1607"/>
      <c r="T1607"/>
      <c r="U1607"/>
      <c r="V1607"/>
      <c r="W1607" s="41"/>
      <c r="X1607" s="41"/>
      <c r="Y1607" s="41"/>
    </row>
    <row r="1608" s="27" customFormat="1" ht="23" hidden="1" customHeight="1" spans="1:25">
      <c r="A1608" s="133" t="str">
        <f>IF(B1608="","",COUNTA($B$5:B1608))</f>
        <v/>
      </c>
      <c r="B1608" s="148"/>
      <c r="C1608" s="22" t="s">
        <v>49</v>
      </c>
      <c r="D1608" s="149"/>
      <c r="E1608" s="150"/>
      <c r="F1608" s="151"/>
      <c r="G1608" s="151"/>
      <c r="H1608" s="142">
        <f>IFERROR(VLOOKUP($C1608,$C$5:$H$18,6,0)+SUMIF($C$19:$C1608,$C1608,$F$19:$F1608)-SUMIF($C$19:$C1608,$C1608,$G$19:$G1608),"")</f>
        <v>81211.819999998</v>
      </c>
      <c r="I1608" s="147"/>
      <c r="J1608" s="147"/>
      <c r="K1608" s="147" t="str">
        <f t="shared" si="25"/>
        <v/>
      </c>
      <c r="L1608" s="40"/>
      <c r="M1608"/>
      <c r="N1608"/>
      <c r="O1608"/>
      <c r="P1608"/>
      <c r="Q1608"/>
      <c r="R1608"/>
      <c r="S1608"/>
      <c r="T1608"/>
      <c r="U1608"/>
      <c r="V1608"/>
      <c r="W1608" s="41"/>
      <c r="X1608" s="41"/>
      <c r="Y1608" s="41"/>
    </row>
    <row r="1609" s="27" customFormat="1" ht="23" hidden="1" customHeight="1" spans="1:25">
      <c r="A1609" s="133" t="str">
        <f>IF(B1609="","",COUNTA($B$5:B1609))</f>
        <v/>
      </c>
      <c r="B1609" s="148"/>
      <c r="C1609" s="22" t="s">
        <v>49</v>
      </c>
      <c r="D1609" s="149"/>
      <c r="E1609" s="150"/>
      <c r="F1609" s="151"/>
      <c r="G1609" s="151"/>
      <c r="H1609" s="142">
        <f>IFERROR(VLOOKUP($C1609,$C$5:$H$18,6,0)+SUMIF($C$19:$C1609,$C1609,$F$19:$F1609)-SUMIF($C$19:$C1609,$C1609,$G$19:$G1609),"")</f>
        <v>81211.819999998</v>
      </c>
      <c r="I1609" s="147"/>
      <c r="J1609" s="147"/>
      <c r="K1609" s="147" t="str">
        <f t="shared" si="25"/>
        <v/>
      </c>
      <c r="L1609" s="40"/>
      <c r="M1609"/>
      <c r="N1609"/>
      <c r="O1609"/>
      <c r="P1609"/>
      <c r="Q1609"/>
      <c r="R1609"/>
      <c r="S1609"/>
      <c r="T1609"/>
      <c r="U1609"/>
      <c r="V1609"/>
      <c r="W1609" s="41"/>
      <c r="X1609" s="41"/>
      <c r="Y1609" s="41"/>
    </row>
    <row r="1610" s="27" customFormat="1" ht="23" hidden="1" customHeight="1" spans="1:25">
      <c r="A1610" s="133" t="str">
        <f>IF(B1610="","",COUNTA($B$5:B1610))</f>
        <v/>
      </c>
      <c r="B1610" s="148"/>
      <c r="C1610" s="22" t="s">
        <v>49</v>
      </c>
      <c r="D1610" s="149"/>
      <c r="E1610" s="150"/>
      <c r="F1610" s="151"/>
      <c r="G1610" s="151"/>
      <c r="H1610" s="142">
        <f>IFERROR(VLOOKUP($C1610,$C$5:$H$18,6,0)+SUMIF($C$19:$C1610,$C1610,$F$19:$F1610)-SUMIF($C$19:$C1610,$C1610,$G$19:$G1610),"")</f>
        <v>81211.819999998</v>
      </c>
      <c r="I1610" s="147"/>
      <c r="J1610" s="147"/>
      <c r="K1610" s="147" t="str">
        <f t="shared" si="25"/>
        <v/>
      </c>
      <c r="L1610" s="40"/>
      <c r="M1610"/>
      <c r="N1610"/>
      <c r="O1610"/>
      <c r="P1610"/>
      <c r="Q1610"/>
      <c r="R1610"/>
      <c r="S1610"/>
      <c r="T1610"/>
      <c r="U1610"/>
      <c r="V1610"/>
      <c r="W1610" s="41"/>
      <c r="X1610" s="41"/>
      <c r="Y1610" s="41"/>
    </row>
    <row r="1611" s="27" customFormat="1" ht="23" hidden="1" customHeight="1" spans="1:25">
      <c r="A1611" s="133" t="str">
        <f>IF(B1611="","",COUNTA($B$5:B1611))</f>
        <v/>
      </c>
      <c r="B1611" s="148"/>
      <c r="C1611" s="22" t="s">
        <v>49</v>
      </c>
      <c r="D1611" s="149"/>
      <c r="E1611" s="150"/>
      <c r="F1611" s="151"/>
      <c r="G1611" s="151"/>
      <c r="H1611" s="142">
        <f>IFERROR(VLOOKUP($C1611,$C$5:$H$18,6,0)+SUMIF($C$19:$C1611,$C1611,$F$19:$F1611)-SUMIF($C$19:$C1611,$C1611,$G$19:$G1611),"")</f>
        <v>81211.819999998</v>
      </c>
      <c r="I1611" s="147"/>
      <c r="J1611" s="147"/>
      <c r="K1611" s="147" t="str">
        <f t="shared" si="25"/>
        <v/>
      </c>
      <c r="L1611" s="40"/>
      <c r="M1611"/>
      <c r="N1611"/>
      <c r="O1611"/>
      <c r="P1611"/>
      <c r="Q1611"/>
      <c r="R1611"/>
      <c r="S1611"/>
      <c r="T1611"/>
      <c r="U1611"/>
      <c r="V1611"/>
      <c r="W1611" s="41"/>
      <c r="X1611" s="41"/>
      <c r="Y1611" s="41"/>
    </row>
    <row r="1612" s="27" customFormat="1" ht="23" hidden="1" customHeight="1" spans="1:25">
      <c r="A1612" s="133" t="str">
        <f>IF(B1612="","",COUNTA($B$5:B1612))</f>
        <v/>
      </c>
      <c r="B1612" s="148"/>
      <c r="C1612" s="22" t="s">
        <v>49</v>
      </c>
      <c r="D1612" s="149"/>
      <c r="E1612" s="150"/>
      <c r="F1612" s="151"/>
      <c r="G1612" s="151"/>
      <c r="H1612" s="142">
        <f>IFERROR(VLOOKUP($C1612,$C$5:$H$18,6,0)+SUMIF($C$19:$C1612,$C1612,$F$19:$F1612)-SUMIF($C$19:$C1612,$C1612,$G$19:$G1612),"")</f>
        <v>81211.819999998</v>
      </c>
      <c r="I1612" s="147"/>
      <c r="J1612" s="147"/>
      <c r="K1612" s="147" t="str">
        <f t="shared" si="25"/>
        <v/>
      </c>
      <c r="L1612" s="40"/>
      <c r="M1612"/>
      <c r="N1612"/>
      <c r="O1612"/>
      <c r="P1612"/>
      <c r="Q1612"/>
      <c r="R1612"/>
      <c r="S1612"/>
      <c r="T1612"/>
      <c r="U1612"/>
      <c r="V1612"/>
      <c r="W1612" s="41"/>
      <c r="X1612" s="41"/>
      <c r="Y1612" s="41"/>
    </row>
    <row r="1613" s="27" customFormat="1" ht="23" hidden="1" customHeight="1" spans="1:25">
      <c r="A1613" s="133" t="str">
        <f>IF(B1613="","",COUNTA($B$5:B1613))</f>
        <v/>
      </c>
      <c r="B1613" s="148"/>
      <c r="C1613" s="22" t="s">
        <v>49</v>
      </c>
      <c r="D1613" s="149"/>
      <c r="E1613" s="150"/>
      <c r="F1613" s="151"/>
      <c r="G1613" s="151"/>
      <c r="H1613" s="142">
        <f>IFERROR(VLOOKUP($C1613,$C$5:$H$18,6,0)+SUMIF($C$19:$C1613,$C1613,$F$19:$F1613)-SUMIF($C$19:$C1613,$C1613,$G$19:$G1613),"")</f>
        <v>81211.819999998</v>
      </c>
      <c r="I1613" s="147"/>
      <c r="J1613" s="147"/>
      <c r="K1613" s="147" t="str">
        <f t="shared" si="25"/>
        <v/>
      </c>
      <c r="L1613" s="40"/>
      <c r="M1613"/>
      <c r="N1613"/>
      <c r="O1613"/>
      <c r="P1613"/>
      <c r="Q1613"/>
      <c r="R1613"/>
      <c r="S1613"/>
      <c r="T1613"/>
      <c r="U1613"/>
      <c r="V1613"/>
      <c r="W1613" s="41"/>
      <c r="X1613" s="41"/>
      <c r="Y1613" s="41"/>
    </row>
    <row r="1614" s="27" customFormat="1" ht="23" hidden="1" customHeight="1" spans="1:25">
      <c r="A1614" s="133" t="str">
        <f>IF(B1614="","",COUNTA($B$5:B1614))</f>
        <v/>
      </c>
      <c r="B1614" s="148"/>
      <c r="C1614" s="22" t="s">
        <v>49</v>
      </c>
      <c r="D1614" s="149"/>
      <c r="E1614" s="150"/>
      <c r="F1614" s="151"/>
      <c r="G1614" s="151"/>
      <c r="H1614" s="142">
        <f>IFERROR(VLOOKUP($C1614,$C$5:$H$18,6,0)+SUMIF($C$19:$C1614,$C1614,$F$19:$F1614)-SUMIF($C$19:$C1614,$C1614,$G$19:$G1614),"")</f>
        <v>81211.819999998</v>
      </c>
      <c r="I1614" s="147"/>
      <c r="J1614" s="147"/>
      <c r="K1614" s="147" t="str">
        <f t="shared" si="25"/>
        <v/>
      </c>
      <c r="L1614" s="40"/>
      <c r="M1614"/>
      <c r="N1614"/>
      <c r="O1614"/>
      <c r="P1614"/>
      <c r="Q1614"/>
      <c r="R1614"/>
      <c r="S1614"/>
      <c r="T1614"/>
      <c r="U1614"/>
      <c r="V1614"/>
      <c r="W1614" s="41"/>
      <c r="X1614" s="41"/>
      <c r="Y1614" s="41"/>
    </row>
    <row r="1615" s="27" customFormat="1" ht="23" hidden="1" customHeight="1" spans="1:25">
      <c r="A1615" s="133" t="str">
        <f>IF(B1615="","",COUNTA($B$5:B1615))</f>
        <v/>
      </c>
      <c r="B1615" s="148"/>
      <c r="C1615" s="22" t="s">
        <v>49</v>
      </c>
      <c r="D1615" s="149"/>
      <c r="E1615" s="150"/>
      <c r="F1615" s="151"/>
      <c r="G1615" s="151"/>
      <c r="H1615" s="142">
        <f>IFERROR(VLOOKUP($C1615,$C$5:$H$18,6,0)+SUMIF($C$19:$C1615,$C1615,$F$19:$F1615)-SUMIF($C$19:$C1615,$C1615,$G$19:$G1615),"")</f>
        <v>81211.819999998</v>
      </c>
      <c r="I1615" s="147"/>
      <c r="J1615" s="147"/>
      <c r="K1615" s="147" t="str">
        <f t="shared" si="25"/>
        <v/>
      </c>
      <c r="L1615" s="40"/>
      <c r="M1615"/>
      <c r="N1615"/>
      <c r="O1615"/>
      <c r="P1615"/>
      <c r="Q1615"/>
      <c r="R1615"/>
      <c r="S1615"/>
      <c r="T1615"/>
      <c r="U1615"/>
      <c r="V1615"/>
      <c r="W1615" s="41"/>
      <c r="X1615" s="41"/>
      <c r="Y1615" s="41"/>
    </row>
    <row r="1616" s="27" customFormat="1" ht="23" hidden="1" customHeight="1" spans="1:25">
      <c r="A1616" s="133" t="str">
        <f>IF(B1616="","",COUNTA($B$5:B1616))</f>
        <v/>
      </c>
      <c r="B1616" s="148"/>
      <c r="C1616" s="22" t="s">
        <v>49</v>
      </c>
      <c r="D1616" s="149"/>
      <c r="E1616" s="150"/>
      <c r="F1616" s="151"/>
      <c r="G1616" s="151"/>
      <c r="H1616" s="142">
        <f>IFERROR(VLOOKUP($C1616,$C$5:$H$18,6,0)+SUMIF($C$19:$C1616,$C1616,$F$19:$F1616)-SUMIF($C$19:$C1616,$C1616,$G$19:$G1616),"")</f>
        <v>81211.819999998</v>
      </c>
      <c r="I1616" s="147"/>
      <c r="J1616" s="147"/>
      <c r="K1616" s="147" t="str">
        <f t="shared" si="25"/>
        <v/>
      </c>
      <c r="L1616" s="40"/>
      <c r="M1616"/>
      <c r="N1616"/>
      <c r="O1616"/>
      <c r="P1616"/>
      <c r="Q1616"/>
      <c r="R1616"/>
      <c r="S1616"/>
      <c r="T1616"/>
      <c r="U1616"/>
      <c r="V1616"/>
      <c r="W1616" s="41"/>
      <c r="X1616" s="41"/>
      <c r="Y1616" s="41"/>
    </row>
    <row r="1617" s="27" customFormat="1" ht="23" hidden="1" customHeight="1" spans="1:25">
      <c r="A1617" s="133" t="str">
        <f>IF(B1617="","",COUNTA($B$5:B1617))</f>
        <v/>
      </c>
      <c r="B1617" s="148"/>
      <c r="C1617" s="22" t="s">
        <v>49</v>
      </c>
      <c r="D1617" s="149"/>
      <c r="E1617" s="150"/>
      <c r="F1617" s="151"/>
      <c r="G1617" s="151"/>
      <c r="H1617" s="142">
        <f>IFERROR(VLOOKUP($C1617,$C$5:$H$18,6,0)+SUMIF($C$19:$C1617,$C1617,$F$19:$F1617)-SUMIF($C$19:$C1617,$C1617,$G$19:$G1617),"")</f>
        <v>81211.819999998</v>
      </c>
      <c r="I1617" s="147"/>
      <c r="J1617" s="147"/>
      <c r="K1617" s="147" t="str">
        <f t="shared" si="25"/>
        <v/>
      </c>
      <c r="L1617" s="40"/>
      <c r="M1617"/>
      <c r="N1617"/>
      <c r="O1617"/>
      <c r="P1617"/>
      <c r="Q1617"/>
      <c r="R1617"/>
      <c r="S1617"/>
      <c r="T1617"/>
      <c r="U1617"/>
      <c r="V1617"/>
      <c r="W1617" s="41"/>
      <c r="X1617" s="41"/>
      <c r="Y1617" s="41"/>
    </row>
    <row r="1618" s="27" customFormat="1" ht="23" hidden="1" customHeight="1" spans="1:25">
      <c r="A1618" s="133" t="str">
        <f>IF(B1618="","",COUNTA($B$5:B1618))</f>
        <v/>
      </c>
      <c r="B1618" s="148"/>
      <c r="C1618" s="22" t="s">
        <v>49</v>
      </c>
      <c r="D1618" s="149"/>
      <c r="E1618" s="150"/>
      <c r="F1618" s="151"/>
      <c r="G1618" s="151"/>
      <c r="H1618" s="142">
        <f>IFERROR(VLOOKUP($C1618,$C$5:$H$18,6,0)+SUMIF($C$19:$C1618,$C1618,$F$19:$F1618)-SUMIF($C$19:$C1618,$C1618,$G$19:$G1618),"")</f>
        <v>81211.819999998</v>
      </c>
      <c r="I1618" s="147"/>
      <c r="J1618" s="147"/>
      <c r="K1618" s="147" t="str">
        <f t="shared" si="25"/>
        <v/>
      </c>
      <c r="L1618" s="40"/>
      <c r="M1618"/>
      <c r="N1618"/>
      <c r="O1618"/>
      <c r="P1618"/>
      <c r="Q1618"/>
      <c r="R1618"/>
      <c r="S1618"/>
      <c r="T1618"/>
      <c r="U1618"/>
      <c r="V1618"/>
      <c r="W1618" s="41"/>
      <c r="X1618" s="41"/>
      <c r="Y1618" s="41"/>
    </row>
    <row r="1619" s="27" customFormat="1" ht="23" hidden="1" customHeight="1" spans="1:25">
      <c r="A1619" s="133" t="str">
        <f>IF(B1619="","",COUNTA($B$5:B1619))</f>
        <v/>
      </c>
      <c r="B1619" s="148"/>
      <c r="C1619" s="22" t="s">
        <v>49</v>
      </c>
      <c r="D1619" s="149"/>
      <c r="E1619" s="150"/>
      <c r="F1619" s="151"/>
      <c r="G1619" s="151"/>
      <c r="H1619" s="142">
        <f>IFERROR(VLOOKUP($C1619,$C$5:$H$18,6,0)+SUMIF($C$19:$C1619,$C1619,$F$19:$F1619)-SUMIF($C$19:$C1619,$C1619,$G$19:$G1619),"")</f>
        <v>81211.819999998</v>
      </c>
      <c r="I1619" s="147"/>
      <c r="J1619" s="147"/>
      <c r="K1619" s="147" t="str">
        <f t="shared" si="25"/>
        <v/>
      </c>
      <c r="L1619" s="40"/>
      <c r="M1619"/>
      <c r="N1619"/>
      <c r="O1619"/>
      <c r="P1619"/>
      <c r="Q1619"/>
      <c r="R1619"/>
      <c r="S1619"/>
      <c r="T1619"/>
      <c r="U1619"/>
      <c r="V1619"/>
      <c r="W1619" s="41"/>
      <c r="X1619" s="41"/>
      <c r="Y1619" s="41"/>
    </row>
    <row r="1620" s="27" customFormat="1" ht="23" hidden="1" customHeight="1" spans="1:25">
      <c r="A1620" s="133" t="str">
        <f>IF(B1620="","",COUNTA($B$5:B1620))</f>
        <v/>
      </c>
      <c r="B1620" s="148"/>
      <c r="C1620" s="22" t="s">
        <v>49</v>
      </c>
      <c r="D1620" s="149"/>
      <c r="E1620" s="150"/>
      <c r="F1620" s="151"/>
      <c r="G1620" s="151"/>
      <c r="H1620" s="142">
        <f>IFERROR(VLOOKUP($C1620,$C$5:$H$18,6,0)+SUMIF($C$19:$C1620,$C1620,$F$19:$F1620)-SUMIF($C$19:$C1620,$C1620,$G$19:$G1620),"")</f>
        <v>81211.819999998</v>
      </c>
      <c r="I1620" s="147"/>
      <c r="J1620" s="147"/>
      <c r="K1620" s="147" t="str">
        <f t="shared" si="25"/>
        <v/>
      </c>
      <c r="L1620" s="40"/>
      <c r="M1620"/>
      <c r="N1620"/>
      <c r="O1620"/>
      <c r="P1620"/>
      <c r="Q1620"/>
      <c r="R1620"/>
      <c r="S1620"/>
      <c r="T1620"/>
      <c r="U1620"/>
      <c r="V1620"/>
      <c r="W1620" s="41"/>
      <c r="X1620" s="41"/>
      <c r="Y1620" s="41"/>
    </row>
    <row r="1621" s="27" customFormat="1" ht="23" hidden="1" customHeight="1" spans="1:25">
      <c r="A1621" s="133" t="str">
        <f>IF(B1621="","",COUNTA($B$5:B1621))</f>
        <v/>
      </c>
      <c r="B1621" s="148"/>
      <c r="C1621" s="22" t="s">
        <v>49</v>
      </c>
      <c r="D1621" s="149"/>
      <c r="E1621" s="150"/>
      <c r="F1621" s="151"/>
      <c r="G1621" s="151"/>
      <c r="H1621" s="142">
        <f>IFERROR(VLOOKUP($C1621,$C$5:$H$18,6,0)+SUMIF($C$19:$C1621,$C1621,$F$19:$F1621)-SUMIF($C$19:$C1621,$C1621,$G$19:$G1621),"")</f>
        <v>81211.819999998</v>
      </c>
      <c r="I1621" s="147"/>
      <c r="J1621" s="147"/>
      <c r="K1621" s="147" t="str">
        <f t="shared" si="25"/>
        <v/>
      </c>
      <c r="L1621" s="40"/>
      <c r="M1621"/>
      <c r="N1621"/>
      <c r="O1621"/>
      <c r="P1621"/>
      <c r="Q1621"/>
      <c r="R1621"/>
      <c r="S1621"/>
      <c r="T1621"/>
      <c r="U1621"/>
      <c r="V1621"/>
      <c r="W1621" s="41"/>
      <c r="X1621" s="41"/>
      <c r="Y1621" s="41"/>
    </row>
    <row r="1622" s="27" customFormat="1" ht="23" hidden="1" customHeight="1" spans="1:25">
      <c r="A1622" s="133" t="str">
        <f>IF(B1622="","",COUNTA($B$5:B1622))</f>
        <v/>
      </c>
      <c r="B1622" s="148"/>
      <c r="C1622" s="22" t="s">
        <v>49</v>
      </c>
      <c r="D1622" s="149"/>
      <c r="E1622" s="150"/>
      <c r="F1622" s="151"/>
      <c r="G1622" s="151"/>
      <c r="H1622" s="142">
        <f>IFERROR(VLOOKUP($C1622,$C$5:$H$18,6,0)+SUMIF($C$19:$C1622,$C1622,$F$19:$F1622)-SUMIF($C$19:$C1622,$C1622,$G$19:$G1622),"")</f>
        <v>81211.819999998</v>
      </c>
      <c r="I1622" s="147"/>
      <c r="J1622" s="147"/>
      <c r="K1622" s="147" t="str">
        <f t="shared" si="25"/>
        <v/>
      </c>
      <c r="L1622" s="40"/>
      <c r="M1622"/>
      <c r="N1622"/>
      <c r="O1622"/>
      <c r="P1622"/>
      <c r="Q1622"/>
      <c r="R1622"/>
      <c r="S1622"/>
      <c r="T1622"/>
      <c r="U1622"/>
      <c r="V1622"/>
      <c r="W1622" s="41"/>
      <c r="X1622" s="41"/>
      <c r="Y1622" s="41"/>
    </row>
    <row r="1623" s="27" customFormat="1" ht="23" hidden="1" customHeight="1" spans="1:25">
      <c r="A1623" s="133" t="str">
        <f>IF(B1623="","",COUNTA($B$5:B1623))</f>
        <v/>
      </c>
      <c r="B1623" s="148"/>
      <c r="C1623" s="22" t="s">
        <v>49</v>
      </c>
      <c r="D1623" s="149"/>
      <c r="E1623" s="150"/>
      <c r="F1623" s="151"/>
      <c r="G1623" s="151"/>
      <c r="H1623" s="142">
        <f>IFERROR(VLOOKUP($C1623,$C$5:$H$18,6,0)+SUMIF($C$19:$C1623,$C1623,$F$19:$F1623)-SUMIF($C$19:$C1623,$C1623,$G$19:$G1623),"")</f>
        <v>81211.819999998</v>
      </c>
      <c r="I1623" s="147"/>
      <c r="J1623" s="147"/>
      <c r="K1623" s="147" t="str">
        <f t="shared" si="25"/>
        <v/>
      </c>
      <c r="L1623" s="40"/>
      <c r="M1623"/>
      <c r="N1623"/>
      <c r="O1623"/>
      <c r="P1623"/>
      <c r="Q1623"/>
      <c r="R1623"/>
      <c r="S1623"/>
      <c r="T1623"/>
      <c r="U1623"/>
      <c r="V1623"/>
      <c r="W1623" s="41"/>
      <c r="X1623" s="41"/>
      <c r="Y1623" s="41"/>
    </row>
    <row r="1624" s="27" customFormat="1" ht="23" hidden="1" customHeight="1" spans="1:25">
      <c r="A1624" s="133" t="str">
        <f>IF(B1624="","",COUNTA($B$5:B1624))</f>
        <v/>
      </c>
      <c r="B1624" s="148"/>
      <c r="C1624" s="22" t="s">
        <v>49</v>
      </c>
      <c r="D1624" s="149"/>
      <c r="E1624" s="150"/>
      <c r="F1624" s="151"/>
      <c r="G1624" s="151"/>
      <c r="H1624" s="142">
        <f>IFERROR(VLOOKUP($C1624,$C$5:$H$18,6,0)+SUMIF($C$19:$C1624,$C1624,$F$19:$F1624)-SUMIF($C$19:$C1624,$C1624,$G$19:$G1624),"")</f>
        <v>81211.819999998</v>
      </c>
      <c r="I1624" s="147"/>
      <c r="J1624" s="147"/>
      <c r="K1624" s="147" t="str">
        <f t="shared" si="25"/>
        <v/>
      </c>
      <c r="L1624" s="40"/>
      <c r="M1624"/>
      <c r="N1624"/>
      <c r="O1624"/>
      <c r="P1624"/>
      <c r="Q1624"/>
      <c r="R1624"/>
      <c r="S1624"/>
      <c r="T1624"/>
      <c r="U1624"/>
      <c r="V1624"/>
      <c r="W1624" s="41"/>
      <c r="X1624" s="41"/>
      <c r="Y1624" s="41"/>
    </row>
    <row r="1625" s="27" customFormat="1" ht="23" hidden="1" customHeight="1" spans="1:25">
      <c r="A1625" s="133" t="str">
        <f>IF(B1625="","",COUNTA($B$5:B1625))</f>
        <v/>
      </c>
      <c r="B1625" s="148"/>
      <c r="C1625" s="22" t="s">
        <v>49</v>
      </c>
      <c r="D1625" s="149"/>
      <c r="E1625" s="150"/>
      <c r="F1625" s="151"/>
      <c r="G1625" s="151"/>
      <c r="H1625" s="142">
        <f>IFERROR(VLOOKUP($C1625,$C$5:$H$18,6,0)+SUMIF($C$19:$C1625,$C1625,$F$19:$F1625)-SUMIF($C$19:$C1625,$C1625,$G$19:$G1625),"")</f>
        <v>81211.819999998</v>
      </c>
      <c r="I1625" s="147"/>
      <c r="J1625" s="147"/>
      <c r="K1625" s="147" t="str">
        <f t="shared" si="25"/>
        <v/>
      </c>
      <c r="L1625" s="40"/>
      <c r="M1625"/>
      <c r="N1625"/>
      <c r="O1625"/>
      <c r="P1625"/>
      <c r="Q1625"/>
      <c r="R1625"/>
      <c r="S1625"/>
      <c r="T1625"/>
      <c r="U1625"/>
      <c r="V1625"/>
      <c r="W1625" s="41"/>
      <c r="X1625" s="41"/>
      <c r="Y1625" s="41"/>
    </row>
    <row r="1626" s="27" customFormat="1" ht="23" hidden="1" customHeight="1" spans="1:25">
      <c r="A1626" s="133" t="str">
        <f>IF(B1626="","",COUNTA($B$5:B1626))</f>
        <v/>
      </c>
      <c r="B1626" s="148"/>
      <c r="C1626" s="22" t="s">
        <v>49</v>
      </c>
      <c r="D1626" s="149"/>
      <c r="E1626" s="150"/>
      <c r="F1626" s="151"/>
      <c r="G1626" s="151"/>
      <c r="H1626" s="142">
        <f>IFERROR(VLOOKUP($C1626,$C$5:$H$18,6,0)+SUMIF($C$19:$C1626,$C1626,$F$19:$F1626)-SUMIF($C$19:$C1626,$C1626,$G$19:$G1626),"")</f>
        <v>81211.819999998</v>
      </c>
      <c r="I1626" s="147"/>
      <c r="J1626" s="147"/>
      <c r="K1626" s="147" t="str">
        <f t="shared" si="25"/>
        <v/>
      </c>
      <c r="L1626" s="40"/>
      <c r="M1626"/>
      <c r="N1626"/>
      <c r="O1626"/>
      <c r="P1626"/>
      <c r="Q1626"/>
      <c r="R1626"/>
      <c r="S1626"/>
      <c r="T1626"/>
      <c r="U1626"/>
      <c r="V1626"/>
      <c r="W1626" s="41"/>
      <c r="X1626" s="41"/>
      <c r="Y1626" s="41"/>
    </row>
    <row r="1627" s="27" customFormat="1" ht="23" hidden="1" customHeight="1" spans="1:25">
      <c r="A1627" s="133" t="str">
        <f>IF(B1627="","",COUNTA($B$5:B1627))</f>
        <v/>
      </c>
      <c r="B1627" s="148"/>
      <c r="C1627" s="22" t="s">
        <v>49</v>
      </c>
      <c r="D1627" s="149"/>
      <c r="E1627" s="150"/>
      <c r="F1627" s="151"/>
      <c r="G1627" s="151"/>
      <c r="H1627" s="142">
        <f>IFERROR(VLOOKUP($C1627,$C$5:$H$18,6,0)+SUMIF($C$19:$C1627,$C1627,$F$19:$F1627)-SUMIF($C$19:$C1627,$C1627,$G$19:$G1627),"")</f>
        <v>81211.819999998</v>
      </c>
      <c r="I1627" s="147"/>
      <c r="J1627" s="147"/>
      <c r="K1627" s="147" t="str">
        <f t="shared" si="25"/>
        <v/>
      </c>
      <c r="L1627" s="40"/>
      <c r="M1627"/>
      <c r="N1627"/>
      <c r="O1627"/>
      <c r="P1627"/>
      <c r="Q1627"/>
      <c r="R1627"/>
      <c r="S1627"/>
      <c r="T1627"/>
      <c r="U1627"/>
      <c r="V1627"/>
      <c r="W1627" s="41"/>
      <c r="X1627" s="41"/>
      <c r="Y1627" s="41"/>
    </row>
    <row r="1628" s="27" customFormat="1" ht="23" hidden="1" customHeight="1" spans="1:25">
      <c r="A1628" s="133" t="str">
        <f>IF(B1628="","",COUNTA($B$5:B1628))</f>
        <v/>
      </c>
      <c r="B1628" s="148"/>
      <c r="C1628" s="22" t="s">
        <v>49</v>
      </c>
      <c r="D1628" s="149"/>
      <c r="E1628" s="150"/>
      <c r="F1628" s="151"/>
      <c r="G1628" s="151"/>
      <c r="H1628" s="142">
        <f>IFERROR(VLOOKUP($C1628,$C$5:$H$18,6,0)+SUMIF($C$19:$C1628,$C1628,$F$19:$F1628)-SUMIF($C$19:$C1628,$C1628,$G$19:$G1628),"")</f>
        <v>81211.819999998</v>
      </c>
      <c r="I1628" s="147"/>
      <c r="J1628" s="147"/>
      <c r="K1628" s="147" t="str">
        <f t="shared" si="25"/>
        <v/>
      </c>
      <c r="L1628" s="40"/>
      <c r="M1628"/>
      <c r="N1628"/>
      <c r="O1628"/>
      <c r="P1628"/>
      <c r="Q1628"/>
      <c r="R1628"/>
      <c r="S1628"/>
      <c r="T1628"/>
      <c r="U1628"/>
      <c r="V1628"/>
      <c r="W1628" s="41"/>
      <c r="X1628" s="41"/>
      <c r="Y1628" s="41"/>
    </row>
    <row r="1629" s="27" customFormat="1" ht="23" hidden="1" customHeight="1" spans="1:25">
      <c r="A1629" s="133" t="str">
        <f>IF(B1629="","",COUNTA($B$5:B1629))</f>
        <v/>
      </c>
      <c r="B1629" s="148"/>
      <c r="C1629" s="22" t="s">
        <v>49</v>
      </c>
      <c r="D1629" s="149"/>
      <c r="E1629" s="150"/>
      <c r="F1629" s="151"/>
      <c r="G1629" s="151"/>
      <c r="H1629" s="142">
        <f>IFERROR(VLOOKUP($C1629,$C$5:$H$18,6,0)+SUMIF($C$19:$C1629,$C1629,$F$19:$F1629)-SUMIF($C$19:$C1629,$C1629,$G$19:$G1629),"")</f>
        <v>81211.819999998</v>
      </c>
      <c r="I1629" s="147"/>
      <c r="J1629" s="147"/>
      <c r="K1629" s="147" t="str">
        <f t="shared" si="25"/>
        <v/>
      </c>
      <c r="L1629" s="40"/>
      <c r="M1629"/>
      <c r="N1629"/>
      <c r="O1629"/>
      <c r="P1629"/>
      <c r="Q1629"/>
      <c r="R1629"/>
      <c r="S1629"/>
      <c r="T1629"/>
      <c r="U1629"/>
      <c r="V1629"/>
      <c r="W1629" s="41"/>
      <c r="X1629" s="41"/>
      <c r="Y1629" s="41"/>
    </row>
    <row r="1630" s="27" customFormat="1" ht="23" hidden="1" customHeight="1" spans="1:25">
      <c r="A1630" s="133" t="str">
        <f>IF(B1630="","",COUNTA($B$5:B1630))</f>
        <v/>
      </c>
      <c r="B1630" s="148"/>
      <c r="C1630" s="22" t="s">
        <v>49</v>
      </c>
      <c r="D1630" s="149"/>
      <c r="E1630" s="150"/>
      <c r="F1630" s="151"/>
      <c r="G1630" s="151"/>
      <c r="H1630" s="142">
        <f>IFERROR(VLOOKUP($C1630,$C$5:$H$18,6,0)+SUMIF($C$19:$C1630,$C1630,$F$19:$F1630)-SUMIF($C$19:$C1630,$C1630,$G$19:$G1630),"")</f>
        <v>81211.819999998</v>
      </c>
      <c r="I1630" s="147"/>
      <c r="J1630" s="147"/>
      <c r="K1630" s="147" t="str">
        <f t="shared" si="25"/>
        <v/>
      </c>
      <c r="L1630" s="40"/>
      <c r="M1630"/>
      <c r="N1630"/>
      <c r="O1630"/>
      <c r="P1630"/>
      <c r="Q1630"/>
      <c r="R1630"/>
      <c r="S1630"/>
      <c r="T1630"/>
      <c r="U1630"/>
      <c r="V1630"/>
      <c r="W1630" s="41"/>
      <c r="X1630" s="41"/>
      <c r="Y1630" s="41"/>
    </row>
    <row r="1631" s="27" customFormat="1" ht="23" hidden="1" customHeight="1" spans="1:25">
      <c r="A1631" s="133" t="str">
        <f>IF(B1631="","",COUNTA($B$5:B1631))</f>
        <v/>
      </c>
      <c r="B1631" s="148"/>
      <c r="C1631" s="22" t="s">
        <v>49</v>
      </c>
      <c r="D1631" s="149"/>
      <c r="E1631" s="150"/>
      <c r="F1631" s="151"/>
      <c r="G1631" s="151"/>
      <c r="H1631" s="142">
        <f>IFERROR(VLOOKUP($C1631,$C$5:$H$18,6,0)+SUMIF($C$19:$C1631,$C1631,$F$19:$F1631)-SUMIF($C$19:$C1631,$C1631,$G$19:$G1631),"")</f>
        <v>81211.819999998</v>
      </c>
      <c r="I1631" s="147"/>
      <c r="J1631" s="147"/>
      <c r="K1631" s="147" t="str">
        <f t="shared" si="25"/>
        <v/>
      </c>
      <c r="L1631" s="40"/>
      <c r="M1631"/>
      <c r="N1631"/>
      <c r="O1631"/>
      <c r="P1631"/>
      <c r="Q1631"/>
      <c r="R1631"/>
      <c r="S1631"/>
      <c r="T1631"/>
      <c r="U1631"/>
      <c r="V1631"/>
      <c r="W1631" s="41"/>
      <c r="X1631" s="41"/>
      <c r="Y1631" s="41"/>
    </row>
    <row r="1632" s="27" customFormat="1" ht="23" hidden="1" customHeight="1" spans="1:25">
      <c r="A1632" s="133" t="str">
        <f>IF(B1632="","",COUNTA($B$5:B1632))</f>
        <v/>
      </c>
      <c r="B1632" s="148"/>
      <c r="C1632" s="22" t="s">
        <v>49</v>
      </c>
      <c r="D1632" s="149"/>
      <c r="E1632" s="150"/>
      <c r="F1632" s="151"/>
      <c r="G1632" s="151"/>
      <c r="H1632" s="142">
        <f>IFERROR(VLOOKUP($C1632,$C$5:$H$18,6,0)+SUMIF($C$19:$C1632,$C1632,$F$19:$F1632)-SUMIF($C$19:$C1632,$C1632,$G$19:$G1632),"")</f>
        <v>81211.819999998</v>
      </c>
      <c r="I1632" s="147"/>
      <c r="J1632" s="147"/>
      <c r="K1632" s="147" t="str">
        <f t="shared" si="25"/>
        <v/>
      </c>
      <c r="L1632" s="40"/>
      <c r="M1632"/>
      <c r="N1632"/>
      <c r="O1632"/>
      <c r="P1632"/>
      <c r="Q1632"/>
      <c r="R1632"/>
      <c r="S1632"/>
      <c r="T1632"/>
      <c r="U1632"/>
      <c r="V1632"/>
      <c r="W1632" s="41"/>
      <c r="X1632" s="41"/>
      <c r="Y1632" s="41"/>
    </row>
    <row r="1633" s="27" customFormat="1" ht="23" hidden="1" customHeight="1" spans="1:25">
      <c r="A1633" s="133" t="str">
        <f>IF(B1633="","",COUNTA($B$5:B1633))</f>
        <v/>
      </c>
      <c r="B1633" s="148"/>
      <c r="C1633" s="22" t="s">
        <v>49</v>
      </c>
      <c r="D1633" s="149"/>
      <c r="E1633" s="150"/>
      <c r="F1633" s="151"/>
      <c r="G1633" s="151"/>
      <c r="H1633" s="142">
        <f>IFERROR(VLOOKUP($C1633,$C$5:$H$18,6,0)+SUMIF($C$19:$C1633,$C1633,$F$19:$F1633)-SUMIF($C$19:$C1633,$C1633,$G$19:$G1633),"")</f>
        <v>81211.819999998</v>
      </c>
      <c r="I1633" s="147"/>
      <c r="J1633" s="147"/>
      <c r="K1633" s="147" t="str">
        <f t="shared" si="25"/>
        <v/>
      </c>
      <c r="L1633" s="40"/>
      <c r="M1633"/>
      <c r="N1633"/>
      <c r="O1633"/>
      <c r="P1633"/>
      <c r="Q1633"/>
      <c r="R1633"/>
      <c r="S1633"/>
      <c r="T1633"/>
      <c r="U1633"/>
      <c r="V1633"/>
      <c r="W1633" s="41"/>
      <c r="X1633" s="41"/>
      <c r="Y1633" s="41"/>
    </row>
    <row r="1634" s="27" customFormat="1" ht="23" hidden="1" customHeight="1" spans="1:25">
      <c r="A1634" s="133" t="str">
        <f>IF(B1634="","",COUNTA($B$5:B1634))</f>
        <v/>
      </c>
      <c r="B1634" s="148"/>
      <c r="C1634" s="22" t="s">
        <v>49</v>
      </c>
      <c r="D1634" s="149"/>
      <c r="E1634" s="150"/>
      <c r="F1634" s="151"/>
      <c r="G1634" s="151"/>
      <c r="H1634" s="142">
        <f>IFERROR(VLOOKUP($C1634,$C$5:$H$18,6,0)+SUMIF($C$19:$C1634,$C1634,$F$19:$F1634)-SUMIF($C$19:$C1634,$C1634,$G$19:$G1634),"")</f>
        <v>81211.819999998</v>
      </c>
      <c r="I1634" s="147"/>
      <c r="J1634" s="147"/>
      <c r="K1634" s="147" t="str">
        <f t="shared" si="25"/>
        <v/>
      </c>
      <c r="L1634" s="40"/>
      <c r="M1634"/>
      <c r="N1634"/>
      <c r="O1634"/>
      <c r="P1634"/>
      <c r="Q1634"/>
      <c r="R1634"/>
      <c r="S1634"/>
      <c r="T1634"/>
      <c r="U1634"/>
      <c r="V1634"/>
      <c r="W1634" s="41"/>
      <c r="X1634" s="41"/>
      <c r="Y1634" s="41"/>
    </row>
    <row r="1635" s="27" customFormat="1" ht="23" hidden="1" customHeight="1" spans="1:25">
      <c r="A1635" s="133" t="str">
        <f>IF(B1635="","",COUNTA($B$5:B1635))</f>
        <v/>
      </c>
      <c r="B1635" s="148"/>
      <c r="C1635" s="22" t="s">
        <v>49</v>
      </c>
      <c r="D1635" s="149"/>
      <c r="E1635" s="150"/>
      <c r="F1635" s="151"/>
      <c r="G1635" s="151"/>
      <c r="H1635" s="142">
        <f>IFERROR(VLOOKUP($C1635,$C$5:$H$18,6,0)+SUMIF($C$19:$C1635,$C1635,$F$19:$F1635)-SUMIF($C$19:$C1635,$C1635,$G$19:$G1635),"")</f>
        <v>81211.819999998</v>
      </c>
      <c r="I1635" s="147"/>
      <c r="J1635" s="147"/>
      <c r="K1635" s="147" t="str">
        <f t="shared" si="25"/>
        <v/>
      </c>
      <c r="L1635" s="40"/>
      <c r="M1635"/>
      <c r="N1635"/>
      <c r="O1635"/>
      <c r="P1635"/>
      <c r="Q1635"/>
      <c r="R1635"/>
      <c r="S1635"/>
      <c r="T1635"/>
      <c r="U1635"/>
      <c r="V1635"/>
      <c r="W1635" s="41"/>
      <c r="X1635" s="41"/>
      <c r="Y1635" s="41"/>
    </row>
    <row r="1636" s="27" customFormat="1" ht="23" hidden="1" customHeight="1" spans="1:25">
      <c r="A1636" s="133" t="str">
        <f>IF(B1636="","",COUNTA($B$5:B1636))</f>
        <v/>
      </c>
      <c r="B1636" s="148"/>
      <c r="C1636" s="22" t="s">
        <v>49</v>
      </c>
      <c r="D1636" s="149"/>
      <c r="E1636" s="150"/>
      <c r="F1636" s="151"/>
      <c r="G1636" s="151"/>
      <c r="H1636" s="142">
        <f>IFERROR(VLOOKUP($C1636,$C$5:$H$18,6,0)+SUMIF($C$19:$C1636,$C1636,$F$19:$F1636)-SUMIF($C$19:$C1636,$C1636,$G$19:$G1636),"")</f>
        <v>81211.819999998</v>
      </c>
      <c r="I1636" s="147"/>
      <c r="J1636" s="147"/>
      <c r="K1636" s="147" t="str">
        <f t="shared" si="25"/>
        <v/>
      </c>
      <c r="L1636" s="40"/>
      <c r="M1636"/>
      <c r="N1636"/>
      <c r="O1636"/>
      <c r="P1636"/>
      <c r="Q1636"/>
      <c r="R1636"/>
      <c r="S1636"/>
      <c r="T1636"/>
      <c r="U1636"/>
      <c r="V1636"/>
      <c r="W1636" s="41"/>
      <c r="X1636" s="41"/>
      <c r="Y1636" s="41"/>
    </row>
    <row r="1637" s="27" customFormat="1" ht="23" hidden="1" customHeight="1" spans="1:25">
      <c r="A1637" s="133" t="str">
        <f>IF(B1637="","",COUNTA($B$5:B1637))</f>
        <v/>
      </c>
      <c r="B1637" s="148"/>
      <c r="C1637" s="22" t="s">
        <v>49</v>
      </c>
      <c r="D1637" s="149"/>
      <c r="E1637" s="150"/>
      <c r="F1637" s="151"/>
      <c r="G1637" s="151"/>
      <c r="H1637" s="142">
        <f>IFERROR(VLOOKUP($C1637,$C$5:$H$18,6,0)+SUMIF($C$19:$C1637,$C1637,$F$19:$F1637)-SUMIF($C$19:$C1637,$C1637,$G$19:$G1637),"")</f>
        <v>81211.819999998</v>
      </c>
      <c r="I1637" s="147"/>
      <c r="J1637" s="147"/>
      <c r="K1637" s="147" t="str">
        <f t="shared" si="25"/>
        <v/>
      </c>
      <c r="L1637" s="40"/>
      <c r="M1637"/>
      <c r="N1637"/>
      <c r="O1637"/>
      <c r="P1637"/>
      <c r="Q1637"/>
      <c r="R1637"/>
      <c r="S1637"/>
      <c r="T1637"/>
      <c r="U1637"/>
      <c r="V1637"/>
      <c r="W1637" s="41"/>
      <c r="X1637" s="41"/>
      <c r="Y1637" s="41"/>
    </row>
    <row r="1638" s="27" customFormat="1" ht="23" hidden="1" customHeight="1" spans="1:25">
      <c r="A1638" s="133" t="str">
        <f>IF(B1638="","",COUNTA($B$5:B1638))</f>
        <v/>
      </c>
      <c r="B1638" s="148"/>
      <c r="C1638" s="22" t="s">
        <v>49</v>
      </c>
      <c r="D1638" s="149"/>
      <c r="E1638" s="150"/>
      <c r="F1638" s="151"/>
      <c r="G1638" s="151"/>
      <c r="H1638" s="142">
        <f>IFERROR(VLOOKUP($C1638,$C$5:$H$18,6,0)+SUMIF($C$19:$C1638,$C1638,$F$19:$F1638)-SUMIF($C$19:$C1638,$C1638,$G$19:$G1638),"")</f>
        <v>81211.819999998</v>
      </c>
      <c r="I1638" s="147"/>
      <c r="J1638" s="147"/>
      <c r="K1638" s="147" t="str">
        <f t="shared" si="25"/>
        <v/>
      </c>
      <c r="L1638" s="40"/>
      <c r="M1638"/>
      <c r="N1638"/>
      <c r="O1638"/>
      <c r="P1638"/>
      <c r="Q1638"/>
      <c r="R1638"/>
      <c r="S1638"/>
      <c r="T1638"/>
      <c r="U1638"/>
      <c r="V1638"/>
      <c r="W1638" s="41"/>
      <c r="X1638" s="41"/>
      <c r="Y1638" s="41"/>
    </row>
    <row r="1639" s="27" customFormat="1" ht="23" hidden="1" customHeight="1" spans="1:25">
      <c r="A1639" s="133" t="str">
        <f>IF(B1639="","",COUNTA($B$5:B1639))</f>
        <v/>
      </c>
      <c r="B1639" s="148"/>
      <c r="C1639" s="22" t="s">
        <v>49</v>
      </c>
      <c r="D1639" s="149"/>
      <c r="E1639" s="150"/>
      <c r="F1639" s="151"/>
      <c r="G1639" s="151"/>
      <c r="H1639" s="142">
        <f>IFERROR(VLOOKUP($C1639,$C$5:$H$18,6,0)+SUMIF($C$19:$C1639,$C1639,$F$19:$F1639)-SUMIF($C$19:$C1639,$C1639,$G$19:$G1639),"")</f>
        <v>81211.819999998</v>
      </c>
      <c r="I1639" s="147"/>
      <c r="J1639" s="147"/>
      <c r="K1639" s="147" t="str">
        <f t="shared" si="25"/>
        <v/>
      </c>
      <c r="L1639" s="40"/>
      <c r="M1639"/>
      <c r="N1639"/>
      <c r="O1639"/>
      <c r="P1639"/>
      <c r="Q1639"/>
      <c r="R1639"/>
      <c r="S1639"/>
      <c r="T1639"/>
      <c r="U1639"/>
      <c r="V1639"/>
      <c r="W1639" s="41"/>
      <c r="X1639" s="41"/>
      <c r="Y1639" s="41"/>
    </row>
    <row r="1640" s="27" customFormat="1" ht="23" hidden="1" customHeight="1" spans="1:25">
      <c r="A1640" s="133" t="str">
        <f>IF(B1640="","",COUNTA($B$5:B1640))</f>
        <v/>
      </c>
      <c r="B1640" s="148"/>
      <c r="C1640" s="22" t="s">
        <v>49</v>
      </c>
      <c r="D1640" s="149"/>
      <c r="E1640" s="150"/>
      <c r="F1640" s="151"/>
      <c r="G1640" s="151"/>
      <c r="H1640" s="142">
        <f>IFERROR(VLOOKUP($C1640,$C$5:$H$18,6,0)+SUMIF($C$19:$C1640,$C1640,$F$19:$F1640)-SUMIF($C$19:$C1640,$C1640,$G$19:$G1640),"")</f>
        <v>81211.819999998</v>
      </c>
      <c r="I1640" s="147"/>
      <c r="J1640" s="147"/>
      <c r="K1640" s="147" t="str">
        <f t="shared" si="25"/>
        <v/>
      </c>
      <c r="L1640" s="40"/>
      <c r="M1640"/>
      <c r="N1640"/>
      <c r="O1640"/>
      <c r="P1640"/>
      <c r="Q1640"/>
      <c r="R1640"/>
      <c r="S1640"/>
      <c r="T1640"/>
      <c r="U1640"/>
      <c r="V1640"/>
      <c r="W1640" s="41"/>
      <c r="X1640" s="41"/>
      <c r="Y1640" s="41"/>
    </row>
    <row r="1641" s="27" customFormat="1" ht="23" hidden="1" customHeight="1" spans="1:25">
      <c r="A1641" s="133" t="str">
        <f>IF(B1641="","",COUNTA($B$5:B1641))</f>
        <v/>
      </c>
      <c r="B1641" s="148"/>
      <c r="C1641" s="22" t="s">
        <v>49</v>
      </c>
      <c r="D1641" s="149"/>
      <c r="E1641" s="150"/>
      <c r="F1641" s="151"/>
      <c r="G1641" s="151"/>
      <c r="H1641" s="142">
        <f>IFERROR(VLOOKUP($C1641,$C$5:$H$18,6,0)+SUMIF($C$19:$C1641,$C1641,$F$19:$F1641)-SUMIF($C$19:$C1641,$C1641,$G$19:$G1641),"")</f>
        <v>81211.819999998</v>
      </c>
      <c r="I1641" s="147"/>
      <c r="J1641" s="147"/>
      <c r="K1641" s="147" t="str">
        <f t="shared" si="25"/>
        <v/>
      </c>
      <c r="L1641" s="40"/>
      <c r="M1641"/>
      <c r="N1641"/>
      <c r="O1641"/>
      <c r="P1641"/>
      <c r="Q1641"/>
      <c r="R1641"/>
      <c r="S1641"/>
      <c r="T1641"/>
      <c r="U1641"/>
      <c r="V1641"/>
      <c r="W1641" s="41"/>
      <c r="X1641" s="41"/>
      <c r="Y1641" s="41"/>
    </row>
    <row r="1642" s="27" customFormat="1" ht="23" hidden="1" customHeight="1" spans="1:25">
      <c r="A1642" s="133" t="str">
        <f>IF(B1642="","",COUNTA($B$5:B1642))</f>
        <v/>
      </c>
      <c r="B1642" s="148"/>
      <c r="C1642" s="22" t="s">
        <v>49</v>
      </c>
      <c r="D1642" s="149"/>
      <c r="E1642" s="150"/>
      <c r="F1642" s="151"/>
      <c r="G1642" s="151"/>
      <c r="H1642" s="142">
        <f>IFERROR(VLOOKUP($C1642,$C$5:$H$18,6,0)+SUMIF($C$19:$C1642,$C1642,$F$19:$F1642)-SUMIF($C$19:$C1642,$C1642,$G$19:$G1642),"")</f>
        <v>81211.819999998</v>
      </c>
      <c r="I1642" s="147"/>
      <c r="J1642" s="147"/>
      <c r="K1642" s="147" t="str">
        <f t="shared" si="25"/>
        <v/>
      </c>
      <c r="L1642" s="40"/>
      <c r="M1642"/>
      <c r="N1642"/>
      <c r="O1642"/>
      <c r="P1642"/>
      <c r="Q1642"/>
      <c r="R1642"/>
      <c r="S1642"/>
      <c r="T1642"/>
      <c r="U1642"/>
      <c r="V1642"/>
      <c r="W1642" s="41"/>
      <c r="X1642" s="41"/>
      <c r="Y1642" s="41"/>
    </row>
    <row r="1643" s="27" customFormat="1" ht="23" hidden="1" customHeight="1" spans="1:25">
      <c r="A1643" s="133" t="str">
        <f>IF(B1643="","",COUNTA($B$5:B1643))</f>
        <v/>
      </c>
      <c r="B1643" s="148"/>
      <c r="C1643" s="22" t="s">
        <v>49</v>
      </c>
      <c r="D1643" s="149"/>
      <c r="E1643" s="150"/>
      <c r="F1643" s="151"/>
      <c r="G1643" s="151"/>
      <c r="H1643" s="142">
        <f>IFERROR(VLOOKUP($C1643,$C$5:$H$18,6,0)+SUMIF($C$19:$C1643,$C1643,$F$19:$F1643)-SUMIF($C$19:$C1643,$C1643,$G$19:$G1643),"")</f>
        <v>81211.819999998</v>
      </c>
      <c r="I1643" s="147"/>
      <c r="J1643" s="147"/>
      <c r="K1643" s="147" t="str">
        <f t="shared" si="25"/>
        <v/>
      </c>
      <c r="L1643" s="40"/>
      <c r="M1643"/>
      <c r="N1643"/>
      <c r="O1643"/>
      <c r="P1643"/>
      <c r="Q1643"/>
      <c r="R1643"/>
      <c r="S1643"/>
      <c r="T1643"/>
      <c r="U1643"/>
      <c r="V1643"/>
      <c r="W1643" s="41"/>
      <c r="X1643" s="41"/>
      <c r="Y1643" s="41"/>
    </row>
    <row r="1644" s="27" customFormat="1" ht="23" hidden="1" customHeight="1" spans="1:25">
      <c r="A1644" s="133" t="str">
        <f>IF(B1644="","",COUNTA($B$5:B1644))</f>
        <v/>
      </c>
      <c r="B1644" s="148"/>
      <c r="C1644" s="22" t="s">
        <v>49</v>
      </c>
      <c r="D1644" s="149"/>
      <c r="E1644" s="150"/>
      <c r="F1644" s="151"/>
      <c r="G1644" s="151"/>
      <c r="H1644" s="142">
        <f>IFERROR(VLOOKUP($C1644,$C$5:$H$18,6,0)+SUMIF($C$19:$C1644,$C1644,$F$19:$F1644)-SUMIF($C$19:$C1644,$C1644,$G$19:$G1644),"")</f>
        <v>81211.819999998</v>
      </c>
      <c r="I1644" s="147"/>
      <c r="J1644" s="147"/>
      <c r="K1644" s="147" t="str">
        <f t="shared" si="25"/>
        <v/>
      </c>
      <c r="L1644" s="40"/>
      <c r="M1644"/>
      <c r="N1644"/>
      <c r="O1644"/>
      <c r="P1644"/>
      <c r="Q1644"/>
      <c r="R1644"/>
      <c r="S1644"/>
      <c r="T1644"/>
      <c r="U1644"/>
      <c r="V1644"/>
      <c r="W1644" s="41"/>
      <c r="X1644" s="41"/>
      <c r="Y1644" s="41"/>
    </row>
    <row r="1645" s="27" customFormat="1" ht="23" hidden="1" customHeight="1" spans="1:25">
      <c r="A1645" s="133" t="str">
        <f>IF(B1645="","",COUNTA($B$5:B1645))</f>
        <v/>
      </c>
      <c r="B1645" s="148"/>
      <c r="C1645" s="22" t="s">
        <v>49</v>
      </c>
      <c r="D1645" s="149"/>
      <c r="E1645" s="150"/>
      <c r="F1645" s="151"/>
      <c r="G1645" s="151"/>
      <c r="H1645" s="142">
        <f>IFERROR(VLOOKUP($C1645,$C$5:$H$18,6,0)+SUMIF($C$19:$C1645,$C1645,$F$19:$F1645)-SUMIF($C$19:$C1645,$C1645,$G$19:$G1645),"")</f>
        <v>81211.819999998</v>
      </c>
      <c r="I1645" s="147"/>
      <c r="J1645" s="147"/>
      <c r="K1645" s="147" t="str">
        <f t="shared" si="25"/>
        <v/>
      </c>
      <c r="L1645" s="40"/>
      <c r="M1645"/>
      <c r="N1645"/>
      <c r="O1645"/>
      <c r="P1645"/>
      <c r="Q1645"/>
      <c r="R1645"/>
      <c r="S1645"/>
      <c r="T1645"/>
      <c r="U1645"/>
      <c r="V1645"/>
      <c r="W1645" s="41"/>
      <c r="X1645" s="41"/>
      <c r="Y1645" s="41"/>
    </row>
    <row r="1646" s="27" customFormat="1" ht="23" hidden="1" customHeight="1" spans="1:25">
      <c r="A1646" s="133" t="str">
        <f>IF(B1646="","",COUNTA($B$5:B1646))</f>
        <v/>
      </c>
      <c r="B1646" s="148"/>
      <c r="C1646" s="22" t="s">
        <v>49</v>
      </c>
      <c r="D1646" s="149"/>
      <c r="E1646" s="150"/>
      <c r="F1646" s="151"/>
      <c r="G1646" s="151"/>
      <c r="H1646" s="142">
        <f>IFERROR(VLOOKUP($C1646,$C$5:$H$18,6,0)+SUMIF($C$19:$C1646,$C1646,$F$19:$F1646)-SUMIF($C$19:$C1646,$C1646,$G$19:$G1646),"")</f>
        <v>81211.819999998</v>
      </c>
      <c r="I1646" s="147"/>
      <c r="J1646" s="147"/>
      <c r="K1646" s="147" t="str">
        <f t="shared" si="25"/>
        <v/>
      </c>
      <c r="L1646" s="40"/>
      <c r="M1646"/>
      <c r="N1646"/>
      <c r="O1646"/>
      <c r="P1646"/>
      <c r="Q1646"/>
      <c r="R1646"/>
      <c r="S1646"/>
      <c r="T1646"/>
      <c r="U1646"/>
      <c r="V1646"/>
      <c r="W1646" s="41"/>
      <c r="X1646" s="41"/>
      <c r="Y1646" s="41"/>
    </row>
    <row r="1647" s="27" customFormat="1" ht="23" hidden="1" customHeight="1" spans="1:25">
      <c r="A1647" s="133" t="str">
        <f>IF(B1647="","",COUNTA($B$5:B1647))</f>
        <v/>
      </c>
      <c r="B1647" s="148"/>
      <c r="C1647" s="22" t="s">
        <v>49</v>
      </c>
      <c r="D1647" s="149"/>
      <c r="E1647" s="150"/>
      <c r="F1647" s="151"/>
      <c r="G1647" s="151"/>
      <c r="H1647" s="142">
        <f>IFERROR(VLOOKUP($C1647,$C$5:$H$18,6,0)+SUMIF($C$19:$C1647,$C1647,$F$19:$F1647)-SUMIF($C$19:$C1647,$C1647,$G$19:$G1647),"")</f>
        <v>81211.819999998</v>
      </c>
      <c r="I1647" s="147"/>
      <c r="J1647" s="147"/>
      <c r="K1647" s="147" t="str">
        <f t="shared" si="25"/>
        <v/>
      </c>
      <c r="L1647" s="40"/>
      <c r="M1647"/>
      <c r="N1647"/>
      <c r="O1647"/>
      <c r="P1647"/>
      <c r="Q1647"/>
      <c r="R1647"/>
      <c r="S1647"/>
      <c r="T1647"/>
      <c r="U1647"/>
      <c r="V1647"/>
      <c r="W1647" s="41"/>
      <c r="X1647" s="41"/>
      <c r="Y1647" s="41"/>
    </row>
    <row r="1648" s="27" customFormat="1" ht="23" hidden="1" customHeight="1" spans="1:25">
      <c r="A1648" s="133" t="str">
        <f>IF(B1648="","",COUNTA($B$5:B1648))</f>
        <v/>
      </c>
      <c r="B1648" s="148"/>
      <c r="C1648" s="22" t="s">
        <v>49</v>
      </c>
      <c r="D1648" s="149"/>
      <c r="E1648" s="150"/>
      <c r="F1648" s="151"/>
      <c r="G1648" s="151"/>
      <c r="H1648" s="142">
        <f>IFERROR(VLOOKUP($C1648,$C$5:$H$18,6,0)+SUMIF($C$19:$C1648,$C1648,$F$19:$F1648)-SUMIF($C$19:$C1648,$C1648,$G$19:$G1648),"")</f>
        <v>81211.819999998</v>
      </c>
      <c r="I1648" s="147"/>
      <c r="J1648" s="147"/>
      <c r="K1648" s="147" t="str">
        <f t="shared" si="25"/>
        <v/>
      </c>
      <c r="L1648" s="40"/>
      <c r="M1648"/>
      <c r="N1648"/>
      <c r="O1648"/>
      <c r="P1648"/>
      <c r="Q1648"/>
      <c r="R1648"/>
      <c r="S1648"/>
      <c r="T1648"/>
      <c r="U1648"/>
      <c r="V1648"/>
      <c r="W1648" s="41"/>
      <c r="X1648" s="41"/>
      <c r="Y1648" s="41"/>
    </row>
    <row r="1649" s="27" customFormat="1" ht="23" hidden="1" customHeight="1" spans="1:25">
      <c r="A1649" s="133" t="str">
        <f>IF(B1649="","",COUNTA($B$5:B1649))</f>
        <v/>
      </c>
      <c r="B1649" s="148"/>
      <c r="C1649" s="22" t="s">
        <v>49</v>
      </c>
      <c r="D1649" s="149"/>
      <c r="E1649" s="150"/>
      <c r="F1649" s="151"/>
      <c r="G1649" s="151"/>
      <c r="H1649" s="142">
        <f>IFERROR(VLOOKUP($C1649,$C$5:$H$18,6,0)+SUMIF($C$19:$C1649,$C1649,$F$19:$F1649)-SUMIF($C$19:$C1649,$C1649,$G$19:$G1649),"")</f>
        <v>81211.819999998</v>
      </c>
      <c r="I1649" s="147"/>
      <c r="J1649" s="147"/>
      <c r="K1649" s="147" t="str">
        <f t="shared" si="25"/>
        <v/>
      </c>
      <c r="L1649" s="40"/>
      <c r="M1649"/>
      <c r="N1649"/>
      <c r="O1649"/>
      <c r="P1649"/>
      <c r="Q1649"/>
      <c r="R1649"/>
      <c r="S1649"/>
      <c r="T1649"/>
      <c r="U1649"/>
      <c r="V1649"/>
      <c r="W1649" s="41"/>
      <c r="X1649" s="41"/>
      <c r="Y1649" s="41"/>
    </row>
    <row r="1650" s="27" customFormat="1" ht="23" hidden="1" customHeight="1" spans="1:25">
      <c r="A1650" s="133" t="str">
        <f>IF(B1650="","",COUNTA($B$5:B1650))</f>
        <v/>
      </c>
      <c r="B1650" s="148"/>
      <c r="C1650" s="22" t="s">
        <v>49</v>
      </c>
      <c r="D1650" s="149"/>
      <c r="E1650" s="150"/>
      <c r="F1650" s="151"/>
      <c r="G1650" s="151"/>
      <c r="H1650" s="142">
        <f>IFERROR(VLOOKUP($C1650,$C$5:$H$18,6,0)+SUMIF($C$19:$C1650,$C1650,$F$19:$F1650)-SUMIF($C$19:$C1650,$C1650,$G$19:$G1650),"")</f>
        <v>81211.819999998</v>
      </c>
      <c r="I1650" s="147"/>
      <c r="J1650" s="147"/>
      <c r="K1650" s="147" t="str">
        <f t="shared" si="25"/>
        <v/>
      </c>
      <c r="L1650" s="40"/>
      <c r="M1650"/>
      <c r="N1650"/>
      <c r="O1650"/>
      <c r="P1650"/>
      <c r="Q1650"/>
      <c r="R1650"/>
      <c r="S1650"/>
      <c r="T1650"/>
      <c r="U1650"/>
      <c r="V1650"/>
      <c r="W1650" s="41"/>
      <c r="X1650" s="41"/>
      <c r="Y1650" s="41"/>
    </row>
    <row r="1651" s="27" customFormat="1" ht="23" hidden="1" customHeight="1" spans="1:25">
      <c r="A1651" s="133" t="str">
        <f>IF(B1651="","",COUNTA($B$5:B1651))</f>
        <v/>
      </c>
      <c r="B1651" s="148"/>
      <c r="C1651" s="22" t="s">
        <v>49</v>
      </c>
      <c r="D1651" s="149"/>
      <c r="E1651" s="150"/>
      <c r="F1651" s="151"/>
      <c r="G1651" s="151"/>
      <c r="H1651" s="142">
        <f>IFERROR(VLOOKUP($C1651,$C$5:$H$18,6,0)+SUMIF($C$19:$C1651,$C1651,$F$19:$F1651)-SUMIF($C$19:$C1651,$C1651,$G$19:$G1651),"")</f>
        <v>81211.819999998</v>
      </c>
      <c r="I1651" s="147"/>
      <c r="J1651" s="147"/>
      <c r="K1651" s="147" t="str">
        <f t="shared" si="25"/>
        <v/>
      </c>
      <c r="L1651" s="40"/>
      <c r="M1651"/>
      <c r="N1651"/>
      <c r="O1651"/>
      <c r="P1651"/>
      <c r="Q1651"/>
      <c r="R1651"/>
      <c r="S1651"/>
      <c r="T1651"/>
      <c r="U1651"/>
      <c r="V1651"/>
      <c r="W1651" s="41"/>
      <c r="X1651" s="41"/>
      <c r="Y1651" s="41"/>
    </row>
    <row r="1652" s="27" customFormat="1" ht="23" hidden="1" customHeight="1" spans="1:25">
      <c r="A1652" s="133" t="str">
        <f>IF(B1652="","",COUNTA($B$5:B1652))</f>
        <v/>
      </c>
      <c r="B1652" s="148"/>
      <c r="C1652" s="22" t="s">
        <v>49</v>
      </c>
      <c r="D1652" s="149"/>
      <c r="E1652" s="150"/>
      <c r="F1652" s="151"/>
      <c r="G1652" s="151"/>
      <c r="H1652" s="142">
        <f>IFERROR(VLOOKUP($C1652,$C$5:$H$18,6,0)+SUMIF($C$19:$C1652,$C1652,$F$19:$F1652)-SUMIF($C$19:$C1652,$C1652,$G$19:$G1652),"")</f>
        <v>81211.819999998</v>
      </c>
      <c r="I1652" s="147"/>
      <c r="J1652" s="147"/>
      <c r="K1652" s="147" t="str">
        <f t="shared" si="25"/>
        <v/>
      </c>
      <c r="L1652" s="40"/>
      <c r="M1652"/>
      <c r="N1652"/>
      <c r="O1652"/>
      <c r="P1652"/>
      <c r="Q1652"/>
      <c r="R1652"/>
      <c r="S1652"/>
      <c r="T1652"/>
      <c r="U1652"/>
      <c r="V1652"/>
      <c r="W1652" s="41"/>
      <c r="X1652" s="41"/>
      <c r="Y1652" s="41"/>
    </row>
    <row r="1653" s="27" customFormat="1" ht="23" hidden="1" customHeight="1" spans="1:25">
      <c r="A1653" s="133" t="str">
        <f>IF(B1653="","",COUNTA($B$5:B1653))</f>
        <v/>
      </c>
      <c r="B1653" s="148"/>
      <c r="C1653" s="22" t="s">
        <v>49</v>
      </c>
      <c r="D1653" s="149"/>
      <c r="E1653" s="150"/>
      <c r="F1653" s="151"/>
      <c r="G1653" s="151"/>
      <c r="H1653" s="142">
        <f>IFERROR(VLOOKUP($C1653,$C$5:$H$18,6,0)+SUMIF($C$19:$C1653,$C1653,$F$19:$F1653)-SUMIF($C$19:$C1653,$C1653,$G$19:$G1653),"")</f>
        <v>81211.819999998</v>
      </c>
      <c r="I1653" s="147"/>
      <c r="J1653" s="147"/>
      <c r="K1653" s="147" t="str">
        <f t="shared" si="25"/>
        <v/>
      </c>
      <c r="L1653" s="40"/>
      <c r="M1653"/>
      <c r="N1653"/>
      <c r="O1653"/>
      <c r="P1653"/>
      <c r="Q1653"/>
      <c r="R1653"/>
      <c r="S1653"/>
      <c r="T1653"/>
      <c r="U1653"/>
      <c r="V1653"/>
      <c r="W1653" s="41"/>
      <c r="X1653" s="41"/>
      <c r="Y1653" s="41"/>
    </row>
    <row r="1654" s="27" customFormat="1" ht="23" hidden="1" customHeight="1" spans="1:25">
      <c r="A1654" s="133" t="str">
        <f>IF(B1654="","",COUNTA($B$5:B1654))</f>
        <v/>
      </c>
      <c r="B1654" s="148"/>
      <c r="C1654" s="22" t="s">
        <v>49</v>
      </c>
      <c r="D1654" s="149"/>
      <c r="E1654" s="150"/>
      <c r="F1654" s="151"/>
      <c r="G1654" s="151"/>
      <c r="H1654" s="142">
        <f>IFERROR(VLOOKUP($C1654,$C$5:$H$18,6,0)+SUMIF($C$19:$C1654,$C1654,$F$19:$F1654)-SUMIF($C$19:$C1654,$C1654,$G$19:$G1654),"")</f>
        <v>81211.819999998</v>
      </c>
      <c r="I1654" s="147"/>
      <c r="J1654" s="147"/>
      <c r="K1654" s="147" t="str">
        <f t="shared" si="25"/>
        <v/>
      </c>
      <c r="L1654" s="40"/>
      <c r="M1654"/>
      <c r="N1654"/>
      <c r="O1654"/>
      <c r="P1654"/>
      <c r="Q1654"/>
      <c r="R1654"/>
      <c r="S1654"/>
      <c r="T1654"/>
      <c r="U1654"/>
      <c r="V1654"/>
      <c r="W1654" s="41"/>
      <c r="X1654" s="41"/>
      <c r="Y1654" s="41"/>
    </row>
    <row r="1655" s="27" customFormat="1" ht="23" hidden="1" customHeight="1" spans="1:25">
      <c r="A1655" s="133" t="str">
        <f>IF(B1655="","",COUNTA($B$5:B1655))</f>
        <v/>
      </c>
      <c r="B1655" s="148"/>
      <c r="C1655" s="22" t="s">
        <v>49</v>
      </c>
      <c r="D1655" s="149"/>
      <c r="E1655" s="150"/>
      <c r="F1655" s="151"/>
      <c r="G1655" s="151"/>
      <c r="H1655" s="142">
        <f>IFERROR(VLOOKUP($C1655,$C$5:$H$18,6,0)+SUMIF($C$19:$C1655,$C1655,$F$19:$F1655)-SUMIF($C$19:$C1655,$C1655,$G$19:$G1655),"")</f>
        <v>81211.819999998</v>
      </c>
      <c r="I1655" s="147"/>
      <c r="J1655" s="147"/>
      <c r="K1655" s="147" t="str">
        <f t="shared" si="25"/>
        <v/>
      </c>
      <c r="L1655" s="40"/>
      <c r="M1655"/>
      <c r="N1655"/>
      <c r="O1655"/>
      <c r="P1655"/>
      <c r="Q1655"/>
      <c r="R1655"/>
      <c r="S1655"/>
      <c r="T1655"/>
      <c r="U1655"/>
      <c r="V1655"/>
      <c r="W1655" s="41"/>
      <c r="X1655" s="41"/>
      <c r="Y1655" s="41"/>
    </row>
    <row r="1656" s="27" customFormat="1" ht="23" hidden="1" customHeight="1" spans="1:25">
      <c r="A1656" s="133" t="str">
        <f>IF(B1656="","",COUNTA($B$5:B1656))</f>
        <v/>
      </c>
      <c r="B1656" s="148"/>
      <c r="C1656" s="22" t="s">
        <v>49</v>
      </c>
      <c r="D1656" s="149"/>
      <c r="E1656" s="150"/>
      <c r="F1656" s="151"/>
      <c r="G1656" s="151"/>
      <c r="H1656" s="142">
        <f>IFERROR(VLOOKUP($C1656,$C$5:$H$18,6,0)+SUMIF($C$19:$C1656,$C1656,$F$19:$F1656)-SUMIF($C$19:$C1656,$C1656,$G$19:$G1656),"")</f>
        <v>81211.819999998</v>
      </c>
      <c r="I1656" s="147"/>
      <c r="J1656" s="147"/>
      <c r="K1656" s="147" t="str">
        <f t="shared" si="25"/>
        <v/>
      </c>
      <c r="L1656" s="40"/>
      <c r="M1656"/>
      <c r="N1656"/>
      <c r="O1656"/>
      <c r="P1656"/>
      <c r="Q1656"/>
      <c r="R1656"/>
      <c r="S1656"/>
      <c r="T1656"/>
      <c r="U1656"/>
      <c r="V1656"/>
      <c r="W1656" s="41"/>
      <c r="X1656" s="41"/>
      <c r="Y1656" s="41"/>
    </row>
    <row r="1657" s="27" customFormat="1" ht="23" hidden="1" customHeight="1" spans="1:25">
      <c r="A1657" s="133" t="str">
        <f>IF(B1657="","",COUNTA($B$5:B1657))</f>
        <v/>
      </c>
      <c r="B1657" s="148"/>
      <c r="C1657" s="22" t="s">
        <v>49</v>
      </c>
      <c r="D1657" s="149"/>
      <c r="E1657" s="150"/>
      <c r="F1657" s="151"/>
      <c r="G1657" s="151"/>
      <c r="H1657" s="142">
        <f>IFERROR(VLOOKUP($C1657,$C$5:$H$18,6,0)+SUMIF($C$19:$C1657,$C1657,$F$19:$F1657)-SUMIF($C$19:$C1657,$C1657,$G$19:$G1657),"")</f>
        <v>81211.819999998</v>
      </c>
      <c r="I1657" s="147"/>
      <c r="J1657" s="147"/>
      <c r="K1657" s="147" t="str">
        <f t="shared" si="25"/>
        <v/>
      </c>
      <c r="L1657" s="40"/>
      <c r="M1657"/>
      <c r="N1657"/>
      <c r="O1657"/>
      <c r="P1657"/>
      <c r="Q1657"/>
      <c r="R1657"/>
      <c r="S1657"/>
      <c r="T1657"/>
      <c r="U1657"/>
      <c r="V1657"/>
      <c r="W1657" s="41"/>
      <c r="X1657" s="41"/>
      <c r="Y1657" s="41"/>
    </row>
    <row r="1658" s="27" customFormat="1" ht="23" hidden="1" customHeight="1" spans="1:25">
      <c r="A1658" s="133" t="str">
        <f>IF(B1658="","",COUNTA($B$5:B1658))</f>
        <v/>
      </c>
      <c r="B1658" s="148"/>
      <c r="C1658" s="22" t="s">
        <v>49</v>
      </c>
      <c r="D1658" s="149"/>
      <c r="E1658" s="150"/>
      <c r="F1658" s="151"/>
      <c r="G1658" s="151"/>
      <c r="H1658" s="142">
        <f>IFERROR(VLOOKUP($C1658,$C$5:$H$18,6,0)+SUMIF($C$19:$C1658,$C1658,$F$19:$F1658)-SUMIF($C$19:$C1658,$C1658,$G$19:$G1658),"")</f>
        <v>81211.819999998</v>
      </c>
      <c r="I1658" s="147"/>
      <c r="J1658" s="147"/>
      <c r="K1658" s="147" t="str">
        <f t="shared" si="25"/>
        <v/>
      </c>
      <c r="L1658" s="40"/>
      <c r="M1658"/>
      <c r="N1658"/>
      <c r="O1658"/>
      <c r="P1658"/>
      <c r="Q1658"/>
      <c r="R1658"/>
      <c r="S1658"/>
      <c r="T1658"/>
      <c r="U1658"/>
      <c r="V1658"/>
      <c r="W1658" s="41"/>
      <c r="X1658" s="41"/>
      <c r="Y1658" s="41"/>
    </row>
    <row r="1659" s="27" customFormat="1" ht="23" hidden="1" customHeight="1" spans="1:25">
      <c r="A1659" s="133" t="str">
        <f>IF(B1659="","",COUNTA($B$5:B1659))</f>
        <v/>
      </c>
      <c r="B1659" s="148"/>
      <c r="C1659" s="22" t="s">
        <v>49</v>
      </c>
      <c r="D1659" s="149"/>
      <c r="E1659" s="150"/>
      <c r="F1659" s="151"/>
      <c r="G1659" s="151"/>
      <c r="H1659" s="142">
        <f>IFERROR(VLOOKUP($C1659,$C$5:$H$18,6,0)+SUMIF($C$19:$C1659,$C1659,$F$19:$F1659)-SUMIF($C$19:$C1659,$C1659,$G$19:$G1659),"")</f>
        <v>81211.819999998</v>
      </c>
      <c r="I1659" s="147"/>
      <c r="J1659" s="147"/>
      <c r="K1659" s="147" t="str">
        <f t="shared" si="25"/>
        <v/>
      </c>
      <c r="L1659" s="40"/>
      <c r="M1659"/>
      <c r="N1659"/>
      <c r="O1659"/>
      <c r="P1659"/>
      <c r="Q1659"/>
      <c r="R1659"/>
      <c r="S1659"/>
      <c r="T1659"/>
      <c r="U1659"/>
      <c r="V1659"/>
      <c r="W1659" s="41"/>
      <c r="X1659" s="41"/>
      <c r="Y1659" s="41"/>
    </row>
    <row r="1660" s="27" customFormat="1" ht="23" hidden="1" customHeight="1" spans="1:25">
      <c r="A1660" s="133" t="str">
        <f>IF(B1660="","",COUNTA($B$5:B1660))</f>
        <v/>
      </c>
      <c r="B1660" s="148"/>
      <c r="C1660" s="22" t="s">
        <v>49</v>
      </c>
      <c r="D1660" s="149"/>
      <c r="E1660" s="150"/>
      <c r="F1660" s="151"/>
      <c r="G1660" s="151"/>
      <c r="H1660" s="142">
        <f>IFERROR(VLOOKUP($C1660,$C$5:$H$18,6,0)+SUMIF($C$19:$C1660,$C1660,$F$19:$F1660)-SUMIF($C$19:$C1660,$C1660,$G$19:$G1660),"")</f>
        <v>81211.819999998</v>
      </c>
      <c r="I1660" s="147"/>
      <c r="J1660" s="147"/>
      <c r="K1660" s="147" t="str">
        <f t="shared" si="25"/>
        <v/>
      </c>
      <c r="L1660" s="40"/>
      <c r="M1660"/>
      <c r="N1660"/>
      <c r="O1660"/>
      <c r="P1660"/>
      <c r="Q1660"/>
      <c r="R1660"/>
      <c r="S1660"/>
      <c r="T1660"/>
      <c r="U1660"/>
      <c r="V1660"/>
      <c r="W1660" s="41"/>
      <c r="X1660" s="41"/>
      <c r="Y1660" s="41"/>
    </row>
    <row r="1661" s="27" customFormat="1" ht="23" hidden="1" customHeight="1" spans="1:25">
      <c r="A1661" s="133" t="str">
        <f>IF(B1661="","",COUNTA($B$5:B1661))</f>
        <v/>
      </c>
      <c r="B1661" s="148"/>
      <c r="C1661" s="22" t="s">
        <v>49</v>
      </c>
      <c r="D1661" s="149"/>
      <c r="E1661" s="150"/>
      <c r="F1661" s="151"/>
      <c r="G1661" s="151"/>
      <c r="H1661" s="142">
        <f>IFERROR(VLOOKUP($C1661,$C$5:$H$18,6,0)+SUMIF($C$19:$C1661,$C1661,$F$19:$F1661)-SUMIF($C$19:$C1661,$C1661,$G$19:$G1661),"")</f>
        <v>81211.819999998</v>
      </c>
      <c r="I1661" s="147"/>
      <c r="J1661" s="147"/>
      <c r="K1661" s="147" t="str">
        <f t="shared" si="25"/>
        <v/>
      </c>
      <c r="L1661" s="40"/>
      <c r="M1661"/>
      <c r="N1661"/>
      <c r="O1661"/>
      <c r="P1661"/>
      <c r="Q1661"/>
      <c r="R1661"/>
      <c r="S1661"/>
      <c r="T1661"/>
      <c r="U1661"/>
      <c r="V1661"/>
      <c r="W1661" s="41"/>
      <c r="X1661" s="41"/>
      <c r="Y1661" s="41"/>
    </row>
    <row r="1662" s="27" customFormat="1" ht="23" hidden="1" customHeight="1" spans="1:25">
      <c r="A1662" s="133" t="str">
        <f>IF(B1662="","",COUNTA($B$5:B1662))</f>
        <v/>
      </c>
      <c r="B1662" s="148"/>
      <c r="C1662" s="22" t="s">
        <v>49</v>
      </c>
      <c r="D1662" s="149"/>
      <c r="E1662" s="150"/>
      <c r="F1662" s="151"/>
      <c r="G1662" s="151"/>
      <c r="H1662" s="142">
        <f>IFERROR(VLOOKUP($C1662,$C$5:$H$18,6,0)+SUMIF($C$19:$C1662,$C1662,$F$19:$F1662)-SUMIF($C$19:$C1662,$C1662,$G$19:$G1662),"")</f>
        <v>81211.819999998</v>
      </c>
      <c r="I1662" s="147"/>
      <c r="J1662" s="147"/>
      <c r="K1662" s="147" t="str">
        <f t="shared" si="25"/>
        <v/>
      </c>
      <c r="L1662" s="40"/>
      <c r="M1662"/>
      <c r="N1662"/>
      <c r="O1662"/>
      <c r="P1662"/>
      <c r="Q1662"/>
      <c r="R1662"/>
      <c r="S1662"/>
      <c r="T1662"/>
      <c r="U1662"/>
      <c r="V1662"/>
      <c r="W1662" s="41"/>
      <c r="X1662" s="41"/>
      <c r="Y1662" s="41"/>
    </row>
    <row r="1663" s="27" customFormat="1" ht="23" hidden="1" customHeight="1" spans="1:25">
      <c r="A1663" s="133" t="str">
        <f>IF(B1663="","",COUNTA($B$5:B1663))</f>
        <v/>
      </c>
      <c r="B1663" s="148"/>
      <c r="C1663" s="22" t="s">
        <v>49</v>
      </c>
      <c r="D1663" s="149"/>
      <c r="E1663" s="150"/>
      <c r="F1663" s="151"/>
      <c r="G1663" s="151"/>
      <c r="H1663" s="142">
        <f>IFERROR(VLOOKUP($C1663,$C$5:$H$18,6,0)+SUMIF($C$19:$C1663,$C1663,$F$19:$F1663)-SUMIF($C$19:$C1663,$C1663,$G$19:$G1663),"")</f>
        <v>81211.819999998</v>
      </c>
      <c r="I1663" s="147"/>
      <c r="J1663" s="147"/>
      <c r="K1663" s="147" t="str">
        <f t="shared" si="25"/>
        <v/>
      </c>
      <c r="L1663" s="40"/>
      <c r="M1663"/>
      <c r="N1663"/>
      <c r="O1663"/>
      <c r="P1663"/>
      <c r="Q1663"/>
      <c r="R1663"/>
      <c r="S1663"/>
      <c r="T1663"/>
      <c r="U1663"/>
      <c r="V1663"/>
      <c r="W1663" s="41"/>
      <c r="X1663" s="41"/>
      <c r="Y1663" s="41"/>
    </row>
    <row r="1664" s="27" customFormat="1" ht="23" hidden="1" customHeight="1" spans="1:25">
      <c r="A1664" s="133" t="str">
        <f>IF(B1664="","",COUNTA($B$5:B1664))</f>
        <v/>
      </c>
      <c r="B1664" s="148"/>
      <c r="C1664" s="22" t="s">
        <v>49</v>
      </c>
      <c r="D1664" s="149"/>
      <c r="E1664" s="150"/>
      <c r="F1664" s="151"/>
      <c r="G1664" s="151"/>
      <c r="H1664" s="142">
        <f>IFERROR(VLOOKUP($C1664,$C$5:$H$18,6,0)+SUMIF($C$19:$C1664,$C1664,$F$19:$F1664)-SUMIF($C$19:$C1664,$C1664,$G$19:$G1664),"")</f>
        <v>81211.819999998</v>
      </c>
      <c r="I1664" s="147"/>
      <c r="J1664" s="147"/>
      <c r="K1664" s="147" t="str">
        <f t="shared" si="25"/>
        <v/>
      </c>
      <c r="L1664" s="40"/>
      <c r="M1664"/>
      <c r="N1664"/>
      <c r="O1664"/>
      <c r="P1664"/>
      <c r="Q1664"/>
      <c r="R1664"/>
      <c r="S1664"/>
      <c r="T1664"/>
      <c r="U1664"/>
      <c r="V1664"/>
      <c r="W1664" s="41"/>
      <c r="X1664" s="41"/>
      <c r="Y1664" s="41"/>
    </row>
    <row r="1665" s="27" customFormat="1" ht="23" hidden="1" customHeight="1" spans="1:25">
      <c r="A1665" s="133" t="str">
        <f>IF(B1665="","",COUNTA($B$5:B1665))</f>
        <v/>
      </c>
      <c r="B1665" s="148"/>
      <c r="C1665" s="22" t="s">
        <v>49</v>
      </c>
      <c r="D1665" s="149"/>
      <c r="E1665" s="150"/>
      <c r="F1665" s="151"/>
      <c r="G1665" s="151"/>
      <c r="H1665" s="142">
        <f>IFERROR(VLOOKUP($C1665,$C$5:$H$18,6,0)+SUMIF($C$19:$C1665,$C1665,$F$19:$F1665)-SUMIF($C$19:$C1665,$C1665,$G$19:$G1665),"")</f>
        <v>81211.819999998</v>
      </c>
      <c r="I1665" s="147"/>
      <c r="J1665" s="147"/>
      <c r="K1665" s="147" t="str">
        <f t="shared" si="25"/>
        <v/>
      </c>
      <c r="L1665" s="40"/>
      <c r="M1665"/>
      <c r="N1665"/>
      <c r="O1665"/>
      <c r="P1665"/>
      <c r="Q1665"/>
      <c r="R1665"/>
      <c r="S1665"/>
      <c r="T1665"/>
      <c r="U1665"/>
      <c r="V1665"/>
      <c r="W1665" s="41"/>
      <c r="X1665" s="41"/>
      <c r="Y1665" s="41"/>
    </row>
    <row r="1666" s="27" customFormat="1" ht="23" hidden="1" customHeight="1" spans="1:25">
      <c r="A1666" s="133" t="str">
        <f>IF(B1666="","",COUNTA($B$5:B1666))</f>
        <v/>
      </c>
      <c r="B1666" s="148"/>
      <c r="C1666" s="22" t="s">
        <v>49</v>
      </c>
      <c r="D1666" s="149"/>
      <c r="E1666" s="150"/>
      <c r="F1666" s="151"/>
      <c r="G1666" s="151"/>
      <c r="H1666" s="142">
        <f>IFERROR(VLOOKUP($C1666,$C$5:$H$18,6,0)+SUMIF($C$19:$C1666,$C1666,$F$19:$F1666)-SUMIF($C$19:$C1666,$C1666,$G$19:$G1666),"")</f>
        <v>81211.819999998</v>
      </c>
      <c r="I1666" s="147"/>
      <c r="J1666" s="147"/>
      <c r="K1666" s="147" t="str">
        <f t="shared" si="25"/>
        <v/>
      </c>
      <c r="L1666" s="40"/>
      <c r="M1666"/>
      <c r="N1666"/>
      <c r="O1666"/>
      <c r="P1666"/>
      <c r="Q1666"/>
      <c r="R1666"/>
      <c r="S1666"/>
      <c r="T1666"/>
      <c r="U1666"/>
      <c r="V1666"/>
      <c r="W1666" s="41"/>
      <c r="X1666" s="41"/>
      <c r="Y1666" s="41"/>
    </row>
    <row r="1667" s="27" customFormat="1" ht="23" hidden="1" customHeight="1" spans="1:25">
      <c r="A1667" s="133" t="str">
        <f>IF(B1667="","",COUNTA($B$5:B1667))</f>
        <v/>
      </c>
      <c r="B1667" s="148"/>
      <c r="C1667" s="22" t="s">
        <v>49</v>
      </c>
      <c r="D1667" s="149"/>
      <c r="E1667" s="150"/>
      <c r="F1667" s="151"/>
      <c r="G1667" s="151"/>
      <c r="H1667" s="142">
        <f>IFERROR(VLOOKUP($C1667,$C$5:$H$18,6,0)+SUMIF($C$19:$C1667,$C1667,$F$19:$F1667)-SUMIF($C$19:$C1667,$C1667,$G$19:$G1667),"")</f>
        <v>81211.819999998</v>
      </c>
      <c r="I1667" s="147"/>
      <c r="J1667" s="147"/>
      <c r="K1667" s="147" t="str">
        <f t="shared" si="25"/>
        <v/>
      </c>
      <c r="L1667" s="40"/>
      <c r="M1667"/>
      <c r="N1667"/>
      <c r="O1667"/>
      <c r="P1667"/>
      <c r="Q1667"/>
      <c r="R1667"/>
      <c r="S1667"/>
      <c r="T1667"/>
      <c r="U1667"/>
      <c r="V1667"/>
      <c r="W1667" s="41"/>
      <c r="X1667" s="41"/>
      <c r="Y1667" s="41"/>
    </row>
    <row r="1668" s="27" customFormat="1" ht="23" hidden="1" customHeight="1" spans="1:25">
      <c r="A1668" s="133" t="str">
        <f>IF(B1668="","",COUNTA($B$5:B1668))</f>
        <v/>
      </c>
      <c r="B1668" s="148"/>
      <c r="C1668" s="22" t="s">
        <v>49</v>
      </c>
      <c r="D1668" s="149"/>
      <c r="E1668" s="150"/>
      <c r="F1668" s="151"/>
      <c r="G1668" s="151"/>
      <c r="H1668" s="142">
        <f>IFERROR(VLOOKUP($C1668,$C$5:$H$18,6,0)+SUMIF($C$19:$C1668,$C1668,$F$19:$F1668)-SUMIF($C$19:$C1668,$C1668,$G$19:$G1668),"")</f>
        <v>81211.819999998</v>
      </c>
      <c r="I1668" s="147"/>
      <c r="J1668" s="147"/>
      <c r="K1668" s="147" t="str">
        <f t="shared" si="25"/>
        <v/>
      </c>
      <c r="L1668" s="40"/>
      <c r="M1668"/>
      <c r="N1668"/>
      <c r="O1668"/>
      <c r="P1668"/>
      <c r="Q1668"/>
      <c r="R1668"/>
      <c r="S1668"/>
      <c r="T1668"/>
      <c r="U1668"/>
      <c r="V1668"/>
      <c r="W1668" s="41"/>
      <c r="X1668" s="41"/>
      <c r="Y1668" s="41"/>
    </row>
    <row r="1669" s="27" customFormat="1" ht="23" hidden="1" customHeight="1" spans="1:25">
      <c r="A1669" s="133" t="str">
        <f>IF(B1669="","",COUNTA($B$5:B1669))</f>
        <v/>
      </c>
      <c r="B1669" s="148"/>
      <c r="C1669" s="22" t="s">
        <v>49</v>
      </c>
      <c r="D1669" s="149"/>
      <c r="E1669" s="150"/>
      <c r="F1669" s="151"/>
      <c r="G1669" s="151"/>
      <c r="H1669" s="142">
        <f>IFERROR(VLOOKUP($C1669,$C$5:$H$18,6,0)+SUMIF($C$19:$C1669,$C1669,$F$19:$F1669)-SUMIF($C$19:$C1669,$C1669,$G$19:$G1669),"")</f>
        <v>81211.819999998</v>
      </c>
      <c r="I1669" s="147"/>
      <c r="J1669" s="147"/>
      <c r="K1669" s="147" t="str">
        <f t="shared" ref="K1669:K1732" si="26">IF($B1669="","",--TEXT($B1669,"yyyymm"))</f>
        <v/>
      </c>
      <c r="L1669" s="40"/>
      <c r="M1669"/>
      <c r="N1669"/>
      <c r="O1669"/>
      <c r="P1669"/>
      <c r="Q1669"/>
      <c r="R1669"/>
      <c r="S1669"/>
      <c r="T1669"/>
      <c r="U1669"/>
      <c r="V1669"/>
      <c r="W1669" s="41"/>
      <c r="X1669" s="41"/>
      <c r="Y1669" s="41"/>
    </row>
    <row r="1670" s="27" customFormat="1" ht="23" hidden="1" customHeight="1" spans="1:25">
      <c r="A1670" s="133" t="str">
        <f>IF(B1670="","",COUNTA($B$5:B1670))</f>
        <v/>
      </c>
      <c r="B1670" s="148"/>
      <c r="C1670" s="22" t="s">
        <v>49</v>
      </c>
      <c r="D1670" s="149"/>
      <c r="E1670" s="150"/>
      <c r="F1670" s="151"/>
      <c r="G1670" s="151"/>
      <c r="H1670" s="142">
        <f>IFERROR(VLOOKUP($C1670,$C$5:$H$18,6,0)+SUMIF($C$19:$C1670,$C1670,$F$19:$F1670)-SUMIF($C$19:$C1670,$C1670,$G$19:$G1670),"")</f>
        <v>81211.819999998</v>
      </c>
      <c r="I1670" s="147"/>
      <c r="J1670" s="147"/>
      <c r="K1670" s="147" t="str">
        <f t="shared" si="26"/>
        <v/>
      </c>
      <c r="L1670" s="40"/>
      <c r="M1670"/>
      <c r="N1670"/>
      <c r="O1670"/>
      <c r="P1670"/>
      <c r="Q1670"/>
      <c r="R1670"/>
      <c r="S1670"/>
      <c r="T1670"/>
      <c r="U1670"/>
      <c r="V1670"/>
      <c r="W1670" s="41"/>
      <c r="X1670" s="41"/>
      <c r="Y1670" s="41"/>
    </row>
    <row r="1671" s="27" customFormat="1" ht="23" hidden="1" customHeight="1" spans="1:25">
      <c r="A1671" s="133" t="str">
        <f>IF(B1671="","",COUNTA($B$5:B1671))</f>
        <v/>
      </c>
      <c r="B1671" s="148"/>
      <c r="C1671" s="22" t="s">
        <v>49</v>
      </c>
      <c r="D1671" s="149"/>
      <c r="E1671" s="150"/>
      <c r="F1671" s="151"/>
      <c r="G1671" s="151"/>
      <c r="H1671" s="142">
        <f>IFERROR(VLOOKUP($C1671,$C$5:$H$18,6,0)+SUMIF($C$19:$C1671,$C1671,$F$19:$F1671)-SUMIF($C$19:$C1671,$C1671,$G$19:$G1671),"")</f>
        <v>81211.819999998</v>
      </c>
      <c r="I1671" s="147"/>
      <c r="J1671" s="147"/>
      <c r="K1671" s="147" t="str">
        <f t="shared" si="26"/>
        <v/>
      </c>
      <c r="L1671" s="40"/>
      <c r="M1671"/>
      <c r="N1671"/>
      <c r="O1671"/>
      <c r="P1671"/>
      <c r="Q1671"/>
      <c r="R1671"/>
      <c r="S1671"/>
      <c r="T1671"/>
      <c r="U1671"/>
      <c r="V1671"/>
      <c r="W1671" s="41"/>
      <c r="X1671" s="41"/>
      <c r="Y1671" s="41"/>
    </row>
    <row r="1672" s="27" customFormat="1" ht="23" hidden="1" customHeight="1" spans="1:25">
      <c r="A1672" s="133" t="str">
        <f>IF(B1672="","",COUNTA($B$5:B1672))</f>
        <v/>
      </c>
      <c r="B1672" s="148"/>
      <c r="C1672" s="22" t="s">
        <v>49</v>
      </c>
      <c r="D1672" s="149"/>
      <c r="E1672" s="150"/>
      <c r="F1672" s="151"/>
      <c r="G1672" s="151"/>
      <c r="H1672" s="142">
        <f>IFERROR(VLOOKUP($C1672,$C$5:$H$18,6,0)+SUMIF($C$19:$C1672,$C1672,$F$19:$F1672)-SUMIF($C$19:$C1672,$C1672,$G$19:$G1672),"")</f>
        <v>81211.819999998</v>
      </c>
      <c r="I1672" s="147"/>
      <c r="J1672" s="147"/>
      <c r="K1672" s="147" t="str">
        <f t="shared" si="26"/>
        <v/>
      </c>
      <c r="L1672" s="40"/>
      <c r="M1672"/>
      <c r="N1672"/>
      <c r="O1672"/>
      <c r="P1672"/>
      <c r="Q1672"/>
      <c r="R1672"/>
      <c r="S1672"/>
      <c r="T1672"/>
      <c r="U1672"/>
      <c r="V1672"/>
      <c r="W1672" s="41"/>
      <c r="X1672" s="41"/>
      <c r="Y1672" s="41"/>
    </row>
    <row r="1673" s="27" customFormat="1" ht="23" hidden="1" customHeight="1" spans="1:25">
      <c r="A1673" s="133" t="str">
        <f>IF(B1673="","",COUNTA($B$5:B1673))</f>
        <v/>
      </c>
      <c r="B1673" s="148"/>
      <c r="C1673" s="22" t="s">
        <v>49</v>
      </c>
      <c r="D1673" s="149"/>
      <c r="E1673" s="150"/>
      <c r="F1673" s="151"/>
      <c r="G1673" s="151"/>
      <c r="H1673" s="142">
        <f>IFERROR(VLOOKUP($C1673,$C$5:$H$18,6,0)+SUMIF($C$19:$C1673,$C1673,$F$19:$F1673)-SUMIF($C$19:$C1673,$C1673,$G$19:$G1673),"")</f>
        <v>81211.819999998</v>
      </c>
      <c r="I1673" s="147"/>
      <c r="J1673" s="147"/>
      <c r="K1673" s="147" t="str">
        <f t="shared" si="26"/>
        <v/>
      </c>
      <c r="L1673" s="40"/>
      <c r="M1673"/>
      <c r="N1673"/>
      <c r="O1673"/>
      <c r="P1673"/>
      <c r="Q1673"/>
      <c r="R1673"/>
      <c r="S1673"/>
      <c r="T1673"/>
      <c r="U1673"/>
      <c r="V1673"/>
      <c r="W1673" s="41"/>
      <c r="X1673" s="41"/>
      <c r="Y1673" s="41"/>
    </row>
    <row r="1674" s="27" customFormat="1" ht="23" hidden="1" customHeight="1" spans="1:25">
      <c r="A1674" s="133" t="str">
        <f>IF(B1674="","",COUNTA($B$5:B1674))</f>
        <v/>
      </c>
      <c r="B1674" s="148"/>
      <c r="C1674" s="22" t="s">
        <v>49</v>
      </c>
      <c r="D1674" s="149"/>
      <c r="E1674" s="150"/>
      <c r="F1674" s="151"/>
      <c r="G1674" s="151"/>
      <c r="H1674" s="142">
        <f>IFERROR(VLOOKUP($C1674,$C$5:$H$18,6,0)+SUMIF($C$19:$C1674,$C1674,$F$19:$F1674)-SUMIF($C$19:$C1674,$C1674,$G$19:$G1674),"")</f>
        <v>81211.819999998</v>
      </c>
      <c r="I1674" s="147"/>
      <c r="J1674" s="147"/>
      <c r="K1674" s="147" t="str">
        <f t="shared" si="26"/>
        <v/>
      </c>
      <c r="L1674" s="40"/>
      <c r="M1674"/>
      <c r="N1674"/>
      <c r="O1674"/>
      <c r="P1674"/>
      <c r="Q1674"/>
      <c r="R1674"/>
      <c r="S1674"/>
      <c r="T1674"/>
      <c r="U1674"/>
      <c r="V1674"/>
      <c r="W1674" s="41"/>
      <c r="X1674" s="41"/>
      <c r="Y1674" s="41"/>
    </row>
    <row r="1675" s="27" customFormat="1" ht="23" hidden="1" customHeight="1" spans="1:25">
      <c r="A1675" s="133" t="str">
        <f>IF(B1675="","",COUNTA($B$5:B1675))</f>
        <v/>
      </c>
      <c r="B1675" s="148"/>
      <c r="C1675" s="22" t="s">
        <v>49</v>
      </c>
      <c r="D1675" s="149"/>
      <c r="E1675" s="150"/>
      <c r="F1675" s="151"/>
      <c r="G1675" s="151"/>
      <c r="H1675" s="142">
        <f>IFERROR(VLOOKUP($C1675,$C$5:$H$18,6,0)+SUMIF($C$19:$C1675,$C1675,$F$19:$F1675)-SUMIF($C$19:$C1675,$C1675,$G$19:$G1675),"")</f>
        <v>81211.819999998</v>
      </c>
      <c r="I1675" s="147"/>
      <c r="J1675" s="147"/>
      <c r="K1675" s="147" t="str">
        <f t="shared" si="26"/>
        <v/>
      </c>
      <c r="L1675" s="40"/>
      <c r="M1675"/>
      <c r="N1675"/>
      <c r="O1675"/>
      <c r="P1675"/>
      <c r="Q1675"/>
      <c r="R1675"/>
      <c r="S1675"/>
      <c r="T1675"/>
      <c r="U1675"/>
      <c r="V1675"/>
      <c r="W1675" s="41"/>
      <c r="X1675" s="41"/>
      <c r="Y1675" s="41"/>
    </row>
    <row r="1676" s="27" customFormat="1" ht="23" hidden="1" customHeight="1" spans="1:25">
      <c r="A1676" s="133" t="str">
        <f>IF(B1676="","",COUNTA($B$5:B1676))</f>
        <v/>
      </c>
      <c r="B1676" s="148"/>
      <c r="C1676" s="22" t="s">
        <v>49</v>
      </c>
      <c r="D1676" s="149"/>
      <c r="E1676" s="150"/>
      <c r="F1676" s="151"/>
      <c r="G1676" s="151"/>
      <c r="H1676" s="142">
        <f>IFERROR(VLOOKUP($C1676,$C$5:$H$18,6,0)+SUMIF($C$19:$C1676,$C1676,$F$19:$F1676)-SUMIF($C$19:$C1676,$C1676,$G$19:$G1676),"")</f>
        <v>81211.819999998</v>
      </c>
      <c r="I1676" s="147"/>
      <c r="J1676" s="147"/>
      <c r="K1676" s="147" t="str">
        <f t="shared" si="26"/>
        <v/>
      </c>
      <c r="L1676" s="40"/>
      <c r="M1676"/>
      <c r="N1676"/>
      <c r="O1676"/>
      <c r="P1676"/>
      <c r="Q1676"/>
      <c r="R1676"/>
      <c r="S1676"/>
      <c r="T1676"/>
      <c r="U1676"/>
      <c r="V1676"/>
      <c r="W1676" s="41"/>
      <c r="X1676" s="41"/>
      <c r="Y1676" s="41"/>
    </row>
    <row r="1677" s="27" customFormat="1" ht="23" hidden="1" customHeight="1" spans="1:25">
      <c r="A1677" s="133" t="str">
        <f>IF(B1677="","",COUNTA($B$5:B1677))</f>
        <v/>
      </c>
      <c r="B1677" s="148"/>
      <c r="C1677" s="22" t="s">
        <v>49</v>
      </c>
      <c r="D1677" s="149"/>
      <c r="E1677" s="150"/>
      <c r="F1677" s="151"/>
      <c r="G1677" s="151"/>
      <c r="H1677" s="142">
        <f>IFERROR(VLOOKUP($C1677,$C$5:$H$18,6,0)+SUMIF($C$19:$C1677,$C1677,$F$19:$F1677)-SUMIF($C$19:$C1677,$C1677,$G$19:$G1677),"")</f>
        <v>81211.819999998</v>
      </c>
      <c r="I1677" s="147"/>
      <c r="J1677" s="147"/>
      <c r="K1677" s="147" t="str">
        <f t="shared" si="26"/>
        <v/>
      </c>
      <c r="L1677" s="40"/>
      <c r="M1677"/>
      <c r="N1677"/>
      <c r="O1677"/>
      <c r="P1677"/>
      <c r="Q1677"/>
      <c r="R1677"/>
      <c r="S1677"/>
      <c r="T1677"/>
      <c r="U1677"/>
      <c r="V1677"/>
      <c r="W1677" s="41"/>
      <c r="X1677" s="41"/>
      <c r="Y1677" s="41"/>
    </row>
    <row r="1678" s="27" customFormat="1" ht="23" hidden="1" customHeight="1" spans="1:25">
      <c r="A1678" s="133" t="str">
        <f>IF(B1678="","",COUNTA($B$5:B1678))</f>
        <v/>
      </c>
      <c r="B1678" s="148"/>
      <c r="C1678" s="22" t="s">
        <v>49</v>
      </c>
      <c r="D1678" s="149"/>
      <c r="E1678" s="150"/>
      <c r="F1678" s="151"/>
      <c r="G1678" s="151"/>
      <c r="H1678" s="142">
        <f>IFERROR(VLOOKUP($C1678,$C$5:$H$18,6,0)+SUMIF($C$19:$C1678,$C1678,$F$19:$F1678)-SUMIF($C$19:$C1678,$C1678,$G$19:$G1678),"")</f>
        <v>81211.819999998</v>
      </c>
      <c r="I1678" s="147"/>
      <c r="J1678" s="147"/>
      <c r="K1678" s="147" t="str">
        <f t="shared" si="26"/>
        <v/>
      </c>
      <c r="L1678" s="40"/>
      <c r="M1678"/>
      <c r="N1678"/>
      <c r="O1678"/>
      <c r="P1678"/>
      <c r="Q1678"/>
      <c r="R1678"/>
      <c r="S1678"/>
      <c r="T1678"/>
      <c r="U1678"/>
      <c r="V1678"/>
      <c r="W1678" s="41"/>
      <c r="X1678" s="41"/>
      <c r="Y1678" s="41"/>
    </row>
    <row r="1679" s="27" customFormat="1" ht="23" hidden="1" customHeight="1" spans="1:25">
      <c r="A1679" s="133" t="str">
        <f>IF(B1679="","",COUNTA($B$5:B1679))</f>
        <v/>
      </c>
      <c r="B1679" s="148"/>
      <c r="C1679" s="22" t="s">
        <v>49</v>
      </c>
      <c r="D1679" s="149"/>
      <c r="E1679" s="150"/>
      <c r="F1679" s="151"/>
      <c r="G1679" s="151"/>
      <c r="H1679" s="142">
        <f>IFERROR(VLOOKUP($C1679,$C$5:$H$18,6,0)+SUMIF($C$19:$C1679,$C1679,$F$19:$F1679)-SUMIF($C$19:$C1679,$C1679,$G$19:$G1679),"")</f>
        <v>81211.819999998</v>
      </c>
      <c r="I1679" s="147"/>
      <c r="J1679" s="147"/>
      <c r="K1679" s="147" t="str">
        <f t="shared" si="26"/>
        <v/>
      </c>
      <c r="L1679" s="40"/>
      <c r="M1679"/>
      <c r="N1679"/>
      <c r="O1679"/>
      <c r="P1679"/>
      <c r="Q1679"/>
      <c r="R1679"/>
      <c r="S1679"/>
      <c r="T1679"/>
      <c r="U1679"/>
      <c r="V1679"/>
      <c r="W1679" s="41"/>
      <c r="X1679" s="41"/>
      <c r="Y1679" s="41"/>
    </row>
    <row r="1680" s="27" customFormat="1" ht="23" hidden="1" customHeight="1" spans="1:25">
      <c r="A1680" s="133" t="str">
        <f>IF(B1680="","",COUNTA($B$5:B1680))</f>
        <v/>
      </c>
      <c r="B1680" s="148"/>
      <c r="C1680" s="22" t="s">
        <v>49</v>
      </c>
      <c r="D1680" s="149"/>
      <c r="E1680" s="150"/>
      <c r="F1680" s="151"/>
      <c r="G1680" s="151"/>
      <c r="H1680" s="142">
        <f>IFERROR(VLOOKUP($C1680,$C$5:$H$18,6,0)+SUMIF($C$19:$C1680,$C1680,$F$19:$F1680)-SUMIF($C$19:$C1680,$C1680,$G$19:$G1680),"")</f>
        <v>81211.819999998</v>
      </c>
      <c r="I1680" s="147"/>
      <c r="J1680" s="147"/>
      <c r="K1680" s="147" t="str">
        <f t="shared" si="26"/>
        <v/>
      </c>
      <c r="L1680" s="40"/>
      <c r="M1680"/>
      <c r="N1680"/>
      <c r="O1680"/>
      <c r="P1680"/>
      <c r="Q1680"/>
      <c r="R1680"/>
      <c r="S1680"/>
      <c r="T1680"/>
      <c r="U1680"/>
      <c r="V1680"/>
      <c r="W1680" s="41"/>
      <c r="X1680" s="41"/>
      <c r="Y1680" s="41"/>
    </row>
    <row r="1681" s="27" customFormat="1" ht="23" hidden="1" customHeight="1" spans="1:25">
      <c r="A1681" s="133" t="str">
        <f>IF(B1681="","",COUNTA($B$5:B1681))</f>
        <v/>
      </c>
      <c r="B1681" s="148"/>
      <c r="C1681" s="22" t="s">
        <v>49</v>
      </c>
      <c r="D1681" s="149"/>
      <c r="E1681" s="150"/>
      <c r="F1681" s="151"/>
      <c r="G1681" s="151"/>
      <c r="H1681" s="142">
        <f>IFERROR(VLOOKUP($C1681,$C$5:$H$18,6,0)+SUMIF($C$19:$C1681,$C1681,$F$19:$F1681)-SUMIF($C$19:$C1681,$C1681,$G$19:$G1681),"")</f>
        <v>81211.819999998</v>
      </c>
      <c r="I1681" s="147"/>
      <c r="J1681" s="147"/>
      <c r="K1681" s="147" t="str">
        <f t="shared" si="26"/>
        <v/>
      </c>
      <c r="L1681" s="40"/>
      <c r="M1681"/>
      <c r="N1681"/>
      <c r="O1681"/>
      <c r="P1681"/>
      <c r="Q1681"/>
      <c r="R1681"/>
      <c r="S1681"/>
      <c r="T1681"/>
      <c r="U1681"/>
      <c r="V1681"/>
      <c r="W1681" s="41"/>
      <c r="X1681" s="41"/>
      <c r="Y1681" s="41"/>
    </row>
    <row r="1682" s="27" customFormat="1" ht="23" hidden="1" customHeight="1" spans="1:25">
      <c r="A1682" s="133" t="str">
        <f>IF(B1682="","",COUNTA($B$5:B1682))</f>
        <v/>
      </c>
      <c r="B1682" s="148"/>
      <c r="C1682" s="22" t="s">
        <v>49</v>
      </c>
      <c r="D1682" s="149"/>
      <c r="E1682" s="150"/>
      <c r="F1682" s="151"/>
      <c r="G1682" s="151"/>
      <c r="H1682" s="142">
        <f>IFERROR(VLOOKUP($C1682,$C$5:$H$18,6,0)+SUMIF($C$19:$C1682,$C1682,$F$19:$F1682)-SUMIF($C$19:$C1682,$C1682,$G$19:$G1682),"")</f>
        <v>81211.819999998</v>
      </c>
      <c r="I1682" s="147"/>
      <c r="J1682" s="147"/>
      <c r="K1682" s="147" t="str">
        <f t="shared" si="26"/>
        <v/>
      </c>
      <c r="L1682" s="40"/>
      <c r="M1682"/>
      <c r="N1682"/>
      <c r="O1682"/>
      <c r="P1682"/>
      <c r="Q1682"/>
      <c r="R1682"/>
      <c r="S1682"/>
      <c r="T1682"/>
      <c r="U1682"/>
      <c r="V1682"/>
      <c r="W1682" s="41"/>
      <c r="X1682" s="41"/>
      <c r="Y1682" s="41"/>
    </row>
    <row r="1683" s="27" customFormat="1" ht="23" hidden="1" customHeight="1" spans="1:25">
      <c r="A1683" s="133" t="str">
        <f>IF(B1683="","",COUNTA($B$5:B1683))</f>
        <v/>
      </c>
      <c r="B1683" s="148"/>
      <c r="C1683" s="22" t="s">
        <v>49</v>
      </c>
      <c r="D1683" s="149"/>
      <c r="E1683" s="150"/>
      <c r="F1683" s="151"/>
      <c r="G1683" s="151"/>
      <c r="H1683" s="142">
        <f>IFERROR(VLOOKUP($C1683,$C$5:$H$18,6,0)+SUMIF($C$19:$C1683,$C1683,$F$19:$F1683)-SUMIF($C$19:$C1683,$C1683,$G$19:$G1683),"")</f>
        <v>81211.819999998</v>
      </c>
      <c r="I1683" s="147"/>
      <c r="J1683" s="147"/>
      <c r="K1683" s="147" t="str">
        <f t="shared" si="26"/>
        <v/>
      </c>
      <c r="L1683" s="40"/>
      <c r="M1683"/>
      <c r="N1683"/>
      <c r="O1683"/>
      <c r="P1683"/>
      <c r="Q1683"/>
      <c r="R1683"/>
      <c r="S1683"/>
      <c r="T1683"/>
      <c r="U1683"/>
      <c r="V1683"/>
      <c r="W1683" s="41"/>
      <c r="X1683" s="41"/>
      <c r="Y1683" s="41"/>
    </row>
    <row r="1684" s="27" customFormat="1" ht="23" hidden="1" customHeight="1" spans="1:25">
      <c r="A1684" s="133" t="str">
        <f>IF(B1684="","",COUNTA($B$5:B1684))</f>
        <v/>
      </c>
      <c r="B1684" s="148"/>
      <c r="C1684" s="22" t="s">
        <v>49</v>
      </c>
      <c r="D1684" s="149"/>
      <c r="E1684" s="150"/>
      <c r="F1684" s="151"/>
      <c r="G1684" s="151"/>
      <c r="H1684" s="142">
        <f>IFERROR(VLOOKUP($C1684,$C$5:$H$18,6,0)+SUMIF($C$19:$C1684,$C1684,$F$19:$F1684)-SUMIF($C$19:$C1684,$C1684,$G$19:$G1684),"")</f>
        <v>81211.819999998</v>
      </c>
      <c r="I1684" s="147"/>
      <c r="J1684" s="147"/>
      <c r="K1684" s="147" t="str">
        <f t="shared" si="26"/>
        <v/>
      </c>
      <c r="L1684" s="40"/>
      <c r="M1684"/>
      <c r="N1684"/>
      <c r="O1684"/>
      <c r="P1684"/>
      <c r="Q1684"/>
      <c r="R1684"/>
      <c r="S1684"/>
      <c r="T1684"/>
      <c r="U1684"/>
      <c r="V1684"/>
      <c r="W1684" s="41"/>
      <c r="X1684" s="41"/>
      <c r="Y1684" s="41"/>
    </row>
    <row r="1685" s="27" customFormat="1" ht="23" hidden="1" customHeight="1" spans="1:25">
      <c r="A1685" s="133" t="str">
        <f>IF(B1685="","",COUNTA($B$5:B1685))</f>
        <v/>
      </c>
      <c r="B1685" s="148"/>
      <c r="C1685" s="22" t="s">
        <v>49</v>
      </c>
      <c r="D1685" s="149"/>
      <c r="E1685" s="150"/>
      <c r="F1685" s="151"/>
      <c r="G1685" s="151"/>
      <c r="H1685" s="142">
        <f>IFERROR(VLOOKUP($C1685,$C$5:$H$18,6,0)+SUMIF($C$19:$C1685,$C1685,$F$19:$F1685)-SUMIF($C$19:$C1685,$C1685,$G$19:$G1685),"")</f>
        <v>81211.819999998</v>
      </c>
      <c r="I1685" s="147"/>
      <c r="J1685" s="147"/>
      <c r="K1685" s="147" t="str">
        <f t="shared" si="26"/>
        <v/>
      </c>
      <c r="L1685" s="40"/>
      <c r="M1685"/>
      <c r="N1685"/>
      <c r="O1685"/>
      <c r="P1685"/>
      <c r="Q1685"/>
      <c r="R1685"/>
      <c r="S1685"/>
      <c r="T1685"/>
      <c r="U1685"/>
      <c r="V1685"/>
      <c r="W1685" s="41"/>
      <c r="X1685" s="41"/>
      <c r="Y1685" s="41"/>
    </row>
    <row r="1686" s="27" customFormat="1" ht="23" hidden="1" customHeight="1" spans="1:25">
      <c r="A1686" s="133" t="str">
        <f>IF(B1686="","",COUNTA($B$5:B1686))</f>
        <v/>
      </c>
      <c r="B1686" s="148"/>
      <c r="C1686" s="22" t="s">
        <v>49</v>
      </c>
      <c r="D1686" s="149"/>
      <c r="E1686" s="150"/>
      <c r="F1686" s="151"/>
      <c r="G1686" s="151"/>
      <c r="H1686" s="142">
        <f>IFERROR(VLOOKUP($C1686,$C$5:$H$18,6,0)+SUMIF($C$19:$C1686,$C1686,$F$19:$F1686)-SUMIF($C$19:$C1686,$C1686,$G$19:$G1686),"")</f>
        <v>81211.819999998</v>
      </c>
      <c r="I1686" s="147"/>
      <c r="J1686" s="147"/>
      <c r="K1686" s="147" t="str">
        <f t="shared" si="26"/>
        <v/>
      </c>
      <c r="L1686" s="40"/>
      <c r="M1686"/>
      <c r="N1686"/>
      <c r="O1686"/>
      <c r="P1686"/>
      <c r="Q1686"/>
      <c r="R1686"/>
      <c r="S1686"/>
      <c r="T1686"/>
      <c r="U1686"/>
      <c r="V1686"/>
      <c r="W1686" s="41"/>
      <c r="X1686" s="41"/>
      <c r="Y1686" s="41"/>
    </row>
    <row r="1687" s="27" customFormat="1" ht="23" hidden="1" customHeight="1" spans="1:25">
      <c r="A1687" s="133" t="str">
        <f>IF(B1687="","",COUNTA($B$5:B1687))</f>
        <v/>
      </c>
      <c r="B1687" s="148"/>
      <c r="C1687" s="22" t="s">
        <v>49</v>
      </c>
      <c r="D1687" s="149"/>
      <c r="E1687" s="150"/>
      <c r="F1687" s="151"/>
      <c r="G1687" s="151"/>
      <c r="H1687" s="142">
        <f>IFERROR(VLOOKUP($C1687,$C$5:$H$18,6,0)+SUMIF($C$19:$C1687,$C1687,$F$19:$F1687)-SUMIF($C$19:$C1687,$C1687,$G$19:$G1687),"")</f>
        <v>81211.819999998</v>
      </c>
      <c r="I1687" s="147"/>
      <c r="J1687" s="147"/>
      <c r="K1687" s="147" t="str">
        <f t="shared" si="26"/>
        <v/>
      </c>
      <c r="L1687" s="40"/>
      <c r="M1687"/>
      <c r="N1687"/>
      <c r="O1687"/>
      <c r="P1687"/>
      <c r="Q1687"/>
      <c r="R1687"/>
      <c r="S1687"/>
      <c r="T1687"/>
      <c r="U1687"/>
      <c r="V1687"/>
      <c r="W1687" s="41"/>
      <c r="X1687" s="41"/>
      <c r="Y1687" s="41"/>
    </row>
    <row r="1688" s="27" customFormat="1" ht="23" hidden="1" customHeight="1" spans="1:25">
      <c r="A1688" s="133" t="str">
        <f>IF(B1688="","",COUNTA($B$5:B1688))</f>
        <v/>
      </c>
      <c r="B1688" s="148"/>
      <c r="C1688" s="22" t="s">
        <v>49</v>
      </c>
      <c r="D1688" s="149"/>
      <c r="E1688" s="150"/>
      <c r="F1688" s="151"/>
      <c r="G1688" s="151"/>
      <c r="H1688" s="142">
        <f>IFERROR(VLOOKUP($C1688,$C$5:$H$18,6,0)+SUMIF($C$19:$C1688,$C1688,$F$19:$F1688)-SUMIF($C$19:$C1688,$C1688,$G$19:$G1688),"")</f>
        <v>81211.819999998</v>
      </c>
      <c r="I1688" s="147"/>
      <c r="J1688" s="147"/>
      <c r="K1688" s="147" t="str">
        <f t="shared" si="26"/>
        <v/>
      </c>
      <c r="L1688" s="40"/>
      <c r="M1688"/>
      <c r="N1688"/>
      <c r="O1688"/>
      <c r="P1688"/>
      <c r="Q1688"/>
      <c r="R1688"/>
      <c r="S1688"/>
      <c r="T1688"/>
      <c r="U1688"/>
      <c r="V1688"/>
      <c r="W1688" s="41"/>
      <c r="X1688" s="41"/>
      <c r="Y1688" s="41"/>
    </row>
    <row r="1689" s="27" customFormat="1" ht="23" hidden="1" customHeight="1" spans="1:25">
      <c r="A1689" s="133" t="str">
        <f>IF(B1689="","",COUNTA($B$5:B1689))</f>
        <v/>
      </c>
      <c r="B1689" s="148"/>
      <c r="C1689" s="22" t="s">
        <v>49</v>
      </c>
      <c r="D1689" s="149"/>
      <c r="E1689" s="150"/>
      <c r="F1689" s="151"/>
      <c r="G1689" s="151"/>
      <c r="H1689" s="142">
        <f>IFERROR(VLOOKUP($C1689,$C$5:$H$18,6,0)+SUMIF($C$19:$C1689,$C1689,$F$19:$F1689)-SUMIF($C$19:$C1689,$C1689,$G$19:$G1689),"")</f>
        <v>81211.819999998</v>
      </c>
      <c r="I1689" s="147"/>
      <c r="J1689" s="147"/>
      <c r="K1689" s="147" t="str">
        <f t="shared" si="26"/>
        <v/>
      </c>
      <c r="L1689" s="40"/>
      <c r="M1689"/>
      <c r="N1689"/>
      <c r="O1689"/>
      <c r="P1689"/>
      <c r="Q1689"/>
      <c r="R1689"/>
      <c r="S1689"/>
      <c r="T1689"/>
      <c r="U1689"/>
      <c r="V1689"/>
      <c r="W1689" s="41"/>
      <c r="X1689" s="41"/>
      <c r="Y1689" s="41"/>
    </row>
    <row r="1690" s="27" customFormat="1" ht="23" hidden="1" customHeight="1" spans="1:25">
      <c r="A1690" s="133" t="str">
        <f>IF(B1690="","",COUNTA($B$5:B1690))</f>
        <v/>
      </c>
      <c r="B1690" s="148"/>
      <c r="C1690" s="22" t="s">
        <v>49</v>
      </c>
      <c r="D1690" s="149"/>
      <c r="E1690" s="150"/>
      <c r="F1690" s="151"/>
      <c r="G1690" s="151"/>
      <c r="H1690" s="142">
        <f>IFERROR(VLOOKUP($C1690,$C$5:$H$18,6,0)+SUMIF($C$19:$C1690,$C1690,$F$19:$F1690)-SUMIF($C$19:$C1690,$C1690,$G$19:$G1690),"")</f>
        <v>81211.819999998</v>
      </c>
      <c r="I1690" s="147"/>
      <c r="J1690" s="147"/>
      <c r="K1690" s="147" t="str">
        <f t="shared" si="26"/>
        <v/>
      </c>
      <c r="L1690" s="40"/>
      <c r="M1690"/>
      <c r="N1690"/>
      <c r="O1690"/>
      <c r="P1690"/>
      <c r="Q1690"/>
      <c r="R1690"/>
      <c r="S1690"/>
      <c r="T1690"/>
      <c r="U1690"/>
      <c r="V1690"/>
      <c r="W1690" s="41"/>
      <c r="X1690" s="41"/>
      <c r="Y1690" s="41"/>
    </row>
    <row r="1691" s="27" customFormat="1" ht="23" hidden="1" customHeight="1" spans="1:25">
      <c r="A1691" s="133" t="str">
        <f>IF(B1691="","",COUNTA($B$5:B1691))</f>
        <v/>
      </c>
      <c r="B1691" s="148"/>
      <c r="C1691" s="22" t="s">
        <v>49</v>
      </c>
      <c r="D1691" s="149"/>
      <c r="E1691" s="150"/>
      <c r="F1691" s="151"/>
      <c r="G1691" s="151"/>
      <c r="H1691" s="142">
        <f>IFERROR(VLOOKUP($C1691,$C$5:$H$18,6,0)+SUMIF($C$19:$C1691,$C1691,$F$19:$F1691)-SUMIF($C$19:$C1691,$C1691,$G$19:$G1691),"")</f>
        <v>81211.819999998</v>
      </c>
      <c r="I1691" s="147"/>
      <c r="J1691" s="147"/>
      <c r="K1691" s="147" t="str">
        <f t="shared" si="26"/>
        <v/>
      </c>
      <c r="L1691" s="40"/>
      <c r="M1691"/>
      <c r="N1691"/>
      <c r="O1691"/>
      <c r="P1691"/>
      <c r="Q1691"/>
      <c r="R1691"/>
      <c r="S1691"/>
      <c r="T1691"/>
      <c r="U1691"/>
      <c r="V1691"/>
      <c r="W1691" s="41"/>
      <c r="X1691" s="41"/>
      <c r="Y1691" s="41"/>
    </row>
    <row r="1692" s="27" customFormat="1" ht="23" hidden="1" customHeight="1" spans="1:25">
      <c r="A1692" s="133" t="str">
        <f>IF(B1692="","",COUNTA($B$5:B1692))</f>
        <v/>
      </c>
      <c r="B1692" s="148"/>
      <c r="C1692" s="22" t="s">
        <v>49</v>
      </c>
      <c r="D1692" s="149"/>
      <c r="E1692" s="150"/>
      <c r="F1692" s="151"/>
      <c r="G1692" s="151"/>
      <c r="H1692" s="142">
        <f>IFERROR(VLOOKUP($C1692,$C$5:$H$18,6,0)+SUMIF($C$19:$C1692,$C1692,$F$19:$F1692)-SUMIF($C$19:$C1692,$C1692,$G$19:$G1692),"")</f>
        <v>81211.819999998</v>
      </c>
      <c r="I1692" s="147"/>
      <c r="J1692" s="147"/>
      <c r="K1692" s="147" t="str">
        <f t="shared" si="26"/>
        <v/>
      </c>
      <c r="L1692" s="40"/>
      <c r="M1692"/>
      <c r="N1692"/>
      <c r="O1692"/>
      <c r="P1692"/>
      <c r="Q1692"/>
      <c r="R1692"/>
      <c r="S1692"/>
      <c r="T1692"/>
      <c r="U1692"/>
      <c r="V1692"/>
      <c r="W1692" s="41"/>
      <c r="X1692" s="41"/>
      <c r="Y1692" s="41"/>
    </row>
    <row r="1693" s="27" customFormat="1" ht="23" hidden="1" customHeight="1" spans="1:25">
      <c r="A1693" s="133" t="str">
        <f>IF(B1693="","",COUNTA($B$5:B1693))</f>
        <v/>
      </c>
      <c r="B1693" s="148"/>
      <c r="C1693" s="22" t="s">
        <v>49</v>
      </c>
      <c r="D1693" s="149"/>
      <c r="E1693" s="150"/>
      <c r="F1693" s="151"/>
      <c r="G1693" s="151"/>
      <c r="H1693" s="142">
        <f>IFERROR(VLOOKUP($C1693,$C$5:$H$18,6,0)+SUMIF($C$19:$C1693,$C1693,$F$19:$F1693)-SUMIF($C$19:$C1693,$C1693,$G$19:$G1693),"")</f>
        <v>81211.819999998</v>
      </c>
      <c r="I1693" s="147"/>
      <c r="J1693" s="147"/>
      <c r="K1693" s="147" t="str">
        <f t="shared" si="26"/>
        <v/>
      </c>
      <c r="L1693" s="40"/>
      <c r="M1693"/>
      <c r="N1693"/>
      <c r="O1693"/>
      <c r="P1693"/>
      <c r="Q1693"/>
      <c r="R1693"/>
      <c r="S1693"/>
      <c r="T1693"/>
      <c r="U1693"/>
      <c r="V1693"/>
      <c r="W1693" s="41"/>
      <c r="X1693" s="41"/>
      <c r="Y1693" s="41"/>
    </row>
    <row r="1694" s="27" customFormat="1" ht="23" hidden="1" customHeight="1" spans="1:25">
      <c r="A1694" s="133" t="str">
        <f>IF(B1694="","",COUNTA($B$5:B1694))</f>
        <v/>
      </c>
      <c r="B1694" s="148"/>
      <c r="C1694" s="22" t="s">
        <v>49</v>
      </c>
      <c r="D1694" s="149"/>
      <c r="E1694" s="150"/>
      <c r="F1694" s="151"/>
      <c r="G1694" s="151"/>
      <c r="H1694" s="142">
        <f>IFERROR(VLOOKUP($C1694,$C$5:$H$18,6,0)+SUMIF($C$19:$C1694,$C1694,$F$19:$F1694)-SUMIF($C$19:$C1694,$C1694,$G$19:$G1694),"")</f>
        <v>81211.819999998</v>
      </c>
      <c r="I1694" s="147"/>
      <c r="J1694" s="147"/>
      <c r="K1694" s="147" t="str">
        <f t="shared" si="26"/>
        <v/>
      </c>
      <c r="L1694" s="40"/>
      <c r="M1694"/>
      <c r="N1694"/>
      <c r="O1694"/>
      <c r="P1694"/>
      <c r="Q1694"/>
      <c r="R1694"/>
      <c r="S1694"/>
      <c r="T1694"/>
      <c r="U1694"/>
      <c r="V1694"/>
      <c r="W1694" s="41"/>
      <c r="X1694" s="41"/>
      <c r="Y1694" s="41"/>
    </row>
    <row r="1695" s="27" customFormat="1" ht="23" hidden="1" customHeight="1" spans="1:25">
      <c r="A1695" s="133" t="str">
        <f>IF(B1695="","",COUNTA($B$5:B1695))</f>
        <v/>
      </c>
      <c r="B1695" s="148"/>
      <c r="C1695" s="22" t="s">
        <v>49</v>
      </c>
      <c r="D1695" s="149"/>
      <c r="E1695" s="150"/>
      <c r="F1695" s="151"/>
      <c r="G1695" s="151"/>
      <c r="H1695" s="142">
        <f>IFERROR(VLOOKUP($C1695,$C$5:$H$18,6,0)+SUMIF($C$19:$C1695,$C1695,$F$19:$F1695)-SUMIF($C$19:$C1695,$C1695,$G$19:$G1695),"")</f>
        <v>81211.819999998</v>
      </c>
      <c r="I1695" s="147"/>
      <c r="J1695" s="147"/>
      <c r="K1695" s="147" t="str">
        <f t="shared" si="26"/>
        <v/>
      </c>
      <c r="L1695" s="40"/>
      <c r="M1695"/>
      <c r="N1695"/>
      <c r="O1695"/>
      <c r="P1695"/>
      <c r="Q1695"/>
      <c r="R1695"/>
      <c r="S1695"/>
      <c r="T1695"/>
      <c r="U1695"/>
      <c r="V1695"/>
      <c r="W1695" s="41"/>
      <c r="X1695" s="41"/>
      <c r="Y1695" s="41"/>
    </row>
    <row r="1696" s="27" customFormat="1" ht="23" hidden="1" customHeight="1" spans="1:25">
      <c r="A1696" s="133" t="str">
        <f>IF(B1696="","",COUNTA($B$5:B1696))</f>
        <v/>
      </c>
      <c r="B1696" s="148"/>
      <c r="C1696" s="22" t="s">
        <v>49</v>
      </c>
      <c r="D1696" s="149"/>
      <c r="E1696" s="150"/>
      <c r="F1696" s="151"/>
      <c r="G1696" s="151"/>
      <c r="H1696" s="142">
        <f>IFERROR(VLOOKUP($C1696,$C$5:$H$18,6,0)+SUMIF($C$19:$C1696,$C1696,$F$19:$F1696)-SUMIF($C$19:$C1696,$C1696,$G$19:$G1696),"")</f>
        <v>81211.819999998</v>
      </c>
      <c r="I1696" s="147"/>
      <c r="J1696" s="147"/>
      <c r="K1696" s="147" t="str">
        <f t="shared" si="26"/>
        <v/>
      </c>
      <c r="L1696" s="40"/>
      <c r="M1696"/>
      <c r="N1696"/>
      <c r="O1696"/>
      <c r="P1696"/>
      <c r="Q1696"/>
      <c r="R1696"/>
      <c r="S1696"/>
      <c r="T1696"/>
      <c r="U1696"/>
      <c r="V1696"/>
      <c r="W1696" s="41"/>
      <c r="X1696" s="41"/>
      <c r="Y1696" s="41"/>
    </row>
    <row r="1697" s="27" customFormat="1" ht="23" hidden="1" customHeight="1" spans="1:25">
      <c r="A1697" s="133" t="str">
        <f>IF(B1697="","",COUNTA($B$5:B1697))</f>
        <v/>
      </c>
      <c r="B1697" s="148"/>
      <c r="C1697" s="22" t="s">
        <v>49</v>
      </c>
      <c r="D1697" s="149"/>
      <c r="E1697" s="150"/>
      <c r="F1697" s="151"/>
      <c r="G1697" s="151"/>
      <c r="H1697" s="142">
        <f>IFERROR(VLOOKUP($C1697,$C$5:$H$18,6,0)+SUMIF($C$19:$C1697,$C1697,$F$19:$F1697)-SUMIF($C$19:$C1697,$C1697,$G$19:$G1697),"")</f>
        <v>81211.819999998</v>
      </c>
      <c r="I1697" s="147"/>
      <c r="J1697" s="147"/>
      <c r="K1697" s="147" t="str">
        <f t="shared" si="26"/>
        <v/>
      </c>
      <c r="L1697" s="40"/>
      <c r="M1697"/>
      <c r="N1697"/>
      <c r="O1697"/>
      <c r="P1697"/>
      <c r="Q1697"/>
      <c r="R1697"/>
      <c r="S1697"/>
      <c r="T1697"/>
      <c r="U1697"/>
      <c r="V1697"/>
      <c r="W1697" s="41"/>
      <c r="X1697" s="41"/>
      <c r="Y1697" s="41"/>
    </row>
    <row r="1698" s="27" customFormat="1" ht="23" hidden="1" customHeight="1" spans="1:25">
      <c r="A1698" s="133" t="str">
        <f>IF(B1698="","",COUNTA($B$5:B1698))</f>
        <v/>
      </c>
      <c r="B1698" s="148"/>
      <c r="C1698" s="22" t="s">
        <v>49</v>
      </c>
      <c r="D1698" s="149"/>
      <c r="E1698" s="150"/>
      <c r="F1698" s="151"/>
      <c r="G1698" s="151"/>
      <c r="H1698" s="142">
        <f>IFERROR(VLOOKUP($C1698,$C$5:$H$18,6,0)+SUMIF($C$19:$C1698,$C1698,$F$19:$F1698)-SUMIF($C$19:$C1698,$C1698,$G$19:$G1698),"")</f>
        <v>81211.819999998</v>
      </c>
      <c r="I1698" s="147"/>
      <c r="J1698" s="147"/>
      <c r="K1698" s="147" t="str">
        <f t="shared" si="26"/>
        <v/>
      </c>
      <c r="L1698" s="40"/>
      <c r="M1698"/>
      <c r="N1698"/>
      <c r="O1698"/>
      <c r="P1698"/>
      <c r="Q1698"/>
      <c r="R1698"/>
      <c r="S1698"/>
      <c r="T1698"/>
      <c r="U1698"/>
      <c r="V1698"/>
      <c r="W1698" s="41"/>
      <c r="X1698" s="41"/>
      <c r="Y1698" s="41"/>
    </row>
    <row r="1699" s="27" customFormat="1" ht="23" hidden="1" customHeight="1" spans="1:25">
      <c r="A1699" s="133" t="str">
        <f>IF(B1699="","",COUNTA($B$5:B1699))</f>
        <v/>
      </c>
      <c r="B1699" s="148"/>
      <c r="C1699" s="22" t="s">
        <v>49</v>
      </c>
      <c r="D1699" s="149"/>
      <c r="E1699" s="150"/>
      <c r="F1699" s="151"/>
      <c r="G1699" s="151"/>
      <c r="H1699" s="142">
        <f>IFERROR(VLOOKUP($C1699,$C$5:$H$18,6,0)+SUMIF($C$19:$C1699,$C1699,$F$19:$F1699)-SUMIF($C$19:$C1699,$C1699,$G$19:$G1699),"")</f>
        <v>81211.819999998</v>
      </c>
      <c r="I1699" s="147"/>
      <c r="J1699" s="147"/>
      <c r="K1699" s="147" t="str">
        <f t="shared" si="26"/>
        <v/>
      </c>
      <c r="L1699" s="40"/>
      <c r="M1699"/>
      <c r="N1699"/>
      <c r="O1699"/>
      <c r="P1699"/>
      <c r="Q1699"/>
      <c r="R1699"/>
      <c r="S1699"/>
      <c r="T1699"/>
      <c r="U1699"/>
      <c r="V1699"/>
      <c r="W1699" s="41"/>
      <c r="X1699" s="41"/>
      <c r="Y1699" s="41"/>
    </row>
    <row r="1700" s="27" customFormat="1" ht="23" hidden="1" customHeight="1" spans="1:25">
      <c r="A1700" s="133" t="str">
        <f>IF(B1700="","",COUNTA($B$5:B1700))</f>
        <v/>
      </c>
      <c r="B1700" s="148"/>
      <c r="C1700" s="22" t="s">
        <v>49</v>
      </c>
      <c r="D1700" s="149"/>
      <c r="E1700" s="150"/>
      <c r="F1700" s="151"/>
      <c r="G1700" s="151"/>
      <c r="H1700" s="142">
        <f>IFERROR(VLOOKUP($C1700,$C$5:$H$18,6,0)+SUMIF($C$19:$C1700,$C1700,$F$19:$F1700)-SUMIF($C$19:$C1700,$C1700,$G$19:$G1700),"")</f>
        <v>81211.819999998</v>
      </c>
      <c r="I1700" s="147"/>
      <c r="J1700" s="147"/>
      <c r="K1700" s="147" t="str">
        <f t="shared" si="26"/>
        <v/>
      </c>
      <c r="L1700" s="40"/>
      <c r="M1700"/>
      <c r="N1700"/>
      <c r="O1700"/>
      <c r="P1700"/>
      <c r="Q1700"/>
      <c r="R1700"/>
      <c r="S1700"/>
      <c r="T1700"/>
      <c r="U1700"/>
      <c r="V1700"/>
      <c r="W1700" s="41"/>
      <c r="X1700" s="41"/>
      <c r="Y1700" s="41"/>
    </row>
    <row r="1701" s="27" customFormat="1" ht="23" hidden="1" customHeight="1" spans="1:25">
      <c r="A1701" s="133" t="str">
        <f>IF(B1701="","",COUNTA($B$5:B1701))</f>
        <v/>
      </c>
      <c r="B1701" s="148"/>
      <c r="C1701" s="22" t="s">
        <v>49</v>
      </c>
      <c r="D1701" s="149"/>
      <c r="E1701" s="150"/>
      <c r="F1701" s="151"/>
      <c r="G1701" s="151"/>
      <c r="H1701" s="142">
        <f>IFERROR(VLOOKUP($C1701,$C$5:$H$18,6,0)+SUMIF($C$19:$C1701,$C1701,$F$19:$F1701)-SUMIF($C$19:$C1701,$C1701,$G$19:$G1701),"")</f>
        <v>81211.819999998</v>
      </c>
      <c r="I1701" s="147"/>
      <c r="J1701" s="147"/>
      <c r="K1701" s="147" t="str">
        <f t="shared" si="26"/>
        <v/>
      </c>
      <c r="L1701" s="40"/>
      <c r="M1701"/>
      <c r="N1701"/>
      <c r="O1701"/>
      <c r="P1701"/>
      <c r="Q1701"/>
      <c r="R1701"/>
      <c r="S1701"/>
      <c r="T1701"/>
      <c r="U1701"/>
      <c r="V1701"/>
      <c r="W1701" s="41"/>
      <c r="X1701" s="41"/>
      <c r="Y1701" s="41"/>
    </row>
    <row r="1702" s="27" customFormat="1" ht="23" hidden="1" customHeight="1" spans="1:25">
      <c r="A1702" s="133" t="str">
        <f>IF(B1702="","",COUNTA($B$5:B1702))</f>
        <v/>
      </c>
      <c r="B1702" s="148"/>
      <c r="C1702" s="22" t="s">
        <v>49</v>
      </c>
      <c r="D1702" s="149"/>
      <c r="E1702" s="150"/>
      <c r="F1702" s="151"/>
      <c r="G1702" s="151"/>
      <c r="H1702" s="142">
        <f>IFERROR(VLOOKUP($C1702,$C$5:$H$18,6,0)+SUMIF($C$19:$C1702,$C1702,$F$19:$F1702)-SUMIF($C$19:$C1702,$C1702,$G$19:$G1702),"")</f>
        <v>81211.819999998</v>
      </c>
      <c r="I1702" s="147"/>
      <c r="J1702" s="147"/>
      <c r="K1702" s="147" t="str">
        <f t="shared" si="26"/>
        <v/>
      </c>
      <c r="L1702" s="40"/>
      <c r="M1702"/>
      <c r="N1702"/>
      <c r="O1702"/>
      <c r="P1702"/>
      <c r="Q1702"/>
      <c r="R1702"/>
      <c r="S1702"/>
      <c r="T1702"/>
      <c r="U1702"/>
      <c r="V1702"/>
      <c r="W1702" s="41"/>
      <c r="X1702" s="41"/>
      <c r="Y1702" s="41"/>
    </row>
    <row r="1703" s="27" customFormat="1" ht="23" hidden="1" customHeight="1" spans="1:25">
      <c r="A1703" s="133" t="str">
        <f>IF(B1703="","",COUNTA($B$5:B1703))</f>
        <v/>
      </c>
      <c r="B1703" s="148"/>
      <c r="C1703" s="22" t="s">
        <v>49</v>
      </c>
      <c r="D1703" s="149"/>
      <c r="E1703" s="150"/>
      <c r="F1703" s="151"/>
      <c r="G1703" s="151"/>
      <c r="H1703" s="142">
        <f>IFERROR(VLOOKUP($C1703,$C$5:$H$18,6,0)+SUMIF($C$19:$C1703,$C1703,$F$19:$F1703)-SUMIF($C$19:$C1703,$C1703,$G$19:$G1703),"")</f>
        <v>81211.819999998</v>
      </c>
      <c r="I1703" s="147"/>
      <c r="J1703" s="147"/>
      <c r="K1703" s="147" t="str">
        <f t="shared" si="26"/>
        <v/>
      </c>
      <c r="L1703" s="40"/>
      <c r="M1703"/>
      <c r="N1703"/>
      <c r="O1703"/>
      <c r="P1703"/>
      <c r="Q1703"/>
      <c r="R1703"/>
      <c r="S1703"/>
      <c r="T1703"/>
      <c r="U1703"/>
      <c r="V1703"/>
      <c r="W1703" s="41"/>
      <c r="X1703" s="41"/>
      <c r="Y1703" s="41"/>
    </row>
    <row r="1704" s="27" customFormat="1" ht="23" hidden="1" customHeight="1" spans="1:25">
      <c r="A1704" s="133" t="str">
        <f>IF(B1704="","",COUNTA($B$5:B1704))</f>
        <v/>
      </c>
      <c r="B1704" s="148"/>
      <c r="C1704" s="22" t="s">
        <v>49</v>
      </c>
      <c r="D1704" s="149"/>
      <c r="E1704" s="150"/>
      <c r="F1704" s="151"/>
      <c r="G1704" s="151"/>
      <c r="H1704" s="142">
        <f>IFERROR(VLOOKUP($C1704,$C$5:$H$18,6,0)+SUMIF($C$19:$C1704,$C1704,$F$19:$F1704)-SUMIF($C$19:$C1704,$C1704,$G$19:$G1704),"")</f>
        <v>81211.819999998</v>
      </c>
      <c r="I1704" s="147"/>
      <c r="J1704" s="147"/>
      <c r="K1704" s="147" t="str">
        <f t="shared" si="26"/>
        <v/>
      </c>
      <c r="L1704" s="40"/>
      <c r="M1704"/>
      <c r="N1704"/>
      <c r="O1704"/>
      <c r="P1704"/>
      <c r="Q1704"/>
      <c r="R1704"/>
      <c r="S1704"/>
      <c r="T1704"/>
      <c r="U1704"/>
      <c r="V1704"/>
      <c r="W1704" s="41"/>
      <c r="X1704" s="41"/>
      <c r="Y1704" s="41"/>
    </row>
    <row r="1705" s="27" customFormat="1" ht="23" hidden="1" customHeight="1" spans="1:25">
      <c r="A1705" s="133" t="str">
        <f>IF(B1705="","",COUNTA($B$5:B1705))</f>
        <v/>
      </c>
      <c r="B1705" s="148"/>
      <c r="C1705" s="22" t="s">
        <v>49</v>
      </c>
      <c r="D1705" s="149"/>
      <c r="E1705" s="150"/>
      <c r="F1705" s="151"/>
      <c r="G1705" s="151"/>
      <c r="H1705" s="142">
        <f>IFERROR(VLOOKUP($C1705,$C$5:$H$18,6,0)+SUMIF($C$19:$C1705,$C1705,$F$19:$F1705)-SUMIF($C$19:$C1705,$C1705,$G$19:$G1705),"")</f>
        <v>81211.819999998</v>
      </c>
      <c r="I1705" s="147"/>
      <c r="J1705" s="147"/>
      <c r="K1705" s="147" t="str">
        <f t="shared" si="26"/>
        <v/>
      </c>
      <c r="L1705" s="40"/>
      <c r="M1705"/>
      <c r="N1705"/>
      <c r="O1705"/>
      <c r="P1705"/>
      <c r="Q1705"/>
      <c r="R1705"/>
      <c r="S1705"/>
      <c r="T1705"/>
      <c r="U1705"/>
      <c r="V1705"/>
      <c r="W1705" s="41"/>
      <c r="X1705" s="41"/>
      <c r="Y1705" s="41"/>
    </row>
    <row r="1706" s="27" customFormat="1" ht="23" hidden="1" customHeight="1" spans="1:25">
      <c r="A1706" s="133" t="str">
        <f>IF(B1706="","",COUNTA($B$5:B1706))</f>
        <v/>
      </c>
      <c r="B1706" s="148"/>
      <c r="C1706" s="22" t="s">
        <v>49</v>
      </c>
      <c r="D1706" s="149"/>
      <c r="E1706" s="150"/>
      <c r="F1706" s="151"/>
      <c r="G1706" s="151"/>
      <c r="H1706" s="142">
        <f>IFERROR(VLOOKUP($C1706,$C$5:$H$18,6,0)+SUMIF($C$19:$C1706,$C1706,$F$19:$F1706)-SUMIF($C$19:$C1706,$C1706,$G$19:$G1706),"")</f>
        <v>81211.819999998</v>
      </c>
      <c r="I1706" s="147"/>
      <c r="J1706" s="147"/>
      <c r="K1706" s="147" t="str">
        <f t="shared" si="26"/>
        <v/>
      </c>
      <c r="L1706" s="40"/>
      <c r="M1706"/>
      <c r="N1706"/>
      <c r="O1706"/>
      <c r="P1706"/>
      <c r="Q1706"/>
      <c r="R1706"/>
      <c r="S1706"/>
      <c r="T1706"/>
      <c r="U1706"/>
      <c r="V1706"/>
      <c r="W1706" s="41"/>
      <c r="X1706" s="41"/>
      <c r="Y1706" s="41"/>
    </row>
    <row r="1707" s="27" customFormat="1" ht="23" hidden="1" customHeight="1" spans="1:25">
      <c r="A1707" s="133" t="str">
        <f>IF(B1707="","",COUNTA($B$5:B1707))</f>
        <v/>
      </c>
      <c r="B1707" s="148"/>
      <c r="C1707" s="22" t="s">
        <v>49</v>
      </c>
      <c r="D1707" s="149"/>
      <c r="E1707" s="150"/>
      <c r="F1707" s="151"/>
      <c r="G1707" s="151"/>
      <c r="H1707" s="142">
        <f>IFERROR(VLOOKUP($C1707,$C$5:$H$18,6,0)+SUMIF($C$19:$C1707,$C1707,$F$19:$F1707)-SUMIF($C$19:$C1707,$C1707,$G$19:$G1707),"")</f>
        <v>81211.819999998</v>
      </c>
      <c r="I1707" s="147"/>
      <c r="J1707" s="147"/>
      <c r="K1707" s="147" t="str">
        <f t="shared" si="26"/>
        <v/>
      </c>
      <c r="L1707" s="40"/>
      <c r="M1707"/>
      <c r="N1707"/>
      <c r="O1707"/>
      <c r="P1707"/>
      <c r="Q1707"/>
      <c r="R1707"/>
      <c r="S1707"/>
      <c r="T1707"/>
      <c r="U1707"/>
      <c r="V1707"/>
      <c r="W1707" s="41"/>
      <c r="X1707" s="41"/>
      <c r="Y1707" s="41"/>
    </row>
    <row r="1708" s="27" customFormat="1" ht="23" hidden="1" customHeight="1" spans="1:25">
      <c r="A1708" s="133" t="str">
        <f>IF(B1708="","",COUNTA($B$5:B1708))</f>
        <v/>
      </c>
      <c r="B1708" s="148"/>
      <c r="C1708" s="22" t="s">
        <v>49</v>
      </c>
      <c r="D1708" s="149"/>
      <c r="E1708" s="150"/>
      <c r="F1708" s="151"/>
      <c r="G1708" s="151"/>
      <c r="H1708" s="142">
        <f>IFERROR(VLOOKUP($C1708,$C$5:$H$18,6,0)+SUMIF($C$19:$C1708,$C1708,$F$19:$F1708)-SUMIF($C$19:$C1708,$C1708,$G$19:$G1708),"")</f>
        <v>81211.819999998</v>
      </c>
      <c r="I1708" s="147"/>
      <c r="J1708" s="147"/>
      <c r="K1708" s="147" t="str">
        <f t="shared" si="26"/>
        <v/>
      </c>
      <c r="L1708" s="40"/>
      <c r="M1708"/>
      <c r="N1708"/>
      <c r="O1708"/>
      <c r="P1708"/>
      <c r="Q1708"/>
      <c r="R1708"/>
      <c r="S1708"/>
      <c r="T1708"/>
      <c r="U1708"/>
      <c r="V1708"/>
      <c r="W1708" s="41"/>
      <c r="X1708" s="41"/>
      <c r="Y1708" s="41"/>
    </row>
    <row r="1709" s="27" customFormat="1" ht="23" hidden="1" customHeight="1" spans="1:25">
      <c r="A1709" s="133" t="str">
        <f>IF(B1709="","",COUNTA($B$5:B1709))</f>
        <v/>
      </c>
      <c r="B1709" s="148"/>
      <c r="C1709" s="22" t="s">
        <v>49</v>
      </c>
      <c r="D1709" s="149"/>
      <c r="E1709" s="150"/>
      <c r="F1709" s="151"/>
      <c r="G1709" s="151"/>
      <c r="H1709" s="142">
        <f>IFERROR(VLOOKUP($C1709,$C$5:$H$18,6,0)+SUMIF($C$19:$C1709,$C1709,$F$19:$F1709)-SUMIF($C$19:$C1709,$C1709,$G$19:$G1709),"")</f>
        <v>81211.819999998</v>
      </c>
      <c r="I1709" s="147"/>
      <c r="J1709" s="147"/>
      <c r="K1709" s="147" t="str">
        <f t="shared" si="26"/>
        <v/>
      </c>
      <c r="L1709" s="40"/>
      <c r="M1709"/>
      <c r="N1709"/>
      <c r="O1709"/>
      <c r="P1709"/>
      <c r="Q1709"/>
      <c r="R1709"/>
      <c r="S1709"/>
      <c r="T1709"/>
      <c r="U1709"/>
      <c r="V1709"/>
      <c r="W1709" s="41"/>
      <c r="X1709" s="41"/>
      <c r="Y1709" s="41"/>
    </row>
    <row r="1710" s="27" customFormat="1" ht="23" hidden="1" customHeight="1" spans="1:25">
      <c r="A1710" s="133" t="str">
        <f>IF(B1710="","",COUNTA($B$5:B1710))</f>
        <v/>
      </c>
      <c r="B1710" s="148"/>
      <c r="C1710" s="22" t="s">
        <v>49</v>
      </c>
      <c r="D1710" s="149"/>
      <c r="E1710" s="150"/>
      <c r="F1710" s="151"/>
      <c r="G1710" s="151"/>
      <c r="H1710" s="142">
        <f>IFERROR(VLOOKUP($C1710,$C$5:$H$18,6,0)+SUMIF($C$19:$C1710,$C1710,$F$19:$F1710)-SUMIF($C$19:$C1710,$C1710,$G$19:$G1710),"")</f>
        <v>81211.819999998</v>
      </c>
      <c r="I1710" s="147"/>
      <c r="J1710" s="147"/>
      <c r="K1710" s="147" t="str">
        <f t="shared" si="26"/>
        <v/>
      </c>
      <c r="L1710" s="40"/>
      <c r="M1710"/>
      <c r="N1710"/>
      <c r="O1710"/>
      <c r="P1710"/>
      <c r="Q1710"/>
      <c r="R1710"/>
      <c r="S1710"/>
      <c r="T1710"/>
      <c r="U1710"/>
      <c r="V1710"/>
      <c r="W1710" s="41"/>
      <c r="X1710" s="41"/>
      <c r="Y1710" s="41"/>
    </row>
    <row r="1711" s="27" customFormat="1" ht="23" hidden="1" customHeight="1" spans="1:25">
      <c r="A1711" s="133" t="str">
        <f>IF(B1711="","",COUNTA($B$5:B1711))</f>
        <v/>
      </c>
      <c r="B1711" s="148"/>
      <c r="C1711" s="22" t="s">
        <v>49</v>
      </c>
      <c r="D1711" s="149"/>
      <c r="E1711" s="150"/>
      <c r="F1711" s="151"/>
      <c r="G1711" s="151"/>
      <c r="H1711" s="142">
        <f>IFERROR(VLOOKUP($C1711,$C$5:$H$18,6,0)+SUMIF($C$19:$C1711,$C1711,$F$19:$F1711)-SUMIF($C$19:$C1711,$C1711,$G$19:$G1711),"")</f>
        <v>81211.819999998</v>
      </c>
      <c r="I1711" s="147"/>
      <c r="J1711" s="147"/>
      <c r="K1711" s="147" t="str">
        <f t="shared" si="26"/>
        <v/>
      </c>
      <c r="L1711" s="40"/>
      <c r="M1711"/>
      <c r="N1711"/>
      <c r="O1711"/>
      <c r="P1711"/>
      <c r="Q1711"/>
      <c r="R1711"/>
      <c r="S1711"/>
      <c r="T1711"/>
      <c r="U1711"/>
      <c r="V1711"/>
      <c r="W1711" s="41"/>
      <c r="X1711" s="41"/>
      <c r="Y1711" s="41"/>
    </row>
    <row r="1712" s="27" customFormat="1" ht="23" hidden="1" customHeight="1" spans="1:25">
      <c r="A1712" s="133" t="str">
        <f>IF(B1712="","",COUNTA($B$5:B1712))</f>
        <v/>
      </c>
      <c r="B1712" s="148"/>
      <c r="C1712" s="22" t="s">
        <v>49</v>
      </c>
      <c r="D1712" s="149"/>
      <c r="E1712" s="150"/>
      <c r="F1712" s="151"/>
      <c r="G1712" s="151"/>
      <c r="H1712" s="142">
        <f>IFERROR(VLOOKUP($C1712,$C$5:$H$18,6,0)+SUMIF($C$19:$C1712,$C1712,$F$19:$F1712)-SUMIF($C$19:$C1712,$C1712,$G$19:$G1712),"")</f>
        <v>81211.819999998</v>
      </c>
      <c r="I1712" s="147"/>
      <c r="J1712" s="147"/>
      <c r="K1712" s="147" t="str">
        <f t="shared" si="26"/>
        <v/>
      </c>
      <c r="L1712" s="40"/>
      <c r="M1712"/>
      <c r="N1712"/>
      <c r="O1712"/>
      <c r="P1712"/>
      <c r="Q1712"/>
      <c r="R1712"/>
      <c r="S1712"/>
      <c r="T1712"/>
      <c r="U1712"/>
      <c r="V1712"/>
      <c r="W1712" s="41"/>
      <c r="X1712" s="41"/>
      <c r="Y1712" s="41"/>
    </row>
    <row r="1713" s="27" customFormat="1" ht="23" hidden="1" customHeight="1" spans="1:25">
      <c r="A1713" s="133" t="str">
        <f>IF(B1713="","",COUNTA($B$5:B1713))</f>
        <v/>
      </c>
      <c r="B1713" s="148"/>
      <c r="C1713" s="22" t="s">
        <v>49</v>
      </c>
      <c r="D1713" s="149"/>
      <c r="E1713" s="150"/>
      <c r="F1713" s="151"/>
      <c r="G1713" s="151"/>
      <c r="H1713" s="142">
        <f>IFERROR(VLOOKUP($C1713,$C$5:$H$18,6,0)+SUMIF($C$19:$C1713,$C1713,$F$19:$F1713)-SUMIF($C$19:$C1713,$C1713,$G$19:$G1713),"")</f>
        <v>81211.819999998</v>
      </c>
      <c r="I1713" s="147"/>
      <c r="J1713" s="147"/>
      <c r="K1713" s="147" t="str">
        <f t="shared" si="26"/>
        <v/>
      </c>
      <c r="L1713" s="40"/>
      <c r="M1713"/>
      <c r="N1713"/>
      <c r="O1713"/>
      <c r="P1713"/>
      <c r="Q1713"/>
      <c r="R1713"/>
      <c r="S1713"/>
      <c r="T1713"/>
      <c r="U1713"/>
      <c r="V1713"/>
      <c r="W1713" s="41"/>
      <c r="X1713" s="41"/>
      <c r="Y1713" s="41"/>
    </row>
    <row r="1714" s="27" customFormat="1" ht="23" hidden="1" customHeight="1" spans="1:25">
      <c r="A1714" s="133" t="str">
        <f>IF(B1714="","",COUNTA($B$5:B1714))</f>
        <v/>
      </c>
      <c r="B1714" s="148"/>
      <c r="C1714" s="22" t="s">
        <v>49</v>
      </c>
      <c r="D1714" s="149"/>
      <c r="E1714" s="150"/>
      <c r="F1714" s="151"/>
      <c r="G1714" s="151"/>
      <c r="H1714" s="142">
        <f>IFERROR(VLOOKUP($C1714,$C$5:$H$18,6,0)+SUMIF($C$19:$C1714,$C1714,$F$19:$F1714)-SUMIF($C$19:$C1714,$C1714,$G$19:$G1714),"")</f>
        <v>81211.819999998</v>
      </c>
      <c r="I1714" s="147"/>
      <c r="J1714" s="147"/>
      <c r="K1714" s="147" t="str">
        <f t="shared" si="26"/>
        <v/>
      </c>
      <c r="L1714" s="40"/>
      <c r="M1714"/>
      <c r="N1714"/>
      <c r="O1714"/>
      <c r="P1714"/>
      <c r="Q1714"/>
      <c r="R1714"/>
      <c r="S1714"/>
      <c r="T1714"/>
      <c r="U1714"/>
      <c r="V1714"/>
      <c r="W1714" s="41"/>
      <c r="X1714" s="41"/>
      <c r="Y1714" s="41"/>
    </row>
    <row r="1715" s="27" customFormat="1" ht="23" hidden="1" customHeight="1" spans="1:25">
      <c r="A1715" s="133" t="str">
        <f>IF(B1715="","",COUNTA($B$5:B1715))</f>
        <v/>
      </c>
      <c r="B1715" s="148"/>
      <c r="C1715" s="22" t="s">
        <v>49</v>
      </c>
      <c r="D1715" s="149"/>
      <c r="E1715" s="150"/>
      <c r="F1715" s="151"/>
      <c r="G1715" s="151"/>
      <c r="H1715" s="142">
        <f>IFERROR(VLOOKUP($C1715,$C$5:$H$18,6,0)+SUMIF($C$19:$C1715,$C1715,$F$19:$F1715)-SUMIF($C$19:$C1715,$C1715,$G$19:$G1715),"")</f>
        <v>81211.819999998</v>
      </c>
      <c r="I1715" s="147"/>
      <c r="J1715" s="147"/>
      <c r="K1715" s="147" t="str">
        <f t="shared" si="26"/>
        <v/>
      </c>
      <c r="L1715" s="40"/>
      <c r="M1715"/>
      <c r="N1715"/>
      <c r="O1715"/>
      <c r="P1715"/>
      <c r="Q1715"/>
      <c r="R1715"/>
      <c r="S1715"/>
      <c r="T1715"/>
      <c r="U1715"/>
      <c r="V1715"/>
      <c r="W1715" s="41"/>
      <c r="X1715" s="41"/>
      <c r="Y1715" s="41"/>
    </row>
    <row r="1716" s="27" customFormat="1" ht="23" hidden="1" customHeight="1" spans="1:25">
      <c r="A1716" s="133" t="str">
        <f>IF(B1716="","",COUNTA($B$5:B1716))</f>
        <v/>
      </c>
      <c r="B1716" s="148"/>
      <c r="C1716" s="22" t="s">
        <v>49</v>
      </c>
      <c r="D1716" s="149"/>
      <c r="E1716" s="150"/>
      <c r="F1716" s="151"/>
      <c r="G1716" s="151"/>
      <c r="H1716" s="142">
        <f>IFERROR(VLOOKUP($C1716,$C$5:$H$18,6,0)+SUMIF($C$19:$C1716,$C1716,$F$19:$F1716)-SUMIF($C$19:$C1716,$C1716,$G$19:$G1716),"")</f>
        <v>81211.819999998</v>
      </c>
      <c r="I1716" s="147"/>
      <c r="J1716" s="147"/>
      <c r="K1716" s="147" t="str">
        <f t="shared" si="26"/>
        <v/>
      </c>
      <c r="L1716" s="40"/>
      <c r="M1716"/>
      <c r="N1716"/>
      <c r="O1716"/>
      <c r="P1716"/>
      <c r="Q1716"/>
      <c r="R1716"/>
      <c r="S1716"/>
      <c r="T1716"/>
      <c r="U1716"/>
      <c r="V1716"/>
      <c r="W1716" s="41"/>
      <c r="X1716" s="41"/>
      <c r="Y1716" s="41"/>
    </row>
    <row r="1717" s="27" customFormat="1" ht="23" hidden="1" customHeight="1" spans="1:25">
      <c r="A1717" s="133" t="str">
        <f>IF(B1717="","",COUNTA($B$5:B1717))</f>
        <v/>
      </c>
      <c r="B1717" s="148"/>
      <c r="C1717" s="22" t="s">
        <v>49</v>
      </c>
      <c r="D1717" s="149"/>
      <c r="E1717" s="150"/>
      <c r="F1717" s="151"/>
      <c r="G1717" s="151"/>
      <c r="H1717" s="142">
        <f>IFERROR(VLOOKUP($C1717,$C$5:$H$18,6,0)+SUMIF($C$19:$C1717,$C1717,$F$19:$F1717)-SUMIF($C$19:$C1717,$C1717,$G$19:$G1717),"")</f>
        <v>81211.819999998</v>
      </c>
      <c r="I1717" s="147"/>
      <c r="J1717" s="147"/>
      <c r="K1717" s="147" t="str">
        <f t="shared" si="26"/>
        <v/>
      </c>
      <c r="L1717" s="40"/>
      <c r="M1717"/>
      <c r="N1717"/>
      <c r="O1717"/>
      <c r="P1717"/>
      <c r="Q1717"/>
      <c r="R1717"/>
      <c r="S1717"/>
      <c r="T1717"/>
      <c r="U1717"/>
      <c r="V1717"/>
      <c r="W1717" s="41"/>
      <c r="X1717" s="41"/>
      <c r="Y1717" s="41"/>
    </row>
    <row r="1718" s="27" customFormat="1" ht="23" hidden="1" customHeight="1" spans="1:25">
      <c r="A1718" s="133" t="str">
        <f>IF(B1718="","",COUNTA($B$5:B1718))</f>
        <v/>
      </c>
      <c r="B1718" s="148"/>
      <c r="C1718" s="22" t="s">
        <v>49</v>
      </c>
      <c r="D1718" s="149"/>
      <c r="E1718" s="150"/>
      <c r="F1718" s="151"/>
      <c r="G1718" s="151"/>
      <c r="H1718" s="142">
        <f>IFERROR(VLOOKUP($C1718,$C$5:$H$18,6,0)+SUMIF($C$19:$C1718,$C1718,$F$19:$F1718)-SUMIF($C$19:$C1718,$C1718,$G$19:$G1718),"")</f>
        <v>81211.819999998</v>
      </c>
      <c r="I1718" s="147"/>
      <c r="J1718" s="147"/>
      <c r="K1718" s="147" t="str">
        <f t="shared" si="26"/>
        <v/>
      </c>
      <c r="L1718" s="40"/>
      <c r="M1718"/>
      <c r="N1718"/>
      <c r="O1718"/>
      <c r="P1718"/>
      <c r="Q1718"/>
      <c r="R1718"/>
      <c r="S1718"/>
      <c r="T1718"/>
      <c r="U1718"/>
      <c r="V1718"/>
      <c r="W1718" s="41"/>
      <c r="X1718" s="41"/>
      <c r="Y1718" s="41"/>
    </row>
    <row r="1719" s="27" customFormat="1" ht="23" hidden="1" customHeight="1" spans="1:25">
      <c r="A1719" s="133" t="str">
        <f>IF(B1719="","",COUNTA($B$5:B1719))</f>
        <v/>
      </c>
      <c r="B1719" s="148"/>
      <c r="C1719" s="22" t="s">
        <v>49</v>
      </c>
      <c r="D1719" s="149"/>
      <c r="E1719" s="150"/>
      <c r="F1719" s="151"/>
      <c r="G1719" s="151"/>
      <c r="H1719" s="142">
        <f>IFERROR(VLOOKUP($C1719,$C$5:$H$18,6,0)+SUMIF($C$19:$C1719,$C1719,$F$19:$F1719)-SUMIF($C$19:$C1719,$C1719,$G$19:$G1719),"")</f>
        <v>81211.819999998</v>
      </c>
      <c r="I1719" s="147"/>
      <c r="J1719" s="147"/>
      <c r="K1719" s="147" t="str">
        <f t="shared" si="26"/>
        <v/>
      </c>
      <c r="L1719" s="40"/>
      <c r="M1719"/>
      <c r="N1719"/>
      <c r="O1719"/>
      <c r="P1719"/>
      <c r="Q1719"/>
      <c r="R1719"/>
      <c r="S1719"/>
      <c r="T1719"/>
      <c r="U1719"/>
      <c r="V1719"/>
      <c r="W1719" s="41"/>
      <c r="X1719" s="41"/>
      <c r="Y1719" s="41"/>
    </row>
    <row r="1720" s="27" customFormat="1" ht="23" hidden="1" customHeight="1" spans="1:25">
      <c r="A1720" s="133" t="str">
        <f>IF(B1720="","",COUNTA($B$5:B1720))</f>
        <v/>
      </c>
      <c r="B1720" s="148"/>
      <c r="C1720" s="22" t="s">
        <v>49</v>
      </c>
      <c r="D1720" s="149"/>
      <c r="E1720" s="150"/>
      <c r="F1720" s="151"/>
      <c r="G1720" s="151"/>
      <c r="H1720" s="142">
        <f>IFERROR(VLOOKUP($C1720,$C$5:$H$18,6,0)+SUMIF($C$19:$C1720,$C1720,$F$19:$F1720)-SUMIF($C$19:$C1720,$C1720,$G$19:$G1720),"")</f>
        <v>81211.819999998</v>
      </c>
      <c r="I1720" s="147"/>
      <c r="J1720" s="147"/>
      <c r="K1720" s="147" t="str">
        <f t="shared" si="26"/>
        <v/>
      </c>
      <c r="L1720" s="40"/>
      <c r="M1720"/>
      <c r="N1720"/>
      <c r="O1720"/>
      <c r="P1720"/>
      <c r="Q1720"/>
      <c r="R1720"/>
      <c r="S1720"/>
      <c r="T1720"/>
      <c r="U1720"/>
      <c r="V1720"/>
      <c r="W1720" s="41"/>
      <c r="X1720" s="41"/>
      <c r="Y1720" s="41"/>
    </row>
    <row r="1721" s="27" customFormat="1" ht="23" hidden="1" customHeight="1" spans="1:25">
      <c r="A1721" s="133" t="str">
        <f>IF(B1721="","",COUNTA($B$5:B1721))</f>
        <v/>
      </c>
      <c r="B1721" s="148"/>
      <c r="C1721" s="22" t="s">
        <v>49</v>
      </c>
      <c r="D1721" s="149"/>
      <c r="E1721" s="150"/>
      <c r="F1721" s="151"/>
      <c r="G1721" s="151"/>
      <c r="H1721" s="142">
        <f>IFERROR(VLOOKUP($C1721,$C$5:$H$18,6,0)+SUMIF($C$19:$C1721,$C1721,$F$19:$F1721)-SUMIF($C$19:$C1721,$C1721,$G$19:$G1721),"")</f>
        <v>81211.819999998</v>
      </c>
      <c r="I1721" s="147"/>
      <c r="J1721" s="147"/>
      <c r="K1721" s="147" t="str">
        <f t="shared" si="26"/>
        <v/>
      </c>
      <c r="L1721" s="40"/>
      <c r="M1721"/>
      <c r="N1721"/>
      <c r="O1721"/>
      <c r="P1721"/>
      <c r="Q1721"/>
      <c r="R1721"/>
      <c r="S1721"/>
      <c r="T1721"/>
      <c r="U1721"/>
      <c r="V1721"/>
      <c r="W1721" s="41"/>
      <c r="X1721" s="41"/>
      <c r="Y1721" s="41"/>
    </row>
    <row r="1722" s="27" customFormat="1" ht="23" hidden="1" customHeight="1" spans="1:25">
      <c r="A1722" s="133" t="str">
        <f>IF(B1722="","",COUNTA($B$5:B1722))</f>
        <v/>
      </c>
      <c r="B1722" s="148"/>
      <c r="C1722" s="22" t="s">
        <v>49</v>
      </c>
      <c r="D1722" s="149"/>
      <c r="E1722" s="150"/>
      <c r="F1722" s="151"/>
      <c r="G1722" s="151"/>
      <c r="H1722" s="142">
        <f>IFERROR(VLOOKUP($C1722,$C$5:$H$18,6,0)+SUMIF($C$19:$C1722,$C1722,$F$19:$F1722)-SUMIF($C$19:$C1722,$C1722,$G$19:$G1722),"")</f>
        <v>81211.819999998</v>
      </c>
      <c r="I1722" s="147"/>
      <c r="J1722" s="147"/>
      <c r="K1722" s="147" t="str">
        <f t="shared" si="26"/>
        <v/>
      </c>
      <c r="L1722" s="40"/>
      <c r="M1722"/>
      <c r="N1722"/>
      <c r="O1722"/>
      <c r="P1722"/>
      <c r="Q1722"/>
      <c r="R1722"/>
      <c r="S1722"/>
      <c r="T1722"/>
      <c r="U1722"/>
      <c r="V1722"/>
      <c r="W1722" s="41"/>
      <c r="X1722" s="41"/>
      <c r="Y1722" s="41"/>
    </row>
    <row r="1723" s="27" customFormat="1" ht="23" hidden="1" customHeight="1" spans="1:25">
      <c r="A1723" s="133" t="str">
        <f>IF(B1723="","",COUNTA($B$5:B1723))</f>
        <v/>
      </c>
      <c r="B1723" s="148"/>
      <c r="C1723" s="22" t="s">
        <v>49</v>
      </c>
      <c r="D1723" s="149"/>
      <c r="E1723" s="150"/>
      <c r="F1723" s="151"/>
      <c r="G1723" s="151"/>
      <c r="H1723" s="142">
        <f>IFERROR(VLOOKUP($C1723,$C$5:$H$18,6,0)+SUMIF($C$19:$C1723,$C1723,$F$19:$F1723)-SUMIF($C$19:$C1723,$C1723,$G$19:$G1723),"")</f>
        <v>81211.819999998</v>
      </c>
      <c r="I1723" s="147"/>
      <c r="J1723" s="147"/>
      <c r="K1723" s="147" t="str">
        <f t="shared" si="26"/>
        <v/>
      </c>
      <c r="L1723" s="40"/>
      <c r="M1723"/>
      <c r="N1723"/>
      <c r="O1723"/>
      <c r="P1723"/>
      <c r="Q1723"/>
      <c r="R1723"/>
      <c r="S1723"/>
      <c r="T1723"/>
      <c r="U1723"/>
      <c r="V1723"/>
      <c r="W1723" s="41"/>
      <c r="X1723" s="41"/>
      <c r="Y1723" s="41"/>
    </row>
    <row r="1724" s="27" customFormat="1" ht="23" hidden="1" customHeight="1" spans="1:25">
      <c r="A1724" s="133" t="str">
        <f>IF(B1724="","",COUNTA($B$5:B1724))</f>
        <v/>
      </c>
      <c r="B1724" s="148"/>
      <c r="C1724" s="22" t="s">
        <v>49</v>
      </c>
      <c r="D1724" s="149"/>
      <c r="E1724" s="150"/>
      <c r="F1724" s="151"/>
      <c r="G1724" s="151"/>
      <c r="H1724" s="142">
        <f>IFERROR(VLOOKUP($C1724,$C$5:$H$18,6,0)+SUMIF($C$19:$C1724,$C1724,$F$19:$F1724)-SUMIF($C$19:$C1724,$C1724,$G$19:$G1724),"")</f>
        <v>81211.819999998</v>
      </c>
      <c r="I1724" s="147"/>
      <c r="J1724" s="147"/>
      <c r="K1724" s="147" t="str">
        <f t="shared" si="26"/>
        <v/>
      </c>
      <c r="L1724" s="40"/>
      <c r="M1724"/>
      <c r="N1724"/>
      <c r="O1724"/>
      <c r="P1724"/>
      <c r="Q1724"/>
      <c r="R1724"/>
      <c r="S1724"/>
      <c r="T1724"/>
      <c r="U1724"/>
      <c r="V1724"/>
      <c r="W1724" s="41"/>
      <c r="X1724" s="41"/>
      <c r="Y1724" s="41"/>
    </row>
    <row r="1725" s="27" customFormat="1" ht="23" hidden="1" customHeight="1" spans="1:25">
      <c r="A1725" s="133" t="str">
        <f>IF(B1725="","",COUNTA($B$5:B1725))</f>
        <v/>
      </c>
      <c r="B1725" s="148"/>
      <c r="C1725" s="22" t="s">
        <v>49</v>
      </c>
      <c r="D1725" s="149"/>
      <c r="E1725" s="150"/>
      <c r="F1725" s="151"/>
      <c r="G1725" s="151"/>
      <c r="H1725" s="142">
        <f>IFERROR(VLOOKUP($C1725,$C$5:$H$18,6,0)+SUMIF($C$19:$C1725,$C1725,$F$19:$F1725)-SUMIF($C$19:$C1725,$C1725,$G$19:$G1725),"")</f>
        <v>81211.819999998</v>
      </c>
      <c r="I1725" s="147"/>
      <c r="J1725" s="147"/>
      <c r="K1725" s="147" t="str">
        <f t="shared" si="26"/>
        <v/>
      </c>
      <c r="L1725" s="40"/>
      <c r="M1725"/>
      <c r="N1725"/>
      <c r="O1725"/>
      <c r="P1725"/>
      <c r="Q1725"/>
      <c r="R1725"/>
      <c r="S1725"/>
      <c r="T1725"/>
      <c r="U1725"/>
      <c r="V1725"/>
      <c r="W1725" s="41"/>
      <c r="X1725" s="41"/>
      <c r="Y1725" s="41"/>
    </row>
    <row r="1726" s="27" customFormat="1" ht="23" hidden="1" customHeight="1" spans="1:25">
      <c r="A1726" s="133" t="str">
        <f>IF(B1726="","",COUNTA($B$5:B1726))</f>
        <v/>
      </c>
      <c r="B1726" s="148"/>
      <c r="C1726" s="22" t="s">
        <v>49</v>
      </c>
      <c r="D1726" s="149"/>
      <c r="E1726" s="150"/>
      <c r="F1726" s="151"/>
      <c r="G1726" s="151"/>
      <c r="H1726" s="142">
        <f>IFERROR(VLOOKUP($C1726,$C$5:$H$18,6,0)+SUMIF($C$19:$C1726,$C1726,$F$19:$F1726)-SUMIF($C$19:$C1726,$C1726,$G$19:$G1726),"")</f>
        <v>81211.819999998</v>
      </c>
      <c r="I1726" s="147"/>
      <c r="J1726" s="147"/>
      <c r="K1726" s="147" t="str">
        <f t="shared" si="26"/>
        <v/>
      </c>
      <c r="L1726" s="40"/>
      <c r="M1726"/>
      <c r="N1726"/>
      <c r="O1726"/>
      <c r="P1726"/>
      <c r="Q1726"/>
      <c r="R1726"/>
      <c r="S1726"/>
      <c r="T1726"/>
      <c r="U1726"/>
      <c r="V1726"/>
      <c r="W1726" s="41"/>
      <c r="X1726" s="41"/>
      <c r="Y1726" s="41"/>
    </row>
    <row r="1727" s="27" customFormat="1" ht="23" hidden="1" customHeight="1" spans="1:25">
      <c r="A1727" s="133" t="str">
        <f>IF(B1727="","",COUNTA($B$5:B1727))</f>
        <v/>
      </c>
      <c r="B1727" s="148"/>
      <c r="C1727" s="22" t="s">
        <v>49</v>
      </c>
      <c r="D1727" s="149"/>
      <c r="E1727" s="150"/>
      <c r="F1727" s="151"/>
      <c r="G1727" s="151"/>
      <c r="H1727" s="142">
        <f>IFERROR(VLOOKUP($C1727,$C$5:$H$18,6,0)+SUMIF($C$19:$C1727,$C1727,$F$19:$F1727)-SUMIF($C$19:$C1727,$C1727,$G$19:$G1727),"")</f>
        <v>81211.819999998</v>
      </c>
      <c r="I1727" s="147"/>
      <c r="J1727" s="147"/>
      <c r="K1727" s="147" t="str">
        <f t="shared" si="26"/>
        <v/>
      </c>
      <c r="L1727" s="40"/>
      <c r="M1727"/>
      <c r="N1727"/>
      <c r="O1727"/>
      <c r="P1727"/>
      <c r="Q1727"/>
      <c r="R1727"/>
      <c r="S1727"/>
      <c r="T1727"/>
      <c r="U1727"/>
      <c r="V1727"/>
      <c r="W1727" s="41"/>
      <c r="X1727" s="41"/>
      <c r="Y1727" s="41"/>
    </row>
    <row r="1728" s="27" customFormat="1" ht="23" hidden="1" customHeight="1" spans="1:25">
      <c r="A1728" s="133" t="str">
        <f>IF(B1728="","",COUNTA($B$5:B1728))</f>
        <v/>
      </c>
      <c r="B1728" s="148"/>
      <c r="C1728" s="22" t="s">
        <v>49</v>
      </c>
      <c r="D1728" s="149"/>
      <c r="E1728" s="150"/>
      <c r="F1728" s="151"/>
      <c r="G1728" s="151"/>
      <c r="H1728" s="142">
        <f>IFERROR(VLOOKUP($C1728,$C$5:$H$18,6,0)+SUMIF($C$19:$C1728,$C1728,$F$19:$F1728)-SUMIF($C$19:$C1728,$C1728,$G$19:$G1728),"")</f>
        <v>81211.819999998</v>
      </c>
      <c r="I1728" s="147"/>
      <c r="J1728" s="147"/>
      <c r="K1728" s="147" t="str">
        <f t="shared" si="26"/>
        <v/>
      </c>
      <c r="L1728" s="40"/>
      <c r="M1728"/>
      <c r="N1728"/>
      <c r="O1728"/>
      <c r="P1728"/>
      <c r="Q1728"/>
      <c r="R1728"/>
      <c r="S1728"/>
      <c r="T1728"/>
      <c r="U1728"/>
      <c r="V1728"/>
      <c r="W1728" s="41"/>
      <c r="X1728" s="41"/>
      <c r="Y1728" s="41"/>
    </row>
    <row r="1729" s="27" customFormat="1" ht="23" hidden="1" customHeight="1" spans="1:25">
      <c r="A1729" s="133" t="str">
        <f>IF(B1729="","",COUNTA($B$5:B1729))</f>
        <v/>
      </c>
      <c r="B1729" s="148"/>
      <c r="C1729" s="22" t="s">
        <v>49</v>
      </c>
      <c r="D1729" s="149"/>
      <c r="E1729" s="150"/>
      <c r="F1729" s="151"/>
      <c r="G1729" s="151"/>
      <c r="H1729" s="142">
        <f>IFERROR(VLOOKUP($C1729,$C$5:$H$18,6,0)+SUMIF($C$19:$C1729,$C1729,$F$19:$F1729)-SUMIF($C$19:$C1729,$C1729,$G$19:$G1729),"")</f>
        <v>81211.819999998</v>
      </c>
      <c r="I1729" s="147"/>
      <c r="J1729" s="147"/>
      <c r="K1729" s="147" t="str">
        <f t="shared" si="26"/>
        <v/>
      </c>
      <c r="L1729" s="40"/>
      <c r="M1729"/>
      <c r="N1729"/>
      <c r="O1729"/>
      <c r="P1729"/>
      <c r="Q1729"/>
      <c r="R1729"/>
      <c r="S1729"/>
      <c r="T1729"/>
      <c r="U1729"/>
      <c r="V1729"/>
      <c r="W1729" s="41"/>
      <c r="X1729" s="41"/>
      <c r="Y1729" s="41"/>
    </row>
    <row r="1730" s="27" customFormat="1" ht="23" hidden="1" customHeight="1" spans="1:25">
      <c r="A1730" s="133" t="str">
        <f>IF(B1730="","",COUNTA($B$5:B1730))</f>
        <v/>
      </c>
      <c r="B1730" s="148"/>
      <c r="C1730" s="22" t="s">
        <v>49</v>
      </c>
      <c r="D1730" s="149"/>
      <c r="E1730" s="150"/>
      <c r="F1730" s="151"/>
      <c r="G1730" s="151"/>
      <c r="H1730" s="142">
        <f>IFERROR(VLOOKUP($C1730,$C$5:$H$18,6,0)+SUMIF($C$19:$C1730,$C1730,$F$19:$F1730)-SUMIF($C$19:$C1730,$C1730,$G$19:$G1730),"")</f>
        <v>81211.819999998</v>
      </c>
      <c r="I1730" s="147"/>
      <c r="J1730" s="147"/>
      <c r="K1730" s="147" t="str">
        <f t="shared" si="26"/>
        <v/>
      </c>
      <c r="L1730" s="40"/>
      <c r="M1730"/>
      <c r="N1730"/>
      <c r="O1730"/>
      <c r="P1730"/>
      <c r="Q1730"/>
      <c r="R1730"/>
      <c r="S1730"/>
      <c r="T1730"/>
      <c r="U1730"/>
      <c r="V1730"/>
      <c r="W1730" s="41"/>
      <c r="X1730" s="41"/>
      <c r="Y1730" s="41"/>
    </row>
    <row r="1731" s="27" customFormat="1" ht="23" hidden="1" customHeight="1" spans="1:25">
      <c r="A1731" s="133" t="str">
        <f>IF(B1731="","",COUNTA($B$5:B1731))</f>
        <v/>
      </c>
      <c r="B1731" s="148"/>
      <c r="C1731" s="22" t="s">
        <v>49</v>
      </c>
      <c r="D1731" s="149"/>
      <c r="E1731" s="150"/>
      <c r="F1731" s="151"/>
      <c r="G1731" s="151"/>
      <c r="H1731" s="142">
        <f>IFERROR(VLOOKUP($C1731,$C$5:$H$18,6,0)+SUMIF($C$19:$C1731,$C1731,$F$19:$F1731)-SUMIF($C$19:$C1731,$C1731,$G$19:$G1731),"")</f>
        <v>81211.819999998</v>
      </c>
      <c r="I1731" s="147"/>
      <c r="J1731" s="147"/>
      <c r="K1731" s="147" t="str">
        <f t="shared" si="26"/>
        <v/>
      </c>
      <c r="L1731" s="40"/>
      <c r="M1731"/>
      <c r="N1731"/>
      <c r="O1731"/>
      <c r="P1731"/>
      <c r="Q1731"/>
      <c r="R1731"/>
      <c r="S1731"/>
      <c r="T1731"/>
      <c r="U1731"/>
      <c r="V1731"/>
      <c r="W1731" s="41"/>
      <c r="X1731" s="41"/>
      <c r="Y1731" s="41"/>
    </row>
    <row r="1732" s="27" customFormat="1" ht="23" hidden="1" customHeight="1" spans="1:25">
      <c r="A1732" s="133" t="str">
        <f>IF(B1732="","",COUNTA($B$5:B1732))</f>
        <v/>
      </c>
      <c r="B1732" s="148"/>
      <c r="C1732" s="22" t="s">
        <v>49</v>
      </c>
      <c r="D1732" s="149"/>
      <c r="E1732" s="150"/>
      <c r="F1732" s="151"/>
      <c r="G1732" s="151"/>
      <c r="H1732" s="142">
        <f>IFERROR(VLOOKUP($C1732,$C$5:$H$18,6,0)+SUMIF($C$19:$C1732,$C1732,$F$19:$F1732)-SUMIF($C$19:$C1732,$C1732,$G$19:$G1732),"")</f>
        <v>81211.819999998</v>
      </c>
      <c r="I1732" s="147"/>
      <c r="J1732" s="147"/>
      <c r="K1732" s="147" t="str">
        <f t="shared" si="26"/>
        <v/>
      </c>
      <c r="L1732" s="40"/>
      <c r="M1732"/>
      <c r="N1732"/>
      <c r="O1732"/>
      <c r="P1732"/>
      <c r="Q1732"/>
      <c r="R1732"/>
      <c r="S1732"/>
      <c r="T1732"/>
      <c r="U1732"/>
      <c r="V1732"/>
      <c r="W1732" s="41"/>
      <c r="X1732" s="41"/>
      <c r="Y1732" s="41"/>
    </row>
    <row r="1733" s="27" customFormat="1" ht="23" hidden="1" customHeight="1" spans="1:25">
      <c r="A1733" s="133" t="str">
        <f>IF(B1733="","",COUNTA($B$5:B1733))</f>
        <v/>
      </c>
      <c r="B1733" s="148"/>
      <c r="C1733" s="22" t="s">
        <v>49</v>
      </c>
      <c r="D1733" s="149"/>
      <c r="E1733" s="150"/>
      <c r="F1733" s="151"/>
      <c r="G1733" s="151"/>
      <c r="H1733" s="142">
        <f>IFERROR(VLOOKUP($C1733,$C$5:$H$18,6,0)+SUMIF($C$19:$C1733,$C1733,$F$19:$F1733)-SUMIF($C$19:$C1733,$C1733,$G$19:$G1733),"")</f>
        <v>81211.819999998</v>
      </c>
      <c r="I1733" s="147"/>
      <c r="J1733" s="147"/>
      <c r="K1733" s="147" t="str">
        <f t="shared" ref="K1733:K1796" si="27">IF($B1733="","",--TEXT($B1733,"yyyymm"))</f>
        <v/>
      </c>
      <c r="L1733" s="40"/>
      <c r="M1733"/>
      <c r="N1733"/>
      <c r="O1733"/>
      <c r="P1733"/>
      <c r="Q1733"/>
      <c r="R1733"/>
      <c r="S1733"/>
      <c r="T1733"/>
      <c r="U1733"/>
      <c r="V1733"/>
      <c r="W1733" s="41"/>
      <c r="X1733" s="41"/>
      <c r="Y1733" s="41"/>
    </row>
    <row r="1734" s="27" customFormat="1" ht="23" hidden="1" customHeight="1" spans="1:25">
      <c r="A1734" s="133" t="str">
        <f>IF(B1734="","",COUNTA($B$5:B1734))</f>
        <v/>
      </c>
      <c r="B1734" s="148"/>
      <c r="C1734" s="22" t="s">
        <v>49</v>
      </c>
      <c r="D1734" s="149"/>
      <c r="E1734" s="150"/>
      <c r="F1734" s="151"/>
      <c r="G1734" s="151"/>
      <c r="H1734" s="142">
        <f>IFERROR(VLOOKUP($C1734,$C$5:$H$18,6,0)+SUMIF($C$19:$C1734,$C1734,$F$19:$F1734)-SUMIF($C$19:$C1734,$C1734,$G$19:$G1734),"")</f>
        <v>81211.819999998</v>
      </c>
      <c r="I1734" s="147"/>
      <c r="J1734" s="147"/>
      <c r="K1734" s="147" t="str">
        <f t="shared" si="27"/>
        <v/>
      </c>
      <c r="L1734" s="40"/>
      <c r="M1734"/>
      <c r="N1734"/>
      <c r="O1734"/>
      <c r="P1734"/>
      <c r="Q1734"/>
      <c r="R1734"/>
      <c r="S1734"/>
      <c r="T1734"/>
      <c r="U1734"/>
      <c r="V1734"/>
      <c r="W1734" s="41"/>
      <c r="X1734" s="41"/>
      <c r="Y1734" s="41"/>
    </row>
    <row r="1735" s="27" customFormat="1" ht="23" hidden="1" customHeight="1" spans="1:25">
      <c r="A1735" s="133" t="str">
        <f>IF(B1735="","",COUNTA($B$5:B1735))</f>
        <v/>
      </c>
      <c r="B1735" s="148"/>
      <c r="C1735" s="22" t="s">
        <v>49</v>
      </c>
      <c r="D1735" s="149"/>
      <c r="E1735" s="150"/>
      <c r="F1735" s="151"/>
      <c r="G1735" s="151"/>
      <c r="H1735" s="142">
        <f>IFERROR(VLOOKUP($C1735,$C$5:$H$18,6,0)+SUMIF($C$19:$C1735,$C1735,$F$19:$F1735)-SUMIF($C$19:$C1735,$C1735,$G$19:$G1735),"")</f>
        <v>81211.819999998</v>
      </c>
      <c r="I1735" s="147"/>
      <c r="J1735" s="147"/>
      <c r="K1735" s="147" t="str">
        <f t="shared" si="27"/>
        <v/>
      </c>
      <c r="L1735" s="40"/>
      <c r="M1735"/>
      <c r="N1735"/>
      <c r="O1735"/>
      <c r="P1735"/>
      <c r="Q1735"/>
      <c r="R1735"/>
      <c r="S1735"/>
      <c r="T1735"/>
      <c r="U1735"/>
      <c r="V1735"/>
      <c r="W1735" s="41"/>
      <c r="X1735" s="41"/>
      <c r="Y1735" s="41"/>
    </row>
    <row r="1736" s="27" customFormat="1" ht="23" hidden="1" customHeight="1" spans="1:25">
      <c r="A1736" s="133" t="str">
        <f>IF(B1736="","",COUNTA($B$5:B1736))</f>
        <v/>
      </c>
      <c r="B1736" s="148"/>
      <c r="C1736" s="22" t="s">
        <v>49</v>
      </c>
      <c r="D1736" s="149"/>
      <c r="E1736" s="150"/>
      <c r="F1736" s="151"/>
      <c r="G1736" s="151"/>
      <c r="H1736" s="142">
        <f>IFERROR(VLOOKUP($C1736,$C$5:$H$18,6,0)+SUMIF($C$19:$C1736,$C1736,$F$19:$F1736)-SUMIF($C$19:$C1736,$C1736,$G$19:$G1736),"")</f>
        <v>81211.819999998</v>
      </c>
      <c r="I1736" s="147"/>
      <c r="J1736" s="147"/>
      <c r="K1736" s="147" t="str">
        <f t="shared" si="27"/>
        <v/>
      </c>
      <c r="L1736" s="40"/>
      <c r="M1736"/>
      <c r="N1736"/>
      <c r="O1736"/>
      <c r="P1736"/>
      <c r="Q1736"/>
      <c r="R1736"/>
      <c r="S1736"/>
      <c r="T1736"/>
      <c r="U1736"/>
      <c r="V1736"/>
      <c r="W1736" s="41"/>
      <c r="X1736" s="41"/>
      <c r="Y1736" s="41"/>
    </row>
    <row r="1737" s="27" customFormat="1" ht="23" hidden="1" customHeight="1" spans="1:25">
      <c r="A1737" s="133" t="str">
        <f>IF(B1737="","",COUNTA($B$5:B1737))</f>
        <v/>
      </c>
      <c r="B1737" s="148"/>
      <c r="C1737" s="22" t="s">
        <v>49</v>
      </c>
      <c r="D1737" s="149"/>
      <c r="E1737" s="150"/>
      <c r="F1737" s="151"/>
      <c r="G1737" s="151"/>
      <c r="H1737" s="142">
        <f>IFERROR(VLOOKUP($C1737,$C$5:$H$18,6,0)+SUMIF($C$19:$C1737,$C1737,$F$19:$F1737)-SUMIF($C$19:$C1737,$C1737,$G$19:$G1737),"")</f>
        <v>81211.819999998</v>
      </c>
      <c r="I1737" s="147"/>
      <c r="J1737" s="147"/>
      <c r="K1737" s="147" t="str">
        <f t="shared" si="27"/>
        <v/>
      </c>
      <c r="L1737" s="40"/>
      <c r="M1737"/>
      <c r="N1737"/>
      <c r="O1737"/>
      <c r="P1737"/>
      <c r="Q1737"/>
      <c r="R1737"/>
      <c r="S1737"/>
      <c r="T1737"/>
      <c r="U1737"/>
      <c r="V1737"/>
      <c r="W1737" s="41"/>
      <c r="X1737" s="41"/>
      <c r="Y1737" s="41"/>
    </row>
    <row r="1738" s="27" customFormat="1" ht="23" hidden="1" customHeight="1" spans="1:25">
      <c r="A1738" s="133" t="str">
        <f>IF(B1738="","",COUNTA($B$5:B1738))</f>
        <v/>
      </c>
      <c r="B1738" s="148"/>
      <c r="C1738" s="22" t="s">
        <v>49</v>
      </c>
      <c r="D1738" s="149"/>
      <c r="E1738" s="150"/>
      <c r="F1738" s="151"/>
      <c r="G1738" s="151"/>
      <c r="H1738" s="142">
        <f>IFERROR(VLOOKUP($C1738,$C$5:$H$18,6,0)+SUMIF($C$19:$C1738,$C1738,$F$19:$F1738)-SUMIF($C$19:$C1738,$C1738,$G$19:$G1738),"")</f>
        <v>81211.819999998</v>
      </c>
      <c r="I1738" s="147"/>
      <c r="J1738" s="147"/>
      <c r="K1738" s="147" t="str">
        <f t="shared" si="27"/>
        <v/>
      </c>
      <c r="L1738" s="40"/>
      <c r="M1738"/>
      <c r="N1738"/>
      <c r="O1738"/>
      <c r="P1738"/>
      <c r="Q1738"/>
      <c r="R1738"/>
      <c r="S1738"/>
      <c r="T1738"/>
      <c r="U1738"/>
      <c r="V1738"/>
      <c r="W1738" s="41"/>
      <c r="X1738" s="41"/>
      <c r="Y1738" s="41"/>
    </row>
    <row r="1739" s="27" customFormat="1" ht="23" hidden="1" customHeight="1" spans="1:25">
      <c r="A1739" s="133" t="str">
        <f>IF(B1739="","",COUNTA($B$5:B1739))</f>
        <v/>
      </c>
      <c r="B1739" s="148"/>
      <c r="C1739" s="22" t="s">
        <v>49</v>
      </c>
      <c r="D1739" s="149"/>
      <c r="E1739" s="150"/>
      <c r="F1739" s="151"/>
      <c r="G1739" s="151"/>
      <c r="H1739" s="142">
        <f>IFERROR(VLOOKUP($C1739,$C$5:$H$18,6,0)+SUMIF($C$19:$C1739,$C1739,$F$19:$F1739)-SUMIF($C$19:$C1739,$C1739,$G$19:$G1739),"")</f>
        <v>81211.819999998</v>
      </c>
      <c r="I1739" s="147"/>
      <c r="J1739" s="147"/>
      <c r="K1739" s="147" t="str">
        <f t="shared" si="27"/>
        <v/>
      </c>
      <c r="L1739" s="40"/>
      <c r="M1739"/>
      <c r="N1739"/>
      <c r="O1739"/>
      <c r="P1739"/>
      <c r="Q1739"/>
      <c r="R1739"/>
      <c r="S1739"/>
      <c r="T1739"/>
      <c r="U1739"/>
      <c r="V1739"/>
      <c r="W1739" s="41"/>
      <c r="X1739" s="41"/>
      <c r="Y1739" s="41"/>
    </row>
    <row r="1740" s="27" customFormat="1" ht="23" hidden="1" customHeight="1" spans="1:25">
      <c r="A1740" s="133" t="str">
        <f>IF(B1740="","",COUNTA($B$5:B1740))</f>
        <v/>
      </c>
      <c r="B1740" s="148"/>
      <c r="C1740" s="22" t="s">
        <v>49</v>
      </c>
      <c r="D1740" s="149"/>
      <c r="E1740" s="150"/>
      <c r="F1740" s="151"/>
      <c r="G1740" s="151"/>
      <c r="H1740" s="142">
        <f>IFERROR(VLOOKUP($C1740,$C$5:$H$18,6,0)+SUMIF($C$19:$C1740,$C1740,$F$19:$F1740)-SUMIF($C$19:$C1740,$C1740,$G$19:$G1740),"")</f>
        <v>81211.819999998</v>
      </c>
      <c r="I1740" s="147"/>
      <c r="J1740" s="147"/>
      <c r="K1740" s="147" t="str">
        <f t="shared" si="27"/>
        <v/>
      </c>
      <c r="L1740" s="40"/>
      <c r="M1740"/>
      <c r="N1740"/>
      <c r="O1740"/>
      <c r="P1740"/>
      <c r="Q1740"/>
      <c r="R1740"/>
      <c r="S1740"/>
      <c r="T1740"/>
      <c r="U1740"/>
      <c r="V1740"/>
      <c r="W1740" s="41"/>
      <c r="X1740" s="41"/>
      <c r="Y1740" s="41"/>
    </row>
    <row r="1741" s="27" customFormat="1" ht="23" hidden="1" customHeight="1" spans="1:25">
      <c r="A1741" s="133" t="str">
        <f>IF(B1741="","",COUNTA($B$5:B1741))</f>
        <v/>
      </c>
      <c r="B1741" s="148"/>
      <c r="C1741" s="22" t="s">
        <v>49</v>
      </c>
      <c r="D1741" s="149"/>
      <c r="E1741" s="150"/>
      <c r="F1741" s="151"/>
      <c r="G1741" s="151"/>
      <c r="H1741" s="142">
        <f>IFERROR(VLOOKUP($C1741,$C$5:$H$18,6,0)+SUMIF($C$19:$C1741,$C1741,$F$19:$F1741)-SUMIF($C$19:$C1741,$C1741,$G$19:$G1741),"")</f>
        <v>81211.819999998</v>
      </c>
      <c r="I1741" s="147"/>
      <c r="J1741" s="147"/>
      <c r="K1741" s="147" t="str">
        <f t="shared" si="27"/>
        <v/>
      </c>
      <c r="L1741" s="40"/>
      <c r="M1741"/>
      <c r="N1741"/>
      <c r="O1741"/>
      <c r="P1741"/>
      <c r="Q1741"/>
      <c r="R1741"/>
      <c r="S1741"/>
      <c r="T1741"/>
      <c r="U1741"/>
      <c r="V1741"/>
      <c r="W1741" s="41"/>
      <c r="X1741" s="41"/>
      <c r="Y1741" s="41"/>
    </row>
    <row r="1742" s="27" customFormat="1" ht="23" hidden="1" customHeight="1" spans="1:25">
      <c r="A1742" s="133" t="str">
        <f>IF(B1742="","",COUNTA($B$5:B1742))</f>
        <v/>
      </c>
      <c r="B1742" s="148"/>
      <c r="C1742" s="22" t="s">
        <v>49</v>
      </c>
      <c r="D1742" s="149"/>
      <c r="E1742" s="150"/>
      <c r="F1742" s="151"/>
      <c r="G1742" s="151"/>
      <c r="H1742" s="142">
        <f>IFERROR(VLOOKUP($C1742,$C$5:$H$18,6,0)+SUMIF($C$19:$C1742,$C1742,$F$19:$F1742)-SUMIF($C$19:$C1742,$C1742,$G$19:$G1742),"")</f>
        <v>81211.819999998</v>
      </c>
      <c r="I1742" s="147"/>
      <c r="J1742" s="147"/>
      <c r="K1742" s="147" t="str">
        <f t="shared" si="27"/>
        <v/>
      </c>
      <c r="L1742" s="40"/>
      <c r="M1742"/>
      <c r="N1742"/>
      <c r="O1742"/>
      <c r="P1742"/>
      <c r="Q1742"/>
      <c r="R1742"/>
      <c r="S1742"/>
      <c r="T1742"/>
      <c r="U1742"/>
      <c r="V1742"/>
      <c r="W1742" s="41"/>
      <c r="X1742" s="41"/>
      <c r="Y1742" s="41"/>
    </row>
    <row r="1743" s="27" customFormat="1" ht="23" hidden="1" customHeight="1" spans="1:25">
      <c r="A1743" s="133" t="str">
        <f>IF(B1743="","",COUNTA($B$5:B1743))</f>
        <v/>
      </c>
      <c r="B1743" s="148"/>
      <c r="C1743" s="22" t="s">
        <v>49</v>
      </c>
      <c r="D1743" s="149"/>
      <c r="E1743" s="150"/>
      <c r="F1743" s="151"/>
      <c r="G1743" s="151"/>
      <c r="H1743" s="142">
        <f>IFERROR(VLOOKUP($C1743,$C$5:$H$18,6,0)+SUMIF($C$19:$C1743,$C1743,$F$19:$F1743)-SUMIF($C$19:$C1743,$C1743,$G$19:$G1743),"")</f>
        <v>81211.819999998</v>
      </c>
      <c r="I1743" s="147"/>
      <c r="J1743" s="147"/>
      <c r="K1743" s="147" t="str">
        <f t="shared" si="27"/>
        <v/>
      </c>
      <c r="L1743" s="40"/>
      <c r="M1743"/>
      <c r="N1743"/>
      <c r="O1743"/>
      <c r="P1743"/>
      <c r="Q1743"/>
      <c r="R1743"/>
      <c r="S1743"/>
      <c r="T1743"/>
      <c r="U1743"/>
      <c r="V1743"/>
      <c r="W1743" s="41"/>
      <c r="X1743" s="41"/>
      <c r="Y1743" s="41"/>
    </row>
    <row r="1744" s="27" customFormat="1" ht="23" hidden="1" customHeight="1" spans="1:25">
      <c r="A1744" s="133" t="str">
        <f>IF(B1744="","",COUNTA($B$5:B1744))</f>
        <v/>
      </c>
      <c r="B1744" s="148"/>
      <c r="C1744" s="22" t="s">
        <v>49</v>
      </c>
      <c r="D1744" s="149"/>
      <c r="E1744" s="150"/>
      <c r="F1744" s="151"/>
      <c r="G1744" s="151"/>
      <c r="H1744" s="142">
        <f>IFERROR(VLOOKUP($C1744,$C$5:$H$18,6,0)+SUMIF($C$19:$C1744,$C1744,$F$19:$F1744)-SUMIF($C$19:$C1744,$C1744,$G$19:$G1744),"")</f>
        <v>81211.819999998</v>
      </c>
      <c r="I1744" s="147"/>
      <c r="J1744" s="147"/>
      <c r="K1744" s="147" t="str">
        <f t="shared" si="27"/>
        <v/>
      </c>
      <c r="L1744" s="40"/>
      <c r="M1744"/>
      <c r="N1744"/>
      <c r="O1744"/>
      <c r="P1744"/>
      <c r="Q1744"/>
      <c r="R1744"/>
      <c r="S1744"/>
      <c r="T1744"/>
      <c r="U1744"/>
      <c r="V1744"/>
      <c r="W1744" s="41"/>
      <c r="X1744" s="41"/>
      <c r="Y1744" s="41"/>
    </row>
    <row r="1745" s="27" customFormat="1" ht="23" hidden="1" customHeight="1" spans="1:25">
      <c r="A1745" s="133" t="str">
        <f>IF(B1745="","",COUNTA($B$5:B1745))</f>
        <v/>
      </c>
      <c r="B1745" s="148"/>
      <c r="C1745" s="22" t="s">
        <v>49</v>
      </c>
      <c r="D1745" s="149"/>
      <c r="E1745" s="150"/>
      <c r="F1745" s="151"/>
      <c r="G1745" s="151"/>
      <c r="H1745" s="142">
        <f>IFERROR(VLOOKUP($C1745,$C$5:$H$18,6,0)+SUMIF($C$19:$C1745,$C1745,$F$19:$F1745)-SUMIF($C$19:$C1745,$C1745,$G$19:$G1745),"")</f>
        <v>81211.819999998</v>
      </c>
      <c r="I1745" s="147"/>
      <c r="J1745" s="147"/>
      <c r="K1745" s="147" t="str">
        <f t="shared" si="27"/>
        <v/>
      </c>
      <c r="L1745" s="40"/>
      <c r="M1745"/>
      <c r="N1745"/>
      <c r="O1745"/>
      <c r="P1745"/>
      <c r="Q1745"/>
      <c r="R1745"/>
      <c r="S1745"/>
      <c r="T1745"/>
      <c r="U1745"/>
      <c r="V1745"/>
      <c r="W1745" s="41"/>
      <c r="X1745" s="41"/>
      <c r="Y1745" s="41"/>
    </row>
    <row r="1746" s="27" customFormat="1" ht="23" hidden="1" customHeight="1" spans="1:25">
      <c r="A1746" s="133" t="str">
        <f>IF(B1746="","",COUNTA($B$5:B1746))</f>
        <v/>
      </c>
      <c r="B1746" s="148"/>
      <c r="C1746" s="22" t="s">
        <v>49</v>
      </c>
      <c r="D1746" s="149"/>
      <c r="E1746" s="150"/>
      <c r="F1746" s="151"/>
      <c r="G1746" s="151"/>
      <c r="H1746" s="142">
        <f>IFERROR(VLOOKUP($C1746,$C$5:$H$18,6,0)+SUMIF($C$19:$C1746,$C1746,$F$19:$F1746)-SUMIF($C$19:$C1746,$C1746,$G$19:$G1746),"")</f>
        <v>81211.819999998</v>
      </c>
      <c r="I1746" s="147"/>
      <c r="J1746" s="147"/>
      <c r="K1746" s="147" t="str">
        <f t="shared" si="27"/>
        <v/>
      </c>
      <c r="L1746" s="40"/>
      <c r="M1746"/>
      <c r="N1746"/>
      <c r="O1746"/>
      <c r="P1746"/>
      <c r="Q1746"/>
      <c r="R1746"/>
      <c r="S1746"/>
      <c r="T1746"/>
      <c r="U1746"/>
      <c r="V1746"/>
      <c r="W1746" s="41"/>
      <c r="X1746" s="41"/>
      <c r="Y1746" s="41"/>
    </row>
    <row r="1747" s="27" customFormat="1" ht="23" hidden="1" customHeight="1" spans="1:25">
      <c r="A1747" s="133" t="str">
        <f>IF(B1747="","",COUNTA($B$5:B1747))</f>
        <v/>
      </c>
      <c r="B1747" s="148"/>
      <c r="C1747" s="22" t="s">
        <v>49</v>
      </c>
      <c r="D1747" s="149"/>
      <c r="E1747" s="150"/>
      <c r="F1747" s="151"/>
      <c r="G1747" s="151"/>
      <c r="H1747" s="142">
        <f>IFERROR(VLOOKUP($C1747,$C$5:$H$18,6,0)+SUMIF($C$19:$C1747,$C1747,$F$19:$F1747)-SUMIF($C$19:$C1747,$C1747,$G$19:$G1747),"")</f>
        <v>81211.819999998</v>
      </c>
      <c r="I1747" s="147"/>
      <c r="J1747" s="147"/>
      <c r="K1747" s="147" t="str">
        <f t="shared" si="27"/>
        <v/>
      </c>
      <c r="L1747" s="40"/>
      <c r="M1747"/>
      <c r="N1747"/>
      <c r="O1747"/>
      <c r="P1747"/>
      <c r="Q1747"/>
      <c r="R1747"/>
      <c r="S1747"/>
      <c r="T1747"/>
      <c r="U1747"/>
      <c r="V1747"/>
      <c r="W1747" s="41"/>
      <c r="X1747" s="41"/>
      <c r="Y1747" s="41"/>
    </row>
    <row r="1748" s="27" customFormat="1" ht="23" hidden="1" customHeight="1" spans="1:25">
      <c r="A1748" s="133" t="str">
        <f>IF(B1748="","",COUNTA($B$5:B1748))</f>
        <v/>
      </c>
      <c r="B1748" s="148"/>
      <c r="C1748" s="22" t="s">
        <v>49</v>
      </c>
      <c r="D1748" s="149"/>
      <c r="E1748" s="150"/>
      <c r="F1748" s="151"/>
      <c r="G1748" s="151"/>
      <c r="H1748" s="142">
        <f>IFERROR(VLOOKUP($C1748,$C$5:$H$18,6,0)+SUMIF($C$19:$C1748,$C1748,$F$19:$F1748)-SUMIF($C$19:$C1748,$C1748,$G$19:$G1748),"")</f>
        <v>81211.819999998</v>
      </c>
      <c r="I1748" s="147"/>
      <c r="J1748" s="147"/>
      <c r="K1748" s="147" t="str">
        <f t="shared" si="27"/>
        <v/>
      </c>
      <c r="L1748" s="40"/>
      <c r="M1748"/>
      <c r="N1748"/>
      <c r="O1748"/>
      <c r="P1748"/>
      <c r="Q1748"/>
      <c r="R1748"/>
      <c r="S1748"/>
      <c r="T1748"/>
      <c r="U1748"/>
      <c r="V1748"/>
      <c r="W1748" s="41"/>
      <c r="X1748" s="41"/>
      <c r="Y1748" s="41"/>
    </row>
    <row r="1749" s="27" customFormat="1" ht="23" hidden="1" customHeight="1" spans="1:25">
      <c r="A1749" s="133" t="str">
        <f>IF(B1749="","",COUNTA($B$5:B1749))</f>
        <v/>
      </c>
      <c r="B1749" s="148"/>
      <c r="C1749" s="22" t="s">
        <v>49</v>
      </c>
      <c r="D1749" s="149"/>
      <c r="E1749" s="150"/>
      <c r="F1749" s="151"/>
      <c r="G1749" s="151"/>
      <c r="H1749" s="142">
        <f>IFERROR(VLOOKUP($C1749,$C$5:$H$18,6,0)+SUMIF($C$19:$C1749,$C1749,$F$19:$F1749)-SUMIF($C$19:$C1749,$C1749,$G$19:$G1749),"")</f>
        <v>81211.819999998</v>
      </c>
      <c r="I1749" s="147"/>
      <c r="J1749" s="147"/>
      <c r="K1749" s="147" t="str">
        <f t="shared" si="27"/>
        <v/>
      </c>
      <c r="L1749" s="40"/>
      <c r="M1749"/>
      <c r="N1749"/>
      <c r="O1749"/>
      <c r="P1749"/>
      <c r="Q1749"/>
      <c r="R1749"/>
      <c r="S1749"/>
      <c r="T1749"/>
      <c r="U1749"/>
      <c r="V1749"/>
      <c r="W1749" s="41"/>
      <c r="X1749" s="41"/>
      <c r="Y1749" s="41"/>
    </row>
    <row r="1750" s="27" customFormat="1" ht="23" hidden="1" customHeight="1" spans="1:25">
      <c r="A1750" s="133" t="str">
        <f>IF(B1750="","",COUNTA($B$5:B1750))</f>
        <v/>
      </c>
      <c r="B1750" s="148"/>
      <c r="C1750" s="22" t="s">
        <v>49</v>
      </c>
      <c r="D1750" s="149"/>
      <c r="E1750" s="150"/>
      <c r="F1750" s="151"/>
      <c r="G1750" s="151"/>
      <c r="H1750" s="142">
        <f>IFERROR(VLOOKUP($C1750,$C$5:$H$18,6,0)+SUMIF($C$19:$C1750,$C1750,$F$19:$F1750)-SUMIF($C$19:$C1750,$C1750,$G$19:$G1750),"")</f>
        <v>81211.819999998</v>
      </c>
      <c r="I1750" s="147"/>
      <c r="J1750" s="147"/>
      <c r="K1750" s="147" t="str">
        <f t="shared" si="27"/>
        <v/>
      </c>
      <c r="L1750" s="40"/>
      <c r="M1750"/>
      <c r="N1750"/>
      <c r="O1750"/>
      <c r="P1750"/>
      <c r="Q1750"/>
      <c r="R1750"/>
      <c r="S1750"/>
      <c r="T1750"/>
      <c r="U1750"/>
      <c r="V1750"/>
      <c r="W1750" s="41"/>
      <c r="X1750" s="41"/>
      <c r="Y1750" s="41"/>
    </row>
    <row r="1751" s="27" customFormat="1" ht="23" hidden="1" customHeight="1" spans="1:25">
      <c r="A1751" s="133" t="str">
        <f>IF(B1751="","",COUNTA($B$5:B1751))</f>
        <v/>
      </c>
      <c r="B1751" s="148"/>
      <c r="C1751" s="22" t="s">
        <v>49</v>
      </c>
      <c r="D1751" s="149"/>
      <c r="E1751" s="150"/>
      <c r="F1751" s="151"/>
      <c r="G1751" s="151"/>
      <c r="H1751" s="142">
        <f>IFERROR(VLOOKUP($C1751,$C$5:$H$18,6,0)+SUMIF($C$19:$C1751,$C1751,$F$19:$F1751)-SUMIF($C$19:$C1751,$C1751,$G$19:$G1751),"")</f>
        <v>81211.819999998</v>
      </c>
      <c r="I1751" s="147"/>
      <c r="J1751" s="147"/>
      <c r="K1751" s="147" t="str">
        <f t="shared" si="27"/>
        <v/>
      </c>
      <c r="L1751" s="40"/>
      <c r="M1751"/>
      <c r="N1751"/>
      <c r="O1751"/>
      <c r="P1751"/>
      <c r="Q1751"/>
      <c r="R1751"/>
      <c r="S1751"/>
      <c r="T1751"/>
      <c r="U1751"/>
      <c r="V1751"/>
      <c r="W1751" s="41"/>
      <c r="X1751" s="41"/>
      <c r="Y1751" s="41"/>
    </row>
    <row r="1752" s="27" customFormat="1" ht="23" hidden="1" customHeight="1" spans="1:25">
      <c r="A1752" s="133" t="str">
        <f>IF(B1752="","",COUNTA($B$5:B1752))</f>
        <v/>
      </c>
      <c r="B1752" s="148"/>
      <c r="C1752" s="22" t="s">
        <v>49</v>
      </c>
      <c r="D1752" s="149"/>
      <c r="E1752" s="150"/>
      <c r="F1752" s="151"/>
      <c r="G1752" s="151"/>
      <c r="H1752" s="142">
        <f>IFERROR(VLOOKUP($C1752,$C$5:$H$18,6,0)+SUMIF($C$19:$C1752,$C1752,$F$19:$F1752)-SUMIF($C$19:$C1752,$C1752,$G$19:$G1752),"")</f>
        <v>81211.819999998</v>
      </c>
      <c r="I1752" s="147"/>
      <c r="J1752" s="147"/>
      <c r="K1752" s="147" t="str">
        <f t="shared" si="27"/>
        <v/>
      </c>
      <c r="L1752" s="40"/>
      <c r="M1752"/>
      <c r="N1752"/>
      <c r="O1752"/>
      <c r="P1752"/>
      <c r="Q1752"/>
      <c r="R1752"/>
      <c r="S1752"/>
      <c r="T1752"/>
      <c r="U1752"/>
      <c r="V1752"/>
      <c r="W1752" s="41"/>
      <c r="X1752" s="41"/>
      <c r="Y1752" s="41"/>
    </row>
    <row r="1753" s="27" customFormat="1" ht="23" hidden="1" customHeight="1" spans="1:25">
      <c r="A1753" s="133" t="str">
        <f>IF(B1753="","",COUNTA($B$5:B1753))</f>
        <v/>
      </c>
      <c r="B1753" s="148"/>
      <c r="C1753" s="22" t="s">
        <v>49</v>
      </c>
      <c r="D1753" s="149"/>
      <c r="E1753" s="150"/>
      <c r="F1753" s="151"/>
      <c r="G1753" s="151"/>
      <c r="H1753" s="142">
        <f>IFERROR(VLOOKUP($C1753,$C$5:$H$18,6,0)+SUMIF($C$19:$C1753,$C1753,$F$19:$F1753)-SUMIF($C$19:$C1753,$C1753,$G$19:$G1753),"")</f>
        <v>81211.819999998</v>
      </c>
      <c r="I1753" s="147"/>
      <c r="J1753" s="147"/>
      <c r="K1753" s="147" t="str">
        <f t="shared" si="27"/>
        <v/>
      </c>
      <c r="L1753" s="40"/>
      <c r="M1753"/>
      <c r="N1753"/>
      <c r="O1753"/>
      <c r="P1753"/>
      <c r="Q1753"/>
      <c r="R1753"/>
      <c r="S1753"/>
      <c r="T1753"/>
      <c r="U1753"/>
      <c r="V1753"/>
      <c r="W1753" s="41"/>
      <c r="X1753" s="41"/>
      <c r="Y1753" s="41"/>
    </row>
    <row r="1754" s="27" customFormat="1" ht="23" hidden="1" customHeight="1" spans="1:25">
      <c r="A1754" s="133" t="str">
        <f>IF(B1754="","",COUNTA($B$5:B1754))</f>
        <v/>
      </c>
      <c r="B1754" s="148"/>
      <c r="C1754" s="22" t="s">
        <v>49</v>
      </c>
      <c r="D1754" s="149"/>
      <c r="E1754" s="150"/>
      <c r="F1754" s="151"/>
      <c r="G1754" s="151"/>
      <c r="H1754" s="142">
        <f>IFERROR(VLOOKUP($C1754,$C$5:$H$18,6,0)+SUMIF($C$19:$C1754,$C1754,$F$19:$F1754)-SUMIF($C$19:$C1754,$C1754,$G$19:$G1754),"")</f>
        <v>81211.819999998</v>
      </c>
      <c r="I1754" s="147"/>
      <c r="J1754" s="147"/>
      <c r="K1754" s="147" t="str">
        <f t="shared" si="27"/>
        <v/>
      </c>
      <c r="L1754" s="40"/>
      <c r="M1754"/>
      <c r="N1754"/>
      <c r="O1754"/>
      <c r="P1754"/>
      <c r="Q1754"/>
      <c r="R1754"/>
      <c r="S1754"/>
      <c r="T1754"/>
      <c r="U1754"/>
      <c r="V1754"/>
      <c r="W1754" s="41"/>
      <c r="X1754" s="41"/>
      <c r="Y1754" s="41"/>
    </row>
    <row r="1755" s="27" customFormat="1" ht="23" hidden="1" customHeight="1" spans="1:25">
      <c r="A1755" s="133" t="str">
        <f>IF(B1755="","",COUNTA($B$5:B1755))</f>
        <v/>
      </c>
      <c r="B1755" s="148"/>
      <c r="C1755" s="22" t="s">
        <v>49</v>
      </c>
      <c r="D1755" s="149"/>
      <c r="E1755" s="150"/>
      <c r="F1755" s="151"/>
      <c r="G1755" s="151"/>
      <c r="H1755" s="142">
        <f>IFERROR(VLOOKUP($C1755,$C$5:$H$18,6,0)+SUMIF($C$19:$C1755,$C1755,$F$19:$F1755)-SUMIF($C$19:$C1755,$C1755,$G$19:$G1755),"")</f>
        <v>81211.819999998</v>
      </c>
      <c r="I1755" s="147"/>
      <c r="J1755" s="147"/>
      <c r="K1755" s="147" t="str">
        <f t="shared" si="27"/>
        <v/>
      </c>
      <c r="L1755" s="40"/>
      <c r="M1755"/>
      <c r="N1755"/>
      <c r="O1755"/>
      <c r="P1755"/>
      <c r="Q1755"/>
      <c r="R1755"/>
      <c r="S1755"/>
      <c r="T1755"/>
      <c r="U1755"/>
      <c r="V1755"/>
      <c r="W1755" s="41"/>
      <c r="X1755" s="41"/>
      <c r="Y1755" s="41"/>
    </row>
    <row r="1756" s="27" customFormat="1" ht="23" hidden="1" customHeight="1" spans="1:25">
      <c r="A1756" s="133" t="str">
        <f>IF(B1756="","",COUNTA($B$5:B1756))</f>
        <v/>
      </c>
      <c r="B1756" s="148"/>
      <c r="C1756" s="22" t="s">
        <v>49</v>
      </c>
      <c r="D1756" s="149"/>
      <c r="E1756" s="150"/>
      <c r="F1756" s="151"/>
      <c r="G1756" s="151"/>
      <c r="H1756" s="142">
        <f>IFERROR(VLOOKUP($C1756,$C$5:$H$18,6,0)+SUMIF($C$19:$C1756,$C1756,$F$19:$F1756)-SUMIF($C$19:$C1756,$C1756,$G$19:$G1756),"")</f>
        <v>81211.819999998</v>
      </c>
      <c r="I1756" s="147"/>
      <c r="J1756" s="147"/>
      <c r="K1756" s="147" t="str">
        <f t="shared" si="27"/>
        <v/>
      </c>
      <c r="L1756" s="40"/>
      <c r="M1756"/>
      <c r="N1756"/>
      <c r="O1756"/>
      <c r="P1756"/>
      <c r="Q1756"/>
      <c r="R1756"/>
      <c r="S1756"/>
      <c r="T1756"/>
      <c r="U1756"/>
      <c r="V1756"/>
      <c r="W1756" s="41"/>
      <c r="X1756" s="41"/>
      <c r="Y1756" s="41"/>
    </row>
    <row r="1757" s="27" customFormat="1" ht="23" hidden="1" customHeight="1" spans="1:25">
      <c r="A1757" s="133" t="str">
        <f>IF(B1757="","",COUNTA($B$5:B1757))</f>
        <v/>
      </c>
      <c r="B1757" s="148"/>
      <c r="C1757" s="22" t="s">
        <v>49</v>
      </c>
      <c r="D1757" s="149"/>
      <c r="E1757" s="150"/>
      <c r="F1757" s="151"/>
      <c r="G1757" s="151"/>
      <c r="H1757" s="142">
        <f>IFERROR(VLOOKUP($C1757,$C$5:$H$18,6,0)+SUMIF($C$19:$C1757,$C1757,$F$19:$F1757)-SUMIF($C$19:$C1757,$C1757,$G$19:$G1757),"")</f>
        <v>81211.819999998</v>
      </c>
      <c r="I1757" s="147"/>
      <c r="J1757" s="147"/>
      <c r="K1757" s="147" t="str">
        <f t="shared" si="27"/>
        <v/>
      </c>
      <c r="L1757" s="40"/>
      <c r="M1757"/>
      <c r="N1757"/>
      <c r="O1757"/>
      <c r="P1757"/>
      <c r="Q1757"/>
      <c r="R1757"/>
      <c r="S1757"/>
      <c r="T1757"/>
      <c r="U1757"/>
      <c r="V1757"/>
      <c r="W1757" s="41"/>
      <c r="X1757" s="41"/>
      <c r="Y1757" s="41"/>
    </row>
    <row r="1758" s="27" customFormat="1" ht="23" hidden="1" customHeight="1" spans="1:25">
      <c r="A1758" s="133" t="str">
        <f>IF(B1758="","",COUNTA($B$5:B1758))</f>
        <v/>
      </c>
      <c r="B1758" s="148"/>
      <c r="C1758" s="22" t="s">
        <v>49</v>
      </c>
      <c r="D1758" s="149"/>
      <c r="E1758" s="150"/>
      <c r="F1758" s="151"/>
      <c r="G1758" s="151"/>
      <c r="H1758" s="142">
        <f>IFERROR(VLOOKUP($C1758,$C$5:$H$18,6,0)+SUMIF($C$19:$C1758,$C1758,$F$19:$F1758)-SUMIF($C$19:$C1758,$C1758,$G$19:$G1758),"")</f>
        <v>81211.819999998</v>
      </c>
      <c r="I1758" s="147"/>
      <c r="J1758" s="147"/>
      <c r="K1758" s="147" t="str">
        <f t="shared" si="27"/>
        <v/>
      </c>
      <c r="L1758" s="40"/>
      <c r="M1758"/>
      <c r="N1758"/>
      <c r="O1758"/>
      <c r="P1758"/>
      <c r="Q1758"/>
      <c r="R1758"/>
      <c r="S1758"/>
      <c r="T1758"/>
      <c r="U1758"/>
      <c r="V1758"/>
      <c r="W1758" s="41"/>
      <c r="X1758" s="41"/>
      <c r="Y1758" s="41"/>
    </row>
    <row r="1759" s="27" customFormat="1" ht="23" hidden="1" customHeight="1" spans="1:25">
      <c r="A1759" s="133" t="str">
        <f>IF(B1759="","",COUNTA($B$5:B1759))</f>
        <v/>
      </c>
      <c r="B1759" s="148"/>
      <c r="C1759" s="22" t="s">
        <v>49</v>
      </c>
      <c r="D1759" s="149"/>
      <c r="E1759" s="150"/>
      <c r="F1759" s="151"/>
      <c r="G1759" s="151"/>
      <c r="H1759" s="142">
        <f>IFERROR(VLOOKUP($C1759,$C$5:$H$18,6,0)+SUMIF($C$19:$C1759,$C1759,$F$19:$F1759)-SUMIF($C$19:$C1759,$C1759,$G$19:$G1759),"")</f>
        <v>81211.819999998</v>
      </c>
      <c r="I1759" s="147"/>
      <c r="J1759" s="147"/>
      <c r="K1759" s="147" t="str">
        <f t="shared" si="27"/>
        <v/>
      </c>
      <c r="L1759" s="40"/>
      <c r="M1759"/>
      <c r="N1759"/>
      <c r="O1759"/>
      <c r="P1759"/>
      <c r="Q1759"/>
      <c r="R1759"/>
      <c r="S1759"/>
      <c r="T1759"/>
      <c r="U1759"/>
      <c r="V1759"/>
      <c r="W1759" s="41"/>
      <c r="X1759" s="41"/>
      <c r="Y1759" s="41"/>
    </row>
    <row r="1760" s="27" customFormat="1" ht="23" hidden="1" customHeight="1" spans="1:25">
      <c r="A1760" s="133" t="str">
        <f>IF(B1760="","",COUNTA($B$5:B1760))</f>
        <v/>
      </c>
      <c r="B1760" s="148"/>
      <c r="C1760" s="22" t="s">
        <v>49</v>
      </c>
      <c r="D1760" s="149"/>
      <c r="E1760" s="150"/>
      <c r="F1760" s="151"/>
      <c r="G1760" s="151"/>
      <c r="H1760" s="142">
        <f>IFERROR(VLOOKUP($C1760,$C$5:$H$18,6,0)+SUMIF($C$19:$C1760,$C1760,$F$19:$F1760)-SUMIF($C$19:$C1760,$C1760,$G$19:$G1760),"")</f>
        <v>81211.819999998</v>
      </c>
      <c r="I1760" s="147"/>
      <c r="J1760" s="147"/>
      <c r="K1760" s="147" t="str">
        <f t="shared" si="27"/>
        <v/>
      </c>
      <c r="L1760" s="40"/>
      <c r="M1760"/>
      <c r="N1760"/>
      <c r="O1760"/>
      <c r="P1760"/>
      <c r="Q1760"/>
      <c r="R1760"/>
      <c r="S1760"/>
      <c r="T1760"/>
      <c r="U1760"/>
      <c r="V1760"/>
      <c r="W1760" s="41"/>
      <c r="X1760" s="41"/>
      <c r="Y1760" s="41"/>
    </row>
    <row r="1761" s="27" customFormat="1" ht="23" hidden="1" customHeight="1" spans="1:25">
      <c r="A1761" s="133" t="str">
        <f>IF(B1761="","",COUNTA($B$5:B1761))</f>
        <v/>
      </c>
      <c r="B1761" s="148"/>
      <c r="C1761" s="22" t="s">
        <v>49</v>
      </c>
      <c r="D1761" s="149"/>
      <c r="E1761" s="150"/>
      <c r="F1761" s="151"/>
      <c r="G1761" s="151"/>
      <c r="H1761" s="142">
        <f>IFERROR(VLOOKUP($C1761,$C$5:$H$18,6,0)+SUMIF($C$19:$C1761,$C1761,$F$19:$F1761)-SUMIF($C$19:$C1761,$C1761,$G$19:$G1761),"")</f>
        <v>81211.819999998</v>
      </c>
      <c r="I1761" s="147"/>
      <c r="J1761" s="147"/>
      <c r="K1761" s="147" t="str">
        <f t="shared" si="27"/>
        <v/>
      </c>
      <c r="L1761" s="40"/>
      <c r="M1761"/>
      <c r="N1761"/>
      <c r="O1761"/>
      <c r="P1761"/>
      <c r="Q1761"/>
      <c r="R1761"/>
      <c r="S1761"/>
      <c r="T1761"/>
      <c r="U1761"/>
      <c r="V1761"/>
      <c r="W1761" s="41"/>
      <c r="X1761" s="41"/>
      <c r="Y1761" s="41"/>
    </row>
    <row r="1762" s="27" customFormat="1" ht="23" hidden="1" customHeight="1" spans="1:25">
      <c r="A1762" s="133" t="str">
        <f>IF(B1762="","",COUNTA($B$5:B1762))</f>
        <v/>
      </c>
      <c r="B1762" s="148"/>
      <c r="C1762" s="22" t="s">
        <v>49</v>
      </c>
      <c r="D1762" s="149"/>
      <c r="E1762" s="150"/>
      <c r="F1762" s="151"/>
      <c r="G1762" s="151"/>
      <c r="H1762" s="142">
        <f>IFERROR(VLOOKUP($C1762,$C$5:$H$18,6,0)+SUMIF($C$19:$C1762,$C1762,$F$19:$F1762)-SUMIF($C$19:$C1762,$C1762,$G$19:$G1762),"")</f>
        <v>81211.819999998</v>
      </c>
      <c r="I1762" s="147"/>
      <c r="J1762" s="147"/>
      <c r="K1762" s="147" t="str">
        <f t="shared" si="27"/>
        <v/>
      </c>
      <c r="L1762" s="40"/>
      <c r="M1762"/>
      <c r="N1762"/>
      <c r="O1762"/>
      <c r="P1762"/>
      <c r="Q1762"/>
      <c r="R1762"/>
      <c r="S1762"/>
      <c r="T1762"/>
      <c r="U1762"/>
      <c r="V1762"/>
      <c r="W1762" s="41"/>
      <c r="X1762" s="41"/>
      <c r="Y1762" s="41"/>
    </row>
    <row r="1763" s="27" customFormat="1" ht="23" hidden="1" customHeight="1" spans="1:25">
      <c r="A1763" s="133" t="str">
        <f>IF(B1763="","",COUNTA($B$5:B1763))</f>
        <v/>
      </c>
      <c r="B1763" s="148"/>
      <c r="C1763" s="22" t="s">
        <v>49</v>
      </c>
      <c r="D1763" s="149"/>
      <c r="E1763" s="150"/>
      <c r="F1763" s="151"/>
      <c r="G1763" s="151"/>
      <c r="H1763" s="142">
        <f>IFERROR(VLOOKUP($C1763,$C$5:$H$18,6,0)+SUMIF($C$19:$C1763,$C1763,$F$19:$F1763)-SUMIF($C$19:$C1763,$C1763,$G$19:$G1763),"")</f>
        <v>81211.819999998</v>
      </c>
      <c r="I1763" s="147"/>
      <c r="J1763" s="147"/>
      <c r="K1763" s="147" t="str">
        <f t="shared" si="27"/>
        <v/>
      </c>
      <c r="L1763" s="40"/>
      <c r="M1763"/>
      <c r="N1763"/>
      <c r="O1763"/>
      <c r="P1763"/>
      <c r="Q1763"/>
      <c r="R1763"/>
      <c r="S1763"/>
      <c r="T1763"/>
      <c r="U1763"/>
      <c r="V1763"/>
      <c r="W1763" s="41"/>
      <c r="X1763" s="41"/>
      <c r="Y1763" s="41"/>
    </row>
    <row r="1764" s="27" customFormat="1" ht="23" hidden="1" customHeight="1" spans="1:25">
      <c r="A1764" s="133" t="str">
        <f>IF(B1764="","",COUNTA($B$5:B1764))</f>
        <v/>
      </c>
      <c r="B1764" s="148"/>
      <c r="C1764" s="22" t="s">
        <v>49</v>
      </c>
      <c r="D1764" s="149"/>
      <c r="E1764" s="150"/>
      <c r="F1764" s="151"/>
      <c r="G1764" s="151"/>
      <c r="H1764" s="142">
        <f>IFERROR(VLOOKUP($C1764,$C$5:$H$18,6,0)+SUMIF($C$19:$C1764,$C1764,$F$19:$F1764)-SUMIF($C$19:$C1764,$C1764,$G$19:$G1764),"")</f>
        <v>81211.819999998</v>
      </c>
      <c r="I1764" s="147"/>
      <c r="J1764" s="147"/>
      <c r="K1764" s="147" t="str">
        <f t="shared" si="27"/>
        <v/>
      </c>
      <c r="L1764" s="40"/>
      <c r="M1764"/>
      <c r="N1764"/>
      <c r="O1764"/>
      <c r="P1764"/>
      <c r="Q1764"/>
      <c r="R1764"/>
      <c r="S1764"/>
      <c r="T1764"/>
      <c r="U1764"/>
      <c r="V1764"/>
      <c r="W1764" s="41"/>
      <c r="X1764" s="41"/>
      <c r="Y1764" s="41"/>
    </row>
    <row r="1765" s="27" customFormat="1" ht="23" hidden="1" customHeight="1" spans="1:25">
      <c r="A1765" s="133" t="str">
        <f>IF(B1765="","",COUNTA($B$5:B1765))</f>
        <v/>
      </c>
      <c r="B1765" s="148"/>
      <c r="C1765" s="22" t="s">
        <v>49</v>
      </c>
      <c r="D1765" s="149"/>
      <c r="E1765" s="150"/>
      <c r="F1765" s="151"/>
      <c r="G1765" s="151"/>
      <c r="H1765" s="142">
        <f>IFERROR(VLOOKUP($C1765,$C$5:$H$18,6,0)+SUMIF($C$19:$C1765,$C1765,$F$19:$F1765)-SUMIF($C$19:$C1765,$C1765,$G$19:$G1765),"")</f>
        <v>81211.819999998</v>
      </c>
      <c r="I1765" s="147"/>
      <c r="J1765" s="147"/>
      <c r="K1765" s="147" t="str">
        <f t="shared" si="27"/>
        <v/>
      </c>
      <c r="L1765" s="40"/>
      <c r="M1765"/>
      <c r="N1765"/>
      <c r="O1765"/>
      <c r="P1765"/>
      <c r="Q1765"/>
      <c r="R1765"/>
      <c r="S1765"/>
      <c r="T1765"/>
      <c r="U1765"/>
      <c r="V1765"/>
      <c r="W1765" s="41"/>
      <c r="X1765" s="41"/>
      <c r="Y1765" s="41"/>
    </row>
    <row r="1766" s="27" customFormat="1" ht="23" hidden="1" customHeight="1" spans="1:25">
      <c r="A1766" s="133" t="str">
        <f>IF(B1766="","",COUNTA($B$5:B1766))</f>
        <v/>
      </c>
      <c r="B1766" s="148"/>
      <c r="C1766" s="22" t="s">
        <v>49</v>
      </c>
      <c r="D1766" s="149"/>
      <c r="E1766" s="150"/>
      <c r="F1766" s="151"/>
      <c r="G1766" s="151"/>
      <c r="H1766" s="142">
        <f>IFERROR(VLOOKUP($C1766,$C$5:$H$18,6,0)+SUMIF($C$19:$C1766,$C1766,$F$19:$F1766)-SUMIF($C$19:$C1766,$C1766,$G$19:$G1766),"")</f>
        <v>81211.819999998</v>
      </c>
      <c r="I1766" s="147"/>
      <c r="J1766" s="147"/>
      <c r="K1766" s="147" t="str">
        <f t="shared" si="27"/>
        <v/>
      </c>
      <c r="L1766" s="40"/>
      <c r="M1766"/>
      <c r="N1766"/>
      <c r="O1766"/>
      <c r="P1766"/>
      <c r="Q1766"/>
      <c r="R1766"/>
      <c r="S1766"/>
      <c r="T1766"/>
      <c r="U1766"/>
      <c r="V1766"/>
      <c r="W1766" s="41"/>
      <c r="X1766" s="41"/>
      <c r="Y1766" s="41"/>
    </row>
    <row r="1767" s="27" customFormat="1" ht="23" hidden="1" customHeight="1" spans="1:25">
      <c r="A1767" s="133" t="str">
        <f>IF(B1767="","",COUNTA($B$5:B1767))</f>
        <v/>
      </c>
      <c r="B1767" s="148"/>
      <c r="C1767" s="22" t="s">
        <v>49</v>
      </c>
      <c r="D1767" s="149"/>
      <c r="E1767" s="150"/>
      <c r="F1767" s="151"/>
      <c r="G1767" s="151"/>
      <c r="H1767" s="142">
        <f>IFERROR(VLOOKUP($C1767,$C$5:$H$18,6,0)+SUMIF($C$19:$C1767,$C1767,$F$19:$F1767)-SUMIF($C$19:$C1767,$C1767,$G$19:$G1767),"")</f>
        <v>81211.819999998</v>
      </c>
      <c r="I1767" s="147"/>
      <c r="J1767" s="147"/>
      <c r="K1767" s="147" t="str">
        <f t="shared" si="27"/>
        <v/>
      </c>
      <c r="L1767" s="40"/>
      <c r="M1767"/>
      <c r="N1767"/>
      <c r="O1767"/>
      <c r="P1767"/>
      <c r="Q1767"/>
      <c r="R1767"/>
      <c r="S1767"/>
      <c r="T1767"/>
      <c r="U1767"/>
      <c r="V1767"/>
      <c r="W1767" s="41"/>
      <c r="X1767" s="41"/>
      <c r="Y1767" s="41"/>
    </row>
    <row r="1768" s="27" customFormat="1" ht="23" hidden="1" customHeight="1" spans="1:25">
      <c r="A1768" s="133" t="str">
        <f>IF(B1768="","",COUNTA($B$5:B1768))</f>
        <v/>
      </c>
      <c r="B1768" s="148"/>
      <c r="C1768" s="22" t="s">
        <v>49</v>
      </c>
      <c r="D1768" s="149"/>
      <c r="E1768" s="150"/>
      <c r="F1768" s="151"/>
      <c r="G1768" s="151"/>
      <c r="H1768" s="142">
        <f>IFERROR(VLOOKUP($C1768,$C$5:$H$18,6,0)+SUMIF($C$19:$C1768,$C1768,$F$19:$F1768)-SUMIF($C$19:$C1768,$C1768,$G$19:$G1768),"")</f>
        <v>81211.819999998</v>
      </c>
      <c r="I1768" s="147"/>
      <c r="J1768" s="147"/>
      <c r="K1768" s="147" t="str">
        <f t="shared" si="27"/>
        <v/>
      </c>
      <c r="L1768" s="40"/>
      <c r="M1768"/>
      <c r="N1768"/>
      <c r="O1768"/>
      <c r="P1768"/>
      <c r="Q1768"/>
      <c r="R1768"/>
      <c r="S1768"/>
      <c r="T1768"/>
      <c r="U1768"/>
      <c r="V1768"/>
      <c r="W1768" s="41"/>
      <c r="X1768" s="41"/>
      <c r="Y1768" s="41"/>
    </row>
    <row r="1769" s="27" customFormat="1" ht="23" hidden="1" customHeight="1" spans="1:25">
      <c r="A1769" s="133" t="str">
        <f>IF(B1769="","",COUNTA($B$5:B1769))</f>
        <v/>
      </c>
      <c r="B1769" s="148"/>
      <c r="C1769" s="22" t="s">
        <v>49</v>
      </c>
      <c r="D1769" s="149"/>
      <c r="E1769" s="150"/>
      <c r="F1769" s="151"/>
      <c r="G1769" s="151"/>
      <c r="H1769" s="142">
        <f>IFERROR(VLOOKUP($C1769,$C$5:$H$18,6,0)+SUMIF($C$19:$C1769,$C1769,$F$19:$F1769)-SUMIF($C$19:$C1769,$C1769,$G$19:$G1769),"")</f>
        <v>81211.819999998</v>
      </c>
      <c r="I1769" s="147"/>
      <c r="J1769" s="147"/>
      <c r="K1769" s="147" t="str">
        <f t="shared" si="27"/>
        <v/>
      </c>
      <c r="L1769" s="40"/>
      <c r="M1769"/>
      <c r="N1769"/>
      <c r="O1769"/>
      <c r="P1769"/>
      <c r="Q1769"/>
      <c r="R1769"/>
      <c r="S1769"/>
      <c r="T1769"/>
      <c r="U1769"/>
      <c r="V1769"/>
      <c r="W1769" s="41"/>
      <c r="X1769" s="41"/>
      <c r="Y1769" s="41"/>
    </row>
    <row r="1770" s="27" customFormat="1" ht="23" hidden="1" customHeight="1" spans="1:25">
      <c r="A1770" s="133" t="str">
        <f>IF(B1770="","",COUNTA($B$5:B1770))</f>
        <v/>
      </c>
      <c r="B1770" s="148"/>
      <c r="C1770" s="22" t="s">
        <v>49</v>
      </c>
      <c r="D1770" s="149"/>
      <c r="E1770" s="150"/>
      <c r="F1770" s="151"/>
      <c r="G1770" s="151"/>
      <c r="H1770" s="142">
        <f>IFERROR(VLOOKUP($C1770,$C$5:$H$18,6,0)+SUMIF($C$19:$C1770,$C1770,$F$19:$F1770)-SUMIF($C$19:$C1770,$C1770,$G$19:$G1770),"")</f>
        <v>81211.819999998</v>
      </c>
      <c r="I1770" s="147"/>
      <c r="J1770" s="147"/>
      <c r="K1770" s="147" t="str">
        <f t="shared" si="27"/>
        <v/>
      </c>
      <c r="L1770" s="40"/>
      <c r="M1770"/>
      <c r="N1770"/>
      <c r="O1770"/>
      <c r="P1770"/>
      <c r="Q1770"/>
      <c r="R1770"/>
      <c r="S1770"/>
      <c r="T1770"/>
      <c r="U1770"/>
      <c r="V1770"/>
      <c r="W1770" s="41"/>
      <c r="X1770" s="41"/>
      <c r="Y1770" s="41"/>
    </row>
    <row r="1771" s="27" customFormat="1" ht="23" hidden="1" customHeight="1" spans="1:25">
      <c r="A1771" s="133" t="str">
        <f>IF(B1771="","",COUNTA($B$5:B1771))</f>
        <v/>
      </c>
      <c r="B1771" s="148"/>
      <c r="C1771" s="22" t="s">
        <v>49</v>
      </c>
      <c r="D1771" s="149"/>
      <c r="E1771" s="150"/>
      <c r="F1771" s="151"/>
      <c r="G1771" s="151"/>
      <c r="H1771" s="142">
        <f>IFERROR(VLOOKUP($C1771,$C$5:$H$18,6,0)+SUMIF($C$19:$C1771,$C1771,$F$19:$F1771)-SUMIF($C$19:$C1771,$C1771,$G$19:$G1771),"")</f>
        <v>81211.819999998</v>
      </c>
      <c r="I1771" s="147"/>
      <c r="J1771" s="147"/>
      <c r="K1771" s="147" t="str">
        <f t="shared" si="27"/>
        <v/>
      </c>
      <c r="L1771" s="40"/>
      <c r="M1771"/>
      <c r="N1771"/>
      <c r="O1771"/>
      <c r="P1771"/>
      <c r="Q1771"/>
      <c r="R1771"/>
      <c r="S1771"/>
      <c r="T1771"/>
      <c r="U1771"/>
      <c r="V1771"/>
      <c r="W1771" s="41"/>
      <c r="X1771" s="41"/>
      <c r="Y1771" s="41"/>
    </row>
    <row r="1772" s="27" customFormat="1" ht="23" hidden="1" customHeight="1" spans="1:25">
      <c r="A1772" s="133" t="str">
        <f>IF(B1772="","",COUNTA($B$5:B1772))</f>
        <v/>
      </c>
      <c r="B1772" s="148"/>
      <c r="C1772" s="22" t="s">
        <v>49</v>
      </c>
      <c r="D1772" s="149"/>
      <c r="E1772" s="150"/>
      <c r="F1772" s="151"/>
      <c r="G1772" s="151"/>
      <c r="H1772" s="142">
        <f>IFERROR(VLOOKUP($C1772,$C$5:$H$18,6,0)+SUMIF($C$19:$C1772,$C1772,$F$19:$F1772)-SUMIF($C$19:$C1772,$C1772,$G$19:$G1772),"")</f>
        <v>81211.819999998</v>
      </c>
      <c r="I1772" s="147"/>
      <c r="J1772" s="147"/>
      <c r="K1772" s="147" t="str">
        <f t="shared" si="27"/>
        <v/>
      </c>
      <c r="L1772" s="40"/>
      <c r="M1772"/>
      <c r="N1772"/>
      <c r="O1772"/>
      <c r="P1772"/>
      <c r="Q1772"/>
      <c r="R1772"/>
      <c r="S1772"/>
      <c r="T1772"/>
      <c r="U1772"/>
      <c r="V1772"/>
      <c r="W1772" s="41"/>
      <c r="X1772" s="41"/>
      <c r="Y1772" s="41"/>
    </row>
    <row r="1773" s="27" customFormat="1" ht="23" hidden="1" customHeight="1" spans="1:25">
      <c r="A1773" s="133" t="str">
        <f>IF(B1773="","",COUNTA($B$5:B1773))</f>
        <v/>
      </c>
      <c r="B1773" s="148"/>
      <c r="C1773" s="22" t="s">
        <v>49</v>
      </c>
      <c r="D1773" s="149"/>
      <c r="E1773" s="150"/>
      <c r="F1773" s="151"/>
      <c r="G1773" s="151"/>
      <c r="H1773" s="142">
        <f>IFERROR(VLOOKUP($C1773,$C$5:$H$18,6,0)+SUMIF($C$19:$C1773,$C1773,$F$19:$F1773)-SUMIF($C$19:$C1773,$C1773,$G$19:$G1773),"")</f>
        <v>81211.819999998</v>
      </c>
      <c r="I1773" s="147"/>
      <c r="J1773" s="147"/>
      <c r="K1773" s="147" t="str">
        <f t="shared" si="27"/>
        <v/>
      </c>
      <c r="L1773" s="40"/>
      <c r="M1773"/>
      <c r="N1773"/>
      <c r="O1773"/>
      <c r="P1773"/>
      <c r="Q1773"/>
      <c r="R1773"/>
      <c r="S1773"/>
      <c r="T1773"/>
      <c r="U1773"/>
      <c r="V1773"/>
      <c r="W1773" s="41"/>
      <c r="X1773" s="41"/>
      <c r="Y1773" s="41"/>
    </row>
    <row r="1774" s="27" customFormat="1" ht="23" hidden="1" customHeight="1" spans="1:25">
      <c r="A1774" s="133" t="str">
        <f>IF(B1774="","",COUNTA($B$5:B1774))</f>
        <v/>
      </c>
      <c r="B1774" s="148"/>
      <c r="C1774" s="22" t="s">
        <v>49</v>
      </c>
      <c r="D1774" s="149"/>
      <c r="E1774" s="150"/>
      <c r="F1774" s="151"/>
      <c r="G1774" s="151"/>
      <c r="H1774" s="142">
        <f>IFERROR(VLOOKUP($C1774,$C$5:$H$18,6,0)+SUMIF($C$19:$C1774,$C1774,$F$19:$F1774)-SUMIF($C$19:$C1774,$C1774,$G$19:$G1774),"")</f>
        <v>81211.819999998</v>
      </c>
      <c r="I1774" s="147"/>
      <c r="J1774" s="147"/>
      <c r="K1774" s="147" t="str">
        <f t="shared" si="27"/>
        <v/>
      </c>
      <c r="L1774" s="40"/>
      <c r="M1774"/>
      <c r="N1774"/>
      <c r="O1774"/>
      <c r="P1774"/>
      <c r="Q1774"/>
      <c r="R1774"/>
      <c r="S1774"/>
      <c r="T1774"/>
      <c r="U1774"/>
      <c r="V1774"/>
      <c r="W1774" s="41"/>
      <c r="X1774" s="41"/>
      <c r="Y1774" s="41"/>
    </row>
    <row r="1775" s="27" customFormat="1" ht="23" hidden="1" customHeight="1" spans="1:25">
      <c r="A1775" s="133" t="str">
        <f>IF(B1775="","",COUNTA($B$5:B1775))</f>
        <v/>
      </c>
      <c r="B1775" s="148"/>
      <c r="C1775" s="22" t="s">
        <v>49</v>
      </c>
      <c r="D1775" s="149"/>
      <c r="E1775" s="150"/>
      <c r="F1775" s="151"/>
      <c r="G1775" s="151"/>
      <c r="H1775" s="142">
        <f>IFERROR(VLOOKUP($C1775,$C$5:$H$18,6,0)+SUMIF($C$19:$C1775,$C1775,$F$19:$F1775)-SUMIF($C$19:$C1775,$C1775,$G$19:$G1775),"")</f>
        <v>81211.819999998</v>
      </c>
      <c r="I1775" s="147"/>
      <c r="J1775" s="147"/>
      <c r="K1775" s="147" t="str">
        <f t="shared" si="27"/>
        <v/>
      </c>
      <c r="L1775" s="40"/>
      <c r="M1775"/>
      <c r="N1775"/>
      <c r="O1775"/>
      <c r="P1775"/>
      <c r="Q1775"/>
      <c r="R1775"/>
      <c r="S1775"/>
      <c r="T1775"/>
      <c r="U1775"/>
      <c r="V1775"/>
      <c r="W1775" s="41"/>
      <c r="X1775" s="41"/>
      <c r="Y1775" s="41"/>
    </row>
    <row r="1776" s="27" customFormat="1" ht="23" hidden="1" customHeight="1" spans="1:25">
      <c r="A1776" s="133" t="str">
        <f>IF(B1776="","",COUNTA($B$5:B1776))</f>
        <v/>
      </c>
      <c r="B1776" s="148"/>
      <c r="C1776" s="22" t="s">
        <v>49</v>
      </c>
      <c r="D1776" s="149"/>
      <c r="E1776" s="150"/>
      <c r="F1776" s="151"/>
      <c r="G1776" s="151"/>
      <c r="H1776" s="142">
        <f>IFERROR(VLOOKUP($C1776,$C$5:$H$18,6,0)+SUMIF($C$19:$C1776,$C1776,$F$19:$F1776)-SUMIF($C$19:$C1776,$C1776,$G$19:$G1776),"")</f>
        <v>81211.819999998</v>
      </c>
      <c r="I1776" s="147"/>
      <c r="J1776" s="147"/>
      <c r="K1776" s="147" t="str">
        <f t="shared" si="27"/>
        <v/>
      </c>
      <c r="L1776" s="40"/>
      <c r="M1776"/>
      <c r="N1776"/>
      <c r="O1776"/>
      <c r="P1776"/>
      <c r="Q1776"/>
      <c r="R1776"/>
      <c r="S1776"/>
      <c r="T1776"/>
      <c r="U1776"/>
      <c r="V1776"/>
      <c r="W1776" s="41"/>
      <c r="X1776" s="41"/>
      <c r="Y1776" s="41"/>
    </row>
    <row r="1777" s="27" customFormat="1" ht="23" hidden="1" customHeight="1" spans="1:25">
      <c r="A1777" s="133" t="str">
        <f>IF(B1777="","",COUNTA($B$5:B1777))</f>
        <v/>
      </c>
      <c r="B1777" s="148"/>
      <c r="C1777" s="22" t="s">
        <v>49</v>
      </c>
      <c r="D1777" s="149"/>
      <c r="E1777" s="150"/>
      <c r="F1777" s="151"/>
      <c r="G1777" s="151"/>
      <c r="H1777" s="142">
        <f>IFERROR(VLOOKUP($C1777,$C$5:$H$18,6,0)+SUMIF($C$19:$C1777,$C1777,$F$19:$F1777)-SUMIF($C$19:$C1777,$C1777,$G$19:$G1777),"")</f>
        <v>81211.819999998</v>
      </c>
      <c r="I1777" s="147"/>
      <c r="J1777" s="147"/>
      <c r="K1777" s="147" t="str">
        <f t="shared" si="27"/>
        <v/>
      </c>
      <c r="L1777" s="40"/>
      <c r="M1777"/>
      <c r="N1777"/>
      <c r="O1777"/>
      <c r="P1777"/>
      <c r="Q1777"/>
      <c r="R1777"/>
      <c r="S1777"/>
      <c r="T1777"/>
      <c r="U1777"/>
      <c r="V1777"/>
      <c r="W1777" s="41"/>
      <c r="X1777" s="41"/>
      <c r="Y1777" s="41"/>
    </row>
    <row r="1778" s="27" customFormat="1" ht="23" hidden="1" customHeight="1" spans="1:25">
      <c r="A1778" s="133" t="str">
        <f>IF(B1778="","",COUNTA($B$5:B1778))</f>
        <v/>
      </c>
      <c r="B1778" s="148"/>
      <c r="C1778" s="22" t="s">
        <v>49</v>
      </c>
      <c r="D1778" s="149"/>
      <c r="E1778" s="150"/>
      <c r="F1778" s="151"/>
      <c r="G1778" s="151"/>
      <c r="H1778" s="142">
        <f>IFERROR(VLOOKUP($C1778,$C$5:$H$18,6,0)+SUMIF($C$19:$C1778,$C1778,$F$19:$F1778)-SUMIF($C$19:$C1778,$C1778,$G$19:$G1778),"")</f>
        <v>81211.819999998</v>
      </c>
      <c r="I1778" s="147"/>
      <c r="J1778" s="147"/>
      <c r="K1778" s="147" t="str">
        <f t="shared" si="27"/>
        <v/>
      </c>
      <c r="L1778" s="40"/>
      <c r="M1778"/>
      <c r="N1778"/>
      <c r="O1778"/>
      <c r="P1778"/>
      <c r="Q1778"/>
      <c r="R1778"/>
      <c r="S1778"/>
      <c r="T1778"/>
      <c r="U1778"/>
      <c r="V1778"/>
      <c r="W1778" s="41"/>
      <c r="X1778" s="41"/>
      <c r="Y1778" s="41"/>
    </row>
    <row r="1779" s="27" customFormat="1" ht="23" hidden="1" customHeight="1" spans="1:25">
      <c r="A1779" s="133" t="str">
        <f>IF(B1779="","",COUNTA($B$5:B1779))</f>
        <v/>
      </c>
      <c r="B1779" s="148"/>
      <c r="C1779" s="22" t="s">
        <v>49</v>
      </c>
      <c r="D1779" s="149"/>
      <c r="E1779" s="150"/>
      <c r="F1779" s="151"/>
      <c r="G1779" s="151"/>
      <c r="H1779" s="142">
        <f>IFERROR(VLOOKUP($C1779,$C$5:$H$18,6,0)+SUMIF($C$19:$C1779,$C1779,$F$19:$F1779)-SUMIF($C$19:$C1779,$C1779,$G$19:$G1779),"")</f>
        <v>81211.819999998</v>
      </c>
      <c r="I1779" s="147"/>
      <c r="J1779" s="147"/>
      <c r="K1779" s="147" t="str">
        <f t="shared" si="27"/>
        <v/>
      </c>
      <c r="L1779" s="40"/>
      <c r="M1779"/>
      <c r="N1779"/>
      <c r="O1779"/>
      <c r="P1779"/>
      <c r="Q1779"/>
      <c r="R1779"/>
      <c r="S1779"/>
      <c r="T1779"/>
      <c r="U1779"/>
      <c r="V1779"/>
      <c r="W1779" s="41"/>
      <c r="X1779" s="41"/>
      <c r="Y1779" s="41"/>
    </row>
    <row r="1780" s="27" customFormat="1" ht="23" hidden="1" customHeight="1" spans="1:25">
      <c r="A1780" s="133" t="str">
        <f>IF(B1780="","",COUNTA($B$5:B1780))</f>
        <v/>
      </c>
      <c r="B1780" s="148"/>
      <c r="C1780" s="22" t="s">
        <v>49</v>
      </c>
      <c r="D1780" s="149"/>
      <c r="E1780" s="150"/>
      <c r="F1780" s="151"/>
      <c r="G1780" s="151"/>
      <c r="H1780" s="142">
        <f>IFERROR(VLOOKUP($C1780,$C$5:$H$18,6,0)+SUMIF($C$19:$C1780,$C1780,$F$19:$F1780)-SUMIF($C$19:$C1780,$C1780,$G$19:$G1780),"")</f>
        <v>81211.819999998</v>
      </c>
      <c r="I1780" s="147"/>
      <c r="J1780" s="147"/>
      <c r="K1780" s="147" t="str">
        <f t="shared" si="27"/>
        <v/>
      </c>
      <c r="L1780" s="40"/>
      <c r="M1780"/>
      <c r="N1780"/>
      <c r="O1780"/>
      <c r="P1780"/>
      <c r="Q1780"/>
      <c r="R1780"/>
      <c r="S1780"/>
      <c r="T1780"/>
      <c r="U1780"/>
      <c r="V1780"/>
      <c r="W1780" s="41"/>
      <c r="X1780" s="41"/>
      <c r="Y1780" s="41"/>
    </row>
    <row r="1781" s="27" customFormat="1" ht="23" hidden="1" customHeight="1" spans="1:25">
      <c r="A1781" s="133" t="str">
        <f>IF(B1781="","",COUNTA($B$5:B1781))</f>
        <v/>
      </c>
      <c r="B1781" s="148"/>
      <c r="C1781" s="22" t="s">
        <v>49</v>
      </c>
      <c r="D1781" s="149"/>
      <c r="E1781" s="150"/>
      <c r="F1781" s="151"/>
      <c r="G1781" s="151"/>
      <c r="H1781" s="142">
        <f>IFERROR(VLOOKUP($C1781,$C$5:$H$18,6,0)+SUMIF($C$19:$C1781,$C1781,$F$19:$F1781)-SUMIF($C$19:$C1781,$C1781,$G$19:$G1781),"")</f>
        <v>81211.819999998</v>
      </c>
      <c r="I1781" s="147"/>
      <c r="J1781" s="147"/>
      <c r="K1781" s="147" t="str">
        <f t="shared" si="27"/>
        <v/>
      </c>
      <c r="L1781" s="40"/>
      <c r="M1781"/>
      <c r="N1781"/>
      <c r="O1781"/>
      <c r="P1781"/>
      <c r="Q1781"/>
      <c r="R1781"/>
      <c r="S1781"/>
      <c r="T1781"/>
      <c r="U1781"/>
      <c r="V1781"/>
      <c r="W1781" s="41"/>
      <c r="X1781" s="41"/>
      <c r="Y1781" s="41"/>
    </row>
    <row r="1782" s="27" customFormat="1" ht="23" hidden="1" customHeight="1" spans="1:25">
      <c r="A1782" s="133" t="str">
        <f>IF(B1782="","",COUNTA($B$5:B1782))</f>
        <v/>
      </c>
      <c r="B1782" s="148"/>
      <c r="C1782" s="22" t="s">
        <v>49</v>
      </c>
      <c r="D1782" s="149"/>
      <c r="E1782" s="150"/>
      <c r="F1782" s="151"/>
      <c r="G1782" s="151"/>
      <c r="H1782" s="142">
        <f>IFERROR(VLOOKUP($C1782,$C$5:$H$18,6,0)+SUMIF($C$19:$C1782,$C1782,$F$19:$F1782)-SUMIF($C$19:$C1782,$C1782,$G$19:$G1782),"")</f>
        <v>81211.819999998</v>
      </c>
      <c r="I1782" s="147"/>
      <c r="J1782" s="147"/>
      <c r="K1782" s="147" t="str">
        <f t="shared" si="27"/>
        <v/>
      </c>
      <c r="L1782" s="40"/>
      <c r="M1782"/>
      <c r="N1782"/>
      <c r="O1782"/>
      <c r="P1782"/>
      <c r="Q1782"/>
      <c r="R1782"/>
      <c r="S1782"/>
      <c r="T1782"/>
      <c r="U1782"/>
      <c r="V1782"/>
      <c r="W1782" s="41"/>
      <c r="X1782" s="41"/>
      <c r="Y1782" s="41"/>
    </row>
    <row r="1783" s="27" customFormat="1" ht="23" hidden="1" customHeight="1" spans="1:25">
      <c r="A1783" s="133" t="str">
        <f>IF(B1783="","",COUNTA($B$5:B1783))</f>
        <v/>
      </c>
      <c r="B1783" s="148"/>
      <c r="C1783" s="22" t="s">
        <v>49</v>
      </c>
      <c r="D1783" s="149"/>
      <c r="E1783" s="150"/>
      <c r="F1783" s="151"/>
      <c r="G1783" s="151"/>
      <c r="H1783" s="142">
        <f>IFERROR(VLOOKUP($C1783,$C$5:$H$18,6,0)+SUMIF($C$19:$C1783,$C1783,$F$19:$F1783)-SUMIF($C$19:$C1783,$C1783,$G$19:$G1783),"")</f>
        <v>81211.819999998</v>
      </c>
      <c r="I1783" s="147"/>
      <c r="J1783" s="147"/>
      <c r="K1783" s="147" t="str">
        <f t="shared" si="27"/>
        <v/>
      </c>
      <c r="L1783" s="40"/>
      <c r="M1783"/>
      <c r="N1783"/>
      <c r="O1783"/>
      <c r="P1783"/>
      <c r="Q1783"/>
      <c r="R1783"/>
      <c r="S1783"/>
      <c r="T1783"/>
      <c r="U1783"/>
      <c r="V1783"/>
      <c r="W1783" s="41"/>
      <c r="X1783" s="41"/>
      <c r="Y1783" s="41"/>
    </row>
    <row r="1784" s="27" customFormat="1" ht="23" hidden="1" customHeight="1" spans="1:25">
      <c r="A1784" s="133" t="str">
        <f>IF(B1784="","",COUNTA($B$5:B1784))</f>
        <v/>
      </c>
      <c r="B1784" s="148"/>
      <c r="C1784" s="22" t="s">
        <v>49</v>
      </c>
      <c r="D1784" s="149"/>
      <c r="E1784" s="150"/>
      <c r="F1784" s="151"/>
      <c r="G1784" s="151"/>
      <c r="H1784" s="142">
        <f>IFERROR(VLOOKUP($C1784,$C$5:$H$18,6,0)+SUMIF($C$19:$C1784,$C1784,$F$19:$F1784)-SUMIF($C$19:$C1784,$C1784,$G$19:$G1784),"")</f>
        <v>81211.819999998</v>
      </c>
      <c r="I1784" s="147"/>
      <c r="J1784" s="147"/>
      <c r="K1784" s="147" t="str">
        <f t="shared" si="27"/>
        <v/>
      </c>
      <c r="L1784" s="40"/>
      <c r="M1784"/>
      <c r="N1784"/>
      <c r="O1784"/>
      <c r="P1784"/>
      <c r="Q1784"/>
      <c r="R1784"/>
      <c r="S1784"/>
      <c r="T1784"/>
      <c r="U1784"/>
      <c r="V1784"/>
      <c r="W1784" s="41"/>
      <c r="X1784" s="41"/>
      <c r="Y1784" s="41"/>
    </row>
    <row r="1785" s="27" customFormat="1" ht="23" hidden="1" customHeight="1" spans="1:25">
      <c r="A1785" s="133" t="str">
        <f>IF(B1785="","",COUNTA($B$5:B1785))</f>
        <v/>
      </c>
      <c r="B1785" s="148"/>
      <c r="C1785" s="22" t="s">
        <v>49</v>
      </c>
      <c r="D1785" s="149"/>
      <c r="E1785" s="150"/>
      <c r="F1785" s="151"/>
      <c r="G1785" s="151"/>
      <c r="H1785" s="142">
        <f>IFERROR(VLOOKUP($C1785,$C$5:$H$18,6,0)+SUMIF($C$19:$C1785,$C1785,$F$19:$F1785)-SUMIF($C$19:$C1785,$C1785,$G$19:$G1785),"")</f>
        <v>81211.819999998</v>
      </c>
      <c r="I1785" s="147"/>
      <c r="J1785" s="147"/>
      <c r="K1785" s="147" t="str">
        <f t="shared" si="27"/>
        <v/>
      </c>
      <c r="L1785" s="40"/>
      <c r="M1785"/>
      <c r="N1785"/>
      <c r="O1785"/>
      <c r="P1785"/>
      <c r="Q1785"/>
      <c r="R1785"/>
      <c r="S1785"/>
      <c r="T1785"/>
      <c r="U1785"/>
      <c r="V1785"/>
      <c r="W1785" s="41"/>
      <c r="X1785" s="41"/>
      <c r="Y1785" s="41"/>
    </row>
    <row r="1786" s="27" customFormat="1" ht="23" hidden="1" customHeight="1" spans="1:25">
      <c r="A1786" s="133" t="str">
        <f>IF(B1786="","",COUNTA($B$5:B1786))</f>
        <v/>
      </c>
      <c r="B1786" s="148"/>
      <c r="C1786" s="22" t="s">
        <v>49</v>
      </c>
      <c r="D1786" s="149"/>
      <c r="E1786" s="150"/>
      <c r="F1786" s="151"/>
      <c r="G1786" s="151"/>
      <c r="H1786" s="142">
        <f>IFERROR(VLOOKUP($C1786,$C$5:$H$18,6,0)+SUMIF($C$19:$C1786,$C1786,$F$19:$F1786)-SUMIF($C$19:$C1786,$C1786,$G$19:$G1786),"")</f>
        <v>81211.819999998</v>
      </c>
      <c r="I1786" s="147"/>
      <c r="J1786" s="147"/>
      <c r="K1786" s="147" t="str">
        <f t="shared" si="27"/>
        <v/>
      </c>
      <c r="L1786" s="40"/>
      <c r="M1786"/>
      <c r="N1786"/>
      <c r="O1786"/>
      <c r="P1786"/>
      <c r="Q1786"/>
      <c r="R1786"/>
      <c r="S1786"/>
      <c r="T1786"/>
      <c r="U1786"/>
      <c r="V1786"/>
      <c r="W1786" s="41"/>
      <c r="X1786" s="41"/>
      <c r="Y1786" s="41"/>
    </row>
    <row r="1787" s="27" customFormat="1" ht="23" hidden="1" customHeight="1" spans="1:25">
      <c r="A1787" s="133" t="str">
        <f>IF(B1787="","",COUNTA($B$5:B1787))</f>
        <v/>
      </c>
      <c r="B1787" s="148"/>
      <c r="C1787" s="22" t="s">
        <v>49</v>
      </c>
      <c r="D1787" s="149"/>
      <c r="E1787" s="150"/>
      <c r="F1787" s="151"/>
      <c r="G1787" s="151"/>
      <c r="H1787" s="142">
        <f>IFERROR(VLOOKUP($C1787,$C$5:$H$18,6,0)+SUMIF($C$19:$C1787,$C1787,$F$19:$F1787)-SUMIF($C$19:$C1787,$C1787,$G$19:$G1787),"")</f>
        <v>81211.819999998</v>
      </c>
      <c r="I1787" s="147"/>
      <c r="J1787" s="147"/>
      <c r="K1787" s="147" t="str">
        <f t="shared" si="27"/>
        <v/>
      </c>
      <c r="L1787" s="40"/>
      <c r="M1787"/>
      <c r="N1787"/>
      <c r="O1787"/>
      <c r="P1787"/>
      <c r="Q1787"/>
      <c r="R1787"/>
      <c r="S1787"/>
      <c r="T1787"/>
      <c r="U1787"/>
      <c r="V1787"/>
      <c r="W1787" s="41"/>
      <c r="X1787" s="41"/>
      <c r="Y1787" s="41"/>
    </row>
    <row r="1788" s="27" customFormat="1" ht="23" hidden="1" customHeight="1" spans="1:25">
      <c r="A1788" s="133" t="str">
        <f>IF(B1788="","",COUNTA($B$5:B1788))</f>
        <v/>
      </c>
      <c r="B1788" s="148"/>
      <c r="C1788" s="22" t="s">
        <v>49</v>
      </c>
      <c r="D1788" s="149"/>
      <c r="E1788" s="150"/>
      <c r="F1788" s="151"/>
      <c r="G1788" s="151"/>
      <c r="H1788" s="142">
        <f>IFERROR(VLOOKUP($C1788,$C$5:$H$18,6,0)+SUMIF($C$19:$C1788,$C1788,$F$19:$F1788)-SUMIF($C$19:$C1788,$C1788,$G$19:$G1788),"")</f>
        <v>81211.819999998</v>
      </c>
      <c r="I1788" s="147"/>
      <c r="J1788" s="147"/>
      <c r="K1788" s="147" t="str">
        <f t="shared" si="27"/>
        <v/>
      </c>
      <c r="L1788" s="40"/>
      <c r="M1788"/>
      <c r="N1788"/>
      <c r="O1788"/>
      <c r="P1788"/>
      <c r="Q1788"/>
      <c r="R1788"/>
      <c r="S1788"/>
      <c r="T1788"/>
      <c r="U1788"/>
      <c r="V1788"/>
      <c r="W1788" s="41"/>
      <c r="X1788" s="41"/>
      <c r="Y1788" s="41"/>
    </row>
    <row r="1789" s="27" customFormat="1" ht="23" hidden="1" customHeight="1" spans="1:25">
      <c r="A1789" s="133" t="str">
        <f>IF(B1789="","",COUNTA($B$5:B1789))</f>
        <v/>
      </c>
      <c r="B1789" s="148"/>
      <c r="C1789" s="22" t="s">
        <v>49</v>
      </c>
      <c r="D1789" s="149"/>
      <c r="E1789" s="150"/>
      <c r="F1789" s="151"/>
      <c r="G1789" s="151"/>
      <c r="H1789" s="142">
        <f>IFERROR(VLOOKUP($C1789,$C$5:$H$18,6,0)+SUMIF($C$19:$C1789,$C1789,$F$19:$F1789)-SUMIF($C$19:$C1789,$C1789,$G$19:$G1789),"")</f>
        <v>81211.819999998</v>
      </c>
      <c r="I1789" s="147"/>
      <c r="J1789" s="147"/>
      <c r="K1789" s="147" t="str">
        <f t="shared" si="27"/>
        <v/>
      </c>
      <c r="L1789" s="40"/>
      <c r="M1789"/>
      <c r="N1789"/>
      <c r="O1789"/>
      <c r="P1789"/>
      <c r="Q1789"/>
      <c r="R1789"/>
      <c r="S1789"/>
      <c r="T1789"/>
      <c r="U1789"/>
      <c r="V1789"/>
      <c r="W1789" s="41"/>
      <c r="X1789" s="41"/>
      <c r="Y1789" s="41"/>
    </row>
    <row r="1790" s="27" customFormat="1" ht="23" hidden="1" customHeight="1" spans="1:25">
      <c r="A1790" s="133" t="str">
        <f>IF(B1790="","",COUNTA($B$5:B1790))</f>
        <v/>
      </c>
      <c r="B1790" s="148"/>
      <c r="C1790" s="22" t="s">
        <v>49</v>
      </c>
      <c r="D1790" s="149"/>
      <c r="E1790" s="150"/>
      <c r="F1790" s="151"/>
      <c r="G1790" s="151"/>
      <c r="H1790" s="142">
        <f>IFERROR(VLOOKUP($C1790,$C$5:$H$18,6,0)+SUMIF($C$19:$C1790,$C1790,$F$19:$F1790)-SUMIF($C$19:$C1790,$C1790,$G$19:$G1790),"")</f>
        <v>81211.819999998</v>
      </c>
      <c r="I1790" s="147"/>
      <c r="J1790" s="147"/>
      <c r="K1790" s="147" t="str">
        <f t="shared" si="27"/>
        <v/>
      </c>
      <c r="L1790" s="40"/>
      <c r="M1790"/>
      <c r="N1790"/>
      <c r="O1790"/>
      <c r="P1790"/>
      <c r="Q1790"/>
      <c r="R1790"/>
      <c r="S1790"/>
      <c r="T1790"/>
      <c r="U1790"/>
      <c r="V1790"/>
      <c r="W1790" s="41"/>
      <c r="X1790" s="41"/>
      <c r="Y1790" s="41"/>
    </row>
    <row r="1791" s="27" customFormat="1" ht="23" hidden="1" customHeight="1" spans="1:25">
      <c r="A1791" s="133" t="str">
        <f>IF(B1791="","",COUNTA($B$5:B1791))</f>
        <v/>
      </c>
      <c r="B1791" s="148"/>
      <c r="C1791" s="22" t="s">
        <v>49</v>
      </c>
      <c r="D1791" s="149"/>
      <c r="E1791" s="150"/>
      <c r="F1791" s="151"/>
      <c r="G1791" s="151"/>
      <c r="H1791" s="142">
        <f>IFERROR(VLOOKUP($C1791,$C$5:$H$18,6,0)+SUMIF($C$19:$C1791,$C1791,$F$19:$F1791)-SUMIF($C$19:$C1791,$C1791,$G$19:$G1791),"")</f>
        <v>81211.819999998</v>
      </c>
      <c r="I1791" s="147"/>
      <c r="J1791" s="147"/>
      <c r="K1791" s="147" t="str">
        <f t="shared" si="27"/>
        <v/>
      </c>
      <c r="L1791" s="40"/>
      <c r="M1791"/>
      <c r="N1791"/>
      <c r="O1791"/>
      <c r="P1791"/>
      <c r="Q1791"/>
      <c r="R1791"/>
      <c r="S1791"/>
      <c r="T1791"/>
      <c r="U1791"/>
      <c r="V1791"/>
      <c r="W1791" s="41"/>
      <c r="X1791" s="41"/>
      <c r="Y1791" s="41"/>
    </row>
    <row r="1792" s="27" customFormat="1" ht="23" hidden="1" customHeight="1" spans="1:25">
      <c r="A1792" s="133" t="str">
        <f>IF(B1792="","",COUNTA($B$5:B1792))</f>
        <v/>
      </c>
      <c r="B1792" s="148"/>
      <c r="C1792" s="22" t="s">
        <v>49</v>
      </c>
      <c r="D1792" s="149"/>
      <c r="E1792" s="150"/>
      <c r="F1792" s="151"/>
      <c r="G1792" s="151"/>
      <c r="H1792" s="142">
        <f>IFERROR(VLOOKUP($C1792,$C$5:$H$18,6,0)+SUMIF($C$19:$C1792,$C1792,$F$19:$F1792)-SUMIF($C$19:$C1792,$C1792,$G$19:$G1792),"")</f>
        <v>81211.819999998</v>
      </c>
      <c r="I1792" s="147"/>
      <c r="J1792" s="147"/>
      <c r="K1792" s="147" t="str">
        <f t="shared" si="27"/>
        <v/>
      </c>
      <c r="L1792" s="40"/>
      <c r="M1792"/>
      <c r="N1792"/>
      <c r="O1792"/>
      <c r="P1792"/>
      <c r="Q1792"/>
      <c r="R1792"/>
      <c r="S1792"/>
      <c r="T1792"/>
      <c r="U1792"/>
      <c r="V1792"/>
      <c r="W1792" s="41"/>
      <c r="X1792" s="41"/>
      <c r="Y1792" s="41"/>
    </row>
    <row r="1793" s="27" customFormat="1" ht="23" hidden="1" customHeight="1" spans="1:25">
      <c r="A1793" s="133" t="str">
        <f>IF(B1793="","",COUNTA($B$5:B1793))</f>
        <v/>
      </c>
      <c r="B1793" s="148"/>
      <c r="C1793" s="22" t="s">
        <v>49</v>
      </c>
      <c r="D1793" s="149"/>
      <c r="E1793" s="150"/>
      <c r="F1793" s="151"/>
      <c r="G1793" s="151"/>
      <c r="H1793" s="142">
        <f>IFERROR(VLOOKUP($C1793,$C$5:$H$18,6,0)+SUMIF($C$19:$C1793,$C1793,$F$19:$F1793)-SUMIF($C$19:$C1793,$C1793,$G$19:$G1793),"")</f>
        <v>81211.819999998</v>
      </c>
      <c r="I1793" s="147"/>
      <c r="J1793" s="147"/>
      <c r="K1793" s="147" t="str">
        <f t="shared" si="27"/>
        <v/>
      </c>
      <c r="L1793" s="40"/>
      <c r="M1793"/>
      <c r="N1793"/>
      <c r="O1793"/>
      <c r="P1793"/>
      <c r="Q1793"/>
      <c r="R1793"/>
      <c r="S1793"/>
      <c r="T1793"/>
      <c r="U1793"/>
      <c r="V1793"/>
      <c r="W1793" s="41"/>
      <c r="X1793" s="41"/>
      <c r="Y1793" s="41"/>
    </row>
    <row r="1794" s="27" customFormat="1" ht="23" hidden="1" customHeight="1" spans="1:25">
      <c r="A1794" s="133" t="str">
        <f>IF(B1794="","",COUNTA($B$5:B1794))</f>
        <v/>
      </c>
      <c r="B1794" s="148"/>
      <c r="C1794" s="22" t="s">
        <v>49</v>
      </c>
      <c r="D1794" s="149"/>
      <c r="E1794" s="150"/>
      <c r="F1794" s="151"/>
      <c r="G1794" s="151"/>
      <c r="H1794" s="142">
        <f>IFERROR(VLOOKUP($C1794,$C$5:$H$18,6,0)+SUMIF($C$19:$C1794,$C1794,$F$19:$F1794)-SUMIF($C$19:$C1794,$C1794,$G$19:$G1794),"")</f>
        <v>81211.819999998</v>
      </c>
      <c r="I1794" s="147"/>
      <c r="J1794" s="147"/>
      <c r="K1794" s="147" t="str">
        <f t="shared" si="27"/>
        <v/>
      </c>
      <c r="L1794" s="40"/>
      <c r="M1794"/>
      <c r="N1794"/>
      <c r="O1794"/>
      <c r="P1794"/>
      <c r="Q1794"/>
      <c r="R1794"/>
      <c r="S1794"/>
      <c r="T1794"/>
      <c r="U1794"/>
      <c r="V1794"/>
      <c r="W1794" s="41"/>
      <c r="X1794" s="41"/>
      <c r="Y1794" s="41"/>
    </row>
    <row r="1795" s="27" customFormat="1" ht="23" hidden="1" customHeight="1" spans="1:25">
      <c r="A1795" s="133" t="str">
        <f>IF(B1795="","",COUNTA($B$5:B1795))</f>
        <v/>
      </c>
      <c r="B1795" s="148"/>
      <c r="C1795" s="22" t="s">
        <v>49</v>
      </c>
      <c r="D1795" s="149"/>
      <c r="E1795" s="150"/>
      <c r="F1795" s="151"/>
      <c r="G1795" s="151"/>
      <c r="H1795" s="142">
        <f>IFERROR(VLOOKUP($C1795,$C$5:$H$18,6,0)+SUMIF($C$19:$C1795,$C1795,$F$19:$F1795)-SUMIF($C$19:$C1795,$C1795,$G$19:$G1795),"")</f>
        <v>81211.819999998</v>
      </c>
      <c r="I1795" s="147"/>
      <c r="J1795" s="147"/>
      <c r="K1795" s="147" t="str">
        <f t="shared" si="27"/>
        <v/>
      </c>
      <c r="L1795" s="40"/>
      <c r="M1795"/>
      <c r="N1795"/>
      <c r="O1795"/>
      <c r="P1795"/>
      <c r="Q1795"/>
      <c r="R1795"/>
      <c r="S1795"/>
      <c r="T1795"/>
      <c r="U1795"/>
      <c r="V1795"/>
      <c r="W1795" s="41"/>
      <c r="X1795" s="41"/>
      <c r="Y1795" s="41"/>
    </row>
    <row r="1796" s="27" customFormat="1" ht="23" hidden="1" customHeight="1" spans="1:25">
      <c r="A1796" s="133" t="str">
        <f>IF(B1796="","",COUNTA($B$5:B1796))</f>
        <v/>
      </c>
      <c r="B1796" s="148"/>
      <c r="C1796" s="22" t="s">
        <v>49</v>
      </c>
      <c r="D1796" s="149"/>
      <c r="E1796" s="150"/>
      <c r="F1796" s="151"/>
      <c r="G1796" s="151"/>
      <c r="H1796" s="142">
        <f>IFERROR(VLOOKUP($C1796,$C$5:$H$18,6,0)+SUMIF($C$19:$C1796,$C1796,$F$19:$F1796)-SUMIF($C$19:$C1796,$C1796,$G$19:$G1796),"")</f>
        <v>81211.819999998</v>
      </c>
      <c r="I1796" s="147"/>
      <c r="J1796" s="147"/>
      <c r="K1796" s="147" t="str">
        <f t="shared" si="27"/>
        <v/>
      </c>
      <c r="L1796" s="40"/>
      <c r="M1796"/>
      <c r="N1796"/>
      <c r="O1796"/>
      <c r="P1796"/>
      <c r="Q1796"/>
      <c r="R1796"/>
      <c r="S1796"/>
      <c r="T1796"/>
      <c r="U1796"/>
      <c r="V1796"/>
      <c r="W1796" s="41"/>
      <c r="X1796" s="41"/>
      <c r="Y1796" s="41"/>
    </row>
    <row r="1797" s="27" customFormat="1" ht="23" hidden="1" customHeight="1" spans="1:25">
      <c r="A1797" s="133" t="str">
        <f>IF(B1797="","",COUNTA($B$5:B1797))</f>
        <v/>
      </c>
      <c r="B1797" s="148"/>
      <c r="C1797" s="22" t="s">
        <v>49</v>
      </c>
      <c r="D1797" s="149"/>
      <c r="E1797" s="150"/>
      <c r="F1797" s="151"/>
      <c r="G1797" s="151"/>
      <c r="H1797" s="142">
        <f>IFERROR(VLOOKUP($C1797,$C$5:$H$18,6,0)+SUMIF($C$19:$C1797,$C1797,$F$19:$F1797)-SUMIF($C$19:$C1797,$C1797,$G$19:$G1797),"")</f>
        <v>81211.819999998</v>
      </c>
      <c r="I1797" s="147"/>
      <c r="J1797" s="147"/>
      <c r="K1797" s="147" t="str">
        <f t="shared" ref="K1797:K1860" si="28">IF($B1797="","",--TEXT($B1797,"yyyymm"))</f>
        <v/>
      </c>
      <c r="L1797" s="40"/>
      <c r="M1797"/>
      <c r="N1797"/>
      <c r="O1797"/>
      <c r="P1797"/>
      <c r="Q1797"/>
      <c r="R1797"/>
      <c r="S1797"/>
      <c r="T1797"/>
      <c r="U1797"/>
      <c r="V1797"/>
      <c r="W1797" s="41"/>
      <c r="X1797" s="41"/>
      <c r="Y1797" s="41"/>
    </row>
    <row r="1798" s="27" customFormat="1" ht="23" hidden="1" customHeight="1" spans="1:25">
      <c r="A1798" s="133" t="str">
        <f>IF(B1798="","",COUNTA($B$5:B1798))</f>
        <v/>
      </c>
      <c r="B1798" s="148"/>
      <c r="C1798" s="22" t="s">
        <v>49</v>
      </c>
      <c r="D1798" s="149"/>
      <c r="E1798" s="150"/>
      <c r="F1798" s="151"/>
      <c r="G1798" s="151"/>
      <c r="H1798" s="142">
        <f>IFERROR(VLOOKUP($C1798,$C$5:$H$18,6,0)+SUMIF($C$19:$C1798,$C1798,$F$19:$F1798)-SUMIF($C$19:$C1798,$C1798,$G$19:$G1798),"")</f>
        <v>81211.819999998</v>
      </c>
      <c r="I1798" s="147"/>
      <c r="J1798" s="147"/>
      <c r="K1798" s="147" t="str">
        <f t="shared" si="28"/>
        <v/>
      </c>
      <c r="L1798" s="40"/>
      <c r="M1798"/>
      <c r="N1798"/>
      <c r="O1798"/>
      <c r="P1798"/>
      <c r="Q1798"/>
      <c r="R1798"/>
      <c r="S1798"/>
      <c r="T1798"/>
      <c r="U1798"/>
      <c r="V1798"/>
      <c r="W1798" s="41"/>
      <c r="X1798" s="41"/>
      <c r="Y1798" s="41"/>
    </row>
    <row r="1799" s="27" customFormat="1" ht="23" hidden="1" customHeight="1" spans="1:25">
      <c r="A1799" s="133" t="str">
        <f>IF(B1799="","",COUNTA($B$5:B1799))</f>
        <v/>
      </c>
      <c r="B1799" s="148"/>
      <c r="C1799" s="22" t="s">
        <v>49</v>
      </c>
      <c r="D1799" s="149"/>
      <c r="E1799" s="150"/>
      <c r="F1799" s="151"/>
      <c r="G1799" s="151"/>
      <c r="H1799" s="142">
        <f>IFERROR(VLOOKUP($C1799,$C$5:$H$18,6,0)+SUMIF($C$19:$C1799,$C1799,$F$19:$F1799)-SUMIF($C$19:$C1799,$C1799,$G$19:$G1799),"")</f>
        <v>81211.819999998</v>
      </c>
      <c r="I1799" s="147"/>
      <c r="J1799" s="147"/>
      <c r="K1799" s="147" t="str">
        <f t="shared" si="28"/>
        <v/>
      </c>
      <c r="L1799" s="40"/>
      <c r="M1799"/>
      <c r="N1799"/>
      <c r="O1799"/>
      <c r="P1799"/>
      <c r="Q1799"/>
      <c r="R1799"/>
      <c r="S1799"/>
      <c r="T1799"/>
      <c r="U1799"/>
      <c r="V1799"/>
      <c r="W1799" s="41"/>
      <c r="X1799" s="41"/>
      <c r="Y1799" s="41"/>
    </row>
    <row r="1800" s="27" customFormat="1" ht="23" hidden="1" customHeight="1" spans="1:25">
      <c r="A1800" s="133" t="str">
        <f>IF(B1800="","",COUNTA($B$5:B1800))</f>
        <v/>
      </c>
      <c r="B1800" s="148"/>
      <c r="C1800" s="22" t="s">
        <v>49</v>
      </c>
      <c r="D1800" s="149"/>
      <c r="E1800" s="150"/>
      <c r="F1800" s="151"/>
      <c r="G1800" s="151"/>
      <c r="H1800" s="142">
        <f>IFERROR(VLOOKUP($C1800,$C$5:$H$18,6,0)+SUMIF($C$19:$C1800,$C1800,$F$19:$F1800)-SUMIF($C$19:$C1800,$C1800,$G$19:$G1800),"")</f>
        <v>81211.819999998</v>
      </c>
      <c r="I1800" s="147"/>
      <c r="J1800" s="147"/>
      <c r="K1800" s="147" t="str">
        <f t="shared" si="28"/>
        <v/>
      </c>
      <c r="L1800" s="40"/>
      <c r="M1800"/>
      <c r="N1800"/>
      <c r="O1800"/>
      <c r="P1800"/>
      <c r="Q1800"/>
      <c r="R1800"/>
      <c r="S1800"/>
      <c r="T1800"/>
      <c r="U1800"/>
      <c r="V1800"/>
      <c r="W1800" s="41"/>
      <c r="X1800" s="41"/>
      <c r="Y1800" s="41"/>
    </row>
    <row r="1801" s="27" customFormat="1" ht="23" hidden="1" customHeight="1" spans="1:25">
      <c r="A1801" s="133" t="str">
        <f>IF(B1801="","",COUNTA($B$5:B1801))</f>
        <v/>
      </c>
      <c r="B1801" s="148"/>
      <c r="C1801" s="22" t="s">
        <v>49</v>
      </c>
      <c r="D1801" s="149"/>
      <c r="E1801" s="150"/>
      <c r="F1801" s="151"/>
      <c r="G1801" s="151"/>
      <c r="H1801" s="142">
        <f>IFERROR(VLOOKUP($C1801,$C$5:$H$18,6,0)+SUMIF($C$19:$C1801,$C1801,$F$19:$F1801)-SUMIF($C$19:$C1801,$C1801,$G$19:$G1801),"")</f>
        <v>81211.819999998</v>
      </c>
      <c r="I1801" s="147"/>
      <c r="J1801" s="147"/>
      <c r="K1801" s="147" t="str">
        <f t="shared" si="28"/>
        <v/>
      </c>
      <c r="L1801" s="40"/>
      <c r="M1801"/>
      <c r="N1801"/>
      <c r="O1801"/>
      <c r="P1801"/>
      <c r="Q1801"/>
      <c r="R1801"/>
      <c r="S1801"/>
      <c r="T1801"/>
      <c r="U1801"/>
      <c r="V1801"/>
      <c r="W1801" s="41"/>
      <c r="X1801" s="41"/>
      <c r="Y1801" s="41"/>
    </row>
    <row r="1802" s="27" customFormat="1" ht="23" hidden="1" customHeight="1" spans="1:25">
      <c r="A1802" s="133" t="str">
        <f>IF(B1802="","",COUNTA($B$5:B1802))</f>
        <v/>
      </c>
      <c r="B1802" s="148"/>
      <c r="C1802" s="22" t="s">
        <v>49</v>
      </c>
      <c r="D1802" s="149"/>
      <c r="E1802" s="150"/>
      <c r="F1802" s="151"/>
      <c r="G1802" s="151"/>
      <c r="H1802" s="142">
        <f>IFERROR(VLOOKUP($C1802,$C$5:$H$18,6,0)+SUMIF($C$19:$C1802,$C1802,$F$19:$F1802)-SUMIF($C$19:$C1802,$C1802,$G$19:$G1802),"")</f>
        <v>81211.819999998</v>
      </c>
      <c r="I1802" s="147"/>
      <c r="J1802" s="147"/>
      <c r="K1802" s="147" t="str">
        <f t="shared" si="28"/>
        <v/>
      </c>
      <c r="L1802" s="40"/>
      <c r="M1802"/>
      <c r="N1802"/>
      <c r="O1802"/>
      <c r="P1802"/>
      <c r="Q1802"/>
      <c r="R1802"/>
      <c r="S1802"/>
      <c r="T1802"/>
      <c r="U1802"/>
      <c r="V1802"/>
      <c r="W1802" s="41"/>
      <c r="X1802" s="41"/>
      <c r="Y1802" s="41"/>
    </row>
    <row r="1803" s="27" customFormat="1" ht="23" hidden="1" customHeight="1" spans="1:25">
      <c r="A1803" s="133" t="str">
        <f>IF(B1803="","",COUNTA($B$5:B1803))</f>
        <v/>
      </c>
      <c r="B1803" s="148"/>
      <c r="C1803" s="22" t="s">
        <v>49</v>
      </c>
      <c r="D1803" s="149"/>
      <c r="E1803" s="150"/>
      <c r="F1803" s="151"/>
      <c r="G1803" s="151"/>
      <c r="H1803" s="142">
        <f>IFERROR(VLOOKUP($C1803,$C$5:$H$18,6,0)+SUMIF($C$19:$C1803,$C1803,$F$19:$F1803)-SUMIF($C$19:$C1803,$C1803,$G$19:$G1803),"")</f>
        <v>81211.819999998</v>
      </c>
      <c r="I1803" s="147"/>
      <c r="J1803" s="147"/>
      <c r="K1803" s="147" t="str">
        <f t="shared" si="28"/>
        <v/>
      </c>
      <c r="L1803" s="40"/>
      <c r="M1803"/>
      <c r="N1803"/>
      <c r="O1803"/>
      <c r="P1803"/>
      <c r="Q1803"/>
      <c r="R1803"/>
      <c r="S1803"/>
      <c r="T1803"/>
      <c r="U1803"/>
      <c r="V1803"/>
      <c r="W1803" s="41"/>
      <c r="X1803" s="41"/>
      <c r="Y1803" s="41"/>
    </row>
    <row r="1804" s="27" customFormat="1" ht="23" hidden="1" customHeight="1" spans="1:25">
      <c r="A1804" s="133" t="str">
        <f>IF(B1804="","",COUNTA($B$5:B1804))</f>
        <v/>
      </c>
      <c r="B1804" s="148"/>
      <c r="C1804" s="22" t="s">
        <v>49</v>
      </c>
      <c r="D1804" s="149"/>
      <c r="E1804" s="150"/>
      <c r="F1804" s="151"/>
      <c r="G1804" s="151"/>
      <c r="H1804" s="142">
        <f>IFERROR(VLOOKUP($C1804,$C$5:$H$18,6,0)+SUMIF($C$19:$C1804,$C1804,$F$19:$F1804)-SUMIF($C$19:$C1804,$C1804,$G$19:$G1804),"")</f>
        <v>81211.819999998</v>
      </c>
      <c r="I1804" s="147"/>
      <c r="J1804" s="147"/>
      <c r="K1804" s="147" t="str">
        <f t="shared" si="28"/>
        <v/>
      </c>
      <c r="L1804" s="40"/>
      <c r="M1804"/>
      <c r="N1804"/>
      <c r="O1804"/>
      <c r="P1804"/>
      <c r="Q1804"/>
      <c r="R1804"/>
      <c r="S1804"/>
      <c r="T1804"/>
      <c r="U1804"/>
      <c r="V1804"/>
      <c r="W1804" s="41"/>
      <c r="X1804" s="41"/>
      <c r="Y1804" s="41"/>
    </row>
    <row r="1805" s="27" customFormat="1" ht="23" hidden="1" customHeight="1" spans="1:25">
      <c r="A1805" s="133" t="str">
        <f>IF(B1805="","",COUNTA($B$5:B1805))</f>
        <v/>
      </c>
      <c r="B1805" s="148"/>
      <c r="C1805" s="22" t="s">
        <v>49</v>
      </c>
      <c r="D1805" s="149"/>
      <c r="E1805" s="150"/>
      <c r="F1805" s="151"/>
      <c r="G1805" s="151"/>
      <c r="H1805" s="142">
        <f>IFERROR(VLOOKUP($C1805,$C$5:$H$18,6,0)+SUMIF($C$19:$C1805,$C1805,$F$19:$F1805)-SUMIF($C$19:$C1805,$C1805,$G$19:$G1805),"")</f>
        <v>81211.819999998</v>
      </c>
      <c r="I1805" s="147"/>
      <c r="J1805" s="147"/>
      <c r="K1805" s="147" t="str">
        <f t="shared" si="28"/>
        <v/>
      </c>
      <c r="L1805" s="40"/>
      <c r="M1805"/>
      <c r="N1805"/>
      <c r="O1805"/>
      <c r="P1805"/>
      <c r="Q1805"/>
      <c r="R1805"/>
      <c r="S1805"/>
      <c r="T1805"/>
      <c r="U1805"/>
      <c r="V1805"/>
      <c r="W1805" s="41"/>
      <c r="X1805" s="41"/>
      <c r="Y1805" s="41"/>
    </row>
    <row r="1806" s="27" customFormat="1" ht="23" hidden="1" customHeight="1" spans="1:25">
      <c r="A1806" s="133" t="str">
        <f>IF(B1806="","",COUNTA($B$5:B1806))</f>
        <v/>
      </c>
      <c r="B1806" s="148"/>
      <c r="C1806" s="22" t="s">
        <v>49</v>
      </c>
      <c r="D1806" s="149"/>
      <c r="E1806" s="150"/>
      <c r="F1806" s="151"/>
      <c r="G1806" s="151"/>
      <c r="H1806" s="142">
        <f>IFERROR(VLOOKUP($C1806,$C$5:$H$18,6,0)+SUMIF($C$19:$C1806,$C1806,$F$19:$F1806)-SUMIF($C$19:$C1806,$C1806,$G$19:$G1806),"")</f>
        <v>81211.819999998</v>
      </c>
      <c r="I1806" s="147"/>
      <c r="J1806" s="147"/>
      <c r="K1806" s="147" t="str">
        <f t="shared" si="28"/>
        <v/>
      </c>
      <c r="L1806" s="40"/>
      <c r="M1806"/>
      <c r="N1806"/>
      <c r="O1806"/>
      <c r="P1806"/>
      <c r="Q1806"/>
      <c r="R1806"/>
      <c r="S1806"/>
      <c r="T1806"/>
      <c r="U1806"/>
      <c r="V1806"/>
      <c r="W1806" s="41"/>
      <c r="X1806" s="41"/>
      <c r="Y1806" s="41"/>
    </row>
    <row r="1807" s="27" customFormat="1" ht="23" hidden="1" customHeight="1" spans="1:25">
      <c r="A1807" s="133" t="str">
        <f>IF(B1807="","",COUNTA($B$5:B1807))</f>
        <v/>
      </c>
      <c r="B1807" s="148"/>
      <c r="C1807" s="22" t="s">
        <v>49</v>
      </c>
      <c r="D1807" s="149"/>
      <c r="E1807" s="150"/>
      <c r="F1807" s="151"/>
      <c r="G1807" s="151"/>
      <c r="H1807" s="142">
        <f>IFERROR(VLOOKUP($C1807,$C$5:$H$18,6,0)+SUMIF($C$19:$C1807,$C1807,$F$19:$F1807)-SUMIF($C$19:$C1807,$C1807,$G$19:$G1807),"")</f>
        <v>81211.819999998</v>
      </c>
      <c r="I1807" s="147"/>
      <c r="J1807" s="147"/>
      <c r="K1807" s="147" t="str">
        <f t="shared" si="28"/>
        <v/>
      </c>
      <c r="L1807" s="40"/>
      <c r="M1807"/>
      <c r="N1807"/>
      <c r="O1807"/>
      <c r="P1807"/>
      <c r="Q1807"/>
      <c r="R1807"/>
      <c r="S1807"/>
      <c r="T1807"/>
      <c r="U1807"/>
      <c r="V1807"/>
      <c r="W1807" s="41"/>
      <c r="X1807" s="41"/>
      <c r="Y1807" s="41"/>
    </row>
    <row r="1808" s="27" customFormat="1" ht="23" hidden="1" customHeight="1" spans="1:25">
      <c r="A1808" s="133" t="str">
        <f>IF(B1808="","",COUNTA($B$5:B1808))</f>
        <v/>
      </c>
      <c r="B1808" s="148"/>
      <c r="C1808" s="22" t="s">
        <v>49</v>
      </c>
      <c r="D1808" s="149"/>
      <c r="E1808" s="150"/>
      <c r="F1808" s="151"/>
      <c r="G1808" s="151"/>
      <c r="H1808" s="142">
        <f>IFERROR(VLOOKUP($C1808,$C$5:$H$18,6,0)+SUMIF($C$19:$C1808,$C1808,$F$19:$F1808)-SUMIF($C$19:$C1808,$C1808,$G$19:$G1808),"")</f>
        <v>81211.819999998</v>
      </c>
      <c r="I1808" s="147"/>
      <c r="J1808" s="147"/>
      <c r="K1808" s="147" t="str">
        <f t="shared" si="28"/>
        <v/>
      </c>
      <c r="L1808" s="40"/>
      <c r="M1808"/>
      <c r="N1808"/>
      <c r="O1808"/>
      <c r="P1808"/>
      <c r="Q1808"/>
      <c r="R1808"/>
      <c r="S1808"/>
      <c r="T1808"/>
      <c r="U1808"/>
      <c r="V1808"/>
      <c r="W1808" s="41"/>
      <c r="X1808" s="41"/>
      <c r="Y1808" s="41"/>
    </row>
    <row r="1809" s="27" customFormat="1" ht="23" hidden="1" customHeight="1" spans="1:25">
      <c r="A1809" s="133" t="str">
        <f>IF(B1809="","",COUNTA($B$5:B1809))</f>
        <v/>
      </c>
      <c r="B1809" s="148"/>
      <c r="C1809" s="22" t="s">
        <v>49</v>
      </c>
      <c r="D1809" s="149"/>
      <c r="E1809" s="150"/>
      <c r="F1809" s="151"/>
      <c r="G1809" s="151"/>
      <c r="H1809" s="142">
        <f>IFERROR(VLOOKUP($C1809,$C$5:$H$18,6,0)+SUMIF($C$19:$C1809,$C1809,$F$19:$F1809)-SUMIF($C$19:$C1809,$C1809,$G$19:$G1809),"")</f>
        <v>81211.819999998</v>
      </c>
      <c r="I1809" s="147"/>
      <c r="J1809" s="147"/>
      <c r="K1809" s="147" t="str">
        <f t="shared" si="28"/>
        <v/>
      </c>
      <c r="L1809" s="40"/>
      <c r="M1809"/>
      <c r="N1809"/>
      <c r="O1809"/>
      <c r="P1809"/>
      <c r="Q1809"/>
      <c r="R1809"/>
      <c r="S1809"/>
      <c r="T1809"/>
      <c r="U1809"/>
      <c r="V1809"/>
      <c r="W1809" s="41"/>
      <c r="X1809" s="41"/>
      <c r="Y1809" s="41"/>
    </row>
    <row r="1810" s="27" customFormat="1" ht="23" hidden="1" customHeight="1" spans="1:25">
      <c r="A1810" s="133" t="str">
        <f>IF(B1810="","",COUNTA($B$5:B1810))</f>
        <v/>
      </c>
      <c r="B1810" s="148"/>
      <c r="C1810" s="22" t="s">
        <v>49</v>
      </c>
      <c r="D1810" s="149"/>
      <c r="E1810" s="150"/>
      <c r="F1810" s="151"/>
      <c r="G1810" s="151"/>
      <c r="H1810" s="142">
        <f>IFERROR(VLOOKUP($C1810,$C$5:$H$18,6,0)+SUMIF($C$19:$C1810,$C1810,$F$19:$F1810)-SUMIF($C$19:$C1810,$C1810,$G$19:$G1810),"")</f>
        <v>81211.819999998</v>
      </c>
      <c r="I1810" s="147"/>
      <c r="J1810" s="147"/>
      <c r="K1810" s="147" t="str">
        <f t="shared" si="28"/>
        <v/>
      </c>
      <c r="L1810" s="40"/>
      <c r="M1810"/>
      <c r="N1810"/>
      <c r="O1810"/>
      <c r="P1810"/>
      <c r="Q1810"/>
      <c r="R1810"/>
      <c r="S1810"/>
      <c r="T1810"/>
      <c r="U1810"/>
      <c r="V1810"/>
      <c r="W1810" s="41"/>
      <c r="X1810" s="41"/>
      <c r="Y1810" s="41"/>
    </row>
    <row r="1811" s="27" customFormat="1" ht="23" hidden="1" customHeight="1" spans="1:25">
      <c r="A1811" s="133" t="str">
        <f>IF(B1811="","",COUNTA($B$5:B1811))</f>
        <v/>
      </c>
      <c r="B1811" s="148"/>
      <c r="C1811" s="22" t="s">
        <v>49</v>
      </c>
      <c r="D1811" s="149"/>
      <c r="E1811" s="150"/>
      <c r="F1811" s="151"/>
      <c r="G1811" s="151"/>
      <c r="H1811" s="142">
        <f>IFERROR(VLOOKUP($C1811,$C$5:$H$18,6,0)+SUMIF($C$19:$C1811,$C1811,$F$19:$F1811)-SUMIF($C$19:$C1811,$C1811,$G$19:$G1811),"")</f>
        <v>81211.819999998</v>
      </c>
      <c r="I1811" s="147"/>
      <c r="J1811" s="147"/>
      <c r="K1811" s="147" t="str">
        <f t="shared" si="28"/>
        <v/>
      </c>
      <c r="L1811" s="40"/>
      <c r="M1811"/>
      <c r="N1811"/>
      <c r="O1811"/>
      <c r="P1811"/>
      <c r="Q1811"/>
      <c r="R1811"/>
      <c r="S1811"/>
      <c r="T1811"/>
      <c r="U1811"/>
      <c r="V1811"/>
      <c r="W1811" s="41"/>
      <c r="X1811" s="41"/>
      <c r="Y1811" s="41"/>
    </row>
    <row r="1812" s="27" customFormat="1" ht="23" hidden="1" customHeight="1" spans="1:25">
      <c r="A1812" s="133" t="str">
        <f>IF(B1812="","",COUNTA($B$5:B1812))</f>
        <v/>
      </c>
      <c r="B1812" s="148"/>
      <c r="C1812" s="22" t="s">
        <v>49</v>
      </c>
      <c r="D1812" s="149"/>
      <c r="E1812" s="150"/>
      <c r="F1812" s="151"/>
      <c r="G1812" s="151"/>
      <c r="H1812" s="142">
        <f>IFERROR(VLOOKUP($C1812,$C$5:$H$18,6,0)+SUMIF($C$19:$C1812,$C1812,$F$19:$F1812)-SUMIF($C$19:$C1812,$C1812,$G$19:$G1812),"")</f>
        <v>81211.819999998</v>
      </c>
      <c r="I1812" s="147"/>
      <c r="J1812" s="147"/>
      <c r="K1812" s="147" t="str">
        <f t="shared" si="28"/>
        <v/>
      </c>
      <c r="L1812" s="40"/>
      <c r="M1812"/>
      <c r="N1812"/>
      <c r="O1812"/>
      <c r="P1812"/>
      <c r="Q1812"/>
      <c r="R1812"/>
      <c r="S1812"/>
      <c r="T1812"/>
      <c r="U1812"/>
      <c r="V1812"/>
      <c r="W1812" s="41"/>
      <c r="X1812" s="41"/>
      <c r="Y1812" s="41"/>
    </row>
    <row r="1813" s="27" customFormat="1" ht="23" hidden="1" customHeight="1" spans="1:25">
      <c r="A1813" s="133" t="str">
        <f>IF(B1813="","",COUNTA($B$5:B1813))</f>
        <v/>
      </c>
      <c r="B1813" s="148"/>
      <c r="C1813" s="22" t="s">
        <v>49</v>
      </c>
      <c r="D1813" s="149"/>
      <c r="E1813" s="150"/>
      <c r="F1813" s="151"/>
      <c r="G1813" s="151"/>
      <c r="H1813" s="142">
        <f>IFERROR(VLOOKUP($C1813,$C$5:$H$18,6,0)+SUMIF($C$19:$C1813,$C1813,$F$19:$F1813)-SUMIF($C$19:$C1813,$C1813,$G$19:$G1813),"")</f>
        <v>81211.819999998</v>
      </c>
      <c r="I1813" s="147"/>
      <c r="J1813" s="147"/>
      <c r="K1813" s="147" t="str">
        <f t="shared" si="28"/>
        <v/>
      </c>
      <c r="L1813" s="40"/>
      <c r="M1813"/>
      <c r="N1813"/>
      <c r="O1813"/>
      <c r="P1813"/>
      <c r="Q1813"/>
      <c r="R1813"/>
      <c r="S1813"/>
      <c r="T1813"/>
      <c r="U1813"/>
      <c r="V1813"/>
      <c r="W1813" s="41"/>
      <c r="X1813" s="41"/>
      <c r="Y1813" s="41"/>
    </row>
    <row r="1814" s="27" customFormat="1" ht="23" hidden="1" customHeight="1" spans="1:25">
      <c r="A1814" s="133" t="str">
        <f>IF(B1814="","",COUNTA($B$5:B1814))</f>
        <v/>
      </c>
      <c r="B1814" s="148"/>
      <c r="C1814" s="22" t="s">
        <v>49</v>
      </c>
      <c r="D1814" s="149"/>
      <c r="E1814" s="150"/>
      <c r="F1814" s="151"/>
      <c r="G1814" s="151"/>
      <c r="H1814" s="142">
        <f>IFERROR(VLOOKUP($C1814,$C$5:$H$18,6,0)+SUMIF($C$19:$C1814,$C1814,$F$19:$F1814)-SUMIF($C$19:$C1814,$C1814,$G$19:$G1814),"")</f>
        <v>81211.819999998</v>
      </c>
      <c r="I1814" s="147"/>
      <c r="J1814" s="147"/>
      <c r="K1814" s="147" t="str">
        <f t="shared" si="28"/>
        <v/>
      </c>
      <c r="L1814" s="40"/>
      <c r="M1814"/>
      <c r="N1814"/>
      <c r="O1814"/>
      <c r="P1814"/>
      <c r="Q1814"/>
      <c r="R1814"/>
      <c r="S1814"/>
      <c r="T1814"/>
      <c r="U1814"/>
      <c r="V1814"/>
      <c r="W1814" s="41"/>
      <c r="X1814" s="41"/>
      <c r="Y1814" s="41"/>
    </row>
    <row r="1815" s="27" customFormat="1" ht="23" hidden="1" customHeight="1" spans="1:25">
      <c r="A1815" s="133" t="str">
        <f>IF(B1815="","",COUNTA($B$5:B1815))</f>
        <v/>
      </c>
      <c r="B1815" s="148"/>
      <c r="C1815" s="22" t="s">
        <v>49</v>
      </c>
      <c r="D1815" s="149"/>
      <c r="E1815" s="150"/>
      <c r="F1815" s="151"/>
      <c r="G1815" s="151"/>
      <c r="H1815" s="142">
        <f>IFERROR(VLOOKUP($C1815,$C$5:$H$18,6,0)+SUMIF($C$19:$C1815,$C1815,$F$19:$F1815)-SUMIF($C$19:$C1815,$C1815,$G$19:$G1815),"")</f>
        <v>81211.819999998</v>
      </c>
      <c r="I1815" s="147"/>
      <c r="J1815" s="147"/>
      <c r="K1815" s="147" t="str">
        <f t="shared" si="28"/>
        <v/>
      </c>
      <c r="L1815" s="40"/>
      <c r="M1815"/>
      <c r="N1815"/>
      <c r="O1815"/>
      <c r="P1815"/>
      <c r="Q1815"/>
      <c r="R1815"/>
      <c r="S1815"/>
      <c r="T1815"/>
      <c r="U1815"/>
      <c r="V1815"/>
      <c r="W1815" s="41"/>
      <c r="X1815" s="41"/>
      <c r="Y1815" s="41"/>
    </row>
    <row r="1816" s="27" customFormat="1" ht="23" hidden="1" customHeight="1" spans="1:25">
      <c r="A1816" s="133" t="str">
        <f>IF(B1816="","",COUNTA($B$5:B1816))</f>
        <v/>
      </c>
      <c r="B1816" s="148"/>
      <c r="C1816" s="22" t="s">
        <v>49</v>
      </c>
      <c r="D1816" s="149"/>
      <c r="E1816" s="150"/>
      <c r="F1816" s="151"/>
      <c r="G1816" s="151"/>
      <c r="H1816" s="142">
        <f>IFERROR(VLOOKUP($C1816,$C$5:$H$18,6,0)+SUMIF($C$19:$C1816,$C1816,$F$19:$F1816)-SUMIF($C$19:$C1816,$C1816,$G$19:$G1816),"")</f>
        <v>81211.819999998</v>
      </c>
      <c r="I1816" s="147"/>
      <c r="J1816" s="147"/>
      <c r="K1816" s="147" t="str">
        <f t="shared" si="28"/>
        <v/>
      </c>
      <c r="L1816" s="40"/>
      <c r="M1816"/>
      <c r="N1816"/>
      <c r="O1816"/>
      <c r="P1816"/>
      <c r="Q1816"/>
      <c r="R1816"/>
      <c r="S1816"/>
      <c r="T1816"/>
      <c r="U1816"/>
      <c r="V1816"/>
      <c r="W1816" s="41"/>
      <c r="X1816" s="41"/>
      <c r="Y1816" s="41"/>
    </row>
    <row r="1817" s="27" customFormat="1" ht="23" hidden="1" customHeight="1" spans="1:25">
      <c r="A1817" s="133" t="str">
        <f>IF(B1817="","",COUNTA($B$5:B1817))</f>
        <v/>
      </c>
      <c r="B1817" s="148"/>
      <c r="C1817" s="22" t="s">
        <v>49</v>
      </c>
      <c r="D1817" s="149"/>
      <c r="E1817" s="150"/>
      <c r="F1817" s="151"/>
      <c r="G1817" s="151"/>
      <c r="H1817" s="142">
        <f>IFERROR(VLOOKUP($C1817,$C$5:$H$18,6,0)+SUMIF($C$19:$C1817,$C1817,$F$19:$F1817)-SUMIF($C$19:$C1817,$C1817,$G$19:$G1817),"")</f>
        <v>81211.819999998</v>
      </c>
      <c r="I1817" s="147"/>
      <c r="J1817" s="147"/>
      <c r="K1817" s="147" t="str">
        <f t="shared" si="28"/>
        <v/>
      </c>
      <c r="L1817" s="40"/>
      <c r="M1817"/>
      <c r="N1817"/>
      <c r="O1817"/>
      <c r="P1817"/>
      <c r="Q1817"/>
      <c r="R1817"/>
      <c r="S1817"/>
      <c r="T1817"/>
      <c r="U1817"/>
      <c r="V1817"/>
      <c r="W1817" s="41"/>
      <c r="X1817" s="41"/>
      <c r="Y1817" s="41"/>
    </row>
    <row r="1818" s="27" customFormat="1" ht="23" hidden="1" customHeight="1" spans="1:25">
      <c r="A1818" s="133" t="str">
        <f>IF(B1818="","",COUNTA($B$5:B1818))</f>
        <v/>
      </c>
      <c r="B1818" s="148"/>
      <c r="C1818" s="22" t="s">
        <v>49</v>
      </c>
      <c r="D1818" s="149"/>
      <c r="E1818" s="150"/>
      <c r="F1818" s="151"/>
      <c r="G1818" s="151"/>
      <c r="H1818" s="142">
        <f>IFERROR(VLOOKUP($C1818,$C$5:$H$18,6,0)+SUMIF($C$19:$C1818,$C1818,$F$19:$F1818)-SUMIF($C$19:$C1818,$C1818,$G$19:$G1818),"")</f>
        <v>81211.819999998</v>
      </c>
      <c r="I1818" s="147"/>
      <c r="J1818" s="147"/>
      <c r="K1818" s="147" t="str">
        <f t="shared" si="28"/>
        <v/>
      </c>
      <c r="L1818" s="40"/>
      <c r="M1818"/>
      <c r="N1818"/>
      <c r="O1818"/>
      <c r="P1818"/>
      <c r="Q1818"/>
      <c r="R1818"/>
      <c r="S1818"/>
      <c r="T1818"/>
      <c r="U1818"/>
      <c r="V1818"/>
      <c r="W1818" s="41"/>
      <c r="X1818" s="41"/>
      <c r="Y1818" s="41"/>
    </row>
    <row r="1819" s="27" customFormat="1" ht="23" hidden="1" customHeight="1" spans="1:25">
      <c r="A1819" s="133" t="str">
        <f>IF(B1819="","",COUNTA($B$5:B1819))</f>
        <v/>
      </c>
      <c r="B1819" s="148"/>
      <c r="C1819" s="22" t="s">
        <v>49</v>
      </c>
      <c r="D1819" s="149"/>
      <c r="E1819" s="150"/>
      <c r="F1819" s="151"/>
      <c r="G1819" s="151"/>
      <c r="H1819" s="142">
        <f>IFERROR(VLOOKUP($C1819,$C$5:$H$18,6,0)+SUMIF($C$19:$C1819,$C1819,$F$19:$F1819)-SUMIF($C$19:$C1819,$C1819,$G$19:$G1819),"")</f>
        <v>81211.819999998</v>
      </c>
      <c r="I1819" s="147"/>
      <c r="J1819" s="147"/>
      <c r="K1819" s="147" t="str">
        <f t="shared" si="28"/>
        <v/>
      </c>
      <c r="L1819" s="40"/>
      <c r="M1819"/>
      <c r="N1819"/>
      <c r="O1819"/>
      <c r="P1819"/>
      <c r="Q1819"/>
      <c r="R1819"/>
      <c r="S1819"/>
      <c r="T1819"/>
      <c r="U1819"/>
      <c r="V1819"/>
      <c r="W1819" s="41"/>
      <c r="X1819" s="41"/>
      <c r="Y1819" s="41"/>
    </row>
    <row r="1820" s="27" customFormat="1" ht="23" hidden="1" customHeight="1" spans="1:25">
      <c r="A1820" s="133" t="str">
        <f>IF(B1820="","",COUNTA($B$5:B1820))</f>
        <v/>
      </c>
      <c r="B1820" s="148"/>
      <c r="C1820" s="22" t="s">
        <v>49</v>
      </c>
      <c r="D1820" s="149"/>
      <c r="E1820" s="150"/>
      <c r="F1820" s="151"/>
      <c r="G1820" s="151"/>
      <c r="H1820" s="142">
        <f>IFERROR(VLOOKUP($C1820,$C$5:$H$18,6,0)+SUMIF($C$19:$C1820,$C1820,$F$19:$F1820)-SUMIF($C$19:$C1820,$C1820,$G$19:$G1820),"")</f>
        <v>81211.819999998</v>
      </c>
      <c r="I1820" s="147"/>
      <c r="J1820" s="147"/>
      <c r="K1820" s="147" t="str">
        <f t="shared" si="28"/>
        <v/>
      </c>
      <c r="L1820" s="40"/>
      <c r="M1820"/>
      <c r="N1820"/>
      <c r="O1820"/>
      <c r="P1820"/>
      <c r="Q1820"/>
      <c r="R1820"/>
      <c r="S1820"/>
      <c r="T1820"/>
      <c r="U1820"/>
      <c r="V1820"/>
      <c r="W1820" s="41"/>
      <c r="X1820" s="41"/>
      <c r="Y1820" s="41"/>
    </row>
    <row r="1821" s="27" customFormat="1" ht="23" hidden="1" customHeight="1" spans="1:25">
      <c r="A1821" s="133" t="str">
        <f>IF(B1821="","",COUNTA($B$5:B1821))</f>
        <v/>
      </c>
      <c r="B1821" s="148"/>
      <c r="C1821" s="22" t="s">
        <v>49</v>
      </c>
      <c r="D1821" s="149"/>
      <c r="E1821" s="150"/>
      <c r="F1821" s="151"/>
      <c r="G1821" s="151"/>
      <c r="H1821" s="142">
        <f>IFERROR(VLOOKUP($C1821,$C$5:$H$18,6,0)+SUMIF($C$19:$C1821,$C1821,$F$19:$F1821)-SUMIF($C$19:$C1821,$C1821,$G$19:$G1821),"")</f>
        <v>81211.819999998</v>
      </c>
      <c r="I1821" s="147"/>
      <c r="J1821" s="147"/>
      <c r="K1821" s="147" t="str">
        <f t="shared" si="28"/>
        <v/>
      </c>
      <c r="L1821" s="40"/>
      <c r="M1821"/>
      <c r="N1821"/>
      <c r="O1821"/>
      <c r="P1821"/>
      <c r="Q1821"/>
      <c r="R1821"/>
      <c r="S1821"/>
      <c r="T1821"/>
      <c r="U1821"/>
      <c r="V1821"/>
      <c r="W1821" s="41"/>
      <c r="X1821" s="41"/>
      <c r="Y1821" s="41"/>
    </row>
    <row r="1822" s="27" customFormat="1" ht="23" hidden="1" customHeight="1" spans="1:25">
      <c r="A1822" s="133" t="str">
        <f>IF(B1822="","",COUNTA($B$5:B1822))</f>
        <v/>
      </c>
      <c r="B1822" s="148"/>
      <c r="C1822" s="22" t="s">
        <v>49</v>
      </c>
      <c r="D1822" s="149"/>
      <c r="E1822" s="150"/>
      <c r="F1822" s="151"/>
      <c r="G1822" s="151"/>
      <c r="H1822" s="142">
        <f>IFERROR(VLOOKUP($C1822,$C$5:$H$18,6,0)+SUMIF($C$19:$C1822,$C1822,$F$19:$F1822)-SUMIF($C$19:$C1822,$C1822,$G$19:$G1822),"")</f>
        <v>81211.819999998</v>
      </c>
      <c r="I1822" s="147"/>
      <c r="J1822" s="147"/>
      <c r="K1822" s="147" t="str">
        <f t="shared" si="28"/>
        <v/>
      </c>
      <c r="L1822" s="40"/>
      <c r="M1822"/>
      <c r="N1822"/>
      <c r="O1822"/>
      <c r="P1822"/>
      <c r="Q1822"/>
      <c r="R1822"/>
      <c r="S1822"/>
      <c r="T1822"/>
      <c r="U1822"/>
      <c r="V1822"/>
      <c r="W1822" s="41"/>
      <c r="X1822" s="41"/>
      <c r="Y1822" s="41"/>
    </row>
    <row r="1823" s="27" customFormat="1" ht="23" hidden="1" customHeight="1" spans="1:25">
      <c r="A1823" s="133" t="str">
        <f>IF(B1823="","",COUNTA($B$5:B1823))</f>
        <v/>
      </c>
      <c r="B1823" s="148"/>
      <c r="C1823" s="22" t="s">
        <v>49</v>
      </c>
      <c r="D1823" s="149"/>
      <c r="E1823" s="150"/>
      <c r="F1823" s="151"/>
      <c r="G1823" s="151"/>
      <c r="H1823" s="142">
        <f>IFERROR(VLOOKUP($C1823,$C$5:$H$18,6,0)+SUMIF($C$19:$C1823,$C1823,$F$19:$F1823)-SUMIF($C$19:$C1823,$C1823,$G$19:$G1823),"")</f>
        <v>81211.819999998</v>
      </c>
      <c r="I1823" s="147"/>
      <c r="J1823" s="147"/>
      <c r="K1823" s="147" t="str">
        <f t="shared" si="28"/>
        <v/>
      </c>
      <c r="L1823" s="40"/>
      <c r="M1823"/>
      <c r="N1823"/>
      <c r="O1823"/>
      <c r="P1823"/>
      <c r="Q1823"/>
      <c r="R1823"/>
      <c r="S1823"/>
      <c r="T1823"/>
      <c r="U1823"/>
      <c r="V1823"/>
      <c r="W1823" s="41"/>
      <c r="X1823" s="41"/>
      <c r="Y1823" s="41"/>
    </row>
    <row r="1824" s="27" customFormat="1" ht="23" hidden="1" customHeight="1" spans="1:25">
      <c r="A1824" s="133" t="str">
        <f>IF(B1824="","",COUNTA($B$5:B1824))</f>
        <v/>
      </c>
      <c r="B1824" s="148"/>
      <c r="C1824" s="22" t="s">
        <v>49</v>
      </c>
      <c r="D1824" s="149"/>
      <c r="E1824" s="150"/>
      <c r="F1824" s="151"/>
      <c r="G1824" s="151"/>
      <c r="H1824" s="142">
        <f>IFERROR(VLOOKUP($C1824,$C$5:$H$18,6,0)+SUMIF($C$19:$C1824,$C1824,$F$19:$F1824)-SUMIF($C$19:$C1824,$C1824,$G$19:$G1824),"")</f>
        <v>81211.819999998</v>
      </c>
      <c r="I1824" s="147"/>
      <c r="J1824" s="147"/>
      <c r="K1824" s="147" t="str">
        <f t="shared" si="28"/>
        <v/>
      </c>
      <c r="L1824" s="40"/>
      <c r="M1824"/>
      <c r="N1824"/>
      <c r="O1824"/>
      <c r="P1824"/>
      <c r="Q1824"/>
      <c r="R1824"/>
      <c r="S1824"/>
      <c r="T1824"/>
      <c r="U1824"/>
      <c r="V1824"/>
      <c r="W1824" s="41"/>
      <c r="X1824" s="41"/>
      <c r="Y1824" s="41"/>
    </row>
    <row r="1825" s="27" customFormat="1" ht="23" hidden="1" customHeight="1" spans="1:25">
      <c r="A1825" s="133" t="str">
        <f>IF(B1825="","",COUNTA($B$5:B1825))</f>
        <v/>
      </c>
      <c r="B1825" s="148"/>
      <c r="C1825" s="22" t="s">
        <v>49</v>
      </c>
      <c r="D1825" s="149"/>
      <c r="E1825" s="150"/>
      <c r="F1825" s="151"/>
      <c r="G1825" s="151"/>
      <c r="H1825" s="142">
        <f>IFERROR(VLOOKUP($C1825,$C$5:$H$18,6,0)+SUMIF($C$19:$C1825,$C1825,$F$19:$F1825)-SUMIF($C$19:$C1825,$C1825,$G$19:$G1825),"")</f>
        <v>81211.819999998</v>
      </c>
      <c r="I1825" s="147"/>
      <c r="J1825" s="147"/>
      <c r="K1825" s="147" t="str">
        <f t="shared" si="28"/>
        <v/>
      </c>
      <c r="L1825" s="40"/>
      <c r="M1825"/>
      <c r="N1825"/>
      <c r="O1825"/>
      <c r="P1825"/>
      <c r="Q1825"/>
      <c r="R1825"/>
      <c r="S1825"/>
      <c r="T1825"/>
      <c r="U1825"/>
      <c r="V1825"/>
      <c r="W1825" s="41"/>
      <c r="X1825" s="41"/>
      <c r="Y1825" s="41"/>
    </row>
    <row r="1826" s="27" customFormat="1" ht="23" hidden="1" customHeight="1" spans="1:25">
      <c r="A1826" s="133" t="str">
        <f>IF(B1826="","",COUNTA($B$5:B1826))</f>
        <v/>
      </c>
      <c r="B1826" s="148"/>
      <c r="C1826" s="22" t="s">
        <v>49</v>
      </c>
      <c r="D1826" s="149"/>
      <c r="E1826" s="150"/>
      <c r="F1826" s="151"/>
      <c r="G1826" s="151"/>
      <c r="H1826" s="142">
        <f>IFERROR(VLOOKUP($C1826,$C$5:$H$18,6,0)+SUMIF($C$19:$C1826,$C1826,$F$19:$F1826)-SUMIF($C$19:$C1826,$C1826,$G$19:$G1826),"")</f>
        <v>81211.819999998</v>
      </c>
      <c r="I1826" s="147"/>
      <c r="J1826" s="147"/>
      <c r="K1826" s="147" t="str">
        <f t="shared" si="28"/>
        <v/>
      </c>
      <c r="L1826" s="40"/>
      <c r="M1826"/>
      <c r="N1826"/>
      <c r="O1826"/>
      <c r="P1826"/>
      <c r="Q1826"/>
      <c r="R1826"/>
      <c r="S1826"/>
      <c r="T1826"/>
      <c r="U1826"/>
      <c r="V1826"/>
      <c r="W1826" s="41"/>
      <c r="X1826" s="41"/>
      <c r="Y1826" s="41"/>
    </row>
    <row r="1827" s="27" customFormat="1" ht="23" hidden="1" customHeight="1" spans="1:25">
      <c r="A1827" s="133" t="str">
        <f>IF(B1827="","",COUNTA($B$5:B1827))</f>
        <v/>
      </c>
      <c r="B1827" s="148"/>
      <c r="C1827" s="22" t="s">
        <v>49</v>
      </c>
      <c r="D1827" s="149"/>
      <c r="E1827" s="150"/>
      <c r="F1827" s="151"/>
      <c r="G1827" s="151"/>
      <c r="H1827" s="142">
        <f>IFERROR(VLOOKUP($C1827,$C$5:$H$18,6,0)+SUMIF($C$19:$C1827,$C1827,$F$19:$F1827)-SUMIF($C$19:$C1827,$C1827,$G$19:$G1827),"")</f>
        <v>81211.819999998</v>
      </c>
      <c r="I1827" s="147"/>
      <c r="J1827" s="147"/>
      <c r="K1827" s="147" t="str">
        <f t="shared" si="28"/>
        <v/>
      </c>
      <c r="L1827" s="40"/>
      <c r="M1827"/>
      <c r="N1827"/>
      <c r="O1827"/>
      <c r="P1827"/>
      <c r="Q1827"/>
      <c r="R1827"/>
      <c r="S1827"/>
      <c r="T1827"/>
      <c r="U1827"/>
      <c r="V1827"/>
      <c r="W1827" s="41"/>
      <c r="X1827" s="41"/>
      <c r="Y1827" s="41"/>
    </row>
    <row r="1828" s="27" customFormat="1" ht="23" hidden="1" customHeight="1" spans="1:25">
      <c r="A1828" s="133" t="str">
        <f>IF(B1828="","",COUNTA($B$5:B1828))</f>
        <v/>
      </c>
      <c r="B1828" s="148"/>
      <c r="C1828" s="22" t="s">
        <v>49</v>
      </c>
      <c r="D1828" s="149"/>
      <c r="E1828" s="150"/>
      <c r="F1828" s="151"/>
      <c r="G1828" s="151"/>
      <c r="H1828" s="142">
        <f>IFERROR(VLOOKUP($C1828,$C$5:$H$18,6,0)+SUMIF($C$19:$C1828,$C1828,$F$19:$F1828)-SUMIF($C$19:$C1828,$C1828,$G$19:$G1828),"")</f>
        <v>81211.819999998</v>
      </c>
      <c r="I1828" s="147"/>
      <c r="J1828" s="147"/>
      <c r="K1828" s="147" t="str">
        <f t="shared" si="28"/>
        <v/>
      </c>
      <c r="L1828" s="40"/>
      <c r="M1828"/>
      <c r="N1828"/>
      <c r="O1828"/>
      <c r="P1828"/>
      <c r="Q1828"/>
      <c r="R1828"/>
      <c r="S1828"/>
      <c r="T1828"/>
      <c r="U1828"/>
      <c r="V1828"/>
      <c r="W1828" s="41"/>
      <c r="X1828" s="41"/>
      <c r="Y1828" s="41"/>
    </row>
    <row r="1829" s="27" customFormat="1" ht="23" hidden="1" customHeight="1" spans="1:25">
      <c r="A1829" s="133" t="str">
        <f>IF(B1829="","",COUNTA($B$5:B1829))</f>
        <v/>
      </c>
      <c r="B1829" s="148"/>
      <c r="C1829" s="22" t="s">
        <v>49</v>
      </c>
      <c r="D1829" s="149"/>
      <c r="E1829" s="150"/>
      <c r="F1829" s="151"/>
      <c r="G1829" s="151"/>
      <c r="H1829" s="142">
        <f>IFERROR(VLOOKUP($C1829,$C$5:$H$18,6,0)+SUMIF($C$19:$C1829,$C1829,$F$19:$F1829)-SUMIF($C$19:$C1829,$C1829,$G$19:$G1829),"")</f>
        <v>81211.819999998</v>
      </c>
      <c r="I1829" s="147"/>
      <c r="J1829" s="147"/>
      <c r="K1829" s="147" t="str">
        <f t="shared" si="28"/>
        <v/>
      </c>
      <c r="L1829" s="40"/>
      <c r="M1829"/>
      <c r="N1829"/>
      <c r="O1829"/>
      <c r="P1829"/>
      <c r="Q1829"/>
      <c r="R1829"/>
      <c r="S1829"/>
      <c r="T1829"/>
      <c r="U1829"/>
      <c r="V1829"/>
      <c r="W1829" s="41"/>
      <c r="X1829" s="41"/>
      <c r="Y1829" s="41"/>
    </row>
    <row r="1830" s="27" customFormat="1" ht="23" hidden="1" customHeight="1" spans="1:25">
      <c r="A1830" s="133" t="str">
        <f>IF(B1830="","",COUNTA($B$5:B1830))</f>
        <v/>
      </c>
      <c r="B1830" s="148"/>
      <c r="C1830" s="22" t="s">
        <v>49</v>
      </c>
      <c r="D1830" s="149"/>
      <c r="E1830" s="150"/>
      <c r="F1830" s="151"/>
      <c r="G1830" s="151"/>
      <c r="H1830" s="142">
        <f>IFERROR(VLOOKUP($C1830,$C$5:$H$18,6,0)+SUMIF($C$19:$C1830,$C1830,$F$19:$F1830)-SUMIF($C$19:$C1830,$C1830,$G$19:$G1830),"")</f>
        <v>81211.819999998</v>
      </c>
      <c r="I1830" s="147"/>
      <c r="J1830" s="147"/>
      <c r="K1830" s="147" t="str">
        <f t="shared" si="28"/>
        <v/>
      </c>
      <c r="L1830" s="40"/>
      <c r="M1830"/>
      <c r="N1830"/>
      <c r="O1830"/>
      <c r="P1830"/>
      <c r="Q1830"/>
      <c r="R1830"/>
      <c r="S1830"/>
      <c r="T1830"/>
      <c r="U1830"/>
      <c r="V1830"/>
      <c r="W1830" s="41"/>
      <c r="X1830" s="41"/>
      <c r="Y1830" s="41"/>
    </row>
    <row r="1831" s="27" customFormat="1" ht="23" hidden="1" customHeight="1" spans="1:25">
      <c r="A1831" s="133" t="str">
        <f>IF(B1831="","",COUNTA($B$5:B1831))</f>
        <v/>
      </c>
      <c r="B1831" s="148"/>
      <c r="C1831" s="22" t="s">
        <v>49</v>
      </c>
      <c r="D1831" s="149"/>
      <c r="E1831" s="150"/>
      <c r="F1831" s="151"/>
      <c r="G1831" s="151"/>
      <c r="H1831" s="142">
        <f>IFERROR(VLOOKUP($C1831,$C$5:$H$18,6,0)+SUMIF($C$19:$C1831,$C1831,$F$19:$F1831)-SUMIF($C$19:$C1831,$C1831,$G$19:$G1831),"")</f>
        <v>81211.819999998</v>
      </c>
      <c r="I1831" s="147"/>
      <c r="J1831" s="147"/>
      <c r="K1831" s="147" t="str">
        <f t="shared" si="28"/>
        <v/>
      </c>
      <c r="L1831" s="40"/>
      <c r="M1831"/>
      <c r="N1831"/>
      <c r="O1831"/>
      <c r="P1831"/>
      <c r="Q1831"/>
      <c r="R1831"/>
      <c r="S1831"/>
      <c r="T1831"/>
      <c r="U1831"/>
      <c r="V1831"/>
      <c r="W1831" s="41"/>
      <c r="X1831" s="41"/>
      <c r="Y1831" s="41"/>
    </row>
    <row r="1832" s="27" customFormat="1" ht="23" hidden="1" customHeight="1" spans="1:25">
      <c r="A1832" s="133" t="str">
        <f>IF(B1832="","",COUNTA($B$5:B1832))</f>
        <v/>
      </c>
      <c r="B1832" s="148"/>
      <c r="C1832" s="22" t="s">
        <v>49</v>
      </c>
      <c r="D1832" s="149"/>
      <c r="E1832" s="150"/>
      <c r="F1832" s="151"/>
      <c r="G1832" s="151"/>
      <c r="H1832" s="142">
        <f>IFERROR(VLOOKUP($C1832,$C$5:$H$18,6,0)+SUMIF($C$19:$C1832,$C1832,$F$19:$F1832)-SUMIF($C$19:$C1832,$C1832,$G$19:$G1832),"")</f>
        <v>81211.819999998</v>
      </c>
      <c r="I1832" s="147"/>
      <c r="J1832" s="147"/>
      <c r="K1832" s="147" t="str">
        <f t="shared" si="28"/>
        <v/>
      </c>
      <c r="L1832" s="40"/>
      <c r="M1832"/>
      <c r="N1832"/>
      <c r="O1832"/>
      <c r="P1832"/>
      <c r="Q1832"/>
      <c r="R1832"/>
      <c r="S1832"/>
      <c r="T1832"/>
      <c r="U1832"/>
      <c r="V1832"/>
      <c r="W1832" s="41"/>
      <c r="X1832" s="41"/>
      <c r="Y1832" s="41"/>
    </row>
    <row r="1833" s="27" customFormat="1" ht="23" hidden="1" customHeight="1" spans="1:25">
      <c r="A1833" s="133" t="str">
        <f>IF(B1833="","",COUNTA($B$5:B1833))</f>
        <v/>
      </c>
      <c r="B1833" s="148"/>
      <c r="C1833" s="22" t="s">
        <v>49</v>
      </c>
      <c r="D1833" s="149"/>
      <c r="E1833" s="150"/>
      <c r="F1833" s="151"/>
      <c r="G1833" s="151"/>
      <c r="H1833" s="142">
        <f>IFERROR(VLOOKUP($C1833,$C$5:$H$18,6,0)+SUMIF($C$19:$C1833,$C1833,$F$19:$F1833)-SUMIF($C$19:$C1833,$C1833,$G$19:$G1833),"")</f>
        <v>81211.819999998</v>
      </c>
      <c r="I1833" s="147"/>
      <c r="J1833" s="147"/>
      <c r="K1833" s="147" t="str">
        <f t="shared" si="28"/>
        <v/>
      </c>
      <c r="L1833" s="40"/>
      <c r="M1833"/>
      <c r="N1833"/>
      <c r="O1833"/>
      <c r="P1833"/>
      <c r="Q1833"/>
      <c r="R1833"/>
      <c r="S1833"/>
      <c r="T1833"/>
      <c r="U1833"/>
      <c r="V1833"/>
      <c r="W1833" s="41"/>
      <c r="X1833" s="41"/>
      <c r="Y1833" s="41"/>
    </row>
    <row r="1834" s="27" customFormat="1" ht="23" hidden="1" customHeight="1" spans="1:25">
      <c r="A1834" s="133" t="str">
        <f>IF(B1834="","",COUNTA($B$5:B1834))</f>
        <v/>
      </c>
      <c r="B1834" s="148"/>
      <c r="C1834" s="22" t="s">
        <v>49</v>
      </c>
      <c r="D1834" s="149"/>
      <c r="E1834" s="150"/>
      <c r="F1834" s="151"/>
      <c r="G1834" s="151"/>
      <c r="H1834" s="142">
        <f>IFERROR(VLOOKUP($C1834,$C$5:$H$18,6,0)+SUMIF($C$19:$C1834,$C1834,$F$19:$F1834)-SUMIF($C$19:$C1834,$C1834,$G$19:$G1834),"")</f>
        <v>81211.819999998</v>
      </c>
      <c r="I1834" s="147"/>
      <c r="J1834" s="147"/>
      <c r="K1834" s="147" t="str">
        <f t="shared" si="28"/>
        <v/>
      </c>
      <c r="L1834" s="40"/>
      <c r="M1834"/>
      <c r="N1834"/>
      <c r="O1834"/>
      <c r="P1834"/>
      <c r="Q1834"/>
      <c r="R1834"/>
      <c r="S1834"/>
      <c r="T1834"/>
      <c r="U1834"/>
      <c r="V1834"/>
      <c r="W1834" s="41"/>
      <c r="X1834" s="41"/>
      <c r="Y1834" s="41"/>
    </row>
    <row r="1835" s="27" customFormat="1" ht="23" hidden="1" customHeight="1" spans="1:25">
      <c r="A1835" s="133" t="str">
        <f>IF(B1835="","",COUNTA($B$5:B1835))</f>
        <v/>
      </c>
      <c r="B1835" s="148"/>
      <c r="C1835" s="22" t="s">
        <v>49</v>
      </c>
      <c r="D1835" s="149"/>
      <c r="E1835" s="150"/>
      <c r="F1835" s="151"/>
      <c r="G1835" s="151"/>
      <c r="H1835" s="142">
        <f>IFERROR(VLOOKUP($C1835,$C$5:$H$18,6,0)+SUMIF($C$19:$C1835,$C1835,$F$19:$F1835)-SUMIF($C$19:$C1835,$C1835,$G$19:$G1835),"")</f>
        <v>81211.819999998</v>
      </c>
      <c r="I1835" s="147"/>
      <c r="J1835" s="147"/>
      <c r="K1835" s="147" t="str">
        <f t="shared" si="28"/>
        <v/>
      </c>
      <c r="L1835" s="40"/>
      <c r="M1835"/>
      <c r="N1835"/>
      <c r="O1835"/>
      <c r="P1835"/>
      <c r="Q1835"/>
      <c r="R1835"/>
      <c r="S1835"/>
      <c r="T1835"/>
      <c r="U1835"/>
      <c r="V1835"/>
      <c r="W1835" s="41"/>
      <c r="X1835" s="41"/>
      <c r="Y1835" s="41"/>
    </row>
    <row r="1836" s="27" customFormat="1" ht="23" hidden="1" customHeight="1" spans="1:25">
      <c r="A1836" s="133" t="str">
        <f>IF(B1836="","",COUNTA($B$5:B1836))</f>
        <v/>
      </c>
      <c r="B1836" s="148"/>
      <c r="C1836" s="22" t="s">
        <v>49</v>
      </c>
      <c r="D1836" s="149"/>
      <c r="E1836" s="150"/>
      <c r="F1836" s="151"/>
      <c r="G1836" s="151"/>
      <c r="H1836" s="142">
        <f>IFERROR(VLOOKUP($C1836,$C$5:$H$18,6,0)+SUMIF($C$19:$C1836,$C1836,$F$19:$F1836)-SUMIF($C$19:$C1836,$C1836,$G$19:$G1836),"")</f>
        <v>81211.819999998</v>
      </c>
      <c r="I1836" s="147"/>
      <c r="J1836" s="147"/>
      <c r="K1836" s="147" t="str">
        <f t="shared" si="28"/>
        <v/>
      </c>
      <c r="L1836" s="40"/>
      <c r="M1836"/>
      <c r="N1836"/>
      <c r="O1836"/>
      <c r="P1836"/>
      <c r="Q1836"/>
      <c r="R1836"/>
      <c r="S1836"/>
      <c r="T1836"/>
      <c r="U1836"/>
      <c r="V1836"/>
      <c r="W1836" s="41"/>
      <c r="X1836" s="41"/>
      <c r="Y1836" s="41"/>
    </row>
    <row r="1837" s="27" customFormat="1" ht="23" hidden="1" customHeight="1" spans="1:25">
      <c r="A1837" s="133" t="str">
        <f>IF(B1837="","",COUNTA($B$5:B1837))</f>
        <v/>
      </c>
      <c r="B1837" s="148"/>
      <c r="C1837" s="22" t="s">
        <v>49</v>
      </c>
      <c r="D1837" s="149"/>
      <c r="E1837" s="150"/>
      <c r="F1837" s="151"/>
      <c r="G1837" s="151"/>
      <c r="H1837" s="142">
        <f>IFERROR(VLOOKUP($C1837,$C$5:$H$18,6,0)+SUMIF($C$19:$C1837,$C1837,$F$19:$F1837)-SUMIF($C$19:$C1837,$C1837,$G$19:$G1837),"")</f>
        <v>81211.819999998</v>
      </c>
      <c r="I1837" s="147"/>
      <c r="J1837" s="147"/>
      <c r="K1837" s="147" t="str">
        <f t="shared" si="28"/>
        <v/>
      </c>
      <c r="L1837" s="40"/>
      <c r="M1837"/>
      <c r="N1837"/>
      <c r="O1837"/>
      <c r="P1837"/>
      <c r="Q1837"/>
      <c r="R1837"/>
      <c r="S1837"/>
      <c r="T1837"/>
      <c r="U1837"/>
      <c r="V1837"/>
      <c r="W1837" s="41"/>
      <c r="X1837" s="41"/>
      <c r="Y1837" s="41"/>
    </row>
    <row r="1838" s="27" customFormat="1" ht="23" hidden="1" customHeight="1" spans="1:25">
      <c r="A1838" s="133" t="str">
        <f>IF(B1838="","",COUNTA($B$5:B1838))</f>
        <v/>
      </c>
      <c r="B1838" s="148"/>
      <c r="C1838" s="22" t="s">
        <v>49</v>
      </c>
      <c r="D1838" s="149"/>
      <c r="E1838" s="150"/>
      <c r="F1838" s="151"/>
      <c r="G1838" s="151"/>
      <c r="H1838" s="142">
        <f>IFERROR(VLOOKUP($C1838,$C$5:$H$18,6,0)+SUMIF($C$19:$C1838,$C1838,$F$19:$F1838)-SUMIF($C$19:$C1838,$C1838,$G$19:$G1838),"")</f>
        <v>81211.819999998</v>
      </c>
      <c r="I1838" s="147"/>
      <c r="J1838" s="147"/>
      <c r="K1838" s="147" t="str">
        <f t="shared" si="28"/>
        <v/>
      </c>
      <c r="L1838" s="40"/>
      <c r="M1838"/>
      <c r="N1838"/>
      <c r="O1838"/>
      <c r="P1838"/>
      <c r="Q1838"/>
      <c r="R1838"/>
      <c r="S1838"/>
      <c r="T1838"/>
      <c r="U1838"/>
      <c r="V1838"/>
      <c r="W1838" s="41"/>
      <c r="X1838" s="41"/>
      <c r="Y1838" s="41"/>
    </row>
    <row r="1839" s="27" customFormat="1" ht="23" hidden="1" customHeight="1" spans="1:25">
      <c r="A1839" s="133" t="str">
        <f>IF(B1839="","",COUNTA($B$5:B1839))</f>
        <v/>
      </c>
      <c r="B1839" s="148"/>
      <c r="C1839" s="22" t="s">
        <v>49</v>
      </c>
      <c r="D1839" s="149"/>
      <c r="E1839" s="150"/>
      <c r="F1839" s="151"/>
      <c r="G1839" s="151"/>
      <c r="H1839" s="142">
        <f>IFERROR(VLOOKUP($C1839,$C$5:$H$18,6,0)+SUMIF($C$19:$C1839,$C1839,$F$19:$F1839)-SUMIF($C$19:$C1839,$C1839,$G$19:$G1839),"")</f>
        <v>81211.819999998</v>
      </c>
      <c r="I1839" s="147"/>
      <c r="J1839" s="147"/>
      <c r="K1839" s="147" t="str">
        <f t="shared" si="28"/>
        <v/>
      </c>
      <c r="L1839" s="40"/>
      <c r="M1839"/>
      <c r="N1839"/>
      <c r="O1839"/>
      <c r="P1839"/>
      <c r="Q1839"/>
      <c r="R1839"/>
      <c r="S1839"/>
      <c r="T1839"/>
      <c r="U1839"/>
      <c r="V1839"/>
      <c r="W1839" s="41"/>
      <c r="X1839" s="41"/>
      <c r="Y1839" s="41"/>
    </row>
    <row r="1840" s="27" customFormat="1" ht="23" hidden="1" customHeight="1" spans="1:25">
      <c r="A1840" s="133" t="str">
        <f>IF(B1840="","",COUNTA($B$5:B1840))</f>
        <v/>
      </c>
      <c r="B1840" s="148"/>
      <c r="C1840" s="22" t="s">
        <v>49</v>
      </c>
      <c r="D1840" s="149"/>
      <c r="E1840" s="150"/>
      <c r="F1840" s="151"/>
      <c r="G1840" s="151"/>
      <c r="H1840" s="142">
        <f>IFERROR(VLOOKUP($C1840,$C$5:$H$18,6,0)+SUMIF($C$19:$C1840,$C1840,$F$19:$F1840)-SUMIF($C$19:$C1840,$C1840,$G$19:$G1840),"")</f>
        <v>81211.819999998</v>
      </c>
      <c r="I1840" s="147"/>
      <c r="J1840" s="147"/>
      <c r="K1840" s="147" t="str">
        <f t="shared" si="28"/>
        <v/>
      </c>
      <c r="L1840" s="40"/>
      <c r="M1840"/>
      <c r="N1840"/>
      <c r="O1840"/>
      <c r="P1840"/>
      <c r="Q1840"/>
      <c r="R1840"/>
      <c r="S1840"/>
      <c r="T1840"/>
      <c r="U1840"/>
      <c r="V1840"/>
      <c r="W1840" s="41"/>
      <c r="X1840" s="41"/>
      <c r="Y1840" s="41"/>
    </row>
    <row r="1841" s="27" customFormat="1" ht="23" hidden="1" customHeight="1" spans="1:25">
      <c r="A1841" s="133" t="str">
        <f>IF(B1841="","",COUNTA($B$5:B1841))</f>
        <v/>
      </c>
      <c r="B1841" s="148"/>
      <c r="C1841" s="22" t="s">
        <v>49</v>
      </c>
      <c r="D1841" s="149"/>
      <c r="E1841" s="150"/>
      <c r="F1841" s="151"/>
      <c r="G1841" s="151"/>
      <c r="H1841" s="142">
        <f>IFERROR(VLOOKUP($C1841,$C$5:$H$18,6,0)+SUMIF($C$19:$C1841,$C1841,$F$19:$F1841)-SUMIF($C$19:$C1841,$C1841,$G$19:$G1841),"")</f>
        <v>81211.819999998</v>
      </c>
      <c r="I1841" s="147"/>
      <c r="J1841" s="147"/>
      <c r="K1841" s="147" t="str">
        <f t="shared" si="28"/>
        <v/>
      </c>
      <c r="L1841" s="40"/>
      <c r="M1841"/>
      <c r="N1841"/>
      <c r="O1841"/>
      <c r="P1841"/>
      <c r="Q1841"/>
      <c r="R1841"/>
      <c r="S1841"/>
      <c r="T1841"/>
      <c r="U1841"/>
      <c r="V1841"/>
      <c r="W1841" s="41"/>
      <c r="X1841" s="41"/>
      <c r="Y1841" s="41"/>
    </row>
    <row r="1842" s="27" customFormat="1" ht="23" hidden="1" customHeight="1" spans="1:25">
      <c r="A1842" s="133" t="str">
        <f>IF(B1842="","",COUNTA($B$5:B1842))</f>
        <v/>
      </c>
      <c r="B1842" s="148"/>
      <c r="C1842" s="22" t="s">
        <v>49</v>
      </c>
      <c r="D1842" s="149"/>
      <c r="E1842" s="150"/>
      <c r="F1842" s="151"/>
      <c r="G1842" s="151"/>
      <c r="H1842" s="142">
        <f>IFERROR(VLOOKUP($C1842,$C$5:$H$18,6,0)+SUMIF($C$19:$C1842,$C1842,$F$19:$F1842)-SUMIF($C$19:$C1842,$C1842,$G$19:$G1842),"")</f>
        <v>81211.819999998</v>
      </c>
      <c r="I1842" s="147"/>
      <c r="J1842" s="147"/>
      <c r="K1842" s="147" t="str">
        <f t="shared" si="28"/>
        <v/>
      </c>
      <c r="L1842" s="40"/>
      <c r="M1842"/>
      <c r="N1842"/>
      <c r="O1842"/>
      <c r="P1842"/>
      <c r="Q1842"/>
      <c r="R1842"/>
      <c r="S1842"/>
      <c r="T1842"/>
      <c r="U1842"/>
      <c r="V1842"/>
      <c r="W1842" s="41"/>
      <c r="X1842" s="41"/>
      <c r="Y1842" s="41"/>
    </row>
    <row r="1843" s="27" customFormat="1" ht="23" hidden="1" customHeight="1" spans="1:25">
      <c r="A1843" s="133" t="str">
        <f>IF(B1843="","",COUNTA($B$5:B1843))</f>
        <v/>
      </c>
      <c r="B1843" s="148"/>
      <c r="C1843" s="22" t="s">
        <v>49</v>
      </c>
      <c r="D1843" s="149"/>
      <c r="E1843" s="150"/>
      <c r="F1843" s="151"/>
      <c r="G1843" s="151"/>
      <c r="H1843" s="142">
        <f>IFERROR(VLOOKUP($C1843,$C$5:$H$18,6,0)+SUMIF($C$19:$C1843,$C1843,$F$19:$F1843)-SUMIF($C$19:$C1843,$C1843,$G$19:$G1843),"")</f>
        <v>81211.819999998</v>
      </c>
      <c r="I1843" s="147"/>
      <c r="J1843" s="147"/>
      <c r="K1843" s="147" t="str">
        <f t="shared" si="28"/>
        <v/>
      </c>
      <c r="L1843" s="40"/>
      <c r="M1843"/>
      <c r="N1843"/>
      <c r="O1843"/>
      <c r="P1843"/>
      <c r="Q1843"/>
      <c r="R1843"/>
      <c r="S1843"/>
      <c r="T1843"/>
      <c r="U1843"/>
      <c r="V1843"/>
      <c r="W1843" s="41"/>
      <c r="X1843" s="41"/>
      <c r="Y1843" s="41"/>
    </row>
    <row r="1844" s="27" customFormat="1" ht="23" hidden="1" customHeight="1" spans="1:25">
      <c r="A1844" s="133" t="str">
        <f>IF(B1844="","",COUNTA($B$5:B1844))</f>
        <v/>
      </c>
      <c r="B1844" s="148"/>
      <c r="C1844" s="22" t="s">
        <v>49</v>
      </c>
      <c r="D1844" s="149"/>
      <c r="E1844" s="150"/>
      <c r="F1844" s="151"/>
      <c r="G1844" s="151"/>
      <c r="H1844" s="142">
        <f>IFERROR(VLOOKUP($C1844,$C$5:$H$18,6,0)+SUMIF($C$19:$C1844,$C1844,$F$19:$F1844)-SUMIF($C$19:$C1844,$C1844,$G$19:$G1844),"")</f>
        <v>81211.819999998</v>
      </c>
      <c r="I1844" s="147"/>
      <c r="J1844" s="147"/>
      <c r="K1844" s="147" t="str">
        <f t="shared" si="28"/>
        <v/>
      </c>
      <c r="L1844" s="40"/>
      <c r="M1844"/>
      <c r="N1844"/>
      <c r="O1844"/>
      <c r="P1844"/>
      <c r="Q1844"/>
      <c r="R1844"/>
      <c r="S1844"/>
      <c r="T1844"/>
      <c r="U1844"/>
      <c r="V1844"/>
      <c r="W1844" s="41"/>
      <c r="X1844" s="41"/>
      <c r="Y1844" s="41"/>
    </row>
    <row r="1845" s="27" customFormat="1" ht="23" hidden="1" customHeight="1" spans="1:25">
      <c r="A1845" s="133" t="str">
        <f>IF(B1845="","",COUNTA($B$5:B1845))</f>
        <v/>
      </c>
      <c r="B1845" s="148"/>
      <c r="C1845" s="22" t="s">
        <v>49</v>
      </c>
      <c r="D1845" s="149"/>
      <c r="E1845" s="150"/>
      <c r="F1845" s="151"/>
      <c r="G1845" s="151"/>
      <c r="H1845" s="142">
        <f>IFERROR(VLOOKUP($C1845,$C$5:$H$18,6,0)+SUMIF($C$19:$C1845,$C1845,$F$19:$F1845)-SUMIF($C$19:$C1845,$C1845,$G$19:$G1845),"")</f>
        <v>81211.819999998</v>
      </c>
      <c r="I1845" s="147"/>
      <c r="J1845" s="147"/>
      <c r="K1845" s="147" t="str">
        <f t="shared" si="28"/>
        <v/>
      </c>
      <c r="L1845" s="40"/>
      <c r="M1845"/>
      <c r="N1845"/>
      <c r="O1845"/>
      <c r="P1845"/>
      <c r="Q1845"/>
      <c r="R1845"/>
      <c r="S1845"/>
      <c r="T1845"/>
      <c r="U1845"/>
      <c r="V1845"/>
      <c r="W1845" s="41"/>
      <c r="X1845" s="41"/>
      <c r="Y1845" s="41"/>
    </row>
    <row r="1846" s="27" customFormat="1" ht="23" hidden="1" customHeight="1" spans="1:25">
      <c r="A1846" s="133" t="str">
        <f>IF(B1846="","",COUNTA($B$5:B1846))</f>
        <v/>
      </c>
      <c r="B1846" s="148"/>
      <c r="C1846" s="22" t="s">
        <v>49</v>
      </c>
      <c r="D1846" s="149"/>
      <c r="E1846" s="150"/>
      <c r="F1846" s="151"/>
      <c r="G1846" s="151"/>
      <c r="H1846" s="142">
        <f>IFERROR(VLOOKUP($C1846,$C$5:$H$18,6,0)+SUMIF($C$19:$C1846,$C1846,$F$19:$F1846)-SUMIF($C$19:$C1846,$C1846,$G$19:$G1846),"")</f>
        <v>81211.819999998</v>
      </c>
      <c r="I1846" s="147"/>
      <c r="J1846" s="147"/>
      <c r="K1846" s="147" t="str">
        <f t="shared" si="28"/>
        <v/>
      </c>
      <c r="L1846" s="40"/>
      <c r="M1846"/>
      <c r="N1846"/>
      <c r="O1846"/>
      <c r="P1846"/>
      <c r="Q1846"/>
      <c r="R1846"/>
      <c r="S1846"/>
      <c r="T1846"/>
      <c r="U1846"/>
      <c r="V1846"/>
      <c r="W1846" s="41"/>
      <c r="X1846" s="41"/>
      <c r="Y1846" s="41"/>
    </row>
    <row r="1847" s="27" customFormat="1" ht="23" hidden="1" customHeight="1" spans="1:25">
      <c r="A1847" s="133" t="str">
        <f>IF(B1847="","",COUNTA($B$5:B1847))</f>
        <v/>
      </c>
      <c r="B1847" s="148"/>
      <c r="C1847" s="22" t="s">
        <v>49</v>
      </c>
      <c r="D1847" s="149"/>
      <c r="E1847" s="150"/>
      <c r="F1847" s="151"/>
      <c r="G1847" s="151"/>
      <c r="H1847" s="142">
        <f>IFERROR(VLOOKUP($C1847,$C$5:$H$18,6,0)+SUMIF($C$19:$C1847,$C1847,$F$19:$F1847)-SUMIF($C$19:$C1847,$C1847,$G$19:$G1847),"")</f>
        <v>81211.819999998</v>
      </c>
      <c r="I1847" s="147"/>
      <c r="J1847" s="147"/>
      <c r="K1847" s="147" t="str">
        <f t="shared" si="28"/>
        <v/>
      </c>
      <c r="L1847" s="40"/>
      <c r="M1847"/>
      <c r="N1847"/>
      <c r="O1847"/>
      <c r="P1847"/>
      <c r="Q1847"/>
      <c r="R1847"/>
      <c r="S1847"/>
      <c r="T1847"/>
      <c r="U1847"/>
      <c r="V1847"/>
      <c r="W1847" s="41"/>
      <c r="X1847" s="41"/>
      <c r="Y1847" s="41"/>
    </row>
    <row r="1848" s="27" customFormat="1" ht="23" hidden="1" customHeight="1" spans="1:25">
      <c r="A1848" s="133" t="str">
        <f>IF(B1848="","",COUNTA($B$5:B1848))</f>
        <v/>
      </c>
      <c r="B1848" s="148"/>
      <c r="C1848" s="22" t="s">
        <v>49</v>
      </c>
      <c r="D1848" s="149"/>
      <c r="E1848" s="150"/>
      <c r="F1848" s="151"/>
      <c r="G1848" s="151"/>
      <c r="H1848" s="142">
        <f>IFERROR(VLOOKUP($C1848,$C$5:$H$18,6,0)+SUMIF($C$19:$C1848,$C1848,$F$19:$F1848)-SUMIF($C$19:$C1848,$C1848,$G$19:$G1848),"")</f>
        <v>81211.819999998</v>
      </c>
      <c r="I1848" s="147"/>
      <c r="J1848" s="147"/>
      <c r="K1848" s="147" t="str">
        <f t="shared" si="28"/>
        <v/>
      </c>
      <c r="L1848" s="40"/>
      <c r="M1848"/>
      <c r="N1848"/>
      <c r="O1848"/>
      <c r="P1848"/>
      <c r="Q1848"/>
      <c r="R1848"/>
      <c r="S1848"/>
      <c r="T1848"/>
      <c r="U1848"/>
      <c r="V1848"/>
      <c r="W1848" s="41"/>
      <c r="X1848" s="41"/>
      <c r="Y1848" s="41"/>
    </row>
    <row r="1849" s="27" customFormat="1" ht="23" hidden="1" customHeight="1" spans="1:25">
      <c r="A1849" s="133" t="str">
        <f>IF(B1849="","",COUNTA($B$5:B1849))</f>
        <v/>
      </c>
      <c r="B1849" s="148"/>
      <c r="C1849" s="22" t="s">
        <v>49</v>
      </c>
      <c r="D1849" s="149"/>
      <c r="E1849" s="150"/>
      <c r="F1849" s="151"/>
      <c r="G1849" s="151"/>
      <c r="H1849" s="142">
        <f>IFERROR(VLOOKUP($C1849,$C$5:$H$18,6,0)+SUMIF($C$19:$C1849,$C1849,$F$19:$F1849)-SUMIF($C$19:$C1849,$C1849,$G$19:$G1849),"")</f>
        <v>81211.819999998</v>
      </c>
      <c r="I1849" s="147"/>
      <c r="J1849" s="147"/>
      <c r="K1849" s="147" t="str">
        <f t="shared" si="28"/>
        <v/>
      </c>
      <c r="L1849" s="40"/>
      <c r="M1849"/>
      <c r="N1849"/>
      <c r="O1849"/>
      <c r="P1849"/>
      <c r="Q1849"/>
      <c r="R1849"/>
      <c r="S1849"/>
      <c r="T1849"/>
      <c r="U1849"/>
      <c r="V1849"/>
      <c r="W1849" s="41"/>
      <c r="X1849" s="41"/>
      <c r="Y1849" s="41"/>
    </row>
    <row r="1850" s="27" customFormat="1" ht="23" hidden="1" customHeight="1" spans="1:25">
      <c r="A1850" s="133" t="str">
        <f>IF(B1850="","",COUNTA($B$5:B1850))</f>
        <v/>
      </c>
      <c r="B1850" s="148"/>
      <c r="C1850" s="22" t="s">
        <v>49</v>
      </c>
      <c r="D1850" s="149"/>
      <c r="E1850" s="150"/>
      <c r="F1850" s="151"/>
      <c r="G1850" s="151"/>
      <c r="H1850" s="142">
        <f>IFERROR(VLOOKUP($C1850,$C$5:$H$18,6,0)+SUMIF($C$19:$C1850,$C1850,$F$19:$F1850)-SUMIF($C$19:$C1850,$C1850,$G$19:$G1850),"")</f>
        <v>81211.819999998</v>
      </c>
      <c r="I1850" s="147"/>
      <c r="J1850" s="147"/>
      <c r="K1850" s="147" t="str">
        <f t="shared" si="28"/>
        <v/>
      </c>
      <c r="L1850" s="40"/>
      <c r="M1850"/>
      <c r="N1850"/>
      <c r="O1850"/>
      <c r="P1850"/>
      <c r="Q1850"/>
      <c r="R1850"/>
      <c r="S1850"/>
      <c r="T1850"/>
      <c r="U1850"/>
      <c r="V1850"/>
      <c r="W1850" s="41"/>
      <c r="X1850" s="41"/>
      <c r="Y1850" s="41"/>
    </row>
    <row r="1851" s="27" customFormat="1" ht="23" hidden="1" customHeight="1" spans="1:25">
      <c r="A1851" s="133" t="str">
        <f>IF(B1851="","",COUNTA($B$5:B1851))</f>
        <v/>
      </c>
      <c r="B1851" s="148"/>
      <c r="C1851" s="22" t="s">
        <v>49</v>
      </c>
      <c r="D1851" s="149"/>
      <c r="E1851" s="150"/>
      <c r="F1851" s="151"/>
      <c r="G1851" s="151"/>
      <c r="H1851" s="142">
        <f>IFERROR(VLOOKUP($C1851,$C$5:$H$18,6,0)+SUMIF($C$19:$C1851,$C1851,$F$19:$F1851)-SUMIF($C$19:$C1851,$C1851,$G$19:$G1851),"")</f>
        <v>81211.819999998</v>
      </c>
      <c r="I1851" s="147"/>
      <c r="J1851" s="147"/>
      <c r="K1851" s="147" t="str">
        <f t="shared" si="28"/>
        <v/>
      </c>
      <c r="L1851" s="40"/>
      <c r="M1851"/>
      <c r="N1851"/>
      <c r="O1851"/>
      <c r="P1851"/>
      <c r="Q1851"/>
      <c r="R1851"/>
      <c r="S1851"/>
      <c r="T1851"/>
      <c r="U1851"/>
      <c r="V1851"/>
      <c r="W1851" s="41"/>
      <c r="X1851" s="41"/>
      <c r="Y1851" s="41"/>
    </row>
    <row r="1852" s="27" customFormat="1" ht="23" hidden="1" customHeight="1" spans="1:25">
      <c r="A1852" s="133" t="str">
        <f>IF(B1852="","",COUNTA($B$5:B1852))</f>
        <v/>
      </c>
      <c r="B1852" s="148"/>
      <c r="C1852" s="22" t="s">
        <v>49</v>
      </c>
      <c r="D1852" s="149"/>
      <c r="E1852" s="150"/>
      <c r="F1852" s="151"/>
      <c r="G1852" s="151"/>
      <c r="H1852" s="142">
        <f>IFERROR(VLOOKUP($C1852,$C$5:$H$18,6,0)+SUMIF($C$19:$C1852,$C1852,$F$19:$F1852)-SUMIF($C$19:$C1852,$C1852,$G$19:$G1852),"")</f>
        <v>81211.819999998</v>
      </c>
      <c r="I1852" s="147"/>
      <c r="J1852" s="147"/>
      <c r="K1852" s="147" t="str">
        <f t="shared" si="28"/>
        <v/>
      </c>
      <c r="L1852" s="40"/>
      <c r="M1852"/>
      <c r="N1852"/>
      <c r="O1852"/>
      <c r="P1852"/>
      <c r="Q1852"/>
      <c r="R1852"/>
      <c r="S1852"/>
      <c r="T1852"/>
      <c r="U1852"/>
      <c r="V1852"/>
      <c r="W1852" s="41"/>
      <c r="X1852" s="41"/>
      <c r="Y1852" s="41"/>
    </row>
    <row r="1853" s="27" customFormat="1" ht="23" hidden="1" customHeight="1" spans="1:25">
      <c r="A1853" s="133" t="str">
        <f>IF(B1853="","",COUNTA($B$5:B1853))</f>
        <v/>
      </c>
      <c r="B1853" s="148"/>
      <c r="C1853" s="22" t="s">
        <v>49</v>
      </c>
      <c r="D1853" s="149"/>
      <c r="E1853" s="150"/>
      <c r="F1853" s="151"/>
      <c r="G1853" s="151"/>
      <c r="H1853" s="142">
        <f>IFERROR(VLOOKUP($C1853,$C$5:$H$18,6,0)+SUMIF($C$19:$C1853,$C1853,$F$19:$F1853)-SUMIF($C$19:$C1853,$C1853,$G$19:$G1853),"")</f>
        <v>81211.819999998</v>
      </c>
      <c r="I1853" s="147"/>
      <c r="J1853" s="147"/>
      <c r="K1853" s="147" t="str">
        <f t="shared" si="28"/>
        <v/>
      </c>
      <c r="L1853" s="40"/>
      <c r="M1853"/>
      <c r="N1853"/>
      <c r="O1853"/>
      <c r="P1853"/>
      <c r="Q1853"/>
      <c r="R1853"/>
      <c r="S1853"/>
      <c r="T1853"/>
      <c r="U1853"/>
      <c r="V1853"/>
      <c r="W1853" s="41"/>
      <c r="X1853" s="41"/>
      <c r="Y1853" s="41"/>
    </row>
    <row r="1854" s="27" customFormat="1" ht="23" hidden="1" customHeight="1" spans="1:25">
      <c r="A1854" s="133" t="str">
        <f>IF(B1854="","",COUNTA($B$5:B1854))</f>
        <v/>
      </c>
      <c r="B1854" s="148"/>
      <c r="C1854" s="22" t="s">
        <v>49</v>
      </c>
      <c r="D1854" s="149"/>
      <c r="E1854" s="150"/>
      <c r="F1854" s="151"/>
      <c r="G1854" s="151"/>
      <c r="H1854" s="142">
        <f>IFERROR(VLOOKUP($C1854,$C$5:$H$18,6,0)+SUMIF($C$19:$C1854,$C1854,$F$19:$F1854)-SUMIF($C$19:$C1854,$C1854,$G$19:$G1854),"")</f>
        <v>81211.819999998</v>
      </c>
      <c r="I1854" s="147"/>
      <c r="J1854" s="147"/>
      <c r="K1854" s="147" t="str">
        <f t="shared" si="28"/>
        <v/>
      </c>
      <c r="L1854" s="40"/>
      <c r="M1854"/>
      <c r="N1854"/>
      <c r="O1854"/>
      <c r="P1854"/>
      <c r="Q1854"/>
      <c r="R1854"/>
      <c r="S1854"/>
      <c r="T1854"/>
      <c r="U1854"/>
      <c r="V1854"/>
      <c r="W1854" s="41"/>
      <c r="X1854" s="41"/>
      <c r="Y1854" s="41"/>
    </row>
    <row r="1855" s="27" customFormat="1" ht="23" hidden="1" customHeight="1" spans="1:25">
      <c r="A1855" s="133" t="str">
        <f>IF(B1855="","",COUNTA($B$5:B1855))</f>
        <v/>
      </c>
      <c r="B1855" s="148"/>
      <c r="C1855" s="22" t="s">
        <v>49</v>
      </c>
      <c r="D1855" s="149"/>
      <c r="E1855" s="150"/>
      <c r="F1855" s="151"/>
      <c r="G1855" s="151"/>
      <c r="H1855" s="142">
        <f>IFERROR(VLOOKUP($C1855,$C$5:$H$18,6,0)+SUMIF($C$19:$C1855,$C1855,$F$19:$F1855)-SUMIF($C$19:$C1855,$C1855,$G$19:$G1855),"")</f>
        <v>81211.819999998</v>
      </c>
      <c r="I1855" s="147"/>
      <c r="J1855" s="147"/>
      <c r="K1855" s="147" t="str">
        <f t="shared" si="28"/>
        <v/>
      </c>
      <c r="L1855" s="40"/>
      <c r="M1855"/>
      <c r="N1855"/>
      <c r="O1855"/>
      <c r="P1855"/>
      <c r="Q1855"/>
      <c r="R1855"/>
      <c r="S1855"/>
      <c r="T1855"/>
      <c r="U1855"/>
      <c r="V1855"/>
      <c r="W1855" s="41"/>
      <c r="X1855" s="41"/>
      <c r="Y1855" s="41"/>
    </row>
    <row r="1856" s="27" customFormat="1" ht="23" hidden="1" customHeight="1" spans="1:25">
      <c r="A1856" s="133" t="str">
        <f>IF(B1856="","",COUNTA($B$5:B1856))</f>
        <v/>
      </c>
      <c r="B1856" s="148"/>
      <c r="C1856" s="22" t="s">
        <v>49</v>
      </c>
      <c r="D1856" s="149"/>
      <c r="E1856" s="150"/>
      <c r="F1856" s="151"/>
      <c r="G1856" s="151"/>
      <c r="H1856" s="142">
        <f>IFERROR(VLOOKUP($C1856,$C$5:$H$18,6,0)+SUMIF($C$19:$C1856,$C1856,$F$19:$F1856)-SUMIF($C$19:$C1856,$C1856,$G$19:$G1856),"")</f>
        <v>81211.819999998</v>
      </c>
      <c r="I1856" s="147"/>
      <c r="J1856" s="147"/>
      <c r="K1856" s="147" t="str">
        <f t="shared" si="28"/>
        <v/>
      </c>
      <c r="L1856" s="40"/>
      <c r="M1856"/>
      <c r="N1856"/>
      <c r="O1856"/>
      <c r="P1856"/>
      <c r="Q1856"/>
      <c r="R1856"/>
      <c r="S1856"/>
      <c r="T1856"/>
      <c r="U1856"/>
      <c r="V1856"/>
      <c r="W1856" s="41"/>
      <c r="X1856" s="41"/>
      <c r="Y1856" s="41"/>
    </row>
    <row r="1857" s="27" customFormat="1" ht="23" hidden="1" customHeight="1" spans="1:25">
      <c r="A1857" s="133" t="str">
        <f>IF(B1857="","",COUNTA($B$5:B1857))</f>
        <v/>
      </c>
      <c r="B1857" s="148"/>
      <c r="C1857" s="22" t="s">
        <v>49</v>
      </c>
      <c r="D1857" s="149"/>
      <c r="E1857" s="150"/>
      <c r="F1857" s="151"/>
      <c r="G1857" s="151"/>
      <c r="H1857" s="142">
        <f>IFERROR(VLOOKUP($C1857,$C$5:$H$18,6,0)+SUMIF($C$19:$C1857,$C1857,$F$19:$F1857)-SUMIF($C$19:$C1857,$C1857,$G$19:$G1857),"")</f>
        <v>81211.819999998</v>
      </c>
      <c r="I1857" s="147"/>
      <c r="J1857" s="147"/>
      <c r="K1857" s="147" t="str">
        <f t="shared" si="28"/>
        <v/>
      </c>
      <c r="L1857" s="40"/>
      <c r="M1857"/>
      <c r="N1857"/>
      <c r="O1857"/>
      <c r="P1857"/>
      <c r="Q1857"/>
      <c r="R1857"/>
      <c r="S1857"/>
      <c r="T1857"/>
      <c r="U1857"/>
      <c r="V1857"/>
      <c r="W1857" s="41"/>
      <c r="X1857" s="41"/>
      <c r="Y1857" s="41"/>
    </row>
    <row r="1858" s="27" customFormat="1" ht="23" hidden="1" customHeight="1" spans="1:25">
      <c r="A1858" s="133" t="str">
        <f>IF(B1858="","",COUNTA($B$5:B1858))</f>
        <v/>
      </c>
      <c r="B1858" s="148"/>
      <c r="C1858" s="22" t="s">
        <v>49</v>
      </c>
      <c r="D1858" s="149"/>
      <c r="E1858" s="150"/>
      <c r="F1858" s="151"/>
      <c r="G1858" s="151"/>
      <c r="H1858" s="142">
        <f>IFERROR(VLOOKUP($C1858,$C$5:$H$18,6,0)+SUMIF($C$19:$C1858,$C1858,$F$19:$F1858)-SUMIF($C$19:$C1858,$C1858,$G$19:$G1858),"")</f>
        <v>81211.819999998</v>
      </c>
      <c r="I1858" s="147"/>
      <c r="J1858" s="147"/>
      <c r="K1858" s="147" t="str">
        <f t="shared" si="28"/>
        <v/>
      </c>
      <c r="L1858" s="40"/>
      <c r="M1858"/>
      <c r="N1858"/>
      <c r="O1858"/>
      <c r="P1858"/>
      <c r="Q1858"/>
      <c r="R1858"/>
      <c r="S1858"/>
      <c r="T1858"/>
      <c r="U1858"/>
      <c r="V1858"/>
      <c r="W1858" s="41"/>
      <c r="X1858" s="41"/>
      <c r="Y1858" s="41"/>
    </row>
    <row r="1859" s="27" customFormat="1" ht="23" hidden="1" customHeight="1" spans="1:25">
      <c r="A1859" s="133" t="str">
        <f>IF(B1859="","",COUNTA($B$5:B1859))</f>
        <v/>
      </c>
      <c r="B1859" s="148"/>
      <c r="C1859" s="22" t="s">
        <v>49</v>
      </c>
      <c r="D1859" s="149"/>
      <c r="E1859" s="150"/>
      <c r="F1859" s="151"/>
      <c r="G1859" s="151"/>
      <c r="H1859" s="142">
        <f>IFERROR(VLOOKUP($C1859,$C$5:$H$18,6,0)+SUMIF($C$19:$C1859,$C1859,$F$19:$F1859)-SUMIF($C$19:$C1859,$C1859,$G$19:$G1859),"")</f>
        <v>81211.819999998</v>
      </c>
      <c r="I1859" s="147"/>
      <c r="J1859" s="147"/>
      <c r="K1859" s="147" t="str">
        <f t="shared" si="28"/>
        <v/>
      </c>
      <c r="L1859" s="40"/>
      <c r="M1859"/>
      <c r="N1859"/>
      <c r="O1859"/>
      <c r="P1859"/>
      <c r="Q1859"/>
      <c r="R1859"/>
      <c r="S1859"/>
      <c r="T1859"/>
      <c r="U1859"/>
      <c r="V1859"/>
      <c r="W1859" s="41"/>
      <c r="X1859" s="41"/>
      <c r="Y1859" s="41"/>
    </row>
    <row r="1860" s="27" customFormat="1" ht="23" hidden="1" customHeight="1" spans="1:25">
      <c r="A1860" s="133" t="str">
        <f>IF(B1860="","",COUNTA($B$5:B1860))</f>
        <v/>
      </c>
      <c r="B1860" s="148"/>
      <c r="C1860" s="22" t="s">
        <v>49</v>
      </c>
      <c r="D1860" s="149"/>
      <c r="E1860" s="150"/>
      <c r="F1860" s="151"/>
      <c r="G1860" s="151"/>
      <c r="H1860" s="142">
        <f>IFERROR(VLOOKUP($C1860,$C$5:$H$18,6,0)+SUMIF($C$19:$C1860,$C1860,$F$19:$F1860)-SUMIF($C$19:$C1860,$C1860,$G$19:$G1860),"")</f>
        <v>81211.819999998</v>
      </c>
      <c r="I1860" s="147"/>
      <c r="J1860" s="147"/>
      <c r="K1860" s="147" t="str">
        <f t="shared" si="28"/>
        <v/>
      </c>
      <c r="L1860" s="40"/>
      <c r="M1860"/>
      <c r="N1860"/>
      <c r="O1860"/>
      <c r="P1860"/>
      <c r="Q1860"/>
      <c r="R1860"/>
      <c r="S1860"/>
      <c r="T1860"/>
      <c r="U1860"/>
      <c r="V1860"/>
      <c r="W1860" s="41"/>
      <c r="X1860" s="41"/>
      <c r="Y1860" s="41"/>
    </row>
    <row r="1861" s="27" customFormat="1" ht="23" hidden="1" customHeight="1" spans="1:25">
      <c r="A1861" s="133" t="str">
        <f>IF(B1861="","",COUNTA($B$5:B1861))</f>
        <v/>
      </c>
      <c r="B1861" s="148"/>
      <c r="C1861" s="22" t="s">
        <v>49</v>
      </c>
      <c r="D1861" s="149"/>
      <c r="E1861" s="150"/>
      <c r="F1861" s="151"/>
      <c r="G1861" s="151"/>
      <c r="H1861" s="142">
        <f>IFERROR(VLOOKUP($C1861,$C$5:$H$18,6,0)+SUMIF($C$19:$C1861,$C1861,$F$19:$F1861)-SUMIF($C$19:$C1861,$C1861,$G$19:$G1861),"")</f>
        <v>81211.819999998</v>
      </c>
      <c r="I1861" s="147"/>
      <c r="J1861" s="147"/>
      <c r="K1861" s="147" t="str">
        <f t="shared" ref="K1861:K1924" si="29">IF($B1861="","",--TEXT($B1861,"yyyymm"))</f>
        <v/>
      </c>
      <c r="L1861" s="40"/>
      <c r="M1861"/>
      <c r="N1861"/>
      <c r="O1861"/>
      <c r="P1861"/>
      <c r="Q1861"/>
      <c r="R1861"/>
      <c r="S1861"/>
      <c r="T1861"/>
      <c r="U1861"/>
      <c r="V1861"/>
      <c r="W1861" s="41"/>
      <c r="X1861" s="41"/>
      <c r="Y1861" s="41"/>
    </row>
    <row r="1862" s="27" customFormat="1" ht="23" hidden="1" customHeight="1" spans="1:25">
      <c r="A1862" s="133" t="str">
        <f>IF(B1862="","",COUNTA($B$5:B1862))</f>
        <v/>
      </c>
      <c r="B1862" s="148"/>
      <c r="C1862" s="22" t="s">
        <v>49</v>
      </c>
      <c r="D1862" s="149"/>
      <c r="E1862" s="150"/>
      <c r="F1862" s="151"/>
      <c r="G1862" s="151"/>
      <c r="H1862" s="142">
        <f>IFERROR(VLOOKUP($C1862,$C$5:$H$18,6,0)+SUMIF($C$19:$C1862,$C1862,$F$19:$F1862)-SUMIF($C$19:$C1862,$C1862,$G$19:$G1862),"")</f>
        <v>81211.819999998</v>
      </c>
      <c r="I1862" s="147"/>
      <c r="J1862" s="147"/>
      <c r="K1862" s="147" t="str">
        <f t="shared" si="29"/>
        <v/>
      </c>
      <c r="L1862" s="40"/>
      <c r="M1862"/>
      <c r="N1862"/>
      <c r="O1862"/>
      <c r="P1862"/>
      <c r="Q1862"/>
      <c r="R1862"/>
      <c r="S1862"/>
      <c r="T1862"/>
      <c r="U1862"/>
      <c r="V1862"/>
      <c r="W1862" s="41"/>
      <c r="X1862" s="41"/>
      <c r="Y1862" s="41"/>
    </row>
    <row r="1863" s="27" customFormat="1" ht="23" hidden="1" customHeight="1" spans="1:25">
      <c r="A1863" s="133" t="str">
        <f>IF(B1863="","",COUNTA($B$5:B1863))</f>
        <v/>
      </c>
      <c r="B1863" s="148"/>
      <c r="C1863" s="22" t="s">
        <v>49</v>
      </c>
      <c r="D1863" s="149"/>
      <c r="E1863" s="150"/>
      <c r="F1863" s="151"/>
      <c r="G1863" s="151"/>
      <c r="H1863" s="142">
        <f>IFERROR(VLOOKUP($C1863,$C$5:$H$18,6,0)+SUMIF($C$19:$C1863,$C1863,$F$19:$F1863)-SUMIF($C$19:$C1863,$C1863,$G$19:$G1863),"")</f>
        <v>81211.819999998</v>
      </c>
      <c r="I1863" s="147"/>
      <c r="J1863" s="147"/>
      <c r="K1863" s="147" t="str">
        <f t="shared" si="29"/>
        <v/>
      </c>
      <c r="L1863" s="40"/>
      <c r="M1863"/>
      <c r="N1863"/>
      <c r="O1863"/>
      <c r="P1863"/>
      <c r="Q1863"/>
      <c r="R1863"/>
      <c r="S1863"/>
      <c r="T1863"/>
      <c r="U1863"/>
      <c r="V1863"/>
      <c r="W1863" s="41"/>
      <c r="X1863" s="41"/>
      <c r="Y1863" s="41"/>
    </row>
    <row r="1864" s="27" customFormat="1" ht="23" hidden="1" customHeight="1" spans="1:25">
      <c r="A1864" s="133" t="str">
        <f>IF(B1864="","",COUNTA($B$5:B1864))</f>
        <v/>
      </c>
      <c r="B1864" s="148"/>
      <c r="C1864" s="22" t="s">
        <v>49</v>
      </c>
      <c r="D1864" s="149"/>
      <c r="E1864" s="150"/>
      <c r="F1864" s="151"/>
      <c r="G1864" s="151"/>
      <c r="H1864" s="142">
        <f>IFERROR(VLOOKUP($C1864,$C$5:$H$18,6,0)+SUMIF($C$19:$C1864,$C1864,$F$19:$F1864)-SUMIF($C$19:$C1864,$C1864,$G$19:$G1864),"")</f>
        <v>81211.819999998</v>
      </c>
      <c r="I1864" s="147"/>
      <c r="J1864" s="147"/>
      <c r="K1864" s="147" t="str">
        <f t="shared" si="29"/>
        <v/>
      </c>
      <c r="L1864" s="40"/>
      <c r="M1864"/>
      <c r="N1864"/>
      <c r="O1864"/>
      <c r="P1864"/>
      <c r="Q1864"/>
      <c r="R1864"/>
      <c r="S1864"/>
      <c r="T1864"/>
      <c r="U1864"/>
      <c r="V1864"/>
      <c r="W1864" s="41"/>
      <c r="X1864" s="41"/>
      <c r="Y1864" s="41"/>
    </row>
    <row r="1865" s="27" customFormat="1" ht="23" hidden="1" customHeight="1" spans="1:25">
      <c r="A1865" s="133" t="str">
        <f>IF(B1865="","",COUNTA($B$5:B1865))</f>
        <v/>
      </c>
      <c r="B1865" s="148"/>
      <c r="C1865" s="22" t="s">
        <v>49</v>
      </c>
      <c r="D1865" s="149"/>
      <c r="E1865" s="150"/>
      <c r="F1865" s="151"/>
      <c r="G1865" s="151"/>
      <c r="H1865" s="142">
        <f>IFERROR(VLOOKUP($C1865,$C$5:$H$18,6,0)+SUMIF($C$19:$C1865,$C1865,$F$19:$F1865)-SUMIF($C$19:$C1865,$C1865,$G$19:$G1865),"")</f>
        <v>81211.819999998</v>
      </c>
      <c r="I1865" s="147"/>
      <c r="J1865" s="147"/>
      <c r="K1865" s="147" t="str">
        <f t="shared" si="29"/>
        <v/>
      </c>
      <c r="L1865" s="40"/>
      <c r="M1865"/>
      <c r="N1865"/>
      <c r="O1865"/>
      <c r="P1865"/>
      <c r="Q1865"/>
      <c r="R1865"/>
      <c r="S1865"/>
      <c r="T1865"/>
      <c r="U1865"/>
      <c r="V1865"/>
      <c r="W1865" s="41"/>
      <c r="X1865" s="41"/>
      <c r="Y1865" s="41"/>
    </row>
    <row r="1866" s="27" customFormat="1" ht="23" hidden="1" customHeight="1" spans="1:25">
      <c r="A1866" s="133" t="str">
        <f>IF(B1866="","",COUNTA($B$5:B1866))</f>
        <v/>
      </c>
      <c r="B1866" s="148"/>
      <c r="C1866" s="22" t="s">
        <v>49</v>
      </c>
      <c r="D1866" s="149"/>
      <c r="E1866" s="150"/>
      <c r="F1866" s="151"/>
      <c r="G1866" s="151"/>
      <c r="H1866" s="142">
        <f>IFERROR(VLOOKUP($C1866,$C$5:$H$18,6,0)+SUMIF($C$19:$C1866,$C1866,$F$19:$F1866)-SUMIF($C$19:$C1866,$C1866,$G$19:$G1866),"")</f>
        <v>81211.819999998</v>
      </c>
      <c r="I1866" s="147"/>
      <c r="J1866" s="147"/>
      <c r="K1866" s="147" t="str">
        <f t="shared" si="29"/>
        <v/>
      </c>
      <c r="L1866" s="40"/>
      <c r="M1866"/>
      <c r="N1866"/>
      <c r="O1866"/>
      <c r="P1866"/>
      <c r="Q1866"/>
      <c r="R1866"/>
      <c r="S1866"/>
      <c r="T1866"/>
      <c r="U1866"/>
      <c r="V1866"/>
      <c r="W1866" s="41"/>
      <c r="X1866" s="41"/>
      <c r="Y1866" s="41"/>
    </row>
    <row r="1867" s="27" customFormat="1" ht="23" hidden="1" customHeight="1" spans="1:25">
      <c r="A1867" s="133" t="str">
        <f>IF(B1867="","",COUNTA($B$5:B1867))</f>
        <v/>
      </c>
      <c r="B1867" s="148"/>
      <c r="C1867" s="22" t="s">
        <v>49</v>
      </c>
      <c r="D1867" s="149"/>
      <c r="E1867" s="150"/>
      <c r="F1867" s="151"/>
      <c r="G1867" s="151"/>
      <c r="H1867" s="142">
        <f>IFERROR(VLOOKUP($C1867,$C$5:$H$18,6,0)+SUMIF($C$19:$C1867,$C1867,$F$19:$F1867)-SUMIF($C$19:$C1867,$C1867,$G$19:$G1867),"")</f>
        <v>81211.819999998</v>
      </c>
      <c r="I1867" s="147"/>
      <c r="J1867" s="147"/>
      <c r="K1867" s="147" t="str">
        <f t="shared" si="29"/>
        <v/>
      </c>
      <c r="L1867" s="40"/>
      <c r="M1867"/>
      <c r="N1867"/>
      <c r="O1867"/>
      <c r="P1867"/>
      <c r="Q1867"/>
      <c r="R1867"/>
      <c r="S1867"/>
      <c r="T1867"/>
      <c r="U1867"/>
      <c r="V1867"/>
      <c r="W1867" s="41"/>
      <c r="X1867" s="41"/>
      <c r="Y1867" s="41"/>
    </row>
    <row r="1868" s="27" customFormat="1" ht="23" hidden="1" customHeight="1" spans="1:25">
      <c r="A1868" s="133" t="str">
        <f>IF(B1868="","",COUNTA($B$5:B1868))</f>
        <v/>
      </c>
      <c r="B1868" s="148"/>
      <c r="C1868" s="22" t="s">
        <v>49</v>
      </c>
      <c r="D1868" s="149"/>
      <c r="E1868" s="150"/>
      <c r="F1868" s="151"/>
      <c r="G1868" s="151"/>
      <c r="H1868" s="142">
        <f>IFERROR(VLOOKUP($C1868,$C$5:$H$18,6,0)+SUMIF($C$19:$C1868,$C1868,$F$19:$F1868)-SUMIF($C$19:$C1868,$C1868,$G$19:$G1868),"")</f>
        <v>81211.819999998</v>
      </c>
      <c r="I1868" s="147"/>
      <c r="J1868" s="147"/>
      <c r="K1868" s="147" t="str">
        <f t="shared" si="29"/>
        <v/>
      </c>
      <c r="L1868" s="40"/>
      <c r="M1868"/>
      <c r="N1868"/>
      <c r="O1868"/>
      <c r="P1868"/>
      <c r="Q1868"/>
      <c r="R1868"/>
      <c r="S1868"/>
      <c r="T1868"/>
      <c r="U1868"/>
      <c r="V1868"/>
      <c r="W1868" s="41"/>
      <c r="X1868" s="41"/>
      <c r="Y1868" s="41"/>
    </row>
    <row r="1869" s="27" customFormat="1" ht="23" hidden="1" customHeight="1" spans="1:25">
      <c r="A1869" s="133" t="str">
        <f>IF(B1869="","",COUNTA($B$5:B1869))</f>
        <v/>
      </c>
      <c r="B1869" s="148"/>
      <c r="C1869" s="22" t="s">
        <v>49</v>
      </c>
      <c r="D1869" s="149"/>
      <c r="E1869" s="150"/>
      <c r="F1869" s="151"/>
      <c r="G1869" s="151"/>
      <c r="H1869" s="142">
        <f>IFERROR(VLOOKUP($C1869,$C$5:$H$18,6,0)+SUMIF($C$19:$C1869,$C1869,$F$19:$F1869)-SUMIF($C$19:$C1869,$C1869,$G$19:$G1869),"")</f>
        <v>81211.819999998</v>
      </c>
      <c r="I1869" s="147"/>
      <c r="J1869" s="147"/>
      <c r="K1869" s="147" t="str">
        <f t="shared" si="29"/>
        <v/>
      </c>
      <c r="L1869" s="40"/>
      <c r="M1869"/>
      <c r="N1869"/>
      <c r="O1869"/>
      <c r="P1869"/>
      <c r="Q1869"/>
      <c r="R1869"/>
      <c r="S1869"/>
      <c r="T1869"/>
      <c r="U1869"/>
      <c r="V1869"/>
      <c r="W1869" s="41"/>
      <c r="X1869" s="41"/>
      <c r="Y1869" s="41"/>
    </row>
    <row r="1870" s="27" customFormat="1" ht="23" hidden="1" customHeight="1" spans="1:25">
      <c r="A1870" s="133" t="str">
        <f>IF(B1870="","",COUNTA($B$5:B1870))</f>
        <v/>
      </c>
      <c r="B1870" s="148"/>
      <c r="C1870" s="22" t="s">
        <v>49</v>
      </c>
      <c r="D1870" s="149"/>
      <c r="E1870" s="150"/>
      <c r="F1870" s="151"/>
      <c r="G1870" s="151"/>
      <c r="H1870" s="142">
        <f>IFERROR(VLOOKUP($C1870,$C$5:$H$18,6,0)+SUMIF($C$19:$C1870,$C1870,$F$19:$F1870)-SUMIF($C$19:$C1870,$C1870,$G$19:$G1870),"")</f>
        <v>81211.819999998</v>
      </c>
      <c r="I1870" s="147"/>
      <c r="J1870" s="147"/>
      <c r="K1870" s="147" t="str">
        <f t="shared" si="29"/>
        <v/>
      </c>
      <c r="L1870" s="40"/>
      <c r="M1870"/>
      <c r="N1870"/>
      <c r="O1870"/>
      <c r="P1870"/>
      <c r="Q1870"/>
      <c r="R1870"/>
      <c r="S1870"/>
      <c r="T1870"/>
      <c r="U1870"/>
      <c r="V1870"/>
      <c r="W1870" s="41"/>
      <c r="X1870" s="41"/>
      <c r="Y1870" s="41"/>
    </row>
    <row r="1871" s="27" customFormat="1" ht="23" hidden="1" customHeight="1" spans="1:25">
      <c r="A1871" s="133" t="str">
        <f>IF(B1871="","",COUNTA($B$5:B1871))</f>
        <v/>
      </c>
      <c r="B1871" s="148"/>
      <c r="C1871" s="22" t="s">
        <v>49</v>
      </c>
      <c r="D1871" s="149"/>
      <c r="E1871" s="150"/>
      <c r="F1871" s="151"/>
      <c r="G1871" s="151"/>
      <c r="H1871" s="142">
        <f>IFERROR(VLOOKUP($C1871,$C$5:$H$18,6,0)+SUMIF($C$19:$C1871,$C1871,$F$19:$F1871)-SUMIF($C$19:$C1871,$C1871,$G$19:$G1871),"")</f>
        <v>81211.819999998</v>
      </c>
      <c r="I1871" s="147"/>
      <c r="J1871" s="147"/>
      <c r="K1871" s="147" t="str">
        <f t="shared" si="29"/>
        <v/>
      </c>
      <c r="L1871" s="40"/>
      <c r="M1871"/>
      <c r="N1871"/>
      <c r="O1871"/>
      <c r="P1871"/>
      <c r="Q1871"/>
      <c r="R1871"/>
      <c r="S1871"/>
      <c r="T1871"/>
      <c r="U1871"/>
      <c r="V1871"/>
      <c r="W1871" s="41"/>
      <c r="X1871" s="41"/>
      <c r="Y1871" s="41"/>
    </row>
    <row r="1872" s="27" customFormat="1" ht="23" hidden="1" customHeight="1" spans="1:25">
      <c r="A1872" s="133" t="str">
        <f>IF(B1872="","",COUNTA($B$5:B1872))</f>
        <v/>
      </c>
      <c r="B1872" s="148"/>
      <c r="C1872" s="22" t="s">
        <v>49</v>
      </c>
      <c r="D1872" s="149"/>
      <c r="E1872" s="150"/>
      <c r="F1872" s="151"/>
      <c r="G1872" s="151"/>
      <c r="H1872" s="142">
        <f>IFERROR(VLOOKUP($C1872,$C$5:$H$18,6,0)+SUMIF($C$19:$C1872,$C1872,$F$19:$F1872)-SUMIF($C$19:$C1872,$C1872,$G$19:$G1872),"")</f>
        <v>81211.819999998</v>
      </c>
      <c r="I1872" s="147"/>
      <c r="J1872" s="147"/>
      <c r="K1872" s="147" t="str">
        <f t="shared" si="29"/>
        <v/>
      </c>
      <c r="L1872" s="40"/>
      <c r="M1872"/>
      <c r="N1872"/>
      <c r="O1872"/>
      <c r="P1872"/>
      <c r="Q1872"/>
      <c r="R1872"/>
      <c r="S1872"/>
      <c r="T1872"/>
      <c r="U1872"/>
      <c r="V1872"/>
      <c r="W1872" s="41"/>
      <c r="X1872" s="41"/>
      <c r="Y1872" s="41"/>
    </row>
    <row r="1873" s="27" customFormat="1" ht="23" hidden="1" customHeight="1" spans="1:25">
      <c r="A1873" s="133" t="str">
        <f>IF(B1873="","",COUNTA($B$5:B1873))</f>
        <v/>
      </c>
      <c r="B1873" s="148"/>
      <c r="C1873" s="22" t="s">
        <v>49</v>
      </c>
      <c r="D1873" s="149"/>
      <c r="E1873" s="150"/>
      <c r="F1873" s="151"/>
      <c r="G1873" s="151"/>
      <c r="H1873" s="142">
        <f>IFERROR(VLOOKUP($C1873,$C$5:$H$18,6,0)+SUMIF($C$19:$C1873,$C1873,$F$19:$F1873)-SUMIF($C$19:$C1873,$C1873,$G$19:$G1873),"")</f>
        <v>81211.819999998</v>
      </c>
      <c r="I1873" s="147"/>
      <c r="J1873" s="147"/>
      <c r="K1873" s="147" t="str">
        <f t="shared" si="29"/>
        <v/>
      </c>
      <c r="L1873" s="40"/>
      <c r="M1873"/>
      <c r="N1873"/>
      <c r="O1873"/>
      <c r="P1873"/>
      <c r="Q1873"/>
      <c r="R1873"/>
      <c r="S1873"/>
      <c r="T1873"/>
      <c r="U1873"/>
      <c r="V1873"/>
      <c r="W1873" s="41"/>
      <c r="X1873" s="41"/>
      <c r="Y1873" s="41"/>
    </row>
    <row r="1874" s="27" customFormat="1" ht="23" hidden="1" customHeight="1" spans="1:25">
      <c r="A1874" s="133" t="str">
        <f>IF(B1874="","",COUNTA($B$5:B1874))</f>
        <v/>
      </c>
      <c r="B1874" s="148"/>
      <c r="C1874" s="22" t="s">
        <v>49</v>
      </c>
      <c r="D1874" s="149"/>
      <c r="E1874" s="150"/>
      <c r="F1874" s="151"/>
      <c r="G1874" s="151"/>
      <c r="H1874" s="142">
        <f>IFERROR(VLOOKUP($C1874,$C$5:$H$18,6,0)+SUMIF($C$19:$C1874,$C1874,$F$19:$F1874)-SUMIF($C$19:$C1874,$C1874,$G$19:$G1874),"")</f>
        <v>81211.819999998</v>
      </c>
      <c r="I1874" s="147"/>
      <c r="J1874" s="147"/>
      <c r="K1874" s="147" t="str">
        <f t="shared" si="29"/>
        <v/>
      </c>
      <c r="L1874" s="40"/>
      <c r="M1874"/>
      <c r="N1874"/>
      <c r="O1874"/>
      <c r="P1874"/>
      <c r="Q1874"/>
      <c r="R1874"/>
      <c r="S1874"/>
      <c r="T1874"/>
      <c r="U1874"/>
      <c r="V1874"/>
      <c r="W1874" s="41"/>
      <c r="X1874" s="41"/>
      <c r="Y1874" s="41"/>
    </row>
    <row r="1875" s="27" customFormat="1" ht="23" hidden="1" customHeight="1" spans="1:25">
      <c r="A1875" s="133" t="str">
        <f>IF(B1875="","",COUNTA($B$5:B1875))</f>
        <v/>
      </c>
      <c r="B1875" s="148"/>
      <c r="C1875" s="22" t="s">
        <v>49</v>
      </c>
      <c r="D1875" s="149"/>
      <c r="E1875" s="150"/>
      <c r="F1875" s="151"/>
      <c r="G1875" s="151"/>
      <c r="H1875" s="142">
        <f>IFERROR(VLOOKUP($C1875,$C$5:$H$18,6,0)+SUMIF($C$19:$C1875,$C1875,$F$19:$F1875)-SUMIF($C$19:$C1875,$C1875,$G$19:$G1875),"")</f>
        <v>81211.819999998</v>
      </c>
      <c r="I1875" s="147"/>
      <c r="J1875" s="147"/>
      <c r="K1875" s="147" t="str">
        <f t="shared" si="29"/>
        <v/>
      </c>
      <c r="L1875" s="40"/>
      <c r="M1875"/>
      <c r="N1875"/>
      <c r="O1875"/>
      <c r="P1875"/>
      <c r="Q1875"/>
      <c r="R1875"/>
      <c r="S1875"/>
      <c r="T1875"/>
      <c r="U1875"/>
      <c r="V1875"/>
      <c r="W1875" s="41"/>
      <c r="X1875" s="41"/>
      <c r="Y1875" s="41"/>
    </row>
    <row r="1876" s="27" customFormat="1" ht="23" hidden="1" customHeight="1" spans="1:25">
      <c r="A1876" s="133" t="str">
        <f>IF(B1876="","",COUNTA($B$5:B1876))</f>
        <v/>
      </c>
      <c r="B1876" s="148"/>
      <c r="C1876" s="22" t="s">
        <v>49</v>
      </c>
      <c r="D1876" s="149"/>
      <c r="E1876" s="150"/>
      <c r="F1876" s="151"/>
      <c r="G1876" s="151"/>
      <c r="H1876" s="142">
        <f>IFERROR(VLOOKUP($C1876,$C$5:$H$18,6,0)+SUMIF($C$19:$C1876,$C1876,$F$19:$F1876)-SUMIF($C$19:$C1876,$C1876,$G$19:$G1876),"")</f>
        <v>81211.819999998</v>
      </c>
      <c r="I1876" s="147"/>
      <c r="J1876" s="147"/>
      <c r="K1876" s="147" t="str">
        <f t="shared" si="29"/>
        <v/>
      </c>
      <c r="L1876" s="40"/>
      <c r="M1876"/>
      <c r="N1876"/>
      <c r="O1876"/>
      <c r="P1876"/>
      <c r="Q1876"/>
      <c r="R1876"/>
      <c r="S1876"/>
      <c r="T1876"/>
      <c r="U1876"/>
      <c r="V1876"/>
      <c r="W1876" s="41"/>
      <c r="X1876" s="41"/>
      <c r="Y1876" s="41"/>
    </row>
    <row r="1877" s="27" customFormat="1" ht="23" hidden="1" customHeight="1" spans="1:25">
      <c r="A1877" s="133" t="str">
        <f>IF(B1877="","",COUNTA($B$5:B1877))</f>
        <v/>
      </c>
      <c r="B1877" s="148"/>
      <c r="C1877" s="22" t="s">
        <v>49</v>
      </c>
      <c r="D1877" s="149"/>
      <c r="E1877" s="150"/>
      <c r="F1877" s="151"/>
      <c r="G1877" s="151"/>
      <c r="H1877" s="142">
        <f>IFERROR(VLOOKUP($C1877,$C$5:$H$18,6,0)+SUMIF($C$19:$C1877,$C1877,$F$19:$F1877)-SUMIF($C$19:$C1877,$C1877,$G$19:$G1877),"")</f>
        <v>81211.819999998</v>
      </c>
      <c r="I1877" s="147"/>
      <c r="J1877" s="147"/>
      <c r="K1877" s="147" t="str">
        <f t="shared" si="29"/>
        <v/>
      </c>
      <c r="L1877" s="40"/>
      <c r="M1877"/>
      <c r="N1877"/>
      <c r="O1877"/>
      <c r="P1877"/>
      <c r="Q1877"/>
      <c r="R1877"/>
      <c r="S1877"/>
      <c r="T1877"/>
      <c r="U1877"/>
      <c r="V1877"/>
      <c r="W1877" s="41"/>
      <c r="X1877" s="41"/>
      <c r="Y1877" s="41"/>
    </row>
    <row r="1878" s="27" customFormat="1" ht="23" hidden="1" customHeight="1" spans="1:25">
      <c r="A1878" s="133" t="str">
        <f>IF(B1878="","",COUNTA($B$5:B1878))</f>
        <v/>
      </c>
      <c r="B1878" s="148"/>
      <c r="C1878" s="22" t="s">
        <v>49</v>
      </c>
      <c r="D1878" s="149"/>
      <c r="E1878" s="150"/>
      <c r="F1878" s="151"/>
      <c r="G1878" s="151"/>
      <c r="H1878" s="142">
        <f>IFERROR(VLOOKUP($C1878,$C$5:$H$18,6,0)+SUMIF($C$19:$C1878,$C1878,$F$19:$F1878)-SUMIF($C$19:$C1878,$C1878,$G$19:$G1878),"")</f>
        <v>81211.819999998</v>
      </c>
      <c r="I1878" s="147"/>
      <c r="J1878" s="147"/>
      <c r="K1878" s="147" t="str">
        <f t="shared" si="29"/>
        <v/>
      </c>
      <c r="L1878" s="40"/>
      <c r="M1878"/>
      <c r="N1878"/>
      <c r="O1878"/>
      <c r="P1878"/>
      <c r="Q1878"/>
      <c r="R1878"/>
      <c r="S1878"/>
      <c r="T1878"/>
      <c r="U1878"/>
      <c r="V1878"/>
      <c r="W1878" s="41"/>
      <c r="X1878" s="41"/>
      <c r="Y1878" s="41"/>
    </row>
    <row r="1879" s="27" customFormat="1" ht="23" hidden="1" customHeight="1" spans="1:25">
      <c r="A1879" s="133" t="str">
        <f>IF(B1879="","",COUNTA($B$5:B1879))</f>
        <v/>
      </c>
      <c r="B1879" s="148"/>
      <c r="C1879" s="22" t="s">
        <v>49</v>
      </c>
      <c r="D1879" s="149"/>
      <c r="E1879" s="150"/>
      <c r="F1879" s="151"/>
      <c r="G1879" s="151"/>
      <c r="H1879" s="142">
        <f>IFERROR(VLOOKUP($C1879,$C$5:$H$18,6,0)+SUMIF($C$19:$C1879,$C1879,$F$19:$F1879)-SUMIF($C$19:$C1879,$C1879,$G$19:$G1879),"")</f>
        <v>81211.819999998</v>
      </c>
      <c r="I1879" s="147"/>
      <c r="J1879" s="147"/>
      <c r="K1879" s="147" t="str">
        <f t="shared" si="29"/>
        <v/>
      </c>
      <c r="L1879" s="40"/>
      <c r="M1879"/>
      <c r="N1879"/>
      <c r="O1879"/>
      <c r="P1879"/>
      <c r="Q1879"/>
      <c r="R1879"/>
      <c r="S1879"/>
      <c r="T1879"/>
      <c r="U1879"/>
      <c r="V1879"/>
      <c r="W1879" s="41"/>
      <c r="X1879" s="41"/>
      <c r="Y1879" s="41"/>
    </row>
    <row r="1880" s="27" customFormat="1" ht="23" hidden="1" customHeight="1" spans="1:25">
      <c r="A1880" s="133" t="str">
        <f>IF(B1880="","",COUNTA($B$5:B1880))</f>
        <v/>
      </c>
      <c r="B1880" s="148"/>
      <c r="C1880" s="22" t="s">
        <v>49</v>
      </c>
      <c r="D1880" s="149"/>
      <c r="E1880" s="150"/>
      <c r="F1880" s="151"/>
      <c r="G1880" s="151"/>
      <c r="H1880" s="142">
        <f>IFERROR(VLOOKUP($C1880,$C$5:$H$18,6,0)+SUMIF($C$19:$C1880,$C1880,$F$19:$F1880)-SUMIF($C$19:$C1880,$C1880,$G$19:$G1880),"")</f>
        <v>81211.819999998</v>
      </c>
      <c r="I1880" s="147"/>
      <c r="J1880" s="147"/>
      <c r="K1880" s="147" t="str">
        <f t="shared" si="29"/>
        <v/>
      </c>
      <c r="L1880" s="40"/>
      <c r="M1880"/>
      <c r="N1880"/>
      <c r="O1880"/>
      <c r="P1880"/>
      <c r="Q1880"/>
      <c r="R1880"/>
      <c r="S1880"/>
      <c r="T1880"/>
      <c r="U1880"/>
      <c r="V1880"/>
      <c r="W1880" s="41"/>
      <c r="X1880" s="41"/>
      <c r="Y1880" s="41"/>
    </row>
    <row r="1881" s="27" customFormat="1" ht="23" hidden="1" customHeight="1" spans="1:25">
      <c r="A1881" s="133" t="str">
        <f>IF(B1881="","",COUNTA($B$5:B1881))</f>
        <v/>
      </c>
      <c r="B1881" s="148"/>
      <c r="C1881" s="22" t="s">
        <v>49</v>
      </c>
      <c r="D1881" s="149"/>
      <c r="E1881" s="150"/>
      <c r="F1881" s="151"/>
      <c r="G1881" s="151"/>
      <c r="H1881" s="142">
        <f>IFERROR(VLOOKUP($C1881,$C$5:$H$18,6,0)+SUMIF($C$19:$C1881,$C1881,$F$19:$F1881)-SUMIF($C$19:$C1881,$C1881,$G$19:$G1881),"")</f>
        <v>81211.819999998</v>
      </c>
      <c r="I1881" s="147"/>
      <c r="J1881" s="147"/>
      <c r="K1881" s="147" t="str">
        <f t="shared" si="29"/>
        <v/>
      </c>
      <c r="L1881" s="40"/>
      <c r="M1881"/>
      <c r="N1881"/>
      <c r="O1881"/>
      <c r="P1881"/>
      <c r="Q1881"/>
      <c r="R1881"/>
      <c r="S1881"/>
      <c r="T1881"/>
      <c r="U1881"/>
      <c r="V1881"/>
      <c r="W1881" s="41"/>
      <c r="X1881" s="41"/>
      <c r="Y1881" s="41"/>
    </row>
    <row r="1882" s="27" customFormat="1" ht="23" hidden="1" customHeight="1" spans="1:25">
      <c r="A1882" s="133" t="str">
        <f>IF(B1882="","",COUNTA($B$5:B1882))</f>
        <v/>
      </c>
      <c r="B1882" s="148"/>
      <c r="C1882" s="22" t="s">
        <v>49</v>
      </c>
      <c r="D1882" s="149"/>
      <c r="E1882" s="150"/>
      <c r="F1882" s="151"/>
      <c r="G1882" s="151"/>
      <c r="H1882" s="142">
        <f>IFERROR(VLOOKUP($C1882,$C$5:$H$18,6,0)+SUMIF($C$19:$C1882,$C1882,$F$19:$F1882)-SUMIF($C$19:$C1882,$C1882,$G$19:$G1882),"")</f>
        <v>81211.819999998</v>
      </c>
      <c r="I1882" s="147"/>
      <c r="J1882" s="147"/>
      <c r="K1882" s="147" t="str">
        <f t="shared" si="29"/>
        <v/>
      </c>
      <c r="L1882" s="40"/>
      <c r="M1882"/>
      <c r="N1882"/>
      <c r="O1882"/>
      <c r="P1882"/>
      <c r="Q1882"/>
      <c r="R1882"/>
      <c r="S1882"/>
      <c r="T1882"/>
      <c r="U1882"/>
      <c r="V1882"/>
      <c r="W1882" s="41"/>
      <c r="X1882" s="41"/>
      <c r="Y1882" s="41"/>
    </row>
    <row r="1883" s="27" customFormat="1" ht="23" hidden="1" customHeight="1" spans="1:25">
      <c r="A1883" s="133" t="str">
        <f>IF(B1883="","",COUNTA($B$5:B1883))</f>
        <v/>
      </c>
      <c r="B1883" s="148"/>
      <c r="C1883" s="22" t="s">
        <v>49</v>
      </c>
      <c r="D1883" s="149"/>
      <c r="E1883" s="150"/>
      <c r="F1883" s="151"/>
      <c r="G1883" s="151"/>
      <c r="H1883" s="142">
        <f>IFERROR(VLOOKUP($C1883,$C$5:$H$18,6,0)+SUMIF($C$19:$C1883,$C1883,$F$19:$F1883)-SUMIF($C$19:$C1883,$C1883,$G$19:$G1883),"")</f>
        <v>81211.819999998</v>
      </c>
      <c r="I1883" s="147"/>
      <c r="J1883" s="147"/>
      <c r="K1883" s="147" t="str">
        <f t="shared" si="29"/>
        <v/>
      </c>
      <c r="L1883" s="40"/>
      <c r="M1883"/>
      <c r="N1883"/>
      <c r="O1883"/>
      <c r="P1883"/>
      <c r="Q1883"/>
      <c r="R1883"/>
      <c r="S1883"/>
      <c r="T1883"/>
      <c r="U1883"/>
      <c r="V1883"/>
      <c r="W1883" s="41"/>
      <c r="X1883" s="41"/>
      <c r="Y1883" s="41"/>
    </row>
    <row r="1884" s="27" customFormat="1" ht="23" hidden="1" customHeight="1" spans="1:25">
      <c r="A1884" s="133" t="str">
        <f>IF(B1884="","",COUNTA($B$5:B1884))</f>
        <v/>
      </c>
      <c r="B1884" s="148"/>
      <c r="C1884" s="22" t="s">
        <v>49</v>
      </c>
      <c r="D1884" s="149"/>
      <c r="E1884" s="150"/>
      <c r="F1884" s="151"/>
      <c r="G1884" s="151"/>
      <c r="H1884" s="142">
        <f>IFERROR(VLOOKUP($C1884,$C$5:$H$18,6,0)+SUMIF($C$19:$C1884,$C1884,$F$19:$F1884)-SUMIF($C$19:$C1884,$C1884,$G$19:$G1884),"")</f>
        <v>81211.819999998</v>
      </c>
      <c r="I1884" s="147"/>
      <c r="J1884" s="147"/>
      <c r="K1884" s="147" t="str">
        <f t="shared" si="29"/>
        <v/>
      </c>
      <c r="L1884" s="40"/>
      <c r="M1884"/>
      <c r="N1884"/>
      <c r="O1884"/>
      <c r="P1884"/>
      <c r="Q1884"/>
      <c r="R1884"/>
      <c r="S1884"/>
      <c r="T1884"/>
      <c r="U1884"/>
      <c r="V1884"/>
      <c r="W1884" s="41"/>
      <c r="X1884" s="41"/>
      <c r="Y1884" s="41"/>
    </row>
    <row r="1885" s="27" customFormat="1" ht="23" hidden="1" customHeight="1" spans="1:25">
      <c r="A1885" s="133" t="str">
        <f>IF(B1885="","",COUNTA($B$5:B1885))</f>
        <v/>
      </c>
      <c r="B1885" s="148"/>
      <c r="C1885" s="22" t="s">
        <v>49</v>
      </c>
      <c r="D1885" s="149"/>
      <c r="E1885" s="150"/>
      <c r="F1885" s="151"/>
      <c r="G1885" s="151"/>
      <c r="H1885" s="142">
        <f>IFERROR(VLOOKUP($C1885,$C$5:$H$18,6,0)+SUMIF($C$19:$C1885,$C1885,$F$19:$F1885)-SUMIF($C$19:$C1885,$C1885,$G$19:$G1885),"")</f>
        <v>81211.819999998</v>
      </c>
      <c r="I1885" s="147"/>
      <c r="J1885" s="147"/>
      <c r="K1885" s="147" t="str">
        <f t="shared" si="29"/>
        <v/>
      </c>
      <c r="L1885" s="40"/>
      <c r="M1885"/>
      <c r="N1885"/>
      <c r="O1885"/>
      <c r="P1885"/>
      <c r="Q1885"/>
      <c r="R1885"/>
      <c r="S1885"/>
      <c r="T1885"/>
      <c r="U1885"/>
      <c r="V1885"/>
      <c r="W1885" s="41"/>
      <c r="X1885" s="41"/>
      <c r="Y1885" s="41"/>
    </row>
    <row r="1886" s="27" customFormat="1" ht="23" hidden="1" customHeight="1" spans="1:25">
      <c r="A1886" s="133" t="str">
        <f>IF(B1886="","",COUNTA($B$5:B1886))</f>
        <v/>
      </c>
      <c r="B1886" s="148"/>
      <c r="C1886" s="22" t="s">
        <v>49</v>
      </c>
      <c r="D1886" s="149"/>
      <c r="E1886" s="150"/>
      <c r="F1886" s="151"/>
      <c r="G1886" s="151"/>
      <c r="H1886" s="142">
        <f>IFERROR(VLOOKUP($C1886,$C$5:$H$18,6,0)+SUMIF($C$19:$C1886,$C1886,$F$19:$F1886)-SUMIF($C$19:$C1886,$C1886,$G$19:$G1886),"")</f>
        <v>81211.819999998</v>
      </c>
      <c r="I1886" s="147"/>
      <c r="J1886" s="147"/>
      <c r="K1886" s="147" t="str">
        <f t="shared" si="29"/>
        <v/>
      </c>
      <c r="L1886" s="40"/>
      <c r="M1886"/>
      <c r="N1886"/>
      <c r="O1886"/>
      <c r="P1886"/>
      <c r="Q1886"/>
      <c r="R1886"/>
      <c r="S1886"/>
      <c r="T1886"/>
      <c r="U1886"/>
      <c r="V1886"/>
      <c r="W1886" s="41"/>
      <c r="X1886" s="41"/>
      <c r="Y1886" s="41"/>
    </row>
    <row r="1887" s="27" customFormat="1" ht="23" hidden="1" customHeight="1" spans="1:25">
      <c r="A1887" s="133" t="str">
        <f>IF(B1887="","",COUNTA($B$5:B1887))</f>
        <v/>
      </c>
      <c r="B1887" s="148"/>
      <c r="C1887" s="22" t="s">
        <v>49</v>
      </c>
      <c r="D1887" s="149"/>
      <c r="E1887" s="150"/>
      <c r="F1887" s="151"/>
      <c r="G1887" s="151"/>
      <c r="H1887" s="142">
        <f>IFERROR(VLOOKUP($C1887,$C$5:$H$18,6,0)+SUMIF($C$19:$C1887,$C1887,$F$19:$F1887)-SUMIF($C$19:$C1887,$C1887,$G$19:$G1887),"")</f>
        <v>81211.819999998</v>
      </c>
      <c r="I1887" s="147"/>
      <c r="J1887" s="147"/>
      <c r="K1887" s="147" t="str">
        <f t="shared" si="29"/>
        <v/>
      </c>
      <c r="L1887" s="40"/>
      <c r="M1887"/>
      <c r="N1887"/>
      <c r="O1887"/>
      <c r="P1887"/>
      <c r="Q1887"/>
      <c r="R1887"/>
      <c r="S1887"/>
      <c r="T1887"/>
      <c r="U1887"/>
      <c r="V1887"/>
      <c r="W1887" s="41"/>
      <c r="X1887" s="41"/>
      <c r="Y1887" s="41"/>
    </row>
    <row r="1888" s="27" customFormat="1" ht="23" hidden="1" customHeight="1" spans="1:25">
      <c r="A1888" s="133" t="str">
        <f>IF(B1888="","",COUNTA($B$5:B1888))</f>
        <v/>
      </c>
      <c r="B1888" s="148"/>
      <c r="C1888" s="22" t="s">
        <v>49</v>
      </c>
      <c r="D1888" s="149"/>
      <c r="E1888" s="150"/>
      <c r="F1888" s="151"/>
      <c r="G1888" s="151"/>
      <c r="H1888" s="142">
        <f>IFERROR(VLOOKUP($C1888,$C$5:$H$18,6,0)+SUMIF($C$19:$C1888,$C1888,$F$19:$F1888)-SUMIF($C$19:$C1888,$C1888,$G$19:$G1888),"")</f>
        <v>81211.819999998</v>
      </c>
      <c r="I1888" s="147"/>
      <c r="J1888" s="147"/>
      <c r="K1888" s="147" t="str">
        <f t="shared" si="29"/>
        <v/>
      </c>
      <c r="L1888" s="40"/>
      <c r="M1888"/>
      <c r="N1888"/>
      <c r="O1888"/>
      <c r="P1888"/>
      <c r="Q1888"/>
      <c r="R1888"/>
      <c r="S1888"/>
      <c r="T1888"/>
      <c r="U1888"/>
      <c r="V1888"/>
      <c r="W1888" s="41"/>
      <c r="X1888" s="41"/>
      <c r="Y1888" s="41"/>
    </row>
    <row r="1889" s="27" customFormat="1" ht="23" hidden="1" customHeight="1" spans="1:25">
      <c r="A1889" s="133" t="str">
        <f>IF(B1889="","",COUNTA($B$5:B1889))</f>
        <v/>
      </c>
      <c r="B1889" s="148"/>
      <c r="C1889" s="22" t="s">
        <v>49</v>
      </c>
      <c r="D1889" s="149"/>
      <c r="E1889" s="150"/>
      <c r="F1889" s="151"/>
      <c r="G1889" s="151"/>
      <c r="H1889" s="142">
        <f>IFERROR(VLOOKUP($C1889,$C$5:$H$18,6,0)+SUMIF($C$19:$C1889,$C1889,$F$19:$F1889)-SUMIF($C$19:$C1889,$C1889,$G$19:$G1889),"")</f>
        <v>81211.819999998</v>
      </c>
      <c r="I1889" s="147"/>
      <c r="J1889" s="147"/>
      <c r="K1889" s="147" t="str">
        <f t="shared" si="29"/>
        <v/>
      </c>
      <c r="L1889" s="40"/>
      <c r="M1889"/>
      <c r="N1889"/>
      <c r="O1889"/>
      <c r="P1889"/>
      <c r="Q1889"/>
      <c r="R1889"/>
      <c r="S1889"/>
      <c r="T1889"/>
      <c r="U1889"/>
      <c r="V1889"/>
      <c r="W1889" s="41"/>
      <c r="X1889" s="41"/>
      <c r="Y1889" s="41"/>
    </row>
    <row r="1890" s="27" customFormat="1" ht="23" hidden="1" customHeight="1" spans="1:25">
      <c r="A1890" s="133" t="str">
        <f>IF(B1890="","",COUNTA($B$5:B1890))</f>
        <v/>
      </c>
      <c r="B1890" s="148"/>
      <c r="C1890" s="22" t="s">
        <v>49</v>
      </c>
      <c r="D1890" s="149"/>
      <c r="E1890" s="150"/>
      <c r="F1890" s="151"/>
      <c r="G1890" s="151"/>
      <c r="H1890" s="142">
        <f>IFERROR(VLOOKUP($C1890,$C$5:$H$18,6,0)+SUMIF($C$19:$C1890,$C1890,$F$19:$F1890)-SUMIF($C$19:$C1890,$C1890,$G$19:$G1890),"")</f>
        <v>81211.819999998</v>
      </c>
      <c r="I1890" s="147"/>
      <c r="J1890" s="147"/>
      <c r="K1890" s="147" t="str">
        <f t="shared" si="29"/>
        <v/>
      </c>
      <c r="L1890" s="40"/>
      <c r="M1890"/>
      <c r="N1890"/>
      <c r="O1890"/>
      <c r="P1890"/>
      <c r="Q1890"/>
      <c r="R1890"/>
      <c r="S1890"/>
      <c r="T1890"/>
      <c r="U1890"/>
      <c r="V1890"/>
      <c r="W1890" s="41"/>
      <c r="X1890" s="41"/>
      <c r="Y1890" s="41"/>
    </row>
    <row r="1891" s="27" customFormat="1" ht="23" hidden="1" customHeight="1" spans="1:25">
      <c r="A1891" s="133" t="str">
        <f>IF(B1891="","",COUNTA($B$5:B1891))</f>
        <v/>
      </c>
      <c r="B1891" s="148"/>
      <c r="C1891" s="22" t="s">
        <v>49</v>
      </c>
      <c r="D1891" s="149"/>
      <c r="E1891" s="150"/>
      <c r="F1891" s="151"/>
      <c r="G1891" s="151"/>
      <c r="H1891" s="142">
        <f>IFERROR(VLOOKUP($C1891,$C$5:$H$18,6,0)+SUMIF($C$19:$C1891,$C1891,$F$19:$F1891)-SUMIF($C$19:$C1891,$C1891,$G$19:$G1891),"")</f>
        <v>81211.819999998</v>
      </c>
      <c r="I1891" s="147"/>
      <c r="J1891" s="147"/>
      <c r="K1891" s="147" t="str">
        <f t="shared" si="29"/>
        <v/>
      </c>
      <c r="L1891" s="40"/>
      <c r="M1891"/>
      <c r="N1891"/>
      <c r="O1891"/>
      <c r="P1891"/>
      <c r="Q1891"/>
      <c r="R1891"/>
      <c r="S1891"/>
      <c r="T1891"/>
      <c r="U1891"/>
      <c r="V1891"/>
      <c r="W1891" s="41"/>
      <c r="X1891" s="41"/>
      <c r="Y1891" s="41"/>
    </row>
    <row r="1892" s="27" customFormat="1" ht="23" hidden="1" customHeight="1" spans="1:25">
      <c r="A1892" s="133" t="str">
        <f>IF(B1892="","",COUNTA($B$5:B1892))</f>
        <v/>
      </c>
      <c r="B1892" s="148"/>
      <c r="C1892" s="22" t="s">
        <v>49</v>
      </c>
      <c r="D1892" s="149"/>
      <c r="E1892" s="150"/>
      <c r="F1892" s="151"/>
      <c r="G1892" s="151"/>
      <c r="H1892" s="142">
        <f>IFERROR(VLOOKUP($C1892,$C$5:$H$18,6,0)+SUMIF($C$19:$C1892,$C1892,$F$19:$F1892)-SUMIF($C$19:$C1892,$C1892,$G$19:$G1892),"")</f>
        <v>81211.819999998</v>
      </c>
      <c r="I1892" s="147"/>
      <c r="J1892" s="147"/>
      <c r="K1892" s="147" t="str">
        <f t="shared" si="29"/>
        <v/>
      </c>
      <c r="L1892" s="40"/>
      <c r="M1892"/>
      <c r="N1892"/>
      <c r="O1892"/>
      <c r="P1892"/>
      <c r="Q1892"/>
      <c r="R1892"/>
      <c r="S1892"/>
      <c r="T1892"/>
      <c r="U1892"/>
      <c r="V1892"/>
      <c r="W1892" s="41"/>
      <c r="X1892" s="41"/>
      <c r="Y1892" s="41"/>
    </row>
    <row r="1893" s="27" customFormat="1" ht="23" hidden="1" customHeight="1" spans="1:25">
      <c r="A1893" s="133" t="str">
        <f>IF(B1893="","",COUNTA($B$5:B1893))</f>
        <v/>
      </c>
      <c r="B1893" s="148"/>
      <c r="C1893" s="22" t="s">
        <v>49</v>
      </c>
      <c r="D1893" s="149"/>
      <c r="E1893" s="150"/>
      <c r="F1893" s="151"/>
      <c r="G1893" s="151"/>
      <c r="H1893" s="142">
        <f>IFERROR(VLOOKUP($C1893,$C$5:$H$18,6,0)+SUMIF($C$19:$C1893,$C1893,$F$19:$F1893)-SUMIF($C$19:$C1893,$C1893,$G$19:$G1893),"")</f>
        <v>81211.819999998</v>
      </c>
      <c r="I1893" s="147"/>
      <c r="J1893" s="147"/>
      <c r="K1893" s="147" t="str">
        <f t="shared" si="29"/>
        <v/>
      </c>
      <c r="L1893" s="40"/>
      <c r="M1893"/>
      <c r="N1893"/>
      <c r="O1893"/>
      <c r="P1893"/>
      <c r="Q1893"/>
      <c r="R1893"/>
      <c r="S1893"/>
      <c r="T1893"/>
      <c r="U1893"/>
      <c r="V1893"/>
      <c r="W1893" s="41"/>
      <c r="X1893" s="41"/>
      <c r="Y1893" s="41"/>
    </row>
    <row r="1894" s="27" customFormat="1" ht="23" hidden="1" customHeight="1" spans="1:25">
      <c r="A1894" s="133" t="str">
        <f>IF(B1894="","",COUNTA($B$5:B1894))</f>
        <v/>
      </c>
      <c r="B1894" s="148"/>
      <c r="C1894" s="22" t="s">
        <v>49</v>
      </c>
      <c r="D1894" s="149"/>
      <c r="E1894" s="150"/>
      <c r="F1894" s="151"/>
      <c r="G1894" s="151"/>
      <c r="H1894" s="142">
        <f>IFERROR(VLOOKUP($C1894,$C$5:$H$18,6,0)+SUMIF($C$19:$C1894,$C1894,$F$19:$F1894)-SUMIF($C$19:$C1894,$C1894,$G$19:$G1894),"")</f>
        <v>81211.819999998</v>
      </c>
      <c r="I1894" s="147"/>
      <c r="J1894" s="147"/>
      <c r="K1894" s="147" t="str">
        <f t="shared" si="29"/>
        <v/>
      </c>
      <c r="L1894" s="40"/>
      <c r="M1894"/>
      <c r="N1894"/>
      <c r="O1894"/>
      <c r="P1894"/>
      <c r="Q1894"/>
      <c r="R1894"/>
      <c r="S1894"/>
      <c r="T1894"/>
      <c r="U1894"/>
      <c r="V1894"/>
      <c r="W1894" s="41"/>
      <c r="X1894" s="41"/>
      <c r="Y1894" s="41"/>
    </row>
    <row r="1895" s="27" customFormat="1" ht="23" hidden="1" customHeight="1" spans="1:25">
      <c r="A1895" s="133" t="str">
        <f>IF(B1895="","",COUNTA($B$5:B1895))</f>
        <v/>
      </c>
      <c r="B1895" s="148"/>
      <c r="C1895" s="22" t="s">
        <v>49</v>
      </c>
      <c r="D1895" s="149"/>
      <c r="E1895" s="150"/>
      <c r="F1895" s="151"/>
      <c r="G1895" s="151"/>
      <c r="H1895" s="142">
        <f>IFERROR(VLOOKUP($C1895,$C$5:$H$18,6,0)+SUMIF($C$19:$C1895,$C1895,$F$19:$F1895)-SUMIF($C$19:$C1895,$C1895,$G$19:$G1895),"")</f>
        <v>81211.819999998</v>
      </c>
      <c r="I1895" s="147"/>
      <c r="J1895" s="147"/>
      <c r="K1895" s="147" t="str">
        <f t="shared" si="29"/>
        <v/>
      </c>
      <c r="L1895" s="40"/>
      <c r="M1895"/>
      <c r="N1895"/>
      <c r="O1895"/>
      <c r="P1895"/>
      <c r="Q1895"/>
      <c r="R1895"/>
      <c r="S1895"/>
      <c r="T1895"/>
      <c r="U1895"/>
      <c r="V1895"/>
      <c r="W1895" s="41"/>
      <c r="X1895" s="41"/>
      <c r="Y1895" s="41"/>
    </row>
    <row r="1896" s="27" customFormat="1" ht="23" hidden="1" customHeight="1" spans="1:25">
      <c r="A1896" s="133" t="str">
        <f>IF(B1896="","",COUNTA($B$5:B1896))</f>
        <v/>
      </c>
      <c r="B1896" s="148"/>
      <c r="C1896" s="22" t="s">
        <v>49</v>
      </c>
      <c r="D1896" s="149"/>
      <c r="E1896" s="150"/>
      <c r="F1896" s="151"/>
      <c r="G1896" s="151"/>
      <c r="H1896" s="142">
        <f>IFERROR(VLOOKUP($C1896,$C$5:$H$18,6,0)+SUMIF($C$19:$C1896,$C1896,$F$19:$F1896)-SUMIF($C$19:$C1896,$C1896,$G$19:$G1896),"")</f>
        <v>81211.819999998</v>
      </c>
      <c r="I1896" s="147"/>
      <c r="J1896" s="147"/>
      <c r="K1896" s="147" t="str">
        <f t="shared" si="29"/>
        <v/>
      </c>
      <c r="L1896" s="40"/>
      <c r="M1896"/>
      <c r="N1896"/>
      <c r="O1896"/>
      <c r="P1896"/>
      <c r="Q1896"/>
      <c r="R1896"/>
      <c r="S1896"/>
      <c r="T1896"/>
      <c r="U1896"/>
      <c r="V1896"/>
      <c r="W1896" s="41"/>
      <c r="X1896" s="41"/>
      <c r="Y1896" s="41"/>
    </row>
    <row r="1897" s="27" customFormat="1" ht="23" hidden="1" customHeight="1" spans="1:25">
      <c r="A1897" s="133" t="str">
        <f>IF(B1897="","",COUNTA($B$5:B1897))</f>
        <v/>
      </c>
      <c r="B1897" s="148"/>
      <c r="C1897" s="22" t="s">
        <v>49</v>
      </c>
      <c r="D1897" s="149"/>
      <c r="E1897" s="150"/>
      <c r="F1897" s="151"/>
      <c r="G1897" s="151"/>
      <c r="H1897" s="142">
        <f>IFERROR(VLOOKUP($C1897,$C$5:$H$18,6,0)+SUMIF($C$19:$C1897,$C1897,$F$19:$F1897)-SUMIF($C$19:$C1897,$C1897,$G$19:$G1897),"")</f>
        <v>81211.819999998</v>
      </c>
      <c r="I1897" s="147"/>
      <c r="J1897" s="147"/>
      <c r="K1897" s="147" t="str">
        <f t="shared" si="29"/>
        <v/>
      </c>
      <c r="L1897" s="40"/>
      <c r="M1897"/>
      <c r="N1897"/>
      <c r="O1897"/>
      <c r="P1897"/>
      <c r="Q1897"/>
      <c r="R1897"/>
      <c r="S1897"/>
      <c r="T1897"/>
      <c r="U1897"/>
      <c r="V1897"/>
      <c r="W1897" s="41"/>
      <c r="X1897" s="41"/>
      <c r="Y1897" s="41"/>
    </row>
    <row r="1898" s="27" customFormat="1" ht="23" hidden="1" customHeight="1" spans="1:25">
      <c r="A1898" s="133" t="str">
        <f>IF(B1898="","",COUNTA($B$5:B1898))</f>
        <v/>
      </c>
      <c r="B1898" s="148"/>
      <c r="C1898" s="22" t="s">
        <v>49</v>
      </c>
      <c r="D1898" s="149"/>
      <c r="E1898" s="150"/>
      <c r="F1898" s="151"/>
      <c r="G1898" s="151"/>
      <c r="H1898" s="142">
        <f>IFERROR(VLOOKUP($C1898,$C$5:$H$18,6,0)+SUMIF($C$19:$C1898,$C1898,$F$19:$F1898)-SUMIF($C$19:$C1898,$C1898,$G$19:$G1898),"")</f>
        <v>81211.819999998</v>
      </c>
      <c r="I1898" s="147"/>
      <c r="J1898" s="147"/>
      <c r="K1898" s="147" t="str">
        <f t="shared" si="29"/>
        <v/>
      </c>
      <c r="L1898" s="40"/>
      <c r="M1898"/>
      <c r="N1898"/>
      <c r="O1898"/>
      <c r="P1898"/>
      <c r="Q1898"/>
      <c r="R1898"/>
      <c r="S1898"/>
      <c r="T1898"/>
      <c r="U1898"/>
      <c r="V1898"/>
      <c r="W1898" s="41"/>
      <c r="X1898" s="41"/>
      <c r="Y1898" s="41"/>
    </row>
    <row r="1899" s="27" customFormat="1" ht="23" hidden="1" customHeight="1" spans="1:25">
      <c r="A1899" s="133" t="str">
        <f>IF(B1899="","",COUNTA($B$5:B1899))</f>
        <v/>
      </c>
      <c r="B1899" s="148"/>
      <c r="C1899" s="22" t="s">
        <v>49</v>
      </c>
      <c r="D1899" s="149"/>
      <c r="E1899" s="150"/>
      <c r="F1899" s="151"/>
      <c r="G1899" s="151"/>
      <c r="H1899" s="142">
        <f>IFERROR(VLOOKUP($C1899,$C$5:$H$18,6,0)+SUMIF($C$19:$C1899,$C1899,$F$19:$F1899)-SUMIF($C$19:$C1899,$C1899,$G$19:$G1899),"")</f>
        <v>81211.819999998</v>
      </c>
      <c r="I1899" s="147"/>
      <c r="J1899" s="147"/>
      <c r="K1899" s="147" t="str">
        <f t="shared" si="29"/>
        <v/>
      </c>
      <c r="L1899" s="40"/>
      <c r="M1899"/>
      <c r="N1899"/>
      <c r="O1899"/>
      <c r="P1899"/>
      <c r="Q1899"/>
      <c r="R1899"/>
      <c r="S1899"/>
      <c r="T1899"/>
      <c r="U1899"/>
      <c r="V1899"/>
      <c r="W1899" s="41"/>
      <c r="X1899" s="41"/>
      <c r="Y1899" s="41"/>
    </row>
    <row r="1900" s="27" customFormat="1" ht="23" hidden="1" customHeight="1" spans="1:25">
      <c r="A1900" s="133" t="str">
        <f>IF(B1900="","",COUNTA($B$5:B1900))</f>
        <v/>
      </c>
      <c r="B1900" s="148"/>
      <c r="C1900" s="22" t="s">
        <v>49</v>
      </c>
      <c r="D1900" s="149"/>
      <c r="E1900" s="150"/>
      <c r="F1900" s="151"/>
      <c r="G1900" s="151"/>
      <c r="H1900" s="142">
        <f>IFERROR(VLOOKUP($C1900,$C$5:$H$18,6,0)+SUMIF($C$19:$C1900,$C1900,$F$19:$F1900)-SUMIF($C$19:$C1900,$C1900,$G$19:$G1900),"")</f>
        <v>81211.819999998</v>
      </c>
      <c r="I1900" s="147"/>
      <c r="J1900" s="147"/>
      <c r="K1900" s="147" t="str">
        <f t="shared" si="29"/>
        <v/>
      </c>
      <c r="L1900" s="40"/>
      <c r="M1900"/>
      <c r="N1900"/>
      <c r="O1900"/>
      <c r="P1900"/>
      <c r="Q1900"/>
      <c r="R1900"/>
      <c r="S1900"/>
      <c r="T1900"/>
      <c r="U1900"/>
      <c r="V1900"/>
      <c r="W1900" s="41"/>
      <c r="X1900" s="41"/>
      <c r="Y1900" s="41"/>
    </row>
    <row r="1901" s="27" customFormat="1" ht="23" hidden="1" customHeight="1" spans="1:25">
      <c r="A1901" s="133" t="str">
        <f>IF(B1901="","",COUNTA($B$5:B1901))</f>
        <v/>
      </c>
      <c r="B1901" s="148"/>
      <c r="C1901" s="22" t="s">
        <v>49</v>
      </c>
      <c r="D1901" s="149"/>
      <c r="E1901" s="150"/>
      <c r="F1901" s="151"/>
      <c r="G1901" s="151"/>
      <c r="H1901" s="142">
        <f>IFERROR(VLOOKUP($C1901,$C$5:$H$18,6,0)+SUMIF($C$19:$C1901,$C1901,$F$19:$F1901)-SUMIF($C$19:$C1901,$C1901,$G$19:$G1901),"")</f>
        <v>81211.819999998</v>
      </c>
      <c r="I1901" s="147"/>
      <c r="J1901" s="147"/>
      <c r="K1901" s="147" t="str">
        <f t="shared" si="29"/>
        <v/>
      </c>
      <c r="L1901" s="40"/>
      <c r="M1901"/>
      <c r="N1901"/>
      <c r="O1901"/>
      <c r="P1901"/>
      <c r="Q1901"/>
      <c r="R1901"/>
      <c r="S1901"/>
      <c r="T1901"/>
      <c r="U1901"/>
      <c r="V1901"/>
      <c r="W1901" s="41"/>
      <c r="X1901" s="41"/>
      <c r="Y1901" s="41"/>
    </row>
    <row r="1902" s="27" customFormat="1" ht="23" hidden="1" customHeight="1" spans="1:25">
      <c r="A1902" s="133" t="str">
        <f>IF(B1902="","",COUNTA($B$5:B1902))</f>
        <v/>
      </c>
      <c r="B1902" s="148"/>
      <c r="C1902" s="22" t="s">
        <v>49</v>
      </c>
      <c r="D1902" s="149"/>
      <c r="E1902" s="150"/>
      <c r="F1902" s="151"/>
      <c r="G1902" s="151"/>
      <c r="H1902" s="142">
        <f>IFERROR(VLOOKUP($C1902,$C$5:$H$18,6,0)+SUMIF($C$19:$C1902,$C1902,$F$19:$F1902)-SUMIF($C$19:$C1902,$C1902,$G$19:$G1902),"")</f>
        <v>81211.819999998</v>
      </c>
      <c r="I1902" s="147"/>
      <c r="J1902" s="147"/>
      <c r="K1902" s="147" t="str">
        <f t="shared" si="29"/>
        <v/>
      </c>
      <c r="L1902" s="40"/>
      <c r="M1902"/>
      <c r="N1902"/>
      <c r="O1902"/>
      <c r="P1902"/>
      <c r="Q1902"/>
      <c r="R1902"/>
      <c r="S1902"/>
      <c r="T1902"/>
      <c r="U1902"/>
      <c r="V1902"/>
      <c r="W1902" s="41"/>
      <c r="X1902" s="41"/>
      <c r="Y1902" s="41"/>
    </row>
    <row r="1903" s="27" customFormat="1" ht="23" hidden="1" customHeight="1" spans="1:25">
      <c r="A1903" s="133" t="str">
        <f>IF(B1903="","",COUNTA($B$5:B1903))</f>
        <v/>
      </c>
      <c r="B1903" s="148"/>
      <c r="C1903" s="22" t="s">
        <v>49</v>
      </c>
      <c r="D1903" s="149"/>
      <c r="E1903" s="150"/>
      <c r="F1903" s="151"/>
      <c r="G1903" s="151"/>
      <c r="H1903" s="142">
        <f>IFERROR(VLOOKUP($C1903,$C$5:$H$18,6,0)+SUMIF($C$19:$C1903,$C1903,$F$19:$F1903)-SUMIF($C$19:$C1903,$C1903,$G$19:$G1903),"")</f>
        <v>81211.819999998</v>
      </c>
      <c r="I1903" s="147"/>
      <c r="J1903" s="147"/>
      <c r="K1903" s="147" t="str">
        <f t="shared" si="29"/>
        <v/>
      </c>
      <c r="L1903" s="40"/>
      <c r="M1903"/>
      <c r="N1903"/>
      <c r="O1903"/>
      <c r="P1903"/>
      <c r="Q1903"/>
      <c r="R1903"/>
      <c r="S1903"/>
      <c r="T1903"/>
      <c r="U1903"/>
      <c r="V1903"/>
      <c r="W1903" s="41"/>
      <c r="X1903" s="41"/>
      <c r="Y1903" s="41"/>
    </row>
    <row r="1904" s="27" customFormat="1" ht="23" hidden="1" customHeight="1" spans="1:25">
      <c r="A1904" s="133" t="str">
        <f>IF(B1904="","",COUNTA($B$5:B1904))</f>
        <v/>
      </c>
      <c r="B1904" s="148"/>
      <c r="C1904" s="22" t="s">
        <v>49</v>
      </c>
      <c r="D1904" s="149"/>
      <c r="E1904" s="150"/>
      <c r="F1904" s="151"/>
      <c r="G1904" s="151"/>
      <c r="H1904" s="142">
        <f>IFERROR(VLOOKUP($C1904,$C$5:$H$18,6,0)+SUMIF($C$19:$C1904,$C1904,$F$19:$F1904)-SUMIF($C$19:$C1904,$C1904,$G$19:$G1904),"")</f>
        <v>81211.819999998</v>
      </c>
      <c r="I1904" s="147"/>
      <c r="J1904" s="147"/>
      <c r="K1904" s="147" t="str">
        <f t="shared" si="29"/>
        <v/>
      </c>
      <c r="L1904" s="40"/>
      <c r="M1904"/>
      <c r="N1904"/>
      <c r="O1904"/>
      <c r="P1904"/>
      <c r="Q1904"/>
      <c r="R1904"/>
      <c r="S1904"/>
      <c r="T1904"/>
      <c r="U1904"/>
      <c r="V1904"/>
      <c r="W1904" s="41"/>
      <c r="X1904" s="41"/>
      <c r="Y1904" s="41"/>
    </row>
    <row r="1905" s="27" customFormat="1" ht="23" hidden="1" customHeight="1" spans="1:25">
      <c r="A1905" s="133" t="str">
        <f>IF(B1905="","",COUNTA($B$5:B1905))</f>
        <v/>
      </c>
      <c r="B1905" s="148"/>
      <c r="C1905" s="22" t="s">
        <v>49</v>
      </c>
      <c r="D1905" s="149"/>
      <c r="E1905" s="150"/>
      <c r="F1905" s="151"/>
      <c r="G1905" s="151"/>
      <c r="H1905" s="142">
        <f>IFERROR(VLOOKUP($C1905,$C$5:$H$18,6,0)+SUMIF($C$19:$C1905,$C1905,$F$19:$F1905)-SUMIF($C$19:$C1905,$C1905,$G$19:$G1905),"")</f>
        <v>81211.819999998</v>
      </c>
      <c r="I1905" s="147"/>
      <c r="J1905" s="147"/>
      <c r="K1905" s="147" t="str">
        <f t="shared" si="29"/>
        <v/>
      </c>
      <c r="L1905" s="40"/>
      <c r="M1905"/>
      <c r="N1905"/>
      <c r="O1905"/>
      <c r="P1905"/>
      <c r="Q1905"/>
      <c r="R1905"/>
      <c r="S1905"/>
      <c r="T1905"/>
      <c r="U1905"/>
      <c r="V1905"/>
      <c r="W1905" s="41"/>
      <c r="X1905" s="41"/>
      <c r="Y1905" s="41"/>
    </row>
    <row r="1906" s="27" customFormat="1" ht="23" hidden="1" customHeight="1" spans="1:25">
      <c r="A1906" s="133" t="str">
        <f>IF(B1906="","",COUNTA($B$5:B1906))</f>
        <v/>
      </c>
      <c r="B1906" s="148"/>
      <c r="C1906" s="22" t="s">
        <v>49</v>
      </c>
      <c r="D1906" s="149"/>
      <c r="E1906" s="150"/>
      <c r="F1906" s="151"/>
      <c r="G1906" s="151"/>
      <c r="H1906" s="142">
        <f>IFERROR(VLOOKUP($C1906,$C$5:$H$18,6,0)+SUMIF($C$19:$C1906,$C1906,$F$19:$F1906)-SUMIF($C$19:$C1906,$C1906,$G$19:$G1906),"")</f>
        <v>81211.819999998</v>
      </c>
      <c r="I1906" s="147"/>
      <c r="J1906" s="147"/>
      <c r="K1906" s="147" t="str">
        <f t="shared" si="29"/>
        <v/>
      </c>
      <c r="L1906" s="40"/>
      <c r="M1906"/>
      <c r="N1906"/>
      <c r="O1906"/>
      <c r="P1906"/>
      <c r="Q1906"/>
      <c r="R1906"/>
      <c r="S1906"/>
      <c r="T1906"/>
      <c r="U1906"/>
      <c r="V1906"/>
      <c r="W1906" s="41"/>
      <c r="X1906" s="41"/>
      <c r="Y1906" s="41"/>
    </row>
    <row r="1907" s="27" customFormat="1" ht="23" hidden="1" customHeight="1" spans="1:25">
      <c r="A1907" s="133" t="str">
        <f>IF(B1907="","",COUNTA($B$5:B1907))</f>
        <v/>
      </c>
      <c r="B1907" s="148"/>
      <c r="C1907" s="22" t="s">
        <v>49</v>
      </c>
      <c r="D1907" s="149"/>
      <c r="E1907" s="150"/>
      <c r="F1907" s="151"/>
      <c r="G1907" s="151"/>
      <c r="H1907" s="142">
        <f>IFERROR(VLOOKUP($C1907,$C$5:$H$18,6,0)+SUMIF($C$19:$C1907,$C1907,$F$19:$F1907)-SUMIF($C$19:$C1907,$C1907,$G$19:$G1907),"")</f>
        <v>81211.819999998</v>
      </c>
      <c r="I1907" s="147"/>
      <c r="J1907" s="147"/>
      <c r="K1907" s="147" t="str">
        <f t="shared" si="29"/>
        <v/>
      </c>
      <c r="L1907" s="40"/>
      <c r="M1907"/>
      <c r="N1907"/>
      <c r="O1907"/>
      <c r="P1907"/>
      <c r="Q1907"/>
      <c r="R1907"/>
      <c r="S1907"/>
      <c r="T1907"/>
      <c r="U1907"/>
      <c r="V1907"/>
      <c r="W1907" s="41"/>
      <c r="X1907" s="41"/>
      <c r="Y1907" s="41"/>
    </row>
    <row r="1908" s="27" customFormat="1" ht="23" hidden="1" customHeight="1" spans="1:25">
      <c r="A1908" s="133" t="str">
        <f>IF(B1908="","",COUNTA($B$5:B1908))</f>
        <v/>
      </c>
      <c r="B1908" s="148"/>
      <c r="C1908" s="22" t="s">
        <v>49</v>
      </c>
      <c r="D1908" s="149"/>
      <c r="E1908" s="150"/>
      <c r="F1908" s="151"/>
      <c r="G1908" s="151"/>
      <c r="H1908" s="142">
        <f>IFERROR(VLOOKUP($C1908,$C$5:$H$18,6,0)+SUMIF($C$19:$C1908,$C1908,$F$19:$F1908)-SUMIF($C$19:$C1908,$C1908,$G$19:$G1908),"")</f>
        <v>81211.819999998</v>
      </c>
      <c r="I1908" s="147"/>
      <c r="J1908" s="147"/>
      <c r="K1908" s="147" t="str">
        <f t="shared" si="29"/>
        <v/>
      </c>
      <c r="L1908" s="40"/>
      <c r="M1908"/>
      <c r="N1908"/>
      <c r="O1908"/>
      <c r="P1908"/>
      <c r="Q1908"/>
      <c r="R1908"/>
      <c r="S1908"/>
      <c r="T1908"/>
      <c r="U1908"/>
      <c r="V1908"/>
      <c r="W1908" s="41"/>
      <c r="X1908" s="41"/>
      <c r="Y1908" s="41"/>
    </row>
    <row r="1909" s="27" customFormat="1" ht="23" hidden="1" customHeight="1" spans="1:25">
      <c r="A1909" s="133" t="str">
        <f>IF(B1909="","",COUNTA($B$5:B1909))</f>
        <v/>
      </c>
      <c r="B1909" s="148"/>
      <c r="C1909" s="22" t="s">
        <v>49</v>
      </c>
      <c r="D1909" s="149"/>
      <c r="E1909" s="150"/>
      <c r="F1909" s="151"/>
      <c r="G1909" s="151"/>
      <c r="H1909" s="142">
        <f>IFERROR(VLOOKUP($C1909,$C$5:$H$18,6,0)+SUMIF($C$19:$C1909,$C1909,$F$19:$F1909)-SUMIF($C$19:$C1909,$C1909,$G$19:$G1909),"")</f>
        <v>81211.819999998</v>
      </c>
      <c r="I1909" s="147"/>
      <c r="J1909" s="147"/>
      <c r="K1909" s="147" t="str">
        <f t="shared" si="29"/>
        <v/>
      </c>
      <c r="L1909" s="40"/>
      <c r="M1909"/>
      <c r="N1909"/>
      <c r="O1909"/>
      <c r="P1909"/>
      <c r="Q1909"/>
      <c r="R1909"/>
      <c r="S1909"/>
      <c r="T1909"/>
      <c r="U1909"/>
      <c r="V1909"/>
      <c r="W1909" s="41"/>
      <c r="X1909" s="41"/>
      <c r="Y1909" s="41"/>
    </row>
    <row r="1910" s="27" customFormat="1" ht="23" hidden="1" customHeight="1" spans="1:25">
      <c r="A1910" s="133" t="str">
        <f>IF(B1910="","",COUNTA($B$5:B1910))</f>
        <v/>
      </c>
      <c r="B1910" s="148"/>
      <c r="C1910" s="22" t="s">
        <v>49</v>
      </c>
      <c r="D1910" s="149"/>
      <c r="E1910" s="150"/>
      <c r="F1910" s="151"/>
      <c r="G1910" s="151"/>
      <c r="H1910" s="142">
        <f>IFERROR(VLOOKUP($C1910,$C$5:$H$18,6,0)+SUMIF($C$19:$C1910,$C1910,$F$19:$F1910)-SUMIF($C$19:$C1910,$C1910,$G$19:$G1910),"")</f>
        <v>81211.819999998</v>
      </c>
      <c r="I1910" s="147"/>
      <c r="J1910" s="147"/>
      <c r="K1910" s="147" t="str">
        <f t="shared" si="29"/>
        <v/>
      </c>
      <c r="L1910" s="40"/>
      <c r="M1910"/>
      <c r="N1910"/>
      <c r="O1910"/>
      <c r="P1910"/>
      <c r="Q1910"/>
      <c r="R1910"/>
      <c r="S1910"/>
      <c r="T1910"/>
      <c r="U1910"/>
      <c r="V1910"/>
      <c r="W1910" s="41"/>
      <c r="X1910" s="41"/>
      <c r="Y1910" s="41"/>
    </row>
    <row r="1911" s="27" customFormat="1" ht="23" hidden="1" customHeight="1" spans="1:25">
      <c r="A1911" s="133" t="str">
        <f>IF(B1911="","",COUNTA($B$5:B1911))</f>
        <v/>
      </c>
      <c r="B1911" s="148"/>
      <c r="C1911" s="22" t="s">
        <v>49</v>
      </c>
      <c r="D1911" s="149"/>
      <c r="E1911" s="150"/>
      <c r="F1911" s="151"/>
      <c r="G1911" s="151"/>
      <c r="H1911" s="142">
        <f>IFERROR(VLOOKUP($C1911,$C$5:$H$18,6,0)+SUMIF($C$19:$C1911,$C1911,$F$19:$F1911)-SUMIF($C$19:$C1911,$C1911,$G$19:$G1911),"")</f>
        <v>81211.819999998</v>
      </c>
      <c r="I1911" s="147"/>
      <c r="J1911" s="147"/>
      <c r="K1911" s="147" t="str">
        <f t="shared" si="29"/>
        <v/>
      </c>
      <c r="L1911" s="40"/>
      <c r="M1911"/>
      <c r="N1911"/>
      <c r="O1911"/>
      <c r="P1911"/>
      <c r="Q1911"/>
      <c r="R1911"/>
      <c r="S1911"/>
      <c r="T1911"/>
      <c r="U1911"/>
      <c r="V1911"/>
      <c r="W1911" s="41"/>
      <c r="X1911" s="41"/>
      <c r="Y1911" s="41"/>
    </row>
    <row r="1912" s="27" customFormat="1" ht="23" hidden="1" customHeight="1" spans="1:25">
      <c r="A1912" s="133" t="str">
        <f>IF(B1912="","",COUNTA($B$5:B1912))</f>
        <v/>
      </c>
      <c r="B1912" s="148"/>
      <c r="C1912" s="22" t="s">
        <v>49</v>
      </c>
      <c r="D1912" s="149"/>
      <c r="E1912" s="150"/>
      <c r="F1912" s="151"/>
      <c r="G1912" s="151"/>
      <c r="H1912" s="142">
        <f>IFERROR(VLOOKUP($C1912,$C$5:$H$18,6,0)+SUMIF($C$19:$C1912,$C1912,$F$19:$F1912)-SUMIF($C$19:$C1912,$C1912,$G$19:$G1912),"")</f>
        <v>81211.819999998</v>
      </c>
      <c r="I1912" s="147"/>
      <c r="J1912" s="147"/>
      <c r="K1912" s="147" t="str">
        <f t="shared" si="29"/>
        <v/>
      </c>
      <c r="L1912" s="40"/>
      <c r="M1912"/>
      <c r="N1912"/>
      <c r="O1912"/>
      <c r="P1912"/>
      <c r="Q1912"/>
      <c r="R1912"/>
      <c r="S1912"/>
      <c r="T1912"/>
      <c r="U1912"/>
      <c r="V1912"/>
      <c r="W1912" s="41"/>
      <c r="X1912" s="41"/>
      <c r="Y1912" s="41"/>
    </row>
    <row r="1913" s="27" customFormat="1" ht="23" hidden="1" customHeight="1" spans="1:25">
      <c r="A1913" s="133" t="str">
        <f>IF(B1913="","",COUNTA($B$5:B1913))</f>
        <v/>
      </c>
      <c r="B1913" s="148"/>
      <c r="C1913" s="22" t="s">
        <v>49</v>
      </c>
      <c r="D1913" s="149"/>
      <c r="E1913" s="150"/>
      <c r="F1913" s="151"/>
      <c r="G1913" s="151"/>
      <c r="H1913" s="142">
        <f>IFERROR(VLOOKUP($C1913,$C$5:$H$18,6,0)+SUMIF($C$19:$C1913,$C1913,$F$19:$F1913)-SUMIF($C$19:$C1913,$C1913,$G$19:$G1913),"")</f>
        <v>81211.819999998</v>
      </c>
      <c r="I1913" s="147"/>
      <c r="J1913" s="147"/>
      <c r="K1913" s="147" t="str">
        <f t="shared" si="29"/>
        <v/>
      </c>
      <c r="L1913" s="40"/>
      <c r="M1913"/>
      <c r="N1913"/>
      <c r="O1913"/>
      <c r="P1913"/>
      <c r="Q1913"/>
      <c r="R1913"/>
      <c r="S1913"/>
      <c r="T1913"/>
      <c r="U1913"/>
      <c r="V1913"/>
      <c r="W1913" s="41"/>
      <c r="X1913" s="41"/>
      <c r="Y1913" s="41"/>
    </row>
    <row r="1914" s="27" customFormat="1" ht="23" hidden="1" customHeight="1" spans="1:25">
      <c r="A1914" s="133" t="str">
        <f>IF(B1914="","",COUNTA($B$5:B1914))</f>
        <v/>
      </c>
      <c r="B1914" s="148"/>
      <c r="C1914" s="22" t="s">
        <v>49</v>
      </c>
      <c r="D1914" s="149"/>
      <c r="E1914" s="150"/>
      <c r="F1914" s="151"/>
      <c r="G1914" s="151"/>
      <c r="H1914" s="142">
        <f>IFERROR(VLOOKUP($C1914,$C$5:$H$18,6,0)+SUMIF($C$19:$C1914,$C1914,$F$19:$F1914)-SUMIF($C$19:$C1914,$C1914,$G$19:$G1914),"")</f>
        <v>81211.819999998</v>
      </c>
      <c r="I1914" s="147"/>
      <c r="J1914" s="147"/>
      <c r="K1914" s="147" t="str">
        <f t="shared" si="29"/>
        <v/>
      </c>
      <c r="L1914" s="40"/>
      <c r="M1914"/>
      <c r="N1914"/>
      <c r="O1914"/>
      <c r="P1914"/>
      <c r="Q1914"/>
      <c r="R1914"/>
      <c r="S1914"/>
      <c r="T1914"/>
      <c r="U1914"/>
      <c r="V1914"/>
      <c r="W1914" s="41"/>
      <c r="X1914" s="41"/>
      <c r="Y1914" s="41"/>
    </row>
    <row r="1915" s="27" customFormat="1" ht="23" hidden="1" customHeight="1" spans="1:25">
      <c r="A1915" s="133" t="str">
        <f>IF(B1915="","",COUNTA($B$5:B1915))</f>
        <v/>
      </c>
      <c r="B1915" s="148"/>
      <c r="C1915" s="22" t="s">
        <v>49</v>
      </c>
      <c r="D1915" s="149"/>
      <c r="E1915" s="150"/>
      <c r="F1915" s="151"/>
      <c r="G1915" s="151"/>
      <c r="H1915" s="142">
        <f>IFERROR(VLOOKUP($C1915,$C$5:$H$18,6,0)+SUMIF($C$19:$C1915,$C1915,$F$19:$F1915)-SUMIF($C$19:$C1915,$C1915,$G$19:$G1915),"")</f>
        <v>81211.819999998</v>
      </c>
      <c r="I1915" s="147"/>
      <c r="J1915" s="147"/>
      <c r="K1915" s="147" t="str">
        <f t="shared" si="29"/>
        <v/>
      </c>
      <c r="L1915" s="40"/>
      <c r="M1915"/>
      <c r="N1915"/>
      <c r="O1915"/>
      <c r="P1915"/>
      <c r="Q1915"/>
      <c r="R1915"/>
      <c r="S1915"/>
      <c r="T1915"/>
      <c r="U1915"/>
      <c r="V1915"/>
      <c r="W1915" s="41"/>
      <c r="X1915" s="41"/>
      <c r="Y1915" s="41"/>
    </row>
    <row r="1916" s="27" customFormat="1" ht="23" hidden="1" customHeight="1" spans="1:25">
      <c r="A1916" s="133" t="str">
        <f>IF(B1916="","",COUNTA($B$5:B1916))</f>
        <v/>
      </c>
      <c r="B1916" s="148"/>
      <c r="C1916" s="22" t="s">
        <v>49</v>
      </c>
      <c r="D1916" s="149"/>
      <c r="E1916" s="150"/>
      <c r="F1916" s="151"/>
      <c r="G1916" s="151"/>
      <c r="H1916" s="142">
        <f>IFERROR(VLOOKUP($C1916,$C$5:$H$18,6,0)+SUMIF($C$19:$C1916,$C1916,$F$19:$F1916)-SUMIF($C$19:$C1916,$C1916,$G$19:$G1916),"")</f>
        <v>81211.819999998</v>
      </c>
      <c r="I1916" s="147"/>
      <c r="J1916" s="147"/>
      <c r="K1916" s="147" t="str">
        <f t="shared" si="29"/>
        <v/>
      </c>
      <c r="L1916" s="40"/>
      <c r="M1916"/>
      <c r="N1916"/>
      <c r="O1916"/>
      <c r="P1916"/>
      <c r="Q1916"/>
      <c r="R1916"/>
      <c r="S1916"/>
      <c r="T1916"/>
      <c r="U1916"/>
      <c r="V1916"/>
      <c r="W1916" s="41"/>
      <c r="X1916" s="41"/>
      <c r="Y1916" s="41"/>
    </row>
    <row r="1917" s="27" customFormat="1" ht="23" hidden="1" customHeight="1" spans="1:25">
      <c r="A1917" s="133" t="str">
        <f>IF(B1917="","",COUNTA($B$5:B1917))</f>
        <v/>
      </c>
      <c r="B1917" s="148"/>
      <c r="C1917" s="22" t="s">
        <v>49</v>
      </c>
      <c r="D1917" s="149"/>
      <c r="E1917" s="150"/>
      <c r="F1917" s="151"/>
      <c r="G1917" s="151"/>
      <c r="H1917" s="142">
        <f>IFERROR(VLOOKUP($C1917,$C$5:$H$18,6,0)+SUMIF($C$19:$C1917,$C1917,$F$19:$F1917)-SUMIF($C$19:$C1917,$C1917,$G$19:$G1917),"")</f>
        <v>81211.819999998</v>
      </c>
      <c r="I1917" s="147"/>
      <c r="J1917" s="147"/>
      <c r="K1917" s="147" t="str">
        <f t="shared" si="29"/>
        <v/>
      </c>
      <c r="L1917" s="40"/>
      <c r="M1917"/>
      <c r="N1917"/>
      <c r="O1917"/>
      <c r="P1917"/>
      <c r="Q1917"/>
      <c r="R1917"/>
      <c r="S1917"/>
      <c r="T1917"/>
      <c r="U1917"/>
      <c r="V1917"/>
      <c r="W1917" s="41"/>
      <c r="X1917" s="41"/>
      <c r="Y1917" s="41"/>
    </row>
    <row r="1918" s="27" customFormat="1" ht="23" hidden="1" customHeight="1" spans="1:25">
      <c r="A1918" s="133" t="str">
        <f>IF(B1918="","",COUNTA($B$5:B1918))</f>
        <v/>
      </c>
      <c r="B1918" s="148"/>
      <c r="C1918" s="22" t="s">
        <v>49</v>
      </c>
      <c r="D1918" s="149"/>
      <c r="E1918" s="150"/>
      <c r="F1918" s="151"/>
      <c r="G1918" s="151"/>
      <c r="H1918" s="142">
        <f>IFERROR(VLOOKUP($C1918,$C$5:$H$18,6,0)+SUMIF($C$19:$C1918,$C1918,$F$19:$F1918)-SUMIF($C$19:$C1918,$C1918,$G$19:$G1918),"")</f>
        <v>81211.819999998</v>
      </c>
      <c r="I1918" s="147"/>
      <c r="J1918" s="147"/>
      <c r="K1918" s="147" t="str">
        <f t="shared" si="29"/>
        <v/>
      </c>
      <c r="L1918" s="40"/>
      <c r="M1918"/>
      <c r="N1918"/>
      <c r="O1918"/>
      <c r="P1918"/>
      <c r="Q1918"/>
      <c r="R1918"/>
      <c r="S1918"/>
      <c r="T1918"/>
      <c r="U1918"/>
      <c r="V1918"/>
      <c r="W1918" s="41"/>
      <c r="X1918" s="41"/>
      <c r="Y1918" s="41"/>
    </row>
    <row r="1919" s="27" customFormat="1" ht="23" hidden="1" customHeight="1" spans="1:25">
      <c r="A1919" s="133" t="str">
        <f>IF(B1919="","",COUNTA($B$5:B1919))</f>
        <v/>
      </c>
      <c r="B1919" s="148"/>
      <c r="C1919" s="22" t="s">
        <v>49</v>
      </c>
      <c r="D1919" s="149"/>
      <c r="E1919" s="150"/>
      <c r="F1919" s="151"/>
      <c r="G1919" s="151"/>
      <c r="H1919" s="142">
        <f>IFERROR(VLOOKUP($C1919,$C$5:$H$18,6,0)+SUMIF($C$19:$C1919,$C1919,$F$19:$F1919)-SUMIF($C$19:$C1919,$C1919,$G$19:$G1919),"")</f>
        <v>81211.819999998</v>
      </c>
      <c r="I1919" s="147"/>
      <c r="J1919" s="147"/>
      <c r="K1919" s="147" t="str">
        <f t="shared" si="29"/>
        <v/>
      </c>
      <c r="L1919" s="40"/>
      <c r="M1919"/>
      <c r="N1919"/>
      <c r="O1919"/>
      <c r="P1919"/>
      <c r="Q1919"/>
      <c r="R1919"/>
      <c r="S1919"/>
      <c r="T1919"/>
      <c r="U1919"/>
      <c r="V1919"/>
      <c r="W1919" s="41"/>
      <c r="X1919" s="41"/>
      <c r="Y1919" s="41"/>
    </row>
    <row r="1920" s="27" customFormat="1" ht="23" hidden="1" customHeight="1" spans="1:25">
      <c r="A1920" s="133" t="str">
        <f>IF(B1920="","",COUNTA($B$5:B1920))</f>
        <v/>
      </c>
      <c r="B1920" s="148"/>
      <c r="C1920" s="22" t="s">
        <v>49</v>
      </c>
      <c r="D1920" s="149"/>
      <c r="E1920" s="150"/>
      <c r="F1920" s="151"/>
      <c r="G1920" s="151"/>
      <c r="H1920" s="142">
        <f>IFERROR(VLOOKUP($C1920,$C$5:$H$18,6,0)+SUMIF($C$19:$C1920,$C1920,$F$19:$F1920)-SUMIF($C$19:$C1920,$C1920,$G$19:$G1920),"")</f>
        <v>81211.819999998</v>
      </c>
      <c r="I1920" s="147"/>
      <c r="J1920" s="147"/>
      <c r="K1920" s="147" t="str">
        <f t="shared" si="29"/>
        <v/>
      </c>
      <c r="L1920" s="40"/>
      <c r="M1920"/>
      <c r="N1920"/>
      <c r="O1920"/>
      <c r="P1920"/>
      <c r="Q1920"/>
      <c r="R1920"/>
      <c r="S1920"/>
      <c r="T1920"/>
      <c r="U1920"/>
      <c r="V1920"/>
      <c r="W1920" s="41"/>
      <c r="X1920" s="41"/>
      <c r="Y1920" s="41"/>
    </row>
    <row r="1921" s="27" customFormat="1" ht="23" hidden="1" customHeight="1" spans="1:25">
      <c r="A1921" s="133" t="str">
        <f>IF(B1921="","",COUNTA($B$5:B1921))</f>
        <v/>
      </c>
      <c r="B1921" s="148"/>
      <c r="C1921" s="22" t="s">
        <v>49</v>
      </c>
      <c r="D1921" s="149"/>
      <c r="E1921" s="150"/>
      <c r="F1921" s="151"/>
      <c r="G1921" s="151"/>
      <c r="H1921" s="142">
        <f>IFERROR(VLOOKUP($C1921,$C$5:$H$18,6,0)+SUMIF($C$19:$C1921,$C1921,$F$19:$F1921)-SUMIF($C$19:$C1921,$C1921,$G$19:$G1921),"")</f>
        <v>81211.819999998</v>
      </c>
      <c r="I1921" s="147"/>
      <c r="J1921" s="147"/>
      <c r="K1921" s="147" t="str">
        <f t="shared" si="29"/>
        <v/>
      </c>
      <c r="L1921" s="40"/>
      <c r="M1921"/>
      <c r="N1921"/>
      <c r="O1921"/>
      <c r="P1921"/>
      <c r="Q1921"/>
      <c r="R1921"/>
      <c r="S1921"/>
      <c r="T1921"/>
      <c r="U1921"/>
      <c r="V1921"/>
      <c r="W1921" s="41"/>
      <c r="X1921" s="41"/>
      <c r="Y1921" s="41"/>
    </row>
    <row r="1922" s="27" customFormat="1" ht="23" hidden="1" customHeight="1" spans="1:25">
      <c r="A1922" s="133" t="str">
        <f>IF(B1922="","",COUNTA($B$5:B1922))</f>
        <v/>
      </c>
      <c r="B1922" s="148"/>
      <c r="C1922" s="22" t="s">
        <v>49</v>
      </c>
      <c r="D1922" s="149"/>
      <c r="E1922" s="150"/>
      <c r="F1922" s="151"/>
      <c r="G1922" s="151"/>
      <c r="H1922" s="142">
        <f>IFERROR(VLOOKUP($C1922,$C$5:$H$18,6,0)+SUMIF($C$19:$C1922,$C1922,$F$19:$F1922)-SUMIF($C$19:$C1922,$C1922,$G$19:$G1922),"")</f>
        <v>81211.819999998</v>
      </c>
      <c r="I1922" s="147"/>
      <c r="J1922" s="147"/>
      <c r="K1922" s="147" t="str">
        <f t="shared" si="29"/>
        <v/>
      </c>
      <c r="L1922" s="40"/>
      <c r="M1922"/>
      <c r="N1922"/>
      <c r="O1922"/>
      <c r="P1922"/>
      <c r="Q1922"/>
      <c r="R1922"/>
      <c r="S1922"/>
      <c r="T1922"/>
      <c r="U1922"/>
      <c r="V1922"/>
      <c r="W1922" s="41"/>
      <c r="X1922" s="41"/>
      <c r="Y1922" s="41"/>
    </row>
    <row r="1923" s="27" customFormat="1" ht="23" hidden="1" customHeight="1" spans="1:25">
      <c r="A1923" s="133" t="str">
        <f>IF(B1923="","",COUNTA($B$5:B1923))</f>
        <v/>
      </c>
      <c r="B1923" s="148"/>
      <c r="C1923" s="22" t="s">
        <v>49</v>
      </c>
      <c r="D1923" s="149"/>
      <c r="E1923" s="150"/>
      <c r="F1923" s="151"/>
      <c r="G1923" s="151"/>
      <c r="H1923" s="142">
        <f>IFERROR(VLOOKUP($C1923,$C$5:$H$18,6,0)+SUMIF($C$19:$C1923,$C1923,$F$19:$F1923)-SUMIF($C$19:$C1923,$C1923,$G$19:$G1923),"")</f>
        <v>81211.819999998</v>
      </c>
      <c r="I1923" s="147"/>
      <c r="J1923" s="147"/>
      <c r="K1923" s="147" t="str">
        <f t="shared" si="29"/>
        <v/>
      </c>
      <c r="L1923" s="40"/>
      <c r="M1923"/>
      <c r="N1923"/>
      <c r="O1923"/>
      <c r="P1923"/>
      <c r="Q1923"/>
      <c r="R1923"/>
      <c r="S1923"/>
      <c r="T1923"/>
      <c r="U1923"/>
      <c r="V1923"/>
      <c r="W1923" s="41"/>
      <c r="X1923" s="41"/>
      <c r="Y1923" s="41"/>
    </row>
    <row r="1924" s="27" customFormat="1" ht="23" hidden="1" customHeight="1" spans="1:25">
      <c r="A1924" s="133" t="str">
        <f>IF(B1924="","",COUNTA($B$5:B1924))</f>
        <v/>
      </c>
      <c r="B1924" s="148"/>
      <c r="C1924" s="22" t="s">
        <v>49</v>
      </c>
      <c r="D1924" s="149"/>
      <c r="E1924" s="150"/>
      <c r="F1924" s="151"/>
      <c r="G1924" s="151"/>
      <c r="H1924" s="142">
        <f>IFERROR(VLOOKUP($C1924,$C$5:$H$18,6,0)+SUMIF($C$19:$C1924,$C1924,$F$19:$F1924)-SUMIF($C$19:$C1924,$C1924,$G$19:$G1924),"")</f>
        <v>81211.819999998</v>
      </c>
      <c r="I1924" s="147"/>
      <c r="J1924" s="147"/>
      <c r="K1924" s="147" t="str">
        <f t="shared" si="29"/>
        <v/>
      </c>
      <c r="L1924" s="40"/>
      <c r="M1924"/>
      <c r="N1924"/>
      <c r="O1924"/>
      <c r="P1924"/>
      <c r="Q1924"/>
      <c r="R1924"/>
      <c r="S1924"/>
      <c r="T1924"/>
      <c r="U1924"/>
      <c r="V1924"/>
      <c r="W1924" s="41"/>
      <c r="X1924" s="41"/>
      <c r="Y1924" s="41"/>
    </row>
    <row r="1925" s="27" customFormat="1" ht="23" hidden="1" customHeight="1" spans="1:25">
      <c r="A1925" s="133" t="str">
        <f>IF(B1925="","",COUNTA($B$5:B1925))</f>
        <v/>
      </c>
      <c r="B1925" s="148"/>
      <c r="C1925" s="22" t="s">
        <v>49</v>
      </c>
      <c r="D1925" s="149"/>
      <c r="E1925" s="150"/>
      <c r="F1925" s="151"/>
      <c r="G1925" s="151"/>
      <c r="H1925" s="142">
        <f>IFERROR(VLOOKUP($C1925,$C$5:$H$18,6,0)+SUMIF($C$19:$C1925,$C1925,$F$19:$F1925)-SUMIF($C$19:$C1925,$C1925,$G$19:$G1925),"")</f>
        <v>81211.819999998</v>
      </c>
      <c r="I1925" s="147"/>
      <c r="J1925" s="147"/>
      <c r="K1925" s="147" t="str">
        <f t="shared" ref="K1925:K1988" si="30">IF($B1925="","",--TEXT($B1925,"yyyymm"))</f>
        <v/>
      </c>
      <c r="L1925" s="40"/>
      <c r="M1925"/>
      <c r="N1925"/>
      <c r="O1925"/>
      <c r="P1925"/>
      <c r="Q1925"/>
      <c r="R1925"/>
      <c r="S1925"/>
      <c r="T1925"/>
      <c r="U1925"/>
      <c r="V1925"/>
      <c r="W1925" s="41"/>
      <c r="X1925" s="41"/>
      <c r="Y1925" s="41"/>
    </row>
    <row r="1926" s="27" customFormat="1" ht="23" hidden="1" customHeight="1" spans="1:25">
      <c r="A1926" s="133" t="str">
        <f>IF(B1926="","",COUNTA($B$5:B1926))</f>
        <v/>
      </c>
      <c r="B1926" s="148"/>
      <c r="C1926" s="22" t="s">
        <v>49</v>
      </c>
      <c r="D1926" s="149"/>
      <c r="E1926" s="150"/>
      <c r="F1926" s="151"/>
      <c r="G1926" s="151"/>
      <c r="H1926" s="142">
        <f>IFERROR(VLOOKUP($C1926,$C$5:$H$18,6,0)+SUMIF($C$19:$C1926,$C1926,$F$19:$F1926)-SUMIF($C$19:$C1926,$C1926,$G$19:$G1926),"")</f>
        <v>81211.819999998</v>
      </c>
      <c r="I1926" s="147"/>
      <c r="J1926" s="147"/>
      <c r="K1926" s="147" t="str">
        <f t="shared" si="30"/>
        <v/>
      </c>
      <c r="L1926" s="40"/>
      <c r="M1926"/>
      <c r="N1926"/>
      <c r="O1926"/>
      <c r="P1926"/>
      <c r="Q1926"/>
      <c r="R1926"/>
      <c r="S1926"/>
      <c r="T1926"/>
      <c r="U1926"/>
      <c r="V1926"/>
      <c r="W1926" s="41"/>
      <c r="X1926" s="41"/>
      <c r="Y1926" s="41"/>
    </row>
    <row r="1927" s="27" customFormat="1" ht="23" hidden="1" customHeight="1" spans="1:25">
      <c r="A1927" s="133" t="str">
        <f>IF(B1927="","",COUNTA($B$5:B1927))</f>
        <v/>
      </c>
      <c r="B1927" s="148"/>
      <c r="C1927" s="22" t="s">
        <v>49</v>
      </c>
      <c r="D1927" s="149"/>
      <c r="E1927" s="150"/>
      <c r="F1927" s="151"/>
      <c r="G1927" s="151"/>
      <c r="H1927" s="142">
        <f>IFERROR(VLOOKUP($C1927,$C$5:$H$18,6,0)+SUMIF($C$19:$C1927,$C1927,$F$19:$F1927)-SUMIF($C$19:$C1927,$C1927,$G$19:$G1927),"")</f>
        <v>81211.819999998</v>
      </c>
      <c r="I1927" s="147"/>
      <c r="J1927" s="147"/>
      <c r="K1927" s="147" t="str">
        <f t="shared" si="30"/>
        <v/>
      </c>
      <c r="L1927" s="40"/>
      <c r="M1927"/>
      <c r="N1927"/>
      <c r="O1927"/>
      <c r="P1927"/>
      <c r="Q1927"/>
      <c r="R1927"/>
      <c r="S1927"/>
      <c r="T1927"/>
      <c r="U1927"/>
      <c r="V1927"/>
      <c r="W1927" s="41"/>
      <c r="X1927" s="41"/>
      <c r="Y1927" s="41"/>
    </row>
    <row r="1928" s="27" customFormat="1" ht="23" hidden="1" customHeight="1" spans="1:25">
      <c r="A1928" s="133" t="str">
        <f>IF(B1928="","",COUNTA($B$5:B1928))</f>
        <v/>
      </c>
      <c r="B1928" s="148"/>
      <c r="C1928" s="22" t="s">
        <v>49</v>
      </c>
      <c r="D1928" s="149"/>
      <c r="E1928" s="150"/>
      <c r="F1928" s="151"/>
      <c r="G1928" s="151"/>
      <c r="H1928" s="142">
        <f>IFERROR(VLOOKUP($C1928,$C$5:$H$18,6,0)+SUMIF($C$19:$C1928,$C1928,$F$19:$F1928)-SUMIF($C$19:$C1928,$C1928,$G$19:$G1928),"")</f>
        <v>81211.819999998</v>
      </c>
      <c r="I1928" s="147"/>
      <c r="J1928" s="147"/>
      <c r="K1928" s="147" t="str">
        <f t="shared" si="30"/>
        <v/>
      </c>
      <c r="L1928" s="40"/>
      <c r="M1928"/>
      <c r="N1928"/>
      <c r="O1928"/>
      <c r="P1928"/>
      <c r="Q1928"/>
      <c r="R1928"/>
      <c r="S1928"/>
      <c r="T1928"/>
      <c r="U1928"/>
      <c r="V1928"/>
      <c r="W1928" s="41"/>
      <c r="X1928" s="41"/>
      <c r="Y1928" s="41"/>
    </row>
    <row r="1929" s="27" customFormat="1" ht="23" hidden="1" customHeight="1" spans="1:25">
      <c r="A1929" s="133" t="str">
        <f>IF(B1929="","",COUNTA($B$5:B1929))</f>
        <v/>
      </c>
      <c r="B1929" s="148"/>
      <c r="C1929" s="22" t="s">
        <v>49</v>
      </c>
      <c r="D1929" s="149"/>
      <c r="E1929" s="150"/>
      <c r="F1929" s="151"/>
      <c r="G1929" s="151"/>
      <c r="H1929" s="142">
        <f>IFERROR(VLOOKUP($C1929,$C$5:$H$18,6,0)+SUMIF($C$19:$C1929,$C1929,$F$19:$F1929)-SUMIF($C$19:$C1929,$C1929,$G$19:$G1929),"")</f>
        <v>81211.819999998</v>
      </c>
      <c r="I1929" s="147"/>
      <c r="J1929" s="147"/>
      <c r="K1929" s="147" t="str">
        <f t="shared" si="30"/>
        <v/>
      </c>
      <c r="L1929" s="40"/>
      <c r="M1929"/>
      <c r="N1929"/>
      <c r="O1929"/>
      <c r="P1929"/>
      <c r="Q1929"/>
      <c r="R1929"/>
      <c r="S1929"/>
      <c r="T1929"/>
      <c r="U1929"/>
      <c r="V1929"/>
      <c r="W1929" s="41"/>
      <c r="X1929" s="41"/>
      <c r="Y1929" s="41"/>
    </row>
    <row r="1930" s="27" customFormat="1" ht="23" hidden="1" customHeight="1" spans="1:25">
      <c r="A1930" s="133" t="str">
        <f>IF(B1930="","",COUNTA($B$5:B1930))</f>
        <v/>
      </c>
      <c r="B1930" s="148"/>
      <c r="C1930" s="22" t="s">
        <v>49</v>
      </c>
      <c r="D1930" s="149"/>
      <c r="E1930" s="150"/>
      <c r="F1930" s="151"/>
      <c r="G1930" s="151"/>
      <c r="H1930" s="142">
        <f>IFERROR(VLOOKUP($C1930,$C$5:$H$18,6,0)+SUMIF($C$19:$C1930,$C1930,$F$19:$F1930)-SUMIF($C$19:$C1930,$C1930,$G$19:$G1930),"")</f>
        <v>81211.819999998</v>
      </c>
      <c r="I1930" s="147"/>
      <c r="J1930" s="147"/>
      <c r="K1930" s="147" t="str">
        <f t="shared" si="30"/>
        <v/>
      </c>
      <c r="L1930" s="40"/>
      <c r="M1930"/>
      <c r="N1930"/>
      <c r="O1930"/>
      <c r="P1930"/>
      <c r="Q1930"/>
      <c r="R1930"/>
      <c r="S1930"/>
      <c r="T1930"/>
      <c r="U1930"/>
      <c r="V1930"/>
      <c r="W1930" s="41"/>
      <c r="X1930" s="41"/>
      <c r="Y1930" s="41"/>
    </row>
    <row r="1931" s="27" customFormat="1" ht="23" hidden="1" customHeight="1" spans="1:25">
      <c r="A1931" s="133" t="str">
        <f>IF(B1931="","",COUNTA($B$5:B1931))</f>
        <v/>
      </c>
      <c r="B1931" s="148"/>
      <c r="C1931" s="22" t="s">
        <v>49</v>
      </c>
      <c r="D1931" s="149"/>
      <c r="E1931" s="150"/>
      <c r="F1931" s="151"/>
      <c r="G1931" s="151"/>
      <c r="H1931" s="142">
        <f>IFERROR(VLOOKUP($C1931,$C$5:$H$18,6,0)+SUMIF($C$19:$C1931,$C1931,$F$19:$F1931)-SUMIF($C$19:$C1931,$C1931,$G$19:$G1931),"")</f>
        <v>81211.819999998</v>
      </c>
      <c r="I1931" s="147"/>
      <c r="J1931" s="147"/>
      <c r="K1931" s="147" t="str">
        <f t="shared" si="30"/>
        <v/>
      </c>
      <c r="L1931" s="40"/>
      <c r="M1931"/>
      <c r="N1931"/>
      <c r="O1931"/>
      <c r="P1931"/>
      <c r="Q1931"/>
      <c r="R1931"/>
      <c r="S1931"/>
      <c r="T1931"/>
      <c r="U1931"/>
      <c r="V1931"/>
      <c r="W1931" s="41"/>
      <c r="X1931" s="41"/>
      <c r="Y1931" s="41"/>
    </row>
    <row r="1932" s="27" customFormat="1" ht="23" hidden="1" customHeight="1" spans="1:25">
      <c r="A1932" s="133" t="str">
        <f>IF(B1932="","",COUNTA($B$5:B1932))</f>
        <v/>
      </c>
      <c r="B1932" s="148"/>
      <c r="C1932" s="22" t="s">
        <v>49</v>
      </c>
      <c r="D1932" s="149"/>
      <c r="E1932" s="150"/>
      <c r="F1932" s="151"/>
      <c r="G1932" s="151"/>
      <c r="H1932" s="142">
        <f>IFERROR(VLOOKUP($C1932,$C$5:$H$18,6,0)+SUMIF($C$19:$C1932,$C1932,$F$19:$F1932)-SUMIF($C$19:$C1932,$C1932,$G$19:$G1932),"")</f>
        <v>81211.819999998</v>
      </c>
      <c r="I1932" s="147"/>
      <c r="J1932" s="147"/>
      <c r="K1932" s="147" t="str">
        <f t="shared" si="30"/>
        <v/>
      </c>
      <c r="L1932" s="40"/>
      <c r="M1932"/>
      <c r="N1932"/>
      <c r="O1932"/>
      <c r="P1932"/>
      <c r="Q1932"/>
      <c r="R1932"/>
      <c r="S1932"/>
      <c r="T1932"/>
      <c r="U1932"/>
      <c r="V1932"/>
      <c r="W1932" s="41"/>
      <c r="X1932" s="41"/>
      <c r="Y1932" s="41"/>
    </row>
    <row r="1933" s="27" customFormat="1" ht="23" hidden="1" customHeight="1" spans="1:25">
      <c r="A1933" s="133" t="str">
        <f>IF(B1933="","",COUNTA($B$5:B1933))</f>
        <v/>
      </c>
      <c r="B1933" s="148"/>
      <c r="C1933" s="22" t="s">
        <v>49</v>
      </c>
      <c r="D1933" s="149"/>
      <c r="E1933" s="150"/>
      <c r="F1933" s="151"/>
      <c r="G1933" s="151"/>
      <c r="H1933" s="142">
        <f>IFERROR(VLOOKUP($C1933,$C$5:$H$18,6,0)+SUMIF($C$19:$C1933,$C1933,$F$19:$F1933)-SUMIF($C$19:$C1933,$C1933,$G$19:$G1933),"")</f>
        <v>81211.819999998</v>
      </c>
      <c r="I1933" s="147"/>
      <c r="J1933" s="147"/>
      <c r="K1933" s="147" t="str">
        <f t="shared" si="30"/>
        <v/>
      </c>
      <c r="L1933" s="40"/>
      <c r="M1933"/>
      <c r="N1933"/>
      <c r="O1933"/>
      <c r="P1933"/>
      <c r="Q1933"/>
      <c r="R1933"/>
      <c r="S1933"/>
      <c r="T1933"/>
      <c r="U1933"/>
      <c r="V1933"/>
      <c r="W1933" s="41"/>
      <c r="X1933" s="41"/>
      <c r="Y1933" s="41"/>
    </row>
    <row r="1934" s="27" customFormat="1" ht="23" hidden="1" customHeight="1" spans="1:25">
      <c r="A1934" s="133" t="str">
        <f>IF(B1934="","",COUNTA($B$5:B1934))</f>
        <v/>
      </c>
      <c r="B1934" s="148"/>
      <c r="C1934" s="22" t="s">
        <v>49</v>
      </c>
      <c r="D1934" s="149"/>
      <c r="E1934" s="150"/>
      <c r="F1934" s="151"/>
      <c r="G1934" s="151"/>
      <c r="H1934" s="142">
        <f>IFERROR(VLOOKUP($C1934,$C$5:$H$18,6,0)+SUMIF($C$19:$C1934,$C1934,$F$19:$F1934)-SUMIF($C$19:$C1934,$C1934,$G$19:$G1934),"")</f>
        <v>81211.819999998</v>
      </c>
      <c r="I1934" s="147"/>
      <c r="J1934" s="147"/>
      <c r="K1934" s="147" t="str">
        <f t="shared" si="30"/>
        <v/>
      </c>
      <c r="L1934" s="40"/>
      <c r="M1934"/>
      <c r="N1934"/>
      <c r="O1934"/>
      <c r="P1934"/>
      <c r="Q1934"/>
      <c r="R1934"/>
      <c r="S1934"/>
      <c r="T1934"/>
      <c r="U1934"/>
      <c r="V1934"/>
      <c r="W1934" s="41"/>
      <c r="X1934" s="41"/>
      <c r="Y1934" s="41"/>
    </row>
    <row r="1935" s="27" customFormat="1" ht="23" hidden="1" customHeight="1" spans="1:25">
      <c r="A1935" s="133" t="str">
        <f>IF(B1935="","",COUNTA($B$5:B1935))</f>
        <v/>
      </c>
      <c r="B1935" s="148"/>
      <c r="C1935" s="22" t="s">
        <v>49</v>
      </c>
      <c r="D1935" s="149"/>
      <c r="E1935" s="150"/>
      <c r="F1935" s="151"/>
      <c r="G1935" s="151"/>
      <c r="H1935" s="142">
        <f>IFERROR(VLOOKUP($C1935,$C$5:$H$18,6,0)+SUMIF($C$19:$C1935,$C1935,$F$19:$F1935)-SUMIF($C$19:$C1935,$C1935,$G$19:$G1935),"")</f>
        <v>81211.819999998</v>
      </c>
      <c r="I1935" s="147"/>
      <c r="J1935" s="147"/>
      <c r="K1935" s="147" t="str">
        <f t="shared" si="30"/>
        <v/>
      </c>
      <c r="L1935" s="40"/>
      <c r="M1935"/>
      <c r="N1935"/>
      <c r="O1935"/>
      <c r="P1935"/>
      <c r="Q1935"/>
      <c r="R1935"/>
      <c r="S1935"/>
      <c r="T1935"/>
      <c r="U1935"/>
      <c r="V1935"/>
      <c r="W1935" s="41"/>
      <c r="X1935" s="41"/>
      <c r="Y1935" s="41"/>
    </row>
    <row r="1936" s="27" customFormat="1" ht="23" hidden="1" customHeight="1" spans="1:25">
      <c r="A1936" s="133" t="str">
        <f>IF(B1936="","",COUNTA($B$5:B1936))</f>
        <v/>
      </c>
      <c r="B1936" s="148"/>
      <c r="C1936" s="22" t="s">
        <v>49</v>
      </c>
      <c r="D1936" s="149"/>
      <c r="E1936" s="150"/>
      <c r="F1936" s="151"/>
      <c r="G1936" s="151"/>
      <c r="H1936" s="142">
        <f>IFERROR(VLOOKUP($C1936,$C$5:$H$18,6,0)+SUMIF($C$19:$C1936,$C1936,$F$19:$F1936)-SUMIF($C$19:$C1936,$C1936,$G$19:$G1936),"")</f>
        <v>81211.819999998</v>
      </c>
      <c r="I1936" s="147"/>
      <c r="J1936" s="147"/>
      <c r="K1936" s="147" t="str">
        <f t="shared" si="30"/>
        <v/>
      </c>
      <c r="L1936" s="40"/>
      <c r="M1936"/>
      <c r="N1936"/>
      <c r="O1936"/>
      <c r="P1936"/>
      <c r="Q1936"/>
      <c r="R1936"/>
      <c r="S1936"/>
      <c r="T1936"/>
      <c r="U1936"/>
      <c r="V1936"/>
      <c r="W1936" s="41"/>
      <c r="X1936" s="41"/>
      <c r="Y1936" s="41"/>
    </row>
    <row r="1937" s="27" customFormat="1" ht="23" hidden="1" customHeight="1" spans="1:25">
      <c r="A1937" s="133" t="str">
        <f>IF(B1937="","",COUNTA($B$5:B1937))</f>
        <v/>
      </c>
      <c r="B1937" s="148"/>
      <c r="C1937" s="22" t="s">
        <v>49</v>
      </c>
      <c r="D1937" s="149"/>
      <c r="E1937" s="150"/>
      <c r="F1937" s="151"/>
      <c r="G1937" s="151"/>
      <c r="H1937" s="142">
        <f>IFERROR(VLOOKUP($C1937,$C$5:$H$18,6,0)+SUMIF($C$19:$C1937,$C1937,$F$19:$F1937)-SUMIF($C$19:$C1937,$C1937,$G$19:$G1937),"")</f>
        <v>81211.819999998</v>
      </c>
      <c r="I1937" s="147"/>
      <c r="J1937" s="147"/>
      <c r="K1937" s="147" t="str">
        <f t="shared" si="30"/>
        <v/>
      </c>
      <c r="L1937" s="40"/>
      <c r="M1937"/>
      <c r="N1937"/>
      <c r="O1937"/>
      <c r="P1937"/>
      <c r="Q1937"/>
      <c r="R1937"/>
      <c r="S1937"/>
      <c r="T1937"/>
      <c r="U1937"/>
      <c r="V1937"/>
      <c r="W1937" s="41"/>
      <c r="X1937" s="41"/>
      <c r="Y1937" s="41"/>
    </row>
    <row r="1938" s="27" customFormat="1" ht="23" hidden="1" customHeight="1" spans="1:25">
      <c r="A1938" s="133" t="str">
        <f>IF(B1938="","",COUNTA($B$5:B1938))</f>
        <v/>
      </c>
      <c r="B1938" s="148"/>
      <c r="C1938" s="22" t="s">
        <v>49</v>
      </c>
      <c r="D1938" s="149"/>
      <c r="E1938" s="150"/>
      <c r="F1938" s="151"/>
      <c r="G1938" s="151"/>
      <c r="H1938" s="142">
        <f>IFERROR(VLOOKUP($C1938,$C$5:$H$18,6,0)+SUMIF($C$19:$C1938,$C1938,$F$19:$F1938)-SUMIF($C$19:$C1938,$C1938,$G$19:$G1938),"")</f>
        <v>81211.819999998</v>
      </c>
      <c r="I1938" s="147"/>
      <c r="J1938" s="147"/>
      <c r="K1938" s="147" t="str">
        <f t="shared" si="30"/>
        <v/>
      </c>
      <c r="L1938" s="40"/>
      <c r="M1938"/>
      <c r="N1938"/>
      <c r="O1938"/>
      <c r="P1938"/>
      <c r="Q1938"/>
      <c r="R1938"/>
      <c r="S1938"/>
      <c r="T1938"/>
      <c r="U1938"/>
      <c r="V1938"/>
      <c r="W1938" s="41"/>
      <c r="X1938" s="41"/>
      <c r="Y1938" s="41"/>
    </row>
    <row r="1939" s="27" customFormat="1" ht="23" hidden="1" customHeight="1" spans="1:25">
      <c r="A1939" s="133" t="str">
        <f>IF(B1939="","",COUNTA($B$5:B1939))</f>
        <v/>
      </c>
      <c r="B1939" s="148"/>
      <c r="C1939" s="22" t="s">
        <v>49</v>
      </c>
      <c r="D1939" s="149"/>
      <c r="E1939" s="150"/>
      <c r="F1939" s="151"/>
      <c r="G1939" s="151"/>
      <c r="H1939" s="142">
        <f>IFERROR(VLOOKUP($C1939,$C$5:$H$18,6,0)+SUMIF($C$19:$C1939,$C1939,$F$19:$F1939)-SUMIF($C$19:$C1939,$C1939,$G$19:$G1939),"")</f>
        <v>81211.819999998</v>
      </c>
      <c r="I1939" s="147"/>
      <c r="J1939" s="147"/>
      <c r="K1939" s="147" t="str">
        <f t="shared" si="30"/>
        <v/>
      </c>
      <c r="L1939" s="40"/>
      <c r="M1939"/>
      <c r="N1939"/>
      <c r="O1939"/>
      <c r="P1939"/>
      <c r="Q1939"/>
      <c r="R1939"/>
      <c r="S1939"/>
      <c r="T1939"/>
      <c r="U1939"/>
      <c r="V1939"/>
      <c r="W1939" s="41"/>
      <c r="X1939" s="41"/>
      <c r="Y1939" s="41"/>
    </row>
    <row r="1940" s="27" customFormat="1" ht="23" hidden="1" customHeight="1" spans="1:25">
      <c r="A1940" s="133" t="str">
        <f>IF(B1940="","",COUNTA($B$5:B1940))</f>
        <v/>
      </c>
      <c r="B1940" s="148"/>
      <c r="C1940" s="22" t="s">
        <v>49</v>
      </c>
      <c r="D1940" s="149"/>
      <c r="E1940" s="150"/>
      <c r="F1940" s="151"/>
      <c r="G1940" s="151"/>
      <c r="H1940" s="142">
        <f>IFERROR(VLOOKUP($C1940,$C$5:$H$18,6,0)+SUMIF($C$19:$C1940,$C1940,$F$19:$F1940)-SUMIF($C$19:$C1940,$C1940,$G$19:$G1940),"")</f>
        <v>81211.819999998</v>
      </c>
      <c r="I1940" s="147"/>
      <c r="J1940" s="147"/>
      <c r="K1940" s="147" t="str">
        <f t="shared" si="30"/>
        <v/>
      </c>
      <c r="L1940" s="40"/>
      <c r="M1940"/>
      <c r="N1940"/>
      <c r="O1940"/>
      <c r="P1940"/>
      <c r="Q1940"/>
      <c r="R1940"/>
      <c r="S1940"/>
      <c r="T1940"/>
      <c r="U1940"/>
      <c r="V1940"/>
      <c r="W1940" s="41"/>
      <c r="X1940" s="41"/>
      <c r="Y1940" s="41"/>
    </row>
    <row r="1941" s="27" customFormat="1" ht="23" hidden="1" customHeight="1" spans="1:25">
      <c r="A1941" s="133" t="str">
        <f>IF(B1941="","",COUNTA($B$5:B1941))</f>
        <v/>
      </c>
      <c r="B1941" s="148"/>
      <c r="C1941" s="22" t="s">
        <v>49</v>
      </c>
      <c r="D1941" s="149"/>
      <c r="E1941" s="150"/>
      <c r="F1941" s="151"/>
      <c r="G1941" s="151"/>
      <c r="H1941" s="142">
        <f>IFERROR(VLOOKUP($C1941,$C$5:$H$18,6,0)+SUMIF($C$19:$C1941,$C1941,$F$19:$F1941)-SUMIF($C$19:$C1941,$C1941,$G$19:$G1941),"")</f>
        <v>81211.819999998</v>
      </c>
      <c r="I1941" s="147"/>
      <c r="J1941" s="147"/>
      <c r="K1941" s="147" t="str">
        <f t="shared" si="30"/>
        <v/>
      </c>
      <c r="L1941" s="40"/>
      <c r="M1941"/>
      <c r="N1941"/>
      <c r="O1941"/>
      <c r="P1941"/>
      <c r="Q1941"/>
      <c r="R1941"/>
      <c r="S1941"/>
      <c r="T1941"/>
      <c r="U1941"/>
      <c r="V1941"/>
      <c r="W1941" s="41"/>
      <c r="X1941" s="41"/>
      <c r="Y1941" s="41"/>
    </row>
    <row r="1942" s="27" customFormat="1" ht="23" hidden="1" customHeight="1" spans="1:25">
      <c r="A1942" s="133" t="str">
        <f>IF(B1942="","",COUNTA($B$5:B1942))</f>
        <v/>
      </c>
      <c r="B1942" s="148"/>
      <c r="C1942" s="22" t="s">
        <v>49</v>
      </c>
      <c r="D1942" s="149"/>
      <c r="E1942" s="150"/>
      <c r="F1942" s="151"/>
      <c r="G1942" s="151"/>
      <c r="H1942" s="142">
        <f>IFERROR(VLOOKUP($C1942,$C$5:$H$18,6,0)+SUMIF($C$19:$C1942,$C1942,$F$19:$F1942)-SUMIF($C$19:$C1942,$C1942,$G$19:$G1942),"")</f>
        <v>81211.819999998</v>
      </c>
      <c r="I1942" s="147"/>
      <c r="J1942" s="147"/>
      <c r="K1942" s="147" t="str">
        <f t="shared" si="30"/>
        <v/>
      </c>
      <c r="L1942" s="40"/>
      <c r="M1942"/>
      <c r="N1942"/>
      <c r="O1942"/>
      <c r="P1942"/>
      <c r="Q1942"/>
      <c r="R1942"/>
      <c r="S1942"/>
      <c r="T1942"/>
      <c r="U1942"/>
      <c r="V1942"/>
      <c r="W1942" s="41"/>
      <c r="X1942" s="41"/>
      <c r="Y1942" s="41"/>
    </row>
    <row r="1943" s="27" customFormat="1" ht="23" hidden="1" customHeight="1" spans="1:25">
      <c r="A1943" s="133" t="str">
        <f>IF(B1943="","",COUNTA($B$5:B1943))</f>
        <v/>
      </c>
      <c r="B1943" s="148"/>
      <c r="C1943" s="22" t="s">
        <v>49</v>
      </c>
      <c r="D1943" s="149"/>
      <c r="E1943" s="150"/>
      <c r="F1943" s="151"/>
      <c r="G1943" s="151"/>
      <c r="H1943" s="142">
        <f>IFERROR(VLOOKUP($C1943,$C$5:$H$18,6,0)+SUMIF($C$19:$C1943,$C1943,$F$19:$F1943)-SUMIF($C$19:$C1943,$C1943,$G$19:$G1943),"")</f>
        <v>81211.819999998</v>
      </c>
      <c r="I1943" s="147"/>
      <c r="J1943" s="147"/>
      <c r="K1943" s="147" t="str">
        <f t="shared" si="30"/>
        <v/>
      </c>
      <c r="L1943" s="40"/>
      <c r="M1943"/>
      <c r="N1943"/>
      <c r="O1943"/>
      <c r="P1943"/>
      <c r="Q1943"/>
      <c r="R1943"/>
      <c r="S1943"/>
      <c r="T1943"/>
      <c r="U1943"/>
      <c r="V1943"/>
      <c r="W1943" s="41"/>
      <c r="X1943" s="41"/>
      <c r="Y1943" s="41"/>
    </row>
    <row r="1944" s="27" customFormat="1" ht="23" hidden="1" customHeight="1" spans="1:25">
      <c r="A1944" s="133" t="str">
        <f>IF(B1944="","",COUNTA($B$5:B1944))</f>
        <v/>
      </c>
      <c r="B1944" s="148"/>
      <c r="C1944" s="22" t="s">
        <v>49</v>
      </c>
      <c r="D1944" s="149"/>
      <c r="E1944" s="150"/>
      <c r="F1944" s="151"/>
      <c r="G1944" s="151"/>
      <c r="H1944" s="142">
        <f>IFERROR(VLOOKUP($C1944,$C$5:$H$18,6,0)+SUMIF($C$19:$C1944,$C1944,$F$19:$F1944)-SUMIF($C$19:$C1944,$C1944,$G$19:$G1944),"")</f>
        <v>81211.819999998</v>
      </c>
      <c r="I1944" s="147"/>
      <c r="J1944" s="147"/>
      <c r="K1944" s="147" t="str">
        <f t="shared" si="30"/>
        <v/>
      </c>
      <c r="L1944" s="40"/>
      <c r="M1944"/>
      <c r="N1944"/>
      <c r="O1944"/>
      <c r="P1944"/>
      <c r="Q1944"/>
      <c r="R1944"/>
      <c r="S1944"/>
      <c r="T1944"/>
      <c r="U1944"/>
      <c r="V1944"/>
      <c r="W1944" s="41"/>
      <c r="X1944" s="41"/>
      <c r="Y1944" s="41"/>
    </row>
    <row r="1945" s="27" customFormat="1" ht="23" hidden="1" customHeight="1" spans="1:25">
      <c r="A1945" s="133" t="str">
        <f>IF(B1945="","",COUNTA($B$5:B1945))</f>
        <v/>
      </c>
      <c r="B1945" s="148"/>
      <c r="C1945" s="22" t="s">
        <v>49</v>
      </c>
      <c r="D1945" s="149"/>
      <c r="E1945" s="150"/>
      <c r="F1945" s="151"/>
      <c r="G1945" s="151"/>
      <c r="H1945" s="142">
        <f>IFERROR(VLOOKUP($C1945,$C$5:$H$18,6,0)+SUMIF($C$19:$C1945,$C1945,$F$19:$F1945)-SUMIF($C$19:$C1945,$C1945,$G$19:$G1945),"")</f>
        <v>81211.819999998</v>
      </c>
      <c r="I1945" s="147"/>
      <c r="J1945" s="147"/>
      <c r="K1945" s="147" t="str">
        <f t="shared" si="30"/>
        <v/>
      </c>
      <c r="L1945" s="40"/>
      <c r="M1945"/>
      <c r="N1945"/>
      <c r="O1945"/>
      <c r="P1945"/>
      <c r="Q1945"/>
      <c r="R1945"/>
      <c r="S1945"/>
      <c r="T1945"/>
      <c r="U1945"/>
      <c r="V1945"/>
      <c r="W1945" s="41"/>
      <c r="X1945" s="41"/>
      <c r="Y1945" s="41"/>
    </row>
    <row r="1946" s="27" customFormat="1" ht="23" hidden="1" customHeight="1" spans="1:25">
      <c r="A1946" s="133" t="str">
        <f>IF(B1946="","",COUNTA($B$5:B1946))</f>
        <v/>
      </c>
      <c r="B1946" s="148"/>
      <c r="C1946" s="22" t="s">
        <v>49</v>
      </c>
      <c r="D1946" s="149"/>
      <c r="E1946" s="150"/>
      <c r="F1946" s="151"/>
      <c r="G1946" s="151"/>
      <c r="H1946" s="142">
        <f>IFERROR(VLOOKUP($C1946,$C$5:$H$18,6,0)+SUMIF($C$19:$C1946,$C1946,$F$19:$F1946)-SUMIF($C$19:$C1946,$C1946,$G$19:$G1946),"")</f>
        <v>81211.819999998</v>
      </c>
      <c r="I1946" s="147"/>
      <c r="J1946" s="147"/>
      <c r="K1946" s="147" t="str">
        <f t="shared" si="30"/>
        <v/>
      </c>
      <c r="L1946" s="40"/>
      <c r="M1946"/>
      <c r="N1946"/>
      <c r="O1946"/>
      <c r="P1946"/>
      <c r="Q1946"/>
      <c r="R1946"/>
      <c r="S1946"/>
      <c r="T1946"/>
      <c r="U1946"/>
      <c r="V1946"/>
      <c r="W1946" s="41"/>
      <c r="X1946" s="41"/>
      <c r="Y1946" s="41"/>
    </row>
    <row r="1947" s="27" customFormat="1" ht="23" hidden="1" customHeight="1" spans="1:25">
      <c r="A1947" s="133" t="str">
        <f>IF(B1947="","",COUNTA($B$5:B1947))</f>
        <v/>
      </c>
      <c r="B1947" s="148"/>
      <c r="C1947" s="22" t="s">
        <v>49</v>
      </c>
      <c r="D1947" s="149"/>
      <c r="E1947" s="150"/>
      <c r="F1947" s="151"/>
      <c r="G1947" s="151"/>
      <c r="H1947" s="142">
        <f>IFERROR(VLOOKUP($C1947,$C$5:$H$18,6,0)+SUMIF($C$19:$C1947,$C1947,$F$19:$F1947)-SUMIF($C$19:$C1947,$C1947,$G$19:$G1947),"")</f>
        <v>81211.819999998</v>
      </c>
      <c r="I1947" s="147"/>
      <c r="J1947" s="147"/>
      <c r="K1947" s="147" t="str">
        <f t="shared" si="30"/>
        <v/>
      </c>
      <c r="L1947" s="40"/>
      <c r="M1947"/>
      <c r="N1947"/>
      <c r="O1947"/>
      <c r="P1947"/>
      <c r="Q1947"/>
      <c r="R1947"/>
      <c r="S1947"/>
      <c r="T1947"/>
      <c r="U1947"/>
      <c r="V1947"/>
      <c r="W1947" s="41"/>
      <c r="X1947" s="41"/>
      <c r="Y1947" s="41"/>
    </row>
    <row r="1948" s="27" customFormat="1" ht="23" hidden="1" customHeight="1" spans="1:25">
      <c r="A1948" s="133" t="str">
        <f>IF(B1948="","",COUNTA($B$5:B1948))</f>
        <v/>
      </c>
      <c r="B1948" s="148"/>
      <c r="C1948" s="22" t="s">
        <v>49</v>
      </c>
      <c r="D1948" s="149"/>
      <c r="E1948" s="150"/>
      <c r="F1948" s="151"/>
      <c r="G1948" s="151"/>
      <c r="H1948" s="142">
        <f>IFERROR(VLOOKUP($C1948,$C$5:$H$18,6,0)+SUMIF($C$19:$C1948,$C1948,$F$19:$F1948)-SUMIF($C$19:$C1948,$C1948,$G$19:$G1948),"")</f>
        <v>81211.819999998</v>
      </c>
      <c r="I1948" s="147"/>
      <c r="J1948" s="147"/>
      <c r="K1948" s="147" t="str">
        <f t="shared" si="30"/>
        <v/>
      </c>
      <c r="L1948" s="40"/>
      <c r="M1948"/>
      <c r="N1948"/>
      <c r="O1948"/>
      <c r="P1948"/>
      <c r="Q1948"/>
      <c r="R1948"/>
      <c r="S1948"/>
      <c r="T1948"/>
      <c r="U1948"/>
      <c r="V1948"/>
      <c r="W1948" s="41"/>
      <c r="X1948" s="41"/>
      <c r="Y1948" s="41"/>
    </row>
    <row r="1949" s="27" customFormat="1" ht="23" hidden="1" customHeight="1" spans="1:25">
      <c r="A1949" s="133" t="str">
        <f>IF(B1949="","",COUNTA($B$5:B1949))</f>
        <v/>
      </c>
      <c r="B1949" s="148"/>
      <c r="C1949" s="22" t="s">
        <v>49</v>
      </c>
      <c r="D1949" s="149"/>
      <c r="E1949" s="150"/>
      <c r="F1949" s="151"/>
      <c r="G1949" s="151"/>
      <c r="H1949" s="142">
        <f>IFERROR(VLOOKUP($C1949,$C$5:$H$18,6,0)+SUMIF($C$19:$C1949,$C1949,$F$19:$F1949)-SUMIF($C$19:$C1949,$C1949,$G$19:$G1949),"")</f>
        <v>81211.819999998</v>
      </c>
      <c r="I1949" s="147"/>
      <c r="J1949" s="147"/>
      <c r="K1949" s="147" t="str">
        <f t="shared" si="30"/>
        <v/>
      </c>
      <c r="L1949" s="40"/>
      <c r="M1949"/>
      <c r="N1949"/>
      <c r="O1949"/>
      <c r="P1949"/>
      <c r="Q1949"/>
      <c r="R1949"/>
      <c r="S1949"/>
      <c r="T1949"/>
      <c r="U1949"/>
      <c r="V1949"/>
      <c r="W1949" s="41"/>
      <c r="X1949" s="41"/>
      <c r="Y1949" s="41"/>
    </row>
    <row r="1950" s="27" customFormat="1" ht="23" hidden="1" customHeight="1" spans="1:25">
      <c r="A1950" s="133" t="str">
        <f>IF(B1950="","",COUNTA($B$5:B1950))</f>
        <v/>
      </c>
      <c r="B1950" s="148"/>
      <c r="C1950" s="22" t="s">
        <v>49</v>
      </c>
      <c r="D1950" s="149"/>
      <c r="E1950" s="150"/>
      <c r="F1950" s="151"/>
      <c r="G1950" s="151"/>
      <c r="H1950" s="142">
        <f>IFERROR(VLOOKUP($C1950,$C$5:$H$18,6,0)+SUMIF($C$19:$C1950,$C1950,$F$19:$F1950)-SUMIF($C$19:$C1950,$C1950,$G$19:$G1950),"")</f>
        <v>81211.819999998</v>
      </c>
      <c r="I1950" s="147"/>
      <c r="J1950" s="147"/>
      <c r="K1950" s="147" t="str">
        <f t="shared" si="30"/>
        <v/>
      </c>
      <c r="L1950" s="40"/>
      <c r="M1950"/>
      <c r="N1950"/>
      <c r="O1950"/>
      <c r="P1950"/>
      <c r="Q1950"/>
      <c r="R1950"/>
      <c r="S1950"/>
      <c r="T1950"/>
      <c r="U1950"/>
      <c r="V1950"/>
      <c r="W1950" s="41"/>
      <c r="X1950" s="41"/>
      <c r="Y1950" s="41"/>
    </row>
    <row r="1951" s="27" customFormat="1" ht="23" hidden="1" customHeight="1" spans="1:25">
      <c r="A1951" s="133" t="str">
        <f>IF(B1951="","",COUNTA($B$5:B1951))</f>
        <v/>
      </c>
      <c r="B1951" s="148"/>
      <c r="C1951" s="22" t="s">
        <v>49</v>
      </c>
      <c r="D1951" s="149"/>
      <c r="E1951" s="150"/>
      <c r="F1951" s="151"/>
      <c r="G1951" s="151"/>
      <c r="H1951" s="142">
        <f>IFERROR(VLOOKUP($C1951,$C$5:$H$18,6,0)+SUMIF($C$19:$C1951,$C1951,$F$19:$F1951)-SUMIF($C$19:$C1951,$C1951,$G$19:$G1951),"")</f>
        <v>81211.819999998</v>
      </c>
      <c r="I1951" s="147"/>
      <c r="J1951" s="147"/>
      <c r="K1951" s="147" t="str">
        <f t="shared" si="30"/>
        <v/>
      </c>
      <c r="L1951" s="40"/>
      <c r="M1951"/>
      <c r="N1951"/>
      <c r="O1951"/>
      <c r="P1951"/>
      <c r="Q1951"/>
      <c r="R1951"/>
      <c r="S1951"/>
      <c r="T1951"/>
      <c r="U1951"/>
      <c r="V1951"/>
      <c r="W1951" s="41"/>
      <c r="X1951" s="41"/>
      <c r="Y1951" s="41"/>
    </row>
    <row r="1952" s="27" customFormat="1" ht="23" hidden="1" customHeight="1" spans="1:25">
      <c r="A1952" s="133" t="str">
        <f>IF(B1952="","",COUNTA($B$5:B1952))</f>
        <v/>
      </c>
      <c r="B1952" s="148"/>
      <c r="C1952" s="22" t="s">
        <v>49</v>
      </c>
      <c r="D1952" s="149"/>
      <c r="E1952" s="150"/>
      <c r="F1952" s="151"/>
      <c r="G1952" s="151"/>
      <c r="H1952" s="142">
        <f>IFERROR(VLOOKUP($C1952,$C$5:$H$18,6,0)+SUMIF($C$19:$C1952,$C1952,$F$19:$F1952)-SUMIF($C$19:$C1952,$C1952,$G$19:$G1952),"")</f>
        <v>81211.819999998</v>
      </c>
      <c r="I1952" s="147"/>
      <c r="J1952" s="147"/>
      <c r="K1952" s="147" t="str">
        <f t="shared" si="30"/>
        <v/>
      </c>
      <c r="L1952" s="40"/>
      <c r="M1952"/>
      <c r="N1952"/>
      <c r="O1952"/>
      <c r="P1952"/>
      <c r="Q1952"/>
      <c r="R1952"/>
      <c r="S1952"/>
      <c r="T1952"/>
      <c r="U1952"/>
      <c r="V1952"/>
      <c r="W1952" s="41"/>
      <c r="X1952" s="41"/>
      <c r="Y1952" s="41"/>
    </row>
    <row r="1953" s="27" customFormat="1" ht="23" hidden="1" customHeight="1" spans="1:25">
      <c r="A1953" s="133" t="str">
        <f>IF(B1953="","",COUNTA($B$5:B1953))</f>
        <v/>
      </c>
      <c r="B1953" s="148"/>
      <c r="C1953" s="22" t="s">
        <v>49</v>
      </c>
      <c r="D1953" s="149"/>
      <c r="E1953" s="150"/>
      <c r="F1953" s="151"/>
      <c r="G1953" s="151"/>
      <c r="H1953" s="142">
        <f>IFERROR(VLOOKUP($C1953,$C$5:$H$18,6,0)+SUMIF($C$19:$C1953,$C1953,$F$19:$F1953)-SUMIF($C$19:$C1953,$C1953,$G$19:$G1953),"")</f>
        <v>81211.819999998</v>
      </c>
      <c r="I1953" s="147"/>
      <c r="J1953" s="147"/>
      <c r="K1953" s="147" t="str">
        <f t="shared" si="30"/>
        <v/>
      </c>
      <c r="L1953" s="40"/>
      <c r="M1953"/>
      <c r="N1953"/>
      <c r="O1953"/>
      <c r="P1953"/>
      <c r="Q1953"/>
      <c r="R1953"/>
      <c r="S1953"/>
      <c r="T1953"/>
      <c r="U1953"/>
      <c r="V1953"/>
      <c r="W1953" s="41"/>
      <c r="X1953" s="41"/>
      <c r="Y1953" s="41"/>
    </row>
    <row r="1954" s="27" customFormat="1" ht="23" hidden="1" customHeight="1" spans="1:25">
      <c r="A1954" s="133" t="str">
        <f>IF(B1954="","",COUNTA($B$5:B1954))</f>
        <v/>
      </c>
      <c r="B1954" s="148"/>
      <c r="C1954" s="22" t="s">
        <v>49</v>
      </c>
      <c r="D1954" s="149"/>
      <c r="E1954" s="150"/>
      <c r="F1954" s="151"/>
      <c r="G1954" s="151"/>
      <c r="H1954" s="142">
        <f>IFERROR(VLOOKUP($C1954,$C$5:$H$18,6,0)+SUMIF($C$19:$C1954,$C1954,$F$19:$F1954)-SUMIF($C$19:$C1954,$C1954,$G$19:$G1954),"")</f>
        <v>81211.819999998</v>
      </c>
      <c r="I1954" s="147"/>
      <c r="J1954" s="147"/>
      <c r="K1954" s="147" t="str">
        <f t="shared" si="30"/>
        <v/>
      </c>
      <c r="L1954" s="40"/>
      <c r="M1954"/>
      <c r="N1954"/>
      <c r="O1954"/>
      <c r="P1954"/>
      <c r="Q1954"/>
      <c r="R1954"/>
      <c r="S1954"/>
      <c r="T1954"/>
      <c r="U1954"/>
      <c r="V1954"/>
      <c r="W1954" s="41"/>
      <c r="X1954" s="41"/>
      <c r="Y1954" s="41"/>
    </row>
    <row r="1955" s="27" customFormat="1" ht="23" hidden="1" customHeight="1" spans="1:25">
      <c r="A1955" s="133" t="str">
        <f>IF(B1955="","",COUNTA($B$5:B1955))</f>
        <v/>
      </c>
      <c r="B1955" s="148"/>
      <c r="C1955" s="22" t="s">
        <v>49</v>
      </c>
      <c r="D1955" s="149"/>
      <c r="E1955" s="150"/>
      <c r="F1955" s="151"/>
      <c r="G1955" s="151"/>
      <c r="H1955" s="142">
        <f>IFERROR(VLOOKUP($C1955,$C$5:$H$18,6,0)+SUMIF($C$19:$C1955,$C1955,$F$19:$F1955)-SUMIF($C$19:$C1955,$C1955,$G$19:$G1955),"")</f>
        <v>81211.819999998</v>
      </c>
      <c r="I1955" s="147"/>
      <c r="J1955" s="147"/>
      <c r="K1955" s="147" t="str">
        <f t="shared" si="30"/>
        <v/>
      </c>
      <c r="L1955" s="40"/>
      <c r="M1955"/>
      <c r="N1955"/>
      <c r="O1955"/>
      <c r="P1955"/>
      <c r="Q1955"/>
      <c r="R1955"/>
      <c r="S1955"/>
      <c r="T1955"/>
      <c r="U1955"/>
      <c r="V1955"/>
      <c r="W1955" s="41"/>
      <c r="X1955" s="41"/>
      <c r="Y1955" s="41"/>
    </row>
    <row r="1956" s="27" customFormat="1" ht="23" hidden="1" customHeight="1" spans="1:25">
      <c r="A1956" s="133" t="str">
        <f>IF(B1956="","",COUNTA($B$5:B1956))</f>
        <v/>
      </c>
      <c r="B1956" s="148"/>
      <c r="C1956" s="22" t="s">
        <v>49</v>
      </c>
      <c r="D1956" s="149"/>
      <c r="E1956" s="150"/>
      <c r="F1956" s="151"/>
      <c r="G1956" s="151"/>
      <c r="H1956" s="142">
        <f>IFERROR(VLOOKUP($C1956,$C$5:$H$18,6,0)+SUMIF($C$19:$C1956,$C1956,$F$19:$F1956)-SUMIF($C$19:$C1956,$C1956,$G$19:$G1956),"")</f>
        <v>81211.819999998</v>
      </c>
      <c r="I1956" s="147"/>
      <c r="J1956" s="147"/>
      <c r="K1956" s="147" t="str">
        <f t="shared" si="30"/>
        <v/>
      </c>
      <c r="L1956" s="40"/>
      <c r="M1956"/>
      <c r="N1956"/>
      <c r="O1956"/>
      <c r="P1956"/>
      <c r="Q1956"/>
      <c r="R1956"/>
      <c r="S1956"/>
      <c r="T1956"/>
      <c r="U1956"/>
      <c r="V1956"/>
      <c r="W1956" s="41"/>
      <c r="X1956" s="41"/>
      <c r="Y1956" s="41"/>
    </row>
    <row r="1957" s="27" customFormat="1" ht="23" hidden="1" customHeight="1" spans="1:25">
      <c r="A1957" s="133" t="str">
        <f>IF(B1957="","",COUNTA($B$5:B1957))</f>
        <v/>
      </c>
      <c r="B1957" s="148"/>
      <c r="C1957" s="22" t="s">
        <v>49</v>
      </c>
      <c r="D1957" s="149"/>
      <c r="E1957" s="150"/>
      <c r="F1957" s="151"/>
      <c r="G1957" s="151"/>
      <c r="H1957" s="142">
        <f>IFERROR(VLOOKUP($C1957,$C$5:$H$18,6,0)+SUMIF($C$19:$C1957,$C1957,$F$19:$F1957)-SUMIF($C$19:$C1957,$C1957,$G$19:$G1957),"")</f>
        <v>81211.819999998</v>
      </c>
      <c r="I1957" s="147"/>
      <c r="J1957" s="147"/>
      <c r="K1957" s="147" t="str">
        <f t="shared" si="30"/>
        <v/>
      </c>
      <c r="L1957" s="40"/>
      <c r="M1957"/>
      <c r="N1957"/>
      <c r="O1957"/>
      <c r="P1957"/>
      <c r="Q1957"/>
      <c r="R1957"/>
      <c r="S1957"/>
      <c r="T1957"/>
      <c r="U1957"/>
      <c r="V1957"/>
      <c r="W1957" s="41"/>
      <c r="X1957" s="41"/>
      <c r="Y1957" s="41"/>
    </row>
    <row r="1958" s="27" customFormat="1" ht="23" hidden="1" customHeight="1" spans="1:25">
      <c r="A1958" s="133" t="str">
        <f>IF(B1958="","",COUNTA($B$5:B1958))</f>
        <v/>
      </c>
      <c r="B1958" s="148"/>
      <c r="C1958" s="22" t="s">
        <v>49</v>
      </c>
      <c r="D1958" s="149"/>
      <c r="E1958" s="150"/>
      <c r="F1958" s="151"/>
      <c r="G1958" s="151"/>
      <c r="H1958" s="142">
        <f>IFERROR(VLOOKUP($C1958,$C$5:$H$18,6,0)+SUMIF($C$19:$C1958,$C1958,$F$19:$F1958)-SUMIF($C$19:$C1958,$C1958,$G$19:$G1958),"")</f>
        <v>81211.819999998</v>
      </c>
      <c r="I1958" s="147"/>
      <c r="J1958" s="147"/>
      <c r="K1958" s="147" t="str">
        <f t="shared" si="30"/>
        <v/>
      </c>
      <c r="L1958" s="40"/>
      <c r="M1958"/>
      <c r="N1958"/>
      <c r="O1958"/>
      <c r="P1958"/>
      <c r="Q1958"/>
      <c r="R1958"/>
      <c r="S1958"/>
      <c r="T1958"/>
      <c r="U1958"/>
      <c r="V1958"/>
      <c r="W1958" s="41"/>
      <c r="X1958" s="41"/>
      <c r="Y1958" s="41"/>
    </row>
    <row r="1959" s="27" customFormat="1" ht="23" hidden="1" customHeight="1" spans="1:25">
      <c r="A1959" s="133" t="str">
        <f>IF(B1959="","",COUNTA($B$5:B1959))</f>
        <v/>
      </c>
      <c r="B1959" s="148"/>
      <c r="C1959" s="22" t="s">
        <v>49</v>
      </c>
      <c r="D1959" s="149"/>
      <c r="E1959" s="150"/>
      <c r="F1959" s="151"/>
      <c r="G1959" s="151"/>
      <c r="H1959" s="142">
        <f>IFERROR(VLOOKUP($C1959,$C$5:$H$18,6,0)+SUMIF($C$19:$C1959,$C1959,$F$19:$F1959)-SUMIF($C$19:$C1959,$C1959,$G$19:$G1959),"")</f>
        <v>81211.819999998</v>
      </c>
      <c r="I1959" s="147"/>
      <c r="J1959" s="147"/>
      <c r="K1959" s="147" t="str">
        <f t="shared" si="30"/>
        <v/>
      </c>
      <c r="L1959" s="40"/>
      <c r="M1959"/>
      <c r="N1959"/>
      <c r="O1959"/>
      <c r="P1959"/>
      <c r="Q1959"/>
      <c r="R1959"/>
      <c r="S1959"/>
      <c r="T1959"/>
      <c r="U1959"/>
      <c r="V1959"/>
      <c r="W1959" s="41"/>
      <c r="X1959" s="41"/>
      <c r="Y1959" s="41"/>
    </row>
    <row r="1960" s="27" customFormat="1" ht="23" hidden="1" customHeight="1" spans="1:25">
      <c r="A1960" s="133" t="str">
        <f>IF(B1960="","",COUNTA($B$5:B1960))</f>
        <v/>
      </c>
      <c r="B1960" s="148"/>
      <c r="C1960" s="22" t="s">
        <v>49</v>
      </c>
      <c r="D1960" s="149"/>
      <c r="E1960" s="150"/>
      <c r="F1960" s="151"/>
      <c r="G1960" s="151"/>
      <c r="H1960" s="142">
        <f>IFERROR(VLOOKUP($C1960,$C$5:$H$18,6,0)+SUMIF($C$19:$C1960,$C1960,$F$19:$F1960)-SUMIF($C$19:$C1960,$C1960,$G$19:$G1960),"")</f>
        <v>81211.819999998</v>
      </c>
      <c r="I1960" s="147"/>
      <c r="J1960" s="147"/>
      <c r="K1960" s="147" t="str">
        <f t="shared" si="30"/>
        <v/>
      </c>
      <c r="L1960" s="40"/>
      <c r="M1960"/>
      <c r="N1960"/>
      <c r="O1960"/>
      <c r="P1960"/>
      <c r="Q1960"/>
      <c r="R1960"/>
      <c r="S1960"/>
      <c r="T1960"/>
      <c r="U1960"/>
      <c r="V1960"/>
      <c r="W1960" s="41"/>
      <c r="X1960" s="41"/>
      <c r="Y1960" s="41"/>
    </row>
    <row r="1961" s="27" customFormat="1" ht="23" hidden="1" customHeight="1" spans="1:25">
      <c r="A1961" s="133" t="str">
        <f>IF(B1961="","",COUNTA($B$5:B1961))</f>
        <v/>
      </c>
      <c r="B1961" s="148"/>
      <c r="C1961" s="22" t="s">
        <v>49</v>
      </c>
      <c r="D1961" s="149"/>
      <c r="E1961" s="150"/>
      <c r="F1961" s="151"/>
      <c r="G1961" s="151"/>
      <c r="H1961" s="142">
        <f>IFERROR(VLOOKUP($C1961,$C$5:$H$18,6,0)+SUMIF($C$19:$C1961,$C1961,$F$19:$F1961)-SUMIF($C$19:$C1961,$C1961,$G$19:$G1961),"")</f>
        <v>81211.819999998</v>
      </c>
      <c r="I1961" s="147"/>
      <c r="J1961" s="147"/>
      <c r="K1961" s="147" t="str">
        <f t="shared" si="30"/>
        <v/>
      </c>
      <c r="L1961" s="40"/>
      <c r="M1961"/>
      <c r="N1961"/>
      <c r="O1961"/>
      <c r="P1961"/>
      <c r="Q1961"/>
      <c r="R1961"/>
      <c r="S1961"/>
      <c r="T1961"/>
      <c r="U1961"/>
      <c r="V1961"/>
      <c r="W1961" s="41"/>
      <c r="X1961" s="41"/>
      <c r="Y1961" s="41"/>
    </row>
    <row r="1962" s="27" customFormat="1" ht="23" hidden="1" customHeight="1" spans="1:25">
      <c r="A1962" s="133" t="str">
        <f>IF(B1962="","",COUNTA($B$5:B1962))</f>
        <v/>
      </c>
      <c r="B1962" s="148"/>
      <c r="C1962" s="22" t="s">
        <v>49</v>
      </c>
      <c r="D1962" s="149"/>
      <c r="E1962" s="150"/>
      <c r="F1962" s="151"/>
      <c r="G1962" s="151"/>
      <c r="H1962" s="142">
        <f>IFERROR(VLOOKUP($C1962,$C$5:$H$18,6,0)+SUMIF($C$19:$C1962,$C1962,$F$19:$F1962)-SUMIF($C$19:$C1962,$C1962,$G$19:$G1962),"")</f>
        <v>81211.819999998</v>
      </c>
      <c r="I1962" s="147"/>
      <c r="J1962" s="147"/>
      <c r="K1962" s="147" t="str">
        <f t="shared" si="30"/>
        <v/>
      </c>
      <c r="L1962" s="40"/>
      <c r="M1962"/>
      <c r="N1962"/>
      <c r="O1962"/>
      <c r="P1962"/>
      <c r="Q1962"/>
      <c r="R1962"/>
      <c r="S1962"/>
      <c r="T1962"/>
      <c r="U1962"/>
      <c r="V1962"/>
      <c r="W1962" s="41"/>
      <c r="X1962" s="41"/>
      <c r="Y1962" s="41"/>
    </row>
    <row r="1963" s="27" customFormat="1" ht="23" hidden="1" customHeight="1" spans="1:25">
      <c r="A1963" s="133" t="str">
        <f>IF(B1963="","",COUNTA($B$5:B1963))</f>
        <v/>
      </c>
      <c r="B1963" s="148"/>
      <c r="C1963" s="22" t="s">
        <v>49</v>
      </c>
      <c r="D1963" s="149"/>
      <c r="E1963" s="150"/>
      <c r="F1963" s="151"/>
      <c r="G1963" s="151"/>
      <c r="H1963" s="142">
        <f>IFERROR(VLOOKUP($C1963,$C$5:$H$18,6,0)+SUMIF($C$19:$C1963,$C1963,$F$19:$F1963)-SUMIF($C$19:$C1963,$C1963,$G$19:$G1963),"")</f>
        <v>81211.819999998</v>
      </c>
      <c r="I1963" s="147"/>
      <c r="J1963" s="147"/>
      <c r="K1963" s="147" t="str">
        <f t="shared" si="30"/>
        <v/>
      </c>
      <c r="L1963" s="40"/>
      <c r="M1963"/>
      <c r="N1963"/>
      <c r="O1963"/>
      <c r="P1963"/>
      <c r="Q1963"/>
      <c r="R1963"/>
      <c r="S1963"/>
      <c r="T1963"/>
      <c r="U1963"/>
      <c r="V1963"/>
      <c r="W1963" s="41"/>
      <c r="X1963" s="41"/>
      <c r="Y1963" s="41"/>
    </row>
    <row r="1964" s="27" customFormat="1" ht="23" hidden="1" customHeight="1" spans="1:25">
      <c r="A1964" s="133" t="str">
        <f>IF(B1964="","",COUNTA($B$5:B1964))</f>
        <v/>
      </c>
      <c r="B1964" s="148"/>
      <c r="C1964" s="22" t="s">
        <v>49</v>
      </c>
      <c r="D1964" s="149"/>
      <c r="E1964" s="150"/>
      <c r="F1964" s="151"/>
      <c r="G1964" s="151"/>
      <c r="H1964" s="142">
        <f>IFERROR(VLOOKUP($C1964,$C$5:$H$18,6,0)+SUMIF($C$19:$C1964,$C1964,$F$19:$F1964)-SUMIF($C$19:$C1964,$C1964,$G$19:$G1964),"")</f>
        <v>81211.819999998</v>
      </c>
      <c r="I1964" s="147"/>
      <c r="J1964" s="147"/>
      <c r="K1964" s="147" t="str">
        <f t="shared" si="30"/>
        <v/>
      </c>
      <c r="L1964" s="40"/>
      <c r="M1964"/>
      <c r="N1964"/>
      <c r="O1964"/>
      <c r="P1964"/>
      <c r="Q1964"/>
      <c r="R1964"/>
      <c r="S1964"/>
      <c r="T1964"/>
      <c r="U1964"/>
      <c r="V1964"/>
      <c r="W1964" s="41"/>
      <c r="X1964" s="41"/>
      <c r="Y1964" s="41"/>
    </row>
    <row r="1965" s="27" customFormat="1" ht="23" hidden="1" customHeight="1" spans="1:25">
      <c r="A1965" s="133" t="str">
        <f>IF(B1965="","",COUNTA($B$5:B1965))</f>
        <v/>
      </c>
      <c r="B1965" s="148"/>
      <c r="C1965" s="22" t="s">
        <v>49</v>
      </c>
      <c r="D1965" s="149"/>
      <c r="E1965" s="150"/>
      <c r="F1965" s="151"/>
      <c r="G1965" s="151"/>
      <c r="H1965" s="142">
        <f>IFERROR(VLOOKUP($C1965,$C$5:$H$18,6,0)+SUMIF($C$19:$C1965,$C1965,$F$19:$F1965)-SUMIF($C$19:$C1965,$C1965,$G$19:$G1965),"")</f>
        <v>81211.819999998</v>
      </c>
      <c r="I1965" s="147"/>
      <c r="J1965" s="147"/>
      <c r="K1965" s="147" t="str">
        <f t="shared" si="30"/>
        <v/>
      </c>
      <c r="L1965" s="40"/>
      <c r="M1965"/>
      <c r="N1965"/>
      <c r="O1965"/>
      <c r="P1965"/>
      <c r="Q1965"/>
      <c r="R1965"/>
      <c r="S1965"/>
      <c r="T1965"/>
      <c r="U1965"/>
      <c r="V1965"/>
      <c r="W1965" s="41"/>
      <c r="X1965" s="41"/>
      <c r="Y1965" s="41"/>
    </row>
    <row r="1966" s="27" customFormat="1" ht="23" hidden="1" customHeight="1" spans="1:25">
      <c r="A1966" s="133" t="str">
        <f>IF(B1966="","",COUNTA($B$5:B1966))</f>
        <v/>
      </c>
      <c r="B1966" s="148"/>
      <c r="C1966" s="22" t="s">
        <v>49</v>
      </c>
      <c r="D1966" s="149"/>
      <c r="E1966" s="150"/>
      <c r="F1966" s="151"/>
      <c r="G1966" s="151"/>
      <c r="H1966" s="142">
        <f>IFERROR(VLOOKUP($C1966,$C$5:$H$18,6,0)+SUMIF($C$19:$C1966,$C1966,$F$19:$F1966)-SUMIF($C$19:$C1966,$C1966,$G$19:$G1966),"")</f>
        <v>81211.819999998</v>
      </c>
      <c r="I1966" s="147"/>
      <c r="J1966" s="147"/>
      <c r="K1966" s="147" t="str">
        <f t="shared" si="30"/>
        <v/>
      </c>
      <c r="L1966" s="40"/>
      <c r="M1966"/>
      <c r="N1966"/>
      <c r="O1966"/>
      <c r="P1966"/>
      <c r="Q1966"/>
      <c r="R1966"/>
      <c r="S1966"/>
      <c r="T1966"/>
      <c r="U1966"/>
      <c r="V1966"/>
      <c r="W1966" s="41"/>
      <c r="X1966" s="41"/>
      <c r="Y1966" s="41"/>
    </row>
    <row r="1967" s="27" customFormat="1" ht="23" hidden="1" customHeight="1" spans="1:25">
      <c r="A1967" s="133" t="str">
        <f>IF(B1967="","",COUNTA($B$5:B1967))</f>
        <v/>
      </c>
      <c r="B1967" s="148"/>
      <c r="C1967" s="22" t="s">
        <v>49</v>
      </c>
      <c r="D1967" s="149"/>
      <c r="E1967" s="150"/>
      <c r="F1967" s="151"/>
      <c r="G1967" s="151"/>
      <c r="H1967" s="142">
        <f>IFERROR(VLOOKUP($C1967,$C$5:$H$18,6,0)+SUMIF($C$19:$C1967,$C1967,$F$19:$F1967)-SUMIF($C$19:$C1967,$C1967,$G$19:$G1967),"")</f>
        <v>81211.819999998</v>
      </c>
      <c r="I1967" s="147"/>
      <c r="J1967" s="147"/>
      <c r="K1967" s="147" t="str">
        <f t="shared" si="30"/>
        <v/>
      </c>
      <c r="L1967" s="40"/>
      <c r="M1967"/>
      <c r="N1967"/>
      <c r="O1967"/>
      <c r="P1967"/>
      <c r="Q1967"/>
      <c r="R1967"/>
      <c r="S1967"/>
      <c r="T1967"/>
      <c r="U1967"/>
      <c r="V1967"/>
      <c r="W1967" s="41"/>
      <c r="X1967" s="41"/>
      <c r="Y1967" s="41"/>
    </row>
    <row r="1968" s="27" customFormat="1" ht="23" hidden="1" customHeight="1" spans="1:25">
      <c r="A1968" s="133" t="str">
        <f>IF(B1968="","",COUNTA($B$5:B1968))</f>
        <v/>
      </c>
      <c r="B1968" s="148"/>
      <c r="C1968" s="22" t="s">
        <v>49</v>
      </c>
      <c r="D1968" s="149"/>
      <c r="E1968" s="150"/>
      <c r="F1968" s="151"/>
      <c r="G1968" s="151"/>
      <c r="H1968" s="142">
        <f>IFERROR(VLOOKUP($C1968,$C$5:$H$18,6,0)+SUMIF($C$19:$C1968,$C1968,$F$19:$F1968)-SUMIF($C$19:$C1968,$C1968,$G$19:$G1968),"")</f>
        <v>81211.819999998</v>
      </c>
      <c r="I1968" s="147"/>
      <c r="J1968" s="147"/>
      <c r="K1968" s="147" t="str">
        <f t="shared" si="30"/>
        <v/>
      </c>
      <c r="L1968" s="40"/>
      <c r="M1968"/>
      <c r="N1968"/>
      <c r="O1968"/>
      <c r="P1968"/>
      <c r="Q1968"/>
      <c r="R1968"/>
      <c r="S1968"/>
      <c r="T1968"/>
      <c r="U1968"/>
      <c r="V1968"/>
      <c r="W1968" s="41"/>
      <c r="X1968" s="41"/>
      <c r="Y1968" s="41"/>
    </row>
    <row r="1969" s="27" customFormat="1" ht="23" hidden="1" customHeight="1" spans="1:25">
      <c r="A1969" s="133" t="str">
        <f>IF(B1969="","",COUNTA($B$5:B1969))</f>
        <v/>
      </c>
      <c r="B1969" s="148"/>
      <c r="C1969" s="22" t="s">
        <v>49</v>
      </c>
      <c r="D1969" s="149"/>
      <c r="E1969" s="150"/>
      <c r="F1969" s="151"/>
      <c r="G1969" s="151"/>
      <c r="H1969" s="142">
        <f>IFERROR(VLOOKUP($C1969,$C$5:$H$18,6,0)+SUMIF($C$19:$C1969,$C1969,$F$19:$F1969)-SUMIF($C$19:$C1969,$C1969,$G$19:$G1969),"")</f>
        <v>81211.819999998</v>
      </c>
      <c r="I1969" s="147"/>
      <c r="J1969" s="147"/>
      <c r="K1969" s="147" t="str">
        <f t="shared" si="30"/>
        <v/>
      </c>
      <c r="L1969" s="40"/>
      <c r="M1969"/>
      <c r="N1969"/>
      <c r="O1969"/>
      <c r="P1969"/>
      <c r="Q1969"/>
      <c r="R1969"/>
      <c r="S1969"/>
      <c r="T1969"/>
      <c r="U1969"/>
      <c r="V1969"/>
      <c r="W1969" s="41"/>
      <c r="X1969" s="41"/>
      <c r="Y1969" s="41"/>
    </row>
    <row r="1970" s="27" customFormat="1" ht="23" hidden="1" customHeight="1" spans="1:25">
      <c r="A1970" s="133" t="str">
        <f>IF(B1970="","",COUNTA($B$5:B1970))</f>
        <v/>
      </c>
      <c r="B1970" s="148"/>
      <c r="C1970" s="22" t="s">
        <v>49</v>
      </c>
      <c r="D1970" s="149"/>
      <c r="E1970" s="150"/>
      <c r="F1970" s="151"/>
      <c r="G1970" s="151"/>
      <c r="H1970" s="142">
        <f>IFERROR(VLOOKUP($C1970,$C$5:$H$18,6,0)+SUMIF($C$19:$C1970,$C1970,$F$19:$F1970)-SUMIF($C$19:$C1970,$C1970,$G$19:$G1970),"")</f>
        <v>81211.819999998</v>
      </c>
      <c r="I1970" s="147"/>
      <c r="J1970" s="147"/>
      <c r="K1970" s="147" t="str">
        <f t="shared" si="30"/>
        <v/>
      </c>
      <c r="L1970" s="40"/>
      <c r="M1970"/>
      <c r="N1970"/>
      <c r="O1970"/>
      <c r="P1970"/>
      <c r="Q1970"/>
      <c r="R1970"/>
      <c r="S1970"/>
      <c r="T1970"/>
      <c r="U1970"/>
      <c r="V1970"/>
      <c r="W1970" s="41"/>
      <c r="X1970" s="41"/>
      <c r="Y1970" s="41"/>
    </row>
    <row r="1971" s="27" customFormat="1" ht="23" hidden="1" customHeight="1" spans="1:25">
      <c r="A1971" s="133" t="str">
        <f>IF(B1971="","",COUNTA($B$5:B1971))</f>
        <v/>
      </c>
      <c r="B1971" s="148"/>
      <c r="C1971" s="22" t="s">
        <v>49</v>
      </c>
      <c r="D1971" s="149"/>
      <c r="E1971" s="150"/>
      <c r="F1971" s="151"/>
      <c r="G1971" s="151"/>
      <c r="H1971" s="142">
        <f>IFERROR(VLOOKUP($C1971,$C$5:$H$18,6,0)+SUMIF($C$19:$C1971,$C1971,$F$19:$F1971)-SUMIF($C$19:$C1971,$C1971,$G$19:$G1971),"")</f>
        <v>81211.819999998</v>
      </c>
      <c r="I1971" s="147"/>
      <c r="J1971" s="147"/>
      <c r="K1971" s="147" t="str">
        <f t="shared" si="30"/>
        <v/>
      </c>
      <c r="L1971" s="40"/>
      <c r="M1971"/>
      <c r="N1971"/>
      <c r="O1971"/>
      <c r="P1971"/>
      <c r="Q1971"/>
      <c r="R1971"/>
      <c r="S1971"/>
      <c r="T1971"/>
      <c r="U1971"/>
      <c r="V1971"/>
      <c r="W1971" s="41"/>
      <c r="X1971" s="41"/>
      <c r="Y1971" s="41"/>
    </row>
    <row r="1972" s="27" customFormat="1" ht="23" hidden="1" customHeight="1" spans="1:25">
      <c r="A1972" s="133" t="str">
        <f>IF(B1972="","",COUNTA($B$5:B1972))</f>
        <v/>
      </c>
      <c r="B1972" s="148"/>
      <c r="C1972" s="22" t="s">
        <v>49</v>
      </c>
      <c r="D1972" s="149"/>
      <c r="E1972" s="150"/>
      <c r="F1972" s="151"/>
      <c r="G1972" s="151"/>
      <c r="H1972" s="142">
        <f>IFERROR(VLOOKUP($C1972,$C$5:$H$18,6,0)+SUMIF($C$19:$C1972,$C1972,$F$19:$F1972)-SUMIF($C$19:$C1972,$C1972,$G$19:$G1972),"")</f>
        <v>81211.819999998</v>
      </c>
      <c r="I1972" s="147"/>
      <c r="J1972" s="147"/>
      <c r="K1972" s="147" t="str">
        <f t="shared" si="30"/>
        <v/>
      </c>
      <c r="L1972" s="40"/>
      <c r="M1972"/>
      <c r="N1972"/>
      <c r="O1972"/>
      <c r="P1972"/>
      <c r="Q1972"/>
      <c r="R1972"/>
      <c r="S1972"/>
      <c r="T1972"/>
      <c r="U1972"/>
      <c r="V1972"/>
      <c r="W1972" s="41"/>
      <c r="X1972" s="41"/>
      <c r="Y1972" s="41"/>
    </row>
    <row r="1973" s="27" customFormat="1" ht="23" hidden="1" customHeight="1" spans="1:25">
      <c r="A1973" s="133" t="str">
        <f>IF(B1973="","",COUNTA($B$5:B1973))</f>
        <v/>
      </c>
      <c r="B1973" s="148"/>
      <c r="C1973" s="22" t="s">
        <v>49</v>
      </c>
      <c r="D1973" s="149"/>
      <c r="E1973" s="150"/>
      <c r="F1973" s="151"/>
      <c r="G1973" s="151"/>
      <c r="H1973" s="142">
        <f>IFERROR(VLOOKUP($C1973,$C$5:$H$18,6,0)+SUMIF($C$19:$C1973,$C1973,$F$19:$F1973)-SUMIF($C$19:$C1973,$C1973,$G$19:$G1973),"")</f>
        <v>81211.819999998</v>
      </c>
      <c r="I1973" s="147"/>
      <c r="J1973" s="147"/>
      <c r="K1973" s="147" t="str">
        <f t="shared" si="30"/>
        <v/>
      </c>
      <c r="L1973" s="40"/>
      <c r="M1973"/>
      <c r="N1973"/>
      <c r="O1973"/>
      <c r="P1973"/>
      <c r="Q1973"/>
      <c r="R1973"/>
      <c r="S1973"/>
      <c r="T1973"/>
      <c r="U1973"/>
      <c r="V1973"/>
      <c r="W1973" s="41"/>
      <c r="X1973" s="41"/>
      <c r="Y1973" s="41"/>
    </row>
    <row r="1974" s="27" customFormat="1" ht="23" hidden="1" customHeight="1" spans="1:25">
      <c r="A1974" s="133" t="str">
        <f>IF(B1974="","",COUNTA($B$5:B1974))</f>
        <v/>
      </c>
      <c r="B1974" s="148"/>
      <c r="C1974" s="22" t="s">
        <v>49</v>
      </c>
      <c r="D1974" s="149"/>
      <c r="E1974" s="150"/>
      <c r="F1974" s="151"/>
      <c r="G1974" s="151"/>
      <c r="H1974" s="142">
        <f>IFERROR(VLOOKUP($C1974,$C$5:$H$18,6,0)+SUMIF($C$19:$C1974,$C1974,$F$19:$F1974)-SUMIF($C$19:$C1974,$C1974,$G$19:$G1974),"")</f>
        <v>81211.819999998</v>
      </c>
      <c r="I1974" s="147"/>
      <c r="J1974" s="147"/>
      <c r="K1974" s="147" t="str">
        <f t="shared" si="30"/>
        <v/>
      </c>
      <c r="L1974" s="40"/>
      <c r="M1974"/>
      <c r="N1974"/>
      <c r="O1974"/>
      <c r="P1974"/>
      <c r="Q1974"/>
      <c r="R1974"/>
      <c r="S1974"/>
      <c r="T1974"/>
      <c r="U1974"/>
      <c r="V1974"/>
      <c r="W1974" s="41"/>
      <c r="X1974" s="41"/>
      <c r="Y1974" s="41"/>
    </row>
    <row r="1975" s="27" customFormat="1" ht="23" hidden="1" customHeight="1" spans="1:25">
      <c r="A1975" s="133" t="str">
        <f>IF(B1975="","",COUNTA($B$5:B1975))</f>
        <v/>
      </c>
      <c r="B1975" s="148"/>
      <c r="C1975" s="22" t="s">
        <v>49</v>
      </c>
      <c r="D1975" s="149"/>
      <c r="E1975" s="150"/>
      <c r="F1975" s="151"/>
      <c r="G1975" s="151"/>
      <c r="H1975" s="142">
        <f>IFERROR(VLOOKUP($C1975,$C$5:$H$18,6,0)+SUMIF($C$19:$C1975,$C1975,$F$19:$F1975)-SUMIF($C$19:$C1975,$C1975,$G$19:$G1975),"")</f>
        <v>81211.819999998</v>
      </c>
      <c r="I1975" s="147"/>
      <c r="J1975" s="147"/>
      <c r="K1975" s="147" t="str">
        <f t="shared" si="30"/>
        <v/>
      </c>
      <c r="L1975" s="40"/>
      <c r="M1975"/>
      <c r="N1975"/>
      <c r="O1975"/>
      <c r="P1975"/>
      <c r="Q1975"/>
      <c r="R1975"/>
      <c r="S1975"/>
      <c r="T1975"/>
      <c r="U1975"/>
      <c r="V1975"/>
      <c r="W1975" s="41"/>
      <c r="X1975" s="41"/>
      <c r="Y1975" s="41"/>
    </row>
    <row r="1976" s="27" customFormat="1" ht="23" hidden="1" customHeight="1" spans="1:25">
      <c r="A1976" s="133" t="str">
        <f>IF(B1976="","",COUNTA($B$5:B1976))</f>
        <v/>
      </c>
      <c r="B1976" s="148"/>
      <c r="C1976" s="22" t="s">
        <v>49</v>
      </c>
      <c r="D1976" s="149"/>
      <c r="E1976" s="150"/>
      <c r="F1976" s="151"/>
      <c r="G1976" s="151"/>
      <c r="H1976" s="142">
        <f>IFERROR(VLOOKUP($C1976,$C$5:$H$18,6,0)+SUMIF($C$19:$C1976,$C1976,$F$19:$F1976)-SUMIF($C$19:$C1976,$C1976,$G$19:$G1976),"")</f>
        <v>81211.819999998</v>
      </c>
      <c r="I1976" s="147"/>
      <c r="J1976" s="147"/>
      <c r="K1976" s="147" t="str">
        <f t="shared" si="30"/>
        <v/>
      </c>
      <c r="L1976" s="40"/>
      <c r="M1976"/>
      <c r="N1976"/>
      <c r="O1976"/>
      <c r="P1976"/>
      <c r="Q1976"/>
      <c r="R1976"/>
      <c r="S1976"/>
      <c r="T1976"/>
      <c r="U1976"/>
      <c r="V1976"/>
      <c r="W1976" s="41"/>
      <c r="X1976" s="41"/>
      <c r="Y1976" s="41"/>
    </row>
    <row r="1977" s="27" customFormat="1" ht="23" hidden="1" customHeight="1" spans="1:25">
      <c r="A1977" s="133" t="str">
        <f>IF(B1977="","",COUNTA($B$5:B1977))</f>
        <v/>
      </c>
      <c r="B1977" s="148"/>
      <c r="C1977" s="22" t="s">
        <v>49</v>
      </c>
      <c r="D1977" s="149"/>
      <c r="E1977" s="150"/>
      <c r="F1977" s="151"/>
      <c r="G1977" s="151"/>
      <c r="H1977" s="142">
        <f>IFERROR(VLOOKUP($C1977,$C$5:$H$18,6,0)+SUMIF($C$19:$C1977,$C1977,$F$19:$F1977)-SUMIF($C$19:$C1977,$C1977,$G$19:$G1977),"")</f>
        <v>81211.819999998</v>
      </c>
      <c r="I1977" s="147"/>
      <c r="J1977" s="147"/>
      <c r="K1977" s="147" t="str">
        <f t="shared" si="30"/>
        <v/>
      </c>
      <c r="L1977" s="40"/>
      <c r="M1977"/>
      <c r="N1977"/>
      <c r="O1977"/>
      <c r="P1977"/>
      <c r="Q1977"/>
      <c r="R1977"/>
      <c r="S1977"/>
      <c r="T1977"/>
      <c r="U1977"/>
      <c r="V1977"/>
      <c r="W1977" s="41"/>
      <c r="X1977" s="41"/>
      <c r="Y1977" s="41"/>
    </row>
    <row r="1978" s="27" customFormat="1" ht="23" hidden="1" customHeight="1" spans="1:25">
      <c r="A1978" s="133" t="str">
        <f>IF(B1978="","",COUNTA($B$5:B1978))</f>
        <v/>
      </c>
      <c r="B1978" s="148"/>
      <c r="C1978" s="22" t="s">
        <v>49</v>
      </c>
      <c r="D1978" s="149"/>
      <c r="E1978" s="150"/>
      <c r="F1978" s="151"/>
      <c r="G1978" s="151"/>
      <c r="H1978" s="142">
        <f>IFERROR(VLOOKUP($C1978,$C$5:$H$18,6,0)+SUMIF($C$19:$C1978,$C1978,$F$19:$F1978)-SUMIF($C$19:$C1978,$C1978,$G$19:$G1978),"")</f>
        <v>81211.819999998</v>
      </c>
      <c r="I1978" s="147"/>
      <c r="J1978" s="147"/>
      <c r="K1978" s="147" t="str">
        <f t="shared" si="30"/>
        <v/>
      </c>
      <c r="L1978" s="40"/>
      <c r="M1978"/>
      <c r="N1978"/>
      <c r="O1978"/>
      <c r="P1978"/>
      <c r="Q1978"/>
      <c r="R1978"/>
      <c r="S1978"/>
      <c r="T1978"/>
      <c r="U1978"/>
      <c r="V1978"/>
      <c r="W1978" s="41"/>
      <c r="X1978" s="41"/>
      <c r="Y1978" s="41"/>
    </row>
    <row r="1979" s="27" customFormat="1" ht="23" hidden="1" customHeight="1" spans="1:25">
      <c r="A1979" s="133" t="str">
        <f>IF(B1979="","",COUNTA($B$5:B1979))</f>
        <v/>
      </c>
      <c r="B1979" s="148"/>
      <c r="C1979" s="22" t="s">
        <v>49</v>
      </c>
      <c r="D1979" s="149"/>
      <c r="E1979" s="150"/>
      <c r="F1979" s="151"/>
      <c r="G1979" s="151"/>
      <c r="H1979" s="142">
        <f>IFERROR(VLOOKUP($C1979,$C$5:$H$18,6,0)+SUMIF($C$19:$C1979,$C1979,$F$19:$F1979)-SUMIF($C$19:$C1979,$C1979,$G$19:$G1979),"")</f>
        <v>81211.819999998</v>
      </c>
      <c r="I1979" s="147"/>
      <c r="J1979" s="147"/>
      <c r="K1979" s="147" t="str">
        <f t="shared" si="30"/>
        <v/>
      </c>
      <c r="L1979" s="40"/>
      <c r="M1979"/>
      <c r="N1979"/>
      <c r="O1979"/>
      <c r="P1979"/>
      <c r="Q1979"/>
      <c r="R1979"/>
      <c r="S1979"/>
      <c r="T1979"/>
      <c r="U1979"/>
      <c r="V1979"/>
      <c r="W1979" s="41"/>
      <c r="X1979" s="41"/>
      <c r="Y1979" s="41"/>
    </row>
    <row r="1980" s="27" customFormat="1" ht="23" hidden="1" customHeight="1" spans="1:25">
      <c r="A1980" s="133" t="str">
        <f>IF(B1980="","",COUNTA($B$5:B1980))</f>
        <v/>
      </c>
      <c r="B1980" s="148"/>
      <c r="C1980" s="22" t="s">
        <v>49</v>
      </c>
      <c r="D1980" s="149"/>
      <c r="E1980" s="150"/>
      <c r="F1980" s="151"/>
      <c r="G1980" s="151"/>
      <c r="H1980" s="142">
        <f>IFERROR(VLOOKUP($C1980,$C$5:$H$18,6,0)+SUMIF($C$19:$C1980,$C1980,$F$19:$F1980)-SUMIF($C$19:$C1980,$C1980,$G$19:$G1980),"")</f>
        <v>81211.819999998</v>
      </c>
      <c r="I1980" s="147"/>
      <c r="J1980" s="147"/>
      <c r="K1980" s="147" t="str">
        <f t="shared" si="30"/>
        <v/>
      </c>
      <c r="L1980" s="40"/>
      <c r="M1980"/>
      <c r="N1980"/>
      <c r="O1980"/>
      <c r="P1980"/>
      <c r="Q1980"/>
      <c r="R1980"/>
      <c r="S1980"/>
      <c r="T1980"/>
      <c r="U1980"/>
      <c r="V1980"/>
      <c r="W1980" s="41"/>
      <c r="X1980" s="41"/>
      <c r="Y1980" s="41"/>
    </row>
    <row r="1981" s="27" customFormat="1" ht="23" hidden="1" customHeight="1" spans="1:25">
      <c r="A1981" s="133" t="str">
        <f>IF(B1981="","",COUNTA($B$5:B1981))</f>
        <v/>
      </c>
      <c r="B1981" s="148"/>
      <c r="C1981" s="22" t="s">
        <v>49</v>
      </c>
      <c r="D1981" s="149"/>
      <c r="E1981" s="150"/>
      <c r="F1981" s="151"/>
      <c r="G1981" s="151"/>
      <c r="H1981" s="142">
        <f>IFERROR(VLOOKUP($C1981,$C$5:$H$18,6,0)+SUMIF($C$19:$C1981,$C1981,$F$19:$F1981)-SUMIF($C$19:$C1981,$C1981,$G$19:$G1981),"")</f>
        <v>81211.819999998</v>
      </c>
      <c r="I1981" s="147"/>
      <c r="J1981" s="147"/>
      <c r="K1981" s="147" t="str">
        <f t="shared" si="30"/>
        <v/>
      </c>
      <c r="L1981" s="40"/>
      <c r="M1981"/>
      <c r="N1981"/>
      <c r="O1981"/>
      <c r="P1981"/>
      <c r="Q1981"/>
      <c r="R1981"/>
      <c r="S1981"/>
      <c r="T1981"/>
      <c r="U1981"/>
      <c r="V1981"/>
      <c r="W1981" s="41"/>
      <c r="X1981" s="41"/>
      <c r="Y1981" s="41"/>
    </row>
    <row r="1982" s="27" customFormat="1" ht="23" hidden="1" customHeight="1" spans="1:25">
      <c r="A1982" s="133" t="str">
        <f>IF(B1982="","",COUNTA($B$5:B1982))</f>
        <v/>
      </c>
      <c r="B1982" s="148"/>
      <c r="C1982" s="22" t="s">
        <v>49</v>
      </c>
      <c r="D1982" s="149"/>
      <c r="E1982" s="150"/>
      <c r="F1982" s="151"/>
      <c r="G1982" s="151"/>
      <c r="H1982" s="142">
        <f>IFERROR(VLOOKUP($C1982,$C$5:$H$18,6,0)+SUMIF($C$19:$C1982,$C1982,$F$19:$F1982)-SUMIF($C$19:$C1982,$C1982,$G$19:$G1982),"")</f>
        <v>81211.819999998</v>
      </c>
      <c r="I1982" s="147"/>
      <c r="J1982" s="147"/>
      <c r="K1982" s="147" t="str">
        <f t="shared" si="30"/>
        <v/>
      </c>
      <c r="L1982" s="40"/>
      <c r="M1982"/>
      <c r="N1982"/>
      <c r="O1982"/>
      <c r="P1982"/>
      <c r="Q1982"/>
      <c r="R1982"/>
      <c r="S1982"/>
      <c r="T1982"/>
      <c r="U1982"/>
      <c r="V1982"/>
      <c r="W1982" s="41"/>
      <c r="X1982" s="41"/>
      <c r="Y1982" s="41"/>
    </row>
    <row r="1983" s="27" customFormat="1" ht="23" hidden="1" customHeight="1" spans="1:25">
      <c r="A1983" s="133" t="str">
        <f>IF(B1983="","",COUNTA($B$5:B1983))</f>
        <v/>
      </c>
      <c r="B1983" s="148"/>
      <c r="C1983" s="22" t="s">
        <v>49</v>
      </c>
      <c r="D1983" s="149"/>
      <c r="E1983" s="150"/>
      <c r="F1983" s="151"/>
      <c r="G1983" s="151"/>
      <c r="H1983" s="142">
        <f>IFERROR(VLOOKUP($C1983,$C$5:$H$18,6,0)+SUMIF($C$19:$C1983,$C1983,$F$19:$F1983)-SUMIF($C$19:$C1983,$C1983,$G$19:$G1983),"")</f>
        <v>81211.819999998</v>
      </c>
      <c r="I1983" s="147"/>
      <c r="J1983" s="147"/>
      <c r="K1983" s="147" t="str">
        <f t="shared" si="30"/>
        <v/>
      </c>
      <c r="L1983" s="40"/>
      <c r="M1983"/>
      <c r="N1983"/>
      <c r="O1983"/>
      <c r="P1983"/>
      <c r="Q1983"/>
      <c r="R1983"/>
      <c r="S1983"/>
      <c r="T1983"/>
      <c r="U1983"/>
      <c r="V1983"/>
      <c r="W1983" s="41"/>
      <c r="X1983" s="41"/>
      <c r="Y1983" s="41"/>
    </row>
    <row r="1984" s="27" customFormat="1" ht="23" hidden="1" customHeight="1" spans="1:25">
      <c r="A1984" s="133" t="str">
        <f>IF(B1984="","",COUNTA($B$5:B1984))</f>
        <v/>
      </c>
      <c r="B1984" s="148"/>
      <c r="C1984" s="22" t="s">
        <v>49</v>
      </c>
      <c r="D1984" s="149"/>
      <c r="E1984" s="150"/>
      <c r="F1984" s="151"/>
      <c r="G1984" s="151"/>
      <c r="H1984" s="142">
        <f>IFERROR(VLOOKUP($C1984,$C$5:$H$18,6,0)+SUMIF($C$19:$C1984,$C1984,$F$19:$F1984)-SUMIF($C$19:$C1984,$C1984,$G$19:$G1984),"")</f>
        <v>81211.819999998</v>
      </c>
      <c r="I1984" s="147"/>
      <c r="J1984" s="147"/>
      <c r="K1984" s="147" t="str">
        <f t="shared" si="30"/>
        <v/>
      </c>
      <c r="L1984" s="40"/>
      <c r="M1984"/>
      <c r="N1984"/>
      <c r="O1984"/>
      <c r="P1984"/>
      <c r="Q1984"/>
      <c r="R1984"/>
      <c r="S1984"/>
      <c r="T1984"/>
      <c r="U1984"/>
      <c r="V1984"/>
      <c r="W1984" s="41"/>
      <c r="X1984" s="41"/>
      <c r="Y1984" s="41"/>
    </row>
    <row r="1985" s="27" customFormat="1" ht="23" hidden="1" customHeight="1" spans="1:25">
      <c r="A1985" s="133" t="str">
        <f>IF(B1985="","",COUNTA($B$5:B1985))</f>
        <v/>
      </c>
      <c r="B1985" s="148"/>
      <c r="C1985" s="22" t="s">
        <v>49</v>
      </c>
      <c r="D1985" s="149"/>
      <c r="E1985" s="150"/>
      <c r="F1985" s="151"/>
      <c r="G1985" s="151"/>
      <c r="H1985" s="142">
        <f>IFERROR(VLOOKUP($C1985,$C$5:$H$18,6,0)+SUMIF($C$19:$C1985,$C1985,$F$19:$F1985)-SUMIF($C$19:$C1985,$C1985,$G$19:$G1985),"")</f>
        <v>81211.819999998</v>
      </c>
      <c r="I1985" s="147"/>
      <c r="J1985" s="147"/>
      <c r="K1985" s="147" t="str">
        <f t="shared" si="30"/>
        <v/>
      </c>
      <c r="L1985" s="40"/>
      <c r="M1985"/>
      <c r="N1985"/>
      <c r="O1985"/>
      <c r="P1985"/>
      <c r="Q1985"/>
      <c r="R1985"/>
      <c r="S1985"/>
      <c r="T1985"/>
      <c r="U1985"/>
      <c r="V1985"/>
      <c r="W1985" s="41"/>
      <c r="X1985" s="41"/>
      <c r="Y1985" s="41"/>
    </row>
    <row r="1986" s="27" customFormat="1" ht="23" hidden="1" customHeight="1" spans="1:25">
      <c r="A1986" s="133" t="str">
        <f>IF(B1986="","",COUNTA($B$5:B1986))</f>
        <v/>
      </c>
      <c r="B1986" s="148"/>
      <c r="C1986" s="22" t="s">
        <v>49</v>
      </c>
      <c r="D1986" s="149"/>
      <c r="E1986" s="150"/>
      <c r="F1986" s="151"/>
      <c r="G1986" s="151"/>
      <c r="H1986" s="142">
        <f>IFERROR(VLOOKUP($C1986,$C$5:$H$18,6,0)+SUMIF($C$19:$C1986,$C1986,$F$19:$F1986)-SUMIF($C$19:$C1986,$C1986,$G$19:$G1986),"")</f>
        <v>81211.819999998</v>
      </c>
      <c r="I1986" s="147"/>
      <c r="J1986" s="147"/>
      <c r="K1986" s="147" t="str">
        <f t="shared" si="30"/>
        <v/>
      </c>
      <c r="L1986" s="40"/>
      <c r="M1986"/>
      <c r="N1986"/>
      <c r="O1986"/>
      <c r="P1986"/>
      <c r="Q1986"/>
      <c r="R1986"/>
      <c r="S1986"/>
      <c r="T1986"/>
      <c r="U1986"/>
      <c r="V1986"/>
      <c r="W1986" s="41"/>
      <c r="X1986" s="41"/>
      <c r="Y1986" s="41"/>
    </row>
    <row r="1987" s="27" customFormat="1" ht="23" hidden="1" customHeight="1" spans="1:25">
      <c r="A1987" s="133" t="str">
        <f>IF(B1987="","",COUNTA($B$5:B1987))</f>
        <v/>
      </c>
      <c r="B1987" s="148"/>
      <c r="C1987" s="22" t="s">
        <v>49</v>
      </c>
      <c r="D1987" s="149"/>
      <c r="E1987" s="150"/>
      <c r="F1987" s="151"/>
      <c r="G1987" s="151"/>
      <c r="H1987" s="142">
        <f>IFERROR(VLOOKUP($C1987,$C$5:$H$18,6,0)+SUMIF($C$19:$C1987,$C1987,$F$19:$F1987)-SUMIF($C$19:$C1987,$C1987,$G$19:$G1987),"")</f>
        <v>81211.819999998</v>
      </c>
      <c r="I1987" s="147"/>
      <c r="J1987" s="147"/>
      <c r="K1987" s="147" t="str">
        <f t="shared" si="30"/>
        <v/>
      </c>
      <c r="L1987" s="40"/>
      <c r="M1987"/>
      <c r="N1987"/>
      <c r="O1987"/>
      <c r="P1987"/>
      <c r="Q1987"/>
      <c r="R1987"/>
      <c r="S1987"/>
      <c r="T1987"/>
      <c r="U1987"/>
      <c r="V1987"/>
      <c r="W1987" s="41"/>
      <c r="X1987" s="41"/>
      <c r="Y1987" s="41"/>
    </row>
    <row r="1988" s="27" customFormat="1" ht="23" hidden="1" customHeight="1" spans="1:25">
      <c r="A1988" s="133" t="str">
        <f>IF(B1988="","",COUNTA($B$5:B1988))</f>
        <v/>
      </c>
      <c r="B1988" s="148"/>
      <c r="C1988" s="22" t="s">
        <v>49</v>
      </c>
      <c r="D1988" s="149"/>
      <c r="E1988" s="150"/>
      <c r="F1988" s="151"/>
      <c r="G1988" s="151"/>
      <c r="H1988" s="142">
        <f>IFERROR(VLOOKUP($C1988,$C$5:$H$18,6,0)+SUMIF($C$19:$C1988,$C1988,$F$19:$F1988)-SUMIF($C$19:$C1988,$C1988,$G$19:$G1988),"")</f>
        <v>81211.819999998</v>
      </c>
      <c r="I1988" s="147"/>
      <c r="J1988" s="147"/>
      <c r="K1988" s="147" t="str">
        <f t="shared" si="30"/>
        <v/>
      </c>
      <c r="L1988" s="40"/>
      <c r="M1988"/>
      <c r="N1988"/>
      <c r="O1988"/>
      <c r="P1988"/>
      <c r="Q1988"/>
      <c r="R1988"/>
      <c r="S1988"/>
      <c r="T1988"/>
      <c r="U1988"/>
      <c r="V1988"/>
      <c r="W1988" s="41"/>
      <c r="X1988" s="41"/>
      <c r="Y1988" s="41"/>
    </row>
    <row r="1989" s="27" customFormat="1" ht="23" hidden="1" customHeight="1" spans="1:25">
      <c r="A1989" s="133" t="str">
        <f>IF(B1989="","",COUNTA($B$5:B1989))</f>
        <v/>
      </c>
      <c r="B1989" s="148"/>
      <c r="C1989" s="22" t="s">
        <v>49</v>
      </c>
      <c r="D1989" s="149"/>
      <c r="E1989" s="150"/>
      <c r="F1989" s="151"/>
      <c r="G1989" s="151"/>
      <c r="H1989" s="142">
        <f>IFERROR(VLOOKUP($C1989,$C$5:$H$18,6,0)+SUMIF($C$19:$C1989,$C1989,$F$19:$F1989)-SUMIF($C$19:$C1989,$C1989,$G$19:$G1989),"")</f>
        <v>81211.819999998</v>
      </c>
      <c r="I1989" s="147"/>
      <c r="J1989" s="147"/>
      <c r="K1989" s="147" t="str">
        <f t="shared" ref="K1989:K2052" si="31">IF($B1989="","",--TEXT($B1989,"yyyymm"))</f>
        <v/>
      </c>
      <c r="L1989" s="40"/>
      <c r="M1989"/>
      <c r="N1989"/>
      <c r="O1989"/>
      <c r="P1989"/>
      <c r="Q1989"/>
      <c r="R1989"/>
      <c r="S1989"/>
      <c r="T1989"/>
      <c r="U1989"/>
      <c r="V1989"/>
      <c r="W1989" s="41"/>
      <c r="X1989" s="41"/>
      <c r="Y1989" s="41"/>
    </row>
    <row r="1990" s="27" customFormat="1" ht="23" hidden="1" customHeight="1" spans="1:25">
      <c r="A1990" s="133" t="str">
        <f>IF(B1990="","",COUNTA($B$5:B1990))</f>
        <v/>
      </c>
      <c r="B1990" s="148"/>
      <c r="C1990" s="22" t="s">
        <v>49</v>
      </c>
      <c r="D1990" s="149"/>
      <c r="E1990" s="150"/>
      <c r="F1990" s="151"/>
      <c r="G1990" s="151"/>
      <c r="H1990" s="142">
        <f>IFERROR(VLOOKUP($C1990,$C$5:$H$18,6,0)+SUMIF($C$19:$C1990,$C1990,$F$19:$F1990)-SUMIF($C$19:$C1990,$C1990,$G$19:$G1990),"")</f>
        <v>81211.819999998</v>
      </c>
      <c r="I1990" s="147"/>
      <c r="J1990" s="147"/>
      <c r="K1990" s="147" t="str">
        <f t="shared" si="31"/>
        <v/>
      </c>
      <c r="L1990" s="40"/>
      <c r="M1990"/>
      <c r="N1990"/>
      <c r="O1990"/>
      <c r="P1990"/>
      <c r="Q1990"/>
      <c r="R1990"/>
      <c r="S1990"/>
      <c r="T1990"/>
      <c r="U1990"/>
      <c r="V1990"/>
      <c r="W1990" s="41"/>
      <c r="X1990" s="41"/>
      <c r="Y1990" s="41"/>
    </row>
    <row r="1991" s="27" customFormat="1" ht="23" hidden="1" customHeight="1" spans="1:25">
      <c r="A1991" s="133" t="str">
        <f>IF(B1991="","",COUNTA($B$5:B1991))</f>
        <v/>
      </c>
      <c r="B1991" s="148"/>
      <c r="C1991" s="22" t="s">
        <v>49</v>
      </c>
      <c r="D1991" s="149"/>
      <c r="E1991" s="150"/>
      <c r="F1991" s="151"/>
      <c r="G1991" s="151"/>
      <c r="H1991" s="142">
        <f>IFERROR(VLOOKUP($C1991,$C$5:$H$18,6,0)+SUMIF($C$19:$C1991,$C1991,$F$19:$F1991)-SUMIF($C$19:$C1991,$C1991,$G$19:$G1991),"")</f>
        <v>81211.819999998</v>
      </c>
      <c r="I1991" s="147"/>
      <c r="J1991" s="147"/>
      <c r="K1991" s="147" t="str">
        <f t="shared" si="31"/>
        <v/>
      </c>
      <c r="L1991" s="40"/>
      <c r="M1991"/>
      <c r="N1991"/>
      <c r="O1991"/>
      <c r="P1991"/>
      <c r="Q1991"/>
      <c r="R1991"/>
      <c r="S1991"/>
      <c r="T1991"/>
      <c r="U1991"/>
      <c r="V1991"/>
      <c r="W1991" s="41"/>
      <c r="X1991" s="41"/>
      <c r="Y1991" s="41"/>
    </row>
    <row r="1992" s="27" customFormat="1" ht="23" hidden="1" customHeight="1" spans="1:25">
      <c r="A1992" s="133" t="str">
        <f>IF(B1992="","",COUNTA($B$5:B1992))</f>
        <v/>
      </c>
      <c r="B1992" s="148"/>
      <c r="C1992" s="22" t="s">
        <v>49</v>
      </c>
      <c r="D1992" s="149"/>
      <c r="E1992" s="150"/>
      <c r="F1992" s="151"/>
      <c r="G1992" s="151"/>
      <c r="H1992" s="142">
        <f>IFERROR(VLOOKUP($C1992,$C$5:$H$18,6,0)+SUMIF($C$19:$C1992,$C1992,$F$19:$F1992)-SUMIF($C$19:$C1992,$C1992,$G$19:$G1992),"")</f>
        <v>81211.819999998</v>
      </c>
      <c r="I1992" s="147"/>
      <c r="J1992" s="147"/>
      <c r="K1992" s="147" t="str">
        <f t="shared" si="31"/>
        <v/>
      </c>
      <c r="L1992" s="40"/>
      <c r="M1992"/>
      <c r="N1992"/>
      <c r="O1992"/>
      <c r="P1992"/>
      <c r="Q1992"/>
      <c r="R1992"/>
      <c r="S1992"/>
      <c r="T1992"/>
      <c r="U1992"/>
      <c r="V1992"/>
      <c r="W1992" s="41"/>
      <c r="X1992" s="41"/>
      <c r="Y1992" s="41"/>
    </row>
    <row r="1993" s="27" customFormat="1" ht="23" hidden="1" customHeight="1" spans="1:25">
      <c r="A1993" s="133" t="str">
        <f>IF(B1993="","",COUNTA($B$5:B1993))</f>
        <v/>
      </c>
      <c r="B1993" s="148"/>
      <c r="C1993" s="22" t="s">
        <v>49</v>
      </c>
      <c r="D1993" s="149"/>
      <c r="E1993" s="150"/>
      <c r="F1993" s="151"/>
      <c r="G1993" s="151"/>
      <c r="H1993" s="142">
        <f>IFERROR(VLOOKUP($C1993,$C$5:$H$18,6,0)+SUMIF($C$19:$C1993,$C1993,$F$19:$F1993)-SUMIF($C$19:$C1993,$C1993,$G$19:$G1993),"")</f>
        <v>81211.819999998</v>
      </c>
      <c r="I1993" s="147"/>
      <c r="J1993" s="147"/>
      <c r="K1993" s="147" t="str">
        <f t="shared" si="31"/>
        <v/>
      </c>
      <c r="L1993" s="40"/>
      <c r="M1993"/>
      <c r="N1993"/>
      <c r="O1993"/>
      <c r="P1993"/>
      <c r="Q1993"/>
      <c r="R1993"/>
      <c r="S1993"/>
      <c r="T1993"/>
      <c r="U1993"/>
      <c r="V1993"/>
      <c r="W1993" s="41"/>
      <c r="X1993" s="41"/>
      <c r="Y1993" s="41"/>
    </row>
    <row r="1994" s="27" customFormat="1" ht="23" hidden="1" customHeight="1" spans="1:25">
      <c r="A1994" s="133" t="str">
        <f>IF(B1994="","",COUNTA($B$5:B1994))</f>
        <v/>
      </c>
      <c r="B1994" s="148"/>
      <c r="C1994" s="22" t="s">
        <v>49</v>
      </c>
      <c r="D1994" s="149"/>
      <c r="E1994" s="150"/>
      <c r="F1994" s="151"/>
      <c r="G1994" s="151"/>
      <c r="H1994" s="142">
        <f>IFERROR(VLOOKUP($C1994,$C$5:$H$18,6,0)+SUMIF($C$19:$C1994,$C1994,$F$19:$F1994)-SUMIF($C$19:$C1994,$C1994,$G$19:$G1994),"")</f>
        <v>81211.819999998</v>
      </c>
      <c r="I1994" s="147"/>
      <c r="J1994" s="147"/>
      <c r="K1994" s="147" t="str">
        <f t="shared" si="31"/>
        <v/>
      </c>
      <c r="L1994" s="40"/>
      <c r="M1994"/>
      <c r="N1994"/>
      <c r="O1994"/>
      <c r="P1994"/>
      <c r="Q1994"/>
      <c r="R1994"/>
      <c r="S1994"/>
      <c r="T1994"/>
      <c r="U1994"/>
      <c r="V1994"/>
      <c r="W1994" s="41"/>
      <c r="X1994" s="41"/>
      <c r="Y1994" s="41"/>
    </row>
    <row r="1995" s="27" customFormat="1" ht="23" hidden="1" customHeight="1" spans="1:25">
      <c r="A1995" s="133" t="str">
        <f>IF(B1995="","",COUNTA($B$5:B1995))</f>
        <v/>
      </c>
      <c r="B1995" s="148"/>
      <c r="C1995" s="22" t="s">
        <v>49</v>
      </c>
      <c r="D1995" s="149"/>
      <c r="E1995" s="150"/>
      <c r="F1995" s="151"/>
      <c r="G1995" s="151"/>
      <c r="H1995" s="142">
        <f>IFERROR(VLOOKUP($C1995,$C$5:$H$18,6,0)+SUMIF($C$19:$C1995,$C1995,$F$19:$F1995)-SUMIF($C$19:$C1995,$C1995,$G$19:$G1995),"")</f>
        <v>81211.819999998</v>
      </c>
      <c r="I1995" s="147"/>
      <c r="J1995" s="147"/>
      <c r="K1995" s="147" t="str">
        <f t="shared" si="31"/>
        <v/>
      </c>
      <c r="L1995" s="40"/>
      <c r="M1995"/>
      <c r="N1995"/>
      <c r="O1995"/>
      <c r="P1995"/>
      <c r="Q1995"/>
      <c r="R1995"/>
      <c r="S1995"/>
      <c r="T1995"/>
      <c r="U1995"/>
      <c r="V1995"/>
      <c r="W1995" s="41"/>
      <c r="X1995" s="41"/>
      <c r="Y1995" s="41"/>
    </row>
    <row r="1996" s="27" customFormat="1" ht="23" hidden="1" customHeight="1" spans="1:25">
      <c r="A1996" s="133" t="str">
        <f>IF(B1996="","",COUNTA($B$5:B1996))</f>
        <v/>
      </c>
      <c r="B1996" s="148"/>
      <c r="C1996" s="22" t="s">
        <v>49</v>
      </c>
      <c r="D1996" s="149"/>
      <c r="E1996" s="150"/>
      <c r="F1996" s="151"/>
      <c r="G1996" s="151"/>
      <c r="H1996" s="142">
        <f>IFERROR(VLOOKUP($C1996,$C$5:$H$18,6,0)+SUMIF($C$19:$C1996,$C1996,$F$19:$F1996)-SUMIF($C$19:$C1996,$C1996,$G$19:$G1996),"")</f>
        <v>81211.819999998</v>
      </c>
      <c r="I1996" s="147"/>
      <c r="J1996" s="147"/>
      <c r="K1996" s="147" t="str">
        <f t="shared" si="31"/>
        <v/>
      </c>
      <c r="L1996" s="40"/>
      <c r="M1996"/>
      <c r="N1996"/>
      <c r="O1996"/>
      <c r="P1996"/>
      <c r="Q1996"/>
      <c r="R1996"/>
      <c r="S1996"/>
      <c r="T1996"/>
      <c r="U1996"/>
      <c r="V1996"/>
      <c r="W1996" s="41"/>
      <c r="X1996" s="41"/>
      <c r="Y1996" s="41"/>
    </row>
    <row r="1997" s="27" customFormat="1" ht="23" hidden="1" customHeight="1" spans="1:25">
      <c r="A1997" s="133" t="str">
        <f>IF(B1997="","",COUNTA($B$5:B1997))</f>
        <v/>
      </c>
      <c r="B1997" s="148"/>
      <c r="C1997" s="22" t="s">
        <v>49</v>
      </c>
      <c r="D1997" s="149"/>
      <c r="E1997" s="150"/>
      <c r="F1997" s="151"/>
      <c r="G1997" s="151"/>
      <c r="H1997" s="142">
        <f>IFERROR(VLOOKUP($C1997,$C$5:$H$18,6,0)+SUMIF($C$19:$C1997,$C1997,$F$19:$F1997)-SUMIF($C$19:$C1997,$C1997,$G$19:$G1997),"")</f>
        <v>81211.819999998</v>
      </c>
      <c r="I1997" s="147"/>
      <c r="J1997" s="147"/>
      <c r="K1997" s="147" t="str">
        <f t="shared" si="31"/>
        <v/>
      </c>
      <c r="L1997" s="40"/>
      <c r="M1997"/>
      <c r="N1997"/>
      <c r="O1997"/>
      <c r="P1997"/>
      <c r="Q1997"/>
      <c r="R1997"/>
      <c r="S1997"/>
      <c r="T1997"/>
      <c r="U1997"/>
      <c r="V1997"/>
      <c r="W1997" s="41"/>
      <c r="X1997" s="41"/>
      <c r="Y1997" s="41"/>
    </row>
    <row r="1998" s="27" customFormat="1" ht="23" hidden="1" customHeight="1" spans="1:25">
      <c r="A1998" s="133" t="str">
        <f>IF(B1998="","",COUNTA($B$5:B1998))</f>
        <v/>
      </c>
      <c r="B1998" s="148"/>
      <c r="C1998" s="22" t="s">
        <v>49</v>
      </c>
      <c r="D1998" s="149"/>
      <c r="E1998" s="150"/>
      <c r="F1998" s="151"/>
      <c r="G1998" s="151"/>
      <c r="H1998" s="142">
        <f>IFERROR(VLOOKUP($C1998,$C$5:$H$18,6,0)+SUMIF($C$19:$C1998,$C1998,$F$19:$F1998)-SUMIF($C$19:$C1998,$C1998,$G$19:$G1998),"")</f>
        <v>81211.819999998</v>
      </c>
      <c r="I1998" s="147"/>
      <c r="J1998" s="147"/>
      <c r="K1998" s="147" t="str">
        <f t="shared" si="31"/>
        <v/>
      </c>
      <c r="L1998" s="40"/>
      <c r="M1998"/>
      <c r="N1998"/>
      <c r="O1998"/>
      <c r="P1998"/>
      <c r="Q1998"/>
      <c r="R1998"/>
      <c r="S1998"/>
      <c r="T1998"/>
      <c r="U1998"/>
      <c r="V1998"/>
      <c r="W1998" s="41"/>
      <c r="X1998" s="41"/>
      <c r="Y1998" s="41"/>
    </row>
    <row r="1999" s="27" customFormat="1" ht="23" hidden="1" customHeight="1" spans="1:25">
      <c r="A1999" s="133" t="str">
        <f>IF(B1999="","",COUNTA($B$5:B1999))</f>
        <v/>
      </c>
      <c r="B1999" s="148"/>
      <c r="C1999" s="22" t="s">
        <v>49</v>
      </c>
      <c r="D1999" s="149"/>
      <c r="E1999" s="150"/>
      <c r="F1999" s="151"/>
      <c r="G1999" s="151"/>
      <c r="H1999" s="142">
        <f>IFERROR(VLOOKUP($C1999,$C$5:$H$18,6,0)+SUMIF($C$19:$C1999,$C1999,$F$19:$F1999)-SUMIF($C$19:$C1999,$C1999,$G$19:$G1999),"")</f>
        <v>81211.819999998</v>
      </c>
      <c r="I1999" s="147"/>
      <c r="J1999" s="147"/>
      <c r="K1999" s="147" t="str">
        <f t="shared" si="31"/>
        <v/>
      </c>
      <c r="L1999" s="40"/>
      <c r="M1999"/>
      <c r="N1999"/>
      <c r="O1999"/>
      <c r="P1999"/>
      <c r="Q1999"/>
      <c r="R1999"/>
      <c r="S1999"/>
      <c r="T1999"/>
      <c r="U1999"/>
      <c r="V1999"/>
      <c r="W1999" s="41"/>
      <c r="X1999" s="41"/>
      <c r="Y1999" s="41"/>
    </row>
    <row r="2000" s="27" customFormat="1" ht="23" hidden="1" customHeight="1" spans="1:25">
      <c r="A2000" s="133" t="str">
        <f>IF(B2000="","",COUNTA($B$5:B2000))</f>
        <v/>
      </c>
      <c r="B2000" s="148"/>
      <c r="C2000" s="22" t="s">
        <v>49</v>
      </c>
      <c r="D2000" s="149"/>
      <c r="E2000" s="150"/>
      <c r="F2000" s="151"/>
      <c r="G2000" s="151"/>
      <c r="H2000" s="142">
        <f>IFERROR(VLOOKUP($C2000,$C$5:$H$18,6,0)+SUMIF($C$19:$C2000,$C2000,$F$19:$F2000)-SUMIF($C$19:$C2000,$C2000,$G$19:$G2000),"")</f>
        <v>81211.819999998</v>
      </c>
      <c r="I2000" s="147"/>
      <c r="J2000" s="147"/>
      <c r="K2000" s="147" t="str">
        <f t="shared" si="31"/>
        <v/>
      </c>
      <c r="L2000" s="40"/>
      <c r="M2000"/>
      <c r="N2000"/>
      <c r="O2000"/>
      <c r="P2000"/>
      <c r="Q2000"/>
      <c r="R2000"/>
      <c r="S2000"/>
      <c r="T2000"/>
      <c r="U2000"/>
      <c r="V2000"/>
      <c r="W2000" s="41"/>
      <c r="X2000" s="41"/>
      <c r="Y2000" s="41"/>
    </row>
    <row r="2001" s="27" customFormat="1" ht="23" hidden="1" customHeight="1" spans="1:25">
      <c r="A2001" s="133" t="str">
        <f>IF(B2001="","",COUNTA($B$5:B2001))</f>
        <v/>
      </c>
      <c r="B2001" s="148"/>
      <c r="C2001" s="22" t="s">
        <v>49</v>
      </c>
      <c r="D2001" s="149"/>
      <c r="E2001" s="150"/>
      <c r="F2001" s="151"/>
      <c r="G2001" s="151"/>
      <c r="H2001" s="142">
        <f>IFERROR(VLOOKUP($C2001,$C$5:$H$18,6,0)+SUMIF($C$19:$C2001,$C2001,$F$19:$F2001)-SUMIF($C$19:$C2001,$C2001,$G$19:$G2001),"")</f>
        <v>81211.819999998</v>
      </c>
      <c r="I2001" s="147"/>
      <c r="J2001" s="147"/>
      <c r="K2001" s="147" t="str">
        <f t="shared" si="31"/>
        <v/>
      </c>
      <c r="L2001" s="40"/>
      <c r="M2001"/>
      <c r="N2001"/>
      <c r="O2001"/>
      <c r="P2001"/>
      <c r="Q2001"/>
      <c r="R2001"/>
      <c r="S2001"/>
      <c r="T2001"/>
      <c r="U2001"/>
      <c r="V2001"/>
      <c r="W2001" s="41"/>
      <c r="X2001" s="41"/>
      <c r="Y2001" s="41"/>
    </row>
    <row r="2002" s="27" customFormat="1" ht="23" hidden="1" customHeight="1" spans="1:25">
      <c r="A2002" s="133" t="str">
        <f>IF(B2002="","",COUNTA($B$5:B2002))</f>
        <v/>
      </c>
      <c r="B2002" s="148"/>
      <c r="C2002" s="22" t="s">
        <v>49</v>
      </c>
      <c r="D2002" s="149"/>
      <c r="E2002" s="150"/>
      <c r="F2002" s="151"/>
      <c r="G2002" s="151"/>
      <c r="H2002" s="142">
        <f>IFERROR(VLOOKUP($C2002,$C$5:$H$18,6,0)+SUMIF($C$19:$C2002,$C2002,$F$19:$F2002)-SUMIF($C$19:$C2002,$C2002,$G$19:$G2002),"")</f>
        <v>81211.819999998</v>
      </c>
      <c r="I2002" s="147"/>
      <c r="J2002" s="147"/>
      <c r="K2002" s="147" t="str">
        <f t="shared" si="31"/>
        <v/>
      </c>
      <c r="L2002" s="40"/>
      <c r="M2002"/>
      <c r="N2002"/>
      <c r="O2002"/>
      <c r="P2002"/>
      <c r="Q2002"/>
      <c r="R2002"/>
      <c r="S2002"/>
      <c r="T2002"/>
      <c r="U2002"/>
      <c r="V2002"/>
      <c r="W2002" s="41"/>
      <c r="X2002" s="41"/>
      <c r="Y2002" s="41"/>
    </row>
    <row r="2003" s="27" customFormat="1" ht="23" hidden="1" customHeight="1" spans="1:25">
      <c r="A2003" s="133" t="str">
        <f>IF(B2003="","",COUNTA($B$5:B2003))</f>
        <v/>
      </c>
      <c r="B2003" s="148"/>
      <c r="C2003" s="22" t="s">
        <v>49</v>
      </c>
      <c r="D2003" s="149"/>
      <c r="E2003" s="150"/>
      <c r="F2003" s="151"/>
      <c r="G2003" s="151"/>
      <c r="H2003" s="142">
        <f>IFERROR(VLOOKUP($C2003,$C$5:$H$18,6,0)+SUMIF($C$19:$C2003,$C2003,$F$19:$F2003)-SUMIF($C$19:$C2003,$C2003,$G$19:$G2003),"")</f>
        <v>81211.819999998</v>
      </c>
      <c r="I2003" s="147"/>
      <c r="J2003" s="147"/>
      <c r="K2003" s="147" t="str">
        <f t="shared" si="31"/>
        <v/>
      </c>
      <c r="L2003" s="40"/>
      <c r="M2003"/>
      <c r="N2003"/>
      <c r="O2003"/>
      <c r="P2003"/>
      <c r="Q2003"/>
      <c r="R2003"/>
      <c r="S2003"/>
      <c r="T2003"/>
      <c r="U2003"/>
      <c r="V2003"/>
      <c r="W2003" s="41"/>
      <c r="X2003" s="41"/>
      <c r="Y2003" s="41"/>
    </row>
    <row r="2004" s="27" customFormat="1" ht="23" hidden="1" customHeight="1" spans="1:25">
      <c r="A2004" s="133" t="str">
        <f>IF(B2004="","",COUNTA($B$5:B2004))</f>
        <v/>
      </c>
      <c r="B2004" s="148"/>
      <c r="C2004" s="22" t="s">
        <v>49</v>
      </c>
      <c r="D2004" s="149"/>
      <c r="E2004" s="150"/>
      <c r="F2004" s="151"/>
      <c r="G2004" s="151"/>
      <c r="H2004" s="142">
        <f>IFERROR(VLOOKUP($C2004,$C$5:$H$18,6,0)+SUMIF($C$19:$C2004,$C2004,$F$19:$F2004)-SUMIF($C$19:$C2004,$C2004,$G$19:$G2004),"")</f>
        <v>81211.819999998</v>
      </c>
      <c r="I2004" s="147"/>
      <c r="J2004" s="147"/>
      <c r="K2004" s="147" t="str">
        <f t="shared" si="31"/>
        <v/>
      </c>
      <c r="L2004" s="40"/>
      <c r="M2004"/>
      <c r="N2004"/>
      <c r="O2004"/>
      <c r="P2004"/>
      <c r="Q2004"/>
      <c r="R2004"/>
      <c r="S2004"/>
      <c r="T2004"/>
      <c r="U2004"/>
      <c r="V2004"/>
      <c r="W2004" s="41"/>
      <c r="X2004" s="41"/>
      <c r="Y2004" s="41"/>
    </row>
    <row r="2005" s="27" customFormat="1" ht="23" hidden="1" customHeight="1" spans="1:25">
      <c r="A2005" s="133" t="str">
        <f>IF(B2005="","",COUNTA($B$5:B2005))</f>
        <v/>
      </c>
      <c r="B2005" s="148"/>
      <c r="C2005" s="22" t="s">
        <v>49</v>
      </c>
      <c r="D2005" s="149"/>
      <c r="E2005" s="150"/>
      <c r="F2005" s="151"/>
      <c r="G2005" s="151"/>
      <c r="H2005" s="142">
        <f>IFERROR(VLOOKUP($C2005,$C$5:$H$18,6,0)+SUMIF($C$19:$C2005,$C2005,$F$19:$F2005)-SUMIF($C$19:$C2005,$C2005,$G$19:$G2005),"")</f>
        <v>81211.819999998</v>
      </c>
      <c r="I2005" s="147"/>
      <c r="J2005" s="147"/>
      <c r="K2005" s="147" t="str">
        <f t="shared" si="31"/>
        <v/>
      </c>
      <c r="L2005" s="40"/>
      <c r="M2005"/>
      <c r="N2005"/>
      <c r="O2005"/>
      <c r="P2005"/>
      <c r="Q2005"/>
      <c r="R2005"/>
      <c r="S2005"/>
      <c r="T2005"/>
      <c r="U2005"/>
      <c r="V2005"/>
      <c r="W2005" s="41"/>
      <c r="X2005" s="41"/>
      <c r="Y2005" s="41"/>
    </row>
    <row r="2006" s="27" customFormat="1" ht="23" hidden="1" customHeight="1" spans="1:25">
      <c r="A2006" s="133" t="str">
        <f>IF(B2006="","",COUNTA($B$5:B2006))</f>
        <v/>
      </c>
      <c r="B2006" s="148"/>
      <c r="C2006" s="22" t="s">
        <v>49</v>
      </c>
      <c r="D2006" s="149"/>
      <c r="E2006" s="150"/>
      <c r="F2006" s="151"/>
      <c r="G2006" s="151"/>
      <c r="H2006" s="142">
        <f>IFERROR(VLOOKUP($C2006,$C$5:$H$18,6,0)+SUMIF($C$19:$C2006,$C2006,$F$19:$F2006)-SUMIF($C$19:$C2006,$C2006,$G$19:$G2006),"")</f>
        <v>81211.819999998</v>
      </c>
      <c r="I2006" s="147"/>
      <c r="J2006" s="147"/>
      <c r="K2006" s="147" t="str">
        <f t="shared" si="31"/>
        <v/>
      </c>
      <c r="L2006" s="40"/>
      <c r="M2006"/>
      <c r="N2006"/>
      <c r="O2006"/>
      <c r="P2006"/>
      <c r="Q2006"/>
      <c r="R2006"/>
      <c r="S2006"/>
      <c r="T2006"/>
      <c r="U2006"/>
      <c r="V2006"/>
      <c r="W2006" s="41"/>
      <c r="X2006" s="41"/>
      <c r="Y2006" s="41"/>
    </row>
    <row r="2007" s="27" customFormat="1" ht="23" hidden="1" customHeight="1" spans="1:25">
      <c r="A2007" s="133" t="str">
        <f>IF(B2007="","",COUNTA($B$5:B2007))</f>
        <v/>
      </c>
      <c r="B2007" s="148"/>
      <c r="C2007" s="22" t="s">
        <v>49</v>
      </c>
      <c r="D2007" s="149"/>
      <c r="E2007" s="150"/>
      <c r="F2007" s="151"/>
      <c r="G2007" s="151"/>
      <c r="H2007" s="142">
        <f>IFERROR(VLOOKUP($C2007,$C$5:$H$18,6,0)+SUMIF($C$19:$C2007,$C2007,$F$19:$F2007)-SUMIF($C$19:$C2007,$C2007,$G$19:$G2007),"")</f>
        <v>81211.819999998</v>
      </c>
      <c r="I2007" s="147"/>
      <c r="J2007" s="147"/>
      <c r="K2007" s="147" t="str">
        <f t="shared" si="31"/>
        <v/>
      </c>
      <c r="L2007" s="40"/>
      <c r="M2007"/>
      <c r="N2007"/>
      <c r="O2007"/>
      <c r="P2007"/>
      <c r="Q2007"/>
      <c r="R2007"/>
      <c r="S2007"/>
      <c r="T2007"/>
      <c r="U2007"/>
      <c r="V2007"/>
      <c r="W2007" s="41"/>
      <c r="X2007" s="41"/>
      <c r="Y2007" s="41"/>
    </row>
    <row r="2008" s="27" customFormat="1" ht="23" hidden="1" customHeight="1" spans="1:25">
      <c r="A2008" s="133" t="str">
        <f>IF(B2008="","",COUNTA($B$5:B2008))</f>
        <v/>
      </c>
      <c r="B2008" s="148"/>
      <c r="C2008" s="22" t="s">
        <v>49</v>
      </c>
      <c r="D2008" s="149"/>
      <c r="E2008" s="150"/>
      <c r="F2008" s="151"/>
      <c r="G2008" s="151"/>
      <c r="H2008" s="142">
        <f>IFERROR(VLOOKUP($C2008,$C$5:$H$18,6,0)+SUMIF($C$19:$C2008,$C2008,$F$19:$F2008)-SUMIF($C$19:$C2008,$C2008,$G$19:$G2008),"")</f>
        <v>81211.819999998</v>
      </c>
      <c r="I2008" s="147"/>
      <c r="J2008" s="147"/>
      <c r="K2008" s="147" t="str">
        <f t="shared" si="31"/>
        <v/>
      </c>
      <c r="L2008" s="40"/>
      <c r="M2008"/>
      <c r="N2008"/>
      <c r="O2008"/>
      <c r="P2008"/>
      <c r="Q2008"/>
      <c r="R2008"/>
      <c r="S2008"/>
      <c r="T2008"/>
      <c r="U2008"/>
      <c r="V2008"/>
      <c r="W2008" s="41"/>
      <c r="X2008" s="41"/>
      <c r="Y2008" s="41"/>
    </row>
    <row r="2009" s="27" customFormat="1" ht="23" hidden="1" customHeight="1" spans="1:25">
      <c r="A2009" s="133" t="str">
        <f>IF(B2009="","",COUNTA($B$5:B2009))</f>
        <v/>
      </c>
      <c r="B2009" s="148"/>
      <c r="C2009" s="22" t="s">
        <v>49</v>
      </c>
      <c r="D2009" s="149"/>
      <c r="E2009" s="150"/>
      <c r="F2009" s="151"/>
      <c r="G2009" s="151"/>
      <c r="H2009" s="142">
        <f>IFERROR(VLOOKUP($C2009,$C$5:$H$18,6,0)+SUMIF($C$19:$C2009,$C2009,$F$19:$F2009)-SUMIF($C$19:$C2009,$C2009,$G$19:$G2009),"")</f>
        <v>81211.819999998</v>
      </c>
      <c r="I2009" s="147"/>
      <c r="J2009" s="147"/>
      <c r="K2009" s="147" t="str">
        <f t="shared" si="31"/>
        <v/>
      </c>
      <c r="L2009" s="40"/>
      <c r="M2009"/>
      <c r="N2009"/>
      <c r="O2009"/>
      <c r="P2009"/>
      <c r="Q2009"/>
      <c r="R2009"/>
      <c r="S2009"/>
      <c r="T2009"/>
      <c r="U2009"/>
      <c r="V2009"/>
      <c r="W2009" s="41"/>
      <c r="X2009" s="41"/>
      <c r="Y2009" s="41"/>
    </row>
    <row r="2010" s="27" customFormat="1" ht="23" hidden="1" customHeight="1" spans="1:25">
      <c r="A2010" s="133" t="str">
        <f>IF(B2010="","",COUNTA($B$5:B2010))</f>
        <v/>
      </c>
      <c r="B2010" s="148"/>
      <c r="C2010" s="22" t="s">
        <v>49</v>
      </c>
      <c r="D2010" s="149"/>
      <c r="E2010" s="150"/>
      <c r="F2010" s="151"/>
      <c r="G2010" s="151"/>
      <c r="H2010" s="142">
        <f>IFERROR(VLOOKUP($C2010,$C$5:$H$18,6,0)+SUMIF($C$19:$C2010,$C2010,$F$19:$F2010)-SUMIF($C$19:$C2010,$C2010,$G$19:$G2010),"")</f>
        <v>81211.819999998</v>
      </c>
      <c r="I2010" s="147"/>
      <c r="J2010" s="147"/>
      <c r="K2010" s="147" t="str">
        <f t="shared" si="31"/>
        <v/>
      </c>
      <c r="L2010" s="40"/>
      <c r="M2010"/>
      <c r="N2010"/>
      <c r="O2010"/>
      <c r="P2010"/>
      <c r="Q2010"/>
      <c r="R2010"/>
      <c r="S2010"/>
      <c r="T2010"/>
      <c r="U2010"/>
      <c r="V2010"/>
      <c r="W2010" s="41"/>
      <c r="X2010" s="41"/>
      <c r="Y2010" s="41"/>
    </row>
    <row r="2011" s="27" customFormat="1" ht="23" hidden="1" customHeight="1" spans="1:25">
      <c r="A2011" s="133" t="str">
        <f>IF(B2011="","",COUNTA($B$5:B2011))</f>
        <v/>
      </c>
      <c r="B2011" s="148"/>
      <c r="C2011" s="22" t="s">
        <v>49</v>
      </c>
      <c r="D2011" s="149"/>
      <c r="E2011" s="150"/>
      <c r="F2011" s="151"/>
      <c r="G2011" s="151"/>
      <c r="H2011" s="142">
        <f>IFERROR(VLOOKUP($C2011,$C$5:$H$18,6,0)+SUMIF($C$19:$C2011,$C2011,$F$19:$F2011)-SUMIF($C$19:$C2011,$C2011,$G$19:$G2011),"")</f>
        <v>81211.819999998</v>
      </c>
      <c r="I2011" s="147"/>
      <c r="J2011" s="147"/>
      <c r="K2011" s="147" t="str">
        <f t="shared" si="31"/>
        <v/>
      </c>
      <c r="L2011" s="40"/>
      <c r="M2011"/>
      <c r="N2011"/>
      <c r="O2011"/>
      <c r="P2011"/>
      <c r="Q2011"/>
      <c r="R2011"/>
      <c r="S2011"/>
      <c r="T2011"/>
      <c r="U2011"/>
      <c r="V2011"/>
      <c r="W2011" s="41"/>
      <c r="X2011" s="41"/>
      <c r="Y2011" s="41"/>
    </row>
    <row r="2012" s="27" customFormat="1" ht="23" hidden="1" customHeight="1" spans="1:25">
      <c r="A2012" s="133" t="str">
        <f>IF(B2012="","",COUNTA($B$5:B2012))</f>
        <v/>
      </c>
      <c r="B2012" s="148"/>
      <c r="C2012" s="22" t="s">
        <v>49</v>
      </c>
      <c r="D2012" s="149"/>
      <c r="E2012" s="150"/>
      <c r="F2012" s="151"/>
      <c r="G2012" s="151"/>
      <c r="H2012" s="142">
        <f>IFERROR(VLOOKUP($C2012,$C$5:$H$18,6,0)+SUMIF($C$19:$C2012,$C2012,$F$19:$F2012)-SUMIF($C$19:$C2012,$C2012,$G$19:$G2012),"")</f>
        <v>81211.819999998</v>
      </c>
      <c r="I2012" s="147"/>
      <c r="J2012" s="147"/>
      <c r="K2012" s="147" t="str">
        <f t="shared" si="31"/>
        <v/>
      </c>
      <c r="L2012" s="40"/>
      <c r="M2012"/>
      <c r="N2012"/>
      <c r="O2012"/>
      <c r="P2012"/>
      <c r="Q2012"/>
      <c r="R2012"/>
      <c r="S2012"/>
      <c r="T2012"/>
      <c r="U2012"/>
      <c r="V2012"/>
      <c r="W2012" s="41"/>
      <c r="X2012" s="41"/>
      <c r="Y2012" s="41"/>
    </row>
    <row r="2013" s="27" customFormat="1" ht="23" hidden="1" customHeight="1" spans="1:25">
      <c r="A2013" s="133" t="str">
        <f>IF(B2013="","",COUNTA($B$5:B2013))</f>
        <v/>
      </c>
      <c r="B2013" s="148"/>
      <c r="C2013" s="22" t="s">
        <v>49</v>
      </c>
      <c r="D2013" s="149"/>
      <c r="E2013" s="150"/>
      <c r="F2013" s="151"/>
      <c r="G2013" s="151"/>
      <c r="H2013" s="142">
        <f>IFERROR(VLOOKUP($C2013,$C$5:$H$18,6,0)+SUMIF($C$19:$C2013,$C2013,$F$19:$F2013)-SUMIF($C$19:$C2013,$C2013,$G$19:$G2013),"")</f>
        <v>81211.819999998</v>
      </c>
      <c r="I2013" s="147"/>
      <c r="J2013" s="147"/>
      <c r="K2013" s="147" t="str">
        <f t="shared" si="31"/>
        <v/>
      </c>
      <c r="L2013" s="40"/>
      <c r="M2013"/>
      <c r="N2013"/>
      <c r="O2013"/>
      <c r="P2013"/>
      <c r="Q2013"/>
      <c r="R2013"/>
      <c r="S2013"/>
      <c r="T2013"/>
      <c r="U2013"/>
      <c r="V2013"/>
      <c r="W2013" s="41"/>
      <c r="X2013" s="41"/>
      <c r="Y2013" s="41"/>
    </row>
    <row r="2014" s="27" customFormat="1" ht="23" hidden="1" customHeight="1" spans="1:25">
      <c r="A2014" s="133" t="str">
        <f>IF(B2014="","",COUNTA($B$5:B2014))</f>
        <v/>
      </c>
      <c r="B2014" s="148"/>
      <c r="C2014" s="22" t="s">
        <v>49</v>
      </c>
      <c r="D2014" s="149"/>
      <c r="E2014" s="150"/>
      <c r="F2014" s="151"/>
      <c r="G2014" s="151"/>
      <c r="H2014" s="142">
        <f>IFERROR(VLOOKUP($C2014,$C$5:$H$18,6,0)+SUMIF($C$19:$C2014,$C2014,$F$19:$F2014)-SUMIF($C$19:$C2014,$C2014,$G$19:$G2014),"")</f>
        <v>81211.819999998</v>
      </c>
      <c r="I2014" s="147"/>
      <c r="J2014" s="147"/>
      <c r="K2014" s="147" t="str">
        <f t="shared" si="31"/>
        <v/>
      </c>
      <c r="L2014" s="40"/>
      <c r="M2014"/>
      <c r="N2014"/>
      <c r="O2014"/>
      <c r="P2014"/>
      <c r="Q2014"/>
      <c r="R2014"/>
      <c r="S2014"/>
      <c r="T2014"/>
      <c r="U2014"/>
      <c r="V2014"/>
      <c r="W2014" s="41"/>
      <c r="X2014" s="41"/>
      <c r="Y2014" s="41"/>
    </row>
    <row r="2015" s="27" customFormat="1" ht="23" hidden="1" customHeight="1" spans="1:25">
      <c r="A2015" s="133" t="str">
        <f>IF(B2015="","",COUNTA($B$5:B2015))</f>
        <v/>
      </c>
      <c r="B2015" s="148"/>
      <c r="C2015" s="22" t="s">
        <v>49</v>
      </c>
      <c r="D2015" s="149"/>
      <c r="E2015" s="150"/>
      <c r="F2015" s="151"/>
      <c r="G2015" s="151"/>
      <c r="H2015" s="142">
        <f>IFERROR(VLOOKUP($C2015,$C$5:$H$18,6,0)+SUMIF($C$19:$C2015,$C2015,$F$19:$F2015)-SUMIF($C$19:$C2015,$C2015,$G$19:$G2015),"")</f>
        <v>81211.819999998</v>
      </c>
      <c r="I2015" s="147"/>
      <c r="J2015" s="147"/>
      <c r="K2015" s="147" t="str">
        <f t="shared" si="31"/>
        <v/>
      </c>
      <c r="L2015" s="40"/>
      <c r="M2015"/>
      <c r="N2015"/>
      <c r="O2015"/>
      <c r="P2015"/>
      <c r="Q2015"/>
      <c r="R2015"/>
      <c r="S2015"/>
      <c r="T2015"/>
      <c r="U2015"/>
      <c r="V2015"/>
      <c r="W2015" s="41"/>
      <c r="X2015" s="41"/>
      <c r="Y2015" s="41"/>
    </row>
    <row r="2016" s="27" customFormat="1" ht="23" hidden="1" customHeight="1" spans="1:25">
      <c r="A2016" s="133" t="str">
        <f>IF(B2016="","",COUNTA($B$5:B2016))</f>
        <v/>
      </c>
      <c r="B2016" s="148"/>
      <c r="C2016" s="22" t="s">
        <v>49</v>
      </c>
      <c r="D2016" s="149"/>
      <c r="E2016" s="150"/>
      <c r="F2016" s="151"/>
      <c r="G2016" s="151"/>
      <c r="H2016" s="142">
        <f>IFERROR(VLOOKUP($C2016,$C$5:$H$18,6,0)+SUMIF($C$19:$C2016,$C2016,$F$19:$F2016)-SUMIF($C$19:$C2016,$C2016,$G$19:$G2016),"")</f>
        <v>81211.819999998</v>
      </c>
      <c r="I2016" s="147"/>
      <c r="J2016" s="147"/>
      <c r="K2016" s="147" t="str">
        <f t="shared" si="31"/>
        <v/>
      </c>
      <c r="L2016" s="40"/>
      <c r="M2016"/>
      <c r="N2016"/>
      <c r="O2016"/>
      <c r="P2016"/>
      <c r="Q2016"/>
      <c r="R2016"/>
      <c r="S2016"/>
      <c r="T2016"/>
      <c r="U2016"/>
      <c r="V2016"/>
      <c r="W2016" s="41"/>
      <c r="X2016" s="41"/>
      <c r="Y2016" s="41"/>
    </row>
    <row r="2017" s="27" customFormat="1" ht="23" hidden="1" customHeight="1" spans="1:25">
      <c r="A2017" s="133" t="str">
        <f>IF(B2017="","",COUNTA($B$5:B2017))</f>
        <v/>
      </c>
      <c r="B2017" s="148"/>
      <c r="C2017" s="22" t="s">
        <v>49</v>
      </c>
      <c r="D2017" s="149"/>
      <c r="E2017" s="150"/>
      <c r="F2017" s="151"/>
      <c r="G2017" s="151"/>
      <c r="H2017" s="142">
        <f>IFERROR(VLOOKUP($C2017,$C$5:$H$18,6,0)+SUMIF($C$19:$C2017,$C2017,$F$19:$F2017)-SUMIF($C$19:$C2017,$C2017,$G$19:$G2017),"")</f>
        <v>81211.819999998</v>
      </c>
      <c r="I2017" s="147"/>
      <c r="J2017" s="147"/>
      <c r="K2017" s="147" t="str">
        <f t="shared" si="31"/>
        <v/>
      </c>
      <c r="L2017" s="40"/>
      <c r="M2017"/>
      <c r="N2017"/>
      <c r="O2017"/>
      <c r="P2017"/>
      <c r="Q2017"/>
      <c r="R2017"/>
      <c r="S2017"/>
      <c r="T2017"/>
      <c r="U2017"/>
      <c r="V2017"/>
      <c r="W2017" s="41"/>
      <c r="X2017" s="41"/>
      <c r="Y2017" s="41"/>
    </row>
    <row r="2018" s="27" customFormat="1" ht="23" hidden="1" customHeight="1" spans="1:25">
      <c r="A2018" s="133" t="str">
        <f>IF(B2018="","",COUNTA($B$5:B2018))</f>
        <v/>
      </c>
      <c r="B2018" s="148"/>
      <c r="C2018" s="22" t="s">
        <v>49</v>
      </c>
      <c r="D2018" s="149"/>
      <c r="E2018" s="150"/>
      <c r="F2018" s="151"/>
      <c r="G2018" s="151"/>
      <c r="H2018" s="142">
        <f>IFERROR(VLOOKUP($C2018,$C$5:$H$18,6,0)+SUMIF($C$19:$C2018,$C2018,$F$19:$F2018)-SUMIF($C$19:$C2018,$C2018,$G$19:$G2018),"")</f>
        <v>81211.819999998</v>
      </c>
      <c r="I2018" s="147"/>
      <c r="J2018" s="147"/>
      <c r="K2018" s="147" t="str">
        <f t="shared" si="31"/>
        <v/>
      </c>
      <c r="L2018" s="40"/>
      <c r="M2018"/>
      <c r="N2018"/>
      <c r="O2018"/>
      <c r="P2018"/>
      <c r="Q2018"/>
      <c r="R2018"/>
      <c r="S2018"/>
      <c r="T2018"/>
      <c r="U2018"/>
      <c r="V2018"/>
      <c r="W2018" s="41"/>
      <c r="X2018" s="41"/>
      <c r="Y2018" s="41"/>
    </row>
    <row r="2019" s="27" customFormat="1" ht="23" hidden="1" customHeight="1" spans="1:25">
      <c r="A2019" s="133" t="str">
        <f>IF(B2019="","",COUNTA($B$5:B2019))</f>
        <v/>
      </c>
      <c r="B2019" s="148"/>
      <c r="C2019" s="22" t="s">
        <v>49</v>
      </c>
      <c r="D2019" s="149"/>
      <c r="E2019" s="150"/>
      <c r="F2019" s="151"/>
      <c r="G2019" s="151"/>
      <c r="H2019" s="142">
        <f>IFERROR(VLOOKUP($C2019,$C$5:$H$18,6,0)+SUMIF($C$19:$C2019,$C2019,$F$19:$F2019)-SUMIF($C$19:$C2019,$C2019,$G$19:$G2019),"")</f>
        <v>81211.819999998</v>
      </c>
      <c r="I2019" s="147"/>
      <c r="J2019" s="147"/>
      <c r="K2019" s="147" t="str">
        <f t="shared" si="31"/>
        <v/>
      </c>
      <c r="L2019" s="40"/>
      <c r="M2019"/>
      <c r="N2019"/>
      <c r="O2019"/>
      <c r="P2019"/>
      <c r="Q2019"/>
      <c r="R2019"/>
      <c r="S2019"/>
      <c r="T2019"/>
      <c r="U2019"/>
      <c r="V2019"/>
      <c r="W2019" s="41"/>
      <c r="X2019" s="41"/>
      <c r="Y2019" s="41"/>
    </row>
    <row r="2020" s="27" customFormat="1" ht="23" hidden="1" customHeight="1" spans="1:25">
      <c r="A2020" s="133" t="str">
        <f>IF(B2020="","",COUNTA($B$5:B2020))</f>
        <v/>
      </c>
      <c r="B2020" s="148"/>
      <c r="C2020" s="22" t="s">
        <v>49</v>
      </c>
      <c r="D2020" s="149"/>
      <c r="E2020" s="150"/>
      <c r="F2020" s="151"/>
      <c r="G2020" s="151"/>
      <c r="H2020" s="142">
        <f>IFERROR(VLOOKUP($C2020,$C$5:$H$18,6,0)+SUMIF($C$19:$C2020,$C2020,$F$19:$F2020)-SUMIF($C$19:$C2020,$C2020,$G$19:$G2020),"")</f>
        <v>81211.819999998</v>
      </c>
      <c r="I2020" s="147"/>
      <c r="J2020" s="147"/>
      <c r="K2020" s="147" t="str">
        <f t="shared" si="31"/>
        <v/>
      </c>
      <c r="L2020" s="40"/>
      <c r="M2020"/>
      <c r="N2020"/>
      <c r="O2020"/>
      <c r="P2020"/>
      <c r="Q2020"/>
      <c r="R2020"/>
      <c r="S2020"/>
      <c r="T2020"/>
      <c r="U2020"/>
      <c r="V2020"/>
      <c r="W2020" s="41"/>
      <c r="X2020" s="41"/>
      <c r="Y2020" s="41"/>
    </row>
    <row r="2021" s="27" customFormat="1" ht="23" hidden="1" customHeight="1" spans="1:25">
      <c r="A2021" s="133" t="str">
        <f>IF(B2021="","",COUNTA($B$5:B2021))</f>
        <v/>
      </c>
      <c r="B2021" s="148"/>
      <c r="C2021" s="22" t="s">
        <v>49</v>
      </c>
      <c r="D2021" s="149"/>
      <c r="E2021" s="150"/>
      <c r="F2021" s="151"/>
      <c r="G2021" s="151"/>
      <c r="H2021" s="142">
        <f>IFERROR(VLOOKUP($C2021,$C$5:$H$18,6,0)+SUMIF($C$19:$C2021,$C2021,$F$19:$F2021)-SUMIF($C$19:$C2021,$C2021,$G$19:$G2021),"")</f>
        <v>81211.819999998</v>
      </c>
      <c r="I2021" s="147"/>
      <c r="J2021" s="147"/>
      <c r="K2021" s="147" t="str">
        <f t="shared" si="31"/>
        <v/>
      </c>
      <c r="L2021" s="40"/>
      <c r="M2021"/>
      <c r="N2021"/>
      <c r="O2021"/>
      <c r="P2021"/>
      <c r="Q2021"/>
      <c r="R2021"/>
      <c r="S2021"/>
      <c r="T2021"/>
      <c r="U2021"/>
      <c r="V2021"/>
      <c r="W2021" s="41"/>
      <c r="X2021" s="41"/>
      <c r="Y2021" s="41"/>
    </row>
    <row r="2022" s="27" customFormat="1" ht="23" hidden="1" customHeight="1" spans="1:25">
      <c r="A2022" s="133" t="str">
        <f>IF(B2022="","",COUNTA($B$5:B2022))</f>
        <v/>
      </c>
      <c r="B2022" s="148"/>
      <c r="C2022" s="22" t="s">
        <v>49</v>
      </c>
      <c r="D2022" s="149"/>
      <c r="E2022" s="150"/>
      <c r="F2022" s="151"/>
      <c r="G2022" s="151"/>
      <c r="H2022" s="142">
        <f>IFERROR(VLOOKUP($C2022,$C$5:$H$18,6,0)+SUMIF($C$19:$C2022,$C2022,$F$19:$F2022)-SUMIF($C$19:$C2022,$C2022,$G$19:$G2022),"")</f>
        <v>81211.819999998</v>
      </c>
      <c r="I2022" s="147"/>
      <c r="J2022" s="147"/>
      <c r="K2022" s="147" t="str">
        <f t="shared" si="31"/>
        <v/>
      </c>
      <c r="L2022" s="40"/>
      <c r="M2022"/>
      <c r="N2022"/>
      <c r="O2022"/>
      <c r="P2022"/>
      <c r="Q2022"/>
      <c r="R2022"/>
      <c r="S2022"/>
      <c r="T2022"/>
      <c r="U2022"/>
      <c r="V2022"/>
      <c r="W2022" s="41"/>
      <c r="X2022" s="41"/>
      <c r="Y2022" s="41"/>
    </row>
    <row r="2023" s="27" customFormat="1" ht="23" hidden="1" customHeight="1" spans="1:25">
      <c r="A2023" s="133" t="str">
        <f>IF(B2023="","",COUNTA($B$5:B2023))</f>
        <v/>
      </c>
      <c r="B2023" s="148"/>
      <c r="C2023" s="22" t="s">
        <v>49</v>
      </c>
      <c r="D2023" s="149"/>
      <c r="E2023" s="150"/>
      <c r="F2023" s="151"/>
      <c r="G2023" s="151"/>
      <c r="H2023" s="142">
        <f>IFERROR(VLOOKUP($C2023,$C$5:$H$18,6,0)+SUMIF($C$19:$C2023,$C2023,$F$19:$F2023)-SUMIF($C$19:$C2023,$C2023,$G$19:$G2023),"")</f>
        <v>81211.819999998</v>
      </c>
      <c r="I2023" s="147"/>
      <c r="J2023" s="147"/>
      <c r="K2023" s="147" t="str">
        <f t="shared" si="31"/>
        <v/>
      </c>
      <c r="L2023" s="40"/>
      <c r="M2023"/>
      <c r="N2023"/>
      <c r="O2023"/>
      <c r="P2023"/>
      <c r="Q2023"/>
      <c r="R2023"/>
      <c r="S2023"/>
      <c r="T2023"/>
      <c r="U2023"/>
      <c r="V2023"/>
      <c r="W2023" s="41"/>
      <c r="X2023" s="41"/>
      <c r="Y2023" s="41"/>
    </row>
    <row r="2024" s="27" customFormat="1" ht="23" hidden="1" customHeight="1" spans="1:25">
      <c r="A2024" s="133" t="str">
        <f>IF(B2024="","",COUNTA($B$5:B2024))</f>
        <v/>
      </c>
      <c r="B2024" s="148"/>
      <c r="C2024" s="22" t="s">
        <v>49</v>
      </c>
      <c r="D2024" s="149"/>
      <c r="E2024" s="150"/>
      <c r="F2024" s="151"/>
      <c r="G2024" s="151"/>
      <c r="H2024" s="142">
        <f>IFERROR(VLOOKUP($C2024,$C$5:$H$18,6,0)+SUMIF($C$19:$C2024,$C2024,$F$19:$F2024)-SUMIF($C$19:$C2024,$C2024,$G$19:$G2024),"")</f>
        <v>81211.819999998</v>
      </c>
      <c r="I2024" s="147"/>
      <c r="J2024" s="147"/>
      <c r="K2024" s="147" t="str">
        <f t="shared" si="31"/>
        <v/>
      </c>
      <c r="L2024" s="40"/>
      <c r="M2024"/>
      <c r="N2024"/>
      <c r="O2024"/>
      <c r="P2024"/>
      <c r="Q2024"/>
      <c r="R2024"/>
      <c r="S2024"/>
      <c r="T2024"/>
      <c r="U2024"/>
      <c r="V2024"/>
      <c r="W2024" s="41"/>
      <c r="X2024" s="41"/>
      <c r="Y2024" s="41"/>
    </row>
    <row r="2025" s="27" customFormat="1" ht="23" hidden="1" customHeight="1" spans="1:25">
      <c r="A2025" s="133" t="str">
        <f>IF(B2025="","",COUNTA($B$5:B2025))</f>
        <v/>
      </c>
      <c r="B2025" s="148"/>
      <c r="C2025" s="22" t="s">
        <v>49</v>
      </c>
      <c r="D2025" s="149"/>
      <c r="E2025" s="150"/>
      <c r="F2025" s="151"/>
      <c r="G2025" s="151"/>
      <c r="H2025" s="142">
        <f>IFERROR(VLOOKUP($C2025,$C$5:$H$18,6,0)+SUMIF($C$19:$C2025,$C2025,$F$19:$F2025)-SUMIF($C$19:$C2025,$C2025,$G$19:$G2025),"")</f>
        <v>81211.819999998</v>
      </c>
      <c r="I2025" s="147"/>
      <c r="J2025" s="147"/>
      <c r="K2025" s="147" t="str">
        <f t="shared" si="31"/>
        <v/>
      </c>
      <c r="L2025" s="40"/>
      <c r="M2025"/>
      <c r="N2025"/>
      <c r="O2025"/>
      <c r="P2025"/>
      <c r="Q2025"/>
      <c r="R2025"/>
      <c r="S2025"/>
      <c r="T2025"/>
      <c r="U2025"/>
      <c r="V2025"/>
      <c r="W2025" s="41"/>
      <c r="X2025" s="41"/>
      <c r="Y2025" s="41"/>
    </row>
    <row r="2026" s="27" customFormat="1" ht="23" hidden="1" customHeight="1" spans="1:25">
      <c r="A2026" s="133" t="str">
        <f>IF(B2026="","",COUNTA($B$5:B2026))</f>
        <v/>
      </c>
      <c r="B2026" s="148"/>
      <c r="C2026" s="22" t="s">
        <v>49</v>
      </c>
      <c r="D2026" s="149"/>
      <c r="E2026" s="150"/>
      <c r="F2026" s="151"/>
      <c r="G2026" s="151"/>
      <c r="H2026" s="142">
        <f>IFERROR(VLOOKUP($C2026,$C$5:$H$18,6,0)+SUMIF($C$19:$C2026,$C2026,$F$19:$F2026)-SUMIF($C$19:$C2026,$C2026,$G$19:$G2026),"")</f>
        <v>81211.819999998</v>
      </c>
      <c r="I2026" s="147"/>
      <c r="J2026" s="147"/>
      <c r="K2026" s="147" t="str">
        <f t="shared" si="31"/>
        <v/>
      </c>
      <c r="L2026" s="40"/>
      <c r="M2026"/>
      <c r="N2026"/>
      <c r="O2026"/>
      <c r="P2026"/>
      <c r="Q2026"/>
      <c r="R2026"/>
      <c r="S2026"/>
      <c r="T2026"/>
      <c r="U2026"/>
      <c r="V2026"/>
      <c r="W2026" s="41"/>
      <c r="X2026" s="41"/>
      <c r="Y2026" s="41"/>
    </row>
    <row r="2027" s="27" customFormat="1" ht="23" hidden="1" customHeight="1" spans="1:25">
      <c r="A2027" s="133" t="str">
        <f>IF(B2027="","",COUNTA($B$5:B2027))</f>
        <v/>
      </c>
      <c r="B2027" s="148"/>
      <c r="C2027" s="22" t="s">
        <v>49</v>
      </c>
      <c r="D2027" s="149"/>
      <c r="E2027" s="150"/>
      <c r="F2027" s="151"/>
      <c r="G2027" s="151"/>
      <c r="H2027" s="142">
        <f>IFERROR(VLOOKUP($C2027,$C$5:$H$18,6,0)+SUMIF($C$19:$C2027,$C2027,$F$19:$F2027)-SUMIF($C$19:$C2027,$C2027,$G$19:$G2027),"")</f>
        <v>81211.819999998</v>
      </c>
      <c r="I2027" s="147"/>
      <c r="J2027" s="147"/>
      <c r="K2027" s="147" t="str">
        <f t="shared" si="31"/>
        <v/>
      </c>
      <c r="L2027" s="40"/>
      <c r="M2027"/>
      <c r="N2027"/>
      <c r="O2027"/>
      <c r="P2027"/>
      <c r="Q2027"/>
      <c r="R2027"/>
      <c r="S2027"/>
      <c r="T2027"/>
      <c r="U2027"/>
      <c r="V2027"/>
      <c r="W2027" s="41"/>
      <c r="X2027" s="41"/>
      <c r="Y2027" s="41"/>
    </row>
    <row r="2028" s="27" customFormat="1" ht="23" hidden="1" customHeight="1" spans="1:25">
      <c r="A2028" s="133" t="str">
        <f>IF(B2028="","",COUNTA($B$5:B2028))</f>
        <v/>
      </c>
      <c r="B2028" s="148"/>
      <c r="C2028" s="22" t="s">
        <v>49</v>
      </c>
      <c r="D2028" s="149"/>
      <c r="E2028" s="150"/>
      <c r="F2028" s="151"/>
      <c r="G2028" s="151"/>
      <c r="H2028" s="142">
        <f>IFERROR(VLOOKUP($C2028,$C$5:$H$18,6,0)+SUMIF($C$19:$C2028,$C2028,$F$19:$F2028)-SUMIF($C$19:$C2028,$C2028,$G$19:$G2028),"")</f>
        <v>81211.819999998</v>
      </c>
      <c r="I2028" s="147"/>
      <c r="J2028" s="147"/>
      <c r="K2028" s="147" t="str">
        <f t="shared" si="31"/>
        <v/>
      </c>
      <c r="L2028" s="40"/>
      <c r="M2028"/>
      <c r="N2028"/>
      <c r="O2028"/>
      <c r="P2028"/>
      <c r="Q2028"/>
      <c r="R2028"/>
      <c r="S2028"/>
      <c r="T2028"/>
      <c r="U2028"/>
      <c r="V2028"/>
      <c r="W2028" s="41"/>
      <c r="X2028" s="41"/>
      <c r="Y2028" s="41"/>
    </row>
    <row r="2029" s="27" customFormat="1" ht="23" hidden="1" customHeight="1" spans="1:25">
      <c r="A2029" s="133" t="str">
        <f>IF(B2029="","",COUNTA($B$5:B2029))</f>
        <v/>
      </c>
      <c r="B2029" s="148"/>
      <c r="C2029" s="22" t="s">
        <v>49</v>
      </c>
      <c r="D2029" s="149"/>
      <c r="E2029" s="150"/>
      <c r="F2029" s="151"/>
      <c r="G2029" s="151"/>
      <c r="H2029" s="142">
        <f>IFERROR(VLOOKUP($C2029,$C$5:$H$18,6,0)+SUMIF($C$19:$C2029,$C2029,$F$19:$F2029)-SUMIF($C$19:$C2029,$C2029,$G$19:$G2029),"")</f>
        <v>81211.819999998</v>
      </c>
      <c r="I2029" s="147"/>
      <c r="J2029" s="147"/>
      <c r="K2029" s="147" t="str">
        <f t="shared" si="31"/>
        <v/>
      </c>
      <c r="L2029" s="40"/>
      <c r="M2029"/>
      <c r="N2029"/>
      <c r="O2029"/>
      <c r="P2029"/>
      <c r="Q2029"/>
      <c r="R2029"/>
      <c r="S2029"/>
      <c r="T2029"/>
      <c r="U2029"/>
      <c r="V2029"/>
      <c r="W2029" s="41"/>
      <c r="X2029" s="41"/>
      <c r="Y2029" s="41"/>
    </row>
    <row r="2030" s="27" customFormat="1" ht="23" hidden="1" customHeight="1" spans="1:25">
      <c r="A2030" s="133" t="str">
        <f>IF(B2030="","",COUNTA($B$5:B2030))</f>
        <v/>
      </c>
      <c r="B2030" s="148"/>
      <c r="C2030" s="22" t="s">
        <v>49</v>
      </c>
      <c r="D2030" s="149"/>
      <c r="E2030" s="150"/>
      <c r="F2030" s="151"/>
      <c r="G2030" s="151"/>
      <c r="H2030" s="142">
        <f>IFERROR(VLOOKUP($C2030,$C$5:$H$18,6,0)+SUMIF($C$19:$C2030,$C2030,$F$19:$F2030)-SUMIF($C$19:$C2030,$C2030,$G$19:$G2030),"")</f>
        <v>81211.819999998</v>
      </c>
      <c r="I2030" s="147"/>
      <c r="J2030" s="147"/>
      <c r="K2030" s="147" t="str">
        <f t="shared" si="31"/>
        <v/>
      </c>
      <c r="L2030" s="40"/>
      <c r="M2030"/>
      <c r="N2030"/>
      <c r="O2030"/>
      <c r="P2030"/>
      <c r="Q2030"/>
      <c r="R2030"/>
      <c r="S2030"/>
      <c r="T2030"/>
      <c r="U2030"/>
      <c r="V2030"/>
      <c r="W2030" s="41"/>
      <c r="X2030" s="41"/>
      <c r="Y2030" s="41"/>
    </row>
    <row r="2031" s="27" customFormat="1" ht="23" hidden="1" customHeight="1" spans="1:25">
      <c r="A2031" s="133" t="str">
        <f>IF(B2031="","",COUNTA($B$5:B2031))</f>
        <v/>
      </c>
      <c r="B2031" s="148"/>
      <c r="C2031" s="22" t="s">
        <v>49</v>
      </c>
      <c r="D2031" s="149"/>
      <c r="E2031" s="150"/>
      <c r="F2031" s="151"/>
      <c r="G2031" s="151"/>
      <c r="H2031" s="142">
        <f>IFERROR(VLOOKUP($C2031,$C$5:$H$18,6,0)+SUMIF($C$19:$C2031,$C2031,$F$19:$F2031)-SUMIF($C$19:$C2031,$C2031,$G$19:$G2031),"")</f>
        <v>81211.819999998</v>
      </c>
      <c r="I2031" s="147"/>
      <c r="J2031" s="147"/>
      <c r="K2031" s="147" t="str">
        <f t="shared" si="31"/>
        <v/>
      </c>
      <c r="L2031" s="40"/>
      <c r="M2031"/>
      <c r="N2031"/>
      <c r="O2031"/>
      <c r="P2031"/>
      <c r="Q2031"/>
      <c r="R2031"/>
      <c r="S2031"/>
      <c r="T2031"/>
      <c r="U2031"/>
      <c r="V2031"/>
      <c r="W2031" s="41"/>
      <c r="X2031" s="41"/>
      <c r="Y2031" s="41"/>
    </row>
    <row r="2032" s="27" customFormat="1" ht="23" hidden="1" customHeight="1" spans="1:25">
      <c r="A2032" s="133" t="str">
        <f>IF(B2032="","",COUNTA($B$5:B2032))</f>
        <v/>
      </c>
      <c r="B2032" s="148"/>
      <c r="C2032" s="22" t="s">
        <v>49</v>
      </c>
      <c r="D2032" s="149"/>
      <c r="E2032" s="150"/>
      <c r="F2032" s="151"/>
      <c r="G2032" s="151"/>
      <c r="H2032" s="142">
        <f>IFERROR(VLOOKUP($C2032,$C$5:$H$18,6,0)+SUMIF($C$19:$C2032,$C2032,$F$19:$F2032)-SUMIF($C$19:$C2032,$C2032,$G$19:$G2032),"")</f>
        <v>81211.819999998</v>
      </c>
      <c r="I2032" s="147"/>
      <c r="J2032" s="147"/>
      <c r="K2032" s="147" t="str">
        <f t="shared" si="31"/>
        <v/>
      </c>
      <c r="L2032" s="40"/>
      <c r="M2032"/>
      <c r="N2032"/>
      <c r="O2032"/>
      <c r="P2032"/>
      <c r="Q2032"/>
      <c r="R2032"/>
      <c r="S2032"/>
      <c r="T2032"/>
      <c r="U2032"/>
      <c r="V2032"/>
      <c r="W2032" s="41"/>
      <c r="X2032" s="41"/>
      <c r="Y2032" s="41"/>
    </row>
    <row r="2033" s="27" customFormat="1" ht="23" hidden="1" customHeight="1" spans="1:25">
      <c r="A2033" s="133" t="str">
        <f>IF(B2033="","",COUNTA($B$5:B2033))</f>
        <v/>
      </c>
      <c r="B2033" s="148"/>
      <c r="C2033" s="22" t="s">
        <v>49</v>
      </c>
      <c r="D2033" s="149"/>
      <c r="E2033" s="150"/>
      <c r="F2033" s="151"/>
      <c r="G2033" s="151"/>
      <c r="H2033" s="142">
        <f>IFERROR(VLOOKUP($C2033,$C$5:$H$18,6,0)+SUMIF($C$19:$C2033,$C2033,$F$19:$F2033)-SUMIF($C$19:$C2033,$C2033,$G$19:$G2033),"")</f>
        <v>81211.819999998</v>
      </c>
      <c r="I2033" s="147"/>
      <c r="J2033" s="147"/>
      <c r="K2033" s="147" t="str">
        <f t="shared" si="31"/>
        <v/>
      </c>
      <c r="L2033" s="40"/>
      <c r="M2033"/>
      <c r="N2033"/>
      <c r="O2033"/>
      <c r="P2033"/>
      <c r="Q2033"/>
      <c r="R2033"/>
      <c r="S2033"/>
      <c r="T2033"/>
      <c r="U2033"/>
      <c r="V2033"/>
      <c r="W2033" s="41"/>
      <c r="X2033" s="41"/>
      <c r="Y2033" s="41"/>
    </row>
    <row r="2034" s="27" customFormat="1" ht="23" hidden="1" customHeight="1" spans="1:25">
      <c r="A2034" s="133" t="str">
        <f>IF(B2034="","",COUNTA($B$5:B2034))</f>
        <v/>
      </c>
      <c r="B2034" s="148"/>
      <c r="C2034" s="22" t="s">
        <v>49</v>
      </c>
      <c r="D2034" s="149"/>
      <c r="E2034" s="150"/>
      <c r="F2034" s="151"/>
      <c r="G2034" s="151"/>
      <c r="H2034" s="142">
        <f>IFERROR(VLOOKUP($C2034,$C$5:$H$18,6,0)+SUMIF($C$19:$C2034,$C2034,$F$19:$F2034)-SUMIF($C$19:$C2034,$C2034,$G$19:$G2034),"")</f>
        <v>81211.819999998</v>
      </c>
      <c r="I2034" s="147"/>
      <c r="J2034" s="147"/>
      <c r="K2034" s="147" t="str">
        <f t="shared" si="31"/>
        <v/>
      </c>
      <c r="L2034" s="40"/>
      <c r="M2034"/>
      <c r="N2034"/>
      <c r="O2034"/>
      <c r="P2034"/>
      <c r="Q2034"/>
      <c r="R2034"/>
      <c r="S2034"/>
      <c r="T2034"/>
      <c r="U2034"/>
      <c r="V2034"/>
      <c r="W2034" s="41"/>
      <c r="X2034" s="41"/>
      <c r="Y2034" s="41"/>
    </row>
    <row r="2035" s="27" customFormat="1" ht="23" hidden="1" customHeight="1" spans="1:25">
      <c r="A2035" s="133" t="str">
        <f>IF(B2035="","",COUNTA($B$5:B2035))</f>
        <v/>
      </c>
      <c r="B2035" s="148"/>
      <c r="C2035" s="22" t="s">
        <v>49</v>
      </c>
      <c r="D2035" s="149"/>
      <c r="E2035" s="150"/>
      <c r="F2035" s="151"/>
      <c r="G2035" s="151"/>
      <c r="H2035" s="142">
        <f>IFERROR(VLOOKUP($C2035,$C$5:$H$18,6,0)+SUMIF($C$19:$C2035,$C2035,$F$19:$F2035)-SUMIF($C$19:$C2035,$C2035,$G$19:$G2035),"")</f>
        <v>81211.819999998</v>
      </c>
      <c r="I2035" s="147"/>
      <c r="J2035" s="147"/>
      <c r="K2035" s="147" t="str">
        <f t="shared" si="31"/>
        <v/>
      </c>
      <c r="L2035" s="40"/>
      <c r="M2035"/>
      <c r="N2035"/>
      <c r="O2035"/>
      <c r="P2035"/>
      <c r="Q2035"/>
      <c r="R2035"/>
      <c r="S2035"/>
      <c r="T2035"/>
      <c r="U2035"/>
      <c r="V2035"/>
      <c r="W2035" s="41"/>
      <c r="X2035" s="41"/>
      <c r="Y2035" s="41"/>
    </row>
    <row r="2036" s="27" customFormat="1" ht="23" hidden="1" customHeight="1" spans="1:25">
      <c r="A2036" s="133" t="str">
        <f>IF(B2036="","",COUNTA($B$5:B2036))</f>
        <v/>
      </c>
      <c r="B2036" s="148"/>
      <c r="C2036" s="22" t="s">
        <v>49</v>
      </c>
      <c r="D2036" s="149"/>
      <c r="E2036" s="150"/>
      <c r="F2036" s="151"/>
      <c r="G2036" s="151"/>
      <c r="H2036" s="142">
        <f>IFERROR(VLOOKUP($C2036,$C$5:$H$18,6,0)+SUMIF($C$19:$C2036,$C2036,$F$19:$F2036)-SUMIF($C$19:$C2036,$C2036,$G$19:$G2036),"")</f>
        <v>81211.819999998</v>
      </c>
      <c r="I2036" s="147"/>
      <c r="J2036" s="147"/>
      <c r="K2036" s="147" t="str">
        <f t="shared" si="31"/>
        <v/>
      </c>
      <c r="L2036" s="40"/>
      <c r="M2036"/>
      <c r="N2036"/>
      <c r="O2036"/>
      <c r="P2036"/>
      <c r="Q2036"/>
      <c r="R2036"/>
      <c r="S2036"/>
      <c r="T2036"/>
      <c r="U2036"/>
      <c r="V2036"/>
      <c r="W2036" s="41"/>
      <c r="X2036" s="41"/>
      <c r="Y2036" s="41"/>
    </row>
    <row r="2037" s="27" customFormat="1" ht="23" hidden="1" customHeight="1" spans="1:25">
      <c r="A2037" s="133" t="str">
        <f>IF(B2037="","",COUNTA($B$5:B2037))</f>
        <v/>
      </c>
      <c r="B2037" s="148"/>
      <c r="C2037" s="22" t="s">
        <v>49</v>
      </c>
      <c r="D2037" s="149"/>
      <c r="E2037" s="150"/>
      <c r="F2037" s="151"/>
      <c r="G2037" s="151"/>
      <c r="H2037" s="142">
        <f>IFERROR(VLOOKUP($C2037,$C$5:$H$18,6,0)+SUMIF($C$19:$C2037,$C2037,$F$19:$F2037)-SUMIF($C$19:$C2037,$C2037,$G$19:$G2037),"")</f>
        <v>81211.819999998</v>
      </c>
      <c r="I2037" s="147"/>
      <c r="J2037" s="147"/>
      <c r="K2037" s="147" t="str">
        <f t="shared" si="31"/>
        <v/>
      </c>
      <c r="L2037" s="40"/>
      <c r="M2037"/>
      <c r="N2037"/>
      <c r="O2037"/>
      <c r="P2037"/>
      <c r="Q2037"/>
      <c r="R2037"/>
      <c r="S2037"/>
      <c r="T2037"/>
      <c r="U2037"/>
      <c r="V2037"/>
      <c r="W2037" s="41"/>
      <c r="X2037" s="41"/>
      <c r="Y2037" s="41"/>
    </row>
    <row r="2038" s="27" customFormat="1" ht="23" hidden="1" customHeight="1" spans="1:25">
      <c r="A2038" s="133" t="str">
        <f>IF(B2038="","",COUNTA($B$5:B2038))</f>
        <v/>
      </c>
      <c r="B2038" s="148"/>
      <c r="C2038" s="22" t="s">
        <v>49</v>
      </c>
      <c r="D2038" s="149"/>
      <c r="E2038" s="150"/>
      <c r="F2038" s="151"/>
      <c r="G2038" s="151"/>
      <c r="H2038" s="142">
        <f>IFERROR(VLOOKUP($C2038,$C$5:$H$18,6,0)+SUMIF($C$19:$C2038,$C2038,$F$19:$F2038)-SUMIF($C$19:$C2038,$C2038,$G$19:$G2038),"")</f>
        <v>81211.819999998</v>
      </c>
      <c r="I2038" s="147"/>
      <c r="J2038" s="147"/>
      <c r="K2038" s="147" t="str">
        <f t="shared" si="31"/>
        <v/>
      </c>
      <c r="L2038" s="40"/>
      <c r="M2038"/>
      <c r="N2038"/>
      <c r="O2038"/>
      <c r="P2038"/>
      <c r="Q2038"/>
      <c r="R2038"/>
      <c r="S2038"/>
      <c r="T2038"/>
      <c r="U2038"/>
      <c r="V2038"/>
      <c r="W2038" s="41"/>
      <c r="X2038" s="41"/>
      <c r="Y2038" s="41"/>
    </row>
    <row r="2039" s="27" customFormat="1" ht="23" hidden="1" customHeight="1" spans="1:25">
      <c r="A2039" s="133" t="str">
        <f>IF(B2039="","",COUNTA($B$5:B2039))</f>
        <v/>
      </c>
      <c r="B2039" s="148"/>
      <c r="C2039" s="22" t="s">
        <v>49</v>
      </c>
      <c r="D2039" s="149"/>
      <c r="E2039" s="150"/>
      <c r="F2039" s="151"/>
      <c r="G2039" s="151"/>
      <c r="H2039" s="142">
        <f>IFERROR(VLOOKUP($C2039,$C$5:$H$18,6,0)+SUMIF($C$19:$C2039,$C2039,$F$19:$F2039)-SUMIF($C$19:$C2039,$C2039,$G$19:$G2039),"")</f>
        <v>81211.819999998</v>
      </c>
      <c r="I2039" s="147"/>
      <c r="J2039" s="147"/>
      <c r="K2039" s="147" t="str">
        <f t="shared" si="31"/>
        <v/>
      </c>
      <c r="L2039" s="40"/>
      <c r="M2039"/>
      <c r="N2039"/>
      <c r="O2039"/>
      <c r="P2039"/>
      <c r="Q2039"/>
      <c r="R2039"/>
      <c r="S2039"/>
      <c r="T2039"/>
      <c r="U2039"/>
      <c r="V2039"/>
      <c r="W2039" s="41"/>
      <c r="X2039" s="41"/>
      <c r="Y2039" s="41"/>
    </row>
    <row r="2040" s="27" customFormat="1" ht="23" hidden="1" customHeight="1" spans="1:25">
      <c r="A2040" s="133" t="str">
        <f>IF(B2040="","",COUNTA($B$5:B2040))</f>
        <v/>
      </c>
      <c r="B2040" s="148"/>
      <c r="C2040" s="22" t="s">
        <v>49</v>
      </c>
      <c r="D2040" s="149"/>
      <c r="E2040" s="150"/>
      <c r="F2040" s="151"/>
      <c r="G2040" s="151"/>
      <c r="H2040" s="142">
        <f>IFERROR(VLOOKUP($C2040,$C$5:$H$18,6,0)+SUMIF($C$19:$C2040,$C2040,$F$19:$F2040)-SUMIF($C$19:$C2040,$C2040,$G$19:$G2040),"")</f>
        <v>81211.819999998</v>
      </c>
      <c r="I2040" s="147"/>
      <c r="J2040" s="147"/>
      <c r="K2040" s="147" t="str">
        <f t="shared" si="31"/>
        <v/>
      </c>
      <c r="L2040" s="40"/>
      <c r="M2040"/>
      <c r="N2040"/>
      <c r="O2040"/>
      <c r="P2040"/>
      <c r="Q2040"/>
      <c r="R2040"/>
      <c r="S2040"/>
      <c r="T2040"/>
      <c r="U2040"/>
      <c r="V2040"/>
      <c r="W2040" s="41"/>
      <c r="X2040" s="41"/>
      <c r="Y2040" s="41"/>
    </row>
    <row r="2041" s="27" customFormat="1" ht="23" hidden="1" customHeight="1" spans="1:25">
      <c r="A2041" s="133" t="str">
        <f>IF(B2041="","",COUNTA($B$5:B2041))</f>
        <v/>
      </c>
      <c r="B2041" s="148"/>
      <c r="C2041" s="22" t="s">
        <v>49</v>
      </c>
      <c r="D2041" s="149"/>
      <c r="E2041" s="150"/>
      <c r="F2041" s="151"/>
      <c r="G2041" s="151"/>
      <c r="H2041" s="142">
        <f>IFERROR(VLOOKUP($C2041,$C$5:$H$18,6,0)+SUMIF($C$19:$C2041,$C2041,$F$19:$F2041)-SUMIF($C$19:$C2041,$C2041,$G$19:$G2041),"")</f>
        <v>81211.819999998</v>
      </c>
      <c r="I2041" s="147"/>
      <c r="J2041" s="147"/>
      <c r="K2041" s="147" t="str">
        <f t="shared" si="31"/>
        <v/>
      </c>
      <c r="L2041" s="40"/>
      <c r="M2041"/>
      <c r="N2041"/>
      <c r="O2041"/>
      <c r="P2041"/>
      <c r="Q2041"/>
      <c r="R2041"/>
      <c r="S2041"/>
      <c r="T2041"/>
      <c r="U2041"/>
      <c r="V2041"/>
      <c r="W2041" s="41"/>
      <c r="X2041" s="41"/>
      <c r="Y2041" s="41"/>
    </row>
    <row r="2042" s="27" customFormat="1" ht="23" hidden="1" customHeight="1" spans="1:25">
      <c r="A2042" s="133" t="str">
        <f>IF(B2042="","",COUNTA($B$5:B2042))</f>
        <v/>
      </c>
      <c r="B2042" s="148"/>
      <c r="C2042" s="22" t="s">
        <v>49</v>
      </c>
      <c r="D2042" s="149"/>
      <c r="E2042" s="150"/>
      <c r="F2042" s="151"/>
      <c r="G2042" s="151"/>
      <c r="H2042" s="142">
        <f>IFERROR(VLOOKUP($C2042,$C$5:$H$18,6,0)+SUMIF($C$19:$C2042,$C2042,$F$19:$F2042)-SUMIF($C$19:$C2042,$C2042,$G$19:$G2042),"")</f>
        <v>81211.819999998</v>
      </c>
      <c r="I2042" s="147"/>
      <c r="J2042" s="147"/>
      <c r="K2042" s="147" t="str">
        <f t="shared" si="31"/>
        <v/>
      </c>
      <c r="L2042" s="40"/>
      <c r="M2042"/>
      <c r="N2042"/>
      <c r="O2042"/>
      <c r="P2042"/>
      <c r="Q2042"/>
      <c r="R2042"/>
      <c r="S2042"/>
      <c r="T2042"/>
      <c r="U2042"/>
      <c r="V2042"/>
      <c r="W2042" s="41"/>
      <c r="X2042" s="41"/>
      <c r="Y2042" s="41"/>
    </row>
    <row r="2043" s="27" customFormat="1" ht="23" hidden="1" customHeight="1" spans="1:25">
      <c r="A2043" s="133" t="str">
        <f>IF(B2043="","",COUNTA($B$5:B2043))</f>
        <v/>
      </c>
      <c r="B2043" s="148"/>
      <c r="C2043" s="22" t="s">
        <v>49</v>
      </c>
      <c r="D2043" s="149"/>
      <c r="E2043" s="150"/>
      <c r="F2043" s="151"/>
      <c r="G2043" s="151"/>
      <c r="H2043" s="142">
        <f>IFERROR(VLOOKUP($C2043,$C$5:$H$18,6,0)+SUMIF($C$19:$C2043,$C2043,$F$19:$F2043)-SUMIF($C$19:$C2043,$C2043,$G$19:$G2043),"")</f>
        <v>81211.819999998</v>
      </c>
      <c r="I2043" s="147"/>
      <c r="J2043" s="147"/>
      <c r="K2043" s="147" t="str">
        <f t="shared" si="31"/>
        <v/>
      </c>
      <c r="L2043" s="40"/>
      <c r="M2043"/>
      <c r="N2043"/>
      <c r="O2043"/>
      <c r="P2043"/>
      <c r="Q2043"/>
      <c r="R2043"/>
      <c r="S2043"/>
      <c r="T2043"/>
      <c r="U2043"/>
      <c r="V2043"/>
      <c r="W2043" s="41"/>
      <c r="X2043" s="41"/>
      <c r="Y2043" s="41"/>
    </row>
    <row r="2044" s="27" customFormat="1" ht="23" hidden="1" customHeight="1" spans="1:25">
      <c r="A2044" s="133" t="str">
        <f>IF(B2044="","",COUNTA($B$5:B2044))</f>
        <v/>
      </c>
      <c r="B2044" s="148"/>
      <c r="C2044" s="22" t="s">
        <v>49</v>
      </c>
      <c r="D2044" s="149"/>
      <c r="E2044" s="150"/>
      <c r="F2044" s="151"/>
      <c r="G2044" s="151"/>
      <c r="H2044" s="142">
        <f>IFERROR(VLOOKUP($C2044,$C$5:$H$18,6,0)+SUMIF($C$19:$C2044,$C2044,$F$19:$F2044)-SUMIF($C$19:$C2044,$C2044,$G$19:$G2044),"")</f>
        <v>81211.819999998</v>
      </c>
      <c r="I2044" s="147"/>
      <c r="J2044" s="147"/>
      <c r="K2044" s="147" t="str">
        <f t="shared" si="31"/>
        <v/>
      </c>
      <c r="L2044" s="40"/>
      <c r="M2044"/>
      <c r="N2044"/>
      <c r="O2044"/>
      <c r="P2044"/>
      <c r="Q2044"/>
      <c r="R2044"/>
      <c r="S2044"/>
      <c r="T2044"/>
      <c r="U2044"/>
      <c r="V2044"/>
      <c r="W2044" s="41"/>
      <c r="X2044" s="41"/>
      <c r="Y2044" s="41"/>
    </row>
    <row r="2045" s="27" customFormat="1" ht="23" hidden="1" customHeight="1" spans="1:25">
      <c r="A2045" s="133" t="str">
        <f>IF(B2045="","",COUNTA($B$5:B2045))</f>
        <v/>
      </c>
      <c r="B2045" s="148"/>
      <c r="C2045" s="22" t="s">
        <v>49</v>
      </c>
      <c r="D2045" s="149"/>
      <c r="E2045" s="150"/>
      <c r="F2045" s="151"/>
      <c r="G2045" s="151"/>
      <c r="H2045" s="142">
        <f>IFERROR(VLOOKUP($C2045,$C$5:$H$18,6,0)+SUMIF($C$19:$C2045,$C2045,$F$19:$F2045)-SUMIF($C$19:$C2045,$C2045,$G$19:$G2045),"")</f>
        <v>81211.819999998</v>
      </c>
      <c r="I2045" s="147"/>
      <c r="J2045" s="147"/>
      <c r="K2045" s="147" t="str">
        <f t="shared" si="31"/>
        <v/>
      </c>
      <c r="L2045" s="40"/>
      <c r="M2045"/>
      <c r="N2045"/>
      <c r="O2045"/>
      <c r="P2045"/>
      <c r="Q2045"/>
      <c r="R2045"/>
      <c r="S2045"/>
      <c r="T2045"/>
      <c r="U2045"/>
      <c r="V2045"/>
      <c r="W2045" s="41"/>
      <c r="X2045" s="41"/>
      <c r="Y2045" s="41"/>
    </row>
    <row r="2046" s="27" customFormat="1" ht="23" hidden="1" customHeight="1" spans="1:25">
      <c r="A2046" s="133" t="str">
        <f>IF(B2046="","",COUNTA($B$5:B2046))</f>
        <v/>
      </c>
      <c r="B2046" s="148"/>
      <c r="C2046" s="22" t="s">
        <v>49</v>
      </c>
      <c r="D2046" s="149"/>
      <c r="E2046" s="150"/>
      <c r="F2046" s="151"/>
      <c r="G2046" s="151"/>
      <c r="H2046" s="142">
        <f>IFERROR(VLOOKUP($C2046,$C$5:$H$18,6,0)+SUMIF($C$19:$C2046,$C2046,$F$19:$F2046)-SUMIF($C$19:$C2046,$C2046,$G$19:$G2046),"")</f>
        <v>81211.819999998</v>
      </c>
      <c r="I2046" s="147"/>
      <c r="J2046" s="147"/>
      <c r="K2046" s="147" t="str">
        <f t="shared" si="31"/>
        <v/>
      </c>
      <c r="L2046" s="40"/>
      <c r="M2046"/>
      <c r="N2046"/>
      <c r="O2046"/>
      <c r="P2046"/>
      <c r="Q2046"/>
      <c r="R2046"/>
      <c r="S2046"/>
      <c r="T2046"/>
      <c r="U2046"/>
      <c r="V2046"/>
      <c r="W2046" s="41"/>
      <c r="X2046" s="41"/>
      <c r="Y2046" s="41"/>
    </row>
    <row r="2047" s="27" customFormat="1" ht="23" hidden="1" customHeight="1" spans="1:25">
      <c r="A2047" s="133" t="str">
        <f>IF(B2047="","",COUNTA($B$5:B2047))</f>
        <v/>
      </c>
      <c r="B2047" s="148"/>
      <c r="C2047" s="22" t="s">
        <v>49</v>
      </c>
      <c r="D2047" s="149"/>
      <c r="E2047" s="150"/>
      <c r="F2047" s="151"/>
      <c r="G2047" s="151"/>
      <c r="H2047" s="142">
        <f>IFERROR(VLOOKUP($C2047,$C$5:$H$18,6,0)+SUMIF($C$19:$C2047,$C2047,$F$19:$F2047)-SUMIF($C$19:$C2047,$C2047,$G$19:$G2047),"")</f>
        <v>81211.819999998</v>
      </c>
      <c r="I2047" s="147"/>
      <c r="J2047" s="147"/>
      <c r="K2047" s="147" t="str">
        <f t="shared" si="31"/>
        <v/>
      </c>
      <c r="L2047" s="40"/>
      <c r="M2047"/>
      <c r="N2047"/>
      <c r="O2047"/>
      <c r="P2047"/>
      <c r="Q2047"/>
      <c r="R2047"/>
      <c r="S2047"/>
      <c r="T2047"/>
      <c r="U2047"/>
      <c r="V2047"/>
      <c r="W2047" s="41"/>
      <c r="X2047" s="41"/>
      <c r="Y2047" s="41"/>
    </row>
    <row r="2048" s="27" customFormat="1" ht="23" hidden="1" customHeight="1" spans="1:25">
      <c r="A2048" s="133" t="str">
        <f>IF(B2048="","",COUNTA($B$5:B2048))</f>
        <v/>
      </c>
      <c r="B2048" s="148"/>
      <c r="C2048" s="22" t="s">
        <v>49</v>
      </c>
      <c r="D2048" s="149"/>
      <c r="E2048" s="150"/>
      <c r="F2048" s="151"/>
      <c r="G2048" s="151"/>
      <c r="H2048" s="142">
        <f>IFERROR(VLOOKUP($C2048,$C$5:$H$18,6,0)+SUMIF($C$19:$C2048,$C2048,$F$19:$F2048)-SUMIF($C$19:$C2048,$C2048,$G$19:$G2048),"")</f>
        <v>81211.819999998</v>
      </c>
      <c r="I2048" s="147"/>
      <c r="J2048" s="147"/>
      <c r="K2048" s="147" t="str">
        <f t="shared" si="31"/>
        <v/>
      </c>
      <c r="L2048" s="40"/>
      <c r="M2048"/>
      <c r="N2048"/>
      <c r="O2048"/>
      <c r="P2048"/>
      <c r="Q2048"/>
      <c r="R2048"/>
      <c r="S2048"/>
      <c r="T2048"/>
      <c r="U2048"/>
      <c r="V2048"/>
      <c r="W2048" s="41"/>
      <c r="X2048" s="41"/>
      <c r="Y2048" s="41"/>
    </row>
    <row r="2049" s="27" customFormat="1" ht="23" hidden="1" customHeight="1" spans="1:25">
      <c r="A2049" s="133" t="str">
        <f>IF(B2049="","",COUNTA($B$5:B2049))</f>
        <v/>
      </c>
      <c r="B2049" s="148"/>
      <c r="C2049" s="22" t="s">
        <v>49</v>
      </c>
      <c r="D2049" s="149"/>
      <c r="E2049" s="150"/>
      <c r="F2049" s="151"/>
      <c r="G2049" s="151"/>
      <c r="H2049" s="142">
        <f>IFERROR(VLOOKUP($C2049,$C$5:$H$18,6,0)+SUMIF($C$19:$C2049,$C2049,$F$19:$F2049)-SUMIF($C$19:$C2049,$C2049,$G$19:$G2049),"")</f>
        <v>81211.819999998</v>
      </c>
      <c r="I2049" s="147"/>
      <c r="J2049" s="147"/>
      <c r="K2049" s="147" t="str">
        <f t="shared" si="31"/>
        <v/>
      </c>
      <c r="L2049" s="40"/>
      <c r="M2049"/>
      <c r="N2049"/>
      <c r="O2049"/>
      <c r="P2049"/>
      <c r="Q2049"/>
      <c r="R2049"/>
      <c r="S2049"/>
      <c r="T2049"/>
      <c r="U2049"/>
      <c r="V2049"/>
      <c r="W2049" s="41"/>
      <c r="X2049" s="41"/>
      <c r="Y2049" s="41"/>
    </row>
    <row r="2050" s="27" customFormat="1" ht="23" hidden="1" customHeight="1" spans="1:25">
      <c r="A2050" s="133" t="str">
        <f>IF(B2050="","",COUNTA($B$5:B2050))</f>
        <v/>
      </c>
      <c r="B2050" s="148"/>
      <c r="C2050" s="22" t="s">
        <v>49</v>
      </c>
      <c r="D2050" s="149"/>
      <c r="E2050" s="150"/>
      <c r="F2050" s="151"/>
      <c r="G2050" s="151"/>
      <c r="H2050" s="142">
        <f>IFERROR(VLOOKUP($C2050,$C$5:$H$18,6,0)+SUMIF($C$19:$C2050,$C2050,$F$19:$F2050)-SUMIF($C$19:$C2050,$C2050,$G$19:$G2050),"")</f>
        <v>81211.819999998</v>
      </c>
      <c r="I2050" s="147"/>
      <c r="J2050" s="147"/>
      <c r="K2050" s="147" t="str">
        <f t="shared" si="31"/>
        <v/>
      </c>
      <c r="L2050" s="40"/>
      <c r="M2050"/>
      <c r="N2050"/>
      <c r="O2050"/>
      <c r="P2050"/>
      <c r="Q2050"/>
      <c r="R2050"/>
      <c r="S2050"/>
      <c r="T2050"/>
      <c r="U2050"/>
      <c r="V2050"/>
      <c r="W2050" s="41"/>
      <c r="X2050" s="41"/>
      <c r="Y2050" s="41"/>
    </row>
    <row r="2051" s="27" customFormat="1" ht="23" hidden="1" customHeight="1" spans="1:25">
      <c r="A2051" s="133" t="str">
        <f>IF(B2051="","",COUNTA($B$5:B2051))</f>
        <v/>
      </c>
      <c r="B2051" s="148"/>
      <c r="C2051" s="22" t="s">
        <v>49</v>
      </c>
      <c r="D2051" s="149"/>
      <c r="E2051" s="150"/>
      <c r="F2051" s="151"/>
      <c r="G2051" s="151"/>
      <c r="H2051" s="142">
        <f>IFERROR(VLOOKUP($C2051,$C$5:$H$18,6,0)+SUMIF($C$19:$C2051,$C2051,$F$19:$F2051)-SUMIF($C$19:$C2051,$C2051,$G$19:$G2051),"")</f>
        <v>81211.819999998</v>
      </c>
      <c r="I2051" s="147"/>
      <c r="J2051" s="147"/>
      <c r="K2051" s="147" t="str">
        <f t="shared" si="31"/>
        <v/>
      </c>
      <c r="L2051" s="40"/>
      <c r="M2051"/>
      <c r="N2051"/>
      <c r="O2051"/>
      <c r="P2051"/>
      <c r="Q2051"/>
      <c r="R2051"/>
      <c r="S2051"/>
      <c r="T2051"/>
      <c r="U2051"/>
      <c r="V2051"/>
      <c r="W2051" s="41"/>
      <c r="X2051" s="41"/>
      <c r="Y2051" s="41"/>
    </row>
    <row r="2052" s="27" customFormat="1" ht="23" hidden="1" customHeight="1" spans="1:25">
      <c r="A2052" s="133" t="str">
        <f>IF(B2052="","",COUNTA($B$5:B2052))</f>
        <v/>
      </c>
      <c r="B2052" s="148"/>
      <c r="C2052" s="22" t="s">
        <v>49</v>
      </c>
      <c r="D2052" s="149"/>
      <c r="E2052" s="150"/>
      <c r="F2052" s="151"/>
      <c r="G2052" s="151"/>
      <c r="H2052" s="142">
        <f>IFERROR(VLOOKUP($C2052,$C$5:$H$18,6,0)+SUMIF($C$19:$C2052,$C2052,$F$19:$F2052)-SUMIF($C$19:$C2052,$C2052,$G$19:$G2052),"")</f>
        <v>81211.819999998</v>
      </c>
      <c r="I2052" s="147"/>
      <c r="J2052" s="147"/>
      <c r="K2052" s="147" t="str">
        <f t="shared" si="31"/>
        <v/>
      </c>
      <c r="L2052" s="40"/>
      <c r="M2052"/>
      <c r="N2052"/>
      <c r="O2052"/>
      <c r="P2052"/>
      <c r="Q2052"/>
      <c r="R2052"/>
      <c r="S2052"/>
      <c r="T2052"/>
      <c r="U2052"/>
      <c r="V2052"/>
      <c r="W2052" s="41"/>
      <c r="X2052" s="41"/>
      <c r="Y2052" s="41"/>
    </row>
    <row r="2053" s="27" customFormat="1" ht="23" hidden="1" customHeight="1" spans="1:25">
      <c r="A2053" s="133" t="str">
        <f>IF(B2053="","",COUNTA($B$5:B2053))</f>
        <v/>
      </c>
      <c r="B2053" s="148"/>
      <c r="C2053" s="22" t="s">
        <v>49</v>
      </c>
      <c r="D2053" s="149"/>
      <c r="E2053" s="150"/>
      <c r="F2053" s="151"/>
      <c r="G2053" s="151"/>
      <c r="H2053" s="142">
        <f>IFERROR(VLOOKUP($C2053,$C$5:$H$18,6,0)+SUMIF($C$19:$C2053,$C2053,$F$19:$F2053)-SUMIF($C$19:$C2053,$C2053,$G$19:$G2053),"")</f>
        <v>81211.819999998</v>
      </c>
      <c r="I2053" s="147"/>
      <c r="J2053" s="147"/>
      <c r="K2053" s="147" t="str">
        <f t="shared" ref="K2053:K2116" si="32">IF($B2053="","",--TEXT($B2053,"yyyymm"))</f>
        <v/>
      </c>
      <c r="L2053" s="40"/>
      <c r="M2053"/>
      <c r="N2053"/>
      <c r="O2053"/>
      <c r="P2053"/>
      <c r="Q2053"/>
      <c r="R2053"/>
      <c r="S2053"/>
      <c r="T2053"/>
      <c r="U2053"/>
      <c r="V2053"/>
      <c r="W2053" s="41"/>
      <c r="X2053" s="41"/>
      <c r="Y2053" s="41"/>
    </row>
    <row r="2054" s="27" customFormat="1" ht="23" hidden="1" customHeight="1" spans="1:25">
      <c r="A2054" s="133" t="str">
        <f>IF(B2054="","",COUNTA($B$5:B2054))</f>
        <v/>
      </c>
      <c r="B2054" s="148"/>
      <c r="C2054" s="22" t="s">
        <v>49</v>
      </c>
      <c r="D2054" s="149"/>
      <c r="E2054" s="150"/>
      <c r="F2054" s="151"/>
      <c r="G2054" s="151"/>
      <c r="H2054" s="142">
        <f>IFERROR(VLOOKUP($C2054,$C$5:$H$18,6,0)+SUMIF($C$19:$C2054,$C2054,$F$19:$F2054)-SUMIF($C$19:$C2054,$C2054,$G$19:$G2054),"")</f>
        <v>81211.819999998</v>
      </c>
      <c r="I2054" s="147"/>
      <c r="J2054" s="147"/>
      <c r="K2054" s="147" t="str">
        <f t="shared" si="32"/>
        <v/>
      </c>
      <c r="L2054" s="40"/>
      <c r="M2054"/>
      <c r="N2054"/>
      <c r="O2054"/>
      <c r="P2054"/>
      <c r="Q2054"/>
      <c r="R2054"/>
      <c r="S2054"/>
      <c r="T2054"/>
      <c r="U2054"/>
      <c r="V2054"/>
      <c r="W2054" s="41"/>
      <c r="X2054" s="41"/>
      <c r="Y2054" s="41"/>
    </row>
    <row r="2055" s="27" customFormat="1" ht="23" hidden="1" customHeight="1" spans="1:25">
      <c r="A2055" s="133" t="str">
        <f>IF(B2055="","",COUNTA($B$5:B2055))</f>
        <v/>
      </c>
      <c r="B2055" s="148"/>
      <c r="C2055" s="22" t="s">
        <v>49</v>
      </c>
      <c r="D2055" s="149"/>
      <c r="E2055" s="150"/>
      <c r="F2055" s="151"/>
      <c r="G2055" s="151"/>
      <c r="H2055" s="142">
        <f>IFERROR(VLOOKUP($C2055,$C$5:$H$18,6,0)+SUMIF($C$19:$C2055,$C2055,$F$19:$F2055)-SUMIF($C$19:$C2055,$C2055,$G$19:$G2055),"")</f>
        <v>81211.819999998</v>
      </c>
      <c r="I2055" s="147"/>
      <c r="J2055" s="147"/>
      <c r="K2055" s="147" t="str">
        <f t="shared" si="32"/>
        <v/>
      </c>
      <c r="L2055" s="40"/>
      <c r="M2055"/>
      <c r="N2055"/>
      <c r="O2055"/>
      <c r="P2055"/>
      <c r="Q2055"/>
      <c r="R2055"/>
      <c r="S2055"/>
      <c r="T2055"/>
      <c r="U2055"/>
      <c r="V2055"/>
      <c r="W2055" s="41"/>
      <c r="X2055" s="41"/>
      <c r="Y2055" s="41"/>
    </row>
    <row r="2056" s="27" customFormat="1" ht="23" hidden="1" customHeight="1" spans="1:25">
      <c r="A2056" s="133" t="str">
        <f>IF(B2056="","",COUNTA($B$5:B2056))</f>
        <v/>
      </c>
      <c r="B2056" s="148"/>
      <c r="C2056" s="22" t="s">
        <v>49</v>
      </c>
      <c r="D2056" s="149"/>
      <c r="E2056" s="150"/>
      <c r="F2056" s="151"/>
      <c r="G2056" s="151"/>
      <c r="H2056" s="142">
        <f>IFERROR(VLOOKUP($C2056,$C$5:$H$18,6,0)+SUMIF($C$19:$C2056,$C2056,$F$19:$F2056)-SUMIF($C$19:$C2056,$C2056,$G$19:$G2056),"")</f>
        <v>81211.819999998</v>
      </c>
      <c r="I2056" s="147"/>
      <c r="J2056" s="147"/>
      <c r="K2056" s="147" t="str">
        <f t="shared" si="32"/>
        <v/>
      </c>
      <c r="L2056" s="40"/>
      <c r="M2056"/>
      <c r="N2056"/>
      <c r="O2056"/>
      <c r="P2056"/>
      <c r="Q2056"/>
      <c r="R2056"/>
      <c r="S2056"/>
      <c r="T2056"/>
      <c r="U2056"/>
      <c r="V2056"/>
      <c r="W2056" s="41"/>
      <c r="X2056" s="41"/>
      <c r="Y2056" s="41"/>
    </row>
    <row r="2057" s="27" customFormat="1" ht="23" hidden="1" customHeight="1" spans="1:25">
      <c r="A2057" s="133" t="str">
        <f>IF(B2057="","",COUNTA($B$5:B2057))</f>
        <v/>
      </c>
      <c r="B2057" s="148"/>
      <c r="C2057" s="22" t="s">
        <v>49</v>
      </c>
      <c r="D2057" s="149"/>
      <c r="E2057" s="150"/>
      <c r="F2057" s="151"/>
      <c r="G2057" s="151"/>
      <c r="H2057" s="142">
        <f>IFERROR(VLOOKUP($C2057,$C$5:$H$18,6,0)+SUMIF($C$19:$C2057,$C2057,$F$19:$F2057)-SUMIF($C$19:$C2057,$C2057,$G$19:$G2057),"")</f>
        <v>81211.819999998</v>
      </c>
      <c r="I2057" s="147"/>
      <c r="J2057" s="147"/>
      <c r="K2057" s="147" t="str">
        <f t="shared" si="32"/>
        <v/>
      </c>
      <c r="L2057" s="40"/>
      <c r="M2057"/>
      <c r="N2057"/>
      <c r="O2057"/>
      <c r="P2057"/>
      <c r="Q2057"/>
      <c r="R2057"/>
      <c r="S2057"/>
      <c r="T2057"/>
      <c r="U2057"/>
      <c r="V2057"/>
      <c r="W2057" s="41"/>
      <c r="X2057" s="41"/>
      <c r="Y2057" s="41"/>
    </row>
    <row r="2058" s="27" customFormat="1" ht="23" hidden="1" customHeight="1" spans="1:25">
      <c r="A2058" s="133" t="str">
        <f>IF(B2058="","",COUNTA($B$5:B2058))</f>
        <v/>
      </c>
      <c r="B2058" s="148"/>
      <c r="C2058" s="22" t="s">
        <v>49</v>
      </c>
      <c r="D2058" s="149"/>
      <c r="E2058" s="150"/>
      <c r="F2058" s="151"/>
      <c r="G2058" s="151"/>
      <c r="H2058" s="142">
        <f>IFERROR(VLOOKUP($C2058,$C$5:$H$18,6,0)+SUMIF($C$19:$C2058,$C2058,$F$19:$F2058)-SUMIF($C$19:$C2058,$C2058,$G$19:$G2058),"")</f>
        <v>81211.819999998</v>
      </c>
      <c r="I2058" s="147"/>
      <c r="J2058" s="147"/>
      <c r="K2058" s="147" t="str">
        <f t="shared" si="32"/>
        <v/>
      </c>
      <c r="L2058" s="40"/>
      <c r="M2058"/>
      <c r="N2058"/>
      <c r="O2058"/>
      <c r="P2058"/>
      <c r="Q2058"/>
      <c r="R2058"/>
      <c r="S2058"/>
      <c r="T2058"/>
      <c r="U2058"/>
      <c r="V2058"/>
      <c r="W2058" s="41"/>
      <c r="X2058" s="41"/>
      <c r="Y2058" s="41"/>
    </row>
    <row r="2059" s="27" customFormat="1" ht="23" hidden="1" customHeight="1" spans="1:25">
      <c r="A2059" s="133" t="str">
        <f>IF(B2059="","",COUNTA($B$5:B2059))</f>
        <v/>
      </c>
      <c r="B2059" s="148"/>
      <c r="C2059" s="22" t="s">
        <v>49</v>
      </c>
      <c r="D2059" s="149"/>
      <c r="E2059" s="150"/>
      <c r="F2059" s="151"/>
      <c r="G2059" s="151"/>
      <c r="H2059" s="142">
        <f>IFERROR(VLOOKUP($C2059,$C$5:$H$18,6,0)+SUMIF($C$19:$C2059,$C2059,$F$19:$F2059)-SUMIF($C$19:$C2059,$C2059,$G$19:$G2059),"")</f>
        <v>81211.819999998</v>
      </c>
      <c r="I2059" s="147"/>
      <c r="J2059" s="147"/>
      <c r="K2059" s="147" t="str">
        <f t="shared" si="32"/>
        <v/>
      </c>
      <c r="L2059" s="40"/>
      <c r="M2059"/>
      <c r="N2059"/>
      <c r="O2059"/>
      <c r="P2059"/>
      <c r="Q2059"/>
      <c r="R2059"/>
      <c r="S2059"/>
      <c r="T2059"/>
      <c r="U2059"/>
      <c r="V2059"/>
      <c r="W2059" s="41"/>
      <c r="X2059" s="41"/>
      <c r="Y2059" s="41"/>
    </row>
    <row r="2060" s="27" customFormat="1" ht="23" hidden="1" customHeight="1" spans="1:25">
      <c r="A2060" s="133" t="str">
        <f>IF(B2060="","",COUNTA($B$5:B2060))</f>
        <v/>
      </c>
      <c r="B2060" s="148"/>
      <c r="C2060" s="22" t="s">
        <v>49</v>
      </c>
      <c r="D2060" s="149"/>
      <c r="E2060" s="150"/>
      <c r="F2060" s="151"/>
      <c r="G2060" s="151"/>
      <c r="H2060" s="142">
        <f>IFERROR(VLOOKUP($C2060,$C$5:$H$18,6,0)+SUMIF($C$19:$C2060,$C2060,$F$19:$F2060)-SUMIF($C$19:$C2060,$C2060,$G$19:$G2060),"")</f>
        <v>81211.819999998</v>
      </c>
      <c r="I2060" s="147"/>
      <c r="J2060" s="147"/>
      <c r="K2060" s="147" t="str">
        <f t="shared" si="32"/>
        <v/>
      </c>
      <c r="L2060" s="40"/>
      <c r="M2060"/>
      <c r="N2060"/>
      <c r="O2060"/>
      <c r="P2060"/>
      <c r="Q2060"/>
      <c r="R2060"/>
      <c r="S2060"/>
      <c r="T2060"/>
      <c r="U2060"/>
      <c r="V2060"/>
      <c r="W2060" s="41"/>
      <c r="X2060" s="41"/>
      <c r="Y2060" s="41"/>
    </row>
    <row r="2061" s="27" customFormat="1" ht="23" hidden="1" customHeight="1" spans="1:25">
      <c r="A2061" s="133" t="str">
        <f>IF(B2061="","",COUNTA($B$5:B2061))</f>
        <v/>
      </c>
      <c r="B2061" s="148"/>
      <c r="C2061" s="22" t="s">
        <v>49</v>
      </c>
      <c r="D2061" s="149"/>
      <c r="E2061" s="150"/>
      <c r="F2061" s="151"/>
      <c r="G2061" s="151"/>
      <c r="H2061" s="142">
        <f>IFERROR(VLOOKUP($C2061,$C$5:$H$18,6,0)+SUMIF($C$19:$C2061,$C2061,$F$19:$F2061)-SUMIF($C$19:$C2061,$C2061,$G$19:$G2061),"")</f>
        <v>81211.819999998</v>
      </c>
      <c r="I2061" s="147"/>
      <c r="J2061" s="147"/>
      <c r="K2061" s="147" t="str">
        <f t="shared" si="32"/>
        <v/>
      </c>
      <c r="L2061" s="40"/>
      <c r="M2061"/>
      <c r="N2061"/>
      <c r="O2061"/>
      <c r="P2061"/>
      <c r="Q2061"/>
      <c r="R2061"/>
      <c r="S2061"/>
      <c r="T2061"/>
      <c r="U2061"/>
      <c r="V2061"/>
      <c r="W2061" s="41"/>
      <c r="X2061" s="41"/>
      <c r="Y2061" s="41"/>
    </row>
    <row r="2062" s="27" customFormat="1" ht="23" hidden="1" customHeight="1" spans="1:25">
      <c r="A2062" s="133" t="str">
        <f>IF(B2062="","",COUNTA($B$5:B2062))</f>
        <v/>
      </c>
      <c r="B2062" s="148"/>
      <c r="C2062" s="22" t="s">
        <v>49</v>
      </c>
      <c r="D2062" s="149"/>
      <c r="E2062" s="150"/>
      <c r="F2062" s="151"/>
      <c r="G2062" s="151"/>
      <c r="H2062" s="142">
        <f>IFERROR(VLOOKUP($C2062,$C$5:$H$18,6,0)+SUMIF($C$19:$C2062,$C2062,$F$19:$F2062)-SUMIF($C$19:$C2062,$C2062,$G$19:$G2062),"")</f>
        <v>81211.819999998</v>
      </c>
      <c r="I2062" s="147"/>
      <c r="J2062" s="147"/>
      <c r="K2062" s="147" t="str">
        <f t="shared" si="32"/>
        <v/>
      </c>
      <c r="L2062" s="40"/>
      <c r="M2062"/>
      <c r="N2062"/>
      <c r="O2062"/>
      <c r="P2062"/>
      <c r="Q2062"/>
      <c r="R2062"/>
      <c r="S2062"/>
      <c r="T2062"/>
      <c r="U2062"/>
      <c r="V2062"/>
      <c r="W2062" s="41"/>
      <c r="X2062" s="41"/>
      <c r="Y2062" s="41"/>
    </row>
    <row r="2063" s="27" customFormat="1" ht="23" hidden="1" customHeight="1" spans="1:25">
      <c r="A2063" s="133" t="str">
        <f>IF(B2063="","",COUNTA($B$5:B2063))</f>
        <v/>
      </c>
      <c r="B2063" s="148"/>
      <c r="C2063" s="22" t="s">
        <v>49</v>
      </c>
      <c r="D2063" s="149"/>
      <c r="E2063" s="150"/>
      <c r="F2063" s="151"/>
      <c r="G2063" s="151"/>
      <c r="H2063" s="142">
        <f>IFERROR(VLOOKUP($C2063,$C$5:$H$18,6,0)+SUMIF($C$19:$C2063,$C2063,$F$19:$F2063)-SUMIF($C$19:$C2063,$C2063,$G$19:$G2063),"")</f>
        <v>81211.819999998</v>
      </c>
      <c r="I2063" s="147"/>
      <c r="J2063" s="147"/>
      <c r="K2063" s="147" t="str">
        <f t="shared" si="32"/>
        <v/>
      </c>
      <c r="L2063" s="40"/>
      <c r="M2063"/>
      <c r="N2063"/>
      <c r="O2063"/>
      <c r="P2063"/>
      <c r="Q2063"/>
      <c r="R2063"/>
      <c r="S2063"/>
      <c r="T2063"/>
      <c r="U2063"/>
      <c r="V2063"/>
      <c r="W2063" s="41"/>
      <c r="X2063" s="41"/>
      <c r="Y2063" s="41"/>
    </row>
    <row r="2064" s="27" customFormat="1" ht="23" hidden="1" customHeight="1" spans="1:25">
      <c r="A2064" s="133" t="str">
        <f>IF(B2064="","",COUNTA($B$5:B2064))</f>
        <v/>
      </c>
      <c r="B2064" s="148"/>
      <c r="C2064" s="22" t="s">
        <v>49</v>
      </c>
      <c r="D2064" s="149"/>
      <c r="E2064" s="150"/>
      <c r="F2064" s="151"/>
      <c r="G2064" s="151"/>
      <c r="H2064" s="142">
        <f>IFERROR(VLOOKUP($C2064,$C$5:$H$18,6,0)+SUMIF($C$19:$C2064,$C2064,$F$19:$F2064)-SUMIF($C$19:$C2064,$C2064,$G$19:$G2064),"")</f>
        <v>81211.819999998</v>
      </c>
      <c r="I2064" s="147"/>
      <c r="J2064" s="147"/>
      <c r="K2064" s="147" t="str">
        <f t="shared" si="32"/>
        <v/>
      </c>
      <c r="L2064" s="40"/>
      <c r="M2064"/>
      <c r="N2064"/>
      <c r="O2064"/>
      <c r="P2064"/>
      <c r="Q2064"/>
      <c r="R2064"/>
      <c r="S2064"/>
      <c r="T2064"/>
      <c r="U2064"/>
      <c r="V2064"/>
      <c r="W2064" s="41"/>
      <c r="X2064" s="41"/>
      <c r="Y2064" s="41"/>
    </row>
    <row r="2065" s="27" customFormat="1" ht="23" hidden="1" customHeight="1" spans="1:25">
      <c r="A2065" s="133" t="str">
        <f>IF(B2065="","",COUNTA($B$5:B2065))</f>
        <v/>
      </c>
      <c r="B2065" s="148"/>
      <c r="C2065" s="22" t="s">
        <v>49</v>
      </c>
      <c r="D2065" s="149"/>
      <c r="E2065" s="150"/>
      <c r="F2065" s="151"/>
      <c r="G2065" s="151"/>
      <c r="H2065" s="142">
        <f>IFERROR(VLOOKUP($C2065,$C$5:$H$18,6,0)+SUMIF($C$19:$C2065,$C2065,$F$19:$F2065)-SUMIF($C$19:$C2065,$C2065,$G$19:$G2065),"")</f>
        <v>81211.819999998</v>
      </c>
      <c r="I2065" s="147"/>
      <c r="J2065" s="147"/>
      <c r="K2065" s="147" t="str">
        <f t="shared" si="32"/>
        <v/>
      </c>
      <c r="L2065" s="40"/>
      <c r="M2065"/>
      <c r="N2065"/>
      <c r="O2065"/>
      <c r="P2065"/>
      <c r="Q2065"/>
      <c r="R2065"/>
      <c r="S2065"/>
      <c r="T2065"/>
      <c r="U2065"/>
      <c r="V2065"/>
      <c r="W2065" s="41"/>
      <c r="X2065" s="41"/>
      <c r="Y2065" s="41"/>
    </row>
    <row r="2066" s="27" customFormat="1" ht="23" hidden="1" customHeight="1" spans="1:25">
      <c r="A2066" s="133" t="str">
        <f>IF(B2066="","",COUNTA($B$5:B2066))</f>
        <v/>
      </c>
      <c r="B2066" s="148"/>
      <c r="C2066" s="22" t="s">
        <v>49</v>
      </c>
      <c r="D2066" s="149"/>
      <c r="E2066" s="150"/>
      <c r="F2066" s="151"/>
      <c r="G2066" s="151"/>
      <c r="H2066" s="142">
        <f>IFERROR(VLOOKUP($C2066,$C$5:$H$18,6,0)+SUMIF($C$19:$C2066,$C2066,$F$19:$F2066)-SUMIF($C$19:$C2066,$C2066,$G$19:$G2066),"")</f>
        <v>81211.819999998</v>
      </c>
      <c r="I2066" s="147"/>
      <c r="J2066" s="147"/>
      <c r="K2066" s="147" t="str">
        <f t="shared" si="32"/>
        <v/>
      </c>
      <c r="L2066" s="40"/>
      <c r="M2066"/>
      <c r="N2066"/>
      <c r="O2066"/>
      <c r="P2066"/>
      <c r="Q2066"/>
      <c r="R2066"/>
      <c r="S2066"/>
      <c r="T2066"/>
      <c r="U2066"/>
      <c r="V2066"/>
      <c r="W2066" s="41"/>
      <c r="X2066" s="41"/>
      <c r="Y2066" s="41"/>
    </row>
    <row r="2067" s="27" customFormat="1" ht="23" hidden="1" customHeight="1" spans="1:25">
      <c r="A2067" s="133" t="str">
        <f>IF(B2067="","",COUNTA($B$5:B2067))</f>
        <v/>
      </c>
      <c r="B2067" s="148"/>
      <c r="C2067" s="22" t="s">
        <v>49</v>
      </c>
      <c r="D2067" s="149"/>
      <c r="E2067" s="150"/>
      <c r="F2067" s="151"/>
      <c r="G2067" s="151"/>
      <c r="H2067" s="142">
        <f>IFERROR(VLOOKUP($C2067,$C$5:$H$18,6,0)+SUMIF($C$19:$C2067,$C2067,$F$19:$F2067)-SUMIF($C$19:$C2067,$C2067,$G$19:$G2067),"")</f>
        <v>81211.819999998</v>
      </c>
      <c r="I2067" s="147"/>
      <c r="J2067" s="147"/>
      <c r="K2067" s="147" t="str">
        <f t="shared" si="32"/>
        <v/>
      </c>
      <c r="L2067" s="40"/>
      <c r="M2067"/>
      <c r="N2067"/>
      <c r="O2067"/>
      <c r="P2067"/>
      <c r="Q2067"/>
      <c r="R2067"/>
      <c r="S2067"/>
      <c r="T2067"/>
      <c r="U2067"/>
      <c r="V2067"/>
      <c r="W2067" s="41"/>
      <c r="X2067" s="41"/>
      <c r="Y2067" s="41"/>
    </row>
    <row r="2068" s="27" customFormat="1" ht="23" hidden="1" customHeight="1" spans="1:25">
      <c r="A2068" s="133" t="str">
        <f>IF(B2068="","",COUNTA($B$5:B2068))</f>
        <v/>
      </c>
      <c r="B2068" s="148"/>
      <c r="C2068" s="22" t="s">
        <v>49</v>
      </c>
      <c r="D2068" s="149"/>
      <c r="E2068" s="150"/>
      <c r="F2068" s="151"/>
      <c r="G2068" s="151"/>
      <c r="H2068" s="142">
        <f>IFERROR(VLOOKUP($C2068,$C$5:$H$18,6,0)+SUMIF($C$19:$C2068,$C2068,$F$19:$F2068)-SUMIF($C$19:$C2068,$C2068,$G$19:$G2068),"")</f>
        <v>81211.819999998</v>
      </c>
      <c r="I2068" s="147"/>
      <c r="J2068" s="147"/>
      <c r="K2068" s="147" t="str">
        <f t="shared" si="32"/>
        <v/>
      </c>
      <c r="L2068" s="40"/>
      <c r="M2068"/>
      <c r="N2068"/>
      <c r="O2068"/>
      <c r="P2068"/>
      <c r="Q2068"/>
      <c r="R2068"/>
      <c r="S2068"/>
      <c r="T2068"/>
      <c r="U2068"/>
      <c r="V2068"/>
      <c r="W2068" s="41"/>
      <c r="X2068" s="41"/>
      <c r="Y2068" s="41"/>
    </row>
    <row r="2069" s="27" customFormat="1" ht="23" hidden="1" customHeight="1" spans="1:25">
      <c r="A2069" s="133" t="str">
        <f>IF(B2069="","",COUNTA($B$5:B2069))</f>
        <v/>
      </c>
      <c r="B2069" s="148"/>
      <c r="C2069" s="22" t="s">
        <v>49</v>
      </c>
      <c r="D2069" s="149"/>
      <c r="E2069" s="150"/>
      <c r="F2069" s="151"/>
      <c r="G2069" s="151"/>
      <c r="H2069" s="142">
        <f>IFERROR(VLOOKUP($C2069,$C$5:$H$18,6,0)+SUMIF($C$19:$C2069,$C2069,$F$19:$F2069)-SUMIF($C$19:$C2069,$C2069,$G$19:$G2069),"")</f>
        <v>81211.819999998</v>
      </c>
      <c r="I2069" s="147"/>
      <c r="J2069" s="147"/>
      <c r="K2069" s="147" t="str">
        <f t="shared" si="32"/>
        <v/>
      </c>
      <c r="L2069" s="40"/>
      <c r="M2069"/>
      <c r="N2069"/>
      <c r="O2069"/>
      <c r="P2069"/>
      <c r="Q2069"/>
      <c r="R2069"/>
      <c r="S2069"/>
      <c r="T2069"/>
      <c r="U2069"/>
      <c r="V2069"/>
      <c r="W2069" s="41"/>
      <c r="X2069" s="41"/>
      <c r="Y2069" s="41"/>
    </row>
    <row r="2070" s="27" customFormat="1" ht="23" hidden="1" customHeight="1" spans="1:25">
      <c r="A2070" s="133" t="str">
        <f>IF(B2070="","",COUNTA($B$5:B2070))</f>
        <v/>
      </c>
      <c r="B2070" s="148"/>
      <c r="C2070" s="22" t="s">
        <v>49</v>
      </c>
      <c r="D2070" s="149"/>
      <c r="E2070" s="150"/>
      <c r="F2070" s="151"/>
      <c r="G2070" s="151"/>
      <c r="H2070" s="142">
        <f>IFERROR(VLOOKUP($C2070,$C$5:$H$18,6,0)+SUMIF($C$19:$C2070,$C2070,$F$19:$F2070)-SUMIF($C$19:$C2070,$C2070,$G$19:$G2070),"")</f>
        <v>81211.819999998</v>
      </c>
      <c r="I2070" s="147"/>
      <c r="J2070" s="147"/>
      <c r="K2070" s="147" t="str">
        <f t="shared" si="32"/>
        <v/>
      </c>
      <c r="L2070" s="40"/>
      <c r="M2070"/>
      <c r="N2070"/>
      <c r="O2070"/>
      <c r="P2070"/>
      <c r="Q2070"/>
      <c r="R2070"/>
      <c r="S2070"/>
      <c r="T2070"/>
      <c r="U2070"/>
      <c r="V2070"/>
      <c r="W2070" s="41"/>
      <c r="X2070" s="41"/>
      <c r="Y2070" s="41"/>
    </row>
    <row r="2071" s="27" customFormat="1" ht="23" hidden="1" customHeight="1" spans="1:25">
      <c r="A2071" s="133" t="str">
        <f>IF(B2071="","",COUNTA($B$5:B2071))</f>
        <v/>
      </c>
      <c r="B2071" s="148"/>
      <c r="C2071" s="22" t="s">
        <v>49</v>
      </c>
      <c r="D2071" s="149"/>
      <c r="E2071" s="150"/>
      <c r="F2071" s="151"/>
      <c r="G2071" s="151"/>
      <c r="H2071" s="142">
        <f>IFERROR(VLOOKUP($C2071,$C$5:$H$18,6,0)+SUMIF($C$19:$C2071,$C2071,$F$19:$F2071)-SUMIF($C$19:$C2071,$C2071,$G$19:$G2071),"")</f>
        <v>81211.819999998</v>
      </c>
      <c r="I2071" s="147"/>
      <c r="J2071" s="147"/>
      <c r="K2071" s="147" t="str">
        <f t="shared" si="32"/>
        <v/>
      </c>
      <c r="L2071" s="40"/>
      <c r="M2071"/>
      <c r="N2071"/>
      <c r="O2071"/>
      <c r="P2071"/>
      <c r="Q2071"/>
      <c r="R2071"/>
      <c r="S2071"/>
      <c r="T2071"/>
      <c r="U2071"/>
      <c r="V2071"/>
      <c r="W2071" s="41"/>
      <c r="X2071" s="41"/>
      <c r="Y2071" s="41"/>
    </row>
    <row r="2072" s="27" customFormat="1" ht="23" hidden="1" customHeight="1" spans="1:25">
      <c r="A2072" s="133" t="str">
        <f>IF(B2072="","",COUNTA($B$5:B2072))</f>
        <v/>
      </c>
      <c r="B2072" s="148"/>
      <c r="C2072" s="22" t="s">
        <v>49</v>
      </c>
      <c r="D2072" s="149"/>
      <c r="E2072" s="150"/>
      <c r="F2072" s="151"/>
      <c r="G2072" s="151"/>
      <c r="H2072" s="142">
        <f>IFERROR(VLOOKUP($C2072,$C$5:$H$18,6,0)+SUMIF($C$19:$C2072,$C2072,$F$19:$F2072)-SUMIF($C$19:$C2072,$C2072,$G$19:$G2072),"")</f>
        <v>81211.819999998</v>
      </c>
      <c r="I2072" s="147"/>
      <c r="J2072" s="147"/>
      <c r="K2072" s="147" t="str">
        <f t="shared" si="32"/>
        <v/>
      </c>
      <c r="L2072" s="40"/>
      <c r="M2072"/>
      <c r="N2072"/>
      <c r="O2072"/>
      <c r="P2072"/>
      <c r="Q2072"/>
      <c r="R2072"/>
      <c r="S2072"/>
      <c r="T2072"/>
      <c r="U2072"/>
      <c r="V2072"/>
      <c r="W2072" s="41"/>
      <c r="X2072" s="41"/>
      <c r="Y2072" s="41"/>
    </row>
    <row r="2073" s="27" customFormat="1" ht="23" hidden="1" customHeight="1" spans="1:25">
      <c r="A2073" s="133" t="str">
        <f>IF(B2073="","",COUNTA($B$5:B2073))</f>
        <v/>
      </c>
      <c r="B2073" s="148"/>
      <c r="C2073" s="22" t="s">
        <v>49</v>
      </c>
      <c r="D2073" s="149"/>
      <c r="E2073" s="150"/>
      <c r="F2073" s="151"/>
      <c r="G2073" s="151"/>
      <c r="H2073" s="142">
        <f>IFERROR(VLOOKUP($C2073,$C$5:$H$18,6,0)+SUMIF($C$19:$C2073,$C2073,$F$19:$F2073)-SUMIF($C$19:$C2073,$C2073,$G$19:$G2073),"")</f>
        <v>81211.819999998</v>
      </c>
      <c r="I2073" s="147"/>
      <c r="J2073" s="147"/>
      <c r="K2073" s="147" t="str">
        <f t="shared" si="32"/>
        <v/>
      </c>
      <c r="L2073" s="40"/>
      <c r="M2073"/>
      <c r="N2073"/>
      <c r="O2073"/>
      <c r="P2073"/>
      <c r="Q2073"/>
      <c r="R2073"/>
      <c r="S2073"/>
      <c r="T2073"/>
      <c r="U2073"/>
      <c r="V2073"/>
      <c r="W2073" s="41"/>
      <c r="X2073" s="41"/>
      <c r="Y2073" s="41"/>
    </row>
    <row r="2074" s="27" customFormat="1" ht="23" hidden="1" customHeight="1" spans="1:25">
      <c r="A2074" s="133" t="str">
        <f>IF(B2074="","",COUNTA($B$5:B2074))</f>
        <v/>
      </c>
      <c r="B2074" s="148"/>
      <c r="C2074" s="22" t="s">
        <v>49</v>
      </c>
      <c r="D2074" s="149"/>
      <c r="E2074" s="150"/>
      <c r="F2074" s="151"/>
      <c r="G2074" s="151"/>
      <c r="H2074" s="142">
        <f>IFERROR(VLOOKUP($C2074,$C$5:$H$18,6,0)+SUMIF($C$19:$C2074,$C2074,$F$19:$F2074)-SUMIF($C$19:$C2074,$C2074,$G$19:$G2074),"")</f>
        <v>81211.819999998</v>
      </c>
      <c r="I2074" s="147"/>
      <c r="J2074" s="147"/>
      <c r="K2074" s="147" t="str">
        <f t="shared" si="32"/>
        <v/>
      </c>
      <c r="L2074" s="40"/>
      <c r="M2074"/>
      <c r="N2074"/>
      <c r="O2074"/>
      <c r="P2074"/>
      <c r="Q2074"/>
      <c r="R2074"/>
      <c r="S2074"/>
      <c r="T2074"/>
      <c r="U2074"/>
      <c r="V2074"/>
      <c r="W2074" s="41"/>
      <c r="X2074" s="41"/>
      <c r="Y2074" s="41"/>
    </row>
    <row r="2075" s="27" customFormat="1" ht="23" hidden="1" customHeight="1" spans="1:25">
      <c r="A2075" s="133" t="str">
        <f>IF(B2075="","",COUNTA($B$5:B2075))</f>
        <v/>
      </c>
      <c r="B2075" s="148"/>
      <c r="C2075" s="22" t="s">
        <v>49</v>
      </c>
      <c r="D2075" s="149"/>
      <c r="E2075" s="150"/>
      <c r="F2075" s="151"/>
      <c r="G2075" s="151"/>
      <c r="H2075" s="142">
        <f>IFERROR(VLOOKUP($C2075,$C$5:$H$18,6,0)+SUMIF($C$19:$C2075,$C2075,$F$19:$F2075)-SUMIF($C$19:$C2075,$C2075,$G$19:$G2075),"")</f>
        <v>81211.819999998</v>
      </c>
      <c r="I2075" s="147"/>
      <c r="J2075" s="147"/>
      <c r="K2075" s="147" t="str">
        <f t="shared" si="32"/>
        <v/>
      </c>
      <c r="L2075" s="40"/>
      <c r="M2075"/>
      <c r="N2075"/>
      <c r="O2075"/>
      <c r="P2075"/>
      <c r="Q2075"/>
      <c r="R2075"/>
      <c r="S2075"/>
      <c r="T2075"/>
      <c r="U2075"/>
      <c r="V2075"/>
      <c r="W2075" s="41"/>
      <c r="X2075" s="41"/>
      <c r="Y2075" s="41"/>
    </row>
    <row r="2076" s="27" customFormat="1" ht="23" hidden="1" customHeight="1" spans="1:25">
      <c r="A2076" s="133" t="str">
        <f>IF(B2076="","",COUNTA($B$5:B2076))</f>
        <v/>
      </c>
      <c r="B2076" s="148"/>
      <c r="C2076" s="22" t="s">
        <v>49</v>
      </c>
      <c r="D2076" s="149"/>
      <c r="E2076" s="150"/>
      <c r="F2076" s="151"/>
      <c r="G2076" s="151"/>
      <c r="H2076" s="142">
        <f>IFERROR(VLOOKUP($C2076,$C$5:$H$18,6,0)+SUMIF($C$19:$C2076,$C2076,$F$19:$F2076)-SUMIF($C$19:$C2076,$C2076,$G$19:$G2076),"")</f>
        <v>81211.819999998</v>
      </c>
      <c r="I2076" s="147"/>
      <c r="J2076" s="147"/>
      <c r="K2076" s="147" t="str">
        <f t="shared" si="32"/>
        <v/>
      </c>
      <c r="L2076" s="40"/>
      <c r="M2076"/>
      <c r="N2076"/>
      <c r="O2076"/>
      <c r="P2076"/>
      <c r="Q2076"/>
      <c r="R2076"/>
      <c r="S2076"/>
      <c r="T2076"/>
      <c r="U2076"/>
      <c r="V2076"/>
      <c r="W2076" s="41"/>
      <c r="X2076" s="41"/>
      <c r="Y2076" s="41"/>
    </row>
    <row r="2077" s="27" customFormat="1" ht="23" hidden="1" customHeight="1" spans="1:25">
      <c r="A2077" s="133" t="str">
        <f>IF(B2077="","",COUNTA($B$5:B2077))</f>
        <v/>
      </c>
      <c r="B2077" s="148"/>
      <c r="C2077" s="22" t="s">
        <v>49</v>
      </c>
      <c r="D2077" s="149"/>
      <c r="E2077" s="150"/>
      <c r="F2077" s="151"/>
      <c r="G2077" s="151"/>
      <c r="H2077" s="142">
        <f>IFERROR(VLOOKUP($C2077,$C$5:$H$18,6,0)+SUMIF($C$19:$C2077,$C2077,$F$19:$F2077)-SUMIF($C$19:$C2077,$C2077,$G$19:$G2077),"")</f>
        <v>81211.819999998</v>
      </c>
      <c r="I2077" s="147"/>
      <c r="J2077" s="147"/>
      <c r="K2077" s="147" t="str">
        <f t="shared" si="32"/>
        <v/>
      </c>
      <c r="L2077" s="40"/>
      <c r="M2077"/>
      <c r="N2077"/>
      <c r="O2077"/>
      <c r="P2077"/>
      <c r="Q2077"/>
      <c r="R2077"/>
      <c r="S2077"/>
      <c r="T2077"/>
      <c r="U2077"/>
      <c r="V2077"/>
      <c r="W2077" s="41"/>
      <c r="X2077" s="41"/>
      <c r="Y2077" s="41"/>
    </row>
    <row r="2078" s="27" customFormat="1" ht="23" hidden="1" customHeight="1" spans="1:25">
      <c r="A2078" s="133" t="str">
        <f>IF(B2078="","",COUNTA($B$5:B2078))</f>
        <v/>
      </c>
      <c r="B2078" s="148"/>
      <c r="C2078" s="22" t="s">
        <v>49</v>
      </c>
      <c r="D2078" s="149"/>
      <c r="E2078" s="150"/>
      <c r="F2078" s="151"/>
      <c r="G2078" s="151"/>
      <c r="H2078" s="142">
        <f>IFERROR(VLOOKUP($C2078,$C$5:$H$18,6,0)+SUMIF($C$19:$C2078,$C2078,$F$19:$F2078)-SUMIF($C$19:$C2078,$C2078,$G$19:$G2078),"")</f>
        <v>81211.819999998</v>
      </c>
      <c r="I2078" s="147"/>
      <c r="J2078" s="147"/>
      <c r="K2078" s="147" t="str">
        <f t="shared" si="32"/>
        <v/>
      </c>
      <c r="L2078" s="40"/>
      <c r="M2078"/>
      <c r="N2078"/>
      <c r="O2078"/>
      <c r="P2078"/>
      <c r="Q2078"/>
      <c r="R2078"/>
      <c r="S2078"/>
      <c r="T2078"/>
      <c r="U2078"/>
      <c r="V2078"/>
      <c r="W2078" s="41"/>
      <c r="X2078" s="41"/>
      <c r="Y2078" s="41"/>
    </row>
    <row r="2079" s="27" customFormat="1" ht="23" hidden="1" customHeight="1" spans="1:25">
      <c r="A2079" s="133" t="str">
        <f>IF(B2079="","",COUNTA($B$5:B2079))</f>
        <v/>
      </c>
      <c r="B2079" s="148"/>
      <c r="C2079" s="22" t="s">
        <v>49</v>
      </c>
      <c r="D2079" s="149"/>
      <c r="E2079" s="150"/>
      <c r="F2079" s="151"/>
      <c r="G2079" s="151"/>
      <c r="H2079" s="142">
        <f>IFERROR(VLOOKUP($C2079,$C$5:$H$18,6,0)+SUMIF($C$19:$C2079,$C2079,$F$19:$F2079)-SUMIF($C$19:$C2079,$C2079,$G$19:$G2079),"")</f>
        <v>81211.819999998</v>
      </c>
      <c r="I2079" s="147"/>
      <c r="J2079" s="147"/>
      <c r="K2079" s="147" t="str">
        <f t="shared" si="32"/>
        <v/>
      </c>
      <c r="L2079" s="40"/>
      <c r="M2079"/>
      <c r="N2079"/>
      <c r="O2079"/>
      <c r="P2079"/>
      <c r="Q2079"/>
      <c r="R2079"/>
      <c r="S2079"/>
      <c r="T2079"/>
      <c r="U2079"/>
      <c r="V2079"/>
      <c r="W2079" s="41"/>
      <c r="X2079" s="41"/>
      <c r="Y2079" s="41"/>
    </row>
    <row r="2080" s="27" customFormat="1" ht="23" hidden="1" customHeight="1" spans="1:25">
      <c r="A2080" s="133" t="str">
        <f>IF(B2080="","",COUNTA($B$5:B2080))</f>
        <v/>
      </c>
      <c r="B2080" s="148"/>
      <c r="C2080" s="22" t="s">
        <v>49</v>
      </c>
      <c r="D2080" s="149"/>
      <c r="E2080" s="150"/>
      <c r="F2080" s="151"/>
      <c r="G2080" s="151"/>
      <c r="H2080" s="142">
        <f>IFERROR(VLOOKUP($C2080,$C$5:$H$18,6,0)+SUMIF($C$19:$C2080,$C2080,$F$19:$F2080)-SUMIF($C$19:$C2080,$C2080,$G$19:$G2080),"")</f>
        <v>81211.819999998</v>
      </c>
      <c r="I2080" s="147"/>
      <c r="J2080" s="147"/>
      <c r="K2080" s="147" t="str">
        <f t="shared" si="32"/>
        <v/>
      </c>
      <c r="L2080" s="40"/>
      <c r="M2080"/>
      <c r="N2080"/>
      <c r="O2080"/>
      <c r="P2080"/>
      <c r="Q2080"/>
      <c r="R2080"/>
      <c r="S2080"/>
      <c r="T2080"/>
      <c r="U2080"/>
      <c r="V2080"/>
      <c r="W2080" s="41"/>
      <c r="X2080" s="41"/>
      <c r="Y2080" s="41"/>
    </row>
    <row r="2081" s="27" customFormat="1" ht="23" hidden="1" customHeight="1" spans="1:25">
      <c r="A2081" s="133" t="str">
        <f>IF(B2081="","",COUNTA($B$5:B2081))</f>
        <v/>
      </c>
      <c r="B2081" s="148"/>
      <c r="C2081" s="22" t="s">
        <v>49</v>
      </c>
      <c r="D2081" s="149"/>
      <c r="E2081" s="150"/>
      <c r="F2081" s="151"/>
      <c r="G2081" s="151"/>
      <c r="H2081" s="142">
        <f>IFERROR(VLOOKUP($C2081,$C$5:$H$18,6,0)+SUMIF($C$19:$C2081,$C2081,$F$19:$F2081)-SUMIF($C$19:$C2081,$C2081,$G$19:$G2081),"")</f>
        <v>81211.819999998</v>
      </c>
      <c r="I2081" s="147"/>
      <c r="J2081" s="147"/>
      <c r="K2081" s="147" t="str">
        <f t="shared" si="32"/>
        <v/>
      </c>
      <c r="L2081" s="40"/>
      <c r="M2081"/>
      <c r="N2081"/>
      <c r="O2081"/>
      <c r="P2081"/>
      <c r="Q2081"/>
      <c r="R2081"/>
      <c r="S2081"/>
      <c r="T2081"/>
      <c r="U2081"/>
      <c r="V2081"/>
      <c r="W2081" s="41"/>
      <c r="X2081" s="41"/>
      <c r="Y2081" s="41"/>
    </row>
    <row r="2082" s="27" customFormat="1" ht="23" hidden="1" customHeight="1" spans="1:25">
      <c r="A2082" s="133" t="str">
        <f>IF(B2082="","",COUNTA($B$5:B2082))</f>
        <v/>
      </c>
      <c r="B2082" s="148"/>
      <c r="C2082" s="22" t="s">
        <v>49</v>
      </c>
      <c r="D2082" s="149"/>
      <c r="E2082" s="150"/>
      <c r="F2082" s="151"/>
      <c r="G2082" s="151"/>
      <c r="H2082" s="142">
        <f>IFERROR(VLOOKUP($C2082,$C$5:$H$18,6,0)+SUMIF($C$19:$C2082,$C2082,$F$19:$F2082)-SUMIF($C$19:$C2082,$C2082,$G$19:$G2082),"")</f>
        <v>81211.819999998</v>
      </c>
      <c r="I2082" s="147"/>
      <c r="J2082" s="147"/>
      <c r="K2082" s="147" t="str">
        <f t="shared" si="32"/>
        <v/>
      </c>
      <c r="L2082" s="40"/>
      <c r="M2082"/>
      <c r="N2082"/>
      <c r="O2082"/>
      <c r="P2082"/>
      <c r="Q2082"/>
      <c r="R2082"/>
      <c r="S2082"/>
      <c r="T2082"/>
      <c r="U2082"/>
      <c r="V2082"/>
      <c r="W2082" s="41"/>
      <c r="X2082" s="41"/>
      <c r="Y2082" s="41"/>
    </row>
    <row r="2083" s="27" customFormat="1" ht="23" hidden="1" customHeight="1" spans="1:25">
      <c r="A2083" s="133" t="str">
        <f>IF(B2083="","",COUNTA($B$5:B2083))</f>
        <v/>
      </c>
      <c r="B2083" s="148"/>
      <c r="C2083" s="22" t="s">
        <v>49</v>
      </c>
      <c r="D2083" s="149"/>
      <c r="E2083" s="150"/>
      <c r="F2083" s="151"/>
      <c r="G2083" s="151"/>
      <c r="H2083" s="142">
        <f>IFERROR(VLOOKUP($C2083,$C$5:$H$18,6,0)+SUMIF($C$19:$C2083,$C2083,$F$19:$F2083)-SUMIF($C$19:$C2083,$C2083,$G$19:$G2083),"")</f>
        <v>81211.819999998</v>
      </c>
      <c r="I2083" s="147"/>
      <c r="J2083" s="147"/>
      <c r="K2083" s="147" t="str">
        <f t="shared" si="32"/>
        <v/>
      </c>
      <c r="L2083" s="40"/>
      <c r="M2083"/>
      <c r="N2083"/>
      <c r="O2083"/>
      <c r="P2083"/>
      <c r="Q2083"/>
      <c r="R2083"/>
      <c r="S2083"/>
      <c r="T2083"/>
      <c r="U2083"/>
      <c r="V2083"/>
      <c r="W2083" s="41"/>
      <c r="X2083" s="41"/>
      <c r="Y2083" s="41"/>
    </row>
    <row r="2084" s="27" customFormat="1" ht="23" hidden="1" customHeight="1" spans="1:25">
      <c r="A2084" s="133" t="str">
        <f>IF(B2084="","",COUNTA($B$5:B2084))</f>
        <v/>
      </c>
      <c r="B2084" s="148"/>
      <c r="C2084" s="22" t="s">
        <v>49</v>
      </c>
      <c r="D2084" s="149"/>
      <c r="E2084" s="150"/>
      <c r="F2084" s="151"/>
      <c r="G2084" s="151"/>
      <c r="H2084" s="142">
        <f>IFERROR(VLOOKUP($C2084,$C$5:$H$18,6,0)+SUMIF($C$19:$C2084,$C2084,$F$19:$F2084)-SUMIF($C$19:$C2084,$C2084,$G$19:$G2084),"")</f>
        <v>81211.819999998</v>
      </c>
      <c r="I2084" s="147"/>
      <c r="J2084" s="147"/>
      <c r="K2084" s="147" t="str">
        <f t="shared" si="32"/>
        <v/>
      </c>
      <c r="L2084" s="40"/>
      <c r="M2084"/>
      <c r="N2084"/>
      <c r="O2084"/>
      <c r="P2084"/>
      <c r="Q2084"/>
      <c r="R2084"/>
      <c r="S2084"/>
      <c r="T2084"/>
      <c r="U2084"/>
      <c r="V2084"/>
      <c r="W2084" s="41"/>
      <c r="X2084" s="41"/>
      <c r="Y2084" s="41"/>
    </row>
    <row r="2085" s="27" customFormat="1" ht="23" hidden="1" customHeight="1" spans="1:25">
      <c r="A2085" s="133" t="str">
        <f>IF(B2085="","",COUNTA($B$5:B2085))</f>
        <v/>
      </c>
      <c r="B2085" s="148"/>
      <c r="C2085" s="22" t="s">
        <v>49</v>
      </c>
      <c r="D2085" s="149"/>
      <c r="E2085" s="150"/>
      <c r="F2085" s="151"/>
      <c r="G2085" s="151"/>
      <c r="H2085" s="142">
        <f>IFERROR(VLOOKUP($C2085,$C$5:$H$18,6,0)+SUMIF($C$19:$C2085,$C2085,$F$19:$F2085)-SUMIF($C$19:$C2085,$C2085,$G$19:$G2085),"")</f>
        <v>81211.819999998</v>
      </c>
      <c r="I2085" s="147"/>
      <c r="J2085" s="147"/>
      <c r="K2085" s="147" t="str">
        <f t="shared" si="32"/>
        <v/>
      </c>
      <c r="L2085" s="40"/>
      <c r="M2085"/>
      <c r="N2085"/>
      <c r="O2085"/>
      <c r="P2085"/>
      <c r="Q2085"/>
      <c r="R2085"/>
      <c r="S2085"/>
      <c r="T2085"/>
      <c r="U2085"/>
      <c r="V2085"/>
      <c r="W2085" s="41"/>
      <c r="X2085" s="41"/>
      <c r="Y2085" s="41"/>
    </row>
    <row r="2086" s="27" customFormat="1" ht="23" hidden="1" customHeight="1" spans="1:25">
      <c r="A2086" s="133" t="str">
        <f>IF(B2086="","",COUNTA($B$5:B2086))</f>
        <v/>
      </c>
      <c r="B2086" s="148"/>
      <c r="C2086" s="22" t="s">
        <v>49</v>
      </c>
      <c r="D2086" s="149"/>
      <c r="E2086" s="150"/>
      <c r="F2086" s="151"/>
      <c r="G2086" s="151"/>
      <c r="H2086" s="142">
        <f>IFERROR(VLOOKUP($C2086,$C$5:$H$18,6,0)+SUMIF($C$19:$C2086,$C2086,$F$19:$F2086)-SUMIF($C$19:$C2086,$C2086,$G$19:$G2086),"")</f>
        <v>81211.819999998</v>
      </c>
      <c r="I2086" s="147"/>
      <c r="J2086" s="147"/>
      <c r="K2086" s="147" t="str">
        <f t="shared" si="32"/>
        <v/>
      </c>
      <c r="L2086" s="40"/>
      <c r="M2086"/>
      <c r="N2086"/>
      <c r="O2086"/>
      <c r="P2086"/>
      <c r="Q2086"/>
      <c r="R2086"/>
      <c r="S2086"/>
      <c r="T2086"/>
      <c r="U2086"/>
      <c r="V2086"/>
      <c r="W2086" s="41"/>
      <c r="X2086" s="41"/>
      <c r="Y2086" s="41"/>
    </row>
    <row r="2087" s="27" customFormat="1" ht="23" hidden="1" customHeight="1" spans="1:25">
      <c r="A2087" s="133" t="str">
        <f>IF(B2087="","",COUNTA($B$5:B2087))</f>
        <v/>
      </c>
      <c r="B2087" s="148"/>
      <c r="C2087" s="22" t="s">
        <v>49</v>
      </c>
      <c r="D2087" s="149"/>
      <c r="E2087" s="150"/>
      <c r="F2087" s="151"/>
      <c r="G2087" s="151"/>
      <c r="H2087" s="142">
        <f>IFERROR(VLOOKUP($C2087,$C$5:$H$18,6,0)+SUMIF($C$19:$C2087,$C2087,$F$19:$F2087)-SUMIF($C$19:$C2087,$C2087,$G$19:$G2087),"")</f>
        <v>81211.819999998</v>
      </c>
      <c r="I2087" s="147"/>
      <c r="J2087" s="147"/>
      <c r="K2087" s="147" t="str">
        <f t="shared" si="32"/>
        <v/>
      </c>
      <c r="L2087" s="40"/>
      <c r="M2087"/>
      <c r="N2087"/>
      <c r="O2087"/>
      <c r="P2087"/>
      <c r="Q2087"/>
      <c r="R2087"/>
      <c r="S2087"/>
      <c r="T2087"/>
      <c r="U2087"/>
      <c r="V2087"/>
      <c r="W2087" s="41"/>
      <c r="X2087" s="41"/>
      <c r="Y2087" s="41"/>
    </row>
    <row r="2088" s="27" customFormat="1" ht="23" hidden="1" customHeight="1" spans="1:25">
      <c r="A2088" s="133" t="str">
        <f>IF(B2088="","",COUNTA($B$5:B2088))</f>
        <v/>
      </c>
      <c r="B2088" s="148"/>
      <c r="C2088" s="22" t="s">
        <v>49</v>
      </c>
      <c r="D2088" s="149"/>
      <c r="E2088" s="150"/>
      <c r="F2088" s="151"/>
      <c r="G2088" s="151"/>
      <c r="H2088" s="142">
        <f>IFERROR(VLOOKUP($C2088,$C$5:$H$18,6,0)+SUMIF($C$19:$C2088,$C2088,$F$19:$F2088)-SUMIF($C$19:$C2088,$C2088,$G$19:$G2088),"")</f>
        <v>81211.819999998</v>
      </c>
      <c r="I2088" s="147"/>
      <c r="J2088" s="147"/>
      <c r="K2088" s="147" t="str">
        <f t="shared" si="32"/>
        <v/>
      </c>
      <c r="L2088" s="40"/>
      <c r="M2088"/>
      <c r="N2088"/>
      <c r="O2088"/>
      <c r="P2088"/>
      <c r="Q2088"/>
      <c r="R2088"/>
      <c r="S2088"/>
      <c r="T2088"/>
      <c r="U2088"/>
      <c r="V2088"/>
      <c r="W2088" s="41"/>
      <c r="X2088" s="41"/>
      <c r="Y2088" s="41"/>
    </row>
    <row r="2089" s="27" customFormat="1" ht="23" hidden="1" customHeight="1" spans="1:25">
      <c r="A2089" s="133" t="str">
        <f>IF(B2089="","",COUNTA($B$5:B2089))</f>
        <v/>
      </c>
      <c r="B2089" s="148"/>
      <c r="C2089" s="22" t="s">
        <v>49</v>
      </c>
      <c r="D2089" s="149"/>
      <c r="E2089" s="150"/>
      <c r="F2089" s="151"/>
      <c r="G2089" s="151"/>
      <c r="H2089" s="142">
        <f>IFERROR(VLOOKUP($C2089,$C$5:$H$18,6,0)+SUMIF($C$19:$C2089,$C2089,$F$19:$F2089)-SUMIF($C$19:$C2089,$C2089,$G$19:$G2089),"")</f>
        <v>81211.819999998</v>
      </c>
      <c r="I2089" s="147"/>
      <c r="J2089" s="147"/>
      <c r="K2089" s="147" t="str">
        <f t="shared" si="32"/>
        <v/>
      </c>
      <c r="L2089" s="40"/>
      <c r="M2089"/>
      <c r="N2089"/>
      <c r="O2089"/>
      <c r="P2089"/>
      <c r="Q2089"/>
      <c r="R2089"/>
      <c r="S2089"/>
      <c r="T2089"/>
      <c r="U2089"/>
      <c r="V2089"/>
      <c r="W2089" s="41"/>
      <c r="X2089" s="41"/>
      <c r="Y2089" s="41"/>
    </row>
    <row r="2090" s="27" customFormat="1" ht="23" hidden="1" customHeight="1" spans="1:25">
      <c r="A2090" s="133" t="str">
        <f>IF(B2090="","",COUNTA($B$5:B2090))</f>
        <v/>
      </c>
      <c r="B2090" s="148"/>
      <c r="C2090" s="22" t="s">
        <v>49</v>
      </c>
      <c r="D2090" s="149"/>
      <c r="E2090" s="150"/>
      <c r="F2090" s="151"/>
      <c r="G2090" s="151"/>
      <c r="H2090" s="142">
        <f>IFERROR(VLOOKUP($C2090,$C$5:$H$18,6,0)+SUMIF($C$19:$C2090,$C2090,$F$19:$F2090)-SUMIF($C$19:$C2090,$C2090,$G$19:$G2090),"")</f>
        <v>81211.819999998</v>
      </c>
      <c r="I2090" s="147"/>
      <c r="J2090" s="147"/>
      <c r="K2090" s="147" t="str">
        <f t="shared" si="32"/>
        <v/>
      </c>
      <c r="L2090" s="40"/>
      <c r="M2090"/>
      <c r="N2090"/>
      <c r="O2090"/>
      <c r="P2090"/>
      <c r="Q2090"/>
      <c r="R2090"/>
      <c r="S2090"/>
      <c r="T2090"/>
      <c r="U2090"/>
      <c r="V2090"/>
      <c r="W2090" s="41"/>
      <c r="X2090" s="41"/>
      <c r="Y2090" s="41"/>
    </row>
    <row r="2091" s="27" customFormat="1" ht="23" hidden="1" customHeight="1" spans="1:25">
      <c r="A2091" s="133" t="str">
        <f>IF(B2091="","",COUNTA($B$5:B2091))</f>
        <v/>
      </c>
      <c r="B2091" s="148"/>
      <c r="C2091" s="22" t="s">
        <v>49</v>
      </c>
      <c r="D2091" s="149"/>
      <c r="E2091" s="150"/>
      <c r="F2091" s="151"/>
      <c r="G2091" s="151"/>
      <c r="H2091" s="142">
        <f>IFERROR(VLOOKUP($C2091,$C$5:$H$18,6,0)+SUMIF($C$19:$C2091,$C2091,$F$19:$F2091)-SUMIF($C$19:$C2091,$C2091,$G$19:$G2091),"")</f>
        <v>81211.819999998</v>
      </c>
      <c r="I2091" s="147"/>
      <c r="J2091" s="147"/>
      <c r="K2091" s="147" t="str">
        <f t="shared" si="32"/>
        <v/>
      </c>
      <c r="L2091" s="40"/>
      <c r="M2091"/>
      <c r="N2091"/>
      <c r="O2091"/>
      <c r="P2091"/>
      <c r="Q2091"/>
      <c r="R2091"/>
      <c r="S2091"/>
      <c r="T2091"/>
      <c r="U2091"/>
      <c r="V2091"/>
      <c r="W2091" s="41"/>
      <c r="X2091" s="41"/>
      <c r="Y2091" s="41"/>
    </row>
    <row r="2092" s="27" customFormat="1" ht="23" hidden="1" customHeight="1" spans="1:25">
      <c r="A2092" s="133" t="str">
        <f>IF(B2092="","",COUNTA($B$5:B2092))</f>
        <v/>
      </c>
      <c r="B2092" s="148"/>
      <c r="C2092" s="22" t="s">
        <v>49</v>
      </c>
      <c r="D2092" s="149"/>
      <c r="E2092" s="150"/>
      <c r="F2092" s="151"/>
      <c r="G2092" s="151"/>
      <c r="H2092" s="142">
        <f>IFERROR(VLOOKUP($C2092,$C$5:$H$18,6,0)+SUMIF($C$19:$C2092,$C2092,$F$19:$F2092)-SUMIF($C$19:$C2092,$C2092,$G$19:$G2092),"")</f>
        <v>81211.819999998</v>
      </c>
      <c r="I2092" s="147"/>
      <c r="J2092" s="147"/>
      <c r="K2092" s="147" t="str">
        <f t="shared" si="32"/>
        <v/>
      </c>
      <c r="L2092" s="40"/>
      <c r="M2092"/>
      <c r="N2092"/>
      <c r="O2092"/>
      <c r="P2092"/>
      <c r="Q2092"/>
      <c r="R2092"/>
      <c r="S2092"/>
      <c r="T2092"/>
      <c r="U2092"/>
      <c r="V2092"/>
      <c r="W2092" s="41"/>
      <c r="X2092" s="41"/>
      <c r="Y2092" s="41"/>
    </row>
    <row r="2093" s="27" customFormat="1" ht="23" hidden="1" customHeight="1" spans="1:25">
      <c r="A2093" s="133" t="str">
        <f>IF(B2093="","",COUNTA($B$5:B2093))</f>
        <v/>
      </c>
      <c r="B2093" s="148"/>
      <c r="C2093" s="22" t="s">
        <v>49</v>
      </c>
      <c r="D2093" s="149"/>
      <c r="E2093" s="150"/>
      <c r="F2093" s="151"/>
      <c r="G2093" s="151"/>
      <c r="H2093" s="142">
        <f>IFERROR(VLOOKUP($C2093,$C$5:$H$18,6,0)+SUMIF($C$19:$C2093,$C2093,$F$19:$F2093)-SUMIF($C$19:$C2093,$C2093,$G$19:$G2093),"")</f>
        <v>81211.819999998</v>
      </c>
      <c r="I2093" s="147"/>
      <c r="J2093" s="147"/>
      <c r="K2093" s="147" t="str">
        <f t="shared" si="32"/>
        <v/>
      </c>
      <c r="L2093" s="40"/>
      <c r="M2093"/>
      <c r="N2093"/>
      <c r="O2093"/>
      <c r="P2093"/>
      <c r="Q2093"/>
      <c r="R2093"/>
      <c r="S2093"/>
      <c r="T2093"/>
      <c r="U2093"/>
      <c r="V2093"/>
      <c r="W2093" s="41"/>
      <c r="X2093" s="41"/>
      <c r="Y2093" s="41"/>
    </row>
    <row r="2094" s="27" customFormat="1" ht="23" hidden="1" customHeight="1" spans="1:25">
      <c r="A2094" s="133" t="str">
        <f>IF(B2094="","",COUNTA($B$5:B2094))</f>
        <v/>
      </c>
      <c r="B2094" s="148"/>
      <c r="C2094" s="22" t="s">
        <v>49</v>
      </c>
      <c r="D2094" s="149"/>
      <c r="E2094" s="150"/>
      <c r="F2094" s="151"/>
      <c r="G2094" s="151"/>
      <c r="H2094" s="142">
        <f>IFERROR(VLOOKUP($C2094,$C$5:$H$18,6,0)+SUMIF($C$19:$C2094,$C2094,$F$19:$F2094)-SUMIF($C$19:$C2094,$C2094,$G$19:$G2094),"")</f>
        <v>81211.819999998</v>
      </c>
      <c r="I2094" s="147"/>
      <c r="J2094" s="147"/>
      <c r="K2094" s="147" t="str">
        <f t="shared" si="32"/>
        <v/>
      </c>
      <c r="L2094" s="40"/>
      <c r="M2094"/>
      <c r="N2094"/>
      <c r="O2094"/>
      <c r="P2094"/>
      <c r="Q2094"/>
      <c r="R2094"/>
      <c r="S2094"/>
      <c r="T2094"/>
      <c r="U2094"/>
      <c r="V2094"/>
      <c r="W2094" s="41"/>
      <c r="X2094" s="41"/>
      <c r="Y2094" s="41"/>
    </row>
    <row r="2095" s="27" customFormat="1" ht="23" hidden="1" customHeight="1" spans="1:25">
      <c r="A2095" s="133" t="str">
        <f>IF(B2095="","",COUNTA($B$5:B2095))</f>
        <v/>
      </c>
      <c r="B2095" s="148"/>
      <c r="C2095" s="22" t="s">
        <v>49</v>
      </c>
      <c r="D2095" s="149"/>
      <c r="E2095" s="150"/>
      <c r="F2095" s="151"/>
      <c r="G2095" s="151"/>
      <c r="H2095" s="142">
        <f>IFERROR(VLOOKUP($C2095,$C$5:$H$18,6,0)+SUMIF($C$19:$C2095,$C2095,$F$19:$F2095)-SUMIF($C$19:$C2095,$C2095,$G$19:$G2095),"")</f>
        <v>81211.819999998</v>
      </c>
      <c r="I2095" s="147"/>
      <c r="J2095" s="147"/>
      <c r="K2095" s="147" t="str">
        <f t="shared" si="32"/>
        <v/>
      </c>
      <c r="L2095" s="40"/>
      <c r="M2095"/>
      <c r="N2095"/>
      <c r="O2095"/>
      <c r="P2095"/>
      <c r="Q2095"/>
      <c r="R2095"/>
      <c r="S2095"/>
      <c r="T2095"/>
      <c r="U2095"/>
      <c r="V2095"/>
      <c r="W2095" s="41"/>
      <c r="X2095" s="41"/>
      <c r="Y2095" s="41"/>
    </row>
    <row r="2096" s="27" customFormat="1" ht="23" hidden="1" customHeight="1" spans="1:25">
      <c r="A2096" s="133" t="str">
        <f>IF(B2096="","",COUNTA($B$5:B2096))</f>
        <v/>
      </c>
      <c r="B2096" s="148"/>
      <c r="C2096" s="22" t="s">
        <v>49</v>
      </c>
      <c r="D2096" s="149"/>
      <c r="E2096" s="150"/>
      <c r="F2096" s="151"/>
      <c r="G2096" s="151"/>
      <c r="H2096" s="142">
        <f>IFERROR(VLOOKUP($C2096,$C$5:$H$18,6,0)+SUMIF($C$19:$C2096,$C2096,$F$19:$F2096)-SUMIF($C$19:$C2096,$C2096,$G$19:$G2096),"")</f>
        <v>81211.819999998</v>
      </c>
      <c r="I2096" s="147"/>
      <c r="J2096" s="147"/>
      <c r="K2096" s="147" t="str">
        <f t="shared" si="32"/>
        <v/>
      </c>
      <c r="L2096" s="40"/>
      <c r="M2096"/>
      <c r="N2096"/>
      <c r="O2096"/>
      <c r="P2096"/>
      <c r="Q2096"/>
      <c r="R2096"/>
      <c r="S2096"/>
      <c r="T2096"/>
      <c r="U2096"/>
      <c r="V2096"/>
      <c r="W2096" s="41"/>
      <c r="X2096" s="41"/>
      <c r="Y2096" s="41"/>
    </row>
    <row r="2097" s="27" customFormat="1" ht="23" hidden="1" customHeight="1" spans="1:25">
      <c r="A2097" s="133" t="str">
        <f>IF(B2097="","",COUNTA($B$5:B2097))</f>
        <v/>
      </c>
      <c r="B2097" s="148"/>
      <c r="C2097" s="22" t="s">
        <v>49</v>
      </c>
      <c r="D2097" s="149"/>
      <c r="E2097" s="150"/>
      <c r="F2097" s="151"/>
      <c r="G2097" s="151"/>
      <c r="H2097" s="142">
        <f>IFERROR(VLOOKUP($C2097,$C$5:$H$18,6,0)+SUMIF($C$19:$C2097,$C2097,$F$19:$F2097)-SUMIF($C$19:$C2097,$C2097,$G$19:$G2097),"")</f>
        <v>81211.819999998</v>
      </c>
      <c r="I2097" s="147"/>
      <c r="J2097" s="147"/>
      <c r="K2097" s="147" t="str">
        <f t="shared" si="32"/>
        <v/>
      </c>
      <c r="L2097" s="40"/>
      <c r="M2097"/>
      <c r="N2097"/>
      <c r="O2097"/>
      <c r="P2097"/>
      <c r="Q2097"/>
      <c r="R2097"/>
      <c r="S2097"/>
      <c r="T2097"/>
      <c r="U2097"/>
      <c r="V2097"/>
      <c r="W2097" s="41"/>
      <c r="X2097" s="41"/>
      <c r="Y2097" s="41"/>
    </row>
    <row r="2098" s="27" customFormat="1" ht="23" hidden="1" customHeight="1" spans="1:25">
      <c r="A2098" s="133" t="str">
        <f>IF(B2098="","",COUNTA($B$5:B2098))</f>
        <v/>
      </c>
      <c r="B2098" s="148"/>
      <c r="C2098" s="22" t="s">
        <v>49</v>
      </c>
      <c r="D2098" s="149"/>
      <c r="E2098" s="150"/>
      <c r="F2098" s="151"/>
      <c r="G2098" s="151"/>
      <c r="H2098" s="142">
        <f>IFERROR(VLOOKUP($C2098,$C$5:$H$18,6,0)+SUMIF($C$19:$C2098,$C2098,$F$19:$F2098)-SUMIF($C$19:$C2098,$C2098,$G$19:$G2098),"")</f>
        <v>81211.819999998</v>
      </c>
      <c r="I2098" s="147"/>
      <c r="J2098" s="147"/>
      <c r="K2098" s="147" t="str">
        <f t="shared" si="32"/>
        <v/>
      </c>
      <c r="L2098" s="40"/>
      <c r="M2098"/>
      <c r="N2098"/>
      <c r="O2098"/>
      <c r="P2098"/>
      <c r="Q2098"/>
      <c r="R2098"/>
      <c r="S2098"/>
      <c r="T2098"/>
      <c r="U2098"/>
      <c r="V2098"/>
      <c r="W2098" s="41"/>
      <c r="X2098" s="41"/>
      <c r="Y2098" s="41"/>
    </row>
    <row r="2099" s="27" customFormat="1" ht="23" hidden="1" customHeight="1" spans="1:25">
      <c r="A2099" s="133" t="str">
        <f>IF(B2099="","",COUNTA($B$5:B2099))</f>
        <v/>
      </c>
      <c r="B2099" s="148"/>
      <c r="C2099" s="22" t="s">
        <v>49</v>
      </c>
      <c r="D2099" s="149"/>
      <c r="E2099" s="150"/>
      <c r="F2099" s="151"/>
      <c r="G2099" s="151"/>
      <c r="H2099" s="142">
        <f>IFERROR(VLOOKUP($C2099,$C$5:$H$18,6,0)+SUMIF($C$19:$C2099,$C2099,$F$19:$F2099)-SUMIF($C$19:$C2099,$C2099,$G$19:$G2099),"")</f>
        <v>81211.819999998</v>
      </c>
      <c r="I2099" s="147"/>
      <c r="J2099" s="147"/>
      <c r="K2099" s="147" t="str">
        <f t="shared" si="32"/>
        <v/>
      </c>
      <c r="L2099" s="40"/>
      <c r="M2099"/>
      <c r="N2099"/>
      <c r="O2099"/>
      <c r="P2099"/>
      <c r="Q2099"/>
      <c r="R2099"/>
      <c r="S2099"/>
      <c r="T2099"/>
      <c r="U2099"/>
      <c r="V2099"/>
      <c r="W2099" s="41"/>
      <c r="X2099" s="41"/>
      <c r="Y2099" s="41"/>
    </row>
    <row r="2100" s="27" customFormat="1" ht="23" hidden="1" customHeight="1" spans="1:25">
      <c r="A2100" s="133" t="str">
        <f>IF(B2100="","",COUNTA($B$5:B2100))</f>
        <v/>
      </c>
      <c r="B2100" s="148"/>
      <c r="C2100" s="22" t="s">
        <v>49</v>
      </c>
      <c r="D2100" s="149"/>
      <c r="E2100" s="150"/>
      <c r="F2100" s="151"/>
      <c r="G2100" s="151"/>
      <c r="H2100" s="142">
        <f>IFERROR(VLOOKUP($C2100,$C$5:$H$18,6,0)+SUMIF($C$19:$C2100,$C2100,$F$19:$F2100)-SUMIF($C$19:$C2100,$C2100,$G$19:$G2100),"")</f>
        <v>81211.819999998</v>
      </c>
      <c r="I2100" s="147"/>
      <c r="J2100" s="147"/>
      <c r="K2100" s="147" t="str">
        <f t="shared" si="32"/>
        <v/>
      </c>
      <c r="L2100" s="40"/>
      <c r="M2100"/>
      <c r="N2100"/>
      <c r="O2100"/>
      <c r="P2100"/>
      <c r="Q2100"/>
      <c r="R2100"/>
      <c r="S2100"/>
      <c r="T2100"/>
      <c r="U2100"/>
      <c r="V2100"/>
      <c r="W2100" s="41"/>
      <c r="X2100" s="41"/>
      <c r="Y2100" s="41"/>
    </row>
    <row r="2101" s="27" customFormat="1" ht="23" hidden="1" customHeight="1" spans="1:25">
      <c r="A2101" s="133" t="str">
        <f>IF(B2101="","",COUNTA($B$5:B2101))</f>
        <v/>
      </c>
      <c r="B2101" s="148"/>
      <c r="C2101" s="22" t="s">
        <v>49</v>
      </c>
      <c r="D2101" s="149"/>
      <c r="E2101" s="150"/>
      <c r="F2101" s="151"/>
      <c r="G2101" s="151"/>
      <c r="H2101" s="142">
        <f>IFERROR(VLOOKUP($C2101,$C$5:$H$18,6,0)+SUMIF($C$19:$C2101,$C2101,$F$19:$F2101)-SUMIF($C$19:$C2101,$C2101,$G$19:$G2101),"")</f>
        <v>81211.819999998</v>
      </c>
      <c r="I2101" s="147"/>
      <c r="J2101" s="147"/>
      <c r="K2101" s="147" t="str">
        <f t="shared" si="32"/>
        <v/>
      </c>
      <c r="L2101" s="40"/>
      <c r="M2101"/>
      <c r="N2101"/>
      <c r="O2101"/>
      <c r="P2101"/>
      <c r="Q2101"/>
      <c r="R2101"/>
      <c r="S2101"/>
      <c r="T2101"/>
      <c r="U2101"/>
      <c r="V2101"/>
      <c r="W2101" s="41"/>
      <c r="X2101" s="41"/>
      <c r="Y2101" s="41"/>
    </row>
    <row r="2102" s="27" customFormat="1" ht="23" hidden="1" customHeight="1" spans="1:25">
      <c r="A2102" s="133" t="str">
        <f>IF(B2102="","",COUNTA($B$5:B2102))</f>
        <v/>
      </c>
      <c r="B2102" s="148"/>
      <c r="C2102" s="22" t="s">
        <v>49</v>
      </c>
      <c r="D2102" s="149"/>
      <c r="E2102" s="150"/>
      <c r="F2102" s="151"/>
      <c r="G2102" s="151"/>
      <c r="H2102" s="142">
        <f>IFERROR(VLOOKUP($C2102,$C$5:$H$18,6,0)+SUMIF($C$19:$C2102,$C2102,$F$19:$F2102)-SUMIF($C$19:$C2102,$C2102,$G$19:$G2102),"")</f>
        <v>81211.819999998</v>
      </c>
      <c r="I2102" s="147"/>
      <c r="J2102" s="147"/>
      <c r="K2102" s="147" t="str">
        <f t="shared" si="32"/>
        <v/>
      </c>
      <c r="L2102" s="40"/>
      <c r="M2102"/>
      <c r="N2102"/>
      <c r="O2102"/>
      <c r="P2102"/>
      <c r="Q2102"/>
      <c r="R2102"/>
      <c r="S2102"/>
      <c r="T2102"/>
      <c r="U2102"/>
      <c r="V2102"/>
      <c r="W2102" s="41"/>
      <c r="X2102" s="41"/>
      <c r="Y2102" s="41"/>
    </row>
    <row r="2103" s="27" customFormat="1" ht="23" hidden="1" customHeight="1" spans="1:25">
      <c r="A2103" s="133" t="str">
        <f>IF(B2103="","",COUNTA($B$5:B2103))</f>
        <v/>
      </c>
      <c r="B2103" s="148"/>
      <c r="C2103" s="22" t="s">
        <v>49</v>
      </c>
      <c r="D2103" s="149"/>
      <c r="E2103" s="150"/>
      <c r="F2103" s="151"/>
      <c r="G2103" s="151"/>
      <c r="H2103" s="142">
        <f>IFERROR(VLOOKUP($C2103,$C$5:$H$18,6,0)+SUMIF($C$19:$C2103,$C2103,$F$19:$F2103)-SUMIF($C$19:$C2103,$C2103,$G$19:$G2103),"")</f>
        <v>81211.819999998</v>
      </c>
      <c r="I2103" s="147"/>
      <c r="J2103" s="147"/>
      <c r="K2103" s="147" t="str">
        <f t="shared" si="32"/>
        <v/>
      </c>
      <c r="L2103" s="40"/>
      <c r="M2103"/>
      <c r="N2103"/>
      <c r="O2103"/>
      <c r="P2103"/>
      <c r="Q2103"/>
      <c r="R2103"/>
      <c r="S2103"/>
      <c r="T2103"/>
      <c r="U2103"/>
      <c r="V2103"/>
      <c r="W2103" s="41"/>
      <c r="X2103" s="41"/>
      <c r="Y2103" s="41"/>
    </row>
    <row r="2104" s="27" customFormat="1" ht="23" hidden="1" customHeight="1" spans="1:25">
      <c r="A2104" s="133" t="str">
        <f>IF(B2104="","",COUNTA($B$5:B2104))</f>
        <v/>
      </c>
      <c r="B2104" s="148"/>
      <c r="C2104" s="22" t="s">
        <v>49</v>
      </c>
      <c r="D2104" s="149"/>
      <c r="E2104" s="150"/>
      <c r="F2104" s="151"/>
      <c r="G2104" s="151"/>
      <c r="H2104" s="142">
        <f>IFERROR(VLOOKUP($C2104,$C$5:$H$18,6,0)+SUMIF($C$19:$C2104,$C2104,$F$19:$F2104)-SUMIF($C$19:$C2104,$C2104,$G$19:$G2104),"")</f>
        <v>81211.819999998</v>
      </c>
      <c r="I2104" s="147"/>
      <c r="J2104" s="147"/>
      <c r="K2104" s="147" t="str">
        <f t="shared" si="32"/>
        <v/>
      </c>
      <c r="L2104" s="40"/>
      <c r="M2104"/>
      <c r="N2104"/>
      <c r="O2104"/>
      <c r="P2104"/>
      <c r="Q2104"/>
      <c r="R2104"/>
      <c r="S2104"/>
      <c r="T2104"/>
      <c r="U2104"/>
      <c r="V2104"/>
      <c r="W2104" s="41"/>
      <c r="X2104" s="41"/>
      <c r="Y2104" s="41"/>
    </row>
    <row r="2105" s="27" customFormat="1" ht="23" hidden="1" customHeight="1" spans="1:25">
      <c r="A2105" s="133" t="str">
        <f>IF(B2105="","",COUNTA($B$5:B2105))</f>
        <v/>
      </c>
      <c r="B2105" s="148"/>
      <c r="C2105" s="22" t="s">
        <v>49</v>
      </c>
      <c r="D2105" s="149"/>
      <c r="E2105" s="150"/>
      <c r="F2105" s="151"/>
      <c r="G2105" s="151"/>
      <c r="H2105" s="142">
        <f>IFERROR(VLOOKUP($C2105,$C$5:$H$18,6,0)+SUMIF($C$19:$C2105,$C2105,$F$19:$F2105)-SUMIF($C$19:$C2105,$C2105,$G$19:$G2105),"")</f>
        <v>81211.819999998</v>
      </c>
      <c r="I2105" s="147"/>
      <c r="J2105" s="147"/>
      <c r="K2105" s="147" t="str">
        <f t="shared" si="32"/>
        <v/>
      </c>
      <c r="L2105" s="40"/>
      <c r="M2105"/>
      <c r="N2105"/>
      <c r="O2105"/>
      <c r="P2105"/>
      <c r="Q2105"/>
      <c r="R2105"/>
      <c r="S2105"/>
      <c r="T2105"/>
      <c r="U2105"/>
      <c r="V2105"/>
      <c r="W2105" s="41"/>
      <c r="X2105" s="41"/>
      <c r="Y2105" s="41"/>
    </row>
    <row r="2106" s="27" customFormat="1" ht="23" hidden="1" customHeight="1" spans="1:25">
      <c r="A2106" s="133" t="str">
        <f>IF(B2106="","",COUNTA($B$5:B2106))</f>
        <v/>
      </c>
      <c r="B2106" s="148"/>
      <c r="C2106" s="22" t="s">
        <v>49</v>
      </c>
      <c r="D2106" s="149"/>
      <c r="E2106" s="150"/>
      <c r="F2106" s="151"/>
      <c r="G2106" s="151"/>
      <c r="H2106" s="142">
        <f>IFERROR(VLOOKUP($C2106,$C$5:$H$18,6,0)+SUMIF($C$19:$C2106,$C2106,$F$19:$F2106)-SUMIF($C$19:$C2106,$C2106,$G$19:$G2106),"")</f>
        <v>81211.819999998</v>
      </c>
      <c r="I2106" s="147"/>
      <c r="J2106" s="147"/>
      <c r="K2106" s="147" t="str">
        <f t="shared" si="32"/>
        <v/>
      </c>
      <c r="L2106" s="40"/>
      <c r="M2106"/>
      <c r="N2106"/>
      <c r="O2106"/>
      <c r="P2106"/>
      <c r="Q2106"/>
      <c r="R2106"/>
      <c r="S2106"/>
      <c r="T2106"/>
      <c r="U2106"/>
      <c r="V2106"/>
      <c r="W2106" s="41"/>
      <c r="X2106" s="41"/>
      <c r="Y2106" s="41"/>
    </row>
    <row r="2107" s="27" customFormat="1" ht="23" hidden="1" customHeight="1" spans="1:25">
      <c r="A2107" s="133" t="str">
        <f>IF(B2107="","",COUNTA($B$5:B2107))</f>
        <v/>
      </c>
      <c r="B2107" s="148"/>
      <c r="C2107" s="22" t="s">
        <v>49</v>
      </c>
      <c r="D2107" s="149"/>
      <c r="E2107" s="150"/>
      <c r="F2107" s="151"/>
      <c r="G2107" s="151"/>
      <c r="H2107" s="142">
        <f>IFERROR(VLOOKUP($C2107,$C$5:$H$18,6,0)+SUMIF($C$19:$C2107,$C2107,$F$19:$F2107)-SUMIF($C$19:$C2107,$C2107,$G$19:$G2107),"")</f>
        <v>81211.819999998</v>
      </c>
      <c r="I2107" s="147"/>
      <c r="J2107" s="147"/>
      <c r="K2107" s="147" t="str">
        <f t="shared" si="32"/>
        <v/>
      </c>
      <c r="L2107" s="40"/>
      <c r="M2107"/>
      <c r="N2107"/>
      <c r="O2107"/>
      <c r="P2107"/>
      <c r="Q2107"/>
      <c r="R2107"/>
      <c r="S2107"/>
      <c r="T2107"/>
      <c r="U2107"/>
      <c r="V2107"/>
      <c r="W2107" s="41"/>
      <c r="X2107" s="41"/>
      <c r="Y2107" s="41"/>
    </row>
    <row r="2108" s="27" customFormat="1" ht="23" hidden="1" customHeight="1" spans="1:25">
      <c r="A2108" s="133" t="str">
        <f>IF(B2108="","",COUNTA($B$5:B2108))</f>
        <v/>
      </c>
      <c r="B2108" s="148"/>
      <c r="C2108" s="22" t="s">
        <v>49</v>
      </c>
      <c r="D2108" s="149"/>
      <c r="E2108" s="150"/>
      <c r="F2108" s="151"/>
      <c r="G2108" s="151"/>
      <c r="H2108" s="142">
        <f>IFERROR(VLOOKUP($C2108,$C$5:$H$18,6,0)+SUMIF($C$19:$C2108,$C2108,$F$19:$F2108)-SUMIF($C$19:$C2108,$C2108,$G$19:$G2108),"")</f>
        <v>81211.819999998</v>
      </c>
      <c r="I2108" s="147"/>
      <c r="J2108" s="147"/>
      <c r="K2108" s="147" t="str">
        <f t="shared" si="32"/>
        <v/>
      </c>
      <c r="L2108" s="40"/>
      <c r="M2108"/>
      <c r="N2108"/>
      <c r="O2108"/>
      <c r="P2108"/>
      <c r="Q2108"/>
      <c r="R2108"/>
      <c r="S2108"/>
      <c r="T2108"/>
      <c r="U2108"/>
      <c r="V2108"/>
      <c r="W2108" s="41"/>
      <c r="X2108" s="41"/>
      <c r="Y2108" s="41"/>
    </row>
    <row r="2109" s="27" customFormat="1" ht="23" hidden="1" customHeight="1" spans="1:25">
      <c r="A2109" s="133" t="str">
        <f>IF(B2109="","",COUNTA($B$5:B2109))</f>
        <v/>
      </c>
      <c r="B2109" s="148"/>
      <c r="C2109" s="22" t="s">
        <v>49</v>
      </c>
      <c r="D2109" s="149"/>
      <c r="E2109" s="150"/>
      <c r="F2109" s="151"/>
      <c r="G2109" s="151"/>
      <c r="H2109" s="142">
        <f>IFERROR(VLOOKUP($C2109,$C$5:$H$18,6,0)+SUMIF($C$19:$C2109,$C2109,$F$19:$F2109)-SUMIF($C$19:$C2109,$C2109,$G$19:$G2109),"")</f>
        <v>81211.819999998</v>
      </c>
      <c r="I2109" s="147"/>
      <c r="J2109" s="147"/>
      <c r="K2109" s="147" t="str">
        <f t="shared" si="32"/>
        <v/>
      </c>
      <c r="L2109" s="40"/>
      <c r="M2109"/>
      <c r="N2109"/>
      <c r="O2109"/>
      <c r="P2109"/>
      <c r="Q2109"/>
      <c r="R2109"/>
      <c r="S2109"/>
      <c r="T2109"/>
      <c r="U2109"/>
      <c r="V2109"/>
      <c r="W2109" s="41"/>
      <c r="X2109" s="41"/>
      <c r="Y2109" s="41"/>
    </row>
    <row r="2110" s="27" customFormat="1" ht="23" hidden="1" customHeight="1" spans="1:25">
      <c r="A2110" s="133" t="str">
        <f>IF(B2110="","",COUNTA($B$5:B2110))</f>
        <v/>
      </c>
      <c r="B2110" s="148"/>
      <c r="C2110" s="22" t="s">
        <v>49</v>
      </c>
      <c r="D2110" s="149"/>
      <c r="E2110" s="150"/>
      <c r="F2110" s="151"/>
      <c r="G2110" s="151"/>
      <c r="H2110" s="142">
        <f>IFERROR(VLOOKUP($C2110,$C$5:$H$18,6,0)+SUMIF($C$19:$C2110,$C2110,$F$19:$F2110)-SUMIF($C$19:$C2110,$C2110,$G$19:$G2110),"")</f>
        <v>81211.819999998</v>
      </c>
      <c r="I2110" s="147"/>
      <c r="J2110" s="147"/>
      <c r="K2110" s="147" t="str">
        <f t="shared" si="32"/>
        <v/>
      </c>
      <c r="L2110" s="40"/>
      <c r="M2110"/>
      <c r="N2110"/>
      <c r="O2110"/>
      <c r="P2110"/>
      <c r="Q2110"/>
      <c r="R2110"/>
      <c r="S2110"/>
      <c r="T2110"/>
      <c r="U2110"/>
      <c r="V2110"/>
      <c r="W2110" s="41"/>
      <c r="X2110" s="41"/>
      <c r="Y2110" s="41"/>
    </row>
    <row r="2111" s="27" customFormat="1" ht="23" hidden="1" customHeight="1" spans="1:25">
      <c r="A2111" s="133" t="str">
        <f>IF(B2111="","",COUNTA($B$5:B2111))</f>
        <v/>
      </c>
      <c r="B2111" s="148"/>
      <c r="C2111" s="22" t="s">
        <v>49</v>
      </c>
      <c r="D2111" s="149"/>
      <c r="E2111" s="150"/>
      <c r="F2111" s="151"/>
      <c r="G2111" s="151"/>
      <c r="H2111" s="142">
        <f>IFERROR(VLOOKUP($C2111,$C$5:$H$18,6,0)+SUMIF($C$19:$C2111,$C2111,$F$19:$F2111)-SUMIF($C$19:$C2111,$C2111,$G$19:$G2111),"")</f>
        <v>81211.819999998</v>
      </c>
      <c r="I2111" s="147"/>
      <c r="J2111" s="147"/>
      <c r="K2111" s="147" t="str">
        <f t="shared" si="32"/>
        <v/>
      </c>
      <c r="L2111" s="40"/>
      <c r="M2111"/>
      <c r="N2111"/>
      <c r="O2111"/>
      <c r="P2111"/>
      <c r="Q2111"/>
      <c r="R2111"/>
      <c r="S2111"/>
      <c r="T2111"/>
      <c r="U2111"/>
      <c r="V2111"/>
      <c r="W2111" s="41"/>
      <c r="X2111" s="41"/>
      <c r="Y2111" s="41"/>
    </row>
    <row r="2112" s="27" customFormat="1" ht="23" hidden="1" customHeight="1" spans="1:25">
      <c r="A2112" s="133" t="str">
        <f>IF(B2112="","",COUNTA($B$5:B2112))</f>
        <v/>
      </c>
      <c r="B2112" s="148"/>
      <c r="C2112" s="22" t="s">
        <v>49</v>
      </c>
      <c r="D2112" s="149"/>
      <c r="E2112" s="150"/>
      <c r="F2112" s="151"/>
      <c r="G2112" s="151"/>
      <c r="H2112" s="142">
        <f>IFERROR(VLOOKUP($C2112,$C$5:$H$18,6,0)+SUMIF($C$19:$C2112,$C2112,$F$19:$F2112)-SUMIF($C$19:$C2112,$C2112,$G$19:$G2112),"")</f>
        <v>81211.819999998</v>
      </c>
      <c r="I2112" s="147"/>
      <c r="J2112" s="147"/>
      <c r="K2112" s="147" t="str">
        <f t="shared" si="32"/>
        <v/>
      </c>
      <c r="L2112" s="40"/>
      <c r="M2112"/>
      <c r="N2112"/>
      <c r="O2112"/>
      <c r="P2112"/>
      <c r="Q2112"/>
      <c r="R2112"/>
      <c r="S2112"/>
      <c r="T2112"/>
      <c r="U2112"/>
      <c r="V2112"/>
      <c r="W2112" s="41"/>
      <c r="X2112" s="41"/>
      <c r="Y2112" s="41"/>
    </row>
    <row r="2113" s="27" customFormat="1" ht="23" hidden="1" customHeight="1" spans="1:25">
      <c r="A2113" s="133" t="str">
        <f>IF(B2113="","",COUNTA($B$5:B2113))</f>
        <v/>
      </c>
      <c r="B2113" s="148"/>
      <c r="C2113" s="22" t="s">
        <v>49</v>
      </c>
      <c r="D2113" s="149"/>
      <c r="E2113" s="150"/>
      <c r="F2113" s="151"/>
      <c r="G2113" s="151"/>
      <c r="H2113" s="142">
        <f>IFERROR(VLOOKUP($C2113,$C$5:$H$18,6,0)+SUMIF($C$19:$C2113,$C2113,$F$19:$F2113)-SUMIF($C$19:$C2113,$C2113,$G$19:$G2113),"")</f>
        <v>81211.819999998</v>
      </c>
      <c r="I2113" s="147"/>
      <c r="J2113" s="147"/>
      <c r="K2113" s="147" t="str">
        <f t="shared" si="32"/>
        <v/>
      </c>
      <c r="L2113" s="40"/>
      <c r="M2113"/>
      <c r="N2113"/>
      <c r="O2113"/>
      <c r="P2113"/>
      <c r="Q2113"/>
      <c r="R2113"/>
      <c r="S2113"/>
      <c r="T2113"/>
      <c r="U2113"/>
      <c r="V2113"/>
      <c r="W2113" s="41"/>
      <c r="X2113" s="41"/>
      <c r="Y2113" s="41"/>
    </row>
    <row r="2114" s="27" customFormat="1" ht="23" hidden="1" customHeight="1" spans="1:25">
      <c r="A2114" s="133" t="str">
        <f>IF(B2114="","",COUNTA($B$5:B2114))</f>
        <v/>
      </c>
      <c r="B2114" s="148"/>
      <c r="C2114" s="22" t="s">
        <v>49</v>
      </c>
      <c r="D2114" s="149"/>
      <c r="E2114" s="150"/>
      <c r="F2114" s="151"/>
      <c r="G2114" s="151"/>
      <c r="H2114" s="142">
        <f>IFERROR(VLOOKUP($C2114,$C$5:$H$18,6,0)+SUMIF($C$19:$C2114,$C2114,$F$19:$F2114)-SUMIF($C$19:$C2114,$C2114,$G$19:$G2114),"")</f>
        <v>81211.819999998</v>
      </c>
      <c r="I2114" s="147"/>
      <c r="J2114" s="147"/>
      <c r="K2114" s="147" t="str">
        <f t="shared" si="32"/>
        <v/>
      </c>
      <c r="L2114" s="40"/>
      <c r="M2114"/>
      <c r="N2114"/>
      <c r="O2114"/>
      <c r="P2114"/>
      <c r="Q2114"/>
      <c r="R2114"/>
      <c r="S2114"/>
      <c r="T2114"/>
      <c r="U2114"/>
      <c r="V2114"/>
      <c r="W2114" s="41"/>
      <c r="X2114" s="41"/>
      <c r="Y2114" s="41"/>
    </row>
    <row r="2115" s="27" customFormat="1" ht="23" hidden="1" customHeight="1" spans="1:25">
      <c r="A2115" s="133" t="str">
        <f>IF(B2115="","",COUNTA($B$5:B2115))</f>
        <v/>
      </c>
      <c r="B2115" s="148"/>
      <c r="C2115" s="22" t="s">
        <v>49</v>
      </c>
      <c r="D2115" s="149"/>
      <c r="E2115" s="150"/>
      <c r="F2115" s="151"/>
      <c r="G2115" s="151"/>
      <c r="H2115" s="142">
        <f>IFERROR(VLOOKUP($C2115,$C$5:$H$18,6,0)+SUMIF($C$19:$C2115,$C2115,$F$19:$F2115)-SUMIF($C$19:$C2115,$C2115,$G$19:$G2115),"")</f>
        <v>81211.819999998</v>
      </c>
      <c r="I2115" s="147"/>
      <c r="J2115" s="147"/>
      <c r="K2115" s="147" t="str">
        <f t="shared" si="32"/>
        <v/>
      </c>
      <c r="L2115" s="40"/>
      <c r="M2115"/>
      <c r="N2115"/>
      <c r="O2115"/>
      <c r="P2115"/>
      <c r="Q2115"/>
      <c r="R2115"/>
      <c r="S2115"/>
      <c r="T2115"/>
      <c r="U2115"/>
      <c r="V2115"/>
      <c r="W2115" s="41"/>
      <c r="X2115" s="41"/>
      <c r="Y2115" s="41"/>
    </row>
    <row r="2116" s="27" customFormat="1" ht="23" hidden="1" customHeight="1" spans="1:25">
      <c r="A2116" s="133" t="str">
        <f>IF(B2116="","",COUNTA($B$5:B2116))</f>
        <v/>
      </c>
      <c r="B2116" s="148"/>
      <c r="C2116" s="22" t="s">
        <v>49</v>
      </c>
      <c r="D2116" s="149"/>
      <c r="E2116" s="150"/>
      <c r="F2116" s="151"/>
      <c r="G2116" s="151"/>
      <c r="H2116" s="142">
        <f>IFERROR(VLOOKUP($C2116,$C$5:$H$18,6,0)+SUMIF($C$19:$C2116,$C2116,$F$19:$F2116)-SUMIF($C$19:$C2116,$C2116,$G$19:$G2116),"")</f>
        <v>81211.819999998</v>
      </c>
      <c r="I2116" s="147"/>
      <c r="J2116" s="147"/>
      <c r="K2116" s="147" t="str">
        <f t="shared" si="32"/>
        <v/>
      </c>
      <c r="L2116" s="40"/>
      <c r="M2116"/>
      <c r="N2116"/>
      <c r="O2116"/>
      <c r="P2116"/>
      <c r="Q2116"/>
      <c r="R2116"/>
      <c r="S2116"/>
      <c r="T2116"/>
      <c r="U2116"/>
      <c r="V2116"/>
      <c r="W2116" s="41"/>
      <c r="X2116" s="41"/>
      <c r="Y2116" s="41"/>
    </row>
    <row r="2117" s="27" customFormat="1" ht="23" hidden="1" customHeight="1" spans="1:25">
      <c r="A2117" s="133" t="str">
        <f>IF(B2117="","",COUNTA($B$5:B2117))</f>
        <v/>
      </c>
      <c r="B2117" s="148"/>
      <c r="C2117" s="22" t="s">
        <v>49</v>
      </c>
      <c r="D2117" s="149"/>
      <c r="E2117" s="150"/>
      <c r="F2117" s="151"/>
      <c r="G2117" s="151"/>
      <c r="H2117" s="142">
        <f>IFERROR(VLOOKUP($C2117,$C$5:$H$18,6,0)+SUMIF($C$19:$C2117,$C2117,$F$19:$F2117)-SUMIF($C$19:$C2117,$C2117,$G$19:$G2117),"")</f>
        <v>81211.819999998</v>
      </c>
      <c r="I2117" s="147"/>
      <c r="J2117" s="147"/>
      <c r="K2117" s="147" t="str">
        <f t="shared" ref="K2117:K2180" si="33">IF($B2117="","",--TEXT($B2117,"yyyymm"))</f>
        <v/>
      </c>
      <c r="L2117" s="40"/>
      <c r="M2117"/>
      <c r="N2117"/>
      <c r="O2117"/>
      <c r="P2117"/>
      <c r="Q2117"/>
      <c r="R2117"/>
      <c r="S2117"/>
      <c r="T2117"/>
      <c r="U2117"/>
      <c r="V2117"/>
      <c r="W2117" s="41"/>
      <c r="X2117" s="41"/>
      <c r="Y2117" s="41"/>
    </row>
    <row r="2118" s="27" customFormat="1" ht="23" hidden="1" customHeight="1" spans="1:25">
      <c r="A2118" s="133" t="str">
        <f>IF(B2118="","",COUNTA($B$5:B2118))</f>
        <v/>
      </c>
      <c r="B2118" s="148"/>
      <c r="C2118" s="22" t="s">
        <v>49</v>
      </c>
      <c r="D2118" s="149"/>
      <c r="E2118" s="150"/>
      <c r="F2118" s="151"/>
      <c r="G2118" s="151"/>
      <c r="H2118" s="142">
        <f>IFERROR(VLOOKUP($C2118,$C$5:$H$18,6,0)+SUMIF($C$19:$C2118,$C2118,$F$19:$F2118)-SUMIF($C$19:$C2118,$C2118,$G$19:$G2118),"")</f>
        <v>81211.819999998</v>
      </c>
      <c r="I2118" s="147"/>
      <c r="J2118" s="147"/>
      <c r="K2118" s="147" t="str">
        <f t="shared" si="33"/>
        <v/>
      </c>
      <c r="L2118" s="40"/>
      <c r="M2118"/>
      <c r="N2118"/>
      <c r="O2118"/>
      <c r="P2118"/>
      <c r="Q2118"/>
      <c r="R2118"/>
      <c r="S2118"/>
      <c r="T2118"/>
      <c r="U2118"/>
      <c r="V2118"/>
      <c r="W2118" s="41"/>
      <c r="X2118" s="41"/>
      <c r="Y2118" s="41"/>
    </row>
    <row r="2119" s="27" customFormat="1" ht="23" hidden="1" customHeight="1" spans="1:25">
      <c r="A2119" s="133" t="str">
        <f>IF(B2119="","",COUNTA($B$5:B2119))</f>
        <v/>
      </c>
      <c r="B2119" s="148"/>
      <c r="C2119" s="22" t="s">
        <v>49</v>
      </c>
      <c r="D2119" s="149"/>
      <c r="E2119" s="150"/>
      <c r="F2119" s="151"/>
      <c r="G2119" s="151"/>
      <c r="H2119" s="142">
        <f>IFERROR(VLOOKUP($C2119,$C$5:$H$18,6,0)+SUMIF($C$19:$C2119,$C2119,$F$19:$F2119)-SUMIF($C$19:$C2119,$C2119,$G$19:$G2119),"")</f>
        <v>81211.819999998</v>
      </c>
      <c r="I2119" s="147"/>
      <c r="J2119" s="147"/>
      <c r="K2119" s="147" t="str">
        <f t="shared" si="33"/>
        <v/>
      </c>
      <c r="L2119" s="40"/>
      <c r="M2119"/>
      <c r="N2119"/>
      <c r="O2119"/>
      <c r="P2119"/>
      <c r="Q2119"/>
      <c r="R2119"/>
      <c r="S2119"/>
      <c r="T2119"/>
      <c r="U2119"/>
      <c r="V2119"/>
      <c r="W2119" s="41"/>
      <c r="X2119" s="41"/>
      <c r="Y2119" s="41"/>
    </row>
    <row r="2120" s="27" customFormat="1" ht="23" hidden="1" customHeight="1" spans="1:25">
      <c r="A2120" s="133" t="str">
        <f>IF(B2120="","",COUNTA($B$5:B2120))</f>
        <v/>
      </c>
      <c r="B2120" s="148"/>
      <c r="C2120" s="22" t="s">
        <v>49</v>
      </c>
      <c r="D2120" s="149"/>
      <c r="E2120" s="150"/>
      <c r="F2120" s="151"/>
      <c r="G2120" s="151"/>
      <c r="H2120" s="142">
        <f>IFERROR(VLOOKUP($C2120,$C$5:$H$18,6,0)+SUMIF($C$19:$C2120,$C2120,$F$19:$F2120)-SUMIF($C$19:$C2120,$C2120,$G$19:$G2120),"")</f>
        <v>81211.819999998</v>
      </c>
      <c r="I2120" s="147"/>
      <c r="J2120" s="147"/>
      <c r="K2120" s="147" t="str">
        <f t="shared" si="33"/>
        <v/>
      </c>
      <c r="L2120" s="40"/>
      <c r="M2120"/>
      <c r="N2120"/>
      <c r="O2120"/>
      <c r="P2120"/>
      <c r="Q2120"/>
      <c r="R2120"/>
      <c r="S2120"/>
      <c r="T2120"/>
      <c r="U2120"/>
      <c r="V2120"/>
      <c r="W2120" s="41"/>
      <c r="X2120" s="41"/>
      <c r="Y2120" s="41"/>
    </row>
    <row r="2121" s="27" customFormat="1" ht="23" hidden="1" customHeight="1" spans="1:25">
      <c r="A2121" s="133" t="str">
        <f>IF(B2121="","",COUNTA($B$5:B2121))</f>
        <v/>
      </c>
      <c r="B2121" s="148"/>
      <c r="C2121" s="22" t="s">
        <v>49</v>
      </c>
      <c r="D2121" s="149"/>
      <c r="E2121" s="150"/>
      <c r="F2121" s="151"/>
      <c r="G2121" s="151"/>
      <c r="H2121" s="142">
        <f>IFERROR(VLOOKUP($C2121,$C$5:$H$18,6,0)+SUMIF($C$19:$C2121,$C2121,$F$19:$F2121)-SUMIF($C$19:$C2121,$C2121,$G$19:$G2121),"")</f>
        <v>81211.819999998</v>
      </c>
      <c r="I2121" s="147"/>
      <c r="J2121" s="147"/>
      <c r="K2121" s="147" t="str">
        <f t="shared" si="33"/>
        <v/>
      </c>
      <c r="L2121" s="40"/>
      <c r="M2121"/>
      <c r="N2121"/>
      <c r="O2121"/>
      <c r="P2121"/>
      <c r="Q2121"/>
      <c r="R2121"/>
      <c r="S2121"/>
      <c r="T2121"/>
      <c r="U2121"/>
      <c r="V2121"/>
      <c r="W2121" s="41"/>
      <c r="X2121" s="41"/>
      <c r="Y2121" s="41"/>
    </row>
    <row r="2122" s="27" customFormat="1" ht="23" hidden="1" customHeight="1" spans="1:25">
      <c r="A2122" s="133" t="str">
        <f>IF(B2122="","",COUNTA($B$5:B2122))</f>
        <v/>
      </c>
      <c r="B2122" s="148"/>
      <c r="C2122" s="22" t="s">
        <v>49</v>
      </c>
      <c r="D2122" s="149"/>
      <c r="E2122" s="150"/>
      <c r="F2122" s="151"/>
      <c r="G2122" s="151"/>
      <c r="H2122" s="142">
        <f>IFERROR(VLOOKUP($C2122,$C$5:$H$18,6,0)+SUMIF($C$19:$C2122,$C2122,$F$19:$F2122)-SUMIF($C$19:$C2122,$C2122,$G$19:$G2122),"")</f>
        <v>81211.819999998</v>
      </c>
      <c r="I2122" s="147"/>
      <c r="J2122" s="147"/>
      <c r="K2122" s="147" t="str">
        <f t="shared" si="33"/>
        <v/>
      </c>
      <c r="L2122" s="40"/>
      <c r="M2122"/>
      <c r="N2122"/>
      <c r="O2122"/>
      <c r="P2122"/>
      <c r="Q2122"/>
      <c r="R2122"/>
      <c r="S2122"/>
      <c r="T2122"/>
      <c r="U2122"/>
      <c r="V2122"/>
      <c r="W2122" s="41"/>
      <c r="X2122" s="41"/>
      <c r="Y2122" s="41"/>
    </row>
    <row r="2123" s="27" customFormat="1" ht="23" hidden="1" customHeight="1" spans="1:25">
      <c r="A2123" s="133" t="str">
        <f>IF(B2123="","",COUNTA($B$5:B2123))</f>
        <v/>
      </c>
      <c r="B2123" s="148"/>
      <c r="C2123" s="22" t="s">
        <v>49</v>
      </c>
      <c r="D2123" s="149"/>
      <c r="E2123" s="150"/>
      <c r="F2123" s="151"/>
      <c r="G2123" s="151"/>
      <c r="H2123" s="142">
        <f>IFERROR(VLOOKUP($C2123,$C$5:$H$18,6,0)+SUMIF($C$19:$C2123,$C2123,$F$19:$F2123)-SUMIF($C$19:$C2123,$C2123,$G$19:$G2123),"")</f>
        <v>81211.819999998</v>
      </c>
      <c r="I2123" s="147"/>
      <c r="J2123" s="147"/>
      <c r="K2123" s="147" t="str">
        <f t="shared" si="33"/>
        <v/>
      </c>
      <c r="L2123" s="40"/>
      <c r="M2123"/>
      <c r="N2123"/>
      <c r="O2123"/>
      <c r="P2123"/>
      <c r="Q2123"/>
      <c r="R2123"/>
      <c r="S2123"/>
      <c r="T2123"/>
      <c r="U2123"/>
      <c r="V2123"/>
      <c r="W2123" s="41"/>
      <c r="X2123" s="41"/>
      <c r="Y2123" s="41"/>
    </row>
    <row r="2124" s="27" customFormat="1" ht="23" hidden="1" customHeight="1" spans="1:25">
      <c r="A2124" s="133" t="str">
        <f>IF(B2124="","",COUNTA($B$5:B2124))</f>
        <v/>
      </c>
      <c r="B2124" s="148"/>
      <c r="C2124" s="22" t="s">
        <v>49</v>
      </c>
      <c r="D2124" s="149"/>
      <c r="E2124" s="150"/>
      <c r="F2124" s="151"/>
      <c r="G2124" s="151"/>
      <c r="H2124" s="142">
        <f>IFERROR(VLOOKUP($C2124,$C$5:$H$18,6,0)+SUMIF($C$19:$C2124,$C2124,$F$19:$F2124)-SUMIF($C$19:$C2124,$C2124,$G$19:$G2124),"")</f>
        <v>81211.819999998</v>
      </c>
      <c r="I2124" s="147"/>
      <c r="J2124" s="147"/>
      <c r="K2124" s="147" t="str">
        <f t="shared" si="33"/>
        <v/>
      </c>
      <c r="L2124" s="40"/>
      <c r="M2124"/>
      <c r="N2124"/>
      <c r="O2124"/>
      <c r="P2124"/>
      <c r="Q2124"/>
      <c r="R2124"/>
      <c r="S2124"/>
      <c r="T2124"/>
      <c r="U2124"/>
      <c r="V2124"/>
      <c r="W2124" s="41"/>
      <c r="X2124" s="41"/>
      <c r="Y2124" s="41"/>
    </row>
    <row r="2125" s="27" customFormat="1" ht="23" hidden="1" customHeight="1" spans="1:25">
      <c r="A2125" s="133" t="str">
        <f>IF(B2125="","",COUNTA($B$5:B2125))</f>
        <v/>
      </c>
      <c r="B2125" s="148"/>
      <c r="C2125" s="22" t="s">
        <v>49</v>
      </c>
      <c r="D2125" s="149"/>
      <c r="E2125" s="150"/>
      <c r="F2125" s="151"/>
      <c r="G2125" s="151"/>
      <c r="H2125" s="142">
        <f>IFERROR(VLOOKUP($C2125,$C$5:$H$18,6,0)+SUMIF($C$19:$C2125,$C2125,$F$19:$F2125)-SUMIF($C$19:$C2125,$C2125,$G$19:$G2125),"")</f>
        <v>81211.819999998</v>
      </c>
      <c r="I2125" s="147"/>
      <c r="J2125" s="147"/>
      <c r="K2125" s="147" t="str">
        <f t="shared" si="33"/>
        <v/>
      </c>
      <c r="L2125" s="40"/>
      <c r="M2125"/>
      <c r="N2125"/>
      <c r="O2125"/>
      <c r="P2125"/>
      <c r="Q2125"/>
      <c r="R2125"/>
      <c r="S2125"/>
      <c r="T2125"/>
      <c r="U2125"/>
      <c r="V2125"/>
      <c r="W2125" s="41"/>
      <c r="X2125" s="41"/>
      <c r="Y2125" s="41"/>
    </row>
    <row r="2126" s="27" customFormat="1" ht="23" hidden="1" customHeight="1" spans="1:25">
      <c r="A2126" s="133" t="str">
        <f>IF(B2126="","",COUNTA($B$5:B2126))</f>
        <v/>
      </c>
      <c r="B2126" s="148"/>
      <c r="C2126" s="22" t="s">
        <v>49</v>
      </c>
      <c r="D2126" s="149"/>
      <c r="E2126" s="150"/>
      <c r="F2126" s="151"/>
      <c r="G2126" s="151"/>
      <c r="H2126" s="142">
        <f>IFERROR(VLOOKUP($C2126,$C$5:$H$18,6,0)+SUMIF($C$19:$C2126,$C2126,$F$19:$F2126)-SUMIF($C$19:$C2126,$C2126,$G$19:$G2126),"")</f>
        <v>81211.819999998</v>
      </c>
      <c r="I2126" s="147"/>
      <c r="J2126" s="147"/>
      <c r="K2126" s="147" t="str">
        <f t="shared" si="33"/>
        <v/>
      </c>
      <c r="L2126" s="40"/>
      <c r="M2126"/>
      <c r="N2126"/>
      <c r="O2126"/>
      <c r="P2126"/>
      <c r="Q2126"/>
      <c r="R2126"/>
      <c r="S2126"/>
      <c r="T2126"/>
      <c r="U2126"/>
      <c r="V2126"/>
      <c r="W2126" s="41"/>
      <c r="X2126" s="41"/>
      <c r="Y2126" s="41"/>
    </row>
    <row r="2127" s="27" customFormat="1" ht="23" hidden="1" customHeight="1" spans="1:25">
      <c r="A2127" s="133" t="str">
        <f>IF(B2127="","",COUNTA($B$5:B2127))</f>
        <v/>
      </c>
      <c r="B2127" s="148"/>
      <c r="C2127" s="22" t="s">
        <v>49</v>
      </c>
      <c r="D2127" s="149"/>
      <c r="E2127" s="150"/>
      <c r="F2127" s="151"/>
      <c r="G2127" s="151"/>
      <c r="H2127" s="142">
        <f>IFERROR(VLOOKUP($C2127,$C$5:$H$18,6,0)+SUMIF($C$19:$C2127,$C2127,$F$19:$F2127)-SUMIF($C$19:$C2127,$C2127,$G$19:$G2127),"")</f>
        <v>81211.819999998</v>
      </c>
      <c r="I2127" s="147"/>
      <c r="J2127" s="147"/>
      <c r="K2127" s="147" t="str">
        <f t="shared" si="33"/>
        <v/>
      </c>
      <c r="L2127" s="40"/>
      <c r="M2127"/>
      <c r="N2127"/>
      <c r="O2127"/>
      <c r="P2127"/>
      <c r="Q2127"/>
      <c r="R2127"/>
      <c r="S2127"/>
      <c r="T2127"/>
      <c r="U2127"/>
      <c r="V2127"/>
      <c r="W2127" s="41"/>
      <c r="X2127" s="41"/>
      <c r="Y2127" s="41"/>
    </row>
    <row r="2128" s="27" customFormat="1" ht="23" hidden="1" customHeight="1" spans="1:25">
      <c r="A2128" s="133" t="str">
        <f>IF(B2128="","",COUNTA($B$5:B2128))</f>
        <v/>
      </c>
      <c r="B2128" s="148"/>
      <c r="C2128" s="22" t="s">
        <v>49</v>
      </c>
      <c r="D2128" s="149"/>
      <c r="E2128" s="150"/>
      <c r="F2128" s="151"/>
      <c r="G2128" s="151"/>
      <c r="H2128" s="142">
        <f>IFERROR(VLOOKUP($C2128,$C$5:$H$18,6,0)+SUMIF($C$19:$C2128,$C2128,$F$19:$F2128)-SUMIF($C$19:$C2128,$C2128,$G$19:$G2128),"")</f>
        <v>81211.819999998</v>
      </c>
      <c r="I2128" s="147"/>
      <c r="J2128" s="147"/>
      <c r="K2128" s="147" t="str">
        <f t="shared" si="33"/>
        <v/>
      </c>
      <c r="L2128" s="40"/>
      <c r="M2128"/>
      <c r="N2128"/>
      <c r="O2128"/>
      <c r="P2128"/>
      <c r="Q2128"/>
      <c r="R2128"/>
      <c r="S2128"/>
      <c r="T2128"/>
      <c r="U2128"/>
      <c r="V2128"/>
      <c r="W2128" s="41"/>
      <c r="X2128" s="41"/>
      <c r="Y2128" s="41"/>
    </row>
    <row r="2129" s="27" customFormat="1" ht="23" hidden="1" customHeight="1" spans="1:25">
      <c r="A2129" s="133" t="str">
        <f>IF(B2129="","",COUNTA($B$5:B2129))</f>
        <v/>
      </c>
      <c r="B2129" s="148"/>
      <c r="C2129" s="22" t="s">
        <v>49</v>
      </c>
      <c r="D2129" s="149"/>
      <c r="E2129" s="150"/>
      <c r="F2129" s="151"/>
      <c r="G2129" s="151"/>
      <c r="H2129" s="142">
        <f>IFERROR(VLOOKUP($C2129,$C$5:$H$18,6,0)+SUMIF($C$19:$C2129,$C2129,$F$19:$F2129)-SUMIF($C$19:$C2129,$C2129,$G$19:$G2129),"")</f>
        <v>81211.819999998</v>
      </c>
      <c r="I2129" s="147"/>
      <c r="J2129" s="147"/>
      <c r="K2129" s="147" t="str">
        <f t="shared" si="33"/>
        <v/>
      </c>
      <c r="L2129" s="40"/>
      <c r="M2129"/>
      <c r="N2129"/>
      <c r="O2129"/>
      <c r="P2129"/>
      <c r="Q2129"/>
      <c r="R2129"/>
      <c r="S2129"/>
      <c r="T2129"/>
      <c r="U2129"/>
      <c r="V2129"/>
      <c r="W2129" s="41"/>
      <c r="X2129" s="41"/>
      <c r="Y2129" s="41"/>
    </row>
    <row r="2130" s="27" customFormat="1" ht="23" hidden="1" customHeight="1" spans="1:25">
      <c r="A2130" s="133" t="str">
        <f>IF(B2130="","",COUNTA($B$5:B2130))</f>
        <v/>
      </c>
      <c r="B2130" s="148"/>
      <c r="C2130" s="22" t="s">
        <v>49</v>
      </c>
      <c r="D2130" s="149"/>
      <c r="E2130" s="150"/>
      <c r="F2130" s="151"/>
      <c r="G2130" s="151"/>
      <c r="H2130" s="142">
        <f>IFERROR(VLOOKUP($C2130,$C$5:$H$18,6,0)+SUMIF($C$19:$C2130,$C2130,$F$19:$F2130)-SUMIF($C$19:$C2130,$C2130,$G$19:$G2130),"")</f>
        <v>81211.819999998</v>
      </c>
      <c r="I2130" s="147"/>
      <c r="J2130" s="147"/>
      <c r="K2130" s="147" t="str">
        <f t="shared" si="33"/>
        <v/>
      </c>
      <c r="L2130" s="40"/>
      <c r="M2130"/>
      <c r="N2130"/>
      <c r="O2130"/>
      <c r="P2130"/>
      <c r="Q2130"/>
      <c r="R2130"/>
      <c r="S2130"/>
      <c r="T2130"/>
      <c r="U2130"/>
      <c r="V2130"/>
      <c r="W2130" s="41"/>
      <c r="X2130" s="41"/>
      <c r="Y2130" s="41"/>
    </row>
    <row r="2131" s="27" customFormat="1" ht="23" hidden="1" customHeight="1" spans="1:25">
      <c r="A2131" s="133" t="str">
        <f>IF(B2131="","",COUNTA($B$5:B2131))</f>
        <v/>
      </c>
      <c r="B2131" s="148"/>
      <c r="C2131" s="22" t="s">
        <v>49</v>
      </c>
      <c r="D2131" s="149"/>
      <c r="E2131" s="150"/>
      <c r="F2131" s="151"/>
      <c r="G2131" s="151"/>
      <c r="H2131" s="142">
        <f>IFERROR(VLOOKUP($C2131,$C$5:$H$18,6,0)+SUMIF($C$19:$C2131,$C2131,$F$19:$F2131)-SUMIF($C$19:$C2131,$C2131,$G$19:$G2131),"")</f>
        <v>81211.819999998</v>
      </c>
      <c r="I2131" s="147"/>
      <c r="J2131" s="147"/>
      <c r="K2131" s="147" t="str">
        <f t="shared" si="33"/>
        <v/>
      </c>
      <c r="L2131" s="40"/>
      <c r="M2131"/>
      <c r="N2131"/>
      <c r="O2131"/>
      <c r="P2131"/>
      <c r="Q2131"/>
      <c r="R2131"/>
      <c r="S2131"/>
      <c r="T2131"/>
      <c r="U2131"/>
      <c r="V2131"/>
      <c r="W2131" s="41"/>
      <c r="X2131" s="41"/>
      <c r="Y2131" s="41"/>
    </row>
    <row r="2132" s="27" customFormat="1" ht="23" hidden="1" customHeight="1" spans="1:25">
      <c r="A2132" s="133" t="str">
        <f>IF(B2132="","",COUNTA($B$5:B2132))</f>
        <v/>
      </c>
      <c r="B2132" s="148"/>
      <c r="C2132" s="22" t="s">
        <v>49</v>
      </c>
      <c r="D2132" s="149"/>
      <c r="E2132" s="150"/>
      <c r="F2132" s="151"/>
      <c r="G2132" s="151"/>
      <c r="H2132" s="142">
        <f>IFERROR(VLOOKUP($C2132,$C$5:$H$18,6,0)+SUMIF($C$19:$C2132,$C2132,$F$19:$F2132)-SUMIF($C$19:$C2132,$C2132,$G$19:$G2132),"")</f>
        <v>81211.819999998</v>
      </c>
      <c r="I2132" s="147"/>
      <c r="J2132" s="147"/>
      <c r="K2132" s="147" t="str">
        <f t="shared" si="33"/>
        <v/>
      </c>
      <c r="L2132" s="40"/>
      <c r="M2132"/>
      <c r="N2132"/>
      <c r="O2132"/>
      <c r="P2132"/>
      <c r="Q2132"/>
      <c r="R2132"/>
      <c r="S2132"/>
      <c r="T2132"/>
      <c r="U2132"/>
      <c r="V2132"/>
      <c r="W2132" s="41"/>
      <c r="X2132" s="41"/>
      <c r="Y2132" s="41"/>
    </row>
    <row r="2133" s="27" customFormat="1" ht="23" hidden="1" customHeight="1" spans="1:25">
      <c r="A2133" s="133" t="str">
        <f>IF(B2133="","",COUNTA($B$5:B2133))</f>
        <v/>
      </c>
      <c r="B2133" s="148"/>
      <c r="C2133" s="22" t="s">
        <v>49</v>
      </c>
      <c r="D2133" s="149"/>
      <c r="E2133" s="150"/>
      <c r="F2133" s="151"/>
      <c r="G2133" s="151"/>
      <c r="H2133" s="142">
        <f>IFERROR(VLOOKUP($C2133,$C$5:$H$18,6,0)+SUMIF($C$19:$C2133,$C2133,$F$19:$F2133)-SUMIF($C$19:$C2133,$C2133,$G$19:$G2133),"")</f>
        <v>81211.819999998</v>
      </c>
      <c r="I2133" s="147"/>
      <c r="J2133" s="147"/>
      <c r="K2133" s="147" t="str">
        <f t="shared" si="33"/>
        <v/>
      </c>
      <c r="L2133" s="40"/>
      <c r="M2133"/>
      <c r="N2133"/>
      <c r="O2133"/>
      <c r="P2133"/>
      <c r="Q2133"/>
      <c r="R2133"/>
      <c r="S2133"/>
      <c r="T2133"/>
      <c r="U2133"/>
      <c r="V2133"/>
      <c r="W2133" s="41"/>
      <c r="X2133" s="41"/>
      <c r="Y2133" s="41"/>
    </row>
    <row r="2134" s="27" customFormat="1" ht="23" hidden="1" customHeight="1" spans="1:25">
      <c r="A2134" s="133" t="str">
        <f>IF(B2134="","",COUNTA($B$5:B2134))</f>
        <v/>
      </c>
      <c r="B2134" s="148"/>
      <c r="C2134" s="22" t="s">
        <v>49</v>
      </c>
      <c r="D2134" s="149"/>
      <c r="E2134" s="150"/>
      <c r="F2134" s="151"/>
      <c r="G2134" s="151"/>
      <c r="H2134" s="142">
        <f>IFERROR(VLOOKUP($C2134,$C$5:$H$18,6,0)+SUMIF($C$19:$C2134,$C2134,$F$19:$F2134)-SUMIF($C$19:$C2134,$C2134,$G$19:$G2134),"")</f>
        <v>81211.819999998</v>
      </c>
      <c r="I2134" s="147"/>
      <c r="J2134" s="147"/>
      <c r="K2134" s="147" t="str">
        <f t="shared" si="33"/>
        <v/>
      </c>
      <c r="L2134" s="40"/>
      <c r="M2134"/>
      <c r="N2134"/>
      <c r="O2134"/>
      <c r="P2134"/>
      <c r="Q2134"/>
      <c r="R2134"/>
      <c r="S2134"/>
      <c r="T2134"/>
      <c r="U2134"/>
      <c r="V2134"/>
      <c r="W2134" s="41"/>
      <c r="X2134" s="41"/>
      <c r="Y2134" s="41"/>
    </row>
    <row r="2135" s="27" customFormat="1" ht="23" hidden="1" customHeight="1" spans="1:25">
      <c r="A2135" s="133" t="str">
        <f>IF(B2135="","",COUNTA($B$5:B2135))</f>
        <v/>
      </c>
      <c r="B2135" s="148"/>
      <c r="C2135" s="22" t="s">
        <v>49</v>
      </c>
      <c r="D2135" s="149"/>
      <c r="E2135" s="150"/>
      <c r="F2135" s="151"/>
      <c r="G2135" s="151"/>
      <c r="H2135" s="142">
        <f>IFERROR(VLOOKUP($C2135,$C$5:$H$18,6,0)+SUMIF($C$19:$C2135,$C2135,$F$19:$F2135)-SUMIF($C$19:$C2135,$C2135,$G$19:$G2135),"")</f>
        <v>81211.819999998</v>
      </c>
      <c r="I2135" s="147"/>
      <c r="J2135" s="147"/>
      <c r="K2135" s="147" t="str">
        <f t="shared" si="33"/>
        <v/>
      </c>
      <c r="L2135" s="40"/>
      <c r="M2135"/>
      <c r="N2135"/>
      <c r="O2135"/>
      <c r="P2135"/>
      <c r="Q2135"/>
      <c r="R2135"/>
      <c r="S2135"/>
      <c r="T2135"/>
      <c r="U2135"/>
      <c r="V2135"/>
      <c r="W2135" s="41"/>
      <c r="X2135" s="41"/>
      <c r="Y2135" s="41"/>
    </row>
    <row r="2136" s="27" customFormat="1" ht="23" hidden="1" customHeight="1" spans="1:25">
      <c r="A2136" s="133" t="str">
        <f>IF(B2136="","",COUNTA($B$5:B2136))</f>
        <v/>
      </c>
      <c r="B2136" s="148"/>
      <c r="C2136" s="22" t="s">
        <v>49</v>
      </c>
      <c r="D2136" s="149"/>
      <c r="E2136" s="150"/>
      <c r="F2136" s="151"/>
      <c r="G2136" s="151"/>
      <c r="H2136" s="142">
        <f>IFERROR(VLOOKUP($C2136,$C$5:$H$18,6,0)+SUMIF($C$19:$C2136,$C2136,$F$19:$F2136)-SUMIF($C$19:$C2136,$C2136,$G$19:$G2136),"")</f>
        <v>81211.819999998</v>
      </c>
      <c r="I2136" s="147"/>
      <c r="J2136" s="147"/>
      <c r="K2136" s="147" t="str">
        <f t="shared" si="33"/>
        <v/>
      </c>
      <c r="L2136" s="40"/>
      <c r="M2136"/>
      <c r="N2136"/>
      <c r="O2136"/>
      <c r="P2136"/>
      <c r="Q2136"/>
      <c r="R2136"/>
      <c r="S2136"/>
      <c r="T2136"/>
      <c r="U2136"/>
      <c r="V2136"/>
      <c r="W2136" s="41"/>
      <c r="X2136" s="41"/>
      <c r="Y2136" s="41"/>
    </row>
    <row r="2137" s="27" customFormat="1" ht="23" hidden="1" customHeight="1" spans="1:25">
      <c r="A2137" s="133" t="str">
        <f>IF(B2137="","",COUNTA($B$5:B2137))</f>
        <v/>
      </c>
      <c r="B2137" s="148"/>
      <c r="C2137" s="22" t="s">
        <v>49</v>
      </c>
      <c r="D2137" s="149"/>
      <c r="E2137" s="150"/>
      <c r="F2137" s="151"/>
      <c r="G2137" s="151"/>
      <c r="H2137" s="142">
        <f>IFERROR(VLOOKUP($C2137,$C$5:$H$18,6,0)+SUMIF($C$19:$C2137,$C2137,$F$19:$F2137)-SUMIF($C$19:$C2137,$C2137,$G$19:$G2137),"")</f>
        <v>81211.819999998</v>
      </c>
      <c r="I2137" s="147"/>
      <c r="J2137" s="147"/>
      <c r="K2137" s="147" t="str">
        <f t="shared" si="33"/>
        <v/>
      </c>
      <c r="L2137" s="40"/>
      <c r="M2137"/>
      <c r="N2137"/>
      <c r="O2137"/>
      <c r="P2137"/>
      <c r="Q2137"/>
      <c r="R2137"/>
      <c r="S2137"/>
      <c r="T2137"/>
      <c r="U2137"/>
      <c r="V2137"/>
      <c r="W2137" s="41"/>
      <c r="X2137" s="41"/>
      <c r="Y2137" s="41"/>
    </row>
    <row r="2138" s="27" customFormat="1" ht="23" hidden="1" customHeight="1" spans="1:25">
      <c r="A2138" s="133" t="str">
        <f>IF(B2138="","",COUNTA($B$5:B2138))</f>
        <v/>
      </c>
      <c r="B2138" s="148"/>
      <c r="C2138" s="22" t="s">
        <v>49</v>
      </c>
      <c r="D2138" s="149"/>
      <c r="E2138" s="150"/>
      <c r="F2138" s="151"/>
      <c r="G2138" s="151"/>
      <c r="H2138" s="142">
        <f>IFERROR(VLOOKUP($C2138,$C$5:$H$18,6,0)+SUMIF($C$19:$C2138,$C2138,$F$19:$F2138)-SUMIF($C$19:$C2138,$C2138,$G$19:$G2138),"")</f>
        <v>81211.819999998</v>
      </c>
      <c r="I2138" s="147"/>
      <c r="J2138" s="147"/>
      <c r="K2138" s="147" t="str">
        <f t="shared" si="33"/>
        <v/>
      </c>
      <c r="L2138" s="40"/>
      <c r="M2138"/>
      <c r="N2138"/>
      <c r="O2138"/>
      <c r="P2138"/>
      <c r="Q2138"/>
      <c r="R2138"/>
      <c r="S2138"/>
      <c r="T2138"/>
      <c r="U2138"/>
      <c r="V2138"/>
      <c r="W2138" s="41"/>
      <c r="X2138" s="41"/>
      <c r="Y2138" s="41"/>
    </row>
    <row r="2139" s="27" customFormat="1" ht="23" hidden="1" customHeight="1" spans="1:25">
      <c r="A2139" s="133" t="str">
        <f>IF(B2139="","",COUNTA($B$5:B2139))</f>
        <v/>
      </c>
      <c r="B2139" s="148"/>
      <c r="C2139" s="22" t="s">
        <v>49</v>
      </c>
      <c r="D2139" s="149"/>
      <c r="E2139" s="150"/>
      <c r="F2139" s="151"/>
      <c r="G2139" s="151"/>
      <c r="H2139" s="142">
        <f>IFERROR(VLOOKUP($C2139,$C$5:$H$18,6,0)+SUMIF($C$19:$C2139,$C2139,$F$19:$F2139)-SUMIF($C$19:$C2139,$C2139,$G$19:$G2139),"")</f>
        <v>81211.819999998</v>
      </c>
      <c r="I2139" s="147"/>
      <c r="J2139" s="147"/>
      <c r="K2139" s="147" t="str">
        <f t="shared" si="33"/>
        <v/>
      </c>
      <c r="L2139" s="40"/>
      <c r="M2139"/>
      <c r="N2139"/>
      <c r="O2139"/>
      <c r="P2139"/>
      <c r="Q2139"/>
      <c r="R2139"/>
      <c r="S2139"/>
      <c r="T2139"/>
      <c r="U2139"/>
      <c r="V2139"/>
      <c r="W2139" s="41"/>
      <c r="X2139" s="41"/>
      <c r="Y2139" s="41"/>
    </row>
    <row r="2140" s="27" customFormat="1" ht="23" hidden="1" customHeight="1" spans="1:25">
      <c r="A2140" s="133" t="str">
        <f>IF(B2140="","",COUNTA($B$5:B2140))</f>
        <v/>
      </c>
      <c r="B2140" s="148"/>
      <c r="C2140" s="22" t="s">
        <v>49</v>
      </c>
      <c r="D2140" s="149"/>
      <c r="E2140" s="150"/>
      <c r="F2140" s="151"/>
      <c r="G2140" s="151"/>
      <c r="H2140" s="142">
        <f>IFERROR(VLOOKUP($C2140,$C$5:$H$18,6,0)+SUMIF($C$19:$C2140,$C2140,$F$19:$F2140)-SUMIF($C$19:$C2140,$C2140,$G$19:$G2140),"")</f>
        <v>81211.819999998</v>
      </c>
      <c r="I2140" s="147"/>
      <c r="J2140" s="147"/>
      <c r="K2140" s="147" t="str">
        <f t="shared" si="33"/>
        <v/>
      </c>
      <c r="L2140" s="40"/>
      <c r="M2140"/>
      <c r="N2140"/>
      <c r="O2140"/>
      <c r="P2140"/>
      <c r="Q2140"/>
      <c r="R2140"/>
      <c r="S2140"/>
      <c r="T2140"/>
      <c r="U2140"/>
      <c r="V2140"/>
      <c r="W2140" s="41"/>
      <c r="X2140" s="41"/>
      <c r="Y2140" s="41"/>
    </row>
    <row r="2141" s="27" customFormat="1" ht="23" hidden="1" customHeight="1" spans="1:25">
      <c r="A2141" s="133" t="str">
        <f>IF(B2141="","",COUNTA($B$5:B2141))</f>
        <v/>
      </c>
      <c r="B2141" s="148"/>
      <c r="C2141" s="22" t="s">
        <v>49</v>
      </c>
      <c r="D2141" s="149"/>
      <c r="E2141" s="150"/>
      <c r="F2141" s="151"/>
      <c r="G2141" s="151"/>
      <c r="H2141" s="142">
        <f>IFERROR(VLOOKUP($C2141,$C$5:$H$18,6,0)+SUMIF($C$19:$C2141,$C2141,$F$19:$F2141)-SUMIF($C$19:$C2141,$C2141,$G$19:$G2141),"")</f>
        <v>81211.819999998</v>
      </c>
      <c r="I2141" s="147"/>
      <c r="J2141" s="147"/>
      <c r="K2141" s="147" t="str">
        <f t="shared" si="33"/>
        <v/>
      </c>
      <c r="L2141" s="40"/>
      <c r="M2141"/>
      <c r="N2141"/>
      <c r="O2141"/>
      <c r="P2141"/>
      <c r="Q2141"/>
      <c r="R2141"/>
      <c r="S2141"/>
      <c r="T2141"/>
      <c r="U2141"/>
      <c r="V2141"/>
      <c r="W2141" s="41"/>
      <c r="X2141" s="41"/>
      <c r="Y2141" s="41"/>
    </row>
    <row r="2142" s="27" customFormat="1" ht="23" hidden="1" customHeight="1" spans="1:25">
      <c r="A2142" s="133" t="str">
        <f>IF(B2142="","",COUNTA($B$5:B2142))</f>
        <v/>
      </c>
      <c r="B2142" s="148"/>
      <c r="C2142" s="22" t="s">
        <v>49</v>
      </c>
      <c r="D2142" s="149"/>
      <c r="E2142" s="150"/>
      <c r="F2142" s="151"/>
      <c r="G2142" s="151"/>
      <c r="H2142" s="142">
        <f>IFERROR(VLOOKUP($C2142,$C$5:$H$18,6,0)+SUMIF($C$19:$C2142,$C2142,$F$19:$F2142)-SUMIF($C$19:$C2142,$C2142,$G$19:$G2142),"")</f>
        <v>81211.819999998</v>
      </c>
      <c r="I2142" s="147"/>
      <c r="J2142" s="147"/>
      <c r="K2142" s="147" t="str">
        <f t="shared" si="33"/>
        <v/>
      </c>
      <c r="L2142" s="40"/>
      <c r="M2142"/>
      <c r="N2142"/>
      <c r="O2142"/>
      <c r="P2142"/>
      <c r="Q2142"/>
      <c r="R2142"/>
      <c r="S2142"/>
      <c r="T2142"/>
      <c r="U2142"/>
      <c r="V2142"/>
      <c r="W2142" s="41"/>
      <c r="X2142" s="41"/>
      <c r="Y2142" s="41"/>
    </row>
    <row r="2143" s="27" customFormat="1" ht="23" hidden="1" customHeight="1" spans="1:25">
      <c r="A2143" s="133" t="str">
        <f>IF(B2143="","",COUNTA($B$5:B2143))</f>
        <v/>
      </c>
      <c r="B2143" s="148"/>
      <c r="C2143" s="22" t="s">
        <v>49</v>
      </c>
      <c r="D2143" s="149"/>
      <c r="E2143" s="150"/>
      <c r="F2143" s="151"/>
      <c r="G2143" s="151"/>
      <c r="H2143" s="142">
        <f>IFERROR(VLOOKUP($C2143,$C$5:$H$18,6,0)+SUMIF($C$19:$C2143,$C2143,$F$19:$F2143)-SUMIF($C$19:$C2143,$C2143,$G$19:$G2143),"")</f>
        <v>81211.819999998</v>
      </c>
      <c r="I2143" s="147"/>
      <c r="J2143" s="147"/>
      <c r="K2143" s="147" t="str">
        <f t="shared" si="33"/>
        <v/>
      </c>
      <c r="L2143" s="40"/>
      <c r="M2143"/>
      <c r="N2143"/>
      <c r="O2143"/>
      <c r="P2143"/>
      <c r="Q2143"/>
      <c r="R2143"/>
      <c r="S2143"/>
      <c r="T2143"/>
      <c r="U2143"/>
      <c r="V2143"/>
      <c r="W2143" s="41"/>
      <c r="X2143" s="41"/>
      <c r="Y2143" s="41"/>
    </row>
    <row r="2144" s="27" customFormat="1" ht="23" hidden="1" customHeight="1" spans="1:25">
      <c r="A2144" s="133" t="str">
        <f>IF(B2144="","",COUNTA($B$5:B2144))</f>
        <v/>
      </c>
      <c r="B2144" s="148"/>
      <c r="C2144" s="22" t="s">
        <v>49</v>
      </c>
      <c r="D2144" s="149"/>
      <c r="E2144" s="150"/>
      <c r="F2144" s="151"/>
      <c r="G2144" s="151"/>
      <c r="H2144" s="142">
        <f>IFERROR(VLOOKUP($C2144,$C$5:$H$18,6,0)+SUMIF($C$19:$C2144,$C2144,$F$19:$F2144)-SUMIF($C$19:$C2144,$C2144,$G$19:$G2144),"")</f>
        <v>81211.819999998</v>
      </c>
      <c r="I2144" s="147"/>
      <c r="J2144" s="147"/>
      <c r="K2144" s="147" t="str">
        <f t="shared" si="33"/>
        <v/>
      </c>
      <c r="L2144" s="40"/>
      <c r="M2144"/>
      <c r="N2144"/>
      <c r="O2144"/>
      <c r="P2144"/>
      <c r="Q2144"/>
      <c r="R2144"/>
      <c r="S2144"/>
      <c r="T2144"/>
      <c r="U2144"/>
      <c r="V2144"/>
      <c r="W2144" s="41"/>
      <c r="X2144" s="41"/>
      <c r="Y2144" s="41"/>
    </row>
    <row r="2145" s="27" customFormat="1" ht="23" hidden="1" customHeight="1" spans="1:25">
      <c r="A2145" s="133" t="str">
        <f>IF(B2145="","",COUNTA($B$5:B2145))</f>
        <v/>
      </c>
      <c r="B2145" s="148"/>
      <c r="C2145" s="22" t="s">
        <v>49</v>
      </c>
      <c r="D2145" s="149"/>
      <c r="E2145" s="150"/>
      <c r="F2145" s="151"/>
      <c r="G2145" s="151"/>
      <c r="H2145" s="142">
        <f>IFERROR(VLOOKUP($C2145,$C$5:$H$18,6,0)+SUMIF($C$19:$C2145,$C2145,$F$19:$F2145)-SUMIF($C$19:$C2145,$C2145,$G$19:$G2145),"")</f>
        <v>81211.819999998</v>
      </c>
      <c r="I2145" s="147"/>
      <c r="J2145" s="147"/>
      <c r="K2145" s="147" t="str">
        <f t="shared" si="33"/>
        <v/>
      </c>
      <c r="L2145" s="40"/>
      <c r="M2145"/>
      <c r="N2145"/>
      <c r="O2145"/>
      <c r="P2145"/>
      <c r="Q2145"/>
      <c r="R2145"/>
      <c r="S2145"/>
      <c r="T2145"/>
      <c r="U2145"/>
      <c r="V2145"/>
      <c r="W2145" s="41"/>
      <c r="X2145" s="41"/>
      <c r="Y2145" s="41"/>
    </row>
    <row r="2146" s="27" customFormat="1" ht="23" hidden="1" customHeight="1" spans="1:25">
      <c r="A2146" s="133" t="str">
        <f>IF(B2146="","",COUNTA($B$5:B2146))</f>
        <v/>
      </c>
      <c r="B2146" s="148"/>
      <c r="C2146" s="22" t="s">
        <v>49</v>
      </c>
      <c r="D2146" s="149"/>
      <c r="E2146" s="150"/>
      <c r="F2146" s="151"/>
      <c r="G2146" s="151"/>
      <c r="H2146" s="142">
        <f>IFERROR(VLOOKUP($C2146,$C$5:$H$18,6,0)+SUMIF($C$19:$C2146,$C2146,$F$19:$F2146)-SUMIF($C$19:$C2146,$C2146,$G$19:$G2146),"")</f>
        <v>81211.819999998</v>
      </c>
      <c r="I2146" s="147"/>
      <c r="J2146" s="147"/>
      <c r="K2146" s="147" t="str">
        <f t="shared" si="33"/>
        <v/>
      </c>
      <c r="L2146" s="40"/>
      <c r="M2146"/>
      <c r="N2146"/>
      <c r="O2146"/>
      <c r="P2146"/>
      <c r="Q2146"/>
      <c r="R2146"/>
      <c r="S2146"/>
      <c r="T2146"/>
      <c r="U2146"/>
      <c r="V2146"/>
      <c r="W2146" s="41"/>
      <c r="X2146" s="41"/>
      <c r="Y2146" s="41"/>
    </row>
    <row r="2147" s="27" customFormat="1" ht="23" hidden="1" customHeight="1" spans="1:25">
      <c r="A2147" s="133" t="str">
        <f>IF(B2147="","",COUNTA($B$5:B2147))</f>
        <v/>
      </c>
      <c r="B2147" s="148"/>
      <c r="C2147" s="22" t="s">
        <v>49</v>
      </c>
      <c r="D2147" s="149"/>
      <c r="E2147" s="150"/>
      <c r="F2147" s="151"/>
      <c r="G2147" s="151"/>
      <c r="H2147" s="142">
        <f>IFERROR(VLOOKUP($C2147,$C$5:$H$18,6,0)+SUMIF($C$19:$C2147,$C2147,$F$19:$F2147)-SUMIF($C$19:$C2147,$C2147,$G$19:$G2147),"")</f>
        <v>81211.819999998</v>
      </c>
      <c r="I2147" s="147"/>
      <c r="J2147" s="147"/>
      <c r="K2147" s="147" t="str">
        <f t="shared" si="33"/>
        <v/>
      </c>
      <c r="L2147" s="40"/>
      <c r="M2147"/>
      <c r="N2147"/>
      <c r="O2147"/>
      <c r="P2147"/>
      <c r="Q2147"/>
      <c r="R2147"/>
      <c r="S2147"/>
      <c r="T2147"/>
      <c r="U2147"/>
      <c r="V2147"/>
      <c r="W2147" s="41"/>
      <c r="X2147" s="41"/>
      <c r="Y2147" s="41"/>
    </row>
    <row r="2148" s="27" customFormat="1" ht="23" hidden="1" customHeight="1" spans="1:25">
      <c r="A2148" s="133" t="str">
        <f>IF(B2148="","",COUNTA($B$5:B2148))</f>
        <v/>
      </c>
      <c r="B2148" s="148"/>
      <c r="C2148" s="22" t="s">
        <v>49</v>
      </c>
      <c r="D2148" s="149"/>
      <c r="E2148" s="150"/>
      <c r="F2148" s="151"/>
      <c r="G2148" s="151"/>
      <c r="H2148" s="142">
        <f>IFERROR(VLOOKUP($C2148,$C$5:$H$18,6,0)+SUMIF($C$19:$C2148,$C2148,$F$19:$F2148)-SUMIF($C$19:$C2148,$C2148,$G$19:$G2148),"")</f>
        <v>81211.819999998</v>
      </c>
      <c r="I2148" s="147"/>
      <c r="J2148" s="147"/>
      <c r="K2148" s="147" t="str">
        <f t="shared" si="33"/>
        <v/>
      </c>
      <c r="L2148" s="40"/>
      <c r="M2148"/>
      <c r="N2148"/>
      <c r="O2148"/>
      <c r="P2148"/>
      <c r="Q2148"/>
      <c r="R2148"/>
      <c r="S2148"/>
      <c r="T2148"/>
      <c r="U2148"/>
      <c r="V2148"/>
      <c r="W2148" s="41"/>
      <c r="X2148" s="41"/>
      <c r="Y2148" s="41"/>
    </row>
    <row r="2149" s="27" customFormat="1" ht="23" hidden="1" customHeight="1" spans="1:25">
      <c r="A2149" s="133" t="str">
        <f>IF(B2149="","",COUNTA($B$5:B2149))</f>
        <v/>
      </c>
      <c r="B2149" s="148"/>
      <c r="C2149" s="22" t="s">
        <v>49</v>
      </c>
      <c r="D2149" s="149"/>
      <c r="E2149" s="150"/>
      <c r="F2149" s="151"/>
      <c r="G2149" s="151"/>
      <c r="H2149" s="142">
        <f>IFERROR(VLOOKUP($C2149,$C$5:$H$18,6,0)+SUMIF($C$19:$C2149,$C2149,$F$19:$F2149)-SUMIF($C$19:$C2149,$C2149,$G$19:$G2149),"")</f>
        <v>81211.819999998</v>
      </c>
      <c r="I2149" s="147"/>
      <c r="J2149" s="147"/>
      <c r="K2149" s="147" t="str">
        <f t="shared" si="33"/>
        <v/>
      </c>
      <c r="L2149" s="40"/>
      <c r="M2149"/>
      <c r="N2149"/>
      <c r="O2149"/>
      <c r="P2149"/>
      <c r="Q2149"/>
      <c r="R2149"/>
      <c r="S2149"/>
      <c r="T2149"/>
      <c r="U2149"/>
      <c r="V2149"/>
      <c r="W2149" s="41"/>
      <c r="X2149" s="41"/>
      <c r="Y2149" s="41"/>
    </row>
    <row r="2150" s="27" customFormat="1" ht="23" hidden="1" customHeight="1" spans="1:25">
      <c r="A2150" s="133" t="str">
        <f>IF(B2150="","",COUNTA($B$5:B2150))</f>
        <v/>
      </c>
      <c r="B2150" s="148"/>
      <c r="C2150" s="22" t="s">
        <v>49</v>
      </c>
      <c r="D2150" s="149"/>
      <c r="E2150" s="150"/>
      <c r="F2150" s="151"/>
      <c r="G2150" s="151"/>
      <c r="H2150" s="142">
        <f>IFERROR(VLOOKUP($C2150,$C$5:$H$18,6,0)+SUMIF($C$19:$C2150,$C2150,$F$19:$F2150)-SUMIF($C$19:$C2150,$C2150,$G$19:$G2150),"")</f>
        <v>81211.819999998</v>
      </c>
      <c r="I2150" s="147"/>
      <c r="J2150" s="147"/>
      <c r="K2150" s="147" t="str">
        <f t="shared" si="33"/>
        <v/>
      </c>
      <c r="L2150" s="40"/>
      <c r="M2150"/>
      <c r="N2150"/>
      <c r="O2150"/>
      <c r="P2150"/>
      <c r="Q2150"/>
      <c r="R2150"/>
      <c r="S2150"/>
      <c r="T2150"/>
      <c r="U2150"/>
      <c r="V2150"/>
      <c r="W2150" s="41"/>
      <c r="X2150" s="41"/>
      <c r="Y2150" s="41"/>
    </row>
    <row r="2151" s="27" customFormat="1" ht="23" hidden="1" customHeight="1" spans="1:25">
      <c r="A2151" s="133" t="str">
        <f>IF(B2151="","",COUNTA($B$5:B2151))</f>
        <v/>
      </c>
      <c r="B2151" s="148"/>
      <c r="C2151" s="22" t="s">
        <v>49</v>
      </c>
      <c r="D2151" s="149"/>
      <c r="E2151" s="150"/>
      <c r="F2151" s="151"/>
      <c r="G2151" s="151"/>
      <c r="H2151" s="142">
        <f>IFERROR(VLOOKUP($C2151,$C$5:$H$18,6,0)+SUMIF($C$19:$C2151,$C2151,$F$19:$F2151)-SUMIF($C$19:$C2151,$C2151,$G$19:$G2151),"")</f>
        <v>81211.819999998</v>
      </c>
      <c r="I2151" s="147"/>
      <c r="J2151" s="147"/>
      <c r="K2151" s="147" t="str">
        <f t="shared" si="33"/>
        <v/>
      </c>
      <c r="L2151" s="40"/>
      <c r="M2151"/>
      <c r="N2151"/>
      <c r="O2151"/>
      <c r="P2151"/>
      <c r="Q2151"/>
      <c r="R2151"/>
      <c r="S2151"/>
      <c r="T2151"/>
      <c r="U2151"/>
      <c r="V2151"/>
      <c r="W2151" s="41"/>
      <c r="X2151" s="41"/>
      <c r="Y2151" s="41"/>
    </row>
    <row r="2152" s="27" customFormat="1" ht="23" hidden="1" customHeight="1" spans="1:25">
      <c r="A2152" s="133" t="str">
        <f>IF(B2152="","",COUNTA($B$5:B2152))</f>
        <v/>
      </c>
      <c r="B2152" s="148"/>
      <c r="C2152" s="22" t="s">
        <v>49</v>
      </c>
      <c r="D2152" s="149"/>
      <c r="E2152" s="150"/>
      <c r="F2152" s="151"/>
      <c r="G2152" s="151"/>
      <c r="H2152" s="142">
        <f>IFERROR(VLOOKUP($C2152,$C$5:$H$18,6,0)+SUMIF($C$19:$C2152,$C2152,$F$19:$F2152)-SUMIF($C$19:$C2152,$C2152,$G$19:$G2152),"")</f>
        <v>81211.819999998</v>
      </c>
      <c r="I2152" s="147"/>
      <c r="J2152" s="147"/>
      <c r="K2152" s="147" t="str">
        <f t="shared" si="33"/>
        <v/>
      </c>
      <c r="L2152" s="40"/>
      <c r="M2152"/>
      <c r="N2152"/>
      <c r="O2152"/>
      <c r="P2152"/>
      <c r="Q2152"/>
      <c r="R2152"/>
      <c r="S2152"/>
      <c r="T2152"/>
      <c r="U2152"/>
      <c r="V2152"/>
      <c r="W2152" s="41"/>
      <c r="X2152" s="41"/>
      <c r="Y2152" s="41"/>
    </row>
    <row r="2153" s="27" customFormat="1" ht="23" hidden="1" customHeight="1" spans="1:25">
      <c r="A2153" s="133" t="str">
        <f>IF(B2153="","",COUNTA($B$5:B2153))</f>
        <v/>
      </c>
      <c r="B2153" s="148"/>
      <c r="C2153" s="22" t="s">
        <v>49</v>
      </c>
      <c r="D2153" s="149"/>
      <c r="E2153" s="150"/>
      <c r="F2153" s="151"/>
      <c r="G2153" s="151"/>
      <c r="H2153" s="142">
        <f>IFERROR(VLOOKUP($C2153,$C$5:$H$18,6,0)+SUMIF($C$19:$C2153,$C2153,$F$19:$F2153)-SUMIF($C$19:$C2153,$C2153,$G$19:$G2153),"")</f>
        <v>81211.819999998</v>
      </c>
      <c r="I2153" s="147"/>
      <c r="J2153" s="147"/>
      <c r="K2153" s="147" t="str">
        <f t="shared" si="33"/>
        <v/>
      </c>
      <c r="L2153" s="40"/>
      <c r="M2153"/>
      <c r="N2153"/>
      <c r="O2153"/>
      <c r="P2153"/>
      <c r="Q2153"/>
      <c r="R2153"/>
      <c r="S2153"/>
      <c r="T2153"/>
      <c r="U2153"/>
      <c r="V2153"/>
      <c r="W2153" s="41"/>
      <c r="X2153" s="41"/>
      <c r="Y2153" s="41"/>
    </row>
    <row r="2154" s="27" customFormat="1" ht="23" hidden="1" customHeight="1" spans="1:25">
      <c r="A2154" s="133" t="str">
        <f>IF(B2154="","",COUNTA($B$5:B2154))</f>
        <v/>
      </c>
      <c r="B2154" s="148"/>
      <c r="C2154" s="22" t="s">
        <v>49</v>
      </c>
      <c r="D2154" s="149"/>
      <c r="E2154" s="150"/>
      <c r="F2154" s="151"/>
      <c r="G2154" s="151"/>
      <c r="H2154" s="142">
        <f>IFERROR(VLOOKUP($C2154,$C$5:$H$18,6,0)+SUMIF($C$19:$C2154,$C2154,$F$19:$F2154)-SUMIF($C$19:$C2154,$C2154,$G$19:$G2154),"")</f>
        <v>81211.819999998</v>
      </c>
      <c r="I2154" s="147"/>
      <c r="J2154" s="147"/>
      <c r="K2154" s="147" t="str">
        <f t="shared" si="33"/>
        <v/>
      </c>
      <c r="L2154" s="40"/>
      <c r="M2154"/>
      <c r="N2154"/>
      <c r="O2154"/>
      <c r="P2154"/>
      <c r="Q2154"/>
      <c r="R2154"/>
      <c r="S2154"/>
      <c r="T2154"/>
      <c r="U2154"/>
      <c r="V2154"/>
      <c r="W2154" s="41"/>
      <c r="X2154" s="41"/>
      <c r="Y2154" s="41"/>
    </row>
    <row r="2155" s="27" customFormat="1" ht="23" hidden="1" customHeight="1" spans="1:25">
      <c r="A2155" s="133" t="str">
        <f>IF(B2155="","",COUNTA($B$5:B2155))</f>
        <v/>
      </c>
      <c r="B2155" s="148"/>
      <c r="C2155" s="22" t="s">
        <v>49</v>
      </c>
      <c r="D2155" s="149"/>
      <c r="E2155" s="150"/>
      <c r="F2155" s="151"/>
      <c r="G2155" s="151"/>
      <c r="H2155" s="142">
        <f>IFERROR(VLOOKUP($C2155,$C$5:$H$18,6,0)+SUMIF($C$19:$C2155,$C2155,$F$19:$F2155)-SUMIF($C$19:$C2155,$C2155,$G$19:$G2155),"")</f>
        <v>81211.819999998</v>
      </c>
      <c r="I2155" s="147"/>
      <c r="J2155" s="147"/>
      <c r="K2155" s="147" t="str">
        <f t="shared" si="33"/>
        <v/>
      </c>
      <c r="L2155" s="40"/>
      <c r="M2155"/>
      <c r="N2155"/>
      <c r="O2155"/>
      <c r="P2155"/>
      <c r="Q2155"/>
      <c r="R2155"/>
      <c r="S2155"/>
      <c r="T2155"/>
      <c r="U2155"/>
      <c r="V2155"/>
      <c r="W2155" s="41"/>
      <c r="X2155" s="41"/>
      <c r="Y2155" s="41"/>
    </row>
    <row r="2156" s="27" customFormat="1" ht="23" hidden="1" customHeight="1" spans="1:25">
      <c r="A2156" s="133" t="str">
        <f>IF(B2156="","",COUNTA($B$5:B2156))</f>
        <v/>
      </c>
      <c r="B2156" s="148"/>
      <c r="C2156" s="22" t="s">
        <v>49</v>
      </c>
      <c r="D2156" s="149"/>
      <c r="E2156" s="150"/>
      <c r="F2156" s="151"/>
      <c r="G2156" s="151"/>
      <c r="H2156" s="142">
        <f>IFERROR(VLOOKUP($C2156,$C$5:$H$18,6,0)+SUMIF($C$19:$C2156,$C2156,$F$19:$F2156)-SUMIF($C$19:$C2156,$C2156,$G$19:$G2156),"")</f>
        <v>81211.819999998</v>
      </c>
      <c r="I2156" s="147"/>
      <c r="J2156" s="147"/>
      <c r="K2156" s="147" t="str">
        <f t="shared" si="33"/>
        <v/>
      </c>
      <c r="L2156" s="40"/>
      <c r="M2156"/>
      <c r="N2156"/>
      <c r="O2156"/>
      <c r="P2156"/>
      <c r="Q2156"/>
      <c r="R2156"/>
      <c r="S2156"/>
      <c r="T2156"/>
      <c r="U2156"/>
      <c r="V2156"/>
      <c r="W2156" s="41"/>
      <c r="X2156" s="41"/>
      <c r="Y2156" s="41"/>
    </row>
    <row r="2157" s="27" customFormat="1" ht="23" hidden="1" customHeight="1" spans="1:25">
      <c r="A2157" s="133" t="str">
        <f>IF(B2157="","",COUNTA($B$5:B2157))</f>
        <v/>
      </c>
      <c r="B2157" s="148"/>
      <c r="C2157" s="22" t="s">
        <v>49</v>
      </c>
      <c r="D2157" s="149"/>
      <c r="E2157" s="150"/>
      <c r="F2157" s="151"/>
      <c r="G2157" s="151"/>
      <c r="H2157" s="142">
        <f>IFERROR(VLOOKUP($C2157,$C$5:$H$18,6,0)+SUMIF($C$19:$C2157,$C2157,$F$19:$F2157)-SUMIF($C$19:$C2157,$C2157,$G$19:$G2157),"")</f>
        <v>81211.819999998</v>
      </c>
      <c r="I2157" s="147"/>
      <c r="J2157" s="147"/>
      <c r="K2157" s="147" t="str">
        <f t="shared" si="33"/>
        <v/>
      </c>
      <c r="L2157" s="40"/>
      <c r="M2157"/>
      <c r="N2157"/>
      <c r="O2157"/>
      <c r="P2157"/>
      <c r="Q2157"/>
      <c r="R2157"/>
      <c r="S2157"/>
      <c r="T2157"/>
      <c r="U2157"/>
      <c r="V2157"/>
      <c r="W2157" s="41"/>
      <c r="X2157" s="41"/>
      <c r="Y2157" s="41"/>
    </row>
    <row r="2158" s="27" customFormat="1" ht="23" hidden="1" customHeight="1" spans="1:25">
      <c r="A2158" s="133" t="str">
        <f>IF(B2158="","",COUNTA($B$5:B2158))</f>
        <v/>
      </c>
      <c r="B2158" s="148"/>
      <c r="C2158" s="22" t="s">
        <v>49</v>
      </c>
      <c r="D2158" s="149"/>
      <c r="E2158" s="150"/>
      <c r="F2158" s="151"/>
      <c r="G2158" s="151"/>
      <c r="H2158" s="142">
        <f>IFERROR(VLOOKUP($C2158,$C$5:$H$18,6,0)+SUMIF($C$19:$C2158,$C2158,$F$19:$F2158)-SUMIF($C$19:$C2158,$C2158,$G$19:$G2158),"")</f>
        <v>81211.819999998</v>
      </c>
      <c r="I2158" s="147"/>
      <c r="J2158" s="147"/>
      <c r="K2158" s="147" t="str">
        <f t="shared" si="33"/>
        <v/>
      </c>
      <c r="L2158" s="40"/>
      <c r="M2158"/>
      <c r="N2158"/>
      <c r="O2158"/>
      <c r="P2158"/>
      <c r="Q2158"/>
      <c r="R2158"/>
      <c r="S2158"/>
      <c r="T2158"/>
      <c r="U2158"/>
      <c r="V2158"/>
      <c r="W2158" s="41"/>
      <c r="X2158" s="41"/>
      <c r="Y2158" s="41"/>
    </row>
    <row r="2159" s="27" customFormat="1" ht="23" hidden="1" customHeight="1" spans="1:25">
      <c r="A2159" s="133" t="str">
        <f>IF(B2159="","",COUNTA($B$5:B2159))</f>
        <v/>
      </c>
      <c r="B2159" s="148"/>
      <c r="C2159" s="22" t="s">
        <v>49</v>
      </c>
      <c r="D2159" s="149"/>
      <c r="E2159" s="150"/>
      <c r="F2159" s="151"/>
      <c r="G2159" s="151"/>
      <c r="H2159" s="142">
        <f>IFERROR(VLOOKUP($C2159,$C$5:$H$18,6,0)+SUMIF($C$19:$C2159,$C2159,$F$19:$F2159)-SUMIF($C$19:$C2159,$C2159,$G$19:$G2159),"")</f>
        <v>81211.819999998</v>
      </c>
      <c r="I2159" s="147"/>
      <c r="J2159" s="147"/>
      <c r="K2159" s="147" t="str">
        <f t="shared" si="33"/>
        <v/>
      </c>
      <c r="L2159" s="40"/>
      <c r="M2159"/>
      <c r="N2159"/>
      <c r="O2159"/>
      <c r="P2159"/>
      <c r="Q2159"/>
      <c r="R2159"/>
      <c r="S2159"/>
      <c r="T2159"/>
      <c r="U2159"/>
      <c r="V2159"/>
      <c r="W2159" s="41"/>
      <c r="X2159" s="41"/>
      <c r="Y2159" s="41"/>
    </row>
    <row r="2160" s="27" customFormat="1" ht="23" hidden="1" customHeight="1" spans="1:25">
      <c r="A2160" s="133" t="str">
        <f>IF(B2160="","",COUNTA($B$5:B2160))</f>
        <v/>
      </c>
      <c r="B2160" s="148"/>
      <c r="C2160" s="22" t="s">
        <v>49</v>
      </c>
      <c r="D2160" s="149"/>
      <c r="E2160" s="150"/>
      <c r="F2160" s="151"/>
      <c r="G2160" s="151"/>
      <c r="H2160" s="142">
        <f>IFERROR(VLOOKUP($C2160,$C$5:$H$18,6,0)+SUMIF($C$19:$C2160,$C2160,$F$19:$F2160)-SUMIF($C$19:$C2160,$C2160,$G$19:$G2160),"")</f>
        <v>81211.819999998</v>
      </c>
      <c r="I2160" s="147"/>
      <c r="J2160" s="147"/>
      <c r="K2160" s="147" t="str">
        <f t="shared" si="33"/>
        <v/>
      </c>
      <c r="L2160" s="40"/>
      <c r="M2160"/>
      <c r="N2160"/>
      <c r="O2160"/>
      <c r="P2160"/>
      <c r="Q2160"/>
      <c r="R2160"/>
      <c r="S2160"/>
      <c r="T2160"/>
      <c r="U2160"/>
      <c r="V2160"/>
      <c r="W2160" s="41"/>
      <c r="X2160" s="41"/>
      <c r="Y2160" s="41"/>
    </row>
    <row r="2161" s="27" customFormat="1" ht="23" hidden="1" customHeight="1" spans="1:25">
      <c r="A2161" s="133" t="str">
        <f>IF(B2161="","",COUNTA($B$5:B2161))</f>
        <v/>
      </c>
      <c r="B2161" s="148"/>
      <c r="C2161" s="22" t="s">
        <v>49</v>
      </c>
      <c r="D2161" s="149"/>
      <c r="E2161" s="150"/>
      <c r="F2161" s="151"/>
      <c r="G2161" s="151"/>
      <c r="H2161" s="142">
        <f>IFERROR(VLOOKUP($C2161,$C$5:$H$18,6,0)+SUMIF($C$19:$C2161,$C2161,$F$19:$F2161)-SUMIF($C$19:$C2161,$C2161,$G$19:$G2161),"")</f>
        <v>81211.819999998</v>
      </c>
      <c r="I2161" s="147"/>
      <c r="J2161" s="147"/>
      <c r="K2161" s="147" t="str">
        <f t="shared" si="33"/>
        <v/>
      </c>
      <c r="L2161" s="40"/>
      <c r="M2161"/>
      <c r="N2161"/>
      <c r="O2161"/>
      <c r="P2161"/>
      <c r="Q2161"/>
      <c r="R2161"/>
      <c r="S2161"/>
      <c r="T2161"/>
      <c r="U2161"/>
      <c r="V2161"/>
      <c r="W2161" s="41"/>
      <c r="X2161" s="41"/>
      <c r="Y2161" s="41"/>
    </row>
    <row r="2162" s="27" customFormat="1" ht="23" hidden="1" customHeight="1" spans="1:25">
      <c r="A2162" s="133" t="str">
        <f>IF(B2162="","",COUNTA($B$5:B2162))</f>
        <v/>
      </c>
      <c r="B2162" s="148"/>
      <c r="C2162" s="22" t="s">
        <v>49</v>
      </c>
      <c r="D2162" s="149"/>
      <c r="E2162" s="150"/>
      <c r="F2162" s="151"/>
      <c r="G2162" s="151"/>
      <c r="H2162" s="142">
        <f>IFERROR(VLOOKUP($C2162,$C$5:$H$18,6,0)+SUMIF($C$19:$C2162,$C2162,$F$19:$F2162)-SUMIF($C$19:$C2162,$C2162,$G$19:$G2162),"")</f>
        <v>81211.819999998</v>
      </c>
      <c r="I2162" s="147"/>
      <c r="J2162" s="147"/>
      <c r="K2162" s="147" t="str">
        <f t="shared" si="33"/>
        <v/>
      </c>
      <c r="L2162" s="40"/>
      <c r="M2162"/>
      <c r="N2162"/>
      <c r="O2162"/>
      <c r="P2162"/>
      <c r="Q2162"/>
      <c r="R2162"/>
      <c r="S2162"/>
      <c r="T2162"/>
      <c r="U2162"/>
      <c r="V2162"/>
      <c r="W2162" s="41"/>
      <c r="X2162" s="41"/>
      <c r="Y2162" s="41"/>
    </row>
    <row r="2163" s="27" customFormat="1" ht="23" hidden="1" customHeight="1" spans="1:25">
      <c r="A2163" s="133" t="str">
        <f>IF(B2163="","",COUNTA($B$5:B2163))</f>
        <v/>
      </c>
      <c r="B2163" s="148"/>
      <c r="C2163" s="22" t="s">
        <v>49</v>
      </c>
      <c r="D2163" s="149"/>
      <c r="E2163" s="150"/>
      <c r="F2163" s="151"/>
      <c r="G2163" s="151"/>
      <c r="H2163" s="142">
        <f>IFERROR(VLOOKUP($C2163,$C$5:$H$18,6,0)+SUMIF($C$19:$C2163,$C2163,$F$19:$F2163)-SUMIF($C$19:$C2163,$C2163,$G$19:$G2163),"")</f>
        <v>81211.819999998</v>
      </c>
      <c r="I2163" s="147"/>
      <c r="J2163" s="147"/>
      <c r="K2163" s="147" t="str">
        <f t="shared" si="33"/>
        <v/>
      </c>
      <c r="L2163" s="40"/>
      <c r="M2163"/>
      <c r="N2163"/>
      <c r="O2163"/>
      <c r="P2163"/>
      <c r="Q2163"/>
      <c r="R2163"/>
      <c r="S2163"/>
      <c r="T2163"/>
      <c r="U2163"/>
      <c r="V2163"/>
      <c r="W2163" s="41"/>
      <c r="X2163" s="41"/>
      <c r="Y2163" s="41"/>
    </row>
    <row r="2164" s="27" customFormat="1" ht="23" hidden="1" customHeight="1" spans="1:25">
      <c r="A2164" s="133" t="str">
        <f>IF(B2164="","",COUNTA($B$5:B2164))</f>
        <v/>
      </c>
      <c r="B2164" s="148"/>
      <c r="C2164" s="22" t="s">
        <v>49</v>
      </c>
      <c r="D2164" s="149"/>
      <c r="E2164" s="150"/>
      <c r="F2164" s="151"/>
      <c r="G2164" s="151"/>
      <c r="H2164" s="142">
        <f>IFERROR(VLOOKUP($C2164,$C$5:$H$18,6,0)+SUMIF($C$19:$C2164,$C2164,$F$19:$F2164)-SUMIF($C$19:$C2164,$C2164,$G$19:$G2164),"")</f>
        <v>81211.819999998</v>
      </c>
      <c r="I2164" s="147"/>
      <c r="J2164" s="147"/>
      <c r="K2164" s="147" t="str">
        <f t="shared" si="33"/>
        <v/>
      </c>
      <c r="L2164" s="40"/>
      <c r="M2164"/>
      <c r="N2164"/>
      <c r="O2164"/>
      <c r="P2164"/>
      <c r="Q2164"/>
      <c r="R2164"/>
      <c r="S2164"/>
      <c r="T2164"/>
      <c r="U2164"/>
      <c r="V2164"/>
      <c r="W2164" s="41"/>
      <c r="X2164" s="41"/>
      <c r="Y2164" s="41"/>
    </row>
    <row r="2165" s="27" customFormat="1" ht="23" hidden="1" customHeight="1" spans="1:25">
      <c r="A2165" s="133" t="str">
        <f>IF(B2165="","",COUNTA($B$5:B2165))</f>
        <v/>
      </c>
      <c r="B2165" s="148"/>
      <c r="C2165" s="22" t="s">
        <v>49</v>
      </c>
      <c r="D2165" s="149"/>
      <c r="E2165" s="150"/>
      <c r="F2165" s="151"/>
      <c r="G2165" s="151"/>
      <c r="H2165" s="142">
        <f>IFERROR(VLOOKUP($C2165,$C$5:$H$18,6,0)+SUMIF($C$19:$C2165,$C2165,$F$19:$F2165)-SUMIF($C$19:$C2165,$C2165,$G$19:$G2165),"")</f>
        <v>81211.819999998</v>
      </c>
      <c r="I2165" s="147"/>
      <c r="J2165" s="147"/>
      <c r="K2165" s="147" t="str">
        <f t="shared" si="33"/>
        <v/>
      </c>
      <c r="L2165" s="40"/>
      <c r="M2165"/>
      <c r="N2165"/>
      <c r="O2165"/>
      <c r="P2165"/>
      <c r="Q2165"/>
      <c r="R2165"/>
      <c r="S2165"/>
      <c r="T2165"/>
      <c r="U2165"/>
      <c r="V2165"/>
      <c r="W2165" s="41"/>
      <c r="X2165" s="41"/>
      <c r="Y2165" s="41"/>
    </row>
    <row r="2166" s="27" customFormat="1" ht="23" hidden="1" customHeight="1" spans="1:25">
      <c r="A2166" s="133" t="str">
        <f>IF(B2166="","",COUNTA($B$5:B2166))</f>
        <v/>
      </c>
      <c r="B2166" s="148"/>
      <c r="C2166" s="22" t="s">
        <v>49</v>
      </c>
      <c r="D2166" s="149"/>
      <c r="E2166" s="150"/>
      <c r="F2166" s="151"/>
      <c r="G2166" s="151"/>
      <c r="H2166" s="142">
        <f>IFERROR(VLOOKUP($C2166,$C$5:$H$18,6,0)+SUMIF($C$19:$C2166,$C2166,$F$19:$F2166)-SUMIF($C$19:$C2166,$C2166,$G$19:$G2166),"")</f>
        <v>81211.819999998</v>
      </c>
      <c r="I2166" s="147"/>
      <c r="J2166" s="147"/>
      <c r="K2166" s="147" t="str">
        <f t="shared" si="33"/>
        <v/>
      </c>
      <c r="L2166" s="40"/>
      <c r="M2166"/>
      <c r="N2166"/>
      <c r="O2166"/>
      <c r="P2166"/>
      <c r="Q2166"/>
      <c r="R2166"/>
      <c r="S2166"/>
      <c r="T2166"/>
      <c r="U2166"/>
      <c r="V2166"/>
      <c r="W2166" s="41"/>
      <c r="X2166" s="41"/>
      <c r="Y2166" s="41"/>
    </row>
    <row r="2167" s="27" customFormat="1" ht="23" hidden="1" customHeight="1" spans="1:25">
      <c r="A2167" s="133" t="str">
        <f>IF(B2167="","",COUNTA($B$5:B2167))</f>
        <v/>
      </c>
      <c r="B2167" s="148"/>
      <c r="C2167" s="22" t="s">
        <v>49</v>
      </c>
      <c r="D2167" s="149"/>
      <c r="E2167" s="150"/>
      <c r="F2167" s="151"/>
      <c r="G2167" s="151"/>
      <c r="H2167" s="142">
        <f>IFERROR(VLOOKUP($C2167,$C$5:$H$18,6,0)+SUMIF($C$19:$C2167,$C2167,$F$19:$F2167)-SUMIF($C$19:$C2167,$C2167,$G$19:$G2167),"")</f>
        <v>81211.819999998</v>
      </c>
      <c r="I2167" s="147"/>
      <c r="J2167" s="147"/>
      <c r="K2167" s="147" t="str">
        <f t="shared" si="33"/>
        <v/>
      </c>
      <c r="L2167" s="40"/>
      <c r="M2167"/>
      <c r="N2167"/>
      <c r="O2167"/>
      <c r="P2167"/>
      <c r="Q2167"/>
      <c r="R2167"/>
      <c r="S2167"/>
      <c r="T2167"/>
      <c r="U2167"/>
      <c r="V2167"/>
      <c r="W2167" s="41"/>
      <c r="X2167" s="41"/>
      <c r="Y2167" s="41"/>
    </row>
    <row r="2168" s="27" customFormat="1" ht="23" hidden="1" customHeight="1" spans="1:25">
      <c r="A2168" s="133" t="str">
        <f>IF(B2168="","",COUNTA($B$5:B2168))</f>
        <v/>
      </c>
      <c r="B2168" s="148"/>
      <c r="C2168" s="22" t="s">
        <v>49</v>
      </c>
      <c r="D2168" s="149"/>
      <c r="E2168" s="150"/>
      <c r="F2168" s="151"/>
      <c r="G2168" s="151"/>
      <c r="H2168" s="142">
        <f>IFERROR(VLOOKUP($C2168,$C$5:$H$18,6,0)+SUMIF($C$19:$C2168,$C2168,$F$19:$F2168)-SUMIF($C$19:$C2168,$C2168,$G$19:$G2168),"")</f>
        <v>81211.819999998</v>
      </c>
      <c r="I2168" s="147"/>
      <c r="J2168" s="147"/>
      <c r="K2168" s="147" t="str">
        <f t="shared" si="33"/>
        <v/>
      </c>
      <c r="L2168" s="40"/>
      <c r="M2168"/>
      <c r="N2168"/>
      <c r="O2168"/>
      <c r="P2168"/>
      <c r="Q2168"/>
      <c r="R2168"/>
      <c r="S2168"/>
      <c r="T2168"/>
      <c r="U2168"/>
      <c r="V2168"/>
      <c r="W2168" s="41"/>
      <c r="X2168" s="41"/>
      <c r="Y2168" s="41"/>
    </row>
    <row r="2169" s="27" customFormat="1" ht="23" hidden="1" customHeight="1" spans="1:25">
      <c r="A2169" s="133" t="str">
        <f>IF(B2169="","",COUNTA($B$5:B2169))</f>
        <v/>
      </c>
      <c r="B2169" s="148"/>
      <c r="C2169" s="22" t="s">
        <v>49</v>
      </c>
      <c r="D2169" s="149"/>
      <c r="E2169" s="150"/>
      <c r="F2169" s="151"/>
      <c r="G2169" s="151"/>
      <c r="H2169" s="142">
        <f>IFERROR(VLOOKUP($C2169,$C$5:$H$18,6,0)+SUMIF($C$19:$C2169,$C2169,$F$19:$F2169)-SUMIF($C$19:$C2169,$C2169,$G$19:$G2169),"")</f>
        <v>81211.819999998</v>
      </c>
      <c r="I2169" s="147"/>
      <c r="J2169" s="147"/>
      <c r="K2169" s="147" t="str">
        <f t="shared" si="33"/>
        <v/>
      </c>
      <c r="L2169" s="40"/>
      <c r="M2169"/>
      <c r="N2169"/>
      <c r="O2169"/>
      <c r="P2169"/>
      <c r="Q2169"/>
      <c r="R2169"/>
      <c r="S2169"/>
      <c r="T2169"/>
      <c r="U2169"/>
      <c r="V2169"/>
      <c r="W2169" s="41"/>
      <c r="X2169" s="41"/>
      <c r="Y2169" s="41"/>
    </row>
    <row r="2170" s="27" customFormat="1" ht="23" hidden="1" customHeight="1" spans="1:25">
      <c r="A2170" s="133" t="str">
        <f>IF(B2170="","",COUNTA($B$5:B2170))</f>
        <v/>
      </c>
      <c r="B2170" s="148"/>
      <c r="C2170" s="22" t="s">
        <v>49</v>
      </c>
      <c r="D2170" s="149"/>
      <c r="E2170" s="150"/>
      <c r="F2170" s="151"/>
      <c r="G2170" s="151"/>
      <c r="H2170" s="142">
        <f>IFERROR(VLOOKUP($C2170,$C$5:$H$18,6,0)+SUMIF($C$19:$C2170,$C2170,$F$19:$F2170)-SUMIF($C$19:$C2170,$C2170,$G$19:$G2170),"")</f>
        <v>81211.819999998</v>
      </c>
      <c r="I2170" s="147"/>
      <c r="J2170" s="147"/>
      <c r="K2170" s="147" t="str">
        <f t="shared" si="33"/>
        <v/>
      </c>
      <c r="L2170" s="40"/>
      <c r="M2170"/>
      <c r="N2170"/>
      <c r="O2170"/>
      <c r="P2170"/>
      <c r="Q2170"/>
      <c r="R2170"/>
      <c r="S2170"/>
      <c r="T2170"/>
      <c r="U2170"/>
      <c r="V2170"/>
      <c r="W2170" s="41"/>
      <c r="X2170" s="41"/>
      <c r="Y2170" s="41"/>
    </row>
    <row r="2171" s="27" customFormat="1" ht="23" hidden="1" customHeight="1" spans="1:25">
      <c r="A2171" s="133" t="str">
        <f>IF(B2171="","",COUNTA($B$5:B2171))</f>
        <v/>
      </c>
      <c r="B2171" s="148"/>
      <c r="C2171" s="22" t="s">
        <v>49</v>
      </c>
      <c r="D2171" s="149"/>
      <c r="E2171" s="150"/>
      <c r="F2171" s="151"/>
      <c r="G2171" s="151"/>
      <c r="H2171" s="142">
        <f>IFERROR(VLOOKUP($C2171,$C$5:$H$18,6,0)+SUMIF($C$19:$C2171,$C2171,$F$19:$F2171)-SUMIF($C$19:$C2171,$C2171,$G$19:$G2171),"")</f>
        <v>81211.819999998</v>
      </c>
      <c r="I2171" s="147"/>
      <c r="J2171" s="147"/>
      <c r="K2171" s="147" t="str">
        <f t="shared" si="33"/>
        <v/>
      </c>
      <c r="L2171" s="40"/>
      <c r="M2171"/>
      <c r="N2171"/>
      <c r="O2171"/>
      <c r="P2171"/>
      <c r="Q2171"/>
      <c r="R2171"/>
      <c r="S2171"/>
      <c r="T2171"/>
      <c r="U2171"/>
      <c r="V2171"/>
      <c r="W2171" s="41"/>
      <c r="X2171" s="41"/>
      <c r="Y2171" s="41"/>
    </row>
    <row r="2172" s="27" customFormat="1" ht="23" hidden="1" customHeight="1" spans="1:25">
      <c r="A2172" s="133" t="str">
        <f>IF(B2172="","",COUNTA($B$5:B2172))</f>
        <v/>
      </c>
      <c r="B2172" s="148"/>
      <c r="C2172" s="22" t="s">
        <v>49</v>
      </c>
      <c r="D2172" s="149"/>
      <c r="E2172" s="150"/>
      <c r="F2172" s="151"/>
      <c r="G2172" s="151"/>
      <c r="H2172" s="142">
        <f>IFERROR(VLOOKUP($C2172,$C$5:$H$18,6,0)+SUMIF($C$19:$C2172,$C2172,$F$19:$F2172)-SUMIF($C$19:$C2172,$C2172,$G$19:$G2172),"")</f>
        <v>81211.819999998</v>
      </c>
      <c r="I2172" s="147"/>
      <c r="J2172" s="147"/>
      <c r="K2172" s="147" t="str">
        <f t="shared" si="33"/>
        <v/>
      </c>
      <c r="L2172" s="40"/>
      <c r="M2172"/>
      <c r="N2172"/>
      <c r="O2172"/>
      <c r="P2172"/>
      <c r="Q2172"/>
      <c r="R2172"/>
      <c r="S2172"/>
      <c r="T2172"/>
      <c r="U2172"/>
      <c r="V2172"/>
      <c r="W2172" s="41"/>
      <c r="X2172" s="41"/>
      <c r="Y2172" s="41"/>
    </row>
    <row r="2173" s="27" customFormat="1" ht="23" hidden="1" customHeight="1" spans="1:25">
      <c r="A2173" s="133" t="str">
        <f>IF(B2173="","",COUNTA($B$5:B2173))</f>
        <v/>
      </c>
      <c r="B2173" s="148"/>
      <c r="C2173" s="22" t="s">
        <v>49</v>
      </c>
      <c r="D2173" s="149"/>
      <c r="E2173" s="150"/>
      <c r="F2173" s="151"/>
      <c r="G2173" s="151"/>
      <c r="H2173" s="142">
        <f>IFERROR(VLOOKUP($C2173,$C$5:$H$18,6,0)+SUMIF($C$19:$C2173,$C2173,$F$19:$F2173)-SUMIF($C$19:$C2173,$C2173,$G$19:$G2173),"")</f>
        <v>81211.819999998</v>
      </c>
      <c r="I2173" s="147"/>
      <c r="J2173" s="147"/>
      <c r="K2173" s="147" t="str">
        <f t="shared" si="33"/>
        <v/>
      </c>
      <c r="L2173" s="40"/>
      <c r="M2173"/>
      <c r="N2173"/>
      <c r="O2173"/>
      <c r="P2173"/>
      <c r="Q2173"/>
      <c r="R2173"/>
      <c r="S2173"/>
      <c r="T2173"/>
      <c r="U2173"/>
      <c r="V2173"/>
      <c r="W2173" s="41"/>
      <c r="X2173" s="41"/>
      <c r="Y2173" s="41"/>
    </row>
    <row r="2174" s="27" customFormat="1" ht="23" hidden="1" customHeight="1" spans="1:25">
      <c r="A2174" s="133" t="str">
        <f>IF(B2174="","",COUNTA($B$5:B2174))</f>
        <v/>
      </c>
      <c r="B2174" s="148"/>
      <c r="C2174" s="22" t="s">
        <v>49</v>
      </c>
      <c r="D2174" s="149"/>
      <c r="E2174" s="150"/>
      <c r="F2174" s="151"/>
      <c r="G2174" s="151"/>
      <c r="H2174" s="142">
        <f>IFERROR(VLOOKUP($C2174,$C$5:$H$18,6,0)+SUMIF($C$19:$C2174,$C2174,$F$19:$F2174)-SUMIF($C$19:$C2174,$C2174,$G$19:$G2174),"")</f>
        <v>81211.819999998</v>
      </c>
      <c r="I2174" s="147"/>
      <c r="J2174" s="147"/>
      <c r="K2174" s="147" t="str">
        <f t="shared" si="33"/>
        <v/>
      </c>
      <c r="L2174" s="40"/>
      <c r="M2174"/>
      <c r="N2174"/>
      <c r="O2174"/>
      <c r="P2174"/>
      <c r="Q2174"/>
      <c r="R2174"/>
      <c r="S2174"/>
      <c r="T2174"/>
      <c r="U2174"/>
      <c r="V2174"/>
      <c r="W2174" s="41"/>
      <c r="X2174" s="41"/>
      <c r="Y2174" s="41"/>
    </row>
    <row r="2175" s="27" customFormat="1" ht="23" hidden="1" customHeight="1" spans="1:25">
      <c r="A2175" s="133" t="str">
        <f>IF(B2175="","",COUNTA($B$5:B2175))</f>
        <v/>
      </c>
      <c r="B2175" s="148"/>
      <c r="C2175" s="22" t="s">
        <v>49</v>
      </c>
      <c r="D2175" s="149"/>
      <c r="E2175" s="150"/>
      <c r="F2175" s="151"/>
      <c r="G2175" s="151"/>
      <c r="H2175" s="142">
        <f>IFERROR(VLOOKUP($C2175,$C$5:$H$18,6,0)+SUMIF($C$19:$C2175,$C2175,$F$19:$F2175)-SUMIF($C$19:$C2175,$C2175,$G$19:$G2175),"")</f>
        <v>81211.819999998</v>
      </c>
      <c r="I2175" s="147"/>
      <c r="J2175" s="147"/>
      <c r="K2175" s="147" t="str">
        <f t="shared" si="33"/>
        <v/>
      </c>
      <c r="L2175" s="40"/>
      <c r="M2175"/>
      <c r="N2175"/>
      <c r="O2175"/>
      <c r="P2175"/>
      <c r="Q2175"/>
      <c r="R2175"/>
      <c r="S2175"/>
      <c r="T2175"/>
      <c r="U2175"/>
      <c r="V2175"/>
      <c r="W2175" s="41"/>
      <c r="X2175" s="41"/>
      <c r="Y2175" s="41"/>
    </row>
    <row r="2176" s="27" customFormat="1" ht="23" hidden="1" customHeight="1" spans="1:25">
      <c r="A2176" s="133" t="str">
        <f>IF(B2176="","",COUNTA($B$5:B2176))</f>
        <v/>
      </c>
      <c r="B2176" s="148"/>
      <c r="C2176" s="22" t="s">
        <v>49</v>
      </c>
      <c r="D2176" s="149"/>
      <c r="E2176" s="150"/>
      <c r="F2176" s="151"/>
      <c r="G2176" s="151"/>
      <c r="H2176" s="142">
        <f>IFERROR(VLOOKUP($C2176,$C$5:$H$18,6,0)+SUMIF($C$19:$C2176,$C2176,$F$19:$F2176)-SUMIF($C$19:$C2176,$C2176,$G$19:$G2176),"")</f>
        <v>81211.819999998</v>
      </c>
      <c r="I2176" s="147"/>
      <c r="J2176" s="147"/>
      <c r="K2176" s="147" t="str">
        <f t="shared" si="33"/>
        <v/>
      </c>
      <c r="L2176" s="40"/>
      <c r="M2176"/>
      <c r="N2176"/>
      <c r="O2176"/>
      <c r="P2176"/>
      <c r="Q2176"/>
      <c r="R2176"/>
      <c r="S2176"/>
      <c r="T2176"/>
      <c r="U2176"/>
      <c r="V2176"/>
      <c r="W2176" s="41"/>
      <c r="X2176" s="41"/>
      <c r="Y2176" s="41"/>
    </row>
    <row r="2177" s="27" customFormat="1" ht="23" hidden="1" customHeight="1" spans="1:25">
      <c r="A2177" s="133" t="str">
        <f>IF(B2177="","",COUNTA($B$5:B2177))</f>
        <v/>
      </c>
      <c r="B2177" s="148"/>
      <c r="C2177" s="22" t="s">
        <v>49</v>
      </c>
      <c r="D2177" s="149"/>
      <c r="E2177" s="150"/>
      <c r="F2177" s="151"/>
      <c r="G2177" s="151"/>
      <c r="H2177" s="142">
        <f>IFERROR(VLOOKUP($C2177,$C$5:$H$18,6,0)+SUMIF($C$19:$C2177,$C2177,$F$19:$F2177)-SUMIF($C$19:$C2177,$C2177,$G$19:$G2177),"")</f>
        <v>81211.819999998</v>
      </c>
      <c r="I2177" s="147"/>
      <c r="J2177" s="147"/>
      <c r="K2177" s="147" t="str">
        <f t="shared" si="33"/>
        <v/>
      </c>
      <c r="L2177" s="40"/>
      <c r="M2177"/>
      <c r="N2177"/>
      <c r="O2177"/>
      <c r="P2177"/>
      <c r="Q2177"/>
      <c r="R2177"/>
      <c r="S2177"/>
      <c r="T2177"/>
      <c r="U2177"/>
      <c r="V2177"/>
      <c r="W2177" s="41"/>
      <c r="X2177" s="41"/>
      <c r="Y2177" s="41"/>
    </row>
    <row r="2178" s="27" customFormat="1" ht="23" hidden="1" customHeight="1" spans="1:25">
      <c r="A2178" s="133" t="str">
        <f>IF(B2178="","",COUNTA($B$5:B2178))</f>
        <v/>
      </c>
      <c r="B2178" s="148"/>
      <c r="C2178" s="22" t="s">
        <v>49</v>
      </c>
      <c r="D2178" s="149"/>
      <c r="E2178" s="150"/>
      <c r="F2178" s="151"/>
      <c r="G2178" s="151"/>
      <c r="H2178" s="142">
        <f>IFERROR(VLOOKUP($C2178,$C$5:$H$18,6,0)+SUMIF($C$19:$C2178,$C2178,$F$19:$F2178)-SUMIF($C$19:$C2178,$C2178,$G$19:$G2178),"")</f>
        <v>81211.819999998</v>
      </c>
      <c r="I2178" s="147"/>
      <c r="J2178" s="147"/>
      <c r="K2178" s="147" t="str">
        <f t="shared" si="33"/>
        <v/>
      </c>
      <c r="L2178" s="40"/>
      <c r="M2178"/>
      <c r="N2178"/>
      <c r="O2178"/>
      <c r="P2178"/>
      <c r="Q2178"/>
      <c r="R2178"/>
      <c r="S2178"/>
      <c r="T2178"/>
      <c r="U2178"/>
      <c r="V2178"/>
      <c r="W2178" s="41"/>
      <c r="X2178" s="41"/>
      <c r="Y2178" s="41"/>
    </row>
    <row r="2179" s="27" customFormat="1" ht="23" hidden="1" customHeight="1" spans="1:25">
      <c r="A2179" s="133" t="str">
        <f>IF(B2179="","",COUNTA($B$5:B2179))</f>
        <v/>
      </c>
      <c r="B2179" s="148"/>
      <c r="C2179" s="22" t="s">
        <v>49</v>
      </c>
      <c r="D2179" s="149"/>
      <c r="E2179" s="150"/>
      <c r="F2179" s="151"/>
      <c r="G2179" s="151"/>
      <c r="H2179" s="142">
        <f>IFERROR(VLOOKUP($C2179,$C$5:$H$18,6,0)+SUMIF($C$19:$C2179,$C2179,$F$19:$F2179)-SUMIF($C$19:$C2179,$C2179,$G$19:$G2179),"")</f>
        <v>81211.819999998</v>
      </c>
      <c r="I2179" s="147"/>
      <c r="J2179" s="147"/>
      <c r="K2179" s="147" t="str">
        <f t="shared" si="33"/>
        <v/>
      </c>
      <c r="L2179" s="40"/>
      <c r="M2179"/>
      <c r="N2179"/>
      <c r="O2179"/>
      <c r="P2179"/>
      <c r="Q2179"/>
      <c r="R2179"/>
      <c r="S2179"/>
      <c r="T2179"/>
      <c r="U2179"/>
      <c r="V2179"/>
      <c r="W2179" s="41"/>
      <c r="X2179" s="41"/>
      <c r="Y2179" s="41"/>
    </row>
    <row r="2180" s="27" customFormat="1" ht="23" hidden="1" customHeight="1" spans="1:25">
      <c r="A2180" s="133" t="str">
        <f>IF(B2180="","",COUNTA($B$5:B2180))</f>
        <v/>
      </c>
      <c r="B2180" s="148"/>
      <c r="C2180" s="22" t="s">
        <v>49</v>
      </c>
      <c r="D2180" s="149"/>
      <c r="E2180" s="150"/>
      <c r="F2180" s="151"/>
      <c r="G2180" s="151"/>
      <c r="H2180" s="142">
        <f>IFERROR(VLOOKUP($C2180,$C$5:$H$18,6,0)+SUMIF($C$19:$C2180,$C2180,$F$19:$F2180)-SUMIF($C$19:$C2180,$C2180,$G$19:$G2180),"")</f>
        <v>81211.819999998</v>
      </c>
      <c r="I2180" s="147"/>
      <c r="J2180" s="147"/>
      <c r="K2180" s="147" t="str">
        <f t="shared" si="33"/>
        <v/>
      </c>
      <c r="L2180" s="40"/>
      <c r="M2180"/>
      <c r="N2180"/>
      <c r="O2180"/>
      <c r="P2180"/>
      <c r="Q2180"/>
      <c r="R2180"/>
      <c r="S2180"/>
      <c r="T2180"/>
      <c r="U2180"/>
      <c r="V2180"/>
      <c r="W2180" s="41"/>
      <c r="X2180" s="41"/>
      <c r="Y2180" s="41"/>
    </row>
    <row r="2181" s="27" customFormat="1" ht="23" hidden="1" customHeight="1" spans="1:25">
      <c r="A2181" s="133" t="str">
        <f>IF(B2181="","",COUNTA($B$5:B2181))</f>
        <v/>
      </c>
      <c r="B2181" s="148"/>
      <c r="C2181" s="22" t="s">
        <v>49</v>
      </c>
      <c r="D2181" s="149"/>
      <c r="E2181" s="150"/>
      <c r="F2181" s="151"/>
      <c r="G2181" s="151"/>
      <c r="H2181" s="142">
        <f>IFERROR(VLOOKUP($C2181,$C$5:$H$18,6,0)+SUMIF($C$19:$C2181,$C2181,$F$19:$F2181)-SUMIF($C$19:$C2181,$C2181,$G$19:$G2181),"")</f>
        <v>81211.819999998</v>
      </c>
      <c r="I2181" s="147"/>
      <c r="J2181" s="147"/>
      <c r="K2181" s="147" t="str">
        <f t="shared" ref="K2181:K2244" si="34">IF($B2181="","",--TEXT($B2181,"yyyymm"))</f>
        <v/>
      </c>
      <c r="L2181" s="40"/>
      <c r="M2181"/>
      <c r="N2181"/>
      <c r="O2181"/>
      <c r="P2181"/>
      <c r="Q2181"/>
      <c r="R2181"/>
      <c r="S2181"/>
      <c r="T2181"/>
      <c r="U2181"/>
      <c r="V2181"/>
      <c r="W2181" s="41"/>
      <c r="X2181" s="41"/>
      <c r="Y2181" s="41"/>
    </row>
    <row r="2182" s="27" customFormat="1" ht="23" hidden="1" customHeight="1" spans="1:25">
      <c r="A2182" s="133" t="str">
        <f>IF(B2182="","",COUNTA($B$5:B2182))</f>
        <v/>
      </c>
      <c r="B2182" s="148"/>
      <c r="C2182" s="22" t="s">
        <v>49</v>
      </c>
      <c r="D2182" s="149"/>
      <c r="E2182" s="150"/>
      <c r="F2182" s="151"/>
      <c r="G2182" s="151"/>
      <c r="H2182" s="142">
        <f>IFERROR(VLOOKUP($C2182,$C$5:$H$18,6,0)+SUMIF($C$19:$C2182,$C2182,$F$19:$F2182)-SUMIF($C$19:$C2182,$C2182,$G$19:$G2182),"")</f>
        <v>81211.819999998</v>
      </c>
      <c r="I2182" s="147"/>
      <c r="J2182" s="147"/>
      <c r="K2182" s="147" t="str">
        <f t="shared" si="34"/>
        <v/>
      </c>
      <c r="L2182" s="40"/>
      <c r="M2182"/>
      <c r="N2182"/>
      <c r="O2182"/>
      <c r="P2182"/>
      <c r="Q2182"/>
      <c r="R2182"/>
      <c r="S2182"/>
      <c r="T2182"/>
      <c r="U2182"/>
      <c r="V2182"/>
      <c r="W2182" s="41"/>
      <c r="X2182" s="41"/>
      <c r="Y2182" s="41"/>
    </row>
    <row r="2183" s="27" customFormat="1" ht="23" hidden="1" customHeight="1" spans="1:25">
      <c r="A2183" s="133" t="str">
        <f>IF(B2183="","",COUNTA($B$5:B2183))</f>
        <v/>
      </c>
      <c r="B2183" s="148"/>
      <c r="C2183" s="22" t="s">
        <v>49</v>
      </c>
      <c r="D2183" s="149"/>
      <c r="E2183" s="150"/>
      <c r="F2183" s="151"/>
      <c r="G2183" s="151"/>
      <c r="H2183" s="142">
        <f>IFERROR(VLOOKUP($C2183,$C$5:$H$18,6,0)+SUMIF($C$19:$C2183,$C2183,$F$19:$F2183)-SUMIF($C$19:$C2183,$C2183,$G$19:$G2183),"")</f>
        <v>81211.819999998</v>
      </c>
      <c r="I2183" s="147"/>
      <c r="J2183" s="147"/>
      <c r="K2183" s="147" t="str">
        <f t="shared" si="34"/>
        <v/>
      </c>
      <c r="L2183" s="40"/>
      <c r="M2183"/>
      <c r="N2183"/>
      <c r="O2183"/>
      <c r="P2183"/>
      <c r="Q2183"/>
      <c r="R2183"/>
      <c r="S2183"/>
      <c r="T2183"/>
      <c r="U2183"/>
      <c r="V2183"/>
      <c r="W2183" s="41"/>
      <c r="X2183" s="41"/>
      <c r="Y2183" s="41"/>
    </row>
    <row r="2184" s="27" customFormat="1" ht="23" hidden="1" customHeight="1" spans="1:25">
      <c r="A2184" s="133" t="str">
        <f>IF(B2184="","",COUNTA($B$5:B2184))</f>
        <v/>
      </c>
      <c r="B2184" s="148"/>
      <c r="C2184" s="22" t="s">
        <v>49</v>
      </c>
      <c r="D2184" s="149"/>
      <c r="E2184" s="150"/>
      <c r="F2184" s="151"/>
      <c r="G2184" s="151"/>
      <c r="H2184" s="142">
        <f>IFERROR(VLOOKUP($C2184,$C$5:$H$18,6,0)+SUMIF($C$19:$C2184,$C2184,$F$19:$F2184)-SUMIF($C$19:$C2184,$C2184,$G$19:$G2184),"")</f>
        <v>81211.819999998</v>
      </c>
      <c r="I2184" s="147"/>
      <c r="J2184" s="147"/>
      <c r="K2184" s="147" t="str">
        <f t="shared" si="34"/>
        <v/>
      </c>
      <c r="L2184" s="40"/>
      <c r="M2184"/>
      <c r="N2184"/>
      <c r="O2184"/>
      <c r="P2184"/>
      <c r="Q2184"/>
      <c r="R2184"/>
      <c r="S2184"/>
      <c r="T2184"/>
      <c r="U2184"/>
      <c r="V2184"/>
      <c r="W2184" s="41"/>
      <c r="X2184" s="41"/>
      <c r="Y2184" s="41"/>
    </row>
    <row r="2185" s="27" customFormat="1" ht="23" hidden="1" customHeight="1" spans="1:25">
      <c r="A2185" s="133" t="str">
        <f>IF(B2185="","",COUNTA($B$5:B2185))</f>
        <v/>
      </c>
      <c r="B2185" s="148"/>
      <c r="C2185" s="22" t="s">
        <v>49</v>
      </c>
      <c r="D2185" s="149"/>
      <c r="E2185" s="150"/>
      <c r="F2185" s="151"/>
      <c r="G2185" s="151"/>
      <c r="H2185" s="142">
        <f>IFERROR(VLOOKUP($C2185,$C$5:$H$18,6,0)+SUMIF($C$19:$C2185,$C2185,$F$19:$F2185)-SUMIF($C$19:$C2185,$C2185,$G$19:$G2185),"")</f>
        <v>81211.819999998</v>
      </c>
      <c r="I2185" s="147"/>
      <c r="J2185" s="147"/>
      <c r="K2185" s="147" t="str">
        <f t="shared" si="34"/>
        <v/>
      </c>
      <c r="L2185" s="40"/>
      <c r="M2185"/>
      <c r="N2185"/>
      <c r="O2185"/>
      <c r="P2185"/>
      <c r="Q2185"/>
      <c r="R2185"/>
      <c r="S2185"/>
      <c r="T2185"/>
      <c r="U2185"/>
      <c r="V2185"/>
      <c r="W2185" s="41"/>
      <c r="X2185" s="41"/>
      <c r="Y2185" s="41"/>
    </row>
    <row r="2186" s="27" customFormat="1" ht="23" hidden="1" customHeight="1" spans="1:25">
      <c r="A2186" s="133" t="str">
        <f>IF(B2186="","",COUNTA($B$5:B2186))</f>
        <v/>
      </c>
      <c r="B2186" s="148"/>
      <c r="C2186" s="22" t="s">
        <v>49</v>
      </c>
      <c r="D2186" s="149"/>
      <c r="E2186" s="150"/>
      <c r="F2186" s="151"/>
      <c r="G2186" s="151"/>
      <c r="H2186" s="142">
        <f>IFERROR(VLOOKUP($C2186,$C$5:$H$18,6,0)+SUMIF($C$19:$C2186,$C2186,$F$19:$F2186)-SUMIF($C$19:$C2186,$C2186,$G$19:$G2186),"")</f>
        <v>81211.819999998</v>
      </c>
      <c r="I2186" s="147"/>
      <c r="J2186" s="147"/>
      <c r="K2186" s="147" t="str">
        <f t="shared" si="34"/>
        <v/>
      </c>
      <c r="L2186" s="40"/>
      <c r="M2186"/>
      <c r="N2186"/>
      <c r="O2186"/>
      <c r="P2186"/>
      <c r="Q2186"/>
      <c r="R2186"/>
      <c r="S2186"/>
      <c r="T2186"/>
      <c r="U2186"/>
      <c r="V2186"/>
      <c r="W2186" s="41"/>
      <c r="X2186" s="41"/>
      <c r="Y2186" s="41"/>
    </row>
    <row r="2187" s="27" customFormat="1" ht="23" hidden="1" customHeight="1" spans="1:25">
      <c r="A2187" s="133" t="str">
        <f>IF(B2187="","",COUNTA($B$5:B2187))</f>
        <v/>
      </c>
      <c r="B2187" s="148"/>
      <c r="C2187" s="22" t="s">
        <v>49</v>
      </c>
      <c r="D2187" s="149"/>
      <c r="E2187" s="150"/>
      <c r="F2187" s="151"/>
      <c r="G2187" s="151"/>
      <c r="H2187" s="142">
        <f>IFERROR(VLOOKUP($C2187,$C$5:$H$18,6,0)+SUMIF($C$19:$C2187,$C2187,$F$19:$F2187)-SUMIF($C$19:$C2187,$C2187,$G$19:$G2187),"")</f>
        <v>81211.819999998</v>
      </c>
      <c r="I2187" s="147"/>
      <c r="J2187" s="147"/>
      <c r="K2187" s="147" t="str">
        <f t="shared" si="34"/>
        <v/>
      </c>
      <c r="L2187" s="40"/>
      <c r="M2187"/>
      <c r="N2187"/>
      <c r="O2187"/>
      <c r="P2187"/>
      <c r="Q2187"/>
      <c r="R2187"/>
      <c r="S2187"/>
      <c r="T2187"/>
      <c r="U2187"/>
      <c r="V2187"/>
      <c r="W2187" s="41"/>
      <c r="X2187" s="41"/>
      <c r="Y2187" s="41"/>
    </row>
    <row r="2188" s="27" customFormat="1" ht="23" hidden="1" customHeight="1" spans="1:25">
      <c r="A2188" s="133" t="str">
        <f>IF(B2188="","",COUNTA($B$5:B2188))</f>
        <v/>
      </c>
      <c r="B2188" s="148"/>
      <c r="C2188" s="22" t="s">
        <v>49</v>
      </c>
      <c r="D2188" s="149"/>
      <c r="E2188" s="150"/>
      <c r="F2188" s="151"/>
      <c r="G2188" s="151"/>
      <c r="H2188" s="142">
        <f>IFERROR(VLOOKUP($C2188,$C$5:$H$18,6,0)+SUMIF($C$19:$C2188,$C2188,$F$19:$F2188)-SUMIF($C$19:$C2188,$C2188,$G$19:$G2188),"")</f>
        <v>81211.819999998</v>
      </c>
      <c r="I2188" s="147"/>
      <c r="J2188" s="147"/>
      <c r="K2188" s="147" t="str">
        <f t="shared" si="34"/>
        <v/>
      </c>
      <c r="L2188" s="40"/>
      <c r="M2188"/>
      <c r="N2188"/>
      <c r="O2188"/>
      <c r="P2188"/>
      <c r="Q2188"/>
      <c r="R2188"/>
      <c r="S2188"/>
      <c r="T2188"/>
      <c r="U2188"/>
      <c r="V2188"/>
      <c r="W2188" s="41"/>
      <c r="X2188" s="41"/>
      <c r="Y2188" s="41"/>
    </row>
    <row r="2189" s="27" customFormat="1" ht="23" hidden="1" customHeight="1" spans="1:25">
      <c r="A2189" s="133" t="str">
        <f>IF(B2189="","",COUNTA($B$5:B2189))</f>
        <v/>
      </c>
      <c r="B2189" s="148"/>
      <c r="C2189" s="22" t="s">
        <v>49</v>
      </c>
      <c r="D2189" s="149"/>
      <c r="E2189" s="150"/>
      <c r="F2189" s="151"/>
      <c r="G2189" s="151"/>
      <c r="H2189" s="142">
        <f>IFERROR(VLOOKUP($C2189,$C$5:$H$18,6,0)+SUMIF($C$19:$C2189,$C2189,$F$19:$F2189)-SUMIF($C$19:$C2189,$C2189,$G$19:$G2189),"")</f>
        <v>81211.819999998</v>
      </c>
      <c r="I2189" s="147"/>
      <c r="J2189" s="147"/>
      <c r="K2189" s="147" t="str">
        <f t="shared" si="34"/>
        <v/>
      </c>
      <c r="L2189" s="40"/>
      <c r="M2189"/>
      <c r="N2189"/>
      <c r="O2189"/>
      <c r="P2189"/>
      <c r="Q2189"/>
      <c r="R2189"/>
      <c r="S2189"/>
      <c r="T2189"/>
      <c r="U2189"/>
      <c r="V2189"/>
      <c r="W2189" s="41"/>
      <c r="X2189" s="41"/>
      <c r="Y2189" s="41"/>
    </row>
    <row r="2190" s="27" customFormat="1" ht="23" hidden="1" customHeight="1" spans="1:25">
      <c r="A2190" s="133" t="str">
        <f>IF(B2190="","",COUNTA($B$5:B2190))</f>
        <v/>
      </c>
      <c r="B2190" s="148"/>
      <c r="C2190" s="22" t="s">
        <v>49</v>
      </c>
      <c r="D2190" s="149"/>
      <c r="E2190" s="150"/>
      <c r="F2190" s="151"/>
      <c r="G2190" s="151"/>
      <c r="H2190" s="142">
        <f>IFERROR(VLOOKUP($C2190,$C$5:$H$18,6,0)+SUMIF($C$19:$C2190,$C2190,$F$19:$F2190)-SUMIF($C$19:$C2190,$C2190,$G$19:$G2190),"")</f>
        <v>81211.819999998</v>
      </c>
      <c r="I2190" s="147"/>
      <c r="J2190" s="147"/>
      <c r="K2190" s="147" t="str">
        <f t="shared" si="34"/>
        <v/>
      </c>
      <c r="L2190" s="40"/>
      <c r="M2190"/>
      <c r="N2190"/>
      <c r="O2190"/>
      <c r="P2190"/>
      <c r="Q2190"/>
      <c r="R2190"/>
      <c r="S2190"/>
      <c r="T2190"/>
      <c r="U2190"/>
      <c r="V2190"/>
      <c r="W2190" s="41"/>
      <c r="X2190" s="41"/>
      <c r="Y2190" s="41"/>
    </row>
    <row r="2191" s="27" customFormat="1" ht="23" hidden="1" customHeight="1" spans="1:25">
      <c r="A2191" s="133" t="str">
        <f>IF(B2191="","",COUNTA($B$5:B2191))</f>
        <v/>
      </c>
      <c r="B2191" s="148"/>
      <c r="C2191" s="22" t="s">
        <v>49</v>
      </c>
      <c r="D2191" s="149"/>
      <c r="E2191" s="150"/>
      <c r="F2191" s="151"/>
      <c r="G2191" s="151"/>
      <c r="H2191" s="142">
        <f>IFERROR(VLOOKUP($C2191,$C$5:$H$18,6,0)+SUMIF($C$19:$C2191,$C2191,$F$19:$F2191)-SUMIF($C$19:$C2191,$C2191,$G$19:$G2191),"")</f>
        <v>81211.819999998</v>
      </c>
      <c r="I2191" s="147"/>
      <c r="J2191" s="147"/>
      <c r="K2191" s="147" t="str">
        <f t="shared" si="34"/>
        <v/>
      </c>
      <c r="L2191" s="40"/>
      <c r="M2191"/>
      <c r="N2191"/>
      <c r="O2191"/>
      <c r="P2191"/>
      <c r="Q2191"/>
      <c r="R2191"/>
      <c r="S2191"/>
      <c r="T2191"/>
      <c r="U2191"/>
      <c r="V2191"/>
      <c r="W2191" s="41"/>
      <c r="X2191" s="41"/>
      <c r="Y2191" s="41"/>
    </row>
    <row r="2192" s="27" customFormat="1" ht="23" hidden="1" customHeight="1" spans="1:25">
      <c r="A2192" s="133" t="str">
        <f>IF(B2192="","",COUNTA($B$5:B2192))</f>
        <v/>
      </c>
      <c r="B2192" s="148"/>
      <c r="C2192" s="22" t="s">
        <v>49</v>
      </c>
      <c r="D2192" s="149"/>
      <c r="E2192" s="150"/>
      <c r="F2192" s="151"/>
      <c r="G2192" s="151"/>
      <c r="H2192" s="142">
        <f>IFERROR(VLOOKUP($C2192,$C$5:$H$18,6,0)+SUMIF($C$19:$C2192,$C2192,$F$19:$F2192)-SUMIF($C$19:$C2192,$C2192,$G$19:$G2192),"")</f>
        <v>81211.819999998</v>
      </c>
      <c r="I2192" s="147"/>
      <c r="J2192" s="147"/>
      <c r="K2192" s="147" t="str">
        <f t="shared" si="34"/>
        <v/>
      </c>
      <c r="L2192" s="40"/>
      <c r="M2192"/>
      <c r="N2192"/>
      <c r="O2192"/>
      <c r="P2192"/>
      <c r="Q2192"/>
      <c r="R2192"/>
      <c r="S2192"/>
      <c r="T2192"/>
      <c r="U2192"/>
      <c r="V2192"/>
      <c r="W2192" s="41"/>
      <c r="X2192" s="41"/>
      <c r="Y2192" s="41"/>
    </row>
    <row r="2193" s="27" customFormat="1" ht="23" hidden="1" customHeight="1" spans="1:25">
      <c r="A2193" s="133" t="str">
        <f>IF(B2193="","",COUNTA($B$5:B2193))</f>
        <v/>
      </c>
      <c r="B2193" s="148"/>
      <c r="C2193" s="22" t="s">
        <v>49</v>
      </c>
      <c r="D2193" s="149"/>
      <c r="E2193" s="150"/>
      <c r="F2193" s="151"/>
      <c r="G2193" s="151"/>
      <c r="H2193" s="142">
        <f>IFERROR(VLOOKUP($C2193,$C$5:$H$18,6,0)+SUMIF($C$19:$C2193,$C2193,$F$19:$F2193)-SUMIF($C$19:$C2193,$C2193,$G$19:$G2193),"")</f>
        <v>81211.819999998</v>
      </c>
      <c r="I2193" s="147"/>
      <c r="J2193" s="147"/>
      <c r="K2193" s="147" t="str">
        <f t="shared" si="34"/>
        <v/>
      </c>
      <c r="L2193" s="40"/>
      <c r="M2193"/>
      <c r="N2193"/>
      <c r="O2193"/>
      <c r="P2193"/>
      <c r="Q2193"/>
      <c r="R2193"/>
      <c r="S2193"/>
      <c r="T2193"/>
      <c r="U2193"/>
      <c r="V2193"/>
      <c r="W2193" s="41"/>
      <c r="X2193" s="41"/>
      <c r="Y2193" s="41"/>
    </row>
    <row r="2194" s="27" customFormat="1" ht="23" hidden="1" customHeight="1" spans="1:25">
      <c r="A2194" s="133" t="str">
        <f>IF(B2194="","",COUNTA($B$5:B2194))</f>
        <v/>
      </c>
      <c r="B2194" s="148"/>
      <c r="C2194" s="22" t="s">
        <v>49</v>
      </c>
      <c r="D2194" s="149"/>
      <c r="E2194" s="150"/>
      <c r="F2194" s="151"/>
      <c r="G2194" s="151"/>
      <c r="H2194" s="142">
        <f>IFERROR(VLOOKUP($C2194,$C$5:$H$18,6,0)+SUMIF($C$19:$C2194,$C2194,$F$19:$F2194)-SUMIF($C$19:$C2194,$C2194,$G$19:$G2194),"")</f>
        <v>81211.819999998</v>
      </c>
      <c r="I2194" s="147"/>
      <c r="J2194" s="147"/>
      <c r="K2194" s="147" t="str">
        <f t="shared" si="34"/>
        <v/>
      </c>
      <c r="L2194" s="40"/>
      <c r="M2194"/>
      <c r="N2194"/>
      <c r="O2194"/>
      <c r="P2194"/>
      <c r="Q2194"/>
      <c r="R2194"/>
      <c r="S2194"/>
      <c r="T2194"/>
      <c r="U2194"/>
      <c r="V2194"/>
      <c r="W2194" s="41"/>
      <c r="X2194" s="41"/>
      <c r="Y2194" s="41"/>
    </row>
    <row r="2195" s="27" customFormat="1" ht="23" hidden="1" customHeight="1" spans="1:25">
      <c r="A2195" s="133" t="str">
        <f>IF(B2195="","",COUNTA($B$5:B2195))</f>
        <v/>
      </c>
      <c r="B2195" s="148"/>
      <c r="C2195" s="22" t="s">
        <v>49</v>
      </c>
      <c r="D2195" s="149"/>
      <c r="E2195" s="150"/>
      <c r="F2195" s="151"/>
      <c r="G2195" s="151"/>
      <c r="H2195" s="142">
        <f>IFERROR(VLOOKUP($C2195,$C$5:$H$18,6,0)+SUMIF($C$19:$C2195,$C2195,$F$19:$F2195)-SUMIF($C$19:$C2195,$C2195,$G$19:$G2195),"")</f>
        <v>81211.819999998</v>
      </c>
      <c r="I2195" s="147"/>
      <c r="J2195" s="147"/>
      <c r="K2195" s="147" t="str">
        <f t="shared" si="34"/>
        <v/>
      </c>
      <c r="L2195" s="40"/>
      <c r="M2195"/>
      <c r="N2195"/>
      <c r="O2195"/>
      <c r="P2195"/>
      <c r="Q2195"/>
      <c r="R2195"/>
      <c r="S2195"/>
      <c r="T2195"/>
      <c r="U2195"/>
      <c r="V2195"/>
      <c r="W2195" s="41"/>
      <c r="X2195" s="41"/>
      <c r="Y2195" s="41"/>
    </row>
    <row r="2196" s="27" customFormat="1" ht="23" hidden="1" customHeight="1" spans="1:25">
      <c r="A2196" s="133" t="str">
        <f>IF(B2196="","",COUNTA($B$5:B2196))</f>
        <v/>
      </c>
      <c r="B2196" s="148"/>
      <c r="C2196" s="22" t="s">
        <v>49</v>
      </c>
      <c r="D2196" s="149"/>
      <c r="E2196" s="150"/>
      <c r="F2196" s="151"/>
      <c r="G2196" s="151"/>
      <c r="H2196" s="142">
        <f>IFERROR(VLOOKUP($C2196,$C$5:$H$18,6,0)+SUMIF($C$19:$C2196,$C2196,$F$19:$F2196)-SUMIF($C$19:$C2196,$C2196,$G$19:$G2196),"")</f>
        <v>81211.819999998</v>
      </c>
      <c r="I2196" s="147"/>
      <c r="J2196" s="147"/>
      <c r="K2196" s="147" t="str">
        <f t="shared" si="34"/>
        <v/>
      </c>
      <c r="L2196" s="40"/>
      <c r="M2196"/>
      <c r="N2196"/>
      <c r="O2196"/>
      <c r="P2196"/>
      <c r="Q2196"/>
      <c r="R2196"/>
      <c r="S2196"/>
      <c r="T2196"/>
      <c r="U2196"/>
      <c r="V2196"/>
      <c r="W2196" s="41"/>
      <c r="X2196" s="41"/>
      <c r="Y2196" s="41"/>
    </row>
    <row r="2197" s="27" customFormat="1" ht="23" hidden="1" customHeight="1" spans="1:25">
      <c r="A2197" s="133" t="str">
        <f>IF(B2197="","",COUNTA($B$5:B2197))</f>
        <v/>
      </c>
      <c r="B2197" s="148"/>
      <c r="C2197" s="22" t="s">
        <v>49</v>
      </c>
      <c r="D2197" s="149"/>
      <c r="E2197" s="150"/>
      <c r="F2197" s="151"/>
      <c r="G2197" s="151"/>
      <c r="H2197" s="142">
        <f>IFERROR(VLOOKUP($C2197,$C$5:$H$18,6,0)+SUMIF($C$19:$C2197,$C2197,$F$19:$F2197)-SUMIF($C$19:$C2197,$C2197,$G$19:$G2197),"")</f>
        <v>81211.819999998</v>
      </c>
      <c r="I2197" s="147"/>
      <c r="J2197" s="147"/>
      <c r="K2197" s="147" t="str">
        <f t="shared" si="34"/>
        <v/>
      </c>
      <c r="L2197" s="40"/>
      <c r="M2197"/>
      <c r="N2197"/>
      <c r="O2197"/>
      <c r="P2197"/>
      <c r="Q2197"/>
      <c r="R2197"/>
      <c r="S2197"/>
      <c r="T2197"/>
      <c r="U2197"/>
      <c r="V2197"/>
      <c r="W2197" s="41"/>
      <c r="X2197" s="41"/>
      <c r="Y2197" s="41"/>
    </row>
    <row r="2198" s="27" customFormat="1" ht="23" hidden="1" customHeight="1" spans="1:25">
      <c r="A2198" s="133" t="str">
        <f>IF(B2198="","",COUNTA($B$5:B2198))</f>
        <v/>
      </c>
      <c r="B2198" s="148"/>
      <c r="C2198" s="22" t="s">
        <v>49</v>
      </c>
      <c r="D2198" s="149"/>
      <c r="E2198" s="150"/>
      <c r="F2198" s="151"/>
      <c r="G2198" s="151"/>
      <c r="H2198" s="142">
        <f>IFERROR(VLOOKUP($C2198,$C$5:$H$18,6,0)+SUMIF($C$19:$C2198,$C2198,$F$19:$F2198)-SUMIF($C$19:$C2198,$C2198,$G$19:$G2198),"")</f>
        <v>81211.819999998</v>
      </c>
      <c r="I2198" s="147"/>
      <c r="J2198" s="147"/>
      <c r="K2198" s="147" t="str">
        <f t="shared" si="34"/>
        <v/>
      </c>
      <c r="L2198" s="40"/>
      <c r="M2198"/>
      <c r="N2198"/>
      <c r="O2198"/>
      <c r="P2198"/>
      <c r="Q2198"/>
      <c r="R2198"/>
      <c r="S2198"/>
      <c r="T2198"/>
      <c r="U2198"/>
      <c r="V2198"/>
      <c r="W2198" s="41"/>
      <c r="X2198" s="41"/>
      <c r="Y2198" s="41"/>
    </row>
    <row r="2199" s="27" customFormat="1" ht="23" hidden="1" customHeight="1" spans="1:25">
      <c r="A2199" s="133" t="str">
        <f>IF(B2199="","",COUNTA($B$5:B2199))</f>
        <v/>
      </c>
      <c r="B2199" s="148"/>
      <c r="C2199" s="22" t="s">
        <v>49</v>
      </c>
      <c r="D2199" s="149"/>
      <c r="E2199" s="150"/>
      <c r="F2199" s="151"/>
      <c r="G2199" s="151"/>
      <c r="H2199" s="142">
        <f>IFERROR(VLOOKUP($C2199,$C$5:$H$18,6,0)+SUMIF($C$19:$C2199,$C2199,$F$19:$F2199)-SUMIF($C$19:$C2199,$C2199,$G$19:$G2199),"")</f>
        <v>81211.819999998</v>
      </c>
      <c r="I2199" s="147"/>
      <c r="J2199" s="147"/>
      <c r="K2199" s="147" t="str">
        <f t="shared" si="34"/>
        <v/>
      </c>
      <c r="L2199" s="40"/>
      <c r="M2199"/>
      <c r="N2199"/>
      <c r="O2199"/>
      <c r="P2199"/>
      <c r="Q2199"/>
      <c r="R2199"/>
      <c r="S2199"/>
      <c r="T2199"/>
      <c r="U2199"/>
      <c r="V2199"/>
      <c r="W2199" s="41"/>
      <c r="X2199" s="41"/>
      <c r="Y2199" s="41"/>
    </row>
    <row r="2200" s="27" customFormat="1" ht="23" hidden="1" customHeight="1" spans="1:25">
      <c r="A2200" s="133" t="str">
        <f>IF(B2200="","",COUNTA($B$5:B2200))</f>
        <v/>
      </c>
      <c r="B2200" s="148"/>
      <c r="C2200" s="22" t="s">
        <v>49</v>
      </c>
      <c r="D2200" s="149"/>
      <c r="E2200" s="150"/>
      <c r="F2200" s="151"/>
      <c r="G2200" s="151"/>
      <c r="H2200" s="142">
        <f>IFERROR(VLOOKUP($C2200,$C$5:$H$18,6,0)+SUMIF($C$19:$C2200,$C2200,$F$19:$F2200)-SUMIF($C$19:$C2200,$C2200,$G$19:$G2200),"")</f>
        <v>81211.819999998</v>
      </c>
      <c r="I2200" s="147"/>
      <c r="J2200" s="147"/>
      <c r="K2200" s="147" t="str">
        <f t="shared" si="34"/>
        <v/>
      </c>
      <c r="L2200" s="40"/>
      <c r="M2200"/>
      <c r="N2200"/>
      <c r="O2200"/>
      <c r="P2200"/>
      <c r="Q2200"/>
      <c r="R2200"/>
      <c r="S2200"/>
      <c r="T2200"/>
      <c r="U2200"/>
      <c r="V2200"/>
      <c r="W2200" s="41"/>
      <c r="X2200" s="41"/>
      <c r="Y2200" s="41"/>
    </row>
    <row r="2201" s="27" customFormat="1" ht="23" hidden="1" customHeight="1" spans="1:25">
      <c r="A2201" s="133" t="str">
        <f>IF(B2201="","",COUNTA($B$5:B2201))</f>
        <v/>
      </c>
      <c r="B2201" s="148"/>
      <c r="C2201" s="22" t="s">
        <v>49</v>
      </c>
      <c r="D2201" s="149"/>
      <c r="E2201" s="150"/>
      <c r="F2201" s="151"/>
      <c r="G2201" s="151"/>
      <c r="H2201" s="142">
        <f>IFERROR(VLOOKUP($C2201,$C$5:$H$18,6,0)+SUMIF($C$19:$C2201,$C2201,$F$19:$F2201)-SUMIF($C$19:$C2201,$C2201,$G$19:$G2201),"")</f>
        <v>81211.819999998</v>
      </c>
      <c r="I2201" s="147"/>
      <c r="J2201" s="147"/>
      <c r="K2201" s="147" t="str">
        <f t="shared" si="34"/>
        <v/>
      </c>
      <c r="L2201" s="40"/>
      <c r="M2201"/>
      <c r="N2201"/>
      <c r="O2201"/>
      <c r="P2201"/>
      <c r="Q2201"/>
      <c r="R2201"/>
      <c r="S2201"/>
      <c r="T2201"/>
      <c r="U2201"/>
      <c r="V2201"/>
      <c r="W2201" s="41"/>
      <c r="X2201" s="41"/>
      <c r="Y2201" s="41"/>
    </row>
    <row r="2202" s="27" customFormat="1" ht="23" hidden="1" customHeight="1" spans="1:25">
      <c r="A2202" s="133" t="str">
        <f>IF(B2202="","",COUNTA($B$5:B2202))</f>
        <v/>
      </c>
      <c r="B2202" s="148"/>
      <c r="C2202" s="22" t="s">
        <v>49</v>
      </c>
      <c r="D2202" s="149"/>
      <c r="E2202" s="150"/>
      <c r="F2202" s="151"/>
      <c r="G2202" s="151"/>
      <c r="H2202" s="142">
        <f>IFERROR(VLOOKUP($C2202,$C$5:$H$18,6,0)+SUMIF($C$19:$C2202,$C2202,$F$19:$F2202)-SUMIF($C$19:$C2202,$C2202,$G$19:$G2202),"")</f>
        <v>81211.819999998</v>
      </c>
      <c r="I2202" s="147"/>
      <c r="J2202" s="147"/>
      <c r="K2202" s="147" t="str">
        <f t="shared" si="34"/>
        <v/>
      </c>
      <c r="L2202" s="40"/>
      <c r="M2202"/>
      <c r="N2202"/>
      <c r="O2202"/>
      <c r="P2202"/>
      <c r="Q2202"/>
      <c r="R2202"/>
      <c r="S2202"/>
      <c r="T2202"/>
      <c r="U2202"/>
      <c r="V2202"/>
      <c r="W2202" s="41"/>
      <c r="X2202" s="41"/>
      <c r="Y2202" s="41"/>
    </row>
    <row r="2203" s="27" customFormat="1" ht="23" hidden="1" customHeight="1" spans="1:25">
      <c r="A2203" s="133" t="str">
        <f>IF(B2203="","",COUNTA($B$5:B2203))</f>
        <v/>
      </c>
      <c r="B2203" s="148"/>
      <c r="C2203" s="22" t="s">
        <v>49</v>
      </c>
      <c r="D2203" s="149"/>
      <c r="E2203" s="150"/>
      <c r="F2203" s="151"/>
      <c r="G2203" s="151"/>
      <c r="H2203" s="142">
        <f>IFERROR(VLOOKUP($C2203,$C$5:$H$18,6,0)+SUMIF($C$19:$C2203,$C2203,$F$19:$F2203)-SUMIF($C$19:$C2203,$C2203,$G$19:$G2203),"")</f>
        <v>81211.819999998</v>
      </c>
      <c r="I2203" s="147"/>
      <c r="J2203" s="147"/>
      <c r="K2203" s="147" t="str">
        <f t="shared" si="34"/>
        <v/>
      </c>
      <c r="L2203" s="40"/>
      <c r="M2203"/>
      <c r="N2203"/>
      <c r="O2203"/>
      <c r="P2203"/>
      <c r="Q2203"/>
      <c r="R2203"/>
      <c r="S2203"/>
      <c r="T2203"/>
      <c r="U2203"/>
      <c r="V2203"/>
      <c r="W2203" s="41"/>
      <c r="X2203" s="41"/>
      <c r="Y2203" s="41"/>
    </row>
    <row r="2204" s="27" customFormat="1" ht="23" hidden="1" customHeight="1" spans="1:25">
      <c r="A2204" s="133" t="str">
        <f>IF(B2204="","",COUNTA($B$5:B2204))</f>
        <v/>
      </c>
      <c r="B2204" s="148"/>
      <c r="C2204" s="22" t="s">
        <v>49</v>
      </c>
      <c r="D2204" s="149"/>
      <c r="E2204" s="150"/>
      <c r="F2204" s="151"/>
      <c r="G2204" s="151"/>
      <c r="H2204" s="142">
        <f>IFERROR(VLOOKUP($C2204,$C$5:$H$18,6,0)+SUMIF($C$19:$C2204,$C2204,$F$19:$F2204)-SUMIF($C$19:$C2204,$C2204,$G$19:$G2204),"")</f>
        <v>81211.819999998</v>
      </c>
      <c r="I2204" s="147"/>
      <c r="J2204" s="147"/>
      <c r="K2204" s="147" t="str">
        <f t="shared" si="34"/>
        <v/>
      </c>
      <c r="L2204" s="40"/>
      <c r="M2204"/>
      <c r="N2204"/>
      <c r="O2204"/>
      <c r="P2204"/>
      <c r="Q2204"/>
      <c r="R2204"/>
      <c r="S2204"/>
      <c r="T2204"/>
      <c r="U2204"/>
      <c r="V2204"/>
      <c r="W2204" s="41"/>
      <c r="X2204" s="41"/>
      <c r="Y2204" s="41"/>
    </row>
    <row r="2205" s="27" customFormat="1" ht="23" hidden="1" customHeight="1" spans="1:25">
      <c r="A2205" s="133" t="str">
        <f>IF(B2205="","",COUNTA($B$5:B2205))</f>
        <v/>
      </c>
      <c r="B2205" s="148"/>
      <c r="C2205" s="22" t="s">
        <v>49</v>
      </c>
      <c r="D2205" s="149"/>
      <c r="E2205" s="150"/>
      <c r="F2205" s="151"/>
      <c r="G2205" s="151"/>
      <c r="H2205" s="142">
        <f>IFERROR(VLOOKUP($C2205,$C$5:$H$18,6,0)+SUMIF($C$19:$C2205,$C2205,$F$19:$F2205)-SUMIF($C$19:$C2205,$C2205,$G$19:$G2205),"")</f>
        <v>81211.819999998</v>
      </c>
      <c r="I2205" s="147"/>
      <c r="J2205" s="147"/>
      <c r="K2205" s="147" t="str">
        <f t="shared" si="34"/>
        <v/>
      </c>
      <c r="L2205" s="40"/>
      <c r="M2205"/>
      <c r="N2205"/>
      <c r="O2205"/>
      <c r="P2205"/>
      <c r="Q2205"/>
      <c r="R2205"/>
      <c r="S2205"/>
      <c r="T2205"/>
      <c r="U2205"/>
      <c r="V2205"/>
      <c r="W2205" s="41"/>
      <c r="X2205" s="41"/>
      <c r="Y2205" s="41"/>
    </row>
    <row r="2206" s="27" customFormat="1" ht="23" hidden="1" customHeight="1" spans="1:25">
      <c r="A2206" s="133" t="str">
        <f>IF(B2206="","",COUNTA($B$5:B2206))</f>
        <v/>
      </c>
      <c r="B2206" s="148"/>
      <c r="C2206" s="22" t="s">
        <v>49</v>
      </c>
      <c r="D2206" s="149"/>
      <c r="E2206" s="150"/>
      <c r="F2206" s="151"/>
      <c r="G2206" s="151"/>
      <c r="H2206" s="142">
        <f>IFERROR(VLOOKUP($C2206,$C$5:$H$18,6,0)+SUMIF($C$19:$C2206,$C2206,$F$19:$F2206)-SUMIF($C$19:$C2206,$C2206,$G$19:$G2206),"")</f>
        <v>81211.819999998</v>
      </c>
      <c r="I2206" s="147"/>
      <c r="J2206" s="147"/>
      <c r="K2206" s="147" t="str">
        <f t="shared" si="34"/>
        <v/>
      </c>
      <c r="L2206" s="40"/>
      <c r="M2206"/>
      <c r="N2206"/>
      <c r="O2206"/>
      <c r="P2206"/>
      <c r="Q2206"/>
      <c r="R2206"/>
      <c r="S2206"/>
      <c r="T2206"/>
      <c r="U2206"/>
      <c r="V2206"/>
      <c r="W2206" s="41"/>
      <c r="X2206" s="41"/>
      <c r="Y2206" s="41"/>
    </row>
    <row r="2207" s="27" customFormat="1" ht="23" hidden="1" customHeight="1" spans="1:25">
      <c r="A2207" s="133" t="str">
        <f>IF(B2207="","",COUNTA($B$5:B2207))</f>
        <v/>
      </c>
      <c r="B2207" s="148"/>
      <c r="C2207" s="22" t="s">
        <v>49</v>
      </c>
      <c r="D2207" s="149"/>
      <c r="E2207" s="150"/>
      <c r="F2207" s="151"/>
      <c r="G2207" s="151"/>
      <c r="H2207" s="142">
        <f>IFERROR(VLOOKUP($C2207,$C$5:$H$18,6,0)+SUMIF($C$19:$C2207,$C2207,$F$19:$F2207)-SUMIF($C$19:$C2207,$C2207,$G$19:$G2207),"")</f>
        <v>81211.819999998</v>
      </c>
      <c r="I2207" s="147"/>
      <c r="J2207" s="147"/>
      <c r="K2207" s="147" t="str">
        <f t="shared" si="34"/>
        <v/>
      </c>
      <c r="L2207" s="40"/>
      <c r="M2207"/>
      <c r="N2207"/>
      <c r="O2207"/>
      <c r="P2207"/>
      <c r="Q2207"/>
      <c r="R2207"/>
      <c r="S2207"/>
      <c r="T2207"/>
      <c r="U2207"/>
      <c r="V2207"/>
      <c r="W2207" s="41"/>
      <c r="X2207" s="41"/>
      <c r="Y2207" s="41"/>
    </row>
    <row r="2208" s="27" customFormat="1" ht="23" hidden="1" customHeight="1" spans="1:25">
      <c r="A2208" s="133" t="str">
        <f>IF(B2208="","",COUNTA($B$5:B2208))</f>
        <v/>
      </c>
      <c r="B2208" s="148"/>
      <c r="C2208" s="22" t="s">
        <v>49</v>
      </c>
      <c r="D2208" s="149"/>
      <c r="E2208" s="150"/>
      <c r="F2208" s="151"/>
      <c r="G2208" s="151"/>
      <c r="H2208" s="142">
        <f>IFERROR(VLOOKUP($C2208,$C$5:$H$18,6,0)+SUMIF($C$19:$C2208,$C2208,$F$19:$F2208)-SUMIF($C$19:$C2208,$C2208,$G$19:$G2208),"")</f>
        <v>81211.819999998</v>
      </c>
      <c r="I2208" s="147"/>
      <c r="J2208" s="147"/>
      <c r="K2208" s="147" t="str">
        <f t="shared" si="34"/>
        <v/>
      </c>
      <c r="L2208" s="40"/>
      <c r="M2208"/>
      <c r="N2208"/>
      <c r="O2208"/>
      <c r="P2208"/>
      <c r="Q2208"/>
      <c r="R2208"/>
      <c r="S2208"/>
      <c r="T2208"/>
      <c r="U2208"/>
      <c r="V2208"/>
      <c r="W2208" s="41"/>
      <c r="X2208" s="41"/>
      <c r="Y2208" s="41"/>
    </row>
    <row r="2209" s="27" customFormat="1" ht="23" hidden="1" customHeight="1" spans="1:25">
      <c r="A2209" s="133" t="str">
        <f>IF(B2209="","",COUNTA($B$5:B2209))</f>
        <v/>
      </c>
      <c r="B2209" s="148"/>
      <c r="C2209" s="22" t="s">
        <v>49</v>
      </c>
      <c r="D2209" s="149"/>
      <c r="E2209" s="150"/>
      <c r="F2209" s="151"/>
      <c r="G2209" s="151"/>
      <c r="H2209" s="142">
        <f>IFERROR(VLOOKUP($C2209,$C$5:$H$18,6,0)+SUMIF($C$19:$C2209,$C2209,$F$19:$F2209)-SUMIF($C$19:$C2209,$C2209,$G$19:$G2209),"")</f>
        <v>81211.819999998</v>
      </c>
      <c r="I2209" s="147"/>
      <c r="J2209" s="147"/>
      <c r="K2209" s="147" t="str">
        <f t="shared" si="34"/>
        <v/>
      </c>
      <c r="L2209" s="40"/>
      <c r="M2209"/>
      <c r="N2209"/>
      <c r="O2209"/>
      <c r="P2209"/>
      <c r="Q2209"/>
      <c r="R2209"/>
      <c r="S2209"/>
      <c r="T2209"/>
      <c r="U2209"/>
      <c r="V2209"/>
      <c r="W2209" s="41"/>
      <c r="X2209" s="41"/>
      <c r="Y2209" s="41"/>
    </row>
    <row r="2210" s="27" customFormat="1" ht="23" hidden="1" customHeight="1" spans="1:25">
      <c r="A2210" s="133" t="str">
        <f>IF(B2210="","",COUNTA($B$5:B2210))</f>
        <v/>
      </c>
      <c r="B2210" s="148"/>
      <c r="C2210" s="22" t="s">
        <v>49</v>
      </c>
      <c r="D2210" s="149"/>
      <c r="E2210" s="150"/>
      <c r="F2210" s="151"/>
      <c r="G2210" s="151"/>
      <c r="H2210" s="142">
        <f>IFERROR(VLOOKUP($C2210,$C$5:$H$18,6,0)+SUMIF($C$19:$C2210,$C2210,$F$19:$F2210)-SUMIF($C$19:$C2210,$C2210,$G$19:$G2210),"")</f>
        <v>81211.819999998</v>
      </c>
      <c r="I2210" s="147"/>
      <c r="J2210" s="147"/>
      <c r="K2210" s="147" t="str">
        <f t="shared" si="34"/>
        <v/>
      </c>
      <c r="L2210" s="40"/>
      <c r="M2210"/>
      <c r="N2210"/>
      <c r="O2210"/>
      <c r="P2210"/>
      <c r="Q2210"/>
      <c r="R2210"/>
      <c r="S2210"/>
      <c r="T2210"/>
      <c r="U2210"/>
      <c r="V2210"/>
      <c r="W2210" s="41"/>
      <c r="X2210" s="41"/>
      <c r="Y2210" s="41"/>
    </row>
    <row r="2211" s="27" customFormat="1" ht="23" hidden="1" customHeight="1" spans="1:25">
      <c r="A2211" s="133" t="str">
        <f>IF(B2211="","",COUNTA($B$5:B2211))</f>
        <v/>
      </c>
      <c r="B2211" s="148"/>
      <c r="C2211" s="22" t="s">
        <v>49</v>
      </c>
      <c r="D2211" s="149"/>
      <c r="E2211" s="150"/>
      <c r="F2211" s="151"/>
      <c r="G2211" s="151"/>
      <c r="H2211" s="142">
        <f>IFERROR(VLOOKUP($C2211,$C$5:$H$18,6,0)+SUMIF($C$19:$C2211,$C2211,$F$19:$F2211)-SUMIF($C$19:$C2211,$C2211,$G$19:$G2211),"")</f>
        <v>81211.819999998</v>
      </c>
      <c r="I2211" s="147"/>
      <c r="J2211" s="147"/>
      <c r="K2211" s="147" t="str">
        <f t="shared" si="34"/>
        <v/>
      </c>
      <c r="L2211" s="40"/>
      <c r="M2211"/>
      <c r="N2211"/>
      <c r="O2211"/>
      <c r="P2211"/>
      <c r="Q2211"/>
      <c r="R2211"/>
      <c r="S2211"/>
      <c r="T2211"/>
      <c r="U2211"/>
      <c r="V2211"/>
      <c r="W2211" s="41"/>
      <c r="X2211" s="41"/>
      <c r="Y2211" s="41"/>
    </row>
    <row r="2212" s="27" customFormat="1" ht="23" hidden="1" customHeight="1" spans="1:25">
      <c r="A2212" s="133" t="str">
        <f>IF(B2212="","",COUNTA($B$5:B2212))</f>
        <v/>
      </c>
      <c r="B2212" s="148"/>
      <c r="C2212" s="22" t="s">
        <v>49</v>
      </c>
      <c r="D2212" s="149"/>
      <c r="E2212" s="150"/>
      <c r="F2212" s="151"/>
      <c r="G2212" s="151"/>
      <c r="H2212" s="142">
        <f>IFERROR(VLOOKUP($C2212,$C$5:$H$18,6,0)+SUMIF($C$19:$C2212,$C2212,$F$19:$F2212)-SUMIF($C$19:$C2212,$C2212,$G$19:$G2212),"")</f>
        <v>81211.819999998</v>
      </c>
      <c r="I2212" s="147"/>
      <c r="J2212" s="147"/>
      <c r="K2212" s="147" t="str">
        <f t="shared" si="34"/>
        <v/>
      </c>
      <c r="L2212" s="40"/>
      <c r="M2212"/>
      <c r="N2212"/>
      <c r="O2212"/>
      <c r="P2212"/>
      <c r="Q2212"/>
      <c r="R2212"/>
      <c r="S2212"/>
      <c r="T2212"/>
      <c r="U2212"/>
      <c r="V2212"/>
      <c r="W2212" s="41"/>
      <c r="X2212" s="41"/>
      <c r="Y2212" s="41"/>
    </row>
    <row r="2213" s="27" customFormat="1" ht="23" hidden="1" customHeight="1" spans="1:25">
      <c r="A2213" s="133" t="str">
        <f>IF(B2213="","",COUNTA($B$5:B2213))</f>
        <v/>
      </c>
      <c r="B2213" s="148"/>
      <c r="C2213" s="22" t="s">
        <v>49</v>
      </c>
      <c r="D2213" s="149"/>
      <c r="E2213" s="150"/>
      <c r="F2213" s="151"/>
      <c r="G2213" s="151"/>
      <c r="H2213" s="142">
        <f>IFERROR(VLOOKUP($C2213,$C$5:$H$18,6,0)+SUMIF($C$19:$C2213,$C2213,$F$19:$F2213)-SUMIF($C$19:$C2213,$C2213,$G$19:$G2213),"")</f>
        <v>81211.819999998</v>
      </c>
      <c r="I2213" s="147"/>
      <c r="J2213" s="147"/>
      <c r="K2213" s="147" t="str">
        <f t="shared" si="34"/>
        <v/>
      </c>
      <c r="L2213" s="40"/>
      <c r="M2213"/>
      <c r="N2213"/>
      <c r="O2213"/>
      <c r="P2213"/>
      <c r="Q2213"/>
      <c r="R2213"/>
      <c r="S2213"/>
      <c r="T2213"/>
      <c r="U2213"/>
      <c r="V2213"/>
      <c r="W2213" s="41"/>
      <c r="X2213" s="41"/>
      <c r="Y2213" s="41"/>
    </row>
    <row r="2214" s="27" customFormat="1" ht="23" hidden="1" customHeight="1" spans="1:25">
      <c r="A2214" s="133" t="str">
        <f>IF(B2214="","",COUNTA($B$5:B2214))</f>
        <v/>
      </c>
      <c r="B2214" s="148"/>
      <c r="C2214" s="22" t="s">
        <v>49</v>
      </c>
      <c r="D2214" s="149"/>
      <c r="E2214" s="150"/>
      <c r="F2214" s="151"/>
      <c r="G2214" s="151"/>
      <c r="H2214" s="142">
        <f>IFERROR(VLOOKUP($C2214,$C$5:$H$18,6,0)+SUMIF($C$19:$C2214,$C2214,$F$19:$F2214)-SUMIF($C$19:$C2214,$C2214,$G$19:$G2214),"")</f>
        <v>81211.819999998</v>
      </c>
      <c r="I2214" s="147"/>
      <c r="J2214" s="147"/>
      <c r="K2214" s="147" t="str">
        <f t="shared" si="34"/>
        <v/>
      </c>
      <c r="L2214" s="40"/>
      <c r="M2214"/>
      <c r="N2214"/>
      <c r="O2214"/>
      <c r="P2214"/>
      <c r="Q2214"/>
      <c r="R2214"/>
      <c r="S2214"/>
      <c r="T2214"/>
      <c r="U2214"/>
      <c r="V2214"/>
      <c r="W2214" s="41"/>
      <c r="X2214" s="41"/>
      <c r="Y2214" s="41"/>
    </row>
    <row r="2215" s="27" customFormat="1" ht="23" hidden="1" customHeight="1" spans="1:25">
      <c r="A2215" s="133" t="str">
        <f>IF(B2215="","",COUNTA($B$5:B2215))</f>
        <v/>
      </c>
      <c r="B2215" s="148"/>
      <c r="C2215" s="22" t="s">
        <v>49</v>
      </c>
      <c r="D2215" s="149"/>
      <c r="E2215" s="150"/>
      <c r="F2215" s="151"/>
      <c r="G2215" s="151"/>
      <c r="H2215" s="142">
        <f>IFERROR(VLOOKUP($C2215,$C$5:$H$18,6,0)+SUMIF($C$19:$C2215,$C2215,$F$19:$F2215)-SUMIF($C$19:$C2215,$C2215,$G$19:$G2215),"")</f>
        <v>81211.819999998</v>
      </c>
      <c r="I2215" s="147"/>
      <c r="J2215" s="147"/>
      <c r="K2215" s="147" t="str">
        <f t="shared" si="34"/>
        <v/>
      </c>
      <c r="L2215" s="40"/>
      <c r="M2215"/>
      <c r="N2215"/>
      <c r="O2215"/>
      <c r="P2215"/>
      <c r="Q2215"/>
      <c r="R2215"/>
      <c r="S2215"/>
      <c r="T2215"/>
      <c r="U2215"/>
      <c r="V2215"/>
      <c r="W2215" s="41"/>
      <c r="X2215" s="41"/>
      <c r="Y2215" s="41"/>
    </row>
    <row r="2216" s="27" customFormat="1" ht="23" hidden="1" customHeight="1" spans="1:25">
      <c r="A2216" s="133" t="str">
        <f>IF(B2216="","",COUNTA($B$5:B2216))</f>
        <v/>
      </c>
      <c r="B2216" s="148"/>
      <c r="C2216" s="22" t="s">
        <v>49</v>
      </c>
      <c r="D2216" s="149"/>
      <c r="E2216" s="150"/>
      <c r="F2216" s="151"/>
      <c r="G2216" s="151"/>
      <c r="H2216" s="142">
        <f>IFERROR(VLOOKUP($C2216,$C$5:$H$18,6,0)+SUMIF($C$19:$C2216,$C2216,$F$19:$F2216)-SUMIF($C$19:$C2216,$C2216,$G$19:$G2216),"")</f>
        <v>81211.819999998</v>
      </c>
      <c r="I2216" s="147"/>
      <c r="J2216" s="147"/>
      <c r="K2216" s="147" t="str">
        <f t="shared" si="34"/>
        <v/>
      </c>
      <c r="L2216" s="40"/>
      <c r="M2216"/>
      <c r="N2216"/>
      <c r="O2216"/>
      <c r="P2216"/>
      <c r="Q2216"/>
      <c r="R2216"/>
      <c r="S2216"/>
      <c r="T2216"/>
      <c r="U2216"/>
      <c r="V2216"/>
      <c r="W2216" s="41"/>
      <c r="X2216" s="41"/>
      <c r="Y2216" s="41"/>
    </row>
    <row r="2217" s="27" customFormat="1" ht="23" hidden="1" customHeight="1" spans="1:25">
      <c r="A2217" s="133" t="str">
        <f>IF(B2217="","",COUNTA($B$5:B2217))</f>
        <v/>
      </c>
      <c r="B2217" s="148"/>
      <c r="C2217" s="22" t="s">
        <v>49</v>
      </c>
      <c r="D2217" s="149"/>
      <c r="E2217" s="150"/>
      <c r="F2217" s="151"/>
      <c r="G2217" s="151"/>
      <c r="H2217" s="142">
        <f>IFERROR(VLOOKUP($C2217,$C$5:$H$18,6,0)+SUMIF($C$19:$C2217,$C2217,$F$19:$F2217)-SUMIF($C$19:$C2217,$C2217,$G$19:$G2217),"")</f>
        <v>81211.819999998</v>
      </c>
      <c r="I2217" s="147"/>
      <c r="J2217" s="147"/>
      <c r="K2217" s="147" t="str">
        <f t="shared" si="34"/>
        <v/>
      </c>
      <c r="L2217" s="40"/>
      <c r="M2217"/>
      <c r="N2217"/>
      <c r="O2217"/>
      <c r="P2217"/>
      <c r="Q2217"/>
      <c r="R2217"/>
      <c r="S2217"/>
      <c r="T2217"/>
      <c r="U2217"/>
      <c r="V2217"/>
      <c r="W2217" s="41"/>
      <c r="X2217" s="41"/>
      <c r="Y2217" s="41"/>
    </row>
    <row r="2218" s="27" customFormat="1" ht="23" hidden="1" customHeight="1" spans="1:25">
      <c r="A2218" s="133" t="str">
        <f>IF(B2218="","",COUNTA($B$5:B2218))</f>
        <v/>
      </c>
      <c r="B2218" s="148"/>
      <c r="C2218" s="22" t="s">
        <v>49</v>
      </c>
      <c r="D2218" s="149"/>
      <c r="E2218" s="150"/>
      <c r="F2218" s="151"/>
      <c r="G2218" s="151"/>
      <c r="H2218" s="142">
        <f>IFERROR(VLOOKUP($C2218,$C$5:$H$18,6,0)+SUMIF($C$19:$C2218,$C2218,$F$19:$F2218)-SUMIF($C$19:$C2218,$C2218,$G$19:$G2218),"")</f>
        <v>81211.819999998</v>
      </c>
      <c r="I2218" s="147"/>
      <c r="J2218" s="147"/>
      <c r="K2218" s="147" t="str">
        <f t="shared" si="34"/>
        <v/>
      </c>
      <c r="L2218" s="40"/>
      <c r="M2218"/>
      <c r="N2218"/>
      <c r="O2218"/>
      <c r="P2218"/>
      <c r="Q2218"/>
      <c r="R2218"/>
      <c r="S2218"/>
      <c r="T2218"/>
      <c r="U2218"/>
      <c r="V2218"/>
      <c r="W2218" s="41"/>
      <c r="X2218" s="41"/>
      <c r="Y2218" s="41"/>
    </row>
    <row r="2219" s="27" customFormat="1" ht="23" hidden="1" customHeight="1" spans="1:25">
      <c r="A2219" s="133" t="str">
        <f>IF(B2219="","",COUNTA($B$5:B2219))</f>
        <v/>
      </c>
      <c r="B2219" s="148"/>
      <c r="C2219" s="22" t="s">
        <v>49</v>
      </c>
      <c r="D2219" s="149"/>
      <c r="E2219" s="150"/>
      <c r="F2219" s="151"/>
      <c r="G2219" s="151"/>
      <c r="H2219" s="142">
        <f>IFERROR(VLOOKUP($C2219,$C$5:$H$18,6,0)+SUMIF($C$19:$C2219,$C2219,$F$19:$F2219)-SUMIF($C$19:$C2219,$C2219,$G$19:$G2219),"")</f>
        <v>81211.819999998</v>
      </c>
      <c r="I2219" s="147"/>
      <c r="J2219" s="147"/>
      <c r="K2219" s="147" t="str">
        <f t="shared" si="34"/>
        <v/>
      </c>
      <c r="L2219" s="40"/>
      <c r="M2219"/>
      <c r="N2219"/>
      <c r="O2219"/>
      <c r="P2219"/>
      <c r="Q2219"/>
      <c r="R2219"/>
      <c r="S2219"/>
      <c r="T2219"/>
      <c r="U2219"/>
      <c r="V2219"/>
      <c r="W2219" s="41"/>
      <c r="X2219" s="41"/>
      <c r="Y2219" s="41"/>
    </row>
    <row r="2220" s="27" customFormat="1" ht="23" hidden="1" customHeight="1" spans="1:25">
      <c r="A2220" s="133" t="str">
        <f>IF(B2220="","",COUNTA($B$5:B2220))</f>
        <v/>
      </c>
      <c r="B2220" s="148"/>
      <c r="C2220" s="22" t="s">
        <v>49</v>
      </c>
      <c r="D2220" s="149"/>
      <c r="E2220" s="150"/>
      <c r="F2220" s="151"/>
      <c r="G2220" s="151"/>
      <c r="H2220" s="142">
        <f>IFERROR(VLOOKUP($C2220,$C$5:$H$18,6,0)+SUMIF($C$19:$C2220,$C2220,$F$19:$F2220)-SUMIF($C$19:$C2220,$C2220,$G$19:$G2220),"")</f>
        <v>81211.819999998</v>
      </c>
      <c r="I2220" s="147"/>
      <c r="J2220" s="147"/>
      <c r="K2220" s="147" t="str">
        <f t="shared" si="34"/>
        <v/>
      </c>
      <c r="L2220" s="40"/>
      <c r="M2220"/>
      <c r="N2220"/>
      <c r="O2220"/>
      <c r="P2220"/>
      <c r="Q2220"/>
      <c r="R2220"/>
      <c r="S2220"/>
      <c r="T2220"/>
      <c r="U2220"/>
      <c r="V2220"/>
      <c r="W2220" s="41"/>
      <c r="X2220" s="41"/>
      <c r="Y2220" s="41"/>
    </row>
    <row r="2221" s="27" customFormat="1" ht="23" hidden="1" customHeight="1" spans="1:25">
      <c r="A2221" s="133" t="str">
        <f>IF(B2221="","",COUNTA($B$5:B2221))</f>
        <v/>
      </c>
      <c r="B2221" s="148"/>
      <c r="C2221" s="22" t="s">
        <v>49</v>
      </c>
      <c r="D2221" s="149"/>
      <c r="E2221" s="150"/>
      <c r="F2221" s="151"/>
      <c r="G2221" s="151"/>
      <c r="H2221" s="142">
        <f>IFERROR(VLOOKUP($C2221,$C$5:$H$18,6,0)+SUMIF($C$19:$C2221,$C2221,$F$19:$F2221)-SUMIF($C$19:$C2221,$C2221,$G$19:$G2221),"")</f>
        <v>81211.819999998</v>
      </c>
      <c r="I2221" s="147"/>
      <c r="J2221" s="147"/>
      <c r="K2221" s="147" t="str">
        <f t="shared" si="34"/>
        <v/>
      </c>
      <c r="L2221" s="40"/>
      <c r="M2221"/>
      <c r="N2221"/>
      <c r="O2221"/>
      <c r="P2221"/>
      <c r="Q2221"/>
      <c r="R2221"/>
      <c r="S2221"/>
      <c r="T2221"/>
      <c r="U2221"/>
      <c r="V2221"/>
      <c r="W2221" s="41"/>
      <c r="X2221" s="41"/>
      <c r="Y2221" s="41"/>
    </row>
    <row r="2222" s="27" customFormat="1" ht="23" hidden="1" customHeight="1" spans="1:25">
      <c r="A2222" s="133" t="str">
        <f>IF(B2222="","",COUNTA($B$5:B2222))</f>
        <v/>
      </c>
      <c r="B2222" s="148"/>
      <c r="C2222" s="22" t="s">
        <v>49</v>
      </c>
      <c r="D2222" s="149"/>
      <c r="E2222" s="150"/>
      <c r="F2222" s="151"/>
      <c r="G2222" s="151"/>
      <c r="H2222" s="142">
        <f>IFERROR(VLOOKUP($C2222,$C$5:$H$18,6,0)+SUMIF($C$19:$C2222,$C2222,$F$19:$F2222)-SUMIF($C$19:$C2222,$C2222,$G$19:$G2222),"")</f>
        <v>81211.819999998</v>
      </c>
      <c r="I2222" s="147"/>
      <c r="J2222" s="147"/>
      <c r="K2222" s="147" t="str">
        <f t="shared" si="34"/>
        <v/>
      </c>
      <c r="L2222" s="40"/>
      <c r="M2222"/>
      <c r="N2222"/>
      <c r="O2222"/>
      <c r="P2222"/>
      <c r="Q2222"/>
      <c r="R2222"/>
      <c r="S2222"/>
      <c r="T2222"/>
      <c r="U2222"/>
      <c r="V2222"/>
      <c r="W2222" s="41"/>
      <c r="X2222" s="41"/>
      <c r="Y2222" s="41"/>
    </row>
    <row r="2223" s="27" customFormat="1" ht="23" hidden="1" customHeight="1" spans="1:25">
      <c r="A2223" s="133" t="str">
        <f>IF(B2223="","",COUNTA($B$5:B2223))</f>
        <v/>
      </c>
      <c r="B2223" s="148"/>
      <c r="C2223" s="22" t="s">
        <v>49</v>
      </c>
      <c r="D2223" s="149"/>
      <c r="E2223" s="150"/>
      <c r="F2223" s="151"/>
      <c r="G2223" s="151"/>
      <c r="H2223" s="142">
        <f>IFERROR(VLOOKUP($C2223,$C$5:$H$18,6,0)+SUMIF($C$19:$C2223,$C2223,$F$19:$F2223)-SUMIF($C$19:$C2223,$C2223,$G$19:$G2223),"")</f>
        <v>81211.819999998</v>
      </c>
      <c r="I2223" s="147"/>
      <c r="J2223" s="147"/>
      <c r="K2223" s="147" t="str">
        <f t="shared" si="34"/>
        <v/>
      </c>
      <c r="L2223" s="40"/>
      <c r="M2223"/>
      <c r="N2223"/>
      <c r="O2223"/>
      <c r="P2223"/>
      <c r="Q2223"/>
      <c r="R2223"/>
      <c r="S2223"/>
      <c r="T2223"/>
      <c r="U2223"/>
      <c r="V2223"/>
      <c r="W2223" s="41"/>
      <c r="X2223" s="41"/>
      <c r="Y2223" s="41"/>
    </row>
    <row r="2224" s="27" customFormat="1" ht="23" hidden="1" customHeight="1" spans="1:25">
      <c r="A2224" s="133" t="str">
        <f>IF(B2224="","",COUNTA($B$5:B2224))</f>
        <v/>
      </c>
      <c r="B2224" s="148"/>
      <c r="C2224" s="22" t="s">
        <v>49</v>
      </c>
      <c r="D2224" s="149"/>
      <c r="E2224" s="150"/>
      <c r="F2224" s="151"/>
      <c r="G2224" s="151"/>
      <c r="H2224" s="142">
        <f>IFERROR(VLOOKUP($C2224,$C$5:$H$18,6,0)+SUMIF($C$19:$C2224,$C2224,$F$19:$F2224)-SUMIF($C$19:$C2224,$C2224,$G$19:$G2224),"")</f>
        <v>81211.819999998</v>
      </c>
      <c r="I2224" s="147"/>
      <c r="J2224" s="147"/>
      <c r="K2224" s="147" t="str">
        <f t="shared" si="34"/>
        <v/>
      </c>
      <c r="L2224" s="40"/>
      <c r="M2224"/>
      <c r="N2224"/>
      <c r="O2224"/>
      <c r="P2224"/>
      <c r="Q2224"/>
      <c r="R2224"/>
      <c r="S2224"/>
      <c r="T2224"/>
      <c r="U2224"/>
      <c r="V2224"/>
      <c r="W2224" s="41"/>
      <c r="X2224" s="41"/>
      <c r="Y2224" s="41"/>
    </row>
    <row r="2225" s="27" customFormat="1" ht="23" hidden="1" customHeight="1" spans="1:25">
      <c r="A2225" s="133" t="str">
        <f>IF(B2225="","",COUNTA($B$5:B2225))</f>
        <v/>
      </c>
      <c r="B2225" s="148"/>
      <c r="C2225" s="22" t="s">
        <v>49</v>
      </c>
      <c r="D2225" s="149"/>
      <c r="E2225" s="150"/>
      <c r="F2225" s="151"/>
      <c r="G2225" s="151"/>
      <c r="H2225" s="142">
        <f>IFERROR(VLOOKUP($C2225,$C$5:$H$18,6,0)+SUMIF($C$19:$C2225,$C2225,$F$19:$F2225)-SUMIF($C$19:$C2225,$C2225,$G$19:$G2225),"")</f>
        <v>81211.819999998</v>
      </c>
      <c r="I2225" s="147"/>
      <c r="J2225" s="147"/>
      <c r="K2225" s="147" t="str">
        <f t="shared" si="34"/>
        <v/>
      </c>
      <c r="L2225" s="40"/>
      <c r="M2225"/>
      <c r="N2225"/>
      <c r="O2225"/>
      <c r="P2225"/>
      <c r="Q2225"/>
      <c r="R2225"/>
      <c r="S2225"/>
      <c r="T2225"/>
      <c r="U2225"/>
      <c r="V2225"/>
      <c r="W2225" s="41"/>
      <c r="X2225" s="41"/>
      <c r="Y2225" s="41"/>
    </row>
    <row r="2226" s="27" customFormat="1" ht="23" hidden="1" customHeight="1" spans="1:25">
      <c r="A2226" s="133" t="str">
        <f>IF(B2226="","",COUNTA($B$5:B2226))</f>
        <v/>
      </c>
      <c r="B2226" s="148"/>
      <c r="C2226" s="22" t="s">
        <v>49</v>
      </c>
      <c r="D2226" s="149"/>
      <c r="E2226" s="150"/>
      <c r="F2226" s="151"/>
      <c r="G2226" s="151"/>
      <c r="H2226" s="142">
        <f>IFERROR(VLOOKUP($C2226,$C$5:$H$18,6,0)+SUMIF($C$19:$C2226,$C2226,$F$19:$F2226)-SUMIF($C$19:$C2226,$C2226,$G$19:$G2226),"")</f>
        <v>81211.819999998</v>
      </c>
      <c r="I2226" s="147"/>
      <c r="J2226" s="147"/>
      <c r="K2226" s="147" t="str">
        <f t="shared" si="34"/>
        <v/>
      </c>
      <c r="L2226" s="40"/>
      <c r="M2226"/>
      <c r="N2226"/>
      <c r="O2226"/>
      <c r="P2226"/>
      <c r="Q2226"/>
      <c r="R2226"/>
      <c r="S2226"/>
      <c r="T2226"/>
      <c r="U2226"/>
      <c r="V2226"/>
      <c r="W2226" s="41"/>
      <c r="X2226" s="41"/>
      <c r="Y2226" s="41"/>
    </row>
    <row r="2227" s="27" customFormat="1" ht="23" hidden="1" customHeight="1" spans="1:25">
      <c r="A2227" s="133" t="str">
        <f>IF(B2227="","",COUNTA($B$5:B2227))</f>
        <v/>
      </c>
      <c r="B2227" s="148"/>
      <c r="C2227" s="22" t="s">
        <v>49</v>
      </c>
      <c r="D2227" s="149"/>
      <c r="E2227" s="150"/>
      <c r="F2227" s="151"/>
      <c r="G2227" s="151"/>
      <c r="H2227" s="142">
        <f>IFERROR(VLOOKUP($C2227,$C$5:$H$18,6,0)+SUMIF($C$19:$C2227,$C2227,$F$19:$F2227)-SUMIF($C$19:$C2227,$C2227,$G$19:$G2227),"")</f>
        <v>81211.819999998</v>
      </c>
      <c r="I2227" s="147"/>
      <c r="J2227" s="147"/>
      <c r="K2227" s="147" t="str">
        <f t="shared" si="34"/>
        <v/>
      </c>
      <c r="L2227" s="40"/>
      <c r="M2227"/>
      <c r="N2227"/>
      <c r="O2227"/>
      <c r="P2227"/>
      <c r="Q2227"/>
      <c r="R2227"/>
      <c r="S2227"/>
      <c r="T2227"/>
      <c r="U2227"/>
      <c r="V2227"/>
      <c r="W2227" s="41"/>
      <c r="X2227" s="41"/>
      <c r="Y2227" s="41"/>
    </row>
    <row r="2228" s="27" customFormat="1" ht="23" hidden="1" customHeight="1" spans="1:25">
      <c r="A2228" s="133" t="str">
        <f>IF(B2228="","",COUNTA($B$5:B2228))</f>
        <v/>
      </c>
      <c r="B2228" s="148"/>
      <c r="C2228" s="22" t="s">
        <v>49</v>
      </c>
      <c r="D2228" s="149"/>
      <c r="E2228" s="150"/>
      <c r="F2228" s="151"/>
      <c r="G2228" s="151"/>
      <c r="H2228" s="142">
        <f>IFERROR(VLOOKUP($C2228,$C$5:$H$18,6,0)+SUMIF($C$19:$C2228,$C2228,$F$19:$F2228)-SUMIF($C$19:$C2228,$C2228,$G$19:$G2228),"")</f>
        <v>81211.819999998</v>
      </c>
      <c r="I2228" s="147"/>
      <c r="J2228" s="147"/>
      <c r="K2228" s="147" t="str">
        <f t="shared" si="34"/>
        <v/>
      </c>
      <c r="L2228" s="40"/>
      <c r="M2228"/>
      <c r="N2228"/>
      <c r="O2228"/>
      <c r="P2228"/>
      <c r="Q2228"/>
      <c r="R2228"/>
      <c r="S2228"/>
      <c r="T2228"/>
      <c r="U2228"/>
      <c r="V2228"/>
      <c r="W2228" s="41"/>
      <c r="X2228" s="41"/>
      <c r="Y2228" s="41"/>
    </row>
    <row r="2229" s="27" customFormat="1" ht="23" hidden="1" customHeight="1" spans="1:25">
      <c r="A2229" s="133" t="str">
        <f>IF(B2229="","",COUNTA($B$5:B2229))</f>
        <v/>
      </c>
      <c r="B2229" s="148"/>
      <c r="C2229" s="22" t="s">
        <v>49</v>
      </c>
      <c r="D2229" s="149"/>
      <c r="E2229" s="150"/>
      <c r="F2229" s="151"/>
      <c r="G2229" s="151"/>
      <c r="H2229" s="142">
        <f>IFERROR(VLOOKUP($C2229,$C$5:$H$18,6,0)+SUMIF($C$19:$C2229,$C2229,$F$19:$F2229)-SUMIF($C$19:$C2229,$C2229,$G$19:$G2229),"")</f>
        <v>81211.819999998</v>
      </c>
      <c r="I2229" s="147"/>
      <c r="J2229" s="147"/>
      <c r="K2229" s="147" t="str">
        <f t="shared" si="34"/>
        <v/>
      </c>
      <c r="L2229" s="40"/>
      <c r="M2229"/>
      <c r="N2229"/>
      <c r="O2229"/>
      <c r="P2229"/>
      <c r="Q2229"/>
      <c r="R2229"/>
      <c r="S2229"/>
      <c r="T2229"/>
      <c r="U2229"/>
      <c r="V2229"/>
      <c r="W2229" s="41"/>
      <c r="X2229" s="41"/>
      <c r="Y2229" s="41"/>
    </row>
    <row r="2230" s="27" customFormat="1" ht="23" hidden="1" customHeight="1" spans="1:25">
      <c r="A2230" s="133" t="str">
        <f>IF(B2230="","",COUNTA($B$5:B2230))</f>
        <v/>
      </c>
      <c r="B2230" s="148"/>
      <c r="C2230" s="22" t="s">
        <v>49</v>
      </c>
      <c r="D2230" s="149"/>
      <c r="E2230" s="150"/>
      <c r="F2230" s="151"/>
      <c r="G2230" s="151"/>
      <c r="H2230" s="142">
        <f>IFERROR(VLOOKUP($C2230,$C$5:$H$18,6,0)+SUMIF($C$19:$C2230,$C2230,$F$19:$F2230)-SUMIF($C$19:$C2230,$C2230,$G$19:$G2230),"")</f>
        <v>81211.819999998</v>
      </c>
      <c r="I2230" s="147"/>
      <c r="J2230" s="147"/>
      <c r="K2230" s="147" t="str">
        <f t="shared" si="34"/>
        <v/>
      </c>
      <c r="L2230" s="40"/>
      <c r="M2230"/>
      <c r="N2230"/>
      <c r="O2230"/>
      <c r="P2230"/>
      <c r="Q2230"/>
      <c r="R2230"/>
      <c r="S2230"/>
      <c r="T2230"/>
      <c r="U2230"/>
      <c r="V2230"/>
      <c r="W2230" s="41"/>
      <c r="X2230" s="41"/>
      <c r="Y2230" s="41"/>
    </row>
    <row r="2231" s="27" customFormat="1" ht="23" hidden="1" customHeight="1" spans="1:25">
      <c r="A2231" s="133" t="str">
        <f>IF(B2231="","",COUNTA($B$5:B2231))</f>
        <v/>
      </c>
      <c r="B2231" s="148"/>
      <c r="C2231" s="22" t="s">
        <v>49</v>
      </c>
      <c r="D2231" s="149"/>
      <c r="E2231" s="150"/>
      <c r="F2231" s="151"/>
      <c r="G2231" s="151"/>
      <c r="H2231" s="142">
        <f>IFERROR(VLOOKUP($C2231,$C$5:$H$18,6,0)+SUMIF($C$19:$C2231,$C2231,$F$19:$F2231)-SUMIF($C$19:$C2231,$C2231,$G$19:$G2231),"")</f>
        <v>81211.819999998</v>
      </c>
      <c r="I2231" s="147"/>
      <c r="J2231" s="147"/>
      <c r="K2231" s="147" t="str">
        <f t="shared" si="34"/>
        <v/>
      </c>
      <c r="L2231" s="40"/>
      <c r="M2231"/>
      <c r="N2231"/>
      <c r="O2231"/>
      <c r="P2231"/>
      <c r="Q2231"/>
      <c r="R2231"/>
      <c r="S2231"/>
      <c r="T2231"/>
      <c r="U2231"/>
      <c r="V2231"/>
      <c r="W2231" s="41"/>
      <c r="X2231" s="41"/>
      <c r="Y2231" s="41"/>
    </row>
    <row r="2232" s="27" customFormat="1" ht="23" hidden="1" customHeight="1" spans="1:25">
      <c r="A2232" s="133" t="str">
        <f>IF(B2232="","",COUNTA($B$5:B2232))</f>
        <v/>
      </c>
      <c r="B2232" s="148"/>
      <c r="C2232" s="22" t="s">
        <v>49</v>
      </c>
      <c r="D2232" s="149"/>
      <c r="E2232" s="150"/>
      <c r="F2232" s="151"/>
      <c r="G2232" s="151"/>
      <c r="H2232" s="142">
        <f>IFERROR(VLOOKUP($C2232,$C$5:$H$18,6,0)+SUMIF($C$19:$C2232,$C2232,$F$19:$F2232)-SUMIF($C$19:$C2232,$C2232,$G$19:$G2232),"")</f>
        <v>81211.819999998</v>
      </c>
      <c r="I2232" s="147"/>
      <c r="J2232" s="147"/>
      <c r="K2232" s="147" t="str">
        <f t="shared" si="34"/>
        <v/>
      </c>
      <c r="L2232" s="40"/>
      <c r="M2232"/>
      <c r="N2232"/>
      <c r="O2232"/>
      <c r="P2232"/>
      <c r="Q2232"/>
      <c r="R2232"/>
      <c r="S2232"/>
      <c r="T2232"/>
      <c r="U2232"/>
      <c r="V2232"/>
      <c r="W2232" s="41"/>
      <c r="X2232" s="41"/>
      <c r="Y2232" s="41"/>
    </row>
    <row r="2233" s="27" customFormat="1" ht="23" hidden="1" customHeight="1" spans="1:25">
      <c r="A2233" s="133" t="str">
        <f>IF(B2233="","",COUNTA($B$5:B2233))</f>
        <v/>
      </c>
      <c r="B2233" s="148"/>
      <c r="C2233" s="22" t="s">
        <v>49</v>
      </c>
      <c r="D2233" s="149"/>
      <c r="E2233" s="150"/>
      <c r="F2233" s="151"/>
      <c r="G2233" s="151"/>
      <c r="H2233" s="142">
        <f>IFERROR(VLOOKUP($C2233,$C$5:$H$18,6,0)+SUMIF($C$19:$C2233,$C2233,$F$19:$F2233)-SUMIF($C$19:$C2233,$C2233,$G$19:$G2233),"")</f>
        <v>81211.819999998</v>
      </c>
      <c r="I2233" s="147"/>
      <c r="J2233" s="147"/>
      <c r="K2233" s="147" t="str">
        <f t="shared" si="34"/>
        <v/>
      </c>
      <c r="L2233" s="40"/>
      <c r="M2233"/>
      <c r="N2233"/>
      <c r="O2233"/>
      <c r="P2233"/>
      <c r="Q2233"/>
      <c r="R2233"/>
      <c r="S2233"/>
      <c r="T2233"/>
      <c r="U2233"/>
      <c r="V2233"/>
      <c r="W2233" s="41"/>
      <c r="X2233" s="41"/>
      <c r="Y2233" s="41"/>
    </row>
    <row r="2234" s="27" customFormat="1" ht="23" hidden="1" customHeight="1" spans="1:25">
      <c r="A2234" s="133" t="str">
        <f>IF(B2234="","",COUNTA($B$5:B2234))</f>
        <v/>
      </c>
      <c r="B2234" s="148"/>
      <c r="C2234" s="22" t="s">
        <v>49</v>
      </c>
      <c r="D2234" s="149"/>
      <c r="E2234" s="150"/>
      <c r="F2234" s="151"/>
      <c r="G2234" s="151"/>
      <c r="H2234" s="142">
        <f>IFERROR(VLOOKUP($C2234,$C$5:$H$18,6,0)+SUMIF($C$19:$C2234,$C2234,$F$19:$F2234)-SUMIF($C$19:$C2234,$C2234,$G$19:$G2234),"")</f>
        <v>81211.819999998</v>
      </c>
      <c r="I2234" s="147"/>
      <c r="J2234" s="147"/>
      <c r="K2234" s="147" t="str">
        <f t="shared" si="34"/>
        <v/>
      </c>
      <c r="L2234" s="40"/>
      <c r="M2234"/>
      <c r="N2234"/>
      <c r="O2234"/>
      <c r="P2234"/>
      <c r="Q2234"/>
      <c r="R2234"/>
      <c r="S2234"/>
      <c r="T2234"/>
      <c r="U2234"/>
      <c r="V2234"/>
      <c r="W2234" s="41"/>
      <c r="X2234" s="41"/>
      <c r="Y2234" s="41"/>
    </row>
    <row r="2235" s="27" customFormat="1" ht="23" hidden="1" customHeight="1" spans="1:25">
      <c r="A2235" s="133" t="str">
        <f>IF(B2235="","",COUNTA($B$5:B2235))</f>
        <v/>
      </c>
      <c r="B2235" s="148"/>
      <c r="C2235" s="22" t="s">
        <v>49</v>
      </c>
      <c r="D2235" s="149"/>
      <c r="E2235" s="150"/>
      <c r="F2235" s="151"/>
      <c r="G2235" s="151"/>
      <c r="H2235" s="142">
        <f>IFERROR(VLOOKUP($C2235,$C$5:$H$18,6,0)+SUMIF($C$19:$C2235,$C2235,$F$19:$F2235)-SUMIF($C$19:$C2235,$C2235,$G$19:$G2235),"")</f>
        <v>81211.819999998</v>
      </c>
      <c r="I2235" s="147"/>
      <c r="J2235" s="147"/>
      <c r="K2235" s="147" t="str">
        <f t="shared" si="34"/>
        <v/>
      </c>
      <c r="L2235" s="40"/>
      <c r="M2235"/>
      <c r="N2235"/>
      <c r="O2235"/>
      <c r="P2235"/>
      <c r="Q2235"/>
      <c r="R2235"/>
      <c r="S2235"/>
      <c r="T2235"/>
      <c r="U2235"/>
      <c r="V2235"/>
      <c r="W2235" s="41"/>
      <c r="X2235" s="41"/>
      <c r="Y2235" s="41"/>
    </row>
    <row r="2236" s="27" customFormat="1" ht="23" hidden="1" customHeight="1" spans="1:25">
      <c r="A2236" s="133" t="str">
        <f>IF(B2236="","",COUNTA($B$5:B2236))</f>
        <v/>
      </c>
      <c r="B2236" s="148"/>
      <c r="C2236" s="22" t="s">
        <v>49</v>
      </c>
      <c r="D2236" s="149"/>
      <c r="E2236" s="150"/>
      <c r="F2236" s="151"/>
      <c r="G2236" s="151"/>
      <c r="H2236" s="142">
        <f>IFERROR(VLOOKUP($C2236,$C$5:$H$18,6,0)+SUMIF($C$19:$C2236,$C2236,$F$19:$F2236)-SUMIF($C$19:$C2236,$C2236,$G$19:$G2236),"")</f>
        <v>81211.819999998</v>
      </c>
      <c r="I2236" s="147"/>
      <c r="J2236" s="147"/>
      <c r="K2236" s="147" t="str">
        <f t="shared" si="34"/>
        <v/>
      </c>
      <c r="L2236" s="40"/>
      <c r="M2236"/>
      <c r="N2236"/>
      <c r="O2236"/>
      <c r="P2236"/>
      <c r="Q2236"/>
      <c r="R2236"/>
      <c r="S2236"/>
      <c r="T2236"/>
      <c r="U2236"/>
      <c r="V2236"/>
      <c r="W2236" s="41"/>
      <c r="X2236" s="41"/>
      <c r="Y2236" s="41"/>
    </row>
    <row r="2237" s="27" customFormat="1" ht="23" hidden="1" customHeight="1" spans="1:25">
      <c r="A2237" s="133" t="str">
        <f>IF(B2237="","",COUNTA($B$5:B2237))</f>
        <v/>
      </c>
      <c r="B2237" s="148"/>
      <c r="C2237" s="22" t="s">
        <v>49</v>
      </c>
      <c r="D2237" s="149"/>
      <c r="E2237" s="150"/>
      <c r="F2237" s="151"/>
      <c r="G2237" s="151"/>
      <c r="H2237" s="142">
        <f>IFERROR(VLOOKUP($C2237,$C$5:$H$18,6,0)+SUMIF($C$19:$C2237,$C2237,$F$19:$F2237)-SUMIF($C$19:$C2237,$C2237,$G$19:$G2237),"")</f>
        <v>81211.819999998</v>
      </c>
      <c r="I2237" s="147"/>
      <c r="J2237" s="147"/>
      <c r="K2237" s="147" t="str">
        <f t="shared" si="34"/>
        <v/>
      </c>
      <c r="L2237" s="40"/>
      <c r="M2237"/>
      <c r="N2237"/>
      <c r="O2237"/>
      <c r="P2237"/>
      <c r="Q2237"/>
      <c r="R2237"/>
      <c r="S2237"/>
      <c r="T2237"/>
      <c r="U2237"/>
      <c r="V2237"/>
      <c r="W2237" s="41"/>
      <c r="X2237" s="41"/>
      <c r="Y2237" s="41"/>
    </row>
    <row r="2238" s="27" customFormat="1" ht="23" hidden="1" customHeight="1" spans="1:25">
      <c r="A2238" s="133" t="str">
        <f>IF(B2238="","",COUNTA($B$5:B2238))</f>
        <v/>
      </c>
      <c r="B2238" s="148"/>
      <c r="C2238" s="22" t="s">
        <v>49</v>
      </c>
      <c r="D2238" s="149"/>
      <c r="E2238" s="150"/>
      <c r="F2238" s="151"/>
      <c r="G2238" s="151"/>
      <c r="H2238" s="142">
        <f>IFERROR(VLOOKUP($C2238,$C$5:$H$18,6,0)+SUMIF($C$19:$C2238,$C2238,$F$19:$F2238)-SUMIF($C$19:$C2238,$C2238,$G$19:$G2238),"")</f>
        <v>81211.819999998</v>
      </c>
      <c r="I2238" s="147"/>
      <c r="J2238" s="147"/>
      <c r="K2238" s="147" t="str">
        <f t="shared" si="34"/>
        <v/>
      </c>
      <c r="L2238" s="40"/>
      <c r="M2238"/>
      <c r="N2238"/>
      <c r="O2238"/>
      <c r="P2238"/>
      <c r="Q2238"/>
      <c r="R2238"/>
      <c r="S2238"/>
      <c r="T2238"/>
      <c r="U2238"/>
      <c r="V2238"/>
      <c r="W2238" s="41"/>
      <c r="X2238" s="41"/>
      <c r="Y2238" s="41"/>
    </row>
    <row r="2239" s="27" customFormat="1" ht="23" hidden="1" customHeight="1" spans="1:25">
      <c r="A2239" s="133" t="str">
        <f>IF(B2239="","",COUNTA($B$5:B2239))</f>
        <v/>
      </c>
      <c r="B2239" s="148"/>
      <c r="C2239" s="22" t="s">
        <v>49</v>
      </c>
      <c r="D2239" s="149"/>
      <c r="E2239" s="150"/>
      <c r="F2239" s="151"/>
      <c r="G2239" s="151"/>
      <c r="H2239" s="142">
        <f>IFERROR(VLOOKUP($C2239,$C$5:$H$18,6,0)+SUMIF($C$19:$C2239,$C2239,$F$19:$F2239)-SUMIF($C$19:$C2239,$C2239,$G$19:$G2239),"")</f>
        <v>81211.819999998</v>
      </c>
      <c r="I2239" s="147"/>
      <c r="J2239" s="147"/>
      <c r="K2239" s="147" t="str">
        <f t="shared" si="34"/>
        <v/>
      </c>
      <c r="L2239" s="40"/>
      <c r="M2239"/>
      <c r="N2239"/>
      <c r="O2239"/>
      <c r="P2239"/>
      <c r="Q2239"/>
      <c r="R2239"/>
      <c r="S2239"/>
      <c r="T2239"/>
      <c r="U2239"/>
      <c r="V2239"/>
      <c r="W2239" s="41"/>
      <c r="X2239" s="41"/>
      <c r="Y2239" s="41"/>
    </row>
    <row r="2240" s="27" customFormat="1" ht="23" hidden="1" customHeight="1" spans="1:25">
      <c r="A2240" s="133" t="str">
        <f>IF(B2240="","",COUNTA($B$5:B2240))</f>
        <v/>
      </c>
      <c r="B2240" s="148"/>
      <c r="C2240" s="22" t="s">
        <v>49</v>
      </c>
      <c r="D2240" s="149"/>
      <c r="E2240" s="150"/>
      <c r="F2240" s="151"/>
      <c r="G2240" s="151"/>
      <c r="H2240" s="142">
        <f>IFERROR(VLOOKUP($C2240,$C$5:$H$18,6,0)+SUMIF($C$19:$C2240,$C2240,$F$19:$F2240)-SUMIF($C$19:$C2240,$C2240,$G$19:$G2240),"")</f>
        <v>81211.819999998</v>
      </c>
      <c r="I2240" s="147"/>
      <c r="J2240" s="147"/>
      <c r="K2240" s="147" t="str">
        <f t="shared" si="34"/>
        <v/>
      </c>
      <c r="L2240" s="40"/>
      <c r="M2240"/>
      <c r="N2240"/>
      <c r="O2240"/>
      <c r="P2240"/>
      <c r="Q2240"/>
      <c r="R2240"/>
      <c r="S2240"/>
      <c r="T2240"/>
      <c r="U2240"/>
      <c r="V2240"/>
      <c r="W2240" s="41"/>
      <c r="X2240" s="41"/>
      <c r="Y2240" s="41"/>
    </row>
    <row r="2241" s="27" customFormat="1" ht="23" hidden="1" customHeight="1" spans="1:25">
      <c r="A2241" s="133" t="str">
        <f>IF(B2241="","",COUNTA($B$5:B2241))</f>
        <v/>
      </c>
      <c r="B2241" s="148"/>
      <c r="C2241" s="22" t="s">
        <v>49</v>
      </c>
      <c r="D2241" s="149"/>
      <c r="E2241" s="150"/>
      <c r="F2241" s="151"/>
      <c r="G2241" s="151"/>
      <c r="H2241" s="142">
        <f>IFERROR(VLOOKUP($C2241,$C$5:$H$18,6,0)+SUMIF($C$19:$C2241,$C2241,$F$19:$F2241)-SUMIF($C$19:$C2241,$C2241,$G$19:$G2241),"")</f>
        <v>81211.819999998</v>
      </c>
      <c r="I2241" s="147"/>
      <c r="J2241" s="147"/>
      <c r="K2241" s="147" t="str">
        <f t="shared" si="34"/>
        <v/>
      </c>
      <c r="L2241" s="40"/>
      <c r="M2241"/>
      <c r="N2241"/>
      <c r="O2241"/>
      <c r="P2241"/>
      <c r="Q2241"/>
      <c r="R2241"/>
      <c r="S2241"/>
      <c r="T2241"/>
      <c r="U2241"/>
      <c r="V2241"/>
      <c r="W2241" s="41"/>
      <c r="X2241" s="41"/>
      <c r="Y2241" s="41"/>
    </row>
    <row r="2242" s="27" customFormat="1" ht="23" hidden="1" customHeight="1" spans="1:25">
      <c r="A2242" s="133" t="str">
        <f>IF(B2242="","",COUNTA($B$5:B2242))</f>
        <v/>
      </c>
      <c r="B2242" s="148"/>
      <c r="C2242" s="22" t="s">
        <v>49</v>
      </c>
      <c r="D2242" s="149"/>
      <c r="E2242" s="150"/>
      <c r="F2242" s="151"/>
      <c r="G2242" s="151"/>
      <c r="H2242" s="142">
        <f>IFERROR(VLOOKUP($C2242,$C$5:$H$18,6,0)+SUMIF($C$19:$C2242,$C2242,$F$19:$F2242)-SUMIF($C$19:$C2242,$C2242,$G$19:$G2242),"")</f>
        <v>81211.819999998</v>
      </c>
      <c r="I2242" s="147"/>
      <c r="J2242" s="147"/>
      <c r="K2242" s="147" t="str">
        <f t="shared" si="34"/>
        <v/>
      </c>
      <c r="L2242" s="40"/>
      <c r="M2242"/>
      <c r="N2242"/>
      <c r="O2242"/>
      <c r="P2242"/>
      <c r="Q2242"/>
      <c r="R2242"/>
      <c r="S2242"/>
      <c r="T2242"/>
      <c r="U2242"/>
      <c r="V2242"/>
      <c r="W2242" s="41"/>
      <c r="X2242" s="41"/>
      <c r="Y2242" s="41"/>
    </row>
    <row r="2243" s="27" customFormat="1" ht="23" hidden="1" customHeight="1" spans="1:25">
      <c r="A2243" s="133" t="str">
        <f>IF(B2243="","",COUNTA($B$5:B2243))</f>
        <v/>
      </c>
      <c r="B2243" s="148"/>
      <c r="C2243" s="22" t="s">
        <v>49</v>
      </c>
      <c r="D2243" s="149"/>
      <c r="E2243" s="150"/>
      <c r="F2243" s="151"/>
      <c r="G2243" s="151"/>
      <c r="H2243" s="142">
        <f>IFERROR(VLOOKUP($C2243,$C$5:$H$18,6,0)+SUMIF($C$19:$C2243,$C2243,$F$19:$F2243)-SUMIF($C$19:$C2243,$C2243,$G$19:$G2243),"")</f>
        <v>81211.819999998</v>
      </c>
      <c r="I2243" s="147"/>
      <c r="J2243" s="147"/>
      <c r="K2243" s="147" t="str">
        <f t="shared" si="34"/>
        <v/>
      </c>
      <c r="L2243" s="40"/>
      <c r="M2243"/>
      <c r="N2243"/>
      <c r="O2243"/>
      <c r="P2243"/>
      <c r="Q2243"/>
      <c r="R2243"/>
      <c r="S2243"/>
      <c r="T2243"/>
      <c r="U2243"/>
      <c r="V2243"/>
      <c r="W2243" s="41"/>
      <c r="X2243" s="41"/>
      <c r="Y2243" s="41"/>
    </row>
    <row r="2244" s="27" customFormat="1" ht="23" hidden="1" customHeight="1" spans="1:25">
      <c r="A2244" s="133" t="str">
        <f>IF(B2244="","",COUNTA($B$5:B2244))</f>
        <v/>
      </c>
      <c r="B2244" s="148"/>
      <c r="C2244" s="22" t="s">
        <v>49</v>
      </c>
      <c r="D2244" s="149"/>
      <c r="E2244" s="150"/>
      <c r="F2244" s="151"/>
      <c r="G2244" s="151"/>
      <c r="H2244" s="142">
        <f>IFERROR(VLOOKUP($C2244,$C$5:$H$18,6,0)+SUMIF($C$19:$C2244,$C2244,$F$19:$F2244)-SUMIF($C$19:$C2244,$C2244,$G$19:$G2244),"")</f>
        <v>81211.819999998</v>
      </c>
      <c r="I2244" s="147"/>
      <c r="J2244" s="147"/>
      <c r="K2244" s="147" t="str">
        <f t="shared" si="34"/>
        <v/>
      </c>
      <c r="L2244" s="40"/>
      <c r="M2244"/>
      <c r="N2244"/>
      <c r="O2244"/>
      <c r="P2244"/>
      <c r="Q2244"/>
      <c r="R2244"/>
      <c r="S2244"/>
      <c r="T2244"/>
      <c r="U2244"/>
      <c r="V2244"/>
      <c r="W2244" s="41"/>
      <c r="X2244" s="41"/>
      <c r="Y2244" s="41"/>
    </row>
    <row r="2245" s="27" customFormat="1" ht="23" hidden="1" customHeight="1" spans="1:25">
      <c r="A2245" s="133" t="str">
        <f>IF(B2245="","",COUNTA($B$5:B2245))</f>
        <v/>
      </c>
      <c r="B2245" s="148"/>
      <c r="C2245" s="22" t="s">
        <v>49</v>
      </c>
      <c r="D2245" s="149"/>
      <c r="E2245" s="150"/>
      <c r="F2245" s="151"/>
      <c r="G2245" s="151"/>
      <c r="H2245" s="142">
        <f>IFERROR(VLOOKUP($C2245,$C$5:$H$18,6,0)+SUMIF($C$19:$C2245,$C2245,$F$19:$F2245)-SUMIF($C$19:$C2245,$C2245,$G$19:$G2245),"")</f>
        <v>81211.819999998</v>
      </c>
      <c r="I2245" s="147"/>
      <c r="J2245" s="147"/>
      <c r="K2245" s="147" t="str">
        <f t="shared" ref="K2245:K2308" si="35">IF($B2245="","",--TEXT($B2245,"yyyymm"))</f>
        <v/>
      </c>
      <c r="L2245" s="40"/>
      <c r="M2245"/>
      <c r="N2245"/>
      <c r="O2245"/>
      <c r="P2245"/>
      <c r="Q2245"/>
      <c r="R2245"/>
      <c r="S2245"/>
      <c r="T2245"/>
      <c r="U2245"/>
      <c r="V2245"/>
      <c r="W2245" s="41"/>
      <c r="X2245" s="41"/>
      <c r="Y2245" s="41"/>
    </row>
    <row r="2246" s="27" customFormat="1" ht="23" hidden="1" customHeight="1" spans="1:25">
      <c r="A2246" s="133" t="str">
        <f>IF(B2246="","",COUNTA($B$5:B2246))</f>
        <v/>
      </c>
      <c r="B2246" s="148"/>
      <c r="C2246" s="22" t="s">
        <v>49</v>
      </c>
      <c r="D2246" s="149"/>
      <c r="E2246" s="150"/>
      <c r="F2246" s="151"/>
      <c r="G2246" s="151"/>
      <c r="H2246" s="142">
        <f>IFERROR(VLOOKUP($C2246,$C$5:$H$18,6,0)+SUMIF($C$19:$C2246,$C2246,$F$19:$F2246)-SUMIF($C$19:$C2246,$C2246,$G$19:$G2246),"")</f>
        <v>81211.819999998</v>
      </c>
      <c r="I2246" s="147"/>
      <c r="J2246" s="147"/>
      <c r="K2246" s="147" t="str">
        <f t="shared" si="35"/>
        <v/>
      </c>
      <c r="L2246" s="40"/>
      <c r="M2246"/>
      <c r="N2246"/>
      <c r="O2246"/>
      <c r="P2246"/>
      <c r="Q2246"/>
      <c r="R2246"/>
      <c r="S2246"/>
      <c r="T2246"/>
      <c r="U2246"/>
      <c r="V2246"/>
      <c r="W2246" s="41"/>
      <c r="X2246" s="41"/>
      <c r="Y2246" s="41"/>
    </row>
    <row r="2247" s="27" customFormat="1" ht="23" hidden="1" customHeight="1" spans="1:25">
      <c r="A2247" s="133" t="str">
        <f>IF(B2247="","",COUNTA($B$5:B2247))</f>
        <v/>
      </c>
      <c r="B2247" s="148"/>
      <c r="C2247" s="22" t="s">
        <v>49</v>
      </c>
      <c r="D2247" s="149"/>
      <c r="E2247" s="150"/>
      <c r="F2247" s="151"/>
      <c r="G2247" s="151"/>
      <c r="H2247" s="142">
        <f>IFERROR(VLOOKUP($C2247,$C$5:$H$18,6,0)+SUMIF($C$19:$C2247,$C2247,$F$19:$F2247)-SUMIF($C$19:$C2247,$C2247,$G$19:$G2247),"")</f>
        <v>81211.819999998</v>
      </c>
      <c r="I2247" s="147"/>
      <c r="J2247" s="147"/>
      <c r="K2247" s="147" t="str">
        <f t="shared" si="35"/>
        <v/>
      </c>
      <c r="L2247" s="40"/>
      <c r="M2247"/>
      <c r="N2247"/>
      <c r="O2247"/>
      <c r="P2247"/>
      <c r="Q2247"/>
      <c r="R2247"/>
      <c r="S2247"/>
      <c r="T2247"/>
      <c r="U2247"/>
      <c r="V2247"/>
      <c r="W2247" s="41"/>
      <c r="X2247" s="41"/>
      <c r="Y2247" s="41"/>
    </row>
    <row r="2248" s="27" customFormat="1" ht="23" hidden="1" customHeight="1" spans="1:25">
      <c r="A2248" s="133" t="str">
        <f>IF(B2248="","",COUNTA($B$5:B2248))</f>
        <v/>
      </c>
      <c r="B2248" s="148"/>
      <c r="C2248" s="22" t="s">
        <v>49</v>
      </c>
      <c r="D2248" s="149"/>
      <c r="E2248" s="150"/>
      <c r="F2248" s="151"/>
      <c r="G2248" s="151"/>
      <c r="H2248" s="142">
        <f>IFERROR(VLOOKUP($C2248,$C$5:$H$18,6,0)+SUMIF($C$19:$C2248,$C2248,$F$19:$F2248)-SUMIF($C$19:$C2248,$C2248,$G$19:$G2248),"")</f>
        <v>81211.819999998</v>
      </c>
      <c r="I2248" s="147"/>
      <c r="J2248" s="147"/>
      <c r="K2248" s="147" t="str">
        <f t="shared" si="35"/>
        <v/>
      </c>
      <c r="L2248" s="40"/>
      <c r="M2248"/>
      <c r="N2248"/>
      <c r="O2248"/>
      <c r="P2248"/>
      <c r="Q2248"/>
      <c r="R2248"/>
      <c r="S2248"/>
      <c r="T2248"/>
      <c r="U2248"/>
      <c r="V2248"/>
      <c r="W2248" s="41"/>
      <c r="X2248" s="41"/>
      <c r="Y2248" s="41"/>
    </row>
    <row r="2249" s="27" customFormat="1" ht="23" hidden="1" customHeight="1" spans="1:25">
      <c r="A2249" s="133" t="str">
        <f>IF(B2249="","",COUNTA($B$5:B2249))</f>
        <v/>
      </c>
      <c r="B2249" s="148"/>
      <c r="C2249" s="22" t="s">
        <v>49</v>
      </c>
      <c r="D2249" s="149"/>
      <c r="E2249" s="150"/>
      <c r="F2249" s="151"/>
      <c r="G2249" s="151"/>
      <c r="H2249" s="142">
        <f>IFERROR(VLOOKUP($C2249,$C$5:$H$18,6,0)+SUMIF($C$19:$C2249,$C2249,$F$19:$F2249)-SUMIF($C$19:$C2249,$C2249,$G$19:$G2249),"")</f>
        <v>81211.819999998</v>
      </c>
      <c r="I2249" s="147"/>
      <c r="J2249" s="147"/>
      <c r="K2249" s="147" t="str">
        <f t="shared" si="35"/>
        <v/>
      </c>
      <c r="L2249" s="40"/>
      <c r="M2249"/>
      <c r="N2249"/>
      <c r="O2249"/>
      <c r="P2249"/>
      <c r="Q2249"/>
      <c r="R2249"/>
      <c r="S2249"/>
      <c r="T2249"/>
      <c r="U2249"/>
      <c r="V2249"/>
      <c r="W2249" s="41"/>
      <c r="X2249" s="41"/>
      <c r="Y2249" s="41"/>
    </row>
    <row r="2250" s="27" customFormat="1" ht="23" hidden="1" customHeight="1" spans="1:25">
      <c r="A2250" s="133" t="str">
        <f>IF(B2250="","",COUNTA($B$5:B2250))</f>
        <v/>
      </c>
      <c r="B2250" s="148"/>
      <c r="C2250" s="22" t="s">
        <v>49</v>
      </c>
      <c r="D2250" s="149"/>
      <c r="E2250" s="150"/>
      <c r="F2250" s="151"/>
      <c r="G2250" s="151"/>
      <c r="H2250" s="142">
        <f>IFERROR(VLOOKUP($C2250,$C$5:$H$18,6,0)+SUMIF($C$19:$C2250,$C2250,$F$19:$F2250)-SUMIF($C$19:$C2250,$C2250,$G$19:$G2250),"")</f>
        <v>81211.819999998</v>
      </c>
      <c r="I2250" s="147"/>
      <c r="J2250" s="147"/>
      <c r="K2250" s="147" t="str">
        <f t="shared" si="35"/>
        <v/>
      </c>
      <c r="L2250" s="40"/>
      <c r="M2250"/>
      <c r="N2250"/>
      <c r="O2250"/>
      <c r="P2250"/>
      <c r="Q2250"/>
      <c r="R2250"/>
      <c r="S2250"/>
      <c r="T2250"/>
      <c r="U2250"/>
      <c r="V2250"/>
      <c r="W2250" s="41"/>
      <c r="X2250" s="41"/>
      <c r="Y2250" s="41"/>
    </row>
    <row r="2251" s="27" customFormat="1" ht="23" hidden="1" customHeight="1" spans="1:25">
      <c r="A2251" s="133" t="str">
        <f>IF(B2251="","",COUNTA($B$5:B2251))</f>
        <v/>
      </c>
      <c r="B2251" s="148"/>
      <c r="C2251" s="22" t="s">
        <v>49</v>
      </c>
      <c r="D2251" s="149"/>
      <c r="E2251" s="150"/>
      <c r="F2251" s="151"/>
      <c r="G2251" s="151"/>
      <c r="H2251" s="142">
        <f>IFERROR(VLOOKUP($C2251,$C$5:$H$18,6,0)+SUMIF($C$19:$C2251,$C2251,$F$19:$F2251)-SUMIF($C$19:$C2251,$C2251,$G$19:$G2251),"")</f>
        <v>81211.819999998</v>
      </c>
      <c r="I2251" s="147"/>
      <c r="J2251" s="147"/>
      <c r="K2251" s="147" t="str">
        <f t="shared" si="35"/>
        <v/>
      </c>
      <c r="L2251" s="40"/>
      <c r="M2251"/>
      <c r="N2251"/>
      <c r="O2251"/>
      <c r="P2251"/>
      <c r="Q2251"/>
      <c r="R2251"/>
      <c r="S2251"/>
      <c r="T2251"/>
      <c r="U2251"/>
      <c r="V2251"/>
      <c r="W2251" s="41"/>
      <c r="X2251" s="41"/>
      <c r="Y2251" s="41"/>
    </row>
    <row r="2252" s="27" customFormat="1" ht="23" hidden="1" customHeight="1" spans="1:25">
      <c r="A2252" s="133" t="str">
        <f>IF(B2252="","",COUNTA($B$5:B2252))</f>
        <v/>
      </c>
      <c r="B2252" s="148"/>
      <c r="C2252" s="22" t="s">
        <v>49</v>
      </c>
      <c r="D2252" s="149"/>
      <c r="E2252" s="150"/>
      <c r="F2252" s="151"/>
      <c r="G2252" s="151"/>
      <c r="H2252" s="142">
        <f>IFERROR(VLOOKUP($C2252,$C$5:$H$18,6,0)+SUMIF($C$19:$C2252,$C2252,$F$19:$F2252)-SUMIF($C$19:$C2252,$C2252,$G$19:$G2252),"")</f>
        <v>81211.819999998</v>
      </c>
      <c r="I2252" s="147"/>
      <c r="J2252" s="147"/>
      <c r="K2252" s="147" t="str">
        <f t="shared" si="35"/>
        <v/>
      </c>
      <c r="L2252" s="40"/>
      <c r="M2252"/>
      <c r="N2252"/>
      <c r="O2252"/>
      <c r="P2252"/>
      <c r="Q2252"/>
      <c r="R2252"/>
      <c r="S2252"/>
      <c r="T2252"/>
      <c r="U2252"/>
      <c r="V2252"/>
      <c r="W2252" s="41"/>
      <c r="X2252" s="41"/>
      <c r="Y2252" s="41"/>
    </row>
    <row r="2253" s="27" customFormat="1" ht="23" hidden="1" customHeight="1" spans="1:25">
      <c r="A2253" s="133" t="str">
        <f>IF(B2253="","",COUNTA($B$5:B2253))</f>
        <v/>
      </c>
      <c r="B2253" s="148"/>
      <c r="C2253" s="22" t="s">
        <v>49</v>
      </c>
      <c r="D2253" s="149"/>
      <c r="E2253" s="150"/>
      <c r="F2253" s="151"/>
      <c r="G2253" s="151"/>
      <c r="H2253" s="142">
        <f>IFERROR(VLOOKUP($C2253,$C$5:$H$18,6,0)+SUMIF($C$19:$C2253,$C2253,$F$19:$F2253)-SUMIF($C$19:$C2253,$C2253,$G$19:$G2253),"")</f>
        <v>81211.819999998</v>
      </c>
      <c r="I2253" s="147"/>
      <c r="J2253" s="147"/>
      <c r="K2253" s="147" t="str">
        <f t="shared" si="35"/>
        <v/>
      </c>
      <c r="L2253" s="40"/>
      <c r="M2253"/>
      <c r="N2253"/>
      <c r="O2253"/>
      <c r="P2253"/>
      <c r="Q2253"/>
      <c r="R2253"/>
      <c r="S2253"/>
      <c r="T2253"/>
      <c r="U2253"/>
      <c r="V2253"/>
      <c r="W2253" s="41"/>
      <c r="X2253" s="41"/>
      <c r="Y2253" s="41"/>
    </row>
    <row r="2254" s="27" customFormat="1" ht="23" hidden="1" customHeight="1" spans="1:25">
      <c r="A2254" s="133" t="str">
        <f>IF(B2254="","",COUNTA($B$5:B2254))</f>
        <v/>
      </c>
      <c r="B2254" s="148"/>
      <c r="C2254" s="22" t="s">
        <v>49</v>
      </c>
      <c r="D2254" s="149"/>
      <c r="E2254" s="150"/>
      <c r="F2254" s="151"/>
      <c r="G2254" s="151"/>
      <c r="H2254" s="142">
        <f>IFERROR(VLOOKUP($C2254,$C$5:$H$18,6,0)+SUMIF($C$19:$C2254,$C2254,$F$19:$F2254)-SUMIF($C$19:$C2254,$C2254,$G$19:$G2254),"")</f>
        <v>81211.819999998</v>
      </c>
      <c r="I2254" s="147"/>
      <c r="J2254" s="147"/>
      <c r="K2254" s="147" t="str">
        <f t="shared" si="35"/>
        <v/>
      </c>
      <c r="L2254" s="40"/>
      <c r="M2254"/>
      <c r="N2254"/>
      <c r="O2254"/>
      <c r="P2254"/>
      <c r="Q2254"/>
      <c r="R2254"/>
      <c r="S2254"/>
      <c r="T2254"/>
      <c r="U2254"/>
      <c r="V2254"/>
      <c r="W2254" s="41"/>
      <c r="X2254" s="41"/>
      <c r="Y2254" s="41"/>
    </row>
    <row r="2255" s="27" customFormat="1" ht="23" hidden="1" customHeight="1" spans="1:25">
      <c r="A2255" s="133" t="str">
        <f>IF(B2255="","",COUNTA($B$5:B2255))</f>
        <v/>
      </c>
      <c r="B2255" s="148"/>
      <c r="C2255" s="22" t="s">
        <v>49</v>
      </c>
      <c r="D2255" s="149"/>
      <c r="E2255" s="150"/>
      <c r="F2255" s="151"/>
      <c r="G2255" s="151"/>
      <c r="H2255" s="142">
        <f>IFERROR(VLOOKUP($C2255,$C$5:$H$18,6,0)+SUMIF($C$19:$C2255,$C2255,$F$19:$F2255)-SUMIF($C$19:$C2255,$C2255,$G$19:$G2255),"")</f>
        <v>81211.819999998</v>
      </c>
      <c r="I2255" s="147"/>
      <c r="J2255" s="147"/>
      <c r="K2255" s="147" t="str">
        <f t="shared" si="35"/>
        <v/>
      </c>
      <c r="L2255" s="40"/>
      <c r="M2255"/>
      <c r="N2255"/>
      <c r="O2255"/>
      <c r="P2255"/>
      <c r="Q2255"/>
      <c r="R2255"/>
      <c r="S2255"/>
      <c r="T2255"/>
      <c r="U2255"/>
      <c r="V2255"/>
      <c r="W2255" s="41"/>
      <c r="X2255" s="41"/>
      <c r="Y2255" s="41"/>
    </row>
    <row r="2256" s="27" customFormat="1" ht="23" hidden="1" customHeight="1" spans="1:25">
      <c r="A2256" s="133" t="str">
        <f>IF(B2256="","",COUNTA($B$5:B2256))</f>
        <v/>
      </c>
      <c r="B2256" s="148"/>
      <c r="C2256" s="22" t="s">
        <v>49</v>
      </c>
      <c r="D2256" s="149"/>
      <c r="E2256" s="150"/>
      <c r="F2256" s="151"/>
      <c r="G2256" s="151"/>
      <c r="H2256" s="142">
        <f>IFERROR(VLOOKUP($C2256,$C$5:$H$18,6,0)+SUMIF($C$19:$C2256,$C2256,$F$19:$F2256)-SUMIF($C$19:$C2256,$C2256,$G$19:$G2256),"")</f>
        <v>81211.819999998</v>
      </c>
      <c r="I2256" s="147"/>
      <c r="J2256" s="147"/>
      <c r="K2256" s="147" t="str">
        <f t="shared" si="35"/>
        <v/>
      </c>
      <c r="L2256" s="40"/>
      <c r="M2256"/>
      <c r="N2256"/>
      <c r="O2256"/>
      <c r="P2256"/>
      <c r="Q2256"/>
      <c r="R2256"/>
      <c r="S2256"/>
      <c r="T2256"/>
      <c r="U2256"/>
      <c r="V2256"/>
      <c r="W2256" s="41"/>
      <c r="X2256" s="41"/>
      <c r="Y2256" s="41"/>
    </row>
    <row r="2257" s="27" customFormat="1" ht="23" hidden="1" customHeight="1" spans="1:25">
      <c r="A2257" s="133" t="str">
        <f>IF(B2257="","",COUNTA($B$5:B2257))</f>
        <v/>
      </c>
      <c r="B2257" s="148"/>
      <c r="C2257" s="22" t="s">
        <v>49</v>
      </c>
      <c r="D2257" s="149"/>
      <c r="E2257" s="150"/>
      <c r="F2257" s="151"/>
      <c r="G2257" s="151"/>
      <c r="H2257" s="142">
        <f>IFERROR(VLOOKUP($C2257,$C$5:$H$18,6,0)+SUMIF($C$19:$C2257,$C2257,$F$19:$F2257)-SUMIF($C$19:$C2257,$C2257,$G$19:$G2257),"")</f>
        <v>81211.819999998</v>
      </c>
      <c r="I2257" s="147"/>
      <c r="J2257" s="147"/>
      <c r="K2257" s="147" t="str">
        <f t="shared" si="35"/>
        <v/>
      </c>
      <c r="L2257" s="40"/>
      <c r="M2257"/>
      <c r="N2257"/>
      <c r="O2257"/>
      <c r="P2257"/>
      <c r="Q2257"/>
      <c r="R2257"/>
      <c r="S2257"/>
      <c r="T2257"/>
      <c r="U2257"/>
      <c r="V2257"/>
      <c r="W2257" s="41"/>
      <c r="X2257" s="41"/>
      <c r="Y2257" s="41"/>
    </row>
    <row r="2258" s="27" customFormat="1" ht="23" hidden="1" customHeight="1" spans="1:25">
      <c r="A2258" s="133" t="str">
        <f>IF(B2258="","",COUNTA($B$5:B2258))</f>
        <v/>
      </c>
      <c r="B2258" s="148"/>
      <c r="C2258" s="22" t="s">
        <v>49</v>
      </c>
      <c r="D2258" s="149"/>
      <c r="E2258" s="150"/>
      <c r="F2258" s="151"/>
      <c r="G2258" s="151"/>
      <c r="H2258" s="142">
        <f>IFERROR(VLOOKUP($C2258,$C$5:$H$18,6,0)+SUMIF($C$19:$C2258,$C2258,$F$19:$F2258)-SUMIF($C$19:$C2258,$C2258,$G$19:$G2258),"")</f>
        <v>81211.819999998</v>
      </c>
      <c r="I2258" s="147"/>
      <c r="J2258" s="147"/>
      <c r="K2258" s="147" t="str">
        <f t="shared" si="35"/>
        <v/>
      </c>
      <c r="L2258" s="40"/>
      <c r="M2258"/>
      <c r="N2258"/>
      <c r="O2258"/>
      <c r="P2258"/>
      <c r="Q2258"/>
      <c r="R2258"/>
      <c r="S2258"/>
      <c r="T2258"/>
      <c r="U2258"/>
      <c r="V2258"/>
      <c r="W2258" s="41"/>
      <c r="X2258" s="41"/>
      <c r="Y2258" s="41"/>
    </row>
    <row r="2259" s="27" customFormat="1" ht="23" hidden="1" customHeight="1" spans="1:25">
      <c r="A2259" s="133" t="str">
        <f>IF(B2259="","",COUNTA($B$5:B2259))</f>
        <v/>
      </c>
      <c r="B2259" s="148"/>
      <c r="C2259" s="22" t="s">
        <v>49</v>
      </c>
      <c r="D2259" s="149"/>
      <c r="E2259" s="150"/>
      <c r="F2259" s="151"/>
      <c r="G2259" s="151"/>
      <c r="H2259" s="142">
        <f>IFERROR(VLOOKUP($C2259,$C$5:$H$18,6,0)+SUMIF($C$19:$C2259,$C2259,$F$19:$F2259)-SUMIF($C$19:$C2259,$C2259,$G$19:$G2259),"")</f>
        <v>81211.819999998</v>
      </c>
      <c r="I2259" s="147"/>
      <c r="J2259" s="147"/>
      <c r="K2259" s="147" t="str">
        <f t="shared" si="35"/>
        <v/>
      </c>
      <c r="L2259" s="40"/>
      <c r="M2259"/>
      <c r="N2259"/>
      <c r="O2259"/>
      <c r="P2259"/>
      <c r="Q2259"/>
      <c r="R2259"/>
      <c r="S2259"/>
      <c r="T2259"/>
      <c r="U2259"/>
      <c r="V2259"/>
      <c r="W2259" s="41"/>
      <c r="X2259" s="41"/>
      <c r="Y2259" s="41"/>
    </row>
    <row r="2260" s="27" customFormat="1" ht="23" hidden="1" customHeight="1" spans="1:25">
      <c r="A2260" s="133" t="str">
        <f>IF(B2260="","",COUNTA($B$5:B2260))</f>
        <v/>
      </c>
      <c r="B2260" s="148"/>
      <c r="C2260" s="22" t="s">
        <v>49</v>
      </c>
      <c r="D2260" s="149"/>
      <c r="E2260" s="150"/>
      <c r="F2260" s="151"/>
      <c r="G2260" s="151"/>
      <c r="H2260" s="142">
        <f>IFERROR(VLOOKUP($C2260,$C$5:$H$18,6,0)+SUMIF($C$19:$C2260,$C2260,$F$19:$F2260)-SUMIF($C$19:$C2260,$C2260,$G$19:$G2260),"")</f>
        <v>81211.819999998</v>
      </c>
      <c r="I2260" s="147"/>
      <c r="J2260" s="147"/>
      <c r="K2260" s="147" t="str">
        <f t="shared" si="35"/>
        <v/>
      </c>
      <c r="L2260" s="40"/>
      <c r="M2260"/>
      <c r="N2260"/>
      <c r="O2260"/>
      <c r="P2260"/>
      <c r="Q2260"/>
      <c r="R2260"/>
      <c r="S2260"/>
      <c r="T2260"/>
      <c r="U2260"/>
      <c r="V2260"/>
      <c r="W2260" s="41"/>
      <c r="X2260" s="41"/>
      <c r="Y2260" s="41"/>
    </row>
    <row r="2261" s="27" customFormat="1" ht="23" hidden="1" customHeight="1" spans="1:25">
      <c r="A2261" s="133" t="str">
        <f>IF(B2261="","",COUNTA($B$5:B2261))</f>
        <v/>
      </c>
      <c r="B2261" s="148"/>
      <c r="C2261" s="22" t="s">
        <v>49</v>
      </c>
      <c r="D2261" s="149"/>
      <c r="E2261" s="150"/>
      <c r="F2261" s="151"/>
      <c r="G2261" s="151"/>
      <c r="H2261" s="142">
        <f>IFERROR(VLOOKUP($C2261,$C$5:$H$18,6,0)+SUMIF($C$19:$C2261,$C2261,$F$19:$F2261)-SUMIF($C$19:$C2261,$C2261,$G$19:$G2261),"")</f>
        <v>81211.819999998</v>
      </c>
      <c r="I2261" s="147"/>
      <c r="J2261" s="147"/>
      <c r="K2261" s="147" t="str">
        <f t="shared" si="35"/>
        <v/>
      </c>
      <c r="L2261" s="40"/>
      <c r="M2261"/>
      <c r="N2261"/>
      <c r="O2261"/>
      <c r="P2261"/>
      <c r="Q2261"/>
      <c r="R2261"/>
      <c r="S2261"/>
      <c r="T2261"/>
      <c r="U2261"/>
      <c r="V2261"/>
      <c r="W2261" s="41"/>
      <c r="X2261" s="41"/>
      <c r="Y2261" s="41"/>
    </row>
    <row r="2262" s="27" customFormat="1" ht="23" hidden="1" customHeight="1" spans="1:25">
      <c r="A2262" s="133" t="str">
        <f>IF(B2262="","",COUNTA($B$5:B2262))</f>
        <v/>
      </c>
      <c r="B2262" s="148"/>
      <c r="C2262" s="22" t="s">
        <v>49</v>
      </c>
      <c r="D2262" s="149"/>
      <c r="E2262" s="150"/>
      <c r="F2262" s="151"/>
      <c r="G2262" s="151"/>
      <c r="H2262" s="142">
        <f>IFERROR(VLOOKUP($C2262,$C$5:$H$18,6,0)+SUMIF($C$19:$C2262,$C2262,$F$19:$F2262)-SUMIF($C$19:$C2262,$C2262,$G$19:$G2262),"")</f>
        <v>81211.819999998</v>
      </c>
      <c r="I2262" s="147"/>
      <c r="J2262" s="147"/>
      <c r="K2262" s="147" t="str">
        <f t="shared" si="35"/>
        <v/>
      </c>
      <c r="L2262" s="40"/>
      <c r="M2262"/>
      <c r="N2262"/>
      <c r="O2262"/>
      <c r="P2262"/>
      <c r="Q2262"/>
      <c r="R2262"/>
      <c r="S2262"/>
      <c r="T2262"/>
      <c r="U2262"/>
      <c r="V2262"/>
      <c r="W2262" s="41"/>
      <c r="X2262" s="41"/>
      <c r="Y2262" s="41"/>
    </row>
    <row r="2263" s="27" customFormat="1" ht="23" hidden="1" customHeight="1" spans="1:25">
      <c r="A2263" s="133" t="str">
        <f>IF(B2263="","",COUNTA($B$5:B2263))</f>
        <v/>
      </c>
      <c r="B2263" s="148"/>
      <c r="C2263" s="22" t="s">
        <v>49</v>
      </c>
      <c r="D2263" s="149"/>
      <c r="E2263" s="150"/>
      <c r="F2263" s="151"/>
      <c r="G2263" s="151"/>
      <c r="H2263" s="142">
        <f>IFERROR(VLOOKUP($C2263,$C$5:$H$18,6,0)+SUMIF($C$19:$C2263,$C2263,$F$19:$F2263)-SUMIF($C$19:$C2263,$C2263,$G$19:$G2263),"")</f>
        <v>81211.819999998</v>
      </c>
      <c r="I2263" s="147"/>
      <c r="J2263" s="147"/>
      <c r="K2263" s="147" t="str">
        <f t="shared" si="35"/>
        <v/>
      </c>
      <c r="L2263" s="40"/>
      <c r="M2263"/>
      <c r="N2263"/>
      <c r="O2263"/>
      <c r="P2263"/>
      <c r="Q2263"/>
      <c r="R2263"/>
      <c r="S2263"/>
      <c r="T2263"/>
      <c r="U2263"/>
      <c r="V2263"/>
      <c r="W2263" s="41"/>
      <c r="X2263" s="41"/>
      <c r="Y2263" s="41"/>
    </row>
    <row r="2264" s="27" customFormat="1" ht="23" hidden="1" customHeight="1" spans="1:25">
      <c r="A2264" s="133" t="str">
        <f>IF(B2264="","",COUNTA($B$5:B2264))</f>
        <v/>
      </c>
      <c r="B2264" s="148"/>
      <c r="C2264" s="22" t="s">
        <v>49</v>
      </c>
      <c r="D2264" s="149"/>
      <c r="E2264" s="150"/>
      <c r="F2264" s="151"/>
      <c r="G2264" s="151"/>
      <c r="H2264" s="142">
        <f>IFERROR(VLOOKUP($C2264,$C$5:$H$18,6,0)+SUMIF($C$19:$C2264,$C2264,$F$19:$F2264)-SUMIF($C$19:$C2264,$C2264,$G$19:$G2264),"")</f>
        <v>81211.819999998</v>
      </c>
      <c r="I2264" s="147"/>
      <c r="J2264" s="147"/>
      <c r="K2264" s="147" t="str">
        <f t="shared" si="35"/>
        <v/>
      </c>
      <c r="L2264" s="40"/>
      <c r="M2264"/>
      <c r="N2264"/>
      <c r="O2264"/>
      <c r="P2264"/>
      <c r="Q2264"/>
      <c r="R2264"/>
      <c r="S2264"/>
      <c r="T2264"/>
      <c r="U2264"/>
      <c r="V2264"/>
      <c r="W2264" s="41"/>
      <c r="X2264" s="41"/>
      <c r="Y2264" s="41"/>
    </row>
    <row r="2265" s="27" customFormat="1" ht="23" hidden="1" customHeight="1" spans="1:25">
      <c r="A2265" s="133" t="str">
        <f>IF(B2265="","",COUNTA($B$5:B2265))</f>
        <v/>
      </c>
      <c r="B2265" s="148"/>
      <c r="C2265" s="22" t="s">
        <v>49</v>
      </c>
      <c r="D2265" s="149"/>
      <c r="E2265" s="150"/>
      <c r="F2265" s="151"/>
      <c r="G2265" s="151"/>
      <c r="H2265" s="142">
        <f>IFERROR(VLOOKUP($C2265,$C$5:$H$18,6,0)+SUMIF($C$19:$C2265,$C2265,$F$19:$F2265)-SUMIF($C$19:$C2265,$C2265,$G$19:$G2265),"")</f>
        <v>81211.819999998</v>
      </c>
      <c r="I2265" s="147"/>
      <c r="J2265" s="147"/>
      <c r="K2265" s="147" t="str">
        <f t="shared" si="35"/>
        <v/>
      </c>
      <c r="L2265" s="40"/>
      <c r="M2265"/>
      <c r="N2265"/>
      <c r="O2265"/>
      <c r="P2265"/>
      <c r="Q2265"/>
      <c r="R2265"/>
      <c r="S2265"/>
      <c r="T2265"/>
      <c r="U2265"/>
      <c r="V2265"/>
      <c r="W2265" s="41"/>
      <c r="X2265" s="41"/>
      <c r="Y2265" s="41"/>
    </row>
    <row r="2266" s="27" customFormat="1" ht="23" hidden="1" customHeight="1" spans="1:25">
      <c r="A2266" s="133" t="str">
        <f>IF(B2266="","",COUNTA($B$5:B2266))</f>
        <v/>
      </c>
      <c r="B2266" s="148"/>
      <c r="C2266" s="22" t="s">
        <v>49</v>
      </c>
      <c r="D2266" s="149"/>
      <c r="E2266" s="150"/>
      <c r="F2266" s="151"/>
      <c r="G2266" s="151"/>
      <c r="H2266" s="142">
        <f>IFERROR(VLOOKUP($C2266,$C$5:$H$18,6,0)+SUMIF($C$19:$C2266,$C2266,$F$19:$F2266)-SUMIF($C$19:$C2266,$C2266,$G$19:$G2266),"")</f>
        <v>81211.819999998</v>
      </c>
      <c r="I2266" s="147"/>
      <c r="J2266" s="147"/>
      <c r="K2266" s="147" t="str">
        <f t="shared" si="35"/>
        <v/>
      </c>
      <c r="L2266" s="40"/>
      <c r="M2266"/>
      <c r="N2266"/>
      <c r="O2266"/>
      <c r="P2266"/>
      <c r="Q2266"/>
      <c r="R2266"/>
      <c r="S2266"/>
      <c r="T2266"/>
      <c r="U2266"/>
      <c r="V2266"/>
      <c r="W2266" s="41"/>
      <c r="X2266" s="41"/>
      <c r="Y2266" s="41"/>
    </row>
    <row r="2267" s="27" customFormat="1" ht="23" hidden="1" customHeight="1" spans="1:25">
      <c r="A2267" s="133" t="str">
        <f>IF(B2267="","",COUNTA($B$5:B2267))</f>
        <v/>
      </c>
      <c r="B2267" s="148"/>
      <c r="C2267" s="22" t="s">
        <v>49</v>
      </c>
      <c r="D2267" s="149"/>
      <c r="E2267" s="150"/>
      <c r="F2267" s="151"/>
      <c r="G2267" s="151"/>
      <c r="H2267" s="142">
        <f>IFERROR(VLOOKUP($C2267,$C$5:$H$18,6,0)+SUMIF($C$19:$C2267,$C2267,$F$19:$F2267)-SUMIF($C$19:$C2267,$C2267,$G$19:$G2267),"")</f>
        <v>81211.819999998</v>
      </c>
      <c r="I2267" s="147"/>
      <c r="J2267" s="147"/>
      <c r="K2267" s="147" t="str">
        <f t="shared" si="35"/>
        <v/>
      </c>
      <c r="L2267" s="40"/>
      <c r="M2267"/>
      <c r="N2267"/>
      <c r="O2267"/>
      <c r="P2267"/>
      <c r="Q2267"/>
      <c r="R2267"/>
      <c r="S2267"/>
      <c r="T2267"/>
      <c r="U2267"/>
      <c r="V2267"/>
      <c r="W2267" s="41"/>
      <c r="X2267" s="41"/>
      <c r="Y2267" s="41"/>
    </row>
    <row r="2268" s="27" customFormat="1" ht="23" hidden="1" customHeight="1" spans="1:25">
      <c r="A2268" s="133" t="str">
        <f>IF(B2268="","",COUNTA($B$5:B2268))</f>
        <v/>
      </c>
      <c r="B2268" s="148"/>
      <c r="C2268" s="22" t="s">
        <v>49</v>
      </c>
      <c r="D2268" s="149"/>
      <c r="E2268" s="150"/>
      <c r="F2268" s="151"/>
      <c r="G2268" s="151"/>
      <c r="H2268" s="142">
        <f>IFERROR(VLOOKUP($C2268,$C$5:$H$18,6,0)+SUMIF($C$19:$C2268,$C2268,$F$19:$F2268)-SUMIF($C$19:$C2268,$C2268,$G$19:$G2268),"")</f>
        <v>81211.819999998</v>
      </c>
      <c r="I2268" s="147"/>
      <c r="J2268" s="147"/>
      <c r="K2268" s="147" t="str">
        <f t="shared" si="35"/>
        <v/>
      </c>
      <c r="L2268" s="40"/>
      <c r="M2268"/>
      <c r="N2268"/>
      <c r="O2268"/>
      <c r="P2268"/>
      <c r="Q2268"/>
      <c r="R2268"/>
      <c r="S2268"/>
      <c r="T2268"/>
      <c r="U2268"/>
      <c r="V2268"/>
      <c r="W2268" s="41"/>
      <c r="X2268" s="41"/>
      <c r="Y2268" s="41"/>
    </row>
    <row r="2269" s="27" customFormat="1" ht="23" hidden="1" customHeight="1" spans="1:25">
      <c r="A2269" s="133" t="str">
        <f>IF(B2269="","",COUNTA($B$5:B2269))</f>
        <v/>
      </c>
      <c r="B2269" s="148"/>
      <c r="C2269" s="22" t="s">
        <v>49</v>
      </c>
      <c r="D2269" s="149"/>
      <c r="E2269" s="150"/>
      <c r="F2269" s="151"/>
      <c r="G2269" s="151"/>
      <c r="H2269" s="142">
        <f>IFERROR(VLOOKUP($C2269,$C$5:$H$18,6,0)+SUMIF($C$19:$C2269,$C2269,$F$19:$F2269)-SUMIF($C$19:$C2269,$C2269,$G$19:$G2269),"")</f>
        <v>81211.819999998</v>
      </c>
      <c r="I2269" s="147"/>
      <c r="J2269" s="147"/>
      <c r="K2269" s="147" t="str">
        <f t="shared" si="35"/>
        <v/>
      </c>
      <c r="L2269" s="40"/>
      <c r="M2269"/>
      <c r="N2269"/>
      <c r="O2269"/>
      <c r="P2269"/>
      <c r="Q2269"/>
      <c r="R2269"/>
      <c r="S2269"/>
      <c r="T2269"/>
      <c r="U2269"/>
      <c r="V2269"/>
      <c r="W2269" s="41"/>
      <c r="X2269" s="41"/>
      <c r="Y2269" s="41"/>
    </row>
    <row r="2270" s="27" customFormat="1" ht="23" hidden="1" customHeight="1" spans="1:25">
      <c r="A2270" s="133" t="str">
        <f>IF(B2270="","",COUNTA($B$5:B2270))</f>
        <v/>
      </c>
      <c r="B2270" s="148"/>
      <c r="C2270" s="22" t="s">
        <v>49</v>
      </c>
      <c r="D2270" s="149"/>
      <c r="E2270" s="150"/>
      <c r="F2270" s="151"/>
      <c r="G2270" s="151"/>
      <c r="H2270" s="142">
        <f>IFERROR(VLOOKUP($C2270,$C$5:$H$18,6,0)+SUMIF($C$19:$C2270,$C2270,$F$19:$F2270)-SUMIF($C$19:$C2270,$C2270,$G$19:$G2270),"")</f>
        <v>81211.819999998</v>
      </c>
      <c r="I2270" s="147"/>
      <c r="J2270" s="147"/>
      <c r="K2270" s="147" t="str">
        <f t="shared" si="35"/>
        <v/>
      </c>
      <c r="L2270" s="40"/>
      <c r="M2270"/>
      <c r="N2270"/>
      <c r="O2270"/>
      <c r="P2270"/>
      <c r="Q2270"/>
      <c r="R2270"/>
      <c r="S2270"/>
      <c r="T2270"/>
      <c r="U2270"/>
      <c r="V2270"/>
      <c r="W2270" s="41"/>
      <c r="X2270" s="41"/>
      <c r="Y2270" s="41"/>
    </row>
    <row r="2271" s="27" customFormat="1" ht="23" hidden="1" customHeight="1" spans="1:25">
      <c r="A2271" s="133" t="str">
        <f>IF(B2271="","",COUNTA($B$5:B2271))</f>
        <v/>
      </c>
      <c r="B2271" s="148"/>
      <c r="C2271" s="22" t="s">
        <v>49</v>
      </c>
      <c r="D2271" s="149"/>
      <c r="E2271" s="150"/>
      <c r="F2271" s="151"/>
      <c r="G2271" s="151"/>
      <c r="H2271" s="142">
        <f>IFERROR(VLOOKUP($C2271,$C$5:$H$18,6,0)+SUMIF($C$19:$C2271,$C2271,$F$19:$F2271)-SUMIF($C$19:$C2271,$C2271,$G$19:$G2271),"")</f>
        <v>81211.819999998</v>
      </c>
      <c r="I2271" s="147"/>
      <c r="J2271" s="147"/>
      <c r="K2271" s="147" t="str">
        <f t="shared" si="35"/>
        <v/>
      </c>
      <c r="L2271" s="40"/>
      <c r="M2271"/>
      <c r="N2271"/>
      <c r="O2271"/>
      <c r="P2271"/>
      <c r="Q2271"/>
      <c r="R2271"/>
      <c r="S2271"/>
      <c r="T2271"/>
      <c r="U2271"/>
      <c r="V2271"/>
      <c r="W2271" s="41"/>
      <c r="X2271" s="41"/>
      <c r="Y2271" s="41"/>
    </row>
    <row r="2272" s="27" customFormat="1" ht="23" hidden="1" customHeight="1" spans="1:25">
      <c r="A2272" s="133" t="str">
        <f>IF(B2272="","",COUNTA($B$5:B2272))</f>
        <v/>
      </c>
      <c r="B2272" s="148"/>
      <c r="C2272" s="22" t="s">
        <v>49</v>
      </c>
      <c r="D2272" s="149"/>
      <c r="E2272" s="150"/>
      <c r="F2272" s="151"/>
      <c r="G2272" s="151"/>
      <c r="H2272" s="142">
        <f>IFERROR(VLOOKUP($C2272,$C$5:$H$18,6,0)+SUMIF($C$19:$C2272,$C2272,$F$19:$F2272)-SUMIF($C$19:$C2272,$C2272,$G$19:$G2272),"")</f>
        <v>81211.819999998</v>
      </c>
      <c r="I2272" s="147"/>
      <c r="J2272" s="147"/>
      <c r="K2272" s="147" t="str">
        <f t="shared" si="35"/>
        <v/>
      </c>
      <c r="L2272" s="40"/>
      <c r="M2272"/>
      <c r="N2272"/>
      <c r="O2272"/>
      <c r="P2272"/>
      <c r="Q2272"/>
      <c r="R2272"/>
      <c r="S2272"/>
      <c r="T2272"/>
      <c r="U2272"/>
      <c r="V2272"/>
      <c r="W2272" s="41"/>
      <c r="X2272" s="41"/>
      <c r="Y2272" s="41"/>
    </row>
    <row r="2273" s="27" customFormat="1" ht="23" hidden="1" customHeight="1" spans="1:25">
      <c r="A2273" s="133" t="str">
        <f>IF(B2273="","",COUNTA($B$5:B2273))</f>
        <v/>
      </c>
      <c r="B2273" s="148"/>
      <c r="C2273" s="22" t="s">
        <v>49</v>
      </c>
      <c r="D2273" s="149"/>
      <c r="E2273" s="150"/>
      <c r="F2273" s="151"/>
      <c r="G2273" s="151"/>
      <c r="H2273" s="142">
        <f>IFERROR(VLOOKUP($C2273,$C$5:$H$18,6,0)+SUMIF($C$19:$C2273,$C2273,$F$19:$F2273)-SUMIF($C$19:$C2273,$C2273,$G$19:$G2273),"")</f>
        <v>81211.819999998</v>
      </c>
      <c r="I2273" s="147"/>
      <c r="J2273" s="147"/>
      <c r="K2273" s="147" t="str">
        <f t="shared" si="35"/>
        <v/>
      </c>
      <c r="L2273" s="40"/>
      <c r="M2273"/>
      <c r="N2273"/>
      <c r="O2273"/>
      <c r="P2273"/>
      <c r="Q2273"/>
      <c r="R2273"/>
      <c r="S2273"/>
      <c r="T2273"/>
      <c r="U2273"/>
      <c r="V2273"/>
      <c r="W2273" s="41"/>
      <c r="X2273" s="41"/>
      <c r="Y2273" s="41"/>
    </row>
    <row r="2274" s="27" customFormat="1" ht="23" hidden="1" customHeight="1" spans="1:25">
      <c r="A2274" s="133" t="str">
        <f>IF(B2274="","",COUNTA($B$5:B2274))</f>
        <v/>
      </c>
      <c r="B2274" s="148"/>
      <c r="C2274" s="22" t="s">
        <v>49</v>
      </c>
      <c r="D2274" s="149"/>
      <c r="E2274" s="150"/>
      <c r="F2274" s="151"/>
      <c r="G2274" s="151"/>
      <c r="H2274" s="142">
        <f>IFERROR(VLOOKUP($C2274,$C$5:$H$18,6,0)+SUMIF($C$19:$C2274,$C2274,$F$19:$F2274)-SUMIF($C$19:$C2274,$C2274,$G$19:$G2274),"")</f>
        <v>81211.819999998</v>
      </c>
      <c r="I2274" s="147"/>
      <c r="J2274" s="147"/>
      <c r="K2274" s="147" t="str">
        <f t="shared" si="35"/>
        <v/>
      </c>
      <c r="L2274" s="40"/>
      <c r="M2274"/>
      <c r="N2274"/>
      <c r="O2274"/>
      <c r="P2274"/>
      <c r="Q2274"/>
      <c r="R2274"/>
      <c r="S2274"/>
      <c r="T2274"/>
      <c r="U2274"/>
      <c r="V2274"/>
      <c r="W2274" s="41"/>
      <c r="X2274" s="41"/>
      <c r="Y2274" s="41"/>
    </row>
    <row r="2275" s="27" customFormat="1" ht="23" hidden="1" customHeight="1" spans="1:25">
      <c r="A2275" s="133" t="str">
        <f>IF(B2275="","",COUNTA($B$5:B2275))</f>
        <v/>
      </c>
      <c r="B2275" s="148"/>
      <c r="C2275" s="22" t="s">
        <v>49</v>
      </c>
      <c r="D2275" s="149"/>
      <c r="E2275" s="150"/>
      <c r="F2275" s="151"/>
      <c r="G2275" s="151"/>
      <c r="H2275" s="142">
        <f>IFERROR(VLOOKUP($C2275,$C$5:$H$18,6,0)+SUMIF($C$19:$C2275,$C2275,$F$19:$F2275)-SUMIF($C$19:$C2275,$C2275,$G$19:$G2275),"")</f>
        <v>81211.819999998</v>
      </c>
      <c r="I2275" s="147"/>
      <c r="J2275" s="147"/>
      <c r="K2275" s="147" t="str">
        <f t="shared" si="35"/>
        <v/>
      </c>
      <c r="L2275" s="40"/>
      <c r="M2275"/>
      <c r="N2275"/>
      <c r="O2275"/>
      <c r="P2275"/>
      <c r="Q2275"/>
      <c r="R2275"/>
      <c r="S2275"/>
      <c r="T2275"/>
      <c r="U2275"/>
      <c r="V2275"/>
      <c r="W2275" s="41"/>
      <c r="X2275" s="41"/>
      <c r="Y2275" s="41"/>
    </row>
    <row r="2276" s="27" customFormat="1" ht="23" hidden="1" customHeight="1" spans="1:25">
      <c r="A2276" s="133" t="str">
        <f>IF(B2276="","",COUNTA($B$5:B2276))</f>
        <v/>
      </c>
      <c r="B2276" s="148"/>
      <c r="C2276" s="22" t="s">
        <v>49</v>
      </c>
      <c r="D2276" s="149"/>
      <c r="E2276" s="150"/>
      <c r="F2276" s="151"/>
      <c r="G2276" s="151"/>
      <c r="H2276" s="142">
        <f>IFERROR(VLOOKUP($C2276,$C$5:$H$18,6,0)+SUMIF($C$19:$C2276,$C2276,$F$19:$F2276)-SUMIF($C$19:$C2276,$C2276,$G$19:$G2276),"")</f>
        <v>81211.819999998</v>
      </c>
      <c r="I2276" s="147"/>
      <c r="J2276" s="147"/>
      <c r="K2276" s="147" t="str">
        <f t="shared" si="35"/>
        <v/>
      </c>
      <c r="L2276" s="40"/>
      <c r="M2276"/>
      <c r="N2276"/>
      <c r="O2276"/>
      <c r="P2276"/>
      <c r="Q2276"/>
      <c r="R2276"/>
      <c r="S2276"/>
      <c r="T2276"/>
      <c r="U2276"/>
      <c r="V2276"/>
      <c r="W2276" s="41"/>
      <c r="X2276" s="41"/>
      <c r="Y2276" s="41"/>
    </row>
    <row r="2277" s="27" customFormat="1" ht="23" hidden="1" customHeight="1" spans="1:25">
      <c r="A2277" s="133" t="str">
        <f>IF(B2277="","",COUNTA($B$5:B2277))</f>
        <v/>
      </c>
      <c r="B2277" s="148"/>
      <c r="C2277" s="22" t="s">
        <v>49</v>
      </c>
      <c r="D2277" s="149"/>
      <c r="E2277" s="150"/>
      <c r="F2277" s="151"/>
      <c r="G2277" s="151"/>
      <c r="H2277" s="142">
        <f>IFERROR(VLOOKUP($C2277,$C$5:$H$18,6,0)+SUMIF($C$19:$C2277,$C2277,$F$19:$F2277)-SUMIF($C$19:$C2277,$C2277,$G$19:$G2277),"")</f>
        <v>81211.819999998</v>
      </c>
      <c r="I2277" s="147"/>
      <c r="J2277" s="147"/>
      <c r="K2277" s="147" t="str">
        <f t="shared" si="35"/>
        <v/>
      </c>
      <c r="L2277" s="40"/>
      <c r="M2277"/>
      <c r="N2277"/>
      <c r="O2277"/>
      <c r="P2277"/>
      <c r="Q2277"/>
      <c r="R2277"/>
      <c r="S2277"/>
      <c r="T2277"/>
      <c r="U2277"/>
      <c r="V2277"/>
      <c r="W2277" s="41"/>
      <c r="X2277" s="41"/>
      <c r="Y2277" s="41"/>
    </row>
    <row r="2278" s="27" customFormat="1" ht="23" hidden="1" customHeight="1" spans="1:25">
      <c r="A2278" s="133" t="str">
        <f>IF(B2278="","",COUNTA($B$5:B2278))</f>
        <v/>
      </c>
      <c r="B2278" s="148"/>
      <c r="C2278" s="22" t="s">
        <v>49</v>
      </c>
      <c r="D2278" s="149"/>
      <c r="E2278" s="150"/>
      <c r="F2278" s="151"/>
      <c r="G2278" s="151"/>
      <c r="H2278" s="142">
        <f>IFERROR(VLOOKUP($C2278,$C$5:$H$18,6,0)+SUMIF($C$19:$C2278,$C2278,$F$19:$F2278)-SUMIF($C$19:$C2278,$C2278,$G$19:$G2278),"")</f>
        <v>81211.819999998</v>
      </c>
      <c r="I2278" s="147"/>
      <c r="J2278" s="147"/>
      <c r="K2278" s="147" t="str">
        <f t="shared" si="35"/>
        <v/>
      </c>
      <c r="L2278" s="40"/>
      <c r="M2278"/>
      <c r="N2278"/>
      <c r="O2278"/>
      <c r="P2278"/>
      <c r="Q2278"/>
      <c r="R2278"/>
      <c r="S2278"/>
      <c r="T2278"/>
      <c r="U2278"/>
      <c r="V2278"/>
      <c r="W2278" s="41"/>
      <c r="X2278" s="41"/>
      <c r="Y2278" s="41"/>
    </row>
    <row r="2279" s="27" customFormat="1" ht="23" hidden="1" customHeight="1" spans="1:25">
      <c r="A2279" s="133" t="str">
        <f>IF(B2279="","",COUNTA($B$5:B2279))</f>
        <v/>
      </c>
      <c r="B2279" s="148"/>
      <c r="C2279" s="22" t="s">
        <v>49</v>
      </c>
      <c r="D2279" s="149"/>
      <c r="E2279" s="150"/>
      <c r="F2279" s="151"/>
      <c r="G2279" s="151"/>
      <c r="H2279" s="142">
        <f>IFERROR(VLOOKUP($C2279,$C$5:$H$18,6,0)+SUMIF($C$19:$C2279,$C2279,$F$19:$F2279)-SUMIF($C$19:$C2279,$C2279,$G$19:$G2279),"")</f>
        <v>81211.819999998</v>
      </c>
      <c r="I2279" s="147"/>
      <c r="J2279" s="147"/>
      <c r="K2279" s="147" t="str">
        <f t="shared" si="35"/>
        <v/>
      </c>
      <c r="L2279" s="40"/>
      <c r="M2279"/>
      <c r="N2279"/>
      <c r="O2279"/>
      <c r="P2279"/>
      <c r="Q2279"/>
      <c r="R2279"/>
      <c r="S2279"/>
      <c r="T2279"/>
      <c r="U2279"/>
      <c r="V2279"/>
      <c r="W2279" s="41"/>
      <c r="X2279" s="41"/>
      <c r="Y2279" s="41"/>
    </row>
    <row r="2280" s="27" customFormat="1" ht="23" hidden="1" customHeight="1" spans="1:25">
      <c r="A2280" s="133" t="str">
        <f>IF(B2280="","",COUNTA($B$5:B2280))</f>
        <v/>
      </c>
      <c r="B2280" s="148"/>
      <c r="C2280" s="22" t="s">
        <v>49</v>
      </c>
      <c r="D2280" s="149"/>
      <c r="E2280" s="150"/>
      <c r="F2280" s="151"/>
      <c r="G2280" s="151"/>
      <c r="H2280" s="142">
        <f>IFERROR(VLOOKUP($C2280,$C$5:$H$18,6,0)+SUMIF($C$19:$C2280,$C2280,$F$19:$F2280)-SUMIF($C$19:$C2280,$C2280,$G$19:$G2280),"")</f>
        <v>81211.819999998</v>
      </c>
      <c r="I2280" s="147"/>
      <c r="J2280" s="147"/>
      <c r="K2280" s="147" t="str">
        <f t="shared" si="35"/>
        <v/>
      </c>
      <c r="L2280" s="40"/>
      <c r="M2280"/>
      <c r="N2280"/>
      <c r="O2280"/>
      <c r="P2280"/>
      <c r="Q2280"/>
      <c r="R2280"/>
      <c r="S2280"/>
      <c r="T2280"/>
      <c r="U2280"/>
      <c r="V2280"/>
      <c r="W2280" s="41"/>
      <c r="X2280" s="41"/>
      <c r="Y2280" s="41"/>
    </row>
    <row r="2281" s="27" customFormat="1" ht="23" hidden="1" customHeight="1" spans="1:25">
      <c r="A2281" s="133" t="str">
        <f>IF(B2281="","",COUNTA($B$5:B2281))</f>
        <v/>
      </c>
      <c r="B2281" s="148"/>
      <c r="C2281" s="22" t="s">
        <v>49</v>
      </c>
      <c r="D2281" s="149"/>
      <c r="E2281" s="150"/>
      <c r="F2281" s="151"/>
      <c r="G2281" s="151"/>
      <c r="H2281" s="142">
        <f>IFERROR(VLOOKUP($C2281,$C$5:$H$18,6,0)+SUMIF($C$19:$C2281,$C2281,$F$19:$F2281)-SUMIF($C$19:$C2281,$C2281,$G$19:$G2281),"")</f>
        <v>81211.819999998</v>
      </c>
      <c r="I2281" s="147"/>
      <c r="J2281" s="147"/>
      <c r="K2281" s="147" t="str">
        <f t="shared" si="35"/>
        <v/>
      </c>
      <c r="L2281" s="40"/>
      <c r="M2281"/>
      <c r="N2281"/>
      <c r="O2281"/>
      <c r="P2281"/>
      <c r="Q2281"/>
      <c r="R2281"/>
      <c r="S2281"/>
      <c r="T2281"/>
      <c r="U2281"/>
      <c r="V2281"/>
      <c r="W2281" s="41"/>
      <c r="X2281" s="41"/>
      <c r="Y2281" s="41"/>
    </row>
    <row r="2282" s="27" customFormat="1" ht="23" hidden="1" customHeight="1" spans="1:25">
      <c r="A2282" s="133" t="str">
        <f>IF(B2282="","",COUNTA($B$5:B2282))</f>
        <v/>
      </c>
      <c r="B2282" s="148"/>
      <c r="C2282" s="22" t="s">
        <v>49</v>
      </c>
      <c r="D2282" s="149"/>
      <c r="E2282" s="150"/>
      <c r="F2282" s="151"/>
      <c r="G2282" s="151"/>
      <c r="H2282" s="142">
        <f>IFERROR(VLOOKUP($C2282,$C$5:$H$18,6,0)+SUMIF($C$19:$C2282,$C2282,$F$19:$F2282)-SUMIF($C$19:$C2282,$C2282,$G$19:$G2282),"")</f>
        <v>81211.819999998</v>
      </c>
      <c r="I2282" s="147"/>
      <c r="J2282" s="147"/>
      <c r="K2282" s="147" t="str">
        <f t="shared" si="35"/>
        <v/>
      </c>
      <c r="L2282" s="40"/>
      <c r="M2282"/>
      <c r="N2282"/>
      <c r="O2282"/>
      <c r="P2282"/>
      <c r="Q2282"/>
      <c r="R2282"/>
      <c r="S2282"/>
      <c r="T2282"/>
      <c r="U2282"/>
      <c r="V2282"/>
      <c r="W2282" s="41"/>
      <c r="X2282" s="41"/>
      <c r="Y2282" s="41"/>
    </row>
    <row r="2283" s="27" customFormat="1" ht="23" hidden="1" customHeight="1" spans="1:25">
      <c r="A2283" s="133" t="str">
        <f>IF(B2283="","",COUNTA($B$5:B2283))</f>
        <v/>
      </c>
      <c r="B2283" s="148"/>
      <c r="C2283" s="22" t="s">
        <v>49</v>
      </c>
      <c r="D2283" s="149"/>
      <c r="E2283" s="150"/>
      <c r="F2283" s="151"/>
      <c r="G2283" s="151"/>
      <c r="H2283" s="142">
        <f>IFERROR(VLOOKUP($C2283,$C$5:$H$18,6,0)+SUMIF($C$19:$C2283,$C2283,$F$19:$F2283)-SUMIF($C$19:$C2283,$C2283,$G$19:$G2283),"")</f>
        <v>81211.819999998</v>
      </c>
      <c r="I2283" s="147"/>
      <c r="J2283" s="147"/>
      <c r="K2283" s="147" t="str">
        <f t="shared" si="35"/>
        <v/>
      </c>
      <c r="L2283" s="40"/>
      <c r="M2283"/>
      <c r="N2283"/>
      <c r="O2283"/>
      <c r="P2283"/>
      <c r="Q2283"/>
      <c r="R2283"/>
      <c r="S2283"/>
      <c r="T2283"/>
      <c r="U2283"/>
      <c r="V2283"/>
      <c r="W2283" s="41"/>
      <c r="X2283" s="41"/>
      <c r="Y2283" s="41"/>
    </row>
    <row r="2284" s="27" customFormat="1" ht="23" hidden="1" customHeight="1" spans="1:25">
      <c r="A2284" s="133" t="str">
        <f>IF(B2284="","",COUNTA($B$5:B2284))</f>
        <v/>
      </c>
      <c r="B2284" s="148"/>
      <c r="C2284" s="22" t="s">
        <v>49</v>
      </c>
      <c r="D2284" s="149"/>
      <c r="E2284" s="150"/>
      <c r="F2284" s="151"/>
      <c r="G2284" s="151"/>
      <c r="H2284" s="142">
        <f>IFERROR(VLOOKUP($C2284,$C$5:$H$18,6,0)+SUMIF($C$19:$C2284,$C2284,$F$19:$F2284)-SUMIF($C$19:$C2284,$C2284,$G$19:$G2284),"")</f>
        <v>81211.819999998</v>
      </c>
      <c r="I2284" s="147"/>
      <c r="J2284" s="147"/>
      <c r="K2284" s="147" t="str">
        <f t="shared" si="35"/>
        <v/>
      </c>
      <c r="L2284" s="40"/>
      <c r="M2284"/>
      <c r="N2284"/>
      <c r="O2284"/>
      <c r="P2284"/>
      <c r="Q2284"/>
      <c r="R2284"/>
      <c r="S2284"/>
      <c r="T2284"/>
      <c r="U2284"/>
      <c r="V2284"/>
      <c r="W2284" s="41"/>
      <c r="X2284" s="41"/>
      <c r="Y2284" s="41"/>
    </row>
    <row r="2285" s="27" customFormat="1" ht="23" hidden="1" customHeight="1" spans="1:25">
      <c r="A2285" s="133" t="str">
        <f>IF(B2285="","",COUNTA($B$5:B2285))</f>
        <v/>
      </c>
      <c r="B2285" s="148"/>
      <c r="C2285" s="22" t="s">
        <v>49</v>
      </c>
      <c r="D2285" s="149"/>
      <c r="E2285" s="150"/>
      <c r="F2285" s="151"/>
      <c r="G2285" s="151"/>
      <c r="H2285" s="142">
        <f>IFERROR(VLOOKUP($C2285,$C$5:$H$18,6,0)+SUMIF($C$19:$C2285,$C2285,$F$19:$F2285)-SUMIF($C$19:$C2285,$C2285,$G$19:$G2285),"")</f>
        <v>81211.819999998</v>
      </c>
      <c r="I2285" s="147"/>
      <c r="J2285" s="147"/>
      <c r="K2285" s="147" t="str">
        <f t="shared" si="35"/>
        <v/>
      </c>
      <c r="L2285" s="40"/>
      <c r="M2285"/>
      <c r="N2285"/>
      <c r="O2285"/>
      <c r="P2285"/>
      <c r="Q2285"/>
      <c r="R2285"/>
      <c r="S2285"/>
      <c r="T2285"/>
      <c r="U2285"/>
      <c r="V2285"/>
      <c r="W2285" s="41"/>
      <c r="X2285" s="41"/>
      <c r="Y2285" s="41"/>
    </row>
    <row r="2286" s="27" customFormat="1" ht="23" hidden="1" customHeight="1" spans="1:25">
      <c r="A2286" s="133" t="str">
        <f>IF(B2286="","",COUNTA($B$5:B2286))</f>
        <v/>
      </c>
      <c r="B2286" s="148"/>
      <c r="C2286" s="22" t="s">
        <v>49</v>
      </c>
      <c r="D2286" s="149"/>
      <c r="E2286" s="150"/>
      <c r="F2286" s="151"/>
      <c r="G2286" s="151"/>
      <c r="H2286" s="142">
        <f>IFERROR(VLOOKUP($C2286,$C$5:$H$18,6,0)+SUMIF($C$19:$C2286,$C2286,$F$19:$F2286)-SUMIF($C$19:$C2286,$C2286,$G$19:$G2286),"")</f>
        <v>81211.819999998</v>
      </c>
      <c r="I2286" s="147"/>
      <c r="J2286" s="147"/>
      <c r="K2286" s="147" t="str">
        <f t="shared" si="35"/>
        <v/>
      </c>
      <c r="L2286" s="40"/>
      <c r="M2286"/>
      <c r="N2286"/>
      <c r="O2286"/>
      <c r="P2286"/>
      <c r="Q2286"/>
      <c r="R2286"/>
      <c r="S2286"/>
      <c r="T2286"/>
      <c r="U2286"/>
      <c r="V2286"/>
      <c r="W2286" s="41"/>
      <c r="X2286" s="41"/>
      <c r="Y2286" s="41"/>
    </row>
    <row r="2287" s="27" customFormat="1" ht="23" hidden="1" customHeight="1" spans="1:25">
      <c r="A2287" s="133" t="str">
        <f>IF(B2287="","",COUNTA($B$5:B2287))</f>
        <v/>
      </c>
      <c r="B2287" s="148"/>
      <c r="C2287" s="22" t="s">
        <v>49</v>
      </c>
      <c r="D2287" s="149"/>
      <c r="E2287" s="150"/>
      <c r="F2287" s="151"/>
      <c r="G2287" s="151"/>
      <c r="H2287" s="142">
        <f>IFERROR(VLOOKUP($C2287,$C$5:$H$18,6,0)+SUMIF($C$19:$C2287,$C2287,$F$19:$F2287)-SUMIF($C$19:$C2287,$C2287,$G$19:$G2287),"")</f>
        <v>81211.819999998</v>
      </c>
      <c r="I2287" s="147"/>
      <c r="J2287" s="147"/>
      <c r="K2287" s="147" t="str">
        <f t="shared" si="35"/>
        <v/>
      </c>
      <c r="L2287" s="40"/>
      <c r="M2287"/>
      <c r="N2287"/>
      <c r="O2287"/>
      <c r="P2287"/>
      <c r="Q2287"/>
      <c r="R2287"/>
      <c r="S2287"/>
      <c r="T2287"/>
      <c r="U2287"/>
      <c r="V2287"/>
      <c r="W2287" s="41"/>
      <c r="X2287" s="41"/>
      <c r="Y2287" s="41"/>
    </row>
    <row r="2288" s="27" customFormat="1" ht="23" hidden="1" customHeight="1" spans="1:25">
      <c r="A2288" s="133" t="str">
        <f>IF(B2288="","",COUNTA($B$5:B2288))</f>
        <v/>
      </c>
      <c r="B2288" s="148"/>
      <c r="C2288" s="22" t="s">
        <v>49</v>
      </c>
      <c r="D2288" s="149"/>
      <c r="E2288" s="150"/>
      <c r="F2288" s="151"/>
      <c r="G2288" s="151"/>
      <c r="H2288" s="142">
        <f>IFERROR(VLOOKUP($C2288,$C$5:$H$18,6,0)+SUMIF($C$19:$C2288,$C2288,$F$19:$F2288)-SUMIF($C$19:$C2288,$C2288,$G$19:$G2288),"")</f>
        <v>81211.819999998</v>
      </c>
      <c r="I2288" s="147"/>
      <c r="J2288" s="147"/>
      <c r="K2288" s="147" t="str">
        <f t="shared" si="35"/>
        <v/>
      </c>
      <c r="L2288" s="40"/>
      <c r="M2288"/>
      <c r="N2288"/>
      <c r="O2288"/>
      <c r="P2288"/>
      <c r="Q2288"/>
      <c r="R2288"/>
      <c r="S2288"/>
      <c r="T2288"/>
      <c r="U2288"/>
      <c r="V2288"/>
      <c r="W2288" s="41"/>
      <c r="X2288" s="41"/>
      <c r="Y2288" s="41"/>
    </row>
    <row r="2289" s="27" customFormat="1" ht="23" hidden="1" customHeight="1" spans="1:25">
      <c r="A2289" s="133" t="str">
        <f>IF(B2289="","",COUNTA($B$5:B2289))</f>
        <v/>
      </c>
      <c r="B2289" s="148"/>
      <c r="C2289" s="22" t="s">
        <v>49</v>
      </c>
      <c r="D2289" s="149"/>
      <c r="E2289" s="150"/>
      <c r="F2289" s="151"/>
      <c r="G2289" s="151"/>
      <c r="H2289" s="142">
        <f>IFERROR(VLOOKUP($C2289,$C$5:$H$18,6,0)+SUMIF($C$19:$C2289,$C2289,$F$19:$F2289)-SUMIF($C$19:$C2289,$C2289,$G$19:$G2289),"")</f>
        <v>81211.819999998</v>
      </c>
      <c r="I2289" s="147"/>
      <c r="J2289" s="147"/>
      <c r="K2289" s="147" t="str">
        <f t="shared" si="35"/>
        <v/>
      </c>
      <c r="L2289" s="40"/>
      <c r="M2289"/>
      <c r="N2289"/>
      <c r="O2289"/>
      <c r="P2289"/>
      <c r="Q2289"/>
      <c r="R2289"/>
      <c r="S2289"/>
      <c r="T2289"/>
      <c r="U2289"/>
      <c r="V2289"/>
      <c r="W2289" s="41"/>
      <c r="X2289" s="41"/>
      <c r="Y2289" s="41"/>
    </row>
    <row r="2290" s="27" customFormat="1" ht="23" hidden="1" customHeight="1" spans="1:25">
      <c r="A2290" s="133" t="str">
        <f>IF(B2290="","",COUNTA($B$5:B2290))</f>
        <v/>
      </c>
      <c r="B2290" s="148"/>
      <c r="C2290" s="22" t="s">
        <v>49</v>
      </c>
      <c r="D2290" s="149"/>
      <c r="E2290" s="150"/>
      <c r="F2290" s="151"/>
      <c r="G2290" s="151"/>
      <c r="H2290" s="142">
        <f>IFERROR(VLOOKUP($C2290,$C$5:$H$18,6,0)+SUMIF($C$19:$C2290,$C2290,$F$19:$F2290)-SUMIF($C$19:$C2290,$C2290,$G$19:$G2290),"")</f>
        <v>81211.819999998</v>
      </c>
      <c r="I2290" s="147"/>
      <c r="J2290" s="147"/>
      <c r="K2290" s="147" t="str">
        <f t="shared" si="35"/>
        <v/>
      </c>
      <c r="L2290" s="40"/>
      <c r="M2290"/>
      <c r="N2290"/>
      <c r="O2290"/>
      <c r="P2290"/>
      <c r="Q2290"/>
      <c r="R2290"/>
      <c r="S2290"/>
      <c r="T2290"/>
      <c r="U2290"/>
      <c r="V2290"/>
      <c r="W2290" s="41"/>
      <c r="X2290" s="41"/>
      <c r="Y2290" s="41"/>
    </row>
    <row r="2291" s="27" customFormat="1" ht="23" hidden="1" customHeight="1" spans="1:25">
      <c r="A2291" s="133" t="str">
        <f>IF(B2291="","",COUNTA($B$5:B2291))</f>
        <v/>
      </c>
      <c r="B2291" s="148"/>
      <c r="C2291" s="22" t="s">
        <v>49</v>
      </c>
      <c r="D2291" s="149"/>
      <c r="E2291" s="150"/>
      <c r="F2291" s="151"/>
      <c r="G2291" s="151"/>
      <c r="H2291" s="142">
        <f>IFERROR(VLOOKUP($C2291,$C$5:$H$18,6,0)+SUMIF($C$19:$C2291,$C2291,$F$19:$F2291)-SUMIF($C$19:$C2291,$C2291,$G$19:$G2291),"")</f>
        <v>81211.819999998</v>
      </c>
      <c r="I2291" s="147"/>
      <c r="J2291" s="147"/>
      <c r="K2291" s="147" t="str">
        <f t="shared" si="35"/>
        <v/>
      </c>
      <c r="L2291" s="40"/>
      <c r="M2291"/>
      <c r="N2291"/>
      <c r="O2291"/>
      <c r="P2291"/>
      <c r="Q2291"/>
      <c r="R2291"/>
      <c r="S2291"/>
      <c r="T2291"/>
      <c r="U2291"/>
      <c r="V2291"/>
      <c r="W2291" s="41"/>
      <c r="X2291" s="41"/>
      <c r="Y2291" s="41"/>
    </row>
    <row r="2292" s="27" customFormat="1" ht="23" hidden="1" customHeight="1" spans="1:25">
      <c r="A2292" s="133" t="str">
        <f>IF(B2292="","",COUNTA($B$5:B2292))</f>
        <v/>
      </c>
      <c r="B2292" s="148"/>
      <c r="C2292" s="22" t="s">
        <v>49</v>
      </c>
      <c r="D2292" s="149"/>
      <c r="E2292" s="150"/>
      <c r="F2292" s="151"/>
      <c r="G2292" s="151"/>
      <c r="H2292" s="142">
        <f>IFERROR(VLOOKUP($C2292,$C$5:$H$18,6,0)+SUMIF($C$19:$C2292,$C2292,$F$19:$F2292)-SUMIF($C$19:$C2292,$C2292,$G$19:$G2292),"")</f>
        <v>81211.819999998</v>
      </c>
      <c r="I2292" s="147"/>
      <c r="J2292" s="147"/>
      <c r="K2292" s="147" t="str">
        <f t="shared" si="35"/>
        <v/>
      </c>
      <c r="L2292" s="40"/>
      <c r="M2292"/>
      <c r="N2292"/>
      <c r="O2292"/>
      <c r="P2292"/>
      <c r="Q2292"/>
      <c r="R2292"/>
      <c r="S2292"/>
      <c r="T2292"/>
      <c r="U2292"/>
      <c r="V2292"/>
      <c r="W2292" s="41"/>
      <c r="X2292" s="41"/>
      <c r="Y2292" s="41"/>
    </row>
    <row r="2293" s="27" customFormat="1" ht="23" hidden="1" customHeight="1" spans="1:25">
      <c r="A2293" s="133" t="str">
        <f>IF(B2293="","",COUNTA($B$5:B2293))</f>
        <v/>
      </c>
      <c r="B2293" s="148"/>
      <c r="C2293" s="22" t="s">
        <v>49</v>
      </c>
      <c r="D2293" s="149"/>
      <c r="E2293" s="150"/>
      <c r="F2293" s="151"/>
      <c r="G2293" s="151"/>
      <c r="H2293" s="142">
        <f>IFERROR(VLOOKUP($C2293,$C$5:$H$18,6,0)+SUMIF($C$19:$C2293,$C2293,$F$19:$F2293)-SUMIF($C$19:$C2293,$C2293,$G$19:$G2293),"")</f>
        <v>81211.819999998</v>
      </c>
      <c r="I2293" s="147"/>
      <c r="J2293" s="147"/>
      <c r="K2293" s="147" t="str">
        <f t="shared" si="35"/>
        <v/>
      </c>
      <c r="L2293" s="40"/>
      <c r="M2293"/>
      <c r="N2293"/>
      <c r="O2293"/>
      <c r="P2293"/>
      <c r="Q2293"/>
      <c r="R2293"/>
      <c r="S2293"/>
      <c r="T2293"/>
      <c r="U2293"/>
      <c r="V2293"/>
      <c r="W2293" s="41"/>
      <c r="X2293" s="41"/>
      <c r="Y2293" s="41"/>
    </row>
    <row r="2294" s="27" customFormat="1" ht="23" hidden="1" customHeight="1" spans="1:25">
      <c r="A2294" s="133" t="str">
        <f>IF(B2294="","",COUNTA($B$5:B2294))</f>
        <v/>
      </c>
      <c r="B2294" s="148"/>
      <c r="C2294" s="22" t="s">
        <v>49</v>
      </c>
      <c r="D2294" s="149"/>
      <c r="E2294" s="150"/>
      <c r="F2294" s="151"/>
      <c r="G2294" s="151"/>
      <c r="H2294" s="142">
        <f>IFERROR(VLOOKUP($C2294,$C$5:$H$18,6,0)+SUMIF($C$19:$C2294,$C2294,$F$19:$F2294)-SUMIF($C$19:$C2294,$C2294,$G$19:$G2294),"")</f>
        <v>81211.819999998</v>
      </c>
      <c r="I2294" s="147"/>
      <c r="J2294" s="147"/>
      <c r="K2294" s="147" t="str">
        <f t="shared" si="35"/>
        <v/>
      </c>
      <c r="L2294" s="40"/>
      <c r="M2294"/>
      <c r="N2294"/>
      <c r="O2294"/>
      <c r="P2294"/>
      <c r="Q2294"/>
      <c r="R2294"/>
      <c r="S2294"/>
      <c r="T2294"/>
      <c r="U2294"/>
      <c r="V2294"/>
      <c r="W2294" s="41"/>
      <c r="X2294" s="41"/>
      <c r="Y2294" s="41"/>
    </row>
    <row r="2295" s="27" customFormat="1" ht="23" hidden="1" customHeight="1" spans="1:25">
      <c r="A2295" s="133" t="str">
        <f>IF(B2295="","",COUNTA($B$5:B2295))</f>
        <v/>
      </c>
      <c r="B2295" s="148"/>
      <c r="C2295" s="22" t="s">
        <v>49</v>
      </c>
      <c r="D2295" s="149"/>
      <c r="E2295" s="150"/>
      <c r="F2295" s="151"/>
      <c r="G2295" s="151"/>
      <c r="H2295" s="142">
        <f>IFERROR(VLOOKUP($C2295,$C$5:$H$18,6,0)+SUMIF($C$19:$C2295,$C2295,$F$19:$F2295)-SUMIF($C$19:$C2295,$C2295,$G$19:$G2295),"")</f>
        <v>81211.819999998</v>
      </c>
      <c r="I2295" s="147"/>
      <c r="J2295" s="147"/>
      <c r="K2295" s="147" t="str">
        <f t="shared" si="35"/>
        <v/>
      </c>
      <c r="L2295" s="40"/>
      <c r="M2295"/>
      <c r="N2295"/>
      <c r="O2295"/>
      <c r="P2295"/>
      <c r="Q2295"/>
      <c r="R2295"/>
      <c r="S2295"/>
      <c r="T2295"/>
      <c r="U2295"/>
      <c r="V2295"/>
      <c r="W2295" s="41"/>
      <c r="X2295" s="41"/>
      <c r="Y2295" s="41"/>
    </row>
    <row r="2296" s="27" customFormat="1" ht="23" hidden="1" customHeight="1" spans="1:25">
      <c r="A2296" s="133" t="str">
        <f>IF(B2296="","",COUNTA($B$5:B2296))</f>
        <v/>
      </c>
      <c r="B2296" s="148"/>
      <c r="C2296" s="22" t="s">
        <v>49</v>
      </c>
      <c r="D2296" s="149"/>
      <c r="E2296" s="150"/>
      <c r="F2296" s="151"/>
      <c r="G2296" s="151"/>
      <c r="H2296" s="142">
        <f>IFERROR(VLOOKUP($C2296,$C$5:$H$18,6,0)+SUMIF($C$19:$C2296,$C2296,$F$19:$F2296)-SUMIF($C$19:$C2296,$C2296,$G$19:$G2296),"")</f>
        <v>81211.819999998</v>
      </c>
      <c r="I2296" s="147"/>
      <c r="J2296" s="147"/>
      <c r="K2296" s="147" t="str">
        <f t="shared" si="35"/>
        <v/>
      </c>
      <c r="L2296" s="40"/>
      <c r="M2296"/>
      <c r="N2296"/>
      <c r="O2296"/>
      <c r="P2296"/>
      <c r="Q2296"/>
      <c r="R2296"/>
      <c r="S2296"/>
      <c r="T2296"/>
      <c r="U2296"/>
      <c r="V2296"/>
      <c r="W2296" s="41"/>
      <c r="X2296" s="41"/>
      <c r="Y2296" s="41"/>
    </row>
    <row r="2297" s="27" customFormat="1" ht="23" hidden="1" customHeight="1" spans="1:25">
      <c r="A2297" s="133" t="str">
        <f>IF(B2297="","",COUNTA($B$5:B2297))</f>
        <v/>
      </c>
      <c r="B2297" s="148"/>
      <c r="C2297" s="22" t="s">
        <v>49</v>
      </c>
      <c r="D2297" s="149"/>
      <c r="E2297" s="150"/>
      <c r="F2297" s="151"/>
      <c r="G2297" s="151"/>
      <c r="H2297" s="142">
        <f>IFERROR(VLOOKUP($C2297,$C$5:$H$18,6,0)+SUMIF($C$19:$C2297,$C2297,$F$19:$F2297)-SUMIF($C$19:$C2297,$C2297,$G$19:$G2297),"")</f>
        <v>81211.819999998</v>
      </c>
      <c r="I2297" s="147"/>
      <c r="J2297" s="147"/>
      <c r="K2297" s="147" t="str">
        <f t="shared" si="35"/>
        <v/>
      </c>
      <c r="L2297" s="40"/>
      <c r="M2297"/>
      <c r="N2297"/>
      <c r="O2297"/>
      <c r="P2297"/>
      <c r="Q2297"/>
      <c r="R2297"/>
      <c r="S2297"/>
      <c r="T2297"/>
      <c r="U2297"/>
      <c r="V2297"/>
      <c r="W2297" s="41"/>
      <c r="X2297" s="41"/>
      <c r="Y2297" s="41"/>
    </row>
    <row r="2298" s="27" customFormat="1" ht="23" hidden="1" customHeight="1" spans="1:25">
      <c r="A2298" s="133" t="str">
        <f>IF(B2298="","",COUNTA($B$5:B2298))</f>
        <v/>
      </c>
      <c r="B2298" s="148"/>
      <c r="C2298" s="22" t="s">
        <v>49</v>
      </c>
      <c r="D2298" s="149"/>
      <c r="E2298" s="150"/>
      <c r="F2298" s="151"/>
      <c r="G2298" s="151"/>
      <c r="H2298" s="142">
        <f>IFERROR(VLOOKUP($C2298,$C$5:$H$18,6,0)+SUMIF($C$19:$C2298,$C2298,$F$19:$F2298)-SUMIF($C$19:$C2298,$C2298,$G$19:$G2298),"")</f>
        <v>81211.819999998</v>
      </c>
      <c r="I2298" s="147"/>
      <c r="J2298" s="147"/>
      <c r="K2298" s="147" t="str">
        <f t="shared" si="35"/>
        <v/>
      </c>
      <c r="L2298" s="40"/>
      <c r="M2298"/>
      <c r="N2298"/>
      <c r="O2298"/>
      <c r="P2298"/>
      <c r="Q2298"/>
      <c r="R2298"/>
      <c r="S2298"/>
      <c r="T2298"/>
      <c r="U2298"/>
      <c r="V2298"/>
      <c r="W2298" s="41"/>
      <c r="X2298" s="41"/>
      <c r="Y2298" s="41"/>
    </row>
    <row r="2299" s="27" customFormat="1" ht="23" hidden="1" customHeight="1" spans="1:25">
      <c r="A2299" s="133" t="str">
        <f>IF(B2299="","",COUNTA($B$5:B2299))</f>
        <v/>
      </c>
      <c r="B2299" s="148"/>
      <c r="C2299" s="22" t="s">
        <v>49</v>
      </c>
      <c r="D2299" s="149"/>
      <c r="E2299" s="150"/>
      <c r="F2299" s="151"/>
      <c r="G2299" s="151"/>
      <c r="H2299" s="142">
        <f>IFERROR(VLOOKUP($C2299,$C$5:$H$18,6,0)+SUMIF($C$19:$C2299,$C2299,$F$19:$F2299)-SUMIF($C$19:$C2299,$C2299,$G$19:$G2299),"")</f>
        <v>81211.819999998</v>
      </c>
      <c r="I2299" s="147"/>
      <c r="J2299" s="147"/>
      <c r="K2299" s="147" t="str">
        <f t="shared" si="35"/>
        <v/>
      </c>
      <c r="L2299" s="40"/>
      <c r="M2299"/>
      <c r="N2299"/>
      <c r="O2299"/>
      <c r="P2299"/>
      <c r="Q2299"/>
      <c r="R2299"/>
      <c r="S2299"/>
      <c r="T2299"/>
      <c r="U2299"/>
      <c r="V2299"/>
      <c r="W2299" s="41"/>
      <c r="X2299" s="41"/>
      <c r="Y2299" s="41"/>
    </row>
    <row r="2300" s="27" customFormat="1" ht="23" hidden="1" customHeight="1" spans="1:25">
      <c r="A2300" s="133" t="str">
        <f>IF(B2300="","",COUNTA($B$5:B2300))</f>
        <v/>
      </c>
      <c r="B2300" s="148"/>
      <c r="C2300" s="22" t="s">
        <v>49</v>
      </c>
      <c r="D2300" s="149"/>
      <c r="E2300" s="150"/>
      <c r="F2300" s="151"/>
      <c r="G2300" s="151"/>
      <c r="H2300" s="142">
        <f>IFERROR(VLOOKUP($C2300,$C$5:$H$18,6,0)+SUMIF($C$19:$C2300,$C2300,$F$19:$F2300)-SUMIF($C$19:$C2300,$C2300,$G$19:$G2300),"")</f>
        <v>81211.819999998</v>
      </c>
      <c r="I2300" s="147"/>
      <c r="J2300" s="147"/>
      <c r="K2300" s="147" t="str">
        <f t="shared" si="35"/>
        <v/>
      </c>
      <c r="L2300" s="40"/>
      <c r="M2300"/>
      <c r="N2300"/>
      <c r="O2300"/>
      <c r="P2300"/>
      <c r="Q2300"/>
      <c r="R2300"/>
      <c r="S2300"/>
      <c r="T2300"/>
      <c r="U2300"/>
      <c r="V2300"/>
      <c r="W2300" s="41"/>
      <c r="X2300" s="41"/>
      <c r="Y2300" s="41"/>
    </row>
    <row r="2301" s="27" customFormat="1" ht="23" hidden="1" customHeight="1" spans="1:25">
      <c r="A2301" s="133" t="str">
        <f>IF(B2301="","",COUNTA($B$5:B2301))</f>
        <v/>
      </c>
      <c r="B2301" s="148"/>
      <c r="C2301" s="22" t="s">
        <v>49</v>
      </c>
      <c r="D2301" s="149"/>
      <c r="E2301" s="150"/>
      <c r="F2301" s="151"/>
      <c r="G2301" s="151"/>
      <c r="H2301" s="142">
        <f>IFERROR(VLOOKUP($C2301,$C$5:$H$18,6,0)+SUMIF($C$19:$C2301,$C2301,$F$19:$F2301)-SUMIF($C$19:$C2301,$C2301,$G$19:$G2301),"")</f>
        <v>81211.819999998</v>
      </c>
      <c r="I2301" s="147"/>
      <c r="J2301" s="147"/>
      <c r="K2301" s="147" t="str">
        <f t="shared" si="35"/>
        <v/>
      </c>
      <c r="L2301" s="40"/>
      <c r="M2301"/>
      <c r="N2301"/>
      <c r="O2301"/>
      <c r="P2301"/>
      <c r="Q2301"/>
      <c r="R2301"/>
      <c r="S2301"/>
      <c r="T2301"/>
      <c r="U2301"/>
      <c r="V2301"/>
      <c r="W2301" s="41"/>
      <c r="X2301" s="41"/>
      <c r="Y2301" s="41"/>
    </row>
    <row r="2302" s="27" customFormat="1" ht="23" hidden="1" customHeight="1" spans="1:25">
      <c r="A2302" s="133" t="str">
        <f>IF(B2302="","",COUNTA($B$5:B2302))</f>
        <v/>
      </c>
      <c r="B2302" s="148"/>
      <c r="C2302" s="22" t="s">
        <v>49</v>
      </c>
      <c r="D2302" s="149"/>
      <c r="E2302" s="150"/>
      <c r="F2302" s="151"/>
      <c r="G2302" s="151"/>
      <c r="H2302" s="142">
        <f>IFERROR(VLOOKUP($C2302,$C$5:$H$18,6,0)+SUMIF($C$19:$C2302,$C2302,$F$19:$F2302)-SUMIF($C$19:$C2302,$C2302,$G$19:$G2302),"")</f>
        <v>81211.819999998</v>
      </c>
      <c r="I2302" s="147"/>
      <c r="J2302" s="147"/>
      <c r="K2302" s="147" t="str">
        <f t="shared" si="35"/>
        <v/>
      </c>
      <c r="L2302" s="40"/>
      <c r="M2302"/>
      <c r="N2302"/>
      <c r="O2302"/>
      <c r="P2302"/>
      <c r="Q2302"/>
      <c r="R2302"/>
      <c r="S2302"/>
      <c r="T2302"/>
      <c r="U2302"/>
      <c r="V2302"/>
      <c r="W2302" s="41"/>
      <c r="X2302" s="41"/>
      <c r="Y2302" s="41"/>
    </row>
    <row r="2303" s="27" customFormat="1" ht="23" hidden="1" customHeight="1" spans="1:25">
      <c r="A2303" s="133" t="str">
        <f>IF(B2303="","",COUNTA($B$5:B2303))</f>
        <v/>
      </c>
      <c r="B2303" s="148"/>
      <c r="C2303" s="22" t="s">
        <v>49</v>
      </c>
      <c r="D2303" s="149"/>
      <c r="E2303" s="150"/>
      <c r="F2303" s="151"/>
      <c r="G2303" s="151"/>
      <c r="H2303" s="142">
        <f>IFERROR(VLOOKUP($C2303,$C$5:$H$18,6,0)+SUMIF($C$19:$C2303,$C2303,$F$19:$F2303)-SUMIF($C$19:$C2303,$C2303,$G$19:$G2303),"")</f>
        <v>81211.819999998</v>
      </c>
      <c r="I2303" s="147"/>
      <c r="J2303" s="147"/>
      <c r="K2303" s="147" t="str">
        <f t="shared" si="35"/>
        <v/>
      </c>
      <c r="L2303" s="40"/>
      <c r="M2303"/>
      <c r="N2303"/>
      <c r="O2303"/>
      <c r="P2303"/>
      <c r="Q2303"/>
      <c r="R2303"/>
      <c r="S2303"/>
      <c r="T2303"/>
      <c r="U2303"/>
      <c r="V2303"/>
      <c r="W2303" s="41"/>
      <c r="X2303" s="41"/>
      <c r="Y2303" s="41"/>
    </row>
    <row r="2304" s="27" customFormat="1" ht="23" hidden="1" customHeight="1" spans="1:25">
      <c r="A2304" s="133" t="str">
        <f>IF(B2304="","",COUNTA($B$5:B2304))</f>
        <v/>
      </c>
      <c r="B2304" s="148"/>
      <c r="C2304" s="22" t="s">
        <v>49</v>
      </c>
      <c r="D2304" s="149"/>
      <c r="E2304" s="150"/>
      <c r="F2304" s="151"/>
      <c r="G2304" s="151"/>
      <c r="H2304" s="142">
        <f>IFERROR(VLOOKUP($C2304,$C$5:$H$18,6,0)+SUMIF($C$19:$C2304,$C2304,$F$19:$F2304)-SUMIF($C$19:$C2304,$C2304,$G$19:$G2304),"")</f>
        <v>81211.819999998</v>
      </c>
      <c r="I2304" s="147"/>
      <c r="J2304" s="147"/>
      <c r="K2304" s="147" t="str">
        <f t="shared" si="35"/>
        <v/>
      </c>
      <c r="L2304" s="40"/>
      <c r="M2304"/>
      <c r="N2304"/>
      <c r="O2304"/>
      <c r="P2304"/>
      <c r="Q2304"/>
      <c r="R2304"/>
      <c r="S2304"/>
      <c r="T2304"/>
      <c r="U2304"/>
      <c r="V2304"/>
      <c r="W2304" s="41"/>
      <c r="X2304" s="41"/>
      <c r="Y2304" s="41"/>
    </row>
    <row r="2305" s="27" customFormat="1" ht="23" hidden="1" customHeight="1" spans="1:25">
      <c r="A2305" s="133" t="str">
        <f>IF(B2305="","",COUNTA($B$5:B2305))</f>
        <v/>
      </c>
      <c r="B2305" s="148"/>
      <c r="C2305" s="22" t="s">
        <v>49</v>
      </c>
      <c r="D2305" s="149"/>
      <c r="E2305" s="150"/>
      <c r="F2305" s="151"/>
      <c r="G2305" s="151"/>
      <c r="H2305" s="142">
        <f>IFERROR(VLOOKUP($C2305,$C$5:$H$18,6,0)+SUMIF($C$19:$C2305,$C2305,$F$19:$F2305)-SUMIF($C$19:$C2305,$C2305,$G$19:$G2305),"")</f>
        <v>81211.819999998</v>
      </c>
      <c r="I2305" s="147"/>
      <c r="J2305" s="147"/>
      <c r="K2305" s="147" t="str">
        <f t="shared" si="35"/>
        <v/>
      </c>
      <c r="L2305" s="40"/>
      <c r="M2305"/>
      <c r="N2305"/>
      <c r="O2305"/>
      <c r="P2305"/>
      <c r="Q2305"/>
      <c r="R2305"/>
      <c r="S2305"/>
      <c r="T2305"/>
      <c r="U2305"/>
      <c r="V2305"/>
      <c r="W2305" s="41"/>
      <c r="X2305" s="41"/>
      <c r="Y2305" s="41"/>
    </row>
    <row r="2306" s="27" customFormat="1" ht="23" hidden="1" customHeight="1" spans="1:25">
      <c r="A2306" s="133" t="str">
        <f>IF(B2306="","",COUNTA($B$5:B2306))</f>
        <v/>
      </c>
      <c r="B2306" s="148"/>
      <c r="C2306" s="22" t="s">
        <v>49</v>
      </c>
      <c r="D2306" s="149"/>
      <c r="E2306" s="150"/>
      <c r="F2306" s="151"/>
      <c r="G2306" s="151"/>
      <c r="H2306" s="142">
        <f>IFERROR(VLOOKUP($C2306,$C$5:$H$18,6,0)+SUMIF($C$19:$C2306,$C2306,$F$19:$F2306)-SUMIF($C$19:$C2306,$C2306,$G$19:$G2306),"")</f>
        <v>81211.819999998</v>
      </c>
      <c r="I2306" s="147"/>
      <c r="J2306" s="147"/>
      <c r="K2306" s="147" t="str">
        <f t="shared" si="35"/>
        <v/>
      </c>
      <c r="L2306" s="40"/>
      <c r="M2306"/>
      <c r="N2306"/>
      <c r="O2306"/>
      <c r="P2306"/>
      <c r="Q2306"/>
      <c r="R2306"/>
      <c r="S2306"/>
      <c r="T2306"/>
      <c r="U2306"/>
      <c r="V2306"/>
      <c r="W2306" s="41"/>
      <c r="X2306" s="41"/>
      <c r="Y2306" s="41"/>
    </row>
    <row r="2307" s="27" customFormat="1" ht="23" hidden="1" customHeight="1" spans="1:25">
      <c r="A2307" s="133" t="str">
        <f>IF(B2307="","",COUNTA($B$5:B2307))</f>
        <v/>
      </c>
      <c r="B2307" s="148"/>
      <c r="C2307" s="22" t="s">
        <v>49</v>
      </c>
      <c r="D2307" s="149"/>
      <c r="E2307" s="150"/>
      <c r="F2307" s="151"/>
      <c r="G2307" s="151"/>
      <c r="H2307" s="142">
        <f>IFERROR(VLOOKUP($C2307,$C$5:$H$18,6,0)+SUMIF($C$19:$C2307,$C2307,$F$19:$F2307)-SUMIF($C$19:$C2307,$C2307,$G$19:$G2307),"")</f>
        <v>81211.819999998</v>
      </c>
      <c r="I2307" s="147"/>
      <c r="J2307" s="147"/>
      <c r="K2307" s="147" t="str">
        <f t="shared" si="35"/>
        <v/>
      </c>
      <c r="L2307" s="40"/>
      <c r="M2307"/>
      <c r="N2307"/>
      <c r="O2307"/>
      <c r="P2307"/>
      <c r="Q2307"/>
      <c r="R2307"/>
      <c r="S2307"/>
      <c r="T2307"/>
      <c r="U2307"/>
      <c r="V2307"/>
      <c r="W2307" s="41"/>
      <c r="X2307" s="41"/>
      <c r="Y2307" s="41"/>
    </row>
    <row r="2308" s="27" customFormat="1" ht="23" hidden="1" customHeight="1" spans="1:25">
      <c r="A2308" s="133" t="str">
        <f>IF(B2308="","",COUNTA($B$5:B2308))</f>
        <v/>
      </c>
      <c r="B2308" s="148"/>
      <c r="C2308" s="22" t="s">
        <v>49</v>
      </c>
      <c r="D2308" s="149"/>
      <c r="E2308" s="150"/>
      <c r="F2308" s="151"/>
      <c r="G2308" s="151"/>
      <c r="H2308" s="142">
        <f>IFERROR(VLOOKUP($C2308,$C$5:$H$18,6,0)+SUMIF($C$19:$C2308,$C2308,$F$19:$F2308)-SUMIF($C$19:$C2308,$C2308,$G$19:$G2308),"")</f>
        <v>81211.819999998</v>
      </c>
      <c r="I2308" s="147"/>
      <c r="J2308" s="147"/>
      <c r="K2308" s="147" t="str">
        <f t="shared" si="35"/>
        <v/>
      </c>
      <c r="L2308" s="40"/>
      <c r="M2308"/>
      <c r="N2308"/>
      <c r="O2308"/>
      <c r="P2308"/>
      <c r="Q2308"/>
      <c r="R2308"/>
      <c r="S2308"/>
      <c r="T2308"/>
      <c r="U2308"/>
      <c r="V2308"/>
      <c r="W2308" s="41"/>
      <c r="X2308" s="41"/>
      <c r="Y2308" s="41"/>
    </row>
    <row r="2309" s="27" customFormat="1" ht="23" hidden="1" customHeight="1" spans="1:25">
      <c r="A2309" s="133" t="str">
        <f>IF(B2309="","",COUNTA($B$5:B2309))</f>
        <v/>
      </c>
      <c r="B2309" s="148"/>
      <c r="C2309" s="22" t="s">
        <v>49</v>
      </c>
      <c r="D2309" s="149"/>
      <c r="E2309" s="150"/>
      <c r="F2309" s="151"/>
      <c r="G2309" s="151"/>
      <c r="H2309" s="142">
        <f>IFERROR(VLOOKUP($C2309,$C$5:$H$18,6,0)+SUMIF($C$19:$C2309,$C2309,$F$19:$F2309)-SUMIF($C$19:$C2309,$C2309,$G$19:$G2309),"")</f>
        <v>81211.819999998</v>
      </c>
      <c r="I2309" s="147"/>
      <c r="J2309" s="147"/>
      <c r="K2309" s="147" t="str">
        <f t="shared" ref="K2309:K2372" si="36">IF($B2309="","",--TEXT($B2309,"yyyymm"))</f>
        <v/>
      </c>
      <c r="L2309" s="40"/>
      <c r="M2309"/>
      <c r="N2309"/>
      <c r="O2309"/>
      <c r="P2309"/>
      <c r="Q2309"/>
      <c r="R2309"/>
      <c r="S2309"/>
      <c r="T2309"/>
      <c r="U2309"/>
      <c r="V2309"/>
      <c r="W2309" s="41"/>
      <c r="X2309" s="41"/>
      <c r="Y2309" s="41"/>
    </row>
    <row r="2310" s="27" customFormat="1" ht="23" hidden="1" customHeight="1" spans="1:25">
      <c r="A2310" s="133" t="str">
        <f>IF(B2310="","",COUNTA($B$5:B2310))</f>
        <v/>
      </c>
      <c r="B2310" s="148"/>
      <c r="C2310" s="22" t="s">
        <v>49</v>
      </c>
      <c r="D2310" s="149"/>
      <c r="E2310" s="150"/>
      <c r="F2310" s="151"/>
      <c r="G2310" s="151"/>
      <c r="H2310" s="142">
        <f>IFERROR(VLOOKUP($C2310,$C$5:$H$18,6,0)+SUMIF($C$19:$C2310,$C2310,$F$19:$F2310)-SUMIF($C$19:$C2310,$C2310,$G$19:$G2310),"")</f>
        <v>81211.819999998</v>
      </c>
      <c r="I2310" s="147"/>
      <c r="J2310" s="147"/>
      <c r="K2310" s="147" t="str">
        <f t="shared" si="36"/>
        <v/>
      </c>
      <c r="L2310" s="40"/>
      <c r="M2310"/>
      <c r="N2310"/>
      <c r="O2310"/>
      <c r="P2310"/>
      <c r="Q2310"/>
      <c r="R2310"/>
      <c r="S2310"/>
      <c r="T2310"/>
      <c r="U2310"/>
      <c r="V2310"/>
      <c r="W2310" s="41"/>
      <c r="X2310" s="41"/>
      <c r="Y2310" s="41"/>
    </row>
    <row r="2311" s="27" customFormat="1" ht="23" hidden="1" customHeight="1" spans="1:25">
      <c r="A2311" s="133" t="str">
        <f>IF(B2311="","",COUNTA($B$5:B2311))</f>
        <v/>
      </c>
      <c r="B2311" s="148"/>
      <c r="C2311" s="22" t="s">
        <v>49</v>
      </c>
      <c r="D2311" s="149"/>
      <c r="E2311" s="150"/>
      <c r="F2311" s="151"/>
      <c r="G2311" s="151"/>
      <c r="H2311" s="142">
        <f>IFERROR(VLOOKUP($C2311,$C$5:$H$18,6,0)+SUMIF($C$19:$C2311,$C2311,$F$19:$F2311)-SUMIF($C$19:$C2311,$C2311,$G$19:$G2311),"")</f>
        <v>81211.819999998</v>
      </c>
      <c r="I2311" s="147"/>
      <c r="J2311" s="147"/>
      <c r="K2311" s="147" t="str">
        <f t="shared" si="36"/>
        <v/>
      </c>
      <c r="L2311" s="40"/>
      <c r="M2311"/>
      <c r="N2311"/>
      <c r="O2311"/>
      <c r="P2311"/>
      <c r="Q2311"/>
      <c r="R2311"/>
      <c r="S2311"/>
      <c r="T2311"/>
      <c r="U2311"/>
      <c r="V2311"/>
      <c r="W2311" s="41"/>
      <c r="X2311" s="41"/>
      <c r="Y2311" s="41"/>
    </row>
    <row r="2312" s="27" customFormat="1" ht="23" hidden="1" customHeight="1" spans="1:25">
      <c r="A2312" s="133" t="str">
        <f>IF(B2312="","",COUNTA($B$5:B2312))</f>
        <v/>
      </c>
      <c r="B2312" s="148"/>
      <c r="C2312" s="22" t="s">
        <v>49</v>
      </c>
      <c r="D2312" s="149"/>
      <c r="E2312" s="150"/>
      <c r="F2312" s="151"/>
      <c r="G2312" s="151"/>
      <c r="H2312" s="142">
        <f>IFERROR(VLOOKUP($C2312,$C$5:$H$18,6,0)+SUMIF($C$19:$C2312,$C2312,$F$19:$F2312)-SUMIF($C$19:$C2312,$C2312,$G$19:$G2312),"")</f>
        <v>81211.819999998</v>
      </c>
      <c r="I2312" s="147"/>
      <c r="J2312" s="147"/>
      <c r="K2312" s="147" t="str">
        <f t="shared" si="36"/>
        <v/>
      </c>
      <c r="L2312" s="40"/>
      <c r="M2312"/>
      <c r="N2312"/>
      <c r="O2312"/>
      <c r="P2312"/>
      <c r="Q2312"/>
      <c r="R2312"/>
      <c r="S2312"/>
      <c r="T2312"/>
      <c r="U2312"/>
      <c r="V2312"/>
      <c r="W2312" s="41"/>
      <c r="X2312" s="41"/>
      <c r="Y2312" s="41"/>
    </row>
    <row r="2313" s="27" customFormat="1" ht="23" hidden="1" customHeight="1" spans="1:25">
      <c r="A2313" s="133" t="str">
        <f>IF(B2313="","",COUNTA($B$5:B2313))</f>
        <v/>
      </c>
      <c r="B2313" s="148"/>
      <c r="C2313" s="22" t="s">
        <v>49</v>
      </c>
      <c r="D2313" s="149"/>
      <c r="E2313" s="150"/>
      <c r="F2313" s="151"/>
      <c r="G2313" s="151"/>
      <c r="H2313" s="142">
        <f>IFERROR(VLOOKUP($C2313,$C$5:$H$18,6,0)+SUMIF($C$19:$C2313,$C2313,$F$19:$F2313)-SUMIF($C$19:$C2313,$C2313,$G$19:$G2313),"")</f>
        <v>81211.819999998</v>
      </c>
      <c r="I2313" s="147"/>
      <c r="J2313" s="147"/>
      <c r="K2313" s="147" t="str">
        <f t="shared" si="36"/>
        <v/>
      </c>
      <c r="L2313" s="40"/>
      <c r="M2313"/>
      <c r="N2313"/>
      <c r="O2313"/>
      <c r="P2313"/>
      <c r="Q2313"/>
      <c r="R2313"/>
      <c r="S2313"/>
      <c r="T2313"/>
      <c r="U2313"/>
      <c r="V2313"/>
      <c r="W2313" s="41"/>
      <c r="X2313" s="41"/>
      <c r="Y2313" s="41"/>
    </row>
    <row r="2314" s="27" customFormat="1" ht="23" hidden="1" customHeight="1" spans="1:25">
      <c r="A2314" s="133" t="str">
        <f>IF(B2314="","",COUNTA($B$5:B2314))</f>
        <v/>
      </c>
      <c r="B2314" s="148"/>
      <c r="C2314" s="22" t="s">
        <v>49</v>
      </c>
      <c r="D2314" s="149"/>
      <c r="E2314" s="150"/>
      <c r="F2314" s="151"/>
      <c r="G2314" s="151"/>
      <c r="H2314" s="142">
        <f>IFERROR(VLOOKUP($C2314,$C$5:$H$18,6,0)+SUMIF($C$19:$C2314,$C2314,$F$19:$F2314)-SUMIF($C$19:$C2314,$C2314,$G$19:$G2314),"")</f>
        <v>81211.819999998</v>
      </c>
      <c r="I2314" s="147"/>
      <c r="J2314" s="147"/>
      <c r="K2314" s="147" t="str">
        <f t="shared" si="36"/>
        <v/>
      </c>
      <c r="L2314" s="40"/>
      <c r="M2314"/>
      <c r="N2314"/>
      <c r="O2314"/>
      <c r="P2314"/>
      <c r="Q2314"/>
      <c r="R2314"/>
      <c r="S2314"/>
      <c r="T2314"/>
      <c r="U2314"/>
      <c r="V2314"/>
      <c r="W2314" s="41"/>
      <c r="X2314" s="41"/>
      <c r="Y2314" s="41"/>
    </row>
    <row r="2315" s="27" customFormat="1" ht="23" hidden="1" customHeight="1" spans="1:25">
      <c r="A2315" s="133" t="str">
        <f>IF(B2315="","",COUNTA($B$5:B2315))</f>
        <v/>
      </c>
      <c r="B2315" s="148"/>
      <c r="C2315" s="22" t="s">
        <v>49</v>
      </c>
      <c r="D2315" s="149"/>
      <c r="E2315" s="150"/>
      <c r="F2315" s="151"/>
      <c r="G2315" s="151"/>
      <c r="H2315" s="142">
        <f>IFERROR(VLOOKUP($C2315,$C$5:$H$18,6,0)+SUMIF($C$19:$C2315,$C2315,$F$19:$F2315)-SUMIF($C$19:$C2315,$C2315,$G$19:$G2315),"")</f>
        <v>81211.819999998</v>
      </c>
      <c r="I2315" s="147"/>
      <c r="J2315" s="147"/>
      <c r="K2315" s="147" t="str">
        <f t="shared" si="36"/>
        <v/>
      </c>
      <c r="L2315" s="40"/>
      <c r="M2315"/>
      <c r="N2315"/>
      <c r="O2315"/>
      <c r="P2315"/>
      <c r="Q2315"/>
      <c r="R2315"/>
      <c r="S2315"/>
      <c r="T2315"/>
      <c r="U2315"/>
      <c r="V2315"/>
      <c r="W2315" s="41"/>
      <c r="X2315" s="41"/>
      <c r="Y2315" s="41"/>
    </row>
    <row r="2316" s="27" customFormat="1" ht="23" hidden="1" customHeight="1" spans="1:25">
      <c r="A2316" s="133" t="str">
        <f>IF(B2316="","",COUNTA($B$5:B2316))</f>
        <v/>
      </c>
      <c r="B2316" s="148"/>
      <c r="C2316" s="22" t="s">
        <v>49</v>
      </c>
      <c r="D2316" s="149"/>
      <c r="E2316" s="150"/>
      <c r="F2316" s="151"/>
      <c r="G2316" s="151"/>
      <c r="H2316" s="142">
        <f>IFERROR(VLOOKUP($C2316,$C$5:$H$18,6,0)+SUMIF($C$19:$C2316,$C2316,$F$19:$F2316)-SUMIF($C$19:$C2316,$C2316,$G$19:$G2316),"")</f>
        <v>81211.819999998</v>
      </c>
      <c r="I2316" s="147"/>
      <c r="J2316" s="147"/>
      <c r="K2316" s="147" t="str">
        <f t="shared" si="36"/>
        <v/>
      </c>
      <c r="L2316" s="40"/>
      <c r="M2316"/>
      <c r="N2316"/>
      <c r="O2316"/>
      <c r="P2316"/>
      <c r="Q2316"/>
      <c r="R2316"/>
      <c r="S2316"/>
      <c r="T2316"/>
      <c r="U2316"/>
      <c r="V2316"/>
      <c r="W2316" s="41"/>
      <c r="X2316" s="41"/>
      <c r="Y2316" s="41"/>
    </row>
    <row r="2317" s="27" customFormat="1" ht="23" hidden="1" customHeight="1" spans="1:25">
      <c r="A2317" s="133" t="str">
        <f>IF(B2317="","",COUNTA($B$5:B2317))</f>
        <v/>
      </c>
      <c r="B2317" s="148"/>
      <c r="C2317" s="22" t="s">
        <v>49</v>
      </c>
      <c r="D2317" s="149"/>
      <c r="E2317" s="150"/>
      <c r="F2317" s="151"/>
      <c r="G2317" s="151"/>
      <c r="H2317" s="142">
        <f>IFERROR(VLOOKUP($C2317,$C$5:$H$18,6,0)+SUMIF($C$19:$C2317,$C2317,$F$19:$F2317)-SUMIF($C$19:$C2317,$C2317,$G$19:$G2317),"")</f>
        <v>81211.819999998</v>
      </c>
      <c r="I2317" s="147"/>
      <c r="J2317" s="147"/>
      <c r="K2317" s="147" t="str">
        <f t="shared" si="36"/>
        <v/>
      </c>
      <c r="L2317" s="40"/>
      <c r="M2317"/>
      <c r="N2317"/>
      <c r="O2317"/>
      <c r="P2317"/>
      <c r="Q2317"/>
      <c r="R2317"/>
      <c r="S2317"/>
      <c r="T2317"/>
      <c r="U2317"/>
      <c r="V2317"/>
      <c r="W2317" s="41"/>
      <c r="X2317" s="41"/>
      <c r="Y2317" s="41"/>
    </row>
    <row r="2318" s="27" customFormat="1" ht="23" hidden="1" customHeight="1" spans="1:25">
      <c r="A2318" s="133" t="str">
        <f>IF(B2318="","",COUNTA($B$5:B2318))</f>
        <v/>
      </c>
      <c r="B2318" s="148"/>
      <c r="C2318" s="22" t="s">
        <v>49</v>
      </c>
      <c r="D2318" s="149"/>
      <c r="E2318" s="150"/>
      <c r="F2318" s="151"/>
      <c r="G2318" s="151"/>
      <c r="H2318" s="142">
        <f>IFERROR(VLOOKUP($C2318,$C$5:$H$18,6,0)+SUMIF($C$19:$C2318,$C2318,$F$19:$F2318)-SUMIF($C$19:$C2318,$C2318,$G$19:$G2318),"")</f>
        <v>81211.819999998</v>
      </c>
      <c r="I2318" s="147"/>
      <c r="J2318" s="147"/>
      <c r="K2318" s="147" t="str">
        <f t="shared" si="36"/>
        <v/>
      </c>
      <c r="L2318" s="40"/>
      <c r="M2318"/>
      <c r="N2318"/>
      <c r="O2318"/>
      <c r="P2318"/>
      <c r="Q2318"/>
      <c r="R2318"/>
      <c r="S2318"/>
      <c r="T2318"/>
      <c r="U2318"/>
      <c r="V2318"/>
      <c r="W2318" s="41"/>
      <c r="X2318" s="41"/>
      <c r="Y2318" s="41"/>
    </row>
    <row r="2319" s="27" customFormat="1" ht="23" hidden="1" customHeight="1" spans="1:25">
      <c r="A2319" s="133" t="str">
        <f>IF(B2319="","",COUNTA($B$5:B2319))</f>
        <v/>
      </c>
      <c r="B2319" s="148"/>
      <c r="C2319" s="22" t="s">
        <v>49</v>
      </c>
      <c r="D2319" s="149"/>
      <c r="E2319" s="150"/>
      <c r="F2319" s="151"/>
      <c r="G2319" s="151"/>
      <c r="H2319" s="142">
        <f>IFERROR(VLOOKUP($C2319,$C$5:$H$18,6,0)+SUMIF($C$19:$C2319,$C2319,$F$19:$F2319)-SUMIF($C$19:$C2319,$C2319,$G$19:$G2319),"")</f>
        <v>81211.819999998</v>
      </c>
      <c r="I2319" s="147"/>
      <c r="J2319" s="147"/>
      <c r="K2319" s="147" t="str">
        <f t="shared" si="36"/>
        <v/>
      </c>
      <c r="L2319" s="40"/>
      <c r="M2319"/>
      <c r="N2319"/>
      <c r="O2319"/>
      <c r="P2319"/>
      <c r="Q2319"/>
      <c r="R2319"/>
      <c r="S2319"/>
      <c r="T2319"/>
      <c r="U2319"/>
      <c r="V2319"/>
      <c r="W2319" s="41"/>
      <c r="X2319" s="41"/>
      <c r="Y2319" s="41"/>
    </row>
    <row r="2320" s="27" customFormat="1" ht="23" hidden="1" customHeight="1" spans="1:25">
      <c r="A2320" s="133" t="str">
        <f>IF(B2320="","",COUNTA($B$5:B2320))</f>
        <v/>
      </c>
      <c r="B2320" s="148"/>
      <c r="C2320" s="22" t="s">
        <v>49</v>
      </c>
      <c r="D2320" s="149"/>
      <c r="E2320" s="150"/>
      <c r="F2320" s="151"/>
      <c r="G2320" s="151"/>
      <c r="H2320" s="142">
        <f>IFERROR(VLOOKUP($C2320,$C$5:$H$18,6,0)+SUMIF($C$19:$C2320,$C2320,$F$19:$F2320)-SUMIF($C$19:$C2320,$C2320,$G$19:$G2320),"")</f>
        <v>81211.819999998</v>
      </c>
      <c r="I2320" s="147"/>
      <c r="J2320" s="147"/>
      <c r="K2320" s="147" t="str">
        <f t="shared" si="36"/>
        <v/>
      </c>
      <c r="L2320" s="40"/>
      <c r="M2320"/>
      <c r="N2320"/>
      <c r="O2320"/>
      <c r="P2320"/>
      <c r="Q2320"/>
      <c r="R2320"/>
      <c r="S2320"/>
      <c r="T2320"/>
      <c r="U2320"/>
      <c r="V2320"/>
      <c r="W2320" s="41"/>
      <c r="X2320" s="41"/>
      <c r="Y2320" s="41"/>
    </row>
    <row r="2321" s="27" customFormat="1" ht="23" hidden="1" customHeight="1" spans="1:25">
      <c r="A2321" s="133" t="str">
        <f>IF(B2321="","",COUNTA($B$5:B2321))</f>
        <v/>
      </c>
      <c r="B2321" s="148"/>
      <c r="C2321" s="22" t="s">
        <v>49</v>
      </c>
      <c r="D2321" s="149"/>
      <c r="E2321" s="150"/>
      <c r="F2321" s="151"/>
      <c r="G2321" s="151"/>
      <c r="H2321" s="142">
        <f>IFERROR(VLOOKUP($C2321,$C$5:$H$18,6,0)+SUMIF($C$19:$C2321,$C2321,$F$19:$F2321)-SUMIF($C$19:$C2321,$C2321,$G$19:$G2321),"")</f>
        <v>81211.819999998</v>
      </c>
      <c r="I2321" s="147"/>
      <c r="J2321" s="147"/>
      <c r="K2321" s="147" t="str">
        <f t="shared" si="36"/>
        <v/>
      </c>
      <c r="L2321" s="40"/>
      <c r="M2321"/>
      <c r="N2321"/>
      <c r="O2321"/>
      <c r="P2321"/>
      <c r="Q2321"/>
      <c r="R2321"/>
      <c r="S2321"/>
      <c r="T2321"/>
      <c r="U2321"/>
      <c r="V2321"/>
      <c r="W2321" s="41"/>
      <c r="X2321" s="41"/>
      <c r="Y2321" s="41"/>
    </row>
    <row r="2322" s="27" customFormat="1" ht="23" hidden="1" customHeight="1" spans="1:25">
      <c r="A2322" s="133" t="str">
        <f>IF(B2322="","",COUNTA($B$5:B2322))</f>
        <v/>
      </c>
      <c r="B2322" s="148"/>
      <c r="C2322" s="22" t="s">
        <v>49</v>
      </c>
      <c r="D2322" s="149"/>
      <c r="E2322" s="150"/>
      <c r="F2322" s="151"/>
      <c r="G2322" s="151"/>
      <c r="H2322" s="142">
        <f>IFERROR(VLOOKUP($C2322,$C$5:$H$18,6,0)+SUMIF($C$19:$C2322,$C2322,$F$19:$F2322)-SUMIF($C$19:$C2322,$C2322,$G$19:$G2322),"")</f>
        <v>81211.819999998</v>
      </c>
      <c r="I2322" s="147"/>
      <c r="J2322" s="147"/>
      <c r="K2322" s="147" t="str">
        <f t="shared" si="36"/>
        <v/>
      </c>
      <c r="L2322" s="40"/>
      <c r="M2322"/>
      <c r="N2322"/>
      <c r="O2322"/>
      <c r="P2322"/>
      <c r="Q2322"/>
      <c r="R2322"/>
      <c r="S2322"/>
      <c r="T2322"/>
      <c r="U2322"/>
      <c r="V2322"/>
      <c r="W2322" s="41"/>
      <c r="X2322" s="41"/>
      <c r="Y2322" s="41"/>
    </row>
    <row r="2323" s="27" customFormat="1" ht="23" hidden="1" customHeight="1" spans="1:25">
      <c r="A2323" s="133" t="str">
        <f>IF(B2323="","",COUNTA($B$5:B2323))</f>
        <v/>
      </c>
      <c r="B2323" s="148"/>
      <c r="C2323" s="22" t="s">
        <v>49</v>
      </c>
      <c r="D2323" s="149"/>
      <c r="E2323" s="150"/>
      <c r="F2323" s="151"/>
      <c r="G2323" s="151"/>
      <c r="H2323" s="142">
        <f>IFERROR(VLOOKUP($C2323,$C$5:$H$18,6,0)+SUMIF($C$19:$C2323,$C2323,$F$19:$F2323)-SUMIF($C$19:$C2323,$C2323,$G$19:$G2323),"")</f>
        <v>81211.819999998</v>
      </c>
      <c r="I2323" s="147"/>
      <c r="J2323" s="147"/>
      <c r="K2323" s="147" t="str">
        <f t="shared" si="36"/>
        <v/>
      </c>
      <c r="L2323" s="40"/>
      <c r="M2323"/>
      <c r="N2323"/>
      <c r="O2323"/>
      <c r="P2323"/>
      <c r="Q2323"/>
      <c r="R2323"/>
      <c r="S2323"/>
      <c r="T2323"/>
      <c r="U2323"/>
      <c r="V2323"/>
      <c r="W2323" s="41"/>
      <c r="X2323" s="41"/>
      <c r="Y2323" s="41"/>
    </row>
    <row r="2324" s="27" customFormat="1" ht="23" hidden="1" customHeight="1" spans="1:25">
      <c r="A2324" s="133" t="str">
        <f>IF(B2324="","",COUNTA($B$5:B2324))</f>
        <v/>
      </c>
      <c r="B2324" s="148"/>
      <c r="C2324" s="22" t="s">
        <v>49</v>
      </c>
      <c r="D2324" s="149"/>
      <c r="E2324" s="150"/>
      <c r="F2324" s="151"/>
      <c r="G2324" s="151"/>
      <c r="H2324" s="142">
        <f>IFERROR(VLOOKUP($C2324,$C$5:$H$18,6,0)+SUMIF($C$19:$C2324,$C2324,$F$19:$F2324)-SUMIF($C$19:$C2324,$C2324,$G$19:$G2324),"")</f>
        <v>81211.819999998</v>
      </c>
      <c r="I2324" s="147"/>
      <c r="J2324" s="147"/>
      <c r="K2324" s="147" t="str">
        <f t="shared" si="36"/>
        <v/>
      </c>
      <c r="L2324" s="40"/>
      <c r="M2324"/>
      <c r="N2324"/>
      <c r="O2324"/>
      <c r="P2324"/>
      <c r="Q2324"/>
      <c r="R2324"/>
      <c r="S2324"/>
      <c r="T2324"/>
      <c r="U2324"/>
      <c r="V2324"/>
      <c r="W2324" s="41"/>
      <c r="X2324" s="41"/>
      <c r="Y2324" s="41"/>
    </row>
    <row r="2325" s="27" customFormat="1" ht="23" hidden="1" customHeight="1" spans="1:25">
      <c r="A2325" s="133" t="str">
        <f>IF(B2325="","",COUNTA($B$5:B2325))</f>
        <v/>
      </c>
      <c r="B2325" s="148"/>
      <c r="C2325" s="22" t="s">
        <v>49</v>
      </c>
      <c r="D2325" s="149"/>
      <c r="E2325" s="150"/>
      <c r="F2325" s="151"/>
      <c r="G2325" s="151"/>
      <c r="H2325" s="142">
        <f>IFERROR(VLOOKUP($C2325,$C$5:$H$18,6,0)+SUMIF($C$19:$C2325,$C2325,$F$19:$F2325)-SUMIF($C$19:$C2325,$C2325,$G$19:$G2325),"")</f>
        <v>81211.819999998</v>
      </c>
      <c r="I2325" s="147"/>
      <c r="J2325" s="147"/>
      <c r="K2325" s="147" t="str">
        <f t="shared" si="36"/>
        <v/>
      </c>
      <c r="L2325" s="40"/>
      <c r="M2325"/>
      <c r="N2325"/>
      <c r="O2325"/>
      <c r="P2325"/>
      <c r="Q2325"/>
      <c r="R2325"/>
      <c r="S2325"/>
      <c r="T2325"/>
      <c r="U2325"/>
      <c r="V2325"/>
      <c r="W2325" s="41"/>
      <c r="X2325" s="41"/>
      <c r="Y2325" s="41"/>
    </row>
    <row r="2326" s="27" customFormat="1" ht="23" hidden="1" customHeight="1" spans="1:25">
      <c r="A2326" s="133" t="str">
        <f>IF(B2326="","",COUNTA($B$5:B2326))</f>
        <v/>
      </c>
      <c r="B2326" s="148"/>
      <c r="C2326" s="22" t="s">
        <v>49</v>
      </c>
      <c r="D2326" s="149"/>
      <c r="E2326" s="150"/>
      <c r="F2326" s="151"/>
      <c r="G2326" s="151"/>
      <c r="H2326" s="142">
        <f>IFERROR(VLOOKUP($C2326,$C$5:$H$18,6,0)+SUMIF($C$19:$C2326,$C2326,$F$19:$F2326)-SUMIF($C$19:$C2326,$C2326,$G$19:$G2326),"")</f>
        <v>81211.819999998</v>
      </c>
      <c r="I2326" s="147"/>
      <c r="J2326" s="147"/>
      <c r="K2326" s="147" t="str">
        <f t="shared" si="36"/>
        <v/>
      </c>
      <c r="L2326" s="40"/>
      <c r="M2326"/>
      <c r="N2326"/>
      <c r="O2326"/>
      <c r="P2326"/>
      <c r="Q2326"/>
      <c r="R2326"/>
      <c r="S2326"/>
      <c r="T2326"/>
      <c r="U2326"/>
      <c r="V2326"/>
      <c r="W2326" s="41"/>
      <c r="X2326" s="41"/>
      <c r="Y2326" s="41"/>
    </row>
    <row r="2327" s="27" customFormat="1" ht="23" hidden="1" customHeight="1" spans="1:25">
      <c r="A2327" s="133" t="str">
        <f>IF(B2327="","",COUNTA($B$5:B2327))</f>
        <v/>
      </c>
      <c r="B2327" s="148"/>
      <c r="C2327" s="22" t="s">
        <v>49</v>
      </c>
      <c r="D2327" s="149"/>
      <c r="E2327" s="150"/>
      <c r="F2327" s="151"/>
      <c r="G2327" s="151"/>
      <c r="H2327" s="142">
        <f>IFERROR(VLOOKUP($C2327,$C$5:$H$18,6,0)+SUMIF($C$19:$C2327,$C2327,$F$19:$F2327)-SUMIF($C$19:$C2327,$C2327,$G$19:$G2327),"")</f>
        <v>81211.819999998</v>
      </c>
      <c r="I2327" s="147"/>
      <c r="J2327" s="147"/>
      <c r="K2327" s="147" t="str">
        <f t="shared" si="36"/>
        <v/>
      </c>
      <c r="L2327" s="40"/>
      <c r="M2327"/>
      <c r="N2327"/>
      <c r="O2327"/>
      <c r="P2327"/>
      <c r="Q2327"/>
      <c r="R2327"/>
      <c r="S2327"/>
      <c r="T2327"/>
      <c r="U2327"/>
      <c r="V2327"/>
      <c r="W2327" s="41"/>
      <c r="X2327" s="41"/>
      <c r="Y2327" s="41"/>
    </row>
    <row r="2328" s="27" customFormat="1" ht="23" hidden="1" customHeight="1" spans="1:25">
      <c r="A2328" s="133" t="str">
        <f>IF(B2328="","",COUNTA($B$5:B2328))</f>
        <v/>
      </c>
      <c r="B2328" s="148"/>
      <c r="C2328" s="22" t="s">
        <v>49</v>
      </c>
      <c r="D2328" s="149"/>
      <c r="E2328" s="150"/>
      <c r="F2328" s="151"/>
      <c r="G2328" s="151"/>
      <c r="H2328" s="142">
        <f>IFERROR(VLOOKUP($C2328,$C$5:$H$18,6,0)+SUMIF($C$19:$C2328,$C2328,$F$19:$F2328)-SUMIF($C$19:$C2328,$C2328,$G$19:$G2328),"")</f>
        <v>81211.819999998</v>
      </c>
      <c r="I2328" s="147"/>
      <c r="J2328" s="147"/>
      <c r="K2328" s="147" t="str">
        <f t="shared" si="36"/>
        <v/>
      </c>
      <c r="L2328" s="40"/>
      <c r="M2328"/>
      <c r="N2328"/>
      <c r="O2328"/>
      <c r="P2328"/>
      <c r="Q2328"/>
      <c r="R2328"/>
      <c r="S2328"/>
      <c r="T2328"/>
      <c r="U2328"/>
      <c r="V2328"/>
      <c r="W2328" s="41"/>
      <c r="X2328" s="41"/>
      <c r="Y2328" s="41"/>
    </row>
    <row r="2329" s="27" customFormat="1" ht="23" hidden="1" customHeight="1" spans="1:25">
      <c r="A2329" s="133" t="str">
        <f>IF(B2329="","",COUNTA($B$5:B2329))</f>
        <v/>
      </c>
      <c r="B2329" s="148"/>
      <c r="C2329" s="22" t="s">
        <v>49</v>
      </c>
      <c r="D2329" s="149"/>
      <c r="E2329" s="150"/>
      <c r="F2329" s="151"/>
      <c r="G2329" s="151"/>
      <c r="H2329" s="142">
        <f>IFERROR(VLOOKUP($C2329,$C$5:$H$18,6,0)+SUMIF($C$19:$C2329,$C2329,$F$19:$F2329)-SUMIF($C$19:$C2329,$C2329,$G$19:$G2329),"")</f>
        <v>81211.819999998</v>
      </c>
      <c r="I2329" s="147"/>
      <c r="J2329" s="147"/>
      <c r="K2329" s="147" t="str">
        <f t="shared" si="36"/>
        <v/>
      </c>
      <c r="L2329" s="40"/>
      <c r="M2329"/>
      <c r="N2329"/>
      <c r="O2329"/>
      <c r="P2329"/>
      <c r="Q2329"/>
      <c r="R2329"/>
      <c r="S2329"/>
      <c r="T2329"/>
      <c r="U2329"/>
      <c r="V2329"/>
      <c r="W2329" s="41"/>
      <c r="X2329" s="41"/>
      <c r="Y2329" s="41"/>
    </row>
    <row r="2330" s="27" customFormat="1" ht="23" hidden="1" customHeight="1" spans="1:25">
      <c r="A2330" s="133" t="str">
        <f>IF(B2330="","",COUNTA($B$5:B2330))</f>
        <v/>
      </c>
      <c r="B2330" s="148"/>
      <c r="C2330" s="22" t="s">
        <v>49</v>
      </c>
      <c r="D2330" s="149"/>
      <c r="E2330" s="150"/>
      <c r="F2330" s="151"/>
      <c r="G2330" s="151"/>
      <c r="H2330" s="142">
        <f>IFERROR(VLOOKUP($C2330,$C$5:$H$18,6,0)+SUMIF($C$19:$C2330,$C2330,$F$19:$F2330)-SUMIF($C$19:$C2330,$C2330,$G$19:$G2330),"")</f>
        <v>81211.819999998</v>
      </c>
      <c r="I2330" s="147"/>
      <c r="J2330" s="147"/>
      <c r="K2330" s="147" t="str">
        <f t="shared" si="36"/>
        <v/>
      </c>
      <c r="L2330" s="40"/>
      <c r="M2330"/>
      <c r="N2330"/>
      <c r="O2330"/>
      <c r="P2330"/>
      <c r="Q2330"/>
      <c r="R2330"/>
      <c r="S2330"/>
      <c r="T2330"/>
      <c r="U2330"/>
      <c r="V2330"/>
      <c r="W2330" s="41"/>
      <c r="X2330" s="41"/>
      <c r="Y2330" s="41"/>
    </row>
    <row r="2331" s="27" customFormat="1" ht="23" hidden="1" customHeight="1" spans="1:25">
      <c r="A2331" s="133" t="str">
        <f>IF(B2331="","",COUNTA($B$5:B2331))</f>
        <v/>
      </c>
      <c r="B2331" s="148"/>
      <c r="C2331" s="22" t="s">
        <v>49</v>
      </c>
      <c r="D2331" s="149"/>
      <c r="E2331" s="150"/>
      <c r="F2331" s="151"/>
      <c r="G2331" s="151"/>
      <c r="H2331" s="142">
        <f>IFERROR(VLOOKUP($C2331,$C$5:$H$18,6,0)+SUMIF($C$19:$C2331,$C2331,$F$19:$F2331)-SUMIF($C$19:$C2331,$C2331,$G$19:$G2331),"")</f>
        <v>81211.819999998</v>
      </c>
      <c r="I2331" s="147"/>
      <c r="J2331" s="147"/>
      <c r="K2331" s="147" t="str">
        <f t="shared" si="36"/>
        <v/>
      </c>
      <c r="L2331" s="40"/>
      <c r="M2331"/>
      <c r="N2331"/>
      <c r="O2331"/>
      <c r="P2331"/>
      <c r="Q2331"/>
      <c r="R2331"/>
      <c r="S2331"/>
      <c r="T2331"/>
      <c r="U2331"/>
      <c r="V2331"/>
      <c r="W2331" s="41"/>
      <c r="X2331" s="41"/>
      <c r="Y2331" s="41"/>
    </row>
    <row r="2332" s="27" customFormat="1" ht="23" hidden="1" customHeight="1" spans="1:25">
      <c r="A2332" s="133" t="str">
        <f>IF(B2332="","",COUNTA($B$5:B2332))</f>
        <v/>
      </c>
      <c r="B2332" s="148"/>
      <c r="C2332" s="22" t="s">
        <v>49</v>
      </c>
      <c r="D2332" s="149"/>
      <c r="E2332" s="150"/>
      <c r="F2332" s="151"/>
      <c r="G2332" s="151"/>
      <c r="H2332" s="142">
        <f>IFERROR(VLOOKUP($C2332,$C$5:$H$18,6,0)+SUMIF($C$19:$C2332,$C2332,$F$19:$F2332)-SUMIF($C$19:$C2332,$C2332,$G$19:$G2332),"")</f>
        <v>81211.819999998</v>
      </c>
      <c r="I2332" s="147"/>
      <c r="J2332" s="147"/>
      <c r="K2332" s="147" t="str">
        <f t="shared" si="36"/>
        <v/>
      </c>
      <c r="L2332" s="40"/>
      <c r="M2332"/>
      <c r="N2332"/>
      <c r="O2332"/>
      <c r="P2332"/>
      <c r="Q2332"/>
      <c r="R2332"/>
      <c r="S2332"/>
      <c r="T2332"/>
      <c r="U2332"/>
      <c r="V2332"/>
      <c r="W2332" s="41"/>
      <c r="X2332" s="41"/>
      <c r="Y2332" s="41"/>
    </row>
    <row r="2333" s="27" customFormat="1" ht="23" hidden="1" customHeight="1" spans="1:25">
      <c r="A2333" s="133" t="str">
        <f>IF(B2333="","",COUNTA($B$5:B2333))</f>
        <v/>
      </c>
      <c r="B2333" s="148"/>
      <c r="C2333" s="22" t="s">
        <v>49</v>
      </c>
      <c r="D2333" s="149"/>
      <c r="E2333" s="150"/>
      <c r="F2333" s="151"/>
      <c r="G2333" s="151"/>
      <c r="H2333" s="142">
        <f>IFERROR(VLOOKUP($C2333,$C$5:$H$18,6,0)+SUMIF($C$19:$C2333,$C2333,$F$19:$F2333)-SUMIF($C$19:$C2333,$C2333,$G$19:$G2333),"")</f>
        <v>81211.819999998</v>
      </c>
      <c r="I2333" s="147"/>
      <c r="J2333" s="147"/>
      <c r="K2333" s="147" t="str">
        <f t="shared" si="36"/>
        <v/>
      </c>
      <c r="L2333" s="40"/>
      <c r="M2333"/>
      <c r="N2333"/>
      <c r="O2333"/>
      <c r="P2333"/>
      <c r="Q2333"/>
      <c r="R2333"/>
      <c r="S2333"/>
      <c r="T2333"/>
      <c r="U2333"/>
      <c r="V2333"/>
      <c r="W2333" s="41"/>
      <c r="X2333" s="41"/>
      <c r="Y2333" s="41"/>
    </row>
    <row r="2334" s="27" customFormat="1" ht="23" hidden="1" customHeight="1" spans="1:25">
      <c r="A2334" s="133" t="str">
        <f>IF(B2334="","",COUNTA($B$5:B2334))</f>
        <v/>
      </c>
      <c r="B2334" s="148"/>
      <c r="C2334" s="22" t="s">
        <v>49</v>
      </c>
      <c r="D2334" s="149"/>
      <c r="E2334" s="150"/>
      <c r="F2334" s="151"/>
      <c r="G2334" s="151"/>
      <c r="H2334" s="142">
        <f>IFERROR(VLOOKUP($C2334,$C$5:$H$18,6,0)+SUMIF($C$19:$C2334,$C2334,$F$19:$F2334)-SUMIF($C$19:$C2334,$C2334,$G$19:$G2334),"")</f>
        <v>81211.819999998</v>
      </c>
      <c r="I2334" s="147"/>
      <c r="J2334" s="147"/>
      <c r="K2334" s="147" t="str">
        <f t="shared" si="36"/>
        <v/>
      </c>
      <c r="L2334" s="40"/>
      <c r="M2334"/>
      <c r="N2334"/>
      <c r="O2334"/>
      <c r="P2334"/>
      <c r="Q2334"/>
      <c r="R2334"/>
      <c r="S2334"/>
      <c r="T2334"/>
      <c r="U2334"/>
      <c r="V2334"/>
      <c r="W2334" s="41"/>
      <c r="X2334" s="41"/>
      <c r="Y2334" s="41"/>
    </row>
    <row r="2335" s="27" customFormat="1" ht="23" hidden="1" customHeight="1" spans="1:25">
      <c r="A2335" s="133" t="str">
        <f>IF(B2335="","",COUNTA($B$5:B2335))</f>
        <v/>
      </c>
      <c r="B2335" s="148"/>
      <c r="C2335" s="22" t="s">
        <v>49</v>
      </c>
      <c r="D2335" s="149"/>
      <c r="E2335" s="150"/>
      <c r="F2335" s="151"/>
      <c r="G2335" s="151"/>
      <c r="H2335" s="142">
        <f>IFERROR(VLOOKUP($C2335,$C$5:$H$18,6,0)+SUMIF($C$19:$C2335,$C2335,$F$19:$F2335)-SUMIF($C$19:$C2335,$C2335,$G$19:$G2335),"")</f>
        <v>81211.819999998</v>
      </c>
      <c r="I2335" s="147"/>
      <c r="J2335" s="147"/>
      <c r="K2335" s="147" t="str">
        <f t="shared" si="36"/>
        <v/>
      </c>
      <c r="L2335" s="40"/>
      <c r="M2335"/>
      <c r="N2335"/>
      <c r="O2335"/>
      <c r="P2335"/>
      <c r="Q2335"/>
      <c r="R2335"/>
      <c r="S2335"/>
      <c r="T2335"/>
      <c r="U2335"/>
      <c r="V2335"/>
      <c r="W2335" s="41"/>
      <c r="X2335" s="41"/>
      <c r="Y2335" s="41"/>
    </row>
    <row r="2336" s="27" customFormat="1" ht="23" hidden="1" customHeight="1" spans="1:25">
      <c r="A2336" s="133" t="str">
        <f>IF(B2336="","",COUNTA($B$5:B2336))</f>
        <v/>
      </c>
      <c r="B2336" s="148"/>
      <c r="C2336" s="22" t="s">
        <v>49</v>
      </c>
      <c r="D2336" s="149"/>
      <c r="E2336" s="150"/>
      <c r="F2336" s="151"/>
      <c r="G2336" s="151"/>
      <c r="H2336" s="142">
        <f>IFERROR(VLOOKUP($C2336,$C$5:$H$18,6,0)+SUMIF($C$19:$C2336,$C2336,$F$19:$F2336)-SUMIF($C$19:$C2336,$C2336,$G$19:$G2336),"")</f>
        <v>81211.819999998</v>
      </c>
      <c r="I2336" s="147"/>
      <c r="J2336" s="147"/>
      <c r="K2336" s="147" t="str">
        <f t="shared" si="36"/>
        <v/>
      </c>
      <c r="L2336" s="40"/>
      <c r="M2336"/>
      <c r="N2336"/>
      <c r="O2336"/>
      <c r="P2336"/>
      <c r="Q2336"/>
      <c r="R2336"/>
      <c r="S2336"/>
      <c r="T2336"/>
      <c r="U2336"/>
      <c r="V2336"/>
      <c r="W2336" s="41"/>
      <c r="X2336" s="41"/>
      <c r="Y2336" s="41"/>
    </row>
    <row r="2337" s="27" customFormat="1" ht="23" hidden="1" customHeight="1" spans="1:25">
      <c r="A2337" s="133" t="str">
        <f>IF(B2337="","",COUNTA($B$5:B2337))</f>
        <v/>
      </c>
      <c r="B2337" s="148"/>
      <c r="C2337" s="22" t="s">
        <v>49</v>
      </c>
      <c r="D2337" s="149"/>
      <c r="E2337" s="150"/>
      <c r="F2337" s="151"/>
      <c r="G2337" s="151"/>
      <c r="H2337" s="142">
        <f>IFERROR(VLOOKUP($C2337,$C$5:$H$18,6,0)+SUMIF($C$19:$C2337,$C2337,$F$19:$F2337)-SUMIF($C$19:$C2337,$C2337,$G$19:$G2337),"")</f>
        <v>81211.819999998</v>
      </c>
      <c r="I2337" s="147"/>
      <c r="J2337" s="147"/>
      <c r="K2337" s="147" t="str">
        <f t="shared" si="36"/>
        <v/>
      </c>
      <c r="L2337" s="40"/>
      <c r="M2337"/>
      <c r="N2337"/>
      <c r="O2337"/>
      <c r="P2337"/>
      <c r="Q2337"/>
      <c r="R2337"/>
      <c r="S2337"/>
      <c r="T2337"/>
      <c r="U2337"/>
      <c r="V2337"/>
      <c r="W2337" s="41"/>
      <c r="X2337" s="41"/>
      <c r="Y2337" s="41"/>
    </row>
    <row r="2338" s="27" customFormat="1" ht="23" hidden="1" customHeight="1" spans="1:25">
      <c r="A2338" s="133" t="str">
        <f>IF(B2338="","",COUNTA($B$5:B2338))</f>
        <v/>
      </c>
      <c r="B2338" s="148"/>
      <c r="C2338" s="22" t="s">
        <v>49</v>
      </c>
      <c r="D2338" s="149"/>
      <c r="E2338" s="150"/>
      <c r="F2338" s="151"/>
      <c r="G2338" s="151"/>
      <c r="H2338" s="142">
        <f>IFERROR(VLOOKUP($C2338,$C$5:$H$18,6,0)+SUMIF($C$19:$C2338,$C2338,$F$19:$F2338)-SUMIF($C$19:$C2338,$C2338,$G$19:$G2338),"")</f>
        <v>81211.819999998</v>
      </c>
      <c r="I2338" s="147"/>
      <c r="J2338" s="147"/>
      <c r="K2338" s="147" t="str">
        <f t="shared" si="36"/>
        <v/>
      </c>
      <c r="L2338" s="40"/>
      <c r="M2338"/>
      <c r="N2338"/>
      <c r="O2338"/>
      <c r="P2338"/>
      <c r="Q2338"/>
      <c r="R2338"/>
      <c r="S2338"/>
      <c r="T2338"/>
      <c r="U2338"/>
      <c r="V2338"/>
      <c r="W2338" s="41"/>
      <c r="X2338" s="41"/>
      <c r="Y2338" s="41"/>
    </row>
    <row r="2339" s="27" customFormat="1" ht="23" hidden="1" customHeight="1" spans="1:25">
      <c r="A2339" s="133" t="str">
        <f>IF(B2339="","",COUNTA($B$5:B2339))</f>
        <v/>
      </c>
      <c r="B2339" s="148"/>
      <c r="C2339" s="22" t="s">
        <v>49</v>
      </c>
      <c r="D2339" s="149"/>
      <c r="E2339" s="150"/>
      <c r="F2339" s="151"/>
      <c r="G2339" s="151"/>
      <c r="H2339" s="142">
        <f>IFERROR(VLOOKUP($C2339,$C$5:$H$18,6,0)+SUMIF($C$19:$C2339,$C2339,$F$19:$F2339)-SUMIF($C$19:$C2339,$C2339,$G$19:$G2339),"")</f>
        <v>81211.819999998</v>
      </c>
      <c r="I2339" s="147"/>
      <c r="J2339" s="147"/>
      <c r="K2339" s="147" t="str">
        <f t="shared" si="36"/>
        <v/>
      </c>
      <c r="L2339" s="40"/>
      <c r="M2339"/>
      <c r="N2339"/>
      <c r="O2339"/>
      <c r="P2339"/>
      <c r="Q2339"/>
      <c r="R2339"/>
      <c r="S2339"/>
      <c r="T2339"/>
      <c r="U2339"/>
      <c r="V2339"/>
      <c r="W2339" s="41"/>
      <c r="X2339" s="41"/>
      <c r="Y2339" s="41"/>
    </row>
    <row r="2340" s="27" customFormat="1" ht="23" hidden="1" customHeight="1" spans="1:25">
      <c r="A2340" s="133" t="str">
        <f>IF(B2340="","",COUNTA($B$5:B2340))</f>
        <v/>
      </c>
      <c r="B2340" s="148"/>
      <c r="C2340" s="22" t="s">
        <v>49</v>
      </c>
      <c r="D2340" s="149"/>
      <c r="E2340" s="150"/>
      <c r="F2340" s="151"/>
      <c r="G2340" s="151"/>
      <c r="H2340" s="142">
        <f>IFERROR(VLOOKUP($C2340,$C$5:$H$18,6,0)+SUMIF($C$19:$C2340,$C2340,$F$19:$F2340)-SUMIF($C$19:$C2340,$C2340,$G$19:$G2340),"")</f>
        <v>81211.819999998</v>
      </c>
      <c r="I2340" s="147"/>
      <c r="J2340" s="147"/>
      <c r="K2340" s="147" t="str">
        <f t="shared" si="36"/>
        <v/>
      </c>
      <c r="L2340" s="40"/>
      <c r="M2340"/>
      <c r="N2340"/>
      <c r="O2340"/>
      <c r="P2340"/>
      <c r="Q2340"/>
      <c r="R2340"/>
      <c r="S2340"/>
      <c r="T2340"/>
      <c r="U2340"/>
      <c r="V2340"/>
      <c r="W2340" s="41"/>
      <c r="X2340" s="41"/>
      <c r="Y2340" s="41"/>
    </row>
    <row r="2341" s="27" customFormat="1" ht="23" hidden="1" customHeight="1" spans="1:25">
      <c r="A2341" s="133" t="str">
        <f>IF(B2341="","",COUNTA($B$5:B2341))</f>
        <v/>
      </c>
      <c r="B2341" s="148"/>
      <c r="C2341" s="22" t="s">
        <v>49</v>
      </c>
      <c r="D2341" s="149"/>
      <c r="E2341" s="150"/>
      <c r="F2341" s="151"/>
      <c r="G2341" s="151"/>
      <c r="H2341" s="142">
        <f>IFERROR(VLOOKUP($C2341,$C$5:$H$18,6,0)+SUMIF($C$19:$C2341,$C2341,$F$19:$F2341)-SUMIF($C$19:$C2341,$C2341,$G$19:$G2341),"")</f>
        <v>81211.819999998</v>
      </c>
      <c r="I2341" s="147"/>
      <c r="J2341" s="147"/>
      <c r="K2341" s="147" t="str">
        <f t="shared" si="36"/>
        <v/>
      </c>
      <c r="L2341" s="40"/>
      <c r="M2341"/>
      <c r="N2341"/>
      <c r="O2341"/>
      <c r="P2341"/>
      <c r="Q2341"/>
      <c r="R2341"/>
      <c r="S2341"/>
      <c r="T2341"/>
      <c r="U2341"/>
      <c r="V2341"/>
      <c r="W2341" s="41"/>
      <c r="X2341" s="41"/>
      <c r="Y2341" s="41"/>
    </row>
    <row r="2342" s="27" customFormat="1" ht="23" hidden="1" customHeight="1" spans="1:25">
      <c r="A2342" s="133" t="str">
        <f>IF(B2342="","",COUNTA($B$5:B2342))</f>
        <v/>
      </c>
      <c r="B2342" s="148"/>
      <c r="C2342" s="22" t="s">
        <v>49</v>
      </c>
      <c r="D2342" s="149"/>
      <c r="E2342" s="150"/>
      <c r="F2342" s="151"/>
      <c r="G2342" s="151"/>
      <c r="H2342" s="142">
        <f>IFERROR(VLOOKUP($C2342,$C$5:$H$18,6,0)+SUMIF($C$19:$C2342,$C2342,$F$19:$F2342)-SUMIF($C$19:$C2342,$C2342,$G$19:$G2342),"")</f>
        <v>81211.819999998</v>
      </c>
      <c r="I2342" s="147"/>
      <c r="J2342" s="147"/>
      <c r="K2342" s="147" t="str">
        <f t="shared" si="36"/>
        <v/>
      </c>
      <c r="L2342" s="40"/>
      <c r="M2342"/>
      <c r="N2342"/>
      <c r="O2342"/>
      <c r="P2342"/>
      <c r="Q2342"/>
      <c r="R2342"/>
      <c r="S2342"/>
      <c r="T2342"/>
      <c r="U2342"/>
      <c r="V2342"/>
      <c r="W2342" s="41"/>
      <c r="X2342" s="41"/>
      <c r="Y2342" s="41"/>
    </row>
    <row r="2343" s="27" customFormat="1" ht="23" hidden="1" customHeight="1" spans="1:25">
      <c r="A2343" s="133" t="str">
        <f>IF(B2343="","",COUNTA($B$5:B2343))</f>
        <v/>
      </c>
      <c r="B2343" s="148"/>
      <c r="C2343" s="22" t="s">
        <v>49</v>
      </c>
      <c r="D2343" s="149"/>
      <c r="E2343" s="150"/>
      <c r="F2343" s="151"/>
      <c r="G2343" s="151"/>
      <c r="H2343" s="142">
        <f>IFERROR(VLOOKUP($C2343,$C$5:$H$18,6,0)+SUMIF($C$19:$C2343,$C2343,$F$19:$F2343)-SUMIF($C$19:$C2343,$C2343,$G$19:$G2343),"")</f>
        <v>81211.819999998</v>
      </c>
      <c r="I2343" s="147"/>
      <c r="J2343" s="147"/>
      <c r="K2343" s="147" t="str">
        <f t="shared" si="36"/>
        <v/>
      </c>
      <c r="L2343" s="40"/>
      <c r="M2343"/>
      <c r="N2343"/>
      <c r="O2343"/>
      <c r="P2343"/>
      <c r="Q2343"/>
      <c r="R2343"/>
      <c r="S2343"/>
      <c r="T2343"/>
      <c r="U2343"/>
      <c r="V2343"/>
      <c r="W2343" s="41"/>
      <c r="X2343" s="41"/>
      <c r="Y2343" s="41"/>
    </row>
    <row r="2344" s="27" customFormat="1" ht="23" hidden="1" customHeight="1" spans="1:25">
      <c r="A2344" s="133" t="str">
        <f>IF(B2344="","",COUNTA($B$5:B2344))</f>
        <v/>
      </c>
      <c r="B2344" s="148"/>
      <c r="C2344" s="22" t="s">
        <v>49</v>
      </c>
      <c r="D2344" s="149"/>
      <c r="E2344" s="150"/>
      <c r="F2344" s="151"/>
      <c r="G2344" s="151"/>
      <c r="H2344" s="142">
        <f>IFERROR(VLOOKUP($C2344,$C$5:$H$18,6,0)+SUMIF($C$19:$C2344,$C2344,$F$19:$F2344)-SUMIF($C$19:$C2344,$C2344,$G$19:$G2344),"")</f>
        <v>81211.819999998</v>
      </c>
      <c r="I2344" s="147"/>
      <c r="J2344" s="147"/>
      <c r="K2344" s="147" t="str">
        <f t="shared" si="36"/>
        <v/>
      </c>
      <c r="L2344" s="40"/>
      <c r="M2344"/>
      <c r="N2344"/>
      <c r="O2344"/>
      <c r="P2344"/>
      <c r="Q2344"/>
      <c r="R2344"/>
      <c r="S2344"/>
      <c r="T2344"/>
      <c r="U2344"/>
      <c r="V2344"/>
      <c r="W2344" s="41"/>
      <c r="X2344" s="41"/>
      <c r="Y2344" s="41"/>
    </row>
    <row r="2345" s="27" customFormat="1" ht="23" hidden="1" customHeight="1" spans="1:25">
      <c r="A2345" s="133" t="str">
        <f>IF(B2345="","",COUNTA($B$5:B2345))</f>
        <v/>
      </c>
      <c r="B2345" s="148"/>
      <c r="C2345" s="22" t="s">
        <v>49</v>
      </c>
      <c r="D2345" s="149"/>
      <c r="E2345" s="150"/>
      <c r="F2345" s="151"/>
      <c r="G2345" s="151"/>
      <c r="H2345" s="142">
        <f>IFERROR(VLOOKUP($C2345,$C$5:$H$18,6,0)+SUMIF($C$19:$C2345,$C2345,$F$19:$F2345)-SUMIF($C$19:$C2345,$C2345,$G$19:$G2345),"")</f>
        <v>81211.819999998</v>
      </c>
      <c r="I2345" s="147"/>
      <c r="J2345" s="147"/>
      <c r="K2345" s="147" t="str">
        <f t="shared" si="36"/>
        <v/>
      </c>
      <c r="L2345" s="40"/>
      <c r="M2345"/>
      <c r="N2345"/>
      <c r="O2345"/>
      <c r="P2345"/>
      <c r="Q2345"/>
      <c r="R2345"/>
      <c r="S2345"/>
      <c r="T2345"/>
      <c r="U2345"/>
      <c r="V2345"/>
      <c r="W2345" s="41"/>
      <c r="X2345" s="41"/>
      <c r="Y2345" s="41"/>
    </row>
    <row r="2346" s="27" customFormat="1" ht="23" hidden="1" customHeight="1" spans="1:25">
      <c r="A2346" s="133" t="str">
        <f>IF(B2346="","",COUNTA($B$5:B2346))</f>
        <v/>
      </c>
      <c r="B2346" s="148"/>
      <c r="C2346" s="22" t="s">
        <v>49</v>
      </c>
      <c r="D2346" s="149"/>
      <c r="E2346" s="150"/>
      <c r="F2346" s="151"/>
      <c r="G2346" s="151"/>
      <c r="H2346" s="142">
        <f>IFERROR(VLOOKUP($C2346,$C$5:$H$18,6,0)+SUMIF($C$19:$C2346,$C2346,$F$19:$F2346)-SUMIF($C$19:$C2346,$C2346,$G$19:$G2346),"")</f>
        <v>81211.819999998</v>
      </c>
      <c r="I2346" s="147"/>
      <c r="J2346" s="147"/>
      <c r="K2346" s="147" t="str">
        <f t="shared" si="36"/>
        <v/>
      </c>
      <c r="L2346" s="40"/>
      <c r="M2346"/>
      <c r="N2346"/>
      <c r="O2346"/>
      <c r="P2346"/>
      <c r="Q2346"/>
      <c r="R2346"/>
      <c r="S2346"/>
      <c r="T2346"/>
      <c r="U2346"/>
      <c r="V2346"/>
      <c r="W2346" s="41"/>
      <c r="X2346" s="41"/>
      <c r="Y2346" s="41"/>
    </row>
    <row r="2347" s="27" customFormat="1" ht="23" hidden="1" customHeight="1" spans="1:25">
      <c r="A2347" s="133" t="str">
        <f>IF(B2347="","",COUNTA($B$5:B2347))</f>
        <v/>
      </c>
      <c r="B2347" s="148"/>
      <c r="C2347" s="22" t="s">
        <v>49</v>
      </c>
      <c r="D2347" s="149"/>
      <c r="E2347" s="150"/>
      <c r="F2347" s="151"/>
      <c r="G2347" s="151"/>
      <c r="H2347" s="142">
        <f>IFERROR(VLOOKUP($C2347,$C$5:$H$18,6,0)+SUMIF($C$19:$C2347,$C2347,$F$19:$F2347)-SUMIF($C$19:$C2347,$C2347,$G$19:$G2347),"")</f>
        <v>81211.819999998</v>
      </c>
      <c r="I2347" s="147"/>
      <c r="J2347" s="147"/>
      <c r="K2347" s="147" t="str">
        <f t="shared" si="36"/>
        <v/>
      </c>
      <c r="L2347" s="40"/>
      <c r="M2347"/>
      <c r="N2347"/>
      <c r="O2347"/>
      <c r="P2347"/>
      <c r="Q2347"/>
      <c r="R2347"/>
      <c r="S2347"/>
      <c r="T2347"/>
      <c r="U2347"/>
      <c r="V2347"/>
      <c r="W2347" s="41"/>
      <c r="X2347" s="41"/>
      <c r="Y2347" s="41"/>
    </row>
    <row r="2348" s="27" customFormat="1" ht="23" hidden="1" customHeight="1" spans="1:25">
      <c r="A2348" s="133" t="str">
        <f>IF(B2348="","",COUNTA($B$5:B2348))</f>
        <v/>
      </c>
      <c r="B2348" s="148"/>
      <c r="C2348" s="22" t="s">
        <v>49</v>
      </c>
      <c r="D2348" s="149"/>
      <c r="E2348" s="150"/>
      <c r="F2348" s="151"/>
      <c r="G2348" s="151"/>
      <c r="H2348" s="142">
        <f>IFERROR(VLOOKUP($C2348,$C$5:$H$18,6,0)+SUMIF($C$19:$C2348,$C2348,$F$19:$F2348)-SUMIF($C$19:$C2348,$C2348,$G$19:$G2348),"")</f>
        <v>81211.819999998</v>
      </c>
      <c r="I2348" s="147"/>
      <c r="J2348" s="147"/>
      <c r="K2348" s="147" t="str">
        <f t="shared" si="36"/>
        <v/>
      </c>
      <c r="L2348" s="40"/>
      <c r="M2348"/>
      <c r="N2348"/>
      <c r="O2348"/>
      <c r="P2348"/>
      <c r="Q2348"/>
      <c r="R2348"/>
      <c r="S2348"/>
      <c r="T2348"/>
      <c r="U2348"/>
      <c r="V2348"/>
      <c r="W2348" s="41"/>
      <c r="X2348" s="41"/>
      <c r="Y2348" s="41"/>
    </row>
    <row r="2349" s="27" customFormat="1" ht="23" hidden="1" customHeight="1" spans="1:25">
      <c r="A2349" s="133" t="str">
        <f>IF(B2349="","",COUNTA($B$5:B2349))</f>
        <v/>
      </c>
      <c r="B2349" s="148"/>
      <c r="C2349" s="22" t="s">
        <v>49</v>
      </c>
      <c r="D2349" s="149"/>
      <c r="E2349" s="150"/>
      <c r="F2349" s="151"/>
      <c r="G2349" s="151"/>
      <c r="H2349" s="142">
        <f>IFERROR(VLOOKUP($C2349,$C$5:$H$18,6,0)+SUMIF($C$19:$C2349,$C2349,$F$19:$F2349)-SUMIF($C$19:$C2349,$C2349,$G$19:$G2349),"")</f>
        <v>81211.819999998</v>
      </c>
      <c r="I2349" s="147"/>
      <c r="J2349" s="147"/>
      <c r="K2349" s="147" t="str">
        <f t="shared" si="36"/>
        <v/>
      </c>
      <c r="L2349" s="40"/>
      <c r="M2349"/>
      <c r="N2349"/>
      <c r="O2349"/>
      <c r="P2349"/>
      <c r="Q2349"/>
      <c r="R2349"/>
      <c r="S2349"/>
      <c r="T2349"/>
      <c r="U2349"/>
      <c r="V2349"/>
      <c r="W2349" s="41"/>
      <c r="X2349" s="41"/>
      <c r="Y2349" s="41"/>
    </row>
    <row r="2350" s="27" customFormat="1" ht="23" hidden="1" customHeight="1" spans="1:25">
      <c r="A2350" s="133" t="str">
        <f>IF(B2350="","",COUNTA($B$5:B2350))</f>
        <v/>
      </c>
      <c r="B2350" s="148"/>
      <c r="C2350" s="22" t="s">
        <v>49</v>
      </c>
      <c r="D2350" s="149"/>
      <c r="E2350" s="150"/>
      <c r="F2350" s="151"/>
      <c r="G2350" s="151"/>
      <c r="H2350" s="142">
        <f>IFERROR(VLOOKUP($C2350,$C$5:$H$18,6,0)+SUMIF($C$19:$C2350,$C2350,$F$19:$F2350)-SUMIF($C$19:$C2350,$C2350,$G$19:$G2350),"")</f>
        <v>81211.819999998</v>
      </c>
      <c r="I2350" s="147"/>
      <c r="J2350" s="147"/>
      <c r="K2350" s="147" t="str">
        <f t="shared" si="36"/>
        <v/>
      </c>
      <c r="L2350" s="40"/>
      <c r="M2350"/>
      <c r="N2350"/>
      <c r="O2350"/>
      <c r="P2350"/>
      <c r="Q2350"/>
      <c r="R2350"/>
      <c r="S2350"/>
      <c r="T2350"/>
      <c r="U2350"/>
      <c r="V2350"/>
      <c r="W2350" s="41"/>
      <c r="X2350" s="41"/>
      <c r="Y2350" s="41"/>
    </row>
    <row r="2351" s="27" customFormat="1" ht="23" hidden="1" customHeight="1" spans="1:25">
      <c r="A2351" s="133" t="str">
        <f>IF(B2351="","",COUNTA($B$5:B2351))</f>
        <v/>
      </c>
      <c r="B2351" s="148"/>
      <c r="C2351" s="22" t="s">
        <v>49</v>
      </c>
      <c r="D2351" s="149"/>
      <c r="E2351" s="150"/>
      <c r="F2351" s="151"/>
      <c r="G2351" s="151"/>
      <c r="H2351" s="142">
        <f>IFERROR(VLOOKUP($C2351,$C$5:$H$18,6,0)+SUMIF($C$19:$C2351,$C2351,$F$19:$F2351)-SUMIF($C$19:$C2351,$C2351,$G$19:$G2351),"")</f>
        <v>81211.819999998</v>
      </c>
      <c r="I2351" s="147"/>
      <c r="J2351" s="147"/>
      <c r="K2351" s="147" t="str">
        <f t="shared" si="36"/>
        <v/>
      </c>
      <c r="L2351" s="40"/>
      <c r="M2351"/>
      <c r="N2351"/>
      <c r="O2351"/>
      <c r="P2351"/>
      <c r="Q2351"/>
      <c r="R2351"/>
      <c r="S2351"/>
      <c r="T2351"/>
      <c r="U2351"/>
      <c r="V2351"/>
      <c r="W2351" s="41"/>
      <c r="X2351" s="41"/>
      <c r="Y2351" s="41"/>
    </row>
    <row r="2352" s="27" customFormat="1" ht="23" hidden="1" customHeight="1" spans="1:25">
      <c r="A2352" s="133" t="str">
        <f>IF(B2352="","",COUNTA($B$5:B2352))</f>
        <v/>
      </c>
      <c r="B2352" s="148"/>
      <c r="C2352" s="22" t="s">
        <v>49</v>
      </c>
      <c r="D2352" s="149"/>
      <c r="E2352" s="150"/>
      <c r="F2352" s="151"/>
      <c r="G2352" s="151"/>
      <c r="H2352" s="142">
        <f>IFERROR(VLOOKUP($C2352,$C$5:$H$18,6,0)+SUMIF($C$19:$C2352,$C2352,$F$19:$F2352)-SUMIF($C$19:$C2352,$C2352,$G$19:$G2352),"")</f>
        <v>81211.819999998</v>
      </c>
      <c r="I2352" s="147"/>
      <c r="J2352" s="147"/>
      <c r="K2352" s="147" t="str">
        <f t="shared" si="36"/>
        <v/>
      </c>
      <c r="L2352" s="40"/>
      <c r="M2352"/>
      <c r="N2352"/>
      <c r="O2352"/>
      <c r="P2352"/>
      <c r="Q2352"/>
      <c r="R2352"/>
      <c r="S2352"/>
      <c r="T2352"/>
      <c r="U2352"/>
      <c r="V2352"/>
      <c r="W2352" s="41"/>
      <c r="X2352" s="41"/>
      <c r="Y2352" s="41"/>
    </row>
    <row r="2353" s="27" customFormat="1" ht="23" hidden="1" customHeight="1" spans="1:25">
      <c r="A2353" s="133" t="str">
        <f>IF(B2353="","",COUNTA($B$5:B2353))</f>
        <v/>
      </c>
      <c r="B2353" s="148"/>
      <c r="C2353" s="22" t="s">
        <v>49</v>
      </c>
      <c r="D2353" s="149"/>
      <c r="E2353" s="150"/>
      <c r="F2353" s="151"/>
      <c r="G2353" s="151"/>
      <c r="H2353" s="142">
        <f>IFERROR(VLOOKUP($C2353,$C$5:$H$18,6,0)+SUMIF($C$19:$C2353,$C2353,$F$19:$F2353)-SUMIF($C$19:$C2353,$C2353,$G$19:$G2353),"")</f>
        <v>81211.819999998</v>
      </c>
      <c r="I2353" s="147"/>
      <c r="J2353" s="147"/>
      <c r="K2353" s="147" t="str">
        <f t="shared" si="36"/>
        <v/>
      </c>
      <c r="L2353" s="40"/>
      <c r="M2353"/>
      <c r="N2353"/>
      <c r="O2353"/>
      <c r="P2353"/>
      <c r="Q2353"/>
      <c r="R2353"/>
      <c r="S2353"/>
      <c r="T2353"/>
      <c r="U2353"/>
      <c r="V2353"/>
      <c r="W2353" s="41"/>
      <c r="X2353" s="41"/>
      <c r="Y2353" s="41"/>
    </row>
    <row r="2354" s="27" customFormat="1" ht="23" hidden="1" customHeight="1" spans="1:25">
      <c r="A2354" s="133" t="str">
        <f>IF(B2354="","",COUNTA($B$5:B2354))</f>
        <v/>
      </c>
      <c r="B2354" s="148"/>
      <c r="C2354" s="22" t="s">
        <v>49</v>
      </c>
      <c r="D2354" s="149"/>
      <c r="E2354" s="150"/>
      <c r="F2354" s="151"/>
      <c r="G2354" s="151"/>
      <c r="H2354" s="142">
        <f>IFERROR(VLOOKUP($C2354,$C$5:$H$18,6,0)+SUMIF($C$19:$C2354,$C2354,$F$19:$F2354)-SUMIF($C$19:$C2354,$C2354,$G$19:$G2354),"")</f>
        <v>81211.819999998</v>
      </c>
      <c r="I2354" s="147"/>
      <c r="J2354" s="147"/>
      <c r="K2354" s="147" t="str">
        <f t="shared" si="36"/>
        <v/>
      </c>
      <c r="L2354" s="40"/>
      <c r="M2354"/>
      <c r="N2354"/>
      <c r="O2354"/>
      <c r="P2354"/>
      <c r="Q2354"/>
      <c r="R2354"/>
      <c r="S2354"/>
      <c r="T2354"/>
      <c r="U2354"/>
      <c r="V2354"/>
      <c r="W2354" s="41"/>
      <c r="X2354" s="41"/>
      <c r="Y2354" s="41"/>
    </row>
    <row r="2355" s="27" customFormat="1" ht="23" hidden="1" customHeight="1" spans="1:25">
      <c r="A2355" s="133" t="str">
        <f>IF(B2355="","",COUNTA($B$5:B2355))</f>
        <v/>
      </c>
      <c r="B2355" s="148"/>
      <c r="C2355" s="22" t="s">
        <v>49</v>
      </c>
      <c r="D2355" s="149"/>
      <c r="E2355" s="150"/>
      <c r="F2355" s="151"/>
      <c r="G2355" s="151"/>
      <c r="H2355" s="142">
        <f>IFERROR(VLOOKUP($C2355,$C$5:$H$18,6,0)+SUMIF($C$19:$C2355,$C2355,$F$19:$F2355)-SUMIF($C$19:$C2355,$C2355,$G$19:$G2355),"")</f>
        <v>81211.819999998</v>
      </c>
      <c r="I2355" s="147"/>
      <c r="J2355" s="147"/>
      <c r="K2355" s="147" t="str">
        <f t="shared" si="36"/>
        <v/>
      </c>
      <c r="L2355" s="40"/>
      <c r="M2355"/>
      <c r="N2355"/>
      <c r="O2355"/>
      <c r="P2355"/>
      <c r="Q2355"/>
      <c r="R2355"/>
      <c r="S2355"/>
      <c r="T2355"/>
      <c r="U2355"/>
      <c r="V2355"/>
      <c r="W2355" s="41"/>
      <c r="X2355" s="41"/>
      <c r="Y2355" s="41"/>
    </row>
    <row r="2356" s="27" customFormat="1" ht="23" hidden="1" customHeight="1" spans="1:25">
      <c r="A2356" s="133" t="str">
        <f>IF(B2356="","",COUNTA($B$5:B2356))</f>
        <v/>
      </c>
      <c r="B2356" s="148"/>
      <c r="C2356" s="22" t="s">
        <v>49</v>
      </c>
      <c r="D2356" s="149"/>
      <c r="E2356" s="150"/>
      <c r="F2356" s="151"/>
      <c r="G2356" s="151"/>
      <c r="H2356" s="142">
        <f>IFERROR(VLOOKUP($C2356,$C$5:$H$18,6,0)+SUMIF($C$19:$C2356,$C2356,$F$19:$F2356)-SUMIF($C$19:$C2356,$C2356,$G$19:$G2356),"")</f>
        <v>81211.819999998</v>
      </c>
      <c r="I2356" s="147"/>
      <c r="J2356" s="147"/>
      <c r="K2356" s="147" t="str">
        <f t="shared" si="36"/>
        <v/>
      </c>
      <c r="L2356" s="40"/>
      <c r="M2356"/>
      <c r="N2356"/>
      <c r="O2356"/>
      <c r="P2356"/>
      <c r="Q2356"/>
      <c r="R2356"/>
      <c r="S2356"/>
      <c r="T2356"/>
      <c r="U2356"/>
      <c r="V2356"/>
      <c r="W2356" s="41"/>
      <c r="X2356" s="41"/>
      <c r="Y2356" s="41"/>
    </row>
    <row r="2357" s="27" customFormat="1" ht="23" hidden="1" customHeight="1" spans="1:25">
      <c r="A2357" s="133" t="str">
        <f>IF(B2357="","",COUNTA($B$5:B2357))</f>
        <v/>
      </c>
      <c r="B2357" s="148"/>
      <c r="C2357" s="22" t="s">
        <v>49</v>
      </c>
      <c r="D2357" s="149"/>
      <c r="E2357" s="150"/>
      <c r="F2357" s="151"/>
      <c r="G2357" s="151"/>
      <c r="H2357" s="142">
        <f>IFERROR(VLOOKUP($C2357,$C$5:$H$18,6,0)+SUMIF($C$19:$C2357,$C2357,$F$19:$F2357)-SUMIF($C$19:$C2357,$C2357,$G$19:$G2357),"")</f>
        <v>81211.819999998</v>
      </c>
      <c r="I2357" s="147"/>
      <c r="J2357" s="147"/>
      <c r="K2357" s="147" t="str">
        <f t="shared" si="36"/>
        <v/>
      </c>
      <c r="L2357" s="40"/>
      <c r="M2357"/>
      <c r="N2357"/>
      <c r="O2357"/>
      <c r="P2357"/>
      <c r="Q2357"/>
      <c r="R2357"/>
      <c r="S2357"/>
      <c r="T2357"/>
      <c r="U2357"/>
      <c r="V2357"/>
      <c r="W2357" s="41"/>
      <c r="X2357" s="41"/>
      <c r="Y2357" s="41"/>
    </row>
    <row r="2358" s="27" customFormat="1" ht="23" hidden="1" customHeight="1" spans="1:25">
      <c r="A2358" s="133" t="str">
        <f>IF(B2358="","",COUNTA($B$5:B2358))</f>
        <v/>
      </c>
      <c r="B2358" s="148"/>
      <c r="C2358" s="22" t="s">
        <v>49</v>
      </c>
      <c r="D2358" s="149"/>
      <c r="E2358" s="150"/>
      <c r="F2358" s="151"/>
      <c r="G2358" s="151"/>
      <c r="H2358" s="142">
        <f>IFERROR(VLOOKUP($C2358,$C$5:$H$18,6,0)+SUMIF($C$19:$C2358,$C2358,$F$19:$F2358)-SUMIF($C$19:$C2358,$C2358,$G$19:$G2358),"")</f>
        <v>81211.819999998</v>
      </c>
      <c r="I2358" s="147"/>
      <c r="J2358" s="147"/>
      <c r="K2358" s="147" t="str">
        <f t="shared" si="36"/>
        <v/>
      </c>
      <c r="L2358" s="40"/>
      <c r="M2358"/>
      <c r="N2358"/>
      <c r="O2358"/>
      <c r="P2358"/>
      <c r="Q2358"/>
      <c r="R2358"/>
      <c r="S2358"/>
      <c r="T2358"/>
      <c r="U2358"/>
      <c r="V2358"/>
      <c r="W2358" s="41"/>
      <c r="X2358" s="41"/>
      <c r="Y2358" s="41"/>
    </row>
    <row r="2359" s="27" customFormat="1" ht="23" hidden="1" customHeight="1" spans="1:25">
      <c r="A2359" s="133" t="str">
        <f>IF(B2359="","",COUNTA($B$5:B2359))</f>
        <v/>
      </c>
      <c r="B2359" s="148"/>
      <c r="C2359" s="22" t="s">
        <v>49</v>
      </c>
      <c r="D2359" s="149"/>
      <c r="E2359" s="150"/>
      <c r="F2359" s="151"/>
      <c r="G2359" s="151"/>
      <c r="H2359" s="142">
        <f>IFERROR(VLOOKUP($C2359,$C$5:$H$18,6,0)+SUMIF($C$19:$C2359,$C2359,$F$19:$F2359)-SUMIF($C$19:$C2359,$C2359,$G$19:$G2359),"")</f>
        <v>81211.819999998</v>
      </c>
      <c r="I2359" s="147"/>
      <c r="J2359" s="147"/>
      <c r="K2359" s="147" t="str">
        <f t="shared" si="36"/>
        <v/>
      </c>
      <c r="L2359" s="40"/>
      <c r="M2359"/>
      <c r="N2359"/>
      <c r="O2359"/>
      <c r="P2359"/>
      <c r="Q2359"/>
      <c r="R2359"/>
      <c r="S2359"/>
      <c r="T2359"/>
      <c r="U2359"/>
      <c r="V2359"/>
      <c r="W2359" s="41"/>
      <c r="X2359" s="41"/>
      <c r="Y2359" s="41"/>
    </row>
    <row r="2360" s="27" customFormat="1" ht="23" hidden="1" customHeight="1" spans="1:25">
      <c r="A2360" s="133" t="str">
        <f>IF(B2360="","",COUNTA($B$5:B2360))</f>
        <v/>
      </c>
      <c r="B2360" s="148"/>
      <c r="C2360" s="22" t="s">
        <v>49</v>
      </c>
      <c r="D2360" s="149"/>
      <c r="E2360" s="150"/>
      <c r="F2360" s="151"/>
      <c r="G2360" s="151"/>
      <c r="H2360" s="142">
        <f>IFERROR(VLOOKUP($C2360,$C$5:$H$18,6,0)+SUMIF($C$19:$C2360,$C2360,$F$19:$F2360)-SUMIF($C$19:$C2360,$C2360,$G$19:$G2360),"")</f>
        <v>81211.819999998</v>
      </c>
      <c r="I2360" s="147"/>
      <c r="J2360" s="147"/>
      <c r="K2360" s="147" t="str">
        <f t="shared" si="36"/>
        <v/>
      </c>
      <c r="L2360" s="40"/>
      <c r="M2360"/>
      <c r="N2360"/>
      <c r="O2360"/>
      <c r="P2360"/>
      <c r="Q2360"/>
      <c r="R2360"/>
      <c r="S2360"/>
      <c r="T2360"/>
      <c r="U2360"/>
      <c r="V2360"/>
      <c r="W2360" s="41"/>
      <c r="X2360" s="41"/>
      <c r="Y2360" s="41"/>
    </row>
    <row r="2361" s="27" customFormat="1" ht="23" hidden="1" customHeight="1" spans="1:25">
      <c r="A2361" s="133" t="str">
        <f>IF(B2361="","",COUNTA($B$5:B2361))</f>
        <v/>
      </c>
      <c r="B2361" s="148"/>
      <c r="C2361" s="22" t="s">
        <v>49</v>
      </c>
      <c r="D2361" s="149"/>
      <c r="E2361" s="150"/>
      <c r="F2361" s="151"/>
      <c r="G2361" s="151"/>
      <c r="H2361" s="142">
        <f>IFERROR(VLOOKUP($C2361,$C$5:$H$18,6,0)+SUMIF($C$19:$C2361,$C2361,$F$19:$F2361)-SUMIF($C$19:$C2361,$C2361,$G$19:$G2361),"")</f>
        <v>81211.819999998</v>
      </c>
      <c r="I2361" s="147"/>
      <c r="J2361" s="147"/>
      <c r="K2361" s="147" t="str">
        <f t="shared" si="36"/>
        <v/>
      </c>
      <c r="L2361" s="40"/>
      <c r="M2361"/>
      <c r="N2361"/>
      <c r="O2361"/>
      <c r="P2361"/>
      <c r="Q2361"/>
      <c r="R2361"/>
      <c r="S2361"/>
      <c r="T2361"/>
      <c r="U2361"/>
      <c r="V2361"/>
      <c r="W2361" s="41"/>
      <c r="X2361" s="41"/>
      <c r="Y2361" s="41"/>
    </row>
    <row r="2362" s="27" customFormat="1" ht="23" hidden="1" customHeight="1" spans="1:25">
      <c r="A2362" s="133" t="str">
        <f>IF(B2362="","",COUNTA($B$5:B2362))</f>
        <v/>
      </c>
      <c r="B2362" s="148"/>
      <c r="C2362" s="22" t="s">
        <v>49</v>
      </c>
      <c r="D2362" s="149"/>
      <c r="E2362" s="150"/>
      <c r="F2362" s="151"/>
      <c r="G2362" s="151"/>
      <c r="H2362" s="142">
        <f>IFERROR(VLOOKUP($C2362,$C$5:$H$18,6,0)+SUMIF($C$19:$C2362,$C2362,$F$19:$F2362)-SUMIF($C$19:$C2362,$C2362,$G$19:$G2362),"")</f>
        <v>81211.819999998</v>
      </c>
      <c r="I2362" s="147"/>
      <c r="J2362" s="147"/>
      <c r="K2362" s="147" t="str">
        <f t="shared" si="36"/>
        <v/>
      </c>
      <c r="L2362" s="40"/>
      <c r="M2362"/>
      <c r="N2362"/>
      <c r="O2362"/>
      <c r="P2362"/>
      <c r="Q2362"/>
      <c r="R2362"/>
      <c r="S2362"/>
      <c r="T2362"/>
      <c r="U2362"/>
      <c r="V2362"/>
      <c r="W2362" s="41"/>
      <c r="X2362" s="41"/>
      <c r="Y2362" s="41"/>
    </row>
    <row r="2363" s="27" customFormat="1" ht="23" hidden="1" customHeight="1" spans="1:25">
      <c r="A2363" s="133" t="str">
        <f>IF(B2363="","",COUNTA($B$5:B2363))</f>
        <v/>
      </c>
      <c r="B2363" s="148"/>
      <c r="C2363" s="22" t="s">
        <v>49</v>
      </c>
      <c r="D2363" s="149"/>
      <c r="E2363" s="150"/>
      <c r="F2363" s="151"/>
      <c r="G2363" s="151"/>
      <c r="H2363" s="142">
        <f>IFERROR(VLOOKUP($C2363,$C$5:$H$18,6,0)+SUMIF($C$19:$C2363,$C2363,$F$19:$F2363)-SUMIF($C$19:$C2363,$C2363,$G$19:$G2363),"")</f>
        <v>81211.819999998</v>
      </c>
      <c r="I2363" s="147"/>
      <c r="J2363" s="147"/>
      <c r="K2363" s="147" t="str">
        <f t="shared" si="36"/>
        <v/>
      </c>
      <c r="L2363" s="40"/>
      <c r="M2363"/>
      <c r="N2363"/>
      <c r="O2363"/>
      <c r="P2363"/>
      <c r="Q2363"/>
      <c r="R2363"/>
      <c r="S2363"/>
      <c r="T2363"/>
      <c r="U2363"/>
      <c r="V2363"/>
      <c r="W2363" s="41"/>
      <c r="X2363" s="41"/>
      <c r="Y2363" s="41"/>
    </row>
    <row r="2364" s="27" customFormat="1" ht="23" hidden="1" customHeight="1" spans="1:25">
      <c r="A2364" s="133" t="str">
        <f>IF(B2364="","",COUNTA($B$5:B2364))</f>
        <v/>
      </c>
      <c r="B2364" s="148"/>
      <c r="C2364" s="22" t="s">
        <v>49</v>
      </c>
      <c r="D2364" s="149"/>
      <c r="E2364" s="150"/>
      <c r="F2364" s="151"/>
      <c r="G2364" s="151"/>
      <c r="H2364" s="142">
        <f>IFERROR(VLOOKUP($C2364,$C$5:$H$18,6,0)+SUMIF($C$19:$C2364,$C2364,$F$19:$F2364)-SUMIF($C$19:$C2364,$C2364,$G$19:$G2364),"")</f>
        <v>81211.819999998</v>
      </c>
      <c r="I2364" s="147"/>
      <c r="J2364" s="147"/>
      <c r="K2364" s="147" t="str">
        <f t="shared" si="36"/>
        <v/>
      </c>
      <c r="L2364" s="40"/>
      <c r="M2364"/>
      <c r="N2364"/>
      <c r="O2364"/>
      <c r="P2364"/>
      <c r="Q2364"/>
      <c r="R2364"/>
      <c r="S2364"/>
      <c r="T2364"/>
      <c r="U2364"/>
      <c r="V2364"/>
      <c r="W2364" s="41"/>
      <c r="X2364" s="41"/>
      <c r="Y2364" s="41"/>
    </row>
    <row r="2365" s="27" customFormat="1" ht="23" hidden="1" customHeight="1" spans="1:25">
      <c r="A2365" s="133" t="str">
        <f>IF(B2365="","",COUNTA($B$5:B2365))</f>
        <v/>
      </c>
      <c r="B2365" s="148"/>
      <c r="C2365" s="22" t="s">
        <v>49</v>
      </c>
      <c r="D2365" s="149"/>
      <c r="E2365" s="150"/>
      <c r="F2365" s="151"/>
      <c r="G2365" s="151"/>
      <c r="H2365" s="142">
        <f>IFERROR(VLOOKUP($C2365,$C$5:$H$18,6,0)+SUMIF($C$19:$C2365,$C2365,$F$19:$F2365)-SUMIF($C$19:$C2365,$C2365,$G$19:$G2365),"")</f>
        <v>81211.819999998</v>
      </c>
      <c r="I2365" s="147"/>
      <c r="J2365" s="147"/>
      <c r="K2365" s="147" t="str">
        <f t="shared" si="36"/>
        <v/>
      </c>
      <c r="L2365" s="40"/>
      <c r="M2365"/>
      <c r="N2365"/>
      <c r="O2365"/>
      <c r="P2365"/>
      <c r="Q2365"/>
      <c r="R2365"/>
      <c r="S2365"/>
      <c r="T2365"/>
      <c r="U2365"/>
      <c r="V2365"/>
      <c r="W2365" s="41"/>
      <c r="X2365" s="41"/>
      <c r="Y2365" s="41"/>
    </row>
    <row r="2366" s="27" customFormat="1" ht="23" hidden="1" customHeight="1" spans="1:25">
      <c r="A2366" s="133" t="str">
        <f>IF(B2366="","",COUNTA($B$5:B2366))</f>
        <v/>
      </c>
      <c r="B2366" s="148"/>
      <c r="C2366" s="22" t="s">
        <v>49</v>
      </c>
      <c r="D2366" s="149"/>
      <c r="E2366" s="150"/>
      <c r="F2366" s="151"/>
      <c r="G2366" s="151"/>
      <c r="H2366" s="142">
        <f>IFERROR(VLOOKUP($C2366,$C$5:$H$18,6,0)+SUMIF($C$19:$C2366,$C2366,$F$19:$F2366)-SUMIF($C$19:$C2366,$C2366,$G$19:$G2366),"")</f>
        <v>81211.819999998</v>
      </c>
      <c r="I2366" s="147"/>
      <c r="J2366" s="147"/>
      <c r="K2366" s="147" t="str">
        <f t="shared" si="36"/>
        <v/>
      </c>
      <c r="L2366" s="40"/>
      <c r="M2366"/>
      <c r="N2366"/>
      <c r="O2366"/>
      <c r="P2366"/>
      <c r="Q2366"/>
      <c r="R2366"/>
      <c r="S2366"/>
      <c r="T2366"/>
      <c r="U2366"/>
      <c r="V2366"/>
      <c r="W2366" s="41"/>
      <c r="X2366" s="41"/>
      <c r="Y2366" s="41"/>
    </row>
    <row r="2367" s="27" customFormat="1" ht="23" hidden="1" customHeight="1" spans="1:25">
      <c r="A2367" s="133" t="str">
        <f>IF(B2367="","",COUNTA($B$5:B2367))</f>
        <v/>
      </c>
      <c r="B2367" s="148"/>
      <c r="C2367" s="22" t="s">
        <v>49</v>
      </c>
      <c r="D2367" s="149"/>
      <c r="E2367" s="150"/>
      <c r="F2367" s="151"/>
      <c r="G2367" s="151"/>
      <c r="H2367" s="142">
        <f>IFERROR(VLOOKUP($C2367,$C$5:$H$18,6,0)+SUMIF($C$19:$C2367,$C2367,$F$19:$F2367)-SUMIF($C$19:$C2367,$C2367,$G$19:$G2367),"")</f>
        <v>81211.819999998</v>
      </c>
      <c r="I2367" s="147"/>
      <c r="J2367" s="147"/>
      <c r="K2367" s="147" t="str">
        <f t="shared" si="36"/>
        <v/>
      </c>
      <c r="L2367" s="40"/>
      <c r="M2367"/>
      <c r="N2367"/>
      <c r="O2367"/>
      <c r="P2367"/>
      <c r="Q2367"/>
      <c r="R2367"/>
      <c r="S2367"/>
      <c r="T2367"/>
      <c r="U2367"/>
      <c r="V2367"/>
      <c r="W2367" s="41"/>
      <c r="X2367" s="41"/>
      <c r="Y2367" s="41"/>
    </row>
    <row r="2368" s="27" customFormat="1" ht="23" hidden="1" customHeight="1" spans="1:25">
      <c r="A2368" s="133" t="str">
        <f>IF(B2368="","",COUNTA($B$5:B2368))</f>
        <v/>
      </c>
      <c r="B2368" s="148"/>
      <c r="C2368" s="22" t="s">
        <v>49</v>
      </c>
      <c r="D2368" s="149"/>
      <c r="E2368" s="150"/>
      <c r="F2368" s="151"/>
      <c r="G2368" s="151"/>
      <c r="H2368" s="142">
        <f>IFERROR(VLOOKUP($C2368,$C$5:$H$18,6,0)+SUMIF($C$19:$C2368,$C2368,$F$19:$F2368)-SUMIF($C$19:$C2368,$C2368,$G$19:$G2368),"")</f>
        <v>81211.819999998</v>
      </c>
      <c r="I2368" s="147"/>
      <c r="J2368" s="147"/>
      <c r="K2368" s="147" t="str">
        <f t="shared" si="36"/>
        <v/>
      </c>
      <c r="L2368" s="40"/>
      <c r="M2368"/>
      <c r="N2368"/>
      <c r="O2368"/>
      <c r="P2368"/>
      <c r="Q2368"/>
      <c r="R2368"/>
      <c r="S2368"/>
      <c r="T2368"/>
      <c r="U2368"/>
      <c r="V2368"/>
      <c r="W2368" s="41"/>
      <c r="X2368" s="41"/>
      <c r="Y2368" s="41"/>
    </row>
    <row r="2369" s="27" customFormat="1" ht="23" hidden="1" customHeight="1" spans="1:25">
      <c r="A2369" s="133" t="str">
        <f>IF(B2369="","",COUNTA($B$5:B2369))</f>
        <v/>
      </c>
      <c r="B2369" s="148"/>
      <c r="C2369" s="22" t="s">
        <v>49</v>
      </c>
      <c r="D2369" s="149"/>
      <c r="E2369" s="150"/>
      <c r="F2369" s="151"/>
      <c r="G2369" s="151"/>
      <c r="H2369" s="142">
        <f>IFERROR(VLOOKUP($C2369,$C$5:$H$18,6,0)+SUMIF($C$19:$C2369,$C2369,$F$19:$F2369)-SUMIF($C$19:$C2369,$C2369,$G$19:$G2369),"")</f>
        <v>81211.819999998</v>
      </c>
      <c r="I2369" s="147"/>
      <c r="J2369" s="147"/>
      <c r="K2369" s="147" t="str">
        <f t="shared" si="36"/>
        <v/>
      </c>
      <c r="L2369" s="40"/>
      <c r="M2369"/>
      <c r="N2369"/>
      <c r="O2369"/>
      <c r="P2369"/>
      <c r="Q2369"/>
      <c r="R2369"/>
      <c r="S2369"/>
      <c r="T2369"/>
      <c r="U2369"/>
      <c r="V2369"/>
      <c r="W2369" s="41"/>
      <c r="X2369" s="41"/>
      <c r="Y2369" s="41"/>
    </row>
    <row r="2370" s="27" customFormat="1" ht="23" hidden="1" customHeight="1" spans="1:25">
      <c r="A2370" s="133" t="str">
        <f>IF(B2370="","",COUNTA($B$5:B2370))</f>
        <v/>
      </c>
      <c r="B2370" s="148"/>
      <c r="C2370" s="22" t="s">
        <v>49</v>
      </c>
      <c r="D2370" s="149"/>
      <c r="E2370" s="150"/>
      <c r="F2370" s="151"/>
      <c r="G2370" s="151"/>
      <c r="H2370" s="142">
        <f>IFERROR(VLOOKUP($C2370,$C$5:$H$18,6,0)+SUMIF($C$19:$C2370,$C2370,$F$19:$F2370)-SUMIF($C$19:$C2370,$C2370,$G$19:$G2370),"")</f>
        <v>81211.819999998</v>
      </c>
      <c r="I2370" s="147"/>
      <c r="J2370" s="147"/>
      <c r="K2370" s="147" t="str">
        <f t="shared" si="36"/>
        <v/>
      </c>
      <c r="L2370" s="40"/>
      <c r="M2370"/>
      <c r="N2370"/>
      <c r="O2370"/>
      <c r="P2370"/>
      <c r="Q2370"/>
      <c r="R2370"/>
      <c r="S2370"/>
      <c r="T2370"/>
      <c r="U2370"/>
      <c r="V2370"/>
      <c r="W2370" s="41"/>
      <c r="X2370" s="41"/>
      <c r="Y2370" s="41"/>
    </row>
    <row r="2371" s="27" customFormat="1" ht="23" hidden="1" customHeight="1" spans="1:25">
      <c r="A2371" s="133" t="str">
        <f>IF(B2371="","",COUNTA($B$5:B2371))</f>
        <v/>
      </c>
      <c r="B2371" s="148"/>
      <c r="C2371" s="22" t="s">
        <v>49</v>
      </c>
      <c r="D2371" s="149"/>
      <c r="E2371" s="150"/>
      <c r="F2371" s="151"/>
      <c r="G2371" s="151"/>
      <c r="H2371" s="142">
        <f>IFERROR(VLOOKUP($C2371,$C$5:$H$18,6,0)+SUMIF($C$19:$C2371,$C2371,$F$19:$F2371)-SUMIF($C$19:$C2371,$C2371,$G$19:$G2371),"")</f>
        <v>81211.819999998</v>
      </c>
      <c r="I2371" s="147"/>
      <c r="J2371" s="147"/>
      <c r="K2371" s="147" t="str">
        <f t="shared" si="36"/>
        <v/>
      </c>
      <c r="L2371" s="40"/>
      <c r="M2371"/>
      <c r="N2371"/>
      <c r="O2371"/>
      <c r="P2371"/>
      <c r="Q2371"/>
      <c r="R2371"/>
      <c r="S2371"/>
      <c r="T2371"/>
      <c r="U2371"/>
      <c r="V2371"/>
      <c r="W2371" s="41"/>
      <c r="X2371" s="41"/>
      <c r="Y2371" s="41"/>
    </row>
    <row r="2372" s="27" customFormat="1" ht="23" hidden="1" customHeight="1" spans="1:25">
      <c r="A2372" s="133" t="str">
        <f>IF(B2372="","",COUNTA($B$5:B2372))</f>
        <v/>
      </c>
      <c r="B2372" s="148"/>
      <c r="C2372" s="22" t="s">
        <v>49</v>
      </c>
      <c r="D2372" s="149"/>
      <c r="E2372" s="150"/>
      <c r="F2372" s="151"/>
      <c r="G2372" s="151"/>
      <c r="H2372" s="142">
        <f>IFERROR(VLOOKUP($C2372,$C$5:$H$18,6,0)+SUMIF($C$19:$C2372,$C2372,$F$19:$F2372)-SUMIF($C$19:$C2372,$C2372,$G$19:$G2372),"")</f>
        <v>81211.819999998</v>
      </c>
      <c r="I2372" s="147"/>
      <c r="J2372" s="147"/>
      <c r="K2372" s="147" t="str">
        <f t="shared" si="36"/>
        <v/>
      </c>
      <c r="L2372" s="40"/>
      <c r="M2372"/>
      <c r="N2372"/>
      <c r="O2372"/>
      <c r="P2372"/>
      <c r="Q2372"/>
      <c r="R2372"/>
      <c r="S2372"/>
      <c r="T2372"/>
      <c r="U2372"/>
      <c r="V2372"/>
      <c r="W2372" s="41"/>
      <c r="X2372" s="41"/>
      <c r="Y2372" s="41"/>
    </row>
    <row r="2373" s="27" customFormat="1" ht="23" hidden="1" customHeight="1" spans="1:25">
      <c r="A2373" s="133" t="str">
        <f>IF(B2373="","",COUNTA($B$5:B2373))</f>
        <v/>
      </c>
      <c r="B2373" s="148"/>
      <c r="C2373" s="22" t="s">
        <v>49</v>
      </c>
      <c r="D2373" s="149"/>
      <c r="E2373" s="150"/>
      <c r="F2373" s="151"/>
      <c r="G2373" s="151"/>
      <c r="H2373" s="142">
        <f>IFERROR(VLOOKUP($C2373,$C$5:$H$18,6,0)+SUMIF($C$19:$C2373,$C2373,$F$19:$F2373)-SUMIF($C$19:$C2373,$C2373,$G$19:$G2373),"")</f>
        <v>81211.819999998</v>
      </c>
      <c r="I2373" s="147"/>
      <c r="J2373" s="147"/>
      <c r="K2373" s="147" t="str">
        <f t="shared" ref="K2373:K2436" si="37">IF($B2373="","",--TEXT($B2373,"yyyymm"))</f>
        <v/>
      </c>
      <c r="L2373" s="40"/>
      <c r="M2373"/>
      <c r="N2373"/>
      <c r="O2373"/>
      <c r="P2373"/>
      <c r="Q2373"/>
      <c r="R2373"/>
      <c r="S2373"/>
      <c r="T2373"/>
      <c r="U2373"/>
      <c r="V2373"/>
      <c r="W2373" s="41"/>
      <c r="X2373" s="41"/>
      <c r="Y2373" s="41"/>
    </row>
    <row r="2374" s="27" customFormat="1" ht="23" hidden="1" customHeight="1" spans="1:25">
      <c r="A2374" s="133" t="str">
        <f>IF(B2374="","",COUNTA($B$5:B2374))</f>
        <v/>
      </c>
      <c r="B2374" s="148"/>
      <c r="C2374" s="22" t="s">
        <v>49</v>
      </c>
      <c r="D2374" s="149"/>
      <c r="E2374" s="150"/>
      <c r="F2374" s="151"/>
      <c r="G2374" s="151"/>
      <c r="H2374" s="142">
        <f>IFERROR(VLOOKUP($C2374,$C$5:$H$18,6,0)+SUMIF($C$19:$C2374,$C2374,$F$19:$F2374)-SUMIF($C$19:$C2374,$C2374,$G$19:$G2374),"")</f>
        <v>81211.819999998</v>
      </c>
      <c r="I2374" s="147"/>
      <c r="J2374" s="147"/>
      <c r="K2374" s="147" t="str">
        <f t="shared" si="37"/>
        <v/>
      </c>
      <c r="L2374" s="40"/>
      <c r="M2374"/>
      <c r="N2374"/>
      <c r="O2374"/>
      <c r="P2374"/>
      <c r="Q2374"/>
      <c r="R2374"/>
      <c r="S2374"/>
      <c r="T2374"/>
      <c r="U2374"/>
      <c r="V2374"/>
      <c r="W2374" s="41"/>
      <c r="X2374" s="41"/>
      <c r="Y2374" s="41"/>
    </row>
    <row r="2375" s="27" customFormat="1" ht="23" hidden="1" customHeight="1" spans="1:25">
      <c r="A2375" s="133" t="str">
        <f>IF(B2375="","",COUNTA($B$5:B2375))</f>
        <v/>
      </c>
      <c r="B2375" s="148"/>
      <c r="C2375" s="22" t="s">
        <v>49</v>
      </c>
      <c r="D2375" s="149"/>
      <c r="E2375" s="150"/>
      <c r="F2375" s="151"/>
      <c r="G2375" s="151"/>
      <c r="H2375" s="142">
        <f>IFERROR(VLOOKUP($C2375,$C$5:$H$18,6,0)+SUMIF($C$19:$C2375,$C2375,$F$19:$F2375)-SUMIF($C$19:$C2375,$C2375,$G$19:$G2375),"")</f>
        <v>81211.819999998</v>
      </c>
      <c r="I2375" s="147"/>
      <c r="J2375" s="147"/>
      <c r="K2375" s="147" t="str">
        <f t="shared" si="37"/>
        <v/>
      </c>
      <c r="L2375" s="40"/>
      <c r="M2375"/>
      <c r="N2375"/>
      <c r="O2375"/>
      <c r="P2375"/>
      <c r="Q2375"/>
      <c r="R2375"/>
      <c r="S2375"/>
      <c r="T2375"/>
      <c r="U2375"/>
      <c r="V2375"/>
      <c r="W2375" s="41"/>
      <c r="X2375" s="41"/>
      <c r="Y2375" s="41"/>
    </row>
    <row r="2376" s="27" customFormat="1" ht="23" hidden="1" customHeight="1" spans="1:25">
      <c r="A2376" s="133" t="str">
        <f>IF(B2376="","",COUNTA($B$5:B2376))</f>
        <v/>
      </c>
      <c r="B2376" s="148"/>
      <c r="C2376" s="22" t="s">
        <v>49</v>
      </c>
      <c r="D2376" s="149"/>
      <c r="E2376" s="150"/>
      <c r="F2376" s="151"/>
      <c r="G2376" s="151"/>
      <c r="H2376" s="142">
        <f>IFERROR(VLOOKUP($C2376,$C$5:$H$18,6,0)+SUMIF($C$19:$C2376,$C2376,$F$19:$F2376)-SUMIF($C$19:$C2376,$C2376,$G$19:$G2376),"")</f>
        <v>81211.819999998</v>
      </c>
      <c r="I2376" s="147"/>
      <c r="J2376" s="147"/>
      <c r="K2376" s="147" t="str">
        <f t="shared" si="37"/>
        <v/>
      </c>
      <c r="L2376" s="40"/>
      <c r="M2376"/>
      <c r="N2376"/>
      <c r="O2376"/>
      <c r="P2376"/>
      <c r="Q2376"/>
      <c r="R2376"/>
      <c r="S2376"/>
      <c r="T2376"/>
      <c r="U2376"/>
      <c r="V2376"/>
      <c r="W2376" s="41"/>
      <c r="X2376" s="41"/>
      <c r="Y2376" s="41"/>
    </row>
    <row r="2377" s="27" customFormat="1" ht="23" hidden="1" customHeight="1" spans="1:25">
      <c r="A2377" s="133" t="str">
        <f>IF(B2377="","",COUNTA($B$5:B2377))</f>
        <v/>
      </c>
      <c r="B2377" s="148"/>
      <c r="C2377" s="22" t="s">
        <v>49</v>
      </c>
      <c r="D2377" s="149"/>
      <c r="E2377" s="150"/>
      <c r="F2377" s="151"/>
      <c r="G2377" s="151"/>
      <c r="H2377" s="142">
        <f>IFERROR(VLOOKUP($C2377,$C$5:$H$18,6,0)+SUMIF($C$19:$C2377,$C2377,$F$19:$F2377)-SUMIF($C$19:$C2377,$C2377,$G$19:$G2377),"")</f>
        <v>81211.819999998</v>
      </c>
      <c r="I2377" s="147"/>
      <c r="J2377" s="147"/>
      <c r="K2377" s="147" t="str">
        <f t="shared" si="37"/>
        <v/>
      </c>
      <c r="L2377" s="40"/>
      <c r="M2377"/>
      <c r="N2377"/>
      <c r="O2377"/>
      <c r="P2377"/>
      <c r="Q2377"/>
      <c r="R2377"/>
      <c r="S2377"/>
      <c r="T2377"/>
      <c r="U2377"/>
      <c r="V2377"/>
      <c r="W2377" s="41"/>
      <c r="X2377" s="41"/>
      <c r="Y2377" s="41"/>
    </row>
    <row r="2378" s="27" customFormat="1" ht="23" hidden="1" customHeight="1" spans="1:25">
      <c r="A2378" s="133" t="str">
        <f>IF(B2378="","",COUNTA($B$5:B2378))</f>
        <v/>
      </c>
      <c r="B2378" s="148"/>
      <c r="C2378" s="22" t="s">
        <v>49</v>
      </c>
      <c r="D2378" s="149"/>
      <c r="E2378" s="150"/>
      <c r="F2378" s="151"/>
      <c r="G2378" s="151"/>
      <c r="H2378" s="142">
        <f>IFERROR(VLOOKUP($C2378,$C$5:$H$18,6,0)+SUMIF($C$19:$C2378,$C2378,$F$19:$F2378)-SUMIF($C$19:$C2378,$C2378,$G$19:$G2378),"")</f>
        <v>81211.819999998</v>
      </c>
      <c r="I2378" s="147"/>
      <c r="J2378" s="147"/>
      <c r="K2378" s="147" t="str">
        <f t="shared" si="37"/>
        <v/>
      </c>
      <c r="L2378" s="40"/>
      <c r="M2378"/>
      <c r="N2378"/>
      <c r="O2378"/>
      <c r="P2378"/>
      <c r="Q2378"/>
      <c r="R2378"/>
      <c r="S2378"/>
      <c r="T2378"/>
      <c r="U2378"/>
      <c r="V2378"/>
      <c r="W2378" s="41"/>
      <c r="X2378" s="41"/>
      <c r="Y2378" s="41"/>
    </row>
    <row r="2379" s="27" customFormat="1" ht="23" hidden="1" customHeight="1" spans="1:25">
      <c r="A2379" s="133" t="str">
        <f>IF(B2379="","",COUNTA($B$5:B2379))</f>
        <v/>
      </c>
      <c r="B2379" s="148"/>
      <c r="C2379" s="22" t="s">
        <v>49</v>
      </c>
      <c r="D2379" s="149"/>
      <c r="E2379" s="150"/>
      <c r="F2379" s="151"/>
      <c r="G2379" s="151"/>
      <c r="H2379" s="142">
        <f>IFERROR(VLOOKUP($C2379,$C$5:$H$18,6,0)+SUMIF($C$19:$C2379,$C2379,$F$19:$F2379)-SUMIF($C$19:$C2379,$C2379,$G$19:$G2379),"")</f>
        <v>81211.819999998</v>
      </c>
      <c r="I2379" s="147"/>
      <c r="J2379" s="147"/>
      <c r="K2379" s="147" t="str">
        <f t="shared" si="37"/>
        <v/>
      </c>
      <c r="L2379" s="40"/>
      <c r="M2379"/>
      <c r="N2379"/>
      <c r="O2379"/>
      <c r="P2379"/>
      <c r="Q2379"/>
      <c r="R2379"/>
      <c r="S2379"/>
      <c r="T2379"/>
      <c r="U2379"/>
      <c r="V2379"/>
      <c r="W2379" s="41"/>
      <c r="X2379" s="41"/>
      <c r="Y2379" s="41"/>
    </row>
    <row r="2380" s="27" customFormat="1" ht="23" hidden="1" customHeight="1" spans="1:25">
      <c r="A2380" s="133" t="str">
        <f>IF(B2380="","",COUNTA($B$5:B2380))</f>
        <v/>
      </c>
      <c r="B2380" s="148"/>
      <c r="C2380" s="22" t="s">
        <v>49</v>
      </c>
      <c r="D2380" s="149"/>
      <c r="E2380" s="150"/>
      <c r="F2380" s="151"/>
      <c r="G2380" s="151"/>
      <c r="H2380" s="142">
        <f>IFERROR(VLOOKUP($C2380,$C$5:$H$18,6,0)+SUMIF($C$19:$C2380,$C2380,$F$19:$F2380)-SUMIF($C$19:$C2380,$C2380,$G$19:$G2380),"")</f>
        <v>81211.819999998</v>
      </c>
      <c r="I2380" s="147"/>
      <c r="J2380" s="147"/>
      <c r="K2380" s="147" t="str">
        <f t="shared" si="37"/>
        <v/>
      </c>
      <c r="L2380" s="40"/>
      <c r="M2380"/>
      <c r="N2380"/>
      <c r="O2380"/>
      <c r="P2380"/>
      <c r="Q2380"/>
      <c r="R2380"/>
      <c r="S2380"/>
      <c r="T2380"/>
      <c r="U2380"/>
      <c r="V2380"/>
      <c r="W2380" s="41"/>
      <c r="X2380" s="41"/>
      <c r="Y2380" s="41"/>
    </row>
    <row r="2381" s="27" customFormat="1" ht="23" hidden="1" customHeight="1" spans="1:25">
      <c r="A2381" s="133" t="str">
        <f>IF(B2381="","",COUNTA($B$5:B2381))</f>
        <v/>
      </c>
      <c r="B2381" s="148"/>
      <c r="C2381" s="22" t="s">
        <v>49</v>
      </c>
      <c r="D2381" s="149"/>
      <c r="E2381" s="150"/>
      <c r="F2381" s="151"/>
      <c r="G2381" s="151"/>
      <c r="H2381" s="142">
        <f>IFERROR(VLOOKUP($C2381,$C$5:$H$18,6,0)+SUMIF($C$19:$C2381,$C2381,$F$19:$F2381)-SUMIF($C$19:$C2381,$C2381,$G$19:$G2381),"")</f>
        <v>81211.819999998</v>
      </c>
      <c r="I2381" s="147"/>
      <c r="J2381" s="147"/>
      <c r="K2381" s="147" t="str">
        <f t="shared" si="37"/>
        <v/>
      </c>
      <c r="L2381" s="40"/>
      <c r="M2381"/>
      <c r="N2381"/>
      <c r="O2381"/>
      <c r="P2381"/>
      <c r="Q2381"/>
      <c r="R2381"/>
      <c r="S2381"/>
      <c r="T2381"/>
      <c r="U2381"/>
      <c r="V2381"/>
      <c r="W2381" s="41"/>
      <c r="X2381" s="41"/>
      <c r="Y2381" s="41"/>
    </row>
    <row r="2382" s="27" customFormat="1" ht="23" hidden="1" customHeight="1" spans="1:25">
      <c r="A2382" s="133" t="str">
        <f>IF(B2382="","",COUNTA($B$5:B2382))</f>
        <v/>
      </c>
      <c r="B2382" s="148"/>
      <c r="C2382" s="22" t="s">
        <v>49</v>
      </c>
      <c r="D2382" s="149"/>
      <c r="E2382" s="150"/>
      <c r="F2382" s="151"/>
      <c r="G2382" s="151"/>
      <c r="H2382" s="142">
        <f>IFERROR(VLOOKUP($C2382,$C$5:$H$18,6,0)+SUMIF($C$19:$C2382,$C2382,$F$19:$F2382)-SUMIF($C$19:$C2382,$C2382,$G$19:$G2382),"")</f>
        <v>81211.819999998</v>
      </c>
      <c r="I2382" s="147"/>
      <c r="J2382" s="147"/>
      <c r="K2382" s="147" t="str">
        <f t="shared" si="37"/>
        <v/>
      </c>
      <c r="L2382" s="40"/>
      <c r="M2382"/>
      <c r="N2382"/>
      <c r="O2382"/>
      <c r="P2382"/>
      <c r="Q2382"/>
      <c r="R2382"/>
      <c r="S2382"/>
      <c r="T2382"/>
      <c r="U2382"/>
      <c r="V2382"/>
      <c r="W2382" s="41"/>
      <c r="X2382" s="41"/>
      <c r="Y2382" s="41"/>
    </row>
    <row r="2383" s="27" customFormat="1" ht="23" hidden="1" customHeight="1" spans="1:25">
      <c r="A2383" s="133" t="str">
        <f>IF(B2383="","",COUNTA($B$5:B2383))</f>
        <v/>
      </c>
      <c r="B2383" s="148"/>
      <c r="C2383" s="22" t="s">
        <v>49</v>
      </c>
      <c r="D2383" s="149"/>
      <c r="E2383" s="150"/>
      <c r="F2383" s="151"/>
      <c r="G2383" s="151"/>
      <c r="H2383" s="142">
        <f>IFERROR(VLOOKUP($C2383,$C$5:$H$18,6,0)+SUMIF($C$19:$C2383,$C2383,$F$19:$F2383)-SUMIF($C$19:$C2383,$C2383,$G$19:$G2383),"")</f>
        <v>81211.819999998</v>
      </c>
      <c r="I2383" s="147"/>
      <c r="J2383" s="147"/>
      <c r="K2383" s="147" t="str">
        <f t="shared" si="37"/>
        <v/>
      </c>
      <c r="L2383" s="40"/>
      <c r="M2383"/>
      <c r="N2383"/>
      <c r="O2383"/>
      <c r="P2383"/>
      <c r="Q2383"/>
      <c r="R2383"/>
      <c r="S2383"/>
      <c r="T2383"/>
      <c r="U2383"/>
      <c r="V2383"/>
      <c r="W2383" s="41"/>
      <c r="X2383" s="41"/>
      <c r="Y2383" s="41"/>
    </row>
    <row r="2384" s="27" customFormat="1" ht="23" hidden="1" customHeight="1" spans="1:25">
      <c r="A2384" s="133" t="str">
        <f>IF(B2384="","",COUNTA($B$5:B2384))</f>
        <v/>
      </c>
      <c r="B2384" s="148"/>
      <c r="C2384" s="22" t="s">
        <v>49</v>
      </c>
      <c r="D2384" s="149"/>
      <c r="E2384" s="150"/>
      <c r="F2384" s="151"/>
      <c r="G2384" s="151"/>
      <c r="H2384" s="142">
        <f>IFERROR(VLOOKUP($C2384,$C$5:$H$18,6,0)+SUMIF($C$19:$C2384,$C2384,$F$19:$F2384)-SUMIF($C$19:$C2384,$C2384,$G$19:$G2384),"")</f>
        <v>81211.819999998</v>
      </c>
      <c r="I2384" s="147"/>
      <c r="J2384" s="147"/>
      <c r="K2384" s="147" t="str">
        <f t="shared" si="37"/>
        <v/>
      </c>
      <c r="L2384" s="40"/>
      <c r="M2384"/>
      <c r="N2384"/>
      <c r="O2384"/>
      <c r="P2384"/>
      <c r="Q2384"/>
      <c r="R2384"/>
      <c r="S2384"/>
      <c r="T2384"/>
      <c r="U2384"/>
      <c r="V2384"/>
      <c r="W2384" s="41"/>
      <c r="X2384" s="41"/>
      <c r="Y2384" s="41"/>
    </row>
    <row r="2385" s="27" customFormat="1" ht="23" hidden="1" customHeight="1" spans="1:25">
      <c r="A2385" s="133" t="str">
        <f>IF(B2385="","",COUNTA($B$5:B2385))</f>
        <v/>
      </c>
      <c r="B2385" s="148"/>
      <c r="C2385" s="22" t="s">
        <v>49</v>
      </c>
      <c r="D2385" s="149"/>
      <c r="E2385" s="150"/>
      <c r="F2385" s="151"/>
      <c r="G2385" s="151"/>
      <c r="H2385" s="142">
        <f>IFERROR(VLOOKUP($C2385,$C$5:$H$18,6,0)+SUMIF($C$19:$C2385,$C2385,$F$19:$F2385)-SUMIF($C$19:$C2385,$C2385,$G$19:$G2385),"")</f>
        <v>81211.819999998</v>
      </c>
      <c r="I2385" s="147"/>
      <c r="J2385" s="147"/>
      <c r="K2385" s="147" t="str">
        <f t="shared" si="37"/>
        <v/>
      </c>
      <c r="L2385" s="40"/>
      <c r="M2385"/>
      <c r="N2385"/>
      <c r="O2385"/>
      <c r="P2385"/>
      <c r="Q2385"/>
      <c r="R2385"/>
      <c r="S2385"/>
      <c r="T2385"/>
      <c r="U2385"/>
      <c r="V2385"/>
      <c r="W2385" s="41"/>
      <c r="X2385" s="41"/>
      <c r="Y2385" s="41"/>
    </row>
    <row r="2386" s="27" customFormat="1" ht="23" hidden="1" customHeight="1" spans="1:25">
      <c r="A2386" s="133" t="str">
        <f>IF(B2386="","",COUNTA($B$5:B2386))</f>
        <v/>
      </c>
      <c r="B2386" s="148"/>
      <c r="C2386" s="22" t="s">
        <v>49</v>
      </c>
      <c r="D2386" s="149"/>
      <c r="E2386" s="150"/>
      <c r="F2386" s="151"/>
      <c r="G2386" s="151"/>
      <c r="H2386" s="142">
        <f>IFERROR(VLOOKUP($C2386,$C$5:$H$18,6,0)+SUMIF($C$19:$C2386,$C2386,$F$19:$F2386)-SUMIF($C$19:$C2386,$C2386,$G$19:$G2386),"")</f>
        <v>81211.819999998</v>
      </c>
      <c r="I2386" s="147"/>
      <c r="J2386" s="147"/>
      <c r="K2386" s="147" t="str">
        <f t="shared" si="37"/>
        <v/>
      </c>
      <c r="L2386" s="40"/>
      <c r="M2386"/>
      <c r="N2386"/>
      <c r="O2386"/>
      <c r="P2386"/>
      <c r="Q2386"/>
      <c r="R2386"/>
      <c r="S2386"/>
      <c r="T2386"/>
      <c r="U2386"/>
      <c r="V2386"/>
      <c r="W2386" s="41"/>
      <c r="X2386" s="41"/>
      <c r="Y2386" s="41"/>
    </row>
    <row r="2387" s="27" customFormat="1" ht="23" hidden="1" customHeight="1" spans="1:25">
      <c r="A2387" s="133" t="str">
        <f>IF(B2387="","",COUNTA($B$5:B2387))</f>
        <v/>
      </c>
      <c r="B2387" s="148"/>
      <c r="C2387" s="22" t="s">
        <v>49</v>
      </c>
      <c r="D2387" s="149"/>
      <c r="E2387" s="150"/>
      <c r="F2387" s="151"/>
      <c r="G2387" s="151"/>
      <c r="H2387" s="142">
        <f>IFERROR(VLOOKUP($C2387,$C$5:$H$18,6,0)+SUMIF($C$19:$C2387,$C2387,$F$19:$F2387)-SUMIF($C$19:$C2387,$C2387,$G$19:$G2387),"")</f>
        <v>81211.819999998</v>
      </c>
      <c r="I2387" s="147"/>
      <c r="J2387" s="147"/>
      <c r="K2387" s="147" t="str">
        <f t="shared" si="37"/>
        <v/>
      </c>
      <c r="L2387" s="40"/>
      <c r="M2387"/>
      <c r="N2387"/>
      <c r="O2387"/>
      <c r="P2387"/>
      <c r="Q2387"/>
      <c r="R2387"/>
      <c r="S2387"/>
      <c r="T2387"/>
      <c r="U2387"/>
      <c r="V2387"/>
      <c r="W2387" s="41"/>
      <c r="X2387" s="41"/>
      <c r="Y2387" s="41"/>
    </row>
    <row r="2388" s="27" customFormat="1" ht="23" hidden="1" customHeight="1" spans="1:25">
      <c r="A2388" s="133" t="str">
        <f>IF(B2388="","",COUNTA($B$5:B2388))</f>
        <v/>
      </c>
      <c r="B2388" s="148"/>
      <c r="C2388" s="22" t="s">
        <v>49</v>
      </c>
      <c r="D2388" s="149"/>
      <c r="E2388" s="150"/>
      <c r="F2388" s="151"/>
      <c r="G2388" s="151"/>
      <c r="H2388" s="142">
        <f>IFERROR(VLOOKUP($C2388,$C$5:$H$18,6,0)+SUMIF($C$19:$C2388,$C2388,$F$19:$F2388)-SUMIF($C$19:$C2388,$C2388,$G$19:$G2388),"")</f>
        <v>81211.819999998</v>
      </c>
      <c r="I2388" s="147"/>
      <c r="J2388" s="147"/>
      <c r="K2388" s="147" t="str">
        <f t="shared" si="37"/>
        <v/>
      </c>
      <c r="L2388" s="40"/>
      <c r="M2388"/>
      <c r="N2388"/>
      <c r="O2388"/>
      <c r="P2388"/>
      <c r="Q2388"/>
      <c r="R2388"/>
      <c r="S2388"/>
      <c r="T2388"/>
      <c r="U2388"/>
      <c r="V2388"/>
      <c r="W2388" s="41"/>
      <c r="X2388" s="41"/>
      <c r="Y2388" s="41"/>
    </row>
    <row r="2389" s="27" customFormat="1" ht="23" hidden="1" customHeight="1" spans="1:25">
      <c r="A2389" s="133" t="str">
        <f>IF(B2389="","",COUNTA($B$5:B2389))</f>
        <v/>
      </c>
      <c r="B2389" s="148"/>
      <c r="C2389" s="22" t="s">
        <v>49</v>
      </c>
      <c r="D2389" s="149"/>
      <c r="E2389" s="150"/>
      <c r="F2389" s="151"/>
      <c r="G2389" s="151"/>
      <c r="H2389" s="142">
        <f>IFERROR(VLOOKUP($C2389,$C$5:$H$18,6,0)+SUMIF($C$19:$C2389,$C2389,$F$19:$F2389)-SUMIF($C$19:$C2389,$C2389,$G$19:$G2389),"")</f>
        <v>81211.819999998</v>
      </c>
      <c r="I2389" s="147"/>
      <c r="J2389" s="147"/>
      <c r="K2389" s="147" t="str">
        <f t="shared" si="37"/>
        <v/>
      </c>
      <c r="L2389" s="40"/>
      <c r="M2389"/>
      <c r="N2389"/>
      <c r="O2389"/>
      <c r="P2389"/>
      <c r="Q2389"/>
      <c r="R2389"/>
      <c r="S2389"/>
      <c r="T2389"/>
      <c r="U2389"/>
      <c r="V2389"/>
      <c r="W2389" s="41"/>
      <c r="X2389" s="41"/>
      <c r="Y2389" s="41"/>
    </row>
    <row r="2390" s="27" customFormat="1" ht="23" hidden="1" customHeight="1" spans="1:25">
      <c r="A2390" s="133" t="str">
        <f>IF(B2390="","",COUNTA($B$5:B2390))</f>
        <v/>
      </c>
      <c r="B2390" s="148"/>
      <c r="C2390" s="22" t="s">
        <v>49</v>
      </c>
      <c r="D2390" s="149"/>
      <c r="E2390" s="150"/>
      <c r="F2390" s="151"/>
      <c r="G2390" s="151"/>
      <c r="H2390" s="142">
        <f>IFERROR(VLOOKUP($C2390,$C$5:$H$18,6,0)+SUMIF($C$19:$C2390,$C2390,$F$19:$F2390)-SUMIF($C$19:$C2390,$C2390,$G$19:$G2390),"")</f>
        <v>81211.819999998</v>
      </c>
      <c r="I2390" s="147"/>
      <c r="J2390" s="147"/>
      <c r="K2390" s="147" t="str">
        <f t="shared" si="37"/>
        <v/>
      </c>
      <c r="L2390" s="40"/>
      <c r="M2390"/>
      <c r="N2390"/>
      <c r="O2390"/>
      <c r="P2390"/>
      <c r="Q2390"/>
      <c r="R2390"/>
      <c r="S2390"/>
      <c r="T2390"/>
      <c r="U2390"/>
      <c r="V2390"/>
      <c r="W2390" s="41"/>
      <c r="X2390" s="41"/>
      <c r="Y2390" s="41"/>
    </row>
    <row r="2391" s="27" customFormat="1" ht="23" hidden="1" customHeight="1" spans="1:25">
      <c r="A2391" s="133" t="str">
        <f>IF(B2391="","",COUNTA($B$5:B2391))</f>
        <v/>
      </c>
      <c r="B2391" s="148"/>
      <c r="C2391" s="22" t="s">
        <v>49</v>
      </c>
      <c r="D2391" s="149"/>
      <c r="E2391" s="150"/>
      <c r="F2391" s="151"/>
      <c r="G2391" s="151"/>
      <c r="H2391" s="142">
        <f>IFERROR(VLOOKUP($C2391,$C$5:$H$18,6,0)+SUMIF($C$19:$C2391,$C2391,$F$19:$F2391)-SUMIF($C$19:$C2391,$C2391,$G$19:$G2391),"")</f>
        <v>81211.819999998</v>
      </c>
      <c r="I2391" s="147"/>
      <c r="J2391" s="147"/>
      <c r="K2391" s="147" t="str">
        <f t="shared" si="37"/>
        <v/>
      </c>
      <c r="L2391" s="40"/>
      <c r="M2391"/>
      <c r="N2391"/>
      <c r="O2391"/>
      <c r="P2391"/>
      <c r="Q2391"/>
      <c r="R2391"/>
      <c r="S2391"/>
      <c r="T2391"/>
      <c r="U2391"/>
      <c r="V2391"/>
      <c r="W2391" s="41"/>
      <c r="X2391" s="41"/>
      <c r="Y2391" s="41"/>
    </row>
    <row r="2392" s="27" customFormat="1" ht="23" hidden="1" customHeight="1" spans="1:25">
      <c r="A2392" s="133" t="str">
        <f>IF(B2392="","",COUNTA($B$5:B2392))</f>
        <v/>
      </c>
      <c r="B2392" s="148"/>
      <c r="C2392" s="22" t="s">
        <v>49</v>
      </c>
      <c r="D2392" s="149"/>
      <c r="E2392" s="150"/>
      <c r="F2392" s="151"/>
      <c r="G2392" s="151"/>
      <c r="H2392" s="142">
        <f>IFERROR(VLOOKUP($C2392,$C$5:$H$18,6,0)+SUMIF($C$19:$C2392,$C2392,$F$19:$F2392)-SUMIF($C$19:$C2392,$C2392,$G$19:$G2392),"")</f>
        <v>81211.819999998</v>
      </c>
      <c r="I2392" s="147"/>
      <c r="J2392" s="147"/>
      <c r="K2392" s="147" t="str">
        <f t="shared" si="37"/>
        <v/>
      </c>
      <c r="L2392" s="40"/>
      <c r="M2392"/>
      <c r="N2392"/>
      <c r="O2392"/>
      <c r="P2392"/>
      <c r="Q2392"/>
      <c r="R2392"/>
      <c r="S2392"/>
      <c r="T2392"/>
      <c r="U2392"/>
      <c r="V2392"/>
      <c r="W2392" s="41"/>
      <c r="X2392" s="41"/>
      <c r="Y2392" s="41"/>
    </row>
    <row r="2393" s="27" customFormat="1" ht="23" hidden="1" customHeight="1" spans="1:25">
      <c r="A2393" s="133" t="str">
        <f>IF(B2393="","",COUNTA($B$5:B2393))</f>
        <v/>
      </c>
      <c r="B2393" s="148"/>
      <c r="C2393" s="22" t="s">
        <v>49</v>
      </c>
      <c r="D2393" s="149"/>
      <c r="E2393" s="150"/>
      <c r="F2393" s="151"/>
      <c r="G2393" s="151"/>
      <c r="H2393" s="142">
        <f>IFERROR(VLOOKUP($C2393,$C$5:$H$18,6,0)+SUMIF($C$19:$C2393,$C2393,$F$19:$F2393)-SUMIF($C$19:$C2393,$C2393,$G$19:$G2393),"")</f>
        <v>81211.819999998</v>
      </c>
      <c r="I2393" s="147"/>
      <c r="J2393" s="147"/>
      <c r="K2393" s="147" t="str">
        <f t="shared" si="37"/>
        <v/>
      </c>
      <c r="L2393" s="40"/>
      <c r="M2393"/>
      <c r="N2393"/>
      <c r="O2393"/>
      <c r="P2393"/>
      <c r="Q2393"/>
      <c r="R2393"/>
      <c r="S2393"/>
      <c r="T2393"/>
      <c r="U2393"/>
      <c r="V2393"/>
      <c r="W2393" s="41"/>
      <c r="X2393" s="41"/>
      <c r="Y2393" s="41"/>
    </row>
    <row r="2394" s="27" customFormat="1" ht="23" hidden="1" customHeight="1" spans="1:25">
      <c r="A2394" s="133" t="str">
        <f>IF(B2394="","",COUNTA($B$5:B2394))</f>
        <v/>
      </c>
      <c r="B2394" s="148"/>
      <c r="C2394" s="22" t="s">
        <v>49</v>
      </c>
      <c r="D2394" s="149"/>
      <c r="E2394" s="150"/>
      <c r="F2394" s="151"/>
      <c r="G2394" s="151"/>
      <c r="H2394" s="142">
        <f>IFERROR(VLOOKUP($C2394,$C$5:$H$18,6,0)+SUMIF($C$19:$C2394,$C2394,$F$19:$F2394)-SUMIF($C$19:$C2394,$C2394,$G$19:$G2394),"")</f>
        <v>81211.819999998</v>
      </c>
      <c r="I2394" s="147"/>
      <c r="J2394" s="147"/>
      <c r="K2394" s="147" t="str">
        <f t="shared" si="37"/>
        <v/>
      </c>
      <c r="L2394" s="40"/>
      <c r="M2394"/>
      <c r="N2394"/>
      <c r="O2394"/>
      <c r="P2394"/>
      <c r="Q2394"/>
      <c r="R2394"/>
      <c r="S2394"/>
      <c r="T2394"/>
      <c r="U2394"/>
      <c r="V2394"/>
      <c r="W2394" s="41"/>
      <c r="X2394" s="41"/>
      <c r="Y2394" s="41"/>
    </row>
    <row r="2395" s="27" customFormat="1" ht="23" hidden="1" customHeight="1" spans="1:25">
      <c r="A2395" s="133" t="str">
        <f>IF(B2395="","",COUNTA($B$5:B2395))</f>
        <v/>
      </c>
      <c r="B2395" s="148"/>
      <c r="C2395" s="22" t="s">
        <v>49</v>
      </c>
      <c r="D2395" s="149"/>
      <c r="E2395" s="150"/>
      <c r="F2395" s="151"/>
      <c r="G2395" s="151"/>
      <c r="H2395" s="142">
        <f>IFERROR(VLOOKUP($C2395,$C$5:$H$18,6,0)+SUMIF($C$19:$C2395,$C2395,$F$19:$F2395)-SUMIF($C$19:$C2395,$C2395,$G$19:$G2395),"")</f>
        <v>81211.819999998</v>
      </c>
      <c r="I2395" s="147"/>
      <c r="J2395" s="147"/>
      <c r="K2395" s="147" t="str">
        <f t="shared" si="37"/>
        <v/>
      </c>
      <c r="L2395" s="40"/>
      <c r="M2395"/>
      <c r="N2395"/>
      <c r="O2395"/>
      <c r="P2395"/>
      <c r="Q2395"/>
      <c r="R2395"/>
      <c r="S2395"/>
      <c r="T2395"/>
      <c r="U2395"/>
      <c r="V2395"/>
      <c r="W2395" s="41"/>
      <c r="X2395" s="41"/>
      <c r="Y2395" s="41"/>
    </row>
    <row r="2396" s="27" customFormat="1" ht="23" hidden="1" customHeight="1" spans="1:25">
      <c r="A2396" s="133" t="str">
        <f>IF(B2396="","",COUNTA($B$5:B2396))</f>
        <v/>
      </c>
      <c r="B2396" s="148"/>
      <c r="C2396" s="22" t="s">
        <v>49</v>
      </c>
      <c r="D2396" s="149"/>
      <c r="E2396" s="150"/>
      <c r="F2396" s="151"/>
      <c r="G2396" s="151"/>
      <c r="H2396" s="142">
        <f>IFERROR(VLOOKUP($C2396,$C$5:$H$18,6,0)+SUMIF($C$19:$C2396,$C2396,$F$19:$F2396)-SUMIF($C$19:$C2396,$C2396,$G$19:$G2396),"")</f>
        <v>81211.819999998</v>
      </c>
      <c r="I2396" s="147"/>
      <c r="J2396" s="147"/>
      <c r="K2396" s="147" t="str">
        <f t="shared" si="37"/>
        <v/>
      </c>
      <c r="L2396" s="40"/>
      <c r="M2396"/>
      <c r="N2396"/>
      <c r="O2396"/>
      <c r="P2396"/>
      <c r="Q2396"/>
      <c r="R2396"/>
      <c r="S2396"/>
      <c r="T2396"/>
      <c r="U2396"/>
      <c r="V2396"/>
      <c r="W2396" s="41"/>
      <c r="X2396" s="41"/>
      <c r="Y2396" s="41"/>
    </row>
    <row r="2397" s="27" customFormat="1" ht="23" hidden="1" customHeight="1" spans="1:25">
      <c r="A2397" s="133" t="str">
        <f>IF(B2397="","",COUNTA($B$5:B2397))</f>
        <v/>
      </c>
      <c r="B2397" s="148"/>
      <c r="C2397" s="22" t="s">
        <v>49</v>
      </c>
      <c r="D2397" s="149"/>
      <c r="E2397" s="150"/>
      <c r="F2397" s="151"/>
      <c r="G2397" s="151"/>
      <c r="H2397" s="142">
        <f>IFERROR(VLOOKUP($C2397,$C$5:$H$18,6,0)+SUMIF($C$19:$C2397,$C2397,$F$19:$F2397)-SUMIF($C$19:$C2397,$C2397,$G$19:$G2397),"")</f>
        <v>81211.819999998</v>
      </c>
      <c r="I2397" s="147"/>
      <c r="J2397" s="147"/>
      <c r="K2397" s="147" t="str">
        <f t="shared" si="37"/>
        <v/>
      </c>
      <c r="L2397" s="40"/>
      <c r="M2397"/>
      <c r="N2397"/>
      <c r="O2397"/>
      <c r="P2397"/>
      <c r="Q2397"/>
      <c r="R2397"/>
      <c r="S2397"/>
      <c r="T2397"/>
      <c r="U2397"/>
      <c r="V2397"/>
      <c r="W2397" s="41"/>
      <c r="X2397" s="41"/>
      <c r="Y2397" s="41"/>
    </row>
    <row r="2398" s="27" customFormat="1" ht="23" hidden="1" customHeight="1" spans="1:25">
      <c r="A2398" s="133" t="str">
        <f>IF(B2398="","",COUNTA($B$5:B2398))</f>
        <v/>
      </c>
      <c r="B2398" s="148"/>
      <c r="C2398" s="22" t="s">
        <v>49</v>
      </c>
      <c r="D2398" s="149"/>
      <c r="E2398" s="150"/>
      <c r="F2398" s="151"/>
      <c r="G2398" s="151"/>
      <c r="H2398" s="142">
        <f>IFERROR(VLOOKUP($C2398,$C$5:$H$18,6,0)+SUMIF($C$19:$C2398,$C2398,$F$19:$F2398)-SUMIF($C$19:$C2398,$C2398,$G$19:$G2398),"")</f>
        <v>81211.819999998</v>
      </c>
      <c r="I2398" s="147"/>
      <c r="J2398" s="147"/>
      <c r="K2398" s="147" t="str">
        <f t="shared" si="37"/>
        <v/>
      </c>
      <c r="L2398" s="40"/>
      <c r="M2398"/>
      <c r="N2398"/>
      <c r="O2398"/>
      <c r="P2398"/>
      <c r="Q2398"/>
      <c r="R2398"/>
      <c r="S2398"/>
      <c r="T2398"/>
      <c r="U2398"/>
      <c r="V2398"/>
      <c r="W2398" s="41"/>
      <c r="X2398" s="41"/>
      <c r="Y2398" s="41"/>
    </row>
    <row r="2399" s="27" customFormat="1" ht="23" hidden="1" customHeight="1" spans="1:25">
      <c r="A2399" s="133" t="str">
        <f>IF(B2399="","",COUNTA($B$5:B2399))</f>
        <v/>
      </c>
      <c r="B2399" s="148"/>
      <c r="C2399" s="22" t="s">
        <v>49</v>
      </c>
      <c r="D2399" s="149"/>
      <c r="E2399" s="150"/>
      <c r="F2399" s="151"/>
      <c r="G2399" s="151"/>
      <c r="H2399" s="142">
        <f>IFERROR(VLOOKUP($C2399,$C$5:$H$18,6,0)+SUMIF($C$19:$C2399,$C2399,$F$19:$F2399)-SUMIF($C$19:$C2399,$C2399,$G$19:$G2399),"")</f>
        <v>81211.819999998</v>
      </c>
      <c r="I2399" s="147"/>
      <c r="J2399" s="147"/>
      <c r="K2399" s="147" t="str">
        <f t="shared" si="37"/>
        <v/>
      </c>
      <c r="L2399" s="40"/>
      <c r="M2399"/>
      <c r="N2399"/>
      <c r="O2399"/>
      <c r="P2399"/>
      <c r="Q2399"/>
      <c r="R2399"/>
      <c r="S2399"/>
      <c r="T2399"/>
      <c r="U2399"/>
      <c r="V2399"/>
      <c r="W2399" s="41"/>
      <c r="X2399" s="41"/>
      <c r="Y2399" s="41"/>
    </row>
    <row r="2400" s="27" customFormat="1" ht="23" hidden="1" customHeight="1" spans="1:25">
      <c r="A2400" s="133" t="str">
        <f>IF(B2400="","",COUNTA($B$5:B2400))</f>
        <v/>
      </c>
      <c r="B2400" s="148"/>
      <c r="C2400" s="22" t="s">
        <v>49</v>
      </c>
      <c r="D2400" s="149"/>
      <c r="E2400" s="150"/>
      <c r="F2400" s="151"/>
      <c r="G2400" s="151"/>
      <c r="H2400" s="142">
        <f>IFERROR(VLOOKUP($C2400,$C$5:$H$18,6,0)+SUMIF($C$19:$C2400,$C2400,$F$19:$F2400)-SUMIF($C$19:$C2400,$C2400,$G$19:$G2400),"")</f>
        <v>81211.819999998</v>
      </c>
      <c r="I2400" s="147"/>
      <c r="J2400" s="147"/>
      <c r="K2400" s="147" t="str">
        <f t="shared" si="37"/>
        <v/>
      </c>
      <c r="L2400" s="40"/>
      <c r="M2400"/>
      <c r="N2400"/>
      <c r="O2400"/>
      <c r="P2400"/>
      <c r="Q2400"/>
      <c r="R2400"/>
      <c r="S2400"/>
      <c r="T2400"/>
      <c r="U2400"/>
      <c r="V2400"/>
      <c r="W2400" s="41"/>
      <c r="X2400" s="41"/>
      <c r="Y2400" s="41"/>
    </row>
    <row r="2401" s="27" customFormat="1" ht="23" hidden="1" customHeight="1" spans="1:25">
      <c r="A2401" s="133" t="str">
        <f>IF(B2401="","",COUNTA($B$5:B2401))</f>
        <v/>
      </c>
      <c r="B2401" s="148"/>
      <c r="C2401" s="22" t="s">
        <v>49</v>
      </c>
      <c r="D2401" s="149"/>
      <c r="E2401" s="150"/>
      <c r="F2401" s="151"/>
      <c r="G2401" s="151"/>
      <c r="H2401" s="142">
        <f>IFERROR(VLOOKUP($C2401,$C$5:$H$18,6,0)+SUMIF($C$19:$C2401,$C2401,$F$19:$F2401)-SUMIF($C$19:$C2401,$C2401,$G$19:$G2401),"")</f>
        <v>81211.819999998</v>
      </c>
      <c r="I2401" s="147"/>
      <c r="J2401" s="147"/>
      <c r="K2401" s="147" t="str">
        <f t="shared" si="37"/>
        <v/>
      </c>
      <c r="L2401" s="40"/>
      <c r="M2401"/>
      <c r="N2401"/>
      <c r="O2401"/>
      <c r="P2401"/>
      <c r="Q2401"/>
      <c r="R2401"/>
      <c r="S2401"/>
      <c r="T2401"/>
      <c r="U2401"/>
      <c r="V2401"/>
      <c r="W2401" s="41"/>
      <c r="X2401" s="41"/>
      <c r="Y2401" s="41"/>
    </row>
    <row r="2402" s="27" customFormat="1" ht="23" hidden="1" customHeight="1" spans="1:25">
      <c r="A2402" s="133" t="str">
        <f>IF(B2402="","",COUNTA($B$5:B2402))</f>
        <v/>
      </c>
      <c r="B2402" s="148"/>
      <c r="C2402" s="22" t="s">
        <v>49</v>
      </c>
      <c r="D2402" s="149"/>
      <c r="E2402" s="150"/>
      <c r="F2402" s="151"/>
      <c r="G2402" s="151"/>
      <c r="H2402" s="142">
        <f>IFERROR(VLOOKUP($C2402,$C$5:$H$18,6,0)+SUMIF($C$19:$C2402,$C2402,$F$19:$F2402)-SUMIF($C$19:$C2402,$C2402,$G$19:$G2402),"")</f>
        <v>81211.819999998</v>
      </c>
      <c r="I2402" s="147"/>
      <c r="J2402" s="147"/>
      <c r="K2402" s="147" t="str">
        <f t="shared" si="37"/>
        <v/>
      </c>
      <c r="L2402" s="40"/>
      <c r="M2402"/>
      <c r="N2402"/>
      <c r="O2402"/>
      <c r="P2402"/>
      <c r="Q2402"/>
      <c r="R2402"/>
      <c r="S2402"/>
      <c r="T2402"/>
      <c r="U2402"/>
      <c r="V2402"/>
      <c r="W2402" s="41"/>
      <c r="X2402" s="41"/>
      <c r="Y2402" s="41"/>
    </row>
    <row r="2403" s="27" customFormat="1" ht="23" hidden="1" customHeight="1" spans="1:25">
      <c r="A2403" s="133" t="str">
        <f>IF(B2403="","",COUNTA($B$5:B2403))</f>
        <v/>
      </c>
      <c r="B2403" s="148"/>
      <c r="C2403" s="22" t="s">
        <v>49</v>
      </c>
      <c r="D2403" s="149"/>
      <c r="E2403" s="150"/>
      <c r="F2403" s="151"/>
      <c r="G2403" s="151"/>
      <c r="H2403" s="142">
        <f>IFERROR(VLOOKUP($C2403,$C$5:$H$18,6,0)+SUMIF($C$19:$C2403,$C2403,$F$19:$F2403)-SUMIF($C$19:$C2403,$C2403,$G$19:$G2403),"")</f>
        <v>81211.819999998</v>
      </c>
      <c r="I2403" s="147"/>
      <c r="J2403" s="147"/>
      <c r="K2403" s="147" t="str">
        <f t="shared" si="37"/>
        <v/>
      </c>
      <c r="L2403" s="40"/>
      <c r="M2403"/>
      <c r="N2403"/>
      <c r="O2403"/>
      <c r="P2403"/>
      <c r="Q2403"/>
      <c r="R2403"/>
      <c r="S2403"/>
      <c r="T2403"/>
      <c r="U2403"/>
      <c r="V2403"/>
      <c r="W2403" s="41"/>
      <c r="X2403" s="41"/>
      <c r="Y2403" s="41"/>
    </row>
    <row r="2404" s="27" customFormat="1" ht="23" hidden="1" customHeight="1" spans="1:25">
      <c r="A2404" s="133" t="str">
        <f>IF(B2404="","",COUNTA($B$5:B2404))</f>
        <v/>
      </c>
      <c r="B2404" s="148"/>
      <c r="C2404" s="22" t="s">
        <v>49</v>
      </c>
      <c r="D2404" s="149"/>
      <c r="E2404" s="150"/>
      <c r="F2404" s="151"/>
      <c r="G2404" s="151"/>
      <c r="H2404" s="142">
        <f>IFERROR(VLOOKUP($C2404,$C$5:$H$18,6,0)+SUMIF($C$19:$C2404,$C2404,$F$19:$F2404)-SUMIF($C$19:$C2404,$C2404,$G$19:$G2404),"")</f>
        <v>81211.819999998</v>
      </c>
      <c r="I2404" s="147"/>
      <c r="J2404" s="147"/>
      <c r="K2404" s="147" t="str">
        <f t="shared" si="37"/>
        <v/>
      </c>
      <c r="L2404" s="40"/>
      <c r="M2404"/>
      <c r="N2404"/>
      <c r="O2404"/>
      <c r="P2404"/>
      <c r="Q2404"/>
      <c r="R2404"/>
      <c r="S2404"/>
      <c r="T2404"/>
      <c r="U2404"/>
      <c r="V2404"/>
      <c r="W2404" s="41"/>
      <c r="X2404" s="41"/>
      <c r="Y2404" s="41"/>
    </row>
    <row r="2405" s="27" customFormat="1" ht="23" hidden="1" customHeight="1" spans="1:25">
      <c r="A2405" s="133" t="str">
        <f>IF(B2405="","",COUNTA($B$5:B2405))</f>
        <v/>
      </c>
      <c r="B2405" s="148"/>
      <c r="C2405" s="22" t="s">
        <v>49</v>
      </c>
      <c r="D2405" s="149"/>
      <c r="E2405" s="150"/>
      <c r="F2405" s="151"/>
      <c r="G2405" s="151"/>
      <c r="H2405" s="142">
        <f>IFERROR(VLOOKUP($C2405,$C$5:$H$18,6,0)+SUMIF($C$19:$C2405,$C2405,$F$19:$F2405)-SUMIF($C$19:$C2405,$C2405,$G$19:$G2405),"")</f>
        <v>81211.819999998</v>
      </c>
      <c r="I2405" s="147"/>
      <c r="J2405" s="147"/>
      <c r="K2405" s="147" t="str">
        <f t="shared" si="37"/>
        <v/>
      </c>
      <c r="L2405" s="40"/>
      <c r="M2405"/>
      <c r="N2405"/>
      <c r="O2405"/>
      <c r="P2405"/>
      <c r="Q2405"/>
      <c r="R2405"/>
      <c r="S2405"/>
      <c r="T2405"/>
      <c r="U2405"/>
      <c r="V2405"/>
      <c r="W2405" s="41"/>
      <c r="X2405" s="41"/>
      <c r="Y2405" s="41"/>
    </row>
    <row r="2406" s="27" customFormat="1" ht="23" hidden="1" customHeight="1" spans="1:25">
      <c r="A2406" s="133" t="str">
        <f>IF(B2406="","",COUNTA($B$5:B2406))</f>
        <v/>
      </c>
      <c r="B2406" s="148"/>
      <c r="C2406" s="22" t="s">
        <v>49</v>
      </c>
      <c r="D2406" s="149"/>
      <c r="E2406" s="150"/>
      <c r="F2406" s="151"/>
      <c r="G2406" s="151"/>
      <c r="H2406" s="142">
        <f>IFERROR(VLOOKUP($C2406,$C$5:$H$18,6,0)+SUMIF($C$19:$C2406,$C2406,$F$19:$F2406)-SUMIF($C$19:$C2406,$C2406,$G$19:$G2406),"")</f>
        <v>81211.819999998</v>
      </c>
      <c r="I2406" s="147"/>
      <c r="J2406" s="147"/>
      <c r="K2406" s="147" t="str">
        <f t="shared" si="37"/>
        <v/>
      </c>
      <c r="L2406" s="40"/>
      <c r="M2406"/>
      <c r="N2406"/>
      <c r="O2406"/>
      <c r="P2406"/>
      <c r="Q2406"/>
      <c r="R2406"/>
      <c r="S2406"/>
      <c r="T2406"/>
      <c r="U2406"/>
      <c r="V2406"/>
      <c r="W2406" s="41"/>
      <c r="X2406" s="41"/>
      <c r="Y2406" s="41"/>
    </row>
    <row r="2407" s="27" customFormat="1" ht="23" hidden="1" customHeight="1" spans="1:25">
      <c r="A2407" s="133" t="str">
        <f>IF(B2407="","",COUNTA($B$5:B2407))</f>
        <v/>
      </c>
      <c r="B2407" s="148"/>
      <c r="C2407" s="22" t="s">
        <v>49</v>
      </c>
      <c r="D2407" s="149"/>
      <c r="E2407" s="150"/>
      <c r="F2407" s="151"/>
      <c r="G2407" s="151"/>
      <c r="H2407" s="142">
        <f>IFERROR(VLOOKUP($C2407,$C$5:$H$18,6,0)+SUMIF($C$19:$C2407,$C2407,$F$19:$F2407)-SUMIF($C$19:$C2407,$C2407,$G$19:$G2407),"")</f>
        <v>81211.819999998</v>
      </c>
      <c r="I2407" s="147"/>
      <c r="J2407" s="147"/>
      <c r="K2407" s="147" t="str">
        <f t="shared" si="37"/>
        <v/>
      </c>
      <c r="L2407" s="40"/>
      <c r="M2407"/>
      <c r="N2407"/>
      <c r="O2407"/>
      <c r="P2407"/>
      <c r="Q2407"/>
      <c r="R2407"/>
      <c r="S2407"/>
      <c r="T2407"/>
      <c r="U2407"/>
      <c r="V2407"/>
      <c r="W2407" s="41"/>
      <c r="X2407" s="41"/>
      <c r="Y2407" s="41"/>
    </row>
    <row r="2408" s="27" customFormat="1" ht="23" hidden="1" customHeight="1" spans="1:25">
      <c r="A2408" s="133" t="str">
        <f>IF(B2408="","",COUNTA($B$5:B2408))</f>
        <v/>
      </c>
      <c r="B2408" s="148"/>
      <c r="C2408" s="22" t="s">
        <v>49</v>
      </c>
      <c r="D2408" s="149"/>
      <c r="E2408" s="150"/>
      <c r="F2408" s="151"/>
      <c r="G2408" s="151"/>
      <c r="H2408" s="142">
        <f>IFERROR(VLOOKUP($C2408,$C$5:$H$18,6,0)+SUMIF($C$19:$C2408,$C2408,$F$19:$F2408)-SUMIF($C$19:$C2408,$C2408,$G$19:$G2408),"")</f>
        <v>81211.819999998</v>
      </c>
      <c r="I2408" s="147"/>
      <c r="J2408" s="147"/>
      <c r="K2408" s="147" t="str">
        <f t="shared" si="37"/>
        <v/>
      </c>
      <c r="L2408" s="40"/>
      <c r="M2408"/>
      <c r="N2408"/>
      <c r="O2408"/>
      <c r="P2408"/>
      <c r="Q2408"/>
      <c r="R2408"/>
      <c r="S2408"/>
      <c r="T2408"/>
      <c r="U2408"/>
      <c r="V2408"/>
      <c r="W2408" s="41"/>
      <c r="X2408" s="41"/>
      <c r="Y2408" s="41"/>
    </row>
    <row r="2409" s="27" customFormat="1" ht="23" hidden="1" customHeight="1" spans="1:25">
      <c r="A2409" s="133" t="str">
        <f>IF(B2409="","",COUNTA($B$5:B2409))</f>
        <v/>
      </c>
      <c r="B2409" s="148"/>
      <c r="C2409" s="22" t="s">
        <v>49</v>
      </c>
      <c r="D2409" s="149"/>
      <c r="E2409" s="150"/>
      <c r="F2409" s="151"/>
      <c r="G2409" s="151"/>
      <c r="H2409" s="142">
        <f>IFERROR(VLOOKUP($C2409,$C$5:$H$18,6,0)+SUMIF($C$19:$C2409,$C2409,$F$19:$F2409)-SUMIF($C$19:$C2409,$C2409,$G$19:$G2409),"")</f>
        <v>81211.819999998</v>
      </c>
      <c r="I2409" s="147"/>
      <c r="J2409" s="147"/>
      <c r="K2409" s="147" t="str">
        <f t="shared" si="37"/>
        <v/>
      </c>
      <c r="L2409" s="40"/>
      <c r="M2409"/>
      <c r="N2409"/>
      <c r="O2409"/>
      <c r="P2409"/>
      <c r="Q2409"/>
      <c r="R2409"/>
      <c r="S2409"/>
      <c r="T2409"/>
      <c r="U2409"/>
      <c r="V2409"/>
      <c r="W2409" s="41"/>
      <c r="X2409" s="41"/>
      <c r="Y2409" s="41"/>
    </row>
    <row r="2410" s="27" customFormat="1" ht="23" hidden="1" customHeight="1" spans="1:25">
      <c r="A2410" s="133" t="str">
        <f>IF(B2410="","",COUNTA($B$5:B2410))</f>
        <v/>
      </c>
      <c r="B2410" s="148"/>
      <c r="C2410" s="22" t="s">
        <v>49</v>
      </c>
      <c r="D2410" s="149"/>
      <c r="E2410" s="150"/>
      <c r="F2410" s="151"/>
      <c r="G2410" s="151"/>
      <c r="H2410" s="142">
        <f>IFERROR(VLOOKUP($C2410,$C$5:$H$18,6,0)+SUMIF($C$19:$C2410,$C2410,$F$19:$F2410)-SUMIF($C$19:$C2410,$C2410,$G$19:$G2410),"")</f>
        <v>81211.819999998</v>
      </c>
      <c r="I2410" s="147"/>
      <c r="J2410" s="147"/>
      <c r="K2410" s="147" t="str">
        <f t="shared" si="37"/>
        <v/>
      </c>
      <c r="L2410" s="40"/>
      <c r="M2410"/>
      <c r="N2410"/>
      <c r="O2410"/>
      <c r="P2410"/>
      <c r="Q2410"/>
      <c r="R2410"/>
      <c r="S2410"/>
      <c r="T2410"/>
      <c r="U2410"/>
      <c r="V2410"/>
      <c r="W2410" s="41"/>
      <c r="X2410" s="41"/>
      <c r="Y2410" s="41"/>
    </row>
    <row r="2411" s="27" customFormat="1" ht="23" hidden="1" customHeight="1" spans="1:25">
      <c r="A2411" s="133" t="str">
        <f>IF(B2411="","",COUNTA($B$5:B2411))</f>
        <v/>
      </c>
      <c r="B2411" s="148"/>
      <c r="C2411" s="22" t="s">
        <v>49</v>
      </c>
      <c r="D2411" s="149"/>
      <c r="E2411" s="150"/>
      <c r="F2411" s="151"/>
      <c r="G2411" s="151"/>
      <c r="H2411" s="142">
        <f>IFERROR(VLOOKUP($C2411,$C$5:$H$18,6,0)+SUMIF($C$19:$C2411,$C2411,$F$19:$F2411)-SUMIF($C$19:$C2411,$C2411,$G$19:$G2411),"")</f>
        <v>81211.819999998</v>
      </c>
      <c r="I2411" s="147"/>
      <c r="J2411" s="147"/>
      <c r="K2411" s="147" t="str">
        <f t="shared" si="37"/>
        <v/>
      </c>
      <c r="L2411" s="40"/>
      <c r="M2411"/>
      <c r="N2411"/>
      <c r="O2411"/>
      <c r="P2411"/>
      <c r="Q2411"/>
      <c r="R2411"/>
      <c r="S2411"/>
      <c r="T2411"/>
      <c r="U2411"/>
      <c r="V2411"/>
      <c r="W2411" s="41"/>
      <c r="X2411" s="41"/>
      <c r="Y2411" s="41"/>
    </row>
    <row r="2412" s="27" customFormat="1" ht="23" hidden="1" customHeight="1" spans="1:25">
      <c r="A2412" s="133" t="str">
        <f>IF(B2412="","",COUNTA($B$5:B2412))</f>
        <v/>
      </c>
      <c r="B2412" s="148"/>
      <c r="C2412" s="22" t="s">
        <v>49</v>
      </c>
      <c r="D2412" s="149"/>
      <c r="E2412" s="150"/>
      <c r="F2412" s="151"/>
      <c r="G2412" s="151"/>
      <c r="H2412" s="142">
        <f>IFERROR(VLOOKUP($C2412,$C$5:$H$18,6,0)+SUMIF($C$19:$C2412,$C2412,$F$19:$F2412)-SUMIF($C$19:$C2412,$C2412,$G$19:$G2412),"")</f>
        <v>81211.819999998</v>
      </c>
      <c r="I2412" s="147"/>
      <c r="J2412" s="147"/>
      <c r="K2412" s="147" t="str">
        <f t="shared" si="37"/>
        <v/>
      </c>
      <c r="L2412" s="40"/>
      <c r="M2412"/>
      <c r="N2412"/>
      <c r="O2412"/>
      <c r="P2412"/>
      <c r="Q2412"/>
      <c r="R2412"/>
      <c r="S2412"/>
      <c r="T2412"/>
      <c r="U2412"/>
      <c r="V2412"/>
      <c r="W2412" s="41"/>
      <c r="X2412" s="41"/>
      <c r="Y2412" s="41"/>
    </row>
    <row r="2413" s="27" customFormat="1" ht="23" hidden="1" customHeight="1" spans="1:25">
      <c r="A2413" s="133" t="str">
        <f>IF(B2413="","",COUNTA($B$5:B2413))</f>
        <v/>
      </c>
      <c r="B2413" s="148"/>
      <c r="C2413" s="22" t="s">
        <v>49</v>
      </c>
      <c r="D2413" s="149"/>
      <c r="E2413" s="150"/>
      <c r="F2413" s="151"/>
      <c r="G2413" s="151"/>
      <c r="H2413" s="142">
        <f>IFERROR(VLOOKUP($C2413,$C$5:$H$18,6,0)+SUMIF($C$19:$C2413,$C2413,$F$19:$F2413)-SUMIF($C$19:$C2413,$C2413,$G$19:$G2413),"")</f>
        <v>81211.819999998</v>
      </c>
      <c r="I2413" s="147"/>
      <c r="J2413" s="147"/>
      <c r="K2413" s="147" t="str">
        <f t="shared" si="37"/>
        <v/>
      </c>
      <c r="L2413" s="40"/>
      <c r="M2413"/>
      <c r="N2413"/>
      <c r="O2413"/>
      <c r="P2413"/>
      <c r="Q2413"/>
      <c r="R2413"/>
      <c r="S2413"/>
      <c r="T2413"/>
      <c r="U2413"/>
      <c r="V2413"/>
      <c r="W2413" s="41"/>
      <c r="X2413" s="41"/>
      <c r="Y2413" s="41"/>
    </row>
    <row r="2414" s="27" customFormat="1" ht="23" hidden="1" customHeight="1" spans="1:25">
      <c r="A2414" s="133" t="str">
        <f>IF(B2414="","",COUNTA($B$5:B2414))</f>
        <v/>
      </c>
      <c r="B2414" s="148"/>
      <c r="C2414" s="22" t="s">
        <v>49</v>
      </c>
      <c r="D2414" s="149"/>
      <c r="E2414" s="150"/>
      <c r="F2414" s="151"/>
      <c r="G2414" s="151"/>
      <c r="H2414" s="142">
        <f>IFERROR(VLOOKUP($C2414,$C$5:$H$18,6,0)+SUMIF($C$19:$C2414,$C2414,$F$19:$F2414)-SUMIF($C$19:$C2414,$C2414,$G$19:$G2414),"")</f>
        <v>81211.819999998</v>
      </c>
      <c r="I2414" s="147"/>
      <c r="J2414" s="147"/>
      <c r="K2414" s="147" t="str">
        <f t="shared" si="37"/>
        <v/>
      </c>
      <c r="L2414" s="40"/>
      <c r="M2414"/>
      <c r="N2414"/>
      <c r="O2414"/>
      <c r="P2414"/>
      <c r="Q2414"/>
      <c r="R2414"/>
      <c r="S2414"/>
      <c r="T2414"/>
      <c r="U2414"/>
      <c r="V2414"/>
      <c r="W2414" s="41"/>
      <c r="X2414" s="41"/>
      <c r="Y2414" s="41"/>
    </row>
    <row r="2415" s="27" customFormat="1" ht="23" hidden="1" customHeight="1" spans="1:25">
      <c r="A2415" s="133" t="str">
        <f>IF(B2415="","",COUNTA($B$5:B2415))</f>
        <v/>
      </c>
      <c r="B2415" s="148"/>
      <c r="C2415" s="22" t="s">
        <v>49</v>
      </c>
      <c r="D2415" s="149"/>
      <c r="E2415" s="150"/>
      <c r="F2415" s="151"/>
      <c r="G2415" s="151"/>
      <c r="H2415" s="142">
        <f>IFERROR(VLOOKUP($C2415,$C$5:$H$18,6,0)+SUMIF($C$19:$C2415,$C2415,$F$19:$F2415)-SUMIF($C$19:$C2415,$C2415,$G$19:$G2415),"")</f>
        <v>81211.819999998</v>
      </c>
      <c r="I2415" s="147"/>
      <c r="J2415" s="147"/>
      <c r="K2415" s="147" t="str">
        <f t="shared" si="37"/>
        <v/>
      </c>
      <c r="L2415" s="40"/>
      <c r="M2415"/>
      <c r="N2415"/>
      <c r="O2415"/>
      <c r="P2415"/>
      <c r="Q2415"/>
      <c r="R2415"/>
      <c r="S2415"/>
      <c r="T2415"/>
      <c r="U2415"/>
      <c r="V2415"/>
      <c r="W2415" s="41"/>
      <c r="X2415" s="41"/>
      <c r="Y2415" s="41"/>
    </row>
    <row r="2416" s="27" customFormat="1" ht="23" hidden="1" customHeight="1" spans="1:25">
      <c r="A2416" s="133" t="str">
        <f>IF(B2416="","",COUNTA($B$5:B2416))</f>
        <v/>
      </c>
      <c r="B2416" s="148"/>
      <c r="C2416" s="22" t="s">
        <v>49</v>
      </c>
      <c r="D2416" s="149"/>
      <c r="E2416" s="150"/>
      <c r="F2416" s="151"/>
      <c r="G2416" s="151"/>
      <c r="H2416" s="142">
        <f>IFERROR(VLOOKUP($C2416,$C$5:$H$18,6,0)+SUMIF($C$19:$C2416,$C2416,$F$19:$F2416)-SUMIF($C$19:$C2416,$C2416,$G$19:$G2416),"")</f>
        <v>81211.819999998</v>
      </c>
      <c r="I2416" s="147"/>
      <c r="J2416" s="147"/>
      <c r="K2416" s="147" t="str">
        <f t="shared" si="37"/>
        <v/>
      </c>
      <c r="L2416" s="40"/>
      <c r="M2416"/>
      <c r="N2416"/>
      <c r="O2416"/>
      <c r="P2416"/>
      <c r="Q2416"/>
      <c r="R2416"/>
      <c r="S2416"/>
      <c r="T2416"/>
      <c r="U2416"/>
      <c r="V2416"/>
      <c r="W2416" s="41"/>
      <c r="X2416" s="41"/>
      <c r="Y2416" s="41"/>
    </row>
    <row r="2417" s="27" customFormat="1" ht="23" hidden="1" customHeight="1" spans="1:25">
      <c r="A2417" s="133" t="str">
        <f>IF(B2417="","",COUNTA($B$5:B2417))</f>
        <v/>
      </c>
      <c r="B2417" s="148"/>
      <c r="C2417" s="22" t="s">
        <v>49</v>
      </c>
      <c r="D2417" s="149"/>
      <c r="E2417" s="150"/>
      <c r="F2417" s="151"/>
      <c r="G2417" s="151"/>
      <c r="H2417" s="142">
        <f>IFERROR(VLOOKUP($C2417,$C$5:$H$18,6,0)+SUMIF($C$19:$C2417,$C2417,$F$19:$F2417)-SUMIF($C$19:$C2417,$C2417,$G$19:$G2417),"")</f>
        <v>81211.819999998</v>
      </c>
      <c r="I2417" s="147"/>
      <c r="J2417" s="147"/>
      <c r="K2417" s="147" t="str">
        <f t="shared" si="37"/>
        <v/>
      </c>
      <c r="L2417" s="40"/>
      <c r="M2417"/>
      <c r="N2417"/>
      <c r="O2417"/>
      <c r="P2417"/>
      <c r="Q2417"/>
      <c r="R2417"/>
      <c r="S2417"/>
      <c r="T2417"/>
      <c r="U2417"/>
      <c r="V2417"/>
      <c r="W2417" s="41"/>
      <c r="X2417" s="41"/>
      <c r="Y2417" s="41"/>
    </row>
    <row r="2418" s="27" customFormat="1" ht="23" hidden="1" customHeight="1" spans="1:25">
      <c r="A2418" s="133" t="str">
        <f>IF(B2418="","",COUNTA($B$5:B2418))</f>
        <v/>
      </c>
      <c r="B2418" s="148"/>
      <c r="C2418" s="22" t="s">
        <v>49</v>
      </c>
      <c r="D2418" s="149"/>
      <c r="E2418" s="150"/>
      <c r="F2418" s="151"/>
      <c r="G2418" s="151"/>
      <c r="H2418" s="142">
        <f>IFERROR(VLOOKUP($C2418,$C$5:$H$18,6,0)+SUMIF($C$19:$C2418,$C2418,$F$19:$F2418)-SUMIF($C$19:$C2418,$C2418,$G$19:$G2418),"")</f>
        <v>81211.819999998</v>
      </c>
      <c r="I2418" s="147"/>
      <c r="J2418" s="147"/>
      <c r="K2418" s="147" t="str">
        <f t="shared" si="37"/>
        <v/>
      </c>
      <c r="L2418" s="40"/>
      <c r="M2418"/>
      <c r="N2418"/>
      <c r="O2418"/>
      <c r="P2418"/>
      <c r="Q2418"/>
      <c r="R2418"/>
      <c r="S2418"/>
      <c r="T2418"/>
      <c r="U2418"/>
      <c r="V2418"/>
      <c r="W2418" s="41"/>
      <c r="X2418" s="41"/>
      <c r="Y2418" s="41"/>
    </row>
    <row r="2419" s="27" customFormat="1" ht="23" hidden="1" customHeight="1" spans="1:25">
      <c r="A2419" s="133" t="str">
        <f>IF(B2419="","",COUNTA($B$5:B2419))</f>
        <v/>
      </c>
      <c r="B2419" s="148"/>
      <c r="C2419" s="22" t="s">
        <v>49</v>
      </c>
      <c r="D2419" s="149"/>
      <c r="E2419" s="150"/>
      <c r="F2419" s="151"/>
      <c r="G2419" s="151"/>
      <c r="H2419" s="142">
        <f>IFERROR(VLOOKUP($C2419,$C$5:$H$18,6,0)+SUMIF($C$19:$C2419,$C2419,$F$19:$F2419)-SUMIF($C$19:$C2419,$C2419,$G$19:$G2419),"")</f>
        <v>81211.819999998</v>
      </c>
      <c r="I2419" s="147"/>
      <c r="J2419" s="147"/>
      <c r="K2419" s="147" t="str">
        <f t="shared" si="37"/>
        <v/>
      </c>
      <c r="L2419" s="40"/>
      <c r="M2419"/>
      <c r="N2419"/>
      <c r="O2419"/>
      <c r="P2419"/>
      <c r="Q2419"/>
      <c r="R2419"/>
      <c r="S2419"/>
      <c r="T2419"/>
      <c r="U2419"/>
      <c r="V2419"/>
      <c r="W2419" s="41"/>
      <c r="X2419" s="41"/>
      <c r="Y2419" s="41"/>
    </row>
    <row r="2420" s="27" customFormat="1" ht="23" hidden="1" customHeight="1" spans="1:25">
      <c r="A2420" s="133" t="str">
        <f>IF(B2420="","",COUNTA($B$5:B2420))</f>
        <v/>
      </c>
      <c r="B2420" s="148"/>
      <c r="C2420" s="22" t="s">
        <v>49</v>
      </c>
      <c r="D2420" s="149"/>
      <c r="E2420" s="150"/>
      <c r="F2420" s="151"/>
      <c r="G2420" s="151"/>
      <c r="H2420" s="142">
        <f>IFERROR(VLOOKUP($C2420,$C$5:$H$18,6,0)+SUMIF($C$19:$C2420,$C2420,$F$19:$F2420)-SUMIF($C$19:$C2420,$C2420,$G$19:$G2420),"")</f>
        <v>81211.819999998</v>
      </c>
      <c r="I2420" s="147"/>
      <c r="J2420" s="147"/>
      <c r="K2420" s="147" t="str">
        <f t="shared" si="37"/>
        <v/>
      </c>
      <c r="L2420" s="40"/>
      <c r="M2420"/>
      <c r="N2420"/>
      <c r="O2420"/>
      <c r="P2420"/>
      <c r="Q2420"/>
      <c r="R2420"/>
      <c r="S2420"/>
      <c r="T2420"/>
      <c r="U2420"/>
      <c r="V2420"/>
      <c r="W2420" s="41"/>
      <c r="X2420" s="41"/>
      <c r="Y2420" s="41"/>
    </row>
    <row r="2421" s="27" customFormat="1" ht="23" hidden="1" customHeight="1" spans="1:25">
      <c r="A2421" s="133" t="str">
        <f>IF(B2421="","",COUNTA($B$5:B2421))</f>
        <v/>
      </c>
      <c r="B2421" s="148"/>
      <c r="C2421" s="22" t="s">
        <v>49</v>
      </c>
      <c r="D2421" s="149"/>
      <c r="E2421" s="150"/>
      <c r="F2421" s="151"/>
      <c r="G2421" s="151"/>
      <c r="H2421" s="142">
        <f>IFERROR(VLOOKUP($C2421,$C$5:$H$18,6,0)+SUMIF($C$19:$C2421,$C2421,$F$19:$F2421)-SUMIF($C$19:$C2421,$C2421,$G$19:$G2421),"")</f>
        <v>81211.819999998</v>
      </c>
      <c r="I2421" s="147"/>
      <c r="J2421" s="147"/>
      <c r="K2421" s="147" t="str">
        <f t="shared" si="37"/>
        <v/>
      </c>
      <c r="L2421" s="40"/>
      <c r="M2421"/>
      <c r="N2421"/>
      <c r="O2421"/>
      <c r="P2421"/>
      <c r="Q2421"/>
      <c r="R2421"/>
      <c r="S2421"/>
      <c r="T2421"/>
      <c r="U2421"/>
      <c r="V2421"/>
      <c r="W2421" s="41"/>
      <c r="X2421" s="41"/>
      <c r="Y2421" s="41"/>
    </row>
    <row r="2422" s="27" customFormat="1" ht="23" hidden="1" customHeight="1" spans="1:25">
      <c r="A2422" s="133" t="str">
        <f>IF(B2422="","",COUNTA($B$5:B2422))</f>
        <v/>
      </c>
      <c r="B2422" s="148"/>
      <c r="C2422" s="22" t="s">
        <v>49</v>
      </c>
      <c r="D2422" s="149"/>
      <c r="E2422" s="150"/>
      <c r="F2422" s="151"/>
      <c r="G2422" s="151"/>
      <c r="H2422" s="142">
        <f>IFERROR(VLOOKUP($C2422,$C$5:$H$18,6,0)+SUMIF($C$19:$C2422,$C2422,$F$19:$F2422)-SUMIF($C$19:$C2422,$C2422,$G$19:$G2422),"")</f>
        <v>81211.819999998</v>
      </c>
      <c r="I2422" s="147"/>
      <c r="J2422" s="147"/>
      <c r="K2422" s="147" t="str">
        <f t="shared" si="37"/>
        <v/>
      </c>
      <c r="L2422" s="40"/>
      <c r="M2422"/>
      <c r="N2422"/>
      <c r="O2422"/>
      <c r="P2422"/>
      <c r="Q2422"/>
      <c r="R2422"/>
      <c r="S2422"/>
      <c r="T2422"/>
      <c r="U2422"/>
      <c r="V2422"/>
      <c r="W2422" s="41"/>
      <c r="X2422" s="41"/>
      <c r="Y2422" s="41"/>
    </row>
    <row r="2423" s="27" customFormat="1" ht="23" hidden="1" customHeight="1" spans="1:25">
      <c r="A2423" s="133" t="str">
        <f>IF(B2423="","",COUNTA($B$5:B2423))</f>
        <v/>
      </c>
      <c r="B2423" s="148"/>
      <c r="C2423" s="22" t="s">
        <v>49</v>
      </c>
      <c r="D2423" s="149"/>
      <c r="E2423" s="150"/>
      <c r="F2423" s="151"/>
      <c r="G2423" s="151"/>
      <c r="H2423" s="142">
        <f>IFERROR(VLOOKUP($C2423,$C$5:$H$18,6,0)+SUMIF($C$19:$C2423,$C2423,$F$19:$F2423)-SUMIF($C$19:$C2423,$C2423,$G$19:$G2423),"")</f>
        <v>81211.819999998</v>
      </c>
      <c r="I2423" s="147"/>
      <c r="J2423" s="147"/>
      <c r="K2423" s="147" t="str">
        <f t="shared" si="37"/>
        <v/>
      </c>
      <c r="L2423" s="40"/>
      <c r="M2423"/>
      <c r="N2423"/>
      <c r="O2423"/>
      <c r="P2423"/>
      <c r="Q2423"/>
      <c r="R2423"/>
      <c r="S2423"/>
      <c r="T2423"/>
      <c r="U2423"/>
      <c r="V2423"/>
      <c r="W2423" s="41"/>
      <c r="X2423" s="41"/>
      <c r="Y2423" s="41"/>
    </row>
    <row r="2424" s="27" customFormat="1" ht="23" hidden="1" customHeight="1" spans="1:25">
      <c r="A2424" s="133" t="str">
        <f>IF(B2424="","",COUNTA($B$5:B2424))</f>
        <v/>
      </c>
      <c r="B2424" s="148"/>
      <c r="C2424" s="22" t="s">
        <v>49</v>
      </c>
      <c r="D2424" s="149"/>
      <c r="E2424" s="150"/>
      <c r="F2424" s="151"/>
      <c r="G2424" s="151"/>
      <c r="H2424" s="142">
        <f>IFERROR(VLOOKUP($C2424,$C$5:$H$18,6,0)+SUMIF($C$19:$C2424,$C2424,$F$19:$F2424)-SUMIF($C$19:$C2424,$C2424,$G$19:$G2424),"")</f>
        <v>81211.819999998</v>
      </c>
      <c r="I2424" s="147"/>
      <c r="J2424" s="147"/>
      <c r="K2424" s="147" t="str">
        <f t="shared" si="37"/>
        <v/>
      </c>
      <c r="L2424" s="40"/>
      <c r="M2424"/>
      <c r="N2424"/>
      <c r="O2424"/>
      <c r="P2424"/>
      <c r="Q2424"/>
      <c r="R2424"/>
      <c r="S2424"/>
      <c r="T2424"/>
      <c r="U2424"/>
      <c r="V2424"/>
      <c r="W2424" s="41"/>
      <c r="X2424" s="41"/>
      <c r="Y2424" s="41"/>
    </row>
    <row r="2425" s="27" customFormat="1" ht="23" hidden="1" customHeight="1" spans="1:25">
      <c r="A2425" s="133" t="str">
        <f>IF(B2425="","",COUNTA($B$5:B2425))</f>
        <v/>
      </c>
      <c r="B2425" s="148"/>
      <c r="C2425" s="22" t="s">
        <v>49</v>
      </c>
      <c r="D2425" s="149"/>
      <c r="E2425" s="150"/>
      <c r="F2425" s="151"/>
      <c r="G2425" s="151"/>
      <c r="H2425" s="142">
        <f>IFERROR(VLOOKUP($C2425,$C$5:$H$18,6,0)+SUMIF($C$19:$C2425,$C2425,$F$19:$F2425)-SUMIF($C$19:$C2425,$C2425,$G$19:$G2425),"")</f>
        <v>81211.819999998</v>
      </c>
      <c r="I2425" s="147"/>
      <c r="J2425" s="147"/>
      <c r="K2425" s="147" t="str">
        <f t="shared" si="37"/>
        <v/>
      </c>
      <c r="L2425" s="40"/>
      <c r="M2425"/>
      <c r="N2425"/>
      <c r="O2425"/>
      <c r="P2425"/>
      <c r="Q2425"/>
      <c r="R2425"/>
      <c r="S2425"/>
      <c r="T2425"/>
      <c r="U2425"/>
      <c r="V2425"/>
      <c r="W2425" s="41"/>
      <c r="X2425" s="41"/>
      <c r="Y2425" s="41"/>
    </row>
    <row r="2426" s="27" customFormat="1" ht="23" hidden="1" customHeight="1" spans="1:25">
      <c r="A2426" s="133" t="str">
        <f>IF(B2426="","",COUNTA($B$5:B2426))</f>
        <v/>
      </c>
      <c r="B2426" s="148"/>
      <c r="C2426" s="22" t="s">
        <v>49</v>
      </c>
      <c r="D2426" s="149"/>
      <c r="E2426" s="150"/>
      <c r="F2426" s="151"/>
      <c r="G2426" s="151"/>
      <c r="H2426" s="142">
        <f>IFERROR(VLOOKUP($C2426,$C$5:$H$18,6,0)+SUMIF($C$19:$C2426,$C2426,$F$19:$F2426)-SUMIF($C$19:$C2426,$C2426,$G$19:$G2426),"")</f>
        <v>81211.819999998</v>
      </c>
      <c r="I2426" s="147"/>
      <c r="J2426" s="147"/>
      <c r="K2426" s="147" t="str">
        <f t="shared" si="37"/>
        <v/>
      </c>
      <c r="L2426" s="40"/>
      <c r="M2426"/>
      <c r="N2426"/>
      <c r="O2426"/>
      <c r="P2426"/>
      <c r="Q2426"/>
      <c r="R2426"/>
      <c r="S2426"/>
      <c r="T2426"/>
      <c r="U2426"/>
      <c r="V2426"/>
      <c r="W2426" s="41"/>
      <c r="X2426" s="41"/>
      <c r="Y2426" s="41"/>
    </row>
    <row r="2427" s="27" customFormat="1" ht="23" hidden="1" customHeight="1" spans="1:25">
      <c r="A2427" s="133" t="str">
        <f>IF(B2427="","",COUNTA($B$5:B2427))</f>
        <v/>
      </c>
      <c r="B2427" s="148"/>
      <c r="C2427" s="22" t="s">
        <v>49</v>
      </c>
      <c r="D2427" s="149"/>
      <c r="E2427" s="150"/>
      <c r="F2427" s="151"/>
      <c r="G2427" s="151"/>
      <c r="H2427" s="142">
        <f>IFERROR(VLOOKUP($C2427,$C$5:$H$18,6,0)+SUMIF($C$19:$C2427,$C2427,$F$19:$F2427)-SUMIF($C$19:$C2427,$C2427,$G$19:$G2427),"")</f>
        <v>81211.819999998</v>
      </c>
      <c r="I2427" s="147"/>
      <c r="J2427" s="147"/>
      <c r="K2427" s="147" t="str">
        <f t="shared" si="37"/>
        <v/>
      </c>
      <c r="L2427" s="40"/>
      <c r="M2427"/>
      <c r="N2427"/>
      <c r="O2427"/>
      <c r="P2427"/>
      <c r="Q2427"/>
      <c r="R2427"/>
      <c r="S2427"/>
      <c r="T2427"/>
      <c r="U2427"/>
      <c r="V2427"/>
      <c r="W2427" s="41"/>
      <c r="X2427" s="41"/>
      <c r="Y2427" s="41"/>
    </row>
    <row r="2428" s="27" customFormat="1" ht="23" hidden="1" customHeight="1" spans="1:25">
      <c r="A2428" s="133" t="str">
        <f>IF(B2428="","",COUNTA($B$5:B2428))</f>
        <v/>
      </c>
      <c r="B2428" s="148"/>
      <c r="C2428" s="22" t="s">
        <v>49</v>
      </c>
      <c r="D2428" s="149"/>
      <c r="E2428" s="150"/>
      <c r="F2428" s="151"/>
      <c r="G2428" s="151"/>
      <c r="H2428" s="142">
        <f>IFERROR(VLOOKUP($C2428,$C$5:$H$18,6,0)+SUMIF($C$19:$C2428,$C2428,$F$19:$F2428)-SUMIF($C$19:$C2428,$C2428,$G$19:$G2428),"")</f>
        <v>81211.819999998</v>
      </c>
      <c r="I2428" s="147"/>
      <c r="J2428" s="147"/>
      <c r="K2428" s="147" t="str">
        <f t="shared" si="37"/>
        <v/>
      </c>
      <c r="L2428" s="40"/>
      <c r="M2428"/>
      <c r="N2428"/>
      <c r="O2428"/>
      <c r="P2428"/>
      <c r="Q2428"/>
      <c r="R2428"/>
      <c r="S2428"/>
      <c r="T2428"/>
      <c r="U2428"/>
      <c r="V2428"/>
      <c r="W2428" s="41"/>
      <c r="X2428" s="41"/>
      <c r="Y2428" s="41"/>
    </row>
    <row r="2429" s="27" customFormat="1" ht="23" hidden="1" customHeight="1" spans="1:25">
      <c r="A2429" s="133" t="str">
        <f>IF(B2429="","",COUNTA($B$5:B2429))</f>
        <v/>
      </c>
      <c r="B2429" s="148"/>
      <c r="C2429" s="22" t="s">
        <v>49</v>
      </c>
      <c r="D2429" s="149"/>
      <c r="E2429" s="150"/>
      <c r="F2429" s="151"/>
      <c r="G2429" s="151"/>
      <c r="H2429" s="142">
        <f>IFERROR(VLOOKUP($C2429,$C$5:$H$18,6,0)+SUMIF($C$19:$C2429,$C2429,$F$19:$F2429)-SUMIF($C$19:$C2429,$C2429,$G$19:$G2429),"")</f>
        <v>81211.819999998</v>
      </c>
      <c r="I2429" s="147"/>
      <c r="J2429" s="147"/>
      <c r="K2429" s="147" t="str">
        <f t="shared" si="37"/>
        <v/>
      </c>
      <c r="L2429" s="40"/>
      <c r="M2429"/>
      <c r="N2429"/>
      <c r="O2429"/>
      <c r="P2429"/>
      <c r="Q2429"/>
      <c r="R2429"/>
      <c r="S2429"/>
      <c r="T2429"/>
      <c r="U2429"/>
      <c r="V2429"/>
      <c r="W2429" s="41"/>
      <c r="X2429" s="41"/>
      <c r="Y2429" s="41"/>
    </row>
    <row r="2430" s="27" customFormat="1" ht="23" hidden="1" customHeight="1" spans="1:25">
      <c r="A2430" s="133" t="str">
        <f>IF(B2430="","",COUNTA($B$5:B2430))</f>
        <v/>
      </c>
      <c r="B2430" s="148"/>
      <c r="C2430" s="22" t="s">
        <v>49</v>
      </c>
      <c r="D2430" s="149"/>
      <c r="E2430" s="150"/>
      <c r="F2430" s="151"/>
      <c r="G2430" s="151"/>
      <c r="H2430" s="142">
        <f>IFERROR(VLOOKUP($C2430,$C$5:$H$18,6,0)+SUMIF($C$19:$C2430,$C2430,$F$19:$F2430)-SUMIF($C$19:$C2430,$C2430,$G$19:$G2430),"")</f>
        <v>81211.819999998</v>
      </c>
      <c r="I2430" s="147"/>
      <c r="J2430" s="147"/>
      <c r="K2430" s="147" t="str">
        <f t="shared" si="37"/>
        <v/>
      </c>
      <c r="L2430" s="40"/>
      <c r="M2430"/>
      <c r="N2430"/>
      <c r="O2430"/>
      <c r="P2430"/>
      <c r="Q2430"/>
      <c r="R2430"/>
      <c r="S2430"/>
      <c r="T2430"/>
      <c r="U2430"/>
      <c r="V2430"/>
      <c r="W2430" s="41"/>
      <c r="X2430" s="41"/>
      <c r="Y2430" s="41"/>
    </row>
    <row r="2431" s="27" customFormat="1" ht="23" hidden="1" customHeight="1" spans="1:25">
      <c r="A2431" s="133" t="str">
        <f>IF(B2431="","",COUNTA($B$5:B2431))</f>
        <v/>
      </c>
      <c r="B2431" s="148"/>
      <c r="C2431" s="22" t="s">
        <v>49</v>
      </c>
      <c r="D2431" s="149"/>
      <c r="E2431" s="150"/>
      <c r="F2431" s="151"/>
      <c r="G2431" s="151"/>
      <c r="H2431" s="142">
        <f>IFERROR(VLOOKUP($C2431,$C$5:$H$18,6,0)+SUMIF($C$19:$C2431,$C2431,$F$19:$F2431)-SUMIF($C$19:$C2431,$C2431,$G$19:$G2431),"")</f>
        <v>81211.819999998</v>
      </c>
      <c r="I2431" s="147"/>
      <c r="J2431" s="147"/>
      <c r="K2431" s="147" t="str">
        <f t="shared" si="37"/>
        <v/>
      </c>
      <c r="L2431" s="40"/>
      <c r="M2431"/>
      <c r="N2431"/>
      <c r="O2431"/>
      <c r="P2431"/>
      <c r="Q2431"/>
      <c r="R2431"/>
      <c r="S2431"/>
      <c r="T2431"/>
      <c r="U2431"/>
      <c r="V2431"/>
      <c r="W2431" s="41"/>
      <c r="X2431" s="41"/>
      <c r="Y2431" s="41"/>
    </row>
    <row r="2432" s="27" customFormat="1" ht="23" hidden="1" customHeight="1" spans="1:25">
      <c r="A2432" s="133" t="str">
        <f>IF(B2432="","",COUNTA($B$5:B2432))</f>
        <v/>
      </c>
      <c r="B2432" s="148"/>
      <c r="C2432" s="22" t="s">
        <v>49</v>
      </c>
      <c r="D2432" s="149"/>
      <c r="E2432" s="150"/>
      <c r="F2432" s="151"/>
      <c r="G2432" s="151"/>
      <c r="H2432" s="142">
        <f>IFERROR(VLOOKUP($C2432,$C$5:$H$18,6,0)+SUMIF($C$19:$C2432,$C2432,$F$19:$F2432)-SUMIF($C$19:$C2432,$C2432,$G$19:$G2432),"")</f>
        <v>81211.819999998</v>
      </c>
      <c r="I2432" s="147"/>
      <c r="J2432" s="147"/>
      <c r="K2432" s="147" t="str">
        <f t="shared" si="37"/>
        <v/>
      </c>
      <c r="L2432" s="40"/>
      <c r="M2432"/>
      <c r="N2432"/>
      <c r="O2432"/>
      <c r="P2432"/>
      <c r="Q2432"/>
      <c r="R2432"/>
      <c r="S2432"/>
      <c r="T2432"/>
      <c r="U2432"/>
      <c r="V2432"/>
      <c r="W2432" s="41"/>
      <c r="X2432" s="41"/>
      <c r="Y2432" s="41"/>
    </row>
    <row r="2433" s="27" customFormat="1" ht="23" hidden="1" customHeight="1" spans="1:25">
      <c r="A2433" s="133" t="str">
        <f>IF(B2433="","",COUNTA($B$5:B2433))</f>
        <v/>
      </c>
      <c r="B2433" s="148"/>
      <c r="C2433" s="22" t="s">
        <v>49</v>
      </c>
      <c r="D2433" s="149"/>
      <c r="E2433" s="150"/>
      <c r="F2433" s="151"/>
      <c r="G2433" s="151"/>
      <c r="H2433" s="142">
        <f>IFERROR(VLOOKUP($C2433,$C$5:$H$18,6,0)+SUMIF($C$19:$C2433,$C2433,$F$19:$F2433)-SUMIF($C$19:$C2433,$C2433,$G$19:$G2433),"")</f>
        <v>81211.819999998</v>
      </c>
      <c r="I2433" s="147"/>
      <c r="J2433" s="147"/>
      <c r="K2433" s="147" t="str">
        <f t="shared" si="37"/>
        <v/>
      </c>
      <c r="L2433" s="40"/>
      <c r="M2433"/>
      <c r="N2433"/>
      <c r="O2433"/>
      <c r="P2433"/>
      <c r="Q2433"/>
      <c r="R2433"/>
      <c r="S2433"/>
      <c r="T2433"/>
      <c r="U2433"/>
      <c r="V2433"/>
      <c r="W2433" s="41"/>
      <c r="X2433" s="41"/>
      <c r="Y2433" s="41"/>
    </row>
    <row r="2434" s="27" customFormat="1" ht="23" hidden="1" customHeight="1" spans="1:25">
      <c r="A2434" s="133" t="str">
        <f>IF(B2434="","",COUNTA($B$5:B2434))</f>
        <v/>
      </c>
      <c r="B2434" s="148"/>
      <c r="C2434" s="22" t="s">
        <v>49</v>
      </c>
      <c r="D2434" s="149"/>
      <c r="E2434" s="150"/>
      <c r="F2434" s="151"/>
      <c r="G2434" s="151"/>
      <c r="H2434" s="142">
        <f>IFERROR(VLOOKUP($C2434,$C$5:$H$18,6,0)+SUMIF($C$19:$C2434,$C2434,$F$19:$F2434)-SUMIF($C$19:$C2434,$C2434,$G$19:$G2434),"")</f>
        <v>81211.819999998</v>
      </c>
      <c r="I2434" s="147"/>
      <c r="J2434" s="147"/>
      <c r="K2434" s="147" t="str">
        <f t="shared" si="37"/>
        <v/>
      </c>
      <c r="L2434" s="40"/>
      <c r="M2434"/>
      <c r="N2434"/>
      <c r="O2434"/>
      <c r="P2434"/>
      <c r="Q2434"/>
      <c r="R2434"/>
      <c r="S2434"/>
      <c r="T2434"/>
      <c r="U2434"/>
      <c r="V2434"/>
      <c r="W2434" s="41"/>
      <c r="X2434" s="41"/>
      <c r="Y2434" s="41"/>
    </row>
    <row r="2435" s="27" customFormat="1" ht="23" hidden="1" customHeight="1" spans="1:25">
      <c r="A2435" s="133" t="str">
        <f>IF(B2435="","",COUNTA($B$5:B2435))</f>
        <v/>
      </c>
      <c r="B2435" s="148"/>
      <c r="C2435" s="22" t="s">
        <v>49</v>
      </c>
      <c r="D2435" s="149"/>
      <c r="E2435" s="150"/>
      <c r="F2435" s="151"/>
      <c r="G2435" s="151"/>
      <c r="H2435" s="142">
        <f>IFERROR(VLOOKUP($C2435,$C$5:$H$18,6,0)+SUMIF($C$19:$C2435,$C2435,$F$19:$F2435)-SUMIF($C$19:$C2435,$C2435,$G$19:$G2435),"")</f>
        <v>81211.819999998</v>
      </c>
      <c r="I2435" s="147"/>
      <c r="J2435" s="147"/>
      <c r="K2435" s="147" t="str">
        <f t="shared" si="37"/>
        <v/>
      </c>
      <c r="L2435" s="40"/>
      <c r="M2435"/>
      <c r="N2435"/>
      <c r="O2435"/>
      <c r="P2435"/>
      <c r="Q2435"/>
      <c r="R2435"/>
      <c r="S2435"/>
      <c r="T2435"/>
      <c r="U2435"/>
      <c r="V2435"/>
      <c r="W2435" s="41"/>
      <c r="X2435" s="41"/>
      <c r="Y2435" s="41"/>
    </row>
    <row r="2436" s="27" customFormat="1" ht="23" hidden="1" customHeight="1" spans="1:25">
      <c r="A2436" s="133" t="str">
        <f>IF(B2436="","",COUNTA($B$5:B2436))</f>
        <v/>
      </c>
      <c r="B2436" s="148"/>
      <c r="C2436" s="22" t="s">
        <v>49</v>
      </c>
      <c r="D2436" s="149"/>
      <c r="E2436" s="150"/>
      <c r="F2436" s="151"/>
      <c r="G2436" s="151"/>
      <c r="H2436" s="142">
        <f>IFERROR(VLOOKUP($C2436,$C$5:$H$18,6,0)+SUMIF($C$19:$C2436,$C2436,$F$19:$F2436)-SUMIF($C$19:$C2436,$C2436,$G$19:$G2436),"")</f>
        <v>81211.819999998</v>
      </c>
      <c r="I2436" s="147"/>
      <c r="J2436" s="147"/>
      <c r="K2436" s="147" t="str">
        <f t="shared" si="37"/>
        <v/>
      </c>
      <c r="L2436" s="40"/>
      <c r="M2436"/>
      <c r="N2436"/>
      <c r="O2436"/>
      <c r="P2436"/>
      <c r="Q2436"/>
      <c r="R2436"/>
      <c r="S2436"/>
      <c r="T2436"/>
      <c r="U2436"/>
      <c r="V2436"/>
      <c r="W2436" s="41"/>
      <c r="X2436" s="41"/>
      <c r="Y2436" s="41"/>
    </row>
    <row r="2437" s="27" customFormat="1" ht="23" hidden="1" customHeight="1" spans="1:25">
      <c r="A2437" s="133" t="str">
        <f>IF(B2437="","",COUNTA($B$5:B2437))</f>
        <v/>
      </c>
      <c r="B2437" s="148"/>
      <c r="C2437" s="22" t="s">
        <v>49</v>
      </c>
      <c r="D2437" s="149"/>
      <c r="E2437" s="150"/>
      <c r="F2437" s="151"/>
      <c r="G2437" s="151"/>
      <c r="H2437" s="142">
        <f>IFERROR(VLOOKUP($C2437,$C$5:$H$18,6,0)+SUMIF($C$19:$C2437,$C2437,$F$19:$F2437)-SUMIF($C$19:$C2437,$C2437,$G$19:$G2437),"")</f>
        <v>81211.819999998</v>
      </c>
      <c r="I2437" s="147"/>
      <c r="J2437" s="147"/>
      <c r="K2437" s="147" t="str">
        <f t="shared" ref="K2437:K2500" si="38">IF($B2437="","",--TEXT($B2437,"yyyymm"))</f>
        <v/>
      </c>
      <c r="L2437" s="40"/>
      <c r="M2437"/>
      <c r="N2437"/>
      <c r="O2437"/>
      <c r="P2437"/>
      <c r="Q2437"/>
      <c r="R2437"/>
      <c r="S2437"/>
      <c r="T2437"/>
      <c r="U2437"/>
      <c r="V2437"/>
      <c r="W2437" s="41"/>
      <c r="X2437" s="41"/>
      <c r="Y2437" s="41"/>
    </row>
    <row r="2438" s="27" customFormat="1" ht="23" hidden="1" customHeight="1" spans="1:25">
      <c r="A2438" s="133" t="str">
        <f>IF(B2438="","",COUNTA($B$5:B2438))</f>
        <v/>
      </c>
      <c r="B2438" s="148"/>
      <c r="C2438" s="22" t="s">
        <v>49</v>
      </c>
      <c r="D2438" s="149"/>
      <c r="E2438" s="150"/>
      <c r="F2438" s="151"/>
      <c r="G2438" s="151"/>
      <c r="H2438" s="142">
        <f>IFERROR(VLOOKUP($C2438,$C$5:$H$18,6,0)+SUMIF($C$19:$C2438,$C2438,$F$19:$F2438)-SUMIF($C$19:$C2438,$C2438,$G$19:$G2438),"")</f>
        <v>81211.819999998</v>
      </c>
      <c r="I2438" s="147"/>
      <c r="J2438" s="147"/>
      <c r="K2438" s="147" t="str">
        <f t="shared" si="38"/>
        <v/>
      </c>
      <c r="L2438" s="40"/>
      <c r="M2438"/>
      <c r="N2438"/>
      <c r="O2438"/>
      <c r="P2438"/>
      <c r="Q2438"/>
      <c r="R2438"/>
      <c r="S2438"/>
      <c r="T2438"/>
      <c r="U2438"/>
      <c r="V2438"/>
      <c r="W2438" s="41"/>
      <c r="X2438" s="41"/>
      <c r="Y2438" s="41"/>
    </row>
    <row r="2439" s="27" customFormat="1" ht="23" hidden="1" customHeight="1" spans="1:25">
      <c r="A2439" s="133" t="str">
        <f>IF(B2439="","",COUNTA($B$5:B2439))</f>
        <v/>
      </c>
      <c r="B2439" s="148"/>
      <c r="C2439" s="22" t="s">
        <v>49</v>
      </c>
      <c r="D2439" s="149"/>
      <c r="E2439" s="150"/>
      <c r="F2439" s="151"/>
      <c r="G2439" s="151"/>
      <c r="H2439" s="142">
        <f>IFERROR(VLOOKUP($C2439,$C$5:$H$18,6,0)+SUMIF($C$19:$C2439,$C2439,$F$19:$F2439)-SUMIF($C$19:$C2439,$C2439,$G$19:$G2439),"")</f>
        <v>81211.819999998</v>
      </c>
      <c r="I2439" s="147"/>
      <c r="J2439" s="147"/>
      <c r="K2439" s="147" t="str">
        <f t="shared" si="38"/>
        <v/>
      </c>
      <c r="L2439" s="40"/>
      <c r="M2439"/>
      <c r="N2439"/>
      <c r="O2439"/>
      <c r="P2439"/>
      <c r="Q2439"/>
      <c r="R2439"/>
      <c r="S2439"/>
      <c r="T2439"/>
      <c r="U2439"/>
      <c r="V2439"/>
      <c r="W2439" s="41"/>
      <c r="X2439" s="41"/>
      <c r="Y2439" s="41"/>
    </row>
    <row r="2440" s="27" customFormat="1" ht="23" hidden="1" customHeight="1" spans="1:25">
      <c r="A2440" s="133" t="str">
        <f>IF(B2440="","",COUNTA($B$5:B2440))</f>
        <v/>
      </c>
      <c r="B2440" s="148"/>
      <c r="C2440" s="22" t="s">
        <v>49</v>
      </c>
      <c r="D2440" s="149"/>
      <c r="E2440" s="150"/>
      <c r="F2440" s="151"/>
      <c r="G2440" s="151"/>
      <c r="H2440" s="142">
        <f>IFERROR(VLOOKUP($C2440,$C$5:$H$18,6,0)+SUMIF($C$19:$C2440,$C2440,$F$19:$F2440)-SUMIF($C$19:$C2440,$C2440,$G$19:$G2440),"")</f>
        <v>81211.819999998</v>
      </c>
      <c r="I2440" s="147"/>
      <c r="J2440" s="147"/>
      <c r="K2440" s="147" t="str">
        <f t="shared" si="38"/>
        <v/>
      </c>
      <c r="L2440" s="40"/>
      <c r="M2440"/>
      <c r="N2440"/>
      <c r="O2440"/>
      <c r="P2440"/>
      <c r="Q2440"/>
      <c r="R2440"/>
      <c r="S2440"/>
      <c r="T2440"/>
      <c r="U2440"/>
      <c r="V2440"/>
      <c r="W2440" s="41"/>
      <c r="X2440" s="41"/>
      <c r="Y2440" s="41"/>
    </row>
    <row r="2441" s="27" customFormat="1" ht="23" hidden="1" customHeight="1" spans="1:25">
      <c r="A2441" s="133" t="str">
        <f>IF(B2441="","",COUNTA($B$5:B2441))</f>
        <v/>
      </c>
      <c r="B2441" s="148"/>
      <c r="C2441" s="22" t="s">
        <v>49</v>
      </c>
      <c r="D2441" s="149"/>
      <c r="E2441" s="150"/>
      <c r="F2441" s="151"/>
      <c r="G2441" s="151"/>
      <c r="H2441" s="142">
        <f>IFERROR(VLOOKUP($C2441,$C$5:$H$18,6,0)+SUMIF($C$19:$C2441,$C2441,$F$19:$F2441)-SUMIF($C$19:$C2441,$C2441,$G$19:$G2441),"")</f>
        <v>81211.819999998</v>
      </c>
      <c r="I2441" s="147"/>
      <c r="J2441" s="147"/>
      <c r="K2441" s="147" t="str">
        <f t="shared" si="38"/>
        <v/>
      </c>
      <c r="L2441" s="40"/>
      <c r="M2441"/>
      <c r="N2441"/>
      <c r="O2441"/>
      <c r="P2441"/>
      <c r="Q2441"/>
      <c r="R2441"/>
      <c r="S2441"/>
      <c r="T2441"/>
      <c r="U2441"/>
      <c r="V2441"/>
      <c r="W2441" s="41"/>
      <c r="X2441" s="41"/>
      <c r="Y2441" s="41"/>
    </row>
    <row r="2442" s="27" customFormat="1" ht="23" hidden="1" customHeight="1" spans="1:25">
      <c r="A2442" s="133" t="str">
        <f>IF(B2442="","",COUNTA($B$5:B2442))</f>
        <v/>
      </c>
      <c r="B2442" s="148"/>
      <c r="C2442" s="22" t="s">
        <v>49</v>
      </c>
      <c r="D2442" s="149"/>
      <c r="E2442" s="150"/>
      <c r="F2442" s="151"/>
      <c r="G2442" s="151"/>
      <c r="H2442" s="142">
        <f>IFERROR(VLOOKUP($C2442,$C$5:$H$18,6,0)+SUMIF($C$19:$C2442,$C2442,$F$19:$F2442)-SUMIF($C$19:$C2442,$C2442,$G$19:$G2442),"")</f>
        <v>81211.819999998</v>
      </c>
      <c r="I2442" s="147"/>
      <c r="J2442" s="147"/>
      <c r="K2442" s="147" t="str">
        <f t="shared" si="38"/>
        <v/>
      </c>
      <c r="L2442" s="40"/>
      <c r="M2442"/>
      <c r="N2442"/>
      <c r="O2442"/>
      <c r="P2442"/>
      <c r="Q2442"/>
      <c r="R2442"/>
      <c r="S2442"/>
      <c r="T2442"/>
      <c r="U2442"/>
      <c r="V2442"/>
      <c r="W2442" s="41"/>
      <c r="X2442" s="41"/>
      <c r="Y2442" s="41"/>
    </row>
    <row r="2443" s="27" customFormat="1" ht="23" hidden="1" customHeight="1" spans="1:25">
      <c r="A2443" s="133" t="str">
        <f>IF(B2443="","",COUNTA($B$5:B2443))</f>
        <v/>
      </c>
      <c r="B2443" s="148"/>
      <c r="C2443" s="22" t="s">
        <v>49</v>
      </c>
      <c r="D2443" s="149"/>
      <c r="E2443" s="150"/>
      <c r="F2443" s="151"/>
      <c r="G2443" s="151"/>
      <c r="H2443" s="142">
        <f>IFERROR(VLOOKUP($C2443,$C$5:$H$18,6,0)+SUMIF($C$19:$C2443,$C2443,$F$19:$F2443)-SUMIF($C$19:$C2443,$C2443,$G$19:$G2443),"")</f>
        <v>81211.819999998</v>
      </c>
      <c r="I2443" s="147"/>
      <c r="J2443" s="147"/>
      <c r="K2443" s="147" t="str">
        <f t="shared" si="38"/>
        <v/>
      </c>
      <c r="L2443" s="40"/>
      <c r="M2443"/>
      <c r="N2443"/>
      <c r="O2443"/>
      <c r="P2443"/>
      <c r="Q2443"/>
      <c r="R2443"/>
      <c r="S2443"/>
      <c r="T2443"/>
      <c r="U2443"/>
      <c r="V2443"/>
      <c r="W2443" s="41"/>
      <c r="X2443" s="41"/>
      <c r="Y2443" s="41"/>
    </row>
    <row r="2444" s="27" customFormat="1" ht="23" hidden="1" customHeight="1" spans="1:25">
      <c r="A2444" s="133" t="str">
        <f>IF(B2444="","",COUNTA($B$5:B2444))</f>
        <v/>
      </c>
      <c r="B2444" s="148"/>
      <c r="C2444" s="22" t="s">
        <v>49</v>
      </c>
      <c r="D2444" s="149"/>
      <c r="E2444" s="150"/>
      <c r="F2444" s="151"/>
      <c r="G2444" s="151"/>
      <c r="H2444" s="142">
        <f>IFERROR(VLOOKUP($C2444,$C$5:$H$18,6,0)+SUMIF($C$19:$C2444,$C2444,$F$19:$F2444)-SUMIF($C$19:$C2444,$C2444,$G$19:$G2444),"")</f>
        <v>81211.819999998</v>
      </c>
      <c r="I2444" s="147"/>
      <c r="J2444" s="147"/>
      <c r="K2444" s="147" t="str">
        <f t="shared" si="38"/>
        <v/>
      </c>
      <c r="L2444" s="40"/>
      <c r="M2444"/>
      <c r="N2444"/>
      <c r="O2444"/>
      <c r="P2444"/>
      <c r="Q2444"/>
      <c r="R2444"/>
      <c r="S2444"/>
      <c r="T2444"/>
      <c r="U2444"/>
      <c r="V2444"/>
      <c r="W2444" s="41"/>
      <c r="X2444" s="41"/>
      <c r="Y2444" s="41"/>
    </row>
    <row r="2445" s="27" customFormat="1" ht="23" hidden="1" customHeight="1" spans="1:25">
      <c r="A2445" s="133" t="str">
        <f>IF(B2445="","",COUNTA($B$5:B2445))</f>
        <v/>
      </c>
      <c r="B2445" s="148"/>
      <c r="C2445" s="22" t="s">
        <v>49</v>
      </c>
      <c r="D2445" s="149"/>
      <c r="E2445" s="150"/>
      <c r="F2445" s="151"/>
      <c r="G2445" s="151"/>
      <c r="H2445" s="142">
        <f>IFERROR(VLOOKUP($C2445,$C$5:$H$18,6,0)+SUMIF($C$19:$C2445,$C2445,$F$19:$F2445)-SUMIF($C$19:$C2445,$C2445,$G$19:$G2445),"")</f>
        <v>81211.819999998</v>
      </c>
      <c r="I2445" s="147"/>
      <c r="J2445" s="147"/>
      <c r="K2445" s="147" t="str">
        <f t="shared" si="38"/>
        <v/>
      </c>
      <c r="L2445" s="40"/>
      <c r="M2445"/>
      <c r="N2445"/>
      <c r="O2445"/>
      <c r="P2445"/>
      <c r="Q2445"/>
      <c r="R2445"/>
      <c r="S2445"/>
      <c r="T2445"/>
      <c r="U2445"/>
      <c r="V2445"/>
      <c r="W2445" s="41"/>
      <c r="X2445" s="41"/>
      <c r="Y2445" s="41"/>
    </row>
    <row r="2446" s="27" customFormat="1" ht="23" hidden="1" customHeight="1" spans="1:25">
      <c r="A2446" s="133" t="str">
        <f>IF(B2446="","",COUNTA($B$5:B2446))</f>
        <v/>
      </c>
      <c r="B2446" s="148"/>
      <c r="C2446" s="22" t="s">
        <v>49</v>
      </c>
      <c r="D2446" s="149"/>
      <c r="E2446" s="150"/>
      <c r="F2446" s="151"/>
      <c r="G2446" s="151"/>
      <c r="H2446" s="142">
        <f>IFERROR(VLOOKUP($C2446,$C$5:$H$18,6,0)+SUMIF($C$19:$C2446,$C2446,$F$19:$F2446)-SUMIF($C$19:$C2446,$C2446,$G$19:$G2446),"")</f>
        <v>81211.819999998</v>
      </c>
      <c r="I2446" s="147"/>
      <c r="J2446" s="147"/>
      <c r="K2446" s="147" t="str">
        <f t="shared" si="38"/>
        <v/>
      </c>
      <c r="L2446" s="40"/>
      <c r="M2446"/>
      <c r="N2446"/>
      <c r="O2446"/>
      <c r="P2446"/>
      <c r="Q2446"/>
      <c r="R2446"/>
      <c r="S2446"/>
      <c r="T2446"/>
      <c r="U2446"/>
      <c r="V2446"/>
      <c r="W2446" s="41"/>
      <c r="X2446" s="41"/>
      <c r="Y2446" s="41"/>
    </row>
    <row r="2447" s="27" customFormat="1" ht="23" hidden="1" customHeight="1" spans="1:25">
      <c r="A2447" s="133" t="str">
        <f>IF(B2447="","",COUNTA($B$5:B2447))</f>
        <v/>
      </c>
      <c r="B2447" s="148"/>
      <c r="C2447" s="22" t="s">
        <v>49</v>
      </c>
      <c r="D2447" s="149"/>
      <c r="E2447" s="150"/>
      <c r="F2447" s="151"/>
      <c r="G2447" s="151"/>
      <c r="H2447" s="142">
        <f>IFERROR(VLOOKUP($C2447,$C$5:$H$18,6,0)+SUMIF($C$19:$C2447,$C2447,$F$19:$F2447)-SUMIF($C$19:$C2447,$C2447,$G$19:$G2447),"")</f>
        <v>81211.819999998</v>
      </c>
      <c r="I2447" s="147"/>
      <c r="J2447" s="147"/>
      <c r="K2447" s="147" t="str">
        <f t="shared" si="38"/>
        <v/>
      </c>
      <c r="L2447" s="40"/>
      <c r="M2447"/>
      <c r="N2447"/>
      <c r="O2447"/>
      <c r="P2447"/>
      <c r="Q2447"/>
      <c r="R2447"/>
      <c r="S2447"/>
      <c r="T2447"/>
      <c r="U2447"/>
      <c r="V2447"/>
      <c r="W2447" s="41"/>
      <c r="X2447" s="41"/>
      <c r="Y2447" s="41"/>
    </row>
    <row r="2448" s="27" customFormat="1" ht="23" hidden="1" customHeight="1" spans="1:25">
      <c r="A2448" s="133" t="str">
        <f>IF(B2448="","",COUNTA($B$5:B2448))</f>
        <v/>
      </c>
      <c r="B2448" s="148"/>
      <c r="C2448" s="22" t="s">
        <v>49</v>
      </c>
      <c r="D2448" s="149"/>
      <c r="E2448" s="150"/>
      <c r="F2448" s="151"/>
      <c r="G2448" s="151"/>
      <c r="H2448" s="142">
        <f>IFERROR(VLOOKUP($C2448,$C$5:$H$18,6,0)+SUMIF($C$19:$C2448,$C2448,$F$19:$F2448)-SUMIF($C$19:$C2448,$C2448,$G$19:$G2448),"")</f>
        <v>81211.819999998</v>
      </c>
      <c r="I2448" s="147"/>
      <c r="J2448" s="147"/>
      <c r="K2448" s="147" t="str">
        <f t="shared" si="38"/>
        <v/>
      </c>
      <c r="L2448" s="40"/>
      <c r="M2448"/>
      <c r="N2448"/>
      <c r="O2448"/>
      <c r="P2448"/>
      <c r="Q2448"/>
      <c r="R2448"/>
      <c r="S2448"/>
      <c r="T2448"/>
      <c r="U2448"/>
      <c r="V2448"/>
      <c r="W2448" s="41"/>
      <c r="X2448" s="41"/>
      <c r="Y2448" s="41"/>
    </row>
    <row r="2449" s="27" customFormat="1" ht="23" hidden="1" customHeight="1" spans="1:25">
      <c r="A2449" s="133" t="str">
        <f>IF(B2449="","",COUNTA($B$5:B2449))</f>
        <v/>
      </c>
      <c r="B2449" s="148"/>
      <c r="C2449" s="22" t="s">
        <v>49</v>
      </c>
      <c r="D2449" s="149"/>
      <c r="E2449" s="150"/>
      <c r="F2449" s="151"/>
      <c r="G2449" s="151"/>
      <c r="H2449" s="142">
        <f>IFERROR(VLOOKUP($C2449,$C$5:$H$18,6,0)+SUMIF($C$19:$C2449,$C2449,$F$19:$F2449)-SUMIF($C$19:$C2449,$C2449,$G$19:$G2449),"")</f>
        <v>81211.819999998</v>
      </c>
      <c r="I2449" s="147"/>
      <c r="J2449" s="147"/>
      <c r="K2449" s="147" t="str">
        <f t="shared" si="38"/>
        <v/>
      </c>
      <c r="L2449" s="40"/>
      <c r="M2449"/>
      <c r="N2449"/>
      <c r="O2449"/>
      <c r="P2449"/>
      <c r="Q2449"/>
      <c r="R2449"/>
      <c r="S2449"/>
      <c r="T2449"/>
      <c r="U2449"/>
      <c r="V2449"/>
      <c r="W2449" s="41"/>
      <c r="X2449" s="41"/>
      <c r="Y2449" s="41"/>
    </row>
    <row r="2450" s="27" customFormat="1" ht="23" hidden="1" customHeight="1" spans="1:25">
      <c r="A2450" s="133" t="str">
        <f>IF(B2450="","",COUNTA($B$5:B2450))</f>
        <v/>
      </c>
      <c r="B2450" s="148"/>
      <c r="C2450" s="22" t="s">
        <v>49</v>
      </c>
      <c r="D2450" s="149"/>
      <c r="E2450" s="150"/>
      <c r="F2450" s="151"/>
      <c r="G2450" s="151"/>
      <c r="H2450" s="142">
        <f>IFERROR(VLOOKUP($C2450,$C$5:$H$18,6,0)+SUMIF($C$19:$C2450,$C2450,$F$19:$F2450)-SUMIF($C$19:$C2450,$C2450,$G$19:$G2450),"")</f>
        <v>81211.819999998</v>
      </c>
      <c r="I2450" s="147"/>
      <c r="J2450" s="147"/>
      <c r="K2450" s="147" t="str">
        <f t="shared" si="38"/>
        <v/>
      </c>
      <c r="L2450" s="40"/>
      <c r="M2450"/>
      <c r="N2450"/>
      <c r="O2450"/>
      <c r="P2450"/>
      <c r="Q2450"/>
      <c r="R2450"/>
      <c r="S2450"/>
      <c r="T2450"/>
      <c r="U2450"/>
      <c r="V2450"/>
      <c r="W2450" s="41"/>
      <c r="X2450" s="41"/>
      <c r="Y2450" s="41"/>
    </row>
    <row r="2451" s="27" customFormat="1" ht="23" hidden="1" customHeight="1" spans="1:25">
      <c r="A2451" s="133" t="str">
        <f>IF(B2451="","",COUNTA($B$5:B2451))</f>
        <v/>
      </c>
      <c r="B2451" s="148"/>
      <c r="C2451" s="22" t="s">
        <v>49</v>
      </c>
      <c r="D2451" s="149"/>
      <c r="E2451" s="150"/>
      <c r="F2451" s="151"/>
      <c r="G2451" s="151"/>
      <c r="H2451" s="142">
        <f>IFERROR(VLOOKUP($C2451,$C$5:$H$18,6,0)+SUMIF($C$19:$C2451,$C2451,$F$19:$F2451)-SUMIF($C$19:$C2451,$C2451,$G$19:$G2451),"")</f>
        <v>81211.819999998</v>
      </c>
      <c r="I2451" s="147"/>
      <c r="J2451" s="147"/>
      <c r="K2451" s="147" t="str">
        <f t="shared" si="38"/>
        <v/>
      </c>
      <c r="L2451" s="40"/>
      <c r="M2451"/>
      <c r="N2451"/>
      <c r="O2451"/>
      <c r="P2451"/>
      <c r="Q2451"/>
      <c r="R2451"/>
      <c r="S2451"/>
      <c r="T2451"/>
      <c r="U2451"/>
      <c r="V2451"/>
      <c r="W2451" s="41"/>
      <c r="X2451" s="41"/>
      <c r="Y2451" s="41"/>
    </row>
    <row r="2452" s="27" customFormat="1" ht="23" hidden="1" customHeight="1" spans="1:25">
      <c r="A2452" s="133" t="str">
        <f>IF(B2452="","",COUNTA($B$5:B2452))</f>
        <v/>
      </c>
      <c r="B2452" s="148"/>
      <c r="C2452" s="22" t="s">
        <v>49</v>
      </c>
      <c r="D2452" s="149"/>
      <c r="E2452" s="150"/>
      <c r="F2452" s="151"/>
      <c r="G2452" s="151"/>
      <c r="H2452" s="142">
        <f>IFERROR(VLOOKUP($C2452,$C$5:$H$18,6,0)+SUMIF($C$19:$C2452,$C2452,$F$19:$F2452)-SUMIF($C$19:$C2452,$C2452,$G$19:$G2452),"")</f>
        <v>81211.819999998</v>
      </c>
      <c r="I2452" s="147"/>
      <c r="J2452" s="147"/>
      <c r="K2452" s="147" t="str">
        <f t="shared" si="38"/>
        <v/>
      </c>
      <c r="L2452" s="40"/>
      <c r="M2452"/>
      <c r="N2452"/>
      <c r="O2452"/>
      <c r="P2452"/>
      <c r="Q2452"/>
      <c r="R2452"/>
      <c r="S2452"/>
      <c r="T2452"/>
      <c r="U2452"/>
      <c r="V2452"/>
      <c r="W2452" s="41"/>
      <c r="X2452" s="41"/>
      <c r="Y2452" s="41"/>
    </row>
    <row r="2453" s="27" customFormat="1" ht="23" hidden="1" customHeight="1" spans="1:25">
      <c r="A2453" s="133" t="str">
        <f>IF(B2453="","",COUNTA($B$5:B2453))</f>
        <v/>
      </c>
      <c r="B2453" s="148"/>
      <c r="C2453" s="22" t="s">
        <v>49</v>
      </c>
      <c r="D2453" s="149"/>
      <c r="E2453" s="150"/>
      <c r="F2453" s="151"/>
      <c r="G2453" s="151"/>
      <c r="H2453" s="142">
        <f>IFERROR(VLOOKUP($C2453,$C$5:$H$18,6,0)+SUMIF($C$19:$C2453,$C2453,$F$19:$F2453)-SUMIF($C$19:$C2453,$C2453,$G$19:$G2453),"")</f>
        <v>81211.819999998</v>
      </c>
      <c r="I2453" s="147"/>
      <c r="J2453" s="147"/>
      <c r="K2453" s="147" t="str">
        <f t="shared" si="38"/>
        <v/>
      </c>
      <c r="L2453" s="40"/>
      <c r="M2453"/>
      <c r="N2453"/>
      <c r="O2453"/>
      <c r="P2453"/>
      <c r="Q2453"/>
      <c r="R2453"/>
      <c r="S2453"/>
      <c r="T2453"/>
      <c r="U2453"/>
      <c r="V2453"/>
      <c r="W2453" s="41"/>
      <c r="X2453" s="41"/>
      <c r="Y2453" s="41"/>
    </row>
    <row r="2454" s="27" customFormat="1" ht="23" hidden="1" customHeight="1" spans="1:25">
      <c r="A2454" s="133" t="str">
        <f>IF(B2454="","",COUNTA($B$5:B2454))</f>
        <v/>
      </c>
      <c r="B2454" s="148"/>
      <c r="C2454" s="22" t="s">
        <v>49</v>
      </c>
      <c r="D2454" s="149"/>
      <c r="E2454" s="150"/>
      <c r="F2454" s="151"/>
      <c r="G2454" s="151"/>
      <c r="H2454" s="142">
        <f>IFERROR(VLOOKUP($C2454,$C$5:$H$18,6,0)+SUMIF($C$19:$C2454,$C2454,$F$19:$F2454)-SUMIF($C$19:$C2454,$C2454,$G$19:$G2454),"")</f>
        <v>81211.819999998</v>
      </c>
      <c r="I2454" s="147"/>
      <c r="J2454" s="147"/>
      <c r="K2454" s="147" t="str">
        <f t="shared" si="38"/>
        <v/>
      </c>
      <c r="L2454" s="40"/>
      <c r="M2454"/>
      <c r="N2454"/>
      <c r="O2454"/>
      <c r="P2454"/>
      <c r="Q2454"/>
      <c r="R2454"/>
      <c r="S2454"/>
      <c r="T2454"/>
      <c r="U2454"/>
      <c r="V2454"/>
      <c r="W2454" s="41"/>
      <c r="X2454" s="41"/>
      <c r="Y2454" s="41"/>
    </row>
    <row r="2455" s="27" customFormat="1" ht="23" hidden="1" customHeight="1" spans="1:25">
      <c r="A2455" s="133" t="str">
        <f>IF(B2455="","",COUNTA($B$5:B2455))</f>
        <v/>
      </c>
      <c r="B2455" s="148"/>
      <c r="C2455" s="22" t="s">
        <v>49</v>
      </c>
      <c r="D2455" s="149"/>
      <c r="E2455" s="150"/>
      <c r="F2455" s="151"/>
      <c r="G2455" s="151"/>
      <c r="H2455" s="142">
        <f>IFERROR(VLOOKUP($C2455,$C$5:$H$18,6,0)+SUMIF($C$19:$C2455,$C2455,$F$19:$F2455)-SUMIF($C$19:$C2455,$C2455,$G$19:$G2455),"")</f>
        <v>81211.819999998</v>
      </c>
      <c r="I2455" s="147"/>
      <c r="J2455" s="147"/>
      <c r="K2455" s="147" t="str">
        <f t="shared" si="38"/>
        <v/>
      </c>
      <c r="L2455" s="40"/>
      <c r="M2455"/>
      <c r="N2455"/>
      <c r="O2455"/>
      <c r="P2455"/>
      <c r="Q2455"/>
      <c r="R2455"/>
      <c r="S2455"/>
      <c r="T2455"/>
      <c r="U2455"/>
      <c r="V2455"/>
      <c r="W2455" s="41"/>
      <c r="X2455" s="41"/>
      <c r="Y2455" s="41"/>
    </row>
    <row r="2456" s="27" customFormat="1" ht="23" hidden="1" customHeight="1" spans="1:25">
      <c r="A2456" s="133" t="str">
        <f>IF(B2456="","",COUNTA($B$5:B2456))</f>
        <v/>
      </c>
      <c r="B2456" s="148"/>
      <c r="C2456" s="22" t="s">
        <v>49</v>
      </c>
      <c r="D2456" s="149"/>
      <c r="E2456" s="150"/>
      <c r="F2456" s="151"/>
      <c r="G2456" s="151"/>
      <c r="H2456" s="142">
        <f>IFERROR(VLOOKUP($C2456,$C$5:$H$18,6,0)+SUMIF($C$19:$C2456,$C2456,$F$19:$F2456)-SUMIF($C$19:$C2456,$C2456,$G$19:$G2456),"")</f>
        <v>81211.819999998</v>
      </c>
      <c r="I2456" s="147"/>
      <c r="J2456" s="147"/>
      <c r="K2456" s="147" t="str">
        <f t="shared" si="38"/>
        <v/>
      </c>
      <c r="L2456" s="40"/>
      <c r="M2456"/>
      <c r="N2456"/>
      <c r="O2456"/>
      <c r="P2456"/>
      <c r="Q2456"/>
      <c r="R2456"/>
      <c r="S2456"/>
      <c r="T2456"/>
      <c r="U2456"/>
      <c r="V2456"/>
      <c r="W2456" s="41"/>
      <c r="X2456" s="41"/>
      <c r="Y2456" s="41"/>
    </row>
    <row r="2457" s="27" customFormat="1" ht="23" hidden="1" customHeight="1" spans="1:25">
      <c r="A2457" s="133" t="str">
        <f>IF(B2457="","",COUNTA($B$5:B2457))</f>
        <v/>
      </c>
      <c r="B2457" s="148"/>
      <c r="C2457" s="22" t="s">
        <v>49</v>
      </c>
      <c r="D2457" s="149"/>
      <c r="E2457" s="150"/>
      <c r="F2457" s="151"/>
      <c r="G2457" s="151"/>
      <c r="H2457" s="142">
        <f>IFERROR(VLOOKUP($C2457,$C$5:$H$18,6,0)+SUMIF($C$19:$C2457,$C2457,$F$19:$F2457)-SUMIF($C$19:$C2457,$C2457,$G$19:$G2457),"")</f>
        <v>81211.819999998</v>
      </c>
      <c r="I2457" s="147"/>
      <c r="J2457" s="147"/>
      <c r="K2457" s="147" t="str">
        <f t="shared" si="38"/>
        <v/>
      </c>
      <c r="L2457" s="40"/>
      <c r="M2457"/>
      <c r="N2457"/>
      <c r="O2457"/>
      <c r="P2457"/>
      <c r="Q2457"/>
      <c r="R2457"/>
      <c r="S2457"/>
      <c r="T2457"/>
      <c r="U2457"/>
      <c r="V2457"/>
      <c r="W2457" s="41"/>
      <c r="X2457" s="41"/>
      <c r="Y2457" s="41"/>
    </row>
    <row r="2458" s="27" customFormat="1" ht="23" hidden="1" customHeight="1" spans="1:25">
      <c r="A2458" s="133" t="str">
        <f>IF(B2458="","",COUNTA($B$5:B2458))</f>
        <v/>
      </c>
      <c r="B2458" s="148"/>
      <c r="C2458" s="22" t="s">
        <v>49</v>
      </c>
      <c r="D2458" s="149"/>
      <c r="E2458" s="150"/>
      <c r="F2458" s="151"/>
      <c r="G2458" s="151"/>
      <c r="H2458" s="142">
        <f>IFERROR(VLOOKUP($C2458,$C$5:$H$18,6,0)+SUMIF($C$19:$C2458,$C2458,$F$19:$F2458)-SUMIF($C$19:$C2458,$C2458,$G$19:$G2458),"")</f>
        <v>81211.819999998</v>
      </c>
      <c r="I2458" s="147"/>
      <c r="J2458" s="147"/>
      <c r="K2458" s="147" t="str">
        <f t="shared" si="38"/>
        <v/>
      </c>
      <c r="L2458" s="40"/>
      <c r="M2458"/>
      <c r="N2458"/>
      <c r="O2458"/>
      <c r="P2458"/>
      <c r="Q2458"/>
      <c r="R2458"/>
      <c r="S2458"/>
      <c r="T2458"/>
      <c r="U2458"/>
      <c r="V2458"/>
      <c r="W2458" s="41"/>
      <c r="X2458" s="41"/>
      <c r="Y2458" s="41"/>
    </row>
    <row r="2459" s="27" customFormat="1" ht="23" hidden="1" customHeight="1" spans="1:25">
      <c r="A2459" s="133" t="str">
        <f>IF(B2459="","",COUNTA($B$5:B2459))</f>
        <v/>
      </c>
      <c r="B2459" s="148"/>
      <c r="C2459" s="22" t="s">
        <v>49</v>
      </c>
      <c r="D2459" s="149"/>
      <c r="E2459" s="150"/>
      <c r="F2459" s="151"/>
      <c r="G2459" s="151"/>
      <c r="H2459" s="142">
        <f>IFERROR(VLOOKUP($C2459,$C$5:$H$18,6,0)+SUMIF($C$19:$C2459,$C2459,$F$19:$F2459)-SUMIF($C$19:$C2459,$C2459,$G$19:$G2459),"")</f>
        <v>81211.819999998</v>
      </c>
      <c r="I2459" s="147"/>
      <c r="J2459" s="147"/>
      <c r="K2459" s="147" t="str">
        <f t="shared" si="38"/>
        <v/>
      </c>
      <c r="L2459" s="40"/>
      <c r="M2459"/>
      <c r="N2459"/>
      <c r="O2459"/>
      <c r="P2459"/>
      <c r="Q2459"/>
      <c r="R2459"/>
      <c r="S2459"/>
      <c r="T2459"/>
      <c r="U2459"/>
      <c r="V2459"/>
      <c r="W2459" s="41"/>
      <c r="X2459" s="41"/>
      <c r="Y2459" s="41"/>
    </row>
    <row r="2460" s="27" customFormat="1" ht="23" hidden="1" customHeight="1" spans="1:25">
      <c r="A2460" s="133" t="str">
        <f>IF(B2460="","",COUNTA($B$5:B2460))</f>
        <v/>
      </c>
      <c r="B2460" s="148"/>
      <c r="C2460" s="22" t="s">
        <v>49</v>
      </c>
      <c r="D2460" s="149"/>
      <c r="E2460" s="150"/>
      <c r="F2460" s="151"/>
      <c r="G2460" s="151"/>
      <c r="H2460" s="142">
        <f>IFERROR(VLOOKUP($C2460,$C$5:$H$18,6,0)+SUMIF($C$19:$C2460,$C2460,$F$19:$F2460)-SUMIF($C$19:$C2460,$C2460,$G$19:$G2460),"")</f>
        <v>81211.819999998</v>
      </c>
      <c r="I2460" s="147"/>
      <c r="J2460" s="147"/>
      <c r="K2460" s="147" t="str">
        <f t="shared" si="38"/>
        <v/>
      </c>
      <c r="L2460" s="40"/>
      <c r="M2460"/>
      <c r="N2460"/>
      <c r="O2460"/>
      <c r="P2460"/>
      <c r="Q2460"/>
      <c r="R2460"/>
      <c r="S2460"/>
      <c r="T2460"/>
      <c r="U2460"/>
      <c r="V2460"/>
      <c r="W2460" s="41"/>
      <c r="X2460" s="41"/>
      <c r="Y2460" s="41"/>
    </row>
    <row r="2461" s="27" customFormat="1" ht="23" hidden="1" customHeight="1" spans="1:25">
      <c r="A2461" s="133" t="str">
        <f>IF(B2461="","",COUNTA($B$5:B2461))</f>
        <v/>
      </c>
      <c r="B2461" s="148"/>
      <c r="C2461" s="22" t="s">
        <v>49</v>
      </c>
      <c r="D2461" s="149"/>
      <c r="E2461" s="150"/>
      <c r="F2461" s="151"/>
      <c r="G2461" s="151"/>
      <c r="H2461" s="142">
        <f>IFERROR(VLOOKUP($C2461,$C$5:$H$18,6,0)+SUMIF($C$19:$C2461,$C2461,$F$19:$F2461)-SUMIF($C$19:$C2461,$C2461,$G$19:$G2461),"")</f>
        <v>81211.819999998</v>
      </c>
      <c r="I2461" s="147"/>
      <c r="J2461" s="147"/>
      <c r="K2461" s="147" t="str">
        <f t="shared" si="38"/>
        <v/>
      </c>
      <c r="L2461" s="40"/>
      <c r="M2461"/>
      <c r="N2461"/>
      <c r="O2461"/>
      <c r="P2461"/>
      <c r="Q2461"/>
      <c r="R2461"/>
      <c r="S2461"/>
      <c r="T2461"/>
      <c r="U2461"/>
      <c r="V2461"/>
      <c r="W2461" s="41"/>
      <c r="X2461" s="41"/>
      <c r="Y2461" s="41"/>
    </row>
    <row r="2462" s="27" customFormat="1" ht="23" hidden="1" customHeight="1" spans="1:25">
      <c r="A2462" s="133" t="str">
        <f>IF(B2462="","",COUNTA($B$5:B2462))</f>
        <v/>
      </c>
      <c r="B2462" s="148"/>
      <c r="C2462" s="22" t="s">
        <v>49</v>
      </c>
      <c r="D2462" s="149"/>
      <c r="E2462" s="150"/>
      <c r="F2462" s="151"/>
      <c r="G2462" s="151"/>
      <c r="H2462" s="142">
        <f>IFERROR(VLOOKUP($C2462,$C$5:$H$18,6,0)+SUMIF($C$19:$C2462,$C2462,$F$19:$F2462)-SUMIF($C$19:$C2462,$C2462,$G$19:$G2462),"")</f>
        <v>81211.819999998</v>
      </c>
      <c r="I2462" s="147"/>
      <c r="J2462" s="147"/>
      <c r="K2462" s="147" t="str">
        <f t="shared" si="38"/>
        <v/>
      </c>
      <c r="L2462" s="40"/>
      <c r="M2462"/>
      <c r="N2462"/>
      <c r="O2462"/>
      <c r="P2462"/>
      <c r="Q2462"/>
      <c r="R2462"/>
      <c r="S2462"/>
      <c r="T2462"/>
      <c r="U2462"/>
      <c r="V2462"/>
      <c r="W2462" s="41"/>
      <c r="X2462" s="41"/>
      <c r="Y2462" s="41"/>
    </row>
    <row r="2463" s="27" customFormat="1" ht="23" hidden="1" customHeight="1" spans="1:25">
      <c r="A2463" s="133" t="str">
        <f>IF(B2463="","",COUNTA($B$5:B2463))</f>
        <v/>
      </c>
      <c r="B2463" s="148"/>
      <c r="C2463" s="22" t="s">
        <v>49</v>
      </c>
      <c r="D2463" s="149"/>
      <c r="E2463" s="150"/>
      <c r="F2463" s="151"/>
      <c r="G2463" s="151"/>
      <c r="H2463" s="142">
        <f>IFERROR(VLOOKUP($C2463,$C$5:$H$18,6,0)+SUMIF($C$19:$C2463,$C2463,$F$19:$F2463)-SUMIF($C$19:$C2463,$C2463,$G$19:$G2463),"")</f>
        <v>81211.819999998</v>
      </c>
      <c r="I2463" s="147"/>
      <c r="J2463" s="147"/>
      <c r="K2463" s="147" t="str">
        <f t="shared" si="38"/>
        <v/>
      </c>
      <c r="L2463" s="40"/>
      <c r="M2463"/>
      <c r="N2463"/>
      <c r="O2463"/>
      <c r="P2463"/>
      <c r="Q2463"/>
      <c r="R2463"/>
      <c r="S2463"/>
      <c r="T2463"/>
      <c r="U2463"/>
      <c r="V2463"/>
      <c r="W2463" s="41"/>
      <c r="X2463" s="41"/>
      <c r="Y2463" s="41"/>
    </row>
    <row r="2464" s="27" customFormat="1" ht="23" hidden="1" customHeight="1" spans="1:25">
      <c r="A2464" s="133" t="str">
        <f>IF(B2464="","",COUNTA($B$5:B2464))</f>
        <v/>
      </c>
      <c r="B2464" s="148"/>
      <c r="C2464" s="22" t="s">
        <v>49</v>
      </c>
      <c r="D2464" s="149"/>
      <c r="E2464" s="150"/>
      <c r="F2464" s="151"/>
      <c r="G2464" s="151"/>
      <c r="H2464" s="142">
        <f>IFERROR(VLOOKUP($C2464,$C$5:$H$18,6,0)+SUMIF($C$19:$C2464,$C2464,$F$19:$F2464)-SUMIF($C$19:$C2464,$C2464,$G$19:$G2464),"")</f>
        <v>81211.819999998</v>
      </c>
      <c r="I2464" s="147"/>
      <c r="J2464" s="147"/>
      <c r="K2464" s="147" t="str">
        <f t="shared" si="38"/>
        <v/>
      </c>
      <c r="L2464" s="40"/>
      <c r="M2464"/>
      <c r="N2464"/>
      <c r="O2464"/>
      <c r="P2464"/>
      <c r="Q2464"/>
      <c r="R2464"/>
      <c r="S2464"/>
      <c r="T2464"/>
      <c r="U2464"/>
      <c r="V2464"/>
      <c r="W2464" s="41"/>
      <c r="X2464" s="41"/>
      <c r="Y2464" s="41"/>
    </row>
    <row r="2465" s="27" customFormat="1" ht="23" hidden="1" customHeight="1" spans="1:25">
      <c r="A2465" s="133" t="str">
        <f>IF(B2465="","",COUNTA($B$5:B2465))</f>
        <v/>
      </c>
      <c r="B2465" s="148"/>
      <c r="C2465" s="22" t="s">
        <v>49</v>
      </c>
      <c r="D2465" s="149"/>
      <c r="E2465" s="150"/>
      <c r="F2465" s="151"/>
      <c r="G2465" s="151"/>
      <c r="H2465" s="142">
        <f>IFERROR(VLOOKUP($C2465,$C$5:$H$18,6,0)+SUMIF($C$19:$C2465,$C2465,$F$19:$F2465)-SUMIF($C$19:$C2465,$C2465,$G$19:$G2465),"")</f>
        <v>81211.819999998</v>
      </c>
      <c r="I2465" s="147"/>
      <c r="J2465" s="147"/>
      <c r="K2465" s="147" t="str">
        <f t="shared" si="38"/>
        <v/>
      </c>
      <c r="L2465" s="40"/>
      <c r="M2465"/>
      <c r="N2465"/>
      <c r="O2465"/>
      <c r="P2465"/>
      <c r="Q2465"/>
      <c r="R2465"/>
      <c r="S2465"/>
      <c r="T2465"/>
      <c r="U2465"/>
      <c r="V2465"/>
      <c r="W2465" s="41"/>
      <c r="X2465" s="41"/>
      <c r="Y2465" s="41"/>
    </row>
    <row r="2466" s="27" customFormat="1" ht="23" hidden="1" customHeight="1" spans="1:25">
      <c r="A2466" s="133" t="str">
        <f>IF(B2466="","",COUNTA($B$5:B2466))</f>
        <v/>
      </c>
      <c r="B2466" s="148"/>
      <c r="C2466" s="22" t="s">
        <v>49</v>
      </c>
      <c r="D2466" s="149"/>
      <c r="E2466" s="150"/>
      <c r="F2466" s="151"/>
      <c r="G2466" s="151"/>
      <c r="H2466" s="142">
        <f>IFERROR(VLOOKUP($C2466,$C$5:$H$18,6,0)+SUMIF($C$19:$C2466,$C2466,$F$19:$F2466)-SUMIF($C$19:$C2466,$C2466,$G$19:$G2466),"")</f>
        <v>81211.819999998</v>
      </c>
      <c r="I2466" s="147"/>
      <c r="J2466" s="147"/>
      <c r="K2466" s="147" t="str">
        <f t="shared" si="38"/>
        <v/>
      </c>
      <c r="L2466" s="40"/>
      <c r="M2466"/>
      <c r="N2466"/>
      <c r="O2466"/>
      <c r="P2466"/>
      <c r="Q2466"/>
      <c r="R2466"/>
      <c r="S2466"/>
      <c r="T2466"/>
      <c r="U2466"/>
      <c r="V2466"/>
      <c r="W2466" s="41"/>
      <c r="X2466" s="41"/>
      <c r="Y2466" s="41"/>
    </row>
    <row r="2467" s="27" customFormat="1" ht="23" hidden="1" customHeight="1" spans="1:25">
      <c r="A2467" s="133" t="str">
        <f>IF(B2467="","",COUNTA($B$5:B2467))</f>
        <v/>
      </c>
      <c r="B2467" s="148"/>
      <c r="C2467" s="22" t="s">
        <v>49</v>
      </c>
      <c r="D2467" s="149"/>
      <c r="E2467" s="150"/>
      <c r="F2467" s="151"/>
      <c r="G2467" s="151"/>
      <c r="H2467" s="142">
        <f>IFERROR(VLOOKUP($C2467,$C$5:$H$18,6,0)+SUMIF($C$19:$C2467,$C2467,$F$19:$F2467)-SUMIF($C$19:$C2467,$C2467,$G$19:$G2467),"")</f>
        <v>81211.819999998</v>
      </c>
      <c r="I2467" s="147"/>
      <c r="J2467" s="147"/>
      <c r="K2467" s="147" t="str">
        <f t="shared" si="38"/>
        <v/>
      </c>
      <c r="L2467" s="40"/>
      <c r="M2467"/>
      <c r="N2467"/>
      <c r="O2467"/>
      <c r="P2467"/>
      <c r="Q2467"/>
      <c r="R2467"/>
      <c r="S2467"/>
      <c r="T2467"/>
      <c r="U2467"/>
      <c r="V2467"/>
      <c r="W2467" s="41"/>
      <c r="X2467" s="41"/>
      <c r="Y2467" s="41"/>
    </row>
    <row r="2468" s="27" customFormat="1" ht="23" hidden="1" customHeight="1" spans="1:25">
      <c r="A2468" s="133" t="str">
        <f>IF(B2468="","",COUNTA($B$5:B2468))</f>
        <v/>
      </c>
      <c r="B2468" s="148"/>
      <c r="C2468" s="22" t="s">
        <v>49</v>
      </c>
      <c r="D2468" s="149"/>
      <c r="E2468" s="150"/>
      <c r="F2468" s="151"/>
      <c r="G2468" s="151"/>
      <c r="H2468" s="142">
        <f>IFERROR(VLOOKUP($C2468,$C$5:$H$18,6,0)+SUMIF($C$19:$C2468,$C2468,$F$19:$F2468)-SUMIF($C$19:$C2468,$C2468,$G$19:$G2468),"")</f>
        <v>81211.819999998</v>
      </c>
      <c r="I2468" s="147"/>
      <c r="J2468" s="147"/>
      <c r="K2468" s="147" t="str">
        <f t="shared" si="38"/>
        <v/>
      </c>
      <c r="L2468" s="40"/>
      <c r="M2468"/>
      <c r="N2468"/>
      <c r="O2468"/>
      <c r="P2468"/>
      <c r="Q2468"/>
      <c r="R2468"/>
      <c r="S2468"/>
      <c r="T2468"/>
      <c r="U2468"/>
      <c r="V2468"/>
      <c r="W2468" s="41"/>
      <c r="X2468" s="41"/>
      <c r="Y2468" s="41"/>
    </row>
    <row r="2469" s="27" customFormat="1" ht="23" hidden="1" customHeight="1" spans="1:25">
      <c r="A2469" s="133" t="str">
        <f>IF(B2469="","",COUNTA($B$5:B2469))</f>
        <v/>
      </c>
      <c r="B2469" s="148"/>
      <c r="C2469" s="22" t="s">
        <v>49</v>
      </c>
      <c r="D2469" s="149"/>
      <c r="E2469" s="150"/>
      <c r="F2469" s="151"/>
      <c r="G2469" s="151"/>
      <c r="H2469" s="142">
        <f>IFERROR(VLOOKUP($C2469,$C$5:$H$18,6,0)+SUMIF($C$19:$C2469,$C2469,$F$19:$F2469)-SUMIF($C$19:$C2469,$C2469,$G$19:$G2469),"")</f>
        <v>81211.819999998</v>
      </c>
      <c r="I2469" s="147"/>
      <c r="J2469" s="147"/>
      <c r="K2469" s="147" t="str">
        <f t="shared" si="38"/>
        <v/>
      </c>
      <c r="L2469" s="40"/>
      <c r="M2469"/>
      <c r="N2469"/>
      <c r="O2469"/>
      <c r="P2469"/>
      <c r="Q2469"/>
      <c r="R2469"/>
      <c r="S2469"/>
      <c r="T2469"/>
      <c r="U2469"/>
      <c r="V2469"/>
      <c r="W2469" s="41"/>
      <c r="X2469" s="41"/>
      <c r="Y2469" s="41"/>
    </row>
    <row r="2470" s="27" customFormat="1" ht="23" hidden="1" customHeight="1" spans="1:25">
      <c r="A2470" s="133" t="str">
        <f>IF(B2470="","",COUNTA($B$5:B2470))</f>
        <v/>
      </c>
      <c r="B2470" s="148"/>
      <c r="C2470" s="22" t="s">
        <v>49</v>
      </c>
      <c r="D2470" s="149"/>
      <c r="E2470" s="150"/>
      <c r="F2470" s="151"/>
      <c r="G2470" s="151"/>
      <c r="H2470" s="142">
        <f>IFERROR(VLOOKUP($C2470,$C$5:$H$18,6,0)+SUMIF($C$19:$C2470,$C2470,$F$19:$F2470)-SUMIF($C$19:$C2470,$C2470,$G$19:$G2470),"")</f>
        <v>81211.819999998</v>
      </c>
      <c r="I2470" s="147"/>
      <c r="J2470" s="147"/>
      <c r="K2470" s="147" t="str">
        <f t="shared" si="38"/>
        <v/>
      </c>
      <c r="L2470" s="40"/>
      <c r="M2470"/>
      <c r="N2470"/>
      <c r="O2470"/>
      <c r="P2470"/>
      <c r="Q2470"/>
      <c r="R2470"/>
      <c r="S2470"/>
      <c r="T2470"/>
      <c r="U2470"/>
      <c r="V2470"/>
      <c r="W2470" s="41"/>
      <c r="X2470" s="41"/>
      <c r="Y2470" s="41"/>
    </row>
    <row r="2471" s="27" customFormat="1" ht="23" hidden="1" customHeight="1" spans="1:25">
      <c r="A2471" s="133" t="str">
        <f>IF(B2471="","",COUNTA($B$5:B2471))</f>
        <v/>
      </c>
      <c r="B2471" s="148"/>
      <c r="C2471" s="22" t="s">
        <v>49</v>
      </c>
      <c r="D2471" s="149"/>
      <c r="E2471" s="150"/>
      <c r="F2471" s="151"/>
      <c r="G2471" s="151"/>
      <c r="H2471" s="142">
        <f>IFERROR(VLOOKUP($C2471,$C$5:$H$18,6,0)+SUMIF($C$19:$C2471,$C2471,$F$19:$F2471)-SUMIF($C$19:$C2471,$C2471,$G$19:$G2471),"")</f>
        <v>81211.819999998</v>
      </c>
      <c r="I2471" s="147"/>
      <c r="J2471" s="147"/>
      <c r="K2471" s="147" t="str">
        <f t="shared" si="38"/>
        <v/>
      </c>
      <c r="L2471" s="40"/>
      <c r="M2471"/>
      <c r="N2471"/>
      <c r="O2471"/>
      <c r="P2471"/>
      <c r="Q2471"/>
      <c r="R2471"/>
      <c r="S2471"/>
      <c r="T2471"/>
      <c r="U2471"/>
      <c r="V2471"/>
      <c r="W2471" s="41"/>
      <c r="X2471" s="41"/>
      <c r="Y2471" s="41"/>
    </row>
    <row r="2472" s="27" customFormat="1" ht="23" hidden="1" customHeight="1" spans="1:25">
      <c r="A2472" s="133" t="str">
        <f>IF(B2472="","",COUNTA($B$5:B2472))</f>
        <v/>
      </c>
      <c r="B2472" s="148"/>
      <c r="C2472" s="22" t="s">
        <v>49</v>
      </c>
      <c r="D2472" s="149"/>
      <c r="E2472" s="150"/>
      <c r="F2472" s="151"/>
      <c r="G2472" s="151"/>
      <c r="H2472" s="142">
        <f>IFERROR(VLOOKUP($C2472,$C$5:$H$18,6,0)+SUMIF($C$19:$C2472,$C2472,$F$19:$F2472)-SUMIF($C$19:$C2472,$C2472,$G$19:$G2472),"")</f>
        <v>81211.819999998</v>
      </c>
      <c r="I2472" s="147"/>
      <c r="J2472" s="147"/>
      <c r="K2472" s="147" t="str">
        <f t="shared" si="38"/>
        <v/>
      </c>
      <c r="L2472" s="40"/>
      <c r="M2472"/>
      <c r="N2472"/>
      <c r="O2472"/>
      <c r="P2472"/>
      <c r="Q2472"/>
      <c r="R2472"/>
      <c r="S2472"/>
      <c r="T2472"/>
      <c r="U2472"/>
      <c r="V2472"/>
      <c r="W2472" s="41"/>
      <c r="X2472" s="41"/>
      <c r="Y2472" s="41"/>
    </row>
    <row r="2473" s="27" customFormat="1" ht="23" hidden="1" customHeight="1" spans="1:25">
      <c r="A2473" s="133" t="str">
        <f>IF(B2473="","",COUNTA($B$5:B2473))</f>
        <v/>
      </c>
      <c r="B2473" s="148"/>
      <c r="C2473" s="22" t="s">
        <v>49</v>
      </c>
      <c r="D2473" s="149"/>
      <c r="E2473" s="150"/>
      <c r="F2473" s="151"/>
      <c r="G2473" s="151"/>
      <c r="H2473" s="142">
        <f>IFERROR(VLOOKUP($C2473,$C$5:$H$18,6,0)+SUMIF($C$19:$C2473,$C2473,$F$19:$F2473)-SUMIF($C$19:$C2473,$C2473,$G$19:$G2473),"")</f>
        <v>81211.819999998</v>
      </c>
      <c r="I2473" s="147"/>
      <c r="J2473" s="147"/>
      <c r="K2473" s="147" t="str">
        <f t="shared" si="38"/>
        <v/>
      </c>
      <c r="L2473" s="40"/>
      <c r="M2473"/>
      <c r="N2473"/>
      <c r="O2473"/>
      <c r="P2473"/>
      <c r="Q2473"/>
      <c r="R2473"/>
      <c r="S2473"/>
      <c r="T2473"/>
      <c r="U2473"/>
      <c r="V2473"/>
      <c r="W2473" s="41"/>
      <c r="X2473" s="41"/>
      <c r="Y2473" s="41"/>
    </row>
    <row r="2474" s="27" customFormat="1" ht="23" hidden="1" customHeight="1" spans="1:25">
      <c r="A2474" s="133" t="str">
        <f>IF(B2474="","",COUNTA($B$5:B2474))</f>
        <v/>
      </c>
      <c r="B2474" s="148"/>
      <c r="C2474" s="22" t="s">
        <v>49</v>
      </c>
      <c r="D2474" s="149"/>
      <c r="E2474" s="150"/>
      <c r="F2474" s="151"/>
      <c r="G2474" s="151"/>
      <c r="H2474" s="142">
        <f>IFERROR(VLOOKUP($C2474,$C$5:$H$18,6,0)+SUMIF($C$19:$C2474,$C2474,$F$19:$F2474)-SUMIF($C$19:$C2474,$C2474,$G$19:$G2474),"")</f>
        <v>81211.819999998</v>
      </c>
      <c r="I2474" s="147"/>
      <c r="J2474" s="147"/>
      <c r="K2474" s="147" t="str">
        <f t="shared" si="38"/>
        <v/>
      </c>
      <c r="L2474" s="40"/>
      <c r="M2474"/>
      <c r="N2474"/>
      <c r="O2474"/>
      <c r="P2474"/>
      <c r="Q2474"/>
      <c r="R2474"/>
      <c r="S2474"/>
      <c r="T2474"/>
      <c r="U2474"/>
      <c r="V2474"/>
      <c r="W2474" s="41"/>
      <c r="X2474" s="41"/>
      <c r="Y2474" s="41"/>
    </row>
    <row r="2475" s="27" customFormat="1" ht="23" hidden="1" customHeight="1" spans="1:25">
      <c r="A2475" s="133" t="str">
        <f>IF(B2475="","",COUNTA($B$5:B2475))</f>
        <v/>
      </c>
      <c r="B2475" s="148"/>
      <c r="C2475" s="22" t="s">
        <v>49</v>
      </c>
      <c r="D2475" s="149"/>
      <c r="E2475" s="150"/>
      <c r="F2475" s="151"/>
      <c r="G2475" s="151"/>
      <c r="H2475" s="142">
        <f>IFERROR(VLOOKUP($C2475,$C$5:$H$18,6,0)+SUMIF($C$19:$C2475,$C2475,$F$19:$F2475)-SUMIF($C$19:$C2475,$C2475,$G$19:$G2475),"")</f>
        <v>81211.819999998</v>
      </c>
      <c r="I2475" s="147"/>
      <c r="J2475" s="147"/>
      <c r="K2475" s="147" t="str">
        <f t="shared" si="38"/>
        <v/>
      </c>
      <c r="L2475" s="40"/>
      <c r="M2475"/>
      <c r="N2475"/>
      <c r="O2475"/>
      <c r="P2475"/>
      <c r="Q2475"/>
      <c r="R2475"/>
      <c r="S2475"/>
      <c r="T2475"/>
      <c r="U2475"/>
      <c r="V2475"/>
      <c r="W2475" s="41"/>
      <c r="X2475" s="41"/>
      <c r="Y2475" s="41"/>
    </row>
    <row r="2476" s="27" customFormat="1" ht="23" hidden="1" customHeight="1" spans="1:25">
      <c r="A2476" s="133" t="str">
        <f>IF(B2476="","",COUNTA($B$5:B2476))</f>
        <v/>
      </c>
      <c r="B2476" s="148"/>
      <c r="C2476" s="22" t="s">
        <v>49</v>
      </c>
      <c r="D2476" s="149"/>
      <c r="E2476" s="150"/>
      <c r="F2476" s="151"/>
      <c r="G2476" s="151"/>
      <c r="H2476" s="142">
        <f>IFERROR(VLOOKUP($C2476,$C$5:$H$18,6,0)+SUMIF($C$19:$C2476,$C2476,$F$19:$F2476)-SUMIF($C$19:$C2476,$C2476,$G$19:$G2476),"")</f>
        <v>81211.819999998</v>
      </c>
      <c r="I2476" s="147"/>
      <c r="J2476" s="147"/>
      <c r="K2476" s="147" t="str">
        <f t="shared" si="38"/>
        <v/>
      </c>
      <c r="L2476" s="40"/>
      <c r="M2476"/>
      <c r="N2476"/>
      <c r="O2476"/>
      <c r="P2476"/>
      <c r="Q2476"/>
      <c r="R2476"/>
      <c r="S2476"/>
      <c r="T2476"/>
      <c r="U2476"/>
      <c r="V2476"/>
      <c r="W2476" s="41"/>
      <c r="X2476" s="41"/>
      <c r="Y2476" s="41"/>
    </row>
    <row r="2477" s="27" customFormat="1" ht="23" hidden="1" customHeight="1" spans="1:25">
      <c r="A2477" s="133" t="str">
        <f>IF(B2477="","",COUNTA($B$5:B2477))</f>
        <v/>
      </c>
      <c r="B2477" s="148"/>
      <c r="C2477" s="22" t="s">
        <v>49</v>
      </c>
      <c r="D2477" s="149"/>
      <c r="E2477" s="150"/>
      <c r="F2477" s="151"/>
      <c r="G2477" s="151"/>
      <c r="H2477" s="142">
        <f>IFERROR(VLOOKUP($C2477,$C$5:$H$18,6,0)+SUMIF($C$19:$C2477,$C2477,$F$19:$F2477)-SUMIF($C$19:$C2477,$C2477,$G$19:$G2477),"")</f>
        <v>81211.819999998</v>
      </c>
      <c r="I2477" s="147"/>
      <c r="J2477" s="147"/>
      <c r="K2477" s="147" t="str">
        <f t="shared" si="38"/>
        <v/>
      </c>
      <c r="L2477" s="40"/>
      <c r="M2477"/>
      <c r="N2477"/>
      <c r="O2477"/>
      <c r="P2477"/>
      <c r="Q2477"/>
      <c r="R2477"/>
      <c r="S2477"/>
      <c r="T2477"/>
      <c r="U2477"/>
      <c r="V2477"/>
      <c r="W2477" s="41"/>
      <c r="X2477" s="41"/>
      <c r="Y2477" s="41"/>
    </row>
    <row r="2478" s="27" customFormat="1" ht="23" hidden="1" customHeight="1" spans="1:25">
      <c r="A2478" s="133" t="str">
        <f>IF(B2478="","",COUNTA($B$5:B2478))</f>
        <v/>
      </c>
      <c r="B2478" s="148"/>
      <c r="C2478" s="22" t="s">
        <v>49</v>
      </c>
      <c r="D2478" s="149"/>
      <c r="E2478" s="150"/>
      <c r="F2478" s="151"/>
      <c r="G2478" s="151"/>
      <c r="H2478" s="142">
        <f>IFERROR(VLOOKUP($C2478,$C$5:$H$18,6,0)+SUMIF($C$19:$C2478,$C2478,$F$19:$F2478)-SUMIF($C$19:$C2478,$C2478,$G$19:$G2478),"")</f>
        <v>81211.819999998</v>
      </c>
      <c r="I2478" s="147"/>
      <c r="J2478" s="147"/>
      <c r="K2478" s="147" t="str">
        <f t="shared" si="38"/>
        <v/>
      </c>
      <c r="L2478" s="40"/>
      <c r="M2478"/>
      <c r="N2478"/>
      <c r="O2478"/>
      <c r="P2478"/>
      <c r="Q2478"/>
      <c r="R2478"/>
      <c r="S2478"/>
      <c r="T2478"/>
      <c r="U2478"/>
      <c r="V2478"/>
      <c r="W2478" s="41"/>
      <c r="X2478" s="41"/>
      <c r="Y2478" s="41"/>
    </row>
    <row r="2479" s="27" customFormat="1" ht="23" hidden="1" customHeight="1" spans="1:25">
      <c r="A2479" s="133" t="str">
        <f>IF(B2479="","",COUNTA($B$5:B2479))</f>
        <v/>
      </c>
      <c r="B2479" s="148"/>
      <c r="C2479" s="22" t="s">
        <v>49</v>
      </c>
      <c r="D2479" s="149"/>
      <c r="E2479" s="150"/>
      <c r="F2479" s="151"/>
      <c r="G2479" s="151"/>
      <c r="H2479" s="142">
        <f>IFERROR(VLOOKUP($C2479,$C$5:$H$18,6,0)+SUMIF($C$19:$C2479,$C2479,$F$19:$F2479)-SUMIF($C$19:$C2479,$C2479,$G$19:$G2479),"")</f>
        <v>81211.819999998</v>
      </c>
      <c r="I2479" s="147"/>
      <c r="J2479" s="147"/>
      <c r="K2479" s="147" t="str">
        <f t="shared" si="38"/>
        <v/>
      </c>
      <c r="L2479" s="40"/>
      <c r="M2479"/>
      <c r="N2479"/>
      <c r="O2479"/>
      <c r="P2479"/>
      <c r="Q2479"/>
      <c r="R2479"/>
      <c r="S2479"/>
      <c r="T2479"/>
      <c r="U2479"/>
      <c r="V2479"/>
      <c r="W2479" s="41"/>
      <c r="X2479" s="41"/>
      <c r="Y2479" s="41"/>
    </row>
    <row r="2480" s="27" customFormat="1" ht="23" hidden="1" customHeight="1" spans="1:25">
      <c r="A2480" s="133" t="str">
        <f>IF(B2480="","",COUNTA($B$5:B2480))</f>
        <v/>
      </c>
      <c r="B2480" s="148"/>
      <c r="C2480" s="22" t="s">
        <v>49</v>
      </c>
      <c r="D2480" s="149"/>
      <c r="E2480" s="150"/>
      <c r="F2480" s="151"/>
      <c r="G2480" s="151"/>
      <c r="H2480" s="142">
        <f>IFERROR(VLOOKUP($C2480,$C$5:$H$18,6,0)+SUMIF($C$19:$C2480,$C2480,$F$19:$F2480)-SUMIF($C$19:$C2480,$C2480,$G$19:$G2480),"")</f>
        <v>81211.819999998</v>
      </c>
      <c r="I2480" s="147"/>
      <c r="J2480" s="147"/>
      <c r="K2480" s="147" t="str">
        <f t="shared" si="38"/>
        <v/>
      </c>
      <c r="L2480" s="40"/>
      <c r="M2480"/>
      <c r="N2480"/>
      <c r="O2480"/>
      <c r="P2480"/>
      <c r="Q2480"/>
      <c r="R2480"/>
      <c r="S2480"/>
      <c r="T2480"/>
      <c r="U2480"/>
      <c r="V2480"/>
      <c r="W2480" s="41"/>
      <c r="X2480" s="41"/>
      <c r="Y2480" s="41"/>
    </row>
    <row r="2481" s="27" customFormat="1" ht="23" hidden="1" customHeight="1" spans="1:25">
      <c r="A2481" s="133" t="str">
        <f>IF(B2481="","",COUNTA($B$5:B2481))</f>
        <v/>
      </c>
      <c r="B2481" s="148"/>
      <c r="C2481" s="22" t="s">
        <v>49</v>
      </c>
      <c r="D2481" s="149"/>
      <c r="E2481" s="150"/>
      <c r="F2481" s="151"/>
      <c r="G2481" s="151"/>
      <c r="H2481" s="142">
        <f>IFERROR(VLOOKUP($C2481,$C$5:$H$18,6,0)+SUMIF($C$19:$C2481,$C2481,$F$19:$F2481)-SUMIF($C$19:$C2481,$C2481,$G$19:$G2481),"")</f>
        <v>81211.819999998</v>
      </c>
      <c r="I2481" s="147"/>
      <c r="J2481" s="147"/>
      <c r="K2481" s="147" t="str">
        <f t="shared" si="38"/>
        <v/>
      </c>
      <c r="L2481" s="40"/>
      <c r="M2481"/>
      <c r="N2481"/>
      <c r="O2481"/>
      <c r="P2481"/>
      <c r="Q2481"/>
      <c r="R2481"/>
      <c r="S2481"/>
      <c r="T2481"/>
      <c r="U2481"/>
      <c r="V2481"/>
      <c r="W2481" s="41"/>
      <c r="X2481" s="41"/>
      <c r="Y2481" s="41"/>
    </row>
    <row r="2482" s="27" customFormat="1" ht="23" hidden="1" customHeight="1" spans="1:25">
      <c r="A2482" s="133" t="str">
        <f>IF(B2482="","",COUNTA($B$5:B2482))</f>
        <v/>
      </c>
      <c r="B2482" s="148"/>
      <c r="C2482" s="22" t="s">
        <v>49</v>
      </c>
      <c r="D2482" s="149"/>
      <c r="E2482" s="150"/>
      <c r="F2482" s="151"/>
      <c r="G2482" s="151"/>
      <c r="H2482" s="142">
        <f>IFERROR(VLOOKUP($C2482,$C$5:$H$18,6,0)+SUMIF($C$19:$C2482,$C2482,$F$19:$F2482)-SUMIF($C$19:$C2482,$C2482,$G$19:$G2482),"")</f>
        <v>81211.819999998</v>
      </c>
      <c r="I2482" s="147"/>
      <c r="J2482" s="147"/>
      <c r="K2482" s="147" t="str">
        <f t="shared" si="38"/>
        <v/>
      </c>
      <c r="L2482" s="40"/>
      <c r="M2482"/>
      <c r="N2482"/>
      <c r="O2482"/>
      <c r="P2482"/>
      <c r="Q2482"/>
      <c r="R2482"/>
      <c r="S2482"/>
      <c r="T2482"/>
      <c r="U2482"/>
      <c r="V2482"/>
      <c r="W2482" s="41"/>
      <c r="X2482" s="41"/>
      <c r="Y2482" s="41"/>
    </row>
    <row r="2483" s="27" customFormat="1" ht="23" hidden="1" customHeight="1" spans="1:25">
      <c r="A2483" s="133" t="str">
        <f>IF(B2483="","",COUNTA($B$5:B2483))</f>
        <v/>
      </c>
      <c r="B2483" s="148"/>
      <c r="C2483" s="22" t="s">
        <v>49</v>
      </c>
      <c r="D2483" s="149"/>
      <c r="E2483" s="150"/>
      <c r="F2483" s="151"/>
      <c r="G2483" s="151"/>
      <c r="H2483" s="142">
        <f>IFERROR(VLOOKUP($C2483,$C$5:$H$18,6,0)+SUMIF($C$19:$C2483,$C2483,$F$19:$F2483)-SUMIF($C$19:$C2483,$C2483,$G$19:$G2483),"")</f>
        <v>81211.819999998</v>
      </c>
      <c r="I2483" s="147"/>
      <c r="J2483" s="147"/>
      <c r="K2483" s="147" t="str">
        <f t="shared" si="38"/>
        <v/>
      </c>
      <c r="L2483" s="40"/>
      <c r="M2483"/>
      <c r="N2483"/>
      <c r="O2483"/>
      <c r="P2483"/>
      <c r="Q2483"/>
      <c r="R2483"/>
      <c r="S2483"/>
      <c r="T2483"/>
      <c r="U2483"/>
      <c r="V2483"/>
      <c r="W2483" s="41"/>
      <c r="X2483" s="41"/>
      <c r="Y2483" s="41"/>
    </row>
    <row r="2484" s="27" customFormat="1" ht="23" hidden="1" customHeight="1" spans="1:25">
      <c r="A2484" s="133" t="str">
        <f>IF(B2484="","",COUNTA($B$5:B2484))</f>
        <v/>
      </c>
      <c r="B2484" s="148"/>
      <c r="C2484" s="22" t="s">
        <v>49</v>
      </c>
      <c r="D2484" s="149"/>
      <c r="E2484" s="150"/>
      <c r="F2484" s="151"/>
      <c r="G2484" s="151"/>
      <c r="H2484" s="142">
        <f>IFERROR(VLOOKUP($C2484,$C$5:$H$18,6,0)+SUMIF($C$19:$C2484,$C2484,$F$19:$F2484)-SUMIF($C$19:$C2484,$C2484,$G$19:$G2484),"")</f>
        <v>81211.819999998</v>
      </c>
      <c r="I2484" s="147"/>
      <c r="J2484" s="147"/>
      <c r="K2484" s="147" t="str">
        <f t="shared" si="38"/>
        <v/>
      </c>
      <c r="L2484" s="40"/>
      <c r="M2484"/>
      <c r="N2484"/>
      <c r="O2484"/>
      <c r="P2484"/>
      <c r="Q2484"/>
      <c r="R2484"/>
      <c r="S2484"/>
      <c r="T2484"/>
      <c r="U2484"/>
      <c r="V2484"/>
      <c r="W2484" s="41"/>
      <c r="X2484" s="41"/>
      <c r="Y2484" s="41"/>
    </row>
    <row r="2485" s="27" customFormat="1" ht="23" hidden="1" customHeight="1" spans="1:25">
      <c r="A2485" s="133" t="str">
        <f>IF(B2485="","",COUNTA($B$5:B2485))</f>
        <v/>
      </c>
      <c r="B2485" s="148"/>
      <c r="C2485" s="22" t="s">
        <v>49</v>
      </c>
      <c r="D2485" s="149"/>
      <c r="E2485" s="150"/>
      <c r="F2485" s="151"/>
      <c r="G2485" s="151"/>
      <c r="H2485" s="142">
        <f>IFERROR(VLOOKUP($C2485,$C$5:$H$18,6,0)+SUMIF($C$19:$C2485,$C2485,$F$19:$F2485)-SUMIF($C$19:$C2485,$C2485,$G$19:$G2485),"")</f>
        <v>81211.819999998</v>
      </c>
      <c r="I2485" s="147"/>
      <c r="J2485" s="147"/>
      <c r="K2485" s="147" t="str">
        <f t="shared" si="38"/>
        <v/>
      </c>
      <c r="L2485" s="40"/>
      <c r="M2485"/>
      <c r="N2485"/>
      <c r="O2485"/>
      <c r="P2485"/>
      <c r="Q2485"/>
      <c r="R2485"/>
      <c r="S2485"/>
      <c r="T2485"/>
      <c r="U2485"/>
      <c r="V2485"/>
      <c r="W2485" s="41"/>
      <c r="X2485" s="41"/>
      <c r="Y2485" s="41"/>
    </row>
    <row r="2486" s="27" customFormat="1" ht="23" hidden="1" customHeight="1" spans="1:25">
      <c r="A2486" s="133" t="str">
        <f>IF(B2486="","",COUNTA($B$5:B2486))</f>
        <v/>
      </c>
      <c r="B2486" s="148"/>
      <c r="C2486" s="22" t="s">
        <v>49</v>
      </c>
      <c r="D2486" s="149"/>
      <c r="E2486" s="150"/>
      <c r="F2486" s="151"/>
      <c r="G2486" s="151"/>
      <c r="H2486" s="142">
        <f>IFERROR(VLOOKUP($C2486,$C$5:$H$18,6,0)+SUMIF($C$19:$C2486,$C2486,$F$19:$F2486)-SUMIF($C$19:$C2486,$C2486,$G$19:$G2486),"")</f>
        <v>81211.819999998</v>
      </c>
      <c r="I2486" s="147"/>
      <c r="J2486" s="147"/>
      <c r="K2486" s="147" t="str">
        <f t="shared" si="38"/>
        <v/>
      </c>
      <c r="L2486" s="40"/>
      <c r="M2486"/>
      <c r="N2486"/>
      <c r="O2486"/>
      <c r="P2486"/>
      <c r="Q2486"/>
      <c r="R2486"/>
      <c r="S2486"/>
      <c r="T2486"/>
      <c r="U2486"/>
      <c r="V2486"/>
      <c r="W2486" s="41"/>
      <c r="X2486" s="41"/>
      <c r="Y2486" s="41"/>
    </row>
    <row r="2487" s="27" customFormat="1" ht="23" hidden="1" customHeight="1" spans="1:25">
      <c r="A2487" s="133" t="str">
        <f>IF(B2487="","",COUNTA($B$5:B2487))</f>
        <v/>
      </c>
      <c r="B2487" s="148"/>
      <c r="C2487" s="22" t="s">
        <v>49</v>
      </c>
      <c r="D2487" s="149"/>
      <c r="E2487" s="150"/>
      <c r="F2487" s="151"/>
      <c r="G2487" s="151"/>
      <c r="H2487" s="142">
        <f>IFERROR(VLOOKUP($C2487,$C$5:$H$18,6,0)+SUMIF($C$19:$C2487,$C2487,$F$19:$F2487)-SUMIF($C$19:$C2487,$C2487,$G$19:$G2487),"")</f>
        <v>81211.819999998</v>
      </c>
      <c r="I2487" s="147"/>
      <c r="J2487" s="147"/>
      <c r="K2487" s="147" t="str">
        <f t="shared" si="38"/>
        <v/>
      </c>
      <c r="L2487" s="40"/>
      <c r="M2487"/>
      <c r="N2487"/>
      <c r="O2487"/>
      <c r="P2487"/>
      <c r="Q2487"/>
      <c r="R2487"/>
      <c r="S2487"/>
      <c r="T2487"/>
      <c r="U2487"/>
      <c r="V2487"/>
      <c r="W2487" s="41"/>
      <c r="X2487" s="41"/>
      <c r="Y2487" s="41"/>
    </row>
    <row r="2488" s="27" customFormat="1" ht="23" hidden="1" customHeight="1" spans="1:25">
      <c r="A2488" s="133" t="str">
        <f>IF(B2488="","",COUNTA($B$5:B2488))</f>
        <v/>
      </c>
      <c r="B2488" s="148"/>
      <c r="C2488" s="22" t="s">
        <v>49</v>
      </c>
      <c r="D2488" s="149"/>
      <c r="E2488" s="150"/>
      <c r="F2488" s="151"/>
      <c r="G2488" s="151"/>
      <c r="H2488" s="142">
        <f>IFERROR(VLOOKUP($C2488,$C$5:$H$18,6,0)+SUMIF($C$19:$C2488,$C2488,$F$19:$F2488)-SUMIF($C$19:$C2488,$C2488,$G$19:$G2488),"")</f>
        <v>81211.819999998</v>
      </c>
      <c r="I2488" s="147"/>
      <c r="J2488" s="147"/>
      <c r="K2488" s="147" t="str">
        <f t="shared" si="38"/>
        <v/>
      </c>
      <c r="L2488" s="40"/>
      <c r="M2488"/>
      <c r="N2488"/>
      <c r="O2488"/>
      <c r="P2488"/>
      <c r="Q2488"/>
      <c r="R2488"/>
      <c r="S2488"/>
      <c r="T2488"/>
      <c r="U2488"/>
      <c r="V2488"/>
      <c r="W2488" s="41"/>
      <c r="X2488" s="41"/>
      <c r="Y2488" s="41"/>
    </row>
    <row r="2489" s="27" customFormat="1" ht="23" hidden="1" customHeight="1" spans="1:25">
      <c r="A2489" s="133" t="str">
        <f>IF(B2489="","",COUNTA($B$5:B2489))</f>
        <v/>
      </c>
      <c r="B2489" s="148"/>
      <c r="C2489" s="22" t="s">
        <v>49</v>
      </c>
      <c r="D2489" s="149"/>
      <c r="E2489" s="150"/>
      <c r="F2489" s="151"/>
      <c r="G2489" s="151"/>
      <c r="H2489" s="142">
        <f>IFERROR(VLOOKUP($C2489,$C$5:$H$18,6,0)+SUMIF($C$19:$C2489,$C2489,$F$19:$F2489)-SUMIF($C$19:$C2489,$C2489,$G$19:$G2489),"")</f>
        <v>81211.819999998</v>
      </c>
      <c r="I2489" s="147"/>
      <c r="J2489" s="147"/>
      <c r="K2489" s="147" t="str">
        <f t="shared" si="38"/>
        <v/>
      </c>
      <c r="L2489" s="40"/>
      <c r="M2489"/>
      <c r="N2489"/>
      <c r="O2489"/>
      <c r="P2489"/>
      <c r="Q2489"/>
      <c r="R2489"/>
      <c r="S2489"/>
      <c r="T2489"/>
      <c r="U2489"/>
      <c r="V2489"/>
      <c r="W2489" s="41"/>
      <c r="X2489" s="41"/>
      <c r="Y2489" s="41"/>
    </row>
    <row r="2490" s="27" customFormat="1" ht="23" hidden="1" customHeight="1" spans="1:25">
      <c r="A2490" s="133" t="str">
        <f>IF(B2490="","",COUNTA($B$5:B2490))</f>
        <v/>
      </c>
      <c r="B2490" s="148"/>
      <c r="C2490" s="22" t="s">
        <v>49</v>
      </c>
      <c r="D2490" s="149"/>
      <c r="E2490" s="150"/>
      <c r="F2490" s="151"/>
      <c r="G2490" s="151"/>
      <c r="H2490" s="142">
        <f>IFERROR(VLOOKUP($C2490,$C$5:$H$18,6,0)+SUMIF($C$19:$C2490,$C2490,$F$19:$F2490)-SUMIF($C$19:$C2490,$C2490,$G$19:$G2490),"")</f>
        <v>81211.819999998</v>
      </c>
      <c r="I2490" s="147"/>
      <c r="J2490" s="147"/>
      <c r="K2490" s="147" t="str">
        <f t="shared" si="38"/>
        <v/>
      </c>
      <c r="L2490" s="40"/>
      <c r="M2490"/>
      <c r="N2490"/>
      <c r="O2490"/>
      <c r="P2490"/>
      <c r="Q2490"/>
      <c r="R2490"/>
      <c r="S2490"/>
      <c r="T2490"/>
      <c r="U2490"/>
      <c r="V2490"/>
      <c r="W2490" s="41"/>
      <c r="X2490" s="41"/>
      <c r="Y2490" s="41"/>
    </row>
    <row r="2491" s="27" customFormat="1" ht="23" hidden="1" customHeight="1" spans="1:25">
      <c r="A2491" s="133" t="str">
        <f>IF(B2491="","",COUNTA($B$5:B2491))</f>
        <v/>
      </c>
      <c r="B2491" s="148"/>
      <c r="C2491" s="22" t="s">
        <v>49</v>
      </c>
      <c r="D2491" s="149"/>
      <c r="E2491" s="150"/>
      <c r="F2491" s="151"/>
      <c r="G2491" s="151"/>
      <c r="H2491" s="142">
        <f>IFERROR(VLOOKUP($C2491,$C$5:$H$18,6,0)+SUMIF($C$19:$C2491,$C2491,$F$19:$F2491)-SUMIF($C$19:$C2491,$C2491,$G$19:$G2491),"")</f>
        <v>81211.819999998</v>
      </c>
      <c r="I2491" s="147"/>
      <c r="J2491" s="147"/>
      <c r="K2491" s="147" t="str">
        <f t="shared" si="38"/>
        <v/>
      </c>
      <c r="L2491" s="40"/>
      <c r="M2491"/>
      <c r="N2491"/>
      <c r="O2491"/>
      <c r="P2491"/>
      <c r="Q2491"/>
      <c r="R2491"/>
      <c r="S2491"/>
      <c r="T2491"/>
      <c r="U2491"/>
      <c r="V2491"/>
      <c r="W2491" s="41"/>
      <c r="X2491" s="41"/>
      <c r="Y2491" s="41"/>
    </row>
    <row r="2492" s="27" customFormat="1" ht="23" hidden="1" customHeight="1" spans="1:25">
      <c r="A2492" s="133" t="str">
        <f>IF(B2492="","",COUNTA($B$5:B2492))</f>
        <v/>
      </c>
      <c r="B2492" s="148"/>
      <c r="C2492" s="22" t="s">
        <v>49</v>
      </c>
      <c r="D2492" s="149"/>
      <c r="E2492" s="150"/>
      <c r="F2492" s="151"/>
      <c r="G2492" s="151"/>
      <c r="H2492" s="142">
        <f>IFERROR(VLOOKUP($C2492,$C$5:$H$18,6,0)+SUMIF($C$19:$C2492,$C2492,$F$19:$F2492)-SUMIF($C$19:$C2492,$C2492,$G$19:$G2492),"")</f>
        <v>81211.819999998</v>
      </c>
      <c r="I2492" s="147"/>
      <c r="J2492" s="147"/>
      <c r="K2492" s="147" t="str">
        <f t="shared" si="38"/>
        <v/>
      </c>
      <c r="L2492" s="40"/>
      <c r="M2492"/>
      <c r="N2492"/>
      <c r="O2492"/>
      <c r="P2492"/>
      <c r="Q2492"/>
      <c r="R2492"/>
      <c r="S2492"/>
      <c r="T2492"/>
      <c r="U2492"/>
      <c r="V2492"/>
      <c r="W2492" s="41"/>
      <c r="X2492" s="41"/>
      <c r="Y2492" s="41"/>
    </row>
    <row r="2493" s="27" customFormat="1" ht="23" hidden="1" customHeight="1" spans="1:25">
      <c r="A2493" s="133" t="str">
        <f>IF(B2493="","",COUNTA($B$5:B2493))</f>
        <v/>
      </c>
      <c r="B2493" s="148"/>
      <c r="C2493" s="22" t="s">
        <v>49</v>
      </c>
      <c r="D2493" s="149"/>
      <c r="E2493" s="150"/>
      <c r="F2493" s="151"/>
      <c r="G2493" s="151"/>
      <c r="H2493" s="142">
        <f>IFERROR(VLOOKUP($C2493,$C$5:$H$18,6,0)+SUMIF($C$19:$C2493,$C2493,$F$19:$F2493)-SUMIF($C$19:$C2493,$C2493,$G$19:$G2493),"")</f>
        <v>81211.819999998</v>
      </c>
      <c r="I2493" s="147"/>
      <c r="J2493" s="147"/>
      <c r="K2493" s="147" t="str">
        <f t="shared" si="38"/>
        <v/>
      </c>
      <c r="L2493" s="40"/>
      <c r="M2493"/>
      <c r="N2493"/>
      <c r="O2493"/>
      <c r="P2493"/>
      <c r="Q2493"/>
      <c r="R2493"/>
      <c r="S2493"/>
      <c r="T2493"/>
      <c r="U2493"/>
      <c r="V2493"/>
      <c r="W2493" s="41"/>
      <c r="X2493" s="41"/>
      <c r="Y2493" s="41"/>
    </row>
    <row r="2494" s="27" customFormat="1" ht="23" hidden="1" customHeight="1" spans="1:25">
      <c r="A2494" s="133" t="str">
        <f>IF(B2494="","",COUNTA($B$5:B2494))</f>
        <v/>
      </c>
      <c r="B2494" s="148"/>
      <c r="C2494" s="22" t="s">
        <v>49</v>
      </c>
      <c r="D2494" s="149"/>
      <c r="E2494" s="150"/>
      <c r="F2494" s="151"/>
      <c r="G2494" s="151"/>
      <c r="H2494" s="142">
        <f>IFERROR(VLOOKUP($C2494,$C$5:$H$18,6,0)+SUMIF($C$19:$C2494,$C2494,$F$19:$F2494)-SUMIF($C$19:$C2494,$C2494,$G$19:$G2494),"")</f>
        <v>81211.819999998</v>
      </c>
      <c r="I2494" s="147"/>
      <c r="J2494" s="147"/>
      <c r="K2494" s="147" t="str">
        <f t="shared" si="38"/>
        <v/>
      </c>
      <c r="L2494" s="40"/>
      <c r="M2494"/>
      <c r="N2494"/>
      <c r="O2494"/>
      <c r="P2494"/>
      <c r="Q2494"/>
      <c r="R2494"/>
      <c r="S2494"/>
      <c r="T2494"/>
      <c r="U2494"/>
      <c r="V2494"/>
      <c r="W2494" s="41"/>
      <c r="X2494" s="41"/>
      <c r="Y2494" s="41"/>
    </row>
    <row r="2495" s="27" customFormat="1" ht="23" hidden="1" customHeight="1" spans="1:25">
      <c r="A2495" s="133" t="str">
        <f>IF(B2495="","",COUNTA($B$5:B2495))</f>
        <v/>
      </c>
      <c r="B2495" s="148"/>
      <c r="C2495" s="22" t="s">
        <v>49</v>
      </c>
      <c r="D2495" s="149"/>
      <c r="E2495" s="150"/>
      <c r="F2495" s="151"/>
      <c r="G2495" s="151"/>
      <c r="H2495" s="142">
        <f>IFERROR(VLOOKUP($C2495,$C$5:$H$18,6,0)+SUMIF($C$19:$C2495,$C2495,$F$19:$F2495)-SUMIF($C$19:$C2495,$C2495,$G$19:$G2495),"")</f>
        <v>81211.819999998</v>
      </c>
      <c r="I2495" s="147"/>
      <c r="J2495" s="147"/>
      <c r="K2495" s="147" t="str">
        <f t="shared" si="38"/>
        <v/>
      </c>
      <c r="L2495" s="40"/>
      <c r="M2495"/>
      <c r="N2495"/>
      <c r="O2495"/>
      <c r="P2495"/>
      <c r="Q2495"/>
      <c r="R2495"/>
      <c r="S2495"/>
      <c r="T2495"/>
      <c r="U2495"/>
      <c r="V2495"/>
      <c r="W2495" s="41"/>
      <c r="X2495" s="41"/>
      <c r="Y2495" s="41"/>
    </row>
    <row r="2496" s="27" customFormat="1" ht="23" hidden="1" customHeight="1" spans="1:25">
      <c r="A2496" s="133" t="str">
        <f>IF(B2496="","",COUNTA($B$5:B2496))</f>
        <v/>
      </c>
      <c r="B2496" s="148"/>
      <c r="C2496" s="22" t="s">
        <v>49</v>
      </c>
      <c r="D2496" s="149"/>
      <c r="E2496" s="150"/>
      <c r="F2496" s="151"/>
      <c r="G2496" s="151"/>
      <c r="H2496" s="142">
        <f>IFERROR(VLOOKUP($C2496,$C$5:$H$18,6,0)+SUMIF($C$19:$C2496,$C2496,$F$19:$F2496)-SUMIF($C$19:$C2496,$C2496,$G$19:$G2496),"")</f>
        <v>81211.819999998</v>
      </c>
      <c r="I2496" s="147"/>
      <c r="J2496" s="147"/>
      <c r="K2496" s="147" t="str">
        <f t="shared" si="38"/>
        <v/>
      </c>
      <c r="L2496" s="40"/>
      <c r="M2496"/>
      <c r="N2496"/>
      <c r="O2496"/>
      <c r="P2496"/>
      <c r="Q2496"/>
      <c r="R2496"/>
      <c r="S2496"/>
      <c r="T2496"/>
      <c r="U2496"/>
      <c r="V2496"/>
      <c r="W2496" s="41"/>
      <c r="X2496" s="41"/>
      <c r="Y2496" s="41"/>
    </row>
    <row r="2497" s="27" customFormat="1" ht="23" hidden="1" customHeight="1" spans="1:25">
      <c r="A2497" s="133" t="str">
        <f>IF(B2497="","",COUNTA($B$5:B2497))</f>
        <v/>
      </c>
      <c r="B2497" s="148"/>
      <c r="C2497" s="22" t="s">
        <v>49</v>
      </c>
      <c r="D2497" s="149"/>
      <c r="E2497" s="150"/>
      <c r="F2497" s="151"/>
      <c r="G2497" s="151"/>
      <c r="H2497" s="142">
        <f>IFERROR(VLOOKUP($C2497,$C$5:$H$18,6,0)+SUMIF($C$19:$C2497,$C2497,$F$19:$F2497)-SUMIF($C$19:$C2497,$C2497,$G$19:$G2497),"")</f>
        <v>81211.819999998</v>
      </c>
      <c r="I2497" s="147"/>
      <c r="J2497" s="147"/>
      <c r="K2497" s="147" t="str">
        <f t="shared" si="38"/>
        <v/>
      </c>
      <c r="L2497" s="40"/>
      <c r="M2497"/>
      <c r="N2497"/>
      <c r="O2497"/>
      <c r="P2497"/>
      <c r="Q2497"/>
      <c r="R2497"/>
      <c r="S2497"/>
      <c r="T2497"/>
      <c r="U2497"/>
      <c r="V2497"/>
      <c r="W2497" s="41"/>
      <c r="X2497" s="41"/>
      <c r="Y2497" s="41"/>
    </row>
    <row r="2498" s="27" customFormat="1" ht="23" hidden="1" customHeight="1" spans="1:25">
      <c r="A2498" s="133" t="str">
        <f>IF(B2498="","",COUNTA($B$5:B2498))</f>
        <v/>
      </c>
      <c r="B2498" s="148"/>
      <c r="C2498" s="22" t="s">
        <v>49</v>
      </c>
      <c r="D2498" s="149"/>
      <c r="E2498" s="150"/>
      <c r="F2498" s="151"/>
      <c r="G2498" s="151"/>
      <c r="H2498" s="142">
        <f>IFERROR(VLOOKUP($C2498,$C$5:$H$18,6,0)+SUMIF($C$19:$C2498,$C2498,$F$19:$F2498)-SUMIF($C$19:$C2498,$C2498,$G$19:$G2498),"")</f>
        <v>81211.819999998</v>
      </c>
      <c r="I2498" s="147"/>
      <c r="J2498" s="147"/>
      <c r="K2498" s="147" t="str">
        <f t="shared" si="38"/>
        <v/>
      </c>
      <c r="L2498" s="40"/>
      <c r="M2498"/>
      <c r="N2498"/>
      <c r="O2498"/>
      <c r="P2498"/>
      <c r="Q2498"/>
      <c r="R2498"/>
      <c r="S2498"/>
      <c r="T2498"/>
      <c r="U2498"/>
      <c r="V2498"/>
      <c r="W2498" s="41"/>
      <c r="X2498" s="41"/>
      <c r="Y2498" s="41"/>
    </row>
    <row r="2499" s="27" customFormat="1" ht="23" hidden="1" customHeight="1" spans="1:25">
      <c r="A2499" s="133" t="str">
        <f>IF(B2499="","",COUNTA($B$5:B2499))</f>
        <v/>
      </c>
      <c r="B2499" s="148"/>
      <c r="C2499" s="22" t="s">
        <v>49</v>
      </c>
      <c r="D2499" s="149"/>
      <c r="E2499" s="150"/>
      <c r="F2499" s="151"/>
      <c r="G2499" s="151"/>
      <c r="H2499" s="142">
        <f>IFERROR(VLOOKUP($C2499,$C$5:$H$18,6,0)+SUMIF($C$19:$C2499,$C2499,$F$19:$F2499)-SUMIF($C$19:$C2499,$C2499,$G$19:$G2499),"")</f>
        <v>81211.819999998</v>
      </c>
      <c r="I2499" s="147"/>
      <c r="J2499" s="147"/>
      <c r="K2499" s="147" t="str">
        <f t="shared" si="38"/>
        <v/>
      </c>
      <c r="L2499" s="40"/>
      <c r="M2499"/>
      <c r="N2499"/>
      <c r="O2499"/>
      <c r="P2499"/>
      <c r="Q2499"/>
      <c r="R2499"/>
      <c r="S2499"/>
      <c r="T2499"/>
      <c r="U2499"/>
      <c r="V2499"/>
      <c r="W2499" s="41"/>
      <c r="X2499" s="41"/>
      <c r="Y2499" s="41"/>
    </row>
    <row r="2500" s="27" customFormat="1" ht="23" hidden="1" customHeight="1" spans="1:25">
      <c r="A2500" s="133" t="str">
        <f>IF(B2500="","",COUNTA($B$5:B2500))</f>
        <v/>
      </c>
      <c r="B2500" s="148"/>
      <c r="C2500" s="22" t="s">
        <v>49</v>
      </c>
      <c r="D2500" s="149"/>
      <c r="E2500" s="150"/>
      <c r="F2500" s="151"/>
      <c r="G2500" s="151"/>
      <c r="H2500" s="142">
        <f>IFERROR(VLOOKUP($C2500,$C$5:$H$18,6,0)+SUMIF($C$19:$C2500,$C2500,$F$19:$F2500)-SUMIF($C$19:$C2500,$C2500,$G$19:$G2500),"")</f>
        <v>81211.819999998</v>
      </c>
      <c r="I2500" s="147"/>
      <c r="J2500" s="147"/>
      <c r="K2500" s="147" t="str">
        <f t="shared" si="38"/>
        <v/>
      </c>
      <c r="L2500" s="40"/>
      <c r="M2500"/>
      <c r="N2500"/>
      <c r="O2500"/>
      <c r="P2500"/>
      <c r="Q2500"/>
      <c r="R2500"/>
      <c r="S2500"/>
      <c r="T2500"/>
      <c r="U2500"/>
      <c r="V2500"/>
      <c r="W2500" s="41"/>
      <c r="X2500" s="41"/>
      <c r="Y2500" s="41"/>
    </row>
    <row r="2501" s="27" customFormat="1" ht="23" hidden="1" customHeight="1" spans="1:25">
      <c r="A2501" s="133" t="str">
        <f>IF(B2501="","",COUNTA($B$5:B2501))</f>
        <v/>
      </c>
      <c r="B2501" s="148"/>
      <c r="C2501" s="22" t="s">
        <v>49</v>
      </c>
      <c r="D2501" s="149"/>
      <c r="E2501" s="150"/>
      <c r="F2501" s="151"/>
      <c r="G2501" s="151"/>
      <c r="H2501" s="142">
        <f>IFERROR(VLOOKUP($C2501,$C$5:$H$18,6,0)+SUMIF($C$19:$C2501,$C2501,$F$19:$F2501)-SUMIF($C$19:$C2501,$C2501,$G$19:$G2501),"")</f>
        <v>81211.819999998</v>
      </c>
      <c r="I2501" s="147"/>
      <c r="J2501" s="147"/>
      <c r="K2501" s="147" t="str">
        <f t="shared" ref="K2501:K2564" si="39">IF($B2501="","",--TEXT($B2501,"yyyymm"))</f>
        <v/>
      </c>
      <c r="L2501" s="40"/>
      <c r="M2501"/>
      <c r="N2501"/>
      <c r="O2501"/>
      <c r="P2501"/>
      <c r="Q2501"/>
      <c r="R2501"/>
      <c r="S2501"/>
      <c r="T2501"/>
      <c r="U2501"/>
      <c r="V2501"/>
      <c r="W2501" s="41"/>
      <c r="X2501" s="41"/>
      <c r="Y2501" s="41"/>
    </row>
    <row r="2502" s="27" customFormat="1" ht="23" hidden="1" customHeight="1" spans="1:25">
      <c r="A2502" s="133" t="str">
        <f>IF(B2502="","",COUNTA($B$5:B2502))</f>
        <v/>
      </c>
      <c r="B2502" s="148"/>
      <c r="C2502" s="22" t="s">
        <v>49</v>
      </c>
      <c r="D2502" s="149"/>
      <c r="E2502" s="150"/>
      <c r="F2502" s="151"/>
      <c r="G2502" s="151"/>
      <c r="H2502" s="142">
        <f>IFERROR(VLOOKUP($C2502,$C$5:$H$18,6,0)+SUMIF($C$19:$C2502,$C2502,$F$19:$F2502)-SUMIF($C$19:$C2502,$C2502,$G$19:$G2502),"")</f>
        <v>81211.819999998</v>
      </c>
      <c r="I2502" s="147"/>
      <c r="J2502" s="147"/>
      <c r="K2502" s="147" t="str">
        <f t="shared" si="39"/>
        <v/>
      </c>
      <c r="L2502" s="40"/>
      <c r="M2502"/>
      <c r="N2502"/>
      <c r="O2502"/>
      <c r="P2502"/>
      <c r="Q2502"/>
      <c r="R2502"/>
      <c r="S2502"/>
      <c r="T2502"/>
      <c r="U2502"/>
      <c r="V2502"/>
      <c r="W2502" s="41"/>
      <c r="X2502" s="41"/>
      <c r="Y2502" s="41"/>
    </row>
    <row r="2503" s="27" customFormat="1" ht="23" hidden="1" customHeight="1" spans="1:25">
      <c r="A2503" s="133" t="str">
        <f>IF(B2503="","",COUNTA($B$5:B2503))</f>
        <v/>
      </c>
      <c r="B2503" s="148"/>
      <c r="C2503" s="22" t="s">
        <v>49</v>
      </c>
      <c r="D2503" s="149"/>
      <c r="E2503" s="150"/>
      <c r="F2503" s="151"/>
      <c r="G2503" s="151"/>
      <c r="H2503" s="142">
        <f>IFERROR(VLOOKUP($C2503,$C$5:$H$18,6,0)+SUMIF($C$19:$C2503,$C2503,$F$19:$F2503)-SUMIF($C$19:$C2503,$C2503,$G$19:$G2503),"")</f>
        <v>81211.819999998</v>
      </c>
      <c r="I2503" s="147"/>
      <c r="J2503" s="147"/>
      <c r="K2503" s="147" t="str">
        <f t="shared" si="39"/>
        <v/>
      </c>
      <c r="L2503" s="40"/>
      <c r="M2503"/>
      <c r="N2503"/>
      <c r="O2503"/>
      <c r="P2503"/>
      <c r="Q2503"/>
      <c r="R2503"/>
      <c r="S2503"/>
      <c r="T2503"/>
      <c r="U2503"/>
      <c r="V2503"/>
      <c r="W2503" s="41"/>
      <c r="X2503" s="41"/>
      <c r="Y2503" s="41"/>
    </row>
    <row r="2504" s="27" customFormat="1" ht="23" hidden="1" customHeight="1" spans="1:25">
      <c r="A2504" s="133" t="str">
        <f>IF(B2504="","",COUNTA($B$5:B2504))</f>
        <v/>
      </c>
      <c r="B2504" s="148"/>
      <c r="C2504" s="22" t="s">
        <v>49</v>
      </c>
      <c r="D2504" s="149"/>
      <c r="E2504" s="150"/>
      <c r="F2504" s="151"/>
      <c r="G2504" s="151"/>
      <c r="H2504" s="142">
        <f>IFERROR(VLOOKUP($C2504,$C$5:$H$18,6,0)+SUMIF($C$19:$C2504,$C2504,$F$19:$F2504)-SUMIF($C$19:$C2504,$C2504,$G$19:$G2504),"")</f>
        <v>81211.819999998</v>
      </c>
      <c r="I2504" s="147"/>
      <c r="J2504" s="147"/>
      <c r="K2504" s="147" t="str">
        <f t="shared" si="39"/>
        <v/>
      </c>
      <c r="L2504" s="40"/>
      <c r="M2504"/>
      <c r="N2504"/>
      <c r="O2504"/>
      <c r="P2504"/>
      <c r="Q2504"/>
      <c r="R2504"/>
      <c r="S2504"/>
      <c r="T2504"/>
      <c r="U2504"/>
      <c r="V2504"/>
      <c r="W2504" s="41"/>
      <c r="X2504" s="41"/>
      <c r="Y2504" s="41"/>
    </row>
    <row r="2505" s="27" customFormat="1" ht="23" hidden="1" customHeight="1" spans="1:25">
      <c r="A2505" s="133" t="str">
        <f>IF(B2505="","",COUNTA($B$5:B2505))</f>
        <v/>
      </c>
      <c r="B2505" s="148"/>
      <c r="C2505" s="22" t="s">
        <v>49</v>
      </c>
      <c r="D2505" s="149"/>
      <c r="E2505" s="150"/>
      <c r="F2505" s="151"/>
      <c r="G2505" s="151"/>
      <c r="H2505" s="142">
        <f>IFERROR(VLOOKUP($C2505,$C$5:$H$18,6,0)+SUMIF($C$19:$C2505,$C2505,$F$19:$F2505)-SUMIF($C$19:$C2505,$C2505,$G$19:$G2505),"")</f>
        <v>81211.819999998</v>
      </c>
      <c r="I2505" s="147"/>
      <c r="J2505" s="147"/>
      <c r="K2505" s="147" t="str">
        <f t="shared" si="39"/>
        <v/>
      </c>
      <c r="L2505" s="40"/>
      <c r="M2505"/>
      <c r="N2505"/>
      <c r="O2505"/>
      <c r="P2505"/>
      <c r="Q2505"/>
      <c r="R2505"/>
      <c r="S2505"/>
      <c r="T2505"/>
      <c r="U2505"/>
      <c r="V2505"/>
      <c r="W2505" s="41"/>
      <c r="X2505" s="41"/>
      <c r="Y2505" s="41"/>
    </row>
    <row r="2506" s="27" customFormat="1" ht="23" hidden="1" customHeight="1" spans="1:25">
      <c r="A2506" s="133" t="str">
        <f>IF(B2506="","",COUNTA($B$5:B2506))</f>
        <v/>
      </c>
      <c r="B2506" s="148"/>
      <c r="C2506" s="22" t="s">
        <v>49</v>
      </c>
      <c r="D2506" s="149"/>
      <c r="E2506" s="150"/>
      <c r="F2506" s="151"/>
      <c r="G2506" s="151"/>
      <c r="H2506" s="142">
        <f>IFERROR(VLOOKUP($C2506,$C$5:$H$18,6,0)+SUMIF($C$19:$C2506,$C2506,$F$19:$F2506)-SUMIF($C$19:$C2506,$C2506,$G$19:$G2506),"")</f>
        <v>81211.819999998</v>
      </c>
      <c r="I2506" s="147"/>
      <c r="J2506" s="147"/>
      <c r="K2506" s="147" t="str">
        <f t="shared" si="39"/>
        <v/>
      </c>
      <c r="L2506" s="40"/>
      <c r="M2506"/>
      <c r="N2506"/>
      <c r="O2506"/>
      <c r="P2506"/>
      <c r="Q2506"/>
      <c r="R2506"/>
      <c r="S2506"/>
      <c r="T2506"/>
      <c r="U2506"/>
      <c r="V2506"/>
      <c r="W2506" s="41"/>
      <c r="X2506" s="41"/>
      <c r="Y2506" s="41"/>
    </row>
    <row r="2507" s="27" customFormat="1" ht="23" hidden="1" customHeight="1" spans="1:25">
      <c r="A2507" s="133" t="str">
        <f>IF(B2507="","",COUNTA($B$5:B2507))</f>
        <v/>
      </c>
      <c r="B2507" s="148"/>
      <c r="C2507" s="22" t="s">
        <v>49</v>
      </c>
      <c r="D2507" s="149"/>
      <c r="E2507" s="150"/>
      <c r="F2507" s="151"/>
      <c r="G2507" s="151"/>
      <c r="H2507" s="142">
        <f>IFERROR(VLOOKUP($C2507,$C$5:$H$18,6,0)+SUMIF($C$19:$C2507,$C2507,$F$19:$F2507)-SUMIF($C$19:$C2507,$C2507,$G$19:$G2507),"")</f>
        <v>81211.819999998</v>
      </c>
      <c r="I2507" s="147"/>
      <c r="J2507" s="147"/>
      <c r="K2507" s="147" t="str">
        <f t="shared" si="39"/>
        <v/>
      </c>
      <c r="L2507" s="40"/>
      <c r="M2507"/>
      <c r="N2507"/>
      <c r="O2507"/>
      <c r="P2507"/>
      <c r="Q2507"/>
      <c r="R2507"/>
      <c r="S2507"/>
      <c r="T2507"/>
      <c r="U2507"/>
      <c r="V2507"/>
      <c r="W2507" s="41"/>
      <c r="X2507" s="41"/>
      <c r="Y2507" s="41"/>
    </row>
    <row r="2508" s="27" customFormat="1" ht="23" hidden="1" customHeight="1" spans="1:25">
      <c r="A2508" s="133" t="str">
        <f>IF(B2508="","",COUNTA($B$5:B2508))</f>
        <v/>
      </c>
      <c r="B2508" s="148"/>
      <c r="C2508" s="22" t="s">
        <v>49</v>
      </c>
      <c r="D2508" s="149"/>
      <c r="E2508" s="150"/>
      <c r="F2508" s="151"/>
      <c r="G2508" s="151"/>
      <c r="H2508" s="142">
        <f>IFERROR(VLOOKUP($C2508,$C$5:$H$18,6,0)+SUMIF($C$19:$C2508,$C2508,$F$19:$F2508)-SUMIF($C$19:$C2508,$C2508,$G$19:$G2508),"")</f>
        <v>81211.819999998</v>
      </c>
      <c r="I2508" s="147"/>
      <c r="J2508" s="147"/>
      <c r="K2508" s="147" t="str">
        <f t="shared" si="39"/>
        <v/>
      </c>
      <c r="L2508" s="40"/>
      <c r="M2508"/>
      <c r="N2508"/>
      <c r="O2508"/>
      <c r="P2508"/>
      <c r="Q2508"/>
      <c r="R2508"/>
      <c r="S2508"/>
      <c r="T2508"/>
      <c r="U2508"/>
      <c r="V2508"/>
      <c r="W2508" s="41"/>
      <c r="X2508" s="41"/>
      <c r="Y2508" s="41"/>
    </row>
    <row r="2509" s="27" customFormat="1" ht="23" hidden="1" customHeight="1" spans="1:25">
      <c r="A2509" s="133" t="str">
        <f>IF(B2509="","",COUNTA($B$5:B2509))</f>
        <v/>
      </c>
      <c r="B2509" s="148"/>
      <c r="C2509" s="22" t="s">
        <v>49</v>
      </c>
      <c r="D2509" s="149"/>
      <c r="E2509" s="150"/>
      <c r="F2509" s="151"/>
      <c r="G2509" s="151"/>
      <c r="H2509" s="142">
        <f>IFERROR(VLOOKUP($C2509,$C$5:$H$18,6,0)+SUMIF($C$19:$C2509,$C2509,$F$19:$F2509)-SUMIF($C$19:$C2509,$C2509,$G$19:$G2509),"")</f>
        <v>81211.819999998</v>
      </c>
      <c r="I2509" s="147"/>
      <c r="J2509" s="147"/>
      <c r="K2509" s="147" t="str">
        <f t="shared" si="39"/>
        <v/>
      </c>
      <c r="L2509" s="40"/>
      <c r="M2509"/>
      <c r="N2509"/>
      <c r="O2509"/>
      <c r="P2509"/>
      <c r="Q2509"/>
      <c r="R2509"/>
      <c r="S2509"/>
      <c r="T2509"/>
      <c r="U2509"/>
      <c r="V2509"/>
      <c r="W2509" s="41"/>
      <c r="X2509" s="41"/>
      <c r="Y2509" s="41"/>
    </row>
    <row r="2510" s="27" customFormat="1" ht="23" hidden="1" customHeight="1" spans="1:25">
      <c r="A2510" s="133" t="str">
        <f>IF(B2510="","",COUNTA($B$5:B2510))</f>
        <v/>
      </c>
      <c r="B2510" s="148"/>
      <c r="C2510" s="22" t="s">
        <v>49</v>
      </c>
      <c r="D2510" s="149"/>
      <c r="E2510" s="150"/>
      <c r="F2510" s="151"/>
      <c r="G2510" s="151"/>
      <c r="H2510" s="142">
        <f>IFERROR(VLOOKUP($C2510,$C$5:$H$18,6,0)+SUMIF($C$19:$C2510,$C2510,$F$19:$F2510)-SUMIF($C$19:$C2510,$C2510,$G$19:$G2510),"")</f>
        <v>81211.819999998</v>
      </c>
      <c r="I2510" s="147"/>
      <c r="J2510" s="147"/>
      <c r="K2510" s="147" t="str">
        <f t="shared" si="39"/>
        <v/>
      </c>
      <c r="L2510" s="40"/>
      <c r="M2510"/>
      <c r="N2510"/>
      <c r="O2510"/>
      <c r="P2510"/>
      <c r="Q2510"/>
      <c r="R2510"/>
      <c r="S2510"/>
      <c r="T2510"/>
      <c r="U2510"/>
      <c r="V2510"/>
      <c r="W2510" s="41"/>
      <c r="X2510" s="41"/>
      <c r="Y2510" s="41"/>
    </row>
    <row r="2511" s="27" customFormat="1" ht="23" hidden="1" customHeight="1" spans="1:25">
      <c r="A2511" s="133" t="str">
        <f>IF(B2511="","",COUNTA($B$5:B2511))</f>
        <v/>
      </c>
      <c r="B2511" s="148"/>
      <c r="C2511" s="22" t="s">
        <v>49</v>
      </c>
      <c r="D2511" s="149"/>
      <c r="E2511" s="150"/>
      <c r="F2511" s="151"/>
      <c r="G2511" s="151"/>
      <c r="H2511" s="142">
        <f>IFERROR(VLOOKUP($C2511,$C$5:$H$18,6,0)+SUMIF($C$19:$C2511,$C2511,$F$19:$F2511)-SUMIF($C$19:$C2511,$C2511,$G$19:$G2511),"")</f>
        <v>81211.819999998</v>
      </c>
      <c r="I2511" s="147"/>
      <c r="J2511" s="147"/>
      <c r="K2511" s="147" t="str">
        <f t="shared" si="39"/>
        <v/>
      </c>
      <c r="L2511" s="40"/>
      <c r="M2511"/>
      <c r="N2511"/>
      <c r="O2511"/>
      <c r="P2511"/>
      <c r="Q2511"/>
      <c r="R2511"/>
      <c r="S2511"/>
      <c r="T2511"/>
      <c r="U2511"/>
      <c r="V2511"/>
      <c r="W2511" s="41"/>
      <c r="X2511" s="41"/>
      <c r="Y2511" s="41"/>
    </row>
    <row r="2512" s="27" customFormat="1" ht="23" hidden="1" customHeight="1" spans="1:25">
      <c r="A2512" s="133" t="str">
        <f>IF(B2512="","",COUNTA($B$5:B2512))</f>
        <v/>
      </c>
      <c r="B2512" s="148"/>
      <c r="C2512" s="22" t="s">
        <v>49</v>
      </c>
      <c r="D2512" s="149"/>
      <c r="E2512" s="150"/>
      <c r="F2512" s="151"/>
      <c r="G2512" s="151"/>
      <c r="H2512" s="142">
        <f>IFERROR(VLOOKUP($C2512,$C$5:$H$18,6,0)+SUMIF($C$19:$C2512,$C2512,$F$19:$F2512)-SUMIF($C$19:$C2512,$C2512,$G$19:$G2512),"")</f>
        <v>81211.819999998</v>
      </c>
      <c r="I2512" s="147"/>
      <c r="J2512" s="147"/>
      <c r="K2512" s="147" t="str">
        <f t="shared" si="39"/>
        <v/>
      </c>
      <c r="L2512" s="40"/>
      <c r="M2512"/>
      <c r="N2512"/>
      <c r="O2512"/>
      <c r="P2512"/>
      <c r="Q2512"/>
      <c r="R2512"/>
      <c r="S2512"/>
      <c r="T2512"/>
      <c r="U2512"/>
      <c r="V2512"/>
      <c r="W2512" s="41"/>
      <c r="X2512" s="41"/>
      <c r="Y2512" s="41"/>
    </row>
    <row r="2513" s="27" customFormat="1" ht="23" hidden="1" customHeight="1" spans="1:25">
      <c r="A2513" s="133" t="str">
        <f>IF(B2513="","",COUNTA($B$5:B2513))</f>
        <v/>
      </c>
      <c r="B2513" s="148"/>
      <c r="C2513" s="22" t="s">
        <v>49</v>
      </c>
      <c r="D2513" s="149"/>
      <c r="E2513" s="150"/>
      <c r="F2513" s="151"/>
      <c r="G2513" s="151"/>
      <c r="H2513" s="142">
        <f>IFERROR(VLOOKUP($C2513,$C$5:$H$18,6,0)+SUMIF($C$19:$C2513,$C2513,$F$19:$F2513)-SUMIF($C$19:$C2513,$C2513,$G$19:$G2513),"")</f>
        <v>81211.819999998</v>
      </c>
      <c r="I2513" s="147"/>
      <c r="J2513" s="147"/>
      <c r="K2513" s="147" t="str">
        <f t="shared" si="39"/>
        <v/>
      </c>
      <c r="L2513" s="40"/>
      <c r="M2513"/>
      <c r="N2513"/>
      <c r="O2513"/>
      <c r="P2513"/>
      <c r="Q2513"/>
      <c r="R2513"/>
      <c r="S2513"/>
      <c r="T2513"/>
      <c r="U2513"/>
      <c r="V2513"/>
      <c r="W2513" s="41"/>
      <c r="X2513" s="41"/>
      <c r="Y2513" s="41"/>
    </row>
    <row r="2514" s="27" customFormat="1" ht="23" hidden="1" customHeight="1" spans="1:25">
      <c r="A2514" s="133" t="str">
        <f>IF(B2514="","",COUNTA($B$5:B2514))</f>
        <v/>
      </c>
      <c r="B2514" s="148"/>
      <c r="C2514" s="22" t="s">
        <v>49</v>
      </c>
      <c r="D2514" s="149"/>
      <c r="E2514" s="150"/>
      <c r="F2514" s="151"/>
      <c r="G2514" s="151"/>
      <c r="H2514" s="142">
        <f>IFERROR(VLOOKUP($C2514,$C$5:$H$18,6,0)+SUMIF($C$19:$C2514,$C2514,$F$19:$F2514)-SUMIF($C$19:$C2514,$C2514,$G$19:$G2514),"")</f>
        <v>81211.819999998</v>
      </c>
      <c r="I2514" s="147"/>
      <c r="J2514" s="147"/>
      <c r="K2514" s="147" t="str">
        <f t="shared" si="39"/>
        <v/>
      </c>
      <c r="L2514" s="40"/>
      <c r="M2514"/>
      <c r="N2514"/>
      <c r="O2514"/>
      <c r="P2514"/>
      <c r="Q2514"/>
      <c r="R2514"/>
      <c r="S2514"/>
      <c r="T2514"/>
      <c r="U2514"/>
      <c r="V2514"/>
      <c r="W2514" s="41"/>
      <c r="X2514" s="41"/>
      <c r="Y2514" s="41"/>
    </row>
    <row r="2515" s="27" customFormat="1" ht="23" hidden="1" customHeight="1" spans="1:25">
      <c r="A2515" s="133" t="str">
        <f>IF(B2515="","",COUNTA($B$5:B2515))</f>
        <v/>
      </c>
      <c r="B2515" s="148"/>
      <c r="C2515" s="22" t="s">
        <v>49</v>
      </c>
      <c r="D2515" s="149"/>
      <c r="E2515" s="150"/>
      <c r="F2515" s="151"/>
      <c r="G2515" s="151"/>
      <c r="H2515" s="142">
        <f>IFERROR(VLOOKUP($C2515,$C$5:$H$18,6,0)+SUMIF($C$19:$C2515,$C2515,$F$19:$F2515)-SUMIF($C$19:$C2515,$C2515,$G$19:$G2515),"")</f>
        <v>81211.819999998</v>
      </c>
      <c r="I2515" s="147"/>
      <c r="J2515" s="147"/>
      <c r="K2515" s="147" t="str">
        <f t="shared" si="39"/>
        <v/>
      </c>
      <c r="L2515" s="40"/>
      <c r="M2515"/>
      <c r="N2515"/>
      <c r="O2515"/>
      <c r="P2515"/>
      <c r="Q2515"/>
      <c r="R2515"/>
      <c r="S2515"/>
      <c r="T2515"/>
      <c r="U2515"/>
      <c r="V2515"/>
      <c r="W2515" s="41"/>
      <c r="X2515" s="41"/>
      <c r="Y2515" s="41"/>
    </row>
    <row r="2516" s="27" customFormat="1" ht="23" hidden="1" customHeight="1" spans="1:25">
      <c r="A2516" s="133" t="str">
        <f>IF(B2516="","",COUNTA($B$5:B2516))</f>
        <v/>
      </c>
      <c r="B2516" s="148"/>
      <c r="C2516" s="22" t="s">
        <v>49</v>
      </c>
      <c r="D2516" s="149"/>
      <c r="E2516" s="150"/>
      <c r="F2516" s="151"/>
      <c r="G2516" s="151"/>
      <c r="H2516" s="142">
        <f>IFERROR(VLOOKUP($C2516,$C$5:$H$18,6,0)+SUMIF($C$19:$C2516,$C2516,$F$19:$F2516)-SUMIF($C$19:$C2516,$C2516,$G$19:$G2516),"")</f>
        <v>81211.819999998</v>
      </c>
      <c r="I2516" s="147"/>
      <c r="J2516" s="147"/>
      <c r="K2516" s="147" t="str">
        <f t="shared" si="39"/>
        <v/>
      </c>
      <c r="L2516" s="40"/>
      <c r="M2516"/>
      <c r="N2516"/>
      <c r="O2516"/>
      <c r="P2516"/>
      <c r="Q2516"/>
      <c r="R2516"/>
      <c r="S2516"/>
      <c r="T2516"/>
      <c r="U2516"/>
      <c r="V2516"/>
      <c r="W2516" s="41"/>
      <c r="X2516" s="41"/>
      <c r="Y2516" s="41"/>
    </row>
    <row r="2517" s="27" customFormat="1" ht="23" hidden="1" customHeight="1" spans="1:25">
      <c r="A2517" s="133" t="str">
        <f>IF(B2517="","",COUNTA($B$5:B2517))</f>
        <v/>
      </c>
      <c r="B2517" s="148"/>
      <c r="C2517" s="22" t="s">
        <v>49</v>
      </c>
      <c r="D2517" s="149"/>
      <c r="E2517" s="150"/>
      <c r="F2517" s="151"/>
      <c r="G2517" s="151"/>
      <c r="H2517" s="142">
        <f>IFERROR(VLOOKUP($C2517,$C$5:$H$18,6,0)+SUMIF($C$19:$C2517,$C2517,$F$19:$F2517)-SUMIF($C$19:$C2517,$C2517,$G$19:$G2517),"")</f>
        <v>81211.819999998</v>
      </c>
      <c r="I2517" s="147"/>
      <c r="J2517" s="147"/>
      <c r="K2517" s="147" t="str">
        <f t="shared" si="39"/>
        <v/>
      </c>
      <c r="L2517" s="40"/>
      <c r="M2517"/>
      <c r="N2517"/>
      <c r="O2517"/>
      <c r="P2517"/>
      <c r="Q2517"/>
      <c r="R2517"/>
      <c r="S2517"/>
      <c r="T2517"/>
      <c r="U2517"/>
      <c r="V2517"/>
      <c r="W2517" s="41"/>
      <c r="X2517" s="41"/>
      <c r="Y2517" s="41"/>
    </row>
    <row r="2518" s="27" customFormat="1" ht="23" hidden="1" customHeight="1" spans="1:25">
      <c r="A2518" s="133" t="str">
        <f>IF(B2518="","",COUNTA($B$5:B2518))</f>
        <v/>
      </c>
      <c r="B2518" s="148"/>
      <c r="C2518" s="22" t="s">
        <v>49</v>
      </c>
      <c r="D2518" s="149"/>
      <c r="E2518" s="150"/>
      <c r="F2518" s="151"/>
      <c r="G2518" s="151"/>
      <c r="H2518" s="142">
        <f>IFERROR(VLOOKUP($C2518,$C$5:$H$18,6,0)+SUMIF($C$19:$C2518,$C2518,$F$19:$F2518)-SUMIF($C$19:$C2518,$C2518,$G$19:$G2518),"")</f>
        <v>81211.819999998</v>
      </c>
      <c r="I2518" s="147"/>
      <c r="J2518" s="147"/>
      <c r="K2518" s="147" t="str">
        <f t="shared" si="39"/>
        <v/>
      </c>
      <c r="L2518" s="40"/>
      <c r="M2518"/>
      <c r="N2518"/>
      <c r="O2518"/>
      <c r="P2518"/>
      <c r="Q2518"/>
      <c r="R2518"/>
      <c r="S2518"/>
      <c r="T2518"/>
      <c r="U2518"/>
      <c r="V2518"/>
      <c r="W2518" s="41"/>
      <c r="X2518" s="41"/>
      <c r="Y2518" s="41"/>
    </row>
    <row r="2519" s="27" customFormat="1" ht="23" hidden="1" customHeight="1" spans="1:25">
      <c r="A2519" s="133" t="str">
        <f>IF(B2519="","",COUNTA($B$5:B2519))</f>
        <v/>
      </c>
      <c r="B2519" s="148"/>
      <c r="C2519" s="22" t="s">
        <v>49</v>
      </c>
      <c r="D2519" s="149"/>
      <c r="E2519" s="150"/>
      <c r="F2519" s="151"/>
      <c r="G2519" s="151"/>
      <c r="H2519" s="142">
        <f>IFERROR(VLOOKUP($C2519,$C$5:$H$18,6,0)+SUMIF($C$19:$C2519,$C2519,$F$19:$F2519)-SUMIF($C$19:$C2519,$C2519,$G$19:$G2519),"")</f>
        <v>81211.819999998</v>
      </c>
      <c r="I2519" s="147"/>
      <c r="J2519" s="147"/>
      <c r="K2519" s="147" t="str">
        <f t="shared" si="39"/>
        <v/>
      </c>
      <c r="L2519" s="40"/>
      <c r="M2519"/>
      <c r="N2519"/>
      <c r="O2519"/>
      <c r="P2519"/>
      <c r="Q2519"/>
      <c r="R2519"/>
      <c r="S2519"/>
      <c r="T2519"/>
      <c r="U2519"/>
      <c r="V2519"/>
      <c r="W2519" s="41"/>
      <c r="X2519" s="41"/>
      <c r="Y2519" s="41"/>
    </row>
    <row r="2520" s="27" customFormat="1" ht="23" hidden="1" customHeight="1" spans="1:25">
      <c r="A2520" s="133" t="str">
        <f>IF(B2520="","",COUNTA($B$5:B2520))</f>
        <v/>
      </c>
      <c r="B2520" s="148"/>
      <c r="C2520" s="22" t="s">
        <v>49</v>
      </c>
      <c r="D2520" s="149"/>
      <c r="E2520" s="150"/>
      <c r="F2520" s="151"/>
      <c r="G2520" s="151"/>
      <c r="H2520" s="142">
        <f>IFERROR(VLOOKUP($C2520,$C$5:$H$18,6,0)+SUMIF($C$19:$C2520,$C2520,$F$19:$F2520)-SUMIF($C$19:$C2520,$C2520,$G$19:$G2520),"")</f>
        <v>81211.819999998</v>
      </c>
      <c r="I2520" s="147"/>
      <c r="J2520" s="147"/>
      <c r="K2520" s="147" t="str">
        <f t="shared" si="39"/>
        <v/>
      </c>
      <c r="L2520" s="40"/>
      <c r="M2520"/>
      <c r="N2520"/>
      <c r="O2520"/>
      <c r="P2520"/>
      <c r="Q2520"/>
      <c r="R2520"/>
      <c r="S2520"/>
      <c r="T2520"/>
      <c r="U2520"/>
      <c r="V2520"/>
      <c r="W2520" s="41"/>
      <c r="X2520" s="41"/>
      <c r="Y2520" s="41"/>
    </row>
    <row r="2521" s="27" customFormat="1" ht="23" hidden="1" customHeight="1" spans="1:25">
      <c r="A2521" s="133" t="str">
        <f>IF(B2521="","",COUNTA($B$5:B2521))</f>
        <v/>
      </c>
      <c r="B2521" s="148"/>
      <c r="C2521" s="22" t="s">
        <v>49</v>
      </c>
      <c r="D2521" s="149"/>
      <c r="E2521" s="150"/>
      <c r="F2521" s="151"/>
      <c r="G2521" s="151"/>
      <c r="H2521" s="142">
        <f>IFERROR(VLOOKUP($C2521,$C$5:$H$18,6,0)+SUMIF($C$19:$C2521,$C2521,$F$19:$F2521)-SUMIF($C$19:$C2521,$C2521,$G$19:$G2521),"")</f>
        <v>81211.819999998</v>
      </c>
      <c r="I2521" s="147"/>
      <c r="J2521" s="147"/>
      <c r="K2521" s="147" t="str">
        <f t="shared" si="39"/>
        <v/>
      </c>
      <c r="L2521" s="40"/>
      <c r="M2521"/>
      <c r="N2521"/>
      <c r="O2521"/>
      <c r="P2521"/>
      <c r="Q2521"/>
      <c r="R2521"/>
      <c r="S2521"/>
      <c r="T2521"/>
      <c r="U2521"/>
      <c r="V2521"/>
      <c r="W2521" s="41"/>
      <c r="X2521" s="41"/>
      <c r="Y2521" s="41"/>
    </row>
    <row r="2522" s="27" customFormat="1" ht="23" hidden="1" customHeight="1" spans="1:25">
      <c r="A2522" s="133" t="str">
        <f>IF(B2522="","",COUNTA($B$5:B2522))</f>
        <v/>
      </c>
      <c r="B2522" s="148"/>
      <c r="C2522" s="22" t="s">
        <v>49</v>
      </c>
      <c r="D2522" s="149"/>
      <c r="E2522" s="150"/>
      <c r="F2522" s="151"/>
      <c r="G2522" s="151"/>
      <c r="H2522" s="142">
        <f>IFERROR(VLOOKUP($C2522,$C$5:$H$18,6,0)+SUMIF($C$19:$C2522,$C2522,$F$19:$F2522)-SUMIF($C$19:$C2522,$C2522,$G$19:$G2522),"")</f>
        <v>81211.819999998</v>
      </c>
      <c r="I2522" s="147"/>
      <c r="J2522" s="147"/>
      <c r="K2522" s="147" t="str">
        <f t="shared" si="39"/>
        <v/>
      </c>
      <c r="L2522" s="40"/>
      <c r="M2522"/>
      <c r="N2522"/>
      <c r="O2522"/>
      <c r="P2522"/>
      <c r="Q2522"/>
      <c r="R2522"/>
      <c r="S2522"/>
      <c r="T2522"/>
      <c r="U2522"/>
      <c r="V2522"/>
      <c r="W2522" s="41"/>
      <c r="X2522" s="41"/>
      <c r="Y2522" s="41"/>
    </row>
    <row r="2523" s="27" customFormat="1" ht="23" hidden="1" customHeight="1" spans="1:25">
      <c r="A2523" s="133" t="str">
        <f>IF(B2523="","",COUNTA($B$5:B2523))</f>
        <v/>
      </c>
      <c r="B2523" s="148"/>
      <c r="C2523" s="22" t="s">
        <v>49</v>
      </c>
      <c r="D2523" s="149"/>
      <c r="E2523" s="150"/>
      <c r="F2523" s="151"/>
      <c r="G2523" s="151"/>
      <c r="H2523" s="142">
        <f>IFERROR(VLOOKUP($C2523,$C$5:$H$18,6,0)+SUMIF($C$19:$C2523,$C2523,$F$19:$F2523)-SUMIF($C$19:$C2523,$C2523,$G$19:$G2523),"")</f>
        <v>81211.819999998</v>
      </c>
      <c r="I2523" s="147"/>
      <c r="J2523" s="147"/>
      <c r="K2523" s="147" t="str">
        <f t="shared" si="39"/>
        <v/>
      </c>
      <c r="L2523" s="40"/>
      <c r="M2523"/>
      <c r="N2523"/>
      <c r="O2523"/>
      <c r="P2523"/>
      <c r="Q2523"/>
      <c r="R2523"/>
      <c r="S2523"/>
      <c r="T2523"/>
      <c r="U2523"/>
      <c r="V2523"/>
      <c r="W2523" s="41"/>
      <c r="X2523" s="41"/>
      <c r="Y2523" s="41"/>
    </row>
    <row r="2524" s="27" customFormat="1" ht="23" hidden="1" customHeight="1" spans="1:25">
      <c r="A2524" s="133" t="str">
        <f>IF(B2524="","",COUNTA($B$5:B2524))</f>
        <v/>
      </c>
      <c r="B2524" s="148"/>
      <c r="C2524" s="22" t="s">
        <v>49</v>
      </c>
      <c r="D2524" s="149"/>
      <c r="E2524" s="150"/>
      <c r="F2524" s="151"/>
      <c r="G2524" s="151"/>
      <c r="H2524" s="142">
        <f>IFERROR(VLOOKUP($C2524,$C$5:$H$18,6,0)+SUMIF($C$19:$C2524,$C2524,$F$19:$F2524)-SUMIF($C$19:$C2524,$C2524,$G$19:$G2524),"")</f>
        <v>81211.819999998</v>
      </c>
      <c r="I2524" s="147"/>
      <c r="J2524" s="147"/>
      <c r="K2524" s="147" t="str">
        <f t="shared" si="39"/>
        <v/>
      </c>
      <c r="L2524" s="40"/>
      <c r="M2524"/>
      <c r="N2524"/>
      <c r="O2524"/>
      <c r="P2524"/>
      <c r="Q2524"/>
      <c r="R2524"/>
      <c r="S2524"/>
      <c r="T2524"/>
      <c r="U2524"/>
      <c r="V2524"/>
      <c r="W2524" s="41"/>
      <c r="X2524" s="41"/>
      <c r="Y2524" s="41"/>
    </row>
    <row r="2525" s="27" customFormat="1" ht="23" hidden="1" customHeight="1" spans="1:25">
      <c r="A2525" s="133" t="str">
        <f>IF(B2525="","",COUNTA($B$5:B2525))</f>
        <v/>
      </c>
      <c r="B2525" s="148"/>
      <c r="C2525" s="22" t="s">
        <v>49</v>
      </c>
      <c r="D2525" s="149"/>
      <c r="E2525" s="150"/>
      <c r="F2525" s="151"/>
      <c r="G2525" s="151"/>
      <c r="H2525" s="142">
        <f>IFERROR(VLOOKUP($C2525,$C$5:$H$18,6,0)+SUMIF($C$19:$C2525,$C2525,$F$19:$F2525)-SUMIF($C$19:$C2525,$C2525,$G$19:$G2525),"")</f>
        <v>81211.819999998</v>
      </c>
      <c r="I2525" s="147"/>
      <c r="J2525" s="147"/>
      <c r="K2525" s="147" t="str">
        <f t="shared" si="39"/>
        <v/>
      </c>
      <c r="L2525" s="40"/>
      <c r="M2525"/>
      <c r="N2525"/>
      <c r="O2525"/>
      <c r="P2525"/>
      <c r="Q2525"/>
      <c r="R2525"/>
      <c r="S2525"/>
      <c r="T2525"/>
      <c r="U2525"/>
      <c r="V2525"/>
      <c r="W2525" s="41"/>
      <c r="X2525" s="41"/>
      <c r="Y2525" s="41"/>
    </row>
    <row r="2526" s="27" customFormat="1" ht="23" hidden="1" customHeight="1" spans="1:25">
      <c r="A2526" s="133" t="str">
        <f>IF(B2526="","",COUNTA($B$5:B2526))</f>
        <v/>
      </c>
      <c r="B2526" s="148"/>
      <c r="C2526" s="22" t="s">
        <v>49</v>
      </c>
      <c r="D2526" s="149"/>
      <c r="E2526" s="150"/>
      <c r="F2526" s="151"/>
      <c r="G2526" s="151"/>
      <c r="H2526" s="142">
        <f>IFERROR(VLOOKUP($C2526,$C$5:$H$18,6,0)+SUMIF($C$19:$C2526,$C2526,$F$19:$F2526)-SUMIF($C$19:$C2526,$C2526,$G$19:$G2526),"")</f>
        <v>81211.819999998</v>
      </c>
      <c r="I2526" s="147"/>
      <c r="J2526" s="147"/>
      <c r="K2526" s="147" t="str">
        <f t="shared" si="39"/>
        <v/>
      </c>
      <c r="L2526" s="40"/>
      <c r="M2526"/>
      <c r="N2526"/>
      <c r="O2526"/>
      <c r="P2526"/>
      <c r="Q2526"/>
      <c r="R2526"/>
      <c r="S2526"/>
      <c r="T2526"/>
      <c r="U2526"/>
      <c r="V2526"/>
      <c r="W2526" s="41"/>
      <c r="X2526" s="41"/>
      <c r="Y2526" s="41"/>
    </row>
    <row r="2527" s="27" customFormat="1" ht="23" hidden="1" customHeight="1" spans="1:25">
      <c r="A2527" s="133" t="str">
        <f>IF(B2527="","",COUNTA($B$5:B2527))</f>
        <v/>
      </c>
      <c r="B2527" s="148"/>
      <c r="C2527" s="22" t="s">
        <v>49</v>
      </c>
      <c r="D2527" s="149"/>
      <c r="E2527" s="150"/>
      <c r="F2527" s="151"/>
      <c r="G2527" s="151"/>
      <c r="H2527" s="142">
        <f>IFERROR(VLOOKUP($C2527,$C$5:$H$18,6,0)+SUMIF($C$19:$C2527,$C2527,$F$19:$F2527)-SUMIF($C$19:$C2527,$C2527,$G$19:$G2527),"")</f>
        <v>81211.819999998</v>
      </c>
      <c r="I2527" s="147"/>
      <c r="J2527" s="147"/>
      <c r="K2527" s="147" t="str">
        <f t="shared" si="39"/>
        <v/>
      </c>
      <c r="L2527" s="40"/>
      <c r="M2527"/>
      <c r="N2527"/>
      <c r="O2527"/>
      <c r="P2527"/>
      <c r="Q2527"/>
      <c r="R2527"/>
      <c r="S2527"/>
      <c r="T2527"/>
      <c r="U2527"/>
      <c r="V2527"/>
      <c r="W2527" s="41"/>
      <c r="X2527" s="41"/>
      <c r="Y2527" s="41"/>
    </row>
    <row r="2528" s="27" customFormat="1" ht="23" hidden="1" customHeight="1" spans="1:25">
      <c r="A2528" s="133" t="str">
        <f>IF(B2528="","",COUNTA($B$5:B2528))</f>
        <v/>
      </c>
      <c r="B2528" s="148"/>
      <c r="C2528" s="22" t="s">
        <v>49</v>
      </c>
      <c r="D2528" s="149"/>
      <c r="E2528" s="150"/>
      <c r="F2528" s="151"/>
      <c r="G2528" s="151"/>
      <c r="H2528" s="142">
        <f>IFERROR(VLOOKUP($C2528,$C$5:$H$18,6,0)+SUMIF($C$19:$C2528,$C2528,$F$19:$F2528)-SUMIF($C$19:$C2528,$C2528,$G$19:$G2528),"")</f>
        <v>81211.819999998</v>
      </c>
      <c r="I2528" s="147"/>
      <c r="J2528" s="147"/>
      <c r="K2528" s="147" t="str">
        <f t="shared" si="39"/>
        <v/>
      </c>
      <c r="L2528" s="40"/>
      <c r="M2528"/>
      <c r="N2528"/>
      <c r="O2528"/>
      <c r="P2528"/>
      <c r="Q2528"/>
      <c r="R2528"/>
      <c r="S2528"/>
      <c r="T2528"/>
      <c r="U2528"/>
      <c r="V2528"/>
      <c r="W2528" s="41"/>
      <c r="X2528" s="41"/>
      <c r="Y2528" s="41"/>
    </row>
    <row r="2529" s="27" customFormat="1" ht="23" hidden="1" customHeight="1" spans="1:25">
      <c r="A2529" s="133" t="str">
        <f>IF(B2529="","",COUNTA($B$5:B2529))</f>
        <v/>
      </c>
      <c r="B2529" s="148"/>
      <c r="C2529" s="22" t="s">
        <v>49</v>
      </c>
      <c r="D2529" s="149"/>
      <c r="E2529" s="150"/>
      <c r="F2529" s="151"/>
      <c r="G2529" s="151"/>
      <c r="H2529" s="142">
        <f>IFERROR(VLOOKUP($C2529,$C$5:$H$18,6,0)+SUMIF($C$19:$C2529,$C2529,$F$19:$F2529)-SUMIF($C$19:$C2529,$C2529,$G$19:$G2529),"")</f>
        <v>81211.819999998</v>
      </c>
      <c r="I2529" s="147"/>
      <c r="J2529" s="147"/>
      <c r="K2529" s="147" t="str">
        <f t="shared" si="39"/>
        <v/>
      </c>
      <c r="L2529" s="40"/>
      <c r="M2529"/>
      <c r="N2529"/>
      <c r="O2529"/>
      <c r="P2529"/>
      <c r="Q2529"/>
      <c r="R2529"/>
      <c r="S2529"/>
      <c r="T2529"/>
      <c r="U2529"/>
      <c r="V2529"/>
      <c r="W2529" s="41"/>
      <c r="X2529" s="41"/>
      <c r="Y2529" s="41"/>
    </row>
    <row r="2530" s="27" customFormat="1" ht="23" hidden="1" customHeight="1" spans="1:25">
      <c r="A2530" s="133" t="str">
        <f>IF(B2530="","",COUNTA($B$5:B2530))</f>
        <v/>
      </c>
      <c r="B2530" s="148"/>
      <c r="C2530" s="22" t="s">
        <v>49</v>
      </c>
      <c r="D2530" s="149"/>
      <c r="E2530" s="150"/>
      <c r="F2530" s="151"/>
      <c r="G2530" s="151"/>
      <c r="H2530" s="142">
        <f>IFERROR(VLOOKUP($C2530,$C$5:$H$18,6,0)+SUMIF($C$19:$C2530,$C2530,$F$19:$F2530)-SUMIF($C$19:$C2530,$C2530,$G$19:$G2530),"")</f>
        <v>81211.819999998</v>
      </c>
      <c r="I2530" s="147"/>
      <c r="J2530" s="147"/>
      <c r="K2530" s="147" t="str">
        <f t="shared" si="39"/>
        <v/>
      </c>
      <c r="L2530" s="40"/>
      <c r="M2530"/>
      <c r="N2530"/>
      <c r="O2530"/>
      <c r="P2530"/>
      <c r="Q2530"/>
      <c r="R2530"/>
      <c r="S2530"/>
      <c r="T2530"/>
      <c r="U2530"/>
      <c r="V2530"/>
      <c r="W2530" s="41"/>
      <c r="X2530" s="41"/>
      <c r="Y2530" s="41"/>
    </row>
    <row r="2531" s="27" customFormat="1" ht="23" hidden="1" customHeight="1" spans="1:25">
      <c r="A2531" s="133" t="str">
        <f>IF(B2531="","",COUNTA($B$5:B2531))</f>
        <v/>
      </c>
      <c r="B2531" s="148"/>
      <c r="C2531" s="22" t="s">
        <v>49</v>
      </c>
      <c r="D2531" s="149"/>
      <c r="E2531" s="150"/>
      <c r="F2531" s="151"/>
      <c r="G2531" s="151"/>
      <c r="H2531" s="142">
        <f>IFERROR(VLOOKUP($C2531,$C$5:$H$18,6,0)+SUMIF($C$19:$C2531,$C2531,$F$19:$F2531)-SUMIF($C$19:$C2531,$C2531,$G$19:$G2531),"")</f>
        <v>81211.819999998</v>
      </c>
      <c r="I2531" s="147"/>
      <c r="J2531" s="147"/>
      <c r="K2531" s="147" t="str">
        <f t="shared" si="39"/>
        <v/>
      </c>
      <c r="L2531" s="40"/>
      <c r="M2531"/>
      <c r="N2531"/>
      <c r="O2531"/>
      <c r="P2531"/>
      <c r="Q2531"/>
      <c r="R2531"/>
      <c r="S2531"/>
      <c r="T2531"/>
      <c r="U2531"/>
      <c r="V2531"/>
      <c r="W2531" s="41"/>
      <c r="X2531" s="41"/>
      <c r="Y2531" s="41"/>
    </row>
    <row r="2532" s="27" customFormat="1" ht="23" hidden="1" customHeight="1" spans="1:25">
      <c r="A2532" s="133" t="str">
        <f>IF(B2532="","",COUNTA($B$5:B2532))</f>
        <v/>
      </c>
      <c r="B2532" s="148"/>
      <c r="C2532" s="22" t="s">
        <v>49</v>
      </c>
      <c r="D2532" s="149"/>
      <c r="E2532" s="150"/>
      <c r="F2532" s="151"/>
      <c r="G2532" s="151"/>
      <c r="H2532" s="142">
        <f>IFERROR(VLOOKUP($C2532,$C$5:$H$18,6,0)+SUMIF($C$19:$C2532,$C2532,$F$19:$F2532)-SUMIF($C$19:$C2532,$C2532,$G$19:$G2532),"")</f>
        <v>81211.819999998</v>
      </c>
      <c r="I2532" s="147"/>
      <c r="J2532" s="147"/>
      <c r="K2532" s="147" t="str">
        <f t="shared" si="39"/>
        <v/>
      </c>
      <c r="L2532" s="40"/>
      <c r="M2532"/>
      <c r="N2532"/>
      <c r="O2532"/>
      <c r="P2532"/>
      <c r="Q2532"/>
      <c r="R2532"/>
      <c r="S2532"/>
      <c r="T2532"/>
      <c r="U2532"/>
      <c r="V2532"/>
      <c r="W2532" s="41"/>
      <c r="X2532" s="41"/>
      <c r="Y2532" s="41"/>
    </row>
    <row r="2533" s="27" customFormat="1" ht="23" hidden="1" customHeight="1" spans="1:25">
      <c r="A2533" s="133" t="str">
        <f>IF(B2533="","",COUNTA($B$5:B2533))</f>
        <v/>
      </c>
      <c r="B2533" s="148"/>
      <c r="C2533" s="22" t="s">
        <v>49</v>
      </c>
      <c r="D2533" s="149"/>
      <c r="E2533" s="150"/>
      <c r="F2533" s="151"/>
      <c r="G2533" s="151"/>
      <c r="H2533" s="142">
        <f>IFERROR(VLOOKUP($C2533,$C$5:$H$18,6,0)+SUMIF($C$19:$C2533,$C2533,$F$19:$F2533)-SUMIF($C$19:$C2533,$C2533,$G$19:$G2533),"")</f>
        <v>81211.819999998</v>
      </c>
      <c r="I2533" s="147"/>
      <c r="J2533" s="147"/>
      <c r="K2533" s="147" t="str">
        <f t="shared" si="39"/>
        <v/>
      </c>
      <c r="L2533" s="40"/>
      <c r="M2533"/>
      <c r="N2533"/>
      <c r="O2533"/>
      <c r="P2533"/>
      <c r="Q2533"/>
      <c r="R2533"/>
      <c r="S2533"/>
      <c r="T2533"/>
      <c r="U2533"/>
      <c r="V2533"/>
      <c r="W2533" s="41"/>
      <c r="X2533" s="41"/>
      <c r="Y2533" s="41"/>
    </row>
    <row r="2534" s="27" customFormat="1" ht="23" hidden="1" customHeight="1" spans="1:25">
      <c r="A2534" s="133" t="str">
        <f>IF(B2534="","",COUNTA($B$5:B2534))</f>
        <v/>
      </c>
      <c r="B2534" s="148"/>
      <c r="C2534" s="22" t="s">
        <v>49</v>
      </c>
      <c r="D2534" s="149"/>
      <c r="E2534" s="150"/>
      <c r="F2534" s="151"/>
      <c r="G2534" s="151"/>
      <c r="H2534" s="142">
        <f>IFERROR(VLOOKUP($C2534,$C$5:$H$18,6,0)+SUMIF($C$19:$C2534,$C2534,$F$19:$F2534)-SUMIF($C$19:$C2534,$C2534,$G$19:$G2534),"")</f>
        <v>81211.819999998</v>
      </c>
      <c r="I2534" s="147"/>
      <c r="J2534" s="147"/>
      <c r="K2534" s="147" t="str">
        <f t="shared" si="39"/>
        <v/>
      </c>
      <c r="L2534" s="40"/>
      <c r="M2534"/>
      <c r="N2534"/>
      <c r="O2534"/>
      <c r="P2534"/>
      <c r="Q2534"/>
      <c r="R2534"/>
      <c r="S2534"/>
      <c r="T2534"/>
      <c r="U2534"/>
      <c r="V2534"/>
      <c r="W2534" s="41"/>
      <c r="X2534" s="41"/>
      <c r="Y2534" s="41"/>
    </row>
    <row r="2535" s="27" customFormat="1" ht="23" hidden="1" customHeight="1" spans="1:25">
      <c r="A2535" s="133" t="str">
        <f>IF(B2535="","",COUNTA($B$5:B2535))</f>
        <v/>
      </c>
      <c r="B2535" s="148"/>
      <c r="C2535" s="22" t="s">
        <v>49</v>
      </c>
      <c r="D2535" s="149"/>
      <c r="E2535" s="150"/>
      <c r="F2535" s="151"/>
      <c r="G2535" s="151"/>
      <c r="H2535" s="142">
        <f>IFERROR(VLOOKUP($C2535,$C$5:$H$18,6,0)+SUMIF($C$19:$C2535,$C2535,$F$19:$F2535)-SUMIF($C$19:$C2535,$C2535,$G$19:$G2535),"")</f>
        <v>81211.819999998</v>
      </c>
      <c r="I2535" s="147"/>
      <c r="J2535" s="147"/>
      <c r="K2535" s="147" t="str">
        <f t="shared" si="39"/>
        <v/>
      </c>
      <c r="L2535" s="40"/>
      <c r="M2535"/>
      <c r="N2535"/>
      <c r="O2535"/>
      <c r="P2535"/>
      <c r="Q2535"/>
      <c r="R2535"/>
      <c r="S2535"/>
      <c r="T2535"/>
      <c r="U2535"/>
      <c r="V2535"/>
      <c r="W2535" s="41"/>
      <c r="X2535" s="41"/>
      <c r="Y2535" s="41"/>
    </row>
    <row r="2536" s="27" customFormat="1" ht="23" hidden="1" customHeight="1" spans="1:25">
      <c r="A2536" s="133" t="str">
        <f>IF(B2536="","",COUNTA($B$5:B2536))</f>
        <v/>
      </c>
      <c r="B2536" s="148"/>
      <c r="C2536" s="22" t="s">
        <v>49</v>
      </c>
      <c r="D2536" s="149"/>
      <c r="E2536" s="150"/>
      <c r="F2536" s="151"/>
      <c r="G2536" s="151"/>
      <c r="H2536" s="142">
        <f>IFERROR(VLOOKUP($C2536,$C$5:$H$18,6,0)+SUMIF($C$19:$C2536,$C2536,$F$19:$F2536)-SUMIF($C$19:$C2536,$C2536,$G$19:$G2536),"")</f>
        <v>81211.819999998</v>
      </c>
      <c r="I2536" s="147"/>
      <c r="J2536" s="147"/>
      <c r="K2536" s="147" t="str">
        <f t="shared" si="39"/>
        <v/>
      </c>
      <c r="L2536" s="40"/>
      <c r="M2536"/>
      <c r="N2536"/>
      <c r="O2536"/>
      <c r="P2536"/>
      <c r="Q2536"/>
      <c r="R2536"/>
      <c r="S2536"/>
      <c r="T2536"/>
      <c r="U2536"/>
      <c r="V2536"/>
      <c r="W2536" s="41"/>
      <c r="X2536" s="41"/>
      <c r="Y2536" s="41"/>
    </row>
    <row r="2537" s="27" customFormat="1" ht="23" hidden="1" customHeight="1" spans="1:25">
      <c r="A2537" s="133" t="str">
        <f>IF(B2537="","",COUNTA($B$5:B2537))</f>
        <v/>
      </c>
      <c r="B2537" s="148"/>
      <c r="C2537" s="22" t="s">
        <v>49</v>
      </c>
      <c r="D2537" s="149"/>
      <c r="E2537" s="150"/>
      <c r="F2537" s="151"/>
      <c r="G2537" s="151"/>
      <c r="H2537" s="142">
        <f>IFERROR(VLOOKUP($C2537,$C$5:$H$18,6,0)+SUMIF($C$19:$C2537,$C2537,$F$19:$F2537)-SUMIF($C$19:$C2537,$C2537,$G$19:$G2537),"")</f>
        <v>81211.819999998</v>
      </c>
      <c r="I2537" s="147"/>
      <c r="J2537" s="147"/>
      <c r="K2537" s="147" t="str">
        <f t="shared" si="39"/>
        <v/>
      </c>
      <c r="L2537" s="40"/>
      <c r="M2537"/>
      <c r="N2537"/>
      <c r="O2537"/>
      <c r="P2537"/>
      <c r="Q2537"/>
      <c r="R2537"/>
      <c r="S2537"/>
      <c r="T2537"/>
      <c r="U2537"/>
      <c r="V2537"/>
      <c r="W2537" s="41"/>
      <c r="X2537" s="41"/>
      <c r="Y2537" s="41"/>
    </row>
    <row r="2538" s="27" customFormat="1" ht="23" hidden="1" customHeight="1" spans="1:25">
      <c r="A2538" s="133" t="str">
        <f>IF(B2538="","",COUNTA($B$5:B2538))</f>
        <v/>
      </c>
      <c r="B2538" s="148"/>
      <c r="C2538" s="22" t="s">
        <v>49</v>
      </c>
      <c r="D2538" s="149"/>
      <c r="E2538" s="150"/>
      <c r="F2538" s="151"/>
      <c r="G2538" s="151"/>
      <c r="H2538" s="142">
        <f>IFERROR(VLOOKUP($C2538,$C$5:$H$18,6,0)+SUMIF($C$19:$C2538,$C2538,$F$19:$F2538)-SUMIF($C$19:$C2538,$C2538,$G$19:$G2538),"")</f>
        <v>81211.819999998</v>
      </c>
      <c r="I2538" s="147"/>
      <c r="J2538" s="147"/>
      <c r="K2538" s="147" t="str">
        <f t="shared" si="39"/>
        <v/>
      </c>
      <c r="L2538" s="40"/>
      <c r="M2538"/>
      <c r="N2538"/>
      <c r="O2538"/>
      <c r="P2538"/>
      <c r="Q2538"/>
      <c r="R2538"/>
      <c r="S2538"/>
      <c r="T2538"/>
      <c r="U2538"/>
      <c r="V2538"/>
      <c r="W2538" s="41"/>
      <c r="X2538" s="41"/>
      <c r="Y2538" s="41"/>
    </row>
    <row r="2539" s="27" customFormat="1" ht="23" hidden="1" customHeight="1" spans="1:25">
      <c r="A2539" s="133" t="str">
        <f>IF(B2539="","",COUNTA($B$5:B2539))</f>
        <v/>
      </c>
      <c r="B2539" s="148"/>
      <c r="C2539" s="22" t="s">
        <v>49</v>
      </c>
      <c r="D2539" s="149"/>
      <c r="E2539" s="150"/>
      <c r="F2539" s="151"/>
      <c r="G2539" s="151"/>
      <c r="H2539" s="142">
        <f>IFERROR(VLOOKUP($C2539,$C$5:$H$18,6,0)+SUMIF($C$19:$C2539,$C2539,$F$19:$F2539)-SUMIF($C$19:$C2539,$C2539,$G$19:$G2539),"")</f>
        <v>81211.819999998</v>
      </c>
      <c r="I2539" s="147"/>
      <c r="J2539" s="147"/>
      <c r="K2539" s="147" t="str">
        <f t="shared" si="39"/>
        <v/>
      </c>
      <c r="L2539" s="40"/>
      <c r="M2539"/>
      <c r="N2539"/>
      <c r="O2539"/>
      <c r="P2539"/>
      <c r="Q2539"/>
      <c r="R2539"/>
      <c r="S2539"/>
      <c r="T2539"/>
      <c r="U2539"/>
      <c r="V2539"/>
      <c r="W2539" s="41"/>
      <c r="X2539" s="41"/>
      <c r="Y2539" s="41"/>
    </row>
    <row r="2540" s="27" customFormat="1" ht="23" hidden="1" customHeight="1" spans="1:25">
      <c r="A2540" s="133" t="str">
        <f>IF(B2540="","",COUNTA($B$5:B2540))</f>
        <v/>
      </c>
      <c r="B2540" s="148"/>
      <c r="C2540" s="22" t="s">
        <v>49</v>
      </c>
      <c r="D2540" s="149"/>
      <c r="E2540" s="150"/>
      <c r="F2540" s="151"/>
      <c r="G2540" s="151"/>
      <c r="H2540" s="142">
        <f>IFERROR(VLOOKUP($C2540,$C$5:$H$18,6,0)+SUMIF($C$19:$C2540,$C2540,$F$19:$F2540)-SUMIF($C$19:$C2540,$C2540,$G$19:$G2540),"")</f>
        <v>81211.819999998</v>
      </c>
      <c r="I2540" s="147"/>
      <c r="J2540" s="147"/>
      <c r="K2540" s="147" t="str">
        <f t="shared" si="39"/>
        <v/>
      </c>
      <c r="L2540" s="40"/>
      <c r="M2540"/>
      <c r="N2540"/>
      <c r="O2540"/>
      <c r="P2540"/>
      <c r="Q2540"/>
      <c r="R2540"/>
      <c r="S2540"/>
      <c r="T2540"/>
      <c r="U2540"/>
      <c r="V2540"/>
      <c r="W2540" s="41"/>
      <c r="X2540" s="41"/>
      <c r="Y2540" s="41"/>
    </row>
    <row r="2541" s="27" customFormat="1" ht="23" hidden="1" customHeight="1" spans="1:25">
      <c r="A2541" s="133" t="str">
        <f>IF(B2541="","",COUNTA($B$5:B2541))</f>
        <v/>
      </c>
      <c r="B2541" s="148"/>
      <c r="C2541" s="22" t="s">
        <v>49</v>
      </c>
      <c r="D2541" s="149"/>
      <c r="E2541" s="150"/>
      <c r="F2541" s="151"/>
      <c r="G2541" s="151"/>
      <c r="H2541" s="142">
        <f>IFERROR(VLOOKUP($C2541,$C$5:$H$18,6,0)+SUMIF($C$19:$C2541,$C2541,$F$19:$F2541)-SUMIF($C$19:$C2541,$C2541,$G$19:$G2541),"")</f>
        <v>81211.819999998</v>
      </c>
      <c r="I2541" s="147"/>
      <c r="J2541" s="147"/>
      <c r="K2541" s="147" t="str">
        <f t="shared" si="39"/>
        <v/>
      </c>
      <c r="L2541" s="40"/>
      <c r="M2541"/>
      <c r="N2541"/>
      <c r="O2541"/>
      <c r="P2541"/>
      <c r="Q2541"/>
      <c r="R2541"/>
      <c r="S2541"/>
      <c r="T2541"/>
      <c r="U2541"/>
      <c r="V2541"/>
      <c r="W2541" s="41"/>
      <c r="X2541" s="41"/>
      <c r="Y2541" s="41"/>
    </row>
    <row r="2542" s="27" customFormat="1" ht="23" hidden="1" customHeight="1" spans="1:25">
      <c r="A2542" s="133" t="str">
        <f>IF(B2542="","",COUNTA($B$5:B2542))</f>
        <v/>
      </c>
      <c r="B2542" s="148"/>
      <c r="C2542" s="22" t="s">
        <v>49</v>
      </c>
      <c r="D2542" s="149"/>
      <c r="E2542" s="150"/>
      <c r="F2542" s="151"/>
      <c r="G2542" s="151"/>
      <c r="H2542" s="142">
        <f>IFERROR(VLOOKUP($C2542,$C$5:$H$18,6,0)+SUMIF($C$19:$C2542,$C2542,$F$19:$F2542)-SUMIF($C$19:$C2542,$C2542,$G$19:$G2542),"")</f>
        <v>81211.819999998</v>
      </c>
      <c r="I2542" s="147"/>
      <c r="J2542" s="147"/>
      <c r="K2542" s="147" t="str">
        <f t="shared" si="39"/>
        <v/>
      </c>
      <c r="L2542" s="40"/>
      <c r="M2542"/>
      <c r="N2542"/>
      <c r="O2542"/>
      <c r="P2542"/>
      <c r="Q2542"/>
      <c r="R2542"/>
      <c r="S2542"/>
      <c r="T2542"/>
      <c r="U2542"/>
      <c r="V2542"/>
      <c r="W2542" s="41"/>
      <c r="X2542" s="41"/>
      <c r="Y2542" s="41"/>
    </row>
    <row r="2543" s="27" customFormat="1" ht="23" hidden="1" customHeight="1" spans="1:25">
      <c r="A2543" s="133" t="str">
        <f>IF(B2543="","",COUNTA($B$5:B2543))</f>
        <v/>
      </c>
      <c r="B2543" s="148"/>
      <c r="C2543" s="22" t="s">
        <v>49</v>
      </c>
      <c r="D2543" s="149"/>
      <c r="E2543" s="150"/>
      <c r="F2543" s="151"/>
      <c r="G2543" s="151"/>
      <c r="H2543" s="142">
        <f>IFERROR(VLOOKUP($C2543,$C$5:$H$18,6,0)+SUMIF($C$19:$C2543,$C2543,$F$19:$F2543)-SUMIF($C$19:$C2543,$C2543,$G$19:$G2543),"")</f>
        <v>81211.819999998</v>
      </c>
      <c r="I2543" s="147"/>
      <c r="J2543" s="147"/>
      <c r="K2543" s="147" t="str">
        <f t="shared" si="39"/>
        <v/>
      </c>
      <c r="L2543" s="40"/>
      <c r="M2543"/>
      <c r="N2543"/>
      <c r="O2543"/>
      <c r="P2543"/>
      <c r="Q2543"/>
      <c r="R2543"/>
      <c r="S2543"/>
      <c r="T2543"/>
      <c r="U2543"/>
      <c r="V2543"/>
      <c r="W2543" s="41"/>
      <c r="X2543" s="41"/>
      <c r="Y2543" s="41"/>
    </row>
    <row r="2544" s="27" customFormat="1" ht="23" hidden="1" customHeight="1" spans="1:25">
      <c r="A2544" s="133" t="str">
        <f>IF(B2544="","",COUNTA($B$5:B2544))</f>
        <v/>
      </c>
      <c r="B2544" s="148"/>
      <c r="C2544" s="22" t="s">
        <v>49</v>
      </c>
      <c r="D2544" s="149"/>
      <c r="E2544" s="150"/>
      <c r="F2544" s="151"/>
      <c r="G2544" s="151"/>
      <c r="H2544" s="142">
        <f>IFERROR(VLOOKUP($C2544,$C$5:$H$18,6,0)+SUMIF($C$19:$C2544,$C2544,$F$19:$F2544)-SUMIF($C$19:$C2544,$C2544,$G$19:$G2544),"")</f>
        <v>81211.819999998</v>
      </c>
      <c r="I2544" s="147"/>
      <c r="J2544" s="147"/>
      <c r="K2544" s="147" t="str">
        <f t="shared" si="39"/>
        <v/>
      </c>
      <c r="L2544" s="40"/>
      <c r="M2544"/>
      <c r="N2544"/>
      <c r="O2544"/>
      <c r="P2544"/>
      <c r="Q2544"/>
      <c r="R2544"/>
      <c r="S2544"/>
      <c r="T2544"/>
      <c r="U2544"/>
      <c r="V2544"/>
      <c r="W2544" s="41"/>
      <c r="X2544" s="41"/>
      <c r="Y2544" s="41"/>
    </row>
    <row r="2545" s="27" customFormat="1" ht="23" hidden="1" customHeight="1" spans="1:25">
      <c r="A2545" s="133" t="str">
        <f>IF(B2545="","",COUNTA($B$5:B2545))</f>
        <v/>
      </c>
      <c r="B2545" s="148"/>
      <c r="C2545" s="22" t="s">
        <v>49</v>
      </c>
      <c r="D2545" s="149"/>
      <c r="E2545" s="150"/>
      <c r="F2545" s="151"/>
      <c r="G2545" s="151"/>
      <c r="H2545" s="142">
        <f>IFERROR(VLOOKUP($C2545,$C$5:$H$18,6,0)+SUMIF($C$19:$C2545,$C2545,$F$19:$F2545)-SUMIF($C$19:$C2545,$C2545,$G$19:$G2545),"")</f>
        <v>81211.819999998</v>
      </c>
      <c r="I2545" s="147"/>
      <c r="J2545" s="147"/>
      <c r="K2545" s="147" t="str">
        <f t="shared" si="39"/>
        <v/>
      </c>
      <c r="L2545" s="40"/>
      <c r="M2545"/>
      <c r="N2545"/>
      <c r="O2545"/>
      <c r="P2545"/>
      <c r="Q2545"/>
      <c r="R2545"/>
      <c r="S2545"/>
      <c r="T2545"/>
      <c r="U2545"/>
      <c r="V2545"/>
      <c r="W2545" s="41"/>
      <c r="X2545" s="41"/>
      <c r="Y2545" s="41"/>
    </row>
    <row r="2546" s="27" customFormat="1" ht="23" hidden="1" customHeight="1" spans="1:25">
      <c r="A2546" s="133" t="str">
        <f>IF(B2546="","",COUNTA($B$5:B2546))</f>
        <v/>
      </c>
      <c r="B2546" s="148"/>
      <c r="C2546" s="22" t="s">
        <v>49</v>
      </c>
      <c r="D2546" s="149"/>
      <c r="E2546" s="150"/>
      <c r="F2546" s="151"/>
      <c r="G2546" s="151"/>
      <c r="H2546" s="142">
        <f>IFERROR(VLOOKUP($C2546,$C$5:$H$18,6,0)+SUMIF($C$19:$C2546,$C2546,$F$19:$F2546)-SUMIF($C$19:$C2546,$C2546,$G$19:$G2546),"")</f>
        <v>81211.819999998</v>
      </c>
      <c r="I2546" s="147"/>
      <c r="J2546" s="147"/>
      <c r="K2546" s="147" t="str">
        <f t="shared" si="39"/>
        <v/>
      </c>
      <c r="L2546" s="40"/>
      <c r="M2546"/>
      <c r="N2546"/>
      <c r="O2546"/>
      <c r="P2546"/>
      <c r="Q2546"/>
      <c r="R2546"/>
      <c r="S2546"/>
      <c r="T2546"/>
      <c r="U2546"/>
      <c r="V2546"/>
      <c r="W2546" s="41"/>
      <c r="X2546" s="41"/>
      <c r="Y2546" s="41"/>
    </row>
    <row r="2547" s="27" customFormat="1" ht="23" hidden="1" customHeight="1" spans="1:25">
      <c r="A2547" s="133" t="str">
        <f>IF(B2547="","",COUNTA($B$5:B2547))</f>
        <v/>
      </c>
      <c r="B2547" s="148"/>
      <c r="C2547" s="22" t="s">
        <v>49</v>
      </c>
      <c r="D2547" s="149"/>
      <c r="E2547" s="150"/>
      <c r="F2547" s="151"/>
      <c r="G2547" s="151"/>
      <c r="H2547" s="142">
        <f>IFERROR(VLOOKUP($C2547,$C$5:$H$18,6,0)+SUMIF($C$19:$C2547,$C2547,$F$19:$F2547)-SUMIF($C$19:$C2547,$C2547,$G$19:$G2547),"")</f>
        <v>81211.819999998</v>
      </c>
      <c r="I2547" s="147"/>
      <c r="J2547" s="147"/>
      <c r="K2547" s="147" t="str">
        <f t="shared" si="39"/>
        <v/>
      </c>
      <c r="L2547" s="40"/>
      <c r="M2547"/>
      <c r="N2547"/>
      <c r="O2547"/>
      <c r="P2547"/>
      <c r="Q2547"/>
      <c r="R2547"/>
      <c r="S2547"/>
      <c r="T2547"/>
      <c r="U2547"/>
      <c r="V2547"/>
      <c r="W2547" s="41"/>
      <c r="X2547" s="41"/>
      <c r="Y2547" s="41"/>
    </row>
    <row r="2548" s="27" customFormat="1" ht="23" hidden="1" customHeight="1" spans="1:25">
      <c r="A2548" s="133" t="str">
        <f>IF(B2548="","",COUNTA($B$5:B2548))</f>
        <v/>
      </c>
      <c r="B2548" s="148"/>
      <c r="C2548" s="22" t="s">
        <v>49</v>
      </c>
      <c r="D2548" s="149"/>
      <c r="E2548" s="150"/>
      <c r="F2548" s="151"/>
      <c r="G2548" s="151"/>
      <c r="H2548" s="142">
        <f>IFERROR(VLOOKUP($C2548,$C$5:$H$18,6,0)+SUMIF($C$19:$C2548,$C2548,$F$19:$F2548)-SUMIF($C$19:$C2548,$C2548,$G$19:$G2548),"")</f>
        <v>81211.819999998</v>
      </c>
      <c r="I2548" s="147"/>
      <c r="J2548" s="147"/>
      <c r="K2548" s="147" t="str">
        <f t="shared" si="39"/>
        <v/>
      </c>
      <c r="L2548" s="40"/>
      <c r="M2548"/>
      <c r="N2548"/>
      <c r="O2548"/>
      <c r="P2548"/>
      <c r="Q2548"/>
      <c r="R2548"/>
      <c r="S2548"/>
      <c r="T2548"/>
      <c r="U2548"/>
      <c r="V2548"/>
      <c r="W2548" s="41"/>
      <c r="X2548" s="41"/>
      <c r="Y2548" s="41"/>
    </row>
    <row r="2549" s="27" customFormat="1" ht="23" hidden="1" customHeight="1" spans="1:25">
      <c r="A2549" s="133" t="str">
        <f>IF(B2549="","",COUNTA($B$5:B2549))</f>
        <v/>
      </c>
      <c r="B2549" s="148"/>
      <c r="C2549" s="22" t="s">
        <v>49</v>
      </c>
      <c r="D2549" s="149"/>
      <c r="E2549" s="150"/>
      <c r="F2549" s="151"/>
      <c r="G2549" s="151"/>
      <c r="H2549" s="142">
        <f>IFERROR(VLOOKUP($C2549,$C$5:$H$18,6,0)+SUMIF($C$19:$C2549,$C2549,$F$19:$F2549)-SUMIF($C$19:$C2549,$C2549,$G$19:$G2549),"")</f>
        <v>81211.819999998</v>
      </c>
      <c r="I2549" s="147"/>
      <c r="J2549" s="147"/>
      <c r="K2549" s="147" t="str">
        <f t="shared" si="39"/>
        <v/>
      </c>
      <c r="L2549" s="40"/>
      <c r="M2549"/>
      <c r="N2549"/>
      <c r="O2549"/>
      <c r="P2549"/>
      <c r="Q2549"/>
      <c r="R2549"/>
      <c r="S2549"/>
      <c r="T2549"/>
      <c r="U2549"/>
      <c r="V2549"/>
      <c r="W2549" s="41"/>
      <c r="X2549" s="41"/>
      <c r="Y2549" s="41"/>
    </row>
    <row r="2550" s="27" customFormat="1" ht="23" hidden="1" customHeight="1" spans="1:25">
      <c r="A2550" s="133" t="str">
        <f>IF(B2550="","",COUNTA($B$5:B2550))</f>
        <v/>
      </c>
      <c r="B2550" s="148"/>
      <c r="C2550" s="22" t="s">
        <v>49</v>
      </c>
      <c r="D2550" s="149"/>
      <c r="E2550" s="150"/>
      <c r="F2550" s="151"/>
      <c r="G2550" s="151"/>
      <c r="H2550" s="142">
        <f>IFERROR(VLOOKUP($C2550,$C$5:$H$18,6,0)+SUMIF($C$19:$C2550,$C2550,$F$19:$F2550)-SUMIF($C$19:$C2550,$C2550,$G$19:$G2550),"")</f>
        <v>81211.819999998</v>
      </c>
      <c r="I2550" s="147"/>
      <c r="J2550" s="147"/>
      <c r="K2550" s="147" t="str">
        <f t="shared" si="39"/>
        <v/>
      </c>
      <c r="L2550" s="40"/>
      <c r="M2550"/>
      <c r="N2550"/>
      <c r="O2550"/>
      <c r="P2550"/>
      <c r="Q2550"/>
      <c r="R2550"/>
      <c r="S2550"/>
      <c r="T2550"/>
      <c r="U2550"/>
      <c r="V2550"/>
      <c r="W2550" s="41"/>
      <c r="X2550" s="41"/>
      <c r="Y2550" s="41"/>
    </row>
    <row r="2551" s="27" customFormat="1" ht="23" hidden="1" customHeight="1" spans="1:25">
      <c r="A2551" s="133" t="str">
        <f>IF(B2551="","",COUNTA($B$5:B2551))</f>
        <v/>
      </c>
      <c r="B2551" s="148"/>
      <c r="C2551" s="22" t="s">
        <v>49</v>
      </c>
      <c r="D2551" s="149"/>
      <c r="E2551" s="150"/>
      <c r="F2551" s="151"/>
      <c r="G2551" s="151"/>
      <c r="H2551" s="142">
        <f>IFERROR(VLOOKUP($C2551,$C$5:$H$18,6,0)+SUMIF($C$19:$C2551,$C2551,$F$19:$F2551)-SUMIF($C$19:$C2551,$C2551,$G$19:$G2551),"")</f>
        <v>81211.819999998</v>
      </c>
      <c r="I2551" s="147"/>
      <c r="J2551" s="147"/>
      <c r="K2551" s="147" t="str">
        <f t="shared" si="39"/>
        <v/>
      </c>
      <c r="L2551" s="40"/>
      <c r="M2551"/>
      <c r="N2551"/>
      <c r="O2551"/>
      <c r="P2551"/>
      <c r="Q2551"/>
      <c r="R2551"/>
      <c r="S2551"/>
      <c r="T2551"/>
      <c r="U2551"/>
      <c r="V2551"/>
      <c r="W2551" s="41"/>
      <c r="X2551" s="41"/>
      <c r="Y2551" s="41"/>
    </row>
    <row r="2552" s="27" customFormat="1" ht="23" hidden="1" customHeight="1" spans="1:25">
      <c r="A2552" s="133" t="str">
        <f>IF(B2552="","",COUNTA($B$5:B2552))</f>
        <v/>
      </c>
      <c r="B2552" s="148"/>
      <c r="C2552" s="22" t="s">
        <v>49</v>
      </c>
      <c r="D2552" s="149"/>
      <c r="E2552" s="150"/>
      <c r="F2552" s="151"/>
      <c r="G2552" s="151"/>
      <c r="H2552" s="142">
        <f>IFERROR(VLOOKUP($C2552,$C$5:$H$18,6,0)+SUMIF($C$19:$C2552,$C2552,$F$19:$F2552)-SUMIF($C$19:$C2552,$C2552,$G$19:$G2552),"")</f>
        <v>81211.819999998</v>
      </c>
      <c r="I2552" s="147"/>
      <c r="J2552" s="147"/>
      <c r="K2552" s="147" t="str">
        <f t="shared" si="39"/>
        <v/>
      </c>
      <c r="L2552" s="40"/>
      <c r="M2552"/>
      <c r="N2552"/>
      <c r="O2552"/>
      <c r="P2552"/>
      <c r="Q2552"/>
      <c r="R2552"/>
      <c r="S2552"/>
      <c r="T2552"/>
      <c r="U2552"/>
      <c r="V2552"/>
      <c r="W2552" s="41"/>
      <c r="X2552" s="41"/>
      <c r="Y2552" s="41"/>
    </row>
    <row r="2553" s="27" customFormat="1" ht="23" hidden="1" customHeight="1" spans="1:25">
      <c r="A2553" s="133" t="str">
        <f>IF(B2553="","",COUNTA($B$5:B2553))</f>
        <v/>
      </c>
      <c r="B2553" s="148"/>
      <c r="C2553" s="22" t="s">
        <v>49</v>
      </c>
      <c r="D2553" s="149"/>
      <c r="E2553" s="150"/>
      <c r="F2553" s="151"/>
      <c r="G2553" s="151"/>
      <c r="H2553" s="142">
        <f>IFERROR(VLOOKUP($C2553,$C$5:$H$18,6,0)+SUMIF($C$19:$C2553,$C2553,$F$19:$F2553)-SUMIF($C$19:$C2553,$C2553,$G$19:$G2553),"")</f>
        <v>81211.819999998</v>
      </c>
      <c r="I2553" s="147"/>
      <c r="J2553" s="147"/>
      <c r="K2553" s="147" t="str">
        <f t="shared" si="39"/>
        <v/>
      </c>
      <c r="L2553" s="40"/>
      <c r="M2553"/>
      <c r="N2553"/>
      <c r="O2553"/>
      <c r="P2553"/>
      <c r="Q2553"/>
      <c r="R2553"/>
      <c r="S2553"/>
      <c r="T2553"/>
      <c r="U2553"/>
      <c r="V2553"/>
      <c r="W2553" s="41"/>
      <c r="X2553" s="41"/>
      <c r="Y2553" s="41"/>
    </row>
    <row r="2554" s="27" customFormat="1" ht="23" hidden="1" customHeight="1" spans="1:25">
      <c r="A2554" s="133" t="str">
        <f>IF(B2554="","",COUNTA($B$5:B2554))</f>
        <v/>
      </c>
      <c r="B2554" s="148"/>
      <c r="C2554" s="22" t="s">
        <v>49</v>
      </c>
      <c r="D2554" s="149"/>
      <c r="E2554" s="150"/>
      <c r="F2554" s="151"/>
      <c r="G2554" s="151"/>
      <c r="H2554" s="142">
        <f>IFERROR(VLOOKUP($C2554,$C$5:$H$18,6,0)+SUMIF($C$19:$C2554,$C2554,$F$19:$F2554)-SUMIF($C$19:$C2554,$C2554,$G$19:$G2554),"")</f>
        <v>81211.819999998</v>
      </c>
      <c r="I2554" s="147"/>
      <c r="J2554" s="147"/>
      <c r="K2554" s="147" t="str">
        <f t="shared" si="39"/>
        <v/>
      </c>
      <c r="L2554" s="40"/>
      <c r="M2554"/>
      <c r="N2554"/>
      <c r="O2554"/>
      <c r="P2554"/>
      <c r="Q2554"/>
      <c r="R2554"/>
      <c r="S2554"/>
      <c r="T2554"/>
      <c r="U2554"/>
      <c r="V2554"/>
      <c r="W2554" s="41"/>
      <c r="X2554" s="41"/>
      <c r="Y2554" s="41"/>
    </row>
    <row r="2555" s="27" customFormat="1" ht="23" hidden="1" customHeight="1" spans="1:25">
      <c r="A2555" s="133" t="str">
        <f>IF(B2555="","",COUNTA($B$5:B2555))</f>
        <v/>
      </c>
      <c r="B2555" s="148"/>
      <c r="C2555" s="22" t="s">
        <v>49</v>
      </c>
      <c r="D2555" s="149"/>
      <c r="E2555" s="150"/>
      <c r="F2555" s="151"/>
      <c r="G2555" s="151"/>
      <c r="H2555" s="142">
        <f>IFERROR(VLOOKUP($C2555,$C$5:$H$18,6,0)+SUMIF($C$19:$C2555,$C2555,$F$19:$F2555)-SUMIF($C$19:$C2555,$C2555,$G$19:$G2555),"")</f>
        <v>81211.819999998</v>
      </c>
      <c r="I2555" s="147"/>
      <c r="J2555" s="147"/>
      <c r="K2555" s="147" t="str">
        <f t="shared" si="39"/>
        <v/>
      </c>
      <c r="L2555" s="40"/>
      <c r="M2555"/>
      <c r="N2555"/>
      <c r="O2555"/>
      <c r="P2555"/>
      <c r="Q2555"/>
      <c r="R2555"/>
      <c r="S2555"/>
      <c r="T2555"/>
      <c r="U2555"/>
      <c r="V2555"/>
      <c r="W2555" s="41"/>
      <c r="X2555" s="41"/>
      <c r="Y2555" s="41"/>
    </row>
    <row r="2556" s="27" customFormat="1" ht="23" hidden="1" customHeight="1" spans="1:25">
      <c r="A2556" s="133" t="str">
        <f>IF(B2556="","",COUNTA($B$5:B2556))</f>
        <v/>
      </c>
      <c r="B2556" s="148"/>
      <c r="C2556" s="22" t="s">
        <v>49</v>
      </c>
      <c r="D2556" s="149"/>
      <c r="E2556" s="150"/>
      <c r="F2556" s="151"/>
      <c r="G2556" s="151"/>
      <c r="H2556" s="142">
        <f>IFERROR(VLOOKUP($C2556,$C$5:$H$18,6,0)+SUMIF($C$19:$C2556,$C2556,$F$19:$F2556)-SUMIF($C$19:$C2556,$C2556,$G$19:$G2556),"")</f>
        <v>81211.819999998</v>
      </c>
      <c r="I2556" s="147"/>
      <c r="J2556" s="147"/>
      <c r="K2556" s="147" t="str">
        <f t="shared" si="39"/>
        <v/>
      </c>
      <c r="L2556" s="40"/>
      <c r="M2556"/>
      <c r="N2556"/>
      <c r="O2556"/>
      <c r="P2556"/>
      <c r="Q2556"/>
      <c r="R2556"/>
      <c r="S2556"/>
      <c r="T2556"/>
      <c r="U2556"/>
      <c r="V2556"/>
      <c r="W2556" s="41"/>
      <c r="X2556" s="41"/>
      <c r="Y2556" s="41"/>
    </row>
    <row r="2557" s="27" customFormat="1" ht="23" hidden="1" customHeight="1" spans="1:25">
      <c r="A2557" s="133" t="str">
        <f>IF(B2557="","",COUNTA($B$5:B2557))</f>
        <v/>
      </c>
      <c r="B2557" s="148"/>
      <c r="C2557" s="22" t="s">
        <v>49</v>
      </c>
      <c r="D2557" s="149"/>
      <c r="E2557" s="150"/>
      <c r="F2557" s="151"/>
      <c r="G2557" s="151"/>
      <c r="H2557" s="142">
        <f>IFERROR(VLOOKUP($C2557,$C$5:$H$18,6,0)+SUMIF($C$19:$C2557,$C2557,$F$19:$F2557)-SUMIF($C$19:$C2557,$C2557,$G$19:$G2557),"")</f>
        <v>81211.819999998</v>
      </c>
      <c r="I2557" s="147"/>
      <c r="J2557" s="147"/>
      <c r="K2557" s="147" t="str">
        <f t="shared" si="39"/>
        <v/>
      </c>
      <c r="L2557" s="40"/>
      <c r="M2557"/>
      <c r="N2557"/>
      <c r="O2557"/>
      <c r="P2557"/>
      <c r="Q2557"/>
      <c r="R2557"/>
      <c r="S2557"/>
      <c r="T2557"/>
      <c r="U2557"/>
      <c r="V2557"/>
      <c r="W2557" s="41"/>
      <c r="X2557" s="41"/>
      <c r="Y2557" s="41"/>
    </row>
    <row r="2558" s="27" customFormat="1" ht="23" hidden="1" customHeight="1" spans="1:25">
      <c r="A2558" s="133" t="str">
        <f>IF(B2558="","",COUNTA($B$5:B2558))</f>
        <v/>
      </c>
      <c r="B2558" s="148"/>
      <c r="C2558" s="22" t="s">
        <v>49</v>
      </c>
      <c r="D2558" s="149"/>
      <c r="E2558" s="150"/>
      <c r="F2558" s="151"/>
      <c r="G2558" s="151"/>
      <c r="H2558" s="142">
        <f>IFERROR(VLOOKUP($C2558,$C$5:$H$18,6,0)+SUMIF($C$19:$C2558,$C2558,$F$19:$F2558)-SUMIF($C$19:$C2558,$C2558,$G$19:$G2558),"")</f>
        <v>81211.819999998</v>
      </c>
      <c r="I2558" s="147"/>
      <c r="J2558" s="147"/>
      <c r="K2558" s="147" t="str">
        <f t="shared" si="39"/>
        <v/>
      </c>
      <c r="L2558" s="40"/>
      <c r="M2558"/>
      <c r="N2558"/>
      <c r="O2558"/>
      <c r="P2558"/>
      <c r="Q2558"/>
      <c r="R2558"/>
      <c r="S2558"/>
      <c r="T2558"/>
      <c r="U2558"/>
      <c r="V2558"/>
      <c r="W2558" s="41"/>
      <c r="X2558" s="41"/>
      <c r="Y2558" s="41"/>
    </row>
    <row r="2559" s="27" customFormat="1" ht="23" hidden="1" customHeight="1" spans="1:25">
      <c r="A2559" s="133" t="str">
        <f>IF(B2559="","",COUNTA($B$5:B2559))</f>
        <v/>
      </c>
      <c r="B2559" s="148"/>
      <c r="C2559" s="22" t="s">
        <v>49</v>
      </c>
      <c r="D2559" s="149"/>
      <c r="E2559" s="150"/>
      <c r="F2559" s="151"/>
      <c r="G2559" s="151"/>
      <c r="H2559" s="142">
        <f>IFERROR(VLOOKUP($C2559,$C$5:$H$18,6,0)+SUMIF($C$19:$C2559,$C2559,$F$19:$F2559)-SUMIF($C$19:$C2559,$C2559,$G$19:$G2559),"")</f>
        <v>81211.819999998</v>
      </c>
      <c r="I2559" s="147"/>
      <c r="J2559" s="147"/>
      <c r="K2559" s="147" t="str">
        <f t="shared" si="39"/>
        <v/>
      </c>
      <c r="L2559" s="40"/>
      <c r="M2559"/>
      <c r="N2559"/>
      <c r="O2559"/>
      <c r="P2559"/>
      <c r="Q2559"/>
      <c r="R2559"/>
      <c r="S2559"/>
      <c r="T2559"/>
      <c r="U2559"/>
      <c r="V2559"/>
      <c r="W2559" s="41"/>
      <c r="X2559" s="41"/>
      <c r="Y2559" s="41"/>
    </row>
    <row r="2560" s="27" customFormat="1" ht="23" hidden="1" customHeight="1" spans="1:25">
      <c r="A2560" s="133" t="str">
        <f>IF(B2560="","",COUNTA($B$5:B2560))</f>
        <v/>
      </c>
      <c r="B2560" s="148"/>
      <c r="C2560" s="22" t="s">
        <v>49</v>
      </c>
      <c r="D2560" s="149"/>
      <c r="E2560" s="150"/>
      <c r="F2560" s="151"/>
      <c r="G2560" s="151"/>
      <c r="H2560" s="142">
        <f>IFERROR(VLOOKUP($C2560,$C$5:$H$18,6,0)+SUMIF($C$19:$C2560,$C2560,$F$19:$F2560)-SUMIF($C$19:$C2560,$C2560,$G$19:$G2560),"")</f>
        <v>81211.819999998</v>
      </c>
      <c r="I2560" s="147"/>
      <c r="J2560" s="147"/>
      <c r="K2560" s="147" t="str">
        <f t="shared" si="39"/>
        <v/>
      </c>
      <c r="L2560" s="40"/>
      <c r="M2560"/>
      <c r="N2560"/>
      <c r="O2560"/>
      <c r="P2560"/>
      <c r="Q2560"/>
      <c r="R2560"/>
      <c r="S2560"/>
      <c r="T2560"/>
      <c r="U2560"/>
      <c r="V2560"/>
      <c r="W2560" s="41"/>
      <c r="X2560" s="41"/>
      <c r="Y2560" s="41"/>
    </row>
    <row r="2561" s="27" customFormat="1" ht="23" hidden="1" customHeight="1" spans="1:25">
      <c r="A2561" s="133" t="str">
        <f>IF(B2561="","",COUNTA($B$5:B2561))</f>
        <v/>
      </c>
      <c r="B2561" s="148"/>
      <c r="C2561" s="22" t="s">
        <v>49</v>
      </c>
      <c r="D2561" s="149"/>
      <c r="E2561" s="150"/>
      <c r="F2561" s="151"/>
      <c r="G2561" s="151"/>
      <c r="H2561" s="142">
        <f>IFERROR(VLOOKUP($C2561,$C$5:$H$18,6,0)+SUMIF($C$19:$C2561,$C2561,$F$19:$F2561)-SUMIF($C$19:$C2561,$C2561,$G$19:$G2561),"")</f>
        <v>81211.819999998</v>
      </c>
      <c r="I2561" s="147"/>
      <c r="J2561" s="147"/>
      <c r="K2561" s="147" t="str">
        <f t="shared" si="39"/>
        <v/>
      </c>
      <c r="L2561" s="40"/>
      <c r="M2561"/>
      <c r="N2561"/>
      <c r="O2561"/>
      <c r="P2561"/>
      <c r="Q2561"/>
      <c r="R2561"/>
      <c r="S2561"/>
      <c r="T2561"/>
      <c r="U2561"/>
      <c r="V2561"/>
      <c r="W2561" s="41"/>
      <c r="X2561" s="41"/>
      <c r="Y2561" s="41"/>
    </row>
    <row r="2562" s="27" customFormat="1" ht="23" hidden="1" customHeight="1" spans="1:25">
      <c r="A2562" s="133" t="str">
        <f>IF(B2562="","",COUNTA($B$5:B2562))</f>
        <v/>
      </c>
      <c r="B2562" s="148"/>
      <c r="C2562" s="22" t="s">
        <v>49</v>
      </c>
      <c r="D2562" s="149"/>
      <c r="E2562" s="150"/>
      <c r="F2562" s="151"/>
      <c r="G2562" s="151"/>
      <c r="H2562" s="142">
        <f>IFERROR(VLOOKUP($C2562,$C$5:$H$18,6,0)+SUMIF($C$19:$C2562,$C2562,$F$19:$F2562)-SUMIF($C$19:$C2562,$C2562,$G$19:$G2562),"")</f>
        <v>81211.819999998</v>
      </c>
      <c r="I2562" s="147"/>
      <c r="J2562" s="147"/>
      <c r="K2562" s="147" t="str">
        <f t="shared" si="39"/>
        <v/>
      </c>
      <c r="L2562" s="40"/>
      <c r="M2562"/>
      <c r="N2562"/>
      <c r="O2562"/>
      <c r="P2562"/>
      <c r="Q2562"/>
      <c r="R2562"/>
      <c r="S2562"/>
      <c r="T2562"/>
      <c r="U2562"/>
      <c r="V2562"/>
      <c r="W2562" s="41"/>
      <c r="X2562" s="41"/>
      <c r="Y2562" s="41"/>
    </row>
    <row r="2563" s="27" customFormat="1" ht="23" hidden="1" customHeight="1" spans="1:25">
      <c r="A2563" s="133" t="str">
        <f>IF(B2563="","",COUNTA($B$5:B2563))</f>
        <v/>
      </c>
      <c r="B2563" s="148"/>
      <c r="C2563" s="22" t="s">
        <v>49</v>
      </c>
      <c r="D2563" s="149"/>
      <c r="E2563" s="150"/>
      <c r="F2563" s="151"/>
      <c r="G2563" s="151"/>
      <c r="H2563" s="142">
        <f>IFERROR(VLOOKUP($C2563,$C$5:$H$18,6,0)+SUMIF($C$19:$C2563,$C2563,$F$19:$F2563)-SUMIF($C$19:$C2563,$C2563,$G$19:$G2563),"")</f>
        <v>81211.819999998</v>
      </c>
      <c r="I2563" s="147"/>
      <c r="J2563" s="147"/>
      <c r="K2563" s="147" t="str">
        <f t="shared" si="39"/>
        <v/>
      </c>
      <c r="L2563" s="40"/>
      <c r="M2563"/>
      <c r="N2563"/>
      <c r="O2563"/>
      <c r="P2563"/>
      <c r="Q2563"/>
      <c r="R2563"/>
      <c r="S2563"/>
      <c r="T2563"/>
      <c r="U2563"/>
      <c r="V2563"/>
      <c r="W2563" s="41"/>
      <c r="X2563" s="41"/>
      <c r="Y2563" s="41"/>
    </row>
    <row r="2564" s="27" customFormat="1" ht="23" hidden="1" customHeight="1" spans="1:25">
      <c r="A2564" s="133" t="str">
        <f>IF(B2564="","",COUNTA($B$5:B2564))</f>
        <v/>
      </c>
      <c r="B2564" s="148"/>
      <c r="C2564" s="22" t="s">
        <v>49</v>
      </c>
      <c r="D2564" s="149"/>
      <c r="E2564" s="150"/>
      <c r="F2564" s="151"/>
      <c r="G2564" s="151"/>
      <c r="H2564" s="142">
        <f>IFERROR(VLOOKUP($C2564,$C$5:$H$18,6,0)+SUMIF($C$19:$C2564,$C2564,$F$19:$F2564)-SUMIF($C$19:$C2564,$C2564,$G$19:$G2564),"")</f>
        <v>81211.819999998</v>
      </c>
      <c r="I2564" s="147"/>
      <c r="J2564" s="147"/>
      <c r="K2564" s="147" t="str">
        <f t="shared" si="39"/>
        <v/>
      </c>
      <c r="L2564" s="40"/>
      <c r="M2564"/>
      <c r="N2564"/>
      <c r="O2564"/>
      <c r="P2564"/>
      <c r="Q2564"/>
      <c r="R2564"/>
      <c r="S2564"/>
      <c r="T2564"/>
      <c r="U2564"/>
      <c r="V2564"/>
      <c r="W2564" s="41"/>
      <c r="X2564" s="41"/>
      <c r="Y2564" s="41"/>
    </row>
    <row r="2565" s="27" customFormat="1" ht="23" hidden="1" customHeight="1" spans="1:25">
      <c r="A2565" s="133" t="str">
        <f>IF(B2565="","",COUNTA($B$5:B2565))</f>
        <v/>
      </c>
      <c r="B2565" s="148"/>
      <c r="C2565" s="22" t="s">
        <v>49</v>
      </c>
      <c r="D2565" s="149"/>
      <c r="E2565" s="150"/>
      <c r="F2565" s="151"/>
      <c r="G2565" s="151"/>
      <c r="H2565" s="142">
        <f>IFERROR(VLOOKUP($C2565,$C$5:$H$18,6,0)+SUMIF($C$19:$C2565,$C2565,$F$19:$F2565)-SUMIF($C$19:$C2565,$C2565,$G$19:$G2565),"")</f>
        <v>81211.819999998</v>
      </c>
      <c r="I2565" s="147"/>
      <c r="J2565" s="147"/>
      <c r="K2565" s="147" t="str">
        <f t="shared" ref="K2565:K2628" si="40">IF($B2565="","",--TEXT($B2565,"yyyymm"))</f>
        <v/>
      </c>
      <c r="L2565" s="40"/>
      <c r="M2565"/>
      <c r="N2565"/>
      <c r="O2565"/>
      <c r="P2565"/>
      <c r="Q2565"/>
      <c r="R2565"/>
      <c r="S2565"/>
      <c r="T2565"/>
      <c r="U2565"/>
      <c r="V2565"/>
      <c r="W2565" s="41"/>
      <c r="X2565" s="41"/>
      <c r="Y2565" s="41"/>
    </row>
    <row r="2566" s="27" customFormat="1" ht="23" hidden="1" customHeight="1" spans="1:25">
      <c r="A2566" s="133" t="str">
        <f>IF(B2566="","",COUNTA($B$5:B2566))</f>
        <v/>
      </c>
      <c r="B2566" s="148"/>
      <c r="C2566" s="22" t="s">
        <v>49</v>
      </c>
      <c r="D2566" s="149"/>
      <c r="E2566" s="150"/>
      <c r="F2566" s="151"/>
      <c r="G2566" s="151"/>
      <c r="H2566" s="142">
        <f>IFERROR(VLOOKUP($C2566,$C$5:$H$18,6,0)+SUMIF($C$19:$C2566,$C2566,$F$19:$F2566)-SUMIF($C$19:$C2566,$C2566,$G$19:$G2566),"")</f>
        <v>81211.819999998</v>
      </c>
      <c r="I2566" s="147"/>
      <c r="J2566" s="147"/>
      <c r="K2566" s="147" t="str">
        <f t="shared" si="40"/>
        <v/>
      </c>
      <c r="L2566" s="40"/>
      <c r="M2566"/>
      <c r="N2566"/>
      <c r="O2566"/>
      <c r="P2566"/>
      <c r="Q2566"/>
      <c r="R2566"/>
      <c r="S2566"/>
      <c r="T2566"/>
      <c r="U2566"/>
      <c r="V2566"/>
      <c r="W2566" s="41"/>
      <c r="X2566" s="41"/>
      <c r="Y2566" s="41"/>
    </row>
    <row r="2567" s="27" customFormat="1" ht="23" hidden="1" customHeight="1" spans="1:25">
      <c r="A2567" s="133" t="str">
        <f>IF(B2567="","",COUNTA($B$5:B2567))</f>
        <v/>
      </c>
      <c r="B2567" s="148"/>
      <c r="C2567" s="22" t="s">
        <v>49</v>
      </c>
      <c r="D2567" s="149"/>
      <c r="E2567" s="150"/>
      <c r="F2567" s="151"/>
      <c r="G2567" s="151"/>
      <c r="H2567" s="142">
        <f>IFERROR(VLOOKUP($C2567,$C$5:$H$18,6,0)+SUMIF($C$19:$C2567,$C2567,$F$19:$F2567)-SUMIF($C$19:$C2567,$C2567,$G$19:$G2567),"")</f>
        <v>81211.819999998</v>
      </c>
      <c r="I2567" s="147"/>
      <c r="J2567" s="147"/>
      <c r="K2567" s="147" t="str">
        <f t="shared" si="40"/>
        <v/>
      </c>
      <c r="L2567" s="40"/>
      <c r="M2567"/>
      <c r="N2567"/>
      <c r="O2567"/>
      <c r="P2567"/>
      <c r="Q2567"/>
      <c r="R2567"/>
      <c r="S2567"/>
      <c r="T2567"/>
      <c r="U2567"/>
      <c r="V2567"/>
      <c r="W2567" s="41"/>
      <c r="X2567" s="41"/>
      <c r="Y2567" s="41"/>
    </row>
    <row r="2568" s="27" customFormat="1" ht="23" hidden="1" customHeight="1" spans="1:25">
      <c r="A2568" s="133" t="str">
        <f>IF(B2568="","",COUNTA($B$5:B2568))</f>
        <v/>
      </c>
      <c r="B2568" s="148"/>
      <c r="C2568" s="22" t="s">
        <v>49</v>
      </c>
      <c r="D2568" s="149"/>
      <c r="E2568" s="150"/>
      <c r="F2568" s="151"/>
      <c r="G2568" s="151"/>
      <c r="H2568" s="142">
        <f>IFERROR(VLOOKUP($C2568,$C$5:$H$18,6,0)+SUMIF($C$19:$C2568,$C2568,$F$19:$F2568)-SUMIF($C$19:$C2568,$C2568,$G$19:$G2568),"")</f>
        <v>81211.819999998</v>
      </c>
      <c r="I2568" s="147"/>
      <c r="J2568" s="147"/>
      <c r="K2568" s="147" t="str">
        <f t="shared" si="40"/>
        <v/>
      </c>
      <c r="L2568" s="40"/>
      <c r="M2568"/>
      <c r="N2568"/>
      <c r="O2568"/>
      <c r="P2568"/>
      <c r="Q2568"/>
      <c r="R2568"/>
      <c r="S2568"/>
      <c r="T2568"/>
      <c r="U2568"/>
      <c r="V2568"/>
      <c r="W2568" s="41"/>
      <c r="X2568" s="41"/>
      <c r="Y2568" s="41"/>
    </row>
    <row r="2569" s="27" customFormat="1" ht="23" hidden="1" customHeight="1" spans="1:25">
      <c r="A2569" s="133" t="str">
        <f>IF(B2569="","",COUNTA($B$5:B2569))</f>
        <v/>
      </c>
      <c r="B2569" s="148"/>
      <c r="C2569" s="22" t="s">
        <v>49</v>
      </c>
      <c r="D2569" s="149"/>
      <c r="E2569" s="150"/>
      <c r="F2569" s="151"/>
      <c r="G2569" s="151"/>
      <c r="H2569" s="142">
        <f>IFERROR(VLOOKUP($C2569,$C$5:$H$18,6,0)+SUMIF($C$19:$C2569,$C2569,$F$19:$F2569)-SUMIF($C$19:$C2569,$C2569,$G$19:$G2569),"")</f>
        <v>81211.819999998</v>
      </c>
      <c r="I2569" s="147"/>
      <c r="J2569" s="147"/>
      <c r="K2569" s="147" t="str">
        <f t="shared" si="40"/>
        <v/>
      </c>
      <c r="L2569" s="40"/>
      <c r="M2569"/>
      <c r="N2569"/>
      <c r="O2569"/>
      <c r="P2569"/>
      <c r="Q2569"/>
      <c r="R2569"/>
      <c r="S2569"/>
      <c r="T2569"/>
      <c r="U2569"/>
      <c r="V2569"/>
      <c r="W2569" s="41"/>
      <c r="X2569" s="41"/>
      <c r="Y2569" s="41"/>
    </row>
    <row r="2570" s="27" customFormat="1" ht="23" hidden="1" customHeight="1" spans="1:25">
      <c r="A2570" s="133" t="str">
        <f>IF(B2570="","",COUNTA($B$5:B2570))</f>
        <v/>
      </c>
      <c r="B2570" s="148"/>
      <c r="C2570" s="22" t="s">
        <v>49</v>
      </c>
      <c r="D2570" s="149"/>
      <c r="E2570" s="150"/>
      <c r="F2570" s="151"/>
      <c r="G2570" s="151"/>
      <c r="H2570" s="142">
        <f>IFERROR(VLOOKUP($C2570,$C$5:$H$18,6,0)+SUMIF($C$19:$C2570,$C2570,$F$19:$F2570)-SUMIF($C$19:$C2570,$C2570,$G$19:$G2570),"")</f>
        <v>81211.819999998</v>
      </c>
      <c r="I2570" s="147"/>
      <c r="J2570" s="147"/>
      <c r="K2570" s="147" t="str">
        <f t="shared" si="40"/>
        <v/>
      </c>
      <c r="L2570" s="40"/>
      <c r="M2570"/>
      <c r="N2570"/>
      <c r="O2570"/>
      <c r="P2570"/>
      <c r="Q2570"/>
      <c r="R2570"/>
      <c r="S2570"/>
      <c r="T2570"/>
      <c r="U2570"/>
      <c r="V2570"/>
      <c r="W2570" s="41"/>
      <c r="X2570" s="41"/>
      <c r="Y2570" s="41"/>
    </row>
    <row r="2571" s="27" customFormat="1" ht="23" hidden="1" customHeight="1" spans="1:25">
      <c r="A2571" s="133" t="str">
        <f>IF(B2571="","",COUNTA($B$5:B2571))</f>
        <v/>
      </c>
      <c r="B2571" s="148"/>
      <c r="C2571" s="22" t="s">
        <v>49</v>
      </c>
      <c r="D2571" s="149"/>
      <c r="E2571" s="150"/>
      <c r="F2571" s="151"/>
      <c r="G2571" s="151"/>
      <c r="H2571" s="142">
        <f>IFERROR(VLOOKUP($C2571,$C$5:$H$18,6,0)+SUMIF($C$19:$C2571,$C2571,$F$19:$F2571)-SUMIF($C$19:$C2571,$C2571,$G$19:$G2571),"")</f>
        <v>81211.819999998</v>
      </c>
      <c r="I2571" s="147"/>
      <c r="J2571" s="147"/>
      <c r="K2571" s="147" t="str">
        <f t="shared" si="40"/>
        <v/>
      </c>
      <c r="L2571" s="40"/>
      <c r="M2571"/>
      <c r="N2571"/>
      <c r="O2571"/>
      <c r="P2571"/>
      <c r="Q2571"/>
      <c r="R2571"/>
      <c r="S2571"/>
      <c r="T2571"/>
      <c r="U2571"/>
      <c r="V2571"/>
      <c r="W2571" s="41"/>
      <c r="X2571" s="41"/>
      <c r="Y2571" s="41"/>
    </row>
    <row r="2572" s="27" customFormat="1" ht="23" hidden="1" customHeight="1" spans="1:25">
      <c r="A2572" s="133" t="str">
        <f>IF(B2572="","",COUNTA($B$5:B2572))</f>
        <v/>
      </c>
      <c r="B2572" s="148"/>
      <c r="C2572" s="22" t="s">
        <v>49</v>
      </c>
      <c r="D2572" s="149"/>
      <c r="E2572" s="150"/>
      <c r="F2572" s="151"/>
      <c r="G2572" s="151"/>
      <c r="H2572" s="142">
        <f>IFERROR(VLOOKUP($C2572,$C$5:$H$18,6,0)+SUMIF($C$19:$C2572,$C2572,$F$19:$F2572)-SUMIF($C$19:$C2572,$C2572,$G$19:$G2572),"")</f>
        <v>81211.819999998</v>
      </c>
      <c r="I2572" s="147"/>
      <c r="J2572" s="147"/>
      <c r="K2572" s="147" t="str">
        <f t="shared" si="40"/>
        <v/>
      </c>
      <c r="L2572" s="40"/>
      <c r="M2572"/>
      <c r="N2572"/>
      <c r="O2572"/>
      <c r="P2572"/>
      <c r="Q2572"/>
      <c r="R2572"/>
      <c r="S2572"/>
      <c r="T2572"/>
      <c r="U2572"/>
      <c r="V2572"/>
      <c r="W2572" s="41"/>
      <c r="X2572" s="41"/>
      <c r="Y2572" s="41"/>
    </row>
    <row r="2573" s="27" customFormat="1" ht="23" hidden="1" customHeight="1" spans="1:25">
      <c r="A2573" s="133" t="str">
        <f>IF(B2573="","",COUNTA($B$5:B2573))</f>
        <v/>
      </c>
      <c r="B2573" s="148"/>
      <c r="C2573" s="22" t="s">
        <v>49</v>
      </c>
      <c r="D2573" s="149"/>
      <c r="E2573" s="150"/>
      <c r="F2573" s="151"/>
      <c r="G2573" s="151"/>
      <c r="H2573" s="142">
        <f>IFERROR(VLOOKUP($C2573,$C$5:$H$18,6,0)+SUMIF($C$19:$C2573,$C2573,$F$19:$F2573)-SUMIF($C$19:$C2573,$C2573,$G$19:$G2573),"")</f>
        <v>81211.819999998</v>
      </c>
      <c r="I2573" s="147"/>
      <c r="J2573" s="147"/>
      <c r="K2573" s="147" t="str">
        <f t="shared" si="40"/>
        <v/>
      </c>
      <c r="L2573" s="40"/>
      <c r="M2573"/>
      <c r="N2573"/>
      <c r="O2573"/>
      <c r="P2573"/>
      <c r="Q2573"/>
      <c r="R2573"/>
      <c r="S2573"/>
      <c r="T2573"/>
      <c r="U2573"/>
      <c r="V2573"/>
      <c r="W2573" s="41"/>
      <c r="X2573" s="41"/>
      <c r="Y2573" s="41"/>
    </row>
    <row r="2574" s="27" customFormat="1" ht="23" hidden="1" customHeight="1" spans="1:25">
      <c r="A2574" s="133" t="str">
        <f>IF(B2574="","",COUNTA($B$5:B2574))</f>
        <v/>
      </c>
      <c r="B2574" s="148"/>
      <c r="C2574" s="22" t="s">
        <v>49</v>
      </c>
      <c r="D2574" s="149"/>
      <c r="E2574" s="150"/>
      <c r="F2574" s="151"/>
      <c r="G2574" s="151"/>
      <c r="H2574" s="142">
        <f>IFERROR(VLOOKUP($C2574,$C$5:$H$18,6,0)+SUMIF($C$19:$C2574,$C2574,$F$19:$F2574)-SUMIF($C$19:$C2574,$C2574,$G$19:$G2574),"")</f>
        <v>81211.819999998</v>
      </c>
      <c r="I2574" s="147"/>
      <c r="J2574" s="147"/>
      <c r="K2574" s="147" t="str">
        <f t="shared" si="40"/>
        <v/>
      </c>
      <c r="L2574" s="40"/>
      <c r="M2574"/>
      <c r="N2574"/>
      <c r="O2574"/>
      <c r="P2574"/>
      <c r="Q2574"/>
      <c r="R2574"/>
      <c r="S2574"/>
      <c r="T2574"/>
      <c r="U2574"/>
      <c r="V2574"/>
      <c r="W2574" s="41"/>
      <c r="X2574" s="41"/>
      <c r="Y2574" s="41"/>
    </row>
    <row r="2575" s="27" customFormat="1" ht="23" hidden="1" customHeight="1" spans="1:25">
      <c r="A2575" s="133" t="str">
        <f>IF(B2575="","",COUNTA($B$5:B2575))</f>
        <v/>
      </c>
      <c r="B2575" s="148"/>
      <c r="C2575" s="22" t="s">
        <v>49</v>
      </c>
      <c r="D2575" s="149"/>
      <c r="E2575" s="150"/>
      <c r="F2575" s="151"/>
      <c r="G2575" s="151"/>
      <c r="H2575" s="142">
        <f>IFERROR(VLOOKUP($C2575,$C$5:$H$18,6,0)+SUMIF($C$19:$C2575,$C2575,$F$19:$F2575)-SUMIF($C$19:$C2575,$C2575,$G$19:$G2575),"")</f>
        <v>81211.819999998</v>
      </c>
      <c r="I2575" s="147"/>
      <c r="J2575" s="147"/>
      <c r="K2575" s="147" t="str">
        <f t="shared" si="40"/>
        <v/>
      </c>
      <c r="L2575" s="40"/>
      <c r="M2575"/>
      <c r="N2575"/>
      <c r="O2575"/>
      <c r="P2575"/>
      <c r="Q2575"/>
      <c r="R2575"/>
      <c r="S2575"/>
      <c r="T2575"/>
      <c r="U2575"/>
      <c r="V2575"/>
      <c r="W2575" s="41"/>
      <c r="X2575" s="41"/>
      <c r="Y2575" s="41"/>
    </row>
    <row r="2576" s="27" customFormat="1" ht="23" hidden="1" customHeight="1" spans="1:25">
      <c r="A2576" s="133" t="str">
        <f>IF(B2576="","",COUNTA($B$5:B2576))</f>
        <v/>
      </c>
      <c r="B2576" s="148"/>
      <c r="C2576" s="22" t="s">
        <v>49</v>
      </c>
      <c r="D2576" s="149"/>
      <c r="E2576" s="150"/>
      <c r="F2576" s="151"/>
      <c r="G2576" s="151"/>
      <c r="H2576" s="142">
        <f>IFERROR(VLOOKUP($C2576,$C$5:$H$18,6,0)+SUMIF($C$19:$C2576,$C2576,$F$19:$F2576)-SUMIF($C$19:$C2576,$C2576,$G$19:$G2576),"")</f>
        <v>81211.819999998</v>
      </c>
      <c r="I2576" s="147"/>
      <c r="J2576" s="147"/>
      <c r="K2576" s="147" t="str">
        <f t="shared" si="40"/>
        <v/>
      </c>
      <c r="L2576" s="40"/>
      <c r="M2576"/>
      <c r="N2576"/>
      <c r="O2576"/>
      <c r="P2576"/>
      <c r="Q2576"/>
      <c r="R2576"/>
      <c r="S2576"/>
      <c r="T2576"/>
      <c r="U2576"/>
      <c r="V2576"/>
      <c r="W2576" s="41"/>
      <c r="X2576" s="41"/>
      <c r="Y2576" s="41"/>
    </row>
    <row r="2577" s="27" customFormat="1" ht="23" hidden="1" customHeight="1" spans="1:25">
      <c r="A2577" s="133" t="str">
        <f>IF(B2577="","",COUNTA($B$5:B2577))</f>
        <v/>
      </c>
      <c r="B2577" s="148"/>
      <c r="C2577" s="22" t="s">
        <v>49</v>
      </c>
      <c r="D2577" s="149"/>
      <c r="E2577" s="150"/>
      <c r="F2577" s="151"/>
      <c r="G2577" s="151"/>
      <c r="H2577" s="142">
        <f>IFERROR(VLOOKUP($C2577,$C$5:$H$18,6,0)+SUMIF($C$19:$C2577,$C2577,$F$19:$F2577)-SUMIF($C$19:$C2577,$C2577,$G$19:$G2577),"")</f>
        <v>81211.819999998</v>
      </c>
      <c r="I2577" s="147"/>
      <c r="J2577" s="147"/>
      <c r="K2577" s="147" t="str">
        <f t="shared" si="40"/>
        <v/>
      </c>
      <c r="L2577" s="40"/>
      <c r="M2577"/>
      <c r="N2577"/>
      <c r="O2577"/>
      <c r="P2577"/>
      <c r="Q2577"/>
      <c r="R2577"/>
      <c r="S2577"/>
      <c r="T2577"/>
      <c r="U2577"/>
      <c r="V2577"/>
      <c r="W2577" s="41"/>
      <c r="X2577" s="41"/>
      <c r="Y2577" s="41"/>
    </row>
    <row r="2578" s="27" customFormat="1" ht="23" hidden="1" customHeight="1" spans="1:25">
      <c r="A2578" s="133" t="str">
        <f>IF(B2578="","",COUNTA($B$5:B2578))</f>
        <v/>
      </c>
      <c r="B2578" s="148"/>
      <c r="C2578" s="22" t="s">
        <v>49</v>
      </c>
      <c r="D2578" s="149"/>
      <c r="E2578" s="150"/>
      <c r="F2578" s="151"/>
      <c r="G2578" s="151"/>
      <c r="H2578" s="142">
        <f>IFERROR(VLOOKUP($C2578,$C$5:$H$18,6,0)+SUMIF($C$19:$C2578,$C2578,$F$19:$F2578)-SUMIF($C$19:$C2578,$C2578,$G$19:$G2578),"")</f>
        <v>81211.819999998</v>
      </c>
      <c r="I2578" s="147"/>
      <c r="J2578" s="147"/>
      <c r="K2578" s="147" t="str">
        <f t="shared" si="40"/>
        <v/>
      </c>
      <c r="L2578" s="40"/>
      <c r="M2578"/>
      <c r="N2578"/>
      <c r="O2578"/>
      <c r="P2578"/>
      <c r="Q2578"/>
      <c r="R2578"/>
      <c r="S2578"/>
      <c r="T2578"/>
      <c r="U2578"/>
      <c r="V2578"/>
      <c r="W2578" s="41"/>
      <c r="X2578" s="41"/>
      <c r="Y2578" s="41"/>
    </row>
    <row r="2579" s="27" customFormat="1" ht="23" hidden="1" customHeight="1" spans="1:25">
      <c r="A2579" s="133" t="str">
        <f>IF(B2579="","",COUNTA($B$5:B2579))</f>
        <v/>
      </c>
      <c r="B2579" s="148"/>
      <c r="C2579" s="22" t="s">
        <v>49</v>
      </c>
      <c r="D2579" s="149"/>
      <c r="E2579" s="150"/>
      <c r="F2579" s="151"/>
      <c r="G2579" s="151"/>
      <c r="H2579" s="142">
        <f>IFERROR(VLOOKUP($C2579,$C$5:$H$18,6,0)+SUMIF($C$19:$C2579,$C2579,$F$19:$F2579)-SUMIF($C$19:$C2579,$C2579,$G$19:$G2579),"")</f>
        <v>81211.819999998</v>
      </c>
      <c r="I2579" s="147"/>
      <c r="J2579" s="147"/>
      <c r="K2579" s="147" t="str">
        <f t="shared" si="40"/>
        <v/>
      </c>
      <c r="L2579" s="40"/>
      <c r="M2579"/>
      <c r="N2579"/>
      <c r="O2579"/>
      <c r="P2579"/>
      <c r="Q2579"/>
      <c r="R2579"/>
      <c r="S2579"/>
      <c r="T2579"/>
      <c r="U2579"/>
      <c r="V2579"/>
      <c r="W2579" s="41"/>
      <c r="X2579" s="41"/>
      <c r="Y2579" s="41"/>
    </row>
    <row r="2580" s="27" customFormat="1" ht="23" hidden="1" customHeight="1" spans="1:25">
      <c r="A2580" s="133" t="str">
        <f>IF(B2580="","",COUNTA($B$5:B2580))</f>
        <v/>
      </c>
      <c r="B2580" s="148"/>
      <c r="C2580" s="22" t="s">
        <v>49</v>
      </c>
      <c r="D2580" s="149"/>
      <c r="E2580" s="150"/>
      <c r="F2580" s="151"/>
      <c r="G2580" s="151"/>
      <c r="H2580" s="142">
        <f>IFERROR(VLOOKUP($C2580,$C$5:$H$18,6,0)+SUMIF($C$19:$C2580,$C2580,$F$19:$F2580)-SUMIF($C$19:$C2580,$C2580,$G$19:$G2580),"")</f>
        <v>81211.819999998</v>
      </c>
      <c r="I2580" s="147"/>
      <c r="J2580" s="147"/>
      <c r="K2580" s="147" t="str">
        <f t="shared" si="40"/>
        <v/>
      </c>
      <c r="L2580" s="40"/>
      <c r="M2580"/>
      <c r="N2580"/>
      <c r="O2580"/>
      <c r="P2580"/>
      <c r="Q2580"/>
      <c r="R2580"/>
      <c r="S2580"/>
      <c r="T2580"/>
      <c r="U2580"/>
      <c r="V2580"/>
      <c r="W2580" s="41"/>
      <c r="X2580" s="41"/>
      <c r="Y2580" s="41"/>
    </row>
    <row r="2581" s="27" customFormat="1" ht="23" hidden="1" customHeight="1" spans="1:25">
      <c r="A2581" s="133" t="str">
        <f>IF(B2581="","",COUNTA($B$5:B2581))</f>
        <v/>
      </c>
      <c r="B2581" s="148"/>
      <c r="C2581" s="22" t="s">
        <v>49</v>
      </c>
      <c r="D2581" s="149"/>
      <c r="E2581" s="150"/>
      <c r="F2581" s="151"/>
      <c r="G2581" s="151"/>
      <c r="H2581" s="142">
        <f>IFERROR(VLOOKUP($C2581,$C$5:$H$18,6,0)+SUMIF($C$19:$C2581,$C2581,$F$19:$F2581)-SUMIF($C$19:$C2581,$C2581,$G$19:$G2581),"")</f>
        <v>81211.819999998</v>
      </c>
      <c r="I2581" s="147"/>
      <c r="J2581" s="147"/>
      <c r="K2581" s="147" t="str">
        <f t="shared" si="40"/>
        <v/>
      </c>
      <c r="L2581" s="40"/>
      <c r="M2581"/>
      <c r="N2581"/>
      <c r="O2581"/>
      <c r="P2581"/>
      <c r="Q2581"/>
      <c r="R2581"/>
      <c r="S2581"/>
      <c r="T2581"/>
      <c r="U2581"/>
      <c r="V2581"/>
      <c r="W2581" s="41"/>
      <c r="X2581" s="41"/>
      <c r="Y2581" s="41"/>
    </row>
    <row r="2582" s="27" customFormat="1" ht="23" hidden="1" customHeight="1" spans="1:25">
      <c r="A2582" s="133" t="str">
        <f>IF(B2582="","",COUNTA($B$5:B2582))</f>
        <v/>
      </c>
      <c r="B2582" s="148"/>
      <c r="C2582" s="22" t="s">
        <v>49</v>
      </c>
      <c r="D2582" s="149"/>
      <c r="E2582" s="150"/>
      <c r="F2582" s="151"/>
      <c r="G2582" s="151"/>
      <c r="H2582" s="142">
        <f>IFERROR(VLOOKUP($C2582,$C$5:$H$18,6,0)+SUMIF($C$19:$C2582,$C2582,$F$19:$F2582)-SUMIF($C$19:$C2582,$C2582,$G$19:$G2582),"")</f>
        <v>81211.819999998</v>
      </c>
      <c r="I2582" s="147"/>
      <c r="J2582" s="147"/>
      <c r="K2582" s="147" t="str">
        <f t="shared" si="40"/>
        <v/>
      </c>
      <c r="L2582" s="40"/>
      <c r="M2582"/>
      <c r="N2582"/>
      <c r="O2582"/>
      <c r="P2582"/>
      <c r="Q2582"/>
      <c r="R2582"/>
      <c r="S2582"/>
      <c r="T2582"/>
      <c r="U2582"/>
      <c r="V2582"/>
      <c r="W2582" s="41"/>
      <c r="X2582" s="41"/>
      <c r="Y2582" s="41"/>
    </row>
    <row r="2583" s="27" customFormat="1" ht="23" hidden="1" customHeight="1" spans="1:25">
      <c r="A2583" s="133" t="str">
        <f>IF(B2583="","",COUNTA($B$5:B2583))</f>
        <v/>
      </c>
      <c r="B2583" s="148"/>
      <c r="C2583" s="22" t="s">
        <v>49</v>
      </c>
      <c r="D2583" s="149"/>
      <c r="E2583" s="150"/>
      <c r="F2583" s="151"/>
      <c r="G2583" s="151"/>
      <c r="H2583" s="142">
        <f>IFERROR(VLOOKUP($C2583,$C$5:$H$18,6,0)+SUMIF($C$19:$C2583,$C2583,$F$19:$F2583)-SUMIF($C$19:$C2583,$C2583,$G$19:$G2583),"")</f>
        <v>81211.819999998</v>
      </c>
      <c r="I2583" s="147"/>
      <c r="J2583" s="147"/>
      <c r="K2583" s="147" t="str">
        <f t="shared" si="40"/>
        <v/>
      </c>
      <c r="L2583" s="40"/>
      <c r="M2583"/>
      <c r="N2583"/>
      <c r="O2583"/>
      <c r="P2583"/>
      <c r="Q2583"/>
      <c r="R2583"/>
      <c r="S2583"/>
      <c r="T2583"/>
      <c r="U2583"/>
      <c r="V2583"/>
      <c r="W2583" s="41"/>
      <c r="X2583" s="41"/>
      <c r="Y2583" s="41"/>
    </row>
    <row r="2584" s="27" customFormat="1" ht="23" hidden="1" customHeight="1" spans="1:25">
      <c r="A2584" s="133" t="str">
        <f>IF(B2584="","",COUNTA($B$5:B2584))</f>
        <v/>
      </c>
      <c r="B2584" s="148"/>
      <c r="C2584" s="22" t="s">
        <v>49</v>
      </c>
      <c r="D2584" s="149"/>
      <c r="E2584" s="150"/>
      <c r="F2584" s="151"/>
      <c r="G2584" s="151"/>
      <c r="H2584" s="142">
        <f>IFERROR(VLOOKUP($C2584,$C$5:$H$18,6,0)+SUMIF($C$19:$C2584,$C2584,$F$19:$F2584)-SUMIF($C$19:$C2584,$C2584,$G$19:$G2584),"")</f>
        <v>81211.819999998</v>
      </c>
      <c r="I2584" s="147"/>
      <c r="J2584" s="147"/>
      <c r="K2584" s="147" t="str">
        <f t="shared" si="40"/>
        <v/>
      </c>
      <c r="L2584" s="40"/>
      <c r="M2584"/>
      <c r="N2584"/>
      <c r="O2584"/>
      <c r="P2584"/>
      <c r="Q2584"/>
      <c r="R2584"/>
      <c r="S2584"/>
      <c r="T2584"/>
      <c r="U2584"/>
      <c r="V2584"/>
      <c r="W2584" s="41"/>
      <c r="X2584" s="41"/>
      <c r="Y2584" s="41"/>
    </row>
    <row r="2585" s="27" customFormat="1" ht="23" hidden="1" customHeight="1" spans="1:25">
      <c r="A2585" s="133" t="str">
        <f>IF(B2585="","",COUNTA($B$5:B2585))</f>
        <v/>
      </c>
      <c r="B2585" s="148"/>
      <c r="C2585" s="22" t="s">
        <v>49</v>
      </c>
      <c r="D2585" s="149"/>
      <c r="E2585" s="150"/>
      <c r="F2585" s="151"/>
      <c r="G2585" s="151"/>
      <c r="H2585" s="142">
        <f>IFERROR(VLOOKUP($C2585,$C$5:$H$18,6,0)+SUMIF($C$19:$C2585,$C2585,$F$19:$F2585)-SUMIF($C$19:$C2585,$C2585,$G$19:$G2585),"")</f>
        <v>81211.819999998</v>
      </c>
      <c r="I2585" s="147"/>
      <c r="J2585" s="147"/>
      <c r="K2585" s="147" t="str">
        <f t="shared" si="40"/>
        <v/>
      </c>
      <c r="L2585" s="40"/>
      <c r="M2585"/>
      <c r="N2585"/>
      <c r="O2585"/>
      <c r="P2585"/>
      <c r="Q2585"/>
      <c r="R2585"/>
      <c r="S2585"/>
      <c r="T2585"/>
      <c r="U2585"/>
      <c r="V2585"/>
      <c r="W2585" s="41"/>
      <c r="X2585" s="41"/>
      <c r="Y2585" s="41"/>
    </row>
    <row r="2586" s="27" customFormat="1" ht="23" hidden="1" customHeight="1" spans="1:25">
      <c r="A2586" s="133" t="str">
        <f>IF(B2586="","",COUNTA($B$5:B2586))</f>
        <v/>
      </c>
      <c r="B2586" s="148"/>
      <c r="C2586" s="22" t="s">
        <v>49</v>
      </c>
      <c r="D2586" s="149"/>
      <c r="E2586" s="150"/>
      <c r="F2586" s="151"/>
      <c r="G2586" s="151"/>
      <c r="H2586" s="142">
        <f>IFERROR(VLOOKUP($C2586,$C$5:$H$18,6,0)+SUMIF($C$19:$C2586,$C2586,$F$19:$F2586)-SUMIF($C$19:$C2586,$C2586,$G$19:$G2586),"")</f>
        <v>81211.819999998</v>
      </c>
      <c r="I2586" s="147"/>
      <c r="J2586" s="147"/>
      <c r="K2586" s="147" t="str">
        <f t="shared" si="40"/>
        <v/>
      </c>
      <c r="L2586" s="40"/>
      <c r="M2586"/>
      <c r="N2586"/>
      <c r="O2586"/>
      <c r="P2586"/>
      <c r="Q2586"/>
      <c r="R2586"/>
      <c r="S2586"/>
      <c r="T2586"/>
      <c r="U2586"/>
      <c r="V2586"/>
      <c r="W2586" s="41"/>
      <c r="X2586" s="41"/>
      <c r="Y2586" s="41"/>
    </row>
    <row r="2587" s="27" customFormat="1" ht="23" hidden="1" customHeight="1" spans="1:25">
      <c r="A2587" s="133" t="str">
        <f>IF(B2587="","",COUNTA($B$5:B2587))</f>
        <v/>
      </c>
      <c r="B2587" s="148"/>
      <c r="C2587" s="22" t="s">
        <v>49</v>
      </c>
      <c r="D2587" s="149"/>
      <c r="E2587" s="150"/>
      <c r="F2587" s="151"/>
      <c r="G2587" s="151"/>
      <c r="H2587" s="142">
        <f>IFERROR(VLOOKUP($C2587,$C$5:$H$18,6,0)+SUMIF($C$19:$C2587,$C2587,$F$19:$F2587)-SUMIF($C$19:$C2587,$C2587,$G$19:$G2587),"")</f>
        <v>81211.819999998</v>
      </c>
      <c r="I2587" s="147"/>
      <c r="J2587" s="147"/>
      <c r="K2587" s="147" t="str">
        <f t="shared" si="40"/>
        <v/>
      </c>
      <c r="L2587" s="40"/>
      <c r="M2587"/>
      <c r="N2587"/>
      <c r="O2587"/>
      <c r="P2587"/>
      <c r="Q2587"/>
      <c r="R2587"/>
      <c r="S2587"/>
      <c r="T2587"/>
      <c r="U2587"/>
      <c r="V2587"/>
      <c r="W2587" s="41"/>
      <c r="X2587" s="41"/>
      <c r="Y2587" s="41"/>
    </row>
    <row r="2588" s="27" customFormat="1" ht="23" hidden="1" customHeight="1" spans="1:25">
      <c r="A2588" s="133" t="str">
        <f>IF(B2588="","",COUNTA($B$5:B2588))</f>
        <v/>
      </c>
      <c r="B2588" s="148"/>
      <c r="C2588" s="22" t="s">
        <v>49</v>
      </c>
      <c r="D2588" s="149"/>
      <c r="E2588" s="150"/>
      <c r="F2588" s="151"/>
      <c r="G2588" s="151"/>
      <c r="H2588" s="142">
        <f>IFERROR(VLOOKUP($C2588,$C$5:$H$18,6,0)+SUMIF($C$19:$C2588,$C2588,$F$19:$F2588)-SUMIF($C$19:$C2588,$C2588,$G$19:$G2588),"")</f>
        <v>81211.819999998</v>
      </c>
      <c r="I2588" s="147"/>
      <c r="J2588" s="147"/>
      <c r="K2588" s="147" t="str">
        <f t="shared" si="40"/>
        <v/>
      </c>
      <c r="L2588" s="40"/>
      <c r="M2588"/>
      <c r="N2588"/>
      <c r="O2588"/>
      <c r="P2588"/>
      <c r="Q2588"/>
      <c r="R2588"/>
      <c r="S2588"/>
      <c r="T2588"/>
      <c r="U2588"/>
      <c r="V2588"/>
      <c r="W2588" s="41"/>
      <c r="X2588" s="41"/>
      <c r="Y2588" s="41"/>
    </row>
    <row r="2589" s="27" customFormat="1" ht="23" hidden="1" customHeight="1" spans="1:25">
      <c r="A2589" s="133" t="str">
        <f>IF(B2589="","",COUNTA($B$5:B2589))</f>
        <v/>
      </c>
      <c r="B2589" s="148"/>
      <c r="C2589" s="22" t="s">
        <v>49</v>
      </c>
      <c r="D2589" s="149"/>
      <c r="E2589" s="150"/>
      <c r="F2589" s="151"/>
      <c r="G2589" s="151"/>
      <c r="H2589" s="142">
        <f>IFERROR(VLOOKUP($C2589,$C$5:$H$18,6,0)+SUMIF($C$19:$C2589,$C2589,$F$19:$F2589)-SUMIF($C$19:$C2589,$C2589,$G$19:$G2589),"")</f>
        <v>81211.819999998</v>
      </c>
      <c r="I2589" s="147"/>
      <c r="J2589" s="147"/>
      <c r="K2589" s="147" t="str">
        <f t="shared" si="40"/>
        <v/>
      </c>
      <c r="L2589" s="40"/>
      <c r="M2589"/>
      <c r="N2589"/>
      <c r="O2589"/>
      <c r="P2589"/>
      <c r="Q2589"/>
      <c r="R2589"/>
      <c r="S2589"/>
      <c r="T2589"/>
      <c r="U2589"/>
      <c r="V2589"/>
      <c r="W2589" s="41"/>
      <c r="X2589" s="41"/>
      <c r="Y2589" s="41"/>
    </row>
    <row r="2590" s="27" customFormat="1" ht="23" hidden="1" customHeight="1" spans="1:25">
      <c r="A2590" s="133" t="str">
        <f>IF(B2590="","",COUNTA($B$5:B2590))</f>
        <v/>
      </c>
      <c r="B2590" s="148"/>
      <c r="C2590" s="22" t="s">
        <v>49</v>
      </c>
      <c r="D2590" s="149"/>
      <c r="E2590" s="150"/>
      <c r="F2590" s="151"/>
      <c r="G2590" s="151"/>
      <c r="H2590" s="142">
        <f>IFERROR(VLOOKUP($C2590,$C$5:$H$18,6,0)+SUMIF($C$19:$C2590,$C2590,$F$19:$F2590)-SUMIF($C$19:$C2590,$C2590,$G$19:$G2590),"")</f>
        <v>81211.819999998</v>
      </c>
      <c r="I2590" s="147"/>
      <c r="J2590" s="147"/>
      <c r="K2590" s="147" t="str">
        <f t="shared" si="40"/>
        <v/>
      </c>
      <c r="L2590" s="40"/>
      <c r="M2590"/>
      <c r="N2590"/>
      <c r="O2590"/>
      <c r="P2590"/>
      <c r="Q2590"/>
      <c r="R2590"/>
      <c r="S2590"/>
      <c r="T2590"/>
      <c r="U2590"/>
      <c r="V2590"/>
      <c r="W2590" s="41"/>
      <c r="X2590" s="41"/>
      <c r="Y2590" s="41"/>
    </row>
    <row r="2591" s="27" customFormat="1" ht="23" hidden="1" customHeight="1" spans="1:25">
      <c r="A2591" s="133" t="str">
        <f>IF(B2591="","",COUNTA($B$5:B2591))</f>
        <v/>
      </c>
      <c r="B2591" s="148"/>
      <c r="C2591" s="22" t="s">
        <v>49</v>
      </c>
      <c r="D2591" s="149"/>
      <c r="E2591" s="150"/>
      <c r="F2591" s="151"/>
      <c r="G2591" s="151"/>
      <c r="H2591" s="142">
        <f>IFERROR(VLOOKUP($C2591,$C$5:$H$18,6,0)+SUMIF($C$19:$C2591,$C2591,$F$19:$F2591)-SUMIF($C$19:$C2591,$C2591,$G$19:$G2591),"")</f>
        <v>81211.819999998</v>
      </c>
      <c r="I2591" s="147"/>
      <c r="J2591" s="147"/>
      <c r="K2591" s="147" t="str">
        <f t="shared" si="40"/>
        <v/>
      </c>
      <c r="L2591" s="40"/>
      <c r="M2591"/>
      <c r="N2591"/>
      <c r="O2591"/>
      <c r="P2591"/>
      <c r="Q2591"/>
      <c r="R2591"/>
      <c r="S2591"/>
      <c r="T2591"/>
      <c r="U2591"/>
      <c r="V2591"/>
      <c r="W2591" s="41"/>
      <c r="X2591" s="41"/>
      <c r="Y2591" s="41"/>
    </row>
    <row r="2592" s="27" customFormat="1" ht="23" hidden="1" customHeight="1" spans="1:25">
      <c r="A2592" s="133" t="str">
        <f>IF(B2592="","",COUNTA($B$5:B2592))</f>
        <v/>
      </c>
      <c r="B2592" s="148"/>
      <c r="C2592" s="22" t="s">
        <v>49</v>
      </c>
      <c r="D2592" s="149"/>
      <c r="E2592" s="150"/>
      <c r="F2592" s="151"/>
      <c r="G2592" s="151"/>
      <c r="H2592" s="142">
        <f>IFERROR(VLOOKUP($C2592,$C$5:$H$18,6,0)+SUMIF($C$19:$C2592,$C2592,$F$19:$F2592)-SUMIF($C$19:$C2592,$C2592,$G$19:$G2592),"")</f>
        <v>81211.819999998</v>
      </c>
      <c r="I2592" s="147"/>
      <c r="J2592" s="147"/>
      <c r="K2592" s="147" t="str">
        <f t="shared" si="40"/>
        <v/>
      </c>
      <c r="L2592" s="40"/>
      <c r="M2592"/>
      <c r="N2592"/>
      <c r="O2592"/>
      <c r="P2592"/>
      <c r="Q2592"/>
      <c r="R2592"/>
      <c r="S2592"/>
      <c r="T2592"/>
      <c r="U2592"/>
      <c r="V2592"/>
      <c r="W2592" s="41"/>
      <c r="X2592" s="41"/>
      <c r="Y2592" s="41"/>
    </row>
    <row r="2593" s="27" customFormat="1" ht="23" hidden="1" customHeight="1" spans="1:25">
      <c r="A2593" s="133" t="str">
        <f>IF(B2593="","",COUNTA($B$5:B2593))</f>
        <v/>
      </c>
      <c r="B2593" s="148"/>
      <c r="C2593" s="22" t="s">
        <v>49</v>
      </c>
      <c r="D2593" s="149"/>
      <c r="E2593" s="150"/>
      <c r="F2593" s="151"/>
      <c r="G2593" s="151"/>
      <c r="H2593" s="142">
        <f>IFERROR(VLOOKUP($C2593,$C$5:$H$18,6,0)+SUMIF($C$19:$C2593,$C2593,$F$19:$F2593)-SUMIF($C$19:$C2593,$C2593,$G$19:$G2593),"")</f>
        <v>81211.819999998</v>
      </c>
      <c r="I2593" s="147"/>
      <c r="J2593" s="147"/>
      <c r="K2593" s="147" t="str">
        <f t="shared" si="40"/>
        <v/>
      </c>
      <c r="L2593" s="40"/>
      <c r="M2593"/>
      <c r="N2593"/>
      <c r="O2593"/>
      <c r="P2593"/>
      <c r="Q2593"/>
      <c r="R2593"/>
      <c r="S2593"/>
      <c r="T2593"/>
      <c r="U2593"/>
      <c r="V2593"/>
      <c r="W2593" s="41"/>
      <c r="X2593" s="41"/>
      <c r="Y2593" s="41"/>
    </row>
    <row r="2594" s="27" customFormat="1" ht="23" hidden="1" customHeight="1" spans="1:25">
      <c r="A2594" s="133" t="str">
        <f>IF(B2594="","",COUNTA($B$5:B2594))</f>
        <v/>
      </c>
      <c r="B2594" s="148"/>
      <c r="C2594" s="22" t="s">
        <v>49</v>
      </c>
      <c r="D2594" s="149"/>
      <c r="E2594" s="150"/>
      <c r="F2594" s="151"/>
      <c r="G2594" s="151"/>
      <c r="H2594" s="142">
        <f>IFERROR(VLOOKUP($C2594,$C$5:$H$18,6,0)+SUMIF($C$19:$C2594,$C2594,$F$19:$F2594)-SUMIF($C$19:$C2594,$C2594,$G$19:$G2594),"")</f>
        <v>81211.819999998</v>
      </c>
      <c r="I2594" s="147"/>
      <c r="J2594" s="147"/>
      <c r="K2594" s="147" t="str">
        <f t="shared" si="40"/>
        <v/>
      </c>
      <c r="L2594" s="40"/>
      <c r="M2594"/>
      <c r="N2594"/>
      <c r="O2594"/>
      <c r="P2594"/>
      <c r="Q2594"/>
      <c r="R2594"/>
      <c r="S2594"/>
      <c r="T2594"/>
      <c r="U2594"/>
      <c r="V2594"/>
      <c r="W2594" s="41"/>
      <c r="X2594" s="41"/>
      <c r="Y2594" s="41"/>
    </row>
    <row r="2595" s="27" customFormat="1" ht="23" hidden="1" customHeight="1" spans="1:25">
      <c r="A2595" s="133" t="str">
        <f>IF(B2595="","",COUNTA($B$5:B2595))</f>
        <v/>
      </c>
      <c r="B2595" s="148"/>
      <c r="C2595" s="22" t="s">
        <v>49</v>
      </c>
      <c r="D2595" s="149"/>
      <c r="E2595" s="150"/>
      <c r="F2595" s="151"/>
      <c r="G2595" s="151"/>
      <c r="H2595" s="142">
        <f>IFERROR(VLOOKUP($C2595,$C$5:$H$18,6,0)+SUMIF($C$19:$C2595,$C2595,$F$19:$F2595)-SUMIF($C$19:$C2595,$C2595,$G$19:$G2595),"")</f>
        <v>81211.819999998</v>
      </c>
      <c r="I2595" s="147"/>
      <c r="J2595" s="147"/>
      <c r="K2595" s="147" t="str">
        <f t="shared" si="40"/>
        <v/>
      </c>
      <c r="L2595" s="40"/>
      <c r="M2595"/>
      <c r="N2595"/>
      <c r="O2595"/>
      <c r="P2595"/>
      <c r="Q2595"/>
      <c r="R2595"/>
      <c r="S2595"/>
      <c r="T2595"/>
      <c r="U2595"/>
      <c r="V2595"/>
      <c r="W2595" s="41"/>
      <c r="X2595" s="41"/>
      <c r="Y2595" s="41"/>
    </row>
    <row r="2596" s="27" customFormat="1" ht="23" hidden="1" customHeight="1" spans="1:25">
      <c r="A2596" s="133" t="str">
        <f>IF(B2596="","",COUNTA($B$5:B2596))</f>
        <v/>
      </c>
      <c r="B2596" s="148"/>
      <c r="C2596" s="22" t="s">
        <v>49</v>
      </c>
      <c r="D2596" s="149"/>
      <c r="E2596" s="150"/>
      <c r="F2596" s="151"/>
      <c r="G2596" s="151"/>
      <c r="H2596" s="142">
        <f>IFERROR(VLOOKUP($C2596,$C$5:$H$18,6,0)+SUMIF($C$19:$C2596,$C2596,$F$19:$F2596)-SUMIF($C$19:$C2596,$C2596,$G$19:$G2596),"")</f>
        <v>81211.819999998</v>
      </c>
      <c r="I2596" s="147"/>
      <c r="J2596" s="147"/>
      <c r="K2596" s="147" t="str">
        <f t="shared" si="40"/>
        <v/>
      </c>
      <c r="L2596" s="40"/>
      <c r="M2596"/>
      <c r="N2596"/>
      <c r="O2596"/>
      <c r="P2596"/>
      <c r="Q2596"/>
      <c r="R2596"/>
      <c r="S2596"/>
      <c r="T2596"/>
      <c r="U2596"/>
      <c r="V2596"/>
      <c r="W2596" s="41"/>
      <c r="X2596" s="41"/>
      <c r="Y2596" s="41"/>
    </row>
    <row r="2597" s="27" customFormat="1" ht="23" hidden="1" customHeight="1" spans="1:25">
      <c r="A2597" s="133" t="str">
        <f>IF(B2597="","",COUNTA($B$5:B2597))</f>
        <v/>
      </c>
      <c r="B2597" s="148"/>
      <c r="C2597" s="22" t="s">
        <v>49</v>
      </c>
      <c r="D2597" s="149"/>
      <c r="E2597" s="150"/>
      <c r="F2597" s="151"/>
      <c r="G2597" s="151"/>
      <c r="H2597" s="142">
        <f>IFERROR(VLOOKUP($C2597,$C$5:$H$18,6,0)+SUMIF($C$19:$C2597,$C2597,$F$19:$F2597)-SUMIF($C$19:$C2597,$C2597,$G$19:$G2597),"")</f>
        <v>81211.819999998</v>
      </c>
      <c r="I2597" s="147"/>
      <c r="J2597" s="147"/>
      <c r="K2597" s="147" t="str">
        <f t="shared" si="40"/>
        <v/>
      </c>
      <c r="L2597" s="40"/>
      <c r="M2597"/>
      <c r="N2597"/>
      <c r="O2597"/>
      <c r="P2597"/>
      <c r="Q2597"/>
      <c r="R2597"/>
      <c r="S2597"/>
      <c r="T2597"/>
      <c r="U2597"/>
      <c r="V2597"/>
      <c r="W2597" s="41"/>
      <c r="X2597" s="41"/>
      <c r="Y2597" s="41"/>
    </row>
    <row r="2598" s="27" customFormat="1" ht="23" hidden="1" customHeight="1" spans="1:25">
      <c r="A2598" s="133" t="str">
        <f>IF(B2598="","",COUNTA($B$5:B2598))</f>
        <v/>
      </c>
      <c r="B2598" s="148"/>
      <c r="C2598" s="22" t="s">
        <v>49</v>
      </c>
      <c r="D2598" s="149"/>
      <c r="E2598" s="150"/>
      <c r="F2598" s="151"/>
      <c r="G2598" s="151"/>
      <c r="H2598" s="142">
        <f>IFERROR(VLOOKUP($C2598,$C$5:$H$18,6,0)+SUMIF($C$19:$C2598,$C2598,$F$19:$F2598)-SUMIF($C$19:$C2598,$C2598,$G$19:$G2598),"")</f>
        <v>81211.819999998</v>
      </c>
      <c r="I2598" s="147"/>
      <c r="J2598" s="147"/>
      <c r="K2598" s="147" t="str">
        <f t="shared" si="40"/>
        <v/>
      </c>
      <c r="L2598" s="40"/>
      <c r="M2598"/>
      <c r="N2598"/>
      <c r="O2598"/>
      <c r="P2598"/>
      <c r="Q2598"/>
      <c r="R2598"/>
      <c r="S2598"/>
      <c r="T2598"/>
      <c r="U2598"/>
      <c r="V2598"/>
      <c r="W2598" s="41"/>
      <c r="X2598" s="41"/>
      <c r="Y2598" s="41"/>
    </row>
    <row r="2599" s="27" customFormat="1" ht="23" hidden="1" customHeight="1" spans="1:25">
      <c r="A2599" s="133" t="str">
        <f>IF(B2599="","",COUNTA($B$5:B2599))</f>
        <v/>
      </c>
      <c r="B2599" s="148"/>
      <c r="C2599" s="22" t="s">
        <v>49</v>
      </c>
      <c r="D2599" s="149"/>
      <c r="E2599" s="150"/>
      <c r="F2599" s="151"/>
      <c r="G2599" s="151"/>
      <c r="H2599" s="142">
        <f>IFERROR(VLOOKUP($C2599,$C$5:$H$18,6,0)+SUMIF($C$19:$C2599,$C2599,$F$19:$F2599)-SUMIF($C$19:$C2599,$C2599,$G$19:$G2599),"")</f>
        <v>81211.819999998</v>
      </c>
      <c r="I2599" s="147"/>
      <c r="J2599" s="147"/>
      <c r="K2599" s="147" t="str">
        <f t="shared" si="40"/>
        <v/>
      </c>
      <c r="L2599" s="40"/>
      <c r="M2599"/>
      <c r="N2599"/>
      <c r="O2599"/>
      <c r="P2599"/>
      <c r="Q2599"/>
      <c r="R2599"/>
      <c r="S2599"/>
      <c r="T2599"/>
      <c r="U2599"/>
      <c r="V2599"/>
      <c r="W2599" s="41"/>
      <c r="X2599" s="41"/>
      <c r="Y2599" s="41"/>
    </row>
    <row r="2600" s="27" customFormat="1" ht="23" hidden="1" customHeight="1" spans="1:25">
      <c r="A2600" s="133" t="str">
        <f>IF(B2600="","",COUNTA($B$5:B2600))</f>
        <v/>
      </c>
      <c r="B2600" s="148"/>
      <c r="C2600" s="22" t="s">
        <v>49</v>
      </c>
      <c r="D2600" s="149"/>
      <c r="E2600" s="150"/>
      <c r="F2600" s="151"/>
      <c r="G2600" s="151"/>
      <c r="H2600" s="142">
        <f>IFERROR(VLOOKUP($C2600,$C$5:$H$18,6,0)+SUMIF($C$19:$C2600,$C2600,$F$19:$F2600)-SUMIF($C$19:$C2600,$C2600,$G$19:$G2600),"")</f>
        <v>81211.819999998</v>
      </c>
      <c r="I2600" s="147"/>
      <c r="J2600" s="147"/>
      <c r="K2600" s="147" t="str">
        <f t="shared" si="40"/>
        <v/>
      </c>
      <c r="L2600" s="40"/>
      <c r="M2600"/>
      <c r="N2600"/>
      <c r="O2600"/>
      <c r="P2600"/>
      <c r="Q2600"/>
      <c r="R2600"/>
      <c r="S2600"/>
      <c r="T2600"/>
      <c r="U2600"/>
      <c r="V2600"/>
      <c r="W2600" s="41"/>
      <c r="X2600" s="41"/>
      <c r="Y2600" s="41"/>
    </row>
    <row r="2601" s="27" customFormat="1" ht="23" hidden="1" customHeight="1" spans="1:25">
      <c r="A2601" s="133" t="str">
        <f>IF(B2601="","",COUNTA($B$5:B2601))</f>
        <v/>
      </c>
      <c r="B2601" s="148"/>
      <c r="C2601" s="22" t="s">
        <v>49</v>
      </c>
      <c r="D2601" s="149"/>
      <c r="E2601" s="150"/>
      <c r="F2601" s="151"/>
      <c r="G2601" s="151"/>
      <c r="H2601" s="142">
        <f>IFERROR(VLOOKUP($C2601,$C$5:$H$18,6,0)+SUMIF($C$19:$C2601,$C2601,$F$19:$F2601)-SUMIF($C$19:$C2601,$C2601,$G$19:$G2601),"")</f>
        <v>81211.819999998</v>
      </c>
      <c r="I2601" s="147"/>
      <c r="J2601" s="147"/>
      <c r="K2601" s="147" t="str">
        <f t="shared" si="40"/>
        <v/>
      </c>
      <c r="L2601" s="40"/>
      <c r="M2601"/>
      <c r="N2601"/>
      <c r="O2601"/>
      <c r="P2601"/>
      <c r="Q2601"/>
      <c r="R2601"/>
      <c r="S2601"/>
      <c r="T2601"/>
      <c r="U2601"/>
      <c r="V2601"/>
      <c r="W2601" s="41"/>
      <c r="X2601" s="41"/>
      <c r="Y2601" s="41"/>
    </row>
    <row r="2602" s="27" customFormat="1" ht="23" hidden="1" customHeight="1" spans="1:25">
      <c r="A2602" s="133" t="str">
        <f>IF(B2602="","",COUNTA($B$5:B2602))</f>
        <v/>
      </c>
      <c r="B2602" s="148"/>
      <c r="C2602" s="22" t="s">
        <v>49</v>
      </c>
      <c r="D2602" s="149"/>
      <c r="E2602" s="150"/>
      <c r="F2602" s="151"/>
      <c r="G2602" s="151"/>
      <c r="H2602" s="142">
        <f>IFERROR(VLOOKUP($C2602,$C$5:$H$18,6,0)+SUMIF($C$19:$C2602,$C2602,$F$19:$F2602)-SUMIF($C$19:$C2602,$C2602,$G$19:$G2602),"")</f>
        <v>81211.819999998</v>
      </c>
      <c r="I2602" s="147"/>
      <c r="J2602" s="147"/>
      <c r="K2602" s="147" t="str">
        <f t="shared" si="40"/>
        <v/>
      </c>
      <c r="L2602" s="40"/>
      <c r="M2602"/>
      <c r="N2602"/>
      <c r="O2602"/>
      <c r="P2602"/>
      <c r="Q2602"/>
      <c r="R2602"/>
      <c r="S2602"/>
      <c r="T2602"/>
      <c r="U2602"/>
      <c r="V2602"/>
      <c r="W2602" s="41"/>
      <c r="X2602" s="41"/>
      <c r="Y2602" s="41"/>
    </row>
    <row r="2603" s="27" customFormat="1" ht="23" hidden="1" customHeight="1" spans="1:25">
      <c r="A2603" s="133" t="str">
        <f>IF(B2603="","",COUNTA($B$5:B2603))</f>
        <v/>
      </c>
      <c r="B2603" s="148"/>
      <c r="C2603" s="22" t="s">
        <v>49</v>
      </c>
      <c r="D2603" s="149"/>
      <c r="E2603" s="150"/>
      <c r="F2603" s="151"/>
      <c r="G2603" s="151"/>
      <c r="H2603" s="142">
        <f>IFERROR(VLOOKUP($C2603,$C$5:$H$18,6,0)+SUMIF($C$19:$C2603,$C2603,$F$19:$F2603)-SUMIF($C$19:$C2603,$C2603,$G$19:$G2603),"")</f>
        <v>81211.819999998</v>
      </c>
      <c r="I2603" s="147"/>
      <c r="J2603" s="147"/>
      <c r="K2603" s="147" t="str">
        <f t="shared" si="40"/>
        <v/>
      </c>
      <c r="L2603" s="40"/>
      <c r="M2603"/>
      <c r="N2603"/>
      <c r="O2603"/>
      <c r="P2603"/>
      <c r="Q2603"/>
      <c r="R2603"/>
      <c r="S2603"/>
      <c r="T2603"/>
      <c r="U2603"/>
      <c r="V2603"/>
      <c r="W2603" s="41"/>
      <c r="X2603" s="41"/>
      <c r="Y2603" s="41"/>
    </row>
    <row r="2604" s="27" customFormat="1" ht="23" hidden="1" customHeight="1" spans="1:25">
      <c r="A2604" s="133" t="str">
        <f>IF(B2604="","",COUNTA($B$5:B2604))</f>
        <v/>
      </c>
      <c r="B2604" s="148"/>
      <c r="C2604" s="22" t="s">
        <v>49</v>
      </c>
      <c r="D2604" s="149"/>
      <c r="E2604" s="150"/>
      <c r="F2604" s="151"/>
      <c r="G2604" s="151"/>
      <c r="H2604" s="142">
        <f>IFERROR(VLOOKUP($C2604,$C$5:$H$18,6,0)+SUMIF($C$19:$C2604,$C2604,$F$19:$F2604)-SUMIF($C$19:$C2604,$C2604,$G$19:$G2604),"")</f>
        <v>81211.819999998</v>
      </c>
      <c r="I2604" s="147"/>
      <c r="J2604" s="147"/>
      <c r="K2604" s="147" t="str">
        <f t="shared" si="40"/>
        <v/>
      </c>
      <c r="L2604" s="40"/>
      <c r="M2604"/>
      <c r="N2604"/>
      <c r="O2604"/>
      <c r="P2604"/>
      <c r="Q2604"/>
      <c r="R2604"/>
      <c r="S2604"/>
      <c r="T2604"/>
      <c r="U2604"/>
      <c r="V2604"/>
      <c r="W2604" s="41"/>
      <c r="X2604" s="41"/>
      <c r="Y2604" s="41"/>
    </row>
    <row r="2605" s="27" customFormat="1" ht="23" hidden="1" customHeight="1" spans="1:25">
      <c r="A2605" s="133" t="str">
        <f>IF(B2605="","",COUNTA($B$5:B2605))</f>
        <v/>
      </c>
      <c r="B2605" s="148"/>
      <c r="C2605" s="22" t="s">
        <v>49</v>
      </c>
      <c r="D2605" s="149"/>
      <c r="E2605" s="150"/>
      <c r="F2605" s="151"/>
      <c r="G2605" s="151"/>
      <c r="H2605" s="142">
        <f>IFERROR(VLOOKUP($C2605,$C$5:$H$18,6,0)+SUMIF($C$19:$C2605,$C2605,$F$19:$F2605)-SUMIF($C$19:$C2605,$C2605,$G$19:$G2605),"")</f>
        <v>81211.819999998</v>
      </c>
      <c r="I2605" s="147"/>
      <c r="J2605" s="147"/>
      <c r="K2605" s="147" t="str">
        <f t="shared" si="40"/>
        <v/>
      </c>
      <c r="L2605" s="40"/>
      <c r="M2605"/>
      <c r="N2605"/>
      <c r="O2605"/>
      <c r="P2605"/>
      <c r="Q2605"/>
      <c r="R2605"/>
      <c r="S2605"/>
      <c r="T2605"/>
      <c r="U2605"/>
      <c r="V2605"/>
      <c r="W2605" s="41"/>
      <c r="X2605" s="41"/>
      <c r="Y2605" s="41"/>
    </row>
    <row r="2606" s="27" customFormat="1" ht="23" hidden="1" customHeight="1" spans="1:25">
      <c r="A2606" s="133" t="str">
        <f>IF(B2606="","",COUNTA($B$5:B2606))</f>
        <v/>
      </c>
      <c r="B2606" s="148"/>
      <c r="C2606" s="22" t="s">
        <v>49</v>
      </c>
      <c r="D2606" s="149"/>
      <c r="E2606" s="150"/>
      <c r="F2606" s="151"/>
      <c r="G2606" s="151"/>
      <c r="H2606" s="142">
        <f>IFERROR(VLOOKUP($C2606,$C$5:$H$18,6,0)+SUMIF($C$19:$C2606,$C2606,$F$19:$F2606)-SUMIF($C$19:$C2606,$C2606,$G$19:$G2606),"")</f>
        <v>81211.819999998</v>
      </c>
      <c r="I2606" s="147"/>
      <c r="J2606" s="147"/>
      <c r="K2606" s="147" t="str">
        <f t="shared" si="40"/>
        <v/>
      </c>
      <c r="L2606" s="40"/>
      <c r="M2606"/>
      <c r="N2606"/>
      <c r="O2606"/>
      <c r="P2606"/>
      <c r="Q2606"/>
      <c r="R2606"/>
      <c r="S2606"/>
      <c r="T2606"/>
      <c r="U2606"/>
      <c r="V2606"/>
      <c r="W2606" s="41"/>
      <c r="X2606" s="41"/>
      <c r="Y2606" s="41"/>
    </row>
    <row r="2607" s="27" customFormat="1" ht="23" hidden="1" customHeight="1" spans="1:25">
      <c r="A2607" s="133" t="str">
        <f>IF(B2607="","",COUNTA($B$5:B2607))</f>
        <v/>
      </c>
      <c r="B2607" s="148"/>
      <c r="C2607" s="22" t="s">
        <v>49</v>
      </c>
      <c r="D2607" s="149"/>
      <c r="E2607" s="150"/>
      <c r="F2607" s="151"/>
      <c r="G2607" s="151"/>
      <c r="H2607" s="142">
        <f>IFERROR(VLOOKUP($C2607,$C$5:$H$18,6,0)+SUMIF($C$19:$C2607,$C2607,$F$19:$F2607)-SUMIF($C$19:$C2607,$C2607,$G$19:$G2607),"")</f>
        <v>81211.819999998</v>
      </c>
      <c r="I2607" s="147"/>
      <c r="J2607" s="147"/>
      <c r="K2607" s="147" t="str">
        <f t="shared" si="40"/>
        <v/>
      </c>
      <c r="L2607" s="40"/>
      <c r="M2607"/>
      <c r="N2607"/>
      <c r="O2607"/>
      <c r="P2607"/>
      <c r="Q2607"/>
      <c r="R2607"/>
      <c r="S2607"/>
      <c r="T2607"/>
      <c r="U2607"/>
      <c r="V2607"/>
      <c r="W2607" s="41"/>
      <c r="X2607" s="41"/>
      <c r="Y2607" s="41"/>
    </row>
    <row r="2608" s="27" customFormat="1" ht="23" hidden="1" customHeight="1" spans="1:25">
      <c r="A2608" s="133" t="str">
        <f>IF(B2608="","",COUNTA($B$5:B2608))</f>
        <v/>
      </c>
      <c r="B2608" s="148"/>
      <c r="C2608" s="22" t="s">
        <v>49</v>
      </c>
      <c r="D2608" s="149"/>
      <c r="E2608" s="150"/>
      <c r="F2608" s="151"/>
      <c r="G2608" s="151"/>
      <c r="H2608" s="142">
        <f>IFERROR(VLOOKUP($C2608,$C$5:$H$18,6,0)+SUMIF($C$19:$C2608,$C2608,$F$19:$F2608)-SUMIF($C$19:$C2608,$C2608,$G$19:$G2608),"")</f>
        <v>81211.819999998</v>
      </c>
      <c r="I2608" s="147"/>
      <c r="J2608" s="147"/>
      <c r="K2608" s="147" t="str">
        <f t="shared" si="40"/>
        <v/>
      </c>
      <c r="L2608" s="40"/>
      <c r="M2608"/>
      <c r="N2608"/>
      <c r="O2608"/>
      <c r="P2608"/>
      <c r="Q2608"/>
      <c r="R2608"/>
      <c r="S2608"/>
      <c r="T2608"/>
      <c r="U2608"/>
      <c r="V2608"/>
      <c r="W2608" s="41"/>
      <c r="X2608" s="41"/>
      <c r="Y2608" s="41"/>
    </row>
    <row r="2609" s="27" customFormat="1" ht="23" hidden="1" customHeight="1" spans="1:25">
      <c r="A2609" s="133" t="str">
        <f>IF(B2609="","",COUNTA($B$5:B2609))</f>
        <v/>
      </c>
      <c r="B2609" s="148"/>
      <c r="C2609" s="22" t="s">
        <v>49</v>
      </c>
      <c r="D2609" s="149"/>
      <c r="E2609" s="150"/>
      <c r="F2609" s="151"/>
      <c r="G2609" s="151"/>
      <c r="H2609" s="142">
        <f>IFERROR(VLOOKUP($C2609,$C$5:$H$18,6,0)+SUMIF($C$19:$C2609,$C2609,$F$19:$F2609)-SUMIF($C$19:$C2609,$C2609,$G$19:$G2609),"")</f>
        <v>81211.819999998</v>
      </c>
      <c r="I2609" s="147"/>
      <c r="J2609" s="147"/>
      <c r="K2609" s="147" t="str">
        <f t="shared" si="40"/>
        <v/>
      </c>
      <c r="L2609" s="40"/>
      <c r="M2609"/>
      <c r="N2609"/>
      <c r="O2609"/>
      <c r="P2609"/>
      <c r="Q2609"/>
      <c r="R2609"/>
      <c r="S2609"/>
      <c r="T2609"/>
      <c r="U2609"/>
      <c r="V2609"/>
      <c r="W2609" s="41"/>
      <c r="X2609" s="41"/>
      <c r="Y2609" s="41"/>
    </row>
    <row r="2610" s="27" customFormat="1" ht="23" hidden="1" customHeight="1" spans="1:25">
      <c r="A2610" s="133" t="str">
        <f>IF(B2610="","",COUNTA($B$5:B2610))</f>
        <v/>
      </c>
      <c r="B2610" s="148"/>
      <c r="C2610" s="22" t="s">
        <v>49</v>
      </c>
      <c r="D2610" s="149"/>
      <c r="E2610" s="150"/>
      <c r="F2610" s="151"/>
      <c r="G2610" s="151"/>
      <c r="H2610" s="142">
        <f>IFERROR(VLOOKUP($C2610,$C$5:$H$18,6,0)+SUMIF($C$19:$C2610,$C2610,$F$19:$F2610)-SUMIF($C$19:$C2610,$C2610,$G$19:$G2610),"")</f>
        <v>81211.819999998</v>
      </c>
      <c r="I2610" s="147"/>
      <c r="J2610" s="147"/>
      <c r="K2610" s="147" t="str">
        <f t="shared" si="40"/>
        <v/>
      </c>
      <c r="L2610" s="40"/>
      <c r="M2610"/>
      <c r="N2610"/>
      <c r="O2610"/>
      <c r="P2610"/>
      <c r="Q2610"/>
      <c r="R2610"/>
      <c r="S2610"/>
      <c r="T2610"/>
      <c r="U2610"/>
      <c r="V2610"/>
      <c r="W2610" s="41"/>
      <c r="X2610" s="41"/>
      <c r="Y2610" s="41"/>
    </row>
    <row r="2611" s="27" customFormat="1" ht="23" hidden="1" customHeight="1" spans="1:25">
      <c r="A2611" s="133" t="str">
        <f>IF(B2611="","",COUNTA($B$5:B2611))</f>
        <v/>
      </c>
      <c r="B2611" s="148"/>
      <c r="C2611" s="22" t="s">
        <v>49</v>
      </c>
      <c r="D2611" s="149"/>
      <c r="E2611" s="150"/>
      <c r="F2611" s="151"/>
      <c r="G2611" s="151"/>
      <c r="H2611" s="142">
        <f>IFERROR(VLOOKUP($C2611,$C$5:$H$18,6,0)+SUMIF($C$19:$C2611,$C2611,$F$19:$F2611)-SUMIF($C$19:$C2611,$C2611,$G$19:$G2611),"")</f>
        <v>81211.819999998</v>
      </c>
      <c r="I2611" s="147"/>
      <c r="J2611" s="147"/>
      <c r="K2611" s="147" t="str">
        <f t="shared" si="40"/>
        <v/>
      </c>
      <c r="L2611" s="40"/>
      <c r="M2611"/>
      <c r="N2611"/>
      <c r="O2611"/>
      <c r="P2611"/>
      <c r="Q2611"/>
      <c r="R2611"/>
      <c r="S2611"/>
      <c r="T2611"/>
      <c r="U2611"/>
      <c r="V2611"/>
      <c r="W2611" s="41"/>
      <c r="X2611" s="41"/>
      <c r="Y2611" s="41"/>
    </row>
    <row r="2612" s="27" customFormat="1" ht="23" hidden="1" customHeight="1" spans="1:25">
      <c r="A2612" s="133" t="str">
        <f>IF(B2612="","",COUNTA($B$5:B2612))</f>
        <v/>
      </c>
      <c r="B2612" s="148"/>
      <c r="C2612" s="22" t="s">
        <v>49</v>
      </c>
      <c r="D2612" s="149"/>
      <c r="E2612" s="150"/>
      <c r="F2612" s="151"/>
      <c r="G2612" s="151"/>
      <c r="H2612" s="142">
        <f>IFERROR(VLOOKUP($C2612,$C$5:$H$18,6,0)+SUMIF($C$19:$C2612,$C2612,$F$19:$F2612)-SUMIF($C$19:$C2612,$C2612,$G$19:$G2612),"")</f>
        <v>81211.819999998</v>
      </c>
      <c r="I2612" s="147"/>
      <c r="J2612" s="147"/>
      <c r="K2612" s="147" t="str">
        <f t="shared" si="40"/>
        <v/>
      </c>
      <c r="L2612" s="40"/>
      <c r="M2612"/>
      <c r="N2612"/>
      <c r="O2612"/>
      <c r="P2612"/>
      <c r="Q2612"/>
      <c r="R2612"/>
      <c r="S2612"/>
      <c r="T2612"/>
      <c r="U2612"/>
      <c r="V2612"/>
      <c r="W2612" s="41"/>
      <c r="X2612" s="41"/>
      <c r="Y2612" s="41"/>
    </row>
    <row r="2613" s="27" customFormat="1" ht="23" hidden="1" customHeight="1" spans="1:25">
      <c r="A2613" s="133" t="str">
        <f>IF(B2613="","",COUNTA($B$5:B2613))</f>
        <v/>
      </c>
      <c r="B2613" s="148"/>
      <c r="C2613" s="22" t="s">
        <v>49</v>
      </c>
      <c r="D2613" s="149"/>
      <c r="E2613" s="150"/>
      <c r="F2613" s="151"/>
      <c r="G2613" s="151"/>
      <c r="H2613" s="142">
        <f>IFERROR(VLOOKUP($C2613,$C$5:$H$18,6,0)+SUMIF($C$19:$C2613,$C2613,$F$19:$F2613)-SUMIF($C$19:$C2613,$C2613,$G$19:$G2613),"")</f>
        <v>81211.819999998</v>
      </c>
      <c r="I2613" s="147"/>
      <c r="J2613" s="147"/>
      <c r="K2613" s="147" t="str">
        <f t="shared" si="40"/>
        <v/>
      </c>
      <c r="L2613" s="40"/>
      <c r="M2613"/>
      <c r="N2613"/>
      <c r="O2613"/>
      <c r="P2613"/>
      <c r="Q2613"/>
      <c r="R2613"/>
      <c r="S2613"/>
      <c r="T2613"/>
      <c r="U2613"/>
      <c r="V2613"/>
      <c r="W2613" s="41"/>
      <c r="X2613" s="41"/>
      <c r="Y2613" s="41"/>
    </row>
    <row r="2614" s="27" customFormat="1" ht="23" hidden="1" customHeight="1" spans="1:25">
      <c r="A2614" s="133" t="str">
        <f>IF(B2614="","",COUNTA($B$5:B2614))</f>
        <v/>
      </c>
      <c r="B2614" s="148"/>
      <c r="C2614" s="22" t="s">
        <v>49</v>
      </c>
      <c r="D2614" s="149"/>
      <c r="E2614" s="150"/>
      <c r="F2614" s="151"/>
      <c r="G2614" s="151"/>
      <c r="H2614" s="142">
        <f>IFERROR(VLOOKUP($C2614,$C$5:$H$18,6,0)+SUMIF($C$19:$C2614,$C2614,$F$19:$F2614)-SUMIF($C$19:$C2614,$C2614,$G$19:$G2614),"")</f>
        <v>81211.819999998</v>
      </c>
      <c r="I2614" s="147"/>
      <c r="J2614" s="147"/>
      <c r="K2614" s="147" t="str">
        <f t="shared" si="40"/>
        <v/>
      </c>
      <c r="L2614" s="40"/>
      <c r="M2614"/>
      <c r="N2614"/>
      <c r="O2614"/>
      <c r="P2614"/>
      <c r="Q2614"/>
      <c r="R2614"/>
      <c r="S2614"/>
      <c r="T2614"/>
      <c r="U2614"/>
      <c r="V2614"/>
      <c r="W2614" s="41"/>
      <c r="X2614" s="41"/>
      <c r="Y2614" s="41"/>
    </row>
    <row r="2615" s="27" customFormat="1" ht="23" hidden="1" customHeight="1" spans="1:25">
      <c r="A2615" s="133" t="str">
        <f>IF(B2615="","",COUNTA($B$5:B2615))</f>
        <v/>
      </c>
      <c r="B2615" s="148"/>
      <c r="C2615" s="22" t="s">
        <v>49</v>
      </c>
      <c r="D2615" s="149"/>
      <c r="E2615" s="150"/>
      <c r="F2615" s="151"/>
      <c r="G2615" s="151"/>
      <c r="H2615" s="142">
        <f>IFERROR(VLOOKUP($C2615,$C$5:$H$18,6,0)+SUMIF($C$19:$C2615,$C2615,$F$19:$F2615)-SUMIF($C$19:$C2615,$C2615,$G$19:$G2615),"")</f>
        <v>81211.819999998</v>
      </c>
      <c r="I2615" s="147"/>
      <c r="J2615" s="147"/>
      <c r="K2615" s="147" t="str">
        <f t="shared" si="40"/>
        <v/>
      </c>
      <c r="L2615" s="40"/>
      <c r="M2615"/>
      <c r="N2615"/>
      <c r="O2615"/>
      <c r="P2615"/>
      <c r="Q2615"/>
      <c r="R2615"/>
      <c r="S2615"/>
      <c r="T2615"/>
      <c r="U2615"/>
      <c r="V2615"/>
      <c r="W2615" s="41"/>
      <c r="X2615" s="41"/>
      <c r="Y2615" s="41"/>
    </row>
    <row r="2616" s="27" customFormat="1" ht="23" hidden="1" customHeight="1" spans="1:25">
      <c r="A2616" s="133" t="str">
        <f>IF(B2616="","",COUNTA($B$5:B2616))</f>
        <v/>
      </c>
      <c r="B2616" s="148"/>
      <c r="C2616" s="22" t="s">
        <v>49</v>
      </c>
      <c r="D2616" s="149"/>
      <c r="E2616" s="150"/>
      <c r="F2616" s="151"/>
      <c r="G2616" s="151"/>
      <c r="H2616" s="142">
        <f>IFERROR(VLOOKUP($C2616,$C$5:$H$18,6,0)+SUMIF($C$19:$C2616,$C2616,$F$19:$F2616)-SUMIF($C$19:$C2616,$C2616,$G$19:$G2616),"")</f>
        <v>81211.819999998</v>
      </c>
      <c r="I2616" s="147"/>
      <c r="J2616" s="147"/>
      <c r="K2616" s="147" t="str">
        <f t="shared" si="40"/>
        <v/>
      </c>
      <c r="L2616" s="40"/>
      <c r="M2616"/>
      <c r="N2616"/>
      <c r="O2616"/>
      <c r="P2616"/>
      <c r="Q2616"/>
      <c r="R2616"/>
      <c r="S2616"/>
      <c r="T2616"/>
      <c r="U2616"/>
      <c r="V2616"/>
      <c r="W2616" s="41"/>
      <c r="X2616" s="41"/>
      <c r="Y2616" s="41"/>
    </row>
    <row r="2617" s="27" customFormat="1" ht="23" hidden="1" customHeight="1" spans="1:25">
      <c r="A2617" s="133" t="str">
        <f>IF(B2617="","",COUNTA($B$5:B2617))</f>
        <v/>
      </c>
      <c r="B2617" s="148"/>
      <c r="C2617" s="22" t="s">
        <v>49</v>
      </c>
      <c r="D2617" s="149"/>
      <c r="E2617" s="150"/>
      <c r="F2617" s="151"/>
      <c r="G2617" s="151"/>
      <c r="H2617" s="142">
        <f>IFERROR(VLOOKUP($C2617,$C$5:$H$18,6,0)+SUMIF($C$19:$C2617,$C2617,$F$19:$F2617)-SUMIF($C$19:$C2617,$C2617,$G$19:$G2617),"")</f>
        <v>81211.819999998</v>
      </c>
      <c r="I2617" s="147"/>
      <c r="J2617" s="147"/>
      <c r="K2617" s="147" t="str">
        <f t="shared" si="40"/>
        <v/>
      </c>
      <c r="L2617" s="40"/>
      <c r="M2617"/>
      <c r="N2617"/>
      <c r="O2617"/>
      <c r="P2617"/>
      <c r="Q2617"/>
      <c r="R2617"/>
      <c r="S2617"/>
      <c r="T2617"/>
      <c r="U2617"/>
      <c r="V2617"/>
      <c r="W2617" s="41"/>
      <c r="X2617" s="41"/>
      <c r="Y2617" s="41"/>
    </row>
    <row r="2618" s="27" customFormat="1" ht="23" hidden="1" customHeight="1" spans="1:25">
      <c r="A2618" s="133" t="str">
        <f>IF(B2618="","",COUNTA($B$5:B2618))</f>
        <v/>
      </c>
      <c r="B2618" s="148"/>
      <c r="C2618" s="22" t="s">
        <v>49</v>
      </c>
      <c r="D2618" s="149"/>
      <c r="E2618" s="150"/>
      <c r="F2618" s="151"/>
      <c r="G2618" s="151"/>
      <c r="H2618" s="142">
        <f>IFERROR(VLOOKUP($C2618,$C$5:$H$18,6,0)+SUMIF($C$19:$C2618,$C2618,$F$19:$F2618)-SUMIF($C$19:$C2618,$C2618,$G$19:$G2618),"")</f>
        <v>81211.819999998</v>
      </c>
      <c r="I2618" s="147"/>
      <c r="J2618" s="147"/>
      <c r="K2618" s="147" t="str">
        <f t="shared" si="40"/>
        <v/>
      </c>
      <c r="L2618" s="40"/>
      <c r="M2618"/>
      <c r="N2618"/>
      <c r="O2618"/>
      <c r="P2618"/>
      <c r="Q2618"/>
      <c r="R2618"/>
      <c r="S2618"/>
      <c r="T2618"/>
      <c r="U2618"/>
      <c r="V2618"/>
      <c r="W2618" s="41"/>
      <c r="X2618" s="41"/>
      <c r="Y2618" s="41"/>
    </row>
    <row r="2619" s="27" customFormat="1" ht="23" hidden="1" customHeight="1" spans="1:25">
      <c r="A2619" s="133" t="str">
        <f>IF(B2619="","",COUNTA($B$5:B2619))</f>
        <v/>
      </c>
      <c r="B2619" s="148"/>
      <c r="C2619" s="22" t="s">
        <v>49</v>
      </c>
      <c r="D2619" s="149"/>
      <c r="E2619" s="150"/>
      <c r="F2619" s="151"/>
      <c r="G2619" s="151"/>
      <c r="H2619" s="142">
        <f>IFERROR(VLOOKUP($C2619,$C$5:$H$18,6,0)+SUMIF($C$19:$C2619,$C2619,$F$19:$F2619)-SUMIF($C$19:$C2619,$C2619,$G$19:$G2619),"")</f>
        <v>81211.819999998</v>
      </c>
      <c r="I2619" s="147"/>
      <c r="J2619" s="147"/>
      <c r="K2619" s="147" t="str">
        <f t="shared" si="40"/>
        <v/>
      </c>
      <c r="L2619" s="40"/>
      <c r="M2619"/>
      <c r="N2619"/>
      <c r="O2619"/>
      <c r="P2619"/>
      <c r="Q2619"/>
      <c r="R2619"/>
      <c r="S2619"/>
      <c r="T2619"/>
      <c r="U2619"/>
      <c r="V2619"/>
      <c r="W2619" s="41"/>
      <c r="X2619" s="41"/>
      <c r="Y2619" s="41"/>
    </row>
    <row r="2620" s="27" customFormat="1" ht="23" hidden="1" customHeight="1" spans="1:25">
      <c r="A2620" s="133" t="str">
        <f>IF(B2620="","",COUNTA($B$5:B2620))</f>
        <v/>
      </c>
      <c r="B2620" s="148"/>
      <c r="C2620" s="22" t="s">
        <v>49</v>
      </c>
      <c r="D2620" s="149"/>
      <c r="E2620" s="150"/>
      <c r="F2620" s="151"/>
      <c r="G2620" s="151"/>
      <c r="H2620" s="142">
        <f>IFERROR(VLOOKUP($C2620,$C$5:$H$18,6,0)+SUMIF($C$19:$C2620,$C2620,$F$19:$F2620)-SUMIF($C$19:$C2620,$C2620,$G$19:$G2620),"")</f>
        <v>81211.819999998</v>
      </c>
      <c r="I2620" s="147"/>
      <c r="J2620" s="147"/>
      <c r="K2620" s="147" t="str">
        <f t="shared" si="40"/>
        <v/>
      </c>
      <c r="L2620" s="40"/>
      <c r="M2620"/>
      <c r="N2620"/>
      <c r="O2620"/>
      <c r="P2620"/>
      <c r="Q2620"/>
      <c r="R2620"/>
      <c r="S2620"/>
      <c r="T2620"/>
      <c r="U2620"/>
      <c r="V2620"/>
      <c r="W2620" s="41"/>
      <c r="X2620" s="41"/>
      <c r="Y2620" s="41"/>
    </row>
    <row r="2621" s="27" customFormat="1" ht="23" hidden="1" customHeight="1" spans="1:25">
      <c r="A2621" s="133" t="str">
        <f>IF(B2621="","",COUNTA($B$5:B2621))</f>
        <v/>
      </c>
      <c r="B2621" s="148"/>
      <c r="C2621" s="22" t="s">
        <v>49</v>
      </c>
      <c r="D2621" s="149"/>
      <c r="E2621" s="150"/>
      <c r="F2621" s="151"/>
      <c r="G2621" s="151"/>
      <c r="H2621" s="142">
        <f>IFERROR(VLOOKUP($C2621,$C$5:$H$18,6,0)+SUMIF($C$19:$C2621,$C2621,$F$19:$F2621)-SUMIF($C$19:$C2621,$C2621,$G$19:$G2621),"")</f>
        <v>81211.819999998</v>
      </c>
      <c r="I2621" s="147"/>
      <c r="J2621" s="147"/>
      <c r="K2621" s="147" t="str">
        <f t="shared" si="40"/>
        <v/>
      </c>
      <c r="L2621" s="40"/>
      <c r="M2621"/>
      <c r="N2621"/>
      <c r="O2621"/>
      <c r="P2621"/>
      <c r="Q2621"/>
      <c r="R2621"/>
      <c r="S2621"/>
      <c r="T2621"/>
      <c r="U2621"/>
      <c r="V2621"/>
      <c r="W2621" s="41"/>
      <c r="X2621" s="41"/>
      <c r="Y2621" s="41"/>
    </row>
    <row r="2622" s="27" customFormat="1" ht="23" hidden="1" customHeight="1" spans="1:25">
      <c r="A2622" s="133" t="str">
        <f>IF(B2622="","",COUNTA($B$5:B2622))</f>
        <v/>
      </c>
      <c r="B2622" s="148"/>
      <c r="C2622" s="22" t="s">
        <v>49</v>
      </c>
      <c r="D2622" s="149"/>
      <c r="E2622" s="150"/>
      <c r="F2622" s="151"/>
      <c r="G2622" s="151"/>
      <c r="H2622" s="142">
        <f>IFERROR(VLOOKUP($C2622,$C$5:$H$18,6,0)+SUMIF($C$19:$C2622,$C2622,$F$19:$F2622)-SUMIF($C$19:$C2622,$C2622,$G$19:$G2622),"")</f>
        <v>81211.819999998</v>
      </c>
      <c r="I2622" s="147"/>
      <c r="J2622" s="147"/>
      <c r="K2622" s="147" t="str">
        <f t="shared" si="40"/>
        <v/>
      </c>
      <c r="L2622" s="40"/>
      <c r="M2622"/>
      <c r="N2622"/>
      <c r="O2622"/>
      <c r="P2622"/>
      <c r="Q2622"/>
      <c r="R2622"/>
      <c r="S2622"/>
      <c r="T2622"/>
      <c r="U2622"/>
      <c r="V2622"/>
      <c r="W2622" s="41"/>
      <c r="X2622" s="41"/>
      <c r="Y2622" s="41"/>
    </row>
    <row r="2623" s="27" customFormat="1" ht="23" hidden="1" customHeight="1" spans="1:25">
      <c r="A2623" s="133" t="str">
        <f>IF(B2623="","",COUNTA($B$5:B2623))</f>
        <v/>
      </c>
      <c r="B2623" s="148"/>
      <c r="C2623" s="22" t="s">
        <v>49</v>
      </c>
      <c r="D2623" s="149"/>
      <c r="E2623" s="150"/>
      <c r="F2623" s="151"/>
      <c r="G2623" s="151"/>
      <c r="H2623" s="142">
        <f>IFERROR(VLOOKUP($C2623,$C$5:$H$18,6,0)+SUMIF($C$19:$C2623,$C2623,$F$19:$F2623)-SUMIF($C$19:$C2623,$C2623,$G$19:$G2623),"")</f>
        <v>81211.819999998</v>
      </c>
      <c r="I2623" s="147"/>
      <c r="J2623" s="147"/>
      <c r="K2623" s="147" t="str">
        <f t="shared" si="40"/>
        <v/>
      </c>
      <c r="L2623" s="40"/>
      <c r="M2623"/>
      <c r="N2623"/>
      <c r="O2623"/>
      <c r="P2623"/>
      <c r="Q2623"/>
      <c r="R2623"/>
      <c r="S2623"/>
      <c r="T2623"/>
      <c r="U2623"/>
      <c r="V2623"/>
      <c r="W2623" s="41"/>
      <c r="X2623" s="41"/>
      <c r="Y2623" s="41"/>
    </row>
    <row r="2624" s="27" customFormat="1" ht="23" hidden="1" customHeight="1" spans="1:25">
      <c r="A2624" s="133" t="str">
        <f>IF(B2624="","",COUNTA($B$5:B2624))</f>
        <v/>
      </c>
      <c r="B2624" s="148"/>
      <c r="C2624" s="22" t="s">
        <v>49</v>
      </c>
      <c r="D2624" s="149"/>
      <c r="E2624" s="150"/>
      <c r="F2624" s="151"/>
      <c r="G2624" s="151"/>
      <c r="H2624" s="142">
        <f>IFERROR(VLOOKUP($C2624,$C$5:$H$18,6,0)+SUMIF($C$19:$C2624,$C2624,$F$19:$F2624)-SUMIF($C$19:$C2624,$C2624,$G$19:$G2624),"")</f>
        <v>81211.819999998</v>
      </c>
      <c r="I2624" s="147"/>
      <c r="J2624" s="147"/>
      <c r="K2624" s="147" t="str">
        <f t="shared" si="40"/>
        <v/>
      </c>
      <c r="L2624" s="40"/>
      <c r="M2624"/>
      <c r="N2624"/>
      <c r="O2624"/>
      <c r="P2624"/>
      <c r="Q2624"/>
      <c r="R2624"/>
      <c r="S2624"/>
      <c r="T2624"/>
      <c r="U2624"/>
      <c r="V2624"/>
      <c r="W2624" s="41"/>
      <c r="X2624" s="41"/>
      <c r="Y2624" s="41"/>
    </row>
    <row r="2625" s="27" customFormat="1" ht="23" hidden="1" customHeight="1" spans="1:25">
      <c r="A2625" s="133" t="str">
        <f>IF(B2625="","",COUNTA($B$5:B2625))</f>
        <v/>
      </c>
      <c r="B2625" s="148"/>
      <c r="C2625" s="22" t="s">
        <v>49</v>
      </c>
      <c r="D2625" s="149"/>
      <c r="E2625" s="150"/>
      <c r="F2625" s="151"/>
      <c r="G2625" s="151"/>
      <c r="H2625" s="142">
        <f>IFERROR(VLOOKUP($C2625,$C$5:$H$18,6,0)+SUMIF($C$19:$C2625,$C2625,$F$19:$F2625)-SUMIF($C$19:$C2625,$C2625,$G$19:$G2625),"")</f>
        <v>81211.819999998</v>
      </c>
      <c r="I2625" s="147"/>
      <c r="J2625" s="147"/>
      <c r="K2625" s="147" t="str">
        <f t="shared" si="40"/>
        <v/>
      </c>
      <c r="L2625" s="40"/>
      <c r="M2625"/>
      <c r="N2625"/>
      <c r="O2625"/>
      <c r="P2625"/>
      <c r="Q2625"/>
      <c r="R2625"/>
      <c r="S2625"/>
      <c r="T2625"/>
      <c r="U2625"/>
      <c r="V2625"/>
      <c r="W2625" s="41"/>
      <c r="X2625" s="41"/>
      <c r="Y2625" s="41"/>
    </row>
    <row r="2626" s="27" customFormat="1" ht="23" hidden="1" customHeight="1" spans="1:25">
      <c r="A2626" s="133" t="str">
        <f>IF(B2626="","",COUNTA($B$5:B2626))</f>
        <v/>
      </c>
      <c r="B2626" s="148"/>
      <c r="C2626" s="22" t="s">
        <v>49</v>
      </c>
      <c r="D2626" s="149"/>
      <c r="E2626" s="150"/>
      <c r="F2626" s="151"/>
      <c r="G2626" s="151"/>
      <c r="H2626" s="142">
        <f>IFERROR(VLOOKUP($C2626,$C$5:$H$18,6,0)+SUMIF($C$19:$C2626,$C2626,$F$19:$F2626)-SUMIF($C$19:$C2626,$C2626,$G$19:$G2626),"")</f>
        <v>81211.819999998</v>
      </c>
      <c r="I2626" s="147"/>
      <c r="J2626" s="147"/>
      <c r="K2626" s="147" t="str">
        <f t="shared" si="40"/>
        <v/>
      </c>
      <c r="L2626" s="40"/>
      <c r="M2626"/>
      <c r="N2626"/>
      <c r="O2626"/>
      <c r="P2626"/>
      <c r="Q2626"/>
      <c r="R2626"/>
      <c r="S2626"/>
      <c r="T2626"/>
      <c r="U2626"/>
      <c r="V2626"/>
      <c r="W2626" s="41"/>
      <c r="X2626" s="41"/>
      <c r="Y2626" s="41"/>
    </row>
    <row r="2627" s="27" customFormat="1" ht="23" hidden="1" customHeight="1" spans="1:25">
      <c r="A2627" s="133" t="str">
        <f>IF(B2627="","",COUNTA($B$5:B2627))</f>
        <v/>
      </c>
      <c r="B2627" s="148"/>
      <c r="C2627" s="22" t="s">
        <v>49</v>
      </c>
      <c r="D2627" s="149"/>
      <c r="E2627" s="150"/>
      <c r="F2627" s="151"/>
      <c r="G2627" s="151"/>
      <c r="H2627" s="142">
        <f>IFERROR(VLOOKUP($C2627,$C$5:$H$18,6,0)+SUMIF($C$19:$C2627,$C2627,$F$19:$F2627)-SUMIF($C$19:$C2627,$C2627,$G$19:$G2627),"")</f>
        <v>81211.819999998</v>
      </c>
      <c r="I2627" s="147"/>
      <c r="J2627" s="147"/>
      <c r="K2627" s="147" t="str">
        <f t="shared" si="40"/>
        <v/>
      </c>
      <c r="L2627" s="40"/>
      <c r="M2627"/>
      <c r="N2627"/>
      <c r="O2627"/>
      <c r="P2627"/>
      <c r="Q2627"/>
      <c r="R2627"/>
      <c r="S2627"/>
      <c r="T2627"/>
      <c r="U2627"/>
      <c r="V2627"/>
      <c r="W2627" s="41"/>
      <c r="X2627" s="41"/>
      <c r="Y2627" s="41"/>
    </row>
    <row r="2628" s="27" customFormat="1" ht="23" hidden="1" customHeight="1" spans="1:25">
      <c r="A2628" s="133" t="str">
        <f>IF(B2628="","",COUNTA($B$5:B2628))</f>
        <v/>
      </c>
      <c r="B2628" s="148"/>
      <c r="C2628" s="22" t="s">
        <v>49</v>
      </c>
      <c r="D2628" s="149"/>
      <c r="E2628" s="150"/>
      <c r="F2628" s="151"/>
      <c r="G2628" s="151"/>
      <c r="H2628" s="142">
        <f>IFERROR(VLOOKUP($C2628,$C$5:$H$18,6,0)+SUMIF($C$19:$C2628,$C2628,$F$19:$F2628)-SUMIF($C$19:$C2628,$C2628,$G$19:$G2628),"")</f>
        <v>81211.819999998</v>
      </c>
      <c r="I2628" s="147"/>
      <c r="J2628" s="147"/>
      <c r="K2628" s="147" t="str">
        <f t="shared" si="40"/>
        <v/>
      </c>
      <c r="L2628" s="40"/>
      <c r="M2628"/>
      <c r="N2628"/>
      <c r="O2628"/>
      <c r="P2628"/>
      <c r="Q2628"/>
      <c r="R2628"/>
      <c r="S2628"/>
      <c r="T2628"/>
      <c r="U2628"/>
      <c r="V2628"/>
      <c r="W2628" s="41"/>
      <c r="X2628" s="41"/>
      <c r="Y2628" s="41"/>
    </row>
    <row r="2629" s="27" customFormat="1" ht="23" hidden="1" customHeight="1" spans="1:25">
      <c r="A2629" s="133" t="str">
        <f>IF(B2629="","",COUNTA($B$5:B2629))</f>
        <v/>
      </c>
      <c r="B2629" s="148"/>
      <c r="C2629" s="22" t="s">
        <v>49</v>
      </c>
      <c r="D2629" s="149"/>
      <c r="E2629" s="150"/>
      <c r="F2629" s="151"/>
      <c r="G2629" s="151"/>
      <c r="H2629" s="142">
        <f>IFERROR(VLOOKUP($C2629,$C$5:$H$18,6,0)+SUMIF($C$19:$C2629,$C2629,$F$19:$F2629)-SUMIF($C$19:$C2629,$C2629,$G$19:$G2629),"")</f>
        <v>81211.819999998</v>
      </c>
      <c r="I2629" s="147"/>
      <c r="J2629" s="147"/>
      <c r="K2629" s="147" t="str">
        <f t="shared" ref="K2629:K2692" si="41">IF($B2629="","",--TEXT($B2629,"yyyymm"))</f>
        <v/>
      </c>
      <c r="L2629" s="40"/>
      <c r="M2629"/>
      <c r="N2629"/>
      <c r="O2629"/>
      <c r="P2629"/>
      <c r="Q2629"/>
      <c r="R2629"/>
      <c r="S2629"/>
      <c r="T2629"/>
      <c r="U2629"/>
      <c r="V2629"/>
      <c r="W2629" s="41"/>
      <c r="X2629" s="41"/>
      <c r="Y2629" s="41"/>
    </row>
    <row r="2630" s="27" customFormat="1" ht="23" hidden="1" customHeight="1" spans="1:25">
      <c r="A2630" s="133" t="str">
        <f>IF(B2630="","",COUNTA($B$5:B2630))</f>
        <v/>
      </c>
      <c r="B2630" s="148"/>
      <c r="C2630" s="22" t="s">
        <v>49</v>
      </c>
      <c r="D2630" s="149"/>
      <c r="E2630" s="150"/>
      <c r="F2630" s="151"/>
      <c r="G2630" s="151"/>
      <c r="H2630" s="142">
        <f>IFERROR(VLOOKUP($C2630,$C$5:$H$18,6,0)+SUMIF($C$19:$C2630,$C2630,$F$19:$F2630)-SUMIF($C$19:$C2630,$C2630,$G$19:$G2630),"")</f>
        <v>81211.819999998</v>
      </c>
      <c r="I2630" s="147"/>
      <c r="J2630" s="147"/>
      <c r="K2630" s="147" t="str">
        <f t="shared" si="41"/>
        <v/>
      </c>
      <c r="L2630" s="40"/>
      <c r="M2630"/>
      <c r="N2630"/>
      <c r="O2630"/>
      <c r="P2630"/>
      <c r="Q2630"/>
      <c r="R2630"/>
      <c r="S2630"/>
      <c r="T2630"/>
      <c r="U2630"/>
      <c r="V2630"/>
      <c r="W2630" s="41"/>
      <c r="X2630" s="41"/>
      <c r="Y2630" s="41"/>
    </row>
    <row r="2631" s="27" customFormat="1" ht="23" hidden="1" customHeight="1" spans="1:25">
      <c r="A2631" s="133" t="str">
        <f>IF(B2631="","",COUNTA($B$5:B2631))</f>
        <v/>
      </c>
      <c r="B2631" s="148"/>
      <c r="C2631" s="22" t="s">
        <v>49</v>
      </c>
      <c r="D2631" s="149"/>
      <c r="E2631" s="150"/>
      <c r="F2631" s="151"/>
      <c r="G2631" s="151"/>
      <c r="H2631" s="142">
        <f>IFERROR(VLOOKUP($C2631,$C$5:$H$18,6,0)+SUMIF($C$19:$C2631,$C2631,$F$19:$F2631)-SUMIF($C$19:$C2631,$C2631,$G$19:$G2631),"")</f>
        <v>81211.819999998</v>
      </c>
      <c r="I2631" s="147"/>
      <c r="J2631" s="147"/>
      <c r="K2631" s="147" t="str">
        <f t="shared" si="41"/>
        <v/>
      </c>
      <c r="L2631" s="40"/>
      <c r="M2631"/>
      <c r="N2631"/>
      <c r="O2631"/>
      <c r="P2631"/>
      <c r="Q2631"/>
      <c r="R2631"/>
      <c r="S2631"/>
      <c r="T2631"/>
      <c r="U2631"/>
      <c r="V2631"/>
      <c r="W2631" s="41"/>
      <c r="X2631" s="41"/>
      <c r="Y2631" s="41"/>
    </row>
    <row r="2632" s="27" customFormat="1" ht="23" hidden="1" customHeight="1" spans="1:25">
      <c r="A2632" s="133" t="str">
        <f>IF(B2632="","",COUNTA($B$5:B2632))</f>
        <v/>
      </c>
      <c r="B2632" s="148"/>
      <c r="C2632" s="22" t="s">
        <v>49</v>
      </c>
      <c r="D2632" s="149"/>
      <c r="E2632" s="150"/>
      <c r="F2632" s="151"/>
      <c r="G2632" s="151"/>
      <c r="H2632" s="142">
        <f>IFERROR(VLOOKUP($C2632,$C$5:$H$18,6,0)+SUMIF($C$19:$C2632,$C2632,$F$19:$F2632)-SUMIF($C$19:$C2632,$C2632,$G$19:$G2632),"")</f>
        <v>81211.819999998</v>
      </c>
      <c r="I2632" s="147"/>
      <c r="J2632" s="147"/>
      <c r="K2632" s="147" t="str">
        <f t="shared" si="41"/>
        <v/>
      </c>
      <c r="L2632" s="40"/>
      <c r="M2632"/>
      <c r="N2632"/>
      <c r="O2632"/>
      <c r="P2632"/>
      <c r="Q2632"/>
      <c r="R2632"/>
      <c r="S2632"/>
      <c r="T2632"/>
      <c r="U2632"/>
      <c r="V2632"/>
      <c r="W2632" s="41"/>
      <c r="X2632" s="41"/>
      <c r="Y2632" s="41"/>
    </row>
    <row r="2633" s="27" customFormat="1" ht="23" hidden="1" customHeight="1" spans="1:25">
      <c r="A2633" s="133" t="str">
        <f>IF(B2633="","",COUNTA($B$5:B2633))</f>
        <v/>
      </c>
      <c r="B2633" s="148"/>
      <c r="C2633" s="22" t="s">
        <v>49</v>
      </c>
      <c r="D2633" s="149"/>
      <c r="E2633" s="150"/>
      <c r="F2633" s="151"/>
      <c r="G2633" s="151"/>
      <c r="H2633" s="142">
        <f>IFERROR(VLOOKUP($C2633,$C$5:$H$18,6,0)+SUMIF($C$19:$C2633,$C2633,$F$19:$F2633)-SUMIF($C$19:$C2633,$C2633,$G$19:$G2633),"")</f>
        <v>81211.819999998</v>
      </c>
      <c r="I2633" s="147"/>
      <c r="J2633" s="147"/>
      <c r="K2633" s="147" t="str">
        <f t="shared" si="41"/>
        <v/>
      </c>
      <c r="L2633" s="40"/>
      <c r="M2633"/>
      <c r="N2633"/>
      <c r="O2633"/>
      <c r="P2633"/>
      <c r="Q2633"/>
      <c r="R2633"/>
      <c r="S2633"/>
      <c r="T2633"/>
      <c r="U2633"/>
      <c r="V2633"/>
      <c r="W2633" s="41"/>
      <c r="X2633" s="41"/>
      <c r="Y2633" s="41"/>
    </row>
    <row r="2634" s="27" customFormat="1" ht="23" hidden="1" customHeight="1" spans="1:25">
      <c r="A2634" s="133" t="str">
        <f>IF(B2634="","",COUNTA($B$5:B2634))</f>
        <v/>
      </c>
      <c r="B2634" s="148"/>
      <c r="C2634" s="22" t="s">
        <v>49</v>
      </c>
      <c r="D2634" s="149"/>
      <c r="E2634" s="150"/>
      <c r="F2634" s="151"/>
      <c r="G2634" s="151"/>
      <c r="H2634" s="142">
        <f>IFERROR(VLOOKUP($C2634,$C$5:$H$18,6,0)+SUMIF($C$19:$C2634,$C2634,$F$19:$F2634)-SUMIF($C$19:$C2634,$C2634,$G$19:$G2634),"")</f>
        <v>81211.819999998</v>
      </c>
      <c r="I2634" s="147"/>
      <c r="J2634" s="147"/>
      <c r="K2634" s="147" t="str">
        <f t="shared" si="41"/>
        <v/>
      </c>
      <c r="L2634" s="40"/>
      <c r="M2634"/>
      <c r="N2634"/>
      <c r="O2634"/>
      <c r="P2634"/>
      <c r="Q2634"/>
      <c r="R2634"/>
      <c r="S2634"/>
      <c r="T2634"/>
      <c r="U2634"/>
      <c r="V2634"/>
      <c r="W2634" s="41"/>
      <c r="X2634" s="41"/>
      <c r="Y2634" s="41"/>
    </row>
    <row r="2635" s="27" customFormat="1" ht="23" hidden="1" customHeight="1" spans="1:25">
      <c r="A2635" s="133" t="str">
        <f>IF(B2635="","",COUNTA($B$5:B2635))</f>
        <v/>
      </c>
      <c r="B2635" s="148"/>
      <c r="C2635" s="22" t="s">
        <v>49</v>
      </c>
      <c r="D2635" s="149"/>
      <c r="E2635" s="150"/>
      <c r="F2635" s="151"/>
      <c r="G2635" s="151"/>
      <c r="H2635" s="142">
        <f>IFERROR(VLOOKUP($C2635,$C$5:$H$18,6,0)+SUMIF($C$19:$C2635,$C2635,$F$19:$F2635)-SUMIF($C$19:$C2635,$C2635,$G$19:$G2635),"")</f>
        <v>81211.819999998</v>
      </c>
      <c r="I2635" s="147"/>
      <c r="J2635" s="147"/>
      <c r="K2635" s="147" t="str">
        <f t="shared" si="41"/>
        <v/>
      </c>
      <c r="L2635" s="40"/>
      <c r="M2635"/>
      <c r="N2635"/>
      <c r="O2635"/>
      <c r="P2635"/>
      <c r="Q2635"/>
      <c r="R2635"/>
      <c r="S2635"/>
      <c r="T2635"/>
      <c r="U2635"/>
      <c r="V2635"/>
      <c r="W2635" s="41"/>
      <c r="X2635" s="41"/>
      <c r="Y2635" s="41"/>
    </row>
    <row r="2636" s="27" customFormat="1" ht="23" hidden="1" customHeight="1" spans="1:25">
      <c r="A2636" s="133" t="str">
        <f>IF(B2636="","",COUNTA($B$5:B2636))</f>
        <v/>
      </c>
      <c r="B2636" s="148"/>
      <c r="C2636" s="22" t="s">
        <v>49</v>
      </c>
      <c r="D2636" s="149"/>
      <c r="E2636" s="150"/>
      <c r="F2636" s="151"/>
      <c r="G2636" s="151"/>
      <c r="H2636" s="142">
        <f>IFERROR(VLOOKUP($C2636,$C$5:$H$18,6,0)+SUMIF($C$19:$C2636,$C2636,$F$19:$F2636)-SUMIF($C$19:$C2636,$C2636,$G$19:$G2636),"")</f>
        <v>81211.819999998</v>
      </c>
      <c r="I2636" s="147"/>
      <c r="J2636" s="147"/>
      <c r="K2636" s="147" t="str">
        <f t="shared" si="41"/>
        <v/>
      </c>
      <c r="L2636" s="40"/>
      <c r="M2636"/>
      <c r="N2636"/>
      <c r="O2636"/>
      <c r="P2636"/>
      <c r="Q2636"/>
      <c r="R2636"/>
      <c r="S2636"/>
      <c r="T2636"/>
      <c r="U2636"/>
      <c r="V2636"/>
      <c r="W2636" s="41"/>
      <c r="X2636" s="41"/>
      <c r="Y2636" s="41"/>
    </row>
    <row r="2637" s="27" customFormat="1" ht="23" hidden="1" customHeight="1" spans="1:25">
      <c r="A2637" s="133" t="str">
        <f>IF(B2637="","",COUNTA($B$5:B2637))</f>
        <v/>
      </c>
      <c r="B2637" s="148"/>
      <c r="C2637" s="22" t="s">
        <v>49</v>
      </c>
      <c r="D2637" s="149"/>
      <c r="E2637" s="150"/>
      <c r="F2637" s="151"/>
      <c r="G2637" s="151"/>
      <c r="H2637" s="142">
        <f>IFERROR(VLOOKUP($C2637,$C$5:$H$18,6,0)+SUMIF($C$19:$C2637,$C2637,$F$19:$F2637)-SUMIF($C$19:$C2637,$C2637,$G$19:$G2637),"")</f>
        <v>81211.819999998</v>
      </c>
      <c r="I2637" s="147"/>
      <c r="J2637" s="147"/>
      <c r="K2637" s="147" t="str">
        <f t="shared" si="41"/>
        <v/>
      </c>
      <c r="L2637" s="40"/>
      <c r="M2637"/>
      <c r="N2637"/>
      <c r="O2637"/>
      <c r="P2637"/>
      <c r="Q2637"/>
      <c r="R2637"/>
      <c r="S2637"/>
      <c r="T2637"/>
      <c r="U2637"/>
      <c r="V2637"/>
      <c r="W2637" s="41"/>
      <c r="X2637" s="41"/>
      <c r="Y2637" s="41"/>
    </row>
    <row r="2638" s="27" customFormat="1" ht="23" hidden="1" customHeight="1" spans="1:25">
      <c r="A2638" s="133" t="str">
        <f>IF(B2638="","",COUNTA($B$5:B2638))</f>
        <v/>
      </c>
      <c r="B2638" s="148"/>
      <c r="C2638" s="22" t="s">
        <v>49</v>
      </c>
      <c r="D2638" s="149"/>
      <c r="E2638" s="150"/>
      <c r="F2638" s="151"/>
      <c r="G2638" s="151"/>
      <c r="H2638" s="142">
        <f>IFERROR(VLOOKUP($C2638,$C$5:$H$18,6,0)+SUMIF($C$19:$C2638,$C2638,$F$19:$F2638)-SUMIF($C$19:$C2638,$C2638,$G$19:$G2638),"")</f>
        <v>81211.819999998</v>
      </c>
      <c r="I2638" s="147"/>
      <c r="J2638" s="147"/>
      <c r="K2638" s="147" t="str">
        <f t="shared" si="41"/>
        <v/>
      </c>
      <c r="L2638" s="40"/>
      <c r="M2638"/>
      <c r="N2638"/>
      <c r="O2638"/>
      <c r="P2638"/>
      <c r="Q2638"/>
      <c r="R2638"/>
      <c r="S2638"/>
      <c r="T2638"/>
      <c r="U2638"/>
      <c r="V2638"/>
      <c r="W2638" s="41"/>
      <c r="X2638" s="41"/>
      <c r="Y2638" s="41"/>
    </row>
    <row r="2639" s="27" customFormat="1" ht="23" hidden="1" customHeight="1" spans="1:25">
      <c r="A2639" s="133" t="str">
        <f>IF(B2639="","",COUNTA($B$5:B2639))</f>
        <v/>
      </c>
      <c r="B2639" s="148"/>
      <c r="C2639" s="22" t="s">
        <v>49</v>
      </c>
      <c r="D2639" s="149"/>
      <c r="E2639" s="150"/>
      <c r="F2639" s="151"/>
      <c r="G2639" s="151"/>
      <c r="H2639" s="142">
        <f>IFERROR(VLOOKUP($C2639,$C$5:$H$18,6,0)+SUMIF($C$19:$C2639,$C2639,$F$19:$F2639)-SUMIF($C$19:$C2639,$C2639,$G$19:$G2639),"")</f>
        <v>81211.819999998</v>
      </c>
      <c r="I2639" s="147"/>
      <c r="J2639" s="147"/>
      <c r="K2639" s="147" t="str">
        <f t="shared" si="41"/>
        <v/>
      </c>
      <c r="L2639" s="40"/>
      <c r="M2639"/>
      <c r="N2639"/>
      <c r="O2639"/>
      <c r="P2639"/>
      <c r="Q2639"/>
      <c r="R2639"/>
      <c r="S2639"/>
      <c r="T2639"/>
      <c r="U2639"/>
      <c r="V2639"/>
      <c r="W2639" s="41"/>
      <c r="X2639" s="41"/>
      <c r="Y2639" s="41"/>
    </row>
    <row r="2640" s="27" customFormat="1" ht="23" hidden="1" customHeight="1" spans="1:25">
      <c r="A2640" s="133" t="str">
        <f>IF(B2640="","",COUNTA($B$5:B2640))</f>
        <v/>
      </c>
      <c r="B2640" s="148"/>
      <c r="C2640" s="22" t="s">
        <v>49</v>
      </c>
      <c r="D2640" s="149"/>
      <c r="E2640" s="150"/>
      <c r="F2640" s="151"/>
      <c r="G2640" s="151"/>
      <c r="H2640" s="142">
        <f>IFERROR(VLOOKUP($C2640,$C$5:$H$18,6,0)+SUMIF($C$19:$C2640,$C2640,$F$19:$F2640)-SUMIF($C$19:$C2640,$C2640,$G$19:$G2640),"")</f>
        <v>81211.819999998</v>
      </c>
      <c r="I2640" s="147"/>
      <c r="J2640" s="147"/>
      <c r="K2640" s="147" t="str">
        <f t="shared" si="41"/>
        <v/>
      </c>
      <c r="L2640" s="40"/>
      <c r="M2640"/>
      <c r="N2640"/>
      <c r="O2640"/>
      <c r="P2640"/>
      <c r="Q2640"/>
      <c r="R2640"/>
      <c r="S2640"/>
      <c r="T2640"/>
      <c r="U2640"/>
      <c r="V2640"/>
      <c r="W2640" s="41"/>
      <c r="X2640" s="41"/>
      <c r="Y2640" s="41"/>
    </row>
    <row r="2641" s="27" customFormat="1" ht="23" hidden="1" customHeight="1" spans="1:25">
      <c r="A2641" s="133" t="str">
        <f>IF(B2641="","",COUNTA($B$5:B2641))</f>
        <v/>
      </c>
      <c r="B2641" s="148"/>
      <c r="C2641" s="22" t="s">
        <v>49</v>
      </c>
      <c r="D2641" s="149"/>
      <c r="E2641" s="150"/>
      <c r="F2641" s="151"/>
      <c r="G2641" s="151"/>
      <c r="H2641" s="142">
        <f>IFERROR(VLOOKUP($C2641,$C$5:$H$18,6,0)+SUMIF($C$19:$C2641,$C2641,$F$19:$F2641)-SUMIF($C$19:$C2641,$C2641,$G$19:$G2641),"")</f>
        <v>81211.819999998</v>
      </c>
      <c r="I2641" s="147"/>
      <c r="J2641" s="147"/>
      <c r="K2641" s="147" t="str">
        <f t="shared" si="41"/>
        <v/>
      </c>
      <c r="L2641" s="40"/>
      <c r="M2641"/>
      <c r="N2641"/>
      <c r="O2641"/>
      <c r="P2641"/>
      <c r="Q2641"/>
      <c r="R2641"/>
      <c r="S2641"/>
      <c r="T2641"/>
      <c r="U2641"/>
      <c r="V2641"/>
      <c r="W2641" s="41"/>
      <c r="X2641" s="41"/>
      <c r="Y2641" s="41"/>
    </row>
    <row r="2642" s="27" customFormat="1" ht="23" hidden="1" customHeight="1" spans="1:25">
      <c r="A2642" s="133" t="str">
        <f>IF(B2642="","",COUNTA($B$5:B2642))</f>
        <v/>
      </c>
      <c r="B2642" s="148"/>
      <c r="C2642" s="22" t="s">
        <v>49</v>
      </c>
      <c r="D2642" s="149"/>
      <c r="E2642" s="150"/>
      <c r="F2642" s="151"/>
      <c r="G2642" s="151"/>
      <c r="H2642" s="142">
        <f>IFERROR(VLOOKUP($C2642,$C$5:$H$18,6,0)+SUMIF($C$19:$C2642,$C2642,$F$19:$F2642)-SUMIF($C$19:$C2642,$C2642,$G$19:$G2642),"")</f>
        <v>81211.819999998</v>
      </c>
      <c r="I2642" s="147"/>
      <c r="J2642" s="147"/>
      <c r="K2642" s="147" t="str">
        <f t="shared" si="41"/>
        <v/>
      </c>
      <c r="L2642" s="40"/>
      <c r="M2642"/>
      <c r="N2642"/>
      <c r="O2642"/>
      <c r="P2642"/>
      <c r="Q2642"/>
      <c r="R2642"/>
      <c r="S2642"/>
      <c r="T2642"/>
      <c r="U2642"/>
      <c r="V2642"/>
      <c r="W2642" s="41"/>
      <c r="X2642" s="41"/>
      <c r="Y2642" s="41"/>
    </row>
    <row r="2643" s="27" customFormat="1" ht="23" hidden="1" customHeight="1" spans="1:25">
      <c r="A2643" s="133" t="str">
        <f>IF(B2643="","",COUNTA($B$5:B2643))</f>
        <v/>
      </c>
      <c r="B2643" s="148"/>
      <c r="C2643" s="22" t="s">
        <v>49</v>
      </c>
      <c r="D2643" s="149"/>
      <c r="E2643" s="150"/>
      <c r="F2643" s="151"/>
      <c r="G2643" s="151"/>
      <c r="H2643" s="142">
        <f>IFERROR(VLOOKUP($C2643,$C$5:$H$18,6,0)+SUMIF($C$19:$C2643,$C2643,$F$19:$F2643)-SUMIF($C$19:$C2643,$C2643,$G$19:$G2643),"")</f>
        <v>81211.819999998</v>
      </c>
      <c r="I2643" s="147"/>
      <c r="J2643" s="147"/>
      <c r="K2643" s="147" t="str">
        <f t="shared" si="41"/>
        <v/>
      </c>
      <c r="L2643" s="40"/>
      <c r="M2643"/>
      <c r="N2643"/>
      <c r="O2643"/>
      <c r="P2643"/>
      <c r="Q2643"/>
      <c r="R2643"/>
      <c r="S2643"/>
      <c r="T2643"/>
      <c r="U2643"/>
      <c r="V2643"/>
      <c r="W2643" s="41"/>
      <c r="X2643" s="41"/>
      <c r="Y2643" s="41"/>
    </row>
    <row r="2644" s="27" customFormat="1" ht="23" hidden="1" customHeight="1" spans="1:25">
      <c r="A2644" s="133" t="str">
        <f>IF(B2644="","",COUNTA($B$5:B2644))</f>
        <v/>
      </c>
      <c r="B2644" s="148"/>
      <c r="C2644" s="22" t="s">
        <v>49</v>
      </c>
      <c r="D2644" s="149"/>
      <c r="E2644" s="150"/>
      <c r="F2644" s="151"/>
      <c r="G2644" s="151"/>
      <c r="H2644" s="142">
        <f>IFERROR(VLOOKUP($C2644,$C$5:$H$18,6,0)+SUMIF($C$19:$C2644,$C2644,$F$19:$F2644)-SUMIF($C$19:$C2644,$C2644,$G$19:$G2644),"")</f>
        <v>81211.819999998</v>
      </c>
      <c r="I2644" s="147"/>
      <c r="J2644" s="147"/>
      <c r="K2644" s="147" t="str">
        <f t="shared" si="41"/>
        <v/>
      </c>
      <c r="L2644" s="40"/>
      <c r="M2644"/>
      <c r="N2644"/>
      <c r="O2644"/>
      <c r="P2644"/>
      <c r="Q2644"/>
      <c r="R2644"/>
      <c r="S2644"/>
      <c r="T2644"/>
      <c r="U2644"/>
      <c r="V2644"/>
      <c r="W2644" s="41"/>
      <c r="X2644" s="41"/>
      <c r="Y2644" s="41"/>
    </row>
    <row r="2645" s="27" customFormat="1" ht="23" hidden="1" customHeight="1" spans="1:25">
      <c r="A2645" s="133" t="str">
        <f>IF(B2645="","",COUNTA($B$5:B2645))</f>
        <v/>
      </c>
      <c r="B2645" s="148"/>
      <c r="C2645" s="22" t="s">
        <v>49</v>
      </c>
      <c r="D2645" s="149"/>
      <c r="E2645" s="150"/>
      <c r="F2645" s="151"/>
      <c r="G2645" s="151"/>
      <c r="H2645" s="142">
        <f>IFERROR(VLOOKUP($C2645,$C$5:$H$18,6,0)+SUMIF($C$19:$C2645,$C2645,$F$19:$F2645)-SUMIF($C$19:$C2645,$C2645,$G$19:$G2645),"")</f>
        <v>81211.819999998</v>
      </c>
      <c r="I2645" s="147"/>
      <c r="J2645" s="147"/>
      <c r="K2645" s="147" t="str">
        <f t="shared" si="41"/>
        <v/>
      </c>
      <c r="L2645" s="40"/>
      <c r="M2645"/>
      <c r="N2645"/>
      <c r="O2645"/>
      <c r="P2645"/>
      <c r="Q2645"/>
      <c r="R2645"/>
      <c r="S2645"/>
      <c r="T2645"/>
      <c r="U2645"/>
      <c r="V2645"/>
      <c r="W2645" s="41"/>
      <c r="X2645" s="41"/>
      <c r="Y2645" s="41"/>
    </row>
    <row r="2646" s="27" customFormat="1" ht="23" hidden="1" customHeight="1" spans="1:25">
      <c r="A2646" s="133" t="str">
        <f>IF(B2646="","",COUNTA($B$5:B2646))</f>
        <v/>
      </c>
      <c r="B2646" s="148"/>
      <c r="C2646" s="22" t="s">
        <v>49</v>
      </c>
      <c r="D2646" s="149"/>
      <c r="E2646" s="150"/>
      <c r="F2646" s="151"/>
      <c r="G2646" s="151"/>
      <c r="H2646" s="142">
        <f>IFERROR(VLOOKUP($C2646,$C$5:$H$18,6,0)+SUMIF($C$19:$C2646,$C2646,$F$19:$F2646)-SUMIF($C$19:$C2646,$C2646,$G$19:$G2646),"")</f>
        <v>81211.819999998</v>
      </c>
      <c r="I2646" s="147"/>
      <c r="J2646" s="147"/>
      <c r="K2646" s="147" t="str">
        <f t="shared" si="41"/>
        <v/>
      </c>
      <c r="L2646" s="40"/>
      <c r="M2646"/>
      <c r="N2646"/>
      <c r="O2646"/>
      <c r="P2646"/>
      <c r="Q2646"/>
      <c r="R2646"/>
      <c r="S2646"/>
      <c r="T2646"/>
      <c r="U2646"/>
      <c r="V2646"/>
      <c r="W2646" s="41"/>
      <c r="X2646" s="41"/>
      <c r="Y2646" s="41"/>
    </row>
    <row r="2647" s="27" customFormat="1" ht="23" hidden="1" customHeight="1" spans="1:25">
      <c r="A2647" s="133" t="str">
        <f>IF(B2647="","",COUNTA($B$5:B2647))</f>
        <v/>
      </c>
      <c r="B2647" s="148"/>
      <c r="C2647" s="22" t="s">
        <v>49</v>
      </c>
      <c r="D2647" s="149"/>
      <c r="E2647" s="150"/>
      <c r="F2647" s="151"/>
      <c r="G2647" s="151"/>
      <c r="H2647" s="142">
        <f>IFERROR(VLOOKUP($C2647,$C$5:$H$18,6,0)+SUMIF($C$19:$C2647,$C2647,$F$19:$F2647)-SUMIF($C$19:$C2647,$C2647,$G$19:$G2647),"")</f>
        <v>81211.819999998</v>
      </c>
      <c r="I2647" s="147"/>
      <c r="J2647" s="147"/>
      <c r="K2647" s="147" t="str">
        <f t="shared" si="41"/>
        <v/>
      </c>
      <c r="L2647" s="40"/>
      <c r="M2647"/>
      <c r="N2647"/>
      <c r="O2647"/>
      <c r="P2647"/>
      <c r="Q2647"/>
      <c r="R2647"/>
      <c r="S2647"/>
      <c r="T2647"/>
      <c r="U2647"/>
      <c r="V2647"/>
      <c r="W2647" s="41"/>
      <c r="X2647" s="41"/>
      <c r="Y2647" s="41"/>
    </row>
    <row r="2648" s="27" customFormat="1" ht="23" hidden="1" customHeight="1" spans="1:25">
      <c r="A2648" s="133" t="str">
        <f>IF(B2648="","",COUNTA($B$5:B2648))</f>
        <v/>
      </c>
      <c r="B2648" s="148"/>
      <c r="C2648" s="22" t="s">
        <v>49</v>
      </c>
      <c r="D2648" s="149"/>
      <c r="E2648" s="150"/>
      <c r="F2648" s="151"/>
      <c r="G2648" s="151"/>
      <c r="H2648" s="142">
        <f>IFERROR(VLOOKUP($C2648,$C$5:$H$18,6,0)+SUMIF($C$19:$C2648,$C2648,$F$19:$F2648)-SUMIF($C$19:$C2648,$C2648,$G$19:$G2648),"")</f>
        <v>81211.819999998</v>
      </c>
      <c r="I2648" s="147"/>
      <c r="J2648" s="147"/>
      <c r="K2648" s="147" t="str">
        <f t="shared" si="41"/>
        <v/>
      </c>
      <c r="L2648" s="40"/>
      <c r="M2648"/>
      <c r="N2648"/>
      <c r="O2648"/>
      <c r="P2648"/>
      <c r="Q2648"/>
      <c r="R2648"/>
      <c r="S2648"/>
      <c r="T2648"/>
      <c r="U2648"/>
      <c r="V2648"/>
      <c r="W2648" s="41"/>
      <c r="X2648" s="41"/>
      <c r="Y2648" s="41"/>
    </row>
    <row r="2649" s="27" customFormat="1" ht="23" hidden="1" customHeight="1" spans="1:25">
      <c r="A2649" s="133" t="str">
        <f>IF(B2649="","",COUNTA($B$5:B2649))</f>
        <v/>
      </c>
      <c r="B2649" s="148"/>
      <c r="C2649" s="22" t="s">
        <v>49</v>
      </c>
      <c r="D2649" s="149"/>
      <c r="E2649" s="150"/>
      <c r="F2649" s="151"/>
      <c r="G2649" s="151"/>
      <c r="H2649" s="142">
        <f>IFERROR(VLOOKUP($C2649,$C$5:$H$18,6,0)+SUMIF($C$19:$C2649,$C2649,$F$19:$F2649)-SUMIF($C$19:$C2649,$C2649,$G$19:$G2649),"")</f>
        <v>81211.819999998</v>
      </c>
      <c r="I2649" s="147"/>
      <c r="J2649" s="147"/>
      <c r="K2649" s="147" t="str">
        <f t="shared" si="41"/>
        <v/>
      </c>
      <c r="L2649" s="40"/>
      <c r="M2649"/>
      <c r="N2649"/>
      <c r="O2649"/>
      <c r="P2649"/>
      <c r="Q2649"/>
      <c r="R2649"/>
      <c r="S2649"/>
      <c r="T2649"/>
      <c r="U2649"/>
      <c r="V2649"/>
      <c r="W2649" s="41"/>
      <c r="X2649" s="41"/>
      <c r="Y2649" s="41"/>
    </row>
    <row r="2650" s="27" customFormat="1" ht="23" hidden="1" customHeight="1" spans="1:25">
      <c r="A2650" s="133" t="str">
        <f>IF(B2650="","",COUNTA($B$5:B2650))</f>
        <v/>
      </c>
      <c r="B2650" s="148"/>
      <c r="C2650" s="22" t="s">
        <v>49</v>
      </c>
      <c r="D2650" s="149"/>
      <c r="E2650" s="150"/>
      <c r="F2650" s="151"/>
      <c r="G2650" s="151"/>
      <c r="H2650" s="142">
        <f>IFERROR(VLOOKUP($C2650,$C$5:$H$18,6,0)+SUMIF($C$19:$C2650,$C2650,$F$19:$F2650)-SUMIF($C$19:$C2650,$C2650,$G$19:$G2650),"")</f>
        <v>81211.819999998</v>
      </c>
      <c r="I2650" s="147"/>
      <c r="J2650" s="147"/>
      <c r="K2650" s="147" t="str">
        <f t="shared" si="41"/>
        <v/>
      </c>
      <c r="L2650" s="40"/>
      <c r="M2650"/>
      <c r="N2650"/>
      <c r="O2650"/>
      <c r="P2650"/>
      <c r="Q2650"/>
      <c r="R2650"/>
      <c r="S2650"/>
      <c r="T2650"/>
      <c r="U2650"/>
      <c r="V2650"/>
      <c r="W2650" s="41"/>
      <c r="X2650" s="41"/>
      <c r="Y2650" s="41"/>
    </row>
    <row r="2651" s="27" customFormat="1" ht="23" hidden="1" customHeight="1" spans="1:25">
      <c r="A2651" s="133" t="str">
        <f>IF(B2651="","",COUNTA($B$5:B2651))</f>
        <v/>
      </c>
      <c r="B2651" s="148"/>
      <c r="C2651" s="22" t="s">
        <v>49</v>
      </c>
      <c r="D2651" s="149"/>
      <c r="E2651" s="150"/>
      <c r="F2651" s="151"/>
      <c r="G2651" s="151"/>
      <c r="H2651" s="142">
        <f>IFERROR(VLOOKUP($C2651,$C$5:$H$18,6,0)+SUMIF($C$19:$C2651,$C2651,$F$19:$F2651)-SUMIF($C$19:$C2651,$C2651,$G$19:$G2651),"")</f>
        <v>81211.819999998</v>
      </c>
      <c r="I2651" s="147"/>
      <c r="J2651" s="147"/>
      <c r="K2651" s="147" t="str">
        <f t="shared" si="41"/>
        <v/>
      </c>
      <c r="L2651" s="40"/>
      <c r="M2651"/>
      <c r="N2651"/>
      <c r="O2651"/>
      <c r="P2651"/>
      <c r="Q2651"/>
      <c r="R2651"/>
      <c r="S2651"/>
      <c r="T2651"/>
      <c r="U2651"/>
      <c r="V2651"/>
      <c r="W2651" s="41"/>
      <c r="X2651" s="41"/>
      <c r="Y2651" s="41"/>
    </row>
    <row r="2652" s="27" customFormat="1" ht="23" hidden="1" customHeight="1" spans="1:25">
      <c r="A2652" s="133" t="str">
        <f>IF(B2652="","",COUNTA($B$5:B2652))</f>
        <v/>
      </c>
      <c r="B2652" s="148"/>
      <c r="C2652" s="22" t="s">
        <v>49</v>
      </c>
      <c r="D2652" s="149"/>
      <c r="E2652" s="150"/>
      <c r="F2652" s="151"/>
      <c r="G2652" s="151"/>
      <c r="H2652" s="142">
        <f>IFERROR(VLOOKUP($C2652,$C$5:$H$18,6,0)+SUMIF($C$19:$C2652,$C2652,$F$19:$F2652)-SUMIF($C$19:$C2652,$C2652,$G$19:$G2652),"")</f>
        <v>81211.819999998</v>
      </c>
      <c r="I2652" s="147"/>
      <c r="J2652" s="147"/>
      <c r="K2652" s="147" t="str">
        <f t="shared" si="41"/>
        <v/>
      </c>
      <c r="L2652" s="40"/>
      <c r="M2652"/>
      <c r="N2652"/>
      <c r="O2652"/>
      <c r="P2652"/>
      <c r="Q2652"/>
      <c r="R2652"/>
      <c r="S2652"/>
      <c r="T2652"/>
      <c r="U2652"/>
      <c r="V2652"/>
      <c r="W2652" s="41"/>
      <c r="X2652" s="41"/>
      <c r="Y2652" s="41"/>
    </row>
    <row r="2653" s="27" customFormat="1" ht="23" hidden="1" customHeight="1" spans="1:25">
      <c r="A2653" s="133" t="str">
        <f>IF(B2653="","",COUNTA($B$5:B2653))</f>
        <v/>
      </c>
      <c r="B2653" s="148"/>
      <c r="C2653" s="22" t="s">
        <v>49</v>
      </c>
      <c r="D2653" s="149"/>
      <c r="E2653" s="150"/>
      <c r="F2653" s="151"/>
      <c r="G2653" s="151"/>
      <c r="H2653" s="142">
        <f>IFERROR(VLOOKUP($C2653,$C$5:$H$18,6,0)+SUMIF($C$19:$C2653,$C2653,$F$19:$F2653)-SUMIF($C$19:$C2653,$C2653,$G$19:$G2653),"")</f>
        <v>81211.819999998</v>
      </c>
      <c r="I2653" s="147"/>
      <c r="J2653" s="147"/>
      <c r="K2653" s="147" t="str">
        <f t="shared" si="41"/>
        <v/>
      </c>
      <c r="L2653" s="40"/>
      <c r="M2653"/>
      <c r="N2653"/>
      <c r="O2653"/>
      <c r="P2653"/>
      <c r="Q2653"/>
      <c r="R2653"/>
      <c r="S2653"/>
      <c r="T2653"/>
      <c r="U2653"/>
      <c r="V2653"/>
      <c r="W2653" s="41"/>
      <c r="X2653" s="41"/>
      <c r="Y2653" s="41"/>
    </row>
    <row r="2654" s="27" customFormat="1" ht="23" hidden="1" customHeight="1" spans="1:25">
      <c r="A2654" s="133" t="str">
        <f>IF(B2654="","",COUNTA($B$5:B2654))</f>
        <v/>
      </c>
      <c r="B2654" s="148"/>
      <c r="C2654" s="22" t="s">
        <v>49</v>
      </c>
      <c r="D2654" s="149"/>
      <c r="E2654" s="150"/>
      <c r="F2654" s="151"/>
      <c r="G2654" s="151"/>
      <c r="H2654" s="142">
        <f>IFERROR(VLOOKUP($C2654,$C$5:$H$18,6,0)+SUMIF($C$19:$C2654,$C2654,$F$19:$F2654)-SUMIF($C$19:$C2654,$C2654,$G$19:$G2654),"")</f>
        <v>81211.819999998</v>
      </c>
      <c r="I2654" s="147"/>
      <c r="J2654" s="147"/>
      <c r="K2654" s="147" t="str">
        <f t="shared" si="41"/>
        <v/>
      </c>
      <c r="L2654" s="40"/>
      <c r="M2654"/>
      <c r="N2654"/>
      <c r="O2654"/>
      <c r="P2654"/>
      <c r="Q2654"/>
      <c r="R2654"/>
      <c r="S2654"/>
      <c r="T2654"/>
      <c r="U2654"/>
      <c r="V2654"/>
      <c r="W2654" s="41"/>
      <c r="X2654" s="41"/>
      <c r="Y2654" s="41"/>
    </row>
    <row r="2655" s="27" customFormat="1" ht="23" hidden="1" customHeight="1" spans="1:25">
      <c r="A2655" s="133" t="str">
        <f>IF(B2655="","",COUNTA($B$5:B2655))</f>
        <v/>
      </c>
      <c r="B2655" s="148"/>
      <c r="C2655" s="22" t="s">
        <v>49</v>
      </c>
      <c r="D2655" s="149"/>
      <c r="E2655" s="150"/>
      <c r="F2655" s="151"/>
      <c r="G2655" s="151"/>
      <c r="H2655" s="142">
        <f>IFERROR(VLOOKUP($C2655,$C$5:$H$18,6,0)+SUMIF($C$19:$C2655,$C2655,$F$19:$F2655)-SUMIF($C$19:$C2655,$C2655,$G$19:$G2655),"")</f>
        <v>81211.819999998</v>
      </c>
      <c r="I2655" s="147"/>
      <c r="J2655" s="147"/>
      <c r="K2655" s="147" t="str">
        <f t="shared" si="41"/>
        <v/>
      </c>
      <c r="L2655" s="40"/>
      <c r="M2655"/>
      <c r="N2655"/>
      <c r="O2655"/>
      <c r="P2655"/>
      <c r="Q2655"/>
      <c r="R2655"/>
      <c r="S2655"/>
      <c r="T2655"/>
      <c r="U2655"/>
      <c r="V2655"/>
      <c r="W2655" s="41"/>
      <c r="X2655" s="41"/>
      <c r="Y2655" s="41"/>
    </row>
    <row r="2656" s="27" customFormat="1" ht="23" hidden="1" customHeight="1" spans="1:25">
      <c r="A2656" s="133" t="str">
        <f>IF(B2656="","",COUNTA($B$5:B2656))</f>
        <v/>
      </c>
      <c r="B2656" s="148"/>
      <c r="C2656" s="22" t="s">
        <v>49</v>
      </c>
      <c r="D2656" s="149"/>
      <c r="E2656" s="150"/>
      <c r="F2656" s="151"/>
      <c r="G2656" s="151"/>
      <c r="H2656" s="142">
        <f>IFERROR(VLOOKUP($C2656,$C$5:$H$18,6,0)+SUMIF($C$19:$C2656,$C2656,$F$19:$F2656)-SUMIF($C$19:$C2656,$C2656,$G$19:$G2656),"")</f>
        <v>81211.819999998</v>
      </c>
      <c r="I2656" s="147"/>
      <c r="J2656" s="147"/>
      <c r="K2656" s="147" t="str">
        <f t="shared" si="41"/>
        <v/>
      </c>
      <c r="L2656" s="40"/>
      <c r="M2656"/>
      <c r="N2656"/>
      <c r="O2656"/>
      <c r="P2656"/>
      <c r="Q2656"/>
      <c r="R2656"/>
      <c r="S2656"/>
      <c r="T2656"/>
      <c r="U2656"/>
      <c r="V2656"/>
      <c r="W2656" s="41"/>
      <c r="X2656" s="41"/>
      <c r="Y2656" s="41"/>
    </row>
    <row r="2657" s="27" customFormat="1" ht="23" hidden="1" customHeight="1" spans="1:25">
      <c r="A2657" s="133" t="str">
        <f>IF(B2657="","",COUNTA($B$5:B2657))</f>
        <v/>
      </c>
      <c r="B2657" s="148"/>
      <c r="C2657" s="22" t="s">
        <v>49</v>
      </c>
      <c r="D2657" s="149"/>
      <c r="E2657" s="150"/>
      <c r="F2657" s="151"/>
      <c r="G2657" s="151"/>
      <c r="H2657" s="142">
        <f>IFERROR(VLOOKUP($C2657,$C$5:$H$18,6,0)+SUMIF($C$19:$C2657,$C2657,$F$19:$F2657)-SUMIF($C$19:$C2657,$C2657,$G$19:$G2657),"")</f>
        <v>81211.819999998</v>
      </c>
      <c r="I2657" s="147"/>
      <c r="J2657" s="147"/>
      <c r="K2657" s="147" t="str">
        <f t="shared" si="41"/>
        <v/>
      </c>
      <c r="L2657" s="40"/>
      <c r="M2657"/>
      <c r="N2657"/>
      <c r="O2657"/>
      <c r="P2657"/>
      <c r="Q2657"/>
      <c r="R2657"/>
      <c r="S2657"/>
      <c r="T2657"/>
      <c r="U2657"/>
      <c r="V2657"/>
      <c r="W2657" s="41"/>
      <c r="X2657" s="41"/>
      <c r="Y2657" s="41"/>
    </row>
    <row r="2658" s="27" customFormat="1" ht="23" hidden="1" customHeight="1" spans="1:25">
      <c r="A2658" s="133" t="str">
        <f>IF(B2658="","",COUNTA($B$5:B2658))</f>
        <v/>
      </c>
      <c r="B2658" s="148"/>
      <c r="C2658" s="22" t="s">
        <v>49</v>
      </c>
      <c r="D2658" s="149"/>
      <c r="E2658" s="150"/>
      <c r="F2658" s="151"/>
      <c r="G2658" s="151"/>
      <c r="H2658" s="142">
        <f>IFERROR(VLOOKUP($C2658,$C$5:$H$18,6,0)+SUMIF($C$19:$C2658,$C2658,$F$19:$F2658)-SUMIF($C$19:$C2658,$C2658,$G$19:$G2658),"")</f>
        <v>81211.819999998</v>
      </c>
      <c r="I2658" s="147"/>
      <c r="J2658" s="147"/>
      <c r="K2658" s="147" t="str">
        <f t="shared" si="41"/>
        <v/>
      </c>
      <c r="L2658" s="40"/>
      <c r="M2658"/>
      <c r="N2658"/>
      <c r="O2658"/>
      <c r="P2658"/>
      <c r="Q2658"/>
      <c r="R2658"/>
      <c r="S2658"/>
      <c r="T2658"/>
      <c r="U2658"/>
      <c r="V2658"/>
      <c r="W2658" s="41"/>
      <c r="X2658" s="41"/>
      <c r="Y2658" s="41"/>
    </row>
    <row r="2659" s="27" customFormat="1" ht="23" hidden="1" customHeight="1" spans="1:25">
      <c r="A2659" s="133" t="str">
        <f>IF(B2659="","",COUNTA($B$5:B2659))</f>
        <v/>
      </c>
      <c r="B2659" s="148"/>
      <c r="C2659" s="22" t="s">
        <v>49</v>
      </c>
      <c r="D2659" s="149"/>
      <c r="E2659" s="150"/>
      <c r="F2659" s="151"/>
      <c r="G2659" s="151"/>
      <c r="H2659" s="142">
        <f>IFERROR(VLOOKUP($C2659,$C$5:$H$18,6,0)+SUMIF($C$19:$C2659,$C2659,$F$19:$F2659)-SUMIF($C$19:$C2659,$C2659,$G$19:$G2659),"")</f>
        <v>81211.819999998</v>
      </c>
      <c r="I2659" s="147"/>
      <c r="J2659" s="147"/>
      <c r="K2659" s="147" t="str">
        <f t="shared" si="41"/>
        <v/>
      </c>
      <c r="L2659" s="40"/>
      <c r="M2659"/>
      <c r="N2659"/>
      <c r="O2659"/>
      <c r="P2659"/>
      <c r="Q2659"/>
      <c r="R2659"/>
      <c r="S2659"/>
      <c r="T2659"/>
      <c r="U2659"/>
      <c r="V2659"/>
      <c r="W2659" s="41"/>
      <c r="X2659" s="41"/>
      <c r="Y2659" s="41"/>
    </row>
    <row r="2660" s="27" customFormat="1" ht="23" hidden="1" customHeight="1" spans="1:25">
      <c r="A2660" s="133" t="str">
        <f>IF(B2660="","",COUNTA($B$5:B2660))</f>
        <v/>
      </c>
      <c r="B2660" s="148"/>
      <c r="C2660" s="22" t="s">
        <v>49</v>
      </c>
      <c r="D2660" s="149"/>
      <c r="E2660" s="150"/>
      <c r="F2660" s="151"/>
      <c r="G2660" s="151"/>
      <c r="H2660" s="142">
        <f>IFERROR(VLOOKUP($C2660,$C$5:$H$18,6,0)+SUMIF($C$19:$C2660,$C2660,$F$19:$F2660)-SUMIF($C$19:$C2660,$C2660,$G$19:$G2660),"")</f>
        <v>81211.819999998</v>
      </c>
      <c r="I2660" s="147"/>
      <c r="J2660" s="147"/>
      <c r="K2660" s="147" t="str">
        <f t="shared" si="41"/>
        <v/>
      </c>
      <c r="L2660" s="40"/>
      <c r="M2660"/>
      <c r="N2660"/>
      <c r="O2660"/>
      <c r="P2660"/>
      <c r="Q2660"/>
      <c r="R2660"/>
      <c r="S2660"/>
      <c r="T2660"/>
      <c r="U2660"/>
      <c r="V2660"/>
      <c r="W2660" s="41"/>
      <c r="X2660" s="41"/>
      <c r="Y2660" s="41"/>
    </row>
    <row r="2661" s="27" customFormat="1" ht="23" hidden="1" customHeight="1" spans="1:25">
      <c r="A2661" s="133" t="str">
        <f>IF(B2661="","",COUNTA($B$5:B2661))</f>
        <v/>
      </c>
      <c r="B2661" s="148"/>
      <c r="C2661" s="22" t="s">
        <v>49</v>
      </c>
      <c r="D2661" s="149"/>
      <c r="E2661" s="150"/>
      <c r="F2661" s="151"/>
      <c r="G2661" s="151"/>
      <c r="H2661" s="142">
        <f>IFERROR(VLOOKUP($C2661,$C$5:$H$18,6,0)+SUMIF($C$19:$C2661,$C2661,$F$19:$F2661)-SUMIF($C$19:$C2661,$C2661,$G$19:$G2661),"")</f>
        <v>81211.819999998</v>
      </c>
      <c r="I2661" s="147"/>
      <c r="J2661" s="147"/>
      <c r="K2661" s="147" t="str">
        <f t="shared" si="41"/>
        <v/>
      </c>
      <c r="L2661" s="40"/>
      <c r="M2661"/>
      <c r="N2661"/>
      <c r="O2661"/>
      <c r="P2661"/>
      <c r="Q2661"/>
      <c r="R2661"/>
      <c r="S2661"/>
      <c r="T2661"/>
      <c r="U2661"/>
      <c r="V2661"/>
      <c r="W2661" s="41"/>
      <c r="X2661" s="41"/>
      <c r="Y2661" s="41"/>
    </row>
    <row r="2662" s="27" customFormat="1" ht="23" hidden="1" customHeight="1" spans="1:25">
      <c r="A2662" s="133" t="str">
        <f>IF(B2662="","",COUNTA($B$5:B2662))</f>
        <v/>
      </c>
      <c r="B2662" s="148"/>
      <c r="C2662" s="22" t="s">
        <v>49</v>
      </c>
      <c r="D2662" s="149"/>
      <c r="E2662" s="150"/>
      <c r="F2662" s="151"/>
      <c r="G2662" s="151"/>
      <c r="H2662" s="142">
        <f>IFERROR(VLOOKUP($C2662,$C$5:$H$18,6,0)+SUMIF($C$19:$C2662,$C2662,$F$19:$F2662)-SUMIF($C$19:$C2662,$C2662,$G$19:$G2662),"")</f>
        <v>81211.819999998</v>
      </c>
      <c r="I2662" s="147"/>
      <c r="J2662" s="147"/>
      <c r="K2662" s="147" t="str">
        <f t="shared" si="41"/>
        <v/>
      </c>
      <c r="L2662" s="40"/>
      <c r="M2662"/>
      <c r="N2662"/>
      <c r="O2662"/>
      <c r="P2662"/>
      <c r="Q2662"/>
      <c r="R2662"/>
      <c r="S2662"/>
      <c r="T2662"/>
      <c r="U2662"/>
      <c r="V2662"/>
      <c r="W2662" s="41"/>
      <c r="X2662" s="41"/>
      <c r="Y2662" s="41"/>
    </row>
    <row r="2663" s="27" customFormat="1" ht="23" hidden="1" customHeight="1" spans="1:25">
      <c r="A2663" s="133" t="str">
        <f>IF(B2663="","",COUNTA($B$5:B2663))</f>
        <v/>
      </c>
      <c r="B2663" s="148"/>
      <c r="C2663" s="22" t="s">
        <v>49</v>
      </c>
      <c r="D2663" s="149"/>
      <c r="E2663" s="150"/>
      <c r="F2663" s="151"/>
      <c r="G2663" s="151"/>
      <c r="H2663" s="142">
        <f>IFERROR(VLOOKUP($C2663,$C$5:$H$18,6,0)+SUMIF($C$19:$C2663,$C2663,$F$19:$F2663)-SUMIF($C$19:$C2663,$C2663,$G$19:$G2663),"")</f>
        <v>81211.819999998</v>
      </c>
      <c r="I2663" s="147"/>
      <c r="J2663" s="147"/>
      <c r="K2663" s="147" t="str">
        <f t="shared" si="41"/>
        <v/>
      </c>
      <c r="L2663" s="40"/>
      <c r="M2663"/>
      <c r="N2663"/>
      <c r="O2663"/>
      <c r="P2663"/>
      <c r="Q2663"/>
      <c r="R2663"/>
      <c r="S2663"/>
      <c r="T2663"/>
      <c r="U2663"/>
      <c r="V2663"/>
      <c r="W2663" s="41"/>
      <c r="X2663" s="41"/>
      <c r="Y2663" s="41"/>
    </row>
    <row r="2664" s="27" customFormat="1" ht="23" hidden="1" customHeight="1" spans="1:25">
      <c r="A2664" s="133" t="str">
        <f>IF(B2664="","",COUNTA($B$5:B2664))</f>
        <v/>
      </c>
      <c r="B2664" s="148"/>
      <c r="C2664" s="22" t="s">
        <v>49</v>
      </c>
      <c r="D2664" s="149"/>
      <c r="E2664" s="150"/>
      <c r="F2664" s="151"/>
      <c r="G2664" s="151"/>
      <c r="H2664" s="142">
        <f>IFERROR(VLOOKUP($C2664,$C$5:$H$18,6,0)+SUMIF($C$19:$C2664,$C2664,$F$19:$F2664)-SUMIF($C$19:$C2664,$C2664,$G$19:$G2664),"")</f>
        <v>81211.819999998</v>
      </c>
      <c r="I2664" s="147"/>
      <c r="J2664" s="147"/>
      <c r="K2664" s="147" t="str">
        <f t="shared" si="41"/>
        <v/>
      </c>
      <c r="L2664" s="40"/>
      <c r="M2664"/>
      <c r="N2664"/>
      <c r="O2664"/>
      <c r="P2664"/>
      <c r="Q2664"/>
      <c r="R2664"/>
      <c r="S2664"/>
      <c r="T2664"/>
      <c r="U2664"/>
      <c r="V2664"/>
      <c r="W2664" s="41"/>
      <c r="X2664" s="41"/>
      <c r="Y2664" s="41"/>
    </row>
    <row r="2665" s="27" customFormat="1" ht="23" hidden="1" customHeight="1" spans="1:25">
      <c r="A2665" s="133" t="str">
        <f>IF(B2665="","",COUNTA($B$5:B2665))</f>
        <v/>
      </c>
      <c r="B2665" s="148"/>
      <c r="C2665" s="22" t="s">
        <v>49</v>
      </c>
      <c r="D2665" s="149"/>
      <c r="E2665" s="150"/>
      <c r="F2665" s="151"/>
      <c r="G2665" s="151"/>
      <c r="H2665" s="142">
        <f>IFERROR(VLOOKUP($C2665,$C$5:$H$18,6,0)+SUMIF($C$19:$C2665,$C2665,$F$19:$F2665)-SUMIF($C$19:$C2665,$C2665,$G$19:$G2665),"")</f>
        <v>81211.819999998</v>
      </c>
      <c r="I2665" s="147"/>
      <c r="J2665" s="147"/>
      <c r="K2665" s="147" t="str">
        <f t="shared" si="41"/>
        <v/>
      </c>
      <c r="L2665" s="40"/>
      <c r="M2665"/>
      <c r="N2665"/>
      <c r="O2665"/>
      <c r="P2665"/>
      <c r="Q2665"/>
      <c r="R2665"/>
      <c r="S2665"/>
      <c r="T2665"/>
      <c r="U2665"/>
      <c r="V2665"/>
      <c r="W2665" s="41"/>
      <c r="X2665" s="41"/>
      <c r="Y2665" s="41"/>
    </row>
    <row r="2666" s="27" customFormat="1" ht="23" hidden="1" customHeight="1" spans="1:25">
      <c r="A2666" s="133" t="str">
        <f>IF(B2666="","",COUNTA($B$5:B2666))</f>
        <v/>
      </c>
      <c r="B2666" s="148"/>
      <c r="C2666" s="22" t="s">
        <v>49</v>
      </c>
      <c r="D2666" s="149"/>
      <c r="E2666" s="150"/>
      <c r="F2666" s="151"/>
      <c r="G2666" s="151"/>
      <c r="H2666" s="142">
        <f>IFERROR(VLOOKUP($C2666,$C$5:$H$18,6,0)+SUMIF($C$19:$C2666,$C2666,$F$19:$F2666)-SUMIF($C$19:$C2666,$C2666,$G$19:$G2666),"")</f>
        <v>81211.819999998</v>
      </c>
      <c r="I2666" s="147"/>
      <c r="J2666" s="147"/>
      <c r="K2666" s="147" t="str">
        <f t="shared" si="41"/>
        <v/>
      </c>
      <c r="L2666" s="40"/>
      <c r="M2666"/>
      <c r="N2666"/>
      <c r="O2666"/>
      <c r="P2666"/>
      <c r="Q2666"/>
      <c r="R2666"/>
      <c r="S2666"/>
      <c r="T2666"/>
      <c r="U2666"/>
      <c r="V2666"/>
      <c r="W2666" s="41"/>
      <c r="X2666" s="41"/>
      <c r="Y2666" s="41"/>
    </row>
    <row r="2667" s="27" customFormat="1" ht="23" hidden="1" customHeight="1" spans="1:25">
      <c r="A2667" s="133" t="str">
        <f>IF(B2667="","",COUNTA($B$5:B2667))</f>
        <v/>
      </c>
      <c r="B2667" s="148"/>
      <c r="C2667" s="22" t="s">
        <v>49</v>
      </c>
      <c r="D2667" s="149"/>
      <c r="E2667" s="150"/>
      <c r="F2667" s="151"/>
      <c r="G2667" s="151"/>
      <c r="H2667" s="142">
        <f>IFERROR(VLOOKUP($C2667,$C$5:$H$18,6,0)+SUMIF($C$19:$C2667,$C2667,$F$19:$F2667)-SUMIF($C$19:$C2667,$C2667,$G$19:$G2667),"")</f>
        <v>81211.819999998</v>
      </c>
      <c r="I2667" s="147"/>
      <c r="J2667" s="147"/>
      <c r="K2667" s="147" t="str">
        <f t="shared" si="41"/>
        <v/>
      </c>
      <c r="L2667" s="40"/>
      <c r="M2667"/>
      <c r="N2667"/>
      <c r="O2667"/>
      <c r="P2667"/>
      <c r="Q2667"/>
      <c r="R2667"/>
      <c r="S2667"/>
      <c r="T2667"/>
      <c r="U2667"/>
      <c r="V2667"/>
      <c r="W2667" s="41"/>
      <c r="X2667" s="41"/>
      <c r="Y2667" s="41"/>
    </row>
    <row r="2668" s="27" customFormat="1" ht="23" hidden="1" customHeight="1" spans="1:25">
      <c r="A2668" s="133" t="str">
        <f>IF(B2668="","",COUNTA($B$5:B2668))</f>
        <v/>
      </c>
      <c r="B2668" s="148"/>
      <c r="C2668" s="22" t="s">
        <v>49</v>
      </c>
      <c r="D2668" s="149"/>
      <c r="E2668" s="150"/>
      <c r="F2668" s="151"/>
      <c r="G2668" s="151"/>
      <c r="H2668" s="142">
        <f>IFERROR(VLOOKUP($C2668,$C$5:$H$18,6,0)+SUMIF($C$19:$C2668,$C2668,$F$19:$F2668)-SUMIF($C$19:$C2668,$C2668,$G$19:$G2668),"")</f>
        <v>81211.819999998</v>
      </c>
      <c r="I2668" s="147"/>
      <c r="J2668" s="147"/>
      <c r="K2668" s="147" t="str">
        <f t="shared" si="41"/>
        <v/>
      </c>
      <c r="L2668" s="40"/>
      <c r="M2668"/>
      <c r="N2668"/>
      <c r="O2668"/>
      <c r="P2668"/>
      <c r="Q2668"/>
      <c r="R2668"/>
      <c r="S2668"/>
      <c r="T2668"/>
      <c r="U2668"/>
      <c r="V2668"/>
      <c r="W2668" s="41"/>
      <c r="X2668" s="41"/>
      <c r="Y2668" s="41"/>
    </row>
    <row r="2669" s="27" customFormat="1" ht="23" hidden="1" customHeight="1" spans="1:25">
      <c r="A2669" s="133" t="str">
        <f>IF(B2669="","",COUNTA($B$5:B2669))</f>
        <v/>
      </c>
      <c r="B2669" s="148"/>
      <c r="C2669" s="22" t="s">
        <v>49</v>
      </c>
      <c r="D2669" s="149"/>
      <c r="E2669" s="150"/>
      <c r="F2669" s="151"/>
      <c r="G2669" s="151"/>
      <c r="H2669" s="142">
        <f>IFERROR(VLOOKUP($C2669,$C$5:$H$18,6,0)+SUMIF($C$19:$C2669,$C2669,$F$19:$F2669)-SUMIF($C$19:$C2669,$C2669,$G$19:$G2669),"")</f>
        <v>81211.819999998</v>
      </c>
      <c r="I2669" s="147"/>
      <c r="J2669" s="147"/>
      <c r="K2669" s="147" t="str">
        <f t="shared" si="41"/>
        <v/>
      </c>
      <c r="L2669" s="40"/>
      <c r="M2669"/>
      <c r="N2669"/>
      <c r="O2669"/>
      <c r="P2669"/>
      <c r="Q2669"/>
      <c r="R2669"/>
      <c r="S2669"/>
      <c r="T2669"/>
      <c r="U2669"/>
      <c r="V2669"/>
      <c r="W2669" s="41"/>
      <c r="X2669" s="41"/>
      <c r="Y2669" s="41"/>
    </row>
    <row r="2670" s="27" customFormat="1" ht="23" hidden="1" customHeight="1" spans="1:25">
      <c r="A2670" s="133" t="str">
        <f>IF(B2670="","",COUNTA($B$5:B2670))</f>
        <v/>
      </c>
      <c r="B2670" s="148"/>
      <c r="C2670" s="22" t="s">
        <v>49</v>
      </c>
      <c r="D2670" s="149"/>
      <c r="E2670" s="150"/>
      <c r="F2670" s="151"/>
      <c r="G2670" s="151"/>
      <c r="H2670" s="142">
        <f>IFERROR(VLOOKUP($C2670,$C$5:$H$18,6,0)+SUMIF($C$19:$C2670,$C2670,$F$19:$F2670)-SUMIF($C$19:$C2670,$C2670,$G$19:$G2670),"")</f>
        <v>81211.819999998</v>
      </c>
      <c r="I2670" s="147"/>
      <c r="J2670" s="147"/>
      <c r="K2670" s="147" t="str">
        <f t="shared" si="41"/>
        <v/>
      </c>
      <c r="L2670" s="40"/>
      <c r="M2670"/>
      <c r="N2670"/>
      <c r="O2670"/>
      <c r="P2670"/>
      <c r="Q2670"/>
      <c r="R2670"/>
      <c r="S2670"/>
      <c r="T2670"/>
      <c r="U2670"/>
      <c r="V2670"/>
      <c r="W2670" s="41"/>
      <c r="X2670" s="41"/>
      <c r="Y2670" s="41"/>
    </row>
    <row r="2671" s="27" customFormat="1" ht="23" hidden="1" customHeight="1" spans="1:25">
      <c r="A2671" s="133" t="str">
        <f>IF(B2671="","",COUNTA($B$5:B2671))</f>
        <v/>
      </c>
      <c r="B2671" s="148"/>
      <c r="C2671" s="22" t="s">
        <v>49</v>
      </c>
      <c r="D2671" s="149"/>
      <c r="E2671" s="150"/>
      <c r="F2671" s="151"/>
      <c r="G2671" s="151"/>
      <c r="H2671" s="142">
        <f>IFERROR(VLOOKUP($C2671,$C$5:$H$18,6,0)+SUMIF($C$19:$C2671,$C2671,$F$19:$F2671)-SUMIF($C$19:$C2671,$C2671,$G$19:$G2671),"")</f>
        <v>81211.819999998</v>
      </c>
      <c r="I2671" s="147"/>
      <c r="J2671" s="147"/>
      <c r="K2671" s="147" t="str">
        <f t="shared" si="41"/>
        <v/>
      </c>
      <c r="L2671" s="40"/>
      <c r="M2671"/>
      <c r="N2671"/>
      <c r="O2671"/>
      <c r="P2671"/>
      <c r="Q2671"/>
      <c r="R2671"/>
      <c r="S2671"/>
      <c r="T2671"/>
      <c r="U2671"/>
      <c r="V2671"/>
      <c r="W2671" s="41"/>
      <c r="X2671" s="41"/>
      <c r="Y2671" s="41"/>
    </row>
    <row r="2672" s="27" customFormat="1" ht="23" hidden="1" customHeight="1" spans="1:25">
      <c r="A2672" s="133" t="str">
        <f>IF(B2672="","",COUNTA($B$5:B2672))</f>
        <v/>
      </c>
      <c r="B2672" s="148"/>
      <c r="C2672" s="22" t="s">
        <v>49</v>
      </c>
      <c r="D2672" s="149"/>
      <c r="E2672" s="150"/>
      <c r="F2672" s="151"/>
      <c r="G2672" s="151"/>
      <c r="H2672" s="142">
        <f>IFERROR(VLOOKUP($C2672,$C$5:$H$18,6,0)+SUMIF($C$19:$C2672,$C2672,$F$19:$F2672)-SUMIF($C$19:$C2672,$C2672,$G$19:$G2672),"")</f>
        <v>81211.819999998</v>
      </c>
      <c r="I2672" s="147"/>
      <c r="J2672" s="147"/>
      <c r="K2672" s="147" t="str">
        <f t="shared" si="41"/>
        <v/>
      </c>
      <c r="L2672" s="40"/>
      <c r="M2672"/>
      <c r="N2672"/>
      <c r="O2672"/>
      <c r="P2672"/>
      <c r="Q2672"/>
      <c r="R2672"/>
      <c r="S2672"/>
      <c r="T2672"/>
      <c r="U2672"/>
      <c r="V2672"/>
      <c r="W2672" s="41"/>
      <c r="X2672" s="41"/>
      <c r="Y2672" s="41"/>
    </row>
    <row r="2673" s="27" customFormat="1" ht="23" hidden="1" customHeight="1" spans="1:25">
      <c r="A2673" s="133" t="str">
        <f>IF(B2673="","",COUNTA($B$5:B2673))</f>
        <v/>
      </c>
      <c r="B2673" s="148"/>
      <c r="C2673" s="22" t="s">
        <v>49</v>
      </c>
      <c r="D2673" s="149"/>
      <c r="E2673" s="150"/>
      <c r="F2673" s="151"/>
      <c r="G2673" s="151"/>
      <c r="H2673" s="142">
        <f>IFERROR(VLOOKUP($C2673,$C$5:$H$18,6,0)+SUMIF($C$19:$C2673,$C2673,$F$19:$F2673)-SUMIF($C$19:$C2673,$C2673,$G$19:$G2673),"")</f>
        <v>81211.819999998</v>
      </c>
      <c r="I2673" s="147"/>
      <c r="J2673" s="147"/>
      <c r="K2673" s="147" t="str">
        <f t="shared" si="41"/>
        <v/>
      </c>
      <c r="L2673" s="40"/>
      <c r="M2673"/>
      <c r="N2673"/>
      <c r="O2673"/>
      <c r="P2673"/>
      <c r="Q2673"/>
      <c r="R2673"/>
      <c r="S2673"/>
      <c r="T2673"/>
      <c r="U2673"/>
      <c r="V2673"/>
      <c r="W2673" s="41"/>
      <c r="X2673" s="41"/>
      <c r="Y2673" s="41"/>
    </row>
    <row r="2674" s="27" customFormat="1" ht="23" hidden="1" customHeight="1" spans="1:25">
      <c r="A2674" s="133" t="str">
        <f>IF(B2674="","",COUNTA($B$5:B2674))</f>
        <v/>
      </c>
      <c r="B2674" s="148"/>
      <c r="C2674" s="22" t="s">
        <v>49</v>
      </c>
      <c r="D2674" s="149"/>
      <c r="E2674" s="150"/>
      <c r="F2674" s="151"/>
      <c r="G2674" s="151"/>
      <c r="H2674" s="142">
        <f>IFERROR(VLOOKUP($C2674,$C$5:$H$18,6,0)+SUMIF($C$19:$C2674,$C2674,$F$19:$F2674)-SUMIF($C$19:$C2674,$C2674,$G$19:$G2674),"")</f>
        <v>81211.819999998</v>
      </c>
      <c r="I2674" s="147"/>
      <c r="J2674" s="147"/>
      <c r="K2674" s="147" t="str">
        <f t="shared" si="41"/>
        <v/>
      </c>
      <c r="L2674" s="40"/>
      <c r="M2674"/>
      <c r="N2674"/>
      <c r="O2674"/>
      <c r="P2674"/>
      <c r="Q2674"/>
      <c r="R2674"/>
      <c r="S2674"/>
      <c r="T2674"/>
      <c r="U2674"/>
      <c r="V2674"/>
      <c r="W2674" s="41"/>
      <c r="X2674" s="41"/>
      <c r="Y2674" s="41"/>
    </row>
    <row r="2675" s="27" customFormat="1" ht="23" hidden="1" customHeight="1" spans="1:25">
      <c r="A2675" s="133" t="str">
        <f>IF(B2675="","",COUNTA($B$5:B2675))</f>
        <v/>
      </c>
      <c r="B2675" s="148"/>
      <c r="C2675" s="22" t="s">
        <v>49</v>
      </c>
      <c r="D2675" s="149"/>
      <c r="E2675" s="150"/>
      <c r="F2675" s="151"/>
      <c r="G2675" s="151"/>
      <c r="H2675" s="142">
        <f>IFERROR(VLOOKUP($C2675,$C$5:$H$18,6,0)+SUMIF($C$19:$C2675,$C2675,$F$19:$F2675)-SUMIF($C$19:$C2675,$C2675,$G$19:$G2675),"")</f>
        <v>81211.819999998</v>
      </c>
      <c r="I2675" s="147"/>
      <c r="J2675" s="147"/>
      <c r="K2675" s="147" t="str">
        <f t="shared" si="41"/>
        <v/>
      </c>
      <c r="L2675" s="40"/>
      <c r="M2675"/>
      <c r="N2675"/>
      <c r="O2675"/>
      <c r="P2675"/>
      <c r="Q2675"/>
      <c r="R2675"/>
      <c r="S2675"/>
      <c r="T2675"/>
      <c r="U2675"/>
      <c r="V2675"/>
      <c r="W2675" s="41"/>
      <c r="X2675" s="41"/>
      <c r="Y2675" s="41"/>
    </row>
    <row r="2676" s="27" customFormat="1" ht="23" hidden="1" customHeight="1" spans="1:25">
      <c r="A2676" s="133" t="str">
        <f>IF(B2676="","",COUNTA($B$5:B2676))</f>
        <v/>
      </c>
      <c r="B2676" s="148"/>
      <c r="C2676" s="22" t="s">
        <v>49</v>
      </c>
      <c r="D2676" s="149"/>
      <c r="E2676" s="150"/>
      <c r="F2676" s="151"/>
      <c r="G2676" s="151"/>
      <c r="H2676" s="142">
        <f>IFERROR(VLOOKUP($C2676,$C$5:$H$18,6,0)+SUMIF($C$19:$C2676,$C2676,$F$19:$F2676)-SUMIF($C$19:$C2676,$C2676,$G$19:$G2676),"")</f>
        <v>81211.819999998</v>
      </c>
      <c r="I2676" s="147"/>
      <c r="J2676" s="147"/>
      <c r="K2676" s="147" t="str">
        <f t="shared" si="41"/>
        <v/>
      </c>
      <c r="L2676" s="40"/>
      <c r="M2676"/>
      <c r="N2676"/>
      <c r="O2676"/>
      <c r="P2676"/>
      <c r="Q2676"/>
      <c r="R2676"/>
      <c r="S2676"/>
      <c r="T2676"/>
      <c r="U2676"/>
      <c r="V2676"/>
      <c r="W2676" s="41"/>
      <c r="X2676" s="41"/>
      <c r="Y2676" s="41"/>
    </row>
    <row r="2677" s="27" customFormat="1" ht="23" hidden="1" customHeight="1" spans="1:25">
      <c r="A2677" s="133" t="str">
        <f>IF(B2677="","",COUNTA($B$5:B2677))</f>
        <v/>
      </c>
      <c r="B2677" s="148"/>
      <c r="C2677" s="22" t="s">
        <v>49</v>
      </c>
      <c r="D2677" s="149"/>
      <c r="E2677" s="150"/>
      <c r="F2677" s="151"/>
      <c r="G2677" s="151"/>
      <c r="H2677" s="142">
        <f>IFERROR(VLOOKUP($C2677,$C$5:$H$18,6,0)+SUMIF($C$19:$C2677,$C2677,$F$19:$F2677)-SUMIF($C$19:$C2677,$C2677,$G$19:$G2677),"")</f>
        <v>81211.819999998</v>
      </c>
      <c r="I2677" s="147"/>
      <c r="J2677" s="147"/>
      <c r="K2677" s="147" t="str">
        <f t="shared" si="41"/>
        <v/>
      </c>
      <c r="L2677" s="40"/>
      <c r="M2677"/>
      <c r="N2677"/>
      <c r="O2677"/>
      <c r="P2677"/>
      <c r="Q2677"/>
      <c r="R2677"/>
      <c r="S2677"/>
      <c r="T2677"/>
      <c r="U2677"/>
      <c r="V2677"/>
      <c r="W2677" s="41"/>
      <c r="X2677" s="41"/>
      <c r="Y2677" s="41"/>
    </row>
    <row r="2678" s="27" customFormat="1" ht="23" hidden="1" customHeight="1" spans="1:25">
      <c r="A2678" s="133" t="str">
        <f>IF(B2678="","",COUNTA($B$5:B2678))</f>
        <v/>
      </c>
      <c r="B2678" s="148"/>
      <c r="C2678" s="22" t="s">
        <v>49</v>
      </c>
      <c r="D2678" s="149"/>
      <c r="E2678" s="150"/>
      <c r="F2678" s="151"/>
      <c r="G2678" s="151"/>
      <c r="H2678" s="142">
        <f>IFERROR(VLOOKUP($C2678,$C$5:$H$18,6,0)+SUMIF($C$19:$C2678,$C2678,$F$19:$F2678)-SUMIF($C$19:$C2678,$C2678,$G$19:$G2678),"")</f>
        <v>81211.819999998</v>
      </c>
      <c r="I2678" s="147"/>
      <c r="J2678" s="147"/>
      <c r="K2678" s="147" t="str">
        <f t="shared" si="41"/>
        <v/>
      </c>
      <c r="L2678" s="40"/>
      <c r="M2678"/>
      <c r="N2678"/>
      <c r="O2678"/>
      <c r="P2678"/>
      <c r="Q2678"/>
      <c r="R2678"/>
      <c r="S2678"/>
      <c r="T2678"/>
      <c r="U2678"/>
      <c r="V2678"/>
      <c r="W2678" s="41"/>
      <c r="X2678" s="41"/>
      <c r="Y2678" s="41"/>
    </row>
    <row r="2679" s="27" customFormat="1" ht="23" hidden="1" customHeight="1" spans="1:25">
      <c r="A2679" s="133" t="str">
        <f>IF(B2679="","",COUNTA($B$5:B2679))</f>
        <v/>
      </c>
      <c r="B2679" s="148"/>
      <c r="C2679" s="22" t="s">
        <v>49</v>
      </c>
      <c r="D2679" s="149"/>
      <c r="E2679" s="150"/>
      <c r="F2679" s="151"/>
      <c r="G2679" s="151"/>
      <c r="H2679" s="142">
        <f>IFERROR(VLOOKUP($C2679,$C$5:$H$18,6,0)+SUMIF($C$19:$C2679,$C2679,$F$19:$F2679)-SUMIF($C$19:$C2679,$C2679,$G$19:$G2679),"")</f>
        <v>81211.819999998</v>
      </c>
      <c r="I2679" s="147"/>
      <c r="J2679" s="147"/>
      <c r="K2679" s="147" t="str">
        <f t="shared" si="41"/>
        <v/>
      </c>
      <c r="L2679" s="40"/>
      <c r="M2679"/>
      <c r="N2679"/>
      <c r="O2679"/>
      <c r="P2679"/>
      <c r="Q2679"/>
      <c r="R2679"/>
      <c r="S2679"/>
      <c r="T2679"/>
      <c r="U2679"/>
      <c r="V2679"/>
      <c r="W2679" s="41"/>
      <c r="X2679" s="41"/>
      <c r="Y2679" s="41"/>
    </row>
    <row r="2680" s="27" customFormat="1" ht="23" hidden="1" customHeight="1" spans="1:25">
      <c r="A2680" s="133" t="str">
        <f>IF(B2680="","",COUNTA($B$5:B2680))</f>
        <v/>
      </c>
      <c r="B2680" s="148"/>
      <c r="C2680" s="22" t="s">
        <v>49</v>
      </c>
      <c r="D2680" s="149"/>
      <c r="E2680" s="150"/>
      <c r="F2680" s="151"/>
      <c r="G2680" s="151"/>
      <c r="H2680" s="142">
        <f>IFERROR(VLOOKUP($C2680,$C$5:$H$18,6,0)+SUMIF($C$19:$C2680,$C2680,$F$19:$F2680)-SUMIF($C$19:$C2680,$C2680,$G$19:$G2680),"")</f>
        <v>81211.819999998</v>
      </c>
      <c r="I2680" s="147"/>
      <c r="J2680" s="147"/>
      <c r="K2680" s="147" t="str">
        <f t="shared" si="41"/>
        <v/>
      </c>
      <c r="L2680" s="40"/>
      <c r="M2680"/>
      <c r="N2680"/>
      <c r="O2680"/>
      <c r="P2680"/>
      <c r="Q2680"/>
      <c r="R2680"/>
      <c r="S2680"/>
      <c r="T2680"/>
      <c r="U2680"/>
      <c r="V2680"/>
      <c r="W2680" s="41"/>
      <c r="X2680" s="41"/>
      <c r="Y2680" s="41"/>
    </row>
    <row r="2681" s="27" customFormat="1" ht="23" hidden="1" customHeight="1" spans="1:25">
      <c r="A2681" s="133" t="str">
        <f>IF(B2681="","",COUNTA($B$5:B2681))</f>
        <v/>
      </c>
      <c r="B2681" s="148"/>
      <c r="C2681" s="22" t="s">
        <v>49</v>
      </c>
      <c r="D2681" s="149"/>
      <c r="E2681" s="150"/>
      <c r="F2681" s="151"/>
      <c r="G2681" s="151"/>
      <c r="H2681" s="142">
        <f>IFERROR(VLOOKUP($C2681,$C$5:$H$18,6,0)+SUMIF($C$19:$C2681,$C2681,$F$19:$F2681)-SUMIF($C$19:$C2681,$C2681,$G$19:$G2681),"")</f>
        <v>81211.819999998</v>
      </c>
      <c r="I2681" s="147"/>
      <c r="J2681" s="147"/>
      <c r="K2681" s="147" t="str">
        <f t="shared" si="41"/>
        <v/>
      </c>
      <c r="L2681" s="40"/>
      <c r="M2681"/>
      <c r="N2681"/>
      <c r="O2681"/>
      <c r="P2681"/>
      <c r="Q2681"/>
      <c r="R2681"/>
      <c r="S2681"/>
      <c r="T2681"/>
      <c r="U2681"/>
      <c r="V2681"/>
      <c r="W2681" s="41"/>
      <c r="X2681" s="41"/>
      <c r="Y2681" s="41"/>
    </row>
    <row r="2682" s="27" customFormat="1" ht="23" hidden="1" customHeight="1" spans="1:25">
      <c r="A2682" s="133" t="str">
        <f>IF(B2682="","",COUNTA($B$5:B2682))</f>
        <v/>
      </c>
      <c r="B2682" s="148"/>
      <c r="C2682" s="22" t="s">
        <v>49</v>
      </c>
      <c r="D2682" s="149"/>
      <c r="E2682" s="150"/>
      <c r="F2682" s="151"/>
      <c r="G2682" s="151"/>
      <c r="H2682" s="142">
        <f>IFERROR(VLOOKUP($C2682,$C$5:$H$18,6,0)+SUMIF($C$19:$C2682,$C2682,$F$19:$F2682)-SUMIF($C$19:$C2682,$C2682,$G$19:$G2682),"")</f>
        <v>81211.819999998</v>
      </c>
      <c r="I2682" s="147"/>
      <c r="J2682" s="147"/>
      <c r="K2682" s="147" t="str">
        <f t="shared" si="41"/>
        <v/>
      </c>
      <c r="L2682" s="40"/>
      <c r="M2682"/>
      <c r="N2682"/>
      <c r="O2682"/>
      <c r="P2682"/>
      <c r="Q2682"/>
      <c r="R2682"/>
      <c r="S2682"/>
      <c r="T2682"/>
      <c r="U2682"/>
      <c r="V2682"/>
      <c r="W2682" s="41"/>
      <c r="X2682" s="41"/>
      <c r="Y2682" s="41"/>
    </row>
    <row r="2683" s="27" customFormat="1" ht="23" hidden="1" customHeight="1" spans="1:25">
      <c r="A2683" s="133" t="str">
        <f>IF(B2683="","",COUNTA($B$5:B2683))</f>
        <v/>
      </c>
      <c r="B2683" s="148"/>
      <c r="C2683" s="22" t="s">
        <v>49</v>
      </c>
      <c r="D2683" s="149"/>
      <c r="E2683" s="150"/>
      <c r="F2683" s="151"/>
      <c r="G2683" s="151"/>
      <c r="H2683" s="142">
        <f>IFERROR(VLOOKUP($C2683,$C$5:$H$18,6,0)+SUMIF($C$19:$C2683,$C2683,$F$19:$F2683)-SUMIF($C$19:$C2683,$C2683,$G$19:$G2683),"")</f>
        <v>81211.819999998</v>
      </c>
      <c r="I2683" s="147"/>
      <c r="J2683" s="147"/>
      <c r="K2683" s="147" t="str">
        <f t="shared" si="41"/>
        <v/>
      </c>
      <c r="L2683" s="40"/>
      <c r="M2683"/>
      <c r="N2683"/>
      <c r="O2683"/>
      <c r="P2683"/>
      <c r="Q2683"/>
      <c r="R2683"/>
      <c r="S2683"/>
      <c r="T2683"/>
      <c r="U2683"/>
      <c r="V2683"/>
      <c r="W2683" s="41"/>
      <c r="X2683" s="41"/>
      <c r="Y2683" s="41"/>
    </row>
    <row r="2684" s="27" customFormat="1" ht="23" hidden="1" customHeight="1" spans="1:25">
      <c r="A2684" s="133" t="str">
        <f>IF(B2684="","",COUNTA($B$5:B2684))</f>
        <v/>
      </c>
      <c r="B2684" s="148"/>
      <c r="C2684" s="22" t="s">
        <v>49</v>
      </c>
      <c r="D2684" s="149"/>
      <c r="E2684" s="150"/>
      <c r="F2684" s="151"/>
      <c r="G2684" s="151"/>
      <c r="H2684" s="142">
        <f>IFERROR(VLOOKUP($C2684,$C$5:$H$18,6,0)+SUMIF($C$19:$C2684,$C2684,$F$19:$F2684)-SUMIF($C$19:$C2684,$C2684,$G$19:$G2684),"")</f>
        <v>81211.819999998</v>
      </c>
      <c r="I2684" s="147"/>
      <c r="J2684" s="147"/>
      <c r="K2684" s="147" t="str">
        <f t="shared" si="41"/>
        <v/>
      </c>
      <c r="L2684" s="40"/>
      <c r="M2684"/>
      <c r="N2684"/>
      <c r="O2684"/>
      <c r="P2684"/>
      <c r="Q2684"/>
      <c r="R2684"/>
      <c r="S2684"/>
      <c r="T2684"/>
      <c r="U2684"/>
      <c r="V2684"/>
      <c r="W2684" s="41"/>
      <c r="X2684" s="41"/>
      <c r="Y2684" s="41"/>
    </row>
    <row r="2685" s="27" customFormat="1" ht="23" hidden="1" customHeight="1" spans="1:25">
      <c r="A2685" s="133" t="str">
        <f>IF(B2685="","",COUNTA($B$5:B2685))</f>
        <v/>
      </c>
      <c r="B2685" s="148"/>
      <c r="C2685" s="22" t="s">
        <v>49</v>
      </c>
      <c r="D2685" s="149"/>
      <c r="E2685" s="150"/>
      <c r="F2685" s="151"/>
      <c r="G2685" s="151"/>
      <c r="H2685" s="142">
        <f>IFERROR(VLOOKUP($C2685,$C$5:$H$18,6,0)+SUMIF($C$19:$C2685,$C2685,$F$19:$F2685)-SUMIF($C$19:$C2685,$C2685,$G$19:$G2685),"")</f>
        <v>81211.819999998</v>
      </c>
      <c r="I2685" s="147"/>
      <c r="J2685" s="147"/>
      <c r="K2685" s="147" t="str">
        <f t="shared" si="41"/>
        <v/>
      </c>
      <c r="L2685" s="40"/>
      <c r="M2685"/>
      <c r="N2685"/>
      <c r="O2685"/>
      <c r="P2685"/>
      <c r="Q2685"/>
      <c r="R2685"/>
      <c r="S2685"/>
      <c r="T2685"/>
      <c r="U2685"/>
      <c r="V2685"/>
      <c r="W2685" s="41"/>
      <c r="X2685" s="41"/>
      <c r="Y2685" s="41"/>
    </row>
    <row r="2686" s="27" customFormat="1" ht="23" hidden="1" customHeight="1" spans="1:25">
      <c r="A2686" s="133" t="str">
        <f>IF(B2686="","",COUNTA($B$5:B2686))</f>
        <v/>
      </c>
      <c r="B2686" s="148"/>
      <c r="C2686" s="22" t="s">
        <v>49</v>
      </c>
      <c r="D2686" s="149"/>
      <c r="E2686" s="150"/>
      <c r="F2686" s="151"/>
      <c r="G2686" s="151"/>
      <c r="H2686" s="142">
        <f>IFERROR(VLOOKUP($C2686,$C$5:$H$18,6,0)+SUMIF($C$19:$C2686,$C2686,$F$19:$F2686)-SUMIF($C$19:$C2686,$C2686,$G$19:$G2686),"")</f>
        <v>81211.819999998</v>
      </c>
      <c r="I2686" s="147"/>
      <c r="J2686" s="147"/>
      <c r="K2686" s="147" t="str">
        <f t="shared" si="41"/>
        <v/>
      </c>
      <c r="L2686" s="40"/>
      <c r="M2686"/>
      <c r="N2686"/>
      <c r="O2686"/>
      <c r="P2686"/>
      <c r="Q2686"/>
      <c r="R2686"/>
      <c r="S2686"/>
      <c r="T2686"/>
      <c r="U2686"/>
      <c r="V2686"/>
      <c r="W2686" s="41"/>
      <c r="X2686" s="41"/>
      <c r="Y2686" s="41"/>
    </row>
    <row r="2687" s="27" customFormat="1" ht="23" hidden="1" customHeight="1" spans="1:25">
      <c r="A2687" s="133" t="str">
        <f>IF(B2687="","",COUNTA($B$5:B2687))</f>
        <v/>
      </c>
      <c r="B2687" s="148"/>
      <c r="C2687" s="22" t="s">
        <v>49</v>
      </c>
      <c r="D2687" s="149"/>
      <c r="E2687" s="150"/>
      <c r="F2687" s="151"/>
      <c r="G2687" s="151"/>
      <c r="H2687" s="142">
        <f>IFERROR(VLOOKUP($C2687,$C$5:$H$18,6,0)+SUMIF($C$19:$C2687,$C2687,$F$19:$F2687)-SUMIF($C$19:$C2687,$C2687,$G$19:$G2687),"")</f>
        <v>81211.819999998</v>
      </c>
      <c r="I2687" s="147"/>
      <c r="J2687" s="147"/>
      <c r="K2687" s="147" t="str">
        <f t="shared" si="41"/>
        <v/>
      </c>
      <c r="L2687" s="40"/>
      <c r="M2687"/>
      <c r="N2687"/>
      <c r="O2687"/>
      <c r="P2687"/>
      <c r="Q2687"/>
      <c r="R2687"/>
      <c r="S2687"/>
      <c r="T2687"/>
      <c r="U2687"/>
      <c r="V2687"/>
      <c r="W2687" s="41"/>
      <c r="X2687" s="41"/>
      <c r="Y2687" s="41"/>
    </row>
    <row r="2688" s="27" customFormat="1" ht="23" hidden="1" customHeight="1" spans="1:25">
      <c r="A2688" s="133" t="str">
        <f>IF(B2688="","",COUNTA($B$5:B2688))</f>
        <v/>
      </c>
      <c r="B2688" s="148"/>
      <c r="C2688" s="22" t="s">
        <v>49</v>
      </c>
      <c r="D2688" s="149"/>
      <c r="E2688" s="150"/>
      <c r="F2688" s="151"/>
      <c r="G2688" s="151"/>
      <c r="H2688" s="142">
        <f>IFERROR(VLOOKUP($C2688,$C$5:$H$18,6,0)+SUMIF($C$19:$C2688,$C2688,$F$19:$F2688)-SUMIF($C$19:$C2688,$C2688,$G$19:$G2688),"")</f>
        <v>81211.819999998</v>
      </c>
      <c r="I2688" s="147"/>
      <c r="J2688" s="147"/>
      <c r="K2688" s="147" t="str">
        <f t="shared" si="41"/>
        <v/>
      </c>
      <c r="L2688" s="40"/>
      <c r="M2688"/>
      <c r="N2688"/>
      <c r="O2688"/>
      <c r="P2688"/>
      <c r="Q2688"/>
      <c r="R2688"/>
      <c r="S2688"/>
      <c r="T2688"/>
      <c r="U2688"/>
      <c r="V2688"/>
      <c r="W2688" s="41"/>
      <c r="X2688" s="41"/>
      <c r="Y2688" s="41"/>
    </row>
    <row r="2689" s="27" customFormat="1" ht="23" hidden="1" customHeight="1" spans="1:25">
      <c r="A2689" s="133" t="str">
        <f>IF(B2689="","",COUNTA($B$5:B2689))</f>
        <v/>
      </c>
      <c r="B2689" s="148"/>
      <c r="C2689" s="22" t="s">
        <v>49</v>
      </c>
      <c r="D2689" s="149"/>
      <c r="E2689" s="150"/>
      <c r="F2689" s="151"/>
      <c r="G2689" s="151"/>
      <c r="H2689" s="142">
        <f>IFERROR(VLOOKUP($C2689,$C$5:$H$18,6,0)+SUMIF($C$19:$C2689,$C2689,$F$19:$F2689)-SUMIF($C$19:$C2689,$C2689,$G$19:$G2689),"")</f>
        <v>81211.819999998</v>
      </c>
      <c r="I2689" s="147"/>
      <c r="J2689" s="147"/>
      <c r="K2689" s="147" t="str">
        <f t="shared" si="41"/>
        <v/>
      </c>
      <c r="L2689" s="40"/>
      <c r="M2689"/>
      <c r="N2689"/>
      <c r="O2689"/>
      <c r="P2689"/>
      <c r="Q2689"/>
      <c r="R2689"/>
      <c r="S2689"/>
      <c r="T2689"/>
      <c r="U2689"/>
      <c r="V2689"/>
      <c r="W2689" s="41"/>
      <c r="X2689" s="41"/>
      <c r="Y2689" s="41"/>
    </row>
    <row r="2690" s="27" customFormat="1" ht="23" hidden="1" customHeight="1" spans="1:25">
      <c r="A2690" s="133" t="str">
        <f>IF(B2690="","",COUNTA($B$5:B2690))</f>
        <v/>
      </c>
      <c r="B2690" s="148"/>
      <c r="C2690" s="22" t="s">
        <v>49</v>
      </c>
      <c r="D2690" s="149"/>
      <c r="E2690" s="150"/>
      <c r="F2690" s="151"/>
      <c r="G2690" s="151"/>
      <c r="H2690" s="142">
        <f>IFERROR(VLOOKUP($C2690,$C$5:$H$18,6,0)+SUMIF($C$19:$C2690,$C2690,$F$19:$F2690)-SUMIF($C$19:$C2690,$C2690,$G$19:$G2690),"")</f>
        <v>81211.819999998</v>
      </c>
      <c r="I2690" s="147"/>
      <c r="J2690" s="147"/>
      <c r="K2690" s="147" t="str">
        <f t="shared" si="41"/>
        <v/>
      </c>
      <c r="L2690" s="40"/>
      <c r="M2690"/>
      <c r="N2690"/>
      <c r="O2690"/>
      <c r="P2690"/>
      <c r="Q2690"/>
      <c r="R2690"/>
      <c r="S2690"/>
      <c r="T2690"/>
      <c r="U2690"/>
      <c r="V2690"/>
      <c r="W2690" s="41"/>
      <c r="X2690" s="41"/>
      <c r="Y2690" s="41"/>
    </row>
    <row r="2691" s="27" customFormat="1" ht="23" hidden="1" customHeight="1" spans="1:25">
      <c r="A2691" s="133" t="str">
        <f>IF(B2691="","",COUNTA($B$5:B2691))</f>
        <v/>
      </c>
      <c r="B2691" s="148"/>
      <c r="C2691" s="22" t="s">
        <v>49</v>
      </c>
      <c r="D2691" s="149"/>
      <c r="E2691" s="150"/>
      <c r="F2691" s="151"/>
      <c r="G2691" s="151"/>
      <c r="H2691" s="142">
        <f>IFERROR(VLOOKUP($C2691,$C$5:$H$18,6,0)+SUMIF($C$19:$C2691,$C2691,$F$19:$F2691)-SUMIF($C$19:$C2691,$C2691,$G$19:$G2691),"")</f>
        <v>81211.819999998</v>
      </c>
      <c r="I2691" s="147"/>
      <c r="J2691" s="147"/>
      <c r="K2691" s="147" t="str">
        <f t="shared" si="41"/>
        <v/>
      </c>
      <c r="L2691" s="40"/>
      <c r="M2691"/>
      <c r="N2691"/>
      <c r="O2691"/>
      <c r="P2691"/>
      <c r="Q2691"/>
      <c r="R2691"/>
      <c r="S2691"/>
      <c r="T2691"/>
      <c r="U2691"/>
      <c r="V2691"/>
      <c r="W2691" s="41"/>
      <c r="X2691" s="41"/>
      <c r="Y2691" s="41"/>
    </row>
    <row r="2692" s="27" customFormat="1" ht="23" hidden="1" customHeight="1" spans="1:25">
      <c r="A2692" s="133" t="str">
        <f>IF(B2692="","",COUNTA($B$5:B2692))</f>
        <v/>
      </c>
      <c r="B2692" s="148"/>
      <c r="C2692" s="22" t="s">
        <v>49</v>
      </c>
      <c r="D2692" s="149"/>
      <c r="E2692" s="150"/>
      <c r="F2692" s="151"/>
      <c r="G2692" s="151"/>
      <c r="H2692" s="142">
        <f>IFERROR(VLOOKUP($C2692,$C$5:$H$18,6,0)+SUMIF($C$19:$C2692,$C2692,$F$19:$F2692)-SUMIF($C$19:$C2692,$C2692,$G$19:$G2692),"")</f>
        <v>81211.819999998</v>
      </c>
      <c r="I2692" s="147"/>
      <c r="J2692" s="147"/>
      <c r="K2692" s="147" t="str">
        <f t="shared" si="41"/>
        <v/>
      </c>
      <c r="L2692" s="40"/>
      <c r="M2692"/>
      <c r="N2692"/>
      <c r="O2692"/>
      <c r="P2692"/>
      <c r="Q2692"/>
      <c r="R2692"/>
      <c r="S2692"/>
      <c r="T2692"/>
      <c r="U2692"/>
      <c r="V2692"/>
      <c r="W2692" s="41"/>
      <c r="X2692" s="41"/>
      <c r="Y2692" s="41"/>
    </row>
    <row r="2693" s="27" customFormat="1" ht="23" hidden="1" customHeight="1" spans="1:25">
      <c r="A2693" s="133" t="str">
        <f>IF(B2693="","",COUNTA($B$5:B2693))</f>
        <v/>
      </c>
      <c r="B2693" s="148"/>
      <c r="C2693" s="22" t="s">
        <v>49</v>
      </c>
      <c r="D2693" s="149"/>
      <c r="E2693" s="150"/>
      <c r="F2693" s="151"/>
      <c r="G2693" s="151"/>
      <c r="H2693" s="142">
        <f>IFERROR(VLOOKUP($C2693,$C$5:$H$18,6,0)+SUMIF($C$19:$C2693,$C2693,$F$19:$F2693)-SUMIF($C$19:$C2693,$C2693,$G$19:$G2693),"")</f>
        <v>81211.819999998</v>
      </c>
      <c r="I2693" s="147"/>
      <c r="J2693" s="147"/>
      <c r="K2693" s="147" t="str">
        <f t="shared" ref="K2693:K2756" si="42">IF($B2693="","",--TEXT($B2693,"yyyymm"))</f>
        <v/>
      </c>
      <c r="L2693" s="40"/>
      <c r="M2693"/>
      <c r="N2693"/>
      <c r="O2693"/>
      <c r="P2693"/>
      <c r="Q2693"/>
      <c r="R2693"/>
      <c r="S2693"/>
      <c r="T2693"/>
      <c r="U2693"/>
      <c r="V2693"/>
      <c r="W2693" s="41"/>
      <c r="X2693" s="41"/>
      <c r="Y2693" s="41"/>
    </row>
    <row r="2694" s="27" customFormat="1" ht="23" hidden="1" customHeight="1" spans="1:25">
      <c r="A2694" s="133" t="str">
        <f>IF(B2694="","",COUNTA($B$5:B2694))</f>
        <v/>
      </c>
      <c r="B2694" s="148"/>
      <c r="C2694" s="22" t="s">
        <v>49</v>
      </c>
      <c r="D2694" s="149"/>
      <c r="E2694" s="150"/>
      <c r="F2694" s="151"/>
      <c r="G2694" s="151"/>
      <c r="H2694" s="142">
        <f>IFERROR(VLOOKUP($C2694,$C$5:$H$18,6,0)+SUMIF($C$19:$C2694,$C2694,$F$19:$F2694)-SUMIF($C$19:$C2694,$C2694,$G$19:$G2694),"")</f>
        <v>81211.819999998</v>
      </c>
      <c r="I2694" s="147"/>
      <c r="J2694" s="147"/>
      <c r="K2694" s="147" t="str">
        <f t="shared" si="42"/>
        <v/>
      </c>
      <c r="L2694" s="40"/>
      <c r="M2694"/>
      <c r="N2694"/>
      <c r="O2694"/>
      <c r="P2694"/>
      <c r="Q2694"/>
      <c r="R2694"/>
      <c r="S2694"/>
      <c r="T2694"/>
      <c r="U2694"/>
      <c r="V2694"/>
      <c r="W2694" s="41"/>
      <c r="X2694" s="41"/>
      <c r="Y2694" s="41"/>
    </row>
    <row r="2695" s="27" customFormat="1" ht="23" hidden="1" customHeight="1" spans="1:25">
      <c r="A2695" s="133" t="str">
        <f>IF(B2695="","",COUNTA($B$5:B2695))</f>
        <v/>
      </c>
      <c r="B2695" s="148"/>
      <c r="C2695" s="22" t="s">
        <v>49</v>
      </c>
      <c r="D2695" s="149"/>
      <c r="E2695" s="150"/>
      <c r="F2695" s="151"/>
      <c r="G2695" s="151"/>
      <c r="H2695" s="142">
        <f>IFERROR(VLOOKUP($C2695,$C$5:$H$18,6,0)+SUMIF($C$19:$C2695,$C2695,$F$19:$F2695)-SUMIF($C$19:$C2695,$C2695,$G$19:$G2695),"")</f>
        <v>81211.819999998</v>
      </c>
      <c r="I2695" s="147"/>
      <c r="J2695" s="147"/>
      <c r="K2695" s="147" t="str">
        <f t="shared" si="42"/>
        <v/>
      </c>
      <c r="L2695" s="40"/>
      <c r="M2695"/>
      <c r="N2695"/>
      <c r="O2695"/>
      <c r="P2695"/>
      <c r="Q2695"/>
      <c r="R2695"/>
      <c r="S2695"/>
      <c r="T2695"/>
      <c r="U2695"/>
      <c r="V2695"/>
      <c r="W2695" s="41"/>
      <c r="X2695" s="41"/>
      <c r="Y2695" s="41"/>
    </row>
    <row r="2696" s="27" customFormat="1" ht="23" hidden="1" customHeight="1" spans="1:25">
      <c r="A2696" s="133" t="str">
        <f>IF(B2696="","",COUNTA($B$5:B2696))</f>
        <v/>
      </c>
      <c r="B2696" s="148"/>
      <c r="C2696" s="22" t="s">
        <v>49</v>
      </c>
      <c r="D2696" s="149"/>
      <c r="E2696" s="150"/>
      <c r="F2696" s="151"/>
      <c r="G2696" s="151"/>
      <c r="H2696" s="142">
        <f>IFERROR(VLOOKUP($C2696,$C$5:$H$18,6,0)+SUMIF($C$19:$C2696,$C2696,$F$19:$F2696)-SUMIF($C$19:$C2696,$C2696,$G$19:$G2696),"")</f>
        <v>81211.819999998</v>
      </c>
      <c r="I2696" s="147"/>
      <c r="J2696" s="147"/>
      <c r="K2696" s="147" t="str">
        <f t="shared" si="42"/>
        <v/>
      </c>
      <c r="L2696" s="40"/>
      <c r="M2696"/>
      <c r="N2696"/>
      <c r="O2696"/>
      <c r="P2696"/>
      <c r="Q2696"/>
      <c r="R2696"/>
      <c r="S2696"/>
      <c r="T2696"/>
      <c r="U2696"/>
      <c r="V2696"/>
      <c r="W2696" s="41"/>
      <c r="X2696" s="41"/>
      <c r="Y2696" s="41"/>
    </row>
    <row r="2697" s="27" customFormat="1" ht="23" hidden="1" customHeight="1" spans="1:25">
      <c r="A2697" s="133" t="str">
        <f>IF(B2697="","",COUNTA($B$5:B2697))</f>
        <v/>
      </c>
      <c r="B2697" s="148"/>
      <c r="C2697" s="22" t="s">
        <v>49</v>
      </c>
      <c r="D2697" s="149"/>
      <c r="E2697" s="150"/>
      <c r="F2697" s="151"/>
      <c r="G2697" s="151"/>
      <c r="H2697" s="142">
        <f>IFERROR(VLOOKUP($C2697,$C$5:$H$18,6,0)+SUMIF($C$19:$C2697,$C2697,$F$19:$F2697)-SUMIF($C$19:$C2697,$C2697,$G$19:$G2697),"")</f>
        <v>81211.819999998</v>
      </c>
      <c r="I2697" s="147"/>
      <c r="J2697" s="147"/>
      <c r="K2697" s="147" t="str">
        <f t="shared" si="42"/>
        <v/>
      </c>
      <c r="L2697" s="40"/>
      <c r="M2697"/>
      <c r="N2697"/>
      <c r="O2697"/>
      <c r="P2697"/>
      <c r="Q2697"/>
      <c r="R2697"/>
      <c r="S2697"/>
      <c r="T2697"/>
      <c r="U2697"/>
      <c r="V2697"/>
      <c r="W2697" s="41"/>
      <c r="X2697" s="41"/>
      <c r="Y2697" s="41"/>
    </row>
    <row r="2698" s="27" customFormat="1" ht="23" hidden="1" customHeight="1" spans="1:25">
      <c r="A2698" s="133" t="str">
        <f>IF(B2698="","",COUNTA($B$5:B2698))</f>
        <v/>
      </c>
      <c r="B2698" s="148"/>
      <c r="C2698" s="22" t="s">
        <v>49</v>
      </c>
      <c r="D2698" s="149"/>
      <c r="E2698" s="150"/>
      <c r="F2698" s="151"/>
      <c r="G2698" s="151"/>
      <c r="H2698" s="142">
        <f>IFERROR(VLOOKUP($C2698,$C$5:$H$18,6,0)+SUMIF($C$19:$C2698,$C2698,$F$19:$F2698)-SUMIF($C$19:$C2698,$C2698,$G$19:$G2698),"")</f>
        <v>81211.819999998</v>
      </c>
      <c r="I2698" s="147"/>
      <c r="J2698" s="147"/>
      <c r="K2698" s="147" t="str">
        <f t="shared" si="42"/>
        <v/>
      </c>
      <c r="L2698" s="40"/>
      <c r="M2698"/>
      <c r="N2698"/>
      <c r="O2698"/>
      <c r="P2698"/>
      <c r="Q2698"/>
      <c r="R2698"/>
      <c r="S2698"/>
      <c r="T2698"/>
      <c r="U2698"/>
      <c r="V2698"/>
      <c r="W2698" s="41"/>
      <c r="X2698" s="41"/>
      <c r="Y2698" s="41"/>
    </row>
    <row r="2699" s="27" customFormat="1" ht="23" hidden="1" customHeight="1" spans="1:25">
      <c r="A2699" s="133" t="str">
        <f>IF(B2699="","",COUNTA($B$5:B2699))</f>
        <v/>
      </c>
      <c r="B2699" s="148"/>
      <c r="C2699" s="22" t="s">
        <v>49</v>
      </c>
      <c r="D2699" s="149"/>
      <c r="E2699" s="150"/>
      <c r="F2699" s="151"/>
      <c r="G2699" s="151"/>
      <c r="H2699" s="142">
        <f>IFERROR(VLOOKUP($C2699,$C$5:$H$18,6,0)+SUMIF($C$19:$C2699,$C2699,$F$19:$F2699)-SUMIF($C$19:$C2699,$C2699,$G$19:$G2699),"")</f>
        <v>81211.819999998</v>
      </c>
      <c r="I2699" s="147"/>
      <c r="J2699" s="147"/>
      <c r="K2699" s="147" t="str">
        <f t="shared" si="42"/>
        <v/>
      </c>
      <c r="L2699" s="40"/>
      <c r="M2699"/>
      <c r="N2699"/>
      <c r="O2699"/>
      <c r="P2699"/>
      <c r="Q2699"/>
      <c r="R2699"/>
      <c r="S2699"/>
      <c r="T2699"/>
      <c r="U2699"/>
      <c r="V2699"/>
      <c r="W2699" s="41"/>
      <c r="X2699" s="41"/>
      <c r="Y2699" s="41"/>
    </row>
    <row r="2700" s="27" customFormat="1" ht="23" hidden="1" customHeight="1" spans="1:25">
      <c r="A2700" s="133" t="str">
        <f>IF(B2700="","",COUNTA($B$5:B2700))</f>
        <v/>
      </c>
      <c r="B2700" s="148"/>
      <c r="C2700" s="22" t="s">
        <v>49</v>
      </c>
      <c r="D2700" s="149"/>
      <c r="E2700" s="150"/>
      <c r="F2700" s="151"/>
      <c r="G2700" s="151"/>
      <c r="H2700" s="142">
        <f>IFERROR(VLOOKUP($C2700,$C$5:$H$18,6,0)+SUMIF($C$19:$C2700,$C2700,$F$19:$F2700)-SUMIF($C$19:$C2700,$C2700,$G$19:$G2700),"")</f>
        <v>81211.819999998</v>
      </c>
      <c r="I2700" s="147"/>
      <c r="J2700" s="147"/>
      <c r="K2700" s="147" t="str">
        <f t="shared" si="42"/>
        <v/>
      </c>
      <c r="L2700" s="40"/>
      <c r="M2700"/>
      <c r="N2700"/>
      <c r="O2700"/>
      <c r="P2700"/>
      <c r="Q2700"/>
      <c r="R2700"/>
      <c r="S2700"/>
      <c r="T2700"/>
      <c r="U2700"/>
      <c r="V2700"/>
      <c r="W2700" s="41"/>
      <c r="X2700" s="41"/>
      <c r="Y2700" s="41"/>
    </row>
    <row r="2701" s="27" customFormat="1" ht="23" hidden="1" customHeight="1" spans="1:25">
      <c r="A2701" s="133" t="str">
        <f>IF(B2701="","",COUNTA($B$5:B2701))</f>
        <v/>
      </c>
      <c r="B2701" s="148"/>
      <c r="C2701" s="22" t="s">
        <v>49</v>
      </c>
      <c r="D2701" s="149"/>
      <c r="E2701" s="150"/>
      <c r="F2701" s="151"/>
      <c r="G2701" s="151"/>
      <c r="H2701" s="142">
        <f>IFERROR(VLOOKUP($C2701,$C$5:$H$18,6,0)+SUMIF($C$19:$C2701,$C2701,$F$19:$F2701)-SUMIF($C$19:$C2701,$C2701,$G$19:$G2701),"")</f>
        <v>81211.819999998</v>
      </c>
      <c r="I2701" s="147"/>
      <c r="J2701" s="147"/>
      <c r="K2701" s="147" t="str">
        <f t="shared" si="42"/>
        <v/>
      </c>
      <c r="L2701" s="40"/>
      <c r="M2701"/>
      <c r="N2701"/>
      <c r="O2701"/>
      <c r="P2701"/>
      <c r="Q2701"/>
      <c r="R2701"/>
      <c r="S2701"/>
      <c r="T2701"/>
      <c r="U2701"/>
      <c r="V2701"/>
      <c r="W2701" s="41"/>
      <c r="X2701" s="41"/>
      <c r="Y2701" s="41"/>
    </row>
    <row r="2702" s="27" customFormat="1" ht="23" hidden="1" customHeight="1" spans="1:25">
      <c r="A2702" s="133" t="str">
        <f>IF(B2702="","",COUNTA($B$5:B2702))</f>
        <v/>
      </c>
      <c r="B2702" s="148"/>
      <c r="C2702" s="22" t="s">
        <v>49</v>
      </c>
      <c r="D2702" s="149"/>
      <c r="E2702" s="150"/>
      <c r="F2702" s="151"/>
      <c r="G2702" s="151"/>
      <c r="H2702" s="142">
        <f>IFERROR(VLOOKUP($C2702,$C$5:$H$18,6,0)+SUMIF($C$19:$C2702,$C2702,$F$19:$F2702)-SUMIF($C$19:$C2702,$C2702,$G$19:$G2702),"")</f>
        <v>81211.819999998</v>
      </c>
      <c r="I2702" s="147"/>
      <c r="J2702" s="147"/>
      <c r="K2702" s="147" t="str">
        <f t="shared" si="42"/>
        <v/>
      </c>
      <c r="L2702" s="40"/>
      <c r="M2702"/>
      <c r="N2702"/>
      <c r="O2702"/>
      <c r="P2702"/>
      <c r="Q2702"/>
      <c r="R2702"/>
      <c r="S2702"/>
      <c r="T2702"/>
      <c r="U2702"/>
      <c r="V2702"/>
      <c r="W2702" s="41"/>
      <c r="X2702" s="41"/>
      <c r="Y2702" s="41"/>
    </row>
    <row r="2703" s="27" customFormat="1" ht="23" hidden="1" customHeight="1" spans="1:25">
      <c r="A2703" s="133" t="str">
        <f>IF(B2703="","",COUNTA($B$5:B2703))</f>
        <v/>
      </c>
      <c r="B2703" s="148"/>
      <c r="C2703" s="22" t="s">
        <v>49</v>
      </c>
      <c r="D2703" s="149"/>
      <c r="E2703" s="150"/>
      <c r="F2703" s="151"/>
      <c r="G2703" s="151"/>
      <c r="H2703" s="142">
        <f>IFERROR(VLOOKUP($C2703,$C$5:$H$18,6,0)+SUMIF($C$19:$C2703,$C2703,$F$19:$F2703)-SUMIF($C$19:$C2703,$C2703,$G$19:$G2703),"")</f>
        <v>81211.819999998</v>
      </c>
      <c r="I2703" s="147"/>
      <c r="J2703" s="147"/>
      <c r="K2703" s="147" t="str">
        <f t="shared" si="42"/>
        <v/>
      </c>
      <c r="L2703" s="40"/>
      <c r="M2703"/>
      <c r="N2703"/>
      <c r="O2703"/>
      <c r="P2703"/>
      <c r="Q2703"/>
      <c r="R2703"/>
      <c r="S2703"/>
      <c r="T2703"/>
      <c r="U2703"/>
      <c r="V2703"/>
      <c r="W2703" s="41"/>
      <c r="X2703" s="41"/>
      <c r="Y2703" s="41"/>
    </row>
    <row r="2704" s="27" customFormat="1" ht="23" hidden="1" customHeight="1" spans="1:25">
      <c r="A2704" s="133" t="str">
        <f>IF(B2704="","",COUNTA($B$5:B2704))</f>
        <v/>
      </c>
      <c r="B2704" s="148"/>
      <c r="C2704" s="22" t="s">
        <v>49</v>
      </c>
      <c r="D2704" s="149"/>
      <c r="E2704" s="150"/>
      <c r="F2704" s="151"/>
      <c r="G2704" s="151"/>
      <c r="H2704" s="142">
        <f>IFERROR(VLOOKUP($C2704,$C$5:$H$18,6,0)+SUMIF($C$19:$C2704,$C2704,$F$19:$F2704)-SUMIF($C$19:$C2704,$C2704,$G$19:$G2704),"")</f>
        <v>81211.819999998</v>
      </c>
      <c r="I2704" s="147"/>
      <c r="J2704" s="147"/>
      <c r="K2704" s="147" t="str">
        <f t="shared" si="42"/>
        <v/>
      </c>
      <c r="L2704" s="40"/>
      <c r="M2704"/>
      <c r="N2704"/>
      <c r="O2704"/>
      <c r="P2704"/>
      <c r="Q2704"/>
      <c r="R2704"/>
      <c r="S2704"/>
      <c r="T2704"/>
      <c r="U2704"/>
      <c r="V2704"/>
      <c r="W2704" s="41"/>
      <c r="X2704" s="41"/>
      <c r="Y2704" s="41"/>
    </row>
    <row r="2705" s="27" customFormat="1" ht="23" hidden="1" customHeight="1" spans="1:25">
      <c r="A2705" s="133" t="str">
        <f>IF(B2705="","",COUNTA($B$5:B2705))</f>
        <v/>
      </c>
      <c r="B2705" s="148"/>
      <c r="C2705" s="22" t="s">
        <v>49</v>
      </c>
      <c r="D2705" s="149"/>
      <c r="E2705" s="150"/>
      <c r="F2705" s="151"/>
      <c r="G2705" s="151"/>
      <c r="H2705" s="142">
        <f>IFERROR(VLOOKUP($C2705,$C$5:$H$18,6,0)+SUMIF($C$19:$C2705,$C2705,$F$19:$F2705)-SUMIF($C$19:$C2705,$C2705,$G$19:$G2705),"")</f>
        <v>81211.819999998</v>
      </c>
      <c r="I2705" s="147"/>
      <c r="J2705" s="147"/>
      <c r="K2705" s="147" t="str">
        <f t="shared" si="42"/>
        <v/>
      </c>
      <c r="L2705" s="40"/>
      <c r="M2705"/>
      <c r="N2705"/>
      <c r="O2705"/>
      <c r="P2705"/>
      <c r="Q2705"/>
      <c r="R2705"/>
      <c r="S2705"/>
      <c r="T2705"/>
      <c r="U2705"/>
      <c r="V2705"/>
      <c r="W2705" s="41"/>
      <c r="X2705" s="41"/>
      <c r="Y2705" s="41"/>
    </row>
    <row r="2706" s="27" customFormat="1" ht="23" hidden="1" customHeight="1" spans="1:25">
      <c r="A2706" s="133" t="str">
        <f>IF(B2706="","",COUNTA($B$5:B2706))</f>
        <v/>
      </c>
      <c r="B2706" s="148"/>
      <c r="C2706" s="22" t="s">
        <v>49</v>
      </c>
      <c r="D2706" s="149"/>
      <c r="E2706" s="150"/>
      <c r="F2706" s="151"/>
      <c r="G2706" s="151"/>
      <c r="H2706" s="142">
        <f>IFERROR(VLOOKUP($C2706,$C$5:$H$18,6,0)+SUMIF($C$19:$C2706,$C2706,$F$19:$F2706)-SUMIF($C$19:$C2706,$C2706,$G$19:$G2706),"")</f>
        <v>81211.819999998</v>
      </c>
      <c r="I2706" s="147"/>
      <c r="J2706" s="147"/>
      <c r="K2706" s="147" t="str">
        <f t="shared" si="42"/>
        <v/>
      </c>
      <c r="L2706" s="40"/>
      <c r="M2706"/>
      <c r="N2706"/>
      <c r="O2706"/>
      <c r="P2706"/>
      <c r="Q2706"/>
      <c r="R2706"/>
      <c r="S2706"/>
      <c r="T2706"/>
      <c r="U2706"/>
      <c r="V2706"/>
      <c r="W2706" s="41"/>
      <c r="X2706" s="41"/>
      <c r="Y2706" s="41"/>
    </row>
    <row r="2707" s="27" customFormat="1" ht="23" hidden="1" customHeight="1" spans="1:25">
      <c r="A2707" s="133" t="str">
        <f>IF(B2707="","",COUNTA($B$5:B2707))</f>
        <v/>
      </c>
      <c r="B2707" s="148"/>
      <c r="C2707" s="22" t="s">
        <v>49</v>
      </c>
      <c r="D2707" s="149"/>
      <c r="E2707" s="150"/>
      <c r="F2707" s="151"/>
      <c r="G2707" s="151"/>
      <c r="H2707" s="142">
        <f>IFERROR(VLOOKUP($C2707,$C$5:$H$18,6,0)+SUMIF($C$19:$C2707,$C2707,$F$19:$F2707)-SUMIF($C$19:$C2707,$C2707,$G$19:$G2707),"")</f>
        <v>81211.819999998</v>
      </c>
      <c r="I2707" s="147"/>
      <c r="J2707" s="147"/>
      <c r="K2707" s="147" t="str">
        <f t="shared" si="42"/>
        <v/>
      </c>
      <c r="L2707" s="40"/>
      <c r="M2707"/>
      <c r="N2707"/>
      <c r="O2707"/>
      <c r="P2707"/>
      <c r="Q2707"/>
      <c r="R2707"/>
      <c r="S2707"/>
      <c r="T2707"/>
      <c r="U2707"/>
      <c r="V2707"/>
      <c r="W2707" s="41"/>
      <c r="X2707" s="41"/>
      <c r="Y2707" s="41"/>
    </row>
    <row r="2708" s="27" customFormat="1" ht="23" hidden="1" customHeight="1" spans="1:25">
      <c r="A2708" s="133" t="str">
        <f>IF(B2708="","",COUNTA($B$5:B2708))</f>
        <v/>
      </c>
      <c r="B2708" s="148"/>
      <c r="C2708" s="22" t="s">
        <v>49</v>
      </c>
      <c r="D2708" s="149"/>
      <c r="E2708" s="150"/>
      <c r="F2708" s="151"/>
      <c r="G2708" s="151"/>
      <c r="H2708" s="142">
        <f>IFERROR(VLOOKUP($C2708,$C$5:$H$18,6,0)+SUMIF($C$19:$C2708,$C2708,$F$19:$F2708)-SUMIF($C$19:$C2708,$C2708,$G$19:$G2708),"")</f>
        <v>81211.819999998</v>
      </c>
      <c r="I2708" s="147"/>
      <c r="J2708" s="147"/>
      <c r="K2708" s="147" t="str">
        <f t="shared" si="42"/>
        <v/>
      </c>
      <c r="L2708" s="40"/>
      <c r="M2708"/>
      <c r="N2708"/>
      <c r="O2708"/>
      <c r="P2708"/>
      <c r="Q2708"/>
      <c r="R2708"/>
      <c r="S2708"/>
      <c r="T2708"/>
      <c r="U2708"/>
      <c r="V2708"/>
      <c r="W2708" s="41"/>
      <c r="X2708" s="41"/>
      <c r="Y2708" s="41"/>
    </row>
    <row r="2709" s="27" customFormat="1" ht="23" hidden="1" customHeight="1" spans="1:25">
      <c r="A2709" s="133" t="str">
        <f>IF(B2709="","",COUNTA($B$5:B2709))</f>
        <v/>
      </c>
      <c r="B2709" s="148"/>
      <c r="C2709" s="22" t="s">
        <v>49</v>
      </c>
      <c r="D2709" s="149"/>
      <c r="E2709" s="150"/>
      <c r="F2709" s="151"/>
      <c r="G2709" s="151"/>
      <c r="H2709" s="142">
        <f>IFERROR(VLOOKUP($C2709,$C$5:$H$18,6,0)+SUMIF($C$19:$C2709,$C2709,$F$19:$F2709)-SUMIF($C$19:$C2709,$C2709,$G$19:$G2709),"")</f>
        <v>81211.819999998</v>
      </c>
      <c r="I2709" s="147"/>
      <c r="J2709" s="147"/>
      <c r="K2709" s="147" t="str">
        <f t="shared" si="42"/>
        <v/>
      </c>
      <c r="L2709" s="40"/>
      <c r="M2709"/>
      <c r="N2709"/>
      <c r="O2709"/>
      <c r="P2709"/>
      <c r="Q2709"/>
      <c r="R2709"/>
      <c r="S2709"/>
      <c r="T2709"/>
      <c r="U2709"/>
      <c r="V2709"/>
      <c r="W2709" s="41"/>
      <c r="X2709" s="41"/>
      <c r="Y2709" s="41"/>
    </row>
    <row r="2710" s="27" customFormat="1" ht="23" hidden="1" customHeight="1" spans="1:25">
      <c r="A2710" s="133" t="str">
        <f>IF(B2710="","",COUNTA($B$5:B2710))</f>
        <v/>
      </c>
      <c r="B2710" s="148"/>
      <c r="C2710" s="22" t="s">
        <v>49</v>
      </c>
      <c r="D2710" s="149"/>
      <c r="E2710" s="150"/>
      <c r="F2710" s="151"/>
      <c r="G2710" s="151"/>
      <c r="H2710" s="142">
        <f>IFERROR(VLOOKUP($C2710,$C$5:$H$18,6,0)+SUMIF($C$19:$C2710,$C2710,$F$19:$F2710)-SUMIF($C$19:$C2710,$C2710,$G$19:$G2710),"")</f>
        <v>81211.819999998</v>
      </c>
      <c r="I2710" s="147"/>
      <c r="J2710" s="147"/>
      <c r="K2710" s="147" t="str">
        <f t="shared" si="42"/>
        <v/>
      </c>
      <c r="L2710" s="40"/>
      <c r="M2710"/>
      <c r="N2710"/>
      <c r="O2710"/>
      <c r="P2710"/>
      <c r="Q2710"/>
      <c r="R2710"/>
      <c r="S2710"/>
      <c r="T2710"/>
      <c r="U2710"/>
      <c r="V2710"/>
      <c r="W2710" s="41"/>
      <c r="X2710" s="41"/>
      <c r="Y2710" s="41"/>
    </row>
    <row r="2711" s="27" customFormat="1" ht="23" hidden="1" customHeight="1" spans="1:25">
      <c r="A2711" s="133" t="str">
        <f>IF(B2711="","",COUNTA($B$5:B2711))</f>
        <v/>
      </c>
      <c r="B2711" s="148"/>
      <c r="C2711" s="22" t="s">
        <v>49</v>
      </c>
      <c r="D2711" s="149"/>
      <c r="E2711" s="150"/>
      <c r="F2711" s="151"/>
      <c r="G2711" s="151"/>
      <c r="H2711" s="142">
        <f>IFERROR(VLOOKUP($C2711,$C$5:$H$18,6,0)+SUMIF($C$19:$C2711,$C2711,$F$19:$F2711)-SUMIF($C$19:$C2711,$C2711,$G$19:$G2711),"")</f>
        <v>81211.819999998</v>
      </c>
      <c r="I2711" s="147"/>
      <c r="J2711" s="147"/>
      <c r="K2711" s="147" t="str">
        <f t="shared" si="42"/>
        <v/>
      </c>
      <c r="L2711" s="40"/>
      <c r="M2711"/>
      <c r="N2711"/>
      <c r="O2711"/>
      <c r="P2711"/>
      <c r="Q2711"/>
      <c r="R2711"/>
      <c r="S2711"/>
      <c r="T2711"/>
      <c r="U2711"/>
      <c r="V2711"/>
      <c r="W2711" s="41"/>
      <c r="X2711" s="41"/>
      <c r="Y2711" s="41"/>
    </row>
    <row r="2712" s="27" customFormat="1" ht="23" hidden="1" customHeight="1" spans="1:25">
      <c r="A2712" s="133" t="str">
        <f>IF(B2712="","",COUNTA($B$5:B2712))</f>
        <v/>
      </c>
      <c r="B2712" s="148"/>
      <c r="C2712" s="22" t="s">
        <v>49</v>
      </c>
      <c r="D2712" s="149"/>
      <c r="E2712" s="150"/>
      <c r="F2712" s="151"/>
      <c r="G2712" s="151"/>
      <c r="H2712" s="142">
        <f>IFERROR(VLOOKUP($C2712,$C$5:$H$18,6,0)+SUMIF($C$19:$C2712,$C2712,$F$19:$F2712)-SUMIF($C$19:$C2712,$C2712,$G$19:$G2712),"")</f>
        <v>81211.819999998</v>
      </c>
      <c r="I2712" s="147"/>
      <c r="J2712" s="147"/>
      <c r="K2712" s="147" t="str">
        <f t="shared" si="42"/>
        <v/>
      </c>
      <c r="L2712" s="40"/>
      <c r="M2712"/>
      <c r="N2712"/>
      <c r="O2712"/>
      <c r="P2712"/>
      <c r="Q2712"/>
      <c r="R2712"/>
      <c r="S2712"/>
      <c r="T2712"/>
      <c r="U2712"/>
      <c r="V2712"/>
      <c r="W2712" s="41"/>
      <c r="X2712" s="41"/>
      <c r="Y2712" s="41"/>
    </row>
    <row r="2713" s="27" customFormat="1" ht="23" hidden="1" customHeight="1" spans="1:25">
      <c r="A2713" s="133" t="str">
        <f>IF(B2713="","",COUNTA($B$5:B2713))</f>
        <v/>
      </c>
      <c r="B2713" s="148"/>
      <c r="C2713" s="22" t="s">
        <v>49</v>
      </c>
      <c r="D2713" s="149"/>
      <c r="E2713" s="150"/>
      <c r="F2713" s="151"/>
      <c r="G2713" s="151"/>
      <c r="H2713" s="142">
        <f>IFERROR(VLOOKUP($C2713,$C$5:$H$18,6,0)+SUMIF($C$19:$C2713,$C2713,$F$19:$F2713)-SUMIF($C$19:$C2713,$C2713,$G$19:$G2713),"")</f>
        <v>81211.819999998</v>
      </c>
      <c r="I2713" s="147"/>
      <c r="J2713" s="147"/>
      <c r="K2713" s="147" t="str">
        <f t="shared" si="42"/>
        <v/>
      </c>
      <c r="L2713" s="40"/>
      <c r="M2713"/>
      <c r="N2713"/>
      <c r="O2713"/>
      <c r="P2713"/>
      <c r="Q2713"/>
      <c r="R2713"/>
      <c r="S2713"/>
      <c r="T2713"/>
      <c r="U2713"/>
      <c r="V2713"/>
      <c r="W2713" s="41"/>
      <c r="X2713" s="41"/>
      <c r="Y2713" s="41"/>
    </row>
    <row r="2714" s="27" customFormat="1" ht="23" hidden="1" customHeight="1" spans="1:25">
      <c r="A2714" s="133" t="str">
        <f>IF(B2714="","",COUNTA($B$5:B2714))</f>
        <v/>
      </c>
      <c r="B2714" s="148"/>
      <c r="C2714" s="22" t="s">
        <v>49</v>
      </c>
      <c r="D2714" s="149"/>
      <c r="E2714" s="150"/>
      <c r="F2714" s="151"/>
      <c r="G2714" s="151"/>
      <c r="H2714" s="142">
        <f>IFERROR(VLOOKUP($C2714,$C$5:$H$18,6,0)+SUMIF($C$19:$C2714,$C2714,$F$19:$F2714)-SUMIF($C$19:$C2714,$C2714,$G$19:$G2714),"")</f>
        <v>81211.819999998</v>
      </c>
      <c r="I2714" s="147"/>
      <c r="J2714" s="147"/>
      <c r="K2714" s="147" t="str">
        <f t="shared" si="42"/>
        <v/>
      </c>
      <c r="L2714" s="40"/>
      <c r="M2714"/>
      <c r="N2714"/>
      <c r="O2714"/>
      <c r="P2714"/>
      <c r="Q2714"/>
      <c r="R2714"/>
      <c r="S2714"/>
      <c r="T2714"/>
      <c r="U2714"/>
      <c r="V2714"/>
      <c r="W2714" s="41"/>
      <c r="X2714" s="41"/>
      <c r="Y2714" s="41"/>
    </row>
    <row r="2715" s="27" customFormat="1" ht="23" hidden="1" customHeight="1" spans="1:25">
      <c r="A2715" s="133" t="str">
        <f>IF(B2715="","",COUNTA($B$5:B2715))</f>
        <v/>
      </c>
      <c r="B2715" s="148"/>
      <c r="C2715" s="22" t="s">
        <v>49</v>
      </c>
      <c r="D2715" s="149"/>
      <c r="E2715" s="150"/>
      <c r="F2715" s="151"/>
      <c r="G2715" s="151"/>
      <c r="H2715" s="142">
        <f>IFERROR(VLOOKUP($C2715,$C$5:$H$18,6,0)+SUMIF($C$19:$C2715,$C2715,$F$19:$F2715)-SUMIF($C$19:$C2715,$C2715,$G$19:$G2715),"")</f>
        <v>81211.819999998</v>
      </c>
      <c r="I2715" s="147"/>
      <c r="J2715" s="147"/>
      <c r="K2715" s="147" t="str">
        <f t="shared" si="42"/>
        <v/>
      </c>
      <c r="L2715" s="40"/>
      <c r="M2715"/>
      <c r="N2715"/>
      <c r="O2715"/>
      <c r="P2715"/>
      <c r="Q2715"/>
      <c r="R2715"/>
      <c r="S2715"/>
      <c r="T2715"/>
      <c r="U2715"/>
      <c r="V2715"/>
      <c r="W2715" s="41"/>
      <c r="X2715" s="41"/>
      <c r="Y2715" s="41"/>
    </row>
    <row r="2716" s="27" customFormat="1" ht="23" hidden="1" customHeight="1" spans="1:25">
      <c r="A2716" s="133" t="str">
        <f>IF(B2716="","",COUNTA($B$5:B2716))</f>
        <v/>
      </c>
      <c r="B2716" s="148"/>
      <c r="C2716" s="22" t="s">
        <v>49</v>
      </c>
      <c r="D2716" s="149"/>
      <c r="E2716" s="150"/>
      <c r="F2716" s="151"/>
      <c r="G2716" s="151"/>
      <c r="H2716" s="142">
        <f>IFERROR(VLOOKUP($C2716,$C$5:$H$18,6,0)+SUMIF($C$19:$C2716,$C2716,$F$19:$F2716)-SUMIF($C$19:$C2716,$C2716,$G$19:$G2716),"")</f>
        <v>81211.819999998</v>
      </c>
      <c r="I2716" s="147"/>
      <c r="J2716" s="147"/>
      <c r="K2716" s="147" t="str">
        <f t="shared" si="42"/>
        <v/>
      </c>
      <c r="L2716" s="40"/>
      <c r="M2716"/>
      <c r="N2716"/>
      <c r="O2716"/>
      <c r="P2716"/>
      <c r="Q2716"/>
      <c r="R2716"/>
      <c r="S2716"/>
      <c r="T2716"/>
      <c r="U2716"/>
      <c r="V2716"/>
      <c r="W2716" s="41"/>
      <c r="X2716" s="41"/>
      <c r="Y2716" s="41"/>
    </row>
    <row r="2717" s="27" customFormat="1" ht="23" hidden="1" customHeight="1" spans="1:25">
      <c r="A2717" s="133" t="str">
        <f>IF(B2717="","",COUNTA($B$5:B2717))</f>
        <v/>
      </c>
      <c r="B2717" s="148"/>
      <c r="C2717" s="22" t="s">
        <v>49</v>
      </c>
      <c r="D2717" s="149"/>
      <c r="E2717" s="150"/>
      <c r="F2717" s="151"/>
      <c r="G2717" s="151"/>
      <c r="H2717" s="142">
        <f>IFERROR(VLOOKUP($C2717,$C$5:$H$18,6,0)+SUMIF($C$19:$C2717,$C2717,$F$19:$F2717)-SUMIF($C$19:$C2717,$C2717,$G$19:$G2717),"")</f>
        <v>81211.819999998</v>
      </c>
      <c r="I2717" s="147"/>
      <c r="J2717" s="147"/>
      <c r="K2717" s="147" t="str">
        <f t="shared" si="42"/>
        <v/>
      </c>
      <c r="L2717" s="40"/>
      <c r="M2717"/>
      <c r="N2717"/>
      <c r="O2717"/>
      <c r="P2717"/>
      <c r="Q2717"/>
      <c r="R2717"/>
      <c r="S2717"/>
      <c r="T2717"/>
      <c r="U2717"/>
      <c r="V2717"/>
      <c r="W2717" s="41"/>
      <c r="X2717" s="41"/>
      <c r="Y2717" s="41"/>
    </row>
    <row r="2718" s="27" customFormat="1" ht="23" hidden="1" customHeight="1" spans="1:25">
      <c r="A2718" s="133" t="str">
        <f>IF(B2718="","",COUNTA($B$5:B2718))</f>
        <v/>
      </c>
      <c r="B2718" s="148"/>
      <c r="C2718" s="22" t="s">
        <v>49</v>
      </c>
      <c r="D2718" s="149"/>
      <c r="E2718" s="150"/>
      <c r="F2718" s="151"/>
      <c r="G2718" s="151"/>
      <c r="H2718" s="142">
        <f>IFERROR(VLOOKUP($C2718,$C$5:$H$18,6,0)+SUMIF($C$19:$C2718,$C2718,$F$19:$F2718)-SUMIF($C$19:$C2718,$C2718,$G$19:$G2718),"")</f>
        <v>81211.819999998</v>
      </c>
      <c r="I2718" s="147"/>
      <c r="J2718" s="147"/>
      <c r="K2718" s="147" t="str">
        <f t="shared" si="42"/>
        <v/>
      </c>
      <c r="L2718" s="40"/>
      <c r="M2718"/>
      <c r="N2718"/>
      <c r="O2718"/>
      <c r="P2718"/>
      <c r="Q2718"/>
      <c r="R2718"/>
      <c r="S2718"/>
      <c r="T2718"/>
      <c r="U2718"/>
      <c r="V2718"/>
      <c r="W2718" s="41"/>
      <c r="X2718" s="41"/>
      <c r="Y2718" s="41"/>
    </row>
    <row r="2719" s="27" customFormat="1" ht="23" hidden="1" customHeight="1" spans="1:25">
      <c r="A2719" s="133" t="str">
        <f>IF(B2719="","",COUNTA($B$5:B2719))</f>
        <v/>
      </c>
      <c r="B2719" s="148"/>
      <c r="C2719" s="22" t="s">
        <v>49</v>
      </c>
      <c r="D2719" s="149"/>
      <c r="E2719" s="150"/>
      <c r="F2719" s="151"/>
      <c r="G2719" s="151"/>
      <c r="H2719" s="142">
        <f>IFERROR(VLOOKUP($C2719,$C$5:$H$18,6,0)+SUMIF($C$19:$C2719,$C2719,$F$19:$F2719)-SUMIF($C$19:$C2719,$C2719,$G$19:$G2719),"")</f>
        <v>81211.819999998</v>
      </c>
      <c r="I2719" s="147"/>
      <c r="J2719" s="147"/>
      <c r="K2719" s="147" t="str">
        <f t="shared" si="42"/>
        <v/>
      </c>
      <c r="L2719" s="40"/>
      <c r="M2719"/>
      <c r="N2719"/>
      <c r="O2719"/>
      <c r="P2719"/>
      <c r="Q2719"/>
      <c r="R2719"/>
      <c r="S2719"/>
      <c r="T2719"/>
      <c r="U2719"/>
      <c r="V2719"/>
      <c r="W2719" s="41"/>
      <c r="X2719" s="41"/>
      <c r="Y2719" s="41"/>
    </row>
    <row r="2720" s="27" customFormat="1" ht="23" hidden="1" customHeight="1" spans="1:25">
      <c r="A2720" s="133" t="str">
        <f>IF(B2720="","",COUNTA($B$5:B2720))</f>
        <v/>
      </c>
      <c r="B2720" s="148"/>
      <c r="C2720" s="22" t="s">
        <v>49</v>
      </c>
      <c r="D2720" s="149"/>
      <c r="E2720" s="150"/>
      <c r="F2720" s="151"/>
      <c r="G2720" s="151"/>
      <c r="H2720" s="142">
        <f>IFERROR(VLOOKUP($C2720,$C$5:$H$18,6,0)+SUMIF($C$19:$C2720,$C2720,$F$19:$F2720)-SUMIF($C$19:$C2720,$C2720,$G$19:$G2720),"")</f>
        <v>81211.819999998</v>
      </c>
      <c r="I2720" s="147"/>
      <c r="J2720" s="147"/>
      <c r="K2720" s="147" t="str">
        <f t="shared" si="42"/>
        <v/>
      </c>
      <c r="L2720" s="40"/>
      <c r="M2720"/>
      <c r="N2720"/>
      <c r="O2720"/>
      <c r="P2720"/>
      <c r="Q2720"/>
      <c r="R2720"/>
      <c r="S2720"/>
      <c r="T2720"/>
      <c r="U2720"/>
      <c r="V2720"/>
      <c r="W2720" s="41"/>
      <c r="X2720" s="41"/>
      <c r="Y2720" s="41"/>
    </row>
    <row r="2721" s="27" customFormat="1" ht="23" hidden="1" customHeight="1" spans="1:25">
      <c r="A2721" s="133" t="str">
        <f>IF(B2721="","",COUNTA($B$5:B2721))</f>
        <v/>
      </c>
      <c r="B2721" s="148"/>
      <c r="C2721" s="22" t="s">
        <v>49</v>
      </c>
      <c r="D2721" s="149"/>
      <c r="E2721" s="150"/>
      <c r="F2721" s="151"/>
      <c r="G2721" s="151"/>
      <c r="H2721" s="142">
        <f>IFERROR(VLOOKUP($C2721,$C$5:$H$18,6,0)+SUMIF($C$19:$C2721,$C2721,$F$19:$F2721)-SUMIF($C$19:$C2721,$C2721,$G$19:$G2721),"")</f>
        <v>81211.819999998</v>
      </c>
      <c r="I2721" s="147"/>
      <c r="J2721" s="147"/>
      <c r="K2721" s="147" t="str">
        <f t="shared" si="42"/>
        <v/>
      </c>
      <c r="L2721" s="40"/>
      <c r="M2721"/>
      <c r="N2721"/>
      <c r="O2721"/>
      <c r="P2721"/>
      <c r="Q2721"/>
      <c r="R2721"/>
      <c r="S2721"/>
      <c r="T2721"/>
      <c r="U2721"/>
      <c r="V2721"/>
      <c r="W2721" s="41"/>
      <c r="X2721" s="41"/>
      <c r="Y2721" s="41"/>
    </row>
    <row r="2722" s="27" customFormat="1" ht="23" hidden="1" customHeight="1" spans="1:25">
      <c r="A2722" s="133" t="str">
        <f>IF(B2722="","",COUNTA($B$5:B2722))</f>
        <v/>
      </c>
      <c r="B2722" s="148"/>
      <c r="C2722" s="22" t="s">
        <v>49</v>
      </c>
      <c r="D2722" s="149"/>
      <c r="E2722" s="150"/>
      <c r="F2722" s="151"/>
      <c r="G2722" s="151"/>
      <c r="H2722" s="142">
        <f>IFERROR(VLOOKUP($C2722,$C$5:$H$18,6,0)+SUMIF($C$19:$C2722,$C2722,$F$19:$F2722)-SUMIF($C$19:$C2722,$C2722,$G$19:$G2722),"")</f>
        <v>81211.819999998</v>
      </c>
      <c r="I2722" s="147"/>
      <c r="J2722" s="147"/>
      <c r="K2722" s="147" t="str">
        <f t="shared" si="42"/>
        <v/>
      </c>
      <c r="L2722" s="40"/>
      <c r="M2722"/>
      <c r="N2722"/>
      <c r="O2722"/>
      <c r="P2722"/>
      <c r="Q2722"/>
      <c r="R2722"/>
      <c r="S2722"/>
      <c r="T2722"/>
      <c r="U2722"/>
      <c r="V2722"/>
      <c r="W2722" s="41"/>
      <c r="X2722" s="41"/>
      <c r="Y2722" s="41"/>
    </row>
    <row r="2723" s="27" customFormat="1" ht="23" hidden="1" customHeight="1" spans="1:25">
      <c r="A2723" s="133" t="str">
        <f>IF(B2723="","",COUNTA($B$5:B2723))</f>
        <v/>
      </c>
      <c r="B2723" s="148"/>
      <c r="C2723" s="22" t="s">
        <v>49</v>
      </c>
      <c r="D2723" s="149"/>
      <c r="E2723" s="150"/>
      <c r="F2723" s="151"/>
      <c r="G2723" s="151"/>
      <c r="H2723" s="142">
        <f>IFERROR(VLOOKUP($C2723,$C$5:$H$18,6,0)+SUMIF($C$19:$C2723,$C2723,$F$19:$F2723)-SUMIF($C$19:$C2723,$C2723,$G$19:$G2723),"")</f>
        <v>81211.819999998</v>
      </c>
      <c r="I2723" s="147"/>
      <c r="J2723" s="147"/>
      <c r="K2723" s="147" t="str">
        <f t="shared" si="42"/>
        <v/>
      </c>
      <c r="L2723" s="40"/>
      <c r="M2723"/>
      <c r="N2723"/>
      <c r="O2723"/>
      <c r="P2723"/>
      <c r="Q2723"/>
      <c r="R2723"/>
      <c r="S2723"/>
      <c r="T2723"/>
      <c r="U2723"/>
      <c r="V2723"/>
      <c r="W2723" s="41"/>
      <c r="X2723" s="41"/>
      <c r="Y2723" s="41"/>
    </row>
    <row r="2724" s="27" customFormat="1" ht="23" hidden="1" customHeight="1" spans="1:25">
      <c r="A2724" s="133" t="str">
        <f>IF(B2724="","",COUNTA($B$5:B2724))</f>
        <v/>
      </c>
      <c r="B2724" s="148"/>
      <c r="C2724" s="22" t="s">
        <v>49</v>
      </c>
      <c r="D2724" s="149"/>
      <c r="E2724" s="150"/>
      <c r="F2724" s="151"/>
      <c r="G2724" s="151"/>
      <c r="H2724" s="142">
        <f>IFERROR(VLOOKUP($C2724,$C$5:$H$18,6,0)+SUMIF($C$19:$C2724,$C2724,$F$19:$F2724)-SUMIF($C$19:$C2724,$C2724,$G$19:$G2724),"")</f>
        <v>81211.819999998</v>
      </c>
      <c r="I2724" s="147"/>
      <c r="J2724" s="147"/>
      <c r="K2724" s="147" t="str">
        <f t="shared" si="42"/>
        <v/>
      </c>
      <c r="L2724" s="40"/>
      <c r="M2724"/>
      <c r="N2724"/>
      <c r="O2724"/>
      <c r="P2724"/>
      <c r="Q2724"/>
      <c r="R2724"/>
      <c r="S2724"/>
      <c r="T2724"/>
      <c r="U2724"/>
      <c r="V2724"/>
      <c r="W2724" s="41"/>
      <c r="X2724" s="41"/>
      <c r="Y2724" s="41"/>
    </row>
    <row r="2725" s="27" customFormat="1" ht="23" hidden="1" customHeight="1" spans="1:25">
      <c r="A2725" s="133" t="str">
        <f>IF(B2725="","",COUNTA($B$5:B2725))</f>
        <v/>
      </c>
      <c r="B2725" s="148"/>
      <c r="C2725" s="22" t="s">
        <v>49</v>
      </c>
      <c r="D2725" s="149"/>
      <c r="E2725" s="150"/>
      <c r="F2725" s="151"/>
      <c r="G2725" s="151"/>
      <c r="H2725" s="142">
        <f>IFERROR(VLOOKUP($C2725,$C$5:$H$18,6,0)+SUMIF($C$19:$C2725,$C2725,$F$19:$F2725)-SUMIF($C$19:$C2725,$C2725,$G$19:$G2725),"")</f>
        <v>81211.819999998</v>
      </c>
      <c r="I2725" s="147"/>
      <c r="J2725" s="147"/>
      <c r="K2725" s="147" t="str">
        <f t="shared" si="42"/>
        <v/>
      </c>
      <c r="L2725" s="40"/>
      <c r="M2725"/>
      <c r="N2725"/>
      <c r="O2725"/>
      <c r="P2725"/>
      <c r="Q2725"/>
      <c r="R2725"/>
      <c r="S2725"/>
      <c r="T2725"/>
      <c r="U2725"/>
      <c r="V2725"/>
      <c r="W2725" s="41"/>
      <c r="X2725" s="41"/>
      <c r="Y2725" s="41"/>
    </row>
    <row r="2726" s="27" customFormat="1" ht="23" hidden="1" customHeight="1" spans="1:25">
      <c r="A2726" s="133" t="str">
        <f>IF(B2726="","",COUNTA($B$5:B2726))</f>
        <v/>
      </c>
      <c r="B2726" s="148"/>
      <c r="C2726" s="22" t="s">
        <v>49</v>
      </c>
      <c r="D2726" s="149"/>
      <c r="E2726" s="150"/>
      <c r="F2726" s="151"/>
      <c r="G2726" s="151"/>
      <c r="H2726" s="142">
        <f>IFERROR(VLOOKUP($C2726,$C$5:$H$18,6,0)+SUMIF($C$19:$C2726,$C2726,$F$19:$F2726)-SUMIF($C$19:$C2726,$C2726,$G$19:$G2726),"")</f>
        <v>81211.819999998</v>
      </c>
      <c r="I2726" s="147"/>
      <c r="J2726" s="147"/>
      <c r="K2726" s="147" t="str">
        <f t="shared" si="42"/>
        <v/>
      </c>
      <c r="L2726" s="40"/>
      <c r="M2726"/>
      <c r="N2726"/>
      <c r="O2726"/>
      <c r="P2726"/>
      <c r="Q2726"/>
      <c r="R2726"/>
      <c r="S2726"/>
      <c r="T2726"/>
      <c r="U2726"/>
      <c r="V2726"/>
      <c r="W2726" s="41"/>
      <c r="X2726" s="41"/>
      <c r="Y2726" s="41"/>
    </row>
    <row r="2727" s="27" customFormat="1" ht="23" hidden="1" customHeight="1" spans="1:25">
      <c r="A2727" s="133" t="str">
        <f>IF(B2727="","",COUNTA($B$5:B2727))</f>
        <v/>
      </c>
      <c r="B2727" s="148"/>
      <c r="C2727" s="22" t="s">
        <v>49</v>
      </c>
      <c r="D2727" s="149"/>
      <c r="E2727" s="150"/>
      <c r="F2727" s="151"/>
      <c r="G2727" s="151"/>
      <c r="H2727" s="142">
        <f>IFERROR(VLOOKUP($C2727,$C$5:$H$18,6,0)+SUMIF($C$19:$C2727,$C2727,$F$19:$F2727)-SUMIF($C$19:$C2727,$C2727,$G$19:$G2727),"")</f>
        <v>81211.819999998</v>
      </c>
      <c r="I2727" s="147"/>
      <c r="J2727" s="147"/>
      <c r="K2727" s="147" t="str">
        <f t="shared" si="42"/>
        <v/>
      </c>
      <c r="L2727" s="40"/>
      <c r="M2727"/>
      <c r="N2727"/>
      <c r="O2727"/>
      <c r="P2727"/>
      <c r="Q2727"/>
      <c r="R2727"/>
      <c r="S2727"/>
      <c r="T2727"/>
      <c r="U2727"/>
      <c r="V2727"/>
      <c r="W2727" s="41"/>
      <c r="X2727" s="41"/>
      <c r="Y2727" s="41"/>
    </row>
    <row r="2728" s="27" customFormat="1" ht="23" hidden="1" customHeight="1" spans="1:25">
      <c r="A2728" s="133" t="str">
        <f>IF(B2728="","",COUNTA($B$5:B2728))</f>
        <v/>
      </c>
      <c r="B2728" s="148"/>
      <c r="C2728" s="22" t="s">
        <v>49</v>
      </c>
      <c r="D2728" s="149"/>
      <c r="E2728" s="150"/>
      <c r="F2728" s="151"/>
      <c r="G2728" s="151"/>
      <c r="H2728" s="142">
        <f>IFERROR(VLOOKUP($C2728,$C$5:$H$18,6,0)+SUMIF($C$19:$C2728,$C2728,$F$19:$F2728)-SUMIF($C$19:$C2728,$C2728,$G$19:$G2728),"")</f>
        <v>81211.819999998</v>
      </c>
      <c r="I2728" s="147"/>
      <c r="J2728" s="147"/>
      <c r="K2728" s="147" t="str">
        <f t="shared" si="42"/>
        <v/>
      </c>
      <c r="L2728" s="40"/>
      <c r="M2728"/>
      <c r="N2728"/>
      <c r="O2728"/>
      <c r="P2728"/>
      <c r="Q2728"/>
      <c r="R2728"/>
      <c r="S2728"/>
      <c r="T2728"/>
      <c r="U2728"/>
      <c r="V2728"/>
      <c r="W2728" s="41"/>
      <c r="X2728" s="41"/>
      <c r="Y2728" s="41"/>
    </row>
    <row r="2729" s="27" customFormat="1" ht="23" hidden="1" customHeight="1" spans="1:25">
      <c r="A2729" s="133" t="str">
        <f>IF(B2729="","",COUNTA($B$5:B2729))</f>
        <v/>
      </c>
      <c r="B2729" s="148"/>
      <c r="C2729" s="22" t="s">
        <v>49</v>
      </c>
      <c r="D2729" s="149"/>
      <c r="E2729" s="150"/>
      <c r="F2729" s="151"/>
      <c r="G2729" s="151"/>
      <c r="H2729" s="142">
        <f>IFERROR(VLOOKUP($C2729,$C$5:$H$18,6,0)+SUMIF($C$19:$C2729,$C2729,$F$19:$F2729)-SUMIF($C$19:$C2729,$C2729,$G$19:$G2729),"")</f>
        <v>81211.819999998</v>
      </c>
      <c r="I2729" s="147"/>
      <c r="J2729" s="147"/>
      <c r="K2729" s="147" t="str">
        <f t="shared" si="42"/>
        <v/>
      </c>
      <c r="L2729" s="40"/>
      <c r="M2729"/>
      <c r="N2729"/>
      <c r="O2729"/>
      <c r="P2729"/>
      <c r="Q2729"/>
      <c r="R2729"/>
      <c r="S2729"/>
      <c r="T2729"/>
      <c r="U2729"/>
      <c r="V2729"/>
      <c r="W2729" s="41"/>
      <c r="X2729" s="41"/>
      <c r="Y2729" s="41"/>
    </row>
    <row r="2730" s="27" customFormat="1" ht="23" hidden="1" customHeight="1" spans="1:25">
      <c r="A2730" s="133" t="str">
        <f>IF(B2730="","",COUNTA($B$5:B2730))</f>
        <v/>
      </c>
      <c r="B2730" s="148"/>
      <c r="C2730" s="22" t="s">
        <v>49</v>
      </c>
      <c r="D2730" s="149"/>
      <c r="E2730" s="150"/>
      <c r="F2730" s="151"/>
      <c r="G2730" s="151"/>
      <c r="H2730" s="142">
        <f>IFERROR(VLOOKUP($C2730,$C$5:$H$18,6,0)+SUMIF($C$19:$C2730,$C2730,$F$19:$F2730)-SUMIF($C$19:$C2730,$C2730,$G$19:$G2730),"")</f>
        <v>81211.819999998</v>
      </c>
      <c r="I2730" s="147"/>
      <c r="J2730" s="147"/>
      <c r="K2730" s="147" t="str">
        <f t="shared" si="42"/>
        <v/>
      </c>
      <c r="L2730" s="40"/>
      <c r="M2730"/>
      <c r="N2730"/>
      <c r="O2730"/>
      <c r="P2730"/>
      <c r="Q2730"/>
      <c r="R2730"/>
      <c r="S2730"/>
      <c r="T2730"/>
      <c r="U2730"/>
      <c r="V2730"/>
      <c r="W2730" s="41"/>
      <c r="X2730" s="41"/>
      <c r="Y2730" s="41"/>
    </row>
    <row r="2731" s="27" customFormat="1" ht="23" hidden="1" customHeight="1" spans="1:25">
      <c r="A2731" s="133" t="str">
        <f>IF(B2731="","",COUNTA($B$5:B2731))</f>
        <v/>
      </c>
      <c r="B2731" s="148"/>
      <c r="C2731" s="22" t="s">
        <v>49</v>
      </c>
      <c r="D2731" s="149"/>
      <c r="E2731" s="150"/>
      <c r="F2731" s="151"/>
      <c r="G2731" s="151"/>
      <c r="H2731" s="142">
        <f>IFERROR(VLOOKUP($C2731,$C$5:$H$18,6,0)+SUMIF($C$19:$C2731,$C2731,$F$19:$F2731)-SUMIF($C$19:$C2731,$C2731,$G$19:$G2731),"")</f>
        <v>81211.819999998</v>
      </c>
      <c r="I2731" s="147"/>
      <c r="J2731" s="147"/>
      <c r="K2731" s="147" t="str">
        <f t="shared" si="42"/>
        <v/>
      </c>
      <c r="L2731" s="40"/>
      <c r="M2731"/>
      <c r="N2731"/>
      <c r="O2731"/>
      <c r="P2731"/>
      <c r="Q2731"/>
      <c r="R2731"/>
      <c r="S2731"/>
      <c r="T2731"/>
      <c r="U2731"/>
      <c r="V2731"/>
      <c r="W2731" s="41"/>
      <c r="X2731" s="41"/>
      <c r="Y2731" s="41"/>
    </row>
    <row r="2732" s="27" customFormat="1" ht="23" hidden="1" customHeight="1" spans="1:25">
      <c r="A2732" s="133" t="str">
        <f>IF(B2732="","",COUNTA($B$5:B2732))</f>
        <v/>
      </c>
      <c r="B2732" s="148"/>
      <c r="C2732" s="22" t="s">
        <v>49</v>
      </c>
      <c r="D2732" s="149"/>
      <c r="E2732" s="150"/>
      <c r="F2732" s="151"/>
      <c r="G2732" s="151"/>
      <c r="H2732" s="142">
        <f>IFERROR(VLOOKUP($C2732,$C$5:$H$18,6,0)+SUMIF($C$19:$C2732,$C2732,$F$19:$F2732)-SUMIF($C$19:$C2732,$C2732,$G$19:$G2732),"")</f>
        <v>81211.819999998</v>
      </c>
      <c r="I2732" s="147"/>
      <c r="J2732" s="147"/>
      <c r="K2732" s="147" t="str">
        <f t="shared" si="42"/>
        <v/>
      </c>
      <c r="L2732" s="40"/>
      <c r="M2732"/>
      <c r="N2732"/>
      <c r="O2732"/>
      <c r="P2732"/>
      <c r="Q2732"/>
      <c r="R2732"/>
      <c r="S2732"/>
      <c r="T2732"/>
      <c r="U2732"/>
      <c r="V2732"/>
      <c r="W2732" s="41"/>
      <c r="X2732" s="41"/>
      <c r="Y2732" s="41"/>
    </row>
    <row r="2733" s="27" customFormat="1" ht="23" hidden="1" customHeight="1" spans="1:25">
      <c r="A2733" s="133" t="str">
        <f>IF(B2733="","",COUNTA($B$5:B2733))</f>
        <v/>
      </c>
      <c r="B2733" s="148"/>
      <c r="C2733" s="22" t="s">
        <v>49</v>
      </c>
      <c r="D2733" s="149"/>
      <c r="E2733" s="150"/>
      <c r="F2733" s="151"/>
      <c r="G2733" s="151"/>
      <c r="H2733" s="142">
        <f>IFERROR(VLOOKUP($C2733,$C$5:$H$18,6,0)+SUMIF($C$19:$C2733,$C2733,$F$19:$F2733)-SUMIF($C$19:$C2733,$C2733,$G$19:$G2733),"")</f>
        <v>81211.819999998</v>
      </c>
      <c r="I2733" s="147"/>
      <c r="J2733" s="147"/>
      <c r="K2733" s="147" t="str">
        <f t="shared" si="42"/>
        <v/>
      </c>
      <c r="L2733" s="40"/>
      <c r="M2733"/>
      <c r="N2733"/>
      <c r="O2733"/>
      <c r="P2733"/>
      <c r="Q2733"/>
      <c r="R2733"/>
      <c r="S2733"/>
      <c r="T2733"/>
      <c r="U2733"/>
      <c r="V2733"/>
      <c r="W2733" s="41"/>
      <c r="X2733" s="41"/>
      <c r="Y2733" s="41"/>
    </row>
    <row r="2734" s="27" customFormat="1" ht="23" hidden="1" customHeight="1" spans="1:25">
      <c r="A2734" s="133" t="str">
        <f>IF(B2734="","",COUNTA($B$5:B2734))</f>
        <v/>
      </c>
      <c r="B2734" s="148"/>
      <c r="C2734" s="22" t="s">
        <v>49</v>
      </c>
      <c r="D2734" s="149"/>
      <c r="E2734" s="150"/>
      <c r="F2734" s="151"/>
      <c r="G2734" s="151"/>
      <c r="H2734" s="142">
        <f>IFERROR(VLOOKUP($C2734,$C$5:$H$18,6,0)+SUMIF($C$19:$C2734,$C2734,$F$19:$F2734)-SUMIF($C$19:$C2734,$C2734,$G$19:$G2734),"")</f>
        <v>81211.819999998</v>
      </c>
      <c r="I2734" s="147"/>
      <c r="J2734" s="147"/>
      <c r="K2734" s="147" t="str">
        <f t="shared" si="42"/>
        <v/>
      </c>
      <c r="L2734" s="40"/>
      <c r="M2734"/>
      <c r="N2734"/>
      <c r="O2734"/>
      <c r="P2734"/>
      <c r="Q2734"/>
      <c r="R2734"/>
      <c r="S2734"/>
      <c r="T2734"/>
      <c r="U2734"/>
      <c r="V2734"/>
      <c r="W2734" s="41"/>
      <c r="X2734" s="41"/>
      <c r="Y2734" s="41"/>
    </row>
    <row r="2735" s="27" customFormat="1" ht="23" hidden="1" customHeight="1" spans="1:25">
      <c r="A2735" s="133" t="str">
        <f>IF(B2735="","",COUNTA($B$5:B2735))</f>
        <v/>
      </c>
      <c r="B2735" s="148"/>
      <c r="C2735" s="22" t="s">
        <v>49</v>
      </c>
      <c r="D2735" s="149"/>
      <c r="E2735" s="150"/>
      <c r="F2735" s="151"/>
      <c r="G2735" s="151"/>
      <c r="H2735" s="142">
        <f>IFERROR(VLOOKUP($C2735,$C$5:$H$18,6,0)+SUMIF($C$19:$C2735,$C2735,$F$19:$F2735)-SUMIF($C$19:$C2735,$C2735,$G$19:$G2735),"")</f>
        <v>81211.819999998</v>
      </c>
      <c r="I2735" s="147"/>
      <c r="J2735" s="147"/>
      <c r="K2735" s="147" t="str">
        <f t="shared" si="42"/>
        <v/>
      </c>
      <c r="L2735" s="40"/>
      <c r="M2735"/>
      <c r="N2735"/>
      <c r="O2735"/>
      <c r="P2735"/>
      <c r="Q2735"/>
      <c r="R2735"/>
      <c r="S2735"/>
      <c r="T2735"/>
      <c r="U2735"/>
      <c r="V2735"/>
      <c r="W2735" s="41"/>
      <c r="X2735" s="41"/>
      <c r="Y2735" s="41"/>
    </row>
    <row r="2736" s="27" customFormat="1" ht="23" hidden="1" customHeight="1" spans="1:25">
      <c r="A2736" s="133" t="str">
        <f>IF(B2736="","",COUNTA($B$5:B2736))</f>
        <v/>
      </c>
      <c r="B2736" s="148"/>
      <c r="C2736" s="22" t="s">
        <v>49</v>
      </c>
      <c r="D2736" s="149"/>
      <c r="E2736" s="150"/>
      <c r="F2736" s="151"/>
      <c r="G2736" s="151"/>
      <c r="H2736" s="142">
        <f>IFERROR(VLOOKUP($C2736,$C$5:$H$18,6,0)+SUMIF($C$19:$C2736,$C2736,$F$19:$F2736)-SUMIF($C$19:$C2736,$C2736,$G$19:$G2736),"")</f>
        <v>81211.819999998</v>
      </c>
      <c r="I2736" s="147"/>
      <c r="J2736" s="147"/>
      <c r="K2736" s="147" t="str">
        <f t="shared" si="42"/>
        <v/>
      </c>
      <c r="L2736" s="40"/>
      <c r="M2736"/>
      <c r="N2736"/>
      <c r="O2736"/>
      <c r="P2736"/>
      <c r="Q2736"/>
      <c r="R2736"/>
      <c r="S2736"/>
      <c r="T2736"/>
      <c r="U2736"/>
      <c r="V2736"/>
      <c r="W2736" s="41"/>
      <c r="X2736" s="41"/>
      <c r="Y2736" s="41"/>
    </row>
    <row r="2737" s="27" customFormat="1" ht="23" hidden="1" customHeight="1" spans="1:25">
      <c r="A2737" s="133" t="str">
        <f>IF(B2737="","",COUNTA($B$5:B2737))</f>
        <v/>
      </c>
      <c r="B2737" s="148"/>
      <c r="C2737" s="22" t="s">
        <v>49</v>
      </c>
      <c r="D2737" s="149"/>
      <c r="E2737" s="150"/>
      <c r="F2737" s="151"/>
      <c r="G2737" s="151"/>
      <c r="H2737" s="142">
        <f>IFERROR(VLOOKUP($C2737,$C$5:$H$18,6,0)+SUMIF($C$19:$C2737,$C2737,$F$19:$F2737)-SUMIF($C$19:$C2737,$C2737,$G$19:$G2737),"")</f>
        <v>81211.819999998</v>
      </c>
      <c r="I2737" s="147"/>
      <c r="J2737" s="147"/>
      <c r="K2737" s="147" t="str">
        <f t="shared" si="42"/>
        <v/>
      </c>
      <c r="L2737" s="40"/>
      <c r="M2737"/>
      <c r="N2737"/>
      <c r="O2737"/>
      <c r="P2737"/>
      <c r="Q2737"/>
      <c r="R2737"/>
      <c r="S2737"/>
      <c r="T2737"/>
      <c r="U2737"/>
      <c r="V2737"/>
      <c r="W2737" s="41"/>
      <c r="X2737" s="41"/>
      <c r="Y2737" s="41"/>
    </row>
    <row r="2738" s="27" customFormat="1" ht="23" hidden="1" customHeight="1" spans="1:25">
      <c r="A2738" s="133" t="str">
        <f>IF(B2738="","",COUNTA($B$5:B2738))</f>
        <v/>
      </c>
      <c r="B2738" s="148"/>
      <c r="C2738" s="22" t="s">
        <v>49</v>
      </c>
      <c r="D2738" s="149"/>
      <c r="E2738" s="150"/>
      <c r="F2738" s="151"/>
      <c r="G2738" s="151"/>
      <c r="H2738" s="142">
        <f>IFERROR(VLOOKUP($C2738,$C$5:$H$18,6,0)+SUMIF($C$19:$C2738,$C2738,$F$19:$F2738)-SUMIF($C$19:$C2738,$C2738,$G$19:$G2738),"")</f>
        <v>81211.819999998</v>
      </c>
      <c r="I2738" s="147"/>
      <c r="J2738" s="147"/>
      <c r="K2738" s="147" t="str">
        <f t="shared" si="42"/>
        <v/>
      </c>
      <c r="L2738" s="40"/>
      <c r="M2738"/>
      <c r="N2738"/>
      <c r="O2738"/>
      <c r="P2738"/>
      <c r="Q2738"/>
      <c r="R2738"/>
      <c r="S2738"/>
      <c r="T2738"/>
      <c r="U2738"/>
      <c r="V2738"/>
      <c r="W2738" s="41"/>
      <c r="X2738" s="41"/>
      <c r="Y2738" s="41"/>
    </row>
    <row r="2739" s="27" customFormat="1" ht="23" hidden="1" customHeight="1" spans="1:25">
      <c r="A2739" s="133" t="str">
        <f>IF(B2739="","",COUNTA($B$5:B2739))</f>
        <v/>
      </c>
      <c r="B2739" s="148"/>
      <c r="C2739" s="22" t="s">
        <v>49</v>
      </c>
      <c r="D2739" s="149"/>
      <c r="E2739" s="150"/>
      <c r="F2739" s="151"/>
      <c r="G2739" s="151"/>
      <c r="H2739" s="142">
        <f>IFERROR(VLOOKUP($C2739,$C$5:$H$18,6,0)+SUMIF($C$19:$C2739,$C2739,$F$19:$F2739)-SUMIF($C$19:$C2739,$C2739,$G$19:$G2739),"")</f>
        <v>81211.819999998</v>
      </c>
      <c r="I2739" s="147"/>
      <c r="J2739" s="147"/>
      <c r="K2739" s="147" t="str">
        <f t="shared" si="42"/>
        <v/>
      </c>
      <c r="L2739" s="40"/>
      <c r="M2739"/>
      <c r="N2739"/>
      <c r="O2739"/>
      <c r="P2739"/>
      <c r="Q2739"/>
      <c r="R2739"/>
      <c r="S2739"/>
      <c r="T2739"/>
      <c r="U2739"/>
      <c r="V2739"/>
      <c r="W2739" s="41"/>
      <c r="X2739" s="41"/>
      <c r="Y2739" s="41"/>
    </row>
    <row r="2740" s="27" customFormat="1" ht="23" hidden="1" customHeight="1" spans="1:25">
      <c r="A2740" s="133" t="str">
        <f>IF(B2740="","",COUNTA($B$5:B2740))</f>
        <v/>
      </c>
      <c r="B2740" s="148"/>
      <c r="C2740" s="22" t="s">
        <v>49</v>
      </c>
      <c r="D2740" s="149"/>
      <c r="E2740" s="150"/>
      <c r="F2740" s="151"/>
      <c r="G2740" s="151"/>
      <c r="H2740" s="142">
        <f>IFERROR(VLOOKUP($C2740,$C$5:$H$18,6,0)+SUMIF($C$19:$C2740,$C2740,$F$19:$F2740)-SUMIF($C$19:$C2740,$C2740,$G$19:$G2740),"")</f>
        <v>81211.819999998</v>
      </c>
      <c r="I2740" s="147"/>
      <c r="J2740" s="147"/>
      <c r="K2740" s="147" t="str">
        <f t="shared" si="42"/>
        <v/>
      </c>
      <c r="L2740" s="40"/>
      <c r="M2740"/>
      <c r="N2740"/>
      <c r="O2740"/>
      <c r="P2740"/>
      <c r="Q2740"/>
      <c r="R2740"/>
      <c r="S2740"/>
      <c r="T2740"/>
      <c r="U2740"/>
      <c r="V2740"/>
      <c r="W2740" s="41"/>
      <c r="X2740" s="41"/>
      <c r="Y2740" s="41"/>
    </row>
    <row r="2741" s="27" customFormat="1" ht="23" hidden="1" customHeight="1" spans="1:25">
      <c r="A2741" s="133" t="str">
        <f>IF(B2741="","",COUNTA($B$5:B2741))</f>
        <v/>
      </c>
      <c r="B2741" s="148"/>
      <c r="C2741" s="22" t="s">
        <v>49</v>
      </c>
      <c r="D2741" s="149"/>
      <c r="E2741" s="150"/>
      <c r="F2741" s="151"/>
      <c r="G2741" s="151"/>
      <c r="H2741" s="142">
        <f>IFERROR(VLOOKUP($C2741,$C$5:$H$18,6,0)+SUMIF($C$19:$C2741,$C2741,$F$19:$F2741)-SUMIF($C$19:$C2741,$C2741,$G$19:$G2741),"")</f>
        <v>81211.819999998</v>
      </c>
      <c r="I2741" s="147"/>
      <c r="J2741" s="147"/>
      <c r="K2741" s="147" t="str">
        <f t="shared" si="42"/>
        <v/>
      </c>
      <c r="L2741" s="40"/>
      <c r="M2741"/>
      <c r="N2741"/>
      <c r="O2741"/>
      <c r="P2741"/>
      <c r="Q2741"/>
      <c r="R2741"/>
      <c r="S2741"/>
      <c r="T2741"/>
      <c r="U2741"/>
      <c r="V2741"/>
      <c r="W2741" s="41"/>
      <c r="X2741" s="41"/>
      <c r="Y2741" s="41"/>
    </row>
    <row r="2742" s="27" customFormat="1" ht="23" hidden="1" customHeight="1" spans="1:25">
      <c r="A2742" s="133" t="str">
        <f>IF(B2742="","",COUNTA($B$5:B2742))</f>
        <v/>
      </c>
      <c r="B2742" s="148"/>
      <c r="C2742" s="22" t="s">
        <v>49</v>
      </c>
      <c r="D2742" s="149"/>
      <c r="E2742" s="150"/>
      <c r="F2742" s="151"/>
      <c r="G2742" s="151"/>
      <c r="H2742" s="142">
        <f>IFERROR(VLOOKUP($C2742,$C$5:$H$18,6,0)+SUMIF($C$19:$C2742,$C2742,$F$19:$F2742)-SUMIF($C$19:$C2742,$C2742,$G$19:$G2742),"")</f>
        <v>81211.819999998</v>
      </c>
      <c r="I2742" s="147"/>
      <c r="J2742" s="147"/>
      <c r="K2742" s="147" t="str">
        <f t="shared" si="42"/>
        <v/>
      </c>
      <c r="L2742" s="40"/>
      <c r="M2742"/>
      <c r="N2742"/>
      <c r="O2742"/>
      <c r="P2742"/>
      <c r="Q2742"/>
      <c r="R2742"/>
      <c r="S2742"/>
      <c r="T2742"/>
      <c r="U2742"/>
      <c r="V2742"/>
      <c r="W2742" s="41"/>
      <c r="X2742" s="41"/>
      <c r="Y2742" s="41"/>
    </row>
    <row r="2743" s="27" customFormat="1" ht="23" hidden="1" customHeight="1" spans="1:25">
      <c r="A2743" s="133" t="str">
        <f>IF(B2743="","",COUNTA($B$5:B2743))</f>
        <v/>
      </c>
      <c r="B2743" s="148"/>
      <c r="C2743" s="22" t="s">
        <v>49</v>
      </c>
      <c r="D2743" s="149"/>
      <c r="E2743" s="150"/>
      <c r="F2743" s="151"/>
      <c r="G2743" s="151"/>
      <c r="H2743" s="142">
        <f>IFERROR(VLOOKUP($C2743,$C$5:$H$18,6,0)+SUMIF($C$19:$C2743,$C2743,$F$19:$F2743)-SUMIF($C$19:$C2743,$C2743,$G$19:$G2743),"")</f>
        <v>81211.819999998</v>
      </c>
      <c r="I2743" s="147"/>
      <c r="J2743" s="147"/>
      <c r="K2743" s="147" t="str">
        <f t="shared" si="42"/>
        <v/>
      </c>
      <c r="L2743" s="40"/>
      <c r="M2743"/>
      <c r="N2743"/>
      <c r="O2743"/>
      <c r="P2743"/>
      <c r="Q2743"/>
      <c r="R2743"/>
      <c r="S2743"/>
      <c r="T2743"/>
      <c r="U2743"/>
      <c r="V2743"/>
      <c r="W2743" s="41"/>
      <c r="X2743" s="41"/>
      <c r="Y2743" s="41"/>
    </row>
    <row r="2744" s="27" customFormat="1" ht="23" hidden="1" customHeight="1" spans="1:25">
      <c r="A2744" s="133" t="str">
        <f>IF(B2744="","",COUNTA($B$5:B2744))</f>
        <v/>
      </c>
      <c r="B2744" s="148"/>
      <c r="C2744" s="22" t="s">
        <v>49</v>
      </c>
      <c r="D2744" s="149"/>
      <c r="E2744" s="150"/>
      <c r="F2744" s="151"/>
      <c r="G2744" s="151"/>
      <c r="H2744" s="142">
        <f>IFERROR(VLOOKUP($C2744,$C$5:$H$18,6,0)+SUMIF($C$19:$C2744,$C2744,$F$19:$F2744)-SUMIF($C$19:$C2744,$C2744,$G$19:$G2744),"")</f>
        <v>81211.819999998</v>
      </c>
      <c r="I2744" s="147"/>
      <c r="J2744" s="147"/>
      <c r="K2744" s="147" t="str">
        <f t="shared" si="42"/>
        <v/>
      </c>
      <c r="L2744" s="40"/>
      <c r="M2744"/>
      <c r="N2744"/>
      <c r="O2744"/>
      <c r="P2744"/>
      <c r="Q2744"/>
      <c r="R2744"/>
      <c r="S2744"/>
      <c r="T2744"/>
      <c r="U2744"/>
      <c r="V2744"/>
      <c r="W2744" s="41"/>
      <c r="X2744" s="41"/>
      <c r="Y2744" s="41"/>
    </row>
    <row r="2745" s="27" customFormat="1" ht="23" hidden="1" customHeight="1" spans="1:25">
      <c r="A2745" s="133" t="str">
        <f>IF(B2745="","",COUNTA($B$5:B2745))</f>
        <v/>
      </c>
      <c r="B2745" s="148"/>
      <c r="C2745" s="22" t="s">
        <v>49</v>
      </c>
      <c r="D2745" s="149"/>
      <c r="E2745" s="150"/>
      <c r="F2745" s="151"/>
      <c r="G2745" s="151"/>
      <c r="H2745" s="142">
        <f>IFERROR(VLOOKUP($C2745,$C$5:$H$18,6,0)+SUMIF($C$19:$C2745,$C2745,$F$19:$F2745)-SUMIF($C$19:$C2745,$C2745,$G$19:$G2745),"")</f>
        <v>81211.819999998</v>
      </c>
      <c r="I2745" s="147"/>
      <c r="J2745" s="147"/>
      <c r="K2745" s="147" t="str">
        <f t="shared" si="42"/>
        <v/>
      </c>
      <c r="L2745" s="40"/>
      <c r="M2745"/>
      <c r="N2745"/>
      <c r="O2745"/>
      <c r="P2745"/>
      <c r="Q2745"/>
      <c r="R2745"/>
      <c r="S2745"/>
      <c r="T2745"/>
      <c r="U2745"/>
      <c r="V2745"/>
      <c r="W2745" s="41"/>
      <c r="X2745" s="41"/>
      <c r="Y2745" s="41"/>
    </row>
    <row r="2746" s="27" customFormat="1" ht="23" hidden="1" customHeight="1" spans="1:25">
      <c r="A2746" s="133" t="str">
        <f>IF(B2746="","",COUNTA($B$5:B2746))</f>
        <v/>
      </c>
      <c r="B2746" s="148"/>
      <c r="C2746" s="22" t="s">
        <v>49</v>
      </c>
      <c r="D2746" s="149"/>
      <c r="E2746" s="150"/>
      <c r="F2746" s="151"/>
      <c r="G2746" s="151"/>
      <c r="H2746" s="142">
        <f>IFERROR(VLOOKUP($C2746,$C$5:$H$18,6,0)+SUMIF($C$19:$C2746,$C2746,$F$19:$F2746)-SUMIF($C$19:$C2746,$C2746,$G$19:$G2746),"")</f>
        <v>81211.819999998</v>
      </c>
      <c r="I2746" s="147"/>
      <c r="J2746" s="147"/>
      <c r="K2746" s="147" t="str">
        <f t="shared" si="42"/>
        <v/>
      </c>
      <c r="L2746" s="40"/>
      <c r="M2746"/>
      <c r="N2746"/>
      <c r="O2746"/>
      <c r="P2746"/>
      <c r="Q2746"/>
      <c r="R2746"/>
      <c r="S2746"/>
      <c r="T2746"/>
      <c r="U2746"/>
      <c r="V2746"/>
      <c r="W2746" s="41"/>
      <c r="X2746" s="41"/>
      <c r="Y2746" s="41"/>
    </row>
    <row r="2747" s="27" customFormat="1" ht="23" hidden="1" customHeight="1" spans="1:25">
      <c r="A2747" s="133" t="str">
        <f>IF(B2747="","",COUNTA($B$5:B2747))</f>
        <v/>
      </c>
      <c r="B2747" s="148"/>
      <c r="C2747" s="22" t="s">
        <v>49</v>
      </c>
      <c r="D2747" s="149"/>
      <c r="E2747" s="150"/>
      <c r="F2747" s="151"/>
      <c r="G2747" s="151"/>
      <c r="H2747" s="142">
        <f>IFERROR(VLOOKUP($C2747,$C$5:$H$18,6,0)+SUMIF($C$19:$C2747,$C2747,$F$19:$F2747)-SUMIF($C$19:$C2747,$C2747,$G$19:$G2747),"")</f>
        <v>81211.819999998</v>
      </c>
      <c r="I2747" s="147"/>
      <c r="J2747" s="147"/>
      <c r="K2747" s="147" t="str">
        <f t="shared" si="42"/>
        <v/>
      </c>
      <c r="L2747" s="40"/>
      <c r="M2747"/>
      <c r="N2747"/>
      <c r="O2747"/>
      <c r="P2747"/>
      <c r="Q2747"/>
      <c r="R2747"/>
      <c r="S2747"/>
      <c r="T2747"/>
      <c r="U2747"/>
      <c r="V2747"/>
      <c r="W2747" s="41"/>
      <c r="X2747" s="41"/>
      <c r="Y2747" s="41"/>
    </row>
    <row r="2748" s="27" customFormat="1" ht="23" hidden="1" customHeight="1" spans="1:25">
      <c r="A2748" s="133" t="str">
        <f>IF(B2748="","",COUNTA($B$5:B2748))</f>
        <v/>
      </c>
      <c r="B2748" s="148"/>
      <c r="C2748" s="22" t="s">
        <v>49</v>
      </c>
      <c r="D2748" s="149"/>
      <c r="E2748" s="150"/>
      <c r="F2748" s="151"/>
      <c r="G2748" s="151"/>
      <c r="H2748" s="142">
        <f>IFERROR(VLOOKUP($C2748,$C$5:$H$18,6,0)+SUMIF($C$19:$C2748,$C2748,$F$19:$F2748)-SUMIF($C$19:$C2748,$C2748,$G$19:$G2748),"")</f>
        <v>81211.819999998</v>
      </c>
      <c r="I2748" s="147"/>
      <c r="J2748" s="147"/>
      <c r="K2748" s="147" t="str">
        <f t="shared" si="42"/>
        <v/>
      </c>
      <c r="L2748" s="40"/>
      <c r="M2748"/>
      <c r="N2748"/>
      <c r="O2748"/>
      <c r="P2748"/>
      <c r="Q2748"/>
      <c r="R2748"/>
      <c r="S2748"/>
      <c r="T2748"/>
      <c r="U2748"/>
      <c r="V2748"/>
      <c r="W2748" s="41"/>
      <c r="X2748" s="41"/>
      <c r="Y2748" s="41"/>
    </row>
    <row r="2749" s="27" customFormat="1" ht="23" hidden="1" customHeight="1" spans="1:25">
      <c r="A2749" s="133" t="str">
        <f>IF(B2749="","",COUNTA($B$5:B2749))</f>
        <v/>
      </c>
      <c r="B2749" s="148"/>
      <c r="C2749" s="22" t="s">
        <v>49</v>
      </c>
      <c r="D2749" s="149"/>
      <c r="E2749" s="150"/>
      <c r="F2749" s="151"/>
      <c r="G2749" s="151"/>
      <c r="H2749" s="142">
        <f>IFERROR(VLOOKUP($C2749,$C$5:$H$18,6,0)+SUMIF($C$19:$C2749,$C2749,$F$19:$F2749)-SUMIF($C$19:$C2749,$C2749,$G$19:$G2749),"")</f>
        <v>81211.819999998</v>
      </c>
      <c r="I2749" s="147"/>
      <c r="J2749" s="147"/>
      <c r="K2749" s="147" t="str">
        <f t="shared" si="42"/>
        <v/>
      </c>
      <c r="L2749" s="40"/>
      <c r="M2749"/>
      <c r="N2749"/>
      <c r="O2749"/>
      <c r="P2749"/>
      <c r="Q2749"/>
      <c r="R2749"/>
      <c r="S2749"/>
      <c r="T2749"/>
      <c r="U2749"/>
      <c r="V2749"/>
      <c r="W2749" s="41"/>
      <c r="X2749" s="41"/>
      <c r="Y2749" s="41"/>
    </row>
    <row r="2750" s="27" customFormat="1" ht="23" hidden="1" customHeight="1" spans="1:25">
      <c r="A2750" s="133" t="str">
        <f>IF(B2750="","",COUNTA($B$5:B2750))</f>
        <v/>
      </c>
      <c r="B2750" s="148"/>
      <c r="C2750" s="22" t="s">
        <v>49</v>
      </c>
      <c r="D2750" s="149"/>
      <c r="E2750" s="150"/>
      <c r="F2750" s="151"/>
      <c r="G2750" s="151"/>
      <c r="H2750" s="142">
        <f>IFERROR(VLOOKUP($C2750,$C$5:$H$18,6,0)+SUMIF($C$19:$C2750,$C2750,$F$19:$F2750)-SUMIF($C$19:$C2750,$C2750,$G$19:$G2750),"")</f>
        <v>81211.819999998</v>
      </c>
      <c r="I2750" s="147"/>
      <c r="J2750" s="147"/>
      <c r="K2750" s="147" t="str">
        <f t="shared" si="42"/>
        <v/>
      </c>
      <c r="L2750" s="40"/>
      <c r="M2750"/>
      <c r="N2750"/>
      <c r="O2750"/>
      <c r="P2750"/>
      <c r="Q2750"/>
      <c r="R2750"/>
      <c r="S2750"/>
      <c r="T2750"/>
      <c r="U2750"/>
      <c r="V2750"/>
      <c r="W2750" s="41"/>
      <c r="X2750" s="41"/>
      <c r="Y2750" s="41"/>
    </row>
    <row r="2751" s="27" customFormat="1" ht="23" hidden="1" customHeight="1" spans="1:25">
      <c r="A2751" s="133" t="str">
        <f>IF(B2751="","",COUNTA($B$5:B2751))</f>
        <v/>
      </c>
      <c r="B2751" s="148"/>
      <c r="C2751" s="22" t="s">
        <v>49</v>
      </c>
      <c r="D2751" s="149"/>
      <c r="E2751" s="150"/>
      <c r="F2751" s="151"/>
      <c r="G2751" s="151"/>
      <c r="H2751" s="142">
        <f>IFERROR(VLOOKUP($C2751,$C$5:$H$18,6,0)+SUMIF($C$19:$C2751,$C2751,$F$19:$F2751)-SUMIF($C$19:$C2751,$C2751,$G$19:$G2751),"")</f>
        <v>81211.819999998</v>
      </c>
      <c r="I2751" s="147"/>
      <c r="J2751" s="147"/>
      <c r="K2751" s="147" t="str">
        <f t="shared" si="42"/>
        <v/>
      </c>
      <c r="L2751" s="40"/>
      <c r="M2751"/>
      <c r="N2751"/>
      <c r="O2751"/>
      <c r="P2751"/>
      <c r="Q2751"/>
      <c r="R2751"/>
      <c r="S2751"/>
      <c r="T2751"/>
      <c r="U2751"/>
      <c r="V2751"/>
      <c r="W2751" s="41"/>
      <c r="X2751" s="41"/>
      <c r="Y2751" s="41"/>
    </row>
    <row r="2752" s="27" customFormat="1" ht="23" hidden="1" customHeight="1" spans="1:25">
      <c r="A2752" s="133" t="str">
        <f>IF(B2752="","",COUNTA($B$5:B2752))</f>
        <v/>
      </c>
      <c r="B2752" s="148"/>
      <c r="C2752" s="22" t="s">
        <v>49</v>
      </c>
      <c r="D2752" s="149"/>
      <c r="E2752" s="150"/>
      <c r="F2752" s="151"/>
      <c r="G2752" s="151"/>
      <c r="H2752" s="142">
        <f>IFERROR(VLOOKUP($C2752,$C$5:$H$18,6,0)+SUMIF($C$19:$C2752,$C2752,$F$19:$F2752)-SUMIF($C$19:$C2752,$C2752,$G$19:$G2752),"")</f>
        <v>81211.819999998</v>
      </c>
      <c r="I2752" s="147"/>
      <c r="J2752" s="147"/>
      <c r="K2752" s="147" t="str">
        <f t="shared" si="42"/>
        <v/>
      </c>
      <c r="L2752" s="40"/>
      <c r="M2752"/>
      <c r="N2752"/>
      <c r="O2752"/>
      <c r="P2752"/>
      <c r="Q2752"/>
      <c r="R2752"/>
      <c r="S2752"/>
      <c r="T2752"/>
      <c r="U2752"/>
      <c r="V2752"/>
      <c r="W2752" s="41"/>
      <c r="X2752" s="41"/>
      <c r="Y2752" s="41"/>
    </row>
    <row r="2753" s="27" customFormat="1" ht="23" hidden="1" customHeight="1" spans="1:25">
      <c r="A2753" s="133" t="str">
        <f>IF(B2753="","",COUNTA($B$5:B2753))</f>
        <v/>
      </c>
      <c r="B2753" s="148"/>
      <c r="C2753" s="22" t="s">
        <v>49</v>
      </c>
      <c r="D2753" s="149"/>
      <c r="E2753" s="150"/>
      <c r="F2753" s="151"/>
      <c r="G2753" s="151"/>
      <c r="H2753" s="142">
        <f>IFERROR(VLOOKUP($C2753,$C$5:$H$18,6,0)+SUMIF($C$19:$C2753,$C2753,$F$19:$F2753)-SUMIF($C$19:$C2753,$C2753,$G$19:$G2753),"")</f>
        <v>81211.819999998</v>
      </c>
      <c r="I2753" s="147"/>
      <c r="J2753" s="147"/>
      <c r="K2753" s="147" t="str">
        <f t="shared" si="42"/>
        <v/>
      </c>
      <c r="L2753" s="40"/>
      <c r="M2753"/>
      <c r="N2753"/>
      <c r="O2753"/>
      <c r="P2753"/>
      <c r="Q2753"/>
      <c r="R2753"/>
      <c r="S2753"/>
      <c r="T2753"/>
      <c r="U2753"/>
      <c r="V2753"/>
      <c r="W2753" s="41"/>
      <c r="X2753" s="41"/>
      <c r="Y2753" s="41"/>
    </row>
    <row r="2754" s="27" customFormat="1" ht="23" hidden="1" customHeight="1" spans="1:25">
      <c r="A2754" s="133" t="str">
        <f>IF(B2754="","",COUNTA($B$5:B2754))</f>
        <v/>
      </c>
      <c r="B2754" s="148"/>
      <c r="C2754" s="22" t="s">
        <v>49</v>
      </c>
      <c r="D2754" s="149"/>
      <c r="E2754" s="150"/>
      <c r="F2754" s="151"/>
      <c r="G2754" s="151"/>
      <c r="H2754" s="142">
        <f>IFERROR(VLOOKUP($C2754,$C$5:$H$18,6,0)+SUMIF($C$19:$C2754,$C2754,$F$19:$F2754)-SUMIF($C$19:$C2754,$C2754,$G$19:$G2754),"")</f>
        <v>81211.819999998</v>
      </c>
      <c r="I2754" s="147"/>
      <c r="J2754" s="147"/>
      <c r="K2754" s="147" t="str">
        <f t="shared" si="42"/>
        <v/>
      </c>
      <c r="L2754" s="40"/>
      <c r="M2754"/>
      <c r="N2754"/>
      <c r="O2754"/>
      <c r="P2754"/>
      <c r="Q2754"/>
      <c r="R2754"/>
      <c r="S2754"/>
      <c r="T2754"/>
      <c r="U2754"/>
      <c r="V2754"/>
      <c r="W2754" s="41"/>
      <c r="X2754" s="41"/>
      <c r="Y2754" s="41"/>
    </row>
    <row r="2755" s="27" customFormat="1" ht="23" hidden="1" customHeight="1" spans="1:25">
      <c r="A2755" s="133" t="str">
        <f>IF(B2755="","",COUNTA($B$5:B2755))</f>
        <v/>
      </c>
      <c r="B2755" s="148"/>
      <c r="C2755" s="22" t="s">
        <v>49</v>
      </c>
      <c r="D2755" s="149"/>
      <c r="E2755" s="150"/>
      <c r="F2755" s="151"/>
      <c r="G2755" s="151"/>
      <c r="H2755" s="142">
        <f>IFERROR(VLOOKUP($C2755,$C$5:$H$18,6,0)+SUMIF($C$19:$C2755,$C2755,$F$19:$F2755)-SUMIF($C$19:$C2755,$C2755,$G$19:$G2755),"")</f>
        <v>81211.819999998</v>
      </c>
      <c r="I2755" s="147"/>
      <c r="J2755" s="147"/>
      <c r="K2755" s="147" t="str">
        <f t="shared" si="42"/>
        <v/>
      </c>
      <c r="L2755" s="40"/>
      <c r="M2755"/>
      <c r="N2755"/>
      <c r="O2755"/>
      <c r="P2755"/>
      <c r="Q2755"/>
      <c r="R2755"/>
      <c r="S2755"/>
      <c r="T2755"/>
      <c r="U2755"/>
      <c r="V2755"/>
      <c r="W2755" s="41"/>
      <c r="X2755" s="41"/>
      <c r="Y2755" s="41"/>
    </row>
    <row r="2756" s="27" customFormat="1" ht="23" hidden="1" customHeight="1" spans="1:25">
      <c r="A2756" s="133" t="str">
        <f>IF(B2756="","",COUNTA($B$5:B2756))</f>
        <v/>
      </c>
      <c r="B2756" s="148"/>
      <c r="C2756" s="22" t="s">
        <v>49</v>
      </c>
      <c r="D2756" s="149"/>
      <c r="E2756" s="150"/>
      <c r="F2756" s="151"/>
      <c r="G2756" s="151"/>
      <c r="H2756" s="142">
        <f>IFERROR(VLOOKUP($C2756,$C$5:$H$18,6,0)+SUMIF($C$19:$C2756,$C2756,$F$19:$F2756)-SUMIF($C$19:$C2756,$C2756,$G$19:$G2756),"")</f>
        <v>81211.819999998</v>
      </c>
      <c r="I2756" s="147"/>
      <c r="J2756" s="147"/>
      <c r="K2756" s="147" t="str">
        <f t="shared" si="42"/>
        <v/>
      </c>
      <c r="L2756" s="40"/>
      <c r="M2756"/>
      <c r="N2756"/>
      <c r="O2756"/>
      <c r="P2756"/>
      <c r="Q2756"/>
      <c r="R2756"/>
      <c r="S2756"/>
      <c r="T2756"/>
      <c r="U2756"/>
      <c r="V2756"/>
      <c r="W2756" s="41"/>
      <c r="X2756" s="41"/>
      <c r="Y2756" s="41"/>
    </row>
    <row r="2757" s="27" customFormat="1" ht="23" hidden="1" customHeight="1" spans="1:25">
      <c r="A2757" s="133" t="str">
        <f>IF(B2757="","",COUNTA($B$5:B2757))</f>
        <v/>
      </c>
      <c r="B2757" s="148"/>
      <c r="C2757" s="22" t="s">
        <v>49</v>
      </c>
      <c r="D2757" s="149"/>
      <c r="E2757" s="150"/>
      <c r="F2757" s="151"/>
      <c r="G2757" s="151"/>
      <c r="H2757" s="142">
        <f>IFERROR(VLOOKUP($C2757,$C$5:$H$18,6,0)+SUMIF($C$19:$C2757,$C2757,$F$19:$F2757)-SUMIF($C$19:$C2757,$C2757,$G$19:$G2757),"")</f>
        <v>81211.819999998</v>
      </c>
      <c r="I2757" s="147"/>
      <c r="J2757" s="147"/>
      <c r="K2757" s="147" t="str">
        <f t="shared" ref="K2757:K2820" si="43">IF($B2757="","",--TEXT($B2757,"yyyymm"))</f>
        <v/>
      </c>
      <c r="L2757" s="40"/>
      <c r="M2757"/>
      <c r="N2757"/>
      <c r="O2757"/>
      <c r="P2757"/>
      <c r="Q2757"/>
      <c r="R2757"/>
      <c r="S2757"/>
      <c r="T2757"/>
      <c r="U2757"/>
      <c r="V2757"/>
      <c r="W2757" s="41"/>
      <c r="X2757" s="41"/>
      <c r="Y2757" s="41"/>
    </row>
    <row r="2758" s="27" customFormat="1" ht="23" hidden="1" customHeight="1" spans="1:25">
      <c r="A2758" s="133" t="str">
        <f>IF(B2758="","",COUNTA($B$5:B2758))</f>
        <v/>
      </c>
      <c r="B2758" s="148"/>
      <c r="C2758" s="22" t="s">
        <v>49</v>
      </c>
      <c r="D2758" s="149"/>
      <c r="E2758" s="150"/>
      <c r="F2758" s="151"/>
      <c r="G2758" s="151"/>
      <c r="H2758" s="142">
        <f>IFERROR(VLOOKUP($C2758,$C$5:$H$18,6,0)+SUMIF($C$19:$C2758,$C2758,$F$19:$F2758)-SUMIF($C$19:$C2758,$C2758,$G$19:$G2758),"")</f>
        <v>81211.819999998</v>
      </c>
      <c r="I2758" s="147"/>
      <c r="J2758" s="147"/>
      <c r="K2758" s="147" t="str">
        <f t="shared" si="43"/>
        <v/>
      </c>
      <c r="L2758" s="40"/>
      <c r="M2758"/>
      <c r="N2758"/>
      <c r="O2758"/>
      <c r="P2758"/>
      <c r="Q2758"/>
      <c r="R2758"/>
      <c r="S2758"/>
      <c r="T2758"/>
      <c r="U2758"/>
      <c r="V2758"/>
      <c r="W2758" s="41"/>
      <c r="X2758" s="41"/>
      <c r="Y2758" s="41"/>
    </row>
    <row r="2759" s="27" customFormat="1" ht="23" hidden="1" customHeight="1" spans="1:25">
      <c r="A2759" s="133" t="str">
        <f>IF(B2759="","",COUNTA($B$5:B2759))</f>
        <v/>
      </c>
      <c r="B2759" s="148"/>
      <c r="C2759" s="22" t="s">
        <v>49</v>
      </c>
      <c r="D2759" s="149"/>
      <c r="E2759" s="150"/>
      <c r="F2759" s="151"/>
      <c r="G2759" s="151"/>
      <c r="H2759" s="142">
        <f>IFERROR(VLOOKUP($C2759,$C$5:$H$18,6,0)+SUMIF($C$19:$C2759,$C2759,$F$19:$F2759)-SUMIF($C$19:$C2759,$C2759,$G$19:$G2759),"")</f>
        <v>81211.819999998</v>
      </c>
      <c r="I2759" s="147"/>
      <c r="J2759" s="147"/>
      <c r="K2759" s="147" t="str">
        <f t="shared" si="43"/>
        <v/>
      </c>
      <c r="L2759" s="40"/>
      <c r="M2759"/>
      <c r="N2759"/>
      <c r="O2759"/>
      <c r="P2759"/>
      <c r="Q2759"/>
      <c r="R2759"/>
      <c r="S2759"/>
      <c r="T2759"/>
      <c r="U2759"/>
      <c r="V2759"/>
      <c r="W2759" s="41"/>
      <c r="X2759" s="41"/>
      <c r="Y2759" s="41"/>
    </row>
    <row r="2760" s="27" customFormat="1" ht="23" hidden="1" customHeight="1" spans="1:25">
      <c r="A2760" s="133" t="str">
        <f>IF(B2760="","",COUNTA($B$5:B2760))</f>
        <v/>
      </c>
      <c r="B2760" s="148"/>
      <c r="C2760" s="22" t="s">
        <v>49</v>
      </c>
      <c r="D2760" s="149"/>
      <c r="E2760" s="150"/>
      <c r="F2760" s="151"/>
      <c r="G2760" s="151"/>
      <c r="H2760" s="142">
        <f>IFERROR(VLOOKUP($C2760,$C$5:$H$18,6,0)+SUMIF($C$19:$C2760,$C2760,$F$19:$F2760)-SUMIF($C$19:$C2760,$C2760,$G$19:$G2760),"")</f>
        <v>81211.819999998</v>
      </c>
      <c r="I2760" s="147"/>
      <c r="J2760" s="147"/>
      <c r="K2760" s="147" t="str">
        <f t="shared" si="43"/>
        <v/>
      </c>
      <c r="L2760" s="40"/>
      <c r="M2760"/>
      <c r="N2760"/>
      <c r="O2760"/>
      <c r="P2760"/>
      <c r="Q2760"/>
      <c r="R2760"/>
      <c r="S2760"/>
      <c r="T2760"/>
      <c r="U2760"/>
      <c r="V2760"/>
      <c r="W2760" s="41"/>
      <c r="X2760" s="41"/>
      <c r="Y2760" s="41"/>
    </row>
    <row r="2761" s="27" customFormat="1" ht="23" hidden="1" customHeight="1" spans="1:25">
      <c r="A2761" s="133" t="str">
        <f>IF(B2761="","",COUNTA($B$5:B2761))</f>
        <v/>
      </c>
      <c r="B2761" s="148"/>
      <c r="C2761" s="22" t="s">
        <v>49</v>
      </c>
      <c r="D2761" s="149"/>
      <c r="E2761" s="150"/>
      <c r="F2761" s="151"/>
      <c r="G2761" s="151"/>
      <c r="H2761" s="142">
        <f>IFERROR(VLOOKUP($C2761,$C$5:$H$18,6,0)+SUMIF($C$19:$C2761,$C2761,$F$19:$F2761)-SUMIF($C$19:$C2761,$C2761,$G$19:$G2761),"")</f>
        <v>81211.819999998</v>
      </c>
      <c r="I2761" s="147"/>
      <c r="J2761" s="147"/>
      <c r="K2761" s="147" t="str">
        <f t="shared" si="43"/>
        <v/>
      </c>
      <c r="L2761" s="40"/>
      <c r="M2761"/>
      <c r="N2761"/>
      <c r="O2761"/>
      <c r="P2761"/>
      <c r="Q2761"/>
      <c r="R2761"/>
      <c r="S2761"/>
      <c r="T2761"/>
      <c r="U2761"/>
      <c r="V2761"/>
      <c r="W2761" s="41"/>
      <c r="X2761" s="41"/>
      <c r="Y2761" s="41"/>
    </row>
    <row r="2762" s="27" customFormat="1" ht="23" hidden="1" customHeight="1" spans="1:25">
      <c r="A2762" s="133" t="str">
        <f>IF(B2762="","",COUNTA($B$5:B2762))</f>
        <v/>
      </c>
      <c r="B2762" s="148"/>
      <c r="C2762" s="22" t="s">
        <v>49</v>
      </c>
      <c r="D2762" s="149"/>
      <c r="E2762" s="150"/>
      <c r="F2762" s="151"/>
      <c r="G2762" s="151"/>
      <c r="H2762" s="142">
        <f>IFERROR(VLOOKUP($C2762,$C$5:$H$18,6,0)+SUMIF($C$19:$C2762,$C2762,$F$19:$F2762)-SUMIF($C$19:$C2762,$C2762,$G$19:$G2762),"")</f>
        <v>81211.819999998</v>
      </c>
      <c r="I2762" s="147"/>
      <c r="J2762" s="147"/>
      <c r="K2762" s="147" t="str">
        <f t="shared" si="43"/>
        <v/>
      </c>
      <c r="L2762" s="40"/>
      <c r="M2762"/>
      <c r="N2762"/>
      <c r="O2762"/>
      <c r="P2762"/>
      <c r="Q2762"/>
      <c r="R2762"/>
      <c r="S2762"/>
      <c r="T2762"/>
      <c r="U2762"/>
      <c r="V2762"/>
      <c r="W2762" s="41"/>
      <c r="X2762" s="41"/>
      <c r="Y2762" s="41"/>
    </row>
    <row r="2763" s="27" customFormat="1" ht="23" hidden="1" customHeight="1" spans="1:25">
      <c r="A2763" s="133" t="str">
        <f>IF(B2763="","",COUNTA($B$5:B2763))</f>
        <v/>
      </c>
      <c r="B2763" s="148"/>
      <c r="C2763" s="22" t="s">
        <v>49</v>
      </c>
      <c r="D2763" s="149"/>
      <c r="E2763" s="150"/>
      <c r="F2763" s="151"/>
      <c r="G2763" s="151"/>
      <c r="H2763" s="142">
        <f>IFERROR(VLOOKUP($C2763,$C$5:$H$18,6,0)+SUMIF($C$19:$C2763,$C2763,$F$19:$F2763)-SUMIF($C$19:$C2763,$C2763,$G$19:$G2763),"")</f>
        <v>81211.819999998</v>
      </c>
      <c r="I2763" s="147"/>
      <c r="J2763" s="147"/>
      <c r="K2763" s="147" t="str">
        <f t="shared" si="43"/>
        <v/>
      </c>
      <c r="L2763" s="40"/>
      <c r="M2763"/>
      <c r="N2763"/>
      <c r="O2763"/>
      <c r="P2763"/>
      <c r="Q2763"/>
      <c r="R2763"/>
      <c r="S2763"/>
      <c r="T2763"/>
      <c r="U2763"/>
      <c r="V2763"/>
      <c r="W2763" s="41"/>
      <c r="X2763" s="41"/>
      <c r="Y2763" s="41"/>
    </row>
    <row r="2764" s="27" customFormat="1" ht="23" hidden="1" customHeight="1" spans="1:25">
      <c r="A2764" s="133" t="str">
        <f>IF(B2764="","",COUNTA($B$5:B2764))</f>
        <v/>
      </c>
      <c r="B2764" s="148"/>
      <c r="C2764" s="22" t="s">
        <v>49</v>
      </c>
      <c r="D2764" s="149"/>
      <c r="E2764" s="150"/>
      <c r="F2764" s="151"/>
      <c r="G2764" s="151"/>
      <c r="H2764" s="142">
        <f>IFERROR(VLOOKUP($C2764,$C$5:$H$18,6,0)+SUMIF($C$19:$C2764,$C2764,$F$19:$F2764)-SUMIF($C$19:$C2764,$C2764,$G$19:$G2764),"")</f>
        <v>81211.819999998</v>
      </c>
      <c r="I2764" s="147"/>
      <c r="J2764" s="147"/>
      <c r="K2764" s="147" t="str">
        <f t="shared" si="43"/>
        <v/>
      </c>
      <c r="L2764" s="40"/>
      <c r="M2764"/>
      <c r="N2764"/>
      <c r="O2764"/>
      <c r="P2764"/>
      <c r="Q2764"/>
      <c r="R2764"/>
      <c r="S2764"/>
      <c r="T2764"/>
      <c r="U2764"/>
      <c r="V2764"/>
      <c r="W2764" s="41"/>
      <c r="X2764" s="41"/>
      <c r="Y2764" s="41"/>
    </row>
    <row r="2765" s="27" customFormat="1" ht="23" hidden="1" customHeight="1" spans="1:25">
      <c r="A2765" s="133" t="str">
        <f>IF(B2765="","",COUNTA($B$5:B2765))</f>
        <v/>
      </c>
      <c r="B2765" s="148"/>
      <c r="C2765" s="22" t="s">
        <v>49</v>
      </c>
      <c r="D2765" s="149"/>
      <c r="E2765" s="150"/>
      <c r="F2765" s="151"/>
      <c r="G2765" s="151"/>
      <c r="H2765" s="142">
        <f>IFERROR(VLOOKUP($C2765,$C$5:$H$18,6,0)+SUMIF($C$19:$C2765,$C2765,$F$19:$F2765)-SUMIF($C$19:$C2765,$C2765,$G$19:$G2765),"")</f>
        <v>81211.819999998</v>
      </c>
      <c r="I2765" s="147"/>
      <c r="J2765" s="147"/>
      <c r="K2765" s="147" t="str">
        <f t="shared" si="43"/>
        <v/>
      </c>
      <c r="L2765" s="40"/>
      <c r="M2765"/>
      <c r="N2765"/>
      <c r="O2765"/>
      <c r="P2765"/>
      <c r="Q2765"/>
      <c r="R2765"/>
      <c r="S2765"/>
      <c r="T2765"/>
      <c r="U2765"/>
      <c r="V2765"/>
      <c r="W2765" s="41"/>
      <c r="X2765" s="41"/>
      <c r="Y2765" s="41"/>
    </row>
    <row r="2766" s="27" customFormat="1" ht="23" hidden="1" customHeight="1" spans="1:25">
      <c r="A2766" s="133" t="str">
        <f>IF(B2766="","",COUNTA($B$5:B2766))</f>
        <v/>
      </c>
      <c r="B2766" s="148"/>
      <c r="C2766" s="22" t="s">
        <v>49</v>
      </c>
      <c r="D2766" s="149"/>
      <c r="E2766" s="150"/>
      <c r="F2766" s="151"/>
      <c r="G2766" s="151"/>
      <c r="H2766" s="142">
        <f>IFERROR(VLOOKUP($C2766,$C$5:$H$18,6,0)+SUMIF($C$19:$C2766,$C2766,$F$19:$F2766)-SUMIF($C$19:$C2766,$C2766,$G$19:$G2766),"")</f>
        <v>81211.819999998</v>
      </c>
      <c r="I2766" s="147"/>
      <c r="J2766" s="147"/>
      <c r="K2766" s="147" t="str">
        <f t="shared" si="43"/>
        <v/>
      </c>
      <c r="L2766" s="40"/>
      <c r="M2766"/>
      <c r="N2766"/>
      <c r="O2766"/>
      <c r="P2766"/>
      <c r="Q2766"/>
      <c r="R2766"/>
      <c r="S2766"/>
      <c r="T2766"/>
      <c r="U2766"/>
      <c r="V2766"/>
      <c r="W2766" s="41"/>
      <c r="X2766" s="41"/>
      <c r="Y2766" s="41"/>
    </row>
    <row r="2767" s="27" customFormat="1" ht="23" hidden="1" customHeight="1" spans="1:25">
      <c r="A2767" s="133" t="str">
        <f>IF(B2767="","",COUNTA($B$5:B2767))</f>
        <v/>
      </c>
      <c r="B2767" s="148"/>
      <c r="C2767" s="22" t="s">
        <v>49</v>
      </c>
      <c r="D2767" s="149"/>
      <c r="E2767" s="150"/>
      <c r="F2767" s="151"/>
      <c r="G2767" s="151"/>
      <c r="H2767" s="142">
        <f>IFERROR(VLOOKUP($C2767,$C$5:$H$18,6,0)+SUMIF($C$19:$C2767,$C2767,$F$19:$F2767)-SUMIF($C$19:$C2767,$C2767,$G$19:$G2767),"")</f>
        <v>81211.819999998</v>
      </c>
      <c r="I2767" s="147"/>
      <c r="J2767" s="147"/>
      <c r="K2767" s="147" t="str">
        <f t="shared" si="43"/>
        <v/>
      </c>
      <c r="L2767" s="40"/>
      <c r="M2767"/>
      <c r="N2767"/>
      <c r="O2767"/>
      <c r="P2767"/>
      <c r="Q2767"/>
      <c r="R2767"/>
      <c r="S2767"/>
      <c r="T2767"/>
      <c r="U2767"/>
      <c r="V2767"/>
      <c r="W2767" s="41"/>
      <c r="X2767" s="41"/>
      <c r="Y2767" s="41"/>
    </row>
    <row r="2768" s="27" customFormat="1" ht="23" hidden="1" customHeight="1" spans="1:25">
      <c r="A2768" s="133" t="str">
        <f>IF(B2768="","",COUNTA($B$5:B2768))</f>
        <v/>
      </c>
      <c r="B2768" s="148"/>
      <c r="C2768" s="22" t="s">
        <v>49</v>
      </c>
      <c r="D2768" s="149"/>
      <c r="E2768" s="150"/>
      <c r="F2768" s="151"/>
      <c r="G2768" s="151"/>
      <c r="H2768" s="142">
        <f>IFERROR(VLOOKUP($C2768,$C$5:$H$18,6,0)+SUMIF($C$19:$C2768,$C2768,$F$19:$F2768)-SUMIF($C$19:$C2768,$C2768,$G$19:$G2768),"")</f>
        <v>81211.819999998</v>
      </c>
      <c r="I2768" s="147"/>
      <c r="J2768" s="147"/>
      <c r="K2768" s="147" t="str">
        <f t="shared" si="43"/>
        <v/>
      </c>
      <c r="L2768" s="40"/>
      <c r="M2768"/>
      <c r="N2768"/>
      <c r="O2768"/>
      <c r="P2768"/>
      <c r="Q2768"/>
      <c r="R2768"/>
      <c r="S2768"/>
      <c r="T2768"/>
      <c r="U2768"/>
      <c r="V2768"/>
      <c r="W2768" s="41"/>
      <c r="X2768" s="41"/>
      <c r="Y2768" s="41"/>
    </row>
    <row r="2769" s="27" customFormat="1" ht="23" hidden="1" customHeight="1" spans="1:25">
      <c r="A2769" s="133" t="str">
        <f>IF(B2769="","",COUNTA($B$5:B2769))</f>
        <v/>
      </c>
      <c r="B2769" s="148"/>
      <c r="C2769" s="22" t="s">
        <v>49</v>
      </c>
      <c r="D2769" s="149"/>
      <c r="E2769" s="150"/>
      <c r="F2769" s="151"/>
      <c r="G2769" s="151"/>
      <c r="H2769" s="142">
        <f>IFERROR(VLOOKUP($C2769,$C$5:$H$18,6,0)+SUMIF($C$19:$C2769,$C2769,$F$19:$F2769)-SUMIF($C$19:$C2769,$C2769,$G$19:$G2769),"")</f>
        <v>81211.819999998</v>
      </c>
      <c r="I2769" s="147"/>
      <c r="J2769" s="147"/>
      <c r="K2769" s="147" t="str">
        <f t="shared" si="43"/>
        <v/>
      </c>
      <c r="L2769" s="40"/>
      <c r="M2769"/>
      <c r="N2769"/>
      <c r="O2769"/>
      <c r="P2769"/>
      <c r="Q2769"/>
      <c r="R2769"/>
      <c r="S2769"/>
      <c r="T2769"/>
      <c r="U2769"/>
      <c r="V2769"/>
      <c r="W2769" s="41"/>
      <c r="X2769" s="41"/>
      <c r="Y2769" s="41"/>
    </row>
    <row r="2770" s="27" customFormat="1" ht="23" hidden="1" customHeight="1" spans="1:25">
      <c r="A2770" s="133" t="str">
        <f>IF(B2770="","",COUNTA($B$5:B2770))</f>
        <v/>
      </c>
      <c r="B2770" s="148"/>
      <c r="C2770" s="22" t="s">
        <v>49</v>
      </c>
      <c r="D2770" s="149"/>
      <c r="E2770" s="150"/>
      <c r="F2770" s="151"/>
      <c r="G2770" s="151"/>
      <c r="H2770" s="142">
        <f>IFERROR(VLOOKUP($C2770,$C$5:$H$18,6,0)+SUMIF($C$19:$C2770,$C2770,$F$19:$F2770)-SUMIF($C$19:$C2770,$C2770,$G$19:$G2770),"")</f>
        <v>81211.819999998</v>
      </c>
      <c r="I2770" s="147"/>
      <c r="J2770" s="147"/>
      <c r="K2770" s="147" t="str">
        <f t="shared" si="43"/>
        <v/>
      </c>
      <c r="L2770" s="40"/>
      <c r="M2770"/>
      <c r="N2770"/>
      <c r="O2770"/>
      <c r="P2770"/>
      <c r="Q2770"/>
      <c r="R2770"/>
      <c r="S2770"/>
      <c r="T2770"/>
      <c r="U2770"/>
      <c r="V2770"/>
      <c r="W2770" s="41"/>
      <c r="X2770" s="41"/>
      <c r="Y2770" s="41"/>
    </row>
    <row r="2771" s="27" customFormat="1" ht="23" hidden="1" customHeight="1" spans="1:25">
      <c r="A2771" s="133" t="str">
        <f>IF(B2771="","",COUNTA($B$5:B2771))</f>
        <v/>
      </c>
      <c r="B2771" s="148"/>
      <c r="C2771" s="22" t="s">
        <v>49</v>
      </c>
      <c r="D2771" s="149"/>
      <c r="E2771" s="150"/>
      <c r="F2771" s="151"/>
      <c r="G2771" s="151"/>
      <c r="H2771" s="142">
        <f>IFERROR(VLOOKUP($C2771,$C$5:$H$18,6,0)+SUMIF($C$19:$C2771,$C2771,$F$19:$F2771)-SUMIF($C$19:$C2771,$C2771,$G$19:$G2771),"")</f>
        <v>81211.819999998</v>
      </c>
      <c r="I2771" s="147"/>
      <c r="J2771" s="147"/>
      <c r="K2771" s="147" t="str">
        <f t="shared" si="43"/>
        <v/>
      </c>
      <c r="L2771" s="40"/>
      <c r="M2771"/>
      <c r="N2771"/>
      <c r="O2771"/>
      <c r="P2771"/>
      <c r="Q2771"/>
      <c r="R2771"/>
      <c r="S2771"/>
      <c r="T2771"/>
      <c r="U2771"/>
      <c r="V2771"/>
      <c r="W2771" s="41"/>
      <c r="X2771" s="41"/>
      <c r="Y2771" s="41"/>
    </row>
    <row r="2772" s="27" customFormat="1" ht="23" hidden="1" customHeight="1" spans="1:25">
      <c r="A2772" s="133" t="str">
        <f>IF(B2772="","",COUNTA($B$5:B2772))</f>
        <v/>
      </c>
      <c r="B2772" s="148"/>
      <c r="C2772" s="22" t="s">
        <v>49</v>
      </c>
      <c r="D2772" s="149"/>
      <c r="E2772" s="150"/>
      <c r="F2772" s="151"/>
      <c r="G2772" s="151"/>
      <c r="H2772" s="142">
        <f>IFERROR(VLOOKUP($C2772,$C$5:$H$18,6,0)+SUMIF($C$19:$C2772,$C2772,$F$19:$F2772)-SUMIF($C$19:$C2772,$C2772,$G$19:$G2772),"")</f>
        <v>81211.819999998</v>
      </c>
      <c r="I2772" s="147"/>
      <c r="J2772" s="147"/>
      <c r="K2772" s="147" t="str">
        <f t="shared" si="43"/>
        <v/>
      </c>
      <c r="L2772" s="40"/>
      <c r="M2772"/>
      <c r="N2772"/>
      <c r="O2772"/>
      <c r="P2772"/>
      <c r="Q2772"/>
      <c r="R2772"/>
      <c r="S2772"/>
      <c r="T2772"/>
      <c r="U2772"/>
      <c r="V2772"/>
      <c r="W2772" s="41"/>
      <c r="X2772" s="41"/>
      <c r="Y2772" s="41"/>
    </row>
    <row r="2773" s="27" customFormat="1" ht="23" hidden="1" customHeight="1" spans="1:25">
      <c r="A2773" s="133" t="str">
        <f>IF(B2773="","",COUNTA($B$5:B2773))</f>
        <v/>
      </c>
      <c r="B2773" s="148"/>
      <c r="C2773" s="22" t="s">
        <v>49</v>
      </c>
      <c r="D2773" s="149"/>
      <c r="E2773" s="150"/>
      <c r="F2773" s="151"/>
      <c r="G2773" s="151"/>
      <c r="H2773" s="142">
        <f>IFERROR(VLOOKUP($C2773,$C$5:$H$18,6,0)+SUMIF($C$19:$C2773,$C2773,$F$19:$F2773)-SUMIF($C$19:$C2773,$C2773,$G$19:$G2773),"")</f>
        <v>81211.819999998</v>
      </c>
      <c r="I2773" s="147"/>
      <c r="J2773" s="147"/>
      <c r="K2773" s="147" t="str">
        <f t="shared" si="43"/>
        <v/>
      </c>
      <c r="L2773" s="40"/>
      <c r="M2773"/>
      <c r="N2773"/>
      <c r="O2773"/>
      <c r="P2773"/>
      <c r="Q2773"/>
      <c r="R2773"/>
      <c r="S2773"/>
      <c r="T2773"/>
      <c r="U2773"/>
      <c r="V2773"/>
      <c r="W2773" s="41"/>
      <c r="X2773" s="41"/>
      <c r="Y2773" s="41"/>
    </row>
    <row r="2774" s="27" customFormat="1" ht="23" hidden="1" customHeight="1" spans="1:25">
      <c r="A2774" s="133" t="str">
        <f>IF(B2774="","",COUNTA($B$5:B2774))</f>
        <v/>
      </c>
      <c r="B2774" s="148"/>
      <c r="C2774" s="22" t="s">
        <v>49</v>
      </c>
      <c r="D2774" s="149"/>
      <c r="E2774" s="150"/>
      <c r="F2774" s="151"/>
      <c r="G2774" s="151"/>
      <c r="H2774" s="142">
        <f>IFERROR(VLOOKUP($C2774,$C$5:$H$18,6,0)+SUMIF($C$19:$C2774,$C2774,$F$19:$F2774)-SUMIF($C$19:$C2774,$C2774,$G$19:$G2774),"")</f>
        <v>81211.819999998</v>
      </c>
      <c r="I2774" s="147"/>
      <c r="J2774" s="147"/>
      <c r="K2774" s="147" t="str">
        <f t="shared" si="43"/>
        <v/>
      </c>
      <c r="L2774" s="40"/>
      <c r="M2774"/>
      <c r="N2774"/>
      <c r="O2774"/>
      <c r="P2774"/>
      <c r="Q2774"/>
      <c r="R2774"/>
      <c r="S2774"/>
      <c r="T2774"/>
      <c r="U2774"/>
      <c r="V2774"/>
      <c r="W2774" s="41"/>
      <c r="X2774" s="41"/>
      <c r="Y2774" s="41"/>
    </row>
    <row r="2775" s="27" customFormat="1" ht="23" hidden="1" customHeight="1" spans="1:25">
      <c r="A2775" s="133" t="str">
        <f>IF(B2775="","",COUNTA($B$5:B2775))</f>
        <v/>
      </c>
      <c r="B2775" s="148"/>
      <c r="C2775" s="22" t="s">
        <v>49</v>
      </c>
      <c r="D2775" s="149"/>
      <c r="E2775" s="150"/>
      <c r="F2775" s="151"/>
      <c r="G2775" s="151"/>
      <c r="H2775" s="142">
        <f>IFERROR(VLOOKUP($C2775,$C$5:$H$18,6,0)+SUMIF($C$19:$C2775,$C2775,$F$19:$F2775)-SUMIF($C$19:$C2775,$C2775,$G$19:$G2775),"")</f>
        <v>81211.819999998</v>
      </c>
      <c r="I2775" s="147"/>
      <c r="J2775" s="147"/>
      <c r="K2775" s="147" t="str">
        <f t="shared" si="43"/>
        <v/>
      </c>
      <c r="L2775" s="40"/>
      <c r="M2775"/>
      <c r="N2775"/>
      <c r="O2775"/>
      <c r="P2775"/>
      <c r="Q2775"/>
      <c r="R2775"/>
      <c r="S2775"/>
      <c r="T2775"/>
      <c r="U2775"/>
      <c r="V2775"/>
      <c r="W2775" s="41"/>
      <c r="X2775" s="41"/>
      <c r="Y2775" s="41"/>
    </row>
    <row r="2776" s="27" customFormat="1" ht="23" hidden="1" customHeight="1" spans="1:25">
      <c r="A2776" s="133" t="str">
        <f>IF(B2776="","",COUNTA($B$5:B2776))</f>
        <v/>
      </c>
      <c r="B2776" s="148"/>
      <c r="C2776" s="22" t="s">
        <v>49</v>
      </c>
      <c r="D2776" s="149"/>
      <c r="E2776" s="150"/>
      <c r="F2776" s="151"/>
      <c r="G2776" s="151"/>
      <c r="H2776" s="142">
        <f>IFERROR(VLOOKUP($C2776,$C$5:$H$18,6,0)+SUMIF($C$19:$C2776,$C2776,$F$19:$F2776)-SUMIF($C$19:$C2776,$C2776,$G$19:$G2776),"")</f>
        <v>81211.819999998</v>
      </c>
      <c r="I2776" s="147"/>
      <c r="J2776" s="147"/>
      <c r="K2776" s="147" t="str">
        <f t="shared" si="43"/>
        <v/>
      </c>
      <c r="L2776" s="40"/>
      <c r="M2776"/>
      <c r="N2776"/>
      <c r="O2776"/>
      <c r="P2776"/>
      <c r="Q2776"/>
      <c r="R2776"/>
      <c r="S2776"/>
      <c r="T2776"/>
      <c r="U2776"/>
      <c r="V2776"/>
      <c r="W2776" s="41"/>
      <c r="X2776" s="41"/>
      <c r="Y2776" s="41"/>
    </row>
    <row r="2777" s="27" customFormat="1" ht="23" hidden="1" customHeight="1" spans="1:25">
      <c r="A2777" s="133" t="str">
        <f>IF(B2777="","",COUNTA($B$5:B2777))</f>
        <v/>
      </c>
      <c r="B2777" s="148"/>
      <c r="C2777" s="22" t="s">
        <v>49</v>
      </c>
      <c r="D2777" s="149"/>
      <c r="E2777" s="150"/>
      <c r="F2777" s="151"/>
      <c r="G2777" s="151"/>
      <c r="H2777" s="142">
        <f>IFERROR(VLOOKUP($C2777,$C$5:$H$18,6,0)+SUMIF($C$19:$C2777,$C2777,$F$19:$F2777)-SUMIF($C$19:$C2777,$C2777,$G$19:$G2777),"")</f>
        <v>81211.819999998</v>
      </c>
      <c r="I2777" s="147"/>
      <c r="J2777" s="147"/>
      <c r="K2777" s="147" t="str">
        <f t="shared" si="43"/>
        <v/>
      </c>
      <c r="L2777" s="40"/>
      <c r="M2777"/>
      <c r="N2777"/>
      <c r="O2777"/>
      <c r="P2777"/>
      <c r="Q2777"/>
      <c r="R2777"/>
      <c r="S2777"/>
      <c r="T2777"/>
      <c r="U2777"/>
      <c r="V2777"/>
      <c r="W2777" s="41"/>
      <c r="X2777" s="41"/>
      <c r="Y2777" s="41"/>
    </row>
    <row r="2778" s="27" customFormat="1" ht="23" hidden="1" customHeight="1" spans="1:25">
      <c r="A2778" s="133" t="str">
        <f>IF(B2778="","",COUNTA($B$5:B2778))</f>
        <v/>
      </c>
      <c r="B2778" s="148"/>
      <c r="C2778" s="22" t="s">
        <v>49</v>
      </c>
      <c r="D2778" s="149"/>
      <c r="E2778" s="150"/>
      <c r="F2778" s="151"/>
      <c r="G2778" s="151"/>
      <c r="H2778" s="142">
        <f>IFERROR(VLOOKUP($C2778,$C$5:$H$18,6,0)+SUMIF($C$19:$C2778,$C2778,$F$19:$F2778)-SUMIF($C$19:$C2778,$C2778,$G$19:$G2778),"")</f>
        <v>81211.819999998</v>
      </c>
      <c r="I2778" s="147"/>
      <c r="J2778" s="147"/>
      <c r="K2778" s="147" t="str">
        <f t="shared" si="43"/>
        <v/>
      </c>
      <c r="L2778" s="40"/>
      <c r="M2778"/>
      <c r="N2778"/>
      <c r="O2778"/>
      <c r="P2778"/>
      <c r="Q2778"/>
      <c r="R2778"/>
      <c r="S2778"/>
      <c r="T2778"/>
      <c r="U2778"/>
      <c r="V2778"/>
      <c r="W2778" s="41"/>
      <c r="X2778" s="41"/>
      <c r="Y2778" s="41"/>
    </row>
    <row r="2779" s="27" customFormat="1" ht="23" hidden="1" customHeight="1" spans="1:25">
      <c r="A2779" s="133" t="str">
        <f>IF(B2779="","",COUNTA($B$5:B2779))</f>
        <v/>
      </c>
      <c r="B2779" s="148"/>
      <c r="C2779" s="22" t="s">
        <v>49</v>
      </c>
      <c r="D2779" s="149"/>
      <c r="E2779" s="150"/>
      <c r="F2779" s="151"/>
      <c r="G2779" s="151"/>
      <c r="H2779" s="142">
        <f>IFERROR(VLOOKUP($C2779,$C$5:$H$18,6,0)+SUMIF($C$19:$C2779,$C2779,$F$19:$F2779)-SUMIF($C$19:$C2779,$C2779,$G$19:$G2779),"")</f>
        <v>81211.819999998</v>
      </c>
      <c r="I2779" s="147"/>
      <c r="J2779" s="147"/>
      <c r="K2779" s="147" t="str">
        <f t="shared" si="43"/>
        <v/>
      </c>
      <c r="L2779" s="40"/>
      <c r="M2779"/>
      <c r="N2779"/>
      <c r="O2779"/>
      <c r="P2779"/>
      <c r="Q2779"/>
      <c r="R2779"/>
      <c r="S2779"/>
      <c r="T2779"/>
      <c r="U2779"/>
      <c r="V2779"/>
      <c r="W2779" s="41"/>
      <c r="X2779" s="41"/>
      <c r="Y2779" s="41"/>
    </row>
    <row r="2780" s="27" customFormat="1" ht="23" hidden="1" customHeight="1" spans="1:25">
      <c r="A2780" s="133" t="str">
        <f>IF(B2780="","",COUNTA($B$5:B2780))</f>
        <v/>
      </c>
      <c r="B2780" s="148"/>
      <c r="C2780" s="22" t="s">
        <v>49</v>
      </c>
      <c r="D2780" s="149"/>
      <c r="E2780" s="150"/>
      <c r="F2780" s="151"/>
      <c r="G2780" s="151"/>
      <c r="H2780" s="142">
        <f>IFERROR(VLOOKUP($C2780,$C$5:$H$18,6,0)+SUMIF($C$19:$C2780,$C2780,$F$19:$F2780)-SUMIF($C$19:$C2780,$C2780,$G$19:$G2780),"")</f>
        <v>81211.819999998</v>
      </c>
      <c r="I2780" s="147"/>
      <c r="J2780" s="147"/>
      <c r="K2780" s="147" t="str">
        <f t="shared" si="43"/>
        <v/>
      </c>
      <c r="L2780" s="40"/>
      <c r="M2780"/>
      <c r="N2780"/>
      <c r="O2780"/>
      <c r="P2780"/>
      <c r="Q2780"/>
      <c r="R2780"/>
      <c r="S2780"/>
      <c r="T2780"/>
      <c r="U2780"/>
      <c r="V2780"/>
      <c r="W2780" s="41"/>
      <c r="X2780" s="41"/>
      <c r="Y2780" s="41"/>
    </row>
    <row r="2781" s="27" customFormat="1" ht="23" hidden="1" customHeight="1" spans="1:25">
      <c r="A2781" s="133" t="str">
        <f>IF(B2781="","",COUNTA($B$5:B2781))</f>
        <v/>
      </c>
      <c r="B2781" s="148"/>
      <c r="C2781" s="22" t="s">
        <v>49</v>
      </c>
      <c r="D2781" s="149"/>
      <c r="E2781" s="150"/>
      <c r="F2781" s="151"/>
      <c r="G2781" s="151"/>
      <c r="H2781" s="142">
        <f>IFERROR(VLOOKUP($C2781,$C$5:$H$18,6,0)+SUMIF($C$19:$C2781,$C2781,$F$19:$F2781)-SUMIF($C$19:$C2781,$C2781,$G$19:$G2781),"")</f>
        <v>81211.819999998</v>
      </c>
      <c r="I2781" s="147"/>
      <c r="J2781" s="147"/>
      <c r="K2781" s="147" t="str">
        <f t="shared" si="43"/>
        <v/>
      </c>
      <c r="L2781" s="40"/>
      <c r="M2781"/>
      <c r="N2781"/>
      <c r="O2781"/>
      <c r="P2781"/>
      <c r="Q2781"/>
      <c r="R2781"/>
      <c r="S2781"/>
      <c r="T2781"/>
      <c r="U2781"/>
      <c r="V2781"/>
      <c r="W2781" s="41"/>
      <c r="X2781" s="41"/>
      <c r="Y2781" s="41"/>
    </row>
    <row r="2782" s="27" customFormat="1" ht="23" hidden="1" customHeight="1" spans="1:25">
      <c r="A2782" s="133" t="str">
        <f>IF(B2782="","",COUNTA($B$5:B2782))</f>
        <v/>
      </c>
      <c r="B2782" s="148"/>
      <c r="C2782" s="22" t="s">
        <v>49</v>
      </c>
      <c r="D2782" s="149"/>
      <c r="E2782" s="150"/>
      <c r="F2782" s="151"/>
      <c r="G2782" s="151"/>
      <c r="H2782" s="142">
        <f>IFERROR(VLOOKUP($C2782,$C$5:$H$18,6,0)+SUMIF($C$19:$C2782,$C2782,$F$19:$F2782)-SUMIF($C$19:$C2782,$C2782,$G$19:$G2782),"")</f>
        <v>81211.819999998</v>
      </c>
      <c r="I2782" s="147"/>
      <c r="J2782" s="147"/>
      <c r="K2782" s="147" t="str">
        <f t="shared" si="43"/>
        <v/>
      </c>
      <c r="L2782" s="40"/>
      <c r="M2782"/>
      <c r="N2782"/>
      <c r="O2782"/>
      <c r="P2782"/>
      <c r="Q2782"/>
      <c r="R2782"/>
      <c r="S2782"/>
      <c r="T2782"/>
      <c r="U2782"/>
      <c r="V2782"/>
      <c r="W2782" s="41"/>
      <c r="X2782" s="41"/>
      <c r="Y2782" s="41"/>
    </row>
    <row r="2783" s="27" customFormat="1" ht="23" hidden="1" customHeight="1" spans="1:25">
      <c r="A2783" s="133" t="str">
        <f>IF(B2783="","",COUNTA($B$5:B2783))</f>
        <v/>
      </c>
      <c r="B2783" s="148"/>
      <c r="C2783" s="22" t="s">
        <v>49</v>
      </c>
      <c r="D2783" s="149"/>
      <c r="E2783" s="150"/>
      <c r="F2783" s="151"/>
      <c r="G2783" s="151"/>
      <c r="H2783" s="142">
        <f>IFERROR(VLOOKUP($C2783,$C$5:$H$18,6,0)+SUMIF($C$19:$C2783,$C2783,$F$19:$F2783)-SUMIF($C$19:$C2783,$C2783,$G$19:$G2783),"")</f>
        <v>81211.819999998</v>
      </c>
      <c r="I2783" s="147"/>
      <c r="J2783" s="147"/>
      <c r="K2783" s="147" t="str">
        <f t="shared" si="43"/>
        <v/>
      </c>
      <c r="L2783" s="40"/>
      <c r="M2783"/>
      <c r="N2783"/>
      <c r="O2783"/>
      <c r="P2783"/>
      <c r="Q2783"/>
      <c r="R2783"/>
      <c r="S2783"/>
      <c r="T2783"/>
      <c r="U2783"/>
      <c r="V2783"/>
      <c r="W2783" s="41"/>
      <c r="X2783" s="41"/>
      <c r="Y2783" s="41"/>
    </row>
    <row r="2784" s="27" customFormat="1" ht="23" hidden="1" customHeight="1" spans="1:25">
      <c r="A2784" s="133" t="str">
        <f>IF(B2784="","",COUNTA($B$5:B2784))</f>
        <v/>
      </c>
      <c r="B2784" s="148"/>
      <c r="C2784" s="22" t="s">
        <v>49</v>
      </c>
      <c r="D2784" s="149"/>
      <c r="E2784" s="150"/>
      <c r="F2784" s="151"/>
      <c r="G2784" s="151"/>
      <c r="H2784" s="142">
        <f>IFERROR(VLOOKUP($C2784,$C$5:$H$18,6,0)+SUMIF($C$19:$C2784,$C2784,$F$19:$F2784)-SUMIF($C$19:$C2784,$C2784,$G$19:$G2784),"")</f>
        <v>81211.819999998</v>
      </c>
      <c r="I2784" s="147"/>
      <c r="J2784" s="147"/>
      <c r="K2784" s="147" t="str">
        <f t="shared" si="43"/>
        <v/>
      </c>
      <c r="L2784" s="40"/>
      <c r="M2784"/>
      <c r="N2784"/>
      <c r="O2784"/>
      <c r="P2784"/>
      <c r="Q2784"/>
      <c r="R2784"/>
      <c r="S2784"/>
      <c r="T2784"/>
      <c r="U2784"/>
      <c r="V2784"/>
      <c r="W2784" s="41"/>
      <c r="X2784" s="41"/>
      <c r="Y2784" s="41"/>
    </row>
    <row r="2785" s="27" customFormat="1" ht="23" hidden="1" customHeight="1" spans="1:25">
      <c r="A2785" s="133" t="str">
        <f>IF(B2785="","",COUNTA($B$5:B2785))</f>
        <v/>
      </c>
      <c r="B2785" s="148"/>
      <c r="C2785" s="22" t="s">
        <v>49</v>
      </c>
      <c r="D2785" s="149"/>
      <c r="E2785" s="150"/>
      <c r="F2785" s="151"/>
      <c r="G2785" s="151"/>
      <c r="H2785" s="142">
        <f>IFERROR(VLOOKUP($C2785,$C$5:$H$18,6,0)+SUMIF($C$19:$C2785,$C2785,$F$19:$F2785)-SUMIF($C$19:$C2785,$C2785,$G$19:$G2785),"")</f>
        <v>81211.819999998</v>
      </c>
      <c r="I2785" s="147"/>
      <c r="J2785" s="147"/>
      <c r="K2785" s="147" t="str">
        <f t="shared" si="43"/>
        <v/>
      </c>
      <c r="L2785" s="40"/>
      <c r="M2785"/>
      <c r="N2785"/>
      <c r="O2785"/>
      <c r="P2785"/>
      <c r="Q2785"/>
      <c r="R2785"/>
      <c r="S2785"/>
      <c r="T2785"/>
      <c r="U2785"/>
      <c r="V2785"/>
      <c r="W2785" s="41"/>
      <c r="X2785" s="41"/>
      <c r="Y2785" s="41"/>
    </row>
    <row r="2786" s="27" customFormat="1" ht="23" hidden="1" customHeight="1" spans="1:25">
      <c r="A2786" s="133" t="str">
        <f>IF(B2786="","",COUNTA($B$5:B2786))</f>
        <v/>
      </c>
      <c r="B2786" s="148"/>
      <c r="C2786" s="22" t="s">
        <v>49</v>
      </c>
      <c r="D2786" s="149"/>
      <c r="E2786" s="150"/>
      <c r="F2786" s="151"/>
      <c r="G2786" s="151"/>
      <c r="H2786" s="142">
        <f>IFERROR(VLOOKUP($C2786,$C$5:$H$18,6,0)+SUMIF($C$19:$C2786,$C2786,$F$19:$F2786)-SUMIF($C$19:$C2786,$C2786,$G$19:$G2786),"")</f>
        <v>81211.819999998</v>
      </c>
      <c r="I2786" s="147"/>
      <c r="J2786" s="147"/>
      <c r="K2786" s="147" t="str">
        <f t="shared" si="43"/>
        <v/>
      </c>
      <c r="L2786" s="40"/>
      <c r="M2786"/>
      <c r="N2786"/>
      <c r="O2786"/>
      <c r="P2786"/>
      <c r="Q2786"/>
      <c r="R2786"/>
      <c r="S2786"/>
      <c r="T2786"/>
      <c r="U2786"/>
      <c r="V2786"/>
      <c r="W2786" s="41"/>
      <c r="X2786" s="41"/>
      <c r="Y2786" s="41"/>
    </row>
    <row r="2787" s="27" customFormat="1" ht="23" hidden="1" customHeight="1" spans="1:25">
      <c r="A2787" s="133" t="str">
        <f>IF(B2787="","",COUNTA($B$5:B2787))</f>
        <v/>
      </c>
      <c r="B2787" s="148"/>
      <c r="C2787" s="22" t="s">
        <v>49</v>
      </c>
      <c r="D2787" s="149"/>
      <c r="E2787" s="150"/>
      <c r="F2787" s="151"/>
      <c r="G2787" s="151"/>
      <c r="H2787" s="142">
        <f>IFERROR(VLOOKUP($C2787,$C$5:$H$18,6,0)+SUMIF($C$19:$C2787,$C2787,$F$19:$F2787)-SUMIF($C$19:$C2787,$C2787,$G$19:$G2787),"")</f>
        <v>81211.819999998</v>
      </c>
      <c r="I2787" s="147"/>
      <c r="J2787" s="147"/>
      <c r="K2787" s="147" t="str">
        <f t="shared" si="43"/>
        <v/>
      </c>
      <c r="L2787" s="40"/>
      <c r="M2787"/>
      <c r="N2787"/>
      <c r="O2787"/>
      <c r="P2787"/>
      <c r="Q2787"/>
      <c r="R2787"/>
      <c r="S2787"/>
      <c r="T2787"/>
      <c r="U2787"/>
      <c r="V2787"/>
      <c r="W2787" s="41"/>
      <c r="X2787" s="41"/>
      <c r="Y2787" s="41"/>
    </row>
    <row r="2788" s="27" customFormat="1" ht="23" hidden="1" customHeight="1" spans="1:25">
      <c r="A2788" s="133" t="str">
        <f>IF(B2788="","",COUNTA($B$5:B2788))</f>
        <v/>
      </c>
      <c r="B2788" s="148"/>
      <c r="C2788" s="22" t="s">
        <v>49</v>
      </c>
      <c r="D2788" s="149"/>
      <c r="E2788" s="150"/>
      <c r="F2788" s="151"/>
      <c r="G2788" s="151"/>
      <c r="H2788" s="142">
        <f>IFERROR(VLOOKUP($C2788,$C$5:$H$18,6,0)+SUMIF($C$19:$C2788,$C2788,$F$19:$F2788)-SUMIF($C$19:$C2788,$C2788,$G$19:$G2788),"")</f>
        <v>81211.819999998</v>
      </c>
      <c r="I2788" s="147"/>
      <c r="J2788" s="147"/>
      <c r="K2788" s="147" t="str">
        <f t="shared" si="43"/>
        <v/>
      </c>
      <c r="L2788" s="40"/>
      <c r="M2788"/>
      <c r="N2788"/>
      <c r="O2788"/>
      <c r="P2788"/>
      <c r="Q2788"/>
      <c r="R2788"/>
      <c r="S2788"/>
      <c r="T2788"/>
      <c r="U2788"/>
      <c r="V2788"/>
      <c r="W2788" s="41"/>
      <c r="X2788" s="41"/>
      <c r="Y2788" s="41"/>
    </row>
    <row r="2789" s="27" customFormat="1" ht="23" hidden="1" customHeight="1" spans="1:25">
      <c r="A2789" s="133" t="str">
        <f>IF(B2789="","",COUNTA($B$5:B2789))</f>
        <v/>
      </c>
      <c r="B2789" s="148"/>
      <c r="C2789" s="22" t="s">
        <v>49</v>
      </c>
      <c r="D2789" s="149"/>
      <c r="E2789" s="150"/>
      <c r="F2789" s="151"/>
      <c r="G2789" s="151"/>
      <c r="H2789" s="142">
        <f>IFERROR(VLOOKUP($C2789,$C$5:$H$18,6,0)+SUMIF($C$19:$C2789,$C2789,$F$19:$F2789)-SUMIF($C$19:$C2789,$C2789,$G$19:$G2789),"")</f>
        <v>81211.819999998</v>
      </c>
      <c r="I2789" s="147"/>
      <c r="J2789" s="147"/>
      <c r="K2789" s="147" t="str">
        <f t="shared" si="43"/>
        <v/>
      </c>
      <c r="L2789" s="40"/>
      <c r="M2789"/>
      <c r="N2789"/>
      <c r="O2789"/>
      <c r="P2789"/>
      <c r="Q2789"/>
      <c r="R2789"/>
      <c r="S2789"/>
      <c r="T2789"/>
      <c r="U2789"/>
      <c r="V2789"/>
      <c r="W2789" s="41"/>
      <c r="X2789" s="41"/>
      <c r="Y2789" s="41"/>
    </row>
    <row r="2790" s="27" customFormat="1" ht="23" hidden="1" customHeight="1" spans="1:25">
      <c r="A2790" s="133" t="str">
        <f>IF(B2790="","",COUNTA($B$5:B2790))</f>
        <v/>
      </c>
      <c r="B2790" s="148"/>
      <c r="C2790" s="22" t="s">
        <v>49</v>
      </c>
      <c r="D2790" s="149"/>
      <c r="E2790" s="150"/>
      <c r="F2790" s="151"/>
      <c r="G2790" s="151"/>
      <c r="H2790" s="142">
        <f>IFERROR(VLOOKUP($C2790,$C$5:$H$18,6,0)+SUMIF($C$19:$C2790,$C2790,$F$19:$F2790)-SUMIF($C$19:$C2790,$C2790,$G$19:$G2790),"")</f>
        <v>81211.819999998</v>
      </c>
      <c r="I2790" s="147"/>
      <c r="J2790" s="147"/>
      <c r="K2790" s="147" t="str">
        <f t="shared" si="43"/>
        <v/>
      </c>
      <c r="L2790" s="40"/>
      <c r="M2790"/>
      <c r="N2790"/>
      <c r="O2790"/>
      <c r="P2790"/>
      <c r="Q2790"/>
      <c r="R2790"/>
      <c r="S2790"/>
      <c r="T2790"/>
      <c r="U2790"/>
      <c r="V2790"/>
      <c r="W2790" s="41"/>
      <c r="X2790" s="41"/>
      <c r="Y2790" s="41"/>
    </row>
    <row r="2791" s="27" customFormat="1" ht="23" hidden="1" customHeight="1" spans="1:25">
      <c r="A2791" s="133" t="str">
        <f>IF(B2791="","",COUNTA($B$5:B2791))</f>
        <v/>
      </c>
      <c r="B2791" s="148"/>
      <c r="C2791" s="22" t="s">
        <v>49</v>
      </c>
      <c r="D2791" s="149"/>
      <c r="E2791" s="150"/>
      <c r="F2791" s="151"/>
      <c r="G2791" s="151"/>
      <c r="H2791" s="142">
        <f>IFERROR(VLOOKUP($C2791,$C$5:$H$18,6,0)+SUMIF($C$19:$C2791,$C2791,$F$19:$F2791)-SUMIF($C$19:$C2791,$C2791,$G$19:$G2791),"")</f>
        <v>81211.819999998</v>
      </c>
      <c r="I2791" s="147"/>
      <c r="J2791" s="147"/>
      <c r="K2791" s="147" t="str">
        <f t="shared" si="43"/>
        <v/>
      </c>
      <c r="L2791" s="40"/>
      <c r="M2791"/>
      <c r="N2791"/>
      <c r="O2791"/>
      <c r="P2791"/>
      <c r="Q2791"/>
      <c r="R2791"/>
      <c r="S2791"/>
      <c r="T2791"/>
      <c r="U2791"/>
      <c r="V2791"/>
      <c r="W2791" s="41"/>
      <c r="X2791" s="41"/>
      <c r="Y2791" s="41"/>
    </row>
    <row r="2792" s="27" customFormat="1" ht="23" hidden="1" customHeight="1" spans="1:25">
      <c r="A2792" s="133" t="str">
        <f>IF(B2792="","",COUNTA($B$5:B2792))</f>
        <v/>
      </c>
      <c r="B2792" s="148"/>
      <c r="C2792" s="22" t="s">
        <v>49</v>
      </c>
      <c r="D2792" s="149"/>
      <c r="E2792" s="150"/>
      <c r="F2792" s="151"/>
      <c r="G2792" s="151"/>
      <c r="H2792" s="142">
        <f>IFERROR(VLOOKUP($C2792,$C$5:$H$18,6,0)+SUMIF($C$19:$C2792,$C2792,$F$19:$F2792)-SUMIF($C$19:$C2792,$C2792,$G$19:$G2792),"")</f>
        <v>81211.819999998</v>
      </c>
      <c r="I2792" s="147"/>
      <c r="J2792" s="147"/>
      <c r="K2792" s="147" t="str">
        <f t="shared" si="43"/>
        <v/>
      </c>
      <c r="L2792" s="40"/>
      <c r="M2792"/>
      <c r="N2792"/>
      <c r="O2792"/>
      <c r="P2792"/>
      <c r="Q2792"/>
      <c r="R2792"/>
      <c r="S2792"/>
      <c r="T2792"/>
      <c r="U2792"/>
      <c r="V2792"/>
      <c r="W2792" s="41"/>
      <c r="X2792" s="41"/>
      <c r="Y2792" s="41"/>
    </row>
    <row r="2793" s="27" customFormat="1" ht="23" hidden="1" customHeight="1" spans="1:25">
      <c r="A2793" s="133" t="str">
        <f>IF(B2793="","",COUNTA($B$5:B2793))</f>
        <v/>
      </c>
      <c r="B2793" s="148"/>
      <c r="C2793" s="22" t="s">
        <v>49</v>
      </c>
      <c r="D2793" s="149"/>
      <c r="E2793" s="150"/>
      <c r="F2793" s="151"/>
      <c r="G2793" s="151"/>
      <c r="H2793" s="142">
        <f>IFERROR(VLOOKUP($C2793,$C$5:$H$18,6,0)+SUMIF($C$19:$C2793,$C2793,$F$19:$F2793)-SUMIF($C$19:$C2793,$C2793,$G$19:$G2793),"")</f>
        <v>81211.819999998</v>
      </c>
      <c r="I2793" s="147"/>
      <c r="J2793" s="147"/>
      <c r="K2793" s="147" t="str">
        <f t="shared" si="43"/>
        <v/>
      </c>
      <c r="L2793" s="40"/>
      <c r="M2793"/>
      <c r="N2793"/>
      <c r="O2793"/>
      <c r="P2793"/>
      <c r="Q2793"/>
      <c r="R2793"/>
      <c r="S2793"/>
      <c r="T2793"/>
      <c r="U2793"/>
      <c r="V2793"/>
      <c r="W2793" s="41"/>
      <c r="X2793" s="41"/>
      <c r="Y2793" s="41"/>
    </row>
    <row r="2794" s="27" customFormat="1" ht="23" hidden="1" customHeight="1" spans="1:25">
      <c r="A2794" s="133" t="str">
        <f>IF(B2794="","",COUNTA($B$5:B2794))</f>
        <v/>
      </c>
      <c r="B2794" s="148"/>
      <c r="C2794" s="22" t="s">
        <v>49</v>
      </c>
      <c r="D2794" s="149"/>
      <c r="E2794" s="150"/>
      <c r="F2794" s="151"/>
      <c r="G2794" s="151"/>
      <c r="H2794" s="142">
        <f>IFERROR(VLOOKUP($C2794,$C$5:$H$18,6,0)+SUMIF($C$19:$C2794,$C2794,$F$19:$F2794)-SUMIF($C$19:$C2794,$C2794,$G$19:$G2794),"")</f>
        <v>81211.819999998</v>
      </c>
      <c r="I2794" s="147"/>
      <c r="J2794" s="147"/>
      <c r="K2794" s="147" t="str">
        <f t="shared" si="43"/>
        <v/>
      </c>
      <c r="L2794" s="40"/>
      <c r="M2794"/>
      <c r="N2794"/>
      <c r="O2794"/>
      <c r="P2794"/>
      <c r="Q2794"/>
      <c r="R2794"/>
      <c r="S2794"/>
      <c r="T2794"/>
      <c r="U2794"/>
      <c r="V2794"/>
      <c r="W2794" s="41"/>
      <c r="X2794" s="41"/>
      <c r="Y2794" s="41"/>
    </row>
    <row r="2795" s="27" customFormat="1" ht="23" hidden="1" customHeight="1" spans="1:25">
      <c r="A2795" s="133" t="str">
        <f>IF(B2795="","",COUNTA($B$5:B2795))</f>
        <v/>
      </c>
      <c r="B2795" s="148"/>
      <c r="C2795" s="22" t="s">
        <v>49</v>
      </c>
      <c r="D2795" s="149"/>
      <c r="E2795" s="150"/>
      <c r="F2795" s="151"/>
      <c r="G2795" s="151"/>
      <c r="H2795" s="142">
        <f>IFERROR(VLOOKUP($C2795,$C$5:$H$18,6,0)+SUMIF($C$19:$C2795,$C2795,$F$19:$F2795)-SUMIF($C$19:$C2795,$C2795,$G$19:$G2795),"")</f>
        <v>81211.819999998</v>
      </c>
      <c r="I2795" s="147"/>
      <c r="J2795" s="147"/>
      <c r="K2795" s="147" t="str">
        <f t="shared" si="43"/>
        <v/>
      </c>
      <c r="L2795" s="40"/>
      <c r="M2795"/>
      <c r="N2795"/>
      <c r="O2795"/>
      <c r="P2795"/>
      <c r="Q2795"/>
      <c r="R2795"/>
      <c r="S2795"/>
      <c r="T2795"/>
      <c r="U2795"/>
      <c r="V2795"/>
      <c r="W2795" s="41"/>
      <c r="X2795" s="41"/>
      <c r="Y2795" s="41"/>
    </row>
    <row r="2796" s="27" customFormat="1" ht="23" hidden="1" customHeight="1" spans="1:25">
      <c r="A2796" s="133" t="str">
        <f>IF(B2796="","",COUNTA($B$5:B2796))</f>
        <v/>
      </c>
      <c r="B2796" s="148"/>
      <c r="C2796" s="22" t="s">
        <v>49</v>
      </c>
      <c r="D2796" s="149"/>
      <c r="E2796" s="150"/>
      <c r="F2796" s="151"/>
      <c r="G2796" s="151"/>
      <c r="H2796" s="142">
        <f>IFERROR(VLOOKUP($C2796,$C$5:$H$18,6,0)+SUMIF($C$19:$C2796,$C2796,$F$19:$F2796)-SUMIF($C$19:$C2796,$C2796,$G$19:$G2796),"")</f>
        <v>81211.819999998</v>
      </c>
      <c r="I2796" s="147"/>
      <c r="J2796" s="147"/>
      <c r="K2796" s="147" t="str">
        <f t="shared" si="43"/>
        <v/>
      </c>
      <c r="L2796" s="40"/>
      <c r="M2796"/>
      <c r="N2796"/>
      <c r="O2796"/>
      <c r="P2796"/>
      <c r="Q2796"/>
      <c r="R2796"/>
      <c r="S2796"/>
      <c r="T2796"/>
      <c r="U2796"/>
      <c r="V2796"/>
      <c r="W2796" s="41"/>
      <c r="X2796" s="41"/>
      <c r="Y2796" s="41"/>
    </row>
    <row r="2797" s="27" customFormat="1" ht="23" hidden="1" customHeight="1" spans="1:25">
      <c r="A2797" s="133" t="str">
        <f>IF(B2797="","",COUNTA($B$5:B2797))</f>
        <v/>
      </c>
      <c r="B2797" s="148"/>
      <c r="C2797" s="22" t="s">
        <v>49</v>
      </c>
      <c r="D2797" s="149"/>
      <c r="E2797" s="150"/>
      <c r="F2797" s="151"/>
      <c r="G2797" s="151"/>
      <c r="H2797" s="142">
        <f>IFERROR(VLOOKUP($C2797,$C$5:$H$18,6,0)+SUMIF($C$19:$C2797,$C2797,$F$19:$F2797)-SUMIF($C$19:$C2797,$C2797,$G$19:$G2797),"")</f>
        <v>81211.819999998</v>
      </c>
      <c r="I2797" s="147"/>
      <c r="J2797" s="147"/>
      <c r="K2797" s="147" t="str">
        <f t="shared" si="43"/>
        <v/>
      </c>
      <c r="L2797" s="40"/>
      <c r="M2797"/>
      <c r="N2797"/>
      <c r="O2797"/>
      <c r="P2797"/>
      <c r="Q2797"/>
      <c r="R2797"/>
      <c r="S2797"/>
      <c r="T2797"/>
      <c r="U2797"/>
      <c r="V2797"/>
      <c r="W2797" s="41"/>
      <c r="X2797" s="41"/>
      <c r="Y2797" s="41"/>
    </row>
    <row r="2798" s="27" customFormat="1" ht="23" hidden="1" customHeight="1" spans="1:25">
      <c r="A2798" s="133" t="str">
        <f>IF(B2798="","",COUNTA($B$5:B2798))</f>
        <v/>
      </c>
      <c r="B2798" s="148"/>
      <c r="C2798" s="22" t="s">
        <v>49</v>
      </c>
      <c r="D2798" s="149"/>
      <c r="E2798" s="150"/>
      <c r="F2798" s="151"/>
      <c r="G2798" s="151"/>
      <c r="H2798" s="142">
        <f>IFERROR(VLOOKUP($C2798,$C$5:$H$18,6,0)+SUMIF($C$19:$C2798,$C2798,$F$19:$F2798)-SUMIF($C$19:$C2798,$C2798,$G$19:$G2798),"")</f>
        <v>81211.819999998</v>
      </c>
      <c r="I2798" s="147"/>
      <c r="J2798" s="147"/>
      <c r="K2798" s="147" t="str">
        <f t="shared" si="43"/>
        <v/>
      </c>
      <c r="L2798" s="40"/>
      <c r="M2798"/>
      <c r="N2798"/>
      <c r="O2798"/>
      <c r="P2798"/>
      <c r="Q2798"/>
      <c r="R2798"/>
      <c r="S2798"/>
      <c r="T2798"/>
      <c r="U2798"/>
      <c r="V2798"/>
      <c r="W2798" s="41"/>
      <c r="X2798" s="41"/>
      <c r="Y2798" s="41"/>
    </row>
    <row r="2799" s="27" customFormat="1" ht="23" hidden="1" customHeight="1" spans="1:25">
      <c r="A2799" s="133" t="str">
        <f>IF(B2799="","",COUNTA($B$5:B2799))</f>
        <v/>
      </c>
      <c r="B2799" s="148"/>
      <c r="C2799" s="22" t="s">
        <v>49</v>
      </c>
      <c r="D2799" s="149"/>
      <c r="E2799" s="150"/>
      <c r="F2799" s="151"/>
      <c r="G2799" s="151"/>
      <c r="H2799" s="142">
        <f>IFERROR(VLOOKUP($C2799,$C$5:$H$18,6,0)+SUMIF($C$19:$C2799,$C2799,$F$19:$F2799)-SUMIF($C$19:$C2799,$C2799,$G$19:$G2799),"")</f>
        <v>81211.819999998</v>
      </c>
      <c r="I2799" s="147"/>
      <c r="J2799" s="147"/>
      <c r="K2799" s="147" t="str">
        <f t="shared" si="43"/>
        <v/>
      </c>
      <c r="L2799" s="40"/>
      <c r="M2799"/>
      <c r="N2799"/>
      <c r="O2799"/>
      <c r="P2799"/>
      <c r="Q2799"/>
      <c r="R2799"/>
      <c r="S2799"/>
      <c r="T2799"/>
      <c r="U2799"/>
      <c r="V2799"/>
      <c r="W2799" s="41"/>
      <c r="X2799" s="41"/>
      <c r="Y2799" s="41"/>
    </row>
    <row r="2800" s="27" customFormat="1" ht="23" hidden="1" customHeight="1" spans="1:25">
      <c r="A2800" s="133" t="str">
        <f>IF(B2800="","",COUNTA($B$5:B2800))</f>
        <v/>
      </c>
      <c r="B2800" s="148"/>
      <c r="C2800" s="22" t="s">
        <v>49</v>
      </c>
      <c r="D2800" s="149"/>
      <c r="E2800" s="150"/>
      <c r="F2800" s="151"/>
      <c r="G2800" s="151"/>
      <c r="H2800" s="142">
        <f>IFERROR(VLOOKUP($C2800,$C$5:$H$18,6,0)+SUMIF($C$19:$C2800,$C2800,$F$19:$F2800)-SUMIF($C$19:$C2800,$C2800,$G$19:$G2800),"")</f>
        <v>81211.819999998</v>
      </c>
      <c r="I2800" s="147"/>
      <c r="J2800" s="147"/>
      <c r="K2800" s="147" t="str">
        <f t="shared" si="43"/>
        <v/>
      </c>
      <c r="L2800" s="40"/>
      <c r="M2800"/>
      <c r="N2800"/>
      <c r="O2800"/>
      <c r="P2800"/>
      <c r="Q2800"/>
      <c r="R2800"/>
      <c r="S2800"/>
      <c r="T2800"/>
      <c r="U2800"/>
      <c r="V2800"/>
      <c r="W2800" s="41"/>
      <c r="X2800" s="41"/>
      <c r="Y2800" s="41"/>
    </row>
    <row r="2801" s="27" customFormat="1" ht="23" hidden="1" customHeight="1" spans="1:25">
      <c r="A2801" s="133" t="str">
        <f>IF(B2801="","",COUNTA($B$5:B2801))</f>
        <v/>
      </c>
      <c r="B2801" s="148"/>
      <c r="C2801" s="22" t="s">
        <v>49</v>
      </c>
      <c r="D2801" s="149"/>
      <c r="E2801" s="150"/>
      <c r="F2801" s="151"/>
      <c r="G2801" s="151"/>
      <c r="H2801" s="142">
        <f>IFERROR(VLOOKUP($C2801,$C$5:$H$18,6,0)+SUMIF($C$19:$C2801,$C2801,$F$19:$F2801)-SUMIF($C$19:$C2801,$C2801,$G$19:$G2801),"")</f>
        <v>81211.819999998</v>
      </c>
      <c r="I2801" s="147"/>
      <c r="J2801" s="147"/>
      <c r="K2801" s="147" t="str">
        <f t="shared" si="43"/>
        <v/>
      </c>
      <c r="L2801" s="40"/>
      <c r="M2801"/>
      <c r="N2801"/>
      <c r="O2801"/>
      <c r="P2801"/>
      <c r="Q2801"/>
      <c r="R2801"/>
      <c r="S2801"/>
      <c r="T2801"/>
      <c r="U2801"/>
      <c r="V2801"/>
      <c r="W2801" s="41"/>
      <c r="X2801" s="41"/>
      <c r="Y2801" s="41"/>
    </row>
    <row r="2802" s="27" customFormat="1" ht="23" hidden="1" customHeight="1" spans="1:25">
      <c r="A2802" s="133" t="str">
        <f>IF(B2802="","",COUNTA($B$5:B2802))</f>
        <v/>
      </c>
      <c r="B2802" s="148"/>
      <c r="C2802" s="22" t="s">
        <v>49</v>
      </c>
      <c r="D2802" s="149"/>
      <c r="E2802" s="150"/>
      <c r="F2802" s="151"/>
      <c r="G2802" s="151"/>
      <c r="H2802" s="142">
        <f>IFERROR(VLOOKUP($C2802,$C$5:$H$18,6,0)+SUMIF($C$19:$C2802,$C2802,$F$19:$F2802)-SUMIF($C$19:$C2802,$C2802,$G$19:$G2802),"")</f>
        <v>81211.819999998</v>
      </c>
      <c r="I2802" s="147"/>
      <c r="J2802" s="147"/>
      <c r="K2802" s="147" t="str">
        <f t="shared" si="43"/>
        <v/>
      </c>
      <c r="L2802" s="40"/>
      <c r="M2802"/>
      <c r="N2802"/>
      <c r="O2802"/>
      <c r="P2802"/>
      <c r="Q2802"/>
      <c r="R2802"/>
      <c r="S2802"/>
      <c r="T2802"/>
      <c r="U2802"/>
      <c r="V2802"/>
      <c r="W2802" s="41"/>
      <c r="X2802" s="41"/>
      <c r="Y2802" s="41"/>
    </row>
    <row r="2803" s="27" customFormat="1" ht="23" hidden="1" customHeight="1" spans="1:25">
      <c r="A2803" s="133" t="str">
        <f>IF(B2803="","",COUNTA($B$5:B2803))</f>
        <v/>
      </c>
      <c r="B2803" s="148"/>
      <c r="C2803" s="22" t="s">
        <v>49</v>
      </c>
      <c r="D2803" s="149"/>
      <c r="E2803" s="150"/>
      <c r="F2803" s="151"/>
      <c r="G2803" s="151"/>
      <c r="H2803" s="142">
        <f>IFERROR(VLOOKUP($C2803,$C$5:$H$18,6,0)+SUMIF($C$19:$C2803,$C2803,$F$19:$F2803)-SUMIF($C$19:$C2803,$C2803,$G$19:$G2803),"")</f>
        <v>81211.819999998</v>
      </c>
      <c r="I2803" s="147"/>
      <c r="J2803" s="147"/>
      <c r="K2803" s="147" t="str">
        <f t="shared" si="43"/>
        <v/>
      </c>
      <c r="L2803" s="40"/>
      <c r="M2803"/>
      <c r="N2803"/>
      <c r="O2803"/>
      <c r="P2803"/>
      <c r="Q2803"/>
      <c r="R2803"/>
      <c r="S2803"/>
      <c r="T2803"/>
      <c r="U2803"/>
      <c r="V2803"/>
      <c r="W2803" s="41"/>
      <c r="X2803" s="41"/>
      <c r="Y2803" s="41"/>
    </row>
    <row r="2804" s="27" customFormat="1" ht="23" hidden="1" customHeight="1" spans="1:25">
      <c r="A2804" s="133" t="str">
        <f>IF(B2804="","",COUNTA($B$5:B2804))</f>
        <v/>
      </c>
      <c r="B2804" s="148"/>
      <c r="C2804" s="22" t="s">
        <v>49</v>
      </c>
      <c r="D2804" s="149"/>
      <c r="E2804" s="150"/>
      <c r="F2804" s="151"/>
      <c r="G2804" s="151"/>
      <c r="H2804" s="142">
        <f>IFERROR(VLOOKUP($C2804,$C$5:$H$18,6,0)+SUMIF($C$19:$C2804,$C2804,$F$19:$F2804)-SUMIF($C$19:$C2804,$C2804,$G$19:$G2804),"")</f>
        <v>81211.819999998</v>
      </c>
      <c r="I2804" s="147"/>
      <c r="J2804" s="147"/>
      <c r="K2804" s="147" t="str">
        <f t="shared" si="43"/>
        <v/>
      </c>
      <c r="L2804" s="40"/>
      <c r="M2804"/>
      <c r="N2804"/>
      <c r="O2804"/>
      <c r="P2804"/>
      <c r="Q2804"/>
      <c r="R2804"/>
      <c r="S2804"/>
      <c r="T2804"/>
      <c r="U2804"/>
      <c r="V2804"/>
      <c r="W2804" s="41"/>
      <c r="X2804" s="41"/>
      <c r="Y2804" s="41"/>
    </row>
    <row r="2805" s="27" customFormat="1" ht="23" hidden="1" customHeight="1" spans="1:25">
      <c r="A2805" s="133" t="str">
        <f>IF(B2805="","",COUNTA($B$5:B2805))</f>
        <v/>
      </c>
      <c r="B2805" s="148"/>
      <c r="C2805" s="22" t="s">
        <v>49</v>
      </c>
      <c r="D2805" s="149"/>
      <c r="E2805" s="150"/>
      <c r="F2805" s="151"/>
      <c r="G2805" s="151"/>
      <c r="H2805" s="142">
        <f>IFERROR(VLOOKUP($C2805,$C$5:$H$18,6,0)+SUMIF($C$19:$C2805,$C2805,$F$19:$F2805)-SUMIF($C$19:$C2805,$C2805,$G$19:$G2805),"")</f>
        <v>81211.819999998</v>
      </c>
      <c r="I2805" s="147"/>
      <c r="J2805" s="147"/>
      <c r="K2805" s="147" t="str">
        <f t="shared" si="43"/>
        <v/>
      </c>
      <c r="L2805" s="40"/>
      <c r="M2805"/>
      <c r="N2805"/>
      <c r="O2805"/>
      <c r="P2805"/>
      <c r="Q2805"/>
      <c r="R2805"/>
      <c r="S2805"/>
      <c r="T2805"/>
      <c r="U2805"/>
      <c r="V2805"/>
      <c r="W2805" s="41"/>
      <c r="X2805" s="41"/>
      <c r="Y2805" s="41"/>
    </row>
    <row r="2806" s="27" customFormat="1" ht="23" hidden="1" customHeight="1" spans="1:25">
      <c r="A2806" s="133" t="str">
        <f>IF(B2806="","",COUNTA($B$5:B2806))</f>
        <v/>
      </c>
      <c r="B2806" s="148"/>
      <c r="C2806" s="22" t="s">
        <v>49</v>
      </c>
      <c r="D2806" s="149"/>
      <c r="E2806" s="150"/>
      <c r="F2806" s="151"/>
      <c r="G2806" s="151"/>
      <c r="H2806" s="142">
        <f>IFERROR(VLOOKUP($C2806,$C$5:$H$18,6,0)+SUMIF($C$19:$C2806,$C2806,$F$19:$F2806)-SUMIF($C$19:$C2806,$C2806,$G$19:$G2806),"")</f>
        <v>81211.819999998</v>
      </c>
      <c r="I2806" s="147"/>
      <c r="J2806" s="147"/>
      <c r="K2806" s="147" t="str">
        <f t="shared" si="43"/>
        <v/>
      </c>
      <c r="L2806" s="40"/>
      <c r="M2806"/>
      <c r="N2806"/>
      <c r="O2806"/>
      <c r="P2806"/>
      <c r="Q2806"/>
      <c r="R2806"/>
      <c r="S2806"/>
      <c r="T2806"/>
      <c r="U2806"/>
      <c r="V2806"/>
      <c r="W2806" s="41"/>
      <c r="X2806" s="41"/>
      <c r="Y2806" s="41"/>
    </row>
    <row r="2807" s="27" customFormat="1" ht="23" hidden="1" customHeight="1" spans="1:25">
      <c r="A2807" s="133" t="str">
        <f>IF(B2807="","",COUNTA($B$5:B2807))</f>
        <v/>
      </c>
      <c r="B2807" s="148"/>
      <c r="C2807" s="22" t="s">
        <v>49</v>
      </c>
      <c r="D2807" s="149"/>
      <c r="E2807" s="150"/>
      <c r="F2807" s="151"/>
      <c r="G2807" s="151"/>
      <c r="H2807" s="142">
        <f>IFERROR(VLOOKUP($C2807,$C$5:$H$18,6,0)+SUMIF($C$19:$C2807,$C2807,$F$19:$F2807)-SUMIF($C$19:$C2807,$C2807,$G$19:$G2807),"")</f>
        <v>81211.819999998</v>
      </c>
      <c r="I2807" s="147"/>
      <c r="J2807" s="147"/>
      <c r="K2807" s="147" t="str">
        <f t="shared" si="43"/>
        <v/>
      </c>
      <c r="L2807" s="40"/>
      <c r="M2807"/>
      <c r="N2807"/>
      <c r="O2807"/>
      <c r="P2807"/>
      <c r="Q2807"/>
      <c r="R2807"/>
      <c r="S2807"/>
      <c r="T2807"/>
      <c r="U2807"/>
      <c r="V2807"/>
      <c r="W2807" s="41"/>
      <c r="X2807" s="41"/>
      <c r="Y2807" s="41"/>
    </row>
    <row r="2808" s="27" customFormat="1" ht="23" hidden="1" customHeight="1" spans="1:25">
      <c r="A2808" s="133" t="str">
        <f>IF(B2808="","",COUNTA($B$5:B2808))</f>
        <v/>
      </c>
      <c r="B2808" s="148"/>
      <c r="C2808" s="22" t="s">
        <v>49</v>
      </c>
      <c r="D2808" s="149"/>
      <c r="E2808" s="150"/>
      <c r="F2808" s="151"/>
      <c r="G2808" s="151"/>
      <c r="H2808" s="142">
        <f>IFERROR(VLOOKUP($C2808,$C$5:$H$18,6,0)+SUMIF($C$19:$C2808,$C2808,$F$19:$F2808)-SUMIF($C$19:$C2808,$C2808,$G$19:$G2808),"")</f>
        <v>81211.819999998</v>
      </c>
      <c r="I2808" s="147"/>
      <c r="J2808" s="147"/>
      <c r="K2808" s="147" t="str">
        <f t="shared" si="43"/>
        <v/>
      </c>
      <c r="L2808" s="40"/>
      <c r="M2808"/>
      <c r="N2808"/>
      <c r="O2808"/>
      <c r="P2808"/>
      <c r="Q2808"/>
      <c r="R2808"/>
      <c r="S2808"/>
      <c r="T2808"/>
      <c r="U2808"/>
      <c r="V2808"/>
      <c r="W2808" s="41"/>
      <c r="X2808" s="41"/>
      <c r="Y2808" s="41"/>
    </row>
    <row r="2809" s="27" customFormat="1" ht="23" hidden="1" customHeight="1" spans="1:25">
      <c r="A2809" s="133" t="str">
        <f>IF(B2809="","",COUNTA($B$5:B2809))</f>
        <v/>
      </c>
      <c r="B2809" s="148"/>
      <c r="C2809" s="22" t="s">
        <v>49</v>
      </c>
      <c r="D2809" s="149"/>
      <c r="E2809" s="150"/>
      <c r="F2809" s="151"/>
      <c r="G2809" s="151"/>
      <c r="H2809" s="142">
        <f>IFERROR(VLOOKUP($C2809,$C$5:$H$18,6,0)+SUMIF($C$19:$C2809,$C2809,$F$19:$F2809)-SUMIF($C$19:$C2809,$C2809,$G$19:$G2809),"")</f>
        <v>81211.819999998</v>
      </c>
      <c r="I2809" s="147"/>
      <c r="J2809" s="147"/>
      <c r="K2809" s="147" t="str">
        <f t="shared" si="43"/>
        <v/>
      </c>
      <c r="L2809" s="40"/>
      <c r="M2809"/>
      <c r="N2809"/>
      <c r="O2809"/>
      <c r="P2809"/>
      <c r="Q2809"/>
      <c r="R2809"/>
      <c r="S2809"/>
      <c r="T2809"/>
      <c r="U2809"/>
      <c r="V2809"/>
      <c r="W2809" s="41"/>
      <c r="X2809" s="41"/>
      <c r="Y2809" s="41"/>
    </row>
    <row r="2810" s="27" customFormat="1" ht="23" hidden="1" customHeight="1" spans="1:25">
      <c r="A2810" s="133" t="str">
        <f>IF(B2810="","",COUNTA($B$5:B2810))</f>
        <v/>
      </c>
      <c r="B2810" s="148"/>
      <c r="C2810" s="22" t="s">
        <v>49</v>
      </c>
      <c r="D2810" s="149"/>
      <c r="E2810" s="150"/>
      <c r="F2810" s="151"/>
      <c r="G2810" s="151"/>
      <c r="H2810" s="142">
        <f>IFERROR(VLOOKUP($C2810,$C$5:$H$18,6,0)+SUMIF($C$19:$C2810,$C2810,$F$19:$F2810)-SUMIF($C$19:$C2810,$C2810,$G$19:$G2810),"")</f>
        <v>81211.819999998</v>
      </c>
      <c r="I2810" s="147"/>
      <c r="J2810" s="147"/>
      <c r="K2810" s="147" t="str">
        <f t="shared" si="43"/>
        <v/>
      </c>
      <c r="L2810" s="40"/>
      <c r="M2810"/>
      <c r="N2810"/>
      <c r="O2810"/>
      <c r="P2810"/>
      <c r="Q2810"/>
      <c r="R2810"/>
      <c r="S2810"/>
      <c r="T2810"/>
      <c r="U2810"/>
      <c r="V2810"/>
      <c r="W2810" s="41"/>
      <c r="X2810" s="41"/>
      <c r="Y2810" s="41"/>
    </row>
    <row r="2811" s="27" customFormat="1" ht="23" hidden="1" customHeight="1" spans="1:25">
      <c r="A2811" s="133" t="str">
        <f>IF(B2811="","",COUNTA($B$5:B2811))</f>
        <v/>
      </c>
      <c r="B2811" s="148"/>
      <c r="C2811" s="22" t="s">
        <v>49</v>
      </c>
      <c r="D2811" s="149"/>
      <c r="E2811" s="150"/>
      <c r="F2811" s="151"/>
      <c r="G2811" s="151"/>
      <c r="H2811" s="142">
        <f>IFERROR(VLOOKUP($C2811,$C$5:$H$18,6,0)+SUMIF($C$19:$C2811,$C2811,$F$19:$F2811)-SUMIF($C$19:$C2811,$C2811,$G$19:$G2811),"")</f>
        <v>81211.819999998</v>
      </c>
      <c r="I2811" s="147"/>
      <c r="J2811" s="147"/>
      <c r="K2811" s="147" t="str">
        <f t="shared" si="43"/>
        <v/>
      </c>
      <c r="L2811" s="40"/>
      <c r="M2811"/>
      <c r="N2811"/>
      <c r="O2811"/>
      <c r="P2811"/>
      <c r="Q2811"/>
      <c r="R2811"/>
      <c r="S2811"/>
      <c r="T2811"/>
      <c r="U2811"/>
      <c r="V2811"/>
      <c r="W2811" s="41"/>
      <c r="X2811" s="41"/>
      <c r="Y2811" s="41"/>
    </row>
    <row r="2812" s="27" customFormat="1" ht="23" hidden="1" customHeight="1" spans="1:25">
      <c r="A2812" s="133" t="str">
        <f>IF(B2812="","",COUNTA($B$5:B2812))</f>
        <v/>
      </c>
      <c r="B2812" s="148"/>
      <c r="C2812" s="22" t="s">
        <v>49</v>
      </c>
      <c r="D2812" s="149"/>
      <c r="E2812" s="150"/>
      <c r="F2812" s="151"/>
      <c r="G2812" s="151"/>
      <c r="H2812" s="142">
        <f>IFERROR(VLOOKUP($C2812,$C$5:$H$18,6,0)+SUMIF($C$19:$C2812,$C2812,$F$19:$F2812)-SUMIF($C$19:$C2812,$C2812,$G$19:$G2812),"")</f>
        <v>81211.819999998</v>
      </c>
      <c r="I2812" s="147"/>
      <c r="J2812" s="147"/>
      <c r="K2812" s="147" t="str">
        <f t="shared" si="43"/>
        <v/>
      </c>
      <c r="L2812" s="40"/>
      <c r="M2812"/>
      <c r="N2812"/>
      <c r="O2812"/>
      <c r="P2812"/>
      <c r="Q2812"/>
      <c r="R2812"/>
      <c r="S2812"/>
      <c r="T2812"/>
      <c r="U2812"/>
      <c r="V2812"/>
      <c r="W2812" s="41"/>
      <c r="X2812" s="41"/>
      <c r="Y2812" s="41"/>
    </row>
    <row r="2813" s="27" customFormat="1" ht="23" hidden="1" customHeight="1" spans="1:25">
      <c r="A2813" s="133" t="str">
        <f>IF(B2813="","",COUNTA($B$5:B2813))</f>
        <v/>
      </c>
      <c r="B2813" s="148"/>
      <c r="C2813" s="22" t="s">
        <v>49</v>
      </c>
      <c r="D2813" s="149"/>
      <c r="E2813" s="150"/>
      <c r="F2813" s="151"/>
      <c r="G2813" s="151"/>
      <c r="H2813" s="142">
        <f>IFERROR(VLOOKUP($C2813,$C$5:$H$18,6,0)+SUMIF($C$19:$C2813,$C2813,$F$19:$F2813)-SUMIF($C$19:$C2813,$C2813,$G$19:$G2813),"")</f>
        <v>81211.819999998</v>
      </c>
      <c r="I2813" s="147"/>
      <c r="J2813" s="147"/>
      <c r="K2813" s="147" t="str">
        <f t="shared" si="43"/>
        <v/>
      </c>
      <c r="L2813" s="40"/>
      <c r="M2813"/>
      <c r="N2813"/>
      <c r="O2813"/>
      <c r="P2813"/>
      <c r="Q2813"/>
      <c r="R2813"/>
      <c r="S2813"/>
      <c r="T2813"/>
      <c r="U2813"/>
      <c r="V2813"/>
      <c r="W2813" s="41"/>
      <c r="X2813" s="41"/>
      <c r="Y2813" s="41"/>
    </row>
    <row r="2814" s="27" customFormat="1" ht="23" hidden="1" customHeight="1" spans="1:25">
      <c r="A2814" s="133" t="str">
        <f>IF(B2814="","",COUNTA($B$5:B2814))</f>
        <v/>
      </c>
      <c r="B2814" s="148"/>
      <c r="C2814" s="22" t="s">
        <v>49</v>
      </c>
      <c r="D2814" s="149"/>
      <c r="E2814" s="150"/>
      <c r="F2814" s="151"/>
      <c r="G2814" s="151"/>
      <c r="H2814" s="142">
        <f>IFERROR(VLOOKUP($C2814,$C$5:$H$18,6,0)+SUMIF($C$19:$C2814,$C2814,$F$19:$F2814)-SUMIF($C$19:$C2814,$C2814,$G$19:$G2814),"")</f>
        <v>81211.819999998</v>
      </c>
      <c r="I2814" s="147"/>
      <c r="J2814" s="147"/>
      <c r="K2814" s="147" t="str">
        <f t="shared" si="43"/>
        <v/>
      </c>
      <c r="L2814" s="40"/>
      <c r="M2814"/>
      <c r="N2814"/>
      <c r="O2814"/>
      <c r="P2814"/>
      <c r="Q2814"/>
      <c r="R2814"/>
      <c r="S2814"/>
      <c r="T2814"/>
      <c r="U2814"/>
      <c r="V2814"/>
      <c r="W2814" s="41"/>
      <c r="X2814" s="41"/>
      <c r="Y2814" s="41"/>
    </row>
    <row r="2815" s="27" customFormat="1" ht="23" hidden="1" customHeight="1" spans="1:25">
      <c r="A2815" s="133" t="str">
        <f>IF(B2815="","",COUNTA($B$5:B2815))</f>
        <v/>
      </c>
      <c r="B2815" s="148"/>
      <c r="C2815" s="22" t="s">
        <v>49</v>
      </c>
      <c r="D2815" s="149"/>
      <c r="E2815" s="150"/>
      <c r="F2815" s="151"/>
      <c r="G2815" s="151"/>
      <c r="H2815" s="142">
        <f>IFERROR(VLOOKUP($C2815,$C$5:$H$18,6,0)+SUMIF($C$19:$C2815,$C2815,$F$19:$F2815)-SUMIF($C$19:$C2815,$C2815,$G$19:$G2815),"")</f>
        <v>81211.819999998</v>
      </c>
      <c r="I2815" s="147"/>
      <c r="J2815" s="147"/>
      <c r="K2815" s="147" t="str">
        <f t="shared" si="43"/>
        <v/>
      </c>
      <c r="L2815" s="40"/>
      <c r="M2815"/>
      <c r="N2815"/>
      <c r="O2815"/>
      <c r="P2815"/>
      <c r="Q2815"/>
      <c r="R2815"/>
      <c r="S2815"/>
      <c r="T2815"/>
      <c r="U2815"/>
      <c r="V2815"/>
      <c r="W2815" s="41"/>
      <c r="X2815" s="41"/>
      <c r="Y2815" s="41"/>
    </row>
    <row r="2816" s="27" customFormat="1" ht="23" hidden="1" customHeight="1" spans="1:25">
      <c r="A2816" s="133" t="str">
        <f>IF(B2816="","",COUNTA($B$5:B2816))</f>
        <v/>
      </c>
      <c r="B2816" s="148"/>
      <c r="C2816" s="22" t="s">
        <v>49</v>
      </c>
      <c r="D2816" s="149"/>
      <c r="E2816" s="150"/>
      <c r="F2816" s="151"/>
      <c r="G2816" s="151"/>
      <c r="H2816" s="142">
        <f>IFERROR(VLOOKUP($C2816,$C$5:$H$18,6,0)+SUMIF($C$19:$C2816,$C2816,$F$19:$F2816)-SUMIF($C$19:$C2816,$C2816,$G$19:$G2816),"")</f>
        <v>81211.819999998</v>
      </c>
      <c r="I2816" s="147"/>
      <c r="J2816" s="147"/>
      <c r="K2816" s="147" t="str">
        <f t="shared" si="43"/>
        <v/>
      </c>
      <c r="L2816" s="40"/>
      <c r="M2816"/>
      <c r="N2816"/>
      <c r="O2816"/>
      <c r="P2816"/>
      <c r="Q2816"/>
      <c r="R2816"/>
      <c r="S2816"/>
      <c r="T2816"/>
      <c r="U2816"/>
      <c r="V2816"/>
      <c r="W2816" s="41"/>
      <c r="X2816" s="41"/>
      <c r="Y2816" s="41"/>
    </row>
    <row r="2817" s="27" customFormat="1" ht="23" hidden="1" customHeight="1" spans="1:25">
      <c r="A2817" s="133" t="str">
        <f>IF(B2817="","",COUNTA($B$5:B2817))</f>
        <v/>
      </c>
      <c r="B2817" s="148"/>
      <c r="C2817" s="22" t="s">
        <v>49</v>
      </c>
      <c r="D2817" s="149"/>
      <c r="E2817" s="150"/>
      <c r="F2817" s="151"/>
      <c r="G2817" s="151"/>
      <c r="H2817" s="142">
        <f>IFERROR(VLOOKUP($C2817,$C$5:$H$18,6,0)+SUMIF($C$19:$C2817,$C2817,$F$19:$F2817)-SUMIF($C$19:$C2817,$C2817,$G$19:$G2817),"")</f>
        <v>81211.819999998</v>
      </c>
      <c r="I2817" s="147"/>
      <c r="J2817" s="147"/>
      <c r="K2817" s="147" t="str">
        <f t="shared" si="43"/>
        <v/>
      </c>
      <c r="L2817" s="40"/>
      <c r="M2817"/>
      <c r="N2817"/>
      <c r="O2817"/>
      <c r="P2817"/>
      <c r="Q2817"/>
      <c r="R2817"/>
      <c r="S2817"/>
      <c r="T2817"/>
      <c r="U2817"/>
      <c r="V2817"/>
      <c r="W2817" s="41"/>
      <c r="X2817" s="41"/>
      <c r="Y2817" s="41"/>
    </row>
    <row r="2818" s="27" customFormat="1" ht="23" hidden="1" customHeight="1" spans="1:25">
      <c r="A2818" s="133" t="str">
        <f>IF(B2818="","",COUNTA($B$5:B2818))</f>
        <v/>
      </c>
      <c r="B2818" s="148"/>
      <c r="C2818" s="22" t="s">
        <v>49</v>
      </c>
      <c r="D2818" s="149"/>
      <c r="E2818" s="150"/>
      <c r="F2818" s="151"/>
      <c r="G2818" s="151"/>
      <c r="H2818" s="142">
        <f>IFERROR(VLOOKUP($C2818,$C$5:$H$18,6,0)+SUMIF($C$19:$C2818,$C2818,$F$19:$F2818)-SUMIF($C$19:$C2818,$C2818,$G$19:$G2818),"")</f>
        <v>81211.819999998</v>
      </c>
      <c r="I2818" s="147"/>
      <c r="J2818" s="147"/>
      <c r="K2818" s="147" t="str">
        <f t="shared" si="43"/>
        <v/>
      </c>
      <c r="L2818" s="40"/>
      <c r="M2818"/>
      <c r="N2818"/>
      <c r="O2818"/>
      <c r="P2818"/>
      <c r="Q2818"/>
      <c r="R2818"/>
      <c r="S2818"/>
      <c r="T2818"/>
      <c r="U2818"/>
      <c r="V2818"/>
      <c r="W2818" s="41"/>
      <c r="X2818" s="41"/>
      <c r="Y2818" s="41"/>
    </row>
    <row r="2819" s="27" customFormat="1" ht="23" hidden="1" customHeight="1" spans="1:25">
      <c r="A2819" s="133" t="str">
        <f>IF(B2819="","",COUNTA($B$5:B2819))</f>
        <v/>
      </c>
      <c r="B2819" s="148"/>
      <c r="C2819" s="22" t="s">
        <v>49</v>
      </c>
      <c r="D2819" s="149"/>
      <c r="E2819" s="150"/>
      <c r="F2819" s="151"/>
      <c r="G2819" s="151"/>
      <c r="H2819" s="142">
        <f>IFERROR(VLOOKUP($C2819,$C$5:$H$18,6,0)+SUMIF($C$19:$C2819,$C2819,$F$19:$F2819)-SUMIF($C$19:$C2819,$C2819,$G$19:$G2819),"")</f>
        <v>81211.819999998</v>
      </c>
      <c r="I2819" s="147"/>
      <c r="J2819" s="147"/>
      <c r="K2819" s="147" t="str">
        <f t="shared" si="43"/>
        <v/>
      </c>
      <c r="L2819" s="40"/>
      <c r="M2819"/>
      <c r="N2819"/>
      <c r="O2819"/>
      <c r="P2819"/>
      <c r="Q2819"/>
      <c r="R2819"/>
      <c r="S2819"/>
      <c r="T2819"/>
      <c r="U2819"/>
      <c r="V2819"/>
      <c r="W2819" s="41"/>
      <c r="X2819" s="41"/>
      <c r="Y2819" s="41"/>
    </row>
    <row r="2820" s="27" customFormat="1" ht="23" hidden="1" customHeight="1" spans="1:25">
      <c r="A2820" s="133" t="str">
        <f>IF(B2820="","",COUNTA($B$5:B2820))</f>
        <v/>
      </c>
      <c r="B2820" s="148"/>
      <c r="C2820" s="22" t="s">
        <v>49</v>
      </c>
      <c r="D2820" s="149"/>
      <c r="E2820" s="150"/>
      <c r="F2820" s="151"/>
      <c r="G2820" s="151"/>
      <c r="H2820" s="142">
        <f>IFERROR(VLOOKUP($C2820,$C$5:$H$18,6,0)+SUMIF($C$19:$C2820,$C2820,$F$19:$F2820)-SUMIF($C$19:$C2820,$C2820,$G$19:$G2820),"")</f>
        <v>81211.819999998</v>
      </c>
      <c r="I2820" s="147"/>
      <c r="J2820" s="147"/>
      <c r="K2820" s="147" t="str">
        <f t="shared" si="43"/>
        <v/>
      </c>
      <c r="L2820" s="40"/>
      <c r="M2820"/>
      <c r="N2820"/>
      <c r="O2820"/>
      <c r="P2820"/>
      <c r="Q2820"/>
      <c r="R2820"/>
      <c r="S2820"/>
      <c r="T2820"/>
      <c r="U2820"/>
      <c r="V2820"/>
      <c r="W2820" s="41"/>
      <c r="X2820" s="41"/>
      <c r="Y2820" s="41"/>
    </row>
    <row r="2821" s="27" customFormat="1" ht="23" hidden="1" customHeight="1" spans="1:25">
      <c r="A2821" s="133" t="str">
        <f>IF(B2821="","",COUNTA($B$5:B2821))</f>
        <v/>
      </c>
      <c r="B2821" s="148"/>
      <c r="C2821" s="22" t="s">
        <v>49</v>
      </c>
      <c r="D2821" s="149"/>
      <c r="E2821" s="150"/>
      <c r="F2821" s="151"/>
      <c r="G2821" s="151"/>
      <c r="H2821" s="142">
        <f>IFERROR(VLOOKUP($C2821,$C$5:$H$18,6,0)+SUMIF($C$19:$C2821,$C2821,$F$19:$F2821)-SUMIF($C$19:$C2821,$C2821,$G$19:$G2821),"")</f>
        <v>81211.819999998</v>
      </c>
      <c r="I2821" s="147"/>
      <c r="J2821" s="147"/>
      <c r="K2821" s="147" t="str">
        <f t="shared" ref="K2821:K2884" si="44">IF($B2821="","",--TEXT($B2821,"yyyymm"))</f>
        <v/>
      </c>
      <c r="L2821" s="40"/>
      <c r="M2821"/>
      <c r="N2821"/>
      <c r="O2821"/>
      <c r="P2821"/>
      <c r="Q2821"/>
      <c r="R2821"/>
      <c r="S2821"/>
      <c r="T2821"/>
      <c r="U2821"/>
      <c r="V2821"/>
      <c r="W2821" s="41"/>
      <c r="X2821" s="41"/>
      <c r="Y2821" s="41"/>
    </row>
    <row r="2822" s="27" customFormat="1" ht="23" hidden="1" customHeight="1" spans="1:25">
      <c r="A2822" s="133" t="str">
        <f>IF(B2822="","",COUNTA($B$5:B2822))</f>
        <v/>
      </c>
      <c r="B2822" s="148"/>
      <c r="C2822" s="22" t="s">
        <v>49</v>
      </c>
      <c r="D2822" s="149"/>
      <c r="E2822" s="150"/>
      <c r="F2822" s="151"/>
      <c r="G2822" s="151"/>
      <c r="H2822" s="142">
        <f>IFERROR(VLOOKUP($C2822,$C$5:$H$18,6,0)+SUMIF($C$19:$C2822,$C2822,$F$19:$F2822)-SUMIF($C$19:$C2822,$C2822,$G$19:$G2822),"")</f>
        <v>81211.819999998</v>
      </c>
      <c r="I2822" s="147"/>
      <c r="J2822" s="147"/>
      <c r="K2822" s="147" t="str">
        <f t="shared" si="44"/>
        <v/>
      </c>
      <c r="L2822" s="40"/>
      <c r="M2822"/>
      <c r="N2822"/>
      <c r="O2822"/>
      <c r="P2822"/>
      <c r="Q2822"/>
      <c r="R2822"/>
      <c r="S2822"/>
      <c r="T2822"/>
      <c r="U2822"/>
      <c r="V2822"/>
      <c r="W2822" s="41"/>
      <c r="X2822" s="41"/>
      <c r="Y2822" s="41"/>
    </row>
    <row r="2823" s="27" customFormat="1" ht="23" hidden="1" customHeight="1" spans="1:25">
      <c r="A2823" s="133" t="str">
        <f>IF(B2823="","",COUNTA($B$5:B2823))</f>
        <v/>
      </c>
      <c r="B2823" s="148"/>
      <c r="C2823" s="22" t="s">
        <v>49</v>
      </c>
      <c r="D2823" s="149"/>
      <c r="E2823" s="150"/>
      <c r="F2823" s="151"/>
      <c r="G2823" s="151"/>
      <c r="H2823" s="142">
        <f>IFERROR(VLOOKUP($C2823,$C$5:$H$18,6,0)+SUMIF($C$19:$C2823,$C2823,$F$19:$F2823)-SUMIF($C$19:$C2823,$C2823,$G$19:$G2823),"")</f>
        <v>81211.819999998</v>
      </c>
      <c r="I2823" s="147"/>
      <c r="J2823" s="147"/>
      <c r="K2823" s="147" t="str">
        <f t="shared" si="44"/>
        <v/>
      </c>
      <c r="L2823" s="40"/>
      <c r="M2823"/>
      <c r="N2823"/>
      <c r="O2823"/>
      <c r="P2823"/>
      <c r="Q2823"/>
      <c r="R2823"/>
      <c r="S2823"/>
      <c r="T2823"/>
      <c r="U2823"/>
      <c r="V2823"/>
      <c r="W2823" s="41"/>
      <c r="X2823" s="41"/>
      <c r="Y2823" s="41"/>
    </row>
    <row r="2824" s="27" customFormat="1" ht="23" hidden="1" customHeight="1" spans="1:25">
      <c r="A2824" s="133" t="str">
        <f>IF(B2824="","",COUNTA($B$5:B2824))</f>
        <v/>
      </c>
      <c r="B2824" s="148"/>
      <c r="C2824" s="22" t="s">
        <v>49</v>
      </c>
      <c r="D2824" s="149"/>
      <c r="E2824" s="150"/>
      <c r="F2824" s="151"/>
      <c r="G2824" s="151"/>
      <c r="H2824" s="142">
        <f>IFERROR(VLOOKUP($C2824,$C$5:$H$18,6,0)+SUMIF($C$19:$C2824,$C2824,$F$19:$F2824)-SUMIF($C$19:$C2824,$C2824,$G$19:$G2824),"")</f>
        <v>81211.819999998</v>
      </c>
      <c r="I2824" s="147"/>
      <c r="J2824" s="147"/>
      <c r="K2824" s="147" t="str">
        <f t="shared" si="44"/>
        <v/>
      </c>
      <c r="L2824" s="40"/>
      <c r="M2824"/>
      <c r="N2824"/>
      <c r="O2824"/>
      <c r="P2824"/>
      <c r="Q2824"/>
      <c r="R2824"/>
      <c r="S2824"/>
      <c r="T2824"/>
      <c r="U2824"/>
      <c r="V2824"/>
      <c r="W2824" s="41"/>
      <c r="X2824" s="41"/>
      <c r="Y2824" s="41"/>
    </row>
    <row r="2825" s="27" customFormat="1" ht="23" hidden="1" customHeight="1" spans="1:25">
      <c r="A2825" s="133" t="str">
        <f>IF(B2825="","",COUNTA($B$5:B2825))</f>
        <v/>
      </c>
      <c r="B2825" s="148"/>
      <c r="C2825" s="22" t="s">
        <v>49</v>
      </c>
      <c r="D2825" s="149"/>
      <c r="E2825" s="150"/>
      <c r="F2825" s="151"/>
      <c r="G2825" s="151"/>
      <c r="H2825" s="142">
        <f>IFERROR(VLOOKUP($C2825,$C$5:$H$18,6,0)+SUMIF($C$19:$C2825,$C2825,$F$19:$F2825)-SUMIF($C$19:$C2825,$C2825,$G$19:$G2825),"")</f>
        <v>81211.819999998</v>
      </c>
      <c r="I2825" s="147"/>
      <c r="J2825" s="147"/>
      <c r="K2825" s="147" t="str">
        <f t="shared" si="44"/>
        <v/>
      </c>
      <c r="L2825" s="40"/>
      <c r="M2825"/>
      <c r="N2825"/>
      <c r="O2825"/>
      <c r="P2825"/>
      <c r="Q2825"/>
      <c r="R2825"/>
      <c r="S2825"/>
      <c r="T2825"/>
      <c r="U2825"/>
      <c r="V2825"/>
      <c r="W2825" s="41"/>
      <c r="X2825" s="41"/>
      <c r="Y2825" s="41"/>
    </row>
    <row r="2826" s="27" customFormat="1" ht="23" hidden="1" customHeight="1" spans="1:25">
      <c r="A2826" s="133" t="str">
        <f>IF(B2826="","",COUNTA($B$5:B2826))</f>
        <v/>
      </c>
      <c r="B2826" s="148"/>
      <c r="C2826" s="22" t="s">
        <v>49</v>
      </c>
      <c r="D2826" s="149"/>
      <c r="E2826" s="150"/>
      <c r="F2826" s="151"/>
      <c r="G2826" s="151"/>
      <c r="H2826" s="142">
        <f>IFERROR(VLOOKUP($C2826,$C$5:$H$18,6,0)+SUMIF($C$19:$C2826,$C2826,$F$19:$F2826)-SUMIF($C$19:$C2826,$C2826,$G$19:$G2826),"")</f>
        <v>81211.819999998</v>
      </c>
      <c r="I2826" s="147"/>
      <c r="J2826" s="147"/>
      <c r="K2826" s="147" t="str">
        <f t="shared" si="44"/>
        <v/>
      </c>
      <c r="L2826" s="40"/>
      <c r="M2826"/>
      <c r="N2826"/>
      <c r="O2826"/>
      <c r="P2826"/>
      <c r="Q2826"/>
      <c r="R2826"/>
      <c r="S2826"/>
      <c r="T2826"/>
      <c r="U2826"/>
      <c r="V2826"/>
      <c r="W2826" s="41"/>
      <c r="X2826" s="41"/>
      <c r="Y2826" s="41"/>
    </row>
    <row r="2827" s="27" customFormat="1" ht="23" hidden="1" customHeight="1" spans="1:25">
      <c r="A2827" s="133" t="str">
        <f>IF(B2827="","",COUNTA($B$5:B2827))</f>
        <v/>
      </c>
      <c r="B2827" s="148"/>
      <c r="C2827" s="22" t="s">
        <v>49</v>
      </c>
      <c r="D2827" s="149"/>
      <c r="E2827" s="150"/>
      <c r="F2827" s="151"/>
      <c r="G2827" s="151"/>
      <c r="H2827" s="142">
        <f>IFERROR(VLOOKUP($C2827,$C$5:$H$18,6,0)+SUMIF($C$19:$C2827,$C2827,$F$19:$F2827)-SUMIF($C$19:$C2827,$C2827,$G$19:$G2827),"")</f>
        <v>81211.819999998</v>
      </c>
      <c r="I2827" s="147"/>
      <c r="J2827" s="147"/>
      <c r="K2827" s="147" t="str">
        <f t="shared" si="44"/>
        <v/>
      </c>
      <c r="L2827" s="40"/>
      <c r="M2827"/>
      <c r="N2827"/>
      <c r="O2827"/>
      <c r="P2827"/>
      <c r="Q2827"/>
      <c r="R2827"/>
      <c r="S2827"/>
      <c r="T2827"/>
      <c r="U2827"/>
      <c r="V2827"/>
      <c r="W2827" s="41"/>
      <c r="X2827" s="41"/>
      <c r="Y2827" s="41"/>
    </row>
    <row r="2828" s="27" customFormat="1" ht="23" hidden="1" customHeight="1" spans="1:25">
      <c r="A2828" s="133" t="str">
        <f>IF(B2828="","",COUNTA($B$5:B2828))</f>
        <v/>
      </c>
      <c r="B2828" s="148"/>
      <c r="C2828" s="22" t="s">
        <v>49</v>
      </c>
      <c r="D2828" s="149"/>
      <c r="E2828" s="150"/>
      <c r="F2828" s="151"/>
      <c r="G2828" s="151"/>
      <c r="H2828" s="142">
        <f>IFERROR(VLOOKUP($C2828,$C$5:$H$18,6,0)+SUMIF($C$19:$C2828,$C2828,$F$19:$F2828)-SUMIF($C$19:$C2828,$C2828,$G$19:$G2828),"")</f>
        <v>81211.819999998</v>
      </c>
      <c r="I2828" s="147"/>
      <c r="J2828" s="147"/>
      <c r="K2828" s="147" t="str">
        <f t="shared" si="44"/>
        <v/>
      </c>
      <c r="L2828" s="40"/>
      <c r="M2828"/>
      <c r="N2828"/>
      <c r="O2828"/>
      <c r="P2828"/>
      <c r="Q2828"/>
      <c r="R2828"/>
      <c r="S2828"/>
      <c r="T2828"/>
      <c r="U2828"/>
      <c r="V2828"/>
      <c r="W2828" s="41"/>
      <c r="X2828" s="41"/>
      <c r="Y2828" s="41"/>
    </row>
    <row r="2829" s="27" customFormat="1" ht="23" hidden="1" customHeight="1" spans="1:25">
      <c r="A2829" s="133" t="str">
        <f>IF(B2829="","",COUNTA($B$5:B2829))</f>
        <v/>
      </c>
      <c r="B2829" s="148"/>
      <c r="C2829" s="22" t="s">
        <v>49</v>
      </c>
      <c r="D2829" s="149"/>
      <c r="E2829" s="150"/>
      <c r="F2829" s="151"/>
      <c r="G2829" s="151"/>
      <c r="H2829" s="142">
        <f>IFERROR(VLOOKUP($C2829,$C$5:$H$18,6,0)+SUMIF($C$19:$C2829,$C2829,$F$19:$F2829)-SUMIF($C$19:$C2829,$C2829,$G$19:$G2829),"")</f>
        <v>81211.819999998</v>
      </c>
      <c r="I2829" s="147"/>
      <c r="J2829" s="147"/>
      <c r="K2829" s="147" t="str">
        <f t="shared" si="44"/>
        <v/>
      </c>
      <c r="L2829" s="40"/>
      <c r="M2829"/>
      <c r="N2829"/>
      <c r="O2829"/>
      <c r="P2829"/>
      <c r="Q2829"/>
      <c r="R2829"/>
      <c r="S2829"/>
      <c r="T2829"/>
      <c r="U2829"/>
      <c r="V2829"/>
      <c r="W2829" s="41"/>
      <c r="X2829" s="41"/>
      <c r="Y2829" s="41"/>
    </row>
    <row r="2830" s="27" customFormat="1" ht="23" hidden="1" customHeight="1" spans="1:25">
      <c r="A2830" s="133" t="str">
        <f>IF(B2830="","",COUNTA($B$5:B2830))</f>
        <v/>
      </c>
      <c r="B2830" s="148"/>
      <c r="C2830" s="22" t="s">
        <v>49</v>
      </c>
      <c r="D2830" s="149"/>
      <c r="E2830" s="150"/>
      <c r="F2830" s="151"/>
      <c r="G2830" s="151"/>
      <c r="H2830" s="142">
        <f>IFERROR(VLOOKUP($C2830,$C$5:$H$18,6,0)+SUMIF($C$19:$C2830,$C2830,$F$19:$F2830)-SUMIF($C$19:$C2830,$C2830,$G$19:$G2830),"")</f>
        <v>81211.819999998</v>
      </c>
      <c r="I2830" s="147"/>
      <c r="J2830" s="147"/>
      <c r="K2830" s="147" t="str">
        <f t="shared" si="44"/>
        <v/>
      </c>
      <c r="L2830" s="40"/>
      <c r="M2830"/>
      <c r="N2830"/>
      <c r="O2830"/>
      <c r="P2830"/>
      <c r="Q2830"/>
      <c r="R2830"/>
      <c r="S2830"/>
      <c r="T2830"/>
      <c r="U2830"/>
      <c r="V2830"/>
      <c r="W2830" s="41"/>
      <c r="X2830" s="41"/>
      <c r="Y2830" s="41"/>
    </row>
    <row r="2831" s="27" customFormat="1" ht="23" hidden="1" customHeight="1" spans="1:25">
      <c r="A2831" s="133" t="str">
        <f>IF(B2831="","",COUNTA($B$5:B2831))</f>
        <v/>
      </c>
      <c r="B2831" s="148"/>
      <c r="C2831" s="22" t="s">
        <v>49</v>
      </c>
      <c r="D2831" s="149"/>
      <c r="E2831" s="150"/>
      <c r="F2831" s="151"/>
      <c r="G2831" s="151"/>
      <c r="H2831" s="142">
        <f>IFERROR(VLOOKUP($C2831,$C$5:$H$18,6,0)+SUMIF($C$19:$C2831,$C2831,$F$19:$F2831)-SUMIF($C$19:$C2831,$C2831,$G$19:$G2831),"")</f>
        <v>81211.819999998</v>
      </c>
      <c r="I2831" s="147"/>
      <c r="J2831" s="147"/>
      <c r="K2831" s="147" t="str">
        <f t="shared" si="44"/>
        <v/>
      </c>
      <c r="L2831" s="40"/>
      <c r="M2831"/>
      <c r="N2831"/>
      <c r="O2831"/>
      <c r="P2831"/>
      <c r="Q2831"/>
      <c r="R2831"/>
      <c r="S2831"/>
      <c r="T2831"/>
      <c r="U2831"/>
      <c r="V2831"/>
      <c r="W2831" s="41"/>
      <c r="X2831" s="41"/>
      <c r="Y2831" s="41"/>
    </row>
    <row r="2832" s="27" customFormat="1" ht="23" hidden="1" customHeight="1" spans="1:25">
      <c r="A2832" s="133" t="str">
        <f>IF(B2832="","",COUNTA($B$5:B2832))</f>
        <v/>
      </c>
      <c r="B2832" s="148"/>
      <c r="C2832" s="22" t="s">
        <v>49</v>
      </c>
      <c r="D2832" s="149"/>
      <c r="E2832" s="150"/>
      <c r="F2832" s="151"/>
      <c r="G2832" s="151"/>
      <c r="H2832" s="142">
        <f>IFERROR(VLOOKUP($C2832,$C$5:$H$18,6,0)+SUMIF($C$19:$C2832,$C2832,$F$19:$F2832)-SUMIF($C$19:$C2832,$C2832,$G$19:$G2832),"")</f>
        <v>81211.819999998</v>
      </c>
      <c r="I2832" s="147"/>
      <c r="J2832" s="147"/>
      <c r="K2832" s="147" t="str">
        <f t="shared" si="44"/>
        <v/>
      </c>
      <c r="L2832" s="40"/>
      <c r="M2832"/>
      <c r="N2832"/>
      <c r="O2832"/>
      <c r="P2832"/>
      <c r="Q2832"/>
      <c r="R2832"/>
      <c r="S2832"/>
      <c r="T2832"/>
      <c r="U2832"/>
      <c r="V2832"/>
      <c r="W2832" s="41"/>
      <c r="X2832" s="41"/>
      <c r="Y2832" s="41"/>
    </row>
    <row r="2833" s="27" customFormat="1" ht="23" hidden="1" customHeight="1" spans="1:25">
      <c r="A2833" s="133" t="str">
        <f>IF(B2833="","",COUNTA($B$5:B2833))</f>
        <v/>
      </c>
      <c r="B2833" s="148"/>
      <c r="C2833" s="22" t="s">
        <v>49</v>
      </c>
      <c r="D2833" s="149"/>
      <c r="E2833" s="150"/>
      <c r="F2833" s="151"/>
      <c r="G2833" s="151"/>
      <c r="H2833" s="142">
        <f>IFERROR(VLOOKUP($C2833,$C$5:$H$18,6,0)+SUMIF($C$19:$C2833,$C2833,$F$19:$F2833)-SUMIF($C$19:$C2833,$C2833,$G$19:$G2833),"")</f>
        <v>81211.819999998</v>
      </c>
      <c r="I2833" s="147"/>
      <c r="J2833" s="147"/>
      <c r="K2833" s="147" t="str">
        <f t="shared" si="44"/>
        <v/>
      </c>
      <c r="L2833" s="40"/>
      <c r="M2833"/>
      <c r="N2833"/>
      <c r="O2833"/>
      <c r="P2833"/>
      <c r="Q2833"/>
      <c r="R2833"/>
      <c r="S2833"/>
      <c r="T2833"/>
      <c r="U2833"/>
      <c r="V2833"/>
      <c r="W2833" s="41"/>
      <c r="X2833" s="41"/>
      <c r="Y2833" s="41"/>
    </row>
    <row r="2834" s="27" customFormat="1" ht="23" hidden="1" customHeight="1" spans="1:25">
      <c r="A2834" s="133" t="str">
        <f>IF(B2834="","",COUNTA($B$5:B2834))</f>
        <v/>
      </c>
      <c r="B2834" s="148"/>
      <c r="C2834" s="22" t="s">
        <v>49</v>
      </c>
      <c r="D2834" s="149"/>
      <c r="E2834" s="150"/>
      <c r="F2834" s="151"/>
      <c r="G2834" s="151"/>
      <c r="H2834" s="142">
        <f>IFERROR(VLOOKUP($C2834,$C$5:$H$18,6,0)+SUMIF($C$19:$C2834,$C2834,$F$19:$F2834)-SUMIF($C$19:$C2834,$C2834,$G$19:$G2834),"")</f>
        <v>81211.819999998</v>
      </c>
      <c r="I2834" s="147"/>
      <c r="J2834" s="147"/>
      <c r="K2834" s="147" t="str">
        <f t="shared" si="44"/>
        <v/>
      </c>
      <c r="L2834" s="40"/>
      <c r="M2834"/>
      <c r="N2834"/>
      <c r="O2834"/>
      <c r="P2834"/>
      <c r="Q2834"/>
      <c r="R2834"/>
      <c r="S2834"/>
      <c r="T2834"/>
      <c r="U2834"/>
      <c r="V2834"/>
      <c r="W2834" s="41"/>
      <c r="X2834" s="41"/>
      <c r="Y2834" s="41"/>
    </row>
    <row r="2835" s="27" customFormat="1" ht="23" hidden="1" customHeight="1" spans="1:25">
      <c r="A2835" s="133" t="str">
        <f>IF(B2835="","",COUNTA($B$5:B2835))</f>
        <v/>
      </c>
      <c r="B2835" s="148"/>
      <c r="C2835" s="22" t="s">
        <v>49</v>
      </c>
      <c r="D2835" s="149"/>
      <c r="E2835" s="150"/>
      <c r="F2835" s="151"/>
      <c r="G2835" s="151"/>
      <c r="H2835" s="142">
        <f>IFERROR(VLOOKUP($C2835,$C$5:$H$18,6,0)+SUMIF($C$19:$C2835,$C2835,$F$19:$F2835)-SUMIF($C$19:$C2835,$C2835,$G$19:$G2835),"")</f>
        <v>81211.819999998</v>
      </c>
      <c r="I2835" s="147"/>
      <c r="J2835" s="147"/>
      <c r="K2835" s="147" t="str">
        <f t="shared" si="44"/>
        <v/>
      </c>
      <c r="L2835" s="40"/>
      <c r="M2835"/>
      <c r="N2835"/>
      <c r="O2835"/>
      <c r="P2835"/>
      <c r="Q2835"/>
      <c r="R2835"/>
      <c r="S2835"/>
      <c r="T2835"/>
      <c r="U2835"/>
      <c r="V2835"/>
      <c r="W2835" s="41"/>
      <c r="X2835" s="41"/>
      <c r="Y2835" s="41"/>
    </row>
    <row r="2836" s="27" customFormat="1" ht="23" hidden="1" customHeight="1" spans="1:25">
      <c r="A2836" s="133" t="str">
        <f>IF(B2836="","",COUNTA($B$5:B2836))</f>
        <v/>
      </c>
      <c r="B2836" s="148"/>
      <c r="C2836" s="22" t="s">
        <v>49</v>
      </c>
      <c r="D2836" s="149"/>
      <c r="E2836" s="150"/>
      <c r="F2836" s="151"/>
      <c r="G2836" s="151"/>
      <c r="H2836" s="142">
        <f>IFERROR(VLOOKUP($C2836,$C$5:$H$18,6,0)+SUMIF($C$19:$C2836,$C2836,$F$19:$F2836)-SUMIF($C$19:$C2836,$C2836,$G$19:$G2836),"")</f>
        <v>81211.819999998</v>
      </c>
      <c r="I2836" s="147"/>
      <c r="J2836" s="147"/>
      <c r="K2836" s="147" t="str">
        <f t="shared" si="44"/>
        <v/>
      </c>
      <c r="L2836" s="40"/>
      <c r="M2836"/>
      <c r="N2836"/>
      <c r="O2836"/>
      <c r="P2836"/>
      <c r="Q2836"/>
      <c r="R2836"/>
      <c r="S2836"/>
      <c r="T2836"/>
      <c r="U2836"/>
      <c r="V2836"/>
      <c r="W2836" s="41"/>
      <c r="X2836" s="41"/>
      <c r="Y2836" s="41"/>
    </row>
    <row r="2837" s="27" customFormat="1" ht="23" hidden="1" customHeight="1" spans="1:25">
      <c r="A2837" s="133" t="str">
        <f>IF(B2837="","",COUNTA($B$5:B2837))</f>
        <v/>
      </c>
      <c r="B2837" s="148"/>
      <c r="C2837" s="22" t="s">
        <v>49</v>
      </c>
      <c r="D2837" s="149"/>
      <c r="E2837" s="150"/>
      <c r="F2837" s="151"/>
      <c r="G2837" s="151"/>
      <c r="H2837" s="142">
        <f>IFERROR(VLOOKUP($C2837,$C$5:$H$18,6,0)+SUMIF($C$19:$C2837,$C2837,$F$19:$F2837)-SUMIF($C$19:$C2837,$C2837,$G$19:$G2837),"")</f>
        <v>81211.819999998</v>
      </c>
      <c r="I2837" s="147"/>
      <c r="J2837" s="147"/>
      <c r="K2837" s="147" t="str">
        <f t="shared" si="44"/>
        <v/>
      </c>
      <c r="L2837" s="40"/>
      <c r="M2837"/>
      <c r="N2837"/>
      <c r="O2837"/>
      <c r="P2837"/>
      <c r="Q2837"/>
      <c r="R2837"/>
      <c r="S2837"/>
      <c r="T2837"/>
      <c r="U2837"/>
      <c r="V2837"/>
      <c r="W2837" s="41"/>
      <c r="X2837" s="41"/>
      <c r="Y2837" s="41"/>
    </row>
    <row r="2838" s="27" customFormat="1" ht="23" hidden="1" customHeight="1" spans="1:25">
      <c r="A2838" s="133" t="str">
        <f>IF(B2838="","",COUNTA($B$5:B2838))</f>
        <v/>
      </c>
      <c r="B2838" s="148"/>
      <c r="C2838" s="22" t="s">
        <v>49</v>
      </c>
      <c r="D2838" s="149"/>
      <c r="E2838" s="150"/>
      <c r="F2838" s="151"/>
      <c r="G2838" s="151"/>
      <c r="H2838" s="142">
        <f>IFERROR(VLOOKUP($C2838,$C$5:$H$18,6,0)+SUMIF($C$19:$C2838,$C2838,$F$19:$F2838)-SUMIF($C$19:$C2838,$C2838,$G$19:$G2838),"")</f>
        <v>81211.819999998</v>
      </c>
      <c r="I2838" s="147"/>
      <c r="J2838" s="147"/>
      <c r="K2838" s="147" t="str">
        <f t="shared" si="44"/>
        <v/>
      </c>
      <c r="L2838" s="40"/>
      <c r="M2838"/>
      <c r="N2838"/>
      <c r="O2838"/>
      <c r="P2838"/>
      <c r="Q2838"/>
      <c r="R2838"/>
      <c r="S2838"/>
      <c r="T2838"/>
      <c r="U2838"/>
      <c r="V2838"/>
      <c r="W2838" s="41"/>
      <c r="X2838" s="41"/>
      <c r="Y2838" s="41"/>
    </row>
    <row r="2839" s="27" customFormat="1" ht="23" hidden="1" customHeight="1" spans="1:25">
      <c r="A2839" s="133" t="str">
        <f>IF(B2839="","",COUNTA($B$5:B2839))</f>
        <v/>
      </c>
      <c r="B2839" s="148"/>
      <c r="C2839" s="22" t="s">
        <v>49</v>
      </c>
      <c r="D2839" s="149"/>
      <c r="E2839" s="150"/>
      <c r="F2839" s="151"/>
      <c r="G2839" s="151"/>
      <c r="H2839" s="142">
        <f>IFERROR(VLOOKUP($C2839,$C$5:$H$18,6,0)+SUMIF($C$19:$C2839,$C2839,$F$19:$F2839)-SUMIF($C$19:$C2839,$C2839,$G$19:$G2839),"")</f>
        <v>81211.819999998</v>
      </c>
      <c r="I2839" s="147"/>
      <c r="J2839" s="147"/>
      <c r="K2839" s="147" t="str">
        <f t="shared" si="44"/>
        <v/>
      </c>
      <c r="L2839" s="40"/>
      <c r="M2839"/>
      <c r="N2839"/>
      <c r="O2839"/>
      <c r="P2839"/>
      <c r="Q2839"/>
      <c r="R2839"/>
      <c r="S2839"/>
      <c r="T2839"/>
      <c r="U2839"/>
      <c r="V2839"/>
      <c r="W2839" s="41"/>
      <c r="X2839" s="41"/>
      <c r="Y2839" s="41"/>
    </row>
    <row r="2840" s="27" customFormat="1" ht="23" hidden="1" customHeight="1" spans="1:25">
      <c r="A2840" s="133" t="str">
        <f>IF(B2840="","",COUNTA($B$5:B2840))</f>
        <v/>
      </c>
      <c r="B2840" s="148"/>
      <c r="C2840" s="22" t="s">
        <v>49</v>
      </c>
      <c r="D2840" s="149"/>
      <c r="E2840" s="150"/>
      <c r="F2840" s="151"/>
      <c r="G2840" s="151"/>
      <c r="H2840" s="142">
        <f>IFERROR(VLOOKUP($C2840,$C$5:$H$18,6,0)+SUMIF($C$19:$C2840,$C2840,$F$19:$F2840)-SUMIF($C$19:$C2840,$C2840,$G$19:$G2840),"")</f>
        <v>81211.819999998</v>
      </c>
      <c r="I2840" s="147"/>
      <c r="J2840" s="147"/>
      <c r="K2840" s="147" t="str">
        <f t="shared" si="44"/>
        <v/>
      </c>
      <c r="L2840" s="40"/>
      <c r="M2840"/>
      <c r="N2840"/>
      <c r="O2840"/>
      <c r="P2840"/>
      <c r="Q2840"/>
      <c r="R2840"/>
      <c r="S2840"/>
      <c r="T2840"/>
      <c r="U2840"/>
      <c r="V2840"/>
      <c r="W2840" s="41"/>
      <c r="X2840" s="41"/>
      <c r="Y2840" s="41"/>
    </row>
    <row r="2841" s="27" customFormat="1" ht="23" hidden="1" customHeight="1" spans="1:25">
      <c r="A2841" s="133" t="str">
        <f>IF(B2841="","",COUNTA($B$5:B2841))</f>
        <v/>
      </c>
      <c r="B2841" s="148"/>
      <c r="C2841" s="22" t="s">
        <v>49</v>
      </c>
      <c r="D2841" s="149"/>
      <c r="E2841" s="150"/>
      <c r="F2841" s="151"/>
      <c r="G2841" s="151"/>
      <c r="H2841" s="142">
        <f>IFERROR(VLOOKUP($C2841,$C$5:$H$18,6,0)+SUMIF($C$19:$C2841,$C2841,$F$19:$F2841)-SUMIF($C$19:$C2841,$C2841,$G$19:$G2841),"")</f>
        <v>81211.819999998</v>
      </c>
      <c r="I2841" s="147"/>
      <c r="J2841" s="147"/>
      <c r="K2841" s="147" t="str">
        <f t="shared" si="44"/>
        <v/>
      </c>
      <c r="L2841" s="40"/>
      <c r="M2841"/>
      <c r="N2841"/>
      <c r="O2841"/>
      <c r="P2841"/>
      <c r="Q2841"/>
      <c r="R2841"/>
      <c r="S2841"/>
      <c r="T2841"/>
      <c r="U2841"/>
      <c r="V2841"/>
      <c r="W2841" s="41"/>
      <c r="X2841" s="41"/>
      <c r="Y2841" s="41"/>
    </row>
    <row r="2842" s="27" customFormat="1" ht="23" hidden="1" customHeight="1" spans="1:25">
      <c r="A2842" s="133" t="str">
        <f>IF(B2842="","",COUNTA($B$5:B2842))</f>
        <v/>
      </c>
      <c r="B2842" s="148"/>
      <c r="C2842" s="22" t="s">
        <v>49</v>
      </c>
      <c r="D2842" s="149"/>
      <c r="E2842" s="150"/>
      <c r="F2842" s="151"/>
      <c r="G2842" s="151"/>
      <c r="H2842" s="142">
        <f>IFERROR(VLOOKUP($C2842,$C$5:$H$18,6,0)+SUMIF($C$19:$C2842,$C2842,$F$19:$F2842)-SUMIF($C$19:$C2842,$C2842,$G$19:$G2842),"")</f>
        <v>81211.819999998</v>
      </c>
      <c r="I2842" s="147"/>
      <c r="J2842" s="147"/>
      <c r="K2842" s="147" t="str">
        <f t="shared" si="44"/>
        <v/>
      </c>
      <c r="L2842" s="40"/>
      <c r="M2842"/>
      <c r="N2842"/>
      <c r="O2842"/>
      <c r="P2842"/>
      <c r="Q2842"/>
      <c r="R2842"/>
      <c r="S2842"/>
      <c r="T2842"/>
      <c r="U2842"/>
      <c r="V2842"/>
      <c r="W2842" s="41"/>
      <c r="X2842" s="41"/>
      <c r="Y2842" s="41"/>
    </row>
    <row r="2843" s="27" customFormat="1" ht="23" hidden="1" customHeight="1" spans="1:25">
      <c r="A2843" s="133" t="str">
        <f>IF(B2843="","",COUNTA($B$5:B2843))</f>
        <v/>
      </c>
      <c r="B2843" s="148"/>
      <c r="C2843" s="22" t="s">
        <v>49</v>
      </c>
      <c r="D2843" s="149"/>
      <c r="E2843" s="150"/>
      <c r="F2843" s="151"/>
      <c r="G2843" s="151"/>
      <c r="H2843" s="142">
        <f>IFERROR(VLOOKUP($C2843,$C$5:$H$18,6,0)+SUMIF($C$19:$C2843,$C2843,$F$19:$F2843)-SUMIF($C$19:$C2843,$C2843,$G$19:$G2843),"")</f>
        <v>81211.819999998</v>
      </c>
      <c r="I2843" s="147"/>
      <c r="J2843" s="147"/>
      <c r="K2843" s="147" t="str">
        <f t="shared" si="44"/>
        <v/>
      </c>
      <c r="L2843" s="40"/>
      <c r="M2843"/>
      <c r="N2843"/>
      <c r="O2843"/>
      <c r="P2843"/>
      <c r="Q2843"/>
      <c r="R2843"/>
      <c r="S2843"/>
      <c r="T2843"/>
      <c r="U2843"/>
      <c r="V2843"/>
      <c r="W2843" s="41"/>
      <c r="X2843" s="41"/>
      <c r="Y2843" s="41"/>
    </row>
    <row r="2844" s="27" customFormat="1" ht="23" hidden="1" customHeight="1" spans="1:25">
      <c r="A2844" s="133" t="str">
        <f>IF(B2844="","",COUNTA($B$5:B2844))</f>
        <v/>
      </c>
      <c r="B2844" s="148"/>
      <c r="C2844" s="22" t="s">
        <v>49</v>
      </c>
      <c r="D2844" s="149"/>
      <c r="E2844" s="150"/>
      <c r="F2844" s="151"/>
      <c r="G2844" s="151"/>
      <c r="H2844" s="142">
        <f>IFERROR(VLOOKUP($C2844,$C$5:$H$18,6,0)+SUMIF($C$19:$C2844,$C2844,$F$19:$F2844)-SUMIF($C$19:$C2844,$C2844,$G$19:$G2844),"")</f>
        <v>81211.819999998</v>
      </c>
      <c r="I2844" s="147"/>
      <c r="J2844" s="147"/>
      <c r="K2844" s="147" t="str">
        <f t="shared" si="44"/>
        <v/>
      </c>
      <c r="L2844" s="40"/>
      <c r="M2844"/>
      <c r="N2844"/>
      <c r="O2844"/>
      <c r="P2844"/>
      <c r="Q2844"/>
      <c r="R2844"/>
      <c r="S2844"/>
      <c r="T2844"/>
      <c r="U2844"/>
      <c r="V2844"/>
      <c r="W2844" s="41"/>
      <c r="X2844" s="41"/>
      <c r="Y2844" s="41"/>
    </row>
    <row r="2845" s="27" customFormat="1" ht="23" hidden="1" customHeight="1" spans="1:25">
      <c r="A2845" s="133" t="str">
        <f>IF(B2845="","",COUNTA($B$5:B2845))</f>
        <v/>
      </c>
      <c r="B2845" s="148"/>
      <c r="C2845" s="22" t="s">
        <v>49</v>
      </c>
      <c r="D2845" s="149"/>
      <c r="E2845" s="150"/>
      <c r="F2845" s="151"/>
      <c r="G2845" s="151"/>
      <c r="H2845" s="142">
        <f>IFERROR(VLOOKUP($C2845,$C$5:$H$18,6,0)+SUMIF($C$19:$C2845,$C2845,$F$19:$F2845)-SUMIF($C$19:$C2845,$C2845,$G$19:$G2845),"")</f>
        <v>81211.819999998</v>
      </c>
      <c r="I2845" s="147"/>
      <c r="J2845" s="147"/>
      <c r="K2845" s="147" t="str">
        <f t="shared" si="44"/>
        <v/>
      </c>
      <c r="L2845" s="40"/>
      <c r="M2845"/>
      <c r="N2845"/>
      <c r="O2845"/>
      <c r="P2845"/>
      <c r="Q2845"/>
      <c r="R2845"/>
      <c r="S2845"/>
      <c r="T2845"/>
      <c r="U2845"/>
      <c r="V2845"/>
      <c r="W2845" s="41"/>
      <c r="X2845" s="41"/>
      <c r="Y2845" s="41"/>
    </row>
    <row r="2846" s="27" customFormat="1" ht="23" hidden="1" customHeight="1" spans="1:25">
      <c r="A2846" s="133" t="str">
        <f>IF(B2846="","",COUNTA($B$5:B2846))</f>
        <v/>
      </c>
      <c r="B2846" s="148"/>
      <c r="C2846" s="22" t="s">
        <v>49</v>
      </c>
      <c r="D2846" s="149"/>
      <c r="E2846" s="150"/>
      <c r="F2846" s="151"/>
      <c r="G2846" s="151"/>
      <c r="H2846" s="142">
        <f>IFERROR(VLOOKUP($C2846,$C$5:$H$18,6,0)+SUMIF($C$19:$C2846,$C2846,$F$19:$F2846)-SUMIF($C$19:$C2846,$C2846,$G$19:$G2846),"")</f>
        <v>81211.819999998</v>
      </c>
      <c r="I2846" s="147"/>
      <c r="J2846" s="147"/>
      <c r="K2846" s="147" t="str">
        <f t="shared" si="44"/>
        <v/>
      </c>
      <c r="L2846" s="40"/>
      <c r="M2846"/>
      <c r="N2846"/>
      <c r="O2846"/>
      <c r="P2846"/>
      <c r="Q2846"/>
      <c r="R2846"/>
      <c r="S2846"/>
      <c r="T2846"/>
      <c r="U2846"/>
      <c r="V2846"/>
      <c r="W2846" s="41"/>
      <c r="X2846" s="41"/>
      <c r="Y2846" s="41"/>
    </row>
    <row r="2847" s="27" customFormat="1" ht="23" hidden="1" customHeight="1" spans="1:25">
      <c r="A2847" s="133" t="str">
        <f>IF(B2847="","",COUNTA($B$5:B2847))</f>
        <v/>
      </c>
      <c r="B2847" s="148"/>
      <c r="C2847" s="22" t="s">
        <v>49</v>
      </c>
      <c r="D2847" s="149"/>
      <c r="E2847" s="150"/>
      <c r="F2847" s="151"/>
      <c r="G2847" s="151"/>
      <c r="H2847" s="142">
        <f>IFERROR(VLOOKUP($C2847,$C$5:$H$18,6,0)+SUMIF($C$19:$C2847,$C2847,$F$19:$F2847)-SUMIF($C$19:$C2847,$C2847,$G$19:$G2847),"")</f>
        <v>81211.819999998</v>
      </c>
      <c r="I2847" s="147"/>
      <c r="J2847" s="147"/>
      <c r="K2847" s="147" t="str">
        <f t="shared" si="44"/>
        <v/>
      </c>
      <c r="L2847" s="40"/>
      <c r="M2847"/>
      <c r="N2847"/>
      <c r="O2847"/>
      <c r="P2847"/>
      <c r="Q2847"/>
      <c r="R2847"/>
      <c r="S2847"/>
      <c r="T2847"/>
      <c r="U2847"/>
      <c r="V2847"/>
      <c r="W2847" s="41"/>
      <c r="X2847" s="41"/>
      <c r="Y2847" s="41"/>
    </row>
    <row r="2848" s="27" customFormat="1" ht="23" hidden="1" customHeight="1" spans="1:25">
      <c r="A2848" s="133" t="str">
        <f>IF(B2848="","",COUNTA($B$5:B2848))</f>
        <v/>
      </c>
      <c r="B2848" s="148"/>
      <c r="C2848" s="22" t="s">
        <v>49</v>
      </c>
      <c r="D2848" s="149"/>
      <c r="E2848" s="150"/>
      <c r="F2848" s="151"/>
      <c r="G2848" s="151"/>
      <c r="H2848" s="142">
        <f>IFERROR(VLOOKUP($C2848,$C$5:$H$18,6,0)+SUMIF($C$19:$C2848,$C2848,$F$19:$F2848)-SUMIF($C$19:$C2848,$C2848,$G$19:$G2848),"")</f>
        <v>81211.819999998</v>
      </c>
      <c r="I2848" s="147"/>
      <c r="J2848" s="147"/>
      <c r="K2848" s="147" t="str">
        <f t="shared" si="44"/>
        <v/>
      </c>
      <c r="L2848" s="40"/>
      <c r="M2848"/>
      <c r="N2848"/>
      <c r="O2848"/>
      <c r="P2848"/>
      <c r="Q2848"/>
      <c r="R2848"/>
      <c r="S2848"/>
      <c r="T2848"/>
      <c r="U2848"/>
      <c r="V2848"/>
      <c r="W2848" s="41"/>
      <c r="X2848" s="41"/>
      <c r="Y2848" s="41"/>
    </row>
    <row r="2849" s="27" customFormat="1" ht="23" hidden="1" customHeight="1" spans="1:25">
      <c r="A2849" s="133" t="str">
        <f>IF(B2849="","",COUNTA($B$5:B2849))</f>
        <v/>
      </c>
      <c r="B2849" s="148"/>
      <c r="C2849" s="22" t="s">
        <v>49</v>
      </c>
      <c r="D2849" s="149"/>
      <c r="E2849" s="150"/>
      <c r="F2849" s="151"/>
      <c r="G2849" s="151"/>
      <c r="H2849" s="142">
        <f>IFERROR(VLOOKUP($C2849,$C$5:$H$18,6,0)+SUMIF($C$19:$C2849,$C2849,$F$19:$F2849)-SUMIF($C$19:$C2849,$C2849,$G$19:$G2849),"")</f>
        <v>81211.819999998</v>
      </c>
      <c r="I2849" s="147"/>
      <c r="J2849" s="147"/>
      <c r="K2849" s="147" t="str">
        <f t="shared" si="44"/>
        <v/>
      </c>
      <c r="L2849" s="40"/>
      <c r="M2849"/>
      <c r="N2849"/>
      <c r="O2849"/>
      <c r="P2849"/>
      <c r="Q2849"/>
      <c r="R2849"/>
      <c r="S2849"/>
      <c r="T2849"/>
      <c r="U2849"/>
      <c r="V2849"/>
      <c r="W2849" s="41"/>
      <c r="X2849" s="41"/>
      <c r="Y2849" s="41"/>
    </row>
    <row r="2850" s="27" customFormat="1" ht="23" hidden="1" customHeight="1" spans="1:25">
      <c r="A2850" s="133" t="str">
        <f>IF(B2850="","",COUNTA($B$5:B2850))</f>
        <v/>
      </c>
      <c r="B2850" s="148"/>
      <c r="C2850" s="22" t="s">
        <v>49</v>
      </c>
      <c r="D2850" s="149"/>
      <c r="E2850" s="150"/>
      <c r="F2850" s="151"/>
      <c r="G2850" s="151"/>
      <c r="H2850" s="142">
        <f>IFERROR(VLOOKUP($C2850,$C$5:$H$18,6,0)+SUMIF($C$19:$C2850,$C2850,$F$19:$F2850)-SUMIF($C$19:$C2850,$C2850,$G$19:$G2850),"")</f>
        <v>81211.819999998</v>
      </c>
      <c r="I2850" s="147"/>
      <c r="J2850" s="147"/>
      <c r="K2850" s="147" t="str">
        <f t="shared" si="44"/>
        <v/>
      </c>
      <c r="L2850" s="40"/>
      <c r="M2850"/>
      <c r="N2850"/>
      <c r="O2850"/>
      <c r="P2850"/>
      <c r="Q2850"/>
      <c r="R2850"/>
      <c r="S2850"/>
      <c r="T2850"/>
      <c r="U2850"/>
      <c r="V2850"/>
      <c r="W2850" s="41"/>
      <c r="X2850" s="41"/>
      <c r="Y2850" s="41"/>
    </row>
    <row r="2851" s="27" customFormat="1" ht="23" hidden="1" customHeight="1" spans="1:25">
      <c r="A2851" s="133" t="str">
        <f>IF(B2851="","",COUNTA($B$5:B2851))</f>
        <v/>
      </c>
      <c r="B2851" s="148"/>
      <c r="C2851" s="22" t="s">
        <v>49</v>
      </c>
      <c r="D2851" s="149"/>
      <c r="E2851" s="150"/>
      <c r="F2851" s="151"/>
      <c r="G2851" s="151"/>
      <c r="H2851" s="142">
        <f>IFERROR(VLOOKUP($C2851,$C$5:$H$18,6,0)+SUMIF($C$19:$C2851,$C2851,$F$19:$F2851)-SUMIF($C$19:$C2851,$C2851,$G$19:$G2851),"")</f>
        <v>81211.819999998</v>
      </c>
      <c r="I2851" s="147"/>
      <c r="J2851" s="147"/>
      <c r="K2851" s="147" t="str">
        <f t="shared" si="44"/>
        <v/>
      </c>
      <c r="L2851" s="40"/>
      <c r="M2851"/>
      <c r="N2851"/>
      <c r="O2851"/>
      <c r="P2851"/>
      <c r="Q2851"/>
      <c r="R2851"/>
      <c r="S2851"/>
      <c r="T2851"/>
      <c r="U2851"/>
      <c r="V2851"/>
      <c r="W2851" s="41"/>
      <c r="X2851" s="41"/>
      <c r="Y2851" s="41"/>
    </row>
    <row r="2852" s="27" customFormat="1" ht="23" hidden="1" customHeight="1" spans="1:25">
      <c r="A2852" s="133" t="str">
        <f>IF(B2852="","",COUNTA($B$5:B2852))</f>
        <v/>
      </c>
      <c r="B2852" s="148"/>
      <c r="C2852" s="22" t="s">
        <v>49</v>
      </c>
      <c r="D2852" s="149"/>
      <c r="E2852" s="150"/>
      <c r="F2852" s="151"/>
      <c r="G2852" s="151"/>
      <c r="H2852" s="142">
        <f>IFERROR(VLOOKUP($C2852,$C$5:$H$18,6,0)+SUMIF($C$19:$C2852,$C2852,$F$19:$F2852)-SUMIF($C$19:$C2852,$C2852,$G$19:$G2852),"")</f>
        <v>81211.819999998</v>
      </c>
      <c r="I2852" s="147"/>
      <c r="J2852" s="147"/>
      <c r="K2852" s="147" t="str">
        <f t="shared" si="44"/>
        <v/>
      </c>
      <c r="L2852" s="40"/>
      <c r="M2852"/>
      <c r="N2852"/>
      <c r="O2852"/>
      <c r="P2852"/>
      <c r="Q2852"/>
      <c r="R2852"/>
      <c r="S2852"/>
      <c r="T2852"/>
      <c r="U2852"/>
      <c r="V2852"/>
      <c r="W2852" s="41"/>
      <c r="X2852" s="41"/>
      <c r="Y2852" s="41"/>
    </row>
    <row r="2853" s="27" customFormat="1" ht="23" hidden="1" customHeight="1" spans="1:25">
      <c r="A2853" s="133" t="str">
        <f>IF(B2853="","",COUNTA($B$5:B2853))</f>
        <v/>
      </c>
      <c r="B2853" s="148"/>
      <c r="C2853" s="22" t="s">
        <v>49</v>
      </c>
      <c r="D2853" s="149"/>
      <c r="E2853" s="150"/>
      <c r="F2853" s="151"/>
      <c r="G2853" s="151"/>
      <c r="H2853" s="142">
        <f>IFERROR(VLOOKUP($C2853,$C$5:$H$18,6,0)+SUMIF($C$19:$C2853,$C2853,$F$19:$F2853)-SUMIF($C$19:$C2853,$C2853,$G$19:$G2853),"")</f>
        <v>81211.819999998</v>
      </c>
      <c r="I2853" s="147"/>
      <c r="J2853" s="147"/>
      <c r="K2853" s="147" t="str">
        <f t="shared" si="44"/>
        <v/>
      </c>
      <c r="L2853" s="40"/>
      <c r="M2853"/>
      <c r="N2853"/>
      <c r="O2853"/>
      <c r="P2853"/>
      <c r="Q2853"/>
      <c r="R2853"/>
      <c r="S2853"/>
      <c r="T2853"/>
      <c r="U2853"/>
      <c r="V2853"/>
      <c r="W2853" s="41"/>
      <c r="X2853" s="41"/>
      <c r="Y2853" s="41"/>
    </row>
    <row r="2854" s="27" customFormat="1" ht="23" hidden="1" customHeight="1" spans="1:25">
      <c r="A2854" s="133" t="str">
        <f>IF(B2854="","",COUNTA($B$5:B2854))</f>
        <v/>
      </c>
      <c r="B2854" s="148"/>
      <c r="C2854" s="22" t="s">
        <v>49</v>
      </c>
      <c r="D2854" s="149"/>
      <c r="E2854" s="150"/>
      <c r="F2854" s="151"/>
      <c r="G2854" s="151"/>
      <c r="H2854" s="142">
        <f>IFERROR(VLOOKUP($C2854,$C$5:$H$18,6,0)+SUMIF($C$19:$C2854,$C2854,$F$19:$F2854)-SUMIF($C$19:$C2854,$C2854,$G$19:$G2854),"")</f>
        <v>81211.819999998</v>
      </c>
      <c r="I2854" s="147"/>
      <c r="J2854" s="147"/>
      <c r="K2854" s="147" t="str">
        <f t="shared" si="44"/>
        <v/>
      </c>
      <c r="L2854" s="40"/>
      <c r="M2854"/>
      <c r="N2854"/>
      <c r="O2854"/>
      <c r="P2854"/>
      <c r="Q2854"/>
      <c r="R2854"/>
      <c r="S2854"/>
      <c r="T2854"/>
      <c r="U2854"/>
      <c r="V2854"/>
      <c r="W2854" s="41"/>
      <c r="X2854" s="41"/>
      <c r="Y2854" s="41"/>
    </row>
    <row r="2855" s="27" customFormat="1" ht="23" hidden="1" customHeight="1" spans="1:25">
      <c r="A2855" s="133" t="str">
        <f>IF(B2855="","",COUNTA($B$5:B2855))</f>
        <v/>
      </c>
      <c r="B2855" s="148"/>
      <c r="C2855" s="22" t="s">
        <v>49</v>
      </c>
      <c r="D2855" s="149"/>
      <c r="E2855" s="150"/>
      <c r="F2855" s="151"/>
      <c r="G2855" s="151"/>
      <c r="H2855" s="142">
        <f>IFERROR(VLOOKUP($C2855,$C$5:$H$18,6,0)+SUMIF($C$19:$C2855,$C2855,$F$19:$F2855)-SUMIF($C$19:$C2855,$C2855,$G$19:$G2855),"")</f>
        <v>81211.819999998</v>
      </c>
      <c r="I2855" s="147"/>
      <c r="J2855" s="147"/>
      <c r="K2855" s="147" t="str">
        <f t="shared" si="44"/>
        <v/>
      </c>
      <c r="L2855" s="40"/>
      <c r="M2855"/>
      <c r="N2855"/>
      <c r="O2855"/>
      <c r="P2855"/>
      <c r="Q2855"/>
      <c r="R2855"/>
      <c r="S2855"/>
      <c r="T2855"/>
      <c r="U2855"/>
      <c r="V2855"/>
      <c r="W2855" s="41"/>
      <c r="X2855" s="41"/>
      <c r="Y2855" s="41"/>
    </row>
    <row r="2856" s="27" customFormat="1" ht="23" hidden="1" customHeight="1" spans="1:25">
      <c r="A2856" s="133" t="str">
        <f>IF(B2856="","",COUNTA($B$5:B2856))</f>
        <v/>
      </c>
      <c r="B2856" s="148"/>
      <c r="C2856" s="22" t="s">
        <v>49</v>
      </c>
      <c r="D2856" s="149"/>
      <c r="E2856" s="150"/>
      <c r="F2856" s="151"/>
      <c r="G2856" s="151"/>
      <c r="H2856" s="142">
        <f>IFERROR(VLOOKUP($C2856,$C$5:$H$18,6,0)+SUMIF($C$19:$C2856,$C2856,$F$19:$F2856)-SUMIF($C$19:$C2856,$C2856,$G$19:$G2856),"")</f>
        <v>81211.819999998</v>
      </c>
      <c r="I2856" s="147"/>
      <c r="J2856" s="147"/>
      <c r="K2856" s="147" t="str">
        <f t="shared" si="44"/>
        <v/>
      </c>
      <c r="L2856" s="40"/>
      <c r="M2856"/>
      <c r="N2856"/>
      <c r="O2856"/>
      <c r="P2856"/>
      <c r="Q2856"/>
      <c r="R2856"/>
      <c r="S2856"/>
      <c r="T2856"/>
      <c r="U2856"/>
      <c r="V2856"/>
      <c r="W2856" s="41"/>
      <c r="X2856" s="41"/>
      <c r="Y2856" s="41"/>
    </row>
    <row r="2857" s="27" customFormat="1" ht="23" hidden="1" customHeight="1" spans="1:25">
      <c r="A2857" s="133" t="str">
        <f>IF(B2857="","",COUNTA($B$5:B2857))</f>
        <v/>
      </c>
      <c r="B2857" s="148"/>
      <c r="C2857" s="22" t="s">
        <v>49</v>
      </c>
      <c r="D2857" s="149"/>
      <c r="E2857" s="150"/>
      <c r="F2857" s="151"/>
      <c r="G2857" s="151"/>
      <c r="H2857" s="142">
        <f>IFERROR(VLOOKUP($C2857,$C$5:$H$18,6,0)+SUMIF($C$19:$C2857,$C2857,$F$19:$F2857)-SUMIF($C$19:$C2857,$C2857,$G$19:$G2857),"")</f>
        <v>81211.819999998</v>
      </c>
      <c r="I2857" s="147"/>
      <c r="J2857" s="147"/>
      <c r="K2857" s="147" t="str">
        <f t="shared" si="44"/>
        <v/>
      </c>
      <c r="L2857" s="40"/>
      <c r="M2857"/>
      <c r="N2857"/>
      <c r="O2857"/>
      <c r="P2857"/>
      <c r="Q2857"/>
      <c r="R2857"/>
      <c r="S2857"/>
      <c r="T2857"/>
      <c r="U2857"/>
      <c r="V2857"/>
      <c r="W2857" s="41"/>
      <c r="X2857" s="41"/>
      <c r="Y2857" s="41"/>
    </row>
    <row r="2858" s="27" customFormat="1" ht="23" hidden="1" customHeight="1" spans="1:25">
      <c r="A2858" s="133" t="str">
        <f>IF(B2858="","",COUNTA($B$5:B2858))</f>
        <v/>
      </c>
      <c r="B2858" s="148"/>
      <c r="C2858" s="22" t="s">
        <v>49</v>
      </c>
      <c r="D2858" s="149"/>
      <c r="E2858" s="150"/>
      <c r="F2858" s="151"/>
      <c r="G2858" s="151"/>
      <c r="H2858" s="142">
        <f>IFERROR(VLOOKUP($C2858,$C$5:$H$18,6,0)+SUMIF($C$19:$C2858,$C2858,$F$19:$F2858)-SUMIF($C$19:$C2858,$C2858,$G$19:$G2858),"")</f>
        <v>81211.819999998</v>
      </c>
      <c r="I2858" s="147"/>
      <c r="J2858" s="147"/>
      <c r="K2858" s="147" t="str">
        <f t="shared" si="44"/>
        <v/>
      </c>
      <c r="L2858" s="40"/>
      <c r="M2858"/>
      <c r="N2858"/>
      <c r="O2858"/>
      <c r="P2858"/>
      <c r="Q2858"/>
      <c r="R2858"/>
      <c r="S2858"/>
      <c r="T2858"/>
      <c r="U2858"/>
      <c r="V2858"/>
      <c r="W2858" s="41"/>
      <c r="X2858" s="41"/>
      <c r="Y2858" s="41"/>
    </row>
    <row r="2859" s="27" customFormat="1" ht="23" hidden="1" customHeight="1" spans="1:25">
      <c r="A2859" s="133" t="str">
        <f>IF(B2859="","",COUNTA($B$5:B2859))</f>
        <v/>
      </c>
      <c r="B2859" s="148"/>
      <c r="C2859" s="22" t="s">
        <v>49</v>
      </c>
      <c r="D2859" s="149"/>
      <c r="E2859" s="150"/>
      <c r="F2859" s="151"/>
      <c r="G2859" s="151"/>
      <c r="H2859" s="142">
        <f>IFERROR(VLOOKUP($C2859,$C$5:$H$18,6,0)+SUMIF($C$19:$C2859,$C2859,$F$19:$F2859)-SUMIF($C$19:$C2859,$C2859,$G$19:$G2859),"")</f>
        <v>81211.819999998</v>
      </c>
      <c r="I2859" s="147"/>
      <c r="J2859" s="147"/>
      <c r="K2859" s="147" t="str">
        <f t="shared" si="44"/>
        <v/>
      </c>
      <c r="L2859" s="40"/>
      <c r="M2859"/>
      <c r="N2859"/>
      <c r="O2859"/>
      <c r="P2859"/>
      <c r="Q2859"/>
      <c r="R2859"/>
      <c r="S2859"/>
      <c r="T2859"/>
      <c r="U2859"/>
      <c r="V2859"/>
      <c r="W2859" s="41"/>
      <c r="X2859" s="41"/>
      <c r="Y2859" s="41"/>
    </row>
    <row r="2860" s="27" customFormat="1" ht="23" hidden="1" customHeight="1" spans="1:25">
      <c r="A2860" s="133" t="str">
        <f>IF(B2860="","",COUNTA($B$5:B2860))</f>
        <v/>
      </c>
      <c r="B2860" s="148"/>
      <c r="C2860" s="22" t="s">
        <v>49</v>
      </c>
      <c r="D2860" s="149"/>
      <c r="E2860" s="150"/>
      <c r="F2860" s="151"/>
      <c r="G2860" s="151"/>
      <c r="H2860" s="142">
        <f>IFERROR(VLOOKUP($C2860,$C$5:$H$18,6,0)+SUMIF($C$19:$C2860,$C2860,$F$19:$F2860)-SUMIF($C$19:$C2860,$C2860,$G$19:$G2860),"")</f>
        <v>81211.819999998</v>
      </c>
      <c r="I2860" s="147"/>
      <c r="J2860" s="147"/>
      <c r="K2860" s="147" t="str">
        <f t="shared" si="44"/>
        <v/>
      </c>
      <c r="L2860" s="40"/>
      <c r="M2860"/>
      <c r="N2860"/>
      <c r="O2860"/>
      <c r="P2860"/>
      <c r="Q2860"/>
      <c r="R2860"/>
      <c r="S2860"/>
      <c r="T2860"/>
      <c r="U2860"/>
      <c r="V2860"/>
      <c r="W2860" s="41"/>
      <c r="X2860" s="41"/>
      <c r="Y2860" s="41"/>
    </row>
    <row r="2861" s="27" customFormat="1" ht="23" hidden="1" customHeight="1" spans="1:25">
      <c r="A2861" s="133" t="str">
        <f>IF(B2861="","",COUNTA($B$5:B2861))</f>
        <v/>
      </c>
      <c r="B2861" s="148"/>
      <c r="C2861" s="22" t="s">
        <v>49</v>
      </c>
      <c r="D2861" s="149"/>
      <c r="E2861" s="150"/>
      <c r="F2861" s="151"/>
      <c r="G2861" s="151"/>
      <c r="H2861" s="142">
        <f>IFERROR(VLOOKUP($C2861,$C$5:$H$18,6,0)+SUMIF($C$19:$C2861,$C2861,$F$19:$F2861)-SUMIF($C$19:$C2861,$C2861,$G$19:$G2861),"")</f>
        <v>81211.819999998</v>
      </c>
      <c r="I2861" s="147"/>
      <c r="J2861" s="147"/>
      <c r="K2861" s="147" t="str">
        <f t="shared" si="44"/>
        <v/>
      </c>
      <c r="L2861" s="40"/>
      <c r="M2861"/>
      <c r="N2861"/>
      <c r="O2861"/>
      <c r="P2861"/>
      <c r="Q2861"/>
      <c r="R2861"/>
      <c r="S2861"/>
      <c r="T2861"/>
      <c r="U2861"/>
      <c r="V2861"/>
      <c r="W2861" s="41"/>
      <c r="X2861" s="41"/>
      <c r="Y2861" s="41"/>
    </row>
    <row r="2862" s="27" customFormat="1" ht="23" hidden="1" customHeight="1" spans="1:25">
      <c r="A2862" s="133" t="str">
        <f>IF(B2862="","",COUNTA($B$5:B2862))</f>
        <v/>
      </c>
      <c r="B2862" s="148"/>
      <c r="C2862" s="22" t="s">
        <v>49</v>
      </c>
      <c r="D2862" s="149"/>
      <c r="E2862" s="150"/>
      <c r="F2862" s="151"/>
      <c r="G2862" s="151"/>
      <c r="H2862" s="142">
        <f>IFERROR(VLOOKUP($C2862,$C$5:$H$18,6,0)+SUMIF($C$19:$C2862,$C2862,$F$19:$F2862)-SUMIF($C$19:$C2862,$C2862,$G$19:$G2862),"")</f>
        <v>81211.819999998</v>
      </c>
      <c r="I2862" s="147"/>
      <c r="J2862" s="147"/>
      <c r="K2862" s="147" t="str">
        <f t="shared" si="44"/>
        <v/>
      </c>
      <c r="L2862" s="40"/>
      <c r="M2862"/>
      <c r="N2862"/>
      <c r="O2862"/>
      <c r="P2862"/>
      <c r="Q2862"/>
      <c r="R2862"/>
      <c r="S2862"/>
      <c r="T2862"/>
      <c r="U2862"/>
      <c r="V2862"/>
      <c r="W2862" s="41"/>
      <c r="X2862" s="41"/>
      <c r="Y2862" s="41"/>
    </row>
    <row r="2863" s="27" customFormat="1" ht="23" hidden="1" customHeight="1" spans="1:25">
      <c r="A2863" s="133" t="str">
        <f>IF(B2863="","",COUNTA($B$5:B2863))</f>
        <v/>
      </c>
      <c r="B2863" s="148"/>
      <c r="C2863" s="22" t="s">
        <v>49</v>
      </c>
      <c r="D2863" s="149"/>
      <c r="E2863" s="150"/>
      <c r="F2863" s="151"/>
      <c r="G2863" s="151"/>
      <c r="H2863" s="142">
        <f>IFERROR(VLOOKUP($C2863,$C$5:$H$18,6,0)+SUMIF($C$19:$C2863,$C2863,$F$19:$F2863)-SUMIF($C$19:$C2863,$C2863,$G$19:$G2863),"")</f>
        <v>81211.819999998</v>
      </c>
      <c r="I2863" s="147"/>
      <c r="J2863" s="147"/>
      <c r="K2863" s="147" t="str">
        <f t="shared" si="44"/>
        <v/>
      </c>
      <c r="L2863" s="40"/>
      <c r="M2863"/>
      <c r="N2863"/>
      <c r="O2863"/>
      <c r="P2863"/>
      <c r="Q2863"/>
      <c r="R2863"/>
      <c r="S2863"/>
      <c r="T2863"/>
      <c r="U2863"/>
      <c r="V2863"/>
      <c r="W2863" s="41"/>
      <c r="X2863" s="41"/>
      <c r="Y2863" s="41"/>
    </row>
    <row r="2864" s="27" customFormat="1" ht="23" hidden="1" customHeight="1" spans="1:25">
      <c r="A2864" s="133" t="str">
        <f>IF(B2864="","",COUNTA($B$5:B2864))</f>
        <v/>
      </c>
      <c r="B2864" s="148"/>
      <c r="C2864" s="22" t="s">
        <v>49</v>
      </c>
      <c r="D2864" s="149"/>
      <c r="E2864" s="150"/>
      <c r="F2864" s="151"/>
      <c r="G2864" s="151"/>
      <c r="H2864" s="142">
        <f>IFERROR(VLOOKUP($C2864,$C$5:$H$18,6,0)+SUMIF($C$19:$C2864,$C2864,$F$19:$F2864)-SUMIF($C$19:$C2864,$C2864,$G$19:$G2864),"")</f>
        <v>81211.819999998</v>
      </c>
      <c r="I2864" s="147"/>
      <c r="J2864" s="147"/>
      <c r="K2864" s="147" t="str">
        <f t="shared" si="44"/>
        <v/>
      </c>
      <c r="L2864" s="40"/>
      <c r="M2864"/>
      <c r="N2864"/>
      <c r="O2864"/>
      <c r="P2864"/>
      <c r="Q2864"/>
      <c r="R2864"/>
      <c r="S2864"/>
      <c r="T2864"/>
      <c r="U2864"/>
      <c r="V2864"/>
      <c r="W2864" s="41"/>
      <c r="X2864" s="41"/>
      <c r="Y2864" s="41"/>
    </row>
    <row r="2865" s="27" customFormat="1" ht="23" hidden="1" customHeight="1" spans="1:25">
      <c r="A2865" s="133" t="str">
        <f>IF(B2865="","",COUNTA($B$5:B2865))</f>
        <v/>
      </c>
      <c r="B2865" s="148"/>
      <c r="C2865" s="22" t="s">
        <v>49</v>
      </c>
      <c r="D2865" s="149"/>
      <c r="E2865" s="150"/>
      <c r="F2865" s="151"/>
      <c r="G2865" s="151"/>
      <c r="H2865" s="142">
        <f>IFERROR(VLOOKUP($C2865,$C$5:$H$18,6,0)+SUMIF($C$19:$C2865,$C2865,$F$19:$F2865)-SUMIF($C$19:$C2865,$C2865,$G$19:$G2865),"")</f>
        <v>81211.819999998</v>
      </c>
      <c r="I2865" s="147"/>
      <c r="J2865" s="147"/>
      <c r="K2865" s="147" t="str">
        <f t="shared" si="44"/>
        <v/>
      </c>
      <c r="L2865" s="40"/>
      <c r="M2865"/>
      <c r="N2865"/>
      <c r="O2865"/>
      <c r="P2865"/>
      <c r="Q2865"/>
      <c r="R2865"/>
      <c r="S2865"/>
      <c r="T2865"/>
      <c r="U2865"/>
      <c r="V2865"/>
      <c r="W2865" s="41"/>
      <c r="X2865" s="41"/>
      <c r="Y2865" s="41"/>
    </row>
    <row r="2866" s="27" customFormat="1" ht="23" hidden="1" customHeight="1" spans="1:25">
      <c r="A2866" s="133" t="str">
        <f>IF(B2866="","",COUNTA($B$5:B2866))</f>
        <v/>
      </c>
      <c r="B2866" s="148"/>
      <c r="C2866" s="22" t="s">
        <v>49</v>
      </c>
      <c r="D2866" s="149"/>
      <c r="E2866" s="150"/>
      <c r="F2866" s="151"/>
      <c r="G2866" s="151"/>
      <c r="H2866" s="142">
        <f>IFERROR(VLOOKUP($C2866,$C$5:$H$18,6,0)+SUMIF($C$19:$C2866,$C2866,$F$19:$F2866)-SUMIF($C$19:$C2866,$C2866,$G$19:$G2866),"")</f>
        <v>81211.819999998</v>
      </c>
      <c r="I2866" s="147"/>
      <c r="J2866" s="147"/>
      <c r="K2866" s="147" t="str">
        <f t="shared" si="44"/>
        <v/>
      </c>
      <c r="L2866" s="40"/>
      <c r="M2866"/>
      <c r="N2866"/>
      <c r="O2866"/>
      <c r="P2866"/>
      <c r="Q2866"/>
      <c r="R2866"/>
      <c r="S2866"/>
      <c r="T2866"/>
      <c r="U2866"/>
      <c r="V2866"/>
      <c r="W2866" s="41"/>
      <c r="X2866" s="41"/>
      <c r="Y2866" s="41"/>
    </row>
    <row r="2867" s="27" customFormat="1" ht="23" hidden="1" customHeight="1" spans="1:25">
      <c r="A2867" s="133" t="str">
        <f>IF(B2867="","",COUNTA($B$5:B2867))</f>
        <v/>
      </c>
      <c r="B2867" s="148"/>
      <c r="C2867" s="22" t="s">
        <v>49</v>
      </c>
      <c r="D2867" s="149"/>
      <c r="E2867" s="150"/>
      <c r="F2867" s="151"/>
      <c r="G2867" s="151"/>
      <c r="H2867" s="142">
        <f>IFERROR(VLOOKUP($C2867,$C$5:$H$18,6,0)+SUMIF($C$19:$C2867,$C2867,$F$19:$F2867)-SUMIF($C$19:$C2867,$C2867,$G$19:$G2867),"")</f>
        <v>81211.819999998</v>
      </c>
      <c r="I2867" s="147"/>
      <c r="J2867" s="147"/>
      <c r="K2867" s="147" t="str">
        <f t="shared" si="44"/>
        <v/>
      </c>
      <c r="L2867" s="40"/>
      <c r="M2867"/>
      <c r="N2867"/>
      <c r="O2867"/>
      <c r="P2867"/>
      <c r="Q2867"/>
      <c r="R2867"/>
      <c r="S2867"/>
      <c r="T2867"/>
      <c r="U2867"/>
      <c r="V2867"/>
      <c r="W2867" s="41"/>
      <c r="X2867" s="41"/>
      <c r="Y2867" s="41"/>
    </row>
    <row r="2868" s="27" customFormat="1" ht="23" hidden="1" customHeight="1" spans="1:25">
      <c r="A2868" s="133" t="str">
        <f>IF(B2868="","",COUNTA($B$5:B2868))</f>
        <v/>
      </c>
      <c r="B2868" s="148"/>
      <c r="C2868" s="22" t="s">
        <v>49</v>
      </c>
      <c r="D2868" s="149"/>
      <c r="E2868" s="150"/>
      <c r="F2868" s="151"/>
      <c r="G2868" s="151"/>
      <c r="H2868" s="142">
        <f>IFERROR(VLOOKUP($C2868,$C$5:$H$18,6,0)+SUMIF($C$19:$C2868,$C2868,$F$19:$F2868)-SUMIF($C$19:$C2868,$C2868,$G$19:$G2868),"")</f>
        <v>81211.819999998</v>
      </c>
      <c r="I2868" s="147"/>
      <c r="J2868" s="147"/>
      <c r="K2868" s="147" t="str">
        <f t="shared" si="44"/>
        <v/>
      </c>
      <c r="L2868" s="40"/>
      <c r="M2868"/>
      <c r="N2868"/>
      <c r="O2868"/>
      <c r="P2868"/>
      <c r="Q2868"/>
      <c r="R2868"/>
      <c r="S2868"/>
      <c r="T2868"/>
      <c r="U2868"/>
      <c r="V2868"/>
      <c r="W2868" s="41"/>
      <c r="X2868" s="41"/>
      <c r="Y2868" s="41"/>
    </row>
    <row r="2869" s="27" customFormat="1" ht="23" hidden="1" customHeight="1" spans="1:25">
      <c r="A2869" s="133" t="str">
        <f>IF(B2869="","",COUNTA($B$5:B2869))</f>
        <v/>
      </c>
      <c r="B2869" s="148"/>
      <c r="C2869" s="22" t="s">
        <v>49</v>
      </c>
      <c r="D2869" s="149"/>
      <c r="E2869" s="150"/>
      <c r="F2869" s="151"/>
      <c r="G2869" s="151"/>
      <c r="H2869" s="142">
        <f>IFERROR(VLOOKUP($C2869,$C$5:$H$18,6,0)+SUMIF($C$19:$C2869,$C2869,$F$19:$F2869)-SUMIF($C$19:$C2869,$C2869,$G$19:$G2869),"")</f>
        <v>81211.819999998</v>
      </c>
      <c r="I2869" s="147"/>
      <c r="J2869" s="147"/>
      <c r="K2869" s="147" t="str">
        <f t="shared" si="44"/>
        <v/>
      </c>
      <c r="L2869" s="40"/>
      <c r="M2869"/>
      <c r="N2869"/>
      <c r="O2869"/>
      <c r="P2869"/>
      <c r="Q2869"/>
      <c r="R2869"/>
      <c r="S2869"/>
      <c r="T2869"/>
      <c r="U2869"/>
      <c r="V2869"/>
      <c r="W2869" s="41"/>
      <c r="X2869" s="41"/>
      <c r="Y2869" s="41"/>
    </row>
    <row r="2870" s="27" customFormat="1" ht="23" hidden="1" customHeight="1" spans="1:25">
      <c r="A2870" s="133" t="str">
        <f>IF(B2870="","",COUNTA($B$5:B2870))</f>
        <v/>
      </c>
      <c r="B2870" s="148"/>
      <c r="C2870" s="22" t="s">
        <v>49</v>
      </c>
      <c r="D2870" s="149"/>
      <c r="E2870" s="150"/>
      <c r="F2870" s="151"/>
      <c r="G2870" s="151"/>
      <c r="H2870" s="142">
        <f>IFERROR(VLOOKUP($C2870,$C$5:$H$18,6,0)+SUMIF($C$19:$C2870,$C2870,$F$19:$F2870)-SUMIF($C$19:$C2870,$C2870,$G$19:$G2870),"")</f>
        <v>81211.819999998</v>
      </c>
      <c r="I2870" s="147"/>
      <c r="J2870" s="147"/>
      <c r="K2870" s="147" t="str">
        <f t="shared" si="44"/>
        <v/>
      </c>
      <c r="L2870" s="40"/>
      <c r="M2870"/>
      <c r="N2870"/>
      <c r="O2870"/>
      <c r="P2870"/>
      <c r="Q2870"/>
      <c r="R2870"/>
      <c r="S2870"/>
      <c r="T2870"/>
      <c r="U2870"/>
      <c r="V2870"/>
      <c r="W2870" s="41"/>
      <c r="X2870" s="41"/>
      <c r="Y2870" s="41"/>
    </row>
    <row r="2871" s="27" customFormat="1" ht="23" hidden="1" customHeight="1" spans="1:25">
      <c r="A2871" s="133" t="str">
        <f>IF(B2871="","",COUNTA($B$5:B2871))</f>
        <v/>
      </c>
      <c r="B2871" s="148"/>
      <c r="C2871" s="22" t="s">
        <v>49</v>
      </c>
      <c r="D2871" s="149"/>
      <c r="E2871" s="150"/>
      <c r="F2871" s="151"/>
      <c r="G2871" s="151"/>
      <c r="H2871" s="142">
        <f>IFERROR(VLOOKUP($C2871,$C$5:$H$18,6,0)+SUMIF($C$19:$C2871,$C2871,$F$19:$F2871)-SUMIF($C$19:$C2871,$C2871,$G$19:$G2871),"")</f>
        <v>81211.819999998</v>
      </c>
      <c r="I2871" s="147"/>
      <c r="J2871" s="147"/>
      <c r="K2871" s="147" t="str">
        <f t="shared" si="44"/>
        <v/>
      </c>
      <c r="L2871" s="40"/>
      <c r="M2871"/>
      <c r="N2871"/>
      <c r="O2871"/>
      <c r="P2871"/>
      <c r="Q2871"/>
      <c r="R2871"/>
      <c r="S2871"/>
      <c r="T2871"/>
      <c r="U2871"/>
      <c r="V2871"/>
      <c r="W2871" s="41"/>
      <c r="X2871" s="41"/>
      <c r="Y2871" s="41"/>
    </row>
    <row r="2872" s="27" customFormat="1" ht="23" hidden="1" customHeight="1" spans="1:25">
      <c r="A2872" s="133" t="str">
        <f>IF(B2872="","",COUNTA($B$5:B2872))</f>
        <v/>
      </c>
      <c r="B2872" s="148"/>
      <c r="C2872" s="22" t="s">
        <v>49</v>
      </c>
      <c r="D2872" s="149"/>
      <c r="E2872" s="150"/>
      <c r="F2872" s="151"/>
      <c r="G2872" s="151"/>
      <c r="H2872" s="142">
        <f>IFERROR(VLOOKUP($C2872,$C$5:$H$18,6,0)+SUMIF($C$19:$C2872,$C2872,$F$19:$F2872)-SUMIF($C$19:$C2872,$C2872,$G$19:$G2872),"")</f>
        <v>81211.819999998</v>
      </c>
      <c r="I2872" s="147"/>
      <c r="J2872" s="147"/>
      <c r="K2872" s="147" t="str">
        <f t="shared" si="44"/>
        <v/>
      </c>
      <c r="L2872" s="40"/>
      <c r="M2872"/>
      <c r="N2872"/>
      <c r="O2872"/>
      <c r="P2872"/>
      <c r="Q2872"/>
      <c r="R2872"/>
      <c r="S2872"/>
      <c r="T2872"/>
      <c r="U2872"/>
      <c r="V2872"/>
      <c r="W2872" s="41"/>
      <c r="X2872" s="41"/>
      <c r="Y2872" s="41"/>
    </row>
    <row r="2873" s="27" customFormat="1" ht="23" hidden="1" customHeight="1" spans="1:25">
      <c r="A2873" s="133" t="str">
        <f>IF(B2873="","",COUNTA($B$5:B2873))</f>
        <v/>
      </c>
      <c r="B2873" s="148"/>
      <c r="C2873" s="22" t="s">
        <v>49</v>
      </c>
      <c r="D2873" s="149"/>
      <c r="E2873" s="150"/>
      <c r="F2873" s="151"/>
      <c r="G2873" s="151"/>
      <c r="H2873" s="142">
        <f>IFERROR(VLOOKUP($C2873,$C$5:$H$18,6,0)+SUMIF($C$19:$C2873,$C2873,$F$19:$F2873)-SUMIF($C$19:$C2873,$C2873,$G$19:$G2873),"")</f>
        <v>81211.819999998</v>
      </c>
      <c r="I2873" s="147"/>
      <c r="J2873" s="147"/>
      <c r="K2873" s="147" t="str">
        <f t="shared" si="44"/>
        <v/>
      </c>
      <c r="L2873" s="40"/>
      <c r="M2873"/>
      <c r="N2873"/>
      <c r="O2873"/>
      <c r="P2873"/>
      <c r="Q2873"/>
      <c r="R2873"/>
      <c r="S2873"/>
      <c r="T2873"/>
      <c r="U2873"/>
      <c r="V2873"/>
      <c r="W2873" s="41"/>
      <c r="X2873" s="41"/>
      <c r="Y2873" s="41"/>
    </row>
    <row r="2874" s="27" customFormat="1" ht="23" hidden="1" customHeight="1" spans="1:25">
      <c r="A2874" s="133" t="str">
        <f>IF(B2874="","",COUNTA($B$5:B2874))</f>
        <v/>
      </c>
      <c r="B2874" s="148"/>
      <c r="C2874" s="22" t="s">
        <v>49</v>
      </c>
      <c r="D2874" s="149"/>
      <c r="E2874" s="150"/>
      <c r="F2874" s="151"/>
      <c r="G2874" s="151"/>
      <c r="H2874" s="142">
        <f>IFERROR(VLOOKUP($C2874,$C$5:$H$18,6,0)+SUMIF($C$19:$C2874,$C2874,$F$19:$F2874)-SUMIF($C$19:$C2874,$C2874,$G$19:$G2874),"")</f>
        <v>81211.819999998</v>
      </c>
      <c r="I2874" s="147"/>
      <c r="J2874" s="147"/>
      <c r="K2874" s="147" t="str">
        <f t="shared" si="44"/>
        <v/>
      </c>
      <c r="L2874" s="40"/>
      <c r="M2874"/>
      <c r="N2874"/>
      <c r="O2874"/>
      <c r="P2874"/>
      <c r="Q2874"/>
      <c r="R2874"/>
      <c r="S2874"/>
      <c r="T2874"/>
      <c r="U2874"/>
      <c r="V2874"/>
      <c r="W2874" s="41"/>
      <c r="X2874" s="41"/>
      <c r="Y2874" s="41"/>
    </row>
    <row r="2875" s="27" customFormat="1" ht="23" hidden="1" customHeight="1" spans="1:25">
      <c r="A2875" s="133" t="str">
        <f>IF(B2875="","",COUNTA($B$5:B2875))</f>
        <v/>
      </c>
      <c r="B2875" s="148"/>
      <c r="C2875" s="22" t="s">
        <v>49</v>
      </c>
      <c r="D2875" s="149"/>
      <c r="E2875" s="150"/>
      <c r="F2875" s="151"/>
      <c r="G2875" s="151"/>
      <c r="H2875" s="142">
        <f>IFERROR(VLOOKUP($C2875,$C$5:$H$18,6,0)+SUMIF($C$19:$C2875,$C2875,$F$19:$F2875)-SUMIF($C$19:$C2875,$C2875,$G$19:$G2875),"")</f>
        <v>81211.819999998</v>
      </c>
      <c r="I2875" s="147"/>
      <c r="J2875" s="147"/>
      <c r="K2875" s="147" t="str">
        <f t="shared" si="44"/>
        <v/>
      </c>
      <c r="L2875" s="40"/>
      <c r="M2875"/>
      <c r="N2875"/>
      <c r="O2875"/>
      <c r="P2875"/>
      <c r="Q2875"/>
      <c r="R2875"/>
      <c r="S2875"/>
      <c r="T2875"/>
      <c r="U2875"/>
      <c r="V2875"/>
      <c r="W2875" s="41"/>
      <c r="X2875" s="41"/>
      <c r="Y2875" s="41"/>
    </row>
    <row r="2876" s="27" customFormat="1" ht="23" hidden="1" customHeight="1" spans="1:25">
      <c r="A2876" s="133" t="str">
        <f>IF(B2876="","",COUNTA($B$5:B2876))</f>
        <v/>
      </c>
      <c r="B2876" s="148"/>
      <c r="C2876" s="22" t="s">
        <v>49</v>
      </c>
      <c r="D2876" s="149"/>
      <c r="E2876" s="150"/>
      <c r="F2876" s="151"/>
      <c r="G2876" s="151"/>
      <c r="H2876" s="142">
        <f>IFERROR(VLOOKUP($C2876,$C$5:$H$18,6,0)+SUMIF($C$19:$C2876,$C2876,$F$19:$F2876)-SUMIF($C$19:$C2876,$C2876,$G$19:$G2876),"")</f>
        <v>81211.819999998</v>
      </c>
      <c r="I2876" s="147"/>
      <c r="J2876" s="147"/>
      <c r="K2876" s="147" t="str">
        <f t="shared" si="44"/>
        <v/>
      </c>
      <c r="L2876" s="40"/>
      <c r="M2876"/>
      <c r="N2876"/>
      <c r="O2876"/>
      <c r="P2876"/>
      <c r="Q2876"/>
      <c r="R2876"/>
      <c r="S2876"/>
      <c r="T2876"/>
      <c r="U2876"/>
      <c r="V2876"/>
      <c r="W2876" s="41"/>
      <c r="X2876" s="41"/>
      <c r="Y2876" s="41"/>
    </row>
    <row r="2877" s="27" customFormat="1" ht="23" hidden="1" customHeight="1" spans="1:25">
      <c r="A2877" s="133" t="str">
        <f>IF(B2877="","",COUNTA($B$5:B2877))</f>
        <v/>
      </c>
      <c r="B2877" s="148"/>
      <c r="C2877" s="22" t="s">
        <v>49</v>
      </c>
      <c r="D2877" s="149"/>
      <c r="E2877" s="150"/>
      <c r="F2877" s="151"/>
      <c r="G2877" s="151"/>
      <c r="H2877" s="142">
        <f>IFERROR(VLOOKUP($C2877,$C$5:$H$18,6,0)+SUMIF($C$19:$C2877,$C2877,$F$19:$F2877)-SUMIF($C$19:$C2877,$C2877,$G$19:$G2877),"")</f>
        <v>81211.819999998</v>
      </c>
      <c r="I2877" s="147"/>
      <c r="J2877" s="147"/>
      <c r="K2877" s="147" t="str">
        <f t="shared" si="44"/>
        <v/>
      </c>
      <c r="L2877" s="40"/>
      <c r="M2877"/>
      <c r="N2877"/>
      <c r="O2877"/>
      <c r="P2877"/>
      <c r="Q2877"/>
      <c r="R2877"/>
      <c r="S2877"/>
      <c r="T2877"/>
      <c r="U2877"/>
      <c r="V2877"/>
      <c r="W2877" s="41"/>
      <c r="X2877" s="41"/>
      <c r="Y2877" s="41"/>
    </row>
    <row r="2878" s="27" customFormat="1" ht="23" hidden="1" customHeight="1" spans="1:25">
      <c r="A2878" s="133" t="str">
        <f>IF(B2878="","",COUNTA($B$5:B2878))</f>
        <v/>
      </c>
      <c r="B2878" s="148"/>
      <c r="C2878" s="22" t="s">
        <v>49</v>
      </c>
      <c r="D2878" s="149"/>
      <c r="E2878" s="150"/>
      <c r="F2878" s="151"/>
      <c r="G2878" s="151"/>
      <c r="H2878" s="142">
        <f>IFERROR(VLOOKUP($C2878,$C$5:$H$18,6,0)+SUMIF($C$19:$C2878,$C2878,$F$19:$F2878)-SUMIF($C$19:$C2878,$C2878,$G$19:$G2878),"")</f>
        <v>81211.819999998</v>
      </c>
      <c r="I2878" s="147"/>
      <c r="J2878" s="147"/>
      <c r="K2878" s="147" t="str">
        <f t="shared" si="44"/>
        <v/>
      </c>
      <c r="L2878" s="40"/>
      <c r="M2878"/>
      <c r="N2878"/>
      <c r="O2878"/>
      <c r="P2878"/>
      <c r="Q2878"/>
      <c r="R2878"/>
      <c r="S2878"/>
      <c r="T2878"/>
      <c r="U2878"/>
      <c r="V2878"/>
      <c r="W2878" s="41"/>
      <c r="X2878" s="41"/>
      <c r="Y2878" s="41"/>
    </row>
    <row r="2879" s="27" customFormat="1" ht="23" hidden="1" customHeight="1" spans="1:25">
      <c r="A2879" s="133" t="str">
        <f>IF(B2879="","",COUNTA($B$5:B2879))</f>
        <v/>
      </c>
      <c r="B2879" s="148"/>
      <c r="C2879" s="22" t="s">
        <v>49</v>
      </c>
      <c r="D2879" s="149"/>
      <c r="E2879" s="150"/>
      <c r="F2879" s="151"/>
      <c r="G2879" s="151"/>
      <c r="H2879" s="142">
        <f>IFERROR(VLOOKUP($C2879,$C$5:$H$18,6,0)+SUMIF($C$19:$C2879,$C2879,$F$19:$F2879)-SUMIF($C$19:$C2879,$C2879,$G$19:$G2879),"")</f>
        <v>81211.819999998</v>
      </c>
      <c r="I2879" s="147"/>
      <c r="J2879" s="147"/>
      <c r="K2879" s="147" t="str">
        <f t="shared" si="44"/>
        <v/>
      </c>
      <c r="L2879" s="40"/>
      <c r="M2879"/>
      <c r="N2879"/>
      <c r="O2879"/>
      <c r="P2879"/>
      <c r="Q2879"/>
      <c r="R2879"/>
      <c r="S2879"/>
      <c r="T2879"/>
      <c r="U2879"/>
      <c r="V2879"/>
      <c r="W2879" s="41"/>
      <c r="X2879" s="41"/>
      <c r="Y2879" s="41"/>
    </row>
    <row r="2880" s="27" customFormat="1" ht="23" hidden="1" customHeight="1" spans="1:25">
      <c r="A2880" s="133" t="str">
        <f>IF(B2880="","",COUNTA($B$5:B2880))</f>
        <v/>
      </c>
      <c r="B2880" s="148"/>
      <c r="C2880" s="22" t="s">
        <v>49</v>
      </c>
      <c r="D2880" s="149"/>
      <c r="E2880" s="150"/>
      <c r="F2880" s="151"/>
      <c r="G2880" s="151"/>
      <c r="H2880" s="142">
        <f>IFERROR(VLOOKUP($C2880,$C$5:$H$18,6,0)+SUMIF($C$19:$C2880,$C2880,$F$19:$F2880)-SUMIF($C$19:$C2880,$C2880,$G$19:$G2880),"")</f>
        <v>81211.819999998</v>
      </c>
      <c r="I2880" s="147"/>
      <c r="J2880" s="147"/>
      <c r="K2880" s="147" t="str">
        <f t="shared" si="44"/>
        <v/>
      </c>
      <c r="L2880" s="40"/>
      <c r="M2880"/>
      <c r="N2880"/>
      <c r="O2880"/>
      <c r="P2880"/>
      <c r="Q2880"/>
      <c r="R2880"/>
      <c r="S2880"/>
      <c r="T2880"/>
      <c r="U2880"/>
      <c r="V2880"/>
      <c r="W2880" s="41"/>
      <c r="X2880" s="41"/>
      <c r="Y2880" s="41"/>
    </row>
    <row r="2881" s="27" customFormat="1" ht="23" hidden="1" customHeight="1" spans="1:25">
      <c r="A2881" s="133" t="str">
        <f>IF(B2881="","",COUNTA($B$5:B2881))</f>
        <v/>
      </c>
      <c r="B2881" s="148"/>
      <c r="C2881" s="22" t="s">
        <v>49</v>
      </c>
      <c r="D2881" s="149"/>
      <c r="E2881" s="150"/>
      <c r="F2881" s="151"/>
      <c r="G2881" s="151"/>
      <c r="H2881" s="142">
        <f>IFERROR(VLOOKUP($C2881,$C$5:$H$18,6,0)+SUMIF($C$19:$C2881,$C2881,$F$19:$F2881)-SUMIF($C$19:$C2881,$C2881,$G$19:$G2881),"")</f>
        <v>81211.819999998</v>
      </c>
      <c r="I2881" s="147"/>
      <c r="J2881" s="147"/>
      <c r="K2881" s="147" t="str">
        <f t="shared" si="44"/>
        <v/>
      </c>
      <c r="L2881" s="40"/>
      <c r="M2881"/>
      <c r="N2881"/>
      <c r="O2881"/>
      <c r="P2881"/>
      <c r="Q2881"/>
      <c r="R2881"/>
      <c r="S2881"/>
      <c r="T2881"/>
      <c r="U2881"/>
      <c r="V2881"/>
      <c r="W2881" s="41"/>
      <c r="X2881" s="41"/>
      <c r="Y2881" s="41"/>
    </row>
    <row r="2882" s="27" customFormat="1" ht="23" hidden="1" customHeight="1" spans="1:25">
      <c r="A2882" s="133" t="str">
        <f>IF(B2882="","",COUNTA($B$5:B2882))</f>
        <v/>
      </c>
      <c r="B2882" s="148"/>
      <c r="C2882" s="22" t="s">
        <v>49</v>
      </c>
      <c r="D2882" s="149"/>
      <c r="E2882" s="150"/>
      <c r="F2882" s="151"/>
      <c r="G2882" s="151"/>
      <c r="H2882" s="142">
        <f>IFERROR(VLOOKUP($C2882,$C$5:$H$18,6,0)+SUMIF($C$19:$C2882,$C2882,$F$19:$F2882)-SUMIF($C$19:$C2882,$C2882,$G$19:$G2882),"")</f>
        <v>81211.819999998</v>
      </c>
      <c r="I2882" s="147"/>
      <c r="J2882" s="147"/>
      <c r="K2882" s="147" t="str">
        <f t="shared" si="44"/>
        <v/>
      </c>
      <c r="L2882" s="40"/>
      <c r="M2882"/>
      <c r="N2882"/>
      <c r="O2882"/>
      <c r="P2882"/>
      <c r="Q2882"/>
      <c r="R2882"/>
      <c r="S2882"/>
      <c r="T2882"/>
      <c r="U2882"/>
      <c r="V2882"/>
      <c r="W2882" s="41"/>
      <c r="X2882" s="41"/>
      <c r="Y2882" s="41"/>
    </row>
    <row r="2883" s="27" customFormat="1" ht="23" hidden="1" customHeight="1" spans="1:25">
      <c r="A2883" s="133" t="str">
        <f>IF(B2883="","",COUNTA($B$5:B2883))</f>
        <v/>
      </c>
      <c r="B2883" s="148"/>
      <c r="C2883" s="22" t="s">
        <v>49</v>
      </c>
      <c r="D2883" s="149"/>
      <c r="E2883" s="150"/>
      <c r="F2883" s="151"/>
      <c r="G2883" s="151"/>
      <c r="H2883" s="142">
        <f>IFERROR(VLOOKUP($C2883,$C$5:$H$18,6,0)+SUMIF($C$19:$C2883,$C2883,$F$19:$F2883)-SUMIF($C$19:$C2883,$C2883,$G$19:$G2883),"")</f>
        <v>81211.819999998</v>
      </c>
      <c r="I2883" s="147"/>
      <c r="J2883" s="147"/>
      <c r="K2883" s="147" t="str">
        <f t="shared" si="44"/>
        <v/>
      </c>
      <c r="L2883" s="40"/>
      <c r="M2883"/>
      <c r="N2883"/>
      <c r="O2883"/>
      <c r="P2883"/>
      <c r="Q2883"/>
      <c r="R2883"/>
      <c r="S2883"/>
      <c r="T2883"/>
      <c r="U2883"/>
      <c r="V2883"/>
      <c r="W2883" s="41"/>
      <c r="X2883" s="41"/>
      <c r="Y2883" s="41"/>
    </row>
    <row r="2884" s="27" customFormat="1" ht="23" hidden="1" customHeight="1" spans="1:25">
      <c r="A2884" s="133" t="str">
        <f>IF(B2884="","",COUNTA($B$5:B2884))</f>
        <v/>
      </c>
      <c r="B2884" s="148"/>
      <c r="C2884" s="22" t="s">
        <v>49</v>
      </c>
      <c r="D2884" s="149"/>
      <c r="E2884" s="150"/>
      <c r="F2884" s="151"/>
      <c r="G2884" s="151"/>
      <c r="H2884" s="142">
        <f>IFERROR(VLOOKUP($C2884,$C$5:$H$18,6,0)+SUMIF($C$19:$C2884,$C2884,$F$19:$F2884)-SUMIF($C$19:$C2884,$C2884,$G$19:$G2884),"")</f>
        <v>81211.819999998</v>
      </c>
      <c r="I2884" s="147"/>
      <c r="J2884" s="147"/>
      <c r="K2884" s="147" t="str">
        <f t="shared" si="44"/>
        <v/>
      </c>
      <c r="L2884" s="40"/>
      <c r="M2884"/>
      <c r="N2884"/>
      <c r="O2884"/>
      <c r="P2884"/>
      <c r="Q2884"/>
      <c r="R2884"/>
      <c r="S2884"/>
      <c r="T2884"/>
      <c r="U2884"/>
      <c r="V2884"/>
      <c r="W2884" s="41"/>
      <c r="X2884" s="41"/>
      <c r="Y2884" s="41"/>
    </row>
    <row r="2885" s="27" customFormat="1" ht="23" hidden="1" customHeight="1" spans="1:25">
      <c r="A2885" s="133" t="str">
        <f>IF(B2885="","",COUNTA($B$5:B2885))</f>
        <v/>
      </c>
      <c r="B2885" s="148"/>
      <c r="C2885" s="22" t="s">
        <v>49</v>
      </c>
      <c r="D2885" s="149"/>
      <c r="E2885" s="150"/>
      <c r="F2885" s="151"/>
      <c r="G2885" s="151"/>
      <c r="H2885" s="142">
        <f>IFERROR(VLOOKUP($C2885,$C$5:$H$18,6,0)+SUMIF($C$19:$C2885,$C2885,$F$19:$F2885)-SUMIF($C$19:$C2885,$C2885,$G$19:$G2885),"")</f>
        <v>81211.819999998</v>
      </c>
      <c r="I2885" s="147"/>
      <c r="J2885" s="147"/>
      <c r="K2885" s="147" t="str">
        <f t="shared" ref="K2885:K2948" si="45">IF($B2885="","",--TEXT($B2885,"yyyymm"))</f>
        <v/>
      </c>
      <c r="L2885" s="40"/>
      <c r="M2885"/>
      <c r="N2885"/>
      <c r="O2885"/>
      <c r="P2885"/>
      <c r="Q2885"/>
      <c r="R2885"/>
      <c r="S2885"/>
      <c r="T2885"/>
      <c r="U2885"/>
      <c r="V2885"/>
      <c r="W2885" s="41"/>
      <c r="X2885" s="41"/>
      <c r="Y2885" s="41"/>
    </row>
    <row r="2886" s="27" customFormat="1" ht="23" hidden="1" customHeight="1" spans="1:25">
      <c r="A2886" s="133" t="str">
        <f>IF(B2886="","",COUNTA($B$5:B2886))</f>
        <v/>
      </c>
      <c r="B2886" s="148"/>
      <c r="C2886" s="22" t="s">
        <v>49</v>
      </c>
      <c r="D2886" s="149"/>
      <c r="E2886" s="150"/>
      <c r="F2886" s="151"/>
      <c r="G2886" s="151"/>
      <c r="H2886" s="142">
        <f>IFERROR(VLOOKUP($C2886,$C$5:$H$18,6,0)+SUMIF($C$19:$C2886,$C2886,$F$19:$F2886)-SUMIF($C$19:$C2886,$C2886,$G$19:$G2886),"")</f>
        <v>81211.819999998</v>
      </c>
      <c r="I2886" s="147"/>
      <c r="J2886" s="147"/>
      <c r="K2886" s="147" t="str">
        <f t="shared" si="45"/>
        <v/>
      </c>
      <c r="L2886" s="40"/>
      <c r="M2886"/>
      <c r="N2886"/>
      <c r="O2886"/>
      <c r="P2886"/>
      <c r="Q2886"/>
      <c r="R2886"/>
      <c r="S2886"/>
      <c r="T2886"/>
      <c r="U2886"/>
      <c r="V2886"/>
      <c r="W2886" s="41"/>
      <c r="X2886" s="41"/>
      <c r="Y2886" s="41"/>
    </row>
    <row r="2887" s="27" customFormat="1" ht="23" hidden="1" customHeight="1" spans="1:25">
      <c r="A2887" s="133" t="str">
        <f>IF(B2887="","",COUNTA($B$5:B2887))</f>
        <v/>
      </c>
      <c r="B2887" s="148"/>
      <c r="C2887" s="22" t="s">
        <v>49</v>
      </c>
      <c r="D2887" s="149"/>
      <c r="E2887" s="150"/>
      <c r="F2887" s="151"/>
      <c r="G2887" s="151"/>
      <c r="H2887" s="142">
        <f>IFERROR(VLOOKUP($C2887,$C$5:$H$18,6,0)+SUMIF($C$19:$C2887,$C2887,$F$19:$F2887)-SUMIF($C$19:$C2887,$C2887,$G$19:$G2887),"")</f>
        <v>81211.819999998</v>
      </c>
      <c r="I2887" s="147"/>
      <c r="J2887" s="147"/>
      <c r="K2887" s="147" t="str">
        <f t="shared" si="45"/>
        <v/>
      </c>
      <c r="L2887" s="40"/>
      <c r="M2887"/>
      <c r="N2887"/>
      <c r="O2887"/>
      <c r="P2887"/>
      <c r="Q2887"/>
      <c r="R2887"/>
      <c r="S2887"/>
      <c r="T2887"/>
      <c r="U2887"/>
      <c r="V2887"/>
      <c r="W2887" s="41"/>
      <c r="X2887" s="41"/>
      <c r="Y2887" s="41"/>
    </row>
    <row r="2888" s="27" customFormat="1" ht="23" hidden="1" customHeight="1" spans="1:25">
      <c r="A2888" s="133" t="str">
        <f>IF(B2888="","",COUNTA($B$5:B2888))</f>
        <v/>
      </c>
      <c r="B2888" s="148"/>
      <c r="C2888" s="22" t="s">
        <v>49</v>
      </c>
      <c r="D2888" s="149"/>
      <c r="E2888" s="150"/>
      <c r="F2888" s="151"/>
      <c r="G2888" s="151"/>
      <c r="H2888" s="142">
        <f>IFERROR(VLOOKUP($C2888,$C$5:$H$18,6,0)+SUMIF($C$19:$C2888,$C2888,$F$19:$F2888)-SUMIF($C$19:$C2888,$C2888,$G$19:$G2888),"")</f>
        <v>81211.819999998</v>
      </c>
      <c r="I2888" s="147"/>
      <c r="J2888" s="147"/>
      <c r="K2888" s="147" t="str">
        <f t="shared" si="45"/>
        <v/>
      </c>
      <c r="L2888" s="40"/>
      <c r="M2888"/>
      <c r="N2888"/>
      <c r="O2888"/>
      <c r="P2888"/>
      <c r="Q2888"/>
      <c r="R2888"/>
      <c r="S2888"/>
      <c r="T2888"/>
      <c r="U2888"/>
      <c r="V2888"/>
      <c r="W2888" s="41"/>
      <c r="X2888" s="41"/>
      <c r="Y2888" s="41"/>
    </row>
    <row r="2889" s="27" customFormat="1" ht="23" hidden="1" customHeight="1" spans="1:25">
      <c r="A2889" s="133" t="str">
        <f>IF(B2889="","",COUNTA($B$5:B2889))</f>
        <v/>
      </c>
      <c r="B2889" s="148"/>
      <c r="C2889" s="22" t="s">
        <v>49</v>
      </c>
      <c r="D2889" s="149"/>
      <c r="E2889" s="150"/>
      <c r="F2889" s="151"/>
      <c r="G2889" s="151"/>
      <c r="H2889" s="142">
        <f>IFERROR(VLOOKUP($C2889,$C$5:$H$18,6,0)+SUMIF($C$19:$C2889,$C2889,$F$19:$F2889)-SUMIF($C$19:$C2889,$C2889,$G$19:$G2889),"")</f>
        <v>81211.819999998</v>
      </c>
      <c r="I2889" s="147"/>
      <c r="J2889" s="147"/>
      <c r="K2889" s="147" t="str">
        <f t="shared" si="45"/>
        <v/>
      </c>
      <c r="L2889" s="40"/>
      <c r="M2889"/>
      <c r="N2889"/>
      <c r="O2889"/>
      <c r="P2889"/>
      <c r="Q2889"/>
      <c r="R2889"/>
      <c r="S2889"/>
      <c r="T2889"/>
      <c r="U2889"/>
      <c r="V2889"/>
      <c r="W2889" s="41"/>
      <c r="X2889" s="41"/>
      <c r="Y2889" s="41"/>
    </row>
    <row r="2890" s="27" customFormat="1" ht="23" hidden="1" customHeight="1" spans="1:25">
      <c r="A2890" s="133" t="str">
        <f>IF(B2890="","",COUNTA($B$5:B2890))</f>
        <v/>
      </c>
      <c r="B2890" s="148"/>
      <c r="C2890" s="22" t="s">
        <v>49</v>
      </c>
      <c r="D2890" s="149"/>
      <c r="E2890" s="150"/>
      <c r="F2890" s="151"/>
      <c r="G2890" s="151"/>
      <c r="H2890" s="142">
        <f>IFERROR(VLOOKUP($C2890,$C$5:$H$18,6,0)+SUMIF($C$19:$C2890,$C2890,$F$19:$F2890)-SUMIF($C$19:$C2890,$C2890,$G$19:$G2890),"")</f>
        <v>81211.819999998</v>
      </c>
      <c r="I2890" s="147"/>
      <c r="J2890" s="147"/>
      <c r="K2890" s="147" t="str">
        <f t="shared" si="45"/>
        <v/>
      </c>
      <c r="L2890" s="40"/>
      <c r="M2890"/>
      <c r="N2890"/>
      <c r="O2890"/>
      <c r="P2890"/>
      <c r="Q2890"/>
      <c r="R2890"/>
      <c r="S2890"/>
      <c r="T2890"/>
      <c r="U2890"/>
      <c r="V2890"/>
      <c r="W2890" s="41"/>
      <c r="X2890" s="41"/>
      <c r="Y2890" s="41"/>
    </row>
    <row r="2891" s="27" customFormat="1" ht="23" hidden="1" customHeight="1" spans="1:25">
      <c r="A2891" s="133" t="str">
        <f>IF(B2891="","",COUNTA($B$5:B2891))</f>
        <v/>
      </c>
      <c r="B2891" s="148"/>
      <c r="C2891" s="22" t="s">
        <v>49</v>
      </c>
      <c r="D2891" s="149"/>
      <c r="E2891" s="150"/>
      <c r="F2891" s="151"/>
      <c r="G2891" s="151"/>
      <c r="H2891" s="142">
        <f>IFERROR(VLOOKUP($C2891,$C$5:$H$18,6,0)+SUMIF($C$19:$C2891,$C2891,$F$19:$F2891)-SUMIF($C$19:$C2891,$C2891,$G$19:$G2891),"")</f>
        <v>81211.819999998</v>
      </c>
      <c r="I2891" s="147"/>
      <c r="J2891" s="147"/>
      <c r="K2891" s="147" t="str">
        <f t="shared" si="45"/>
        <v/>
      </c>
      <c r="L2891" s="40"/>
      <c r="M2891"/>
      <c r="N2891"/>
      <c r="O2891"/>
      <c r="P2891"/>
      <c r="Q2891"/>
      <c r="R2891"/>
      <c r="S2891"/>
      <c r="T2891"/>
      <c r="U2891"/>
      <c r="V2891"/>
      <c r="W2891" s="41"/>
      <c r="X2891" s="41"/>
      <c r="Y2891" s="41"/>
    </row>
    <row r="2892" s="27" customFormat="1" ht="23" hidden="1" customHeight="1" spans="1:25">
      <c r="A2892" s="133" t="str">
        <f>IF(B2892="","",COUNTA($B$5:B2892))</f>
        <v/>
      </c>
      <c r="B2892" s="148"/>
      <c r="C2892" s="22" t="s">
        <v>49</v>
      </c>
      <c r="D2892" s="149"/>
      <c r="E2892" s="150"/>
      <c r="F2892" s="151"/>
      <c r="G2892" s="151"/>
      <c r="H2892" s="142">
        <f>IFERROR(VLOOKUP($C2892,$C$5:$H$18,6,0)+SUMIF($C$19:$C2892,$C2892,$F$19:$F2892)-SUMIF($C$19:$C2892,$C2892,$G$19:$G2892),"")</f>
        <v>81211.819999998</v>
      </c>
      <c r="I2892" s="147"/>
      <c r="J2892" s="147"/>
      <c r="K2892" s="147" t="str">
        <f t="shared" si="45"/>
        <v/>
      </c>
      <c r="L2892" s="40"/>
      <c r="M2892"/>
      <c r="N2892"/>
      <c r="O2892"/>
      <c r="P2892"/>
      <c r="Q2892"/>
      <c r="R2892"/>
      <c r="S2892"/>
      <c r="T2892"/>
      <c r="U2892"/>
      <c r="V2892"/>
      <c r="W2892" s="41"/>
      <c r="X2892" s="41"/>
      <c r="Y2892" s="41"/>
    </row>
    <row r="2893" s="27" customFormat="1" ht="23" hidden="1" customHeight="1" spans="1:25">
      <c r="A2893" s="133" t="str">
        <f>IF(B2893="","",COUNTA($B$5:B2893))</f>
        <v/>
      </c>
      <c r="B2893" s="148"/>
      <c r="C2893" s="22" t="s">
        <v>49</v>
      </c>
      <c r="D2893" s="149"/>
      <c r="E2893" s="150"/>
      <c r="F2893" s="151"/>
      <c r="G2893" s="151"/>
      <c r="H2893" s="142">
        <f>IFERROR(VLOOKUP($C2893,$C$5:$H$18,6,0)+SUMIF($C$19:$C2893,$C2893,$F$19:$F2893)-SUMIF($C$19:$C2893,$C2893,$G$19:$G2893),"")</f>
        <v>81211.819999998</v>
      </c>
      <c r="I2893" s="147"/>
      <c r="J2893" s="147"/>
      <c r="K2893" s="147" t="str">
        <f t="shared" si="45"/>
        <v/>
      </c>
      <c r="L2893" s="40"/>
      <c r="M2893"/>
      <c r="N2893"/>
      <c r="O2893"/>
      <c r="P2893"/>
      <c r="Q2893"/>
      <c r="R2893"/>
      <c r="S2893"/>
      <c r="T2893"/>
      <c r="U2893"/>
      <c r="V2893"/>
      <c r="W2893" s="41"/>
      <c r="X2893" s="41"/>
      <c r="Y2893" s="41"/>
    </row>
    <row r="2894" s="27" customFormat="1" ht="23" hidden="1" customHeight="1" spans="1:25">
      <c r="A2894" s="133" t="str">
        <f>IF(B2894="","",COUNTA($B$5:B2894))</f>
        <v/>
      </c>
      <c r="B2894" s="148"/>
      <c r="C2894" s="22" t="s">
        <v>49</v>
      </c>
      <c r="D2894" s="149"/>
      <c r="E2894" s="150"/>
      <c r="F2894" s="151"/>
      <c r="G2894" s="151"/>
      <c r="H2894" s="142">
        <f>IFERROR(VLOOKUP($C2894,$C$5:$H$18,6,0)+SUMIF($C$19:$C2894,$C2894,$F$19:$F2894)-SUMIF($C$19:$C2894,$C2894,$G$19:$G2894),"")</f>
        <v>81211.819999998</v>
      </c>
      <c r="I2894" s="147"/>
      <c r="J2894" s="147"/>
      <c r="K2894" s="147" t="str">
        <f t="shared" si="45"/>
        <v/>
      </c>
      <c r="L2894" s="40"/>
      <c r="M2894"/>
      <c r="N2894"/>
      <c r="O2894"/>
      <c r="P2894"/>
      <c r="Q2894"/>
      <c r="R2894"/>
      <c r="S2894"/>
      <c r="T2894"/>
      <c r="U2894"/>
      <c r="V2894"/>
      <c r="W2894" s="41"/>
      <c r="X2894" s="41"/>
      <c r="Y2894" s="41"/>
    </row>
    <row r="2895" s="27" customFormat="1" ht="23" hidden="1" customHeight="1" spans="1:25">
      <c r="A2895" s="133" t="str">
        <f>IF(B2895="","",COUNTA($B$5:B2895))</f>
        <v/>
      </c>
      <c r="B2895" s="148"/>
      <c r="C2895" s="22" t="s">
        <v>49</v>
      </c>
      <c r="D2895" s="149"/>
      <c r="E2895" s="150"/>
      <c r="F2895" s="151"/>
      <c r="G2895" s="151"/>
      <c r="H2895" s="142">
        <f>IFERROR(VLOOKUP($C2895,$C$5:$H$18,6,0)+SUMIF($C$19:$C2895,$C2895,$F$19:$F2895)-SUMIF($C$19:$C2895,$C2895,$G$19:$G2895),"")</f>
        <v>81211.819999998</v>
      </c>
      <c r="I2895" s="147"/>
      <c r="J2895" s="147"/>
      <c r="K2895" s="147" t="str">
        <f t="shared" si="45"/>
        <v/>
      </c>
      <c r="L2895" s="40"/>
      <c r="M2895"/>
      <c r="N2895"/>
      <c r="O2895"/>
      <c r="P2895"/>
      <c r="Q2895"/>
      <c r="R2895"/>
      <c r="S2895"/>
      <c r="T2895"/>
      <c r="U2895"/>
      <c r="V2895"/>
      <c r="W2895" s="41"/>
      <c r="X2895" s="41"/>
      <c r="Y2895" s="41"/>
    </row>
    <row r="2896" s="27" customFormat="1" ht="23" hidden="1" customHeight="1" spans="1:25">
      <c r="A2896" s="133" t="str">
        <f>IF(B2896="","",COUNTA($B$5:B2896))</f>
        <v/>
      </c>
      <c r="B2896" s="148"/>
      <c r="C2896" s="22" t="s">
        <v>49</v>
      </c>
      <c r="D2896" s="149"/>
      <c r="E2896" s="150"/>
      <c r="F2896" s="151"/>
      <c r="G2896" s="151"/>
      <c r="H2896" s="142">
        <f>IFERROR(VLOOKUP($C2896,$C$5:$H$18,6,0)+SUMIF($C$19:$C2896,$C2896,$F$19:$F2896)-SUMIF($C$19:$C2896,$C2896,$G$19:$G2896),"")</f>
        <v>81211.819999998</v>
      </c>
      <c r="I2896" s="147"/>
      <c r="J2896" s="147"/>
      <c r="K2896" s="147" t="str">
        <f t="shared" si="45"/>
        <v/>
      </c>
      <c r="L2896" s="40"/>
      <c r="M2896"/>
      <c r="N2896"/>
      <c r="O2896"/>
      <c r="P2896"/>
      <c r="Q2896"/>
      <c r="R2896"/>
      <c r="S2896"/>
      <c r="T2896"/>
      <c r="U2896"/>
      <c r="V2896"/>
      <c r="W2896" s="41"/>
      <c r="X2896" s="41"/>
      <c r="Y2896" s="41"/>
    </row>
    <row r="2897" s="27" customFormat="1" ht="23" hidden="1" customHeight="1" spans="1:25">
      <c r="A2897" s="133" t="str">
        <f>IF(B2897="","",COUNTA($B$5:B2897))</f>
        <v/>
      </c>
      <c r="B2897" s="148"/>
      <c r="C2897" s="22" t="s">
        <v>49</v>
      </c>
      <c r="D2897" s="149"/>
      <c r="E2897" s="150"/>
      <c r="F2897" s="151"/>
      <c r="G2897" s="151"/>
      <c r="H2897" s="142">
        <f>IFERROR(VLOOKUP($C2897,$C$5:$H$18,6,0)+SUMIF($C$19:$C2897,$C2897,$F$19:$F2897)-SUMIF($C$19:$C2897,$C2897,$G$19:$G2897),"")</f>
        <v>81211.819999998</v>
      </c>
      <c r="I2897" s="147"/>
      <c r="J2897" s="147"/>
      <c r="K2897" s="147" t="str">
        <f t="shared" si="45"/>
        <v/>
      </c>
      <c r="L2897" s="40"/>
      <c r="M2897"/>
      <c r="N2897"/>
      <c r="O2897"/>
      <c r="P2897"/>
      <c r="Q2897"/>
      <c r="R2897"/>
      <c r="S2897"/>
      <c r="T2897"/>
      <c r="U2897"/>
      <c r="V2897"/>
      <c r="W2897" s="41"/>
      <c r="X2897" s="41"/>
      <c r="Y2897" s="41"/>
    </row>
    <row r="2898" s="27" customFormat="1" ht="23" hidden="1" customHeight="1" spans="1:25">
      <c r="A2898" s="133" t="str">
        <f>IF(B2898="","",COUNTA($B$5:B2898))</f>
        <v/>
      </c>
      <c r="B2898" s="148"/>
      <c r="C2898" s="22" t="s">
        <v>49</v>
      </c>
      <c r="D2898" s="149"/>
      <c r="E2898" s="150"/>
      <c r="F2898" s="151"/>
      <c r="G2898" s="151"/>
      <c r="H2898" s="142">
        <f>IFERROR(VLOOKUP($C2898,$C$5:$H$18,6,0)+SUMIF($C$19:$C2898,$C2898,$F$19:$F2898)-SUMIF($C$19:$C2898,$C2898,$G$19:$G2898),"")</f>
        <v>81211.819999998</v>
      </c>
      <c r="I2898" s="147"/>
      <c r="J2898" s="147"/>
      <c r="K2898" s="147" t="str">
        <f t="shared" si="45"/>
        <v/>
      </c>
      <c r="L2898" s="40"/>
      <c r="M2898"/>
      <c r="N2898"/>
      <c r="O2898"/>
      <c r="P2898"/>
      <c r="Q2898"/>
      <c r="R2898"/>
      <c r="S2898"/>
      <c r="T2898"/>
      <c r="U2898"/>
      <c r="V2898"/>
      <c r="W2898" s="41"/>
      <c r="X2898" s="41"/>
      <c r="Y2898" s="41"/>
    </row>
    <row r="2899" s="27" customFormat="1" ht="23" hidden="1" customHeight="1" spans="1:25">
      <c r="A2899" s="133" t="str">
        <f>IF(B2899="","",COUNTA($B$5:B2899))</f>
        <v/>
      </c>
      <c r="B2899" s="148"/>
      <c r="C2899" s="22" t="s">
        <v>49</v>
      </c>
      <c r="D2899" s="149"/>
      <c r="E2899" s="150"/>
      <c r="F2899" s="151"/>
      <c r="G2899" s="151"/>
      <c r="H2899" s="142">
        <f>IFERROR(VLOOKUP($C2899,$C$5:$H$18,6,0)+SUMIF($C$19:$C2899,$C2899,$F$19:$F2899)-SUMIF($C$19:$C2899,$C2899,$G$19:$G2899),"")</f>
        <v>81211.819999998</v>
      </c>
      <c r="I2899" s="147"/>
      <c r="J2899" s="147"/>
      <c r="K2899" s="147" t="str">
        <f t="shared" si="45"/>
        <v/>
      </c>
      <c r="L2899" s="40"/>
      <c r="M2899"/>
      <c r="N2899"/>
      <c r="O2899"/>
      <c r="P2899"/>
      <c r="Q2899"/>
      <c r="R2899"/>
      <c r="S2899"/>
      <c r="T2899"/>
      <c r="U2899"/>
      <c r="V2899"/>
      <c r="W2899" s="41"/>
      <c r="X2899" s="41"/>
      <c r="Y2899" s="41"/>
    </row>
    <row r="2900" s="27" customFormat="1" ht="23" hidden="1" customHeight="1" spans="1:25">
      <c r="A2900" s="133" t="str">
        <f>IF(B2900="","",COUNTA($B$5:B2900))</f>
        <v/>
      </c>
      <c r="B2900" s="148"/>
      <c r="C2900" s="22" t="s">
        <v>49</v>
      </c>
      <c r="D2900" s="149"/>
      <c r="E2900" s="150"/>
      <c r="F2900" s="151"/>
      <c r="G2900" s="151"/>
      <c r="H2900" s="142">
        <f>IFERROR(VLOOKUP($C2900,$C$5:$H$18,6,0)+SUMIF($C$19:$C2900,$C2900,$F$19:$F2900)-SUMIF($C$19:$C2900,$C2900,$G$19:$G2900),"")</f>
        <v>81211.819999998</v>
      </c>
      <c r="I2900" s="147"/>
      <c r="J2900" s="147"/>
      <c r="K2900" s="147" t="str">
        <f t="shared" si="45"/>
        <v/>
      </c>
      <c r="L2900" s="40"/>
      <c r="M2900"/>
      <c r="N2900"/>
      <c r="O2900"/>
      <c r="P2900"/>
      <c r="Q2900"/>
      <c r="R2900"/>
      <c r="S2900"/>
      <c r="T2900"/>
      <c r="U2900"/>
      <c r="V2900"/>
      <c r="W2900" s="41"/>
      <c r="X2900" s="41"/>
      <c r="Y2900" s="41"/>
    </row>
    <row r="2901" s="27" customFormat="1" ht="23" hidden="1" customHeight="1" spans="1:25">
      <c r="A2901" s="133" t="str">
        <f>IF(B2901="","",COUNTA($B$5:B2901))</f>
        <v/>
      </c>
      <c r="B2901" s="148"/>
      <c r="C2901" s="22" t="s">
        <v>49</v>
      </c>
      <c r="D2901" s="149"/>
      <c r="E2901" s="150"/>
      <c r="F2901" s="151"/>
      <c r="G2901" s="151"/>
      <c r="H2901" s="142">
        <f>IFERROR(VLOOKUP($C2901,$C$5:$H$18,6,0)+SUMIF($C$19:$C2901,$C2901,$F$19:$F2901)-SUMIF($C$19:$C2901,$C2901,$G$19:$G2901),"")</f>
        <v>81211.819999998</v>
      </c>
      <c r="I2901" s="147"/>
      <c r="J2901" s="147"/>
      <c r="K2901" s="147" t="str">
        <f t="shared" si="45"/>
        <v/>
      </c>
      <c r="L2901" s="40"/>
      <c r="M2901"/>
      <c r="N2901"/>
      <c r="O2901"/>
      <c r="P2901"/>
      <c r="Q2901"/>
      <c r="R2901"/>
      <c r="S2901"/>
      <c r="T2901"/>
      <c r="U2901"/>
      <c r="V2901"/>
      <c r="W2901" s="41"/>
      <c r="X2901" s="41"/>
      <c r="Y2901" s="41"/>
    </row>
    <row r="2902" s="27" customFormat="1" ht="23" hidden="1" customHeight="1" spans="1:25">
      <c r="A2902" s="133" t="str">
        <f>IF(B2902="","",COUNTA($B$5:B2902))</f>
        <v/>
      </c>
      <c r="B2902" s="148"/>
      <c r="C2902" s="22" t="s">
        <v>49</v>
      </c>
      <c r="D2902" s="149"/>
      <c r="E2902" s="150"/>
      <c r="F2902" s="151"/>
      <c r="G2902" s="151"/>
      <c r="H2902" s="142">
        <f>IFERROR(VLOOKUP($C2902,$C$5:$H$18,6,0)+SUMIF($C$19:$C2902,$C2902,$F$19:$F2902)-SUMIF($C$19:$C2902,$C2902,$G$19:$G2902),"")</f>
        <v>81211.819999998</v>
      </c>
      <c r="I2902" s="147"/>
      <c r="J2902" s="147"/>
      <c r="K2902" s="147" t="str">
        <f t="shared" si="45"/>
        <v/>
      </c>
      <c r="L2902" s="40"/>
      <c r="M2902"/>
      <c r="N2902"/>
      <c r="O2902"/>
      <c r="P2902"/>
      <c r="Q2902"/>
      <c r="R2902"/>
      <c r="S2902"/>
      <c r="T2902"/>
      <c r="U2902"/>
      <c r="V2902"/>
      <c r="W2902" s="41"/>
      <c r="X2902" s="41"/>
      <c r="Y2902" s="41"/>
    </row>
    <row r="2903" s="27" customFormat="1" ht="23" hidden="1" customHeight="1" spans="1:25">
      <c r="A2903" s="133" t="str">
        <f>IF(B2903="","",COUNTA($B$5:B2903))</f>
        <v/>
      </c>
      <c r="B2903" s="148"/>
      <c r="C2903" s="22" t="s">
        <v>49</v>
      </c>
      <c r="D2903" s="149"/>
      <c r="E2903" s="150"/>
      <c r="F2903" s="151"/>
      <c r="G2903" s="151"/>
      <c r="H2903" s="142">
        <f>IFERROR(VLOOKUP($C2903,$C$5:$H$18,6,0)+SUMIF($C$19:$C2903,$C2903,$F$19:$F2903)-SUMIF($C$19:$C2903,$C2903,$G$19:$G2903),"")</f>
        <v>81211.819999998</v>
      </c>
      <c r="I2903" s="147"/>
      <c r="J2903" s="147"/>
      <c r="K2903" s="147" t="str">
        <f t="shared" si="45"/>
        <v/>
      </c>
      <c r="L2903" s="40"/>
      <c r="M2903"/>
      <c r="N2903"/>
      <c r="O2903"/>
      <c r="P2903"/>
      <c r="Q2903"/>
      <c r="R2903"/>
      <c r="S2903"/>
      <c r="T2903"/>
      <c r="U2903"/>
      <c r="V2903"/>
      <c r="W2903" s="41"/>
      <c r="X2903" s="41"/>
      <c r="Y2903" s="41"/>
    </row>
    <row r="2904" s="27" customFormat="1" ht="23" hidden="1" customHeight="1" spans="1:25">
      <c r="A2904" s="133" t="str">
        <f>IF(B2904="","",COUNTA($B$5:B2904))</f>
        <v/>
      </c>
      <c r="B2904" s="148"/>
      <c r="C2904" s="22" t="s">
        <v>49</v>
      </c>
      <c r="D2904" s="149"/>
      <c r="E2904" s="150"/>
      <c r="F2904" s="151"/>
      <c r="G2904" s="151"/>
      <c r="H2904" s="142">
        <f>IFERROR(VLOOKUP($C2904,$C$5:$H$18,6,0)+SUMIF($C$19:$C2904,$C2904,$F$19:$F2904)-SUMIF($C$19:$C2904,$C2904,$G$19:$G2904),"")</f>
        <v>81211.819999998</v>
      </c>
      <c r="I2904" s="147"/>
      <c r="J2904" s="147"/>
      <c r="K2904" s="147" t="str">
        <f t="shared" si="45"/>
        <v/>
      </c>
      <c r="L2904" s="40"/>
      <c r="M2904"/>
      <c r="N2904"/>
      <c r="O2904"/>
      <c r="P2904"/>
      <c r="Q2904"/>
      <c r="R2904"/>
      <c r="S2904"/>
      <c r="T2904"/>
      <c r="U2904"/>
      <c r="V2904"/>
      <c r="W2904" s="41"/>
      <c r="X2904" s="41"/>
      <c r="Y2904" s="41"/>
    </row>
    <row r="2905" s="27" customFormat="1" ht="23" hidden="1" customHeight="1" spans="1:25">
      <c r="A2905" s="133" t="str">
        <f>IF(B2905="","",COUNTA($B$5:B2905))</f>
        <v/>
      </c>
      <c r="B2905" s="148"/>
      <c r="C2905" s="22" t="s">
        <v>49</v>
      </c>
      <c r="D2905" s="149"/>
      <c r="E2905" s="150"/>
      <c r="F2905" s="151"/>
      <c r="G2905" s="151"/>
      <c r="H2905" s="142">
        <f>IFERROR(VLOOKUP($C2905,$C$5:$H$18,6,0)+SUMIF($C$19:$C2905,$C2905,$F$19:$F2905)-SUMIF($C$19:$C2905,$C2905,$G$19:$G2905),"")</f>
        <v>81211.819999998</v>
      </c>
      <c r="I2905" s="147"/>
      <c r="J2905" s="147"/>
      <c r="K2905" s="147" t="str">
        <f t="shared" si="45"/>
        <v/>
      </c>
      <c r="L2905" s="40"/>
      <c r="M2905"/>
      <c r="N2905"/>
      <c r="O2905"/>
      <c r="P2905"/>
      <c r="Q2905"/>
      <c r="R2905"/>
      <c r="S2905"/>
      <c r="T2905"/>
      <c r="U2905"/>
      <c r="V2905"/>
      <c r="W2905" s="41"/>
      <c r="X2905" s="41"/>
      <c r="Y2905" s="41"/>
    </row>
    <row r="2906" s="27" customFormat="1" ht="23" hidden="1" customHeight="1" spans="1:25">
      <c r="A2906" s="133" t="str">
        <f>IF(B2906="","",COUNTA($B$5:B2906))</f>
        <v/>
      </c>
      <c r="B2906" s="148"/>
      <c r="C2906" s="22" t="s">
        <v>49</v>
      </c>
      <c r="D2906" s="149"/>
      <c r="E2906" s="150"/>
      <c r="F2906" s="151"/>
      <c r="G2906" s="151"/>
      <c r="H2906" s="142">
        <f>IFERROR(VLOOKUP($C2906,$C$5:$H$18,6,0)+SUMIF($C$19:$C2906,$C2906,$F$19:$F2906)-SUMIF($C$19:$C2906,$C2906,$G$19:$G2906),"")</f>
        <v>81211.819999998</v>
      </c>
      <c r="I2906" s="147"/>
      <c r="J2906" s="147"/>
      <c r="K2906" s="147" t="str">
        <f t="shared" si="45"/>
        <v/>
      </c>
      <c r="L2906" s="40"/>
      <c r="M2906"/>
      <c r="N2906"/>
      <c r="O2906"/>
      <c r="P2906"/>
      <c r="Q2906"/>
      <c r="R2906"/>
      <c r="S2906"/>
      <c r="T2906"/>
      <c r="U2906"/>
      <c r="V2906"/>
      <c r="W2906" s="41"/>
      <c r="X2906" s="41"/>
      <c r="Y2906" s="41"/>
    </row>
    <row r="2907" s="27" customFormat="1" ht="23" hidden="1" customHeight="1" spans="1:25">
      <c r="A2907" s="133" t="str">
        <f>IF(B2907="","",COUNTA($B$5:B2907))</f>
        <v/>
      </c>
      <c r="B2907" s="148"/>
      <c r="C2907" s="22" t="s">
        <v>49</v>
      </c>
      <c r="D2907" s="149"/>
      <c r="E2907" s="150"/>
      <c r="F2907" s="151"/>
      <c r="G2907" s="151"/>
      <c r="H2907" s="142">
        <f>IFERROR(VLOOKUP($C2907,$C$5:$H$18,6,0)+SUMIF($C$19:$C2907,$C2907,$F$19:$F2907)-SUMIF($C$19:$C2907,$C2907,$G$19:$G2907),"")</f>
        <v>81211.819999998</v>
      </c>
      <c r="I2907" s="147"/>
      <c r="J2907" s="147"/>
      <c r="K2907" s="147" t="str">
        <f t="shared" si="45"/>
        <v/>
      </c>
      <c r="L2907" s="40"/>
      <c r="M2907"/>
      <c r="N2907"/>
      <c r="O2907"/>
      <c r="P2907"/>
      <c r="Q2907"/>
      <c r="R2907"/>
      <c r="S2907"/>
      <c r="T2907"/>
      <c r="U2907"/>
      <c r="V2907"/>
      <c r="W2907" s="41"/>
      <c r="X2907" s="41"/>
      <c r="Y2907" s="41"/>
    </row>
    <row r="2908" s="27" customFormat="1" ht="23" hidden="1" customHeight="1" spans="1:25">
      <c r="A2908" s="133" t="str">
        <f>IF(B2908="","",COUNTA($B$5:B2908))</f>
        <v/>
      </c>
      <c r="B2908" s="148"/>
      <c r="C2908" s="22" t="s">
        <v>49</v>
      </c>
      <c r="D2908" s="149"/>
      <c r="E2908" s="150"/>
      <c r="F2908" s="151"/>
      <c r="G2908" s="151"/>
      <c r="H2908" s="142">
        <f>IFERROR(VLOOKUP($C2908,$C$5:$H$18,6,0)+SUMIF($C$19:$C2908,$C2908,$F$19:$F2908)-SUMIF($C$19:$C2908,$C2908,$G$19:$G2908),"")</f>
        <v>81211.819999998</v>
      </c>
      <c r="I2908" s="147"/>
      <c r="J2908" s="147"/>
      <c r="K2908" s="147" t="str">
        <f t="shared" si="45"/>
        <v/>
      </c>
      <c r="L2908" s="40"/>
      <c r="M2908"/>
      <c r="N2908"/>
      <c r="O2908"/>
      <c r="P2908"/>
      <c r="Q2908"/>
      <c r="R2908"/>
      <c r="S2908"/>
      <c r="T2908"/>
      <c r="U2908"/>
      <c r="V2908"/>
      <c r="W2908" s="41"/>
      <c r="X2908" s="41"/>
      <c r="Y2908" s="41"/>
    </row>
    <row r="2909" s="27" customFormat="1" ht="23" hidden="1" customHeight="1" spans="1:25">
      <c r="A2909" s="133" t="str">
        <f>IF(B2909="","",COUNTA($B$5:B2909))</f>
        <v/>
      </c>
      <c r="B2909" s="148"/>
      <c r="C2909" s="22" t="s">
        <v>49</v>
      </c>
      <c r="D2909" s="149"/>
      <c r="E2909" s="150"/>
      <c r="F2909" s="151"/>
      <c r="G2909" s="151"/>
      <c r="H2909" s="142">
        <f>IFERROR(VLOOKUP($C2909,$C$5:$H$18,6,0)+SUMIF($C$19:$C2909,$C2909,$F$19:$F2909)-SUMIF($C$19:$C2909,$C2909,$G$19:$G2909),"")</f>
        <v>81211.819999998</v>
      </c>
      <c r="I2909" s="147"/>
      <c r="J2909" s="147"/>
      <c r="K2909" s="147" t="str">
        <f t="shared" si="45"/>
        <v/>
      </c>
      <c r="L2909" s="40"/>
      <c r="M2909"/>
      <c r="N2909"/>
      <c r="O2909"/>
      <c r="P2909"/>
      <c r="Q2909"/>
      <c r="R2909"/>
      <c r="S2909"/>
      <c r="T2909"/>
      <c r="U2909"/>
      <c r="V2909"/>
      <c r="W2909" s="41"/>
      <c r="X2909" s="41"/>
      <c r="Y2909" s="41"/>
    </row>
    <row r="2910" s="27" customFormat="1" ht="23" hidden="1" customHeight="1" spans="1:25">
      <c r="A2910" s="133" t="str">
        <f>IF(B2910="","",COUNTA($B$5:B2910))</f>
        <v/>
      </c>
      <c r="B2910" s="148"/>
      <c r="C2910" s="22" t="s">
        <v>49</v>
      </c>
      <c r="D2910" s="149"/>
      <c r="E2910" s="150"/>
      <c r="F2910" s="151"/>
      <c r="G2910" s="151"/>
      <c r="H2910" s="142">
        <f>IFERROR(VLOOKUP($C2910,$C$5:$H$18,6,0)+SUMIF($C$19:$C2910,$C2910,$F$19:$F2910)-SUMIF($C$19:$C2910,$C2910,$G$19:$G2910),"")</f>
        <v>81211.819999998</v>
      </c>
      <c r="I2910" s="147"/>
      <c r="J2910" s="147"/>
      <c r="K2910" s="147" t="str">
        <f t="shared" si="45"/>
        <v/>
      </c>
      <c r="L2910" s="40"/>
      <c r="M2910"/>
      <c r="N2910"/>
      <c r="O2910"/>
      <c r="P2910"/>
      <c r="Q2910"/>
      <c r="R2910"/>
      <c r="S2910"/>
      <c r="T2910"/>
      <c r="U2910"/>
      <c r="V2910"/>
      <c r="W2910" s="41"/>
      <c r="X2910" s="41"/>
      <c r="Y2910" s="41"/>
    </row>
    <row r="2911" s="27" customFormat="1" ht="23" hidden="1" customHeight="1" spans="1:25">
      <c r="A2911" s="133" t="str">
        <f>IF(B2911="","",COUNTA($B$5:B2911))</f>
        <v/>
      </c>
      <c r="B2911" s="148"/>
      <c r="C2911" s="22" t="s">
        <v>49</v>
      </c>
      <c r="D2911" s="149"/>
      <c r="E2911" s="150"/>
      <c r="F2911" s="151"/>
      <c r="G2911" s="151"/>
      <c r="H2911" s="142">
        <f>IFERROR(VLOOKUP($C2911,$C$5:$H$18,6,0)+SUMIF($C$19:$C2911,$C2911,$F$19:$F2911)-SUMIF($C$19:$C2911,$C2911,$G$19:$G2911),"")</f>
        <v>81211.819999998</v>
      </c>
      <c r="I2911" s="147"/>
      <c r="J2911" s="147"/>
      <c r="K2911" s="147" t="str">
        <f t="shared" si="45"/>
        <v/>
      </c>
      <c r="L2911" s="40"/>
      <c r="M2911"/>
      <c r="N2911"/>
      <c r="O2911"/>
      <c r="P2911"/>
      <c r="Q2911"/>
      <c r="R2911"/>
      <c r="S2911"/>
      <c r="T2911"/>
      <c r="U2911"/>
      <c r="V2911"/>
      <c r="W2911" s="41"/>
      <c r="X2911" s="41"/>
      <c r="Y2911" s="41"/>
    </row>
    <row r="2912" s="27" customFormat="1" ht="23" hidden="1" customHeight="1" spans="1:25">
      <c r="A2912" s="133" t="str">
        <f>IF(B2912="","",COUNTA($B$5:B2912))</f>
        <v/>
      </c>
      <c r="B2912" s="148"/>
      <c r="C2912" s="22" t="s">
        <v>49</v>
      </c>
      <c r="D2912" s="149"/>
      <c r="E2912" s="150"/>
      <c r="F2912" s="151"/>
      <c r="G2912" s="151"/>
      <c r="H2912" s="142">
        <f>IFERROR(VLOOKUP($C2912,$C$5:$H$18,6,0)+SUMIF($C$19:$C2912,$C2912,$F$19:$F2912)-SUMIF($C$19:$C2912,$C2912,$G$19:$G2912),"")</f>
        <v>81211.819999998</v>
      </c>
      <c r="I2912" s="147"/>
      <c r="J2912" s="147"/>
      <c r="K2912" s="147" t="str">
        <f t="shared" si="45"/>
        <v/>
      </c>
      <c r="L2912" s="40"/>
      <c r="M2912"/>
      <c r="N2912"/>
      <c r="O2912"/>
      <c r="P2912"/>
      <c r="Q2912"/>
      <c r="R2912"/>
      <c r="S2912"/>
      <c r="T2912"/>
      <c r="U2912"/>
      <c r="V2912"/>
      <c r="W2912" s="41"/>
      <c r="X2912" s="41"/>
      <c r="Y2912" s="41"/>
    </row>
    <row r="2913" s="27" customFormat="1" ht="23" hidden="1" customHeight="1" spans="1:25">
      <c r="A2913" s="133" t="str">
        <f>IF(B2913="","",COUNTA($B$5:B2913))</f>
        <v/>
      </c>
      <c r="B2913" s="148"/>
      <c r="C2913" s="22" t="s">
        <v>49</v>
      </c>
      <c r="D2913" s="149"/>
      <c r="E2913" s="150"/>
      <c r="F2913" s="151"/>
      <c r="G2913" s="151"/>
      <c r="H2913" s="142">
        <f>IFERROR(VLOOKUP($C2913,$C$5:$H$18,6,0)+SUMIF($C$19:$C2913,$C2913,$F$19:$F2913)-SUMIF($C$19:$C2913,$C2913,$G$19:$G2913),"")</f>
        <v>81211.819999998</v>
      </c>
      <c r="I2913" s="147"/>
      <c r="J2913" s="147"/>
      <c r="K2913" s="147" t="str">
        <f t="shared" si="45"/>
        <v/>
      </c>
      <c r="L2913" s="40"/>
      <c r="M2913"/>
      <c r="N2913"/>
      <c r="O2913"/>
      <c r="P2913"/>
      <c r="Q2913"/>
      <c r="R2913"/>
      <c r="S2913"/>
      <c r="T2913"/>
      <c r="U2913"/>
      <c r="V2913"/>
      <c r="W2913" s="41"/>
      <c r="X2913" s="41"/>
      <c r="Y2913" s="41"/>
    </row>
    <row r="2914" s="27" customFormat="1" ht="23" hidden="1" customHeight="1" spans="1:25">
      <c r="A2914" s="133" t="str">
        <f>IF(B2914="","",COUNTA($B$5:B2914))</f>
        <v/>
      </c>
      <c r="B2914" s="148"/>
      <c r="C2914" s="22" t="s">
        <v>49</v>
      </c>
      <c r="D2914" s="149"/>
      <c r="E2914" s="150"/>
      <c r="F2914" s="151"/>
      <c r="G2914" s="151"/>
      <c r="H2914" s="142">
        <f>IFERROR(VLOOKUP($C2914,$C$5:$H$18,6,0)+SUMIF($C$19:$C2914,$C2914,$F$19:$F2914)-SUMIF($C$19:$C2914,$C2914,$G$19:$G2914),"")</f>
        <v>81211.819999998</v>
      </c>
      <c r="I2914" s="147"/>
      <c r="J2914" s="147"/>
      <c r="K2914" s="147" t="str">
        <f t="shared" si="45"/>
        <v/>
      </c>
      <c r="L2914" s="40"/>
      <c r="M2914"/>
      <c r="N2914"/>
      <c r="O2914"/>
      <c r="P2914"/>
      <c r="Q2914"/>
      <c r="R2914"/>
      <c r="S2914"/>
      <c r="T2914"/>
      <c r="U2914"/>
      <c r="V2914"/>
      <c r="W2914" s="41"/>
      <c r="X2914" s="41"/>
      <c r="Y2914" s="41"/>
    </row>
    <row r="2915" s="27" customFormat="1" ht="23" hidden="1" customHeight="1" spans="1:25">
      <c r="A2915" s="133" t="str">
        <f>IF(B2915="","",COUNTA($B$5:B2915))</f>
        <v/>
      </c>
      <c r="B2915" s="148"/>
      <c r="C2915" s="22" t="s">
        <v>49</v>
      </c>
      <c r="D2915" s="149"/>
      <c r="E2915" s="150"/>
      <c r="F2915" s="151"/>
      <c r="G2915" s="151"/>
      <c r="H2915" s="142">
        <f>IFERROR(VLOOKUP($C2915,$C$5:$H$18,6,0)+SUMIF($C$19:$C2915,$C2915,$F$19:$F2915)-SUMIF($C$19:$C2915,$C2915,$G$19:$G2915),"")</f>
        <v>81211.819999998</v>
      </c>
      <c r="I2915" s="147"/>
      <c r="J2915" s="147"/>
      <c r="K2915" s="147" t="str">
        <f t="shared" si="45"/>
        <v/>
      </c>
      <c r="L2915" s="40"/>
      <c r="M2915"/>
      <c r="N2915"/>
      <c r="O2915"/>
      <c r="P2915"/>
      <c r="Q2915"/>
      <c r="R2915"/>
      <c r="S2915"/>
      <c r="T2915"/>
      <c r="U2915"/>
      <c r="V2915"/>
      <c r="W2915" s="41"/>
      <c r="X2915" s="41"/>
      <c r="Y2915" s="41"/>
    </row>
    <row r="2916" s="27" customFormat="1" ht="23" hidden="1" customHeight="1" spans="1:25">
      <c r="A2916" s="133" t="str">
        <f>IF(B2916="","",COUNTA($B$5:B2916))</f>
        <v/>
      </c>
      <c r="B2916" s="148"/>
      <c r="C2916" s="22" t="s">
        <v>49</v>
      </c>
      <c r="D2916" s="149"/>
      <c r="E2916" s="150"/>
      <c r="F2916" s="151"/>
      <c r="G2916" s="151"/>
      <c r="H2916" s="142">
        <f>IFERROR(VLOOKUP($C2916,$C$5:$H$18,6,0)+SUMIF($C$19:$C2916,$C2916,$F$19:$F2916)-SUMIF($C$19:$C2916,$C2916,$G$19:$G2916),"")</f>
        <v>81211.819999998</v>
      </c>
      <c r="I2916" s="147"/>
      <c r="J2916" s="147"/>
      <c r="K2916" s="147" t="str">
        <f t="shared" si="45"/>
        <v/>
      </c>
      <c r="L2916" s="40"/>
      <c r="M2916"/>
      <c r="N2916"/>
      <c r="O2916"/>
      <c r="P2916"/>
      <c r="Q2916"/>
      <c r="R2916"/>
      <c r="S2916"/>
      <c r="T2916"/>
      <c r="U2916"/>
      <c r="V2916"/>
      <c r="W2916" s="41"/>
      <c r="X2916" s="41"/>
      <c r="Y2916" s="41"/>
    </row>
    <row r="2917" s="27" customFormat="1" ht="23" hidden="1" customHeight="1" spans="1:25">
      <c r="A2917" s="133" t="str">
        <f>IF(B2917="","",COUNTA($B$5:B2917))</f>
        <v/>
      </c>
      <c r="B2917" s="148"/>
      <c r="C2917" s="22" t="s">
        <v>49</v>
      </c>
      <c r="D2917" s="149"/>
      <c r="E2917" s="150"/>
      <c r="F2917" s="151"/>
      <c r="G2917" s="151"/>
      <c r="H2917" s="142">
        <f>IFERROR(VLOOKUP($C2917,$C$5:$H$18,6,0)+SUMIF($C$19:$C2917,$C2917,$F$19:$F2917)-SUMIF($C$19:$C2917,$C2917,$G$19:$G2917),"")</f>
        <v>81211.819999998</v>
      </c>
      <c r="I2917" s="147"/>
      <c r="J2917" s="147"/>
      <c r="K2917" s="147" t="str">
        <f t="shared" si="45"/>
        <v/>
      </c>
      <c r="L2917" s="40"/>
      <c r="M2917"/>
      <c r="N2917"/>
      <c r="O2917"/>
      <c r="P2917"/>
      <c r="Q2917"/>
      <c r="R2917"/>
      <c r="S2917"/>
      <c r="T2917"/>
      <c r="U2917"/>
      <c r="V2917"/>
      <c r="W2917" s="41"/>
      <c r="X2917" s="41"/>
      <c r="Y2917" s="41"/>
    </row>
    <row r="2918" s="27" customFormat="1" ht="23" hidden="1" customHeight="1" spans="1:25">
      <c r="A2918" s="133" t="str">
        <f>IF(B2918="","",COUNTA($B$5:B2918))</f>
        <v/>
      </c>
      <c r="B2918" s="148"/>
      <c r="C2918" s="22" t="s">
        <v>49</v>
      </c>
      <c r="D2918" s="149"/>
      <c r="E2918" s="150"/>
      <c r="F2918" s="151"/>
      <c r="G2918" s="151"/>
      <c r="H2918" s="142">
        <f>IFERROR(VLOOKUP($C2918,$C$5:$H$18,6,0)+SUMIF($C$19:$C2918,$C2918,$F$19:$F2918)-SUMIF($C$19:$C2918,$C2918,$G$19:$G2918),"")</f>
        <v>81211.819999998</v>
      </c>
      <c r="I2918" s="147"/>
      <c r="J2918" s="147"/>
      <c r="K2918" s="147" t="str">
        <f t="shared" si="45"/>
        <v/>
      </c>
      <c r="L2918" s="40"/>
      <c r="M2918"/>
      <c r="N2918"/>
      <c r="O2918"/>
      <c r="P2918"/>
      <c r="Q2918"/>
      <c r="R2918"/>
      <c r="S2918"/>
      <c r="T2918"/>
      <c r="U2918"/>
      <c r="V2918"/>
      <c r="W2918" s="41"/>
      <c r="X2918" s="41"/>
      <c r="Y2918" s="41"/>
    </row>
    <row r="2919" s="27" customFormat="1" ht="23" hidden="1" customHeight="1" spans="1:25">
      <c r="A2919" s="133" t="str">
        <f>IF(B2919="","",COUNTA($B$5:B2919))</f>
        <v/>
      </c>
      <c r="B2919" s="148"/>
      <c r="C2919" s="22" t="s">
        <v>49</v>
      </c>
      <c r="D2919" s="149"/>
      <c r="E2919" s="150"/>
      <c r="F2919" s="151"/>
      <c r="G2919" s="151"/>
      <c r="H2919" s="142">
        <f>IFERROR(VLOOKUP($C2919,$C$5:$H$18,6,0)+SUMIF($C$19:$C2919,$C2919,$F$19:$F2919)-SUMIF($C$19:$C2919,$C2919,$G$19:$G2919),"")</f>
        <v>81211.819999998</v>
      </c>
      <c r="I2919" s="147"/>
      <c r="J2919" s="147"/>
      <c r="K2919" s="147" t="str">
        <f t="shared" si="45"/>
        <v/>
      </c>
      <c r="L2919" s="40"/>
      <c r="M2919"/>
      <c r="N2919"/>
      <c r="O2919"/>
      <c r="P2919"/>
      <c r="Q2919"/>
      <c r="R2919"/>
      <c r="S2919"/>
      <c r="T2919"/>
      <c r="U2919"/>
      <c r="V2919"/>
      <c r="W2919" s="41"/>
      <c r="X2919" s="41"/>
      <c r="Y2919" s="41"/>
    </row>
    <row r="2920" s="27" customFormat="1" ht="23" hidden="1" customHeight="1" spans="1:25">
      <c r="A2920" s="133" t="str">
        <f>IF(B2920="","",COUNTA($B$5:B2920))</f>
        <v/>
      </c>
      <c r="B2920" s="148"/>
      <c r="C2920" s="22" t="s">
        <v>49</v>
      </c>
      <c r="D2920" s="149"/>
      <c r="E2920" s="150"/>
      <c r="F2920" s="151"/>
      <c r="G2920" s="151"/>
      <c r="H2920" s="142">
        <f>IFERROR(VLOOKUP($C2920,$C$5:$H$18,6,0)+SUMIF($C$19:$C2920,$C2920,$F$19:$F2920)-SUMIF($C$19:$C2920,$C2920,$G$19:$G2920),"")</f>
        <v>81211.819999998</v>
      </c>
      <c r="I2920" s="147"/>
      <c r="J2920" s="147"/>
      <c r="K2920" s="147" t="str">
        <f t="shared" si="45"/>
        <v/>
      </c>
      <c r="L2920" s="40"/>
      <c r="M2920"/>
      <c r="N2920"/>
      <c r="O2920"/>
      <c r="P2920"/>
      <c r="Q2920"/>
      <c r="R2920"/>
      <c r="S2920"/>
      <c r="T2920"/>
      <c r="U2920"/>
      <c r="V2920"/>
      <c r="W2920" s="41"/>
      <c r="X2920" s="41"/>
      <c r="Y2920" s="41"/>
    </row>
    <row r="2921" s="27" customFormat="1" ht="23" hidden="1" customHeight="1" spans="1:25">
      <c r="A2921" s="133" t="str">
        <f>IF(B2921="","",COUNTA($B$5:B2921))</f>
        <v/>
      </c>
      <c r="B2921" s="148"/>
      <c r="C2921" s="22" t="s">
        <v>49</v>
      </c>
      <c r="D2921" s="149"/>
      <c r="E2921" s="150"/>
      <c r="F2921" s="151"/>
      <c r="G2921" s="151"/>
      <c r="H2921" s="142">
        <f>IFERROR(VLOOKUP($C2921,$C$5:$H$18,6,0)+SUMIF($C$19:$C2921,$C2921,$F$19:$F2921)-SUMIF($C$19:$C2921,$C2921,$G$19:$G2921),"")</f>
        <v>81211.819999998</v>
      </c>
      <c r="I2921" s="147"/>
      <c r="J2921" s="147"/>
      <c r="K2921" s="147" t="str">
        <f t="shared" si="45"/>
        <v/>
      </c>
      <c r="L2921" s="40"/>
      <c r="M2921"/>
      <c r="N2921"/>
      <c r="O2921"/>
      <c r="P2921"/>
      <c r="Q2921"/>
      <c r="R2921"/>
      <c r="S2921"/>
      <c r="T2921"/>
      <c r="U2921"/>
      <c r="V2921"/>
      <c r="W2921" s="41"/>
      <c r="X2921" s="41"/>
      <c r="Y2921" s="41"/>
    </row>
    <row r="2922" s="27" customFormat="1" ht="23" hidden="1" customHeight="1" spans="1:25">
      <c r="A2922" s="133" t="str">
        <f>IF(B2922="","",COUNTA($B$5:B2922))</f>
        <v/>
      </c>
      <c r="B2922" s="148"/>
      <c r="C2922" s="22" t="s">
        <v>49</v>
      </c>
      <c r="D2922" s="149"/>
      <c r="E2922" s="150"/>
      <c r="F2922" s="151"/>
      <c r="G2922" s="151"/>
      <c r="H2922" s="142">
        <f>IFERROR(VLOOKUP($C2922,$C$5:$H$18,6,0)+SUMIF($C$19:$C2922,$C2922,$F$19:$F2922)-SUMIF($C$19:$C2922,$C2922,$G$19:$G2922),"")</f>
        <v>81211.819999998</v>
      </c>
      <c r="I2922" s="147"/>
      <c r="J2922" s="147"/>
      <c r="K2922" s="147" t="str">
        <f t="shared" si="45"/>
        <v/>
      </c>
      <c r="L2922" s="40"/>
      <c r="M2922"/>
      <c r="N2922"/>
      <c r="O2922"/>
      <c r="P2922"/>
      <c r="Q2922"/>
      <c r="R2922"/>
      <c r="S2922"/>
      <c r="T2922"/>
      <c r="U2922"/>
      <c r="V2922"/>
      <c r="W2922" s="41"/>
      <c r="X2922" s="41"/>
      <c r="Y2922" s="41"/>
    </row>
    <row r="2923" s="27" customFormat="1" ht="23" hidden="1" customHeight="1" spans="1:25">
      <c r="A2923" s="133" t="str">
        <f>IF(B2923="","",COUNTA($B$5:B2923))</f>
        <v/>
      </c>
      <c r="B2923" s="148"/>
      <c r="C2923" s="22" t="s">
        <v>49</v>
      </c>
      <c r="D2923" s="149"/>
      <c r="E2923" s="150"/>
      <c r="F2923" s="151"/>
      <c r="G2923" s="151"/>
      <c r="H2923" s="142">
        <f>IFERROR(VLOOKUP($C2923,$C$5:$H$18,6,0)+SUMIF($C$19:$C2923,$C2923,$F$19:$F2923)-SUMIF($C$19:$C2923,$C2923,$G$19:$G2923),"")</f>
        <v>81211.819999998</v>
      </c>
      <c r="I2923" s="147"/>
      <c r="J2923" s="147"/>
      <c r="K2923" s="147" t="str">
        <f t="shared" si="45"/>
        <v/>
      </c>
      <c r="L2923" s="40"/>
      <c r="M2923"/>
      <c r="N2923"/>
      <c r="O2923"/>
      <c r="P2923"/>
      <c r="Q2923"/>
      <c r="R2923"/>
      <c r="S2923"/>
      <c r="T2923"/>
      <c r="U2923"/>
      <c r="V2923"/>
      <c r="W2923" s="41"/>
      <c r="X2923" s="41"/>
      <c r="Y2923" s="41"/>
    </row>
    <row r="2924" s="27" customFormat="1" ht="23" hidden="1" customHeight="1" spans="1:25">
      <c r="A2924" s="133" t="str">
        <f>IF(B2924="","",COUNTA($B$5:B2924))</f>
        <v/>
      </c>
      <c r="B2924" s="148"/>
      <c r="C2924" s="22" t="s">
        <v>49</v>
      </c>
      <c r="D2924" s="149"/>
      <c r="E2924" s="150"/>
      <c r="F2924" s="151"/>
      <c r="G2924" s="151"/>
      <c r="H2924" s="142">
        <f>IFERROR(VLOOKUP($C2924,$C$5:$H$18,6,0)+SUMIF($C$19:$C2924,$C2924,$F$19:$F2924)-SUMIF($C$19:$C2924,$C2924,$G$19:$G2924),"")</f>
        <v>81211.819999998</v>
      </c>
      <c r="I2924" s="147"/>
      <c r="J2924" s="147"/>
      <c r="K2924" s="147" t="str">
        <f t="shared" si="45"/>
        <v/>
      </c>
      <c r="L2924" s="40"/>
      <c r="M2924"/>
      <c r="N2924"/>
      <c r="O2924"/>
      <c r="P2924"/>
      <c r="Q2924"/>
      <c r="R2924"/>
      <c r="S2924"/>
      <c r="T2924"/>
      <c r="U2924"/>
      <c r="V2924"/>
      <c r="W2924" s="41"/>
      <c r="X2924" s="41"/>
      <c r="Y2924" s="41"/>
    </row>
    <row r="2925" s="27" customFormat="1" ht="23" hidden="1" customHeight="1" spans="1:25">
      <c r="A2925" s="133" t="str">
        <f>IF(B2925="","",COUNTA($B$5:B2925))</f>
        <v/>
      </c>
      <c r="B2925" s="148"/>
      <c r="C2925" s="22" t="s">
        <v>49</v>
      </c>
      <c r="D2925" s="149"/>
      <c r="E2925" s="150"/>
      <c r="F2925" s="151"/>
      <c r="G2925" s="151"/>
      <c r="H2925" s="142">
        <f>IFERROR(VLOOKUP($C2925,$C$5:$H$18,6,0)+SUMIF($C$19:$C2925,$C2925,$F$19:$F2925)-SUMIF($C$19:$C2925,$C2925,$G$19:$G2925),"")</f>
        <v>81211.819999998</v>
      </c>
      <c r="I2925" s="147"/>
      <c r="J2925" s="147"/>
      <c r="K2925" s="147" t="str">
        <f t="shared" si="45"/>
        <v/>
      </c>
      <c r="L2925" s="40"/>
      <c r="M2925"/>
      <c r="N2925"/>
      <c r="O2925"/>
      <c r="P2925"/>
      <c r="Q2925"/>
      <c r="R2925"/>
      <c r="S2925"/>
      <c r="T2925"/>
      <c r="U2925"/>
      <c r="V2925"/>
      <c r="W2925" s="41"/>
      <c r="X2925" s="41"/>
      <c r="Y2925" s="41"/>
    </row>
    <row r="2926" s="27" customFormat="1" ht="23" hidden="1" customHeight="1" spans="1:25">
      <c r="A2926" s="133" t="str">
        <f>IF(B2926="","",COUNTA($B$5:B2926))</f>
        <v/>
      </c>
      <c r="B2926" s="148"/>
      <c r="C2926" s="22" t="s">
        <v>49</v>
      </c>
      <c r="D2926" s="149"/>
      <c r="E2926" s="150"/>
      <c r="F2926" s="151"/>
      <c r="G2926" s="151"/>
      <c r="H2926" s="142">
        <f>IFERROR(VLOOKUP($C2926,$C$5:$H$18,6,0)+SUMIF($C$19:$C2926,$C2926,$F$19:$F2926)-SUMIF($C$19:$C2926,$C2926,$G$19:$G2926),"")</f>
        <v>81211.819999998</v>
      </c>
      <c r="I2926" s="147"/>
      <c r="J2926" s="147"/>
      <c r="K2926" s="147" t="str">
        <f t="shared" si="45"/>
        <v/>
      </c>
      <c r="L2926" s="40"/>
      <c r="M2926"/>
      <c r="N2926"/>
      <c r="O2926"/>
      <c r="P2926"/>
      <c r="Q2926"/>
      <c r="R2926"/>
      <c r="S2926"/>
      <c r="T2926"/>
      <c r="U2926"/>
      <c r="V2926"/>
      <c r="W2926" s="41"/>
      <c r="X2926" s="41"/>
      <c r="Y2926" s="41"/>
    </row>
    <row r="2927" s="27" customFormat="1" ht="23" hidden="1" customHeight="1" spans="1:25">
      <c r="A2927" s="133" t="str">
        <f>IF(B2927="","",COUNTA($B$5:B2927))</f>
        <v/>
      </c>
      <c r="B2927" s="148"/>
      <c r="C2927" s="22" t="s">
        <v>49</v>
      </c>
      <c r="D2927" s="149"/>
      <c r="E2927" s="150"/>
      <c r="F2927" s="151"/>
      <c r="G2927" s="151"/>
      <c r="H2927" s="142">
        <f>IFERROR(VLOOKUP($C2927,$C$5:$H$18,6,0)+SUMIF($C$19:$C2927,$C2927,$F$19:$F2927)-SUMIF($C$19:$C2927,$C2927,$G$19:$G2927),"")</f>
        <v>81211.819999998</v>
      </c>
      <c r="I2927" s="147"/>
      <c r="J2927" s="147"/>
      <c r="K2927" s="147" t="str">
        <f t="shared" si="45"/>
        <v/>
      </c>
      <c r="L2927" s="40"/>
      <c r="M2927"/>
      <c r="N2927"/>
      <c r="O2927"/>
      <c r="P2927"/>
      <c r="Q2927"/>
      <c r="R2927"/>
      <c r="S2927"/>
      <c r="T2927"/>
      <c r="U2927"/>
      <c r="V2927"/>
      <c r="W2927" s="41"/>
      <c r="X2927" s="41"/>
      <c r="Y2927" s="41"/>
    </row>
    <row r="2928" s="27" customFormat="1" ht="23" hidden="1" customHeight="1" spans="1:25">
      <c r="A2928" s="133" t="str">
        <f>IF(B2928="","",COUNTA($B$5:B2928))</f>
        <v/>
      </c>
      <c r="B2928" s="148"/>
      <c r="C2928" s="22" t="s">
        <v>49</v>
      </c>
      <c r="D2928" s="149"/>
      <c r="E2928" s="150"/>
      <c r="F2928" s="151"/>
      <c r="G2928" s="151"/>
      <c r="H2928" s="142">
        <f>IFERROR(VLOOKUP($C2928,$C$5:$H$18,6,0)+SUMIF($C$19:$C2928,$C2928,$F$19:$F2928)-SUMIF($C$19:$C2928,$C2928,$G$19:$G2928),"")</f>
        <v>81211.819999998</v>
      </c>
      <c r="I2928" s="147"/>
      <c r="J2928" s="147"/>
      <c r="K2928" s="147" t="str">
        <f t="shared" si="45"/>
        <v/>
      </c>
      <c r="L2928" s="40"/>
      <c r="M2928"/>
      <c r="N2928"/>
      <c r="O2928"/>
      <c r="P2928"/>
      <c r="Q2928"/>
      <c r="R2928"/>
      <c r="S2928"/>
      <c r="T2928"/>
      <c r="U2928"/>
      <c r="V2928"/>
      <c r="W2928" s="41"/>
      <c r="X2928" s="41"/>
      <c r="Y2928" s="41"/>
    </row>
    <row r="2929" s="27" customFormat="1" ht="23" hidden="1" customHeight="1" spans="1:25">
      <c r="A2929" s="133" t="str">
        <f>IF(B2929="","",COUNTA($B$5:B2929))</f>
        <v/>
      </c>
      <c r="B2929" s="148"/>
      <c r="C2929" s="22" t="s">
        <v>49</v>
      </c>
      <c r="D2929" s="149"/>
      <c r="E2929" s="150"/>
      <c r="F2929" s="151"/>
      <c r="G2929" s="151"/>
      <c r="H2929" s="142">
        <f>IFERROR(VLOOKUP($C2929,$C$5:$H$18,6,0)+SUMIF($C$19:$C2929,$C2929,$F$19:$F2929)-SUMIF($C$19:$C2929,$C2929,$G$19:$G2929),"")</f>
        <v>81211.819999998</v>
      </c>
      <c r="I2929" s="147"/>
      <c r="J2929" s="147"/>
      <c r="K2929" s="147" t="str">
        <f t="shared" si="45"/>
        <v/>
      </c>
      <c r="L2929" s="40"/>
      <c r="M2929"/>
      <c r="N2929"/>
      <c r="O2929"/>
      <c r="P2929"/>
      <c r="Q2929"/>
      <c r="R2929"/>
      <c r="S2929"/>
      <c r="T2929"/>
      <c r="U2929"/>
      <c r="V2929"/>
      <c r="W2929" s="41"/>
      <c r="X2929" s="41"/>
      <c r="Y2929" s="41"/>
    </row>
    <row r="2930" s="27" customFormat="1" ht="23" hidden="1" customHeight="1" spans="1:25">
      <c r="A2930" s="133" t="str">
        <f>IF(B2930="","",COUNTA($B$5:B2930))</f>
        <v/>
      </c>
      <c r="B2930" s="148"/>
      <c r="C2930" s="22" t="s">
        <v>49</v>
      </c>
      <c r="D2930" s="149"/>
      <c r="E2930" s="150"/>
      <c r="F2930" s="151"/>
      <c r="G2930" s="151"/>
      <c r="H2930" s="142">
        <f>IFERROR(VLOOKUP($C2930,$C$5:$H$18,6,0)+SUMIF($C$19:$C2930,$C2930,$F$19:$F2930)-SUMIF($C$19:$C2930,$C2930,$G$19:$G2930),"")</f>
        <v>81211.819999998</v>
      </c>
      <c r="I2930" s="147"/>
      <c r="J2930" s="147"/>
      <c r="K2930" s="147" t="str">
        <f t="shared" si="45"/>
        <v/>
      </c>
      <c r="L2930" s="40"/>
      <c r="M2930"/>
      <c r="N2930"/>
      <c r="O2930"/>
      <c r="P2930"/>
      <c r="Q2930"/>
      <c r="R2930"/>
      <c r="S2930"/>
      <c r="T2930"/>
      <c r="U2930"/>
      <c r="V2930"/>
      <c r="W2930" s="41"/>
      <c r="X2930" s="41"/>
      <c r="Y2930" s="41"/>
    </row>
    <row r="2931" s="27" customFormat="1" ht="23" hidden="1" customHeight="1" spans="1:25">
      <c r="A2931" s="133" t="str">
        <f>IF(B2931="","",COUNTA($B$5:B2931))</f>
        <v/>
      </c>
      <c r="B2931" s="148"/>
      <c r="C2931" s="22" t="s">
        <v>49</v>
      </c>
      <c r="D2931" s="149"/>
      <c r="E2931" s="150"/>
      <c r="F2931" s="151"/>
      <c r="G2931" s="151"/>
      <c r="H2931" s="142">
        <f>IFERROR(VLOOKUP($C2931,$C$5:$H$18,6,0)+SUMIF($C$19:$C2931,$C2931,$F$19:$F2931)-SUMIF($C$19:$C2931,$C2931,$G$19:$G2931),"")</f>
        <v>81211.819999998</v>
      </c>
      <c r="I2931" s="147"/>
      <c r="J2931" s="147"/>
      <c r="K2931" s="147" t="str">
        <f t="shared" si="45"/>
        <v/>
      </c>
      <c r="L2931" s="40"/>
      <c r="M2931"/>
      <c r="N2931"/>
      <c r="O2931"/>
      <c r="P2931"/>
      <c r="Q2931"/>
      <c r="R2931"/>
      <c r="S2931"/>
      <c r="T2931"/>
      <c r="U2931"/>
      <c r="V2931"/>
      <c r="W2931" s="41"/>
      <c r="X2931" s="41"/>
      <c r="Y2931" s="41"/>
    </row>
    <row r="2932" s="27" customFormat="1" ht="23" hidden="1" customHeight="1" spans="1:25">
      <c r="A2932" s="133" t="str">
        <f>IF(B2932="","",COUNTA($B$5:B2932))</f>
        <v/>
      </c>
      <c r="B2932" s="148"/>
      <c r="C2932" s="22" t="s">
        <v>49</v>
      </c>
      <c r="D2932" s="149"/>
      <c r="E2932" s="150"/>
      <c r="F2932" s="151"/>
      <c r="G2932" s="151"/>
      <c r="H2932" s="142">
        <f>IFERROR(VLOOKUP($C2932,$C$5:$H$18,6,0)+SUMIF($C$19:$C2932,$C2932,$F$19:$F2932)-SUMIF($C$19:$C2932,$C2932,$G$19:$G2932),"")</f>
        <v>81211.819999998</v>
      </c>
      <c r="I2932" s="147"/>
      <c r="J2932" s="147"/>
      <c r="K2932" s="147" t="str">
        <f t="shared" si="45"/>
        <v/>
      </c>
      <c r="L2932" s="40"/>
      <c r="M2932"/>
      <c r="N2932"/>
      <c r="O2932"/>
      <c r="P2932"/>
      <c r="Q2932"/>
      <c r="R2932"/>
      <c r="S2932"/>
      <c r="T2932"/>
      <c r="U2932"/>
      <c r="V2932"/>
      <c r="W2932" s="41"/>
      <c r="X2932" s="41"/>
      <c r="Y2932" s="41"/>
    </row>
    <row r="2933" s="27" customFormat="1" ht="23" hidden="1" customHeight="1" spans="1:25">
      <c r="A2933" s="133" t="str">
        <f>IF(B2933="","",COUNTA($B$5:B2933))</f>
        <v/>
      </c>
      <c r="B2933" s="148"/>
      <c r="C2933" s="22" t="s">
        <v>49</v>
      </c>
      <c r="D2933" s="149"/>
      <c r="E2933" s="150"/>
      <c r="F2933" s="151"/>
      <c r="G2933" s="151"/>
      <c r="H2933" s="142">
        <f>IFERROR(VLOOKUP($C2933,$C$5:$H$18,6,0)+SUMIF($C$19:$C2933,$C2933,$F$19:$F2933)-SUMIF($C$19:$C2933,$C2933,$G$19:$G2933),"")</f>
        <v>81211.819999998</v>
      </c>
      <c r="I2933" s="147"/>
      <c r="J2933" s="147"/>
      <c r="K2933" s="147" t="str">
        <f t="shared" si="45"/>
        <v/>
      </c>
      <c r="L2933" s="40"/>
      <c r="M2933"/>
      <c r="N2933"/>
      <c r="O2933"/>
      <c r="P2933"/>
      <c r="Q2933"/>
      <c r="R2933"/>
      <c r="S2933"/>
      <c r="T2933"/>
      <c r="U2933"/>
      <c r="V2933"/>
      <c r="W2933" s="41"/>
      <c r="X2933" s="41"/>
      <c r="Y2933" s="41"/>
    </row>
    <row r="2934" s="27" customFormat="1" ht="23" hidden="1" customHeight="1" spans="1:25">
      <c r="A2934" s="133" t="str">
        <f>IF(B2934="","",COUNTA($B$5:B2934))</f>
        <v/>
      </c>
      <c r="B2934" s="148"/>
      <c r="C2934" s="22" t="s">
        <v>49</v>
      </c>
      <c r="D2934" s="149"/>
      <c r="E2934" s="150"/>
      <c r="F2934" s="151"/>
      <c r="G2934" s="151"/>
      <c r="H2934" s="142">
        <f>IFERROR(VLOOKUP($C2934,$C$5:$H$18,6,0)+SUMIF($C$19:$C2934,$C2934,$F$19:$F2934)-SUMIF($C$19:$C2934,$C2934,$G$19:$G2934),"")</f>
        <v>81211.819999998</v>
      </c>
      <c r="I2934" s="147"/>
      <c r="J2934" s="147"/>
      <c r="K2934" s="147" t="str">
        <f t="shared" si="45"/>
        <v/>
      </c>
      <c r="L2934" s="40"/>
      <c r="M2934"/>
      <c r="N2934"/>
      <c r="O2934"/>
      <c r="P2934"/>
      <c r="Q2934"/>
      <c r="R2934"/>
      <c r="S2934"/>
      <c r="T2934"/>
      <c r="U2934"/>
      <c r="V2934"/>
      <c r="W2934" s="41"/>
      <c r="X2934" s="41"/>
      <c r="Y2934" s="41"/>
    </row>
    <row r="2935" s="27" customFormat="1" ht="23" hidden="1" customHeight="1" spans="1:25">
      <c r="A2935" s="133" t="str">
        <f>IF(B2935="","",COUNTA($B$5:B2935))</f>
        <v/>
      </c>
      <c r="B2935" s="148"/>
      <c r="C2935" s="22" t="s">
        <v>49</v>
      </c>
      <c r="D2935" s="149"/>
      <c r="E2935" s="150"/>
      <c r="F2935" s="151"/>
      <c r="G2935" s="151"/>
      <c r="H2935" s="142">
        <f>IFERROR(VLOOKUP($C2935,$C$5:$H$18,6,0)+SUMIF($C$19:$C2935,$C2935,$F$19:$F2935)-SUMIF($C$19:$C2935,$C2935,$G$19:$G2935),"")</f>
        <v>81211.819999998</v>
      </c>
      <c r="I2935" s="147"/>
      <c r="J2935" s="147"/>
      <c r="K2935" s="147" t="str">
        <f t="shared" si="45"/>
        <v/>
      </c>
      <c r="L2935" s="40"/>
      <c r="M2935"/>
      <c r="N2935"/>
      <c r="O2935"/>
      <c r="P2935"/>
      <c r="Q2935"/>
      <c r="R2935"/>
      <c r="S2935"/>
      <c r="T2935"/>
      <c r="U2935"/>
      <c r="V2935"/>
      <c r="W2935" s="41"/>
      <c r="X2935" s="41"/>
      <c r="Y2935" s="41"/>
    </row>
    <row r="2936" s="27" customFormat="1" ht="23" hidden="1" customHeight="1" spans="1:25">
      <c r="A2936" s="133" t="str">
        <f>IF(B2936="","",COUNTA($B$5:B2936))</f>
        <v/>
      </c>
      <c r="B2936" s="148"/>
      <c r="C2936" s="22" t="s">
        <v>49</v>
      </c>
      <c r="D2936" s="149"/>
      <c r="E2936" s="150"/>
      <c r="F2936" s="151"/>
      <c r="G2936" s="151"/>
      <c r="H2936" s="142">
        <f>IFERROR(VLOOKUP($C2936,$C$5:$H$18,6,0)+SUMIF($C$19:$C2936,$C2936,$F$19:$F2936)-SUMIF($C$19:$C2936,$C2936,$G$19:$G2936),"")</f>
        <v>81211.819999998</v>
      </c>
      <c r="I2936" s="147"/>
      <c r="J2936" s="147"/>
      <c r="K2936" s="147" t="str">
        <f t="shared" si="45"/>
        <v/>
      </c>
      <c r="L2936" s="40"/>
      <c r="M2936"/>
      <c r="N2936"/>
      <c r="O2936"/>
      <c r="P2936"/>
      <c r="Q2936"/>
      <c r="R2936"/>
      <c r="S2936"/>
      <c r="T2936"/>
      <c r="U2936"/>
      <c r="V2936"/>
      <c r="W2936" s="41"/>
      <c r="X2936" s="41"/>
      <c r="Y2936" s="41"/>
    </row>
    <row r="2937" s="27" customFormat="1" ht="23" hidden="1" customHeight="1" spans="1:25">
      <c r="A2937" s="133" t="str">
        <f>IF(B2937="","",COUNTA($B$5:B2937))</f>
        <v/>
      </c>
      <c r="B2937" s="148"/>
      <c r="C2937" s="22" t="s">
        <v>49</v>
      </c>
      <c r="D2937" s="149"/>
      <c r="E2937" s="150"/>
      <c r="F2937" s="151"/>
      <c r="G2937" s="151"/>
      <c r="H2937" s="142">
        <f>IFERROR(VLOOKUP($C2937,$C$5:$H$18,6,0)+SUMIF($C$19:$C2937,$C2937,$F$19:$F2937)-SUMIF($C$19:$C2937,$C2937,$G$19:$G2937),"")</f>
        <v>81211.819999998</v>
      </c>
      <c r="I2937" s="147"/>
      <c r="J2937" s="147"/>
      <c r="K2937" s="147" t="str">
        <f t="shared" si="45"/>
        <v/>
      </c>
      <c r="L2937" s="40"/>
      <c r="M2937"/>
      <c r="N2937"/>
      <c r="O2937"/>
      <c r="P2937"/>
      <c r="Q2937"/>
      <c r="R2937"/>
      <c r="S2937"/>
      <c r="T2937"/>
      <c r="U2937"/>
      <c r="V2937"/>
      <c r="W2937" s="41"/>
      <c r="X2937" s="41"/>
      <c r="Y2937" s="41"/>
    </row>
    <row r="2938" s="27" customFormat="1" ht="23" hidden="1" customHeight="1" spans="1:25">
      <c r="A2938" s="133" t="str">
        <f>IF(B2938="","",COUNTA($B$5:B2938))</f>
        <v/>
      </c>
      <c r="B2938" s="148"/>
      <c r="C2938" s="22" t="s">
        <v>49</v>
      </c>
      <c r="D2938" s="149"/>
      <c r="E2938" s="150"/>
      <c r="F2938" s="151"/>
      <c r="G2938" s="151"/>
      <c r="H2938" s="142">
        <f>IFERROR(VLOOKUP($C2938,$C$5:$H$18,6,0)+SUMIF($C$19:$C2938,$C2938,$F$19:$F2938)-SUMIF($C$19:$C2938,$C2938,$G$19:$G2938),"")</f>
        <v>81211.819999998</v>
      </c>
      <c r="I2938" s="147"/>
      <c r="J2938" s="147"/>
      <c r="K2938" s="147" t="str">
        <f t="shared" si="45"/>
        <v/>
      </c>
      <c r="L2938" s="40"/>
      <c r="M2938"/>
      <c r="N2938"/>
      <c r="O2938"/>
      <c r="P2938"/>
      <c r="Q2938"/>
      <c r="R2938"/>
      <c r="S2938"/>
      <c r="T2938"/>
      <c r="U2938"/>
      <c r="V2938"/>
      <c r="W2938" s="41"/>
      <c r="X2938" s="41"/>
      <c r="Y2938" s="41"/>
    </row>
    <row r="2939" s="27" customFormat="1" ht="23" hidden="1" customHeight="1" spans="1:25">
      <c r="A2939" s="133" t="str">
        <f>IF(B2939="","",COUNTA($B$5:B2939))</f>
        <v/>
      </c>
      <c r="B2939" s="148"/>
      <c r="C2939" s="22" t="s">
        <v>49</v>
      </c>
      <c r="D2939" s="149"/>
      <c r="E2939" s="150"/>
      <c r="F2939" s="151"/>
      <c r="G2939" s="151"/>
      <c r="H2939" s="142">
        <f>IFERROR(VLOOKUP($C2939,$C$5:$H$18,6,0)+SUMIF($C$19:$C2939,$C2939,$F$19:$F2939)-SUMIF($C$19:$C2939,$C2939,$G$19:$G2939),"")</f>
        <v>81211.819999998</v>
      </c>
      <c r="I2939" s="147"/>
      <c r="J2939" s="147"/>
      <c r="K2939" s="147" t="str">
        <f t="shared" si="45"/>
        <v/>
      </c>
      <c r="L2939" s="40"/>
      <c r="M2939"/>
      <c r="N2939"/>
      <c r="O2939"/>
      <c r="P2939"/>
      <c r="Q2939"/>
      <c r="R2939"/>
      <c r="S2939"/>
      <c r="T2939"/>
      <c r="U2939"/>
      <c r="V2939"/>
      <c r="W2939" s="41"/>
      <c r="X2939" s="41"/>
      <c r="Y2939" s="41"/>
    </row>
    <row r="2940" s="27" customFormat="1" ht="23" hidden="1" customHeight="1" spans="1:25">
      <c r="A2940" s="133" t="str">
        <f>IF(B2940="","",COUNTA($B$5:B2940))</f>
        <v/>
      </c>
      <c r="B2940" s="148"/>
      <c r="C2940" s="22" t="s">
        <v>49</v>
      </c>
      <c r="D2940" s="149"/>
      <c r="E2940" s="150"/>
      <c r="F2940" s="151"/>
      <c r="G2940" s="151"/>
      <c r="H2940" s="142">
        <f>IFERROR(VLOOKUP($C2940,$C$5:$H$18,6,0)+SUMIF($C$19:$C2940,$C2940,$F$19:$F2940)-SUMIF($C$19:$C2940,$C2940,$G$19:$G2940),"")</f>
        <v>81211.819999998</v>
      </c>
      <c r="I2940" s="147"/>
      <c r="J2940" s="147"/>
      <c r="K2940" s="147" t="str">
        <f t="shared" si="45"/>
        <v/>
      </c>
      <c r="L2940" s="40"/>
      <c r="M2940"/>
      <c r="N2940"/>
      <c r="O2940"/>
      <c r="P2940"/>
      <c r="Q2940"/>
      <c r="R2940"/>
      <c r="S2940"/>
      <c r="T2940"/>
      <c r="U2940"/>
      <c r="V2940"/>
      <c r="W2940" s="41"/>
      <c r="X2940" s="41"/>
      <c r="Y2940" s="41"/>
    </row>
    <row r="2941" s="27" customFormat="1" ht="23" hidden="1" customHeight="1" spans="1:25">
      <c r="A2941" s="133" t="str">
        <f>IF(B2941="","",COUNTA($B$5:B2941))</f>
        <v/>
      </c>
      <c r="B2941" s="148"/>
      <c r="C2941" s="22" t="s">
        <v>49</v>
      </c>
      <c r="D2941" s="149"/>
      <c r="E2941" s="150"/>
      <c r="F2941" s="151"/>
      <c r="G2941" s="151"/>
      <c r="H2941" s="142">
        <f>IFERROR(VLOOKUP($C2941,$C$5:$H$18,6,0)+SUMIF($C$19:$C2941,$C2941,$F$19:$F2941)-SUMIF($C$19:$C2941,$C2941,$G$19:$G2941),"")</f>
        <v>81211.819999998</v>
      </c>
      <c r="I2941" s="147"/>
      <c r="J2941" s="147"/>
      <c r="K2941" s="147" t="str">
        <f t="shared" si="45"/>
        <v/>
      </c>
      <c r="L2941" s="40"/>
      <c r="M2941"/>
      <c r="N2941"/>
      <c r="O2941"/>
      <c r="P2941"/>
      <c r="Q2941"/>
      <c r="R2941"/>
      <c r="S2941"/>
      <c r="T2941"/>
      <c r="U2941"/>
      <c r="V2941"/>
      <c r="W2941" s="41"/>
      <c r="X2941" s="41"/>
      <c r="Y2941" s="41"/>
    </row>
    <row r="2942" s="27" customFormat="1" ht="23" hidden="1" customHeight="1" spans="1:25">
      <c r="A2942" s="133" t="str">
        <f>IF(B2942="","",COUNTA($B$5:B2942))</f>
        <v/>
      </c>
      <c r="B2942" s="148"/>
      <c r="C2942" s="22" t="s">
        <v>49</v>
      </c>
      <c r="D2942" s="149"/>
      <c r="E2942" s="150"/>
      <c r="F2942" s="151"/>
      <c r="G2942" s="151"/>
      <c r="H2942" s="142">
        <f>IFERROR(VLOOKUP($C2942,$C$5:$H$18,6,0)+SUMIF($C$19:$C2942,$C2942,$F$19:$F2942)-SUMIF($C$19:$C2942,$C2942,$G$19:$G2942),"")</f>
        <v>81211.819999998</v>
      </c>
      <c r="I2942" s="147"/>
      <c r="J2942" s="147"/>
      <c r="K2942" s="147" t="str">
        <f t="shared" si="45"/>
        <v/>
      </c>
      <c r="L2942" s="40"/>
      <c r="M2942"/>
      <c r="N2942"/>
      <c r="O2942"/>
      <c r="P2942"/>
      <c r="Q2942"/>
      <c r="R2942"/>
      <c r="S2942"/>
      <c r="T2942"/>
      <c r="U2942"/>
      <c r="V2942"/>
      <c r="W2942" s="41"/>
      <c r="X2942" s="41"/>
      <c r="Y2942" s="41"/>
    </row>
    <row r="2943" s="27" customFormat="1" ht="23" hidden="1" customHeight="1" spans="1:25">
      <c r="A2943" s="133" t="str">
        <f>IF(B2943="","",COUNTA($B$5:B2943))</f>
        <v/>
      </c>
      <c r="B2943" s="148"/>
      <c r="C2943" s="22" t="s">
        <v>49</v>
      </c>
      <c r="D2943" s="149"/>
      <c r="E2943" s="150"/>
      <c r="F2943" s="151"/>
      <c r="G2943" s="151"/>
      <c r="H2943" s="142">
        <f>IFERROR(VLOOKUP($C2943,$C$5:$H$18,6,0)+SUMIF($C$19:$C2943,$C2943,$F$19:$F2943)-SUMIF($C$19:$C2943,$C2943,$G$19:$G2943),"")</f>
        <v>81211.819999998</v>
      </c>
      <c r="I2943" s="147"/>
      <c r="J2943" s="147"/>
      <c r="K2943" s="147" t="str">
        <f t="shared" si="45"/>
        <v/>
      </c>
      <c r="L2943" s="40"/>
      <c r="M2943"/>
      <c r="N2943"/>
      <c r="O2943"/>
      <c r="P2943"/>
      <c r="Q2943"/>
      <c r="R2943"/>
      <c r="S2943"/>
      <c r="T2943"/>
      <c r="U2943"/>
      <c r="V2943"/>
      <c r="W2943" s="41"/>
      <c r="X2943" s="41"/>
      <c r="Y2943" s="41"/>
    </row>
    <row r="2944" s="27" customFormat="1" ht="23" hidden="1" customHeight="1" spans="1:25">
      <c r="A2944" s="133" t="str">
        <f>IF(B2944="","",COUNTA($B$5:B2944))</f>
        <v/>
      </c>
      <c r="B2944" s="148"/>
      <c r="C2944" s="22" t="s">
        <v>49</v>
      </c>
      <c r="D2944" s="149"/>
      <c r="E2944" s="150"/>
      <c r="F2944" s="151"/>
      <c r="G2944" s="151"/>
      <c r="H2944" s="142">
        <f>IFERROR(VLOOKUP($C2944,$C$5:$H$18,6,0)+SUMIF($C$19:$C2944,$C2944,$F$19:$F2944)-SUMIF($C$19:$C2944,$C2944,$G$19:$G2944),"")</f>
        <v>81211.819999998</v>
      </c>
      <c r="I2944" s="147"/>
      <c r="J2944" s="147"/>
      <c r="K2944" s="147" t="str">
        <f t="shared" si="45"/>
        <v/>
      </c>
      <c r="L2944" s="40"/>
      <c r="M2944"/>
      <c r="N2944"/>
      <c r="O2944"/>
      <c r="P2944"/>
      <c r="Q2944"/>
      <c r="R2944"/>
      <c r="S2944"/>
      <c r="T2944"/>
      <c r="U2944"/>
      <c r="V2944"/>
      <c r="W2944" s="41"/>
      <c r="X2944" s="41"/>
      <c r="Y2944" s="41"/>
    </row>
    <row r="2945" s="27" customFormat="1" ht="23" hidden="1" customHeight="1" spans="1:25">
      <c r="A2945" s="133" t="str">
        <f>IF(B2945="","",COUNTA($B$5:B2945))</f>
        <v/>
      </c>
      <c r="B2945" s="148"/>
      <c r="C2945" s="22" t="s">
        <v>49</v>
      </c>
      <c r="D2945" s="149"/>
      <c r="E2945" s="150"/>
      <c r="F2945" s="151"/>
      <c r="G2945" s="151"/>
      <c r="H2945" s="142">
        <f>IFERROR(VLOOKUP($C2945,$C$5:$H$18,6,0)+SUMIF($C$19:$C2945,$C2945,$F$19:$F2945)-SUMIF($C$19:$C2945,$C2945,$G$19:$G2945),"")</f>
        <v>81211.819999998</v>
      </c>
      <c r="I2945" s="147"/>
      <c r="J2945" s="147"/>
      <c r="K2945" s="147" t="str">
        <f t="shared" si="45"/>
        <v/>
      </c>
      <c r="L2945" s="40"/>
      <c r="M2945"/>
      <c r="N2945"/>
      <c r="O2945"/>
      <c r="P2945"/>
      <c r="Q2945"/>
      <c r="R2945"/>
      <c r="S2945"/>
      <c r="T2945"/>
      <c r="U2945"/>
      <c r="V2945"/>
      <c r="W2945" s="41"/>
      <c r="X2945" s="41"/>
      <c r="Y2945" s="41"/>
    </row>
    <row r="2946" s="27" customFormat="1" ht="23" hidden="1" customHeight="1" spans="1:25">
      <c r="A2946" s="133" t="str">
        <f>IF(B2946="","",COUNTA($B$5:B2946))</f>
        <v/>
      </c>
      <c r="B2946" s="148"/>
      <c r="C2946" s="22" t="s">
        <v>49</v>
      </c>
      <c r="D2946" s="149"/>
      <c r="E2946" s="150"/>
      <c r="F2946" s="151"/>
      <c r="G2946" s="151"/>
      <c r="H2946" s="142">
        <f>IFERROR(VLOOKUP($C2946,$C$5:$H$18,6,0)+SUMIF($C$19:$C2946,$C2946,$F$19:$F2946)-SUMIF($C$19:$C2946,$C2946,$G$19:$G2946),"")</f>
        <v>81211.819999998</v>
      </c>
      <c r="I2946" s="147"/>
      <c r="J2946" s="147"/>
      <c r="K2946" s="147" t="str">
        <f t="shared" si="45"/>
        <v/>
      </c>
      <c r="L2946" s="40"/>
      <c r="M2946"/>
      <c r="N2946"/>
      <c r="O2946"/>
      <c r="P2946"/>
      <c r="Q2946"/>
      <c r="R2946"/>
      <c r="S2946"/>
      <c r="T2946"/>
      <c r="U2946"/>
      <c r="V2946"/>
      <c r="W2946" s="41"/>
      <c r="X2946" s="41"/>
      <c r="Y2946" s="41"/>
    </row>
    <row r="2947" s="27" customFormat="1" ht="23" hidden="1" customHeight="1" spans="1:25">
      <c r="A2947" s="133" t="str">
        <f>IF(B2947="","",COUNTA($B$5:B2947))</f>
        <v/>
      </c>
      <c r="B2947" s="148"/>
      <c r="C2947" s="22" t="s">
        <v>49</v>
      </c>
      <c r="D2947" s="149"/>
      <c r="E2947" s="150"/>
      <c r="F2947" s="151"/>
      <c r="G2947" s="151"/>
      <c r="H2947" s="142">
        <f>IFERROR(VLOOKUP($C2947,$C$5:$H$18,6,0)+SUMIF($C$19:$C2947,$C2947,$F$19:$F2947)-SUMIF($C$19:$C2947,$C2947,$G$19:$G2947),"")</f>
        <v>81211.819999998</v>
      </c>
      <c r="I2947" s="147"/>
      <c r="J2947" s="147"/>
      <c r="K2947" s="147" t="str">
        <f t="shared" si="45"/>
        <v/>
      </c>
      <c r="L2947" s="40"/>
      <c r="M2947"/>
      <c r="N2947"/>
      <c r="O2947"/>
      <c r="P2947"/>
      <c r="Q2947"/>
      <c r="R2947"/>
      <c r="S2947"/>
      <c r="T2947"/>
      <c r="U2947"/>
      <c r="V2947"/>
      <c r="W2947" s="41"/>
      <c r="X2947" s="41"/>
      <c r="Y2947" s="41"/>
    </row>
    <row r="2948" s="27" customFormat="1" ht="23" hidden="1" customHeight="1" spans="1:25">
      <c r="A2948" s="133" t="str">
        <f>IF(B2948="","",COUNTA($B$5:B2948))</f>
        <v/>
      </c>
      <c r="B2948" s="148"/>
      <c r="C2948" s="22" t="s">
        <v>49</v>
      </c>
      <c r="D2948" s="149"/>
      <c r="E2948" s="150"/>
      <c r="F2948" s="151"/>
      <c r="G2948" s="151"/>
      <c r="H2948" s="142">
        <f>IFERROR(VLOOKUP($C2948,$C$5:$H$18,6,0)+SUMIF($C$19:$C2948,$C2948,$F$19:$F2948)-SUMIF($C$19:$C2948,$C2948,$G$19:$G2948),"")</f>
        <v>81211.819999998</v>
      </c>
      <c r="I2948" s="147"/>
      <c r="J2948" s="147"/>
      <c r="K2948" s="147" t="str">
        <f t="shared" si="45"/>
        <v/>
      </c>
      <c r="L2948" s="40"/>
      <c r="M2948"/>
      <c r="N2948"/>
      <c r="O2948"/>
      <c r="P2948"/>
      <c r="Q2948"/>
      <c r="R2948"/>
      <c r="S2948"/>
      <c r="T2948"/>
      <c r="U2948"/>
      <c r="V2948"/>
      <c r="W2948" s="41"/>
      <c r="X2948" s="41"/>
      <c r="Y2948" s="41"/>
    </row>
    <row r="2949" s="27" customFormat="1" ht="23" hidden="1" customHeight="1" spans="1:25">
      <c r="A2949" s="133" t="str">
        <f>IF(B2949="","",COUNTA($B$5:B2949))</f>
        <v/>
      </c>
      <c r="B2949" s="148"/>
      <c r="C2949" s="22" t="s">
        <v>49</v>
      </c>
      <c r="D2949" s="149"/>
      <c r="E2949" s="150"/>
      <c r="F2949" s="151"/>
      <c r="G2949" s="151"/>
      <c r="H2949" s="142">
        <f>IFERROR(VLOOKUP($C2949,$C$5:$H$18,6,0)+SUMIF($C$19:$C2949,$C2949,$F$19:$F2949)-SUMIF($C$19:$C2949,$C2949,$G$19:$G2949),"")</f>
        <v>81211.819999998</v>
      </c>
      <c r="I2949" s="147"/>
      <c r="J2949" s="147"/>
      <c r="K2949" s="147" t="str">
        <f t="shared" ref="K2949:K3012" si="46">IF($B2949="","",--TEXT($B2949,"yyyymm"))</f>
        <v/>
      </c>
      <c r="L2949" s="40"/>
      <c r="M2949"/>
      <c r="N2949"/>
      <c r="O2949"/>
      <c r="P2949"/>
      <c r="Q2949"/>
      <c r="R2949"/>
      <c r="S2949"/>
      <c r="T2949"/>
      <c r="U2949"/>
      <c r="V2949"/>
      <c r="W2949" s="41"/>
      <c r="X2949" s="41"/>
      <c r="Y2949" s="41"/>
    </row>
    <row r="2950" s="27" customFormat="1" ht="23" hidden="1" customHeight="1" spans="1:25">
      <c r="A2950" s="133" t="str">
        <f>IF(B2950="","",COUNTA($B$5:B2950))</f>
        <v/>
      </c>
      <c r="B2950" s="148"/>
      <c r="C2950" s="22" t="s">
        <v>49</v>
      </c>
      <c r="D2950" s="149"/>
      <c r="E2950" s="150"/>
      <c r="F2950" s="151"/>
      <c r="G2950" s="151"/>
      <c r="H2950" s="142">
        <f>IFERROR(VLOOKUP($C2950,$C$5:$H$18,6,0)+SUMIF($C$19:$C2950,$C2950,$F$19:$F2950)-SUMIF($C$19:$C2950,$C2950,$G$19:$G2950),"")</f>
        <v>81211.819999998</v>
      </c>
      <c r="I2950" s="147"/>
      <c r="J2950" s="147"/>
      <c r="K2950" s="147" t="str">
        <f t="shared" si="46"/>
        <v/>
      </c>
      <c r="L2950" s="40"/>
      <c r="M2950"/>
      <c r="N2950"/>
      <c r="O2950"/>
      <c r="P2950"/>
      <c r="Q2950"/>
      <c r="R2950"/>
      <c r="S2950"/>
      <c r="T2950"/>
      <c r="U2950"/>
      <c r="V2950"/>
      <c r="W2950" s="41"/>
      <c r="X2950" s="41"/>
      <c r="Y2950" s="41"/>
    </row>
    <row r="2951" s="27" customFormat="1" ht="23" hidden="1" customHeight="1" spans="1:25">
      <c r="A2951" s="133" t="str">
        <f>IF(B2951="","",COUNTA($B$5:B2951))</f>
        <v/>
      </c>
      <c r="B2951" s="148"/>
      <c r="C2951" s="22" t="s">
        <v>49</v>
      </c>
      <c r="D2951" s="149"/>
      <c r="E2951" s="150"/>
      <c r="F2951" s="151"/>
      <c r="G2951" s="151"/>
      <c r="H2951" s="142">
        <f>IFERROR(VLOOKUP($C2951,$C$5:$H$18,6,0)+SUMIF($C$19:$C2951,$C2951,$F$19:$F2951)-SUMIF($C$19:$C2951,$C2951,$G$19:$G2951),"")</f>
        <v>81211.819999998</v>
      </c>
      <c r="I2951" s="147"/>
      <c r="J2951" s="147"/>
      <c r="K2951" s="147" t="str">
        <f t="shared" si="46"/>
        <v/>
      </c>
      <c r="L2951" s="40"/>
      <c r="M2951"/>
      <c r="N2951"/>
      <c r="O2951"/>
      <c r="P2951"/>
      <c r="Q2951"/>
      <c r="R2951"/>
      <c r="S2951"/>
      <c r="T2951"/>
      <c r="U2951"/>
      <c r="V2951"/>
      <c r="W2951" s="41"/>
      <c r="X2951" s="41"/>
      <c r="Y2951" s="41"/>
    </row>
    <row r="2952" s="27" customFormat="1" ht="23" hidden="1" customHeight="1" spans="1:25">
      <c r="A2952" s="133" t="str">
        <f>IF(B2952="","",COUNTA($B$5:B2952))</f>
        <v/>
      </c>
      <c r="B2952" s="148"/>
      <c r="C2952" s="22" t="s">
        <v>49</v>
      </c>
      <c r="D2952" s="149"/>
      <c r="E2952" s="150"/>
      <c r="F2952" s="151"/>
      <c r="G2952" s="151"/>
      <c r="H2952" s="142">
        <f>IFERROR(VLOOKUP($C2952,$C$5:$H$18,6,0)+SUMIF($C$19:$C2952,$C2952,$F$19:$F2952)-SUMIF($C$19:$C2952,$C2952,$G$19:$G2952),"")</f>
        <v>81211.819999998</v>
      </c>
      <c r="I2952" s="147"/>
      <c r="J2952" s="147"/>
      <c r="K2952" s="147" t="str">
        <f t="shared" si="46"/>
        <v/>
      </c>
      <c r="L2952" s="40"/>
      <c r="M2952"/>
      <c r="N2952"/>
      <c r="O2952"/>
      <c r="P2952"/>
      <c r="Q2952"/>
      <c r="R2952"/>
      <c r="S2952"/>
      <c r="T2952"/>
      <c r="U2952"/>
      <c r="V2952"/>
      <c r="W2952" s="41"/>
      <c r="X2952" s="41"/>
      <c r="Y2952" s="41"/>
    </row>
    <row r="2953" s="27" customFormat="1" ht="23" hidden="1" customHeight="1" spans="1:25">
      <c r="A2953" s="133" t="str">
        <f>IF(B2953="","",COUNTA($B$5:B2953))</f>
        <v/>
      </c>
      <c r="B2953" s="148"/>
      <c r="C2953" s="22" t="s">
        <v>49</v>
      </c>
      <c r="D2953" s="149"/>
      <c r="E2953" s="150"/>
      <c r="F2953" s="151"/>
      <c r="G2953" s="151"/>
      <c r="H2953" s="142">
        <f>IFERROR(VLOOKUP($C2953,$C$5:$H$18,6,0)+SUMIF($C$19:$C2953,$C2953,$F$19:$F2953)-SUMIF($C$19:$C2953,$C2953,$G$19:$G2953),"")</f>
        <v>81211.819999998</v>
      </c>
      <c r="I2953" s="147"/>
      <c r="J2953" s="147"/>
      <c r="K2953" s="147" t="str">
        <f t="shared" si="46"/>
        <v/>
      </c>
      <c r="L2953" s="40"/>
      <c r="M2953"/>
      <c r="N2953"/>
      <c r="O2953"/>
      <c r="P2953"/>
      <c r="Q2953"/>
      <c r="R2953"/>
      <c r="S2953"/>
      <c r="T2953"/>
      <c r="U2953"/>
      <c r="V2953"/>
      <c r="W2953" s="41"/>
      <c r="X2953" s="41"/>
      <c r="Y2953" s="41"/>
    </row>
    <row r="2954" s="27" customFormat="1" ht="23" hidden="1" customHeight="1" spans="1:25">
      <c r="A2954" s="133" t="str">
        <f>IF(B2954="","",COUNTA($B$5:B2954))</f>
        <v/>
      </c>
      <c r="B2954" s="148"/>
      <c r="C2954" s="22" t="s">
        <v>49</v>
      </c>
      <c r="D2954" s="149"/>
      <c r="E2954" s="150"/>
      <c r="F2954" s="151"/>
      <c r="G2954" s="151"/>
      <c r="H2954" s="142">
        <f>IFERROR(VLOOKUP($C2954,$C$5:$H$18,6,0)+SUMIF($C$19:$C2954,$C2954,$F$19:$F2954)-SUMIF($C$19:$C2954,$C2954,$G$19:$G2954),"")</f>
        <v>81211.819999998</v>
      </c>
      <c r="I2954" s="147"/>
      <c r="J2954" s="147"/>
      <c r="K2954" s="147" t="str">
        <f t="shared" si="46"/>
        <v/>
      </c>
      <c r="L2954" s="40"/>
      <c r="M2954"/>
      <c r="N2954"/>
      <c r="O2954"/>
      <c r="P2954"/>
      <c r="Q2954"/>
      <c r="R2954"/>
      <c r="S2954"/>
      <c r="T2954"/>
      <c r="U2954"/>
      <c r="V2954"/>
      <c r="W2954" s="41"/>
      <c r="X2954" s="41"/>
      <c r="Y2954" s="41"/>
    </row>
    <row r="2955" s="27" customFormat="1" ht="23" hidden="1" customHeight="1" spans="1:25">
      <c r="A2955" s="133" t="str">
        <f>IF(B2955="","",COUNTA($B$5:B2955))</f>
        <v/>
      </c>
      <c r="B2955" s="148"/>
      <c r="C2955" s="22" t="s">
        <v>49</v>
      </c>
      <c r="D2955" s="149"/>
      <c r="E2955" s="150"/>
      <c r="F2955" s="151"/>
      <c r="G2955" s="151"/>
      <c r="H2955" s="142">
        <f>IFERROR(VLOOKUP($C2955,$C$5:$H$18,6,0)+SUMIF($C$19:$C2955,$C2955,$F$19:$F2955)-SUMIF($C$19:$C2955,$C2955,$G$19:$G2955),"")</f>
        <v>81211.819999998</v>
      </c>
      <c r="I2955" s="147"/>
      <c r="J2955" s="147"/>
      <c r="K2955" s="147" t="str">
        <f t="shared" si="46"/>
        <v/>
      </c>
      <c r="L2955" s="40"/>
      <c r="M2955"/>
      <c r="N2955"/>
      <c r="O2955"/>
      <c r="P2955"/>
      <c r="Q2955"/>
      <c r="R2955"/>
      <c r="S2955"/>
      <c r="T2955"/>
      <c r="U2955"/>
      <c r="V2955"/>
      <c r="W2955" s="41"/>
      <c r="X2955" s="41"/>
      <c r="Y2955" s="41"/>
    </row>
    <row r="2956" s="27" customFormat="1" ht="23" hidden="1" customHeight="1" spans="1:25">
      <c r="A2956" s="133" t="str">
        <f>IF(B2956="","",COUNTA($B$5:B2956))</f>
        <v/>
      </c>
      <c r="B2956" s="148"/>
      <c r="C2956" s="22" t="s">
        <v>49</v>
      </c>
      <c r="D2956" s="149"/>
      <c r="E2956" s="150"/>
      <c r="F2956" s="151"/>
      <c r="G2956" s="151"/>
      <c r="H2956" s="142">
        <f>IFERROR(VLOOKUP($C2956,$C$5:$H$18,6,0)+SUMIF($C$19:$C2956,$C2956,$F$19:$F2956)-SUMIF($C$19:$C2956,$C2956,$G$19:$G2956),"")</f>
        <v>81211.819999998</v>
      </c>
      <c r="I2956" s="147"/>
      <c r="J2956" s="147"/>
      <c r="K2956" s="147" t="str">
        <f t="shared" si="46"/>
        <v/>
      </c>
      <c r="L2956" s="40"/>
      <c r="M2956"/>
      <c r="N2956"/>
      <c r="O2956"/>
      <c r="P2956"/>
      <c r="Q2956"/>
      <c r="R2956"/>
      <c r="S2956"/>
      <c r="T2956"/>
      <c r="U2956"/>
      <c r="V2956"/>
      <c r="W2956" s="41"/>
      <c r="X2956" s="41"/>
      <c r="Y2956" s="41"/>
    </row>
    <row r="2957" s="27" customFormat="1" ht="23" hidden="1" customHeight="1" spans="1:25">
      <c r="A2957" s="133" t="str">
        <f>IF(B2957="","",COUNTA($B$5:B2957))</f>
        <v/>
      </c>
      <c r="B2957" s="148"/>
      <c r="C2957" s="22" t="s">
        <v>49</v>
      </c>
      <c r="D2957" s="149"/>
      <c r="E2957" s="150"/>
      <c r="F2957" s="151"/>
      <c r="G2957" s="151"/>
      <c r="H2957" s="142">
        <f>IFERROR(VLOOKUP($C2957,$C$5:$H$18,6,0)+SUMIF($C$19:$C2957,$C2957,$F$19:$F2957)-SUMIF($C$19:$C2957,$C2957,$G$19:$G2957),"")</f>
        <v>81211.819999998</v>
      </c>
      <c r="I2957" s="147"/>
      <c r="J2957" s="147"/>
      <c r="K2957" s="147" t="str">
        <f t="shared" si="46"/>
        <v/>
      </c>
      <c r="L2957" s="40"/>
      <c r="M2957"/>
      <c r="N2957"/>
      <c r="O2957"/>
      <c r="P2957"/>
      <c r="Q2957"/>
      <c r="R2957"/>
      <c r="S2957"/>
      <c r="T2957"/>
      <c r="U2957"/>
      <c r="V2957"/>
      <c r="W2957" s="41"/>
      <c r="X2957" s="41"/>
      <c r="Y2957" s="41"/>
    </row>
    <row r="2958" s="27" customFormat="1" ht="23" hidden="1" customHeight="1" spans="1:25">
      <c r="A2958" s="133" t="str">
        <f>IF(B2958="","",COUNTA($B$5:B2958))</f>
        <v/>
      </c>
      <c r="B2958" s="148"/>
      <c r="C2958" s="22" t="s">
        <v>49</v>
      </c>
      <c r="D2958" s="149"/>
      <c r="E2958" s="150"/>
      <c r="F2958" s="151"/>
      <c r="G2958" s="151"/>
      <c r="H2958" s="142">
        <f>IFERROR(VLOOKUP($C2958,$C$5:$H$18,6,0)+SUMIF($C$19:$C2958,$C2958,$F$19:$F2958)-SUMIF($C$19:$C2958,$C2958,$G$19:$G2958),"")</f>
        <v>81211.819999998</v>
      </c>
      <c r="I2958" s="147"/>
      <c r="J2958" s="147"/>
      <c r="K2958" s="147" t="str">
        <f t="shared" si="46"/>
        <v/>
      </c>
      <c r="L2958" s="40"/>
      <c r="M2958"/>
      <c r="N2958"/>
      <c r="O2958"/>
      <c r="P2958"/>
      <c r="Q2958"/>
      <c r="R2958"/>
      <c r="S2958"/>
      <c r="T2958"/>
      <c r="U2958"/>
      <c r="V2958"/>
      <c r="W2958" s="41"/>
      <c r="X2958" s="41"/>
      <c r="Y2958" s="41"/>
    </row>
    <row r="2959" s="27" customFormat="1" ht="23" hidden="1" customHeight="1" spans="1:25">
      <c r="A2959" s="133" t="str">
        <f>IF(B2959="","",COUNTA($B$5:B2959))</f>
        <v/>
      </c>
      <c r="B2959" s="148"/>
      <c r="C2959" s="22" t="s">
        <v>49</v>
      </c>
      <c r="D2959" s="149"/>
      <c r="E2959" s="150"/>
      <c r="F2959" s="151"/>
      <c r="G2959" s="151"/>
      <c r="H2959" s="142">
        <f>IFERROR(VLOOKUP($C2959,$C$5:$H$18,6,0)+SUMIF($C$19:$C2959,$C2959,$F$19:$F2959)-SUMIF($C$19:$C2959,$C2959,$G$19:$G2959),"")</f>
        <v>81211.819999998</v>
      </c>
      <c r="I2959" s="147"/>
      <c r="J2959" s="147"/>
      <c r="K2959" s="147" t="str">
        <f t="shared" si="46"/>
        <v/>
      </c>
      <c r="L2959" s="40"/>
      <c r="M2959"/>
      <c r="N2959"/>
      <c r="O2959"/>
      <c r="P2959"/>
      <c r="Q2959"/>
      <c r="R2959"/>
      <c r="S2959"/>
      <c r="T2959"/>
      <c r="U2959"/>
      <c r="V2959"/>
      <c r="W2959" s="41"/>
      <c r="X2959" s="41"/>
      <c r="Y2959" s="41"/>
    </row>
    <row r="2960" s="27" customFormat="1" ht="23" hidden="1" customHeight="1" spans="1:25">
      <c r="A2960" s="133" t="str">
        <f>IF(B2960="","",COUNTA($B$5:B2960))</f>
        <v/>
      </c>
      <c r="B2960" s="148"/>
      <c r="C2960" s="22" t="s">
        <v>49</v>
      </c>
      <c r="D2960" s="149"/>
      <c r="E2960" s="150"/>
      <c r="F2960" s="151"/>
      <c r="G2960" s="151"/>
      <c r="H2960" s="142">
        <f>IFERROR(VLOOKUP($C2960,$C$5:$H$18,6,0)+SUMIF($C$19:$C2960,$C2960,$F$19:$F2960)-SUMIF($C$19:$C2960,$C2960,$G$19:$G2960),"")</f>
        <v>81211.819999998</v>
      </c>
      <c r="I2960" s="147"/>
      <c r="J2960" s="147"/>
      <c r="K2960" s="147" t="str">
        <f t="shared" si="46"/>
        <v/>
      </c>
      <c r="L2960" s="40"/>
      <c r="M2960"/>
      <c r="N2960"/>
      <c r="O2960"/>
      <c r="P2960"/>
      <c r="Q2960"/>
      <c r="R2960"/>
      <c r="S2960"/>
      <c r="T2960"/>
      <c r="U2960"/>
      <c r="V2960"/>
      <c r="W2960" s="41"/>
      <c r="X2960" s="41"/>
      <c r="Y2960" s="41"/>
    </row>
    <row r="2961" s="27" customFormat="1" ht="23" hidden="1" customHeight="1" spans="1:25">
      <c r="A2961" s="133" t="str">
        <f>IF(B2961="","",COUNTA($B$5:B2961))</f>
        <v/>
      </c>
      <c r="B2961" s="148"/>
      <c r="C2961" s="22" t="s">
        <v>49</v>
      </c>
      <c r="D2961" s="149"/>
      <c r="E2961" s="150"/>
      <c r="F2961" s="151"/>
      <c r="G2961" s="151"/>
      <c r="H2961" s="142">
        <f>IFERROR(VLOOKUP($C2961,$C$5:$H$18,6,0)+SUMIF($C$19:$C2961,$C2961,$F$19:$F2961)-SUMIF($C$19:$C2961,$C2961,$G$19:$G2961),"")</f>
        <v>81211.819999998</v>
      </c>
      <c r="I2961" s="147"/>
      <c r="J2961" s="147"/>
      <c r="K2961" s="147" t="str">
        <f t="shared" si="46"/>
        <v/>
      </c>
      <c r="L2961" s="40"/>
      <c r="M2961"/>
      <c r="N2961"/>
      <c r="O2961"/>
      <c r="P2961"/>
      <c r="Q2961"/>
      <c r="R2961"/>
      <c r="S2961"/>
      <c r="T2961"/>
      <c r="U2961"/>
      <c r="V2961"/>
      <c r="W2961" s="41"/>
      <c r="X2961" s="41"/>
      <c r="Y2961" s="41"/>
    </row>
    <row r="2962" s="27" customFormat="1" ht="23" hidden="1" customHeight="1" spans="1:25">
      <c r="A2962" s="133" t="str">
        <f>IF(B2962="","",COUNTA($B$5:B2962))</f>
        <v/>
      </c>
      <c r="B2962" s="148"/>
      <c r="C2962" s="22" t="s">
        <v>49</v>
      </c>
      <c r="D2962" s="149"/>
      <c r="E2962" s="150"/>
      <c r="F2962" s="151"/>
      <c r="G2962" s="151"/>
      <c r="H2962" s="142">
        <f>IFERROR(VLOOKUP($C2962,$C$5:$H$18,6,0)+SUMIF($C$19:$C2962,$C2962,$F$19:$F2962)-SUMIF($C$19:$C2962,$C2962,$G$19:$G2962),"")</f>
        <v>81211.819999998</v>
      </c>
      <c r="I2962" s="147"/>
      <c r="J2962" s="147"/>
      <c r="K2962" s="147" t="str">
        <f t="shared" si="46"/>
        <v/>
      </c>
      <c r="L2962" s="40"/>
      <c r="M2962"/>
      <c r="N2962"/>
      <c r="O2962"/>
      <c r="P2962"/>
      <c r="Q2962"/>
      <c r="R2962"/>
      <c r="S2962"/>
      <c r="T2962"/>
      <c r="U2962"/>
      <c r="V2962"/>
      <c r="W2962" s="41"/>
      <c r="X2962" s="41"/>
      <c r="Y2962" s="41"/>
    </row>
    <row r="2963" s="27" customFormat="1" ht="23" hidden="1" customHeight="1" spans="1:25">
      <c r="A2963" s="133" t="str">
        <f>IF(B2963="","",COUNTA($B$5:B2963))</f>
        <v/>
      </c>
      <c r="B2963" s="148"/>
      <c r="C2963" s="22" t="s">
        <v>49</v>
      </c>
      <c r="D2963" s="149"/>
      <c r="E2963" s="150"/>
      <c r="F2963" s="151"/>
      <c r="G2963" s="151"/>
      <c r="H2963" s="142">
        <f>IFERROR(VLOOKUP($C2963,$C$5:$H$18,6,0)+SUMIF($C$19:$C2963,$C2963,$F$19:$F2963)-SUMIF($C$19:$C2963,$C2963,$G$19:$G2963),"")</f>
        <v>81211.819999998</v>
      </c>
      <c r="I2963" s="147"/>
      <c r="J2963" s="147"/>
      <c r="K2963" s="147" t="str">
        <f t="shared" si="46"/>
        <v/>
      </c>
      <c r="L2963" s="40"/>
      <c r="M2963"/>
      <c r="N2963"/>
      <c r="O2963"/>
      <c r="P2963"/>
      <c r="Q2963"/>
      <c r="R2963"/>
      <c r="S2963"/>
      <c r="T2963"/>
      <c r="U2963"/>
      <c r="V2963"/>
      <c r="W2963" s="41"/>
      <c r="X2963" s="41"/>
      <c r="Y2963" s="41"/>
    </row>
    <row r="2964" s="27" customFormat="1" ht="23" hidden="1" customHeight="1" spans="1:25">
      <c r="A2964" s="133" t="str">
        <f>IF(B2964="","",COUNTA($B$5:B2964))</f>
        <v/>
      </c>
      <c r="B2964" s="148"/>
      <c r="C2964" s="22" t="s">
        <v>49</v>
      </c>
      <c r="D2964" s="149"/>
      <c r="E2964" s="150"/>
      <c r="F2964" s="151"/>
      <c r="G2964" s="151"/>
      <c r="H2964" s="142">
        <f>IFERROR(VLOOKUP($C2964,$C$5:$H$18,6,0)+SUMIF($C$19:$C2964,$C2964,$F$19:$F2964)-SUMIF($C$19:$C2964,$C2964,$G$19:$G2964),"")</f>
        <v>81211.819999998</v>
      </c>
      <c r="I2964" s="147"/>
      <c r="J2964" s="147"/>
      <c r="K2964" s="147" t="str">
        <f t="shared" si="46"/>
        <v/>
      </c>
      <c r="L2964" s="40"/>
      <c r="M2964"/>
      <c r="N2964"/>
      <c r="O2964"/>
      <c r="P2964"/>
      <c r="Q2964"/>
      <c r="R2964"/>
      <c r="S2964"/>
      <c r="T2964"/>
      <c r="U2964"/>
      <c r="V2964"/>
      <c r="W2964" s="41"/>
      <c r="X2964" s="41"/>
      <c r="Y2964" s="41"/>
    </row>
    <row r="2965" s="27" customFormat="1" ht="23" hidden="1" customHeight="1" spans="1:25">
      <c r="A2965" s="133" t="str">
        <f>IF(B2965="","",COUNTA($B$5:B2965))</f>
        <v/>
      </c>
      <c r="B2965" s="148"/>
      <c r="C2965" s="22" t="s">
        <v>49</v>
      </c>
      <c r="D2965" s="149"/>
      <c r="E2965" s="150"/>
      <c r="F2965" s="151"/>
      <c r="G2965" s="151"/>
      <c r="H2965" s="142">
        <f>IFERROR(VLOOKUP($C2965,$C$5:$H$18,6,0)+SUMIF($C$19:$C2965,$C2965,$F$19:$F2965)-SUMIF($C$19:$C2965,$C2965,$G$19:$G2965),"")</f>
        <v>81211.819999998</v>
      </c>
      <c r="I2965" s="147"/>
      <c r="J2965" s="147"/>
      <c r="K2965" s="147" t="str">
        <f t="shared" si="46"/>
        <v/>
      </c>
      <c r="L2965" s="40"/>
      <c r="M2965"/>
      <c r="N2965"/>
      <c r="O2965"/>
      <c r="P2965"/>
      <c r="Q2965"/>
      <c r="R2965"/>
      <c r="S2965"/>
      <c r="T2965"/>
      <c r="U2965"/>
      <c r="V2965"/>
      <c r="W2965" s="41"/>
      <c r="X2965" s="41"/>
      <c r="Y2965" s="41"/>
    </row>
    <row r="2966" s="27" customFormat="1" ht="23" hidden="1" customHeight="1" spans="1:25">
      <c r="A2966" s="133" t="str">
        <f>IF(B2966="","",COUNTA($B$5:B2966))</f>
        <v/>
      </c>
      <c r="B2966" s="148"/>
      <c r="C2966" s="22" t="s">
        <v>49</v>
      </c>
      <c r="D2966" s="149"/>
      <c r="E2966" s="150"/>
      <c r="F2966" s="151"/>
      <c r="G2966" s="151"/>
      <c r="H2966" s="142">
        <f>IFERROR(VLOOKUP($C2966,$C$5:$H$18,6,0)+SUMIF($C$19:$C2966,$C2966,$F$19:$F2966)-SUMIF($C$19:$C2966,$C2966,$G$19:$G2966),"")</f>
        <v>81211.819999998</v>
      </c>
      <c r="I2966" s="147"/>
      <c r="J2966" s="147"/>
      <c r="K2966" s="147" t="str">
        <f t="shared" si="46"/>
        <v/>
      </c>
      <c r="L2966" s="40"/>
      <c r="M2966"/>
      <c r="N2966"/>
      <c r="O2966"/>
      <c r="P2966"/>
      <c r="Q2966"/>
      <c r="R2966"/>
      <c r="S2966"/>
      <c r="T2966"/>
      <c r="U2966"/>
      <c r="V2966"/>
      <c r="W2966" s="41"/>
      <c r="X2966" s="41"/>
      <c r="Y2966" s="41"/>
    </row>
    <row r="2967" s="27" customFormat="1" ht="23" hidden="1" customHeight="1" spans="1:25">
      <c r="A2967" s="133" t="str">
        <f>IF(B2967="","",COUNTA($B$5:B2967))</f>
        <v/>
      </c>
      <c r="B2967" s="148"/>
      <c r="C2967" s="22" t="s">
        <v>49</v>
      </c>
      <c r="D2967" s="149"/>
      <c r="E2967" s="150"/>
      <c r="F2967" s="151"/>
      <c r="G2967" s="151"/>
      <c r="H2967" s="142">
        <f>IFERROR(VLOOKUP($C2967,$C$5:$H$18,6,0)+SUMIF($C$19:$C2967,$C2967,$F$19:$F2967)-SUMIF($C$19:$C2967,$C2967,$G$19:$G2967),"")</f>
        <v>81211.819999998</v>
      </c>
      <c r="I2967" s="147"/>
      <c r="J2967" s="147"/>
      <c r="K2967" s="147" t="str">
        <f t="shared" si="46"/>
        <v/>
      </c>
      <c r="L2967" s="40"/>
      <c r="M2967"/>
      <c r="N2967"/>
      <c r="O2967"/>
      <c r="P2967"/>
      <c r="Q2967"/>
      <c r="R2967"/>
      <c r="S2967"/>
      <c r="T2967"/>
      <c r="U2967"/>
      <c r="V2967"/>
      <c r="W2967" s="41"/>
      <c r="X2967" s="41"/>
      <c r="Y2967" s="41"/>
    </row>
    <row r="2968" s="27" customFormat="1" ht="23" hidden="1" customHeight="1" spans="1:25">
      <c r="A2968" s="133" t="str">
        <f>IF(B2968="","",COUNTA($B$5:B2968))</f>
        <v/>
      </c>
      <c r="B2968" s="148"/>
      <c r="C2968" s="22" t="s">
        <v>49</v>
      </c>
      <c r="D2968" s="149"/>
      <c r="E2968" s="150"/>
      <c r="F2968" s="151"/>
      <c r="G2968" s="151"/>
      <c r="H2968" s="142">
        <f>IFERROR(VLOOKUP($C2968,$C$5:$H$18,6,0)+SUMIF($C$19:$C2968,$C2968,$F$19:$F2968)-SUMIF($C$19:$C2968,$C2968,$G$19:$G2968),"")</f>
        <v>81211.819999998</v>
      </c>
      <c r="I2968" s="147"/>
      <c r="J2968" s="147"/>
      <c r="K2968" s="147" t="str">
        <f t="shared" si="46"/>
        <v/>
      </c>
      <c r="L2968" s="40"/>
      <c r="M2968"/>
      <c r="N2968"/>
      <c r="O2968"/>
      <c r="P2968"/>
      <c r="Q2968"/>
      <c r="R2968"/>
      <c r="S2968"/>
      <c r="T2968"/>
      <c r="U2968"/>
      <c r="V2968"/>
      <c r="W2968" s="41"/>
      <c r="X2968" s="41"/>
      <c r="Y2968" s="41"/>
    </row>
    <row r="2969" s="27" customFormat="1" ht="23" hidden="1" customHeight="1" spans="1:25">
      <c r="A2969" s="133" t="str">
        <f>IF(B2969="","",COUNTA($B$5:B2969))</f>
        <v/>
      </c>
      <c r="B2969" s="148"/>
      <c r="C2969" s="22" t="s">
        <v>49</v>
      </c>
      <c r="D2969" s="149"/>
      <c r="E2969" s="150"/>
      <c r="F2969" s="151"/>
      <c r="G2969" s="151"/>
      <c r="H2969" s="142">
        <f>IFERROR(VLOOKUP($C2969,$C$5:$H$18,6,0)+SUMIF($C$19:$C2969,$C2969,$F$19:$F2969)-SUMIF($C$19:$C2969,$C2969,$G$19:$G2969),"")</f>
        <v>81211.819999998</v>
      </c>
      <c r="I2969" s="147"/>
      <c r="J2969" s="147"/>
      <c r="K2969" s="147" t="str">
        <f t="shared" si="46"/>
        <v/>
      </c>
      <c r="L2969" s="40"/>
      <c r="M2969"/>
      <c r="N2969"/>
      <c r="O2969"/>
      <c r="P2969"/>
      <c r="Q2969"/>
      <c r="R2969"/>
      <c r="S2969"/>
      <c r="T2969"/>
      <c r="U2969"/>
      <c r="V2969"/>
      <c r="W2969" s="41"/>
      <c r="X2969" s="41"/>
      <c r="Y2969" s="41"/>
    </row>
    <row r="2970" s="27" customFormat="1" ht="23" hidden="1" customHeight="1" spans="1:25">
      <c r="A2970" s="133" t="str">
        <f>IF(B2970="","",COUNTA($B$5:B2970))</f>
        <v/>
      </c>
      <c r="B2970" s="148"/>
      <c r="C2970" s="22" t="s">
        <v>49</v>
      </c>
      <c r="D2970" s="149"/>
      <c r="E2970" s="150"/>
      <c r="F2970" s="151"/>
      <c r="G2970" s="151"/>
      <c r="H2970" s="142">
        <f>IFERROR(VLOOKUP($C2970,$C$5:$H$18,6,0)+SUMIF($C$19:$C2970,$C2970,$F$19:$F2970)-SUMIF($C$19:$C2970,$C2970,$G$19:$G2970),"")</f>
        <v>81211.819999998</v>
      </c>
      <c r="I2970" s="147"/>
      <c r="J2970" s="147"/>
      <c r="K2970" s="147" t="str">
        <f t="shared" si="46"/>
        <v/>
      </c>
      <c r="L2970" s="40"/>
      <c r="M2970"/>
      <c r="N2970"/>
      <c r="O2970"/>
      <c r="P2970"/>
      <c r="Q2970"/>
      <c r="R2970"/>
      <c r="S2970"/>
      <c r="T2970"/>
      <c r="U2970"/>
      <c r="V2970"/>
      <c r="W2970" s="41"/>
      <c r="X2970" s="41"/>
      <c r="Y2970" s="41"/>
    </row>
    <row r="2971" s="27" customFormat="1" ht="23" hidden="1" customHeight="1" spans="1:25">
      <c r="A2971" s="133" t="str">
        <f>IF(B2971="","",COUNTA($B$5:B2971))</f>
        <v/>
      </c>
      <c r="B2971" s="148"/>
      <c r="C2971" s="22" t="s">
        <v>49</v>
      </c>
      <c r="D2971" s="149"/>
      <c r="E2971" s="150"/>
      <c r="F2971" s="151"/>
      <c r="G2971" s="151"/>
      <c r="H2971" s="142">
        <f>IFERROR(VLOOKUP($C2971,$C$5:$H$18,6,0)+SUMIF($C$19:$C2971,$C2971,$F$19:$F2971)-SUMIF($C$19:$C2971,$C2971,$G$19:$G2971),"")</f>
        <v>81211.819999998</v>
      </c>
      <c r="I2971" s="147"/>
      <c r="J2971" s="147"/>
      <c r="K2971" s="147" t="str">
        <f t="shared" si="46"/>
        <v/>
      </c>
      <c r="L2971" s="40"/>
      <c r="M2971"/>
      <c r="N2971"/>
      <c r="O2971"/>
      <c r="P2971"/>
      <c r="Q2971"/>
      <c r="R2971"/>
      <c r="S2971"/>
      <c r="T2971"/>
      <c r="U2971"/>
      <c r="V2971"/>
      <c r="W2971" s="41"/>
      <c r="X2971" s="41"/>
      <c r="Y2971" s="41"/>
    </row>
    <row r="2972" s="27" customFormat="1" ht="23" hidden="1" customHeight="1" spans="1:25">
      <c r="A2972" s="133" t="str">
        <f>IF(B2972="","",COUNTA($B$5:B2972))</f>
        <v/>
      </c>
      <c r="B2972" s="148"/>
      <c r="C2972" s="22" t="s">
        <v>49</v>
      </c>
      <c r="D2972" s="149"/>
      <c r="E2972" s="150"/>
      <c r="F2972" s="151"/>
      <c r="G2972" s="151"/>
      <c r="H2972" s="142">
        <f>IFERROR(VLOOKUP($C2972,$C$5:$H$18,6,0)+SUMIF($C$19:$C2972,$C2972,$F$19:$F2972)-SUMIF($C$19:$C2972,$C2972,$G$19:$G2972),"")</f>
        <v>81211.819999998</v>
      </c>
      <c r="I2972" s="147"/>
      <c r="J2972" s="147"/>
      <c r="K2972" s="147" t="str">
        <f t="shared" si="46"/>
        <v/>
      </c>
      <c r="L2972" s="40"/>
      <c r="M2972"/>
      <c r="N2972"/>
      <c r="O2972"/>
      <c r="P2972"/>
      <c r="Q2972"/>
      <c r="R2972"/>
      <c r="S2972"/>
      <c r="T2972"/>
      <c r="U2972"/>
      <c r="V2972"/>
      <c r="W2972" s="41"/>
      <c r="X2972" s="41"/>
      <c r="Y2972" s="41"/>
    </row>
    <row r="2973" s="27" customFormat="1" ht="23" hidden="1" customHeight="1" spans="1:25">
      <c r="A2973" s="133" t="str">
        <f>IF(B2973="","",COUNTA($B$5:B2973))</f>
        <v/>
      </c>
      <c r="B2973" s="148"/>
      <c r="C2973" s="22" t="s">
        <v>49</v>
      </c>
      <c r="D2973" s="149"/>
      <c r="E2973" s="150"/>
      <c r="F2973" s="151"/>
      <c r="G2973" s="151"/>
      <c r="H2973" s="142">
        <f>IFERROR(VLOOKUP($C2973,$C$5:$H$18,6,0)+SUMIF($C$19:$C2973,$C2973,$F$19:$F2973)-SUMIF($C$19:$C2973,$C2973,$G$19:$G2973),"")</f>
        <v>81211.819999998</v>
      </c>
      <c r="I2973" s="147"/>
      <c r="J2973" s="147"/>
      <c r="K2973" s="147" t="str">
        <f t="shared" si="46"/>
        <v/>
      </c>
      <c r="L2973" s="40"/>
      <c r="M2973"/>
      <c r="N2973"/>
      <c r="O2973"/>
      <c r="P2973"/>
      <c r="Q2973"/>
      <c r="R2973"/>
      <c r="S2973"/>
      <c r="T2973"/>
      <c r="U2973"/>
      <c r="V2973"/>
      <c r="W2973" s="41"/>
      <c r="X2973" s="41"/>
      <c r="Y2973" s="41"/>
    </row>
    <row r="2974" s="27" customFormat="1" ht="23" hidden="1" customHeight="1" spans="1:25">
      <c r="A2974" s="133" t="str">
        <f>IF(B2974="","",COUNTA($B$5:B2974))</f>
        <v/>
      </c>
      <c r="B2974" s="148"/>
      <c r="C2974" s="22" t="s">
        <v>49</v>
      </c>
      <c r="D2974" s="149"/>
      <c r="E2974" s="150"/>
      <c r="F2974" s="151"/>
      <c r="G2974" s="151"/>
      <c r="H2974" s="142">
        <f>IFERROR(VLOOKUP($C2974,$C$5:$H$18,6,0)+SUMIF($C$19:$C2974,$C2974,$F$19:$F2974)-SUMIF($C$19:$C2974,$C2974,$G$19:$G2974),"")</f>
        <v>81211.819999998</v>
      </c>
      <c r="I2974" s="147"/>
      <c r="J2974" s="147"/>
      <c r="K2974" s="147" t="str">
        <f t="shared" si="46"/>
        <v/>
      </c>
      <c r="L2974" s="40"/>
      <c r="M2974"/>
      <c r="N2974"/>
      <c r="O2974"/>
      <c r="P2974"/>
      <c r="Q2974"/>
      <c r="R2974"/>
      <c r="S2974"/>
      <c r="T2974"/>
      <c r="U2974"/>
      <c r="V2974"/>
      <c r="W2974" s="41"/>
      <c r="X2974" s="41"/>
      <c r="Y2974" s="41"/>
    </row>
    <row r="2975" s="27" customFormat="1" ht="23" hidden="1" customHeight="1" spans="1:25">
      <c r="A2975" s="133" t="str">
        <f>IF(B2975="","",COUNTA($B$5:B2975))</f>
        <v/>
      </c>
      <c r="B2975" s="148"/>
      <c r="C2975" s="22" t="s">
        <v>49</v>
      </c>
      <c r="D2975" s="149"/>
      <c r="E2975" s="150"/>
      <c r="F2975" s="151"/>
      <c r="G2975" s="151"/>
      <c r="H2975" s="142">
        <f>IFERROR(VLOOKUP($C2975,$C$5:$H$18,6,0)+SUMIF($C$19:$C2975,$C2975,$F$19:$F2975)-SUMIF($C$19:$C2975,$C2975,$G$19:$G2975),"")</f>
        <v>81211.819999998</v>
      </c>
      <c r="I2975" s="147"/>
      <c r="J2975" s="147"/>
      <c r="K2975" s="147" t="str">
        <f t="shared" si="46"/>
        <v/>
      </c>
      <c r="L2975" s="40"/>
      <c r="M2975"/>
      <c r="N2975"/>
      <c r="O2975"/>
      <c r="P2975"/>
      <c r="Q2975"/>
      <c r="R2975"/>
      <c r="S2975"/>
      <c r="T2975"/>
      <c r="U2975"/>
      <c r="V2975"/>
      <c r="W2975" s="41"/>
      <c r="X2975" s="41"/>
      <c r="Y2975" s="41"/>
    </row>
    <row r="2976" s="27" customFormat="1" ht="23" hidden="1" customHeight="1" spans="1:25">
      <c r="A2976" s="133" t="str">
        <f>IF(B2976="","",COUNTA($B$5:B2976))</f>
        <v/>
      </c>
      <c r="B2976" s="148"/>
      <c r="C2976" s="22" t="s">
        <v>49</v>
      </c>
      <c r="D2976" s="149"/>
      <c r="E2976" s="150"/>
      <c r="F2976" s="151"/>
      <c r="G2976" s="151"/>
      <c r="H2976" s="142">
        <f>IFERROR(VLOOKUP($C2976,$C$5:$H$18,6,0)+SUMIF($C$19:$C2976,$C2976,$F$19:$F2976)-SUMIF($C$19:$C2976,$C2976,$G$19:$G2976),"")</f>
        <v>81211.819999998</v>
      </c>
      <c r="I2976" s="147"/>
      <c r="J2976" s="147"/>
      <c r="K2976" s="147" t="str">
        <f t="shared" si="46"/>
        <v/>
      </c>
      <c r="L2976" s="40"/>
      <c r="M2976"/>
      <c r="N2976"/>
      <c r="O2976"/>
      <c r="P2976"/>
      <c r="Q2976"/>
      <c r="R2976"/>
      <c r="S2976"/>
      <c r="T2976"/>
      <c r="U2976"/>
      <c r="V2976"/>
      <c r="W2976" s="41"/>
      <c r="X2976" s="41"/>
      <c r="Y2976" s="41"/>
    </row>
    <row r="2977" s="27" customFormat="1" ht="23" hidden="1" customHeight="1" spans="1:25">
      <c r="A2977" s="133" t="str">
        <f>IF(B2977="","",COUNTA($B$5:B2977))</f>
        <v/>
      </c>
      <c r="B2977" s="148"/>
      <c r="C2977" s="22" t="s">
        <v>49</v>
      </c>
      <c r="D2977" s="149"/>
      <c r="E2977" s="150"/>
      <c r="F2977" s="151"/>
      <c r="G2977" s="151"/>
      <c r="H2977" s="142">
        <f>IFERROR(VLOOKUP($C2977,$C$5:$H$18,6,0)+SUMIF($C$19:$C2977,$C2977,$F$19:$F2977)-SUMIF($C$19:$C2977,$C2977,$G$19:$G2977),"")</f>
        <v>81211.819999998</v>
      </c>
      <c r="I2977" s="147"/>
      <c r="J2977" s="147"/>
      <c r="K2977" s="147" t="str">
        <f t="shared" si="46"/>
        <v/>
      </c>
      <c r="L2977" s="40"/>
      <c r="M2977"/>
      <c r="N2977"/>
      <c r="O2977"/>
      <c r="P2977"/>
      <c r="Q2977"/>
      <c r="R2977"/>
      <c r="S2977"/>
      <c r="T2977"/>
      <c r="U2977"/>
      <c r="V2977"/>
      <c r="W2977" s="41"/>
      <c r="X2977" s="41"/>
      <c r="Y2977" s="41"/>
    </row>
    <row r="2978" s="27" customFormat="1" ht="23" hidden="1" customHeight="1" spans="1:25">
      <c r="A2978" s="133" t="str">
        <f>IF(B2978="","",COUNTA($B$5:B2978))</f>
        <v/>
      </c>
      <c r="B2978" s="148"/>
      <c r="C2978" s="22" t="s">
        <v>49</v>
      </c>
      <c r="D2978" s="149"/>
      <c r="E2978" s="150"/>
      <c r="F2978" s="151"/>
      <c r="G2978" s="151"/>
      <c r="H2978" s="142">
        <f>IFERROR(VLOOKUP($C2978,$C$5:$H$18,6,0)+SUMIF($C$19:$C2978,$C2978,$F$19:$F2978)-SUMIF($C$19:$C2978,$C2978,$G$19:$G2978),"")</f>
        <v>81211.819999998</v>
      </c>
      <c r="I2978" s="147"/>
      <c r="J2978" s="147"/>
      <c r="K2978" s="147" t="str">
        <f t="shared" si="46"/>
        <v/>
      </c>
      <c r="L2978" s="40"/>
      <c r="M2978"/>
      <c r="N2978"/>
      <c r="O2978"/>
      <c r="P2978"/>
      <c r="Q2978"/>
      <c r="R2978"/>
      <c r="S2978"/>
      <c r="T2978"/>
      <c r="U2978"/>
      <c r="V2978"/>
      <c r="W2978" s="41"/>
      <c r="X2978" s="41"/>
      <c r="Y2978" s="41"/>
    </row>
    <row r="2979" s="27" customFormat="1" ht="23" hidden="1" customHeight="1" spans="1:25">
      <c r="A2979" s="133" t="str">
        <f>IF(B2979="","",COUNTA($B$5:B2979))</f>
        <v/>
      </c>
      <c r="B2979" s="148"/>
      <c r="C2979" s="22" t="s">
        <v>49</v>
      </c>
      <c r="D2979" s="149"/>
      <c r="E2979" s="150"/>
      <c r="F2979" s="151"/>
      <c r="G2979" s="151"/>
      <c r="H2979" s="142">
        <f>IFERROR(VLOOKUP($C2979,$C$5:$H$18,6,0)+SUMIF($C$19:$C2979,$C2979,$F$19:$F2979)-SUMIF($C$19:$C2979,$C2979,$G$19:$G2979),"")</f>
        <v>81211.819999998</v>
      </c>
      <c r="I2979" s="147"/>
      <c r="J2979" s="147"/>
      <c r="K2979" s="147" t="str">
        <f t="shared" si="46"/>
        <v/>
      </c>
      <c r="L2979" s="40"/>
      <c r="M2979"/>
      <c r="N2979"/>
      <c r="O2979"/>
      <c r="P2979"/>
      <c r="Q2979"/>
      <c r="R2979"/>
      <c r="S2979"/>
      <c r="T2979"/>
      <c r="U2979"/>
      <c r="V2979"/>
      <c r="W2979" s="41"/>
      <c r="X2979" s="41"/>
      <c r="Y2979" s="41"/>
    </row>
    <row r="2980" s="27" customFormat="1" ht="23" hidden="1" customHeight="1" spans="1:25">
      <c r="A2980" s="133" t="str">
        <f>IF(B2980="","",COUNTA($B$5:B2980))</f>
        <v/>
      </c>
      <c r="B2980" s="148"/>
      <c r="C2980" s="22" t="s">
        <v>49</v>
      </c>
      <c r="D2980" s="149"/>
      <c r="E2980" s="150"/>
      <c r="F2980" s="151"/>
      <c r="G2980" s="151"/>
      <c r="H2980" s="142">
        <f>IFERROR(VLOOKUP($C2980,$C$5:$H$18,6,0)+SUMIF($C$19:$C2980,$C2980,$F$19:$F2980)-SUMIF($C$19:$C2980,$C2980,$G$19:$G2980),"")</f>
        <v>81211.819999998</v>
      </c>
      <c r="I2980" s="147"/>
      <c r="J2980" s="147"/>
      <c r="K2980" s="147" t="str">
        <f t="shared" si="46"/>
        <v/>
      </c>
      <c r="L2980" s="40"/>
      <c r="M2980"/>
      <c r="N2980"/>
      <c r="O2980"/>
      <c r="P2980"/>
      <c r="Q2980"/>
      <c r="R2980"/>
      <c r="S2980"/>
      <c r="T2980"/>
      <c r="U2980"/>
      <c r="V2980"/>
      <c r="W2980" s="41"/>
      <c r="X2980" s="41"/>
      <c r="Y2980" s="41"/>
    </row>
    <row r="2981" s="27" customFormat="1" ht="23" hidden="1" customHeight="1" spans="1:25">
      <c r="A2981" s="133" t="str">
        <f>IF(B2981="","",COUNTA($B$5:B2981))</f>
        <v/>
      </c>
      <c r="B2981" s="148"/>
      <c r="C2981" s="22" t="s">
        <v>49</v>
      </c>
      <c r="D2981" s="149"/>
      <c r="E2981" s="150"/>
      <c r="F2981" s="151"/>
      <c r="G2981" s="151"/>
      <c r="H2981" s="142">
        <f>IFERROR(VLOOKUP($C2981,$C$5:$H$18,6,0)+SUMIF($C$19:$C2981,$C2981,$F$19:$F2981)-SUMIF($C$19:$C2981,$C2981,$G$19:$G2981),"")</f>
        <v>81211.819999998</v>
      </c>
      <c r="I2981" s="147"/>
      <c r="J2981" s="147"/>
      <c r="K2981" s="147" t="str">
        <f t="shared" si="46"/>
        <v/>
      </c>
      <c r="L2981" s="40"/>
      <c r="M2981"/>
      <c r="N2981"/>
      <c r="O2981"/>
      <c r="P2981"/>
      <c r="Q2981"/>
      <c r="R2981"/>
      <c r="S2981"/>
      <c r="T2981"/>
      <c r="U2981"/>
      <c r="V2981"/>
      <c r="W2981" s="41"/>
      <c r="X2981" s="41"/>
      <c r="Y2981" s="41"/>
    </row>
    <row r="2982" s="27" customFormat="1" ht="23" hidden="1" customHeight="1" spans="1:25">
      <c r="A2982" s="133" t="str">
        <f>IF(B2982="","",COUNTA($B$5:B2982))</f>
        <v/>
      </c>
      <c r="B2982" s="148"/>
      <c r="C2982" s="22" t="s">
        <v>49</v>
      </c>
      <c r="D2982" s="149"/>
      <c r="E2982" s="150"/>
      <c r="F2982" s="151"/>
      <c r="G2982" s="151"/>
      <c r="H2982" s="142">
        <f>IFERROR(VLOOKUP($C2982,$C$5:$H$18,6,0)+SUMIF($C$19:$C2982,$C2982,$F$19:$F2982)-SUMIF($C$19:$C2982,$C2982,$G$19:$G2982),"")</f>
        <v>81211.819999998</v>
      </c>
      <c r="I2982" s="147"/>
      <c r="J2982" s="147"/>
      <c r="K2982" s="147" t="str">
        <f t="shared" si="46"/>
        <v/>
      </c>
      <c r="L2982" s="40"/>
      <c r="M2982"/>
      <c r="N2982"/>
      <c r="O2982"/>
      <c r="P2982"/>
      <c r="Q2982"/>
      <c r="R2982"/>
      <c r="S2982"/>
      <c r="T2982"/>
      <c r="U2982"/>
      <c r="V2982"/>
      <c r="W2982" s="41"/>
      <c r="X2982" s="41"/>
      <c r="Y2982" s="41"/>
    </row>
    <row r="2983" s="27" customFormat="1" ht="23" hidden="1" customHeight="1" spans="1:25">
      <c r="A2983" s="133" t="str">
        <f>IF(B2983="","",COUNTA($B$5:B2983))</f>
        <v/>
      </c>
      <c r="B2983" s="148"/>
      <c r="C2983" s="22" t="s">
        <v>49</v>
      </c>
      <c r="D2983" s="149"/>
      <c r="E2983" s="150"/>
      <c r="F2983" s="151"/>
      <c r="G2983" s="151"/>
      <c r="H2983" s="142">
        <f>IFERROR(VLOOKUP($C2983,$C$5:$H$18,6,0)+SUMIF($C$19:$C2983,$C2983,$F$19:$F2983)-SUMIF($C$19:$C2983,$C2983,$G$19:$G2983),"")</f>
        <v>81211.819999998</v>
      </c>
      <c r="I2983" s="147"/>
      <c r="J2983" s="147"/>
      <c r="K2983" s="147" t="str">
        <f t="shared" si="46"/>
        <v/>
      </c>
      <c r="L2983" s="40"/>
      <c r="M2983"/>
      <c r="N2983"/>
      <c r="O2983"/>
      <c r="P2983"/>
      <c r="Q2983"/>
      <c r="R2983"/>
      <c r="S2983"/>
      <c r="T2983"/>
      <c r="U2983"/>
      <c r="V2983"/>
      <c r="W2983" s="41"/>
      <c r="X2983" s="41"/>
      <c r="Y2983" s="41"/>
    </row>
    <row r="2984" s="27" customFormat="1" ht="23" hidden="1" customHeight="1" spans="1:25">
      <c r="A2984" s="133" t="str">
        <f>IF(B2984="","",COUNTA($B$5:B2984))</f>
        <v/>
      </c>
      <c r="B2984" s="148"/>
      <c r="C2984" s="22" t="s">
        <v>49</v>
      </c>
      <c r="D2984" s="149"/>
      <c r="E2984" s="150"/>
      <c r="F2984" s="151"/>
      <c r="G2984" s="151"/>
      <c r="H2984" s="142">
        <f>IFERROR(VLOOKUP($C2984,$C$5:$H$18,6,0)+SUMIF($C$19:$C2984,$C2984,$F$19:$F2984)-SUMIF($C$19:$C2984,$C2984,$G$19:$G2984),"")</f>
        <v>81211.819999998</v>
      </c>
      <c r="I2984" s="147"/>
      <c r="J2984" s="147"/>
      <c r="K2984" s="147" t="str">
        <f t="shared" si="46"/>
        <v/>
      </c>
      <c r="L2984" s="40"/>
      <c r="M2984"/>
      <c r="N2984"/>
      <c r="O2984"/>
      <c r="P2984"/>
      <c r="Q2984"/>
      <c r="R2984"/>
      <c r="S2984"/>
      <c r="T2984"/>
      <c r="U2984"/>
      <c r="V2984"/>
      <c r="W2984" s="41"/>
      <c r="X2984" s="41"/>
      <c r="Y2984" s="41"/>
    </row>
    <row r="2985" s="27" customFormat="1" ht="23" hidden="1" customHeight="1" spans="1:25">
      <c r="A2985" s="133" t="str">
        <f>IF(B2985="","",COUNTA($B$5:B2985))</f>
        <v/>
      </c>
      <c r="B2985" s="148"/>
      <c r="C2985" s="22" t="s">
        <v>49</v>
      </c>
      <c r="D2985" s="149"/>
      <c r="E2985" s="150"/>
      <c r="F2985" s="151"/>
      <c r="G2985" s="151"/>
      <c r="H2985" s="142">
        <f>IFERROR(VLOOKUP($C2985,$C$5:$H$18,6,0)+SUMIF($C$19:$C2985,$C2985,$F$19:$F2985)-SUMIF($C$19:$C2985,$C2985,$G$19:$G2985),"")</f>
        <v>81211.819999998</v>
      </c>
      <c r="I2985" s="147"/>
      <c r="J2985" s="147"/>
      <c r="K2985" s="147" t="str">
        <f t="shared" si="46"/>
        <v/>
      </c>
      <c r="L2985" s="40"/>
      <c r="M2985"/>
      <c r="N2985"/>
      <c r="O2985"/>
      <c r="P2985"/>
      <c r="Q2985"/>
      <c r="R2985"/>
      <c r="S2985"/>
      <c r="T2985"/>
      <c r="U2985"/>
      <c r="V2985"/>
      <c r="W2985" s="41"/>
      <c r="X2985" s="41"/>
      <c r="Y2985" s="41"/>
    </row>
    <row r="2986" s="27" customFormat="1" ht="23" hidden="1" customHeight="1" spans="1:25">
      <c r="A2986" s="133" t="str">
        <f>IF(B2986="","",COUNTA($B$5:B2986))</f>
        <v/>
      </c>
      <c r="B2986" s="148"/>
      <c r="C2986" s="22" t="s">
        <v>49</v>
      </c>
      <c r="D2986" s="149"/>
      <c r="E2986" s="150"/>
      <c r="F2986" s="151"/>
      <c r="G2986" s="151"/>
      <c r="H2986" s="142">
        <f>IFERROR(VLOOKUP($C2986,$C$5:$H$18,6,0)+SUMIF($C$19:$C2986,$C2986,$F$19:$F2986)-SUMIF($C$19:$C2986,$C2986,$G$19:$G2986),"")</f>
        <v>81211.819999998</v>
      </c>
      <c r="I2986" s="147"/>
      <c r="J2986" s="147"/>
      <c r="K2986" s="147" t="str">
        <f t="shared" si="46"/>
        <v/>
      </c>
      <c r="L2986" s="40"/>
      <c r="M2986"/>
      <c r="N2986"/>
      <c r="O2986"/>
      <c r="P2986"/>
      <c r="Q2986"/>
      <c r="R2986"/>
      <c r="S2986"/>
      <c r="T2986"/>
      <c r="U2986"/>
      <c r="V2986"/>
      <c r="W2986" s="41"/>
      <c r="X2986" s="41"/>
      <c r="Y2986" s="41"/>
    </row>
    <row r="2987" s="27" customFormat="1" ht="23" hidden="1" customHeight="1" spans="1:25">
      <c r="A2987" s="133" t="str">
        <f>IF(B2987="","",COUNTA($B$5:B2987))</f>
        <v/>
      </c>
      <c r="B2987" s="148"/>
      <c r="C2987" s="22" t="s">
        <v>49</v>
      </c>
      <c r="D2987" s="149"/>
      <c r="E2987" s="150"/>
      <c r="F2987" s="151"/>
      <c r="G2987" s="151"/>
      <c r="H2987" s="142">
        <f>IFERROR(VLOOKUP($C2987,$C$5:$H$18,6,0)+SUMIF($C$19:$C2987,$C2987,$F$19:$F2987)-SUMIF($C$19:$C2987,$C2987,$G$19:$G2987),"")</f>
        <v>81211.819999998</v>
      </c>
      <c r="I2987" s="147"/>
      <c r="J2987" s="147"/>
      <c r="K2987" s="147" t="str">
        <f t="shared" si="46"/>
        <v/>
      </c>
      <c r="L2987" s="40"/>
      <c r="M2987"/>
      <c r="N2987"/>
      <c r="O2987"/>
      <c r="P2987"/>
      <c r="Q2987"/>
      <c r="R2987"/>
      <c r="S2987"/>
      <c r="T2987"/>
      <c r="U2987"/>
      <c r="V2987"/>
      <c r="W2987" s="41"/>
      <c r="X2987" s="41"/>
      <c r="Y2987" s="41"/>
    </row>
    <row r="2988" s="27" customFormat="1" ht="23" hidden="1" customHeight="1" spans="1:25">
      <c r="A2988" s="133" t="str">
        <f>IF(B2988="","",COUNTA($B$5:B2988))</f>
        <v/>
      </c>
      <c r="B2988" s="148"/>
      <c r="C2988" s="22" t="s">
        <v>49</v>
      </c>
      <c r="D2988" s="149"/>
      <c r="E2988" s="150"/>
      <c r="F2988" s="151"/>
      <c r="G2988" s="151"/>
      <c r="H2988" s="142">
        <f>IFERROR(VLOOKUP($C2988,$C$5:$H$18,6,0)+SUMIF($C$19:$C2988,$C2988,$F$19:$F2988)-SUMIF($C$19:$C2988,$C2988,$G$19:$G2988),"")</f>
        <v>81211.819999998</v>
      </c>
      <c r="I2988" s="147"/>
      <c r="J2988" s="147"/>
      <c r="K2988" s="147" t="str">
        <f t="shared" si="46"/>
        <v/>
      </c>
      <c r="L2988" s="40"/>
      <c r="M2988"/>
      <c r="N2988"/>
      <c r="O2988"/>
      <c r="P2988"/>
      <c r="Q2988"/>
      <c r="R2988"/>
      <c r="S2988"/>
      <c r="T2988"/>
      <c r="U2988"/>
      <c r="V2988"/>
      <c r="W2988" s="41"/>
      <c r="X2988" s="41"/>
      <c r="Y2988" s="41"/>
    </row>
    <row r="2989" s="27" customFormat="1" ht="23" hidden="1" customHeight="1" spans="1:25">
      <c r="A2989" s="133" t="str">
        <f>IF(B2989="","",COUNTA($B$5:B2989))</f>
        <v/>
      </c>
      <c r="B2989" s="148"/>
      <c r="C2989" s="22" t="s">
        <v>49</v>
      </c>
      <c r="D2989" s="149"/>
      <c r="E2989" s="150"/>
      <c r="F2989" s="151"/>
      <c r="G2989" s="151"/>
      <c r="H2989" s="142">
        <f>IFERROR(VLOOKUP($C2989,$C$5:$H$18,6,0)+SUMIF($C$19:$C2989,$C2989,$F$19:$F2989)-SUMIF($C$19:$C2989,$C2989,$G$19:$G2989),"")</f>
        <v>81211.819999998</v>
      </c>
      <c r="I2989" s="147"/>
      <c r="J2989" s="147"/>
      <c r="K2989" s="147" t="str">
        <f t="shared" si="46"/>
        <v/>
      </c>
      <c r="L2989" s="40"/>
      <c r="M2989"/>
      <c r="N2989"/>
      <c r="O2989"/>
      <c r="P2989"/>
      <c r="Q2989"/>
      <c r="R2989"/>
      <c r="S2989"/>
      <c r="T2989"/>
      <c r="U2989"/>
      <c r="V2989"/>
      <c r="W2989" s="41"/>
      <c r="X2989" s="41"/>
      <c r="Y2989" s="41"/>
    </row>
    <row r="2990" s="27" customFormat="1" ht="23" hidden="1" customHeight="1" spans="1:25">
      <c r="A2990" s="133" t="str">
        <f>IF(B2990="","",COUNTA($B$5:B2990))</f>
        <v/>
      </c>
      <c r="B2990" s="148"/>
      <c r="C2990" s="22" t="s">
        <v>49</v>
      </c>
      <c r="D2990" s="149"/>
      <c r="E2990" s="150"/>
      <c r="F2990" s="151"/>
      <c r="G2990" s="151"/>
      <c r="H2990" s="142">
        <f>IFERROR(VLOOKUP($C2990,$C$5:$H$18,6,0)+SUMIF($C$19:$C2990,$C2990,$F$19:$F2990)-SUMIF($C$19:$C2990,$C2990,$G$19:$G2990),"")</f>
        <v>81211.819999998</v>
      </c>
      <c r="I2990" s="147"/>
      <c r="J2990" s="147"/>
      <c r="K2990" s="147" t="str">
        <f t="shared" si="46"/>
        <v/>
      </c>
      <c r="L2990" s="40"/>
      <c r="M2990"/>
      <c r="N2990"/>
      <c r="O2990"/>
      <c r="P2990"/>
      <c r="Q2990"/>
      <c r="R2990"/>
      <c r="S2990"/>
      <c r="T2990"/>
      <c r="U2990"/>
      <c r="V2990"/>
      <c r="W2990" s="41"/>
      <c r="X2990" s="41"/>
      <c r="Y2990" s="41"/>
    </row>
    <row r="2991" s="27" customFormat="1" ht="23" hidden="1" customHeight="1" spans="1:25">
      <c r="A2991" s="133" t="str">
        <f>IF(B2991="","",COUNTA($B$5:B2991))</f>
        <v/>
      </c>
      <c r="B2991" s="148"/>
      <c r="C2991" s="22" t="s">
        <v>49</v>
      </c>
      <c r="D2991" s="149"/>
      <c r="E2991" s="150"/>
      <c r="F2991" s="151"/>
      <c r="G2991" s="151"/>
      <c r="H2991" s="142">
        <f>IFERROR(VLOOKUP($C2991,$C$5:$H$18,6,0)+SUMIF($C$19:$C2991,$C2991,$F$19:$F2991)-SUMIF($C$19:$C2991,$C2991,$G$19:$G2991),"")</f>
        <v>81211.819999998</v>
      </c>
      <c r="I2991" s="147"/>
      <c r="J2991" s="147"/>
      <c r="K2991" s="147" t="str">
        <f t="shared" si="46"/>
        <v/>
      </c>
      <c r="L2991" s="40"/>
      <c r="M2991"/>
      <c r="N2991"/>
      <c r="O2991"/>
      <c r="P2991"/>
      <c r="Q2991"/>
      <c r="R2991"/>
      <c r="S2991"/>
      <c r="T2991"/>
      <c r="U2991"/>
      <c r="V2991"/>
      <c r="W2991" s="41"/>
      <c r="X2991" s="41"/>
      <c r="Y2991" s="41"/>
    </row>
    <row r="2992" s="27" customFormat="1" ht="23" hidden="1" customHeight="1" spans="1:25">
      <c r="A2992" s="133" t="str">
        <f>IF(B2992="","",COUNTA($B$5:B2992))</f>
        <v/>
      </c>
      <c r="B2992" s="148"/>
      <c r="C2992" s="22" t="s">
        <v>49</v>
      </c>
      <c r="D2992" s="149"/>
      <c r="E2992" s="150"/>
      <c r="F2992" s="151"/>
      <c r="G2992" s="151"/>
      <c r="H2992" s="142">
        <f>IFERROR(VLOOKUP($C2992,$C$5:$H$18,6,0)+SUMIF($C$19:$C2992,$C2992,$F$19:$F2992)-SUMIF($C$19:$C2992,$C2992,$G$19:$G2992),"")</f>
        <v>81211.819999998</v>
      </c>
      <c r="I2992" s="147"/>
      <c r="J2992" s="147"/>
      <c r="K2992" s="147" t="str">
        <f t="shared" si="46"/>
        <v/>
      </c>
      <c r="L2992" s="40"/>
      <c r="M2992"/>
      <c r="N2992"/>
      <c r="O2992"/>
      <c r="P2992"/>
      <c r="Q2992"/>
      <c r="R2992"/>
      <c r="S2992"/>
      <c r="T2992"/>
      <c r="U2992"/>
      <c r="V2992"/>
      <c r="W2992" s="41"/>
      <c r="X2992" s="41"/>
      <c r="Y2992" s="41"/>
    </row>
    <row r="2993" s="27" customFormat="1" ht="23" hidden="1" customHeight="1" spans="1:25">
      <c r="A2993" s="133" t="str">
        <f>IF(B2993="","",COUNTA($B$5:B2993))</f>
        <v/>
      </c>
      <c r="B2993" s="148"/>
      <c r="C2993" s="22" t="s">
        <v>49</v>
      </c>
      <c r="D2993" s="149"/>
      <c r="E2993" s="150"/>
      <c r="F2993" s="151"/>
      <c r="G2993" s="151"/>
      <c r="H2993" s="142">
        <f>IFERROR(VLOOKUP($C2993,$C$5:$H$18,6,0)+SUMIF($C$19:$C2993,$C2993,$F$19:$F2993)-SUMIF($C$19:$C2993,$C2993,$G$19:$G2993),"")</f>
        <v>81211.819999998</v>
      </c>
      <c r="I2993" s="147"/>
      <c r="J2993" s="147"/>
      <c r="K2993" s="147" t="str">
        <f t="shared" si="46"/>
        <v/>
      </c>
      <c r="L2993" s="40"/>
      <c r="M2993"/>
      <c r="N2993"/>
      <c r="O2993"/>
      <c r="P2993"/>
      <c r="Q2993"/>
      <c r="R2993"/>
      <c r="S2993"/>
      <c r="T2993"/>
      <c r="U2993"/>
      <c r="V2993"/>
      <c r="W2993" s="41"/>
      <c r="X2993" s="41"/>
      <c r="Y2993" s="41"/>
    </row>
    <row r="2994" s="27" customFormat="1" ht="23" hidden="1" customHeight="1" spans="1:25">
      <c r="A2994" s="133" t="str">
        <f>IF(B2994="","",COUNTA($B$5:B2994))</f>
        <v/>
      </c>
      <c r="B2994" s="148"/>
      <c r="C2994" s="22" t="s">
        <v>49</v>
      </c>
      <c r="D2994" s="149"/>
      <c r="E2994" s="150"/>
      <c r="F2994" s="151"/>
      <c r="G2994" s="151"/>
      <c r="H2994" s="142">
        <f>IFERROR(VLOOKUP($C2994,$C$5:$H$18,6,0)+SUMIF($C$19:$C2994,$C2994,$F$19:$F2994)-SUMIF($C$19:$C2994,$C2994,$G$19:$G2994),"")</f>
        <v>81211.819999998</v>
      </c>
      <c r="I2994" s="147"/>
      <c r="J2994" s="147"/>
      <c r="K2994" s="147" t="str">
        <f t="shared" si="46"/>
        <v/>
      </c>
      <c r="L2994" s="40"/>
      <c r="M2994"/>
      <c r="N2994"/>
      <c r="O2994"/>
      <c r="P2994"/>
      <c r="Q2994"/>
      <c r="R2994"/>
      <c r="S2994"/>
      <c r="T2994"/>
      <c r="U2994"/>
      <c r="V2994"/>
      <c r="W2994" s="41"/>
      <c r="X2994" s="41"/>
      <c r="Y2994" s="41"/>
    </row>
    <row r="2995" s="27" customFormat="1" ht="23" hidden="1" customHeight="1" spans="1:25">
      <c r="A2995" s="133" t="str">
        <f>IF(B2995="","",COUNTA($B$5:B2995))</f>
        <v/>
      </c>
      <c r="B2995" s="148"/>
      <c r="C2995" s="22" t="s">
        <v>49</v>
      </c>
      <c r="D2995" s="149"/>
      <c r="E2995" s="150"/>
      <c r="F2995" s="151"/>
      <c r="G2995" s="151"/>
      <c r="H2995" s="142">
        <f>IFERROR(VLOOKUP($C2995,$C$5:$H$18,6,0)+SUMIF($C$19:$C2995,$C2995,$F$19:$F2995)-SUMIF($C$19:$C2995,$C2995,$G$19:$G2995),"")</f>
        <v>81211.819999998</v>
      </c>
      <c r="I2995" s="147"/>
      <c r="J2995" s="147"/>
      <c r="K2995" s="147" t="str">
        <f t="shared" si="46"/>
        <v/>
      </c>
      <c r="L2995" s="40"/>
      <c r="M2995"/>
      <c r="N2995"/>
      <c r="O2995"/>
      <c r="P2995"/>
      <c r="Q2995"/>
      <c r="R2995"/>
      <c r="S2995"/>
      <c r="T2995"/>
      <c r="U2995"/>
      <c r="V2995"/>
      <c r="W2995" s="41"/>
      <c r="X2995" s="41"/>
      <c r="Y2995" s="41"/>
    </row>
    <row r="2996" s="27" customFormat="1" ht="23" hidden="1" customHeight="1" spans="1:25">
      <c r="A2996" s="133" t="str">
        <f>IF(B2996="","",COUNTA($B$5:B2996))</f>
        <v/>
      </c>
      <c r="B2996" s="148"/>
      <c r="C2996" s="22" t="s">
        <v>49</v>
      </c>
      <c r="D2996" s="149"/>
      <c r="E2996" s="150"/>
      <c r="F2996" s="151"/>
      <c r="G2996" s="151"/>
      <c r="H2996" s="142">
        <f>IFERROR(VLOOKUP($C2996,$C$5:$H$18,6,0)+SUMIF($C$19:$C2996,$C2996,$F$19:$F2996)-SUMIF($C$19:$C2996,$C2996,$G$19:$G2996),"")</f>
        <v>81211.819999998</v>
      </c>
      <c r="I2996" s="147"/>
      <c r="J2996" s="147"/>
      <c r="K2996" s="147" t="str">
        <f t="shared" si="46"/>
        <v/>
      </c>
      <c r="L2996" s="40"/>
      <c r="M2996"/>
      <c r="N2996"/>
      <c r="O2996"/>
      <c r="P2996"/>
      <c r="Q2996"/>
      <c r="R2996"/>
      <c r="S2996"/>
      <c r="T2996"/>
      <c r="U2996"/>
      <c r="V2996"/>
      <c r="W2996" s="41"/>
      <c r="X2996" s="41"/>
      <c r="Y2996" s="41"/>
    </row>
    <row r="2997" s="27" customFormat="1" ht="23" hidden="1" customHeight="1" spans="1:25">
      <c r="A2997" s="133" t="str">
        <f>IF(B2997="","",COUNTA($B$5:B2997))</f>
        <v/>
      </c>
      <c r="B2997" s="148"/>
      <c r="C2997" s="22" t="s">
        <v>49</v>
      </c>
      <c r="D2997" s="149"/>
      <c r="E2997" s="150"/>
      <c r="F2997" s="151"/>
      <c r="G2997" s="151"/>
      <c r="H2997" s="142">
        <f>IFERROR(VLOOKUP($C2997,$C$5:$H$18,6,0)+SUMIF($C$19:$C2997,$C2997,$F$19:$F2997)-SUMIF($C$19:$C2997,$C2997,$G$19:$G2997),"")</f>
        <v>81211.819999998</v>
      </c>
      <c r="I2997" s="147"/>
      <c r="J2997" s="147"/>
      <c r="K2997" s="147" t="str">
        <f t="shared" si="46"/>
        <v/>
      </c>
      <c r="L2997" s="40"/>
      <c r="M2997"/>
      <c r="N2997"/>
      <c r="O2997"/>
      <c r="P2997"/>
      <c r="Q2997"/>
      <c r="R2997"/>
      <c r="S2997"/>
      <c r="T2997"/>
      <c r="U2997"/>
      <c r="V2997"/>
      <c r="W2997" s="41"/>
      <c r="X2997" s="41"/>
      <c r="Y2997" s="41"/>
    </row>
    <row r="2998" s="27" customFormat="1" ht="23" hidden="1" customHeight="1" spans="1:25">
      <c r="A2998" s="133" t="str">
        <f>IF(B2998="","",COUNTA($B$5:B2998))</f>
        <v/>
      </c>
      <c r="B2998" s="148"/>
      <c r="C2998" s="22" t="s">
        <v>49</v>
      </c>
      <c r="D2998" s="149"/>
      <c r="E2998" s="150"/>
      <c r="F2998" s="151"/>
      <c r="G2998" s="151"/>
      <c r="H2998" s="142">
        <f>IFERROR(VLOOKUP($C2998,$C$5:$H$18,6,0)+SUMIF($C$19:$C2998,$C2998,$F$19:$F2998)-SUMIF($C$19:$C2998,$C2998,$G$19:$G2998),"")</f>
        <v>81211.819999998</v>
      </c>
      <c r="I2998" s="147"/>
      <c r="J2998" s="147"/>
      <c r="K2998" s="147" t="str">
        <f t="shared" si="46"/>
        <v/>
      </c>
      <c r="L2998" s="40"/>
      <c r="M2998"/>
      <c r="N2998"/>
      <c r="O2998"/>
      <c r="P2998"/>
      <c r="Q2998"/>
      <c r="R2998"/>
      <c r="S2998"/>
      <c r="T2998"/>
      <c r="U2998"/>
      <c r="V2998"/>
      <c r="W2998" s="41"/>
      <c r="X2998" s="41"/>
      <c r="Y2998" s="41"/>
    </row>
    <row r="2999" s="27" customFormat="1" ht="23" hidden="1" customHeight="1" spans="1:25">
      <c r="A2999" s="133" t="str">
        <f>IF(B2999="","",COUNTA($B$5:B2999))</f>
        <v/>
      </c>
      <c r="B2999" s="148"/>
      <c r="C2999" s="22" t="s">
        <v>49</v>
      </c>
      <c r="D2999" s="149"/>
      <c r="E2999" s="150"/>
      <c r="F2999" s="151"/>
      <c r="G2999" s="151"/>
      <c r="H2999" s="142">
        <f>IFERROR(VLOOKUP($C2999,$C$5:$H$18,6,0)+SUMIF($C$19:$C2999,$C2999,$F$19:$F2999)-SUMIF($C$19:$C2999,$C2999,$G$19:$G2999),"")</f>
        <v>81211.819999998</v>
      </c>
      <c r="I2999" s="147"/>
      <c r="J2999" s="147"/>
      <c r="K2999" s="147" t="str">
        <f t="shared" si="46"/>
        <v/>
      </c>
      <c r="L2999" s="40"/>
      <c r="M2999"/>
      <c r="N2999"/>
      <c r="O2999"/>
      <c r="P2999"/>
      <c r="Q2999"/>
      <c r="R2999"/>
      <c r="S2999"/>
      <c r="T2999"/>
      <c r="U2999"/>
      <c r="V2999"/>
      <c r="W2999" s="41"/>
      <c r="X2999" s="41"/>
      <c r="Y2999" s="41"/>
    </row>
    <row r="3000" s="27" customFormat="1" ht="23" hidden="1" customHeight="1" spans="1:25">
      <c r="A3000" s="133" t="str">
        <f>IF(B3000="","",COUNTA($B$5:B3000))</f>
        <v/>
      </c>
      <c r="B3000" s="148"/>
      <c r="C3000" s="22" t="s">
        <v>49</v>
      </c>
      <c r="D3000" s="149"/>
      <c r="E3000" s="150"/>
      <c r="F3000" s="151"/>
      <c r="G3000" s="151"/>
      <c r="H3000" s="142">
        <f>IFERROR(VLOOKUP($C3000,$C$5:$H$18,6,0)+SUMIF($C$19:$C3000,$C3000,$F$19:$F3000)-SUMIF($C$19:$C3000,$C3000,$G$19:$G3000),"")</f>
        <v>81211.819999998</v>
      </c>
      <c r="I3000" s="147"/>
      <c r="J3000" s="147"/>
      <c r="K3000" s="147" t="str">
        <f t="shared" si="46"/>
        <v/>
      </c>
      <c r="L3000" s="40"/>
      <c r="M3000"/>
      <c r="N3000"/>
      <c r="O3000"/>
      <c r="P3000"/>
      <c r="Q3000"/>
      <c r="R3000"/>
      <c r="S3000"/>
      <c r="T3000"/>
      <c r="U3000"/>
      <c r="V3000"/>
      <c r="W3000" s="41"/>
      <c r="X3000" s="41"/>
      <c r="Y3000" s="41"/>
    </row>
    <row r="3001" s="27" customFormat="1" ht="23" hidden="1" customHeight="1" spans="1:25">
      <c r="A3001" s="133" t="str">
        <f>IF(B3001="","",COUNTA($B$5:B3001))</f>
        <v/>
      </c>
      <c r="B3001" s="148"/>
      <c r="C3001" s="22" t="s">
        <v>49</v>
      </c>
      <c r="D3001" s="149"/>
      <c r="E3001" s="150"/>
      <c r="F3001" s="151"/>
      <c r="G3001" s="151"/>
      <c r="H3001" s="142">
        <f>IFERROR(VLOOKUP($C3001,$C$5:$H$18,6,0)+SUMIF($C$19:$C3001,$C3001,$F$19:$F3001)-SUMIF($C$19:$C3001,$C3001,$G$19:$G3001),"")</f>
        <v>81211.819999998</v>
      </c>
      <c r="I3001" s="147"/>
      <c r="J3001" s="147"/>
      <c r="K3001" s="147" t="str">
        <f t="shared" si="46"/>
        <v/>
      </c>
      <c r="L3001" s="40"/>
      <c r="M3001"/>
      <c r="N3001"/>
      <c r="O3001"/>
      <c r="P3001"/>
      <c r="Q3001"/>
      <c r="R3001"/>
      <c r="S3001"/>
      <c r="T3001"/>
      <c r="U3001"/>
      <c r="V3001"/>
      <c r="W3001" s="41"/>
      <c r="X3001" s="41"/>
      <c r="Y3001" s="41"/>
    </row>
    <row r="3002" s="27" customFormat="1" ht="23" hidden="1" customHeight="1" spans="1:25">
      <c r="A3002" s="133" t="str">
        <f>IF(B3002="","",COUNTA($B$5:B3002))</f>
        <v/>
      </c>
      <c r="B3002" s="148"/>
      <c r="C3002" s="22" t="s">
        <v>49</v>
      </c>
      <c r="D3002" s="149"/>
      <c r="E3002" s="150"/>
      <c r="F3002" s="151"/>
      <c r="G3002" s="151"/>
      <c r="H3002" s="142">
        <f>IFERROR(VLOOKUP($C3002,$C$5:$H$18,6,0)+SUMIF($C$19:$C3002,$C3002,$F$19:$F3002)-SUMIF($C$19:$C3002,$C3002,$G$19:$G3002),"")</f>
        <v>81211.819999998</v>
      </c>
      <c r="I3002" s="147"/>
      <c r="J3002" s="147"/>
      <c r="K3002" s="147" t="str">
        <f t="shared" si="46"/>
        <v/>
      </c>
      <c r="L3002" s="40"/>
      <c r="M3002"/>
      <c r="N3002"/>
      <c r="O3002"/>
      <c r="P3002"/>
      <c r="Q3002"/>
      <c r="R3002"/>
      <c r="S3002"/>
      <c r="T3002"/>
      <c r="U3002"/>
      <c r="V3002"/>
      <c r="W3002" s="41"/>
      <c r="X3002" s="41"/>
      <c r="Y3002" s="41"/>
    </row>
    <row r="3003" s="27" customFormat="1" ht="23" hidden="1" customHeight="1" spans="1:25">
      <c r="A3003" s="133" t="str">
        <f>IF(B3003="","",COUNTA($B$5:B3003))</f>
        <v/>
      </c>
      <c r="B3003" s="148"/>
      <c r="C3003" s="22" t="s">
        <v>49</v>
      </c>
      <c r="D3003" s="149"/>
      <c r="E3003" s="150"/>
      <c r="F3003" s="151"/>
      <c r="G3003" s="151"/>
      <c r="H3003" s="142">
        <f>IFERROR(VLOOKUP($C3003,$C$5:$H$18,6,0)+SUMIF($C$19:$C3003,$C3003,$F$19:$F3003)-SUMIF($C$19:$C3003,$C3003,$G$19:$G3003),"")</f>
        <v>81211.819999998</v>
      </c>
      <c r="I3003" s="147"/>
      <c r="J3003" s="147"/>
      <c r="K3003" s="147" t="str">
        <f t="shared" si="46"/>
        <v/>
      </c>
      <c r="L3003" s="40"/>
      <c r="M3003"/>
      <c r="N3003"/>
      <c r="O3003"/>
      <c r="P3003"/>
      <c r="Q3003"/>
      <c r="R3003"/>
      <c r="S3003"/>
      <c r="T3003"/>
      <c r="U3003"/>
      <c r="V3003"/>
      <c r="W3003" s="41"/>
      <c r="X3003" s="41"/>
      <c r="Y3003" s="41"/>
    </row>
    <row r="3004" s="27" customFormat="1" ht="23" hidden="1" customHeight="1" spans="1:25">
      <c r="A3004" s="133" t="str">
        <f>IF(B3004="","",COUNTA($B$5:B3004))</f>
        <v/>
      </c>
      <c r="B3004" s="148"/>
      <c r="C3004" s="22" t="s">
        <v>49</v>
      </c>
      <c r="D3004" s="149"/>
      <c r="E3004" s="150"/>
      <c r="F3004" s="151"/>
      <c r="G3004" s="151"/>
      <c r="H3004" s="142">
        <f>IFERROR(VLOOKUP($C3004,$C$5:$H$18,6,0)+SUMIF($C$19:$C3004,$C3004,$F$19:$F3004)-SUMIF($C$19:$C3004,$C3004,$G$19:$G3004),"")</f>
        <v>81211.819999998</v>
      </c>
      <c r="I3004" s="147"/>
      <c r="J3004" s="147"/>
      <c r="K3004" s="147" t="str">
        <f t="shared" si="46"/>
        <v/>
      </c>
      <c r="L3004" s="40"/>
      <c r="M3004"/>
      <c r="N3004"/>
      <c r="O3004"/>
      <c r="P3004"/>
      <c r="Q3004"/>
      <c r="R3004"/>
      <c r="S3004"/>
      <c r="T3004"/>
      <c r="U3004"/>
      <c r="V3004"/>
      <c r="W3004" s="41"/>
      <c r="X3004" s="41"/>
      <c r="Y3004" s="41"/>
    </row>
    <row r="3005" s="27" customFormat="1" ht="23" hidden="1" customHeight="1" spans="1:25">
      <c r="A3005" s="133" t="str">
        <f>IF(B3005="","",COUNTA($B$5:B3005))</f>
        <v/>
      </c>
      <c r="B3005" s="148"/>
      <c r="C3005" s="22" t="s">
        <v>49</v>
      </c>
      <c r="D3005" s="149"/>
      <c r="E3005" s="150"/>
      <c r="F3005" s="151"/>
      <c r="G3005" s="151"/>
      <c r="H3005" s="142">
        <f>IFERROR(VLOOKUP($C3005,$C$5:$H$18,6,0)+SUMIF($C$19:$C3005,$C3005,$F$19:$F3005)-SUMIF($C$19:$C3005,$C3005,$G$19:$G3005),"")</f>
        <v>81211.819999998</v>
      </c>
      <c r="I3005" s="147"/>
      <c r="J3005" s="147"/>
      <c r="K3005" s="147" t="str">
        <f t="shared" si="46"/>
        <v/>
      </c>
      <c r="L3005" s="40"/>
      <c r="M3005"/>
      <c r="N3005"/>
      <c r="O3005"/>
      <c r="P3005"/>
      <c r="Q3005"/>
      <c r="R3005"/>
      <c r="S3005"/>
      <c r="T3005"/>
      <c r="U3005"/>
      <c r="V3005"/>
      <c r="W3005" s="41"/>
      <c r="X3005" s="41"/>
      <c r="Y3005" s="41"/>
    </row>
    <row r="3006" s="27" customFormat="1" ht="23" hidden="1" customHeight="1" spans="1:25">
      <c r="A3006" s="133" t="str">
        <f>IF(B3006="","",COUNTA($B$5:B3006))</f>
        <v/>
      </c>
      <c r="B3006" s="148"/>
      <c r="C3006" s="22" t="s">
        <v>49</v>
      </c>
      <c r="D3006" s="149"/>
      <c r="E3006" s="150"/>
      <c r="F3006" s="151"/>
      <c r="G3006" s="151"/>
      <c r="H3006" s="142">
        <f>IFERROR(VLOOKUP($C3006,$C$5:$H$18,6,0)+SUMIF($C$19:$C3006,$C3006,$F$19:$F3006)-SUMIF($C$19:$C3006,$C3006,$G$19:$G3006),"")</f>
        <v>81211.819999998</v>
      </c>
      <c r="I3006" s="147"/>
      <c r="J3006" s="147"/>
      <c r="K3006" s="147" t="str">
        <f t="shared" si="46"/>
        <v/>
      </c>
      <c r="L3006" s="40"/>
      <c r="M3006"/>
      <c r="N3006"/>
      <c r="O3006"/>
      <c r="P3006"/>
      <c r="Q3006"/>
      <c r="R3006"/>
      <c r="S3006"/>
      <c r="T3006"/>
      <c r="U3006"/>
      <c r="V3006"/>
      <c r="W3006" s="41"/>
      <c r="X3006" s="41"/>
      <c r="Y3006" s="41"/>
    </row>
    <row r="3007" s="27" customFormat="1" ht="23" hidden="1" customHeight="1" spans="1:25">
      <c r="A3007" s="133" t="str">
        <f>IF(B3007="","",COUNTA($B$5:B3007))</f>
        <v/>
      </c>
      <c r="B3007" s="148"/>
      <c r="C3007" s="22" t="s">
        <v>49</v>
      </c>
      <c r="D3007" s="149"/>
      <c r="E3007" s="150"/>
      <c r="F3007" s="151"/>
      <c r="G3007" s="151"/>
      <c r="H3007" s="142">
        <f>IFERROR(VLOOKUP($C3007,$C$5:$H$18,6,0)+SUMIF($C$19:$C3007,$C3007,$F$19:$F3007)-SUMIF($C$19:$C3007,$C3007,$G$19:$G3007),"")</f>
        <v>81211.819999998</v>
      </c>
      <c r="I3007" s="147"/>
      <c r="J3007" s="147"/>
      <c r="K3007" s="147" t="str">
        <f t="shared" si="46"/>
        <v/>
      </c>
      <c r="L3007" s="40"/>
      <c r="M3007"/>
      <c r="N3007"/>
      <c r="O3007"/>
      <c r="P3007"/>
      <c r="Q3007"/>
      <c r="R3007"/>
      <c r="S3007"/>
      <c r="T3007"/>
      <c r="U3007"/>
      <c r="V3007"/>
      <c r="W3007" s="41"/>
      <c r="X3007" s="41"/>
      <c r="Y3007" s="41"/>
    </row>
    <row r="3008" s="27" customFormat="1" ht="23" hidden="1" customHeight="1" spans="1:25">
      <c r="A3008" s="133" t="str">
        <f>IF(B3008="","",COUNTA($B$5:B3008))</f>
        <v/>
      </c>
      <c r="B3008" s="148"/>
      <c r="C3008" s="22" t="s">
        <v>49</v>
      </c>
      <c r="D3008" s="149"/>
      <c r="E3008" s="150"/>
      <c r="F3008" s="151"/>
      <c r="G3008" s="151"/>
      <c r="H3008" s="142">
        <f>IFERROR(VLOOKUP($C3008,$C$5:$H$18,6,0)+SUMIF($C$19:$C3008,$C3008,$F$19:$F3008)-SUMIF($C$19:$C3008,$C3008,$G$19:$G3008),"")</f>
        <v>81211.819999998</v>
      </c>
      <c r="I3008" s="147"/>
      <c r="J3008" s="147"/>
      <c r="K3008" s="147" t="str">
        <f t="shared" si="46"/>
        <v/>
      </c>
      <c r="L3008" s="40"/>
      <c r="M3008"/>
      <c r="N3008"/>
      <c r="O3008"/>
      <c r="P3008"/>
      <c r="Q3008"/>
      <c r="R3008"/>
      <c r="S3008"/>
      <c r="T3008"/>
      <c r="U3008"/>
      <c r="V3008"/>
      <c r="W3008" s="41"/>
      <c r="X3008" s="41"/>
      <c r="Y3008" s="41"/>
    </row>
    <row r="3009" s="27" customFormat="1" ht="23" hidden="1" customHeight="1" spans="1:25">
      <c r="A3009" s="133" t="str">
        <f>IF(B3009="","",COUNTA($B$5:B3009))</f>
        <v/>
      </c>
      <c r="B3009" s="148"/>
      <c r="C3009" s="22" t="s">
        <v>49</v>
      </c>
      <c r="D3009" s="149"/>
      <c r="E3009" s="150"/>
      <c r="F3009" s="151"/>
      <c r="G3009" s="151"/>
      <c r="H3009" s="142">
        <f>IFERROR(VLOOKUP($C3009,$C$5:$H$18,6,0)+SUMIF($C$19:$C3009,$C3009,$F$19:$F3009)-SUMIF($C$19:$C3009,$C3009,$G$19:$G3009),"")</f>
        <v>81211.819999998</v>
      </c>
      <c r="I3009" s="147"/>
      <c r="J3009" s="147"/>
      <c r="K3009" s="147" t="str">
        <f t="shared" si="46"/>
        <v/>
      </c>
      <c r="L3009" s="40"/>
      <c r="M3009"/>
      <c r="N3009"/>
      <c r="O3009"/>
      <c r="P3009"/>
      <c r="Q3009"/>
      <c r="R3009"/>
      <c r="S3009"/>
      <c r="T3009"/>
      <c r="U3009"/>
      <c r="V3009"/>
      <c r="W3009" s="41"/>
      <c r="X3009" s="41"/>
      <c r="Y3009" s="41"/>
    </row>
    <row r="3010" s="27" customFormat="1" ht="23" hidden="1" customHeight="1" spans="1:25">
      <c r="A3010" s="133" t="str">
        <f>IF(B3010="","",COUNTA($B$5:B3010))</f>
        <v/>
      </c>
      <c r="B3010" s="148"/>
      <c r="C3010" s="22" t="s">
        <v>49</v>
      </c>
      <c r="D3010" s="149"/>
      <c r="E3010" s="150"/>
      <c r="F3010" s="151"/>
      <c r="G3010" s="151"/>
      <c r="H3010" s="142">
        <f>IFERROR(VLOOKUP($C3010,$C$5:$H$18,6,0)+SUMIF($C$19:$C3010,$C3010,$F$19:$F3010)-SUMIF($C$19:$C3010,$C3010,$G$19:$G3010),"")</f>
        <v>81211.819999998</v>
      </c>
      <c r="I3010" s="147"/>
      <c r="J3010" s="147"/>
      <c r="K3010" s="147" t="str">
        <f t="shared" si="46"/>
        <v/>
      </c>
      <c r="L3010" s="40"/>
      <c r="M3010"/>
      <c r="N3010"/>
      <c r="O3010"/>
      <c r="P3010"/>
      <c r="Q3010"/>
      <c r="R3010"/>
      <c r="S3010"/>
      <c r="T3010"/>
      <c r="U3010"/>
      <c r="V3010"/>
      <c r="W3010" s="41"/>
      <c r="X3010" s="41"/>
      <c r="Y3010" s="41"/>
    </row>
    <row r="3011" s="27" customFormat="1" ht="23" hidden="1" customHeight="1" spans="1:25">
      <c r="A3011" s="133" t="str">
        <f>IF(B3011="","",COUNTA($B$5:B3011))</f>
        <v/>
      </c>
      <c r="B3011" s="148"/>
      <c r="C3011" s="22" t="s">
        <v>49</v>
      </c>
      <c r="D3011" s="149"/>
      <c r="E3011" s="150"/>
      <c r="F3011" s="151"/>
      <c r="G3011" s="151"/>
      <c r="H3011" s="142">
        <f>IFERROR(VLOOKUP($C3011,$C$5:$H$18,6,0)+SUMIF($C$19:$C3011,$C3011,$F$19:$F3011)-SUMIF($C$19:$C3011,$C3011,$G$19:$G3011),"")</f>
        <v>81211.819999998</v>
      </c>
      <c r="I3011" s="147"/>
      <c r="J3011" s="147"/>
      <c r="K3011" s="147" t="str">
        <f t="shared" si="46"/>
        <v/>
      </c>
      <c r="L3011" s="40"/>
      <c r="M3011"/>
      <c r="N3011"/>
      <c r="O3011"/>
      <c r="P3011"/>
      <c r="Q3011"/>
      <c r="R3011"/>
      <c r="S3011"/>
      <c r="T3011"/>
      <c r="U3011"/>
      <c r="V3011"/>
      <c r="W3011" s="41"/>
      <c r="X3011" s="41"/>
      <c r="Y3011" s="41"/>
    </row>
    <row r="3012" s="27" customFormat="1" ht="23" hidden="1" customHeight="1" spans="1:25">
      <c r="A3012" s="133" t="str">
        <f>IF(B3012="","",COUNTA($B$5:B3012))</f>
        <v/>
      </c>
      <c r="B3012" s="148"/>
      <c r="C3012" s="22" t="s">
        <v>49</v>
      </c>
      <c r="D3012" s="149"/>
      <c r="E3012" s="150"/>
      <c r="F3012" s="151"/>
      <c r="G3012" s="151"/>
      <c r="H3012" s="142">
        <f>IFERROR(VLOOKUP($C3012,$C$5:$H$18,6,0)+SUMIF($C$19:$C3012,$C3012,$F$19:$F3012)-SUMIF($C$19:$C3012,$C3012,$G$19:$G3012),"")</f>
        <v>81211.819999998</v>
      </c>
      <c r="I3012" s="147"/>
      <c r="J3012" s="147"/>
      <c r="K3012" s="147" t="str">
        <f t="shared" si="46"/>
        <v/>
      </c>
      <c r="L3012" s="40"/>
      <c r="M3012"/>
      <c r="N3012"/>
      <c r="O3012"/>
      <c r="P3012"/>
      <c r="Q3012"/>
      <c r="R3012"/>
      <c r="S3012"/>
      <c r="T3012"/>
      <c r="U3012"/>
      <c r="V3012"/>
      <c r="W3012" s="41"/>
      <c r="X3012" s="41"/>
      <c r="Y3012" s="41"/>
    </row>
    <row r="3013" s="27" customFormat="1" ht="23" hidden="1" customHeight="1" spans="1:25">
      <c r="A3013" s="133" t="str">
        <f>IF(B3013="","",COUNTA($B$5:B3013))</f>
        <v/>
      </c>
      <c r="B3013" s="148"/>
      <c r="C3013" s="22" t="s">
        <v>49</v>
      </c>
      <c r="D3013" s="149"/>
      <c r="E3013" s="150"/>
      <c r="F3013" s="151"/>
      <c r="G3013" s="151"/>
      <c r="H3013" s="142">
        <f>IFERROR(VLOOKUP($C3013,$C$5:$H$18,6,0)+SUMIF($C$19:$C3013,$C3013,$F$19:$F3013)-SUMIF($C$19:$C3013,$C3013,$G$19:$G3013),"")</f>
        <v>81211.819999998</v>
      </c>
      <c r="I3013" s="147"/>
      <c r="J3013" s="147"/>
      <c r="K3013" s="147" t="str">
        <f t="shared" ref="K3013:K3076" si="47">IF($B3013="","",--TEXT($B3013,"yyyymm"))</f>
        <v/>
      </c>
      <c r="L3013" s="40"/>
      <c r="M3013"/>
      <c r="N3013"/>
      <c r="O3013"/>
      <c r="P3013"/>
      <c r="Q3013"/>
      <c r="R3013"/>
      <c r="S3013"/>
      <c r="T3013"/>
      <c r="U3013"/>
      <c r="V3013"/>
      <c r="W3013" s="41"/>
      <c r="X3013" s="41"/>
      <c r="Y3013" s="41"/>
    </row>
    <row r="3014" s="27" customFormat="1" ht="23" hidden="1" customHeight="1" spans="1:25">
      <c r="A3014" s="133" t="str">
        <f>IF(B3014="","",COUNTA($B$5:B3014))</f>
        <v/>
      </c>
      <c r="B3014" s="148"/>
      <c r="C3014" s="22" t="s">
        <v>49</v>
      </c>
      <c r="D3014" s="149"/>
      <c r="E3014" s="150"/>
      <c r="F3014" s="151"/>
      <c r="G3014" s="151"/>
      <c r="H3014" s="142">
        <f>IFERROR(VLOOKUP($C3014,$C$5:$H$18,6,0)+SUMIF($C$19:$C3014,$C3014,$F$19:$F3014)-SUMIF($C$19:$C3014,$C3014,$G$19:$G3014),"")</f>
        <v>81211.819999998</v>
      </c>
      <c r="I3014" s="147"/>
      <c r="J3014" s="147"/>
      <c r="K3014" s="147" t="str">
        <f t="shared" si="47"/>
        <v/>
      </c>
      <c r="L3014" s="40"/>
      <c r="M3014"/>
      <c r="N3014"/>
      <c r="O3014"/>
      <c r="P3014"/>
      <c r="Q3014"/>
      <c r="R3014"/>
      <c r="S3014"/>
      <c r="T3014"/>
      <c r="U3014"/>
      <c r="V3014"/>
      <c r="W3014" s="41"/>
      <c r="X3014" s="41"/>
      <c r="Y3014" s="41"/>
    </row>
    <row r="3015" s="27" customFormat="1" ht="23" hidden="1" customHeight="1" spans="1:25">
      <c r="A3015" s="133" t="str">
        <f>IF(B3015="","",COUNTA($B$5:B3015))</f>
        <v/>
      </c>
      <c r="B3015" s="148"/>
      <c r="C3015" s="22" t="s">
        <v>49</v>
      </c>
      <c r="D3015" s="149"/>
      <c r="E3015" s="150"/>
      <c r="F3015" s="151"/>
      <c r="G3015" s="151"/>
      <c r="H3015" s="142">
        <f>IFERROR(VLOOKUP($C3015,$C$5:$H$18,6,0)+SUMIF($C$19:$C3015,$C3015,$F$19:$F3015)-SUMIF($C$19:$C3015,$C3015,$G$19:$G3015),"")</f>
        <v>81211.819999998</v>
      </c>
      <c r="I3015" s="147"/>
      <c r="J3015" s="147"/>
      <c r="K3015" s="147" t="str">
        <f t="shared" si="47"/>
        <v/>
      </c>
      <c r="L3015" s="40"/>
      <c r="M3015"/>
      <c r="N3015"/>
      <c r="O3015"/>
      <c r="P3015"/>
      <c r="Q3015"/>
      <c r="R3015"/>
      <c r="S3015"/>
      <c r="T3015"/>
      <c r="U3015"/>
      <c r="V3015"/>
      <c r="W3015" s="41"/>
      <c r="X3015" s="41"/>
      <c r="Y3015" s="41"/>
    </row>
    <row r="3016" s="27" customFormat="1" ht="23" hidden="1" customHeight="1" spans="1:25">
      <c r="A3016" s="133" t="str">
        <f>IF(B3016="","",COUNTA($B$5:B3016))</f>
        <v/>
      </c>
      <c r="B3016" s="148"/>
      <c r="C3016" s="22" t="s">
        <v>49</v>
      </c>
      <c r="D3016" s="149"/>
      <c r="E3016" s="150"/>
      <c r="F3016" s="151"/>
      <c r="G3016" s="151"/>
      <c r="H3016" s="142">
        <f>IFERROR(VLOOKUP($C3016,$C$5:$H$18,6,0)+SUMIF($C$19:$C3016,$C3016,$F$19:$F3016)-SUMIF($C$19:$C3016,$C3016,$G$19:$G3016),"")</f>
        <v>81211.819999998</v>
      </c>
      <c r="I3016" s="147"/>
      <c r="J3016" s="147"/>
      <c r="K3016" s="147" t="str">
        <f t="shared" si="47"/>
        <v/>
      </c>
      <c r="L3016" s="40"/>
      <c r="M3016"/>
      <c r="N3016"/>
      <c r="O3016"/>
      <c r="P3016"/>
      <c r="Q3016"/>
      <c r="R3016"/>
      <c r="S3016"/>
      <c r="T3016"/>
      <c r="U3016"/>
      <c r="V3016"/>
      <c r="W3016" s="41"/>
      <c r="X3016" s="41"/>
      <c r="Y3016" s="41"/>
    </row>
    <row r="3017" s="27" customFormat="1" ht="23" hidden="1" customHeight="1" spans="1:25">
      <c r="A3017" s="133" t="str">
        <f>IF(B3017="","",COUNTA($B$5:B3017))</f>
        <v/>
      </c>
      <c r="B3017" s="148"/>
      <c r="C3017" s="22" t="s">
        <v>49</v>
      </c>
      <c r="D3017" s="149"/>
      <c r="E3017" s="150"/>
      <c r="F3017" s="151"/>
      <c r="G3017" s="151"/>
      <c r="H3017" s="142">
        <f>IFERROR(VLOOKUP($C3017,$C$5:$H$18,6,0)+SUMIF($C$19:$C3017,$C3017,$F$19:$F3017)-SUMIF($C$19:$C3017,$C3017,$G$19:$G3017),"")</f>
        <v>81211.819999998</v>
      </c>
      <c r="I3017" s="147"/>
      <c r="J3017" s="147"/>
      <c r="K3017" s="147" t="str">
        <f t="shared" si="47"/>
        <v/>
      </c>
      <c r="L3017" s="40"/>
      <c r="M3017"/>
      <c r="N3017"/>
      <c r="O3017"/>
      <c r="P3017"/>
      <c r="Q3017"/>
      <c r="R3017"/>
      <c r="S3017"/>
      <c r="T3017"/>
      <c r="U3017"/>
      <c r="V3017"/>
      <c r="W3017" s="41"/>
      <c r="X3017" s="41"/>
      <c r="Y3017" s="41"/>
    </row>
    <row r="3018" s="27" customFormat="1" ht="23" hidden="1" customHeight="1" spans="1:25">
      <c r="A3018" s="133" t="str">
        <f>IF(B3018="","",COUNTA($B$5:B3018))</f>
        <v/>
      </c>
      <c r="B3018" s="148"/>
      <c r="C3018" s="22" t="s">
        <v>49</v>
      </c>
      <c r="D3018" s="149"/>
      <c r="E3018" s="150"/>
      <c r="F3018" s="151"/>
      <c r="G3018" s="151"/>
      <c r="H3018" s="142">
        <f>IFERROR(VLOOKUP($C3018,$C$5:$H$18,6,0)+SUMIF($C$19:$C3018,$C3018,$F$19:$F3018)-SUMIF($C$19:$C3018,$C3018,$G$19:$G3018),"")</f>
        <v>81211.819999998</v>
      </c>
      <c r="I3018" s="147"/>
      <c r="J3018" s="147"/>
      <c r="K3018" s="147" t="str">
        <f t="shared" si="47"/>
        <v/>
      </c>
      <c r="L3018" s="40"/>
      <c r="M3018"/>
      <c r="N3018"/>
      <c r="O3018"/>
      <c r="P3018"/>
      <c r="Q3018"/>
      <c r="R3018"/>
      <c r="S3018"/>
      <c r="T3018"/>
      <c r="U3018"/>
      <c r="V3018"/>
      <c r="W3018" s="41"/>
      <c r="X3018" s="41"/>
      <c r="Y3018" s="41"/>
    </row>
    <row r="3019" s="27" customFormat="1" ht="23" hidden="1" customHeight="1" spans="1:25">
      <c r="A3019" s="133" t="str">
        <f>IF(B3019="","",COUNTA($B$5:B3019))</f>
        <v/>
      </c>
      <c r="B3019" s="148"/>
      <c r="C3019" s="22" t="s">
        <v>49</v>
      </c>
      <c r="D3019" s="149"/>
      <c r="E3019" s="150"/>
      <c r="F3019" s="151"/>
      <c r="G3019" s="151"/>
      <c r="H3019" s="142">
        <f>IFERROR(VLOOKUP($C3019,$C$5:$H$18,6,0)+SUMIF($C$19:$C3019,$C3019,$F$19:$F3019)-SUMIF($C$19:$C3019,$C3019,$G$19:$G3019),"")</f>
        <v>81211.819999998</v>
      </c>
      <c r="I3019" s="147"/>
      <c r="J3019" s="147"/>
      <c r="K3019" s="147" t="str">
        <f t="shared" si="47"/>
        <v/>
      </c>
      <c r="L3019" s="40"/>
      <c r="M3019"/>
      <c r="N3019"/>
      <c r="O3019"/>
      <c r="P3019"/>
      <c r="Q3019"/>
      <c r="R3019"/>
      <c r="S3019"/>
      <c r="T3019"/>
      <c r="U3019"/>
      <c r="V3019"/>
      <c r="W3019" s="41"/>
      <c r="X3019" s="41"/>
      <c r="Y3019" s="41"/>
    </row>
    <row r="3020" s="27" customFormat="1" ht="23" hidden="1" customHeight="1" spans="1:25">
      <c r="A3020" s="133" t="str">
        <f>IF(B3020="","",COUNTA($B$5:B3020))</f>
        <v/>
      </c>
      <c r="B3020" s="148"/>
      <c r="C3020" s="22" t="s">
        <v>49</v>
      </c>
      <c r="D3020" s="149"/>
      <c r="E3020" s="150"/>
      <c r="F3020" s="151"/>
      <c r="G3020" s="151"/>
      <c r="H3020" s="142">
        <f>IFERROR(VLOOKUP($C3020,$C$5:$H$18,6,0)+SUMIF($C$19:$C3020,$C3020,$F$19:$F3020)-SUMIF($C$19:$C3020,$C3020,$G$19:$G3020),"")</f>
        <v>81211.819999998</v>
      </c>
      <c r="I3020" s="147"/>
      <c r="J3020" s="147"/>
      <c r="K3020" s="147" t="str">
        <f t="shared" si="47"/>
        <v/>
      </c>
      <c r="L3020" s="40"/>
      <c r="M3020"/>
      <c r="N3020"/>
      <c r="O3020"/>
      <c r="P3020"/>
      <c r="Q3020"/>
      <c r="R3020"/>
      <c r="S3020"/>
      <c r="T3020"/>
      <c r="U3020"/>
      <c r="V3020"/>
      <c r="W3020" s="41"/>
      <c r="X3020" s="41"/>
      <c r="Y3020" s="41"/>
    </row>
    <row r="3021" s="27" customFormat="1" ht="23" hidden="1" customHeight="1" spans="1:25">
      <c r="A3021" s="133" t="str">
        <f>IF(B3021="","",COUNTA($B$5:B3021))</f>
        <v/>
      </c>
      <c r="B3021" s="148"/>
      <c r="C3021" s="22" t="s">
        <v>49</v>
      </c>
      <c r="D3021" s="149"/>
      <c r="E3021" s="150"/>
      <c r="F3021" s="151"/>
      <c r="G3021" s="151"/>
      <c r="H3021" s="142">
        <f>IFERROR(VLOOKUP($C3021,$C$5:$H$18,6,0)+SUMIF($C$19:$C3021,$C3021,$F$19:$F3021)-SUMIF($C$19:$C3021,$C3021,$G$19:$G3021),"")</f>
        <v>81211.819999998</v>
      </c>
      <c r="I3021" s="147"/>
      <c r="J3021" s="147"/>
      <c r="K3021" s="147" t="str">
        <f t="shared" si="47"/>
        <v/>
      </c>
      <c r="L3021" s="40"/>
      <c r="M3021"/>
      <c r="N3021"/>
      <c r="O3021"/>
      <c r="P3021"/>
      <c r="Q3021"/>
      <c r="R3021"/>
      <c r="S3021"/>
      <c r="T3021"/>
      <c r="U3021"/>
      <c r="V3021"/>
      <c r="W3021" s="41"/>
      <c r="X3021" s="41"/>
      <c r="Y3021" s="41"/>
    </row>
    <row r="3022" s="27" customFormat="1" ht="23" hidden="1" customHeight="1" spans="1:25">
      <c r="A3022" s="133" t="str">
        <f>IF(B3022="","",COUNTA($B$5:B3022))</f>
        <v/>
      </c>
      <c r="B3022" s="148"/>
      <c r="C3022" s="22" t="s">
        <v>49</v>
      </c>
      <c r="D3022" s="149"/>
      <c r="E3022" s="150"/>
      <c r="F3022" s="151"/>
      <c r="G3022" s="151"/>
      <c r="H3022" s="142">
        <f>IFERROR(VLOOKUP($C3022,$C$5:$H$18,6,0)+SUMIF($C$19:$C3022,$C3022,$F$19:$F3022)-SUMIF($C$19:$C3022,$C3022,$G$19:$G3022),"")</f>
        <v>81211.819999998</v>
      </c>
      <c r="I3022" s="147"/>
      <c r="J3022" s="147"/>
      <c r="K3022" s="147" t="str">
        <f t="shared" si="47"/>
        <v/>
      </c>
      <c r="L3022" s="40"/>
      <c r="M3022"/>
      <c r="N3022"/>
      <c r="O3022"/>
      <c r="P3022"/>
      <c r="Q3022"/>
      <c r="R3022"/>
      <c r="S3022"/>
      <c r="T3022"/>
      <c r="U3022"/>
      <c r="V3022"/>
      <c r="W3022" s="41"/>
      <c r="X3022" s="41"/>
      <c r="Y3022" s="41"/>
    </row>
    <row r="3023" s="27" customFormat="1" ht="23" hidden="1" customHeight="1" spans="1:25">
      <c r="A3023" s="133" t="str">
        <f>IF(B3023="","",COUNTA($B$5:B3023))</f>
        <v/>
      </c>
      <c r="B3023" s="148"/>
      <c r="C3023" s="22" t="s">
        <v>49</v>
      </c>
      <c r="D3023" s="149"/>
      <c r="E3023" s="150"/>
      <c r="F3023" s="151"/>
      <c r="G3023" s="151"/>
      <c r="H3023" s="142">
        <f>IFERROR(VLOOKUP($C3023,$C$5:$H$18,6,0)+SUMIF($C$19:$C3023,$C3023,$F$19:$F3023)-SUMIF($C$19:$C3023,$C3023,$G$19:$G3023),"")</f>
        <v>81211.819999998</v>
      </c>
      <c r="I3023" s="147"/>
      <c r="J3023" s="147"/>
      <c r="K3023" s="147" t="str">
        <f t="shared" si="47"/>
        <v/>
      </c>
      <c r="L3023" s="40"/>
      <c r="M3023"/>
      <c r="N3023"/>
      <c r="O3023"/>
      <c r="P3023"/>
      <c r="Q3023"/>
      <c r="R3023"/>
      <c r="S3023"/>
      <c r="T3023"/>
      <c r="U3023"/>
      <c r="V3023"/>
      <c r="W3023" s="41"/>
      <c r="X3023" s="41"/>
      <c r="Y3023" s="41"/>
    </row>
    <row r="3024" s="27" customFormat="1" ht="23" hidden="1" customHeight="1" spans="1:25">
      <c r="A3024" s="133" t="str">
        <f>IF(B3024="","",COUNTA($B$5:B3024))</f>
        <v/>
      </c>
      <c r="B3024" s="148"/>
      <c r="C3024" s="22" t="s">
        <v>49</v>
      </c>
      <c r="D3024" s="149"/>
      <c r="E3024" s="150"/>
      <c r="F3024" s="151"/>
      <c r="G3024" s="151"/>
      <c r="H3024" s="142">
        <f>IFERROR(VLOOKUP($C3024,$C$5:$H$18,6,0)+SUMIF($C$19:$C3024,$C3024,$F$19:$F3024)-SUMIF($C$19:$C3024,$C3024,$G$19:$G3024),"")</f>
        <v>81211.819999998</v>
      </c>
      <c r="I3024" s="147"/>
      <c r="J3024" s="147"/>
      <c r="K3024" s="147" t="str">
        <f t="shared" si="47"/>
        <v/>
      </c>
      <c r="L3024" s="40"/>
      <c r="M3024"/>
      <c r="N3024"/>
      <c r="O3024"/>
      <c r="P3024"/>
      <c r="Q3024"/>
      <c r="R3024"/>
      <c r="S3024"/>
      <c r="T3024"/>
      <c r="U3024"/>
      <c r="V3024"/>
      <c r="W3024" s="41"/>
      <c r="X3024" s="41"/>
      <c r="Y3024" s="41"/>
    </row>
    <row r="3025" s="27" customFormat="1" ht="23" hidden="1" customHeight="1" spans="1:25">
      <c r="A3025" s="133" t="str">
        <f>IF(B3025="","",COUNTA($B$5:B3025))</f>
        <v/>
      </c>
      <c r="B3025" s="148"/>
      <c r="C3025" s="22" t="s">
        <v>49</v>
      </c>
      <c r="D3025" s="149"/>
      <c r="E3025" s="150"/>
      <c r="F3025" s="151"/>
      <c r="G3025" s="151"/>
      <c r="H3025" s="142">
        <f>IFERROR(VLOOKUP($C3025,$C$5:$H$18,6,0)+SUMIF($C$19:$C3025,$C3025,$F$19:$F3025)-SUMIF($C$19:$C3025,$C3025,$G$19:$G3025),"")</f>
        <v>81211.819999998</v>
      </c>
      <c r="I3025" s="147"/>
      <c r="J3025" s="147"/>
      <c r="K3025" s="147" t="str">
        <f t="shared" si="47"/>
        <v/>
      </c>
      <c r="L3025" s="40"/>
      <c r="M3025"/>
      <c r="N3025"/>
      <c r="O3025"/>
      <c r="P3025"/>
      <c r="Q3025"/>
      <c r="R3025"/>
      <c r="S3025"/>
      <c r="T3025"/>
      <c r="U3025"/>
      <c r="V3025"/>
      <c r="W3025" s="41"/>
      <c r="X3025" s="41"/>
      <c r="Y3025" s="41"/>
    </row>
    <row r="3026" s="27" customFormat="1" ht="23" hidden="1" customHeight="1" spans="1:25">
      <c r="A3026" s="133" t="str">
        <f>IF(B3026="","",COUNTA($B$5:B3026))</f>
        <v/>
      </c>
      <c r="B3026" s="148"/>
      <c r="C3026" s="22" t="s">
        <v>49</v>
      </c>
      <c r="D3026" s="149"/>
      <c r="E3026" s="150"/>
      <c r="F3026" s="151"/>
      <c r="G3026" s="151"/>
      <c r="H3026" s="142">
        <f>IFERROR(VLOOKUP($C3026,$C$5:$H$18,6,0)+SUMIF($C$19:$C3026,$C3026,$F$19:$F3026)-SUMIF($C$19:$C3026,$C3026,$G$19:$G3026),"")</f>
        <v>81211.819999998</v>
      </c>
      <c r="I3026" s="147"/>
      <c r="J3026" s="147"/>
      <c r="K3026" s="147" t="str">
        <f t="shared" si="47"/>
        <v/>
      </c>
      <c r="L3026" s="40"/>
      <c r="M3026"/>
      <c r="N3026"/>
      <c r="O3026"/>
      <c r="P3026"/>
      <c r="Q3026"/>
      <c r="R3026"/>
      <c r="S3026"/>
      <c r="T3026"/>
      <c r="U3026"/>
      <c r="V3026"/>
      <c r="W3026" s="41"/>
      <c r="X3026" s="41"/>
      <c r="Y3026" s="41"/>
    </row>
    <row r="3027" s="27" customFormat="1" ht="23" hidden="1" customHeight="1" spans="1:25">
      <c r="A3027" s="133" t="str">
        <f>IF(B3027="","",COUNTA($B$5:B3027))</f>
        <v/>
      </c>
      <c r="B3027" s="148"/>
      <c r="C3027" s="22" t="s">
        <v>49</v>
      </c>
      <c r="D3027" s="149"/>
      <c r="E3027" s="150"/>
      <c r="F3027" s="151"/>
      <c r="G3027" s="151"/>
      <c r="H3027" s="142">
        <f>IFERROR(VLOOKUP($C3027,$C$5:$H$18,6,0)+SUMIF($C$19:$C3027,$C3027,$F$19:$F3027)-SUMIF($C$19:$C3027,$C3027,$G$19:$G3027),"")</f>
        <v>81211.819999998</v>
      </c>
      <c r="I3027" s="147"/>
      <c r="J3027" s="147"/>
      <c r="K3027" s="147" t="str">
        <f t="shared" si="47"/>
        <v/>
      </c>
      <c r="L3027" s="40"/>
      <c r="M3027"/>
      <c r="N3027"/>
      <c r="O3027"/>
      <c r="P3027"/>
      <c r="Q3027"/>
      <c r="R3027"/>
      <c r="S3027"/>
      <c r="T3027"/>
      <c r="U3027"/>
      <c r="V3027"/>
      <c r="W3027" s="41"/>
      <c r="X3027" s="41"/>
      <c r="Y3027" s="41"/>
    </row>
    <row r="3028" s="27" customFormat="1" ht="23" hidden="1" customHeight="1" spans="1:25">
      <c r="A3028" s="133" t="str">
        <f>IF(B3028="","",COUNTA($B$5:B3028))</f>
        <v/>
      </c>
      <c r="B3028" s="148"/>
      <c r="C3028" s="22" t="s">
        <v>49</v>
      </c>
      <c r="D3028" s="149"/>
      <c r="E3028" s="150"/>
      <c r="F3028" s="151"/>
      <c r="G3028" s="151"/>
      <c r="H3028" s="142">
        <f>IFERROR(VLOOKUP($C3028,$C$5:$H$18,6,0)+SUMIF($C$19:$C3028,$C3028,$F$19:$F3028)-SUMIF($C$19:$C3028,$C3028,$G$19:$G3028),"")</f>
        <v>81211.819999998</v>
      </c>
      <c r="I3028" s="147"/>
      <c r="J3028" s="147"/>
      <c r="K3028" s="147" t="str">
        <f t="shared" si="47"/>
        <v/>
      </c>
      <c r="L3028" s="40"/>
      <c r="M3028"/>
      <c r="N3028"/>
      <c r="O3028"/>
      <c r="P3028"/>
      <c r="Q3028"/>
      <c r="R3028"/>
      <c r="S3028"/>
      <c r="T3028"/>
      <c r="U3028"/>
      <c r="V3028"/>
      <c r="W3028" s="41"/>
      <c r="X3028" s="41"/>
      <c r="Y3028" s="41"/>
    </row>
    <row r="3029" s="27" customFormat="1" ht="23" hidden="1" customHeight="1" spans="1:25">
      <c r="A3029" s="133" t="str">
        <f>IF(B3029="","",COUNTA($B$5:B3029))</f>
        <v/>
      </c>
      <c r="B3029" s="148"/>
      <c r="C3029" s="22" t="s">
        <v>49</v>
      </c>
      <c r="D3029" s="149"/>
      <c r="E3029" s="150"/>
      <c r="F3029" s="151"/>
      <c r="G3029" s="151"/>
      <c r="H3029" s="142">
        <f>IFERROR(VLOOKUP($C3029,$C$5:$H$18,6,0)+SUMIF($C$19:$C3029,$C3029,$F$19:$F3029)-SUMIF($C$19:$C3029,$C3029,$G$19:$G3029),"")</f>
        <v>81211.819999998</v>
      </c>
      <c r="I3029" s="147"/>
      <c r="J3029" s="147"/>
      <c r="K3029" s="147" t="str">
        <f t="shared" si="47"/>
        <v/>
      </c>
      <c r="L3029" s="40"/>
      <c r="M3029"/>
      <c r="N3029"/>
      <c r="O3029"/>
      <c r="P3029"/>
      <c r="Q3029"/>
      <c r="R3029"/>
      <c r="S3029"/>
      <c r="T3029"/>
      <c r="U3029"/>
      <c r="V3029"/>
      <c r="W3029" s="41"/>
      <c r="X3029" s="41"/>
      <c r="Y3029" s="41"/>
    </row>
    <row r="3030" s="27" customFormat="1" ht="23" hidden="1" customHeight="1" spans="1:25">
      <c r="A3030" s="133" t="str">
        <f>IF(B3030="","",COUNTA($B$5:B3030))</f>
        <v/>
      </c>
      <c r="B3030" s="148"/>
      <c r="C3030" s="22" t="s">
        <v>49</v>
      </c>
      <c r="D3030" s="149"/>
      <c r="E3030" s="150"/>
      <c r="F3030" s="151"/>
      <c r="G3030" s="151"/>
      <c r="H3030" s="142">
        <f>IFERROR(VLOOKUP($C3030,$C$5:$H$18,6,0)+SUMIF($C$19:$C3030,$C3030,$F$19:$F3030)-SUMIF($C$19:$C3030,$C3030,$G$19:$G3030),"")</f>
        <v>81211.819999998</v>
      </c>
      <c r="I3030" s="147"/>
      <c r="J3030" s="147"/>
      <c r="K3030" s="147" t="str">
        <f t="shared" si="47"/>
        <v/>
      </c>
      <c r="L3030" s="40"/>
      <c r="M3030"/>
      <c r="N3030"/>
      <c r="O3030"/>
      <c r="P3030"/>
      <c r="Q3030"/>
      <c r="R3030"/>
      <c r="S3030"/>
      <c r="T3030"/>
      <c r="U3030"/>
      <c r="V3030"/>
      <c r="W3030" s="41"/>
      <c r="X3030" s="41"/>
      <c r="Y3030" s="41"/>
    </row>
    <row r="3031" s="27" customFormat="1" ht="23" hidden="1" customHeight="1" spans="1:25">
      <c r="A3031" s="133" t="str">
        <f>IF(B3031="","",COUNTA($B$5:B3031))</f>
        <v/>
      </c>
      <c r="B3031" s="148"/>
      <c r="C3031" s="22" t="s">
        <v>49</v>
      </c>
      <c r="D3031" s="149"/>
      <c r="E3031" s="150"/>
      <c r="F3031" s="151"/>
      <c r="G3031" s="151"/>
      <c r="H3031" s="142">
        <f>IFERROR(VLOOKUP($C3031,$C$5:$H$18,6,0)+SUMIF($C$19:$C3031,$C3031,$F$19:$F3031)-SUMIF($C$19:$C3031,$C3031,$G$19:$G3031),"")</f>
        <v>81211.819999998</v>
      </c>
      <c r="I3031" s="147"/>
      <c r="J3031" s="147"/>
      <c r="K3031" s="147" t="str">
        <f t="shared" si="47"/>
        <v/>
      </c>
      <c r="L3031" s="40"/>
      <c r="M3031"/>
      <c r="N3031"/>
      <c r="O3031"/>
      <c r="P3031"/>
      <c r="Q3031"/>
      <c r="R3031"/>
      <c r="S3031"/>
      <c r="T3031"/>
      <c r="U3031"/>
      <c r="V3031"/>
      <c r="W3031" s="41"/>
      <c r="X3031" s="41"/>
      <c r="Y3031" s="41"/>
    </row>
    <row r="3032" s="27" customFormat="1" ht="23" hidden="1" customHeight="1" spans="1:25">
      <c r="A3032" s="133" t="str">
        <f>IF(B3032="","",COUNTA($B$5:B3032))</f>
        <v/>
      </c>
      <c r="B3032" s="148"/>
      <c r="C3032" s="22" t="s">
        <v>49</v>
      </c>
      <c r="D3032" s="149"/>
      <c r="E3032" s="150"/>
      <c r="F3032" s="151"/>
      <c r="G3032" s="151"/>
      <c r="H3032" s="142">
        <f>IFERROR(VLOOKUP($C3032,$C$5:$H$18,6,0)+SUMIF($C$19:$C3032,$C3032,$F$19:$F3032)-SUMIF($C$19:$C3032,$C3032,$G$19:$G3032),"")</f>
        <v>81211.819999998</v>
      </c>
      <c r="I3032" s="147"/>
      <c r="J3032" s="147"/>
      <c r="K3032" s="147" t="str">
        <f t="shared" si="47"/>
        <v/>
      </c>
      <c r="L3032" s="40"/>
      <c r="M3032"/>
      <c r="N3032"/>
      <c r="O3032"/>
      <c r="P3032"/>
      <c r="Q3032"/>
      <c r="R3032"/>
      <c r="S3032"/>
      <c r="T3032"/>
      <c r="U3032"/>
      <c r="V3032"/>
      <c r="W3032" s="41"/>
      <c r="X3032" s="41"/>
      <c r="Y3032" s="41"/>
    </row>
    <row r="3033" s="27" customFormat="1" ht="23" hidden="1" customHeight="1" spans="1:25">
      <c r="A3033" s="133" t="str">
        <f>IF(B3033="","",COUNTA($B$5:B3033))</f>
        <v/>
      </c>
      <c r="B3033" s="148"/>
      <c r="C3033" s="22" t="s">
        <v>49</v>
      </c>
      <c r="D3033" s="149"/>
      <c r="E3033" s="150"/>
      <c r="F3033" s="151"/>
      <c r="G3033" s="151"/>
      <c r="H3033" s="142">
        <f>IFERROR(VLOOKUP($C3033,$C$5:$H$18,6,0)+SUMIF($C$19:$C3033,$C3033,$F$19:$F3033)-SUMIF($C$19:$C3033,$C3033,$G$19:$G3033),"")</f>
        <v>81211.819999998</v>
      </c>
      <c r="I3033" s="147"/>
      <c r="J3033" s="147"/>
      <c r="K3033" s="147" t="str">
        <f t="shared" si="47"/>
        <v/>
      </c>
      <c r="L3033" s="40"/>
      <c r="M3033"/>
      <c r="N3033"/>
      <c r="O3033"/>
      <c r="P3033"/>
      <c r="Q3033"/>
      <c r="R3033"/>
      <c r="S3033"/>
      <c r="T3033"/>
      <c r="U3033"/>
      <c r="V3033"/>
      <c r="W3033" s="41"/>
      <c r="X3033" s="41"/>
      <c r="Y3033" s="41"/>
    </row>
    <row r="3034" s="27" customFormat="1" ht="23" hidden="1" customHeight="1" spans="1:25">
      <c r="A3034" s="133" t="str">
        <f>IF(B3034="","",COUNTA($B$5:B3034))</f>
        <v/>
      </c>
      <c r="B3034" s="148"/>
      <c r="C3034" s="22" t="s">
        <v>49</v>
      </c>
      <c r="D3034" s="149"/>
      <c r="E3034" s="150"/>
      <c r="F3034" s="151"/>
      <c r="G3034" s="151"/>
      <c r="H3034" s="142">
        <f>IFERROR(VLOOKUP($C3034,$C$5:$H$18,6,0)+SUMIF($C$19:$C3034,$C3034,$F$19:$F3034)-SUMIF($C$19:$C3034,$C3034,$G$19:$G3034),"")</f>
        <v>81211.819999998</v>
      </c>
      <c r="I3034" s="147"/>
      <c r="J3034" s="147"/>
      <c r="K3034" s="147" t="str">
        <f t="shared" si="47"/>
        <v/>
      </c>
      <c r="L3034" s="40"/>
      <c r="M3034"/>
      <c r="N3034"/>
      <c r="O3034"/>
      <c r="P3034"/>
      <c r="Q3034"/>
      <c r="R3034"/>
      <c r="S3034"/>
      <c r="T3034"/>
      <c r="U3034"/>
      <c r="V3034"/>
      <c r="W3034" s="41"/>
      <c r="X3034" s="41"/>
      <c r="Y3034" s="41"/>
    </row>
    <row r="3035" s="27" customFormat="1" ht="23" hidden="1" customHeight="1" spans="1:25">
      <c r="A3035" s="133" t="str">
        <f>IF(B3035="","",COUNTA($B$5:B3035))</f>
        <v/>
      </c>
      <c r="B3035" s="148"/>
      <c r="C3035" s="22" t="s">
        <v>49</v>
      </c>
      <c r="D3035" s="149"/>
      <c r="E3035" s="150"/>
      <c r="F3035" s="151"/>
      <c r="G3035" s="151"/>
      <c r="H3035" s="142">
        <f>IFERROR(VLOOKUP($C3035,$C$5:$H$18,6,0)+SUMIF($C$19:$C3035,$C3035,$F$19:$F3035)-SUMIF($C$19:$C3035,$C3035,$G$19:$G3035),"")</f>
        <v>81211.819999998</v>
      </c>
      <c r="I3035" s="147"/>
      <c r="J3035" s="147"/>
      <c r="K3035" s="147" t="str">
        <f t="shared" si="47"/>
        <v/>
      </c>
      <c r="L3035" s="40"/>
      <c r="M3035"/>
      <c r="N3035"/>
      <c r="O3035"/>
      <c r="P3035"/>
      <c r="Q3035"/>
      <c r="R3035"/>
      <c r="S3035"/>
      <c r="T3035"/>
      <c r="U3035"/>
      <c r="V3035"/>
      <c r="W3035" s="41"/>
      <c r="X3035" s="41"/>
      <c r="Y3035" s="41"/>
    </row>
    <row r="3036" s="27" customFormat="1" ht="23" hidden="1" customHeight="1" spans="1:25">
      <c r="A3036" s="133" t="str">
        <f>IF(B3036="","",COUNTA($B$5:B3036))</f>
        <v/>
      </c>
      <c r="B3036" s="148"/>
      <c r="C3036" s="22" t="s">
        <v>49</v>
      </c>
      <c r="D3036" s="149"/>
      <c r="E3036" s="150"/>
      <c r="F3036" s="151"/>
      <c r="G3036" s="151"/>
      <c r="H3036" s="142">
        <f>IFERROR(VLOOKUP($C3036,$C$5:$H$18,6,0)+SUMIF($C$19:$C3036,$C3036,$F$19:$F3036)-SUMIF($C$19:$C3036,$C3036,$G$19:$G3036),"")</f>
        <v>81211.819999998</v>
      </c>
      <c r="I3036" s="147"/>
      <c r="J3036" s="147"/>
      <c r="K3036" s="147" t="str">
        <f t="shared" si="47"/>
        <v/>
      </c>
      <c r="L3036" s="40"/>
      <c r="M3036"/>
      <c r="N3036"/>
      <c r="O3036"/>
      <c r="P3036"/>
      <c r="Q3036"/>
      <c r="R3036"/>
      <c r="S3036"/>
      <c r="T3036"/>
      <c r="U3036"/>
      <c r="V3036"/>
      <c r="W3036" s="41"/>
      <c r="X3036" s="41"/>
      <c r="Y3036" s="41"/>
    </row>
    <row r="3037" s="27" customFormat="1" ht="23" hidden="1" customHeight="1" spans="1:25">
      <c r="A3037" s="133" t="str">
        <f>IF(B3037="","",COUNTA($B$5:B3037))</f>
        <v/>
      </c>
      <c r="B3037" s="148"/>
      <c r="C3037" s="22" t="s">
        <v>49</v>
      </c>
      <c r="D3037" s="149"/>
      <c r="E3037" s="150"/>
      <c r="F3037" s="151"/>
      <c r="G3037" s="151"/>
      <c r="H3037" s="142">
        <f>IFERROR(VLOOKUP($C3037,$C$5:$H$18,6,0)+SUMIF($C$19:$C3037,$C3037,$F$19:$F3037)-SUMIF($C$19:$C3037,$C3037,$G$19:$G3037),"")</f>
        <v>81211.819999998</v>
      </c>
      <c r="I3037" s="147"/>
      <c r="J3037" s="147"/>
      <c r="K3037" s="147" t="str">
        <f t="shared" si="47"/>
        <v/>
      </c>
      <c r="L3037" s="40"/>
      <c r="M3037"/>
      <c r="N3037"/>
      <c r="O3037"/>
      <c r="P3037"/>
      <c r="Q3037"/>
      <c r="R3037"/>
      <c r="S3037"/>
      <c r="T3037"/>
      <c r="U3037"/>
      <c r="V3037"/>
      <c r="W3037" s="41"/>
      <c r="X3037" s="41"/>
      <c r="Y3037" s="41"/>
    </row>
    <row r="3038" s="27" customFormat="1" ht="23" hidden="1" customHeight="1" spans="1:25">
      <c r="A3038" s="133" t="str">
        <f>IF(B3038="","",COUNTA($B$5:B3038))</f>
        <v/>
      </c>
      <c r="B3038" s="148"/>
      <c r="C3038" s="22" t="s">
        <v>49</v>
      </c>
      <c r="D3038" s="149"/>
      <c r="E3038" s="150"/>
      <c r="F3038" s="151"/>
      <c r="G3038" s="151"/>
      <c r="H3038" s="142">
        <f>IFERROR(VLOOKUP($C3038,$C$5:$H$18,6,0)+SUMIF($C$19:$C3038,$C3038,$F$19:$F3038)-SUMIF($C$19:$C3038,$C3038,$G$19:$G3038),"")</f>
        <v>81211.819999998</v>
      </c>
      <c r="I3038" s="147"/>
      <c r="J3038" s="147"/>
      <c r="K3038" s="147" t="str">
        <f t="shared" si="47"/>
        <v/>
      </c>
      <c r="L3038" s="40"/>
      <c r="M3038"/>
      <c r="N3038"/>
      <c r="O3038"/>
      <c r="P3038"/>
      <c r="Q3038"/>
      <c r="R3038"/>
      <c r="S3038"/>
      <c r="T3038"/>
      <c r="U3038"/>
      <c r="V3038"/>
      <c r="W3038" s="41"/>
      <c r="X3038" s="41"/>
      <c r="Y3038" s="41"/>
    </row>
    <row r="3039" s="27" customFormat="1" ht="23" hidden="1" customHeight="1" spans="1:25">
      <c r="A3039" s="133" t="str">
        <f>IF(B3039="","",COUNTA($B$5:B3039))</f>
        <v/>
      </c>
      <c r="B3039" s="148"/>
      <c r="C3039" s="22" t="s">
        <v>49</v>
      </c>
      <c r="D3039" s="149"/>
      <c r="E3039" s="150"/>
      <c r="F3039" s="151"/>
      <c r="G3039" s="151"/>
      <c r="H3039" s="142">
        <f>IFERROR(VLOOKUP($C3039,$C$5:$H$18,6,0)+SUMIF($C$19:$C3039,$C3039,$F$19:$F3039)-SUMIF($C$19:$C3039,$C3039,$G$19:$G3039),"")</f>
        <v>81211.819999998</v>
      </c>
      <c r="I3039" s="147"/>
      <c r="J3039" s="147"/>
      <c r="K3039" s="147" t="str">
        <f t="shared" si="47"/>
        <v/>
      </c>
      <c r="L3039" s="40"/>
      <c r="M3039"/>
      <c r="N3039"/>
      <c r="O3039"/>
      <c r="P3039"/>
      <c r="Q3039"/>
      <c r="R3039"/>
      <c r="S3039"/>
      <c r="T3039"/>
      <c r="U3039"/>
      <c r="V3039"/>
      <c r="W3039" s="41"/>
      <c r="X3039" s="41"/>
      <c r="Y3039" s="41"/>
    </row>
    <row r="3040" s="27" customFormat="1" ht="23" hidden="1" customHeight="1" spans="1:25">
      <c r="A3040" s="133" t="str">
        <f>IF(B3040="","",COUNTA($B$5:B3040))</f>
        <v/>
      </c>
      <c r="B3040" s="148"/>
      <c r="C3040" s="22" t="s">
        <v>49</v>
      </c>
      <c r="D3040" s="149"/>
      <c r="E3040" s="150"/>
      <c r="F3040" s="151"/>
      <c r="G3040" s="151"/>
      <c r="H3040" s="142">
        <f>IFERROR(VLOOKUP($C3040,$C$5:$H$18,6,0)+SUMIF($C$19:$C3040,$C3040,$F$19:$F3040)-SUMIF($C$19:$C3040,$C3040,$G$19:$G3040),"")</f>
        <v>81211.819999998</v>
      </c>
      <c r="I3040" s="147"/>
      <c r="J3040" s="147"/>
      <c r="K3040" s="147" t="str">
        <f t="shared" si="47"/>
        <v/>
      </c>
      <c r="L3040" s="40"/>
      <c r="M3040"/>
      <c r="N3040"/>
      <c r="O3040"/>
      <c r="P3040"/>
      <c r="Q3040"/>
      <c r="R3040"/>
      <c r="S3040"/>
      <c r="T3040"/>
      <c r="U3040"/>
      <c r="V3040"/>
      <c r="W3040" s="41"/>
      <c r="X3040" s="41"/>
      <c r="Y3040" s="41"/>
    </row>
    <row r="3041" s="27" customFormat="1" ht="23" hidden="1" customHeight="1" spans="1:25">
      <c r="A3041" s="133" t="str">
        <f>IF(B3041="","",COUNTA($B$5:B3041))</f>
        <v/>
      </c>
      <c r="B3041" s="148"/>
      <c r="C3041" s="22" t="s">
        <v>49</v>
      </c>
      <c r="D3041" s="149"/>
      <c r="E3041" s="150"/>
      <c r="F3041" s="151"/>
      <c r="G3041" s="151"/>
      <c r="H3041" s="142">
        <f>IFERROR(VLOOKUP($C3041,$C$5:$H$18,6,0)+SUMIF($C$19:$C3041,$C3041,$F$19:$F3041)-SUMIF($C$19:$C3041,$C3041,$G$19:$G3041),"")</f>
        <v>81211.819999998</v>
      </c>
      <c r="I3041" s="147"/>
      <c r="J3041" s="147"/>
      <c r="K3041" s="147" t="str">
        <f t="shared" si="47"/>
        <v/>
      </c>
      <c r="L3041" s="40"/>
      <c r="M3041"/>
      <c r="N3041"/>
      <c r="O3041"/>
      <c r="P3041"/>
      <c r="Q3041"/>
      <c r="R3041"/>
      <c r="S3041"/>
      <c r="T3041"/>
      <c r="U3041"/>
      <c r="V3041"/>
      <c r="W3041" s="41"/>
      <c r="X3041" s="41"/>
      <c r="Y3041" s="41"/>
    </row>
    <row r="3042" s="27" customFormat="1" ht="23" hidden="1" customHeight="1" spans="1:25">
      <c r="A3042" s="133" t="str">
        <f>IF(B3042="","",COUNTA($B$5:B3042))</f>
        <v/>
      </c>
      <c r="B3042" s="148"/>
      <c r="C3042" s="22" t="s">
        <v>49</v>
      </c>
      <c r="D3042" s="149"/>
      <c r="E3042" s="150"/>
      <c r="F3042" s="151"/>
      <c r="G3042" s="151"/>
      <c r="H3042" s="142">
        <f>IFERROR(VLOOKUP($C3042,$C$5:$H$18,6,0)+SUMIF($C$19:$C3042,$C3042,$F$19:$F3042)-SUMIF($C$19:$C3042,$C3042,$G$19:$G3042),"")</f>
        <v>81211.819999998</v>
      </c>
      <c r="I3042" s="147"/>
      <c r="J3042" s="147"/>
      <c r="K3042" s="147" t="str">
        <f t="shared" si="47"/>
        <v/>
      </c>
      <c r="L3042" s="40"/>
      <c r="M3042"/>
      <c r="N3042"/>
      <c r="O3042"/>
      <c r="P3042"/>
      <c r="Q3042"/>
      <c r="R3042"/>
      <c r="S3042"/>
      <c r="T3042"/>
      <c r="U3042"/>
      <c r="V3042"/>
      <c r="W3042" s="41"/>
      <c r="X3042" s="41"/>
      <c r="Y3042" s="41"/>
    </row>
    <row r="3043" s="27" customFormat="1" ht="23" hidden="1" customHeight="1" spans="1:25">
      <c r="A3043" s="133" t="str">
        <f>IF(B3043="","",COUNTA($B$5:B3043))</f>
        <v/>
      </c>
      <c r="B3043" s="148"/>
      <c r="C3043" s="22" t="s">
        <v>49</v>
      </c>
      <c r="D3043" s="149"/>
      <c r="E3043" s="150"/>
      <c r="F3043" s="151"/>
      <c r="G3043" s="151"/>
      <c r="H3043" s="142">
        <f>IFERROR(VLOOKUP($C3043,$C$5:$H$18,6,0)+SUMIF($C$19:$C3043,$C3043,$F$19:$F3043)-SUMIF($C$19:$C3043,$C3043,$G$19:$G3043),"")</f>
        <v>81211.819999998</v>
      </c>
      <c r="I3043" s="147"/>
      <c r="J3043" s="147"/>
      <c r="K3043" s="147" t="str">
        <f t="shared" si="47"/>
        <v/>
      </c>
      <c r="L3043" s="40"/>
      <c r="M3043"/>
      <c r="N3043"/>
      <c r="O3043"/>
      <c r="P3043"/>
      <c r="Q3043"/>
      <c r="R3043"/>
      <c r="S3043"/>
      <c r="T3043"/>
      <c r="U3043"/>
      <c r="V3043"/>
      <c r="W3043" s="41"/>
      <c r="X3043" s="41"/>
      <c r="Y3043" s="41"/>
    </row>
    <row r="3044" s="27" customFormat="1" ht="23" hidden="1" customHeight="1" spans="1:25">
      <c r="A3044" s="133" t="str">
        <f>IF(B3044="","",COUNTA($B$5:B3044))</f>
        <v/>
      </c>
      <c r="B3044" s="148"/>
      <c r="C3044" s="22" t="s">
        <v>49</v>
      </c>
      <c r="D3044" s="149"/>
      <c r="E3044" s="150"/>
      <c r="F3044" s="151"/>
      <c r="G3044" s="151"/>
      <c r="H3044" s="142">
        <f>IFERROR(VLOOKUP($C3044,$C$5:$H$18,6,0)+SUMIF($C$19:$C3044,$C3044,$F$19:$F3044)-SUMIF($C$19:$C3044,$C3044,$G$19:$G3044),"")</f>
        <v>81211.819999998</v>
      </c>
      <c r="I3044" s="147"/>
      <c r="J3044" s="147"/>
      <c r="K3044" s="147" t="str">
        <f t="shared" si="47"/>
        <v/>
      </c>
      <c r="L3044" s="40"/>
      <c r="M3044"/>
      <c r="N3044"/>
      <c r="O3044"/>
      <c r="P3044"/>
      <c r="Q3044"/>
      <c r="R3044"/>
      <c r="S3044"/>
      <c r="T3044"/>
      <c r="U3044"/>
      <c r="V3044"/>
      <c r="W3044" s="41"/>
      <c r="X3044" s="41"/>
      <c r="Y3044" s="41"/>
    </row>
    <row r="3045" s="27" customFormat="1" ht="23" hidden="1" customHeight="1" spans="1:25">
      <c r="A3045" s="133" t="str">
        <f>IF(B3045="","",COUNTA($B$5:B3045))</f>
        <v/>
      </c>
      <c r="B3045" s="148"/>
      <c r="C3045" s="22" t="s">
        <v>49</v>
      </c>
      <c r="D3045" s="149"/>
      <c r="E3045" s="150"/>
      <c r="F3045" s="151"/>
      <c r="G3045" s="151"/>
      <c r="H3045" s="142">
        <f>IFERROR(VLOOKUP($C3045,$C$5:$H$18,6,0)+SUMIF($C$19:$C3045,$C3045,$F$19:$F3045)-SUMIF($C$19:$C3045,$C3045,$G$19:$G3045),"")</f>
        <v>81211.819999998</v>
      </c>
      <c r="I3045" s="147"/>
      <c r="J3045" s="147"/>
      <c r="K3045" s="147" t="str">
        <f t="shared" si="47"/>
        <v/>
      </c>
      <c r="L3045" s="40"/>
      <c r="M3045"/>
      <c r="N3045"/>
      <c r="O3045"/>
      <c r="P3045"/>
      <c r="Q3045"/>
      <c r="R3045"/>
      <c r="S3045"/>
      <c r="T3045"/>
      <c r="U3045"/>
      <c r="V3045"/>
      <c r="W3045" s="41"/>
      <c r="X3045" s="41"/>
      <c r="Y3045" s="41"/>
    </row>
    <row r="3046" s="27" customFormat="1" ht="23" hidden="1" customHeight="1" spans="1:25">
      <c r="A3046" s="133" t="str">
        <f>IF(B3046="","",COUNTA($B$5:B3046))</f>
        <v/>
      </c>
      <c r="B3046" s="148"/>
      <c r="C3046" s="22" t="s">
        <v>49</v>
      </c>
      <c r="D3046" s="149"/>
      <c r="E3046" s="150"/>
      <c r="F3046" s="151"/>
      <c r="G3046" s="151"/>
      <c r="H3046" s="142">
        <f>IFERROR(VLOOKUP($C3046,$C$5:$H$18,6,0)+SUMIF($C$19:$C3046,$C3046,$F$19:$F3046)-SUMIF($C$19:$C3046,$C3046,$G$19:$G3046),"")</f>
        <v>81211.819999998</v>
      </c>
      <c r="I3046" s="147"/>
      <c r="J3046" s="147"/>
      <c r="K3046" s="147" t="str">
        <f t="shared" si="47"/>
        <v/>
      </c>
      <c r="L3046" s="40"/>
      <c r="M3046"/>
      <c r="N3046"/>
      <c r="O3046"/>
      <c r="P3046"/>
      <c r="Q3046"/>
      <c r="R3046"/>
      <c r="S3046"/>
      <c r="T3046"/>
      <c r="U3046"/>
      <c r="V3046"/>
      <c r="W3046" s="41"/>
      <c r="X3046" s="41"/>
      <c r="Y3046" s="41"/>
    </row>
    <row r="3047" s="27" customFormat="1" ht="23" hidden="1" customHeight="1" spans="1:25">
      <c r="A3047" s="133" t="str">
        <f>IF(B3047="","",COUNTA($B$5:B3047))</f>
        <v/>
      </c>
      <c r="B3047" s="148"/>
      <c r="C3047" s="22" t="s">
        <v>49</v>
      </c>
      <c r="D3047" s="149"/>
      <c r="E3047" s="150"/>
      <c r="F3047" s="151"/>
      <c r="G3047" s="151"/>
      <c r="H3047" s="142">
        <f>IFERROR(VLOOKUP($C3047,$C$5:$H$18,6,0)+SUMIF($C$19:$C3047,$C3047,$F$19:$F3047)-SUMIF($C$19:$C3047,$C3047,$G$19:$G3047),"")</f>
        <v>81211.819999998</v>
      </c>
      <c r="I3047" s="147"/>
      <c r="J3047" s="147"/>
      <c r="K3047" s="147" t="str">
        <f t="shared" si="47"/>
        <v/>
      </c>
      <c r="L3047" s="40"/>
      <c r="M3047"/>
      <c r="N3047"/>
      <c r="O3047"/>
      <c r="P3047"/>
      <c r="Q3047"/>
      <c r="R3047"/>
      <c r="S3047"/>
      <c r="T3047"/>
      <c r="U3047"/>
      <c r="V3047"/>
      <c r="W3047" s="41"/>
      <c r="X3047" s="41"/>
      <c r="Y3047" s="41"/>
    </row>
    <row r="3048" s="27" customFormat="1" ht="23" hidden="1" customHeight="1" spans="1:25">
      <c r="A3048" s="133" t="str">
        <f>IF(B3048="","",COUNTA($B$5:B3048))</f>
        <v/>
      </c>
      <c r="B3048" s="148"/>
      <c r="C3048" s="22" t="s">
        <v>49</v>
      </c>
      <c r="D3048" s="149"/>
      <c r="E3048" s="150"/>
      <c r="F3048" s="151"/>
      <c r="G3048" s="151"/>
      <c r="H3048" s="142">
        <f>IFERROR(VLOOKUP($C3048,$C$5:$H$18,6,0)+SUMIF($C$19:$C3048,$C3048,$F$19:$F3048)-SUMIF($C$19:$C3048,$C3048,$G$19:$G3048),"")</f>
        <v>81211.819999998</v>
      </c>
      <c r="I3048" s="147"/>
      <c r="J3048" s="147"/>
      <c r="K3048" s="147" t="str">
        <f t="shared" si="47"/>
        <v/>
      </c>
      <c r="L3048" s="40"/>
      <c r="M3048"/>
      <c r="N3048"/>
      <c r="O3048"/>
      <c r="P3048"/>
      <c r="Q3048"/>
      <c r="R3048"/>
      <c r="S3048"/>
      <c r="T3048"/>
      <c r="U3048"/>
      <c r="V3048"/>
      <c r="W3048" s="41"/>
      <c r="X3048" s="41"/>
      <c r="Y3048" s="41"/>
    </row>
    <row r="3049" s="27" customFormat="1" ht="23" hidden="1" customHeight="1" spans="1:25">
      <c r="A3049" s="133" t="str">
        <f>IF(B3049="","",COUNTA($B$5:B3049))</f>
        <v/>
      </c>
      <c r="B3049" s="148"/>
      <c r="C3049" s="22" t="s">
        <v>49</v>
      </c>
      <c r="D3049" s="149"/>
      <c r="E3049" s="150"/>
      <c r="F3049" s="151"/>
      <c r="G3049" s="151"/>
      <c r="H3049" s="142">
        <f>IFERROR(VLOOKUP($C3049,$C$5:$H$18,6,0)+SUMIF($C$19:$C3049,$C3049,$F$19:$F3049)-SUMIF($C$19:$C3049,$C3049,$G$19:$G3049),"")</f>
        <v>81211.819999998</v>
      </c>
      <c r="I3049" s="147"/>
      <c r="J3049" s="147"/>
      <c r="K3049" s="147" t="str">
        <f t="shared" si="47"/>
        <v/>
      </c>
      <c r="L3049" s="40"/>
      <c r="M3049"/>
      <c r="N3049"/>
      <c r="O3049"/>
      <c r="P3049"/>
      <c r="Q3049"/>
      <c r="R3049"/>
      <c r="S3049"/>
      <c r="T3049"/>
      <c r="U3049"/>
      <c r="V3049"/>
      <c r="W3049" s="41"/>
      <c r="X3049" s="41"/>
      <c r="Y3049" s="41"/>
    </row>
    <row r="3050" s="27" customFormat="1" ht="23" hidden="1" customHeight="1" spans="1:25">
      <c r="A3050" s="133" t="str">
        <f>IF(B3050="","",COUNTA($B$5:B3050))</f>
        <v/>
      </c>
      <c r="B3050" s="148"/>
      <c r="C3050" s="22" t="s">
        <v>49</v>
      </c>
      <c r="D3050" s="149"/>
      <c r="E3050" s="150"/>
      <c r="F3050" s="151"/>
      <c r="G3050" s="151"/>
      <c r="H3050" s="142">
        <f>IFERROR(VLOOKUP($C3050,$C$5:$H$18,6,0)+SUMIF($C$19:$C3050,$C3050,$F$19:$F3050)-SUMIF($C$19:$C3050,$C3050,$G$19:$G3050),"")</f>
        <v>81211.819999998</v>
      </c>
      <c r="I3050" s="147"/>
      <c r="J3050" s="147"/>
      <c r="K3050" s="147" t="str">
        <f t="shared" si="47"/>
        <v/>
      </c>
      <c r="L3050" s="40"/>
      <c r="M3050"/>
      <c r="N3050"/>
      <c r="O3050"/>
      <c r="P3050"/>
      <c r="Q3050"/>
      <c r="R3050"/>
      <c r="S3050"/>
      <c r="T3050"/>
      <c r="U3050"/>
      <c r="V3050"/>
      <c r="W3050" s="41"/>
      <c r="X3050" s="41"/>
      <c r="Y3050" s="41"/>
    </row>
    <row r="3051" s="27" customFormat="1" ht="23" hidden="1" customHeight="1" spans="1:25">
      <c r="A3051" s="133" t="str">
        <f>IF(B3051="","",COUNTA($B$5:B3051))</f>
        <v/>
      </c>
      <c r="B3051" s="148"/>
      <c r="C3051" s="22" t="s">
        <v>49</v>
      </c>
      <c r="D3051" s="149"/>
      <c r="E3051" s="150"/>
      <c r="F3051" s="151"/>
      <c r="G3051" s="151"/>
      <c r="H3051" s="142">
        <f>IFERROR(VLOOKUP($C3051,$C$5:$H$18,6,0)+SUMIF($C$19:$C3051,$C3051,$F$19:$F3051)-SUMIF($C$19:$C3051,$C3051,$G$19:$G3051),"")</f>
        <v>81211.819999998</v>
      </c>
      <c r="I3051" s="147"/>
      <c r="J3051" s="147"/>
      <c r="K3051" s="147" t="str">
        <f t="shared" si="47"/>
        <v/>
      </c>
      <c r="L3051" s="40"/>
      <c r="M3051"/>
      <c r="N3051"/>
      <c r="O3051"/>
      <c r="P3051"/>
      <c r="Q3051"/>
      <c r="R3051"/>
      <c r="S3051"/>
      <c r="T3051"/>
      <c r="U3051"/>
      <c r="V3051"/>
      <c r="W3051" s="41"/>
      <c r="X3051" s="41"/>
      <c r="Y3051" s="41"/>
    </row>
    <row r="3052" s="27" customFormat="1" ht="23" hidden="1" customHeight="1" spans="1:25">
      <c r="A3052" s="133" t="str">
        <f>IF(B3052="","",COUNTA($B$5:B3052))</f>
        <v/>
      </c>
      <c r="B3052" s="148"/>
      <c r="C3052" s="22" t="s">
        <v>49</v>
      </c>
      <c r="D3052" s="149"/>
      <c r="E3052" s="150"/>
      <c r="F3052" s="151"/>
      <c r="G3052" s="151"/>
      <c r="H3052" s="142">
        <f>IFERROR(VLOOKUP($C3052,$C$5:$H$18,6,0)+SUMIF($C$19:$C3052,$C3052,$F$19:$F3052)-SUMIF($C$19:$C3052,$C3052,$G$19:$G3052),"")</f>
        <v>81211.819999998</v>
      </c>
      <c r="I3052" s="147"/>
      <c r="J3052" s="147"/>
      <c r="K3052" s="147" t="str">
        <f t="shared" si="47"/>
        <v/>
      </c>
      <c r="L3052" s="40"/>
      <c r="M3052"/>
      <c r="N3052"/>
      <c r="O3052"/>
      <c r="P3052"/>
      <c r="Q3052"/>
      <c r="R3052"/>
      <c r="S3052"/>
      <c r="T3052"/>
      <c r="U3052"/>
      <c r="V3052"/>
      <c r="W3052" s="41"/>
      <c r="X3052" s="41"/>
      <c r="Y3052" s="41"/>
    </row>
    <row r="3053" s="27" customFormat="1" ht="23" hidden="1" customHeight="1" spans="1:25">
      <c r="A3053" s="133" t="str">
        <f>IF(B3053="","",COUNTA($B$5:B3053))</f>
        <v/>
      </c>
      <c r="B3053" s="148"/>
      <c r="C3053" s="22" t="s">
        <v>49</v>
      </c>
      <c r="D3053" s="149"/>
      <c r="E3053" s="150"/>
      <c r="F3053" s="151"/>
      <c r="G3053" s="151"/>
      <c r="H3053" s="142">
        <f>IFERROR(VLOOKUP($C3053,$C$5:$H$18,6,0)+SUMIF($C$19:$C3053,$C3053,$F$19:$F3053)-SUMIF($C$19:$C3053,$C3053,$G$19:$G3053),"")</f>
        <v>81211.819999998</v>
      </c>
      <c r="I3053" s="147"/>
      <c r="J3053" s="147"/>
      <c r="K3053" s="147" t="str">
        <f t="shared" si="47"/>
        <v/>
      </c>
      <c r="L3053" s="40"/>
      <c r="M3053"/>
      <c r="N3053"/>
      <c r="O3053"/>
      <c r="P3053"/>
      <c r="Q3053"/>
      <c r="R3053"/>
      <c r="S3053"/>
      <c r="T3053"/>
      <c r="U3053"/>
      <c r="V3053"/>
      <c r="W3053" s="41"/>
      <c r="X3053" s="41"/>
      <c r="Y3053" s="41"/>
    </row>
    <row r="3054" s="27" customFormat="1" ht="23" hidden="1" customHeight="1" spans="1:25">
      <c r="A3054" s="133" t="str">
        <f>IF(B3054="","",COUNTA($B$5:B3054))</f>
        <v/>
      </c>
      <c r="B3054" s="148"/>
      <c r="C3054" s="22" t="s">
        <v>49</v>
      </c>
      <c r="D3054" s="149"/>
      <c r="E3054" s="150"/>
      <c r="F3054" s="151"/>
      <c r="G3054" s="151"/>
      <c r="H3054" s="142">
        <f>IFERROR(VLOOKUP($C3054,$C$5:$H$18,6,0)+SUMIF($C$19:$C3054,$C3054,$F$19:$F3054)-SUMIF($C$19:$C3054,$C3054,$G$19:$G3054),"")</f>
        <v>81211.819999998</v>
      </c>
      <c r="I3054" s="147"/>
      <c r="J3054" s="147"/>
      <c r="K3054" s="147" t="str">
        <f t="shared" si="47"/>
        <v/>
      </c>
      <c r="L3054" s="40"/>
      <c r="M3054"/>
      <c r="N3054"/>
      <c r="O3054"/>
      <c r="P3054"/>
      <c r="Q3054"/>
      <c r="R3054"/>
      <c r="S3054"/>
      <c r="T3054"/>
      <c r="U3054"/>
      <c r="V3054"/>
      <c r="W3054" s="41"/>
      <c r="X3054" s="41"/>
      <c r="Y3054" s="41"/>
    </row>
    <row r="3055" s="27" customFormat="1" ht="23" hidden="1" customHeight="1" spans="1:25">
      <c r="A3055" s="133" t="str">
        <f>IF(B3055="","",COUNTA($B$5:B3055))</f>
        <v/>
      </c>
      <c r="B3055" s="148"/>
      <c r="C3055" s="22" t="s">
        <v>49</v>
      </c>
      <c r="D3055" s="149"/>
      <c r="E3055" s="150"/>
      <c r="F3055" s="151"/>
      <c r="G3055" s="151"/>
      <c r="H3055" s="142">
        <f>IFERROR(VLOOKUP($C3055,$C$5:$H$18,6,0)+SUMIF($C$19:$C3055,$C3055,$F$19:$F3055)-SUMIF($C$19:$C3055,$C3055,$G$19:$G3055),"")</f>
        <v>81211.819999998</v>
      </c>
      <c r="I3055" s="147"/>
      <c r="J3055" s="147"/>
      <c r="K3055" s="147" t="str">
        <f t="shared" si="47"/>
        <v/>
      </c>
      <c r="L3055" s="40"/>
      <c r="M3055"/>
      <c r="N3055"/>
      <c r="O3055"/>
      <c r="P3055"/>
      <c r="Q3055"/>
      <c r="R3055"/>
      <c r="S3055"/>
      <c r="T3055"/>
      <c r="U3055"/>
      <c r="V3055"/>
      <c r="W3055" s="41"/>
      <c r="X3055" s="41"/>
      <c r="Y3055" s="41"/>
    </row>
    <row r="3056" s="27" customFormat="1" ht="23" hidden="1" customHeight="1" spans="1:25">
      <c r="A3056" s="133" t="str">
        <f>IF(B3056="","",COUNTA($B$5:B3056))</f>
        <v/>
      </c>
      <c r="B3056" s="148"/>
      <c r="C3056" s="22" t="s">
        <v>49</v>
      </c>
      <c r="D3056" s="149"/>
      <c r="E3056" s="150"/>
      <c r="F3056" s="151"/>
      <c r="G3056" s="151"/>
      <c r="H3056" s="142">
        <f>IFERROR(VLOOKUP($C3056,$C$5:$H$18,6,0)+SUMIF($C$19:$C3056,$C3056,$F$19:$F3056)-SUMIF($C$19:$C3056,$C3056,$G$19:$G3056),"")</f>
        <v>81211.819999998</v>
      </c>
      <c r="I3056" s="147"/>
      <c r="J3056" s="147"/>
      <c r="K3056" s="147" t="str">
        <f t="shared" si="47"/>
        <v/>
      </c>
      <c r="L3056" s="40"/>
      <c r="M3056"/>
      <c r="N3056"/>
      <c r="O3056"/>
      <c r="P3056"/>
      <c r="Q3056"/>
      <c r="R3056"/>
      <c r="S3056"/>
      <c r="T3056"/>
      <c r="U3056"/>
      <c r="V3056"/>
      <c r="W3056" s="41"/>
      <c r="X3056" s="41"/>
      <c r="Y3056" s="41"/>
    </row>
    <row r="3057" s="27" customFormat="1" ht="23" hidden="1" customHeight="1" spans="1:25">
      <c r="A3057" s="133" t="str">
        <f>IF(B3057="","",COUNTA($B$5:B3057))</f>
        <v/>
      </c>
      <c r="B3057" s="148"/>
      <c r="C3057" s="22" t="s">
        <v>49</v>
      </c>
      <c r="D3057" s="149"/>
      <c r="E3057" s="150"/>
      <c r="F3057" s="151"/>
      <c r="G3057" s="151"/>
      <c r="H3057" s="142">
        <f>IFERROR(VLOOKUP($C3057,$C$5:$H$18,6,0)+SUMIF($C$19:$C3057,$C3057,$F$19:$F3057)-SUMIF($C$19:$C3057,$C3057,$G$19:$G3057),"")</f>
        <v>81211.819999998</v>
      </c>
      <c r="I3057" s="147"/>
      <c r="J3057" s="147"/>
      <c r="K3057" s="147" t="str">
        <f t="shared" si="47"/>
        <v/>
      </c>
      <c r="L3057" s="40"/>
      <c r="M3057"/>
      <c r="N3057"/>
      <c r="O3057"/>
      <c r="P3057"/>
      <c r="Q3057"/>
      <c r="R3057"/>
      <c r="S3057"/>
      <c r="T3057"/>
      <c r="U3057"/>
      <c r="V3057"/>
      <c r="W3057" s="41"/>
      <c r="X3057" s="41"/>
      <c r="Y3057" s="41"/>
    </row>
    <row r="3058" s="27" customFormat="1" ht="23" hidden="1" customHeight="1" spans="1:25">
      <c r="A3058" s="133" t="str">
        <f>IF(B3058="","",COUNTA($B$5:B3058))</f>
        <v/>
      </c>
      <c r="B3058" s="148"/>
      <c r="C3058" s="22" t="s">
        <v>49</v>
      </c>
      <c r="D3058" s="149"/>
      <c r="E3058" s="150"/>
      <c r="F3058" s="151"/>
      <c r="G3058" s="151"/>
      <c r="H3058" s="142">
        <f>IFERROR(VLOOKUP($C3058,$C$5:$H$18,6,0)+SUMIF($C$19:$C3058,$C3058,$F$19:$F3058)-SUMIF($C$19:$C3058,$C3058,$G$19:$G3058),"")</f>
        <v>81211.819999998</v>
      </c>
      <c r="I3058" s="147"/>
      <c r="J3058" s="147"/>
      <c r="K3058" s="147" t="str">
        <f t="shared" si="47"/>
        <v/>
      </c>
      <c r="L3058" s="40"/>
      <c r="M3058"/>
      <c r="N3058"/>
      <c r="O3058"/>
      <c r="P3058"/>
      <c r="Q3058"/>
      <c r="R3058"/>
      <c r="S3058"/>
      <c r="T3058"/>
      <c r="U3058"/>
      <c r="V3058"/>
      <c r="W3058" s="41"/>
      <c r="X3058" s="41"/>
      <c r="Y3058" s="41"/>
    </row>
    <row r="3059" s="27" customFormat="1" ht="23" hidden="1" customHeight="1" spans="1:25">
      <c r="A3059" s="133" t="str">
        <f>IF(B3059="","",COUNTA($B$5:B3059))</f>
        <v/>
      </c>
      <c r="B3059" s="148"/>
      <c r="C3059" s="22" t="s">
        <v>49</v>
      </c>
      <c r="D3059" s="149"/>
      <c r="E3059" s="150"/>
      <c r="F3059" s="151"/>
      <c r="G3059" s="151"/>
      <c r="H3059" s="142">
        <f>IFERROR(VLOOKUP($C3059,$C$5:$H$18,6,0)+SUMIF($C$19:$C3059,$C3059,$F$19:$F3059)-SUMIF($C$19:$C3059,$C3059,$G$19:$G3059),"")</f>
        <v>81211.819999998</v>
      </c>
      <c r="I3059" s="147"/>
      <c r="J3059" s="147"/>
      <c r="K3059" s="147" t="str">
        <f t="shared" si="47"/>
        <v/>
      </c>
      <c r="L3059" s="40"/>
      <c r="M3059"/>
      <c r="N3059"/>
      <c r="O3059"/>
      <c r="P3059"/>
      <c r="Q3059"/>
      <c r="R3059"/>
      <c r="S3059"/>
      <c r="T3059"/>
      <c r="U3059"/>
      <c r="V3059"/>
      <c r="W3059" s="41"/>
      <c r="X3059" s="41"/>
      <c r="Y3059" s="41"/>
    </row>
    <row r="3060" s="27" customFormat="1" ht="23" hidden="1" customHeight="1" spans="1:25">
      <c r="A3060" s="133" t="str">
        <f>IF(B3060="","",COUNTA($B$5:B3060))</f>
        <v/>
      </c>
      <c r="B3060" s="148"/>
      <c r="C3060" s="22" t="s">
        <v>49</v>
      </c>
      <c r="D3060" s="149"/>
      <c r="E3060" s="150"/>
      <c r="F3060" s="151"/>
      <c r="G3060" s="151"/>
      <c r="H3060" s="142">
        <f>IFERROR(VLOOKUP($C3060,$C$5:$H$18,6,0)+SUMIF($C$19:$C3060,$C3060,$F$19:$F3060)-SUMIF($C$19:$C3060,$C3060,$G$19:$G3060),"")</f>
        <v>81211.819999998</v>
      </c>
      <c r="I3060" s="147"/>
      <c r="J3060" s="147"/>
      <c r="K3060" s="147" t="str">
        <f t="shared" si="47"/>
        <v/>
      </c>
      <c r="L3060" s="40"/>
      <c r="M3060"/>
      <c r="N3060"/>
      <c r="O3060"/>
      <c r="P3060"/>
      <c r="Q3060"/>
      <c r="R3060"/>
      <c r="S3060"/>
      <c r="T3060"/>
      <c r="U3060"/>
      <c r="V3060"/>
      <c r="W3060" s="41"/>
      <c r="X3060" s="41"/>
      <c r="Y3060" s="41"/>
    </row>
    <row r="3061" s="27" customFormat="1" ht="23" hidden="1" customHeight="1" spans="1:25">
      <c r="A3061" s="133" t="str">
        <f>IF(B3061="","",COUNTA($B$5:B3061))</f>
        <v/>
      </c>
      <c r="B3061" s="148"/>
      <c r="C3061" s="22" t="s">
        <v>49</v>
      </c>
      <c r="D3061" s="149"/>
      <c r="E3061" s="150"/>
      <c r="F3061" s="151"/>
      <c r="G3061" s="151"/>
      <c r="H3061" s="142">
        <f>IFERROR(VLOOKUP($C3061,$C$5:$H$18,6,0)+SUMIF($C$19:$C3061,$C3061,$F$19:$F3061)-SUMIF($C$19:$C3061,$C3061,$G$19:$G3061),"")</f>
        <v>81211.819999998</v>
      </c>
      <c r="I3061" s="147"/>
      <c r="J3061" s="147"/>
      <c r="K3061" s="147" t="str">
        <f t="shared" si="47"/>
        <v/>
      </c>
      <c r="L3061" s="40"/>
      <c r="M3061"/>
      <c r="N3061"/>
      <c r="O3061"/>
      <c r="P3061"/>
      <c r="Q3061"/>
      <c r="R3061"/>
      <c r="S3061"/>
      <c r="T3061"/>
      <c r="U3061"/>
      <c r="V3061"/>
      <c r="W3061" s="41"/>
      <c r="X3061" s="41"/>
      <c r="Y3061" s="41"/>
    </row>
    <row r="3062" s="27" customFormat="1" ht="23" hidden="1" customHeight="1" spans="1:25">
      <c r="A3062" s="133" t="str">
        <f>IF(B3062="","",COUNTA($B$5:B3062))</f>
        <v/>
      </c>
      <c r="B3062" s="148"/>
      <c r="C3062" s="22" t="s">
        <v>49</v>
      </c>
      <c r="D3062" s="149"/>
      <c r="E3062" s="150"/>
      <c r="F3062" s="151"/>
      <c r="G3062" s="151"/>
      <c r="H3062" s="142">
        <f>IFERROR(VLOOKUP($C3062,$C$5:$H$18,6,0)+SUMIF($C$19:$C3062,$C3062,$F$19:$F3062)-SUMIF($C$19:$C3062,$C3062,$G$19:$G3062),"")</f>
        <v>81211.819999998</v>
      </c>
      <c r="I3062" s="147"/>
      <c r="J3062" s="147"/>
      <c r="K3062" s="147" t="str">
        <f t="shared" si="47"/>
        <v/>
      </c>
      <c r="L3062" s="40"/>
      <c r="M3062"/>
      <c r="N3062"/>
      <c r="O3062"/>
      <c r="P3062"/>
      <c r="Q3062"/>
      <c r="R3062"/>
      <c r="S3062"/>
      <c r="T3062"/>
      <c r="U3062"/>
      <c r="V3062"/>
      <c r="W3062" s="41"/>
      <c r="X3062" s="41"/>
      <c r="Y3062" s="41"/>
    </row>
    <row r="3063" s="27" customFormat="1" ht="23" hidden="1" customHeight="1" spans="1:25">
      <c r="A3063" s="133" t="str">
        <f>IF(B3063="","",COUNTA($B$5:B3063))</f>
        <v/>
      </c>
      <c r="B3063" s="148"/>
      <c r="C3063" s="22" t="s">
        <v>49</v>
      </c>
      <c r="D3063" s="149"/>
      <c r="E3063" s="150"/>
      <c r="F3063" s="151"/>
      <c r="G3063" s="151"/>
      <c r="H3063" s="142">
        <f>IFERROR(VLOOKUP($C3063,$C$5:$H$18,6,0)+SUMIF($C$19:$C3063,$C3063,$F$19:$F3063)-SUMIF($C$19:$C3063,$C3063,$G$19:$G3063),"")</f>
        <v>81211.819999998</v>
      </c>
      <c r="I3063" s="147"/>
      <c r="J3063" s="147"/>
      <c r="K3063" s="147" t="str">
        <f t="shared" si="47"/>
        <v/>
      </c>
      <c r="L3063" s="40"/>
      <c r="M3063"/>
      <c r="N3063"/>
      <c r="O3063"/>
      <c r="P3063"/>
      <c r="Q3063"/>
      <c r="R3063"/>
      <c r="S3063"/>
      <c r="T3063"/>
      <c r="U3063"/>
      <c r="V3063"/>
      <c r="W3063" s="41"/>
      <c r="X3063" s="41"/>
      <c r="Y3063" s="41"/>
    </row>
    <row r="3064" s="27" customFormat="1" ht="23" hidden="1" customHeight="1" spans="1:25">
      <c r="A3064" s="133" t="str">
        <f>IF(B3064="","",COUNTA($B$5:B3064))</f>
        <v/>
      </c>
      <c r="B3064" s="148"/>
      <c r="C3064" s="22" t="s">
        <v>49</v>
      </c>
      <c r="D3064" s="149"/>
      <c r="E3064" s="150"/>
      <c r="F3064" s="151"/>
      <c r="G3064" s="151"/>
      <c r="H3064" s="142">
        <f>IFERROR(VLOOKUP($C3064,$C$5:$H$18,6,0)+SUMIF($C$19:$C3064,$C3064,$F$19:$F3064)-SUMIF($C$19:$C3064,$C3064,$G$19:$G3064),"")</f>
        <v>81211.819999998</v>
      </c>
      <c r="I3064" s="147"/>
      <c r="J3064" s="147"/>
      <c r="K3064" s="147" t="str">
        <f t="shared" si="47"/>
        <v/>
      </c>
      <c r="L3064" s="40"/>
      <c r="M3064"/>
      <c r="N3064"/>
      <c r="O3064"/>
      <c r="P3064"/>
      <c r="Q3064"/>
      <c r="R3064"/>
      <c r="S3064"/>
      <c r="T3064"/>
      <c r="U3064"/>
      <c r="V3064"/>
      <c r="W3064" s="41"/>
      <c r="X3064" s="41"/>
      <c r="Y3064" s="41"/>
    </row>
    <row r="3065" s="27" customFormat="1" ht="23" hidden="1" customHeight="1" spans="1:25">
      <c r="A3065" s="133" t="str">
        <f>IF(B3065="","",COUNTA($B$5:B3065))</f>
        <v/>
      </c>
      <c r="B3065" s="148"/>
      <c r="C3065" s="22" t="s">
        <v>49</v>
      </c>
      <c r="D3065" s="149"/>
      <c r="E3065" s="150"/>
      <c r="F3065" s="151"/>
      <c r="G3065" s="151"/>
      <c r="H3065" s="142">
        <f>IFERROR(VLOOKUP($C3065,$C$5:$H$18,6,0)+SUMIF($C$19:$C3065,$C3065,$F$19:$F3065)-SUMIF($C$19:$C3065,$C3065,$G$19:$G3065),"")</f>
        <v>81211.819999998</v>
      </c>
      <c r="I3065" s="147"/>
      <c r="J3065" s="147"/>
      <c r="K3065" s="147" t="str">
        <f t="shared" si="47"/>
        <v/>
      </c>
      <c r="L3065" s="40"/>
      <c r="M3065"/>
      <c r="N3065"/>
      <c r="O3065"/>
      <c r="P3065"/>
      <c r="Q3065"/>
      <c r="R3065"/>
      <c r="S3065"/>
      <c r="T3065"/>
      <c r="U3065"/>
      <c r="V3065"/>
      <c r="W3065" s="41"/>
      <c r="X3065" s="41"/>
      <c r="Y3065" s="41"/>
    </row>
    <row r="3066" s="27" customFormat="1" ht="23" hidden="1" customHeight="1" spans="1:25">
      <c r="A3066" s="133" t="str">
        <f>IF(B3066="","",COUNTA($B$5:B3066))</f>
        <v/>
      </c>
      <c r="B3066" s="148"/>
      <c r="C3066" s="22" t="s">
        <v>49</v>
      </c>
      <c r="D3066" s="149"/>
      <c r="E3066" s="150"/>
      <c r="F3066" s="151"/>
      <c r="G3066" s="151"/>
      <c r="H3066" s="142">
        <f>IFERROR(VLOOKUP($C3066,$C$5:$H$18,6,0)+SUMIF($C$19:$C3066,$C3066,$F$19:$F3066)-SUMIF($C$19:$C3066,$C3066,$G$19:$G3066),"")</f>
        <v>81211.819999998</v>
      </c>
      <c r="I3066" s="147"/>
      <c r="J3066" s="147"/>
      <c r="K3066" s="147" t="str">
        <f t="shared" si="47"/>
        <v/>
      </c>
      <c r="L3066" s="40"/>
      <c r="M3066"/>
      <c r="N3066"/>
      <c r="O3066"/>
      <c r="P3066"/>
      <c r="Q3066"/>
      <c r="R3066"/>
      <c r="S3066"/>
      <c r="T3066"/>
      <c r="U3066"/>
      <c r="V3066"/>
      <c r="W3066" s="41"/>
      <c r="X3066" s="41"/>
      <c r="Y3066" s="41"/>
    </row>
    <row r="3067" s="27" customFormat="1" ht="23" hidden="1" customHeight="1" spans="1:25">
      <c r="A3067" s="133" t="str">
        <f>IF(B3067="","",COUNTA($B$5:B3067))</f>
        <v/>
      </c>
      <c r="B3067" s="148"/>
      <c r="C3067" s="22" t="s">
        <v>49</v>
      </c>
      <c r="D3067" s="149"/>
      <c r="E3067" s="150"/>
      <c r="F3067" s="151"/>
      <c r="G3067" s="151"/>
      <c r="H3067" s="142">
        <f>IFERROR(VLOOKUP($C3067,$C$5:$H$18,6,0)+SUMIF($C$19:$C3067,$C3067,$F$19:$F3067)-SUMIF($C$19:$C3067,$C3067,$G$19:$G3067),"")</f>
        <v>81211.819999998</v>
      </c>
      <c r="I3067" s="147"/>
      <c r="J3067" s="147"/>
      <c r="K3067" s="147" t="str">
        <f t="shared" si="47"/>
        <v/>
      </c>
      <c r="L3067" s="40"/>
      <c r="M3067"/>
      <c r="N3067"/>
      <c r="O3067"/>
      <c r="P3067"/>
      <c r="Q3067"/>
      <c r="R3067"/>
      <c r="S3067"/>
      <c r="T3067"/>
      <c r="U3067"/>
      <c r="V3067"/>
      <c r="W3067" s="41"/>
      <c r="X3067" s="41"/>
      <c r="Y3067" s="41"/>
    </row>
    <row r="3068" s="27" customFormat="1" ht="23" hidden="1" customHeight="1" spans="1:25">
      <c r="A3068" s="133" t="str">
        <f>IF(B3068="","",COUNTA($B$5:B3068))</f>
        <v/>
      </c>
      <c r="B3068" s="148"/>
      <c r="C3068" s="22" t="s">
        <v>49</v>
      </c>
      <c r="D3068" s="149"/>
      <c r="E3068" s="150"/>
      <c r="F3068" s="151"/>
      <c r="G3068" s="151"/>
      <c r="H3068" s="142">
        <f>IFERROR(VLOOKUP($C3068,$C$5:$H$18,6,0)+SUMIF($C$19:$C3068,$C3068,$F$19:$F3068)-SUMIF($C$19:$C3068,$C3068,$G$19:$G3068),"")</f>
        <v>81211.819999998</v>
      </c>
      <c r="I3068" s="147"/>
      <c r="J3068" s="147"/>
      <c r="K3068" s="147" t="str">
        <f t="shared" si="47"/>
        <v/>
      </c>
      <c r="L3068" s="40"/>
      <c r="M3068"/>
      <c r="N3068"/>
      <c r="O3068"/>
      <c r="P3068"/>
      <c r="Q3068"/>
      <c r="R3068"/>
      <c r="S3068"/>
      <c r="T3068"/>
      <c r="U3068"/>
      <c r="V3068"/>
      <c r="W3068" s="41"/>
      <c r="X3068" s="41"/>
      <c r="Y3068" s="41"/>
    </row>
    <row r="3069" s="27" customFormat="1" ht="23" hidden="1" customHeight="1" spans="1:25">
      <c r="A3069" s="133" t="str">
        <f>IF(B3069="","",COUNTA($B$5:B3069))</f>
        <v/>
      </c>
      <c r="B3069" s="148"/>
      <c r="C3069" s="22" t="s">
        <v>49</v>
      </c>
      <c r="D3069" s="149"/>
      <c r="E3069" s="150"/>
      <c r="F3069" s="151"/>
      <c r="G3069" s="151"/>
      <c r="H3069" s="142">
        <f>IFERROR(VLOOKUP($C3069,$C$5:$H$18,6,0)+SUMIF($C$19:$C3069,$C3069,$F$19:$F3069)-SUMIF($C$19:$C3069,$C3069,$G$19:$G3069),"")</f>
        <v>81211.819999998</v>
      </c>
      <c r="I3069" s="147"/>
      <c r="J3069" s="147"/>
      <c r="K3069" s="147" t="str">
        <f t="shared" si="47"/>
        <v/>
      </c>
      <c r="L3069" s="40"/>
      <c r="M3069"/>
      <c r="N3069"/>
      <c r="O3069"/>
      <c r="P3069"/>
      <c r="Q3069"/>
      <c r="R3069"/>
      <c r="S3069"/>
      <c r="T3069"/>
      <c r="U3069"/>
      <c r="V3069"/>
      <c r="W3069" s="41"/>
      <c r="X3069" s="41"/>
      <c r="Y3069" s="41"/>
    </row>
    <row r="3070" s="27" customFormat="1" ht="23" hidden="1" customHeight="1" spans="1:25">
      <c r="A3070" s="133" t="str">
        <f>IF(B3070="","",COUNTA($B$5:B3070))</f>
        <v/>
      </c>
      <c r="B3070" s="148"/>
      <c r="C3070" s="22" t="s">
        <v>49</v>
      </c>
      <c r="D3070" s="149"/>
      <c r="E3070" s="150"/>
      <c r="F3070" s="151"/>
      <c r="G3070" s="151"/>
      <c r="H3070" s="142">
        <f>IFERROR(VLOOKUP($C3070,$C$5:$H$18,6,0)+SUMIF($C$19:$C3070,$C3070,$F$19:$F3070)-SUMIF($C$19:$C3070,$C3070,$G$19:$G3070),"")</f>
        <v>81211.819999998</v>
      </c>
      <c r="I3070" s="147"/>
      <c r="J3070" s="147"/>
      <c r="K3070" s="147" t="str">
        <f t="shared" si="47"/>
        <v/>
      </c>
      <c r="L3070" s="40"/>
      <c r="M3070"/>
      <c r="N3070"/>
      <c r="O3070"/>
      <c r="P3070"/>
      <c r="Q3070"/>
      <c r="R3070"/>
      <c r="S3070"/>
      <c r="T3070"/>
      <c r="U3070"/>
      <c r="V3070"/>
      <c r="W3070" s="41"/>
      <c r="X3070" s="41"/>
      <c r="Y3070" s="41"/>
    </row>
    <row r="3071" s="27" customFormat="1" ht="23" hidden="1" customHeight="1" spans="1:25">
      <c r="A3071" s="133" t="str">
        <f>IF(B3071="","",COUNTA($B$5:B3071))</f>
        <v/>
      </c>
      <c r="B3071" s="148"/>
      <c r="C3071" s="22" t="s">
        <v>49</v>
      </c>
      <c r="D3071" s="149"/>
      <c r="E3071" s="150"/>
      <c r="F3071" s="151"/>
      <c r="G3071" s="151"/>
      <c r="H3071" s="142">
        <f>IFERROR(VLOOKUP($C3071,$C$5:$H$18,6,0)+SUMIF($C$19:$C3071,$C3071,$F$19:$F3071)-SUMIF($C$19:$C3071,$C3071,$G$19:$G3071),"")</f>
        <v>81211.819999998</v>
      </c>
      <c r="I3071" s="147"/>
      <c r="J3071" s="147"/>
      <c r="K3071" s="147" t="str">
        <f t="shared" si="47"/>
        <v/>
      </c>
      <c r="L3071" s="40"/>
      <c r="M3071"/>
      <c r="N3071"/>
      <c r="O3071"/>
      <c r="P3071"/>
      <c r="Q3071"/>
      <c r="R3071"/>
      <c r="S3071"/>
      <c r="T3071"/>
      <c r="U3071"/>
      <c r="V3071"/>
      <c r="W3071" s="41"/>
      <c r="X3071" s="41"/>
      <c r="Y3071" s="41"/>
    </row>
    <row r="3072" s="27" customFormat="1" ht="23" hidden="1" customHeight="1" spans="1:25">
      <c r="A3072" s="133" t="str">
        <f>IF(B3072="","",COUNTA($B$5:B3072))</f>
        <v/>
      </c>
      <c r="B3072" s="148"/>
      <c r="C3072" s="22" t="s">
        <v>49</v>
      </c>
      <c r="D3072" s="149"/>
      <c r="E3072" s="150"/>
      <c r="F3072" s="151"/>
      <c r="G3072" s="151"/>
      <c r="H3072" s="142">
        <f>IFERROR(VLOOKUP($C3072,$C$5:$H$18,6,0)+SUMIF($C$19:$C3072,$C3072,$F$19:$F3072)-SUMIF($C$19:$C3072,$C3072,$G$19:$G3072),"")</f>
        <v>81211.819999998</v>
      </c>
      <c r="I3072" s="147"/>
      <c r="J3072" s="147"/>
      <c r="K3072" s="147" t="str">
        <f t="shared" si="47"/>
        <v/>
      </c>
      <c r="L3072" s="40"/>
      <c r="M3072"/>
      <c r="N3072"/>
      <c r="O3072"/>
      <c r="P3072"/>
      <c r="Q3072"/>
      <c r="R3072"/>
      <c r="S3072"/>
      <c r="T3072"/>
      <c r="U3072"/>
      <c r="V3072"/>
      <c r="W3072" s="41"/>
      <c r="X3072" s="41"/>
      <c r="Y3072" s="41"/>
    </row>
    <row r="3073" s="27" customFormat="1" ht="23" hidden="1" customHeight="1" spans="1:25">
      <c r="A3073" s="133" t="str">
        <f>IF(B3073="","",COUNTA($B$5:B3073))</f>
        <v/>
      </c>
      <c r="B3073" s="148"/>
      <c r="C3073" s="22" t="s">
        <v>49</v>
      </c>
      <c r="D3073" s="149"/>
      <c r="E3073" s="150"/>
      <c r="F3073" s="151"/>
      <c r="G3073" s="151"/>
      <c r="H3073" s="142">
        <f>IFERROR(VLOOKUP($C3073,$C$5:$H$18,6,0)+SUMIF($C$19:$C3073,$C3073,$F$19:$F3073)-SUMIF($C$19:$C3073,$C3073,$G$19:$G3073),"")</f>
        <v>81211.819999998</v>
      </c>
      <c r="I3073" s="147"/>
      <c r="J3073" s="147"/>
      <c r="K3073" s="147" t="str">
        <f t="shared" si="47"/>
        <v/>
      </c>
      <c r="L3073" s="40"/>
      <c r="M3073"/>
      <c r="N3073"/>
      <c r="O3073"/>
      <c r="P3073"/>
      <c r="Q3073"/>
      <c r="R3073"/>
      <c r="S3073"/>
      <c r="T3073"/>
      <c r="U3073"/>
      <c r="V3073"/>
      <c r="W3073" s="41"/>
      <c r="X3073" s="41"/>
      <c r="Y3073" s="41"/>
    </row>
    <row r="3074" s="27" customFormat="1" ht="23" hidden="1" customHeight="1" spans="1:25">
      <c r="A3074" s="133" t="str">
        <f>IF(B3074="","",COUNTA($B$5:B3074))</f>
        <v/>
      </c>
      <c r="B3074" s="148"/>
      <c r="C3074" s="22" t="s">
        <v>49</v>
      </c>
      <c r="D3074" s="149"/>
      <c r="E3074" s="150"/>
      <c r="F3074" s="151"/>
      <c r="G3074" s="151"/>
      <c r="H3074" s="142">
        <f>IFERROR(VLOOKUP($C3074,$C$5:$H$18,6,0)+SUMIF($C$19:$C3074,$C3074,$F$19:$F3074)-SUMIF($C$19:$C3074,$C3074,$G$19:$G3074),"")</f>
        <v>81211.819999998</v>
      </c>
      <c r="I3074" s="147"/>
      <c r="J3074" s="147"/>
      <c r="K3074" s="147" t="str">
        <f t="shared" si="47"/>
        <v/>
      </c>
      <c r="L3074" s="40"/>
      <c r="M3074"/>
      <c r="N3074"/>
      <c r="O3074"/>
      <c r="P3074"/>
      <c r="Q3074"/>
      <c r="R3074"/>
      <c r="S3074"/>
      <c r="T3074"/>
      <c r="U3074"/>
      <c r="V3074"/>
      <c r="W3074" s="41"/>
      <c r="X3074" s="41"/>
      <c r="Y3074" s="41"/>
    </row>
    <row r="3075" s="27" customFormat="1" ht="23" hidden="1" customHeight="1" spans="1:25">
      <c r="A3075" s="133" t="str">
        <f>IF(B3075="","",COUNTA($B$5:B3075))</f>
        <v/>
      </c>
      <c r="B3075" s="148"/>
      <c r="C3075" s="22" t="s">
        <v>49</v>
      </c>
      <c r="D3075" s="149"/>
      <c r="E3075" s="150"/>
      <c r="F3075" s="151"/>
      <c r="G3075" s="151"/>
      <c r="H3075" s="142">
        <f>IFERROR(VLOOKUP($C3075,$C$5:$H$18,6,0)+SUMIF($C$19:$C3075,$C3075,$F$19:$F3075)-SUMIF($C$19:$C3075,$C3075,$G$19:$G3075),"")</f>
        <v>81211.819999998</v>
      </c>
      <c r="I3075" s="147"/>
      <c r="J3075" s="147"/>
      <c r="K3075" s="147" t="str">
        <f t="shared" si="47"/>
        <v/>
      </c>
      <c r="L3075" s="40"/>
      <c r="M3075"/>
      <c r="N3075"/>
      <c r="O3075"/>
      <c r="P3075"/>
      <c r="Q3075"/>
      <c r="R3075"/>
      <c r="S3075"/>
      <c r="T3075"/>
      <c r="U3075"/>
      <c r="V3075"/>
      <c r="W3075" s="41"/>
      <c r="X3075" s="41"/>
      <c r="Y3075" s="41"/>
    </row>
    <row r="3076" s="27" customFormat="1" ht="23" hidden="1" customHeight="1" spans="1:25">
      <c r="A3076" s="133" t="str">
        <f>IF(B3076="","",COUNTA($B$5:B3076))</f>
        <v/>
      </c>
      <c r="B3076" s="148"/>
      <c r="C3076" s="22" t="s">
        <v>49</v>
      </c>
      <c r="D3076" s="149"/>
      <c r="E3076" s="150"/>
      <c r="F3076" s="151"/>
      <c r="G3076" s="151"/>
      <c r="H3076" s="142">
        <f>IFERROR(VLOOKUP($C3076,$C$5:$H$18,6,0)+SUMIF($C$19:$C3076,$C3076,$F$19:$F3076)-SUMIF($C$19:$C3076,$C3076,$G$19:$G3076),"")</f>
        <v>81211.819999998</v>
      </c>
      <c r="I3076" s="147"/>
      <c r="J3076" s="147"/>
      <c r="K3076" s="147" t="str">
        <f t="shared" si="47"/>
        <v/>
      </c>
      <c r="L3076" s="40"/>
      <c r="M3076"/>
      <c r="N3076"/>
      <c r="O3076"/>
      <c r="P3076"/>
      <c r="Q3076"/>
      <c r="R3076"/>
      <c r="S3076"/>
      <c r="T3076"/>
      <c r="U3076"/>
      <c r="V3076"/>
      <c r="W3076" s="41"/>
      <c r="X3076" s="41"/>
      <c r="Y3076" s="41"/>
    </row>
    <row r="3077" s="27" customFormat="1" ht="23" hidden="1" customHeight="1" spans="1:25">
      <c r="A3077" s="133" t="str">
        <f>IF(B3077="","",COUNTA($B$5:B3077))</f>
        <v/>
      </c>
      <c r="B3077" s="148"/>
      <c r="C3077" s="22" t="s">
        <v>49</v>
      </c>
      <c r="D3077" s="149"/>
      <c r="E3077" s="150"/>
      <c r="F3077" s="151"/>
      <c r="G3077" s="151"/>
      <c r="H3077" s="142">
        <f>IFERROR(VLOOKUP($C3077,$C$5:$H$18,6,0)+SUMIF($C$19:$C3077,$C3077,$F$19:$F3077)-SUMIF($C$19:$C3077,$C3077,$G$19:$G3077),"")</f>
        <v>81211.819999998</v>
      </c>
      <c r="I3077" s="147"/>
      <c r="J3077" s="147"/>
      <c r="K3077" s="147" t="str">
        <f t="shared" ref="K3077:K3140" si="48">IF($B3077="","",--TEXT($B3077,"yyyymm"))</f>
        <v/>
      </c>
      <c r="L3077" s="40"/>
      <c r="M3077"/>
      <c r="N3077"/>
      <c r="O3077"/>
      <c r="P3077"/>
      <c r="Q3077"/>
      <c r="R3077"/>
      <c r="S3077"/>
      <c r="T3077"/>
      <c r="U3077"/>
      <c r="V3077"/>
      <c r="W3077" s="41"/>
      <c r="X3077" s="41"/>
      <c r="Y3077" s="41"/>
    </row>
    <row r="3078" s="27" customFormat="1" ht="23" hidden="1" customHeight="1" spans="1:25">
      <c r="A3078" s="133" t="str">
        <f>IF(B3078="","",COUNTA($B$5:B3078))</f>
        <v/>
      </c>
      <c r="B3078" s="148"/>
      <c r="C3078" s="22" t="s">
        <v>49</v>
      </c>
      <c r="D3078" s="149"/>
      <c r="E3078" s="150"/>
      <c r="F3078" s="151"/>
      <c r="G3078" s="151"/>
      <c r="H3078" s="142">
        <f>IFERROR(VLOOKUP($C3078,$C$5:$H$18,6,0)+SUMIF($C$19:$C3078,$C3078,$F$19:$F3078)-SUMIF($C$19:$C3078,$C3078,$G$19:$G3078),"")</f>
        <v>81211.819999998</v>
      </c>
      <c r="I3078" s="147"/>
      <c r="J3078" s="147"/>
      <c r="K3078" s="147" t="str">
        <f t="shared" si="48"/>
        <v/>
      </c>
      <c r="L3078" s="40"/>
      <c r="M3078"/>
      <c r="N3078"/>
      <c r="O3078"/>
      <c r="P3078"/>
      <c r="Q3078"/>
      <c r="R3078"/>
      <c r="S3078"/>
      <c r="T3078"/>
      <c r="U3078"/>
      <c r="V3078"/>
      <c r="W3078" s="41"/>
      <c r="X3078" s="41"/>
      <c r="Y3078" s="41"/>
    </row>
    <row r="3079" s="27" customFormat="1" ht="23" hidden="1" customHeight="1" spans="1:25">
      <c r="A3079" s="133" t="str">
        <f>IF(B3079="","",COUNTA($B$5:B3079))</f>
        <v/>
      </c>
      <c r="B3079" s="148"/>
      <c r="C3079" s="22" t="s">
        <v>49</v>
      </c>
      <c r="D3079" s="149"/>
      <c r="E3079" s="150"/>
      <c r="F3079" s="151"/>
      <c r="G3079" s="151"/>
      <c r="H3079" s="142">
        <f>IFERROR(VLOOKUP($C3079,$C$5:$H$18,6,0)+SUMIF($C$19:$C3079,$C3079,$F$19:$F3079)-SUMIF($C$19:$C3079,$C3079,$G$19:$G3079),"")</f>
        <v>81211.819999998</v>
      </c>
      <c r="I3079" s="147"/>
      <c r="J3079" s="147"/>
      <c r="K3079" s="147" t="str">
        <f t="shared" si="48"/>
        <v/>
      </c>
      <c r="L3079" s="40"/>
      <c r="M3079"/>
      <c r="N3079"/>
      <c r="O3079"/>
      <c r="P3079"/>
      <c r="Q3079"/>
      <c r="R3079"/>
      <c r="S3079"/>
      <c r="T3079"/>
      <c r="U3079"/>
      <c r="V3079"/>
      <c r="W3079" s="41"/>
      <c r="X3079" s="41"/>
      <c r="Y3079" s="41"/>
    </row>
    <row r="3080" s="27" customFormat="1" ht="23" hidden="1" customHeight="1" spans="1:25">
      <c r="A3080" s="133" t="str">
        <f>IF(B3080="","",COUNTA($B$5:B3080))</f>
        <v/>
      </c>
      <c r="B3080" s="148"/>
      <c r="C3080" s="22" t="s">
        <v>49</v>
      </c>
      <c r="D3080" s="149"/>
      <c r="E3080" s="150"/>
      <c r="F3080" s="151"/>
      <c r="G3080" s="151"/>
      <c r="H3080" s="142">
        <f>IFERROR(VLOOKUP($C3080,$C$5:$H$18,6,0)+SUMIF($C$19:$C3080,$C3080,$F$19:$F3080)-SUMIF($C$19:$C3080,$C3080,$G$19:$G3080),"")</f>
        <v>81211.819999998</v>
      </c>
      <c r="I3080" s="147"/>
      <c r="J3080" s="147"/>
      <c r="K3080" s="147" t="str">
        <f t="shared" si="48"/>
        <v/>
      </c>
      <c r="L3080" s="40"/>
      <c r="M3080"/>
      <c r="N3080"/>
      <c r="O3080"/>
      <c r="P3080"/>
      <c r="Q3080"/>
      <c r="R3080"/>
      <c r="S3080"/>
      <c r="T3080"/>
      <c r="U3080"/>
      <c r="V3080"/>
      <c r="W3080" s="41"/>
      <c r="X3080" s="41"/>
      <c r="Y3080" s="41"/>
    </row>
    <row r="3081" s="27" customFormat="1" ht="23" hidden="1" customHeight="1" spans="1:25">
      <c r="A3081" s="133" t="str">
        <f>IF(B3081="","",COUNTA($B$5:B3081))</f>
        <v/>
      </c>
      <c r="B3081" s="148"/>
      <c r="C3081" s="22" t="s">
        <v>49</v>
      </c>
      <c r="D3081" s="149"/>
      <c r="E3081" s="150"/>
      <c r="F3081" s="151"/>
      <c r="G3081" s="151"/>
      <c r="H3081" s="142">
        <f>IFERROR(VLOOKUP($C3081,$C$5:$H$18,6,0)+SUMIF($C$19:$C3081,$C3081,$F$19:$F3081)-SUMIF($C$19:$C3081,$C3081,$G$19:$G3081),"")</f>
        <v>81211.819999998</v>
      </c>
      <c r="I3081" s="147"/>
      <c r="J3081" s="147"/>
      <c r="K3081" s="147" t="str">
        <f t="shared" si="48"/>
        <v/>
      </c>
      <c r="L3081" s="40"/>
      <c r="M3081"/>
      <c r="N3081"/>
      <c r="O3081"/>
      <c r="P3081"/>
      <c r="Q3081"/>
      <c r="R3081"/>
      <c r="S3081"/>
      <c r="T3081"/>
      <c r="U3081"/>
      <c r="V3081"/>
      <c r="W3081" s="41"/>
      <c r="X3081" s="41"/>
      <c r="Y3081" s="41"/>
    </row>
    <row r="3082" s="27" customFormat="1" ht="23" hidden="1" customHeight="1" spans="1:25">
      <c r="A3082" s="133" t="str">
        <f>IF(B3082="","",COUNTA($B$5:B3082))</f>
        <v/>
      </c>
      <c r="B3082" s="148"/>
      <c r="C3082" s="22" t="s">
        <v>49</v>
      </c>
      <c r="D3082" s="149"/>
      <c r="E3082" s="150"/>
      <c r="F3082" s="151"/>
      <c r="G3082" s="151"/>
      <c r="H3082" s="142">
        <f>IFERROR(VLOOKUP($C3082,$C$5:$H$18,6,0)+SUMIF($C$19:$C3082,$C3082,$F$19:$F3082)-SUMIF($C$19:$C3082,$C3082,$G$19:$G3082),"")</f>
        <v>81211.819999998</v>
      </c>
      <c r="I3082" s="147"/>
      <c r="J3082" s="147"/>
      <c r="K3082" s="147" t="str">
        <f t="shared" si="48"/>
        <v/>
      </c>
      <c r="L3082" s="40"/>
      <c r="M3082"/>
      <c r="N3082"/>
      <c r="O3082"/>
      <c r="P3082"/>
      <c r="Q3082"/>
      <c r="R3082"/>
      <c r="S3082"/>
      <c r="T3082"/>
      <c r="U3082"/>
      <c r="V3082"/>
      <c r="W3082" s="41"/>
      <c r="X3082" s="41"/>
      <c r="Y3082" s="41"/>
    </row>
    <row r="3083" s="27" customFormat="1" ht="23" hidden="1" customHeight="1" spans="1:25">
      <c r="A3083" s="133" t="str">
        <f>IF(B3083="","",COUNTA($B$5:B3083))</f>
        <v/>
      </c>
      <c r="B3083" s="148"/>
      <c r="C3083" s="22" t="s">
        <v>49</v>
      </c>
      <c r="D3083" s="149"/>
      <c r="E3083" s="150"/>
      <c r="F3083" s="151"/>
      <c r="G3083" s="151"/>
      <c r="H3083" s="142">
        <f>IFERROR(VLOOKUP($C3083,$C$5:$H$18,6,0)+SUMIF($C$19:$C3083,$C3083,$F$19:$F3083)-SUMIF($C$19:$C3083,$C3083,$G$19:$G3083),"")</f>
        <v>81211.819999998</v>
      </c>
      <c r="I3083" s="147"/>
      <c r="J3083" s="147"/>
      <c r="K3083" s="147" t="str">
        <f t="shared" si="48"/>
        <v/>
      </c>
      <c r="L3083" s="40"/>
      <c r="M3083"/>
      <c r="N3083"/>
      <c r="O3083"/>
      <c r="P3083"/>
      <c r="Q3083"/>
      <c r="R3083"/>
      <c r="S3083"/>
      <c r="T3083"/>
      <c r="U3083"/>
      <c r="V3083"/>
      <c r="W3083" s="41"/>
      <c r="X3083" s="41"/>
      <c r="Y3083" s="41"/>
    </row>
    <row r="3084" s="27" customFormat="1" ht="23" hidden="1" customHeight="1" spans="1:25">
      <c r="A3084" s="133" t="str">
        <f>IF(B3084="","",COUNTA($B$5:B3084))</f>
        <v/>
      </c>
      <c r="B3084" s="148"/>
      <c r="C3084" s="22" t="s">
        <v>49</v>
      </c>
      <c r="D3084" s="149"/>
      <c r="E3084" s="150"/>
      <c r="F3084" s="151"/>
      <c r="G3084" s="151"/>
      <c r="H3084" s="142">
        <f>IFERROR(VLOOKUP($C3084,$C$5:$H$18,6,0)+SUMIF($C$19:$C3084,$C3084,$F$19:$F3084)-SUMIF($C$19:$C3084,$C3084,$G$19:$G3084),"")</f>
        <v>81211.819999998</v>
      </c>
      <c r="I3084" s="147"/>
      <c r="J3084" s="147"/>
      <c r="K3084" s="147" t="str">
        <f t="shared" si="48"/>
        <v/>
      </c>
      <c r="L3084" s="40"/>
      <c r="M3084"/>
      <c r="N3084"/>
      <c r="O3084"/>
      <c r="P3084"/>
      <c r="Q3084"/>
      <c r="R3084"/>
      <c r="S3084"/>
      <c r="T3084"/>
      <c r="U3084"/>
      <c r="V3084"/>
      <c r="W3084" s="41"/>
      <c r="X3084" s="41"/>
      <c r="Y3084" s="41"/>
    </row>
    <row r="3085" s="27" customFormat="1" ht="23" hidden="1" customHeight="1" spans="1:25">
      <c r="A3085" s="133" t="str">
        <f>IF(B3085="","",COUNTA($B$5:B3085))</f>
        <v/>
      </c>
      <c r="B3085" s="148"/>
      <c r="C3085" s="22" t="s">
        <v>49</v>
      </c>
      <c r="D3085" s="149"/>
      <c r="E3085" s="150"/>
      <c r="F3085" s="151"/>
      <c r="G3085" s="151"/>
      <c r="H3085" s="142">
        <f>IFERROR(VLOOKUP($C3085,$C$5:$H$18,6,0)+SUMIF($C$19:$C3085,$C3085,$F$19:$F3085)-SUMIF($C$19:$C3085,$C3085,$G$19:$G3085),"")</f>
        <v>81211.819999998</v>
      </c>
      <c r="I3085" s="147"/>
      <c r="J3085" s="147"/>
      <c r="K3085" s="147" t="str">
        <f t="shared" si="48"/>
        <v/>
      </c>
      <c r="L3085" s="40"/>
      <c r="M3085"/>
      <c r="N3085"/>
      <c r="O3085"/>
      <c r="P3085"/>
      <c r="Q3085"/>
      <c r="R3085"/>
      <c r="S3085"/>
      <c r="T3085"/>
      <c r="U3085"/>
      <c r="V3085"/>
      <c r="W3085" s="41"/>
      <c r="X3085" s="41"/>
      <c r="Y3085" s="41"/>
    </row>
    <row r="3086" s="27" customFormat="1" ht="23" hidden="1" customHeight="1" spans="1:25">
      <c r="A3086" s="133" t="str">
        <f>IF(B3086="","",COUNTA($B$5:B3086))</f>
        <v/>
      </c>
      <c r="B3086" s="148"/>
      <c r="C3086" s="22" t="s">
        <v>49</v>
      </c>
      <c r="D3086" s="149"/>
      <c r="E3086" s="150"/>
      <c r="F3086" s="151"/>
      <c r="G3086" s="151"/>
      <c r="H3086" s="142">
        <f>IFERROR(VLOOKUP($C3086,$C$5:$H$18,6,0)+SUMIF($C$19:$C3086,$C3086,$F$19:$F3086)-SUMIF($C$19:$C3086,$C3086,$G$19:$G3086),"")</f>
        <v>81211.819999998</v>
      </c>
      <c r="I3086" s="147"/>
      <c r="J3086" s="147"/>
      <c r="K3086" s="147" t="str">
        <f t="shared" si="48"/>
        <v/>
      </c>
      <c r="L3086" s="40"/>
      <c r="M3086"/>
      <c r="N3086"/>
      <c r="O3086"/>
      <c r="P3086"/>
      <c r="Q3086"/>
      <c r="R3086"/>
      <c r="S3086"/>
      <c r="T3086"/>
      <c r="U3086"/>
      <c r="V3086"/>
      <c r="W3086" s="41"/>
      <c r="X3086" s="41"/>
      <c r="Y3086" s="41"/>
    </row>
    <row r="3087" s="27" customFormat="1" ht="23" hidden="1" customHeight="1" spans="1:25">
      <c r="A3087" s="133" t="str">
        <f>IF(B3087="","",COUNTA($B$5:B3087))</f>
        <v/>
      </c>
      <c r="B3087" s="148"/>
      <c r="C3087" s="22" t="s">
        <v>49</v>
      </c>
      <c r="D3087" s="149"/>
      <c r="E3087" s="150"/>
      <c r="F3087" s="151"/>
      <c r="G3087" s="151"/>
      <c r="H3087" s="142">
        <f>IFERROR(VLOOKUP($C3087,$C$5:$H$18,6,0)+SUMIF($C$19:$C3087,$C3087,$F$19:$F3087)-SUMIF($C$19:$C3087,$C3087,$G$19:$G3087),"")</f>
        <v>81211.819999998</v>
      </c>
      <c r="I3087" s="147"/>
      <c r="J3087" s="147"/>
      <c r="K3087" s="147" t="str">
        <f t="shared" si="48"/>
        <v/>
      </c>
      <c r="L3087" s="40"/>
      <c r="M3087"/>
      <c r="N3087"/>
      <c r="O3087"/>
      <c r="P3087"/>
      <c r="Q3087"/>
      <c r="R3087"/>
      <c r="S3087"/>
      <c r="T3087"/>
      <c r="U3087"/>
      <c r="V3087"/>
      <c r="W3087" s="41"/>
      <c r="X3087" s="41"/>
      <c r="Y3087" s="41"/>
    </row>
    <row r="3088" s="27" customFormat="1" ht="23" hidden="1" customHeight="1" spans="1:25">
      <c r="A3088" s="133" t="str">
        <f>IF(B3088="","",COUNTA($B$5:B3088))</f>
        <v/>
      </c>
      <c r="B3088" s="148"/>
      <c r="C3088" s="22" t="s">
        <v>49</v>
      </c>
      <c r="D3088" s="149"/>
      <c r="E3088" s="150"/>
      <c r="F3088" s="151"/>
      <c r="G3088" s="151"/>
      <c r="H3088" s="142">
        <f>IFERROR(VLOOKUP($C3088,$C$5:$H$18,6,0)+SUMIF($C$19:$C3088,$C3088,$F$19:$F3088)-SUMIF($C$19:$C3088,$C3088,$G$19:$G3088),"")</f>
        <v>81211.819999998</v>
      </c>
      <c r="I3088" s="147"/>
      <c r="J3088" s="147"/>
      <c r="K3088" s="147" t="str">
        <f t="shared" si="48"/>
        <v/>
      </c>
      <c r="L3088" s="40"/>
      <c r="M3088"/>
      <c r="N3088"/>
      <c r="O3088"/>
      <c r="P3088"/>
      <c r="Q3088"/>
      <c r="R3088"/>
      <c r="S3088"/>
      <c r="T3088"/>
      <c r="U3088"/>
      <c r="V3088"/>
      <c r="W3088" s="41"/>
      <c r="X3088" s="41"/>
      <c r="Y3088" s="41"/>
    </row>
    <row r="3089" s="27" customFormat="1" ht="23" hidden="1" customHeight="1" spans="1:25">
      <c r="A3089" s="133" t="str">
        <f>IF(B3089="","",COUNTA($B$5:B3089))</f>
        <v/>
      </c>
      <c r="B3089" s="148"/>
      <c r="C3089" s="22" t="s">
        <v>49</v>
      </c>
      <c r="D3089" s="149"/>
      <c r="E3089" s="150"/>
      <c r="F3089" s="151"/>
      <c r="G3089" s="151"/>
      <c r="H3089" s="142">
        <f>IFERROR(VLOOKUP($C3089,$C$5:$H$18,6,0)+SUMIF($C$19:$C3089,$C3089,$F$19:$F3089)-SUMIF($C$19:$C3089,$C3089,$G$19:$G3089),"")</f>
        <v>81211.819999998</v>
      </c>
      <c r="I3089" s="147"/>
      <c r="J3089" s="147"/>
      <c r="K3089" s="147" t="str">
        <f t="shared" si="48"/>
        <v/>
      </c>
      <c r="L3089" s="40"/>
      <c r="M3089"/>
      <c r="N3089"/>
      <c r="O3089"/>
      <c r="P3089"/>
      <c r="Q3089"/>
      <c r="R3089"/>
      <c r="S3089"/>
      <c r="T3089"/>
      <c r="U3089"/>
      <c r="V3089"/>
      <c r="W3089" s="41"/>
      <c r="X3089" s="41"/>
      <c r="Y3089" s="41"/>
    </row>
    <row r="3090" s="27" customFormat="1" ht="23" hidden="1" customHeight="1" spans="1:25">
      <c r="A3090" s="133" t="str">
        <f>IF(B3090="","",COUNTA($B$5:B3090))</f>
        <v/>
      </c>
      <c r="B3090" s="148"/>
      <c r="C3090" s="22" t="s">
        <v>49</v>
      </c>
      <c r="D3090" s="149"/>
      <c r="E3090" s="150"/>
      <c r="F3090" s="151"/>
      <c r="G3090" s="151"/>
      <c r="H3090" s="142">
        <f>IFERROR(VLOOKUP($C3090,$C$5:$H$18,6,0)+SUMIF($C$19:$C3090,$C3090,$F$19:$F3090)-SUMIF($C$19:$C3090,$C3090,$G$19:$G3090),"")</f>
        <v>81211.819999998</v>
      </c>
      <c r="I3090" s="147"/>
      <c r="J3090" s="147"/>
      <c r="K3090" s="147" t="str">
        <f t="shared" si="48"/>
        <v/>
      </c>
      <c r="L3090" s="40"/>
      <c r="M3090"/>
      <c r="N3090"/>
      <c r="O3090"/>
      <c r="P3090"/>
      <c r="Q3090"/>
      <c r="R3090"/>
      <c r="S3090"/>
      <c r="T3090"/>
      <c r="U3090"/>
      <c r="V3090"/>
      <c r="W3090" s="41"/>
      <c r="X3090" s="41"/>
      <c r="Y3090" s="41"/>
    </row>
    <row r="3091" s="27" customFormat="1" ht="23" hidden="1" customHeight="1" spans="1:25">
      <c r="A3091" s="133" t="str">
        <f>IF(B3091="","",COUNTA($B$5:B3091))</f>
        <v/>
      </c>
      <c r="B3091" s="148"/>
      <c r="C3091" s="22" t="s">
        <v>49</v>
      </c>
      <c r="D3091" s="149"/>
      <c r="E3091" s="150"/>
      <c r="F3091" s="151"/>
      <c r="G3091" s="151"/>
      <c r="H3091" s="142">
        <f>IFERROR(VLOOKUP($C3091,$C$5:$H$18,6,0)+SUMIF($C$19:$C3091,$C3091,$F$19:$F3091)-SUMIF($C$19:$C3091,$C3091,$G$19:$G3091),"")</f>
        <v>81211.819999998</v>
      </c>
      <c r="I3091" s="147"/>
      <c r="J3091" s="147"/>
      <c r="K3091" s="147" t="str">
        <f t="shared" si="48"/>
        <v/>
      </c>
      <c r="L3091" s="40"/>
      <c r="M3091"/>
      <c r="N3091"/>
      <c r="O3091"/>
      <c r="P3091"/>
      <c r="Q3091"/>
      <c r="R3091"/>
      <c r="S3091"/>
      <c r="T3091"/>
      <c r="U3091"/>
      <c r="V3091"/>
      <c r="W3091" s="41"/>
      <c r="X3091" s="41"/>
      <c r="Y3091" s="41"/>
    </row>
    <row r="3092" s="27" customFormat="1" ht="23" hidden="1" customHeight="1" spans="1:25">
      <c r="A3092" s="133" t="str">
        <f>IF(B3092="","",COUNTA($B$5:B3092))</f>
        <v/>
      </c>
      <c r="B3092" s="148"/>
      <c r="C3092" s="22" t="s">
        <v>49</v>
      </c>
      <c r="D3092" s="149"/>
      <c r="E3092" s="150"/>
      <c r="F3092" s="151"/>
      <c r="G3092" s="151"/>
      <c r="H3092" s="142">
        <f>IFERROR(VLOOKUP($C3092,$C$5:$H$18,6,0)+SUMIF($C$19:$C3092,$C3092,$F$19:$F3092)-SUMIF($C$19:$C3092,$C3092,$G$19:$G3092),"")</f>
        <v>81211.819999998</v>
      </c>
      <c r="I3092" s="147"/>
      <c r="J3092" s="147"/>
      <c r="K3092" s="147" t="str">
        <f t="shared" si="48"/>
        <v/>
      </c>
      <c r="L3092" s="40"/>
      <c r="M3092"/>
      <c r="N3092"/>
      <c r="O3092"/>
      <c r="P3092"/>
      <c r="Q3092"/>
      <c r="R3092"/>
      <c r="S3092"/>
      <c r="T3092"/>
      <c r="U3092"/>
      <c r="V3092"/>
      <c r="W3092" s="41"/>
      <c r="X3092" s="41"/>
      <c r="Y3092" s="41"/>
    </row>
    <row r="3093" s="27" customFormat="1" ht="23" hidden="1" customHeight="1" spans="1:25">
      <c r="A3093" s="133" t="str">
        <f>IF(B3093="","",COUNTA($B$5:B3093))</f>
        <v/>
      </c>
      <c r="B3093" s="148"/>
      <c r="C3093" s="22" t="s">
        <v>49</v>
      </c>
      <c r="D3093" s="149"/>
      <c r="E3093" s="150"/>
      <c r="F3093" s="151"/>
      <c r="G3093" s="151"/>
      <c r="H3093" s="142">
        <f>IFERROR(VLOOKUP($C3093,$C$5:$H$18,6,0)+SUMIF($C$19:$C3093,$C3093,$F$19:$F3093)-SUMIF($C$19:$C3093,$C3093,$G$19:$G3093),"")</f>
        <v>81211.819999998</v>
      </c>
      <c r="I3093" s="147"/>
      <c r="J3093" s="147"/>
      <c r="K3093" s="147" t="str">
        <f t="shared" si="48"/>
        <v/>
      </c>
      <c r="L3093" s="40"/>
      <c r="M3093"/>
      <c r="N3093"/>
      <c r="O3093"/>
      <c r="P3093"/>
      <c r="Q3093"/>
      <c r="R3093"/>
      <c r="S3093"/>
      <c r="T3093"/>
      <c r="U3093"/>
      <c r="V3093"/>
      <c r="W3093" s="41"/>
      <c r="X3093" s="41"/>
      <c r="Y3093" s="41"/>
    </row>
    <row r="3094" s="27" customFormat="1" ht="23" hidden="1" customHeight="1" spans="1:25">
      <c r="A3094" s="133" t="str">
        <f>IF(B3094="","",COUNTA($B$5:B3094))</f>
        <v/>
      </c>
      <c r="B3094" s="148"/>
      <c r="C3094" s="22" t="s">
        <v>49</v>
      </c>
      <c r="D3094" s="149"/>
      <c r="E3094" s="150"/>
      <c r="F3094" s="151"/>
      <c r="G3094" s="151"/>
      <c r="H3094" s="142">
        <f>IFERROR(VLOOKUP($C3094,$C$5:$H$18,6,0)+SUMIF($C$19:$C3094,$C3094,$F$19:$F3094)-SUMIF($C$19:$C3094,$C3094,$G$19:$G3094),"")</f>
        <v>81211.819999998</v>
      </c>
      <c r="I3094" s="147"/>
      <c r="J3094" s="147"/>
      <c r="K3094" s="147" t="str">
        <f t="shared" si="48"/>
        <v/>
      </c>
      <c r="L3094" s="40"/>
      <c r="M3094"/>
      <c r="N3094"/>
      <c r="O3094"/>
      <c r="P3094"/>
      <c r="Q3094"/>
      <c r="R3094"/>
      <c r="S3094"/>
      <c r="T3094"/>
      <c r="U3094"/>
      <c r="V3094"/>
      <c r="W3094" s="41"/>
      <c r="X3094" s="41"/>
      <c r="Y3094" s="41"/>
    </row>
    <row r="3095" s="27" customFormat="1" ht="23" hidden="1" customHeight="1" spans="1:25">
      <c r="A3095" s="133" t="str">
        <f>IF(B3095="","",COUNTA($B$5:B3095))</f>
        <v/>
      </c>
      <c r="B3095" s="148"/>
      <c r="C3095" s="22" t="s">
        <v>49</v>
      </c>
      <c r="D3095" s="149"/>
      <c r="E3095" s="150"/>
      <c r="F3095" s="151"/>
      <c r="G3095" s="151"/>
      <c r="H3095" s="142">
        <f>IFERROR(VLOOKUP($C3095,$C$5:$H$18,6,0)+SUMIF($C$19:$C3095,$C3095,$F$19:$F3095)-SUMIF($C$19:$C3095,$C3095,$G$19:$G3095),"")</f>
        <v>81211.819999998</v>
      </c>
      <c r="I3095" s="147"/>
      <c r="J3095" s="147"/>
      <c r="K3095" s="147" t="str">
        <f t="shared" si="48"/>
        <v/>
      </c>
      <c r="L3095" s="40"/>
      <c r="M3095"/>
      <c r="N3095"/>
      <c r="O3095"/>
      <c r="P3095"/>
      <c r="Q3095"/>
      <c r="R3095"/>
      <c r="S3095"/>
      <c r="T3095"/>
      <c r="U3095"/>
      <c r="V3095"/>
      <c r="W3095" s="41"/>
      <c r="X3095" s="41"/>
      <c r="Y3095" s="41"/>
    </row>
    <row r="3096" s="27" customFormat="1" ht="23" hidden="1" customHeight="1" spans="1:25">
      <c r="A3096" s="133" t="str">
        <f>IF(B3096="","",COUNTA($B$5:B3096))</f>
        <v/>
      </c>
      <c r="B3096" s="148"/>
      <c r="C3096" s="22" t="s">
        <v>49</v>
      </c>
      <c r="D3096" s="149"/>
      <c r="E3096" s="150"/>
      <c r="F3096" s="151"/>
      <c r="G3096" s="151"/>
      <c r="H3096" s="142">
        <f>IFERROR(VLOOKUP($C3096,$C$5:$H$18,6,0)+SUMIF($C$19:$C3096,$C3096,$F$19:$F3096)-SUMIF($C$19:$C3096,$C3096,$G$19:$G3096),"")</f>
        <v>81211.819999998</v>
      </c>
      <c r="I3096" s="147"/>
      <c r="J3096" s="147"/>
      <c r="K3096" s="147" t="str">
        <f t="shared" si="48"/>
        <v/>
      </c>
      <c r="L3096" s="40"/>
      <c r="M3096"/>
      <c r="N3096"/>
      <c r="O3096"/>
      <c r="P3096"/>
      <c r="Q3096"/>
      <c r="R3096"/>
      <c r="S3096"/>
      <c r="T3096"/>
      <c r="U3096"/>
      <c r="V3096"/>
      <c r="W3096" s="41"/>
      <c r="X3096" s="41"/>
      <c r="Y3096" s="41"/>
    </row>
    <row r="3097" s="27" customFormat="1" ht="23" hidden="1" customHeight="1" spans="1:25">
      <c r="A3097" s="133" t="str">
        <f>IF(B3097="","",COUNTA($B$5:B3097))</f>
        <v/>
      </c>
      <c r="B3097" s="148"/>
      <c r="C3097" s="22" t="s">
        <v>49</v>
      </c>
      <c r="D3097" s="149"/>
      <c r="E3097" s="150"/>
      <c r="F3097" s="151"/>
      <c r="G3097" s="151"/>
      <c r="H3097" s="142">
        <f>IFERROR(VLOOKUP($C3097,$C$5:$H$18,6,0)+SUMIF($C$19:$C3097,$C3097,$F$19:$F3097)-SUMIF($C$19:$C3097,$C3097,$G$19:$G3097),"")</f>
        <v>81211.819999998</v>
      </c>
      <c r="I3097" s="147"/>
      <c r="J3097" s="147"/>
      <c r="K3097" s="147" t="str">
        <f t="shared" si="48"/>
        <v/>
      </c>
      <c r="L3097" s="40"/>
      <c r="M3097"/>
      <c r="N3097"/>
      <c r="O3097"/>
      <c r="P3097"/>
      <c r="Q3097"/>
      <c r="R3097"/>
      <c r="S3097"/>
      <c r="T3097"/>
      <c r="U3097"/>
      <c r="V3097"/>
      <c r="W3097" s="41"/>
      <c r="X3097" s="41"/>
      <c r="Y3097" s="41"/>
    </row>
    <row r="3098" s="27" customFormat="1" ht="23" hidden="1" customHeight="1" spans="1:25">
      <c r="A3098" s="133" t="str">
        <f>IF(B3098="","",COUNTA($B$5:B3098))</f>
        <v/>
      </c>
      <c r="B3098" s="148"/>
      <c r="C3098" s="22" t="s">
        <v>49</v>
      </c>
      <c r="D3098" s="149"/>
      <c r="E3098" s="150"/>
      <c r="F3098" s="151"/>
      <c r="G3098" s="151"/>
      <c r="H3098" s="142">
        <f>IFERROR(VLOOKUP($C3098,$C$5:$H$18,6,0)+SUMIF($C$19:$C3098,$C3098,$F$19:$F3098)-SUMIF($C$19:$C3098,$C3098,$G$19:$G3098),"")</f>
        <v>81211.819999998</v>
      </c>
      <c r="I3098" s="147"/>
      <c r="J3098" s="147"/>
      <c r="K3098" s="147" t="str">
        <f t="shared" si="48"/>
        <v/>
      </c>
      <c r="L3098" s="40"/>
      <c r="M3098"/>
      <c r="N3098"/>
      <c r="O3098"/>
      <c r="P3098"/>
      <c r="Q3098"/>
      <c r="R3098"/>
      <c r="S3098"/>
      <c r="T3098"/>
      <c r="U3098"/>
      <c r="V3098"/>
      <c r="W3098" s="41"/>
      <c r="X3098" s="41"/>
      <c r="Y3098" s="41"/>
    </row>
    <row r="3099" s="27" customFormat="1" ht="23" hidden="1" customHeight="1" spans="1:25">
      <c r="A3099" s="133" t="str">
        <f>IF(B3099="","",COUNTA($B$5:B3099))</f>
        <v/>
      </c>
      <c r="B3099" s="148"/>
      <c r="C3099" s="22" t="s">
        <v>49</v>
      </c>
      <c r="D3099" s="149"/>
      <c r="E3099" s="150"/>
      <c r="F3099" s="151"/>
      <c r="G3099" s="151"/>
      <c r="H3099" s="142">
        <f>IFERROR(VLOOKUP($C3099,$C$5:$H$18,6,0)+SUMIF($C$19:$C3099,$C3099,$F$19:$F3099)-SUMIF($C$19:$C3099,$C3099,$G$19:$G3099),"")</f>
        <v>81211.819999998</v>
      </c>
      <c r="I3099" s="147"/>
      <c r="J3099" s="147"/>
      <c r="K3099" s="147" t="str">
        <f t="shared" si="48"/>
        <v/>
      </c>
      <c r="L3099" s="40"/>
      <c r="M3099"/>
      <c r="N3099"/>
      <c r="O3099"/>
      <c r="P3099"/>
      <c r="Q3099"/>
      <c r="R3099"/>
      <c r="S3099"/>
      <c r="T3099"/>
      <c r="U3099"/>
      <c r="V3099"/>
      <c r="W3099" s="41"/>
      <c r="X3099" s="41"/>
      <c r="Y3099" s="41"/>
    </row>
    <row r="3100" s="27" customFormat="1" ht="23" hidden="1" customHeight="1" spans="1:25">
      <c r="A3100" s="133" t="str">
        <f>IF(B3100="","",COUNTA($B$5:B3100))</f>
        <v/>
      </c>
      <c r="B3100" s="148"/>
      <c r="C3100" s="22" t="s">
        <v>49</v>
      </c>
      <c r="D3100" s="149"/>
      <c r="E3100" s="150"/>
      <c r="F3100" s="151"/>
      <c r="G3100" s="151"/>
      <c r="H3100" s="142">
        <f>IFERROR(VLOOKUP($C3100,$C$5:$H$18,6,0)+SUMIF($C$19:$C3100,$C3100,$F$19:$F3100)-SUMIF($C$19:$C3100,$C3100,$G$19:$G3100),"")</f>
        <v>81211.819999998</v>
      </c>
      <c r="I3100" s="147"/>
      <c r="J3100" s="147"/>
      <c r="K3100" s="147" t="str">
        <f t="shared" si="48"/>
        <v/>
      </c>
      <c r="L3100" s="40"/>
      <c r="M3100"/>
      <c r="N3100"/>
      <c r="O3100"/>
      <c r="P3100"/>
      <c r="Q3100"/>
      <c r="R3100"/>
      <c r="S3100"/>
      <c r="T3100"/>
      <c r="U3100"/>
      <c r="V3100"/>
      <c r="W3100" s="41"/>
      <c r="X3100" s="41"/>
      <c r="Y3100" s="41"/>
    </row>
    <row r="3101" s="27" customFormat="1" ht="23" hidden="1" customHeight="1" spans="1:25">
      <c r="A3101" s="133" t="str">
        <f>IF(B3101="","",COUNTA($B$5:B3101))</f>
        <v/>
      </c>
      <c r="B3101" s="148"/>
      <c r="C3101" s="22" t="s">
        <v>49</v>
      </c>
      <c r="D3101" s="149"/>
      <c r="E3101" s="150"/>
      <c r="F3101" s="151"/>
      <c r="G3101" s="151"/>
      <c r="H3101" s="142">
        <f>IFERROR(VLOOKUP($C3101,$C$5:$H$18,6,0)+SUMIF($C$19:$C3101,$C3101,$F$19:$F3101)-SUMIF($C$19:$C3101,$C3101,$G$19:$G3101),"")</f>
        <v>81211.819999998</v>
      </c>
      <c r="I3101" s="147"/>
      <c r="J3101" s="147"/>
      <c r="K3101" s="147" t="str">
        <f t="shared" si="48"/>
        <v/>
      </c>
      <c r="L3101" s="40"/>
      <c r="M3101"/>
      <c r="N3101"/>
      <c r="O3101"/>
      <c r="P3101"/>
      <c r="Q3101"/>
      <c r="R3101"/>
      <c r="S3101"/>
      <c r="T3101"/>
      <c r="U3101"/>
      <c r="V3101"/>
      <c r="W3101" s="41"/>
      <c r="X3101" s="41"/>
      <c r="Y3101" s="41"/>
    </row>
    <row r="3102" s="27" customFormat="1" ht="23" hidden="1" customHeight="1" spans="1:25">
      <c r="A3102" s="133" t="str">
        <f>IF(B3102="","",COUNTA($B$5:B3102))</f>
        <v/>
      </c>
      <c r="B3102" s="148"/>
      <c r="C3102" s="22" t="s">
        <v>49</v>
      </c>
      <c r="D3102" s="149"/>
      <c r="E3102" s="150"/>
      <c r="F3102" s="151"/>
      <c r="G3102" s="151"/>
      <c r="H3102" s="142">
        <f>IFERROR(VLOOKUP($C3102,$C$5:$H$18,6,0)+SUMIF($C$19:$C3102,$C3102,$F$19:$F3102)-SUMIF($C$19:$C3102,$C3102,$G$19:$G3102),"")</f>
        <v>81211.819999998</v>
      </c>
      <c r="I3102" s="147"/>
      <c r="J3102" s="147"/>
      <c r="K3102" s="147" t="str">
        <f t="shared" si="48"/>
        <v/>
      </c>
      <c r="L3102" s="40"/>
      <c r="M3102"/>
      <c r="N3102"/>
      <c r="O3102"/>
      <c r="P3102"/>
      <c r="Q3102"/>
      <c r="R3102"/>
      <c r="S3102"/>
      <c r="T3102"/>
      <c r="U3102"/>
      <c r="V3102"/>
      <c r="W3102" s="41"/>
      <c r="X3102" s="41"/>
      <c r="Y3102" s="41"/>
    </row>
    <row r="3103" s="27" customFormat="1" ht="23" hidden="1" customHeight="1" spans="1:25">
      <c r="A3103" s="133" t="str">
        <f>IF(B3103="","",COUNTA($B$5:B3103))</f>
        <v/>
      </c>
      <c r="B3103" s="148"/>
      <c r="C3103" s="22" t="s">
        <v>49</v>
      </c>
      <c r="D3103" s="149"/>
      <c r="E3103" s="150"/>
      <c r="F3103" s="151"/>
      <c r="G3103" s="151"/>
      <c r="H3103" s="142">
        <f>IFERROR(VLOOKUP($C3103,$C$5:$H$18,6,0)+SUMIF($C$19:$C3103,$C3103,$F$19:$F3103)-SUMIF($C$19:$C3103,$C3103,$G$19:$G3103),"")</f>
        <v>81211.819999998</v>
      </c>
      <c r="I3103" s="147"/>
      <c r="J3103" s="147"/>
      <c r="K3103" s="147" t="str">
        <f t="shared" si="48"/>
        <v/>
      </c>
      <c r="L3103" s="40"/>
      <c r="M3103"/>
      <c r="N3103"/>
      <c r="O3103"/>
      <c r="P3103"/>
      <c r="Q3103"/>
      <c r="R3103"/>
      <c r="S3103"/>
      <c r="T3103"/>
      <c r="U3103"/>
      <c r="V3103"/>
      <c r="W3103" s="41"/>
      <c r="X3103" s="41"/>
      <c r="Y3103" s="41"/>
    </row>
    <row r="3104" s="27" customFormat="1" ht="23" hidden="1" customHeight="1" spans="1:25">
      <c r="A3104" s="133" t="str">
        <f>IF(B3104="","",COUNTA($B$5:B3104))</f>
        <v/>
      </c>
      <c r="B3104" s="148"/>
      <c r="C3104" s="22" t="s">
        <v>49</v>
      </c>
      <c r="D3104" s="149"/>
      <c r="E3104" s="150"/>
      <c r="F3104" s="151"/>
      <c r="G3104" s="151"/>
      <c r="H3104" s="142">
        <f>IFERROR(VLOOKUP($C3104,$C$5:$H$18,6,0)+SUMIF($C$19:$C3104,$C3104,$F$19:$F3104)-SUMIF($C$19:$C3104,$C3104,$G$19:$G3104),"")</f>
        <v>81211.819999998</v>
      </c>
      <c r="I3104" s="147"/>
      <c r="J3104" s="147"/>
      <c r="K3104" s="147" t="str">
        <f t="shared" si="48"/>
        <v/>
      </c>
      <c r="L3104" s="40"/>
      <c r="M3104"/>
      <c r="N3104"/>
      <c r="O3104"/>
      <c r="P3104"/>
      <c r="Q3104"/>
      <c r="R3104"/>
      <c r="S3104"/>
      <c r="T3104"/>
      <c r="U3104"/>
      <c r="V3104"/>
      <c r="W3104" s="41"/>
      <c r="X3104" s="41"/>
      <c r="Y3104" s="41"/>
    </row>
    <row r="3105" s="27" customFormat="1" ht="23" hidden="1" customHeight="1" spans="1:25">
      <c r="A3105" s="133" t="str">
        <f>IF(B3105="","",COUNTA($B$5:B3105))</f>
        <v/>
      </c>
      <c r="B3105" s="148"/>
      <c r="C3105" s="22" t="s">
        <v>49</v>
      </c>
      <c r="D3105" s="149"/>
      <c r="E3105" s="150"/>
      <c r="F3105" s="151"/>
      <c r="G3105" s="151"/>
      <c r="H3105" s="142">
        <f>IFERROR(VLOOKUP($C3105,$C$5:$H$18,6,0)+SUMIF($C$19:$C3105,$C3105,$F$19:$F3105)-SUMIF($C$19:$C3105,$C3105,$G$19:$G3105),"")</f>
        <v>81211.819999998</v>
      </c>
      <c r="I3105" s="147"/>
      <c r="J3105" s="147"/>
      <c r="K3105" s="147" t="str">
        <f t="shared" si="48"/>
        <v/>
      </c>
      <c r="L3105" s="40"/>
      <c r="M3105"/>
      <c r="N3105"/>
      <c r="O3105"/>
      <c r="P3105"/>
      <c r="Q3105"/>
      <c r="R3105"/>
      <c r="S3105"/>
      <c r="T3105"/>
      <c r="U3105"/>
      <c r="V3105"/>
      <c r="W3105" s="41"/>
      <c r="X3105" s="41"/>
      <c r="Y3105" s="41"/>
    </row>
    <row r="3106" s="27" customFormat="1" ht="23" hidden="1" customHeight="1" spans="1:25">
      <c r="A3106" s="133" t="str">
        <f>IF(B3106="","",COUNTA($B$5:B3106))</f>
        <v/>
      </c>
      <c r="B3106" s="148"/>
      <c r="C3106" s="22" t="s">
        <v>49</v>
      </c>
      <c r="D3106" s="149"/>
      <c r="E3106" s="150"/>
      <c r="F3106" s="151"/>
      <c r="G3106" s="151"/>
      <c r="H3106" s="142">
        <f>IFERROR(VLOOKUP($C3106,$C$5:$H$18,6,0)+SUMIF($C$19:$C3106,$C3106,$F$19:$F3106)-SUMIF($C$19:$C3106,$C3106,$G$19:$G3106),"")</f>
        <v>81211.819999998</v>
      </c>
      <c r="I3106" s="147"/>
      <c r="J3106" s="147"/>
      <c r="K3106" s="147" t="str">
        <f t="shared" si="48"/>
        <v/>
      </c>
      <c r="L3106" s="40"/>
      <c r="M3106"/>
      <c r="N3106"/>
      <c r="O3106"/>
      <c r="P3106"/>
      <c r="Q3106"/>
      <c r="R3106"/>
      <c r="S3106"/>
      <c r="T3106"/>
      <c r="U3106"/>
      <c r="V3106"/>
      <c r="W3106" s="41"/>
      <c r="X3106" s="41"/>
      <c r="Y3106" s="41"/>
    </row>
    <row r="3107" s="27" customFormat="1" ht="23" hidden="1" customHeight="1" spans="1:25">
      <c r="A3107" s="133" t="str">
        <f>IF(B3107="","",COUNTA($B$5:B3107))</f>
        <v/>
      </c>
      <c r="B3107" s="148"/>
      <c r="C3107" s="22" t="s">
        <v>49</v>
      </c>
      <c r="D3107" s="149"/>
      <c r="E3107" s="150"/>
      <c r="F3107" s="151"/>
      <c r="G3107" s="151"/>
      <c r="H3107" s="142">
        <f>IFERROR(VLOOKUP($C3107,$C$5:$H$18,6,0)+SUMIF($C$19:$C3107,$C3107,$F$19:$F3107)-SUMIF($C$19:$C3107,$C3107,$G$19:$G3107),"")</f>
        <v>81211.819999998</v>
      </c>
      <c r="I3107" s="147"/>
      <c r="J3107" s="147"/>
      <c r="K3107" s="147" t="str">
        <f t="shared" si="48"/>
        <v/>
      </c>
      <c r="L3107" s="40"/>
      <c r="M3107"/>
      <c r="N3107"/>
      <c r="O3107"/>
      <c r="P3107"/>
      <c r="Q3107"/>
      <c r="R3107"/>
      <c r="S3107"/>
      <c r="T3107"/>
      <c r="U3107"/>
      <c r="V3107"/>
      <c r="W3107" s="41"/>
      <c r="X3107" s="41"/>
      <c r="Y3107" s="41"/>
    </row>
    <row r="3108" s="27" customFormat="1" ht="23" hidden="1" customHeight="1" spans="1:25">
      <c r="A3108" s="133" t="str">
        <f>IF(B3108="","",COUNTA($B$5:B3108))</f>
        <v/>
      </c>
      <c r="B3108" s="148"/>
      <c r="C3108" s="22" t="s">
        <v>49</v>
      </c>
      <c r="D3108" s="149"/>
      <c r="E3108" s="150"/>
      <c r="F3108" s="151"/>
      <c r="G3108" s="151"/>
      <c r="H3108" s="142">
        <f>IFERROR(VLOOKUP($C3108,$C$5:$H$18,6,0)+SUMIF($C$19:$C3108,$C3108,$F$19:$F3108)-SUMIF($C$19:$C3108,$C3108,$G$19:$G3108),"")</f>
        <v>81211.819999998</v>
      </c>
      <c r="I3108" s="147"/>
      <c r="J3108" s="147"/>
      <c r="K3108" s="147" t="str">
        <f t="shared" si="48"/>
        <v/>
      </c>
      <c r="L3108" s="40"/>
      <c r="M3108"/>
      <c r="N3108"/>
      <c r="O3108"/>
      <c r="P3108"/>
      <c r="Q3108"/>
      <c r="R3108"/>
      <c r="S3108"/>
      <c r="T3108"/>
      <c r="U3108"/>
      <c r="V3108"/>
      <c r="W3108" s="41"/>
      <c r="X3108" s="41"/>
      <c r="Y3108" s="41"/>
    </row>
    <row r="3109" s="27" customFormat="1" ht="23" hidden="1" customHeight="1" spans="1:25">
      <c r="A3109" s="133" t="str">
        <f>IF(B3109="","",COUNTA($B$5:B3109))</f>
        <v/>
      </c>
      <c r="B3109" s="148"/>
      <c r="C3109" s="22" t="s">
        <v>49</v>
      </c>
      <c r="D3109" s="149"/>
      <c r="E3109" s="150"/>
      <c r="F3109" s="151"/>
      <c r="G3109" s="151"/>
      <c r="H3109" s="142">
        <f>IFERROR(VLOOKUP($C3109,$C$5:$H$18,6,0)+SUMIF($C$19:$C3109,$C3109,$F$19:$F3109)-SUMIF($C$19:$C3109,$C3109,$G$19:$G3109),"")</f>
        <v>81211.819999998</v>
      </c>
      <c r="I3109" s="147"/>
      <c r="J3109" s="147"/>
      <c r="K3109" s="147" t="str">
        <f t="shared" si="48"/>
        <v/>
      </c>
      <c r="L3109" s="40"/>
      <c r="M3109"/>
      <c r="N3109"/>
      <c r="O3109"/>
      <c r="P3109"/>
      <c r="Q3109"/>
      <c r="R3109"/>
      <c r="S3109"/>
      <c r="T3109"/>
      <c r="U3109"/>
      <c r="V3109"/>
      <c r="W3109" s="41"/>
      <c r="X3109" s="41"/>
      <c r="Y3109" s="41"/>
    </row>
    <row r="3110" s="27" customFormat="1" ht="23" hidden="1" customHeight="1" spans="1:25">
      <c r="A3110" s="133" t="str">
        <f>IF(B3110="","",COUNTA($B$5:B3110))</f>
        <v/>
      </c>
      <c r="B3110" s="148"/>
      <c r="C3110" s="22" t="s">
        <v>49</v>
      </c>
      <c r="D3110" s="149"/>
      <c r="E3110" s="150"/>
      <c r="F3110" s="151"/>
      <c r="G3110" s="151"/>
      <c r="H3110" s="142">
        <f>IFERROR(VLOOKUP($C3110,$C$5:$H$18,6,0)+SUMIF($C$19:$C3110,$C3110,$F$19:$F3110)-SUMIF($C$19:$C3110,$C3110,$G$19:$G3110),"")</f>
        <v>81211.819999998</v>
      </c>
      <c r="I3110" s="147"/>
      <c r="J3110" s="147"/>
      <c r="K3110" s="147" t="str">
        <f t="shared" si="48"/>
        <v/>
      </c>
      <c r="L3110" s="40"/>
      <c r="M3110"/>
      <c r="N3110"/>
      <c r="O3110"/>
      <c r="P3110"/>
      <c r="Q3110"/>
      <c r="R3110"/>
      <c r="S3110"/>
      <c r="T3110"/>
      <c r="U3110"/>
      <c r="V3110"/>
      <c r="W3110" s="41"/>
      <c r="X3110" s="41"/>
      <c r="Y3110" s="41"/>
    </row>
    <row r="3111" s="27" customFormat="1" ht="23" hidden="1" customHeight="1" spans="1:25">
      <c r="A3111" s="133" t="str">
        <f>IF(B3111="","",COUNTA($B$5:B3111))</f>
        <v/>
      </c>
      <c r="B3111" s="148"/>
      <c r="C3111" s="22" t="s">
        <v>49</v>
      </c>
      <c r="D3111" s="149"/>
      <c r="E3111" s="150"/>
      <c r="F3111" s="151"/>
      <c r="G3111" s="151"/>
      <c r="H3111" s="142">
        <f>IFERROR(VLOOKUP($C3111,$C$5:$H$18,6,0)+SUMIF($C$19:$C3111,$C3111,$F$19:$F3111)-SUMIF($C$19:$C3111,$C3111,$G$19:$G3111),"")</f>
        <v>81211.819999998</v>
      </c>
      <c r="I3111" s="147"/>
      <c r="J3111" s="147"/>
      <c r="K3111" s="147" t="str">
        <f t="shared" si="48"/>
        <v/>
      </c>
      <c r="L3111" s="40"/>
      <c r="M3111"/>
      <c r="N3111"/>
      <c r="O3111"/>
      <c r="P3111"/>
      <c r="Q3111"/>
      <c r="R3111"/>
      <c r="S3111"/>
      <c r="T3111"/>
      <c r="U3111"/>
      <c r="V3111"/>
      <c r="W3111" s="41"/>
      <c r="X3111" s="41"/>
      <c r="Y3111" s="41"/>
    </row>
    <row r="3112" s="27" customFormat="1" ht="23" hidden="1" customHeight="1" spans="1:25">
      <c r="A3112" s="133" t="str">
        <f>IF(B3112="","",COUNTA($B$5:B3112))</f>
        <v/>
      </c>
      <c r="B3112" s="148"/>
      <c r="C3112" s="22" t="s">
        <v>49</v>
      </c>
      <c r="D3112" s="149"/>
      <c r="E3112" s="150"/>
      <c r="F3112" s="151"/>
      <c r="G3112" s="151"/>
      <c r="H3112" s="142">
        <f>IFERROR(VLOOKUP($C3112,$C$5:$H$18,6,0)+SUMIF($C$19:$C3112,$C3112,$F$19:$F3112)-SUMIF($C$19:$C3112,$C3112,$G$19:$G3112),"")</f>
        <v>81211.819999998</v>
      </c>
      <c r="I3112" s="147"/>
      <c r="J3112" s="147"/>
      <c r="K3112" s="147" t="str">
        <f t="shared" si="48"/>
        <v/>
      </c>
      <c r="L3112" s="40"/>
      <c r="M3112"/>
      <c r="N3112"/>
      <c r="O3112"/>
      <c r="P3112"/>
      <c r="Q3112"/>
      <c r="R3112"/>
      <c r="S3112"/>
      <c r="T3112"/>
      <c r="U3112"/>
      <c r="V3112"/>
      <c r="W3112" s="41"/>
      <c r="X3112" s="41"/>
      <c r="Y3112" s="41"/>
    </row>
    <row r="3113" s="27" customFormat="1" ht="23" hidden="1" customHeight="1" spans="1:25">
      <c r="A3113" s="133" t="str">
        <f>IF(B3113="","",COUNTA($B$5:B3113))</f>
        <v/>
      </c>
      <c r="B3113" s="148"/>
      <c r="C3113" s="22" t="s">
        <v>49</v>
      </c>
      <c r="D3113" s="149"/>
      <c r="E3113" s="150"/>
      <c r="F3113" s="151"/>
      <c r="G3113" s="151"/>
      <c r="H3113" s="142">
        <f>IFERROR(VLOOKUP($C3113,$C$5:$H$18,6,0)+SUMIF($C$19:$C3113,$C3113,$F$19:$F3113)-SUMIF($C$19:$C3113,$C3113,$G$19:$G3113),"")</f>
        <v>81211.819999998</v>
      </c>
      <c r="I3113" s="147"/>
      <c r="J3113" s="147"/>
      <c r="K3113" s="147" t="str">
        <f t="shared" si="48"/>
        <v/>
      </c>
      <c r="L3113" s="40"/>
      <c r="M3113"/>
      <c r="N3113"/>
      <c r="O3113"/>
      <c r="P3113"/>
      <c r="Q3113"/>
      <c r="R3113"/>
      <c r="S3113"/>
      <c r="T3113"/>
      <c r="U3113"/>
      <c r="V3113"/>
      <c r="W3113" s="41"/>
      <c r="X3113" s="41"/>
      <c r="Y3113" s="41"/>
    </row>
    <row r="3114" s="27" customFormat="1" ht="23" hidden="1" customHeight="1" spans="1:25">
      <c r="A3114" s="133" t="str">
        <f>IF(B3114="","",COUNTA($B$5:B3114))</f>
        <v/>
      </c>
      <c r="B3114" s="148"/>
      <c r="C3114" s="22" t="s">
        <v>49</v>
      </c>
      <c r="D3114" s="149"/>
      <c r="E3114" s="150"/>
      <c r="F3114" s="151"/>
      <c r="G3114" s="151"/>
      <c r="H3114" s="142">
        <f>IFERROR(VLOOKUP($C3114,$C$5:$H$18,6,0)+SUMIF($C$19:$C3114,$C3114,$F$19:$F3114)-SUMIF($C$19:$C3114,$C3114,$G$19:$G3114),"")</f>
        <v>81211.819999998</v>
      </c>
      <c r="I3114" s="147"/>
      <c r="J3114" s="147"/>
      <c r="K3114" s="147" t="str">
        <f t="shared" si="48"/>
        <v/>
      </c>
      <c r="L3114" s="40"/>
      <c r="M3114"/>
      <c r="N3114"/>
      <c r="O3114"/>
      <c r="P3114"/>
      <c r="Q3114"/>
      <c r="R3114"/>
      <c r="S3114"/>
      <c r="T3114"/>
      <c r="U3114"/>
      <c r="V3114"/>
      <c r="W3114" s="41"/>
      <c r="X3114" s="41"/>
      <c r="Y3114" s="41"/>
    </row>
    <row r="3115" s="27" customFormat="1" ht="23" hidden="1" customHeight="1" spans="1:25">
      <c r="A3115" s="133" t="str">
        <f>IF(B3115="","",COUNTA($B$5:B3115))</f>
        <v/>
      </c>
      <c r="B3115" s="148"/>
      <c r="C3115" s="22" t="s">
        <v>49</v>
      </c>
      <c r="D3115" s="149"/>
      <c r="E3115" s="150"/>
      <c r="F3115" s="151"/>
      <c r="G3115" s="151"/>
      <c r="H3115" s="142">
        <f>IFERROR(VLOOKUP($C3115,$C$5:$H$18,6,0)+SUMIF($C$19:$C3115,$C3115,$F$19:$F3115)-SUMIF($C$19:$C3115,$C3115,$G$19:$G3115),"")</f>
        <v>81211.819999998</v>
      </c>
      <c r="I3115" s="147"/>
      <c r="J3115" s="147"/>
      <c r="K3115" s="147" t="str">
        <f t="shared" si="48"/>
        <v/>
      </c>
      <c r="L3115" s="40"/>
      <c r="M3115"/>
      <c r="N3115"/>
      <c r="O3115"/>
      <c r="P3115"/>
      <c r="Q3115"/>
      <c r="R3115"/>
      <c r="S3115"/>
      <c r="T3115"/>
      <c r="U3115"/>
      <c r="V3115"/>
      <c r="W3115" s="41"/>
      <c r="X3115" s="41"/>
      <c r="Y3115" s="41"/>
    </row>
    <row r="3116" s="27" customFormat="1" ht="23" hidden="1" customHeight="1" spans="1:25">
      <c r="A3116" s="133" t="str">
        <f>IF(B3116="","",COUNTA($B$5:B3116))</f>
        <v/>
      </c>
      <c r="B3116" s="148"/>
      <c r="C3116" s="22" t="s">
        <v>49</v>
      </c>
      <c r="D3116" s="149"/>
      <c r="E3116" s="150"/>
      <c r="F3116" s="151"/>
      <c r="G3116" s="151"/>
      <c r="H3116" s="142">
        <f>IFERROR(VLOOKUP($C3116,$C$5:$H$18,6,0)+SUMIF($C$19:$C3116,$C3116,$F$19:$F3116)-SUMIF($C$19:$C3116,$C3116,$G$19:$G3116),"")</f>
        <v>81211.819999998</v>
      </c>
      <c r="I3116" s="147"/>
      <c r="J3116" s="147"/>
      <c r="K3116" s="147" t="str">
        <f t="shared" si="48"/>
        <v/>
      </c>
      <c r="L3116" s="40"/>
      <c r="M3116"/>
      <c r="N3116"/>
      <c r="O3116"/>
      <c r="P3116"/>
      <c r="Q3116"/>
      <c r="R3116"/>
      <c r="S3116"/>
      <c r="T3116"/>
      <c r="U3116"/>
      <c r="V3116"/>
      <c r="W3116" s="41"/>
      <c r="X3116" s="41"/>
      <c r="Y3116" s="41"/>
    </row>
    <row r="3117" s="27" customFormat="1" ht="23" hidden="1" customHeight="1" spans="1:25">
      <c r="A3117" s="133" t="str">
        <f>IF(B3117="","",COUNTA($B$5:B3117))</f>
        <v/>
      </c>
      <c r="B3117" s="148"/>
      <c r="C3117" s="22" t="s">
        <v>49</v>
      </c>
      <c r="D3117" s="149"/>
      <c r="E3117" s="150"/>
      <c r="F3117" s="151"/>
      <c r="G3117" s="151"/>
      <c r="H3117" s="142">
        <f>IFERROR(VLOOKUP($C3117,$C$5:$H$18,6,0)+SUMIF($C$19:$C3117,$C3117,$F$19:$F3117)-SUMIF($C$19:$C3117,$C3117,$G$19:$G3117),"")</f>
        <v>81211.819999998</v>
      </c>
      <c r="I3117" s="147"/>
      <c r="J3117" s="147"/>
      <c r="K3117" s="147" t="str">
        <f t="shared" si="48"/>
        <v/>
      </c>
      <c r="L3117" s="40"/>
      <c r="M3117"/>
      <c r="N3117"/>
      <c r="O3117"/>
      <c r="P3117"/>
      <c r="Q3117"/>
      <c r="R3117"/>
      <c r="S3117"/>
      <c r="T3117"/>
      <c r="U3117"/>
      <c r="V3117"/>
      <c r="W3117" s="41"/>
      <c r="X3117" s="41"/>
      <c r="Y3117" s="41"/>
    </row>
    <row r="3118" s="27" customFormat="1" ht="23" hidden="1" customHeight="1" spans="1:25">
      <c r="A3118" s="133" t="str">
        <f>IF(B3118="","",COUNTA($B$5:B3118))</f>
        <v/>
      </c>
      <c r="B3118" s="148"/>
      <c r="C3118" s="22" t="s">
        <v>49</v>
      </c>
      <c r="D3118" s="149"/>
      <c r="E3118" s="150"/>
      <c r="F3118" s="151"/>
      <c r="G3118" s="151"/>
      <c r="H3118" s="142">
        <f>IFERROR(VLOOKUP($C3118,$C$5:$H$18,6,0)+SUMIF($C$19:$C3118,$C3118,$F$19:$F3118)-SUMIF($C$19:$C3118,$C3118,$G$19:$G3118),"")</f>
        <v>81211.819999998</v>
      </c>
      <c r="I3118" s="147"/>
      <c r="J3118" s="147"/>
      <c r="K3118" s="147" t="str">
        <f t="shared" si="48"/>
        <v/>
      </c>
      <c r="L3118" s="40"/>
      <c r="M3118"/>
      <c r="N3118"/>
      <c r="O3118"/>
      <c r="P3118"/>
      <c r="Q3118"/>
      <c r="R3118"/>
      <c r="S3118"/>
      <c r="T3118"/>
      <c r="U3118"/>
      <c r="V3118"/>
      <c r="W3118" s="41"/>
      <c r="X3118" s="41"/>
      <c r="Y3118" s="41"/>
    </row>
    <row r="3119" s="27" customFormat="1" ht="23" hidden="1" customHeight="1" spans="1:25">
      <c r="A3119" s="133" t="str">
        <f>IF(B3119="","",COUNTA($B$5:B3119))</f>
        <v/>
      </c>
      <c r="B3119" s="148"/>
      <c r="C3119" s="22" t="s">
        <v>49</v>
      </c>
      <c r="D3119" s="149"/>
      <c r="E3119" s="150"/>
      <c r="F3119" s="151"/>
      <c r="G3119" s="151"/>
      <c r="H3119" s="142">
        <f>IFERROR(VLOOKUP($C3119,$C$5:$H$18,6,0)+SUMIF($C$19:$C3119,$C3119,$F$19:$F3119)-SUMIF($C$19:$C3119,$C3119,$G$19:$G3119),"")</f>
        <v>81211.819999998</v>
      </c>
      <c r="I3119" s="147"/>
      <c r="J3119" s="147"/>
      <c r="K3119" s="147" t="str">
        <f t="shared" si="48"/>
        <v/>
      </c>
      <c r="L3119" s="40"/>
      <c r="M3119"/>
      <c r="N3119"/>
      <c r="O3119"/>
      <c r="P3119"/>
      <c r="Q3119"/>
      <c r="R3119"/>
      <c r="S3119"/>
      <c r="T3119"/>
      <c r="U3119"/>
      <c r="V3119"/>
      <c r="W3119" s="41"/>
      <c r="X3119" s="41"/>
      <c r="Y3119" s="41"/>
    </row>
    <row r="3120" s="27" customFormat="1" ht="23" hidden="1" customHeight="1" spans="1:25">
      <c r="A3120" s="133" t="str">
        <f>IF(B3120="","",COUNTA($B$5:B3120))</f>
        <v/>
      </c>
      <c r="B3120" s="148"/>
      <c r="C3120" s="22" t="s">
        <v>49</v>
      </c>
      <c r="D3120" s="149"/>
      <c r="E3120" s="150"/>
      <c r="F3120" s="151"/>
      <c r="G3120" s="151"/>
      <c r="H3120" s="142">
        <f>IFERROR(VLOOKUP($C3120,$C$5:$H$18,6,0)+SUMIF($C$19:$C3120,$C3120,$F$19:$F3120)-SUMIF($C$19:$C3120,$C3120,$G$19:$G3120),"")</f>
        <v>81211.819999998</v>
      </c>
      <c r="I3120" s="147"/>
      <c r="J3120" s="147"/>
      <c r="K3120" s="147" t="str">
        <f t="shared" si="48"/>
        <v/>
      </c>
      <c r="L3120" s="40"/>
      <c r="M3120"/>
      <c r="N3120"/>
      <c r="O3120"/>
      <c r="P3120"/>
      <c r="Q3120"/>
      <c r="R3120"/>
      <c r="S3120"/>
      <c r="T3120"/>
      <c r="U3120"/>
      <c r="V3120"/>
      <c r="W3120" s="41"/>
      <c r="X3120" s="41"/>
      <c r="Y3120" s="41"/>
    </row>
    <row r="3121" s="27" customFormat="1" ht="23" hidden="1" customHeight="1" spans="1:25">
      <c r="A3121" s="133" t="str">
        <f>IF(B3121="","",COUNTA($B$5:B3121))</f>
        <v/>
      </c>
      <c r="B3121" s="148"/>
      <c r="C3121" s="22" t="s">
        <v>49</v>
      </c>
      <c r="D3121" s="149"/>
      <c r="E3121" s="150"/>
      <c r="F3121" s="151"/>
      <c r="G3121" s="151"/>
      <c r="H3121" s="142">
        <f>IFERROR(VLOOKUP($C3121,$C$5:$H$18,6,0)+SUMIF($C$19:$C3121,$C3121,$F$19:$F3121)-SUMIF($C$19:$C3121,$C3121,$G$19:$G3121),"")</f>
        <v>81211.819999998</v>
      </c>
      <c r="I3121" s="147"/>
      <c r="J3121" s="147"/>
      <c r="K3121" s="147" t="str">
        <f t="shared" si="48"/>
        <v/>
      </c>
      <c r="L3121" s="40"/>
      <c r="M3121"/>
      <c r="N3121"/>
      <c r="O3121"/>
      <c r="P3121"/>
      <c r="Q3121"/>
      <c r="R3121"/>
      <c r="S3121"/>
      <c r="T3121"/>
      <c r="U3121"/>
      <c r="V3121"/>
      <c r="W3121" s="41"/>
      <c r="X3121" s="41"/>
      <c r="Y3121" s="41"/>
    </row>
    <row r="3122" s="27" customFormat="1" ht="23" hidden="1" customHeight="1" spans="1:25">
      <c r="A3122" s="133" t="str">
        <f>IF(B3122="","",COUNTA($B$5:B3122))</f>
        <v/>
      </c>
      <c r="B3122" s="148"/>
      <c r="C3122" s="22" t="s">
        <v>49</v>
      </c>
      <c r="D3122" s="149"/>
      <c r="E3122" s="150"/>
      <c r="F3122" s="151"/>
      <c r="G3122" s="151"/>
      <c r="H3122" s="142">
        <f>IFERROR(VLOOKUP($C3122,$C$5:$H$18,6,0)+SUMIF($C$19:$C3122,$C3122,$F$19:$F3122)-SUMIF($C$19:$C3122,$C3122,$G$19:$G3122),"")</f>
        <v>81211.819999998</v>
      </c>
      <c r="I3122" s="147"/>
      <c r="J3122" s="147"/>
      <c r="K3122" s="147" t="str">
        <f t="shared" si="48"/>
        <v/>
      </c>
      <c r="L3122" s="40"/>
      <c r="M3122"/>
      <c r="N3122"/>
      <c r="O3122"/>
      <c r="P3122"/>
      <c r="Q3122"/>
      <c r="R3122"/>
      <c r="S3122"/>
      <c r="T3122"/>
      <c r="U3122"/>
      <c r="V3122"/>
      <c r="W3122" s="41"/>
      <c r="X3122" s="41"/>
      <c r="Y3122" s="41"/>
    </row>
    <row r="3123" s="27" customFormat="1" ht="23" hidden="1" customHeight="1" spans="1:25">
      <c r="A3123" s="133" t="str">
        <f>IF(B3123="","",COUNTA($B$5:B3123))</f>
        <v/>
      </c>
      <c r="B3123" s="148"/>
      <c r="C3123" s="22" t="s">
        <v>49</v>
      </c>
      <c r="D3123" s="149"/>
      <c r="E3123" s="150"/>
      <c r="F3123" s="151"/>
      <c r="G3123" s="151"/>
      <c r="H3123" s="142">
        <f>IFERROR(VLOOKUP($C3123,$C$5:$H$18,6,0)+SUMIF($C$19:$C3123,$C3123,$F$19:$F3123)-SUMIF($C$19:$C3123,$C3123,$G$19:$G3123),"")</f>
        <v>81211.819999998</v>
      </c>
      <c r="I3123" s="147"/>
      <c r="J3123" s="147"/>
      <c r="K3123" s="147" t="str">
        <f t="shared" si="48"/>
        <v/>
      </c>
      <c r="L3123" s="40"/>
      <c r="M3123"/>
      <c r="N3123"/>
      <c r="O3123"/>
      <c r="P3123"/>
      <c r="Q3123"/>
      <c r="R3123"/>
      <c r="S3123"/>
      <c r="T3123"/>
      <c r="U3123"/>
      <c r="V3123"/>
      <c r="W3123" s="41"/>
      <c r="X3123" s="41"/>
      <c r="Y3123" s="41"/>
    </row>
    <row r="3124" s="27" customFormat="1" ht="23" hidden="1" customHeight="1" spans="1:25">
      <c r="A3124" s="133" t="str">
        <f>IF(B3124="","",COUNTA($B$5:B3124))</f>
        <v/>
      </c>
      <c r="B3124" s="148"/>
      <c r="C3124" s="22" t="s">
        <v>49</v>
      </c>
      <c r="D3124" s="149"/>
      <c r="E3124" s="150"/>
      <c r="F3124" s="151"/>
      <c r="G3124" s="151"/>
      <c r="H3124" s="142">
        <f>IFERROR(VLOOKUP($C3124,$C$5:$H$18,6,0)+SUMIF($C$19:$C3124,$C3124,$F$19:$F3124)-SUMIF($C$19:$C3124,$C3124,$G$19:$G3124),"")</f>
        <v>81211.819999998</v>
      </c>
      <c r="I3124" s="147"/>
      <c r="J3124" s="147"/>
      <c r="K3124" s="147" t="str">
        <f t="shared" si="48"/>
        <v/>
      </c>
      <c r="L3124" s="40"/>
      <c r="M3124"/>
      <c r="N3124"/>
      <c r="O3124"/>
      <c r="P3124"/>
      <c r="Q3124"/>
      <c r="R3124"/>
      <c r="S3124"/>
      <c r="T3124"/>
      <c r="U3124"/>
      <c r="V3124"/>
      <c r="W3124" s="41"/>
      <c r="X3124" s="41"/>
      <c r="Y3124" s="41"/>
    </row>
    <row r="3125" s="27" customFormat="1" ht="23" hidden="1" customHeight="1" spans="1:25">
      <c r="A3125" s="133" t="str">
        <f>IF(B3125="","",COUNTA($B$5:B3125))</f>
        <v/>
      </c>
      <c r="B3125" s="148"/>
      <c r="C3125" s="22" t="s">
        <v>49</v>
      </c>
      <c r="D3125" s="149"/>
      <c r="E3125" s="150"/>
      <c r="F3125" s="151"/>
      <c r="G3125" s="151"/>
      <c r="H3125" s="142">
        <f>IFERROR(VLOOKUP($C3125,$C$5:$H$18,6,0)+SUMIF($C$19:$C3125,$C3125,$F$19:$F3125)-SUMIF($C$19:$C3125,$C3125,$G$19:$G3125),"")</f>
        <v>81211.819999998</v>
      </c>
      <c r="I3125" s="147"/>
      <c r="J3125" s="147"/>
      <c r="K3125" s="147" t="str">
        <f t="shared" si="48"/>
        <v/>
      </c>
      <c r="L3125" s="40"/>
      <c r="M3125"/>
      <c r="N3125"/>
      <c r="O3125"/>
      <c r="P3125"/>
      <c r="Q3125"/>
      <c r="R3125"/>
      <c r="S3125"/>
      <c r="T3125"/>
      <c r="U3125"/>
      <c r="V3125"/>
      <c r="W3125" s="41"/>
      <c r="X3125" s="41"/>
      <c r="Y3125" s="41"/>
    </row>
    <row r="3126" s="27" customFormat="1" ht="23" hidden="1" customHeight="1" spans="1:25">
      <c r="A3126" s="133" t="str">
        <f>IF(B3126="","",COUNTA($B$5:B3126))</f>
        <v/>
      </c>
      <c r="B3126" s="148"/>
      <c r="C3126" s="22" t="s">
        <v>49</v>
      </c>
      <c r="D3126" s="149"/>
      <c r="E3126" s="150"/>
      <c r="F3126" s="151"/>
      <c r="G3126" s="151"/>
      <c r="H3126" s="142">
        <f>IFERROR(VLOOKUP($C3126,$C$5:$H$18,6,0)+SUMIF($C$19:$C3126,$C3126,$F$19:$F3126)-SUMIF($C$19:$C3126,$C3126,$G$19:$G3126),"")</f>
        <v>81211.819999998</v>
      </c>
      <c r="I3126" s="147"/>
      <c r="J3126" s="147"/>
      <c r="K3126" s="147" t="str">
        <f t="shared" si="48"/>
        <v/>
      </c>
      <c r="L3126" s="40"/>
      <c r="M3126"/>
      <c r="N3126"/>
      <c r="O3126"/>
      <c r="P3126"/>
      <c r="Q3126"/>
      <c r="R3126"/>
      <c r="S3126"/>
      <c r="T3126"/>
      <c r="U3126"/>
      <c r="V3126"/>
      <c r="W3126" s="41"/>
      <c r="X3126" s="41"/>
      <c r="Y3126" s="41"/>
    </row>
    <row r="3127" s="27" customFormat="1" ht="23" hidden="1" customHeight="1" spans="1:25">
      <c r="A3127" s="133" t="str">
        <f>IF(B3127="","",COUNTA($B$5:B3127))</f>
        <v/>
      </c>
      <c r="B3127" s="148"/>
      <c r="C3127" s="22" t="s">
        <v>49</v>
      </c>
      <c r="D3127" s="149"/>
      <c r="E3127" s="150"/>
      <c r="F3127" s="151"/>
      <c r="G3127" s="151"/>
      <c r="H3127" s="142">
        <f>IFERROR(VLOOKUP($C3127,$C$5:$H$18,6,0)+SUMIF($C$19:$C3127,$C3127,$F$19:$F3127)-SUMIF($C$19:$C3127,$C3127,$G$19:$G3127),"")</f>
        <v>81211.819999998</v>
      </c>
      <c r="I3127" s="147"/>
      <c r="J3127" s="147"/>
      <c r="K3127" s="147" t="str">
        <f t="shared" si="48"/>
        <v/>
      </c>
      <c r="L3127" s="40"/>
      <c r="M3127"/>
      <c r="N3127"/>
      <c r="O3127"/>
      <c r="P3127"/>
      <c r="Q3127"/>
      <c r="R3127"/>
      <c r="S3127"/>
      <c r="T3127"/>
      <c r="U3127"/>
      <c r="V3127"/>
      <c r="W3127" s="41"/>
      <c r="X3127" s="41"/>
      <c r="Y3127" s="41"/>
    </row>
    <row r="3128" s="27" customFormat="1" ht="23" hidden="1" customHeight="1" spans="1:25">
      <c r="A3128" s="133" t="str">
        <f>IF(B3128="","",COUNTA($B$5:B3128))</f>
        <v/>
      </c>
      <c r="B3128" s="148"/>
      <c r="C3128" s="22" t="s">
        <v>49</v>
      </c>
      <c r="D3128" s="149"/>
      <c r="E3128" s="150"/>
      <c r="F3128" s="151"/>
      <c r="G3128" s="151"/>
      <c r="H3128" s="142">
        <f>IFERROR(VLOOKUP($C3128,$C$5:$H$18,6,0)+SUMIF($C$19:$C3128,$C3128,$F$19:$F3128)-SUMIF($C$19:$C3128,$C3128,$G$19:$G3128),"")</f>
        <v>81211.819999998</v>
      </c>
      <c r="I3128" s="147"/>
      <c r="J3128" s="147"/>
      <c r="K3128" s="147" t="str">
        <f t="shared" si="48"/>
        <v/>
      </c>
      <c r="L3128" s="40"/>
      <c r="M3128"/>
      <c r="N3128"/>
      <c r="O3128"/>
      <c r="P3128"/>
      <c r="Q3128"/>
      <c r="R3128"/>
      <c r="S3128"/>
      <c r="T3128"/>
      <c r="U3128"/>
      <c r="V3128"/>
      <c r="W3128" s="41"/>
      <c r="X3128" s="41"/>
      <c r="Y3128" s="41"/>
    </row>
    <row r="3129" s="27" customFormat="1" ht="23" hidden="1" customHeight="1" spans="1:25">
      <c r="A3129" s="133" t="str">
        <f>IF(B3129="","",COUNTA($B$5:B3129))</f>
        <v/>
      </c>
      <c r="B3129" s="148"/>
      <c r="C3129" s="22" t="s">
        <v>49</v>
      </c>
      <c r="D3129" s="149"/>
      <c r="E3129" s="150"/>
      <c r="F3129" s="151"/>
      <c r="G3129" s="151"/>
      <c r="H3129" s="142">
        <f>IFERROR(VLOOKUP($C3129,$C$5:$H$18,6,0)+SUMIF($C$19:$C3129,$C3129,$F$19:$F3129)-SUMIF($C$19:$C3129,$C3129,$G$19:$G3129),"")</f>
        <v>81211.819999998</v>
      </c>
      <c r="I3129" s="147"/>
      <c r="J3129" s="147"/>
      <c r="K3129" s="147" t="str">
        <f t="shared" si="48"/>
        <v/>
      </c>
      <c r="L3129" s="40"/>
      <c r="M3129"/>
      <c r="N3129"/>
      <c r="O3129"/>
      <c r="P3129"/>
      <c r="Q3129"/>
      <c r="R3129"/>
      <c r="S3129"/>
      <c r="T3129"/>
      <c r="U3129"/>
      <c r="V3129"/>
      <c r="W3129" s="41"/>
      <c r="X3129" s="41"/>
      <c r="Y3129" s="41"/>
    </row>
    <row r="3130" s="27" customFormat="1" ht="23" hidden="1" customHeight="1" spans="1:25">
      <c r="A3130" s="133" t="str">
        <f>IF(B3130="","",COUNTA($B$5:B3130))</f>
        <v/>
      </c>
      <c r="B3130" s="148"/>
      <c r="C3130" s="22" t="s">
        <v>49</v>
      </c>
      <c r="D3130" s="149"/>
      <c r="E3130" s="150"/>
      <c r="F3130" s="151"/>
      <c r="G3130" s="151"/>
      <c r="H3130" s="142">
        <f>IFERROR(VLOOKUP($C3130,$C$5:$H$18,6,0)+SUMIF($C$19:$C3130,$C3130,$F$19:$F3130)-SUMIF($C$19:$C3130,$C3130,$G$19:$G3130),"")</f>
        <v>81211.819999998</v>
      </c>
      <c r="I3130" s="147"/>
      <c r="J3130" s="147"/>
      <c r="K3130" s="147" t="str">
        <f t="shared" si="48"/>
        <v/>
      </c>
      <c r="L3130" s="40"/>
      <c r="M3130"/>
      <c r="N3130"/>
      <c r="O3130"/>
      <c r="P3130"/>
      <c r="Q3130"/>
      <c r="R3130"/>
      <c r="S3130"/>
      <c r="T3130"/>
      <c r="U3130"/>
      <c r="V3130"/>
      <c r="W3130" s="41"/>
      <c r="X3130" s="41"/>
      <c r="Y3130" s="41"/>
    </row>
    <row r="3131" s="27" customFormat="1" ht="23" hidden="1" customHeight="1" spans="1:25">
      <c r="A3131" s="133" t="str">
        <f>IF(B3131="","",COUNTA($B$5:B3131))</f>
        <v/>
      </c>
      <c r="B3131" s="148"/>
      <c r="C3131" s="22" t="s">
        <v>49</v>
      </c>
      <c r="D3131" s="149"/>
      <c r="E3131" s="150"/>
      <c r="F3131" s="151"/>
      <c r="G3131" s="151"/>
      <c r="H3131" s="142">
        <f>IFERROR(VLOOKUP($C3131,$C$5:$H$18,6,0)+SUMIF($C$19:$C3131,$C3131,$F$19:$F3131)-SUMIF($C$19:$C3131,$C3131,$G$19:$G3131),"")</f>
        <v>81211.819999998</v>
      </c>
      <c r="I3131" s="147"/>
      <c r="J3131" s="147"/>
      <c r="K3131" s="147" t="str">
        <f t="shared" si="48"/>
        <v/>
      </c>
      <c r="L3131" s="40"/>
      <c r="M3131"/>
      <c r="N3131"/>
      <c r="O3131"/>
      <c r="P3131"/>
      <c r="Q3131"/>
      <c r="R3131"/>
      <c r="S3131"/>
      <c r="T3131"/>
      <c r="U3131"/>
      <c r="V3131"/>
      <c r="W3131" s="41"/>
      <c r="X3131" s="41"/>
      <c r="Y3131" s="41"/>
    </row>
    <row r="3132" s="27" customFormat="1" ht="23" hidden="1" customHeight="1" spans="1:25">
      <c r="A3132" s="133" t="str">
        <f>IF(B3132="","",COUNTA($B$5:B3132))</f>
        <v/>
      </c>
      <c r="B3132" s="148"/>
      <c r="C3132" s="22" t="s">
        <v>49</v>
      </c>
      <c r="D3132" s="149"/>
      <c r="E3132" s="150"/>
      <c r="F3132" s="151"/>
      <c r="G3132" s="151"/>
      <c r="H3132" s="142">
        <f>IFERROR(VLOOKUP($C3132,$C$5:$H$18,6,0)+SUMIF($C$19:$C3132,$C3132,$F$19:$F3132)-SUMIF($C$19:$C3132,$C3132,$G$19:$G3132),"")</f>
        <v>81211.819999998</v>
      </c>
      <c r="I3132" s="147"/>
      <c r="J3132" s="147"/>
      <c r="K3132" s="147" t="str">
        <f t="shared" si="48"/>
        <v/>
      </c>
      <c r="L3132" s="40"/>
      <c r="M3132"/>
      <c r="N3132"/>
      <c r="O3132"/>
      <c r="P3132"/>
      <c r="Q3132"/>
      <c r="R3132"/>
      <c r="S3132"/>
      <c r="T3132"/>
      <c r="U3132"/>
      <c r="V3132"/>
      <c r="W3132" s="41"/>
      <c r="X3132" s="41"/>
      <c r="Y3132" s="41"/>
    </row>
    <row r="3133" s="27" customFormat="1" ht="23" hidden="1" customHeight="1" spans="1:25">
      <c r="A3133" s="133" t="str">
        <f>IF(B3133="","",COUNTA($B$5:B3133))</f>
        <v/>
      </c>
      <c r="B3133" s="148"/>
      <c r="C3133" s="22" t="s">
        <v>49</v>
      </c>
      <c r="D3133" s="149"/>
      <c r="E3133" s="150"/>
      <c r="F3133" s="151"/>
      <c r="G3133" s="151"/>
      <c r="H3133" s="142">
        <f>IFERROR(VLOOKUP($C3133,$C$5:$H$18,6,0)+SUMIF($C$19:$C3133,$C3133,$F$19:$F3133)-SUMIF($C$19:$C3133,$C3133,$G$19:$G3133),"")</f>
        <v>81211.819999998</v>
      </c>
      <c r="I3133" s="147"/>
      <c r="J3133" s="147"/>
      <c r="K3133" s="147" t="str">
        <f t="shared" si="48"/>
        <v/>
      </c>
      <c r="L3133" s="40"/>
      <c r="M3133"/>
      <c r="N3133"/>
      <c r="O3133"/>
      <c r="P3133"/>
      <c r="Q3133"/>
      <c r="R3133"/>
      <c r="S3133"/>
      <c r="T3133"/>
      <c r="U3133"/>
      <c r="V3133"/>
      <c r="W3133" s="41"/>
      <c r="X3133" s="41"/>
      <c r="Y3133" s="41"/>
    </row>
    <row r="3134" s="27" customFormat="1" ht="23" hidden="1" customHeight="1" spans="1:25">
      <c r="A3134" s="133" t="str">
        <f>IF(B3134="","",COUNTA($B$5:B3134))</f>
        <v/>
      </c>
      <c r="B3134" s="148"/>
      <c r="C3134" s="22" t="s">
        <v>49</v>
      </c>
      <c r="D3134" s="149"/>
      <c r="E3134" s="150"/>
      <c r="F3134" s="151"/>
      <c r="G3134" s="151"/>
      <c r="H3134" s="142">
        <f>IFERROR(VLOOKUP($C3134,$C$5:$H$18,6,0)+SUMIF($C$19:$C3134,$C3134,$F$19:$F3134)-SUMIF($C$19:$C3134,$C3134,$G$19:$G3134),"")</f>
        <v>81211.819999998</v>
      </c>
      <c r="I3134" s="147"/>
      <c r="J3134" s="147"/>
      <c r="K3134" s="147" t="str">
        <f t="shared" si="48"/>
        <v/>
      </c>
      <c r="L3134" s="40"/>
      <c r="M3134"/>
      <c r="N3134"/>
      <c r="O3134"/>
      <c r="P3134"/>
      <c r="Q3134"/>
      <c r="R3134"/>
      <c r="S3134"/>
      <c r="T3134"/>
      <c r="U3134"/>
      <c r="V3134"/>
      <c r="W3134" s="41"/>
      <c r="X3134" s="41"/>
      <c r="Y3134" s="41"/>
    </row>
    <row r="3135" s="27" customFormat="1" ht="23" hidden="1" customHeight="1" spans="1:25">
      <c r="A3135" s="133" t="str">
        <f>IF(B3135="","",COUNTA($B$5:B3135))</f>
        <v/>
      </c>
      <c r="B3135" s="148"/>
      <c r="C3135" s="22" t="s">
        <v>49</v>
      </c>
      <c r="D3135" s="149"/>
      <c r="E3135" s="150"/>
      <c r="F3135" s="151"/>
      <c r="G3135" s="151"/>
      <c r="H3135" s="142">
        <f>IFERROR(VLOOKUP($C3135,$C$5:$H$18,6,0)+SUMIF($C$19:$C3135,$C3135,$F$19:$F3135)-SUMIF($C$19:$C3135,$C3135,$G$19:$G3135),"")</f>
        <v>81211.819999998</v>
      </c>
      <c r="I3135" s="147"/>
      <c r="J3135" s="147"/>
      <c r="K3135" s="147" t="str">
        <f t="shared" si="48"/>
        <v/>
      </c>
      <c r="L3135" s="40"/>
      <c r="M3135"/>
      <c r="N3135"/>
      <c r="O3135"/>
      <c r="P3135"/>
      <c r="Q3135"/>
      <c r="R3135"/>
      <c r="S3135"/>
      <c r="T3135"/>
      <c r="U3135"/>
      <c r="V3135"/>
      <c r="W3135" s="41"/>
      <c r="X3135" s="41"/>
      <c r="Y3135" s="41"/>
    </row>
    <row r="3136" s="27" customFormat="1" ht="23" hidden="1" customHeight="1" spans="1:25">
      <c r="A3136" s="133" t="str">
        <f>IF(B3136="","",COUNTA($B$5:B3136))</f>
        <v/>
      </c>
      <c r="B3136" s="148"/>
      <c r="C3136" s="22" t="s">
        <v>49</v>
      </c>
      <c r="D3136" s="149"/>
      <c r="E3136" s="150"/>
      <c r="F3136" s="151"/>
      <c r="G3136" s="151"/>
      <c r="H3136" s="142">
        <f>IFERROR(VLOOKUP($C3136,$C$5:$H$18,6,0)+SUMIF($C$19:$C3136,$C3136,$F$19:$F3136)-SUMIF($C$19:$C3136,$C3136,$G$19:$G3136),"")</f>
        <v>81211.819999998</v>
      </c>
      <c r="I3136" s="147"/>
      <c r="J3136" s="147"/>
      <c r="K3136" s="147" t="str">
        <f t="shared" si="48"/>
        <v/>
      </c>
      <c r="L3136" s="40"/>
      <c r="M3136"/>
      <c r="N3136"/>
      <c r="O3136"/>
      <c r="P3136"/>
      <c r="Q3136"/>
      <c r="R3136"/>
      <c r="S3136"/>
      <c r="T3136"/>
      <c r="U3136"/>
      <c r="V3136"/>
      <c r="W3136" s="41"/>
      <c r="X3136" s="41"/>
      <c r="Y3136" s="41"/>
    </row>
    <row r="3137" s="27" customFormat="1" ht="23" hidden="1" customHeight="1" spans="1:25">
      <c r="A3137" s="133" t="str">
        <f>IF(B3137="","",COUNTA($B$5:B3137))</f>
        <v/>
      </c>
      <c r="B3137" s="148"/>
      <c r="C3137" s="22" t="s">
        <v>49</v>
      </c>
      <c r="D3137" s="149"/>
      <c r="E3137" s="150"/>
      <c r="F3137" s="151"/>
      <c r="G3137" s="151"/>
      <c r="H3137" s="142">
        <f>IFERROR(VLOOKUP($C3137,$C$5:$H$18,6,0)+SUMIF($C$19:$C3137,$C3137,$F$19:$F3137)-SUMIF($C$19:$C3137,$C3137,$G$19:$G3137),"")</f>
        <v>81211.819999998</v>
      </c>
      <c r="I3137" s="147"/>
      <c r="J3137" s="147"/>
      <c r="K3137" s="147" t="str">
        <f t="shared" si="48"/>
        <v/>
      </c>
      <c r="L3137" s="40"/>
      <c r="M3137"/>
      <c r="N3137"/>
      <c r="O3137"/>
      <c r="P3137"/>
      <c r="Q3137"/>
      <c r="R3137"/>
      <c r="S3137"/>
      <c r="T3137"/>
      <c r="U3137"/>
      <c r="V3137"/>
      <c r="W3137" s="41"/>
      <c r="X3137" s="41"/>
      <c r="Y3137" s="41"/>
    </row>
    <row r="3138" s="27" customFormat="1" ht="23" hidden="1" customHeight="1" spans="1:25">
      <c r="A3138" s="133" t="str">
        <f>IF(B3138="","",COUNTA($B$5:B3138))</f>
        <v/>
      </c>
      <c r="B3138" s="148"/>
      <c r="C3138" s="22" t="s">
        <v>49</v>
      </c>
      <c r="D3138" s="149"/>
      <c r="E3138" s="150"/>
      <c r="F3138" s="151"/>
      <c r="G3138" s="151"/>
      <c r="H3138" s="142">
        <f>IFERROR(VLOOKUP($C3138,$C$5:$H$18,6,0)+SUMIF($C$19:$C3138,$C3138,$F$19:$F3138)-SUMIF($C$19:$C3138,$C3138,$G$19:$G3138),"")</f>
        <v>81211.819999998</v>
      </c>
      <c r="I3138" s="147"/>
      <c r="J3138" s="147"/>
      <c r="K3138" s="147" t="str">
        <f t="shared" si="48"/>
        <v/>
      </c>
      <c r="L3138" s="40"/>
      <c r="M3138"/>
      <c r="N3138"/>
      <c r="O3138"/>
      <c r="P3138"/>
      <c r="Q3138"/>
      <c r="R3138"/>
      <c r="S3138"/>
      <c r="T3138"/>
      <c r="U3138"/>
      <c r="V3138"/>
      <c r="W3138" s="41"/>
      <c r="X3138" s="41"/>
      <c r="Y3138" s="41"/>
    </row>
    <row r="3139" s="27" customFormat="1" ht="23" hidden="1" customHeight="1" spans="1:25">
      <c r="A3139" s="133" t="str">
        <f>IF(B3139="","",COUNTA($B$5:B3139))</f>
        <v/>
      </c>
      <c r="B3139" s="148"/>
      <c r="C3139" s="22" t="s">
        <v>49</v>
      </c>
      <c r="D3139" s="149"/>
      <c r="E3139" s="150"/>
      <c r="F3139" s="151"/>
      <c r="G3139" s="151"/>
      <c r="H3139" s="142">
        <f>IFERROR(VLOOKUP($C3139,$C$5:$H$18,6,0)+SUMIF($C$19:$C3139,$C3139,$F$19:$F3139)-SUMIF($C$19:$C3139,$C3139,$G$19:$G3139),"")</f>
        <v>81211.819999998</v>
      </c>
      <c r="I3139" s="147"/>
      <c r="J3139" s="147"/>
      <c r="K3139" s="147" t="str">
        <f t="shared" si="48"/>
        <v/>
      </c>
      <c r="L3139" s="40"/>
      <c r="M3139"/>
      <c r="N3139"/>
      <c r="O3139"/>
      <c r="P3139"/>
      <c r="Q3139"/>
      <c r="R3139"/>
      <c r="S3139"/>
      <c r="T3139"/>
      <c r="U3139"/>
      <c r="V3139"/>
      <c r="W3139" s="41"/>
      <c r="X3139" s="41"/>
      <c r="Y3139" s="41"/>
    </row>
    <row r="3140" s="27" customFormat="1" ht="23" hidden="1" customHeight="1" spans="1:25">
      <c r="A3140" s="133" t="str">
        <f>IF(B3140="","",COUNTA($B$5:B3140))</f>
        <v/>
      </c>
      <c r="B3140" s="148"/>
      <c r="C3140" s="22" t="s">
        <v>49</v>
      </c>
      <c r="D3140" s="149"/>
      <c r="E3140" s="150"/>
      <c r="F3140" s="151"/>
      <c r="G3140" s="151"/>
      <c r="H3140" s="142">
        <f>IFERROR(VLOOKUP($C3140,$C$5:$H$18,6,0)+SUMIF($C$19:$C3140,$C3140,$F$19:$F3140)-SUMIF($C$19:$C3140,$C3140,$G$19:$G3140),"")</f>
        <v>81211.819999998</v>
      </c>
      <c r="I3140" s="147"/>
      <c r="J3140" s="147"/>
      <c r="K3140" s="147" t="str">
        <f t="shared" si="48"/>
        <v/>
      </c>
      <c r="L3140" s="40"/>
      <c r="M3140"/>
      <c r="N3140"/>
      <c r="O3140"/>
      <c r="P3140"/>
      <c r="Q3140"/>
      <c r="R3140"/>
      <c r="S3140"/>
      <c r="T3140"/>
      <c r="U3140"/>
      <c r="V3140"/>
      <c r="W3140" s="41"/>
      <c r="X3140" s="41"/>
      <c r="Y3140" s="41"/>
    </row>
    <row r="3141" s="27" customFormat="1" ht="23" hidden="1" customHeight="1" spans="1:25">
      <c r="A3141" s="133" t="str">
        <f>IF(B3141="","",COUNTA($B$5:B3141))</f>
        <v/>
      </c>
      <c r="B3141" s="148"/>
      <c r="C3141" s="22" t="s">
        <v>49</v>
      </c>
      <c r="D3141" s="149"/>
      <c r="E3141" s="150"/>
      <c r="F3141" s="151"/>
      <c r="G3141" s="151"/>
      <c r="H3141" s="142">
        <f>IFERROR(VLOOKUP($C3141,$C$5:$H$18,6,0)+SUMIF($C$19:$C3141,$C3141,$F$19:$F3141)-SUMIF($C$19:$C3141,$C3141,$G$19:$G3141),"")</f>
        <v>81211.819999998</v>
      </c>
      <c r="I3141" s="147"/>
      <c r="J3141" s="147"/>
      <c r="K3141" s="147" t="str">
        <f t="shared" ref="K3141:K3204" si="49">IF($B3141="","",--TEXT($B3141,"yyyymm"))</f>
        <v/>
      </c>
      <c r="L3141" s="40"/>
      <c r="M3141"/>
      <c r="N3141"/>
      <c r="O3141"/>
      <c r="P3141"/>
      <c r="Q3141"/>
      <c r="R3141"/>
      <c r="S3141"/>
      <c r="T3141"/>
      <c r="U3141"/>
      <c r="V3141"/>
      <c r="W3141" s="41"/>
      <c r="X3141" s="41"/>
      <c r="Y3141" s="41"/>
    </row>
    <row r="3142" s="27" customFormat="1" ht="23" hidden="1" customHeight="1" spans="1:25">
      <c r="A3142" s="133" t="str">
        <f>IF(B3142="","",COUNTA($B$5:B3142))</f>
        <v/>
      </c>
      <c r="B3142" s="148"/>
      <c r="C3142" s="22" t="s">
        <v>49</v>
      </c>
      <c r="D3142" s="149"/>
      <c r="E3142" s="150"/>
      <c r="F3142" s="151"/>
      <c r="G3142" s="151"/>
      <c r="H3142" s="142">
        <f>IFERROR(VLOOKUP($C3142,$C$5:$H$18,6,0)+SUMIF($C$19:$C3142,$C3142,$F$19:$F3142)-SUMIF($C$19:$C3142,$C3142,$G$19:$G3142),"")</f>
        <v>81211.819999998</v>
      </c>
      <c r="I3142" s="147"/>
      <c r="J3142" s="147"/>
      <c r="K3142" s="147" t="str">
        <f t="shared" si="49"/>
        <v/>
      </c>
      <c r="L3142" s="40"/>
      <c r="M3142"/>
      <c r="N3142"/>
      <c r="O3142"/>
      <c r="P3142"/>
      <c r="Q3142"/>
      <c r="R3142"/>
      <c r="S3142"/>
      <c r="T3142"/>
      <c r="U3142"/>
      <c r="V3142"/>
      <c r="W3142" s="41"/>
      <c r="X3142" s="41"/>
      <c r="Y3142" s="41"/>
    </row>
    <row r="3143" s="27" customFormat="1" ht="23" hidden="1" customHeight="1" spans="1:25">
      <c r="A3143" s="133" t="str">
        <f>IF(B3143="","",COUNTA($B$5:B3143))</f>
        <v/>
      </c>
      <c r="B3143" s="148"/>
      <c r="C3143" s="22" t="s">
        <v>49</v>
      </c>
      <c r="D3143" s="149"/>
      <c r="E3143" s="150"/>
      <c r="F3143" s="151"/>
      <c r="G3143" s="151"/>
      <c r="H3143" s="142">
        <f>IFERROR(VLOOKUP($C3143,$C$5:$H$18,6,0)+SUMIF($C$19:$C3143,$C3143,$F$19:$F3143)-SUMIF($C$19:$C3143,$C3143,$G$19:$G3143),"")</f>
        <v>81211.819999998</v>
      </c>
      <c r="I3143" s="147"/>
      <c r="J3143" s="147"/>
      <c r="K3143" s="147" t="str">
        <f t="shared" si="49"/>
        <v/>
      </c>
      <c r="L3143" s="40"/>
      <c r="M3143"/>
      <c r="N3143"/>
      <c r="O3143"/>
      <c r="P3143"/>
      <c r="Q3143"/>
      <c r="R3143"/>
      <c r="S3143"/>
      <c r="T3143"/>
      <c r="U3143"/>
      <c r="V3143"/>
      <c r="W3143" s="41"/>
      <c r="X3143" s="41"/>
      <c r="Y3143" s="41"/>
    </row>
    <row r="3144" s="27" customFormat="1" ht="23" hidden="1" customHeight="1" spans="1:25">
      <c r="A3144" s="133" t="str">
        <f>IF(B3144="","",COUNTA($B$5:B3144))</f>
        <v/>
      </c>
      <c r="B3144" s="148"/>
      <c r="C3144" s="22" t="s">
        <v>49</v>
      </c>
      <c r="D3144" s="149"/>
      <c r="E3144" s="150"/>
      <c r="F3144" s="151"/>
      <c r="G3144" s="151"/>
      <c r="H3144" s="142">
        <f>IFERROR(VLOOKUP($C3144,$C$5:$H$18,6,0)+SUMIF($C$19:$C3144,$C3144,$F$19:$F3144)-SUMIF($C$19:$C3144,$C3144,$G$19:$G3144),"")</f>
        <v>81211.819999998</v>
      </c>
      <c r="I3144" s="147"/>
      <c r="J3144" s="147"/>
      <c r="K3144" s="147" t="str">
        <f t="shared" si="49"/>
        <v/>
      </c>
      <c r="L3144" s="40"/>
      <c r="M3144"/>
      <c r="N3144"/>
      <c r="O3144"/>
      <c r="P3144"/>
      <c r="Q3144"/>
      <c r="R3144"/>
      <c r="S3144"/>
      <c r="T3144"/>
      <c r="U3144"/>
      <c r="V3144"/>
      <c r="W3144" s="41"/>
      <c r="X3144" s="41"/>
      <c r="Y3144" s="41"/>
    </row>
    <row r="3145" s="27" customFormat="1" ht="23" hidden="1" customHeight="1" spans="1:25">
      <c r="A3145" s="133" t="str">
        <f>IF(B3145="","",COUNTA($B$5:B3145))</f>
        <v/>
      </c>
      <c r="B3145" s="148"/>
      <c r="C3145" s="22" t="s">
        <v>49</v>
      </c>
      <c r="D3145" s="149"/>
      <c r="E3145" s="150"/>
      <c r="F3145" s="151"/>
      <c r="G3145" s="151"/>
      <c r="H3145" s="142">
        <f>IFERROR(VLOOKUP($C3145,$C$5:$H$18,6,0)+SUMIF($C$19:$C3145,$C3145,$F$19:$F3145)-SUMIF($C$19:$C3145,$C3145,$G$19:$G3145),"")</f>
        <v>81211.819999998</v>
      </c>
      <c r="I3145" s="147"/>
      <c r="J3145" s="147"/>
      <c r="K3145" s="147" t="str">
        <f t="shared" si="49"/>
        <v/>
      </c>
      <c r="L3145" s="40"/>
      <c r="M3145"/>
      <c r="N3145"/>
      <c r="O3145"/>
      <c r="P3145"/>
      <c r="Q3145"/>
      <c r="R3145"/>
      <c r="S3145"/>
      <c r="T3145"/>
      <c r="U3145"/>
      <c r="V3145"/>
      <c r="W3145" s="41"/>
      <c r="X3145" s="41"/>
      <c r="Y3145" s="41"/>
    </row>
    <row r="3146" s="27" customFormat="1" ht="23" hidden="1" customHeight="1" spans="1:25">
      <c r="A3146" s="133" t="str">
        <f>IF(B3146="","",COUNTA($B$5:B3146))</f>
        <v/>
      </c>
      <c r="B3146" s="148"/>
      <c r="C3146" s="22" t="s">
        <v>49</v>
      </c>
      <c r="D3146" s="149"/>
      <c r="E3146" s="150"/>
      <c r="F3146" s="151"/>
      <c r="G3146" s="151"/>
      <c r="H3146" s="142">
        <f>IFERROR(VLOOKUP($C3146,$C$5:$H$18,6,0)+SUMIF($C$19:$C3146,$C3146,$F$19:$F3146)-SUMIF($C$19:$C3146,$C3146,$G$19:$G3146),"")</f>
        <v>81211.819999998</v>
      </c>
      <c r="I3146" s="147"/>
      <c r="J3146" s="147"/>
      <c r="K3146" s="147" t="str">
        <f t="shared" si="49"/>
        <v/>
      </c>
      <c r="L3146" s="40"/>
      <c r="M3146"/>
      <c r="N3146"/>
      <c r="O3146"/>
      <c r="P3146"/>
      <c r="Q3146"/>
      <c r="R3146"/>
      <c r="S3146"/>
      <c r="T3146"/>
      <c r="U3146"/>
      <c r="V3146"/>
      <c r="W3146" s="41"/>
      <c r="X3146" s="41"/>
      <c r="Y3146" s="41"/>
    </row>
    <row r="3147" s="27" customFormat="1" ht="23" hidden="1" customHeight="1" spans="1:25">
      <c r="A3147" s="133" t="str">
        <f>IF(B3147="","",COUNTA($B$5:B3147))</f>
        <v/>
      </c>
      <c r="B3147" s="148"/>
      <c r="C3147" s="22" t="s">
        <v>49</v>
      </c>
      <c r="D3147" s="149"/>
      <c r="E3147" s="150"/>
      <c r="F3147" s="151"/>
      <c r="G3147" s="151"/>
      <c r="H3147" s="142">
        <f>IFERROR(VLOOKUP($C3147,$C$5:$H$18,6,0)+SUMIF($C$19:$C3147,$C3147,$F$19:$F3147)-SUMIF($C$19:$C3147,$C3147,$G$19:$G3147),"")</f>
        <v>81211.819999998</v>
      </c>
      <c r="I3147" s="147"/>
      <c r="J3147" s="147"/>
      <c r="K3147" s="147" t="str">
        <f t="shared" si="49"/>
        <v/>
      </c>
      <c r="L3147" s="40"/>
      <c r="M3147"/>
      <c r="N3147"/>
      <c r="O3147"/>
      <c r="P3147"/>
      <c r="Q3147"/>
      <c r="R3147"/>
      <c r="S3147"/>
      <c r="T3147"/>
      <c r="U3147"/>
      <c r="V3147"/>
      <c r="W3147" s="41"/>
      <c r="X3147" s="41"/>
      <c r="Y3147" s="41"/>
    </row>
    <row r="3148" s="27" customFormat="1" ht="23" hidden="1" customHeight="1" spans="1:25">
      <c r="A3148" s="133" t="str">
        <f>IF(B3148="","",COUNTA($B$5:B3148))</f>
        <v/>
      </c>
      <c r="B3148" s="148"/>
      <c r="C3148" s="22" t="s">
        <v>49</v>
      </c>
      <c r="D3148" s="149"/>
      <c r="E3148" s="150"/>
      <c r="F3148" s="151"/>
      <c r="G3148" s="151"/>
      <c r="H3148" s="142">
        <f>IFERROR(VLOOKUP($C3148,$C$5:$H$18,6,0)+SUMIF($C$19:$C3148,$C3148,$F$19:$F3148)-SUMIF($C$19:$C3148,$C3148,$G$19:$G3148),"")</f>
        <v>81211.819999998</v>
      </c>
      <c r="I3148" s="147"/>
      <c r="J3148" s="147"/>
      <c r="K3148" s="147" t="str">
        <f t="shared" si="49"/>
        <v/>
      </c>
      <c r="L3148" s="40"/>
      <c r="M3148"/>
      <c r="N3148"/>
      <c r="O3148"/>
      <c r="P3148"/>
      <c r="Q3148"/>
      <c r="R3148"/>
      <c r="S3148"/>
      <c r="T3148"/>
      <c r="U3148"/>
      <c r="V3148"/>
      <c r="W3148" s="41"/>
      <c r="X3148" s="41"/>
      <c r="Y3148" s="41"/>
    </row>
    <row r="3149" s="27" customFormat="1" ht="23" hidden="1" customHeight="1" spans="1:25">
      <c r="A3149" s="133" t="str">
        <f>IF(B3149="","",COUNTA($B$5:B3149))</f>
        <v/>
      </c>
      <c r="B3149" s="148"/>
      <c r="C3149" s="22" t="s">
        <v>49</v>
      </c>
      <c r="D3149" s="149"/>
      <c r="E3149" s="150"/>
      <c r="F3149" s="151"/>
      <c r="G3149" s="151"/>
      <c r="H3149" s="142">
        <f>IFERROR(VLOOKUP($C3149,$C$5:$H$18,6,0)+SUMIF($C$19:$C3149,$C3149,$F$19:$F3149)-SUMIF($C$19:$C3149,$C3149,$G$19:$G3149),"")</f>
        <v>81211.819999998</v>
      </c>
      <c r="I3149" s="147"/>
      <c r="J3149" s="147"/>
      <c r="K3149" s="147" t="str">
        <f t="shared" si="49"/>
        <v/>
      </c>
      <c r="L3149" s="40"/>
      <c r="M3149"/>
      <c r="N3149"/>
      <c r="O3149"/>
      <c r="P3149"/>
      <c r="Q3149"/>
      <c r="R3149"/>
      <c r="S3149"/>
      <c r="T3149"/>
      <c r="U3149"/>
      <c r="V3149"/>
      <c r="W3149" s="41"/>
      <c r="X3149" s="41"/>
      <c r="Y3149" s="41"/>
    </row>
    <row r="3150" s="27" customFormat="1" ht="23" hidden="1" customHeight="1" spans="1:25">
      <c r="A3150" s="133" t="str">
        <f>IF(B3150="","",COUNTA($B$5:B3150))</f>
        <v/>
      </c>
      <c r="B3150" s="148"/>
      <c r="C3150" s="22" t="s">
        <v>49</v>
      </c>
      <c r="D3150" s="149"/>
      <c r="E3150" s="150"/>
      <c r="F3150" s="151"/>
      <c r="G3150" s="151"/>
      <c r="H3150" s="142">
        <f>IFERROR(VLOOKUP($C3150,$C$5:$H$18,6,0)+SUMIF($C$19:$C3150,$C3150,$F$19:$F3150)-SUMIF($C$19:$C3150,$C3150,$G$19:$G3150),"")</f>
        <v>81211.819999998</v>
      </c>
      <c r="I3150" s="147"/>
      <c r="J3150" s="147"/>
      <c r="K3150" s="147" t="str">
        <f t="shared" si="49"/>
        <v/>
      </c>
      <c r="L3150" s="40"/>
      <c r="M3150"/>
      <c r="N3150"/>
      <c r="O3150"/>
      <c r="P3150"/>
      <c r="Q3150"/>
      <c r="R3150"/>
      <c r="S3150"/>
      <c r="T3150"/>
      <c r="U3150"/>
      <c r="V3150"/>
      <c r="W3150" s="41"/>
      <c r="X3150" s="41"/>
      <c r="Y3150" s="41"/>
    </row>
    <row r="3151" s="27" customFormat="1" ht="23" hidden="1" customHeight="1" spans="1:25">
      <c r="A3151" s="133" t="str">
        <f>IF(B3151="","",COUNTA($B$5:B3151))</f>
        <v/>
      </c>
      <c r="B3151" s="148"/>
      <c r="C3151" s="22" t="s">
        <v>49</v>
      </c>
      <c r="D3151" s="149"/>
      <c r="E3151" s="150"/>
      <c r="F3151" s="151"/>
      <c r="G3151" s="151"/>
      <c r="H3151" s="142">
        <f>IFERROR(VLOOKUP($C3151,$C$5:$H$18,6,0)+SUMIF($C$19:$C3151,$C3151,$F$19:$F3151)-SUMIF($C$19:$C3151,$C3151,$G$19:$G3151),"")</f>
        <v>81211.819999998</v>
      </c>
      <c r="I3151" s="147"/>
      <c r="J3151" s="147"/>
      <c r="K3151" s="147" t="str">
        <f t="shared" si="49"/>
        <v/>
      </c>
      <c r="L3151" s="40"/>
      <c r="M3151"/>
      <c r="N3151"/>
      <c r="O3151"/>
      <c r="P3151"/>
      <c r="Q3151"/>
      <c r="R3151"/>
      <c r="S3151"/>
      <c r="T3151"/>
      <c r="U3151"/>
      <c r="V3151"/>
      <c r="W3151" s="41"/>
      <c r="X3151" s="41"/>
      <c r="Y3151" s="41"/>
    </row>
    <row r="3152" s="27" customFormat="1" ht="23" hidden="1" customHeight="1" spans="1:25">
      <c r="A3152" s="133" t="str">
        <f>IF(B3152="","",COUNTA($B$5:B3152))</f>
        <v/>
      </c>
      <c r="B3152" s="148"/>
      <c r="C3152" s="22" t="s">
        <v>49</v>
      </c>
      <c r="D3152" s="149"/>
      <c r="E3152" s="150"/>
      <c r="F3152" s="151"/>
      <c r="G3152" s="151"/>
      <c r="H3152" s="142">
        <f>IFERROR(VLOOKUP($C3152,$C$5:$H$18,6,0)+SUMIF($C$19:$C3152,$C3152,$F$19:$F3152)-SUMIF($C$19:$C3152,$C3152,$G$19:$G3152),"")</f>
        <v>81211.819999998</v>
      </c>
      <c r="I3152" s="147"/>
      <c r="J3152" s="147"/>
      <c r="K3152" s="147" t="str">
        <f t="shared" si="49"/>
        <v/>
      </c>
      <c r="L3152" s="40"/>
      <c r="M3152"/>
      <c r="N3152"/>
      <c r="O3152"/>
      <c r="P3152"/>
      <c r="Q3152"/>
      <c r="R3152"/>
      <c r="S3152"/>
      <c r="T3152"/>
      <c r="U3152"/>
      <c r="V3152"/>
      <c r="W3152" s="41"/>
      <c r="X3152" s="41"/>
      <c r="Y3152" s="41"/>
    </row>
    <row r="3153" s="27" customFormat="1" ht="23" hidden="1" customHeight="1" spans="1:25">
      <c r="A3153" s="133" t="str">
        <f>IF(B3153="","",COUNTA($B$5:B3153))</f>
        <v/>
      </c>
      <c r="B3153" s="148"/>
      <c r="C3153" s="22" t="s">
        <v>49</v>
      </c>
      <c r="D3153" s="149"/>
      <c r="E3153" s="150"/>
      <c r="F3153" s="151"/>
      <c r="G3153" s="151"/>
      <c r="H3153" s="142">
        <f>IFERROR(VLOOKUP($C3153,$C$5:$H$18,6,0)+SUMIF($C$19:$C3153,$C3153,$F$19:$F3153)-SUMIF($C$19:$C3153,$C3153,$G$19:$G3153),"")</f>
        <v>81211.819999998</v>
      </c>
      <c r="I3153" s="147"/>
      <c r="J3153" s="147"/>
      <c r="K3153" s="147" t="str">
        <f t="shared" si="49"/>
        <v/>
      </c>
      <c r="L3153" s="40"/>
      <c r="M3153"/>
      <c r="N3153"/>
      <c r="O3153"/>
      <c r="P3153"/>
      <c r="Q3153"/>
      <c r="R3153"/>
      <c r="S3153"/>
      <c r="T3153"/>
      <c r="U3153"/>
      <c r="V3153"/>
      <c r="W3153" s="41"/>
      <c r="X3153" s="41"/>
      <c r="Y3153" s="41"/>
    </row>
    <row r="3154" s="27" customFormat="1" ht="23" hidden="1" customHeight="1" spans="1:25">
      <c r="A3154" s="133" t="str">
        <f>IF(B3154="","",COUNTA($B$5:B3154))</f>
        <v/>
      </c>
      <c r="B3154" s="148"/>
      <c r="C3154" s="22" t="s">
        <v>49</v>
      </c>
      <c r="D3154" s="149"/>
      <c r="E3154" s="150"/>
      <c r="F3154" s="151"/>
      <c r="G3154" s="151"/>
      <c r="H3154" s="142">
        <f>IFERROR(VLOOKUP($C3154,$C$5:$H$18,6,0)+SUMIF($C$19:$C3154,$C3154,$F$19:$F3154)-SUMIF($C$19:$C3154,$C3154,$G$19:$G3154),"")</f>
        <v>81211.819999998</v>
      </c>
      <c r="I3154" s="147"/>
      <c r="J3154" s="147"/>
      <c r="K3154" s="147" t="str">
        <f t="shared" si="49"/>
        <v/>
      </c>
      <c r="L3154" s="40"/>
      <c r="M3154"/>
      <c r="N3154"/>
      <c r="O3154"/>
      <c r="P3154"/>
      <c r="Q3154"/>
      <c r="R3154"/>
      <c r="S3154"/>
      <c r="T3154"/>
      <c r="U3154"/>
      <c r="V3154"/>
      <c r="W3154" s="41"/>
      <c r="X3154" s="41"/>
      <c r="Y3154" s="41"/>
    </row>
    <row r="3155" s="27" customFormat="1" ht="23" hidden="1" customHeight="1" spans="1:25">
      <c r="A3155" s="133" t="str">
        <f>IF(B3155="","",COUNTA($B$5:B3155))</f>
        <v/>
      </c>
      <c r="B3155" s="148"/>
      <c r="C3155" s="22" t="s">
        <v>49</v>
      </c>
      <c r="D3155" s="149"/>
      <c r="E3155" s="150"/>
      <c r="F3155" s="151"/>
      <c r="G3155" s="151"/>
      <c r="H3155" s="142">
        <f>IFERROR(VLOOKUP($C3155,$C$5:$H$18,6,0)+SUMIF($C$19:$C3155,$C3155,$F$19:$F3155)-SUMIF($C$19:$C3155,$C3155,$G$19:$G3155),"")</f>
        <v>81211.819999998</v>
      </c>
      <c r="I3155" s="147"/>
      <c r="J3155" s="147"/>
      <c r="K3155" s="147" t="str">
        <f t="shared" si="49"/>
        <v/>
      </c>
      <c r="L3155" s="40"/>
      <c r="M3155"/>
      <c r="N3155"/>
      <c r="O3155"/>
      <c r="P3155"/>
      <c r="Q3155"/>
      <c r="R3155"/>
      <c r="S3155"/>
      <c r="T3155"/>
      <c r="U3155"/>
      <c r="V3155"/>
      <c r="W3155" s="41"/>
      <c r="X3155" s="41"/>
      <c r="Y3155" s="41"/>
    </row>
    <row r="3156" s="27" customFormat="1" ht="23" hidden="1" customHeight="1" spans="1:25">
      <c r="A3156" s="133" t="str">
        <f>IF(B3156="","",COUNTA($B$5:B3156))</f>
        <v/>
      </c>
      <c r="B3156" s="148"/>
      <c r="C3156" s="22" t="s">
        <v>49</v>
      </c>
      <c r="D3156" s="149"/>
      <c r="E3156" s="150"/>
      <c r="F3156" s="151"/>
      <c r="G3156" s="151"/>
      <c r="H3156" s="142">
        <f>IFERROR(VLOOKUP($C3156,$C$5:$H$18,6,0)+SUMIF($C$19:$C3156,$C3156,$F$19:$F3156)-SUMIF($C$19:$C3156,$C3156,$G$19:$G3156),"")</f>
        <v>81211.819999998</v>
      </c>
      <c r="I3156" s="147"/>
      <c r="J3156" s="147"/>
      <c r="K3156" s="147" t="str">
        <f t="shared" si="49"/>
        <v/>
      </c>
      <c r="L3156" s="40"/>
      <c r="M3156"/>
      <c r="N3156"/>
      <c r="O3156"/>
      <c r="P3156"/>
      <c r="Q3156"/>
      <c r="R3156"/>
      <c r="S3156"/>
      <c r="T3156"/>
      <c r="U3156"/>
      <c r="V3156"/>
      <c r="W3156" s="41"/>
      <c r="X3156" s="41"/>
      <c r="Y3156" s="41"/>
    </row>
    <row r="3157" s="27" customFormat="1" ht="23" hidden="1" customHeight="1" spans="1:25">
      <c r="A3157" s="133" t="str">
        <f>IF(B3157="","",COUNTA($B$5:B3157))</f>
        <v/>
      </c>
      <c r="B3157" s="148"/>
      <c r="C3157" s="22" t="s">
        <v>49</v>
      </c>
      <c r="D3157" s="149"/>
      <c r="E3157" s="150"/>
      <c r="F3157" s="151"/>
      <c r="G3157" s="151"/>
      <c r="H3157" s="142">
        <f>IFERROR(VLOOKUP($C3157,$C$5:$H$18,6,0)+SUMIF($C$19:$C3157,$C3157,$F$19:$F3157)-SUMIF($C$19:$C3157,$C3157,$G$19:$G3157),"")</f>
        <v>81211.819999998</v>
      </c>
      <c r="I3157" s="147"/>
      <c r="J3157" s="147"/>
      <c r="K3157" s="147" t="str">
        <f t="shared" si="49"/>
        <v/>
      </c>
      <c r="L3157" s="40"/>
      <c r="M3157"/>
      <c r="N3157"/>
      <c r="O3157"/>
      <c r="P3157"/>
      <c r="Q3157"/>
      <c r="R3157"/>
      <c r="S3157"/>
      <c r="T3157"/>
      <c r="U3157"/>
      <c r="V3157"/>
      <c r="W3157" s="41"/>
      <c r="X3157" s="41"/>
      <c r="Y3157" s="41"/>
    </row>
    <row r="3158" s="27" customFormat="1" ht="23" hidden="1" customHeight="1" spans="1:25">
      <c r="A3158" s="133" t="str">
        <f>IF(B3158="","",COUNTA($B$5:B3158))</f>
        <v/>
      </c>
      <c r="B3158" s="148"/>
      <c r="C3158" s="22" t="s">
        <v>49</v>
      </c>
      <c r="D3158" s="149"/>
      <c r="E3158" s="150"/>
      <c r="F3158" s="151"/>
      <c r="G3158" s="151"/>
      <c r="H3158" s="142">
        <f>IFERROR(VLOOKUP($C3158,$C$5:$H$18,6,0)+SUMIF($C$19:$C3158,$C3158,$F$19:$F3158)-SUMIF($C$19:$C3158,$C3158,$G$19:$G3158),"")</f>
        <v>81211.819999998</v>
      </c>
      <c r="I3158" s="147"/>
      <c r="J3158" s="147"/>
      <c r="K3158" s="147" t="str">
        <f t="shared" si="49"/>
        <v/>
      </c>
      <c r="L3158" s="40"/>
      <c r="M3158"/>
      <c r="N3158"/>
      <c r="O3158"/>
      <c r="P3158"/>
      <c r="Q3158"/>
      <c r="R3158"/>
      <c r="S3158"/>
      <c r="T3158"/>
      <c r="U3158"/>
      <c r="V3158"/>
      <c r="W3158" s="41"/>
      <c r="X3158" s="41"/>
      <c r="Y3158" s="41"/>
    </row>
    <row r="3159" s="27" customFormat="1" ht="23" hidden="1" customHeight="1" spans="1:25">
      <c r="A3159" s="133" t="str">
        <f>IF(B3159="","",COUNTA($B$5:B3159))</f>
        <v/>
      </c>
      <c r="B3159" s="148"/>
      <c r="C3159" s="22" t="s">
        <v>49</v>
      </c>
      <c r="D3159" s="149"/>
      <c r="E3159" s="150"/>
      <c r="F3159" s="151"/>
      <c r="G3159" s="151"/>
      <c r="H3159" s="142">
        <f>IFERROR(VLOOKUP($C3159,$C$5:$H$18,6,0)+SUMIF($C$19:$C3159,$C3159,$F$19:$F3159)-SUMIF($C$19:$C3159,$C3159,$G$19:$G3159),"")</f>
        <v>81211.819999998</v>
      </c>
      <c r="I3159" s="147"/>
      <c r="J3159" s="147"/>
      <c r="K3159" s="147" t="str">
        <f t="shared" si="49"/>
        <v/>
      </c>
      <c r="L3159" s="40"/>
      <c r="M3159"/>
      <c r="N3159"/>
      <c r="O3159"/>
      <c r="P3159"/>
      <c r="Q3159"/>
      <c r="R3159"/>
      <c r="S3159"/>
      <c r="T3159"/>
      <c r="U3159"/>
      <c r="V3159"/>
      <c r="W3159" s="41"/>
      <c r="X3159" s="41"/>
      <c r="Y3159" s="41"/>
    </row>
    <row r="3160" s="27" customFormat="1" ht="23" hidden="1" customHeight="1" spans="1:25">
      <c r="A3160" s="133" t="str">
        <f>IF(B3160="","",COUNTA($B$5:B3160))</f>
        <v/>
      </c>
      <c r="B3160" s="148"/>
      <c r="C3160" s="22" t="s">
        <v>49</v>
      </c>
      <c r="D3160" s="149"/>
      <c r="E3160" s="150"/>
      <c r="F3160" s="151"/>
      <c r="G3160" s="151"/>
      <c r="H3160" s="142">
        <f>IFERROR(VLOOKUP($C3160,$C$5:$H$18,6,0)+SUMIF($C$19:$C3160,$C3160,$F$19:$F3160)-SUMIF($C$19:$C3160,$C3160,$G$19:$G3160),"")</f>
        <v>81211.819999998</v>
      </c>
      <c r="I3160" s="147"/>
      <c r="J3160" s="147"/>
      <c r="K3160" s="147" t="str">
        <f t="shared" si="49"/>
        <v/>
      </c>
      <c r="L3160" s="40"/>
      <c r="M3160"/>
      <c r="N3160"/>
      <c r="O3160"/>
      <c r="P3160"/>
      <c r="Q3160"/>
      <c r="R3160"/>
      <c r="S3160"/>
      <c r="T3160"/>
      <c r="U3160"/>
      <c r="V3160"/>
      <c r="W3160" s="41"/>
      <c r="X3160" s="41"/>
      <c r="Y3160" s="41"/>
    </row>
    <row r="3161" s="27" customFormat="1" ht="23" hidden="1" customHeight="1" spans="1:25">
      <c r="A3161" s="133" t="str">
        <f>IF(B3161="","",COUNTA($B$5:B3161))</f>
        <v/>
      </c>
      <c r="B3161" s="148"/>
      <c r="C3161" s="22" t="s">
        <v>49</v>
      </c>
      <c r="D3161" s="149"/>
      <c r="E3161" s="150"/>
      <c r="F3161" s="151"/>
      <c r="G3161" s="151"/>
      <c r="H3161" s="142">
        <f>IFERROR(VLOOKUP($C3161,$C$5:$H$18,6,0)+SUMIF($C$19:$C3161,$C3161,$F$19:$F3161)-SUMIF($C$19:$C3161,$C3161,$G$19:$G3161),"")</f>
        <v>81211.819999998</v>
      </c>
      <c r="I3161" s="147"/>
      <c r="J3161" s="147"/>
      <c r="K3161" s="147" t="str">
        <f t="shared" si="49"/>
        <v/>
      </c>
      <c r="L3161" s="40"/>
      <c r="M3161"/>
      <c r="N3161"/>
      <c r="O3161"/>
      <c r="P3161"/>
      <c r="Q3161"/>
      <c r="R3161"/>
      <c r="S3161"/>
      <c r="T3161"/>
      <c r="U3161"/>
      <c r="V3161"/>
      <c r="W3161" s="41"/>
      <c r="X3161" s="41"/>
      <c r="Y3161" s="41"/>
    </row>
    <row r="3162" s="27" customFormat="1" ht="23" hidden="1" customHeight="1" spans="1:25">
      <c r="A3162" s="133" t="str">
        <f>IF(B3162="","",COUNTA($B$5:B3162))</f>
        <v/>
      </c>
      <c r="B3162" s="148"/>
      <c r="C3162" s="22" t="s">
        <v>49</v>
      </c>
      <c r="D3162" s="149"/>
      <c r="E3162" s="150"/>
      <c r="F3162" s="151"/>
      <c r="G3162" s="151"/>
      <c r="H3162" s="142">
        <f>IFERROR(VLOOKUP($C3162,$C$5:$H$18,6,0)+SUMIF($C$19:$C3162,$C3162,$F$19:$F3162)-SUMIF($C$19:$C3162,$C3162,$G$19:$G3162),"")</f>
        <v>81211.819999998</v>
      </c>
      <c r="I3162" s="147"/>
      <c r="J3162" s="147"/>
      <c r="K3162" s="147" t="str">
        <f t="shared" si="49"/>
        <v/>
      </c>
      <c r="L3162" s="40"/>
      <c r="M3162"/>
      <c r="N3162"/>
      <c r="O3162"/>
      <c r="P3162"/>
      <c r="Q3162"/>
      <c r="R3162"/>
      <c r="S3162"/>
      <c r="T3162"/>
      <c r="U3162"/>
      <c r="V3162"/>
      <c r="W3162" s="41"/>
      <c r="X3162" s="41"/>
      <c r="Y3162" s="41"/>
    </row>
    <row r="3163" s="27" customFormat="1" ht="23" hidden="1" customHeight="1" spans="1:25">
      <c r="A3163" s="133" t="str">
        <f>IF(B3163="","",COUNTA($B$5:B3163))</f>
        <v/>
      </c>
      <c r="B3163" s="148"/>
      <c r="C3163" s="22" t="s">
        <v>49</v>
      </c>
      <c r="D3163" s="149"/>
      <c r="E3163" s="150"/>
      <c r="F3163" s="151"/>
      <c r="G3163" s="151"/>
      <c r="H3163" s="142">
        <f>IFERROR(VLOOKUP($C3163,$C$5:$H$18,6,0)+SUMIF($C$19:$C3163,$C3163,$F$19:$F3163)-SUMIF($C$19:$C3163,$C3163,$G$19:$G3163),"")</f>
        <v>81211.819999998</v>
      </c>
      <c r="I3163" s="147"/>
      <c r="J3163" s="147"/>
      <c r="K3163" s="147" t="str">
        <f t="shared" si="49"/>
        <v/>
      </c>
      <c r="L3163" s="40"/>
      <c r="M3163"/>
      <c r="N3163"/>
      <c r="O3163"/>
      <c r="P3163"/>
      <c r="Q3163"/>
      <c r="R3163"/>
      <c r="S3163"/>
      <c r="T3163"/>
      <c r="U3163"/>
      <c r="V3163"/>
      <c r="W3163" s="41"/>
      <c r="X3163" s="41"/>
      <c r="Y3163" s="41"/>
    </row>
    <row r="3164" s="27" customFormat="1" ht="23" hidden="1" customHeight="1" spans="1:25">
      <c r="A3164" s="133" t="str">
        <f>IF(B3164="","",COUNTA($B$5:B3164))</f>
        <v/>
      </c>
      <c r="B3164" s="148"/>
      <c r="C3164" s="22" t="s">
        <v>49</v>
      </c>
      <c r="D3164" s="149"/>
      <c r="E3164" s="150"/>
      <c r="F3164" s="151"/>
      <c r="G3164" s="151"/>
      <c r="H3164" s="142">
        <f>IFERROR(VLOOKUP($C3164,$C$5:$H$18,6,0)+SUMIF($C$19:$C3164,$C3164,$F$19:$F3164)-SUMIF($C$19:$C3164,$C3164,$G$19:$G3164),"")</f>
        <v>81211.819999998</v>
      </c>
      <c r="I3164" s="147"/>
      <c r="J3164" s="147"/>
      <c r="K3164" s="147" t="str">
        <f t="shared" si="49"/>
        <v/>
      </c>
      <c r="L3164" s="40"/>
      <c r="M3164"/>
      <c r="N3164"/>
      <c r="O3164"/>
      <c r="P3164"/>
      <c r="Q3164"/>
      <c r="R3164"/>
      <c r="S3164"/>
      <c r="T3164"/>
      <c r="U3164"/>
      <c r="V3164"/>
      <c r="W3164" s="41"/>
      <c r="X3164" s="41"/>
      <c r="Y3164" s="41"/>
    </row>
    <row r="3165" s="27" customFormat="1" ht="23" hidden="1" customHeight="1" spans="1:25">
      <c r="A3165" s="133" t="str">
        <f>IF(B3165="","",COUNTA($B$5:B3165))</f>
        <v/>
      </c>
      <c r="B3165" s="148"/>
      <c r="C3165" s="22" t="s">
        <v>49</v>
      </c>
      <c r="D3165" s="149"/>
      <c r="E3165" s="150"/>
      <c r="F3165" s="151"/>
      <c r="G3165" s="151"/>
      <c r="H3165" s="142">
        <f>IFERROR(VLOOKUP($C3165,$C$5:$H$18,6,0)+SUMIF($C$19:$C3165,$C3165,$F$19:$F3165)-SUMIF($C$19:$C3165,$C3165,$G$19:$G3165),"")</f>
        <v>81211.819999998</v>
      </c>
      <c r="I3165" s="147"/>
      <c r="J3165" s="147"/>
      <c r="K3165" s="147" t="str">
        <f t="shared" si="49"/>
        <v/>
      </c>
      <c r="L3165" s="40"/>
      <c r="M3165"/>
      <c r="N3165"/>
      <c r="O3165"/>
      <c r="P3165"/>
      <c r="Q3165"/>
      <c r="R3165"/>
      <c r="S3165"/>
      <c r="T3165"/>
      <c r="U3165"/>
      <c r="V3165"/>
      <c r="W3165" s="41"/>
      <c r="X3165" s="41"/>
      <c r="Y3165" s="41"/>
    </row>
    <row r="3166" s="27" customFormat="1" ht="23" hidden="1" customHeight="1" spans="1:25">
      <c r="A3166" s="133" t="str">
        <f>IF(B3166="","",COUNTA($B$5:B3166))</f>
        <v/>
      </c>
      <c r="B3166" s="148"/>
      <c r="C3166" s="22" t="s">
        <v>49</v>
      </c>
      <c r="D3166" s="149"/>
      <c r="E3166" s="150"/>
      <c r="F3166" s="151"/>
      <c r="G3166" s="151"/>
      <c r="H3166" s="142">
        <f>IFERROR(VLOOKUP($C3166,$C$5:$H$18,6,0)+SUMIF($C$19:$C3166,$C3166,$F$19:$F3166)-SUMIF($C$19:$C3166,$C3166,$G$19:$G3166),"")</f>
        <v>81211.819999998</v>
      </c>
      <c r="I3166" s="147"/>
      <c r="J3166" s="147"/>
      <c r="K3166" s="147" t="str">
        <f t="shared" si="49"/>
        <v/>
      </c>
      <c r="L3166" s="40"/>
      <c r="M3166"/>
      <c r="N3166"/>
      <c r="O3166"/>
      <c r="P3166"/>
      <c r="Q3166"/>
      <c r="R3166"/>
      <c r="S3166"/>
      <c r="T3166"/>
      <c r="U3166"/>
      <c r="V3166"/>
      <c r="W3166" s="41"/>
      <c r="X3166" s="41"/>
      <c r="Y3166" s="41"/>
    </row>
    <row r="3167" s="27" customFormat="1" ht="23" hidden="1" customHeight="1" spans="1:25">
      <c r="A3167" s="133" t="str">
        <f>IF(B3167="","",COUNTA($B$5:B3167))</f>
        <v/>
      </c>
      <c r="B3167" s="148"/>
      <c r="C3167" s="22" t="s">
        <v>49</v>
      </c>
      <c r="D3167" s="149"/>
      <c r="E3167" s="150"/>
      <c r="F3167" s="151"/>
      <c r="G3167" s="151"/>
      <c r="H3167" s="142">
        <f>IFERROR(VLOOKUP($C3167,$C$5:$H$18,6,0)+SUMIF($C$19:$C3167,$C3167,$F$19:$F3167)-SUMIF($C$19:$C3167,$C3167,$G$19:$G3167),"")</f>
        <v>81211.819999998</v>
      </c>
      <c r="I3167" s="147"/>
      <c r="J3167" s="147"/>
      <c r="K3167" s="147" t="str">
        <f t="shared" si="49"/>
        <v/>
      </c>
      <c r="L3167" s="40"/>
      <c r="M3167"/>
      <c r="N3167"/>
      <c r="O3167"/>
      <c r="P3167"/>
      <c r="Q3167"/>
      <c r="R3167"/>
      <c r="S3167"/>
      <c r="T3167"/>
      <c r="U3167"/>
      <c r="V3167"/>
      <c r="W3167" s="41"/>
      <c r="X3167" s="41"/>
      <c r="Y3167" s="41"/>
    </row>
    <row r="3168" s="27" customFormat="1" ht="23" hidden="1" customHeight="1" spans="1:25">
      <c r="A3168" s="133" t="str">
        <f>IF(B3168="","",COUNTA($B$5:B3168))</f>
        <v/>
      </c>
      <c r="B3168" s="148"/>
      <c r="C3168" s="22" t="s">
        <v>49</v>
      </c>
      <c r="D3168" s="149"/>
      <c r="E3168" s="150"/>
      <c r="F3168" s="151"/>
      <c r="G3168" s="151"/>
      <c r="H3168" s="142">
        <f>IFERROR(VLOOKUP($C3168,$C$5:$H$18,6,0)+SUMIF($C$19:$C3168,$C3168,$F$19:$F3168)-SUMIF($C$19:$C3168,$C3168,$G$19:$G3168),"")</f>
        <v>81211.819999998</v>
      </c>
      <c r="I3168" s="147"/>
      <c r="J3168" s="147"/>
      <c r="K3168" s="147" t="str">
        <f t="shared" si="49"/>
        <v/>
      </c>
      <c r="L3168" s="40"/>
      <c r="M3168"/>
      <c r="N3168"/>
      <c r="O3168"/>
      <c r="P3168"/>
      <c r="Q3168"/>
      <c r="R3168"/>
      <c r="S3168"/>
      <c r="T3168"/>
      <c r="U3168"/>
      <c r="V3168"/>
      <c r="W3168" s="41"/>
      <c r="X3168" s="41"/>
      <c r="Y3168" s="41"/>
    </row>
    <row r="3169" s="27" customFormat="1" ht="23" hidden="1" customHeight="1" spans="1:25">
      <c r="A3169" s="133" t="str">
        <f>IF(B3169="","",COUNTA($B$5:B3169))</f>
        <v/>
      </c>
      <c r="B3169" s="148"/>
      <c r="C3169" s="22" t="s">
        <v>49</v>
      </c>
      <c r="D3169" s="149"/>
      <c r="E3169" s="150"/>
      <c r="F3169" s="151"/>
      <c r="G3169" s="151"/>
      <c r="H3169" s="142">
        <f>IFERROR(VLOOKUP($C3169,$C$5:$H$18,6,0)+SUMIF($C$19:$C3169,$C3169,$F$19:$F3169)-SUMIF($C$19:$C3169,$C3169,$G$19:$G3169),"")</f>
        <v>81211.819999998</v>
      </c>
      <c r="I3169" s="147"/>
      <c r="J3169" s="147"/>
      <c r="K3169" s="147" t="str">
        <f t="shared" si="49"/>
        <v/>
      </c>
      <c r="L3169" s="40"/>
      <c r="M3169"/>
      <c r="N3169"/>
      <c r="O3169"/>
      <c r="P3169"/>
      <c r="Q3169"/>
      <c r="R3169"/>
      <c r="S3169"/>
      <c r="T3169"/>
      <c r="U3169"/>
      <c r="V3169"/>
      <c r="W3169" s="41"/>
      <c r="X3169" s="41"/>
      <c r="Y3169" s="41"/>
    </row>
    <row r="3170" s="27" customFormat="1" ht="23" hidden="1" customHeight="1" spans="1:25">
      <c r="A3170" s="133" t="str">
        <f>IF(B3170="","",COUNTA($B$5:B3170))</f>
        <v/>
      </c>
      <c r="B3170" s="148"/>
      <c r="C3170" s="22" t="s">
        <v>49</v>
      </c>
      <c r="D3170" s="149"/>
      <c r="E3170" s="150"/>
      <c r="F3170" s="151"/>
      <c r="G3170" s="151"/>
      <c r="H3170" s="142">
        <f>IFERROR(VLOOKUP($C3170,$C$5:$H$18,6,0)+SUMIF($C$19:$C3170,$C3170,$F$19:$F3170)-SUMIF($C$19:$C3170,$C3170,$G$19:$G3170),"")</f>
        <v>81211.819999998</v>
      </c>
      <c r="I3170" s="147"/>
      <c r="J3170" s="147"/>
      <c r="K3170" s="147" t="str">
        <f t="shared" si="49"/>
        <v/>
      </c>
      <c r="L3170" s="40"/>
      <c r="M3170"/>
      <c r="N3170"/>
      <c r="O3170"/>
      <c r="P3170"/>
      <c r="Q3170"/>
      <c r="R3170"/>
      <c r="S3170"/>
      <c r="T3170"/>
      <c r="U3170"/>
      <c r="V3170"/>
      <c r="W3170" s="41"/>
      <c r="X3170" s="41"/>
      <c r="Y3170" s="41"/>
    </row>
    <row r="3171" s="27" customFormat="1" ht="23" hidden="1" customHeight="1" spans="1:25">
      <c r="A3171" s="133" t="str">
        <f>IF(B3171="","",COUNTA($B$5:B3171))</f>
        <v/>
      </c>
      <c r="B3171" s="148"/>
      <c r="C3171" s="22" t="s">
        <v>49</v>
      </c>
      <c r="D3171" s="149"/>
      <c r="E3171" s="150"/>
      <c r="F3171" s="151"/>
      <c r="G3171" s="151"/>
      <c r="H3171" s="142">
        <f>IFERROR(VLOOKUP($C3171,$C$5:$H$18,6,0)+SUMIF($C$19:$C3171,$C3171,$F$19:$F3171)-SUMIF($C$19:$C3171,$C3171,$G$19:$G3171),"")</f>
        <v>81211.819999998</v>
      </c>
      <c r="I3171" s="147"/>
      <c r="J3171" s="147"/>
      <c r="K3171" s="147" t="str">
        <f t="shared" si="49"/>
        <v/>
      </c>
      <c r="L3171" s="40"/>
      <c r="M3171"/>
      <c r="N3171"/>
      <c r="O3171"/>
      <c r="P3171"/>
      <c r="Q3171"/>
      <c r="R3171"/>
      <c r="S3171"/>
      <c r="T3171"/>
      <c r="U3171"/>
      <c r="V3171"/>
      <c r="W3171" s="41"/>
      <c r="X3171" s="41"/>
      <c r="Y3171" s="41"/>
    </row>
    <row r="3172" s="27" customFormat="1" ht="23" hidden="1" customHeight="1" spans="1:25">
      <c r="A3172" s="133" t="str">
        <f>IF(B3172="","",COUNTA($B$5:B3172))</f>
        <v/>
      </c>
      <c r="B3172" s="148"/>
      <c r="C3172" s="22" t="s">
        <v>49</v>
      </c>
      <c r="D3172" s="149"/>
      <c r="E3172" s="150"/>
      <c r="F3172" s="151"/>
      <c r="G3172" s="151"/>
      <c r="H3172" s="142">
        <f>IFERROR(VLOOKUP($C3172,$C$5:$H$18,6,0)+SUMIF($C$19:$C3172,$C3172,$F$19:$F3172)-SUMIF($C$19:$C3172,$C3172,$G$19:$G3172),"")</f>
        <v>81211.819999998</v>
      </c>
      <c r="I3172" s="147"/>
      <c r="J3172" s="147"/>
      <c r="K3172" s="147" t="str">
        <f t="shared" si="49"/>
        <v/>
      </c>
      <c r="L3172" s="40"/>
      <c r="M3172"/>
      <c r="N3172"/>
      <c r="O3172"/>
      <c r="P3172"/>
      <c r="Q3172"/>
      <c r="R3172"/>
      <c r="S3172"/>
      <c r="T3172"/>
      <c r="U3172"/>
      <c r="V3172"/>
      <c r="W3172" s="41"/>
      <c r="X3172" s="41"/>
      <c r="Y3172" s="41"/>
    </row>
    <row r="3173" s="27" customFormat="1" ht="23" hidden="1" customHeight="1" spans="1:25">
      <c r="A3173" s="133" t="str">
        <f>IF(B3173="","",COUNTA($B$5:B3173))</f>
        <v/>
      </c>
      <c r="B3173" s="148"/>
      <c r="C3173" s="22" t="s">
        <v>49</v>
      </c>
      <c r="D3173" s="149"/>
      <c r="E3173" s="150"/>
      <c r="F3173" s="151"/>
      <c r="G3173" s="151"/>
      <c r="H3173" s="142">
        <f>IFERROR(VLOOKUP($C3173,$C$5:$H$18,6,0)+SUMIF($C$19:$C3173,$C3173,$F$19:$F3173)-SUMIF($C$19:$C3173,$C3173,$G$19:$G3173),"")</f>
        <v>81211.819999998</v>
      </c>
      <c r="I3173" s="147"/>
      <c r="J3173" s="147"/>
      <c r="K3173" s="147" t="str">
        <f t="shared" si="49"/>
        <v/>
      </c>
      <c r="L3173" s="40"/>
      <c r="M3173"/>
      <c r="N3173"/>
      <c r="O3173"/>
      <c r="P3173"/>
      <c r="Q3173"/>
      <c r="R3173"/>
      <c r="S3173"/>
      <c r="T3173"/>
      <c r="U3173"/>
      <c r="V3173"/>
      <c r="W3173" s="41"/>
      <c r="X3173" s="41"/>
      <c r="Y3173" s="41"/>
    </row>
    <row r="3174" s="27" customFormat="1" ht="23" hidden="1" customHeight="1" spans="1:25">
      <c r="A3174" s="133" t="str">
        <f>IF(B3174="","",COUNTA($B$5:B3174))</f>
        <v/>
      </c>
      <c r="B3174" s="148"/>
      <c r="C3174" s="22" t="s">
        <v>49</v>
      </c>
      <c r="D3174" s="149"/>
      <c r="E3174" s="150"/>
      <c r="F3174" s="151"/>
      <c r="G3174" s="151"/>
      <c r="H3174" s="142">
        <f>IFERROR(VLOOKUP($C3174,$C$5:$H$18,6,0)+SUMIF($C$19:$C3174,$C3174,$F$19:$F3174)-SUMIF($C$19:$C3174,$C3174,$G$19:$G3174),"")</f>
        <v>81211.819999998</v>
      </c>
      <c r="I3174" s="147"/>
      <c r="J3174" s="147"/>
      <c r="K3174" s="147" t="str">
        <f t="shared" si="49"/>
        <v/>
      </c>
      <c r="L3174" s="40"/>
      <c r="M3174"/>
      <c r="N3174"/>
      <c r="O3174"/>
      <c r="P3174"/>
      <c r="Q3174"/>
      <c r="R3174"/>
      <c r="S3174"/>
      <c r="T3174"/>
      <c r="U3174"/>
      <c r="V3174"/>
      <c r="W3174" s="41"/>
      <c r="X3174" s="41"/>
      <c r="Y3174" s="41"/>
    </row>
    <row r="3175" s="27" customFormat="1" ht="23" hidden="1" customHeight="1" spans="1:25">
      <c r="A3175" s="133" t="str">
        <f>IF(B3175="","",COUNTA($B$5:B3175))</f>
        <v/>
      </c>
      <c r="B3175" s="148"/>
      <c r="C3175" s="22" t="s">
        <v>49</v>
      </c>
      <c r="D3175" s="149"/>
      <c r="E3175" s="150"/>
      <c r="F3175" s="151"/>
      <c r="G3175" s="151"/>
      <c r="H3175" s="142">
        <f>IFERROR(VLOOKUP($C3175,$C$5:$H$18,6,0)+SUMIF($C$19:$C3175,$C3175,$F$19:$F3175)-SUMIF($C$19:$C3175,$C3175,$G$19:$G3175),"")</f>
        <v>81211.819999998</v>
      </c>
      <c r="I3175" s="147"/>
      <c r="J3175" s="147"/>
      <c r="K3175" s="147" t="str">
        <f t="shared" si="49"/>
        <v/>
      </c>
      <c r="L3175" s="40"/>
      <c r="M3175"/>
      <c r="N3175"/>
      <c r="O3175"/>
      <c r="P3175"/>
      <c r="Q3175"/>
      <c r="R3175"/>
      <c r="S3175"/>
      <c r="T3175"/>
      <c r="U3175"/>
      <c r="V3175"/>
      <c r="W3175" s="41"/>
      <c r="X3175" s="41"/>
      <c r="Y3175" s="41"/>
    </row>
    <row r="3176" s="27" customFormat="1" ht="23" hidden="1" customHeight="1" spans="1:25">
      <c r="A3176" s="133" t="str">
        <f>IF(B3176="","",COUNTA($B$5:B3176))</f>
        <v/>
      </c>
      <c r="B3176" s="148"/>
      <c r="C3176" s="22" t="s">
        <v>49</v>
      </c>
      <c r="D3176" s="149"/>
      <c r="E3176" s="150"/>
      <c r="F3176" s="151"/>
      <c r="G3176" s="151"/>
      <c r="H3176" s="142">
        <f>IFERROR(VLOOKUP($C3176,$C$5:$H$18,6,0)+SUMIF($C$19:$C3176,$C3176,$F$19:$F3176)-SUMIF($C$19:$C3176,$C3176,$G$19:$G3176),"")</f>
        <v>81211.819999998</v>
      </c>
      <c r="I3176" s="147"/>
      <c r="J3176" s="147"/>
      <c r="K3176" s="147" t="str">
        <f t="shared" si="49"/>
        <v/>
      </c>
      <c r="L3176" s="40"/>
      <c r="M3176"/>
      <c r="N3176"/>
      <c r="O3176"/>
      <c r="P3176"/>
      <c r="Q3176"/>
      <c r="R3176"/>
      <c r="S3176"/>
      <c r="T3176"/>
      <c r="U3176"/>
      <c r="V3176"/>
      <c r="W3176" s="41"/>
      <c r="X3176" s="41"/>
      <c r="Y3176" s="41"/>
    </row>
    <row r="3177" s="27" customFormat="1" ht="23" hidden="1" customHeight="1" spans="1:25">
      <c r="A3177" s="133" t="str">
        <f>IF(B3177="","",COUNTA($B$5:B3177))</f>
        <v/>
      </c>
      <c r="B3177" s="148"/>
      <c r="C3177" s="22" t="s">
        <v>49</v>
      </c>
      <c r="D3177" s="149"/>
      <c r="E3177" s="150"/>
      <c r="F3177" s="151"/>
      <c r="G3177" s="151"/>
      <c r="H3177" s="142">
        <f>IFERROR(VLOOKUP($C3177,$C$5:$H$18,6,0)+SUMIF($C$19:$C3177,$C3177,$F$19:$F3177)-SUMIF($C$19:$C3177,$C3177,$G$19:$G3177),"")</f>
        <v>81211.819999998</v>
      </c>
      <c r="I3177" s="147"/>
      <c r="J3177" s="147"/>
      <c r="K3177" s="147" t="str">
        <f t="shared" si="49"/>
        <v/>
      </c>
      <c r="L3177" s="40"/>
      <c r="M3177"/>
      <c r="N3177"/>
      <c r="O3177"/>
      <c r="P3177"/>
      <c r="Q3177"/>
      <c r="R3177"/>
      <c r="S3177"/>
      <c r="T3177"/>
      <c r="U3177"/>
      <c r="V3177"/>
      <c r="W3177" s="41"/>
      <c r="X3177" s="41"/>
      <c r="Y3177" s="41"/>
    </row>
    <row r="3178" s="27" customFormat="1" ht="23" hidden="1" customHeight="1" spans="1:25">
      <c r="A3178" s="133" t="str">
        <f>IF(B3178="","",COUNTA($B$5:B3178))</f>
        <v/>
      </c>
      <c r="B3178" s="148"/>
      <c r="C3178" s="22" t="s">
        <v>49</v>
      </c>
      <c r="D3178" s="149"/>
      <c r="E3178" s="150"/>
      <c r="F3178" s="151"/>
      <c r="G3178" s="151"/>
      <c r="H3178" s="142">
        <f>IFERROR(VLOOKUP($C3178,$C$5:$H$18,6,0)+SUMIF($C$19:$C3178,$C3178,$F$19:$F3178)-SUMIF($C$19:$C3178,$C3178,$G$19:$G3178),"")</f>
        <v>81211.819999998</v>
      </c>
      <c r="I3178" s="147"/>
      <c r="J3178" s="147"/>
      <c r="K3178" s="147" t="str">
        <f t="shared" si="49"/>
        <v/>
      </c>
      <c r="L3178" s="40"/>
      <c r="M3178"/>
      <c r="N3178"/>
      <c r="O3178"/>
      <c r="P3178"/>
      <c r="Q3178"/>
      <c r="R3178"/>
      <c r="S3178"/>
      <c r="T3178"/>
      <c r="U3178"/>
      <c r="V3178"/>
      <c r="W3178" s="41"/>
      <c r="X3178" s="41"/>
      <c r="Y3178" s="41"/>
    </row>
    <row r="3179" s="27" customFormat="1" ht="23" hidden="1" customHeight="1" spans="1:25">
      <c r="A3179" s="133" t="str">
        <f>IF(B3179="","",COUNTA($B$5:B3179))</f>
        <v/>
      </c>
      <c r="B3179" s="148"/>
      <c r="C3179" s="22" t="s">
        <v>49</v>
      </c>
      <c r="D3179" s="149"/>
      <c r="E3179" s="150"/>
      <c r="F3179" s="151"/>
      <c r="G3179" s="151"/>
      <c r="H3179" s="142">
        <f>IFERROR(VLOOKUP($C3179,$C$5:$H$18,6,0)+SUMIF($C$19:$C3179,$C3179,$F$19:$F3179)-SUMIF($C$19:$C3179,$C3179,$G$19:$G3179),"")</f>
        <v>81211.819999998</v>
      </c>
      <c r="I3179" s="147"/>
      <c r="J3179" s="147"/>
      <c r="K3179" s="147" t="str">
        <f t="shared" si="49"/>
        <v/>
      </c>
      <c r="L3179" s="40"/>
      <c r="M3179"/>
      <c r="N3179"/>
      <c r="O3179"/>
      <c r="P3179"/>
      <c r="Q3179"/>
      <c r="R3179"/>
      <c r="S3179"/>
      <c r="T3179"/>
      <c r="U3179"/>
      <c r="V3179"/>
      <c r="W3179" s="41"/>
      <c r="X3179" s="41"/>
      <c r="Y3179" s="41"/>
    </row>
    <row r="3180" s="27" customFormat="1" ht="23" hidden="1" customHeight="1" spans="1:25">
      <c r="A3180" s="133" t="str">
        <f>IF(B3180="","",COUNTA($B$5:B3180))</f>
        <v/>
      </c>
      <c r="B3180" s="148"/>
      <c r="C3180" s="22" t="s">
        <v>49</v>
      </c>
      <c r="D3180" s="149"/>
      <c r="E3180" s="150"/>
      <c r="F3180" s="151"/>
      <c r="G3180" s="151"/>
      <c r="H3180" s="142">
        <f>IFERROR(VLOOKUP($C3180,$C$5:$H$18,6,0)+SUMIF($C$19:$C3180,$C3180,$F$19:$F3180)-SUMIF($C$19:$C3180,$C3180,$G$19:$G3180),"")</f>
        <v>81211.819999998</v>
      </c>
      <c r="I3180" s="147"/>
      <c r="J3180" s="147"/>
      <c r="K3180" s="147" t="str">
        <f t="shared" si="49"/>
        <v/>
      </c>
      <c r="L3180" s="40"/>
      <c r="M3180"/>
      <c r="N3180"/>
      <c r="O3180"/>
      <c r="P3180"/>
      <c r="Q3180"/>
      <c r="R3180"/>
      <c r="S3180"/>
      <c r="T3180"/>
      <c r="U3180"/>
      <c r="V3180"/>
      <c r="W3180" s="41"/>
      <c r="X3180" s="41"/>
      <c r="Y3180" s="41"/>
    </row>
    <row r="3181" s="27" customFormat="1" ht="23" hidden="1" customHeight="1" spans="1:25">
      <c r="A3181" s="133" t="str">
        <f>IF(B3181="","",COUNTA($B$5:B3181))</f>
        <v/>
      </c>
      <c r="B3181" s="148"/>
      <c r="C3181" s="22" t="s">
        <v>49</v>
      </c>
      <c r="D3181" s="149"/>
      <c r="E3181" s="150"/>
      <c r="F3181" s="151"/>
      <c r="G3181" s="151"/>
      <c r="H3181" s="142">
        <f>IFERROR(VLOOKUP($C3181,$C$5:$H$18,6,0)+SUMIF($C$19:$C3181,$C3181,$F$19:$F3181)-SUMIF($C$19:$C3181,$C3181,$G$19:$G3181),"")</f>
        <v>81211.819999998</v>
      </c>
      <c r="I3181" s="147"/>
      <c r="J3181" s="147"/>
      <c r="K3181" s="147" t="str">
        <f t="shared" si="49"/>
        <v/>
      </c>
      <c r="L3181" s="40"/>
      <c r="M3181"/>
      <c r="N3181"/>
      <c r="O3181"/>
      <c r="P3181"/>
      <c r="Q3181"/>
      <c r="R3181"/>
      <c r="S3181"/>
      <c r="T3181"/>
      <c r="U3181"/>
      <c r="V3181"/>
      <c r="W3181" s="41"/>
      <c r="X3181" s="41"/>
      <c r="Y3181" s="41"/>
    </row>
    <row r="3182" s="27" customFormat="1" ht="23" hidden="1" customHeight="1" spans="1:25">
      <c r="A3182" s="133" t="str">
        <f>IF(B3182="","",COUNTA($B$5:B3182))</f>
        <v/>
      </c>
      <c r="B3182" s="148"/>
      <c r="C3182" s="22" t="s">
        <v>49</v>
      </c>
      <c r="D3182" s="149"/>
      <c r="E3182" s="150"/>
      <c r="F3182" s="151"/>
      <c r="G3182" s="151"/>
      <c r="H3182" s="142">
        <f>IFERROR(VLOOKUP($C3182,$C$5:$H$18,6,0)+SUMIF($C$19:$C3182,$C3182,$F$19:$F3182)-SUMIF($C$19:$C3182,$C3182,$G$19:$G3182),"")</f>
        <v>81211.819999998</v>
      </c>
      <c r="I3182" s="147"/>
      <c r="J3182" s="147"/>
      <c r="K3182" s="147" t="str">
        <f t="shared" si="49"/>
        <v/>
      </c>
      <c r="L3182" s="40"/>
      <c r="M3182"/>
      <c r="N3182"/>
      <c r="O3182"/>
      <c r="P3182"/>
      <c r="Q3182"/>
      <c r="R3182"/>
      <c r="S3182"/>
      <c r="T3182"/>
      <c r="U3182"/>
      <c r="V3182"/>
      <c r="W3182" s="41"/>
      <c r="X3182" s="41"/>
      <c r="Y3182" s="41"/>
    </row>
    <row r="3183" s="27" customFormat="1" ht="23" hidden="1" customHeight="1" spans="1:25">
      <c r="A3183" s="133" t="str">
        <f>IF(B3183="","",COUNTA($B$5:B3183))</f>
        <v/>
      </c>
      <c r="B3183" s="148"/>
      <c r="C3183" s="22" t="s">
        <v>49</v>
      </c>
      <c r="D3183" s="149"/>
      <c r="E3183" s="150"/>
      <c r="F3183" s="151"/>
      <c r="G3183" s="151"/>
      <c r="H3183" s="142">
        <f>IFERROR(VLOOKUP($C3183,$C$5:$H$18,6,0)+SUMIF($C$19:$C3183,$C3183,$F$19:$F3183)-SUMIF($C$19:$C3183,$C3183,$G$19:$G3183),"")</f>
        <v>81211.819999998</v>
      </c>
      <c r="I3183" s="147"/>
      <c r="J3183" s="147"/>
      <c r="K3183" s="147" t="str">
        <f t="shared" si="49"/>
        <v/>
      </c>
      <c r="L3183" s="40"/>
      <c r="M3183"/>
      <c r="N3183"/>
      <c r="O3183"/>
      <c r="P3183"/>
      <c r="Q3183"/>
      <c r="R3183"/>
      <c r="S3183"/>
      <c r="T3183"/>
      <c r="U3183"/>
      <c r="V3183"/>
      <c r="W3183" s="41"/>
      <c r="X3183" s="41"/>
      <c r="Y3183" s="41"/>
    </row>
    <row r="3184" s="27" customFormat="1" ht="23" hidden="1" customHeight="1" spans="1:25">
      <c r="A3184" s="133" t="str">
        <f>IF(B3184="","",COUNTA($B$5:B3184))</f>
        <v/>
      </c>
      <c r="B3184" s="148"/>
      <c r="C3184" s="22" t="s">
        <v>49</v>
      </c>
      <c r="D3184" s="149"/>
      <c r="E3184" s="150"/>
      <c r="F3184" s="151"/>
      <c r="G3184" s="151"/>
      <c r="H3184" s="142">
        <f>IFERROR(VLOOKUP($C3184,$C$5:$H$18,6,0)+SUMIF($C$19:$C3184,$C3184,$F$19:$F3184)-SUMIF($C$19:$C3184,$C3184,$G$19:$G3184),"")</f>
        <v>81211.819999998</v>
      </c>
      <c r="I3184" s="147"/>
      <c r="J3184" s="147"/>
      <c r="K3184" s="147" t="str">
        <f t="shared" si="49"/>
        <v/>
      </c>
      <c r="L3184" s="40"/>
      <c r="M3184"/>
      <c r="N3184"/>
      <c r="O3184"/>
      <c r="P3184"/>
      <c r="Q3184"/>
      <c r="R3184"/>
      <c r="S3184"/>
      <c r="T3184"/>
      <c r="U3184"/>
      <c r="V3184"/>
      <c r="W3184" s="41"/>
      <c r="X3184" s="41"/>
      <c r="Y3184" s="41"/>
    </row>
    <row r="3185" s="27" customFormat="1" ht="23" hidden="1" customHeight="1" spans="1:25">
      <c r="A3185" s="133" t="str">
        <f>IF(B3185="","",COUNTA($B$5:B3185))</f>
        <v/>
      </c>
      <c r="B3185" s="148"/>
      <c r="C3185" s="22" t="s">
        <v>49</v>
      </c>
      <c r="D3185" s="149"/>
      <c r="E3185" s="150"/>
      <c r="F3185" s="151"/>
      <c r="G3185" s="151"/>
      <c r="H3185" s="142">
        <f>IFERROR(VLOOKUP($C3185,$C$5:$H$18,6,0)+SUMIF($C$19:$C3185,$C3185,$F$19:$F3185)-SUMIF($C$19:$C3185,$C3185,$G$19:$G3185),"")</f>
        <v>81211.819999998</v>
      </c>
      <c r="I3185" s="147"/>
      <c r="J3185" s="147"/>
      <c r="K3185" s="147" t="str">
        <f t="shared" si="49"/>
        <v/>
      </c>
      <c r="L3185" s="40"/>
      <c r="M3185"/>
      <c r="N3185"/>
      <c r="O3185"/>
      <c r="P3185"/>
      <c r="Q3185"/>
      <c r="R3185"/>
      <c r="S3185"/>
      <c r="T3185"/>
      <c r="U3185"/>
      <c r="V3185"/>
      <c r="W3185" s="41"/>
      <c r="X3185" s="41"/>
      <c r="Y3185" s="41"/>
    </row>
    <row r="3186" s="27" customFormat="1" ht="23" hidden="1" customHeight="1" spans="1:25">
      <c r="A3186" s="133" t="str">
        <f>IF(B3186="","",COUNTA($B$5:B3186))</f>
        <v/>
      </c>
      <c r="B3186" s="148"/>
      <c r="C3186" s="22" t="s">
        <v>49</v>
      </c>
      <c r="D3186" s="149"/>
      <c r="E3186" s="150"/>
      <c r="F3186" s="151"/>
      <c r="G3186" s="151"/>
      <c r="H3186" s="142">
        <f>IFERROR(VLOOKUP($C3186,$C$5:$H$18,6,0)+SUMIF($C$19:$C3186,$C3186,$F$19:$F3186)-SUMIF($C$19:$C3186,$C3186,$G$19:$G3186),"")</f>
        <v>81211.819999998</v>
      </c>
      <c r="I3186" s="147"/>
      <c r="J3186" s="147"/>
      <c r="K3186" s="147" t="str">
        <f t="shared" si="49"/>
        <v/>
      </c>
      <c r="L3186" s="40"/>
      <c r="M3186"/>
      <c r="N3186"/>
      <c r="O3186"/>
      <c r="P3186"/>
      <c r="Q3186"/>
      <c r="R3186"/>
      <c r="S3186"/>
      <c r="T3186"/>
      <c r="U3186"/>
      <c r="V3186"/>
      <c r="W3186" s="41"/>
      <c r="X3186" s="41"/>
      <c r="Y3186" s="41"/>
    </row>
    <row r="3187" s="27" customFormat="1" ht="23" hidden="1" customHeight="1" spans="1:25">
      <c r="A3187" s="133" t="str">
        <f>IF(B3187="","",COUNTA($B$5:B3187))</f>
        <v/>
      </c>
      <c r="B3187" s="148"/>
      <c r="C3187" s="22" t="s">
        <v>49</v>
      </c>
      <c r="D3187" s="149"/>
      <c r="E3187" s="150"/>
      <c r="F3187" s="151"/>
      <c r="G3187" s="151"/>
      <c r="H3187" s="142">
        <f>IFERROR(VLOOKUP($C3187,$C$5:$H$18,6,0)+SUMIF($C$19:$C3187,$C3187,$F$19:$F3187)-SUMIF($C$19:$C3187,$C3187,$G$19:$G3187),"")</f>
        <v>81211.819999998</v>
      </c>
      <c r="I3187" s="147"/>
      <c r="J3187" s="147"/>
      <c r="K3187" s="147" t="str">
        <f t="shared" si="49"/>
        <v/>
      </c>
      <c r="L3187" s="40"/>
      <c r="M3187"/>
      <c r="N3187"/>
      <c r="O3187"/>
      <c r="P3187"/>
      <c r="Q3187"/>
      <c r="R3187"/>
      <c r="S3187"/>
      <c r="T3187"/>
      <c r="U3187"/>
      <c r="V3187"/>
      <c r="W3187" s="41"/>
      <c r="X3187" s="41"/>
      <c r="Y3187" s="41"/>
    </row>
    <row r="3188" s="27" customFormat="1" ht="23" hidden="1" customHeight="1" spans="1:25">
      <c r="A3188" s="133" t="str">
        <f>IF(B3188="","",COUNTA($B$5:B3188))</f>
        <v/>
      </c>
      <c r="B3188" s="148"/>
      <c r="C3188" s="22" t="s">
        <v>49</v>
      </c>
      <c r="D3188" s="149"/>
      <c r="E3188" s="150"/>
      <c r="F3188" s="151"/>
      <c r="G3188" s="151"/>
      <c r="H3188" s="142">
        <f>IFERROR(VLOOKUP($C3188,$C$5:$H$18,6,0)+SUMIF($C$19:$C3188,$C3188,$F$19:$F3188)-SUMIF($C$19:$C3188,$C3188,$G$19:$G3188),"")</f>
        <v>81211.819999998</v>
      </c>
      <c r="I3188" s="147"/>
      <c r="J3188" s="147"/>
      <c r="K3188" s="147" t="str">
        <f t="shared" si="49"/>
        <v/>
      </c>
      <c r="L3188" s="40"/>
      <c r="M3188"/>
      <c r="N3188"/>
      <c r="O3188"/>
      <c r="P3188"/>
      <c r="Q3188"/>
      <c r="R3188"/>
      <c r="S3188"/>
      <c r="T3188"/>
      <c r="U3188"/>
      <c r="V3188"/>
      <c r="W3188" s="41"/>
      <c r="X3188" s="41"/>
      <c r="Y3188" s="41"/>
    </row>
    <row r="3189" s="27" customFormat="1" ht="23" hidden="1" customHeight="1" spans="1:25">
      <c r="A3189" s="133" t="str">
        <f>IF(B3189="","",COUNTA($B$5:B3189))</f>
        <v/>
      </c>
      <c r="B3189" s="148"/>
      <c r="C3189" s="22" t="s">
        <v>49</v>
      </c>
      <c r="D3189" s="149"/>
      <c r="E3189" s="150"/>
      <c r="F3189" s="151"/>
      <c r="G3189" s="151"/>
      <c r="H3189" s="142">
        <f>IFERROR(VLOOKUP($C3189,$C$5:$H$18,6,0)+SUMIF($C$19:$C3189,$C3189,$F$19:$F3189)-SUMIF($C$19:$C3189,$C3189,$G$19:$G3189),"")</f>
        <v>81211.819999998</v>
      </c>
      <c r="I3189" s="147"/>
      <c r="J3189" s="147"/>
      <c r="K3189" s="147" t="str">
        <f t="shared" si="49"/>
        <v/>
      </c>
      <c r="L3189" s="40"/>
      <c r="M3189"/>
      <c r="N3189"/>
      <c r="O3189"/>
      <c r="P3189"/>
      <c r="Q3189"/>
      <c r="R3189"/>
      <c r="S3189"/>
      <c r="T3189"/>
      <c r="U3189"/>
      <c r="V3189"/>
      <c r="W3189" s="41"/>
      <c r="X3189" s="41"/>
      <c r="Y3189" s="41"/>
    </row>
    <row r="3190" s="27" customFormat="1" ht="23" hidden="1" customHeight="1" spans="1:25">
      <c r="A3190" s="133" t="str">
        <f>IF(B3190="","",COUNTA($B$5:B3190))</f>
        <v/>
      </c>
      <c r="B3190" s="148"/>
      <c r="C3190" s="22" t="s">
        <v>49</v>
      </c>
      <c r="D3190" s="149"/>
      <c r="E3190" s="150"/>
      <c r="F3190" s="151"/>
      <c r="G3190" s="151"/>
      <c r="H3190" s="142">
        <f>IFERROR(VLOOKUP($C3190,$C$5:$H$18,6,0)+SUMIF($C$19:$C3190,$C3190,$F$19:$F3190)-SUMIF($C$19:$C3190,$C3190,$G$19:$G3190),"")</f>
        <v>81211.819999998</v>
      </c>
      <c r="I3190" s="147"/>
      <c r="J3190" s="147"/>
      <c r="K3190" s="147" t="str">
        <f t="shared" si="49"/>
        <v/>
      </c>
      <c r="L3190" s="40"/>
      <c r="M3190"/>
      <c r="N3190"/>
      <c r="O3190"/>
      <c r="P3190"/>
      <c r="Q3190"/>
      <c r="R3190"/>
      <c r="S3190"/>
      <c r="T3190"/>
      <c r="U3190"/>
      <c r="V3190"/>
      <c r="W3190" s="41"/>
      <c r="X3190" s="41"/>
      <c r="Y3190" s="41"/>
    </row>
    <row r="3191" s="27" customFormat="1" ht="23" hidden="1" customHeight="1" spans="1:25">
      <c r="A3191" s="133" t="str">
        <f>IF(B3191="","",COUNTA($B$5:B3191))</f>
        <v/>
      </c>
      <c r="B3191" s="148"/>
      <c r="C3191" s="22" t="s">
        <v>49</v>
      </c>
      <c r="D3191" s="149"/>
      <c r="E3191" s="150"/>
      <c r="F3191" s="151"/>
      <c r="G3191" s="151"/>
      <c r="H3191" s="142">
        <f>IFERROR(VLOOKUP($C3191,$C$5:$H$18,6,0)+SUMIF($C$19:$C3191,$C3191,$F$19:$F3191)-SUMIF($C$19:$C3191,$C3191,$G$19:$G3191),"")</f>
        <v>81211.819999998</v>
      </c>
      <c r="I3191" s="147"/>
      <c r="J3191" s="147"/>
      <c r="K3191" s="147" t="str">
        <f t="shared" si="49"/>
        <v/>
      </c>
      <c r="L3191" s="40"/>
      <c r="M3191"/>
      <c r="N3191"/>
      <c r="O3191"/>
      <c r="P3191"/>
      <c r="Q3191"/>
      <c r="R3191"/>
      <c r="S3191"/>
      <c r="T3191"/>
      <c r="U3191"/>
      <c r="V3191"/>
      <c r="W3191" s="41"/>
      <c r="X3191" s="41"/>
      <c r="Y3191" s="41"/>
    </row>
    <row r="3192" s="27" customFormat="1" ht="23" hidden="1" customHeight="1" spans="1:25">
      <c r="A3192" s="133" t="str">
        <f>IF(B3192="","",COUNTA($B$5:B3192))</f>
        <v/>
      </c>
      <c r="B3192" s="148"/>
      <c r="C3192" s="22" t="s">
        <v>49</v>
      </c>
      <c r="D3192" s="149"/>
      <c r="E3192" s="150"/>
      <c r="F3192" s="151"/>
      <c r="G3192" s="151"/>
      <c r="H3192" s="142">
        <f>IFERROR(VLOOKUP($C3192,$C$5:$H$18,6,0)+SUMIF($C$19:$C3192,$C3192,$F$19:$F3192)-SUMIF($C$19:$C3192,$C3192,$G$19:$G3192),"")</f>
        <v>81211.819999998</v>
      </c>
      <c r="I3192" s="147"/>
      <c r="J3192" s="147"/>
      <c r="K3192" s="147" t="str">
        <f t="shared" si="49"/>
        <v/>
      </c>
      <c r="L3192" s="40"/>
      <c r="M3192"/>
      <c r="N3192"/>
      <c r="O3192"/>
      <c r="P3192"/>
      <c r="Q3192"/>
      <c r="R3192"/>
      <c r="S3192"/>
      <c r="T3192"/>
      <c r="U3192"/>
      <c r="V3192"/>
      <c r="W3192" s="41"/>
      <c r="X3192" s="41"/>
      <c r="Y3192" s="41"/>
    </row>
    <row r="3193" s="27" customFormat="1" ht="23" hidden="1" customHeight="1" spans="1:25">
      <c r="A3193" s="133" t="str">
        <f>IF(B3193="","",COUNTA($B$5:B3193))</f>
        <v/>
      </c>
      <c r="B3193" s="148"/>
      <c r="C3193" s="22" t="s">
        <v>49</v>
      </c>
      <c r="D3193" s="149"/>
      <c r="E3193" s="150"/>
      <c r="F3193" s="151"/>
      <c r="G3193" s="151"/>
      <c r="H3193" s="142">
        <f>IFERROR(VLOOKUP($C3193,$C$5:$H$18,6,0)+SUMIF($C$19:$C3193,$C3193,$F$19:$F3193)-SUMIF($C$19:$C3193,$C3193,$G$19:$G3193),"")</f>
        <v>81211.819999998</v>
      </c>
      <c r="I3193" s="147"/>
      <c r="J3193" s="147"/>
      <c r="K3193" s="147" t="str">
        <f t="shared" si="49"/>
        <v/>
      </c>
      <c r="L3193" s="40"/>
      <c r="M3193"/>
      <c r="N3193"/>
      <c r="O3193"/>
      <c r="P3193"/>
      <c r="Q3193"/>
      <c r="R3193"/>
      <c r="S3193"/>
      <c r="T3193"/>
      <c r="U3193"/>
      <c r="V3193"/>
      <c r="W3193" s="41"/>
      <c r="X3193" s="41"/>
      <c r="Y3193" s="41"/>
    </row>
    <row r="3194" s="27" customFormat="1" ht="23" hidden="1" customHeight="1" spans="1:25">
      <c r="A3194" s="133" t="str">
        <f>IF(B3194="","",COUNTA($B$5:B3194))</f>
        <v/>
      </c>
      <c r="B3194" s="148"/>
      <c r="C3194" s="22" t="s">
        <v>49</v>
      </c>
      <c r="D3194" s="149"/>
      <c r="E3194" s="150"/>
      <c r="F3194" s="151"/>
      <c r="G3194" s="151"/>
      <c r="H3194" s="142">
        <f>IFERROR(VLOOKUP($C3194,$C$5:$H$18,6,0)+SUMIF($C$19:$C3194,$C3194,$F$19:$F3194)-SUMIF($C$19:$C3194,$C3194,$G$19:$G3194),"")</f>
        <v>81211.819999998</v>
      </c>
      <c r="I3194" s="147"/>
      <c r="J3194" s="147"/>
      <c r="K3194" s="147" t="str">
        <f t="shared" si="49"/>
        <v/>
      </c>
      <c r="L3194" s="40"/>
      <c r="M3194"/>
      <c r="N3194"/>
      <c r="O3194"/>
      <c r="P3194"/>
      <c r="Q3194"/>
      <c r="R3194"/>
      <c r="S3194"/>
      <c r="T3194"/>
      <c r="U3194"/>
      <c r="V3194"/>
      <c r="W3194" s="41"/>
      <c r="X3194" s="41"/>
      <c r="Y3194" s="41"/>
    </row>
    <row r="3195" s="27" customFormat="1" ht="23" hidden="1" customHeight="1" spans="1:25">
      <c r="A3195" s="133" t="str">
        <f>IF(B3195="","",COUNTA($B$5:B3195))</f>
        <v/>
      </c>
      <c r="B3195" s="148"/>
      <c r="C3195" s="22" t="s">
        <v>49</v>
      </c>
      <c r="D3195" s="149"/>
      <c r="E3195" s="150"/>
      <c r="F3195" s="151"/>
      <c r="G3195" s="151"/>
      <c r="H3195" s="142">
        <f>IFERROR(VLOOKUP($C3195,$C$5:$H$18,6,0)+SUMIF($C$19:$C3195,$C3195,$F$19:$F3195)-SUMIF($C$19:$C3195,$C3195,$G$19:$G3195),"")</f>
        <v>81211.819999998</v>
      </c>
      <c r="I3195" s="147"/>
      <c r="J3195" s="147"/>
      <c r="K3195" s="147" t="str">
        <f t="shared" si="49"/>
        <v/>
      </c>
      <c r="L3195" s="40"/>
      <c r="M3195"/>
      <c r="N3195"/>
      <c r="O3195"/>
      <c r="P3195"/>
      <c r="Q3195"/>
      <c r="R3195"/>
      <c r="S3195"/>
      <c r="T3195"/>
      <c r="U3195"/>
      <c r="V3195"/>
      <c r="W3195" s="41"/>
      <c r="X3195" s="41"/>
      <c r="Y3195" s="41"/>
    </row>
    <row r="3196" s="27" customFormat="1" ht="23" hidden="1" customHeight="1" spans="1:25">
      <c r="A3196" s="133" t="str">
        <f>IF(B3196="","",COUNTA($B$5:B3196))</f>
        <v/>
      </c>
      <c r="B3196" s="148"/>
      <c r="C3196" s="22" t="s">
        <v>49</v>
      </c>
      <c r="D3196" s="149"/>
      <c r="E3196" s="150"/>
      <c r="F3196" s="151"/>
      <c r="G3196" s="151"/>
      <c r="H3196" s="142">
        <f>IFERROR(VLOOKUP($C3196,$C$5:$H$18,6,0)+SUMIF($C$19:$C3196,$C3196,$F$19:$F3196)-SUMIF($C$19:$C3196,$C3196,$G$19:$G3196),"")</f>
        <v>81211.819999998</v>
      </c>
      <c r="I3196" s="147"/>
      <c r="J3196" s="147"/>
      <c r="K3196" s="147" t="str">
        <f t="shared" si="49"/>
        <v/>
      </c>
      <c r="L3196" s="40"/>
      <c r="M3196"/>
      <c r="N3196"/>
      <c r="O3196"/>
      <c r="P3196"/>
      <c r="Q3196"/>
      <c r="R3196"/>
      <c r="S3196"/>
      <c r="T3196"/>
      <c r="U3196"/>
      <c r="V3196"/>
      <c r="W3196" s="41"/>
      <c r="X3196" s="41"/>
      <c r="Y3196" s="41"/>
    </row>
    <row r="3197" s="27" customFormat="1" ht="23" hidden="1" customHeight="1" spans="1:25">
      <c r="A3197" s="133" t="str">
        <f>IF(B3197="","",COUNTA($B$5:B3197))</f>
        <v/>
      </c>
      <c r="B3197" s="148"/>
      <c r="C3197" s="22" t="s">
        <v>49</v>
      </c>
      <c r="D3197" s="149"/>
      <c r="E3197" s="150"/>
      <c r="F3197" s="151"/>
      <c r="G3197" s="151"/>
      <c r="H3197" s="142">
        <f>IFERROR(VLOOKUP($C3197,$C$5:$H$18,6,0)+SUMIF($C$19:$C3197,$C3197,$F$19:$F3197)-SUMIF($C$19:$C3197,$C3197,$G$19:$G3197),"")</f>
        <v>81211.819999998</v>
      </c>
      <c r="I3197" s="147"/>
      <c r="J3197" s="147"/>
      <c r="K3197" s="147" t="str">
        <f t="shared" si="49"/>
        <v/>
      </c>
      <c r="L3197" s="40"/>
      <c r="M3197"/>
      <c r="N3197"/>
      <c r="O3197"/>
      <c r="P3197"/>
      <c r="Q3197"/>
      <c r="R3197"/>
      <c r="S3197"/>
      <c r="T3197"/>
      <c r="U3197"/>
      <c r="V3197"/>
      <c r="W3197" s="41"/>
      <c r="X3197" s="41"/>
      <c r="Y3197" s="41"/>
    </row>
    <row r="3198" s="27" customFormat="1" ht="23" hidden="1" customHeight="1" spans="1:25">
      <c r="A3198" s="133" t="str">
        <f>IF(B3198="","",COUNTA($B$5:B3198))</f>
        <v/>
      </c>
      <c r="B3198" s="148"/>
      <c r="C3198" s="22" t="s">
        <v>49</v>
      </c>
      <c r="D3198" s="149"/>
      <c r="E3198" s="150"/>
      <c r="F3198" s="151"/>
      <c r="G3198" s="151"/>
      <c r="H3198" s="142">
        <f>IFERROR(VLOOKUP($C3198,$C$5:$H$18,6,0)+SUMIF($C$19:$C3198,$C3198,$F$19:$F3198)-SUMIF($C$19:$C3198,$C3198,$G$19:$G3198),"")</f>
        <v>81211.819999998</v>
      </c>
      <c r="I3198" s="147"/>
      <c r="J3198" s="147"/>
      <c r="K3198" s="147" t="str">
        <f t="shared" si="49"/>
        <v/>
      </c>
      <c r="L3198" s="40"/>
      <c r="M3198"/>
      <c r="N3198"/>
      <c r="O3198"/>
      <c r="P3198"/>
      <c r="Q3198"/>
      <c r="R3198"/>
      <c r="S3198"/>
      <c r="T3198"/>
      <c r="U3198"/>
      <c r="V3198"/>
      <c r="W3198" s="41"/>
      <c r="X3198" s="41"/>
      <c r="Y3198" s="41"/>
    </row>
    <row r="3199" s="27" customFormat="1" ht="23" hidden="1" customHeight="1" spans="1:25">
      <c r="A3199" s="133" t="str">
        <f>IF(B3199="","",COUNTA($B$5:B3199))</f>
        <v/>
      </c>
      <c r="B3199" s="148"/>
      <c r="C3199" s="22" t="s">
        <v>49</v>
      </c>
      <c r="D3199" s="149"/>
      <c r="E3199" s="150"/>
      <c r="F3199" s="151"/>
      <c r="G3199" s="151"/>
      <c r="H3199" s="142">
        <f>IFERROR(VLOOKUP($C3199,$C$5:$H$18,6,0)+SUMIF($C$19:$C3199,$C3199,$F$19:$F3199)-SUMIF($C$19:$C3199,$C3199,$G$19:$G3199),"")</f>
        <v>81211.819999998</v>
      </c>
      <c r="I3199" s="147"/>
      <c r="J3199" s="147"/>
      <c r="K3199" s="147" t="str">
        <f t="shared" si="49"/>
        <v/>
      </c>
      <c r="L3199" s="40"/>
      <c r="M3199"/>
      <c r="N3199"/>
      <c r="O3199"/>
      <c r="P3199"/>
      <c r="Q3199"/>
      <c r="R3199"/>
      <c r="S3199"/>
      <c r="T3199"/>
      <c r="U3199"/>
      <c r="V3199"/>
      <c r="W3199" s="41"/>
      <c r="X3199" s="41"/>
      <c r="Y3199" s="41"/>
    </row>
    <row r="3200" s="27" customFormat="1" ht="23" hidden="1" customHeight="1" spans="1:25">
      <c r="A3200" s="133" t="str">
        <f>IF(B3200="","",COUNTA($B$5:B3200))</f>
        <v/>
      </c>
      <c r="B3200" s="148"/>
      <c r="C3200" s="22" t="s">
        <v>49</v>
      </c>
      <c r="D3200" s="149"/>
      <c r="E3200" s="150"/>
      <c r="F3200" s="151"/>
      <c r="G3200" s="151"/>
      <c r="H3200" s="142">
        <f>IFERROR(VLOOKUP($C3200,$C$5:$H$18,6,0)+SUMIF($C$19:$C3200,$C3200,$F$19:$F3200)-SUMIF($C$19:$C3200,$C3200,$G$19:$G3200),"")</f>
        <v>81211.819999998</v>
      </c>
      <c r="I3200" s="147"/>
      <c r="J3200" s="147"/>
      <c r="K3200" s="147" t="str">
        <f t="shared" si="49"/>
        <v/>
      </c>
      <c r="L3200" s="40"/>
      <c r="M3200"/>
      <c r="N3200"/>
      <c r="O3200"/>
      <c r="P3200"/>
      <c r="Q3200"/>
      <c r="R3200"/>
      <c r="S3200"/>
      <c r="T3200"/>
      <c r="U3200"/>
      <c r="V3200"/>
      <c r="W3200" s="41"/>
      <c r="X3200" s="41"/>
      <c r="Y3200" s="41"/>
    </row>
    <row r="3201" s="27" customFormat="1" ht="23" hidden="1" customHeight="1" spans="1:25">
      <c r="A3201" s="133" t="str">
        <f>IF(B3201="","",COUNTA($B$5:B3201))</f>
        <v/>
      </c>
      <c r="B3201" s="148"/>
      <c r="C3201" s="22" t="s">
        <v>49</v>
      </c>
      <c r="D3201" s="149"/>
      <c r="E3201" s="150"/>
      <c r="F3201" s="151"/>
      <c r="G3201" s="151"/>
      <c r="H3201" s="142">
        <f>IFERROR(VLOOKUP($C3201,$C$5:$H$18,6,0)+SUMIF($C$19:$C3201,$C3201,$F$19:$F3201)-SUMIF($C$19:$C3201,$C3201,$G$19:$G3201),"")</f>
        <v>81211.819999998</v>
      </c>
      <c r="I3201" s="147"/>
      <c r="J3201" s="147"/>
      <c r="K3201" s="147" t="str">
        <f t="shared" si="49"/>
        <v/>
      </c>
      <c r="L3201" s="40"/>
      <c r="M3201"/>
      <c r="N3201"/>
      <c r="O3201"/>
      <c r="P3201"/>
      <c r="Q3201"/>
      <c r="R3201"/>
      <c r="S3201"/>
      <c r="T3201"/>
      <c r="U3201"/>
      <c r="V3201"/>
      <c r="W3201" s="41"/>
      <c r="X3201" s="41"/>
      <c r="Y3201" s="41"/>
    </row>
    <row r="3202" s="27" customFormat="1" ht="23" hidden="1" customHeight="1" spans="1:25">
      <c r="A3202" s="133" t="str">
        <f>IF(B3202="","",COUNTA($B$5:B3202))</f>
        <v/>
      </c>
      <c r="B3202" s="148"/>
      <c r="C3202" s="22" t="s">
        <v>49</v>
      </c>
      <c r="D3202" s="149"/>
      <c r="E3202" s="150"/>
      <c r="F3202" s="151"/>
      <c r="G3202" s="151"/>
      <c r="H3202" s="142">
        <f>IFERROR(VLOOKUP($C3202,$C$5:$H$18,6,0)+SUMIF($C$19:$C3202,$C3202,$F$19:$F3202)-SUMIF($C$19:$C3202,$C3202,$G$19:$G3202),"")</f>
        <v>81211.819999998</v>
      </c>
      <c r="I3202" s="147"/>
      <c r="J3202" s="147"/>
      <c r="K3202" s="147" t="str">
        <f t="shared" si="49"/>
        <v/>
      </c>
      <c r="L3202" s="40"/>
      <c r="M3202"/>
      <c r="N3202"/>
      <c r="O3202"/>
      <c r="P3202"/>
      <c r="Q3202"/>
      <c r="R3202"/>
      <c r="S3202"/>
      <c r="T3202"/>
      <c r="U3202"/>
      <c r="V3202"/>
      <c r="W3202" s="41"/>
      <c r="X3202" s="41"/>
      <c r="Y3202" s="41"/>
    </row>
    <row r="3203" s="27" customFormat="1" ht="23" hidden="1" customHeight="1" spans="1:25">
      <c r="A3203" s="133" t="str">
        <f>IF(B3203="","",COUNTA($B$5:B3203))</f>
        <v/>
      </c>
      <c r="B3203" s="148"/>
      <c r="C3203" s="22" t="s">
        <v>49</v>
      </c>
      <c r="D3203" s="149"/>
      <c r="E3203" s="150"/>
      <c r="F3203" s="151"/>
      <c r="G3203" s="151"/>
      <c r="H3203" s="142">
        <f>IFERROR(VLOOKUP($C3203,$C$5:$H$18,6,0)+SUMIF($C$19:$C3203,$C3203,$F$19:$F3203)-SUMIF($C$19:$C3203,$C3203,$G$19:$G3203),"")</f>
        <v>81211.819999998</v>
      </c>
      <c r="I3203" s="147"/>
      <c r="J3203" s="147"/>
      <c r="K3203" s="147" t="str">
        <f t="shared" si="49"/>
        <v/>
      </c>
      <c r="L3203" s="40"/>
      <c r="M3203"/>
      <c r="N3203"/>
      <c r="O3203"/>
      <c r="P3203"/>
      <c r="Q3203"/>
      <c r="R3203"/>
      <c r="S3203"/>
      <c r="T3203"/>
      <c r="U3203"/>
      <c r="V3203"/>
      <c r="W3203" s="41"/>
      <c r="X3203" s="41"/>
      <c r="Y3203" s="41"/>
    </row>
    <row r="3204" s="27" customFormat="1" ht="23" hidden="1" customHeight="1" spans="1:25">
      <c r="A3204" s="133" t="str">
        <f>IF(B3204="","",COUNTA($B$5:B3204))</f>
        <v/>
      </c>
      <c r="B3204" s="148"/>
      <c r="C3204" s="22" t="s">
        <v>49</v>
      </c>
      <c r="D3204" s="149"/>
      <c r="E3204" s="150"/>
      <c r="F3204" s="151"/>
      <c r="G3204" s="151"/>
      <c r="H3204" s="142">
        <f>IFERROR(VLOOKUP($C3204,$C$5:$H$18,6,0)+SUMIF($C$19:$C3204,$C3204,$F$19:$F3204)-SUMIF($C$19:$C3204,$C3204,$G$19:$G3204),"")</f>
        <v>81211.819999998</v>
      </c>
      <c r="I3204" s="147"/>
      <c r="J3204" s="147"/>
      <c r="K3204" s="147" t="str">
        <f t="shared" si="49"/>
        <v/>
      </c>
      <c r="L3204" s="40"/>
      <c r="M3204"/>
      <c r="N3204"/>
      <c r="O3204"/>
      <c r="P3204"/>
      <c r="Q3204"/>
      <c r="R3204"/>
      <c r="S3204"/>
      <c r="T3204"/>
      <c r="U3204"/>
      <c r="V3204"/>
      <c r="W3204" s="41"/>
      <c r="X3204" s="41"/>
      <c r="Y3204" s="41"/>
    </row>
    <row r="3205" s="27" customFormat="1" ht="23" hidden="1" customHeight="1" spans="1:25">
      <c r="A3205" s="133" t="str">
        <f>IF(B3205="","",COUNTA($B$5:B3205))</f>
        <v/>
      </c>
      <c r="B3205" s="148"/>
      <c r="C3205" s="22" t="s">
        <v>49</v>
      </c>
      <c r="D3205" s="149"/>
      <c r="E3205" s="150"/>
      <c r="F3205" s="151"/>
      <c r="G3205" s="151"/>
      <c r="H3205" s="142">
        <f>IFERROR(VLOOKUP($C3205,$C$5:$H$18,6,0)+SUMIF($C$19:$C3205,$C3205,$F$19:$F3205)-SUMIF($C$19:$C3205,$C3205,$G$19:$G3205),"")</f>
        <v>81211.819999998</v>
      </c>
      <c r="I3205" s="147"/>
      <c r="J3205" s="147"/>
      <c r="K3205" s="147" t="str">
        <f t="shared" ref="K3205:K3268" si="50">IF($B3205="","",--TEXT($B3205,"yyyymm"))</f>
        <v/>
      </c>
      <c r="L3205" s="40"/>
      <c r="M3205"/>
      <c r="N3205"/>
      <c r="O3205"/>
      <c r="P3205"/>
      <c r="Q3205"/>
      <c r="R3205"/>
      <c r="S3205"/>
      <c r="T3205"/>
      <c r="U3205"/>
      <c r="V3205"/>
      <c r="W3205" s="41"/>
      <c r="X3205" s="41"/>
      <c r="Y3205" s="41"/>
    </row>
    <row r="3206" s="27" customFormat="1" ht="23" hidden="1" customHeight="1" spans="1:25">
      <c r="A3206" s="133" t="str">
        <f>IF(B3206="","",COUNTA($B$5:B3206))</f>
        <v/>
      </c>
      <c r="B3206" s="148"/>
      <c r="C3206" s="22" t="s">
        <v>49</v>
      </c>
      <c r="D3206" s="149"/>
      <c r="E3206" s="150"/>
      <c r="F3206" s="151"/>
      <c r="G3206" s="151"/>
      <c r="H3206" s="142">
        <f>IFERROR(VLOOKUP($C3206,$C$5:$H$18,6,0)+SUMIF($C$19:$C3206,$C3206,$F$19:$F3206)-SUMIF($C$19:$C3206,$C3206,$G$19:$G3206),"")</f>
        <v>81211.819999998</v>
      </c>
      <c r="I3206" s="147"/>
      <c r="J3206" s="147"/>
      <c r="K3206" s="147" t="str">
        <f t="shared" si="50"/>
        <v/>
      </c>
      <c r="L3206" s="40"/>
      <c r="M3206"/>
      <c r="N3206"/>
      <c r="O3206"/>
      <c r="P3206"/>
      <c r="Q3206"/>
      <c r="R3206"/>
      <c r="S3206"/>
      <c r="T3206"/>
      <c r="U3206"/>
      <c r="V3206"/>
      <c r="W3206" s="41"/>
      <c r="X3206" s="41"/>
      <c r="Y3206" s="41"/>
    </row>
    <row r="3207" s="27" customFormat="1" ht="23" hidden="1" customHeight="1" spans="1:25">
      <c r="A3207" s="133" t="str">
        <f>IF(B3207="","",COUNTA($B$5:B3207))</f>
        <v/>
      </c>
      <c r="B3207" s="148"/>
      <c r="C3207" s="22" t="s">
        <v>49</v>
      </c>
      <c r="D3207" s="149"/>
      <c r="E3207" s="150"/>
      <c r="F3207" s="151"/>
      <c r="G3207" s="151"/>
      <c r="H3207" s="142">
        <f>IFERROR(VLOOKUP($C3207,$C$5:$H$18,6,0)+SUMIF($C$19:$C3207,$C3207,$F$19:$F3207)-SUMIF($C$19:$C3207,$C3207,$G$19:$G3207),"")</f>
        <v>81211.819999998</v>
      </c>
      <c r="I3207" s="147"/>
      <c r="J3207" s="147"/>
      <c r="K3207" s="147" t="str">
        <f t="shared" si="50"/>
        <v/>
      </c>
      <c r="L3207" s="40"/>
      <c r="M3207"/>
      <c r="N3207"/>
      <c r="O3207"/>
      <c r="P3207"/>
      <c r="Q3207"/>
      <c r="R3207"/>
      <c r="S3207"/>
      <c r="T3207"/>
      <c r="U3207"/>
      <c r="V3207"/>
      <c r="W3207" s="41"/>
      <c r="X3207" s="41"/>
      <c r="Y3207" s="41"/>
    </row>
    <row r="3208" s="27" customFormat="1" ht="23" hidden="1" customHeight="1" spans="1:25">
      <c r="A3208" s="133" t="str">
        <f>IF(B3208="","",COUNTA($B$5:B3208))</f>
        <v/>
      </c>
      <c r="B3208" s="148"/>
      <c r="C3208" s="22" t="s">
        <v>49</v>
      </c>
      <c r="D3208" s="149"/>
      <c r="E3208" s="150"/>
      <c r="F3208" s="151"/>
      <c r="G3208" s="151"/>
      <c r="H3208" s="142">
        <f>IFERROR(VLOOKUP($C3208,$C$5:$H$18,6,0)+SUMIF($C$19:$C3208,$C3208,$F$19:$F3208)-SUMIF($C$19:$C3208,$C3208,$G$19:$G3208),"")</f>
        <v>81211.819999998</v>
      </c>
      <c r="I3208" s="147"/>
      <c r="J3208" s="147"/>
      <c r="K3208" s="147" t="str">
        <f t="shared" si="50"/>
        <v/>
      </c>
      <c r="L3208" s="40"/>
      <c r="M3208"/>
      <c r="N3208"/>
      <c r="O3208"/>
      <c r="P3208"/>
      <c r="Q3208"/>
      <c r="R3208"/>
      <c r="S3208"/>
      <c r="T3208"/>
      <c r="U3208"/>
      <c r="V3208"/>
      <c r="W3208" s="41"/>
      <c r="X3208" s="41"/>
      <c r="Y3208" s="41"/>
    </row>
    <row r="3209" s="27" customFormat="1" ht="23" hidden="1" customHeight="1" spans="1:25">
      <c r="A3209" s="133" t="str">
        <f>IF(B3209="","",COUNTA($B$5:B3209))</f>
        <v/>
      </c>
      <c r="B3209" s="148"/>
      <c r="C3209" s="22" t="s">
        <v>49</v>
      </c>
      <c r="D3209" s="149"/>
      <c r="E3209" s="150"/>
      <c r="F3209" s="151"/>
      <c r="G3209" s="151"/>
      <c r="H3209" s="142">
        <f>IFERROR(VLOOKUP($C3209,$C$5:$H$18,6,0)+SUMIF($C$19:$C3209,$C3209,$F$19:$F3209)-SUMIF($C$19:$C3209,$C3209,$G$19:$G3209),"")</f>
        <v>81211.819999998</v>
      </c>
      <c r="I3209" s="147"/>
      <c r="J3209" s="147"/>
      <c r="K3209" s="147" t="str">
        <f t="shared" si="50"/>
        <v/>
      </c>
      <c r="L3209" s="40"/>
      <c r="M3209"/>
      <c r="N3209"/>
      <c r="O3209"/>
      <c r="P3209"/>
      <c r="Q3209"/>
      <c r="R3209"/>
      <c r="S3209"/>
      <c r="T3209"/>
      <c r="U3209"/>
      <c r="V3209"/>
      <c r="W3209" s="41"/>
      <c r="X3209" s="41"/>
      <c r="Y3209" s="41"/>
    </row>
    <row r="3210" s="27" customFormat="1" ht="23" hidden="1" customHeight="1" spans="1:25">
      <c r="A3210" s="133" t="str">
        <f>IF(B3210="","",COUNTA($B$5:B3210))</f>
        <v/>
      </c>
      <c r="B3210" s="148"/>
      <c r="C3210" s="22" t="s">
        <v>49</v>
      </c>
      <c r="D3210" s="149"/>
      <c r="E3210" s="150"/>
      <c r="F3210" s="151"/>
      <c r="G3210" s="151"/>
      <c r="H3210" s="142">
        <f>IFERROR(VLOOKUP($C3210,$C$5:$H$18,6,0)+SUMIF($C$19:$C3210,$C3210,$F$19:$F3210)-SUMIF($C$19:$C3210,$C3210,$G$19:$G3210),"")</f>
        <v>81211.819999998</v>
      </c>
      <c r="I3210" s="147"/>
      <c r="J3210" s="147"/>
      <c r="K3210" s="147" t="str">
        <f t="shared" si="50"/>
        <v/>
      </c>
      <c r="L3210" s="40"/>
      <c r="M3210"/>
      <c r="N3210"/>
      <c r="O3210"/>
      <c r="P3210"/>
      <c r="Q3210"/>
      <c r="R3210"/>
      <c r="S3210"/>
      <c r="T3210"/>
      <c r="U3210"/>
      <c r="V3210"/>
      <c r="W3210" s="41"/>
      <c r="X3210" s="41"/>
      <c r="Y3210" s="41"/>
    </row>
    <row r="3211" s="27" customFormat="1" ht="23" hidden="1" customHeight="1" spans="1:25">
      <c r="A3211" s="133" t="str">
        <f>IF(B3211="","",COUNTA($B$5:B3211))</f>
        <v/>
      </c>
      <c r="B3211" s="148"/>
      <c r="C3211" s="22" t="s">
        <v>49</v>
      </c>
      <c r="D3211" s="149"/>
      <c r="E3211" s="150"/>
      <c r="F3211" s="151"/>
      <c r="G3211" s="151"/>
      <c r="H3211" s="142">
        <f>IFERROR(VLOOKUP($C3211,$C$5:$H$18,6,0)+SUMIF($C$19:$C3211,$C3211,$F$19:$F3211)-SUMIF($C$19:$C3211,$C3211,$G$19:$G3211),"")</f>
        <v>81211.819999998</v>
      </c>
      <c r="I3211" s="147"/>
      <c r="J3211" s="147"/>
      <c r="K3211" s="147" t="str">
        <f t="shared" si="50"/>
        <v/>
      </c>
      <c r="L3211" s="40"/>
      <c r="M3211"/>
      <c r="N3211"/>
      <c r="O3211"/>
      <c r="P3211"/>
      <c r="Q3211"/>
      <c r="R3211"/>
      <c r="S3211"/>
      <c r="T3211"/>
      <c r="U3211"/>
      <c r="V3211"/>
      <c r="W3211" s="41"/>
      <c r="X3211" s="41"/>
      <c r="Y3211" s="41"/>
    </row>
    <row r="3212" s="27" customFormat="1" ht="23" hidden="1" customHeight="1" spans="1:25">
      <c r="A3212" s="133" t="str">
        <f>IF(B3212="","",COUNTA($B$5:B3212))</f>
        <v/>
      </c>
      <c r="B3212" s="148"/>
      <c r="C3212" s="22" t="s">
        <v>49</v>
      </c>
      <c r="D3212" s="149"/>
      <c r="E3212" s="150"/>
      <c r="F3212" s="151"/>
      <c r="G3212" s="151"/>
      <c r="H3212" s="142">
        <f>IFERROR(VLOOKUP($C3212,$C$5:$H$18,6,0)+SUMIF($C$19:$C3212,$C3212,$F$19:$F3212)-SUMIF($C$19:$C3212,$C3212,$G$19:$G3212),"")</f>
        <v>81211.819999998</v>
      </c>
      <c r="I3212" s="147"/>
      <c r="J3212" s="147"/>
      <c r="K3212" s="147" t="str">
        <f t="shared" si="50"/>
        <v/>
      </c>
      <c r="L3212" s="40"/>
      <c r="M3212"/>
      <c r="N3212"/>
      <c r="O3212"/>
      <c r="P3212"/>
      <c r="Q3212"/>
      <c r="R3212"/>
      <c r="S3212"/>
      <c r="T3212"/>
      <c r="U3212"/>
      <c r="V3212"/>
      <c r="W3212" s="41"/>
      <c r="X3212" s="41"/>
      <c r="Y3212" s="41"/>
    </row>
    <row r="3213" s="27" customFormat="1" ht="23" hidden="1" customHeight="1" spans="1:25">
      <c r="A3213" s="133" t="str">
        <f>IF(B3213="","",COUNTA($B$5:B3213))</f>
        <v/>
      </c>
      <c r="B3213" s="148"/>
      <c r="C3213" s="22" t="s">
        <v>49</v>
      </c>
      <c r="D3213" s="149"/>
      <c r="E3213" s="150"/>
      <c r="F3213" s="151"/>
      <c r="G3213" s="151"/>
      <c r="H3213" s="142">
        <f>IFERROR(VLOOKUP($C3213,$C$5:$H$18,6,0)+SUMIF($C$19:$C3213,$C3213,$F$19:$F3213)-SUMIF($C$19:$C3213,$C3213,$G$19:$G3213),"")</f>
        <v>81211.819999998</v>
      </c>
      <c r="I3213" s="147"/>
      <c r="J3213" s="147"/>
      <c r="K3213" s="147" t="str">
        <f t="shared" si="50"/>
        <v/>
      </c>
      <c r="L3213" s="40"/>
      <c r="M3213"/>
      <c r="N3213"/>
      <c r="O3213"/>
      <c r="P3213"/>
      <c r="Q3213"/>
      <c r="R3213"/>
      <c r="S3213"/>
      <c r="T3213"/>
      <c r="U3213"/>
      <c r="V3213"/>
      <c r="W3213" s="41"/>
      <c r="X3213" s="41"/>
      <c r="Y3213" s="41"/>
    </row>
    <row r="3214" s="27" customFormat="1" ht="23" hidden="1" customHeight="1" spans="1:25">
      <c r="A3214" s="133" t="str">
        <f>IF(B3214="","",COUNTA($B$5:B3214))</f>
        <v/>
      </c>
      <c r="B3214" s="148"/>
      <c r="C3214" s="22" t="s">
        <v>49</v>
      </c>
      <c r="D3214" s="149"/>
      <c r="E3214" s="150"/>
      <c r="F3214" s="151"/>
      <c r="G3214" s="151"/>
      <c r="H3214" s="142">
        <f>IFERROR(VLOOKUP($C3214,$C$5:$H$18,6,0)+SUMIF($C$19:$C3214,$C3214,$F$19:$F3214)-SUMIF($C$19:$C3214,$C3214,$G$19:$G3214),"")</f>
        <v>81211.819999998</v>
      </c>
      <c r="I3214" s="147"/>
      <c r="J3214" s="147"/>
      <c r="K3214" s="147" t="str">
        <f t="shared" si="50"/>
        <v/>
      </c>
      <c r="L3214" s="40"/>
      <c r="M3214"/>
      <c r="N3214"/>
      <c r="O3214"/>
      <c r="P3214"/>
      <c r="Q3214"/>
      <c r="R3214"/>
      <c r="S3214"/>
      <c r="T3214"/>
      <c r="U3214"/>
      <c r="V3214"/>
      <c r="W3214" s="41"/>
      <c r="X3214" s="41"/>
      <c r="Y3214" s="41"/>
    </row>
    <row r="3215" s="27" customFormat="1" ht="23" hidden="1" customHeight="1" spans="1:25">
      <c r="A3215" s="133" t="str">
        <f>IF(B3215="","",COUNTA($B$5:B3215))</f>
        <v/>
      </c>
      <c r="B3215" s="148"/>
      <c r="C3215" s="22" t="s">
        <v>49</v>
      </c>
      <c r="D3215" s="149"/>
      <c r="E3215" s="150"/>
      <c r="F3215" s="151"/>
      <c r="G3215" s="151"/>
      <c r="H3215" s="142">
        <f>IFERROR(VLOOKUP($C3215,$C$5:$H$18,6,0)+SUMIF($C$19:$C3215,$C3215,$F$19:$F3215)-SUMIF($C$19:$C3215,$C3215,$G$19:$G3215),"")</f>
        <v>81211.819999998</v>
      </c>
      <c r="I3215" s="147"/>
      <c r="J3215" s="147"/>
      <c r="K3215" s="147" t="str">
        <f t="shared" si="50"/>
        <v/>
      </c>
      <c r="L3215" s="40"/>
      <c r="M3215"/>
      <c r="N3215"/>
      <c r="O3215"/>
      <c r="P3215"/>
      <c r="Q3215"/>
      <c r="R3215"/>
      <c r="S3215"/>
      <c r="T3215"/>
      <c r="U3215"/>
      <c r="V3215"/>
      <c r="W3215" s="41"/>
      <c r="X3215" s="41"/>
      <c r="Y3215" s="41"/>
    </row>
    <row r="3216" s="27" customFormat="1" ht="23" hidden="1" customHeight="1" spans="1:25">
      <c r="A3216" s="133" t="str">
        <f>IF(B3216="","",COUNTA($B$5:B3216))</f>
        <v/>
      </c>
      <c r="B3216" s="148"/>
      <c r="C3216" s="22" t="s">
        <v>49</v>
      </c>
      <c r="D3216" s="149"/>
      <c r="E3216" s="150"/>
      <c r="F3216" s="151"/>
      <c r="G3216" s="151"/>
      <c r="H3216" s="142">
        <f>IFERROR(VLOOKUP($C3216,$C$5:$H$18,6,0)+SUMIF($C$19:$C3216,$C3216,$F$19:$F3216)-SUMIF($C$19:$C3216,$C3216,$G$19:$G3216),"")</f>
        <v>81211.819999998</v>
      </c>
      <c r="I3216" s="147"/>
      <c r="J3216" s="147"/>
      <c r="K3216" s="147" t="str">
        <f t="shared" si="50"/>
        <v/>
      </c>
      <c r="L3216" s="40"/>
      <c r="M3216"/>
      <c r="N3216"/>
      <c r="O3216"/>
      <c r="P3216"/>
      <c r="Q3216"/>
      <c r="R3216"/>
      <c r="S3216"/>
      <c r="T3216"/>
      <c r="U3216"/>
      <c r="V3216"/>
      <c r="W3216" s="41"/>
      <c r="X3216" s="41"/>
      <c r="Y3216" s="41"/>
    </row>
    <row r="3217" s="27" customFormat="1" ht="23" hidden="1" customHeight="1" spans="1:25">
      <c r="A3217" s="133" t="str">
        <f>IF(B3217="","",COUNTA($B$5:B3217))</f>
        <v/>
      </c>
      <c r="B3217" s="148"/>
      <c r="C3217" s="22" t="s">
        <v>49</v>
      </c>
      <c r="D3217" s="149"/>
      <c r="E3217" s="150"/>
      <c r="F3217" s="151"/>
      <c r="G3217" s="151"/>
      <c r="H3217" s="142">
        <f>IFERROR(VLOOKUP($C3217,$C$5:$H$18,6,0)+SUMIF($C$19:$C3217,$C3217,$F$19:$F3217)-SUMIF($C$19:$C3217,$C3217,$G$19:$G3217),"")</f>
        <v>81211.819999998</v>
      </c>
      <c r="I3217" s="147"/>
      <c r="J3217" s="147"/>
      <c r="K3217" s="147" t="str">
        <f t="shared" si="50"/>
        <v/>
      </c>
      <c r="L3217" s="40"/>
      <c r="M3217"/>
      <c r="N3217"/>
      <c r="O3217"/>
      <c r="P3217"/>
      <c r="Q3217"/>
      <c r="R3217"/>
      <c r="S3217"/>
      <c r="T3217"/>
      <c r="U3217"/>
      <c r="V3217"/>
      <c r="W3217" s="41"/>
      <c r="X3217" s="41"/>
      <c r="Y3217" s="41"/>
    </row>
    <row r="3218" s="27" customFormat="1" ht="23" hidden="1" customHeight="1" spans="1:25">
      <c r="A3218" s="133" t="str">
        <f>IF(B3218="","",COUNTA($B$5:B3218))</f>
        <v/>
      </c>
      <c r="B3218" s="148"/>
      <c r="C3218" s="22" t="s">
        <v>49</v>
      </c>
      <c r="D3218" s="149"/>
      <c r="E3218" s="150"/>
      <c r="F3218" s="151"/>
      <c r="G3218" s="151"/>
      <c r="H3218" s="142">
        <f>IFERROR(VLOOKUP($C3218,$C$5:$H$18,6,0)+SUMIF($C$19:$C3218,$C3218,$F$19:$F3218)-SUMIF($C$19:$C3218,$C3218,$G$19:$G3218),"")</f>
        <v>81211.819999998</v>
      </c>
      <c r="I3218" s="147"/>
      <c r="J3218" s="147"/>
      <c r="K3218" s="147" t="str">
        <f t="shared" si="50"/>
        <v/>
      </c>
      <c r="L3218" s="40"/>
      <c r="M3218"/>
      <c r="N3218"/>
      <c r="O3218"/>
      <c r="P3218"/>
      <c r="Q3218"/>
      <c r="R3218"/>
      <c r="S3218"/>
      <c r="T3218"/>
      <c r="U3218"/>
      <c r="V3218"/>
      <c r="W3218" s="41"/>
      <c r="X3218" s="41"/>
      <c r="Y3218" s="41"/>
    </row>
    <row r="3219" s="27" customFormat="1" ht="23" hidden="1" customHeight="1" spans="1:25">
      <c r="A3219" s="133" t="str">
        <f>IF(B3219="","",COUNTA($B$5:B3219))</f>
        <v/>
      </c>
      <c r="B3219" s="148"/>
      <c r="C3219" s="22" t="s">
        <v>49</v>
      </c>
      <c r="D3219" s="149"/>
      <c r="E3219" s="150"/>
      <c r="F3219" s="151"/>
      <c r="G3219" s="151"/>
      <c r="H3219" s="142">
        <f>IFERROR(VLOOKUP($C3219,$C$5:$H$18,6,0)+SUMIF($C$19:$C3219,$C3219,$F$19:$F3219)-SUMIF($C$19:$C3219,$C3219,$G$19:$G3219),"")</f>
        <v>81211.819999998</v>
      </c>
      <c r="I3219" s="147"/>
      <c r="J3219" s="147"/>
      <c r="K3219" s="147" t="str">
        <f t="shared" si="50"/>
        <v/>
      </c>
      <c r="L3219" s="40"/>
      <c r="M3219"/>
      <c r="N3219"/>
      <c r="O3219"/>
      <c r="P3219"/>
      <c r="Q3219"/>
      <c r="R3219"/>
      <c r="S3219"/>
      <c r="T3219"/>
      <c r="U3219"/>
      <c r="V3219"/>
      <c r="W3219" s="41"/>
      <c r="X3219" s="41"/>
      <c r="Y3219" s="41"/>
    </row>
    <row r="3220" s="27" customFormat="1" ht="23" hidden="1" customHeight="1" spans="1:25">
      <c r="A3220" s="133" t="str">
        <f>IF(B3220="","",COUNTA($B$5:B3220))</f>
        <v/>
      </c>
      <c r="B3220" s="148"/>
      <c r="C3220" s="22" t="s">
        <v>49</v>
      </c>
      <c r="D3220" s="149"/>
      <c r="E3220" s="150"/>
      <c r="F3220" s="151"/>
      <c r="G3220" s="151"/>
      <c r="H3220" s="142">
        <f>IFERROR(VLOOKUP($C3220,$C$5:$H$18,6,0)+SUMIF($C$19:$C3220,$C3220,$F$19:$F3220)-SUMIF($C$19:$C3220,$C3220,$G$19:$G3220),"")</f>
        <v>81211.819999998</v>
      </c>
      <c r="I3220" s="147"/>
      <c r="J3220" s="147"/>
      <c r="K3220" s="147" t="str">
        <f t="shared" si="50"/>
        <v/>
      </c>
      <c r="L3220" s="40"/>
      <c r="M3220"/>
      <c r="N3220"/>
      <c r="O3220"/>
      <c r="P3220"/>
      <c r="Q3220"/>
      <c r="R3220"/>
      <c r="S3220"/>
      <c r="T3220"/>
      <c r="U3220"/>
      <c r="V3220"/>
      <c r="W3220" s="41"/>
      <c r="X3220" s="41"/>
      <c r="Y3220" s="41"/>
    </row>
    <row r="3221" s="27" customFormat="1" ht="23" hidden="1" customHeight="1" spans="1:25">
      <c r="A3221" s="133" t="str">
        <f>IF(B3221="","",COUNTA($B$5:B3221))</f>
        <v/>
      </c>
      <c r="B3221" s="148"/>
      <c r="C3221" s="22" t="s">
        <v>49</v>
      </c>
      <c r="D3221" s="149"/>
      <c r="E3221" s="150"/>
      <c r="F3221" s="151"/>
      <c r="G3221" s="151"/>
      <c r="H3221" s="142">
        <f>IFERROR(VLOOKUP($C3221,$C$5:$H$18,6,0)+SUMIF($C$19:$C3221,$C3221,$F$19:$F3221)-SUMIF($C$19:$C3221,$C3221,$G$19:$G3221),"")</f>
        <v>81211.819999998</v>
      </c>
      <c r="I3221" s="147"/>
      <c r="J3221" s="147"/>
      <c r="K3221" s="147" t="str">
        <f t="shared" si="50"/>
        <v/>
      </c>
      <c r="L3221" s="40"/>
      <c r="M3221"/>
      <c r="N3221"/>
      <c r="O3221"/>
      <c r="P3221"/>
      <c r="Q3221"/>
      <c r="R3221"/>
      <c r="S3221"/>
      <c r="T3221"/>
      <c r="U3221"/>
      <c r="V3221"/>
      <c r="W3221" s="41"/>
      <c r="X3221" s="41"/>
      <c r="Y3221" s="41"/>
    </row>
    <row r="3222" s="27" customFormat="1" ht="23" hidden="1" customHeight="1" spans="1:25">
      <c r="A3222" s="133" t="str">
        <f>IF(B3222="","",COUNTA($B$5:B3222))</f>
        <v/>
      </c>
      <c r="B3222" s="148"/>
      <c r="C3222" s="22" t="s">
        <v>49</v>
      </c>
      <c r="D3222" s="149"/>
      <c r="E3222" s="150"/>
      <c r="F3222" s="151"/>
      <c r="G3222" s="151"/>
      <c r="H3222" s="142">
        <f>IFERROR(VLOOKUP($C3222,$C$5:$H$18,6,0)+SUMIF($C$19:$C3222,$C3222,$F$19:$F3222)-SUMIF($C$19:$C3222,$C3222,$G$19:$G3222),"")</f>
        <v>81211.819999998</v>
      </c>
      <c r="I3222" s="147"/>
      <c r="J3222" s="147"/>
      <c r="K3222" s="147" t="str">
        <f t="shared" si="50"/>
        <v/>
      </c>
      <c r="L3222" s="40"/>
      <c r="M3222"/>
      <c r="N3222"/>
      <c r="O3222"/>
      <c r="P3222"/>
      <c r="Q3222"/>
      <c r="R3222"/>
      <c r="S3222"/>
      <c r="T3222"/>
      <c r="U3222"/>
      <c r="V3222"/>
      <c r="W3222" s="41"/>
      <c r="X3222" s="41"/>
      <c r="Y3222" s="41"/>
    </row>
    <row r="3223" s="27" customFormat="1" ht="23" hidden="1" customHeight="1" spans="1:25">
      <c r="A3223" s="133" t="str">
        <f>IF(B3223="","",COUNTA($B$5:B3223))</f>
        <v/>
      </c>
      <c r="B3223" s="148"/>
      <c r="C3223" s="22" t="s">
        <v>49</v>
      </c>
      <c r="D3223" s="149"/>
      <c r="E3223" s="150"/>
      <c r="F3223" s="151"/>
      <c r="G3223" s="151"/>
      <c r="H3223" s="142">
        <f>IFERROR(VLOOKUP($C3223,$C$5:$H$18,6,0)+SUMIF($C$19:$C3223,$C3223,$F$19:$F3223)-SUMIF($C$19:$C3223,$C3223,$G$19:$G3223),"")</f>
        <v>81211.819999998</v>
      </c>
      <c r="I3223" s="147"/>
      <c r="J3223" s="147"/>
      <c r="K3223" s="147" t="str">
        <f t="shared" si="50"/>
        <v/>
      </c>
      <c r="L3223" s="40"/>
      <c r="M3223"/>
      <c r="N3223"/>
      <c r="O3223"/>
      <c r="P3223"/>
      <c r="Q3223"/>
      <c r="R3223"/>
      <c r="S3223"/>
      <c r="T3223"/>
      <c r="U3223"/>
      <c r="V3223"/>
      <c r="W3223" s="41"/>
      <c r="X3223" s="41"/>
      <c r="Y3223" s="41"/>
    </row>
    <row r="3224" s="27" customFormat="1" ht="23" hidden="1" customHeight="1" spans="1:25">
      <c r="A3224" s="133" t="str">
        <f>IF(B3224="","",COUNTA($B$5:B3224))</f>
        <v/>
      </c>
      <c r="B3224" s="148"/>
      <c r="C3224" s="22" t="s">
        <v>49</v>
      </c>
      <c r="D3224" s="149"/>
      <c r="E3224" s="150"/>
      <c r="F3224" s="151"/>
      <c r="G3224" s="151"/>
      <c r="H3224" s="142">
        <f>IFERROR(VLOOKUP($C3224,$C$5:$H$18,6,0)+SUMIF($C$19:$C3224,$C3224,$F$19:$F3224)-SUMIF($C$19:$C3224,$C3224,$G$19:$G3224),"")</f>
        <v>81211.819999998</v>
      </c>
      <c r="I3224" s="147"/>
      <c r="J3224" s="147"/>
      <c r="K3224" s="147" t="str">
        <f t="shared" si="50"/>
        <v/>
      </c>
      <c r="L3224" s="40"/>
      <c r="M3224"/>
      <c r="N3224"/>
      <c r="O3224"/>
      <c r="P3224"/>
      <c r="Q3224"/>
      <c r="R3224"/>
      <c r="S3224"/>
      <c r="T3224"/>
      <c r="U3224"/>
      <c r="V3224"/>
      <c r="W3224" s="41"/>
      <c r="X3224" s="41"/>
      <c r="Y3224" s="41"/>
    </row>
    <row r="3225" s="27" customFormat="1" ht="23" hidden="1" customHeight="1" spans="1:25">
      <c r="A3225" s="133" t="str">
        <f>IF(B3225="","",COUNTA($B$5:B3225))</f>
        <v/>
      </c>
      <c r="B3225" s="148"/>
      <c r="C3225" s="22" t="s">
        <v>49</v>
      </c>
      <c r="D3225" s="149"/>
      <c r="E3225" s="150"/>
      <c r="F3225" s="151"/>
      <c r="G3225" s="151"/>
      <c r="H3225" s="142">
        <f>IFERROR(VLOOKUP($C3225,$C$5:$H$18,6,0)+SUMIF($C$19:$C3225,$C3225,$F$19:$F3225)-SUMIF($C$19:$C3225,$C3225,$G$19:$G3225),"")</f>
        <v>81211.819999998</v>
      </c>
      <c r="I3225" s="147"/>
      <c r="J3225" s="147"/>
      <c r="K3225" s="147" t="str">
        <f t="shared" si="50"/>
        <v/>
      </c>
      <c r="L3225" s="40"/>
      <c r="M3225"/>
      <c r="N3225"/>
      <c r="O3225"/>
      <c r="P3225"/>
      <c r="Q3225"/>
      <c r="R3225"/>
      <c r="S3225"/>
      <c r="T3225"/>
      <c r="U3225"/>
      <c r="V3225"/>
      <c r="W3225" s="41"/>
      <c r="X3225" s="41"/>
      <c r="Y3225" s="41"/>
    </row>
    <row r="3226" s="27" customFormat="1" ht="23" hidden="1" customHeight="1" spans="1:25">
      <c r="A3226" s="133" t="str">
        <f>IF(B3226="","",COUNTA($B$5:B3226))</f>
        <v/>
      </c>
      <c r="B3226" s="148"/>
      <c r="C3226" s="22" t="s">
        <v>49</v>
      </c>
      <c r="D3226" s="149"/>
      <c r="E3226" s="150"/>
      <c r="F3226" s="151"/>
      <c r="G3226" s="151"/>
      <c r="H3226" s="142">
        <f>IFERROR(VLOOKUP($C3226,$C$5:$H$18,6,0)+SUMIF($C$19:$C3226,$C3226,$F$19:$F3226)-SUMIF($C$19:$C3226,$C3226,$G$19:$G3226),"")</f>
        <v>81211.819999998</v>
      </c>
      <c r="I3226" s="147"/>
      <c r="J3226" s="147"/>
      <c r="K3226" s="147" t="str">
        <f t="shared" si="50"/>
        <v/>
      </c>
      <c r="L3226" s="40"/>
      <c r="M3226"/>
      <c r="N3226"/>
      <c r="O3226"/>
      <c r="P3226"/>
      <c r="Q3226"/>
      <c r="R3226"/>
      <c r="S3226"/>
      <c r="T3226"/>
      <c r="U3226"/>
      <c r="V3226"/>
      <c r="W3226" s="41"/>
      <c r="X3226" s="41"/>
      <c r="Y3226" s="41"/>
    </row>
    <row r="3227" s="27" customFormat="1" ht="23" hidden="1" customHeight="1" spans="1:25">
      <c r="A3227" s="133" t="str">
        <f>IF(B3227="","",COUNTA($B$5:B3227))</f>
        <v/>
      </c>
      <c r="B3227" s="148"/>
      <c r="C3227" s="22" t="s">
        <v>49</v>
      </c>
      <c r="D3227" s="149"/>
      <c r="E3227" s="150"/>
      <c r="F3227" s="151"/>
      <c r="G3227" s="151"/>
      <c r="H3227" s="142">
        <f>IFERROR(VLOOKUP($C3227,$C$5:$H$18,6,0)+SUMIF($C$19:$C3227,$C3227,$F$19:$F3227)-SUMIF($C$19:$C3227,$C3227,$G$19:$G3227),"")</f>
        <v>81211.819999998</v>
      </c>
      <c r="I3227" s="147"/>
      <c r="J3227" s="147"/>
      <c r="K3227" s="147" t="str">
        <f t="shared" si="50"/>
        <v/>
      </c>
      <c r="L3227" s="40"/>
      <c r="M3227"/>
      <c r="N3227"/>
      <c r="O3227"/>
      <c r="P3227"/>
      <c r="Q3227"/>
      <c r="R3227"/>
      <c r="S3227"/>
      <c r="T3227"/>
      <c r="U3227"/>
      <c r="V3227"/>
      <c r="W3227" s="41"/>
      <c r="X3227" s="41"/>
      <c r="Y3227" s="41"/>
    </row>
    <row r="3228" s="27" customFormat="1" ht="23" hidden="1" customHeight="1" spans="1:25">
      <c r="A3228" s="133" t="str">
        <f>IF(B3228="","",COUNTA($B$5:B3228))</f>
        <v/>
      </c>
      <c r="B3228" s="148"/>
      <c r="C3228" s="22" t="s">
        <v>49</v>
      </c>
      <c r="D3228" s="149"/>
      <c r="E3228" s="150"/>
      <c r="F3228" s="151"/>
      <c r="G3228" s="151"/>
      <c r="H3228" s="142">
        <f>IFERROR(VLOOKUP($C3228,$C$5:$H$18,6,0)+SUMIF($C$19:$C3228,$C3228,$F$19:$F3228)-SUMIF($C$19:$C3228,$C3228,$G$19:$G3228),"")</f>
        <v>81211.819999998</v>
      </c>
      <c r="I3228" s="147"/>
      <c r="J3228" s="147"/>
      <c r="K3228" s="147" t="str">
        <f t="shared" si="50"/>
        <v/>
      </c>
      <c r="L3228" s="40"/>
      <c r="M3228"/>
      <c r="N3228"/>
      <c r="O3228"/>
      <c r="P3228"/>
      <c r="Q3228"/>
      <c r="R3228"/>
      <c r="S3228"/>
      <c r="T3228"/>
      <c r="U3228"/>
      <c r="V3228"/>
      <c r="W3228" s="41"/>
      <c r="X3228" s="41"/>
      <c r="Y3228" s="41"/>
    </row>
    <row r="3229" s="27" customFormat="1" ht="23" hidden="1" customHeight="1" spans="1:25">
      <c r="A3229" s="133" t="str">
        <f>IF(B3229="","",COUNTA($B$5:B3229))</f>
        <v/>
      </c>
      <c r="B3229" s="148"/>
      <c r="C3229" s="22" t="s">
        <v>49</v>
      </c>
      <c r="D3229" s="149"/>
      <c r="E3229" s="150"/>
      <c r="F3229" s="151"/>
      <c r="G3229" s="151"/>
      <c r="H3229" s="142">
        <f>IFERROR(VLOOKUP($C3229,$C$5:$H$18,6,0)+SUMIF($C$19:$C3229,$C3229,$F$19:$F3229)-SUMIF($C$19:$C3229,$C3229,$G$19:$G3229),"")</f>
        <v>81211.819999998</v>
      </c>
      <c r="I3229" s="147"/>
      <c r="J3229" s="147"/>
      <c r="K3229" s="147" t="str">
        <f t="shared" si="50"/>
        <v/>
      </c>
      <c r="L3229" s="40"/>
      <c r="M3229"/>
      <c r="N3229"/>
      <c r="O3229"/>
      <c r="P3229"/>
      <c r="Q3229"/>
      <c r="R3229"/>
      <c r="S3229"/>
      <c r="T3229"/>
      <c r="U3229"/>
      <c r="V3229"/>
      <c r="W3229" s="41"/>
      <c r="X3229" s="41"/>
      <c r="Y3229" s="41"/>
    </row>
    <row r="3230" s="27" customFormat="1" ht="23" hidden="1" customHeight="1" spans="1:25">
      <c r="A3230" s="133" t="str">
        <f>IF(B3230="","",COUNTA($B$5:B3230))</f>
        <v/>
      </c>
      <c r="B3230" s="148"/>
      <c r="C3230" s="22" t="s">
        <v>49</v>
      </c>
      <c r="D3230" s="149"/>
      <c r="E3230" s="150"/>
      <c r="F3230" s="151"/>
      <c r="G3230" s="151"/>
      <c r="H3230" s="142">
        <f>IFERROR(VLOOKUP($C3230,$C$5:$H$18,6,0)+SUMIF($C$19:$C3230,$C3230,$F$19:$F3230)-SUMIF($C$19:$C3230,$C3230,$G$19:$G3230),"")</f>
        <v>81211.819999998</v>
      </c>
      <c r="I3230" s="147"/>
      <c r="J3230" s="147"/>
      <c r="K3230" s="147" t="str">
        <f t="shared" si="50"/>
        <v/>
      </c>
      <c r="L3230" s="40"/>
      <c r="M3230"/>
      <c r="N3230"/>
      <c r="O3230"/>
      <c r="P3230"/>
      <c r="Q3230"/>
      <c r="R3230"/>
      <c r="S3230"/>
      <c r="T3230"/>
      <c r="U3230"/>
      <c r="V3230"/>
      <c r="W3230" s="41"/>
      <c r="X3230" s="41"/>
      <c r="Y3230" s="41"/>
    </row>
    <row r="3231" s="27" customFormat="1" ht="23" hidden="1" customHeight="1" spans="1:25">
      <c r="A3231" s="133" t="str">
        <f>IF(B3231="","",COUNTA($B$5:B3231))</f>
        <v/>
      </c>
      <c r="B3231" s="148"/>
      <c r="C3231" s="22" t="s">
        <v>49</v>
      </c>
      <c r="D3231" s="149"/>
      <c r="E3231" s="150"/>
      <c r="F3231" s="151"/>
      <c r="G3231" s="151"/>
      <c r="H3231" s="142">
        <f>IFERROR(VLOOKUP($C3231,$C$5:$H$18,6,0)+SUMIF($C$19:$C3231,$C3231,$F$19:$F3231)-SUMIF($C$19:$C3231,$C3231,$G$19:$G3231),"")</f>
        <v>81211.819999998</v>
      </c>
      <c r="I3231" s="147"/>
      <c r="J3231" s="147"/>
      <c r="K3231" s="147" t="str">
        <f t="shared" si="50"/>
        <v/>
      </c>
      <c r="L3231" s="40"/>
      <c r="M3231"/>
      <c r="N3231"/>
      <c r="O3231"/>
      <c r="P3231"/>
      <c r="Q3231"/>
      <c r="R3231"/>
      <c r="S3231"/>
      <c r="T3231"/>
      <c r="U3231"/>
      <c r="V3231"/>
      <c r="W3231" s="41"/>
      <c r="X3231" s="41"/>
      <c r="Y3231" s="41"/>
    </row>
    <row r="3232" s="27" customFormat="1" ht="23" hidden="1" customHeight="1" spans="1:25">
      <c r="A3232" s="133" t="str">
        <f>IF(B3232="","",COUNTA($B$5:B3232))</f>
        <v/>
      </c>
      <c r="B3232" s="148"/>
      <c r="C3232" s="22" t="s">
        <v>49</v>
      </c>
      <c r="D3232" s="149"/>
      <c r="E3232" s="150"/>
      <c r="F3232" s="151"/>
      <c r="G3232" s="151"/>
      <c r="H3232" s="142">
        <f>IFERROR(VLOOKUP($C3232,$C$5:$H$18,6,0)+SUMIF($C$19:$C3232,$C3232,$F$19:$F3232)-SUMIF($C$19:$C3232,$C3232,$G$19:$G3232),"")</f>
        <v>81211.819999998</v>
      </c>
      <c r="I3232" s="147"/>
      <c r="J3232" s="147"/>
      <c r="K3232" s="147" t="str">
        <f t="shared" si="50"/>
        <v/>
      </c>
      <c r="L3232" s="40"/>
      <c r="M3232"/>
      <c r="N3232"/>
      <c r="O3232"/>
      <c r="P3232"/>
      <c r="Q3232"/>
      <c r="R3232"/>
      <c r="S3232"/>
      <c r="T3232"/>
      <c r="U3232"/>
      <c r="V3232"/>
      <c r="W3232" s="41"/>
      <c r="X3232" s="41"/>
      <c r="Y3232" s="41"/>
    </row>
    <row r="3233" s="27" customFormat="1" ht="23" hidden="1" customHeight="1" spans="1:25">
      <c r="A3233" s="133" t="str">
        <f>IF(B3233="","",COUNTA($B$5:B3233))</f>
        <v/>
      </c>
      <c r="B3233" s="148"/>
      <c r="C3233" s="22" t="s">
        <v>49</v>
      </c>
      <c r="D3233" s="149"/>
      <c r="E3233" s="150"/>
      <c r="F3233" s="151"/>
      <c r="G3233" s="151"/>
      <c r="H3233" s="142">
        <f>IFERROR(VLOOKUP($C3233,$C$5:$H$18,6,0)+SUMIF($C$19:$C3233,$C3233,$F$19:$F3233)-SUMIF($C$19:$C3233,$C3233,$G$19:$G3233),"")</f>
        <v>81211.819999998</v>
      </c>
      <c r="I3233" s="147"/>
      <c r="J3233" s="147"/>
      <c r="K3233" s="147" t="str">
        <f t="shared" si="50"/>
        <v/>
      </c>
      <c r="L3233" s="40"/>
      <c r="M3233"/>
      <c r="N3233"/>
      <c r="O3233"/>
      <c r="P3233"/>
      <c r="Q3233"/>
      <c r="R3233"/>
      <c r="S3233"/>
      <c r="T3233"/>
      <c r="U3233"/>
      <c r="V3233"/>
      <c r="W3233" s="41"/>
      <c r="X3233" s="41"/>
      <c r="Y3233" s="41"/>
    </row>
    <row r="3234" s="27" customFormat="1" ht="23" hidden="1" customHeight="1" spans="1:25">
      <c r="A3234" s="133" t="str">
        <f>IF(B3234="","",COUNTA($B$5:B3234))</f>
        <v/>
      </c>
      <c r="B3234" s="148"/>
      <c r="C3234" s="22" t="s">
        <v>49</v>
      </c>
      <c r="D3234" s="149"/>
      <c r="E3234" s="150"/>
      <c r="F3234" s="151"/>
      <c r="G3234" s="151"/>
      <c r="H3234" s="142">
        <f>IFERROR(VLOOKUP($C3234,$C$5:$H$18,6,0)+SUMIF($C$19:$C3234,$C3234,$F$19:$F3234)-SUMIF($C$19:$C3234,$C3234,$G$19:$G3234),"")</f>
        <v>81211.819999998</v>
      </c>
      <c r="I3234" s="147"/>
      <c r="J3234" s="147"/>
      <c r="K3234" s="147" t="str">
        <f t="shared" si="50"/>
        <v/>
      </c>
      <c r="L3234" s="40"/>
      <c r="M3234"/>
      <c r="N3234"/>
      <c r="O3234"/>
      <c r="P3234"/>
      <c r="Q3234"/>
      <c r="R3234"/>
      <c r="S3234"/>
      <c r="T3234"/>
      <c r="U3234"/>
      <c r="V3234"/>
      <c r="W3234" s="41"/>
      <c r="X3234" s="41"/>
      <c r="Y3234" s="41"/>
    </row>
    <row r="3235" s="27" customFormat="1" ht="23" hidden="1" customHeight="1" spans="1:25">
      <c r="A3235" s="133" t="str">
        <f>IF(B3235="","",COUNTA($B$5:B3235))</f>
        <v/>
      </c>
      <c r="B3235" s="148"/>
      <c r="C3235" s="22" t="s">
        <v>49</v>
      </c>
      <c r="D3235" s="149"/>
      <c r="E3235" s="150"/>
      <c r="F3235" s="151"/>
      <c r="G3235" s="151"/>
      <c r="H3235" s="142">
        <f>IFERROR(VLOOKUP($C3235,$C$5:$H$18,6,0)+SUMIF($C$19:$C3235,$C3235,$F$19:$F3235)-SUMIF($C$19:$C3235,$C3235,$G$19:$G3235),"")</f>
        <v>81211.819999998</v>
      </c>
      <c r="I3235" s="147"/>
      <c r="J3235" s="147"/>
      <c r="K3235" s="147" t="str">
        <f t="shared" si="50"/>
        <v/>
      </c>
      <c r="L3235" s="40"/>
      <c r="M3235"/>
      <c r="N3235"/>
      <c r="O3235"/>
      <c r="P3235"/>
      <c r="Q3235"/>
      <c r="R3235"/>
      <c r="S3235"/>
      <c r="T3235"/>
      <c r="U3235"/>
      <c r="V3235"/>
      <c r="W3235" s="41"/>
      <c r="X3235" s="41"/>
      <c r="Y3235" s="41"/>
    </row>
    <row r="3236" s="27" customFormat="1" ht="23" hidden="1" customHeight="1" spans="1:25">
      <c r="A3236" s="133" t="str">
        <f>IF(B3236="","",COUNTA($B$5:B3236))</f>
        <v/>
      </c>
      <c r="B3236" s="148"/>
      <c r="C3236" s="22" t="s">
        <v>49</v>
      </c>
      <c r="D3236" s="149"/>
      <c r="E3236" s="150"/>
      <c r="F3236" s="151"/>
      <c r="G3236" s="151"/>
      <c r="H3236" s="142">
        <f>IFERROR(VLOOKUP($C3236,$C$5:$H$18,6,0)+SUMIF($C$19:$C3236,$C3236,$F$19:$F3236)-SUMIF($C$19:$C3236,$C3236,$G$19:$G3236),"")</f>
        <v>81211.819999998</v>
      </c>
      <c r="I3236" s="147"/>
      <c r="J3236" s="147"/>
      <c r="K3236" s="147" t="str">
        <f t="shared" si="50"/>
        <v/>
      </c>
      <c r="L3236" s="40"/>
      <c r="M3236"/>
      <c r="N3236"/>
      <c r="O3236"/>
      <c r="P3236"/>
      <c r="Q3236"/>
      <c r="R3236"/>
      <c r="S3236"/>
      <c r="T3236"/>
      <c r="U3236"/>
      <c r="V3236"/>
      <c r="W3236" s="41"/>
      <c r="X3236" s="41"/>
      <c r="Y3236" s="41"/>
    </row>
    <row r="3237" s="27" customFormat="1" ht="23" hidden="1" customHeight="1" spans="1:25">
      <c r="A3237" s="133" t="str">
        <f>IF(B3237="","",COUNTA($B$5:B3237))</f>
        <v/>
      </c>
      <c r="B3237" s="148"/>
      <c r="C3237" s="22" t="s">
        <v>49</v>
      </c>
      <c r="D3237" s="149"/>
      <c r="E3237" s="150"/>
      <c r="F3237" s="151"/>
      <c r="G3237" s="151"/>
      <c r="H3237" s="142">
        <f>IFERROR(VLOOKUP($C3237,$C$5:$H$18,6,0)+SUMIF($C$19:$C3237,$C3237,$F$19:$F3237)-SUMIF($C$19:$C3237,$C3237,$G$19:$G3237),"")</f>
        <v>81211.819999998</v>
      </c>
      <c r="I3237" s="147"/>
      <c r="J3237" s="147"/>
      <c r="K3237" s="147" t="str">
        <f t="shared" si="50"/>
        <v/>
      </c>
      <c r="L3237" s="40"/>
      <c r="M3237"/>
      <c r="N3237"/>
      <c r="O3237"/>
      <c r="P3237"/>
      <c r="Q3237"/>
      <c r="R3237"/>
      <c r="S3237"/>
      <c r="T3237"/>
      <c r="U3237"/>
      <c r="V3237"/>
      <c r="W3237" s="41"/>
      <c r="X3237" s="41"/>
      <c r="Y3237" s="41"/>
    </row>
    <row r="3238" s="27" customFormat="1" ht="23" hidden="1" customHeight="1" spans="1:25">
      <c r="A3238" s="133" t="str">
        <f>IF(B3238="","",COUNTA($B$5:B3238))</f>
        <v/>
      </c>
      <c r="B3238" s="148"/>
      <c r="C3238" s="22" t="s">
        <v>49</v>
      </c>
      <c r="D3238" s="149"/>
      <c r="E3238" s="150"/>
      <c r="F3238" s="151"/>
      <c r="G3238" s="151"/>
      <c r="H3238" s="142">
        <f>IFERROR(VLOOKUP($C3238,$C$5:$H$18,6,0)+SUMIF($C$19:$C3238,$C3238,$F$19:$F3238)-SUMIF($C$19:$C3238,$C3238,$G$19:$G3238),"")</f>
        <v>81211.819999998</v>
      </c>
      <c r="I3238" s="147"/>
      <c r="J3238" s="147"/>
      <c r="K3238" s="147" t="str">
        <f t="shared" si="50"/>
        <v/>
      </c>
      <c r="L3238" s="40"/>
      <c r="M3238"/>
      <c r="N3238"/>
      <c r="O3238"/>
      <c r="P3238"/>
      <c r="Q3238"/>
      <c r="R3238"/>
      <c r="S3238"/>
      <c r="T3238"/>
      <c r="U3238"/>
      <c r="V3238"/>
      <c r="W3238" s="41"/>
      <c r="X3238" s="41"/>
      <c r="Y3238" s="41"/>
    </row>
    <row r="3239" s="27" customFormat="1" ht="23" hidden="1" customHeight="1" spans="1:25">
      <c r="A3239" s="133" t="str">
        <f>IF(B3239="","",COUNTA($B$5:B3239))</f>
        <v/>
      </c>
      <c r="B3239" s="148"/>
      <c r="C3239" s="22" t="s">
        <v>49</v>
      </c>
      <c r="D3239" s="149"/>
      <c r="E3239" s="150"/>
      <c r="F3239" s="151"/>
      <c r="G3239" s="151"/>
      <c r="H3239" s="142">
        <f>IFERROR(VLOOKUP($C3239,$C$5:$H$18,6,0)+SUMIF($C$19:$C3239,$C3239,$F$19:$F3239)-SUMIF($C$19:$C3239,$C3239,$G$19:$G3239),"")</f>
        <v>81211.819999998</v>
      </c>
      <c r="I3239" s="147"/>
      <c r="J3239" s="147"/>
      <c r="K3239" s="147" t="str">
        <f t="shared" si="50"/>
        <v/>
      </c>
      <c r="L3239" s="40"/>
      <c r="M3239"/>
      <c r="N3239"/>
      <c r="O3239"/>
      <c r="P3239"/>
      <c r="Q3239"/>
      <c r="R3239"/>
      <c r="S3239"/>
      <c r="T3239"/>
      <c r="U3239"/>
      <c r="V3239"/>
      <c r="W3239" s="41"/>
      <c r="X3239" s="41"/>
      <c r="Y3239" s="41"/>
    </row>
    <row r="3240" s="27" customFormat="1" ht="23" hidden="1" customHeight="1" spans="1:25">
      <c r="A3240" s="133" t="str">
        <f>IF(B3240="","",COUNTA($B$5:B3240))</f>
        <v/>
      </c>
      <c r="B3240" s="148"/>
      <c r="C3240" s="22" t="s">
        <v>49</v>
      </c>
      <c r="D3240" s="149"/>
      <c r="E3240" s="150"/>
      <c r="F3240" s="151"/>
      <c r="G3240" s="151"/>
      <c r="H3240" s="142">
        <f>IFERROR(VLOOKUP($C3240,$C$5:$H$18,6,0)+SUMIF($C$19:$C3240,$C3240,$F$19:$F3240)-SUMIF($C$19:$C3240,$C3240,$G$19:$G3240),"")</f>
        <v>81211.819999998</v>
      </c>
      <c r="I3240" s="147"/>
      <c r="J3240" s="147"/>
      <c r="K3240" s="147" t="str">
        <f t="shared" si="50"/>
        <v/>
      </c>
      <c r="L3240" s="40"/>
      <c r="M3240"/>
      <c r="N3240"/>
      <c r="O3240"/>
      <c r="P3240"/>
      <c r="Q3240"/>
      <c r="R3240"/>
      <c r="S3240"/>
      <c r="T3240"/>
      <c r="U3240"/>
      <c r="V3240"/>
      <c r="W3240" s="41"/>
      <c r="X3240" s="41"/>
      <c r="Y3240" s="41"/>
    </row>
    <row r="3241" s="27" customFormat="1" ht="23" hidden="1" customHeight="1" spans="1:25">
      <c r="A3241" s="133" t="str">
        <f>IF(B3241="","",COUNTA($B$5:B3241))</f>
        <v/>
      </c>
      <c r="B3241" s="148"/>
      <c r="C3241" s="22" t="s">
        <v>49</v>
      </c>
      <c r="D3241" s="149"/>
      <c r="E3241" s="150"/>
      <c r="F3241" s="151"/>
      <c r="G3241" s="151"/>
      <c r="H3241" s="142">
        <f>IFERROR(VLOOKUP($C3241,$C$5:$H$18,6,0)+SUMIF($C$19:$C3241,$C3241,$F$19:$F3241)-SUMIF($C$19:$C3241,$C3241,$G$19:$G3241),"")</f>
        <v>81211.819999998</v>
      </c>
      <c r="I3241" s="147"/>
      <c r="J3241" s="147"/>
      <c r="K3241" s="147" t="str">
        <f t="shared" si="50"/>
        <v/>
      </c>
      <c r="L3241" s="40"/>
      <c r="M3241"/>
      <c r="N3241"/>
      <c r="O3241"/>
      <c r="P3241"/>
      <c r="Q3241"/>
      <c r="R3241"/>
      <c r="S3241"/>
      <c r="T3241"/>
      <c r="U3241"/>
      <c r="V3241"/>
      <c r="W3241" s="41"/>
      <c r="X3241" s="41"/>
      <c r="Y3241" s="41"/>
    </row>
    <row r="3242" s="27" customFormat="1" ht="23" hidden="1" customHeight="1" spans="1:25">
      <c r="A3242" s="133" t="str">
        <f>IF(B3242="","",COUNTA($B$5:B3242))</f>
        <v/>
      </c>
      <c r="B3242" s="148"/>
      <c r="C3242" s="22" t="s">
        <v>49</v>
      </c>
      <c r="D3242" s="149"/>
      <c r="E3242" s="150"/>
      <c r="F3242" s="151"/>
      <c r="G3242" s="151"/>
      <c r="H3242" s="142">
        <f>IFERROR(VLOOKUP($C3242,$C$5:$H$18,6,0)+SUMIF($C$19:$C3242,$C3242,$F$19:$F3242)-SUMIF($C$19:$C3242,$C3242,$G$19:$G3242),"")</f>
        <v>81211.819999998</v>
      </c>
      <c r="I3242" s="147"/>
      <c r="J3242" s="147"/>
      <c r="K3242" s="147" t="str">
        <f t="shared" si="50"/>
        <v/>
      </c>
      <c r="L3242" s="40"/>
      <c r="M3242"/>
      <c r="N3242"/>
      <c r="O3242"/>
      <c r="P3242"/>
      <c r="Q3242"/>
      <c r="R3242"/>
      <c r="S3242"/>
      <c r="T3242"/>
      <c r="U3242"/>
      <c r="V3242"/>
      <c r="W3242" s="41"/>
      <c r="X3242" s="41"/>
      <c r="Y3242" s="41"/>
    </row>
    <row r="3243" s="27" customFormat="1" ht="23" hidden="1" customHeight="1" spans="1:25">
      <c r="A3243" s="133" t="str">
        <f>IF(B3243="","",COUNTA($B$5:B3243))</f>
        <v/>
      </c>
      <c r="B3243" s="148"/>
      <c r="C3243" s="22" t="s">
        <v>49</v>
      </c>
      <c r="D3243" s="149"/>
      <c r="E3243" s="150"/>
      <c r="F3243" s="151"/>
      <c r="G3243" s="151"/>
      <c r="H3243" s="142">
        <f>IFERROR(VLOOKUP($C3243,$C$5:$H$18,6,0)+SUMIF($C$19:$C3243,$C3243,$F$19:$F3243)-SUMIF($C$19:$C3243,$C3243,$G$19:$G3243),"")</f>
        <v>81211.819999998</v>
      </c>
      <c r="I3243" s="147"/>
      <c r="J3243" s="147"/>
      <c r="K3243" s="147" t="str">
        <f t="shared" si="50"/>
        <v/>
      </c>
      <c r="L3243" s="40"/>
      <c r="M3243"/>
      <c r="N3243"/>
      <c r="O3243"/>
      <c r="P3243"/>
      <c r="Q3243"/>
      <c r="R3243"/>
      <c r="S3243"/>
      <c r="T3243"/>
      <c r="U3243"/>
      <c r="V3243"/>
      <c r="W3243" s="41"/>
      <c r="X3243" s="41"/>
      <c r="Y3243" s="41"/>
    </row>
    <row r="3244" s="27" customFormat="1" ht="23" hidden="1" customHeight="1" spans="1:25">
      <c r="A3244" s="133" t="str">
        <f>IF(B3244="","",COUNTA($B$5:B3244))</f>
        <v/>
      </c>
      <c r="B3244" s="148"/>
      <c r="C3244" s="22" t="s">
        <v>49</v>
      </c>
      <c r="D3244" s="149"/>
      <c r="E3244" s="150"/>
      <c r="F3244" s="151"/>
      <c r="G3244" s="151"/>
      <c r="H3244" s="142">
        <f>IFERROR(VLOOKUP($C3244,$C$5:$H$18,6,0)+SUMIF($C$19:$C3244,$C3244,$F$19:$F3244)-SUMIF($C$19:$C3244,$C3244,$G$19:$G3244),"")</f>
        <v>81211.819999998</v>
      </c>
      <c r="I3244" s="147"/>
      <c r="J3244" s="147"/>
      <c r="K3244" s="147" t="str">
        <f t="shared" si="50"/>
        <v/>
      </c>
      <c r="L3244" s="40"/>
      <c r="M3244"/>
      <c r="N3244"/>
      <c r="O3244"/>
      <c r="P3244"/>
      <c r="Q3244"/>
      <c r="R3244"/>
      <c r="S3244"/>
      <c r="T3244"/>
      <c r="U3244"/>
      <c r="V3244"/>
      <c r="W3244" s="41"/>
      <c r="X3244" s="41"/>
      <c r="Y3244" s="41"/>
    </row>
    <row r="3245" s="27" customFormat="1" ht="23" hidden="1" customHeight="1" spans="1:25">
      <c r="A3245" s="133" t="str">
        <f>IF(B3245="","",COUNTA($B$5:B3245))</f>
        <v/>
      </c>
      <c r="B3245" s="148"/>
      <c r="C3245" s="22" t="s">
        <v>49</v>
      </c>
      <c r="D3245" s="149"/>
      <c r="E3245" s="150"/>
      <c r="F3245" s="151"/>
      <c r="G3245" s="151"/>
      <c r="H3245" s="142">
        <f>IFERROR(VLOOKUP($C3245,$C$5:$H$18,6,0)+SUMIF($C$19:$C3245,$C3245,$F$19:$F3245)-SUMIF($C$19:$C3245,$C3245,$G$19:$G3245),"")</f>
        <v>81211.819999998</v>
      </c>
      <c r="I3245" s="147"/>
      <c r="J3245" s="147"/>
      <c r="K3245" s="147" t="str">
        <f t="shared" si="50"/>
        <v/>
      </c>
      <c r="L3245" s="40"/>
      <c r="M3245"/>
      <c r="N3245"/>
      <c r="O3245"/>
      <c r="P3245"/>
      <c r="Q3245"/>
      <c r="R3245"/>
      <c r="S3245"/>
      <c r="T3245"/>
      <c r="U3245"/>
      <c r="V3245"/>
      <c r="W3245" s="41"/>
      <c r="X3245" s="41"/>
      <c r="Y3245" s="41"/>
    </row>
    <row r="3246" s="27" customFormat="1" ht="23" hidden="1" customHeight="1" spans="1:25">
      <c r="A3246" s="133" t="str">
        <f>IF(B3246="","",COUNTA($B$5:B3246))</f>
        <v/>
      </c>
      <c r="B3246" s="148"/>
      <c r="C3246" s="22" t="s">
        <v>49</v>
      </c>
      <c r="D3246" s="149"/>
      <c r="E3246" s="150"/>
      <c r="F3246" s="151"/>
      <c r="G3246" s="151"/>
      <c r="H3246" s="142">
        <f>IFERROR(VLOOKUP($C3246,$C$5:$H$18,6,0)+SUMIF($C$19:$C3246,$C3246,$F$19:$F3246)-SUMIF($C$19:$C3246,$C3246,$G$19:$G3246),"")</f>
        <v>81211.819999998</v>
      </c>
      <c r="I3246" s="147"/>
      <c r="J3246" s="147"/>
      <c r="K3246" s="147" t="str">
        <f t="shared" si="50"/>
        <v/>
      </c>
      <c r="L3246" s="40"/>
      <c r="M3246"/>
      <c r="N3246"/>
      <c r="O3246"/>
      <c r="P3246"/>
      <c r="Q3246"/>
      <c r="R3246"/>
      <c r="S3246"/>
      <c r="T3246"/>
      <c r="U3246"/>
      <c r="V3246"/>
      <c r="W3246" s="41"/>
      <c r="X3246" s="41"/>
      <c r="Y3246" s="41"/>
    </row>
    <row r="3247" s="27" customFormat="1" ht="23" hidden="1" customHeight="1" spans="1:25">
      <c r="A3247" s="133" t="str">
        <f>IF(B3247="","",COUNTA($B$5:B3247))</f>
        <v/>
      </c>
      <c r="B3247" s="148"/>
      <c r="C3247" s="22" t="s">
        <v>49</v>
      </c>
      <c r="D3247" s="149"/>
      <c r="E3247" s="150"/>
      <c r="F3247" s="151"/>
      <c r="G3247" s="151"/>
      <c r="H3247" s="142">
        <f>IFERROR(VLOOKUP($C3247,$C$5:$H$18,6,0)+SUMIF($C$19:$C3247,$C3247,$F$19:$F3247)-SUMIF($C$19:$C3247,$C3247,$G$19:$G3247),"")</f>
        <v>81211.819999998</v>
      </c>
      <c r="I3247" s="147"/>
      <c r="J3247" s="147"/>
      <c r="K3247" s="147" t="str">
        <f t="shared" si="50"/>
        <v/>
      </c>
      <c r="L3247" s="40"/>
      <c r="M3247"/>
      <c r="N3247"/>
      <c r="O3247"/>
      <c r="P3247"/>
      <c r="Q3247"/>
      <c r="R3247"/>
      <c r="S3247"/>
      <c r="T3247"/>
      <c r="U3247"/>
      <c r="V3247"/>
      <c r="W3247" s="41"/>
      <c r="X3247" s="41"/>
      <c r="Y3247" s="41"/>
    </row>
    <row r="3248" s="27" customFormat="1" ht="23" hidden="1" customHeight="1" spans="1:25">
      <c r="A3248" s="133" t="str">
        <f>IF(B3248="","",COUNTA($B$5:B3248))</f>
        <v/>
      </c>
      <c r="B3248" s="148"/>
      <c r="C3248" s="22" t="s">
        <v>49</v>
      </c>
      <c r="D3248" s="149"/>
      <c r="E3248" s="150"/>
      <c r="F3248" s="151"/>
      <c r="G3248" s="151"/>
      <c r="H3248" s="142">
        <f>IFERROR(VLOOKUP($C3248,$C$5:$H$18,6,0)+SUMIF($C$19:$C3248,$C3248,$F$19:$F3248)-SUMIF($C$19:$C3248,$C3248,$G$19:$G3248),"")</f>
        <v>81211.819999998</v>
      </c>
      <c r="I3248" s="147"/>
      <c r="J3248" s="147"/>
      <c r="K3248" s="147" t="str">
        <f t="shared" si="50"/>
        <v/>
      </c>
      <c r="L3248" s="40"/>
      <c r="M3248"/>
      <c r="N3248"/>
      <c r="O3248"/>
      <c r="P3248"/>
      <c r="Q3248"/>
      <c r="R3248"/>
      <c r="S3248"/>
      <c r="T3248"/>
      <c r="U3248"/>
      <c r="V3248"/>
      <c r="W3248" s="41"/>
      <c r="X3248" s="41"/>
      <c r="Y3248" s="41"/>
    </row>
    <row r="3249" s="27" customFormat="1" ht="23" hidden="1" customHeight="1" spans="1:25">
      <c r="A3249" s="133" t="str">
        <f>IF(B3249="","",COUNTA($B$5:B3249))</f>
        <v/>
      </c>
      <c r="B3249" s="148"/>
      <c r="C3249" s="22" t="s">
        <v>49</v>
      </c>
      <c r="D3249" s="149"/>
      <c r="E3249" s="150"/>
      <c r="F3249" s="151"/>
      <c r="G3249" s="151"/>
      <c r="H3249" s="142">
        <f>IFERROR(VLOOKUP($C3249,$C$5:$H$18,6,0)+SUMIF($C$19:$C3249,$C3249,$F$19:$F3249)-SUMIF($C$19:$C3249,$C3249,$G$19:$G3249),"")</f>
        <v>81211.819999998</v>
      </c>
      <c r="I3249" s="147"/>
      <c r="J3249" s="147"/>
      <c r="K3249" s="147" t="str">
        <f t="shared" si="50"/>
        <v/>
      </c>
      <c r="L3249" s="40"/>
      <c r="M3249"/>
      <c r="N3249"/>
      <c r="O3249"/>
      <c r="P3249"/>
      <c r="Q3249"/>
      <c r="R3249"/>
      <c r="S3249"/>
      <c r="T3249"/>
      <c r="U3249"/>
      <c r="V3249"/>
      <c r="W3249" s="41"/>
      <c r="X3249" s="41"/>
      <c r="Y3249" s="41"/>
    </row>
    <row r="3250" s="27" customFormat="1" ht="23" hidden="1" customHeight="1" spans="1:25">
      <c r="A3250" s="133" t="str">
        <f>IF(B3250="","",COUNTA($B$5:B3250))</f>
        <v/>
      </c>
      <c r="B3250" s="148"/>
      <c r="C3250" s="22" t="s">
        <v>49</v>
      </c>
      <c r="D3250" s="149"/>
      <c r="E3250" s="150"/>
      <c r="F3250" s="151"/>
      <c r="G3250" s="151"/>
      <c r="H3250" s="142">
        <f>IFERROR(VLOOKUP($C3250,$C$5:$H$18,6,0)+SUMIF($C$19:$C3250,$C3250,$F$19:$F3250)-SUMIF($C$19:$C3250,$C3250,$G$19:$G3250),"")</f>
        <v>81211.819999998</v>
      </c>
      <c r="I3250" s="147"/>
      <c r="J3250" s="147"/>
      <c r="K3250" s="147" t="str">
        <f t="shared" si="50"/>
        <v/>
      </c>
      <c r="L3250" s="40"/>
      <c r="M3250"/>
      <c r="N3250"/>
      <c r="O3250"/>
      <c r="P3250"/>
      <c r="Q3250"/>
      <c r="R3250"/>
      <c r="S3250"/>
      <c r="T3250"/>
      <c r="U3250"/>
      <c r="V3250"/>
      <c r="W3250" s="41"/>
      <c r="X3250" s="41"/>
      <c r="Y3250" s="41"/>
    </row>
    <row r="3251" s="27" customFormat="1" ht="23" hidden="1" customHeight="1" spans="1:25">
      <c r="A3251" s="133" t="str">
        <f>IF(B3251="","",COUNTA($B$5:B3251))</f>
        <v/>
      </c>
      <c r="B3251" s="148"/>
      <c r="C3251" s="22" t="s">
        <v>49</v>
      </c>
      <c r="D3251" s="149"/>
      <c r="E3251" s="150"/>
      <c r="F3251" s="151"/>
      <c r="G3251" s="151"/>
      <c r="H3251" s="142">
        <f>IFERROR(VLOOKUP($C3251,$C$5:$H$18,6,0)+SUMIF($C$19:$C3251,$C3251,$F$19:$F3251)-SUMIF($C$19:$C3251,$C3251,$G$19:$G3251),"")</f>
        <v>81211.819999998</v>
      </c>
      <c r="I3251" s="147"/>
      <c r="J3251" s="147"/>
      <c r="K3251" s="147" t="str">
        <f t="shared" si="50"/>
        <v/>
      </c>
      <c r="L3251" s="40"/>
      <c r="M3251"/>
      <c r="N3251"/>
      <c r="O3251"/>
      <c r="P3251"/>
      <c r="Q3251"/>
      <c r="R3251"/>
      <c r="S3251"/>
      <c r="T3251"/>
      <c r="U3251"/>
      <c r="V3251"/>
      <c r="W3251" s="41"/>
      <c r="X3251" s="41"/>
      <c r="Y3251" s="41"/>
    </row>
    <row r="3252" s="27" customFormat="1" ht="23" hidden="1" customHeight="1" spans="1:25">
      <c r="A3252" s="133" t="str">
        <f>IF(B3252="","",COUNTA($B$5:B3252))</f>
        <v/>
      </c>
      <c r="B3252" s="148"/>
      <c r="C3252" s="22" t="s">
        <v>49</v>
      </c>
      <c r="D3252" s="149"/>
      <c r="E3252" s="150"/>
      <c r="F3252" s="151"/>
      <c r="G3252" s="151"/>
      <c r="H3252" s="142">
        <f>IFERROR(VLOOKUP($C3252,$C$5:$H$18,6,0)+SUMIF($C$19:$C3252,$C3252,$F$19:$F3252)-SUMIF($C$19:$C3252,$C3252,$G$19:$G3252),"")</f>
        <v>81211.819999998</v>
      </c>
      <c r="I3252" s="147"/>
      <c r="J3252" s="147"/>
      <c r="K3252" s="147" t="str">
        <f t="shared" si="50"/>
        <v/>
      </c>
      <c r="L3252" s="40"/>
      <c r="M3252"/>
      <c r="N3252"/>
      <c r="O3252"/>
      <c r="P3252"/>
      <c r="Q3252"/>
      <c r="R3252"/>
      <c r="S3252"/>
      <c r="T3252"/>
      <c r="U3252"/>
      <c r="V3252"/>
      <c r="W3252" s="41"/>
      <c r="X3252" s="41"/>
      <c r="Y3252" s="41"/>
    </row>
    <row r="3253" s="27" customFormat="1" ht="23" hidden="1" customHeight="1" spans="1:25">
      <c r="A3253" s="133" t="str">
        <f>IF(B3253="","",COUNTA($B$5:B3253))</f>
        <v/>
      </c>
      <c r="B3253" s="148"/>
      <c r="C3253" s="22" t="s">
        <v>49</v>
      </c>
      <c r="D3253" s="149"/>
      <c r="E3253" s="150"/>
      <c r="F3253" s="151"/>
      <c r="G3253" s="151"/>
      <c r="H3253" s="142">
        <f>IFERROR(VLOOKUP($C3253,$C$5:$H$18,6,0)+SUMIF($C$19:$C3253,$C3253,$F$19:$F3253)-SUMIF($C$19:$C3253,$C3253,$G$19:$G3253),"")</f>
        <v>81211.819999998</v>
      </c>
      <c r="I3253" s="147"/>
      <c r="J3253" s="147"/>
      <c r="K3253" s="147" t="str">
        <f t="shared" si="50"/>
        <v/>
      </c>
      <c r="L3253" s="40"/>
      <c r="M3253"/>
      <c r="N3253"/>
      <c r="O3253"/>
      <c r="P3253"/>
      <c r="Q3253"/>
      <c r="R3253"/>
      <c r="S3253"/>
      <c r="T3253"/>
      <c r="U3253"/>
      <c r="V3253"/>
      <c r="W3253" s="41"/>
      <c r="X3253" s="41"/>
      <c r="Y3253" s="41"/>
    </row>
    <row r="3254" s="27" customFormat="1" ht="23" hidden="1" customHeight="1" spans="1:25">
      <c r="A3254" s="133" t="str">
        <f>IF(B3254="","",COUNTA($B$5:B3254))</f>
        <v/>
      </c>
      <c r="B3254" s="148"/>
      <c r="C3254" s="22" t="s">
        <v>49</v>
      </c>
      <c r="D3254" s="149"/>
      <c r="E3254" s="150"/>
      <c r="F3254" s="151"/>
      <c r="G3254" s="151"/>
      <c r="H3254" s="142">
        <f>IFERROR(VLOOKUP($C3254,$C$5:$H$18,6,0)+SUMIF($C$19:$C3254,$C3254,$F$19:$F3254)-SUMIF($C$19:$C3254,$C3254,$G$19:$G3254),"")</f>
        <v>81211.819999998</v>
      </c>
      <c r="I3254" s="147"/>
      <c r="J3254" s="147"/>
      <c r="K3254" s="147" t="str">
        <f t="shared" si="50"/>
        <v/>
      </c>
      <c r="L3254" s="40"/>
      <c r="M3254"/>
      <c r="N3254"/>
      <c r="O3254"/>
      <c r="P3254"/>
      <c r="Q3254"/>
      <c r="R3254"/>
      <c r="S3254"/>
      <c r="T3254"/>
      <c r="U3254"/>
      <c r="V3254"/>
      <c r="W3254" s="41"/>
      <c r="X3254" s="41"/>
      <c r="Y3254" s="41"/>
    </row>
    <row r="3255" s="27" customFormat="1" ht="23" hidden="1" customHeight="1" spans="1:25">
      <c r="A3255" s="133" t="str">
        <f>IF(B3255="","",COUNTA($B$5:B3255))</f>
        <v/>
      </c>
      <c r="B3255" s="148"/>
      <c r="C3255" s="22" t="s">
        <v>49</v>
      </c>
      <c r="D3255" s="149"/>
      <c r="E3255" s="150"/>
      <c r="F3255" s="151"/>
      <c r="G3255" s="151"/>
      <c r="H3255" s="142">
        <f>IFERROR(VLOOKUP($C3255,$C$5:$H$18,6,0)+SUMIF($C$19:$C3255,$C3255,$F$19:$F3255)-SUMIF($C$19:$C3255,$C3255,$G$19:$G3255),"")</f>
        <v>81211.819999998</v>
      </c>
      <c r="I3255" s="147"/>
      <c r="J3255" s="147"/>
      <c r="K3255" s="147" t="str">
        <f t="shared" si="50"/>
        <v/>
      </c>
      <c r="L3255" s="40"/>
      <c r="M3255"/>
      <c r="N3255"/>
      <c r="O3255"/>
      <c r="P3255"/>
      <c r="Q3255"/>
      <c r="R3255"/>
      <c r="S3255"/>
      <c r="T3255"/>
      <c r="U3255"/>
      <c r="V3255"/>
      <c r="W3255" s="41"/>
      <c r="X3255" s="41"/>
      <c r="Y3255" s="41"/>
    </row>
    <row r="3256" s="27" customFormat="1" ht="23" hidden="1" customHeight="1" spans="1:25">
      <c r="A3256" s="133" t="str">
        <f>IF(B3256="","",COUNTA($B$5:B3256))</f>
        <v/>
      </c>
      <c r="B3256" s="148"/>
      <c r="C3256" s="22" t="s">
        <v>49</v>
      </c>
      <c r="D3256" s="149"/>
      <c r="E3256" s="150"/>
      <c r="F3256" s="151"/>
      <c r="G3256" s="151"/>
      <c r="H3256" s="142">
        <f>IFERROR(VLOOKUP($C3256,$C$5:$H$18,6,0)+SUMIF($C$19:$C3256,$C3256,$F$19:$F3256)-SUMIF($C$19:$C3256,$C3256,$G$19:$G3256),"")</f>
        <v>81211.819999998</v>
      </c>
      <c r="I3256" s="147"/>
      <c r="J3256" s="147"/>
      <c r="K3256" s="147" t="str">
        <f t="shared" si="50"/>
        <v/>
      </c>
      <c r="L3256" s="40"/>
      <c r="M3256"/>
      <c r="N3256"/>
      <c r="O3256"/>
      <c r="P3256"/>
      <c r="Q3256"/>
      <c r="R3256"/>
      <c r="S3256"/>
      <c r="T3256"/>
      <c r="U3256"/>
      <c r="V3256"/>
      <c r="W3256" s="41"/>
      <c r="X3256" s="41"/>
      <c r="Y3256" s="41"/>
    </row>
    <row r="3257" s="27" customFormat="1" ht="23" hidden="1" customHeight="1" spans="1:25">
      <c r="A3257" s="133" t="str">
        <f>IF(B3257="","",COUNTA($B$5:B3257))</f>
        <v/>
      </c>
      <c r="B3257" s="148"/>
      <c r="C3257" s="22" t="s">
        <v>49</v>
      </c>
      <c r="D3257" s="149"/>
      <c r="E3257" s="150"/>
      <c r="F3257" s="151"/>
      <c r="G3257" s="151"/>
      <c r="H3257" s="142">
        <f>IFERROR(VLOOKUP($C3257,$C$5:$H$18,6,0)+SUMIF($C$19:$C3257,$C3257,$F$19:$F3257)-SUMIF($C$19:$C3257,$C3257,$G$19:$G3257),"")</f>
        <v>81211.819999998</v>
      </c>
      <c r="I3257" s="147"/>
      <c r="J3257" s="147"/>
      <c r="K3257" s="147" t="str">
        <f t="shared" si="50"/>
        <v/>
      </c>
      <c r="L3257" s="40"/>
      <c r="M3257"/>
      <c r="N3257"/>
      <c r="O3257"/>
      <c r="P3257"/>
      <c r="Q3257"/>
      <c r="R3257"/>
      <c r="S3257"/>
      <c r="T3257"/>
      <c r="U3257"/>
      <c r="V3257"/>
      <c r="W3257" s="41"/>
      <c r="X3257" s="41"/>
      <c r="Y3257" s="41"/>
    </row>
    <row r="3258" s="27" customFormat="1" ht="23" hidden="1" customHeight="1" spans="1:25">
      <c r="A3258" s="133" t="str">
        <f>IF(B3258="","",COUNTA($B$5:B3258))</f>
        <v/>
      </c>
      <c r="B3258" s="148"/>
      <c r="C3258" s="22" t="s">
        <v>49</v>
      </c>
      <c r="D3258" s="149"/>
      <c r="E3258" s="150"/>
      <c r="F3258" s="151"/>
      <c r="G3258" s="151"/>
      <c r="H3258" s="142">
        <f>IFERROR(VLOOKUP($C3258,$C$5:$H$18,6,0)+SUMIF($C$19:$C3258,$C3258,$F$19:$F3258)-SUMIF($C$19:$C3258,$C3258,$G$19:$G3258),"")</f>
        <v>81211.819999998</v>
      </c>
      <c r="I3258" s="147"/>
      <c r="J3258" s="147"/>
      <c r="K3258" s="147" t="str">
        <f t="shared" si="50"/>
        <v/>
      </c>
      <c r="L3258" s="40"/>
      <c r="M3258"/>
      <c r="N3258"/>
      <c r="O3258"/>
      <c r="P3258"/>
      <c r="Q3258"/>
      <c r="R3258"/>
      <c r="S3258"/>
      <c r="T3258"/>
      <c r="U3258"/>
      <c r="V3258"/>
      <c r="W3258" s="41"/>
      <c r="X3258" s="41"/>
      <c r="Y3258" s="41"/>
    </row>
    <row r="3259" s="27" customFormat="1" ht="23" hidden="1" customHeight="1" spans="1:25">
      <c r="A3259" s="133" t="str">
        <f>IF(B3259="","",COUNTA($B$5:B3259))</f>
        <v/>
      </c>
      <c r="B3259" s="148"/>
      <c r="C3259" s="22" t="s">
        <v>49</v>
      </c>
      <c r="D3259" s="149"/>
      <c r="E3259" s="150"/>
      <c r="F3259" s="151"/>
      <c r="G3259" s="151"/>
      <c r="H3259" s="142">
        <f>IFERROR(VLOOKUP($C3259,$C$5:$H$18,6,0)+SUMIF($C$19:$C3259,$C3259,$F$19:$F3259)-SUMIF($C$19:$C3259,$C3259,$G$19:$G3259),"")</f>
        <v>81211.819999998</v>
      </c>
      <c r="I3259" s="147"/>
      <c r="J3259" s="147"/>
      <c r="K3259" s="147" t="str">
        <f t="shared" si="50"/>
        <v/>
      </c>
      <c r="L3259" s="40"/>
      <c r="M3259"/>
      <c r="N3259"/>
      <c r="O3259"/>
      <c r="P3259"/>
      <c r="Q3259"/>
      <c r="R3259"/>
      <c r="S3259"/>
      <c r="T3259"/>
      <c r="U3259"/>
      <c r="V3259"/>
      <c r="W3259" s="41"/>
      <c r="X3259" s="41"/>
      <c r="Y3259" s="41"/>
    </row>
    <row r="3260" s="27" customFormat="1" ht="23" hidden="1" customHeight="1" spans="1:25">
      <c r="A3260" s="133" t="str">
        <f>IF(B3260="","",COUNTA($B$5:B3260))</f>
        <v/>
      </c>
      <c r="B3260" s="148"/>
      <c r="C3260" s="22" t="s">
        <v>49</v>
      </c>
      <c r="D3260" s="149"/>
      <c r="E3260" s="150"/>
      <c r="F3260" s="151"/>
      <c r="G3260" s="151"/>
      <c r="H3260" s="142">
        <f>IFERROR(VLOOKUP($C3260,$C$5:$H$18,6,0)+SUMIF($C$19:$C3260,$C3260,$F$19:$F3260)-SUMIF($C$19:$C3260,$C3260,$G$19:$G3260),"")</f>
        <v>81211.819999998</v>
      </c>
      <c r="I3260" s="147"/>
      <c r="J3260" s="147"/>
      <c r="K3260" s="147" t="str">
        <f t="shared" si="50"/>
        <v/>
      </c>
      <c r="L3260" s="40"/>
      <c r="M3260"/>
      <c r="N3260"/>
      <c r="O3260"/>
      <c r="P3260"/>
      <c r="Q3260"/>
      <c r="R3260"/>
      <c r="S3260"/>
      <c r="T3260"/>
      <c r="U3260"/>
      <c r="V3260"/>
      <c r="W3260" s="41"/>
      <c r="X3260" s="41"/>
      <c r="Y3260" s="41"/>
    </row>
    <row r="3261" s="27" customFormat="1" ht="23" hidden="1" customHeight="1" spans="1:25">
      <c r="A3261" s="133" t="str">
        <f>IF(B3261="","",COUNTA($B$5:B3261))</f>
        <v/>
      </c>
      <c r="B3261" s="148"/>
      <c r="C3261" s="22" t="s">
        <v>49</v>
      </c>
      <c r="D3261" s="149"/>
      <c r="E3261" s="150"/>
      <c r="F3261" s="151"/>
      <c r="G3261" s="151"/>
      <c r="H3261" s="142">
        <f>IFERROR(VLOOKUP($C3261,$C$5:$H$18,6,0)+SUMIF($C$19:$C3261,$C3261,$F$19:$F3261)-SUMIF($C$19:$C3261,$C3261,$G$19:$G3261),"")</f>
        <v>81211.819999998</v>
      </c>
      <c r="I3261" s="147"/>
      <c r="J3261" s="147"/>
      <c r="K3261" s="147" t="str">
        <f t="shared" si="50"/>
        <v/>
      </c>
      <c r="L3261" s="40"/>
      <c r="M3261"/>
      <c r="N3261"/>
      <c r="O3261"/>
      <c r="P3261"/>
      <c r="Q3261"/>
      <c r="R3261"/>
      <c r="S3261"/>
      <c r="T3261"/>
      <c r="U3261"/>
      <c r="V3261"/>
      <c r="W3261" s="41"/>
      <c r="X3261" s="41"/>
      <c r="Y3261" s="41"/>
    </row>
    <row r="3262" s="27" customFormat="1" ht="23" hidden="1" customHeight="1" spans="1:25">
      <c r="A3262" s="133" t="str">
        <f>IF(B3262="","",COUNTA($B$5:B3262))</f>
        <v/>
      </c>
      <c r="B3262" s="148"/>
      <c r="C3262" s="22" t="s">
        <v>49</v>
      </c>
      <c r="D3262" s="149"/>
      <c r="E3262" s="150"/>
      <c r="F3262" s="151"/>
      <c r="G3262" s="151"/>
      <c r="H3262" s="142">
        <f>IFERROR(VLOOKUP($C3262,$C$5:$H$18,6,0)+SUMIF($C$19:$C3262,$C3262,$F$19:$F3262)-SUMIF($C$19:$C3262,$C3262,$G$19:$G3262),"")</f>
        <v>81211.819999998</v>
      </c>
      <c r="I3262" s="147"/>
      <c r="J3262" s="147"/>
      <c r="K3262" s="147" t="str">
        <f t="shared" si="50"/>
        <v/>
      </c>
      <c r="L3262" s="40"/>
      <c r="M3262"/>
      <c r="N3262"/>
      <c r="O3262"/>
      <c r="P3262"/>
      <c r="Q3262"/>
      <c r="R3262"/>
      <c r="S3262"/>
      <c r="T3262"/>
      <c r="U3262"/>
      <c r="V3262"/>
      <c r="W3262" s="41"/>
      <c r="X3262" s="41"/>
      <c r="Y3262" s="41"/>
    </row>
    <row r="3263" s="27" customFormat="1" ht="23" hidden="1" customHeight="1" spans="1:25">
      <c r="A3263" s="133" t="str">
        <f>IF(B3263="","",COUNTA($B$5:B3263))</f>
        <v/>
      </c>
      <c r="B3263" s="148"/>
      <c r="C3263" s="22" t="s">
        <v>49</v>
      </c>
      <c r="D3263" s="149"/>
      <c r="E3263" s="150"/>
      <c r="F3263" s="151"/>
      <c r="G3263" s="151"/>
      <c r="H3263" s="142">
        <f>IFERROR(VLOOKUP($C3263,$C$5:$H$18,6,0)+SUMIF($C$19:$C3263,$C3263,$F$19:$F3263)-SUMIF($C$19:$C3263,$C3263,$G$19:$G3263),"")</f>
        <v>81211.819999998</v>
      </c>
      <c r="I3263" s="147"/>
      <c r="J3263" s="147"/>
      <c r="K3263" s="147" t="str">
        <f t="shared" si="50"/>
        <v/>
      </c>
      <c r="L3263" s="40"/>
      <c r="M3263"/>
      <c r="N3263"/>
      <c r="O3263"/>
      <c r="P3263"/>
      <c r="Q3263"/>
      <c r="R3263"/>
      <c r="S3263"/>
      <c r="T3263"/>
      <c r="U3263"/>
      <c r="V3263"/>
      <c r="W3263" s="41"/>
      <c r="X3263" s="41"/>
      <c r="Y3263" s="41"/>
    </row>
    <row r="3264" s="27" customFormat="1" ht="23" hidden="1" customHeight="1" spans="1:25">
      <c r="A3264" s="133" t="str">
        <f>IF(B3264="","",COUNTA($B$5:B3264))</f>
        <v/>
      </c>
      <c r="B3264" s="148"/>
      <c r="C3264" s="22" t="s">
        <v>49</v>
      </c>
      <c r="D3264" s="149"/>
      <c r="E3264" s="150"/>
      <c r="F3264" s="151"/>
      <c r="G3264" s="151"/>
      <c r="H3264" s="142">
        <f>IFERROR(VLOOKUP($C3264,$C$5:$H$18,6,0)+SUMIF($C$19:$C3264,$C3264,$F$19:$F3264)-SUMIF($C$19:$C3264,$C3264,$G$19:$G3264),"")</f>
        <v>81211.819999998</v>
      </c>
      <c r="I3264" s="147"/>
      <c r="J3264" s="147"/>
      <c r="K3264" s="147" t="str">
        <f t="shared" si="50"/>
        <v/>
      </c>
      <c r="L3264" s="40"/>
      <c r="M3264"/>
      <c r="N3264"/>
      <c r="O3264"/>
      <c r="P3264"/>
      <c r="Q3264"/>
      <c r="R3264"/>
      <c r="S3264"/>
      <c r="T3264"/>
      <c r="U3264"/>
      <c r="V3264"/>
      <c r="W3264" s="41"/>
      <c r="X3264" s="41"/>
      <c r="Y3264" s="41"/>
    </row>
    <row r="3265" s="27" customFormat="1" ht="23" hidden="1" customHeight="1" spans="1:25">
      <c r="A3265" s="133" t="str">
        <f>IF(B3265="","",COUNTA($B$5:B3265))</f>
        <v/>
      </c>
      <c r="B3265" s="148"/>
      <c r="C3265" s="22" t="s">
        <v>49</v>
      </c>
      <c r="D3265" s="149"/>
      <c r="E3265" s="150"/>
      <c r="F3265" s="151"/>
      <c r="G3265" s="151"/>
      <c r="H3265" s="142">
        <f>IFERROR(VLOOKUP($C3265,$C$5:$H$18,6,0)+SUMIF($C$19:$C3265,$C3265,$F$19:$F3265)-SUMIF($C$19:$C3265,$C3265,$G$19:$G3265),"")</f>
        <v>81211.819999998</v>
      </c>
      <c r="I3265" s="147"/>
      <c r="J3265" s="147"/>
      <c r="K3265" s="147" t="str">
        <f t="shared" si="50"/>
        <v/>
      </c>
      <c r="L3265" s="40"/>
      <c r="M3265"/>
      <c r="N3265"/>
      <c r="O3265"/>
      <c r="P3265"/>
      <c r="Q3265"/>
      <c r="R3265"/>
      <c r="S3265"/>
      <c r="T3265"/>
      <c r="U3265"/>
      <c r="V3265"/>
      <c r="W3265" s="41"/>
      <c r="X3265" s="41"/>
      <c r="Y3265" s="41"/>
    </row>
    <row r="3266" s="27" customFormat="1" ht="23" hidden="1" customHeight="1" spans="1:25">
      <c r="A3266" s="133" t="str">
        <f>IF(B3266="","",COUNTA($B$5:B3266))</f>
        <v/>
      </c>
      <c r="B3266" s="148"/>
      <c r="C3266" s="22" t="s">
        <v>49</v>
      </c>
      <c r="D3266" s="149"/>
      <c r="E3266" s="150"/>
      <c r="F3266" s="151"/>
      <c r="G3266" s="151"/>
      <c r="H3266" s="142">
        <f>IFERROR(VLOOKUP($C3266,$C$5:$H$18,6,0)+SUMIF($C$19:$C3266,$C3266,$F$19:$F3266)-SUMIF($C$19:$C3266,$C3266,$G$19:$G3266),"")</f>
        <v>81211.819999998</v>
      </c>
      <c r="I3266" s="147"/>
      <c r="J3266" s="147"/>
      <c r="K3266" s="147" t="str">
        <f t="shared" si="50"/>
        <v/>
      </c>
      <c r="L3266" s="40"/>
      <c r="M3266"/>
      <c r="N3266"/>
      <c r="O3266"/>
      <c r="P3266"/>
      <c r="Q3266"/>
      <c r="R3266"/>
      <c r="S3266"/>
      <c r="T3266"/>
      <c r="U3266"/>
      <c r="V3266"/>
      <c r="W3266" s="41"/>
      <c r="X3266" s="41"/>
      <c r="Y3266" s="41"/>
    </row>
    <row r="3267" s="27" customFormat="1" ht="23" hidden="1" customHeight="1" spans="1:25">
      <c r="A3267" s="133" t="str">
        <f>IF(B3267="","",COUNTA($B$5:B3267))</f>
        <v/>
      </c>
      <c r="B3267" s="148"/>
      <c r="C3267" s="22" t="s">
        <v>49</v>
      </c>
      <c r="D3267" s="149"/>
      <c r="E3267" s="150"/>
      <c r="F3267" s="151"/>
      <c r="G3267" s="151"/>
      <c r="H3267" s="142">
        <f>IFERROR(VLOOKUP($C3267,$C$5:$H$18,6,0)+SUMIF($C$19:$C3267,$C3267,$F$19:$F3267)-SUMIF($C$19:$C3267,$C3267,$G$19:$G3267),"")</f>
        <v>81211.819999998</v>
      </c>
      <c r="I3267" s="147"/>
      <c r="J3267" s="147"/>
      <c r="K3267" s="147" t="str">
        <f t="shared" si="50"/>
        <v/>
      </c>
      <c r="L3267" s="40"/>
      <c r="M3267"/>
      <c r="N3267"/>
      <c r="O3267"/>
      <c r="P3267"/>
      <c r="Q3267"/>
      <c r="R3267"/>
      <c r="S3267"/>
      <c r="T3267"/>
      <c r="U3267"/>
      <c r="V3267"/>
      <c r="W3267" s="41"/>
      <c r="X3267" s="41"/>
      <c r="Y3267" s="41"/>
    </row>
    <row r="3268" s="27" customFormat="1" ht="23" hidden="1" customHeight="1" spans="1:25">
      <c r="A3268" s="133" t="str">
        <f>IF(B3268="","",COUNTA($B$5:B3268))</f>
        <v/>
      </c>
      <c r="B3268" s="148"/>
      <c r="C3268" s="22" t="s">
        <v>49</v>
      </c>
      <c r="D3268" s="149"/>
      <c r="E3268" s="150"/>
      <c r="F3268" s="151"/>
      <c r="G3268" s="151"/>
      <c r="H3268" s="142">
        <f>IFERROR(VLOOKUP($C3268,$C$5:$H$18,6,0)+SUMIF($C$19:$C3268,$C3268,$F$19:$F3268)-SUMIF($C$19:$C3268,$C3268,$G$19:$G3268),"")</f>
        <v>81211.819999998</v>
      </c>
      <c r="I3268" s="147"/>
      <c r="J3268" s="147"/>
      <c r="K3268" s="147" t="str">
        <f t="shared" si="50"/>
        <v/>
      </c>
      <c r="L3268" s="40"/>
      <c r="M3268"/>
      <c r="N3268"/>
      <c r="O3268"/>
      <c r="P3268"/>
      <c r="Q3268"/>
      <c r="R3268"/>
      <c r="S3268"/>
      <c r="T3268"/>
      <c r="U3268"/>
      <c r="V3268"/>
      <c r="W3268" s="41"/>
      <c r="X3268" s="41"/>
      <c r="Y3268" s="41"/>
    </row>
    <row r="3269" s="27" customFormat="1" ht="23" hidden="1" customHeight="1" spans="1:25">
      <c r="A3269" s="133" t="str">
        <f>IF(B3269="","",COUNTA($B$5:B3269))</f>
        <v/>
      </c>
      <c r="B3269" s="148"/>
      <c r="C3269" s="22" t="s">
        <v>49</v>
      </c>
      <c r="D3269" s="149"/>
      <c r="E3269" s="150"/>
      <c r="F3269" s="151"/>
      <c r="G3269" s="151"/>
      <c r="H3269" s="142">
        <f>IFERROR(VLOOKUP($C3269,$C$5:$H$18,6,0)+SUMIF($C$19:$C3269,$C3269,$F$19:$F3269)-SUMIF($C$19:$C3269,$C3269,$G$19:$G3269),"")</f>
        <v>81211.819999998</v>
      </c>
      <c r="I3269" s="147"/>
      <c r="J3269" s="147"/>
      <c r="K3269" s="147" t="str">
        <f t="shared" ref="K3269:K3332" si="51">IF($B3269="","",--TEXT($B3269,"yyyymm"))</f>
        <v/>
      </c>
      <c r="L3269" s="40"/>
      <c r="M3269"/>
      <c r="N3269"/>
      <c r="O3269"/>
      <c r="P3269"/>
      <c r="Q3269"/>
      <c r="R3269"/>
      <c r="S3269"/>
      <c r="T3269"/>
      <c r="U3269"/>
      <c r="V3269"/>
      <c r="W3269" s="41"/>
      <c r="X3269" s="41"/>
      <c r="Y3269" s="41"/>
    </row>
    <row r="3270" s="27" customFormat="1" ht="23" hidden="1" customHeight="1" spans="1:25">
      <c r="A3270" s="133" t="str">
        <f>IF(B3270="","",COUNTA($B$5:B3270))</f>
        <v/>
      </c>
      <c r="B3270" s="148"/>
      <c r="C3270" s="22" t="s">
        <v>49</v>
      </c>
      <c r="D3270" s="149"/>
      <c r="E3270" s="150"/>
      <c r="F3270" s="151"/>
      <c r="G3270" s="151"/>
      <c r="H3270" s="142">
        <f>IFERROR(VLOOKUP($C3270,$C$5:$H$18,6,0)+SUMIF($C$19:$C3270,$C3270,$F$19:$F3270)-SUMIF($C$19:$C3270,$C3270,$G$19:$G3270),"")</f>
        <v>81211.819999998</v>
      </c>
      <c r="I3270" s="147"/>
      <c r="J3270" s="147"/>
      <c r="K3270" s="147" t="str">
        <f t="shared" si="51"/>
        <v/>
      </c>
      <c r="L3270" s="40"/>
      <c r="M3270"/>
      <c r="N3270"/>
      <c r="O3270"/>
      <c r="P3270"/>
      <c r="Q3270"/>
      <c r="R3270"/>
      <c r="S3270"/>
      <c r="T3270"/>
      <c r="U3270"/>
      <c r="V3270"/>
      <c r="W3270" s="41"/>
      <c r="X3270" s="41"/>
      <c r="Y3270" s="41"/>
    </row>
    <row r="3271" s="27" customFormat="1" ht="23" hidden="1" customHeight="1" spans="1:25">
      <c r="A3271" s="133" t="str">
        <f>IF(B3271="","",COUNTA($B$5:B3271))</f>
        <v/>
      </c>
      <c r="B3271" s="148"/>
      <c r="C3271" s="22" t="s">
        <v>49</v>
      </c>
      <c r="D3271" s="149"/>
      <c r="E3271" s="150"/>
      <c r="F3271" s="151"/>
      <c r="G3271" s="151"/>
      <c r="H3271" s="142">
        <f>IFERROR(VLOOKUP($C3271,$C$5:$H$18,6,0)+SUMIF($C$19:$C3271,$C3271,$F$19:$F3271)-SUMIF($C$19:$C3271,$C3271,$G$19:$G3271),"")</f>
        <v>81211.819999998</v>
      </c>
      <c r="I3271" s="147"/>
      <c r="J3271" s="147"/>
      <c r="K3271" s="147" t="str">
        <f t="shared" si="51"/>
        <v/>
      </c>
      <c r="L3271" s="40"/>
      <c r="M3271"/>
      <c r="N3271"/>
      <c r="O3271"/>
      <c r="P3271"/>
      <c r="Q3271"/>
      <c r="R3271"/>
      <c r="S3271"/>
      <c r="T3271"/>
      <c r="U3271"/>
      <c r="V3271"/>
      <c r="W3271" s="41"/>
      <c r="X3271" s="41"/>
      <c r="Y3271" s="41"/>
    </row>
    <row r="3272" s="27" customFormat="1" ht="23" hidden="1" customHeight="1" spans="1:25">
      <c r="A3272" s="133" t="str">
        <f>IF(B3272="","",COUNTA($B$5:B3272))</f>
        <v/>
      </c>
      <c r="B3272" s="148"/>
      <c r="C3272" s="22" t="s">
        <v>49</v>
      </c>
      <c r="D3272" s="149"/>
      <c r="E3272" s="150"/>
      <c r="F3272" s="151"/>
      <c r="G3272" s="151"/>
      <c r="H3272" s="142">
        <f>IFERROR(VLOOKUP($C3272,$C$5:$H$18,6,0)+SUMIF($C$19:$C3272,$C3272,$F$19:$F3272)-SUMIF($C$19:$C3272,$C3272,$G$19:$G3272),"")</f>
        <v>81211.819999998</v>
      </c>
      <c r="I3272" s="147"/>
      <c r="J3272" s="147"/>
      <c r="K3272" s="147" t="str">
        <f t="shared" si="51"/>
        <v/>
      </c>
      <c r="L3272" s="40"/>
      <c r="M3272"/>
      <c r="N3272"/>
      <c r="O3272"/>
      <c r="P3272"/>
      <c r="Q3272"/>
      <c r="R3272"/>
      <c r="S3272"/>
      <c r="T3272"/>
      <c r="U3272"/>
      <c r="V3272"/>
      <c r="W3272" s="41"/>
      <c r="X3272" s="41"/>
      <c r="Y3272" s="41"/>
    </row>
    <row r="3273" s="27" customFormat="1" ht="23" hidden="1" customHeight="1" spans="1:25">
      <c r="A3273" s="133" t="str">
        <f>IF(B3273="","",COUNTA($B$5:B3273))</f>
        <v/>
      </c>
      <c r="B3273" s="148"/>
      <c r="C3273" s="22" t="s">
        <v>49</v>
      </c>
      <c r="D3273" s="149"/>
      <c r="E3273" s="150"/>
      <c r="F3273" s="151"/>
      <c r="G3273" s="151"/>
      <c r="H3273" s="142">
        <f>IFERROR(VLOOKUP($C3273,$C$5:$H$18,6,0)+SUMIF($C$19:$C3273,$C3273,$F$19:$F3273)-SUMIF($C$19:$C3273,$C3273,$G$19:$G3273),"")</f>
        <v>81211.819999998</v>
      </c>
      <c r="I3273" s="147"/>
      <c r="J3273" s="147"/>
      <c r="K3273" s="147" t="str">
        <f t="shared" si="51"/>
        <v/>
      </c>
      <c r="L3273" s="40"/>
      <c r="M3273"/>
      <c r="N3273"/>
      <c r="O3273"/>
      <c r="P3273"/>
      <c r="Q3273"/>
      <c r="R3273"/>
      <c r="S3273"/>
      <c r="T3273"/>
      <c r="U3273"/>
      <c r="V3273"/>
      <c r="W3273" s="41"/>
      <c r="X3273" s="41"/>
      <c r="Y3273" s="41"/>
    </row>
    <row r="3274" s="27" customFormat="1" ht="23" hidden="1" customHeight="1" spans="1:25">
      <c r="A3274" s="133" t="str">
        <f>IF(B3274="","",COUNTA($B$5:B3274))</f>
        <v/>
      </c>
      <c r="B3274" s="148"/>
      <c r="C3274" s="22" t="s">
        <v>49</v>
      </c>
      <c r="D3274" s="149"/>
      <c r="E3274" s="150"/>
      <c r="F3274" s="151"/>
      <c r="G3274" s="151"/>
      <c r="H3274" s="142">
        <f>IFERROR(VLOOKUP($C3274,$C$5:$H$18,6,0)+SUMIF($C$19:$C3274,$C3274,$F$19:$F3274)-SUMIF($C$19:$C3274,$C3274,$G$19:$G3274),"")</f>
        <v>81211.819999998</v>
      </c>
      <c r="I3274" s="147"/>
      <c r="J3274" s="147"/>
      <c r="K3274" s="147" t="str">
        <f t="shared" si="51"/>
        <v/>
      </c>
      <c r="L3274" s="40"/>
      <c r="M3274"/>
      <c r="N3274"/>
      <c r="O3274"/>
      <c r="P3274"/>
      <c r="Q3274"/>
      <c r="R3274"/>
      <c r="S3274"/>
      <c r="T3274"/>
      <c r="U3274"/>
      <c r="V3274"/>
      <c r="W3274" s="41"/>
      <c r="X3274" s="41"/>
      <c r="Y3274" s="41"/>
    </row>
    <row r="3275" s="27" customFormat="1" ht="23" hidden="1" customHeight="1" spans="1:25">
      <c r="A3275" s="133" t="str">
        <f>IF(B3275="","",COUNTA($B$5:B3275))</f>
        <v/>
      </c>
      <c r="B3275" s="148"/>
      <c r="C3275" s="22" t="s">
        <v>49</v>
      </c>
      <c r="D3275" s="149"/>
      <c r="E3275" s="150"/>
      <c r="F3275" s="151"/>
      <c r="G3275" s="151"/>
      <c r="H3275" s="142">
        <f>IFERROR(VLOOKUP($C3275,$C$5:$H$18,6,0)+SUMIF($C$19:$C3275,$C3275,$F$19:$F3275)-SUMIF($C$19:$C3275,$C3275,$G$19:$G3275),"")</f>
        <v>81211.819999998</v>
      </c>
      <c r="I3275" s="147"/>
      <c r="J3275" s="147"/>
      <c r="K3275" s="147" t="str">
        <f t="shared" si="51"/>
        <v/>
      </c>
      <c r="L3275" s="40"/>
      <c r="M3275"/>
      <c r="N3275"/>
      <c r="O3275"/>
      <c r="P3275"/>
      <c r="Q3275"/>
      <c r="R3275"/>
      <c r="S3275"/>
      <c r="T3275"/>
      <c r="U3275"/>
      <c r="V3275"/>
      <c r="W3275" s="41"/>
      <c r="X3275" s="41"/>
      <c r="Y3275" s="41"/>
    </row>
    <row r="3276" s="27" customFormat="1" ht="23" hidden="1" customHeight="1" spans="1:25">
      <c r="A3276" s="133" t="str">
        <f>IF(B3276="","",COUNTA($B$5:B3276))</f>
        <v/>
      </c>
      <c r="B3276" s="148"/>
      <c r="C3276" s="22" t="s">
        <v>49</v>
      </c>
      <c r="D3276" s="149"/>
      <c r="E3276" s="150"/>
      <c r="F3276" s="151"/>
      <c r="G3276" s="151"/>
      <c r="H3276" s="142">
        <f>IFERROR(VLOOKUP($C3276,$C$5:$H$18,6,0)+SUMIF($C$19:$C3276,$C3276,$F$19:$F3276)-SUMIF($C$19:$C3276,$C3276,$G$19:$G3276),"")</f>
        <v>81211.819999998</v>
      </c>
      <c r="I3276" s="147"/>
      <c r="J3276" s="147"/>
      <c r="K3276" s="147" t="str">
        <f t="shared" si="51"/>
        <v/>
      </c>
      <c r="L3276" s="40"/>
      <c r="M3276"/>
      <c r="N3276"/>
      <c r="O3276"/>
      <c r="P3276"/>
      <c r="Q3276"/>
      <c r="R3276"/>
      <c r="S3276"/>
      <c r="T3276"/>
      <c r="U3276"/>
      <c r="V3276"/>
      <c r="W3276" s="41"/>
      <c r="X3276" s="41"/>
      <c r="Y3276" s="41"/>
    </row>
    <row r="3277" s="27" customFormat="1" ht="23" hidden="1" customHeight="1" spans="1:25">
      <c r="A3277" s="133" t="str">
        <f>IF(B3277="","",COUNTA($B$5:B3277))</f>
        <v/>
      </c>
      <c r="B3277" s="148"/>
      <c r="C3277" s="22" t="s">
        <v>49</v>
      </c>
      <c r="D3277" s="149"/>
      <c r="E3277" s="150"/>
      <c r="F3277" s="151"/>
      <c r="G3277" s="151"/>
      <c r="H3277" s="142">
        <f>IFERROR(VLOOKUP($C3277,$C$5:$H$18,6,0)+SUMIF($C$19:$C3277,$C3277,$F$19:$F3277)-SUMIF($C$19:$C3277,$C3277,$G$19:$G3277),"")</f>
        <v>81211.819999998</v>
      </c>
      <c r="I3277" s="147"/>
      <c r="J3277" s="147"/>
      <c r="K3277" s="147" t="str">
        <f t="shared" si="51"/>
        <v/>
      </c>
      <c r="L3277" s="40"/>
      <c r="M3277"/>
      <c r="N3277"/>
      <c r="O3277"/>
      <c r="P3277"/>
      <c r="Q3277"/>
      <c r="R3277"/>
      <c r="S3277"/>
      <c r="T3277"/>
      <c r="U3277"/>
      <c r="V3277"/>
      <c r="W3277" s="41"/>
      <c r="X3277" s="41"/>
      <c r="Y3277" s="41"/>
    </row>
    <row r="3278" s="27" customFormat="1" ht="23" hidden="1" customHeight="1" spans="1:25">
      <c r="A3278" s="133" t="str">
        <f>IF(B3278="","",COUNTA($B$5:B3278))</f>
        <v/>
      </c>
      <c r="B3278" s="148"/>
      <c r="C3278" s="22" t="s">
        <v>49</v>
      </c>
      <c r="D3278" s="149"/>
      <c r="E3278" s="150"/>
      <c r="F3278" s="151"/>
      <c r="G3278" s="151"/>
      <c r="H3278" s="142">
        <f>IFERROR(VLOOKUP($C3278,$C$5:$H$18,6,0)+SUMIF($C$19:$C3278,$C3278,$F$19:$F3278)-SUMIF($C$19:$C3278,$C3278,$G$19:$G3278),"")</f>
        <v>81211.819999998</v>
      </c>
      <c r="I3278" s="147"/>
      <c r="J3278" s="147"/>
      <c r="K3278" s="147" t="str">
        <f t="shared" si="51"/>
        <v/>
      </c>
      <c r="L3278" s="40"/>
      <c r="M3278"/>
      <c r="N3278"/>
      <c r="O3278"/>
      <c r="P3278"/>
      <c r="Q3278"/>
      <c r="R3278"/>
      <c r="S3278"/>
      <c r="T3278"/>
      <c r="U3278"/>
      <c r="V3278"/>
      <c r="W3278" s="41"/>
      <c r="X3278" s="41"/>
      <c r="Y3278" s="41"/>
    </row>
    <row r="3279" s="27" customFormat="1" ht="23" hidden="1" customHeight="1" spans="1:25">
      <c r="A3279" s="133" t="str">
        <f>IF(B3279="","",COUNTA($B$5:B3279))</f>
        <v/>
      </c>
      <c r="B3279" s="148"/>
      <c r="C3279" s="22" t="s">
        <v>49</v>
      </c>
      <c r="D3279" s="149"/>
      <c r="E3279" s="150"/>
      <c r="F3279" s="151"/>
      <c r="G3279" s="151"/>
      <c r="H3279" s="142">
        <f>IFERROR(VLOOKUP($C3279,$C$5:$H$18,6,0)+SUMIF($C$19:$C3279,$C3279,$F$19:$F3279)-SUMIF($C$19:$C3279,$C3279,$G$19:$G3279),"")</f>
        <v>81211.819999998</v>
      </c>
      <c r="I3279" s="147"/>
      <c r="J3279" s="147"/>
      <c r="K3279" s="147" t="str">
        <f t="shared" si="51"/>
        <v/>
      </c>
      <c r="L3279" s="40"/>
      <c r="M3279"/>
      <c r="N3279"/>
      <c r="O3279"/>
      <c r="P3279"/>
      <c r="Q3279"/>
      <c r="R3279"/>
      <c r="S3279"/>
      <c r="T3279"/>
      <c r="U3279"/>
      <c r="V3279"/>
      <c r="W3279" s="41"/>
      <c r="X3279" s="41"/>
      <c r="Y3279" s="41"/>
    </row>
    <row r="3280" s="27" customFormat="1" ht="23" hidden="1" customHeight="1" spans="1:25">
      <c r="A3280" s="133" t="str">
        <f>IF(B3280="","",COUNTA($B$5:B3280))</f>
        <v/>
      </c>
      <c r="B3280" s="148"/>
      <c r="C3280" s="22" t="s">
        <v>49</v>
      </c>
      <c r="D3280" s="149"/>
      <c r="E3280" s="150"/>
      <c r="F3280" s="151"/>
      <c r="G3280" s="151"/>
      <c r="H3280" s="142">
        <f>IFERROR(VLOOKUP($C3280,$C$5:$H$18,6,0)+SUMIF($C$19:$C3280,$C3280,$F$19:$F3280)-SUMIF($C$19:$C3280,$C3280,$G$19:$G3280),"")</f>
        <v>81211.819999998</v>
      </c>
      <c r="I3280" s="147"/>
      <c r="J3280" s="147"/>
      <c r="K3280" s="147" t="str">
        <f t="shared" si="51"/>
        <v/>
      </c>
      <c r="L3280" s="40"/>
      <c r="M3280"/>
      <c r="N3280"/>
      <c r="O3280"/>
      <c r="P3280"/>
      <c r="Q3280"/>
      <c r="R3280"/>
      <c r="S3280"/>
      <c r="T3280"/>
      <c r="U3280"/>
      <c r="V3280"/>
      <c r="W3280" s="41"/>
      <c r="X3280" s="41"/>
      <c r="Y3280" s="41"/>
    </row>
    <row r="3281" s="27" customFormat="1" ht="23" hidden="1" customHeight="1" spans="1:25">
      <c r="A3281" s="133" t="str">
        <f>IF(B3281="","",COUNTA($B$5:B3281))</f>
        <v/>
      </c>
      <c r="B3281" s="148"/>
      <c r="C3281" s="22" t="s">
        <v>49</v>
      </c>
      <c r="D3281" s="149"/>
      <c r="E3281" s="150"/>
      <c r="F3281" s="151"/>
      <c r="G3281" s="151"/>
      <c r="H3281" s="142">
        <f>IFERROR(VLOOKUP($C3281,$C$5:$H$18,6,0)+SUMIF($C$19:$C3281,$C3281,$F$19:$F3281)-SUMIF($C$19:$C3281,$C3281,$G$19:$G3281),"")</f>
        <v>81211.819999998</v>
      </c>
      <c r="I3281" s="147"/>
      <c r="J3281" s="147"/>
      <c r="K3281" s="147" t="str">
        <f t="shared" si="51"/>
        <v/>
      </c>
      <c r="L3281" s="40"/>
      <c r="M3281"/>
      <c r="N3281"/>
      <c r="O3281"/>
      <c r="P3281"/>
      <c r="Q3281"/>
      <c r="R3281"/>
      <c r="S3281"/>
      <c r="T3281"/>
      <c r="U3281"/>
      <c r="V3281"/>
      <c r="W3281" s="41"/>
      <c r="X3281" s="41"/>
      <c r="Y3281" s="41"/>
    </row>
    <row r="3282" s="27" customFormat="1" ht="23" hidden="1" customHeight="1" spans="1:25">
      <c r="A3282" s="133" t="str">
        <f>IF(B3282="","",COUNTA($B$5:B3282))</f>
        <v/>
      </c>
      <c r="B3282" s="148"/>
      <c r="C3282" s="22" t="s">
        <v>49</v>
      </c>
      <c r="D3282" s="149"/>
      <c r="E3282" s="150"/>
      <c r="F3282" s="151"/>
      <c r="G3282" s="151"/>
      <c r="H3282" s="142">
        <f>IFERROR(VLOOKUP($C3282,$C$5:$H$18,6,0)+SUMIF($C$19:$C3282,$C3282,$F$19:$F3282)-SUMIF($C$19:$C3282,$C3282,$G$19:$G3282),"")</f>
        <v>81211.819999998</v>
      </c>
      <c r="I3282" s="147"/>
      <c r="J3282" s="147"/>
      <c r="K3282" s="147" t="str">
        <f t="shared" si="51"/>
        <v/>
      </c>
      <c r="L3282" s="40"/>
      <c r="M3282"/>
      <c r="N3282"/>
      <c r="O3282"/>
      <c r="P3282"/>
      <c r="Q3282"/>
      <c r="R3282"/>
      <c r="S3282"/>
      <c r="T3282"/>
      <c r="U3282"/>
      <c r="V3282"/>
      <c r="W3282" s="41"/>
      <c r="X3282" s="41"/>
      <c r="Y3282" s="41"/>
    </row>
    <row r="3283" s="27" customFormat="1" ht="23" hidden="1" customHeight="1" spans="1:25">
      <c r="A3283" s="133" t="str">
        <f>IF(B3283="","",COUNTA($B$5:B3283))</f>
        <v/>
      </c>
      <c r="B3283" s="148"/>
      <c r="C3283" s="22" t="s">
        <v>49</v>
      </c>
      <c r="D3283" s="149"/>
      <c r="E3283" s="150"/>
      <c r="F3283" s="151"/>
      <c r="G3283" s="151"/>
      <c r="H3283" s="142">
        <f>IFERROR(VLOOKUP($C3283,$C$5:$H$18,6,0)+SUMIF($C$19:$C3283,$C3283,$F$19:$F3283)-SUMIF($C$19:$C3283,$C3283,$G$19:$G3283),"")</f>
        <v>81211.819999998</v>
      </c>
      <c r="I3283" s="147"/>
      <c r="J3283" s="147"/>
      <c r="K3283" s="147" t="str">
        <f t="shared" si="51"/>
        <v/>
      </c>
      <c r="L3283" s="40"/>
      <c r="M3283"/>
      <c r="N3283"/>
      <c r="O3283"/>
      <c r="P3283"/>
      <c r="Q3283"/>
      <c r="R3283"/>
      <c r="S3283"/>
      <c r="T3283"/>
      <c r="U3283"/>
      <c r="V3283"/>
      <c r="W3283" s="41"/>
      <c r="X3283" s="41"/>
      <c r="Y3283" s="41"/>
    </row>
    <row r="3284" s="27" customFormat="1" ht="23" hidden="1" customHeight="1" spans="1:25">
      <c r="A3284" s="133" t="str">
        <f>IF(B3284="","",COUNTA($B$5:B3284))</f>
        <v/>
      </c>
      <c r="B3284" s="148"/>
      <c r="C3284" s="22" t="s">
        <v>49</v>
      </c>
      <c r="D3284" s="149"/>
      <c r="E3284" s="150"/>
      <c r="F3284" s="151"/>
      <c r="G3284" s="151"/>
      <c r="H3284" s="142">
        <f>IFERROR(VLOOKUP($C3284,$C$5:$H$18,6,0)+SUMIF($C$19:$C3284,$C3284,$F$19:$F3284)-SUMIF($C$19:$C3284,$C3284,$G$19:$G3284),"")</f>
        <v>81211.819999998</v>
      </c>
      <c r="I3284" s="147"/>
      <c r="J3284" s="147"/>
      <c r="K3284" s="147" t="str">
        <f t="shared" si="51"/>
        <v/>
      </c>
      <c r="L3284" s="40"/>
      <c r="M3284"/>
      <c r="N3284"/>
      <c r="O3284"/>
      <c r="P3284"/>
      <c r="Q3284"/>
      <c r="R3284"/>
      <c r="S3284"/>
      <c r="T3284"/>
      <c r="U3284"/>
      <c r="V3284"/>
      <c r="W3284" s="41"/>
      <c r="X3284" s="41"/>
      <c r="Y3284" s="41"/>
    </row>
    <row r="3285" s="27" customFormat="1" ht="23" hidden="1" customHeight="1" spans="1:25">
      <c r="A3285" s="133" t="str">
        <f>IF(B3285="","",COUNTA($B$5:B3285))</f>
        <v/>
      </c>
      <c r="B3285" s="148"/>
      <c r="C3285" s="22" t="s">
        <v>49</v>
      </c>
      <c r="D3285" s="149"/>
      <c r="E3285" s="150"/>
      <c r="F3285" s="151"/>
      <c r="G3285" s="151"/>
      <c r="H3285" s="142">
        <f>IFERROR(VLOOKUP($C3285,$C$5:$H$18,6,0)+SUMIF($C$19:$C3285,$C3285,$F$19:$F3285)-SUMIF($C$19:$C3285,$C3285,$G$19:$G3285),"")</f>
        <v>81211.819999998</v>
      </c>
      <c r="I3285" s="147"/>
      <c r="J3285" s="147"/>
      <c r="K3285" s="147" t="str">
        <f t="shared" si="51"/>
        <v/>
      </c>
      <c r="L3285" s="40"/>
      <c r="M3285"/>
      <c r="N3285"/>
      <c r="O3285"/>
      <c r="P3285"/>
      <c r="Q3285"/>
      <c r="R3285"/>
      <c r="S3285"/>
      <c r="T3285"/>
      <c r="U3285"/>
      <c r="V3285"/>
      <c r="W3285" s="41"/>
      <c r="X3285" s="41"/>
      <c r="Y3285" s="41"/>
    </row>
    <row r="3286" s="27" customFormat="1" ht="23" hidden="1" customHeight="1" spans="1:25">
      <c r="A3286" s="133" t="str">
        <f>IF(B3286="","",COUNTA($B$5:B3286))</f>
        <v/>
      </c>
      <c r="B3286" s="148"/>
      <c r="C3286" s="22" t="s">
        <v>49</v>
      </c>
      <c r="D3286" s="149"/>
      <c r="E3286" s="150"/>
      <c r="F3286" s="151"/>
      <c r="G3286" s="151"/>
      <c r="H3286" s="142">
        <f>IFERROR(VLOOKUP($C3286,$C$5:$H$18,6,0)+SUMIF($C$19:$C3286,$C3286,$F$19:$F3286)-SUMIF($C$19:$C3286,$C3286,$G$19:$G3286),"")</f>
        <v>81211.819999998</v>
      </c>
      <c r="I3286" s="147"/>
      <c r="J3286" s="147"/>
      <c r="K3286" s="147" t="str">
        <f t="shared" si="51"/>
        <v/>
      </c>
      <c r="L3286" s="40"/>
      <c r="M3286"/>
      <c r="N3286"/>
      <c r="O3286"/>
      <c r="P3286"/>
      <c r="Q3286"/>
      <c r="R3286"/>
      <c r="S3286"/>
      <c r="T3286"/>
      <c r="U3286"/>
      <c r="V3286"/>
      <c r="W3286" s="41"/>
      <c r="X3286" s="41"/>
      <c r="Y3286" s="41"/>
    </row>
    <row r="3287" s="27" customFormat="1" ht="23" hidden="1" customHeight="1" spans="1:25">
      <c r="A3287" s="133" t="str">
        <f>IF(B3287="","",COUNTA($B$5:B3287))</f>
        <v/>
      </c>
      <c r="B3287" s="148"/>
      <c r="C3287" s="22" t="s">
        <v>49</v>
      </c>
      <c r="D3287" s="149"/>
      <c r="E3287" s="150"/>
      <c r="F3287" s="151"/>
      <c r="G3287" s="151"/>
      <c r="H3287" s="142">
        <f>IFERROR(VLOOKUP($C3287,$C$5:$H$18,6,0)+SUMIF($C$19:$C3287,$C3287,$F$19:$F3287)-SUMIF($C$19:$C3287,$C3287,$G$19:$G3287),"")</f>
        <v>81211.819999998</v>
      </c>
      <c r="I3287" s="147"/>
      <c r="J3287" s="147"/>
      <c r="K3287" s="147" t="str">
        <f t="shared" si="51"/>
        <v/>
      </c>
      <c r="L3287" s="40"/>
      <c r="M3287"/>
      <c r="N3287"/>
      <c r="O3287"/>
      <c r="P3287"/>
      <c r="Q3287"/>
      <c r="R3287"/>
      <c r="S3287"/>
      <c r="T3287"/>
      <c r="U3287"/>
      <c r="V3287"/>
      <c r="W3287" s="41"/>
      <c r="X3287" s="41"/>
      <c r="Y3287" s="41"/>
    </row>
    <row r="3288" s="27" customFormat="1" ht="23" hidden="1" customHeight="1" spans="1:25">
      <c r="A3288" s="133" t="str">
        <f>IF(B3288="","",COUNTA($B$5:B3288))</f>
        <v/>
      </c>
      <c r="B3288" s="148"/>
      <c r="C3288" s="22" t="s">
        <v>49</v>
      </c>
      <c r="D3288" s="149"/>
      <c r="E3288" s="150"/>
      <c r="F3288" s="151"/>
      <c r="G3288" s="151"/>
      <c r="H3288" s="142">
        <f>IFERROR(VLOOKUP($C3288,$C$5:$H$18,6,0)+SUMIF($C$19:$C3288,$C3288,$F$19:$F3288)-SUMIF($C$19:$C3288,$C3288,$G$19:$G3288),"")</f>
        <v>81211.819999998</v>
      </c>
      <c r="I3288" s="147"/>
      <c r="J3288" s="147"/>
      <c r="K3288" s="147" t="str">
        <f t="shared" si="51"/>
        <v/>
      </c>
      <c r="L3288" s="40"/>
      <c r="M3288"/>
      <c r="N3288"/>
      <c r="O3288"/>
      <c r="P3288"/>
      <c r="Q3288"/>
      <c r="R3288"/>
      <c r="S3288"/>
      <c r="T3288"/>
      <c r="U3288"/>
      <c r="V3288"/>
      <c r="W3288" s="41"/>
      <c r="X3288" s="41"/>
      <c r="Y3288" s="41"/>
    </row>
    <row r="3289" s="27" customFormat="1" ht="23" hidden="1" customHeight="1" spans="1:25">
      <c r="A3289" s="133" t="str">
        <f>IF(B3289="","",COUNTA($B$5:B3289))</f>
        <v/>
      </c>
      <c r="B3289" s="148"/>
      <c r="C3289" s="22" t="s">
        <v>49</v>
      </c>
      <c r="D3289" s="149"/>
      <c r="E3289" s="150"/>
      <c r="F3289" s="151"/>
      <c r="G3289" s="151"/>
      <c r="H3289" s="142">
        <f>IFERROR(VLOOKUP($C3289,$C$5:$H$18,6,0)+SUMIF($C$19:$C3289,$C3289,$F$19:$F3289)-SUMIF($C$19:$C3289,$C3289,$G$19:$G3289),"")</f>
        <v>81211.819999998</v>
      </c>
      <c r="I3289" s="147"/>
      <c r="J3289" s="147"/>
      <c r="K3289" s="147" t="str">
        <f t="shared" si="51"/>
        <v/>
      </c>
      <c r="L3289" s="40"/>
      <c r="M3289"/>
      <c r="N3289"/>
      <c r="O3289"/>
      <c r="P3289"/>
      <c r="Q3289"/>
      <c r="R3289"/>
      <c r="S3289"/>
      <c r="T3289"/>
      <c r="U3289"/>
      <c r="V3289"/>
      <c r="W3289" s="41"/>
      <c r="X3289" s="41"/>
      <c r="Y3289" s="41"/>
    </row>
    <row r="3290" s="27" customFormat="1" ht="23" hidden="1" customHeight="1" spans="1:25">
      <c r="A3290" s="133" t="str">
        <f>IF(B3290="","",COUNTA($B$5:B3290))</f>
        <v/>
      </c>
      <c r="B3290" s="148"/>
      <c r="C3290" s="22" t="s">
        <v>49</v>
      </c>
      <c r="D3290" s="149"/>
      <c r="E3290" s="150"/>
      <c r="F3290" s="151"/>
      <c r="G3290" s="151"/>
      <c r="H3290" s="142">
        <f>IFERROR(VLOOKUP($C3290,$C$5:$H$18,6,0)+SUMIF($C$19:$C3290,$C3290,$F$19:$F3290)-SUMIF($C$19:$C3290,$C3290,$G$19:$G3290),"")</f>
        <v>81211.819999998</v>
      </c>
      <c r="I3290" s="147"/>
      <c r="J3290" s="147"/>
      <c r="K3290" s="147" t="str">
        <f t="shared" si="51"/>
        <v/>
      </c>
      <c r="L3290" s="40"/>
      <c r="M3290"/>
      <c r="N3290"/>
      <c r="O3290"/>
      <c r="P3290"/>
      <c r="Q3290"/>
      <c r="R3290"/>
      <c r="S3290"/>
      <c r="T3290"/>
      <c r="U3290"/>
      <c r="V3290"/>
      <c r="W3290" s="41"/>
      <c r="X3290" s="41"/>
      <c r="Y3290" s="41"/>
    </row>
    <row r="3291" s="27" customFormat="1" ht="23" hidden="1" customHeight="1" spans="1:25">
      <c r="A3291" s="133" t="str">
        <f>IF(B3291="","",COUNTA($B$5:B3291))</f>
        <v/>
      </c>
      <c r="B3291" s="148"/>
      <c r="C3291" s="22" t="s">
        <v>49</v>
      </c>
      <c r="D3291" s="149"/>
      <c r="E3291" s="150"/>
      <c r="F3291" s="151"/>
      <c r="G3291" s="151"/>
      <c r="H3291" s="142">
        <f>IFERROR(VLOOKUP($C3291,$C$5:$H$18,6,0)+SUMIF($C$19:$C3291,$C3291,$F$19:$F3291)-SUMIF($C$19:$C3291,$C3291,$G$19:$G3291),"")</f>
        <v>81211.819999998</v>
      </c>
      <c r="I3291" s="147"/>
      <c r="J3291" s="147"/>
      <c r="K3291" s="147" t="str">
        <f t="shared" si="51"/>
        <v/>
      </c>
      <c r="L3291" s="40"/>
      <c r="M3291"/>
      <c r="N3291"/>
      <c r="O3291"/>
      <c r="P3291"/>
      <c r="Q3291"/>
      <c r="R3291"/>
      <c r="S3291"/>
      <c r="T3291"/>
      <c r="U3291"/>
      <c r="V3291"/>
      <c r="W3291" s="41"/>
      <c r="X3291" s="41"/>
      <c r="Y3291" s="41"/>
    </row>
    <row r="3292" s="27" customFormat="1" ht="23" hidden="1" customHeight="1" spans="1:25">
      <c r="A3292" s="133" t="str">
        <f>IF(B3292="","",COUNTA($B$5:B3292))</f>
        <v/>
      </c>
      <c r="B3292" s="148"/>
      <c r="C3292" s="22" t="s">
        <v>49</v>
      </c>
      <c r="D3292" s="149"/>
      <c r="E3292" s="150"/>
      <c r="F3292" s="151"/>
      <c r="G3292" s="151"/>
      <c r="H3292" s="142">
        <f>IFERROR(VLOOKUP($C3292,$C$5:$H$18,6,0)+SUMIF($C$19:$C3292,$C3292,$F$19:$F3292)-SUMIF($C$19:$C3292,$C3292,$G$19:$G3292),"")</f>
        <v>81211.819999998</v>
      </c>
      <c r="I3292" s="147"/>
      <c r="J3292" s="147"/>
      <c r="K3292" s="147" t="str">
        <f t="shared" si="51"/>
        <v/>
      </c>
      <c r="L3292" s="40"/>
      <c r="M3292"/>
      <c r="N3292"/>
      <c r="O3292"/>
      <c r="P3292"/>
      <c r="Q3292"/>
      <c r="R3292"/>
      <c r="S3292"/>
      <c r="T3292"/>
      <c r="U3292"/>
      <c r="V3292"/>
      <c r="W3292" s="41"/>
      <c r="X3292" s="41"/>
      <c r="Y3292" s="41"/>
    </row>
    <row r="3293" s="27" customFormat="1" ht="23" hidden="1" customHeight="1" spans="1:25">
      <c r="A3293" s="133" t="str">
        <f>IF(B3293="","",COUNTA($B$5:B3293))</f>
        <v/>
      </c>
      <c r="B3293" s="148"/>
      <c r="C3293" s="22" t="s">
        <v>49</v>
      </c>
      <c r="D3293" s="149"/>
      <c r="E3293" s="150"/>
      <c r="F3293" s="151"/>
      <c r="G3293" s="151"/>
      <c r="H3293" s="142">
        <f>IFERROR(VLOOKUP($C3293,$C$5:$H$18,6,0)+SUMIF($C$19:$C3293,$C3293,$F$19:$F3293)-SUMIF($C$19:$C3293,$C3293,$G$19:$G3293),"")</f>
        <v>81211.819999998</v>
      </c>
      <c r="I3293" s="147"/>
      <c r="J3293" s="147"/>
      <c r="K3293" s="147" t="str">
        <f t="shared" si="51"/>
        <v/>
      </c>
      <c r="L3293" s="40"/>
      <c r="M3293"/>
      <c r="N3293"/>
      <c r="O3293"/>
      <c r="P3293"/>
      <c r="Q3293"/>
      <c r="R3293"/>
      <c r="S3293"/>
      <c r="T3293"/>
      <c r="U3293"/>
      <c r="V3293"/>
      <c r="W3293" s="41"/>
      <c r="X3293" s="41"/>
      <c r="Y3293" s="41"/>
    </row>
    <row r="3294" s="27" customFormat="1" ht="23" hidden="1" customHeight="1" spans="1:25">
      <c r="A3294" s="133" t="str">
        <f>IF(B3294="","",COUNTA($B$5:B3294))</f>
        <v/>
      </c>
      <c r="B3294" s="148"/>
      <c r="C3294" s="22" t="s">
        <v>49</v>
      </c>
      <c r="D3294" s="149"/>
      <c r="E3294" s="150"/>
      <c r="F3294" s="151"/>
      <c r="G3294" s="151"/>
      <c r="H3294" s="142">
        <f>IFERROR(VLOOKUP($C3294,$C$5:$H$18,6,0)+SUMIF($C$19:$C3294,$C3294,$F$19:$F3294)-SUMIF($C$19:$C3294,$C3294,$G$19:$G3294),"")</f>
        <v>81211.819999998</v>
      </c>
      <c r="I3294" s="147"/>
      <c r="J3294" s="147"/>
      <c r="K3294" s="147" t="str">
        <f t="shared" si="51"/>
        <v/>
      </c>
      <c r="L3294" s="40"/>
      <c r="M3294"/>
      <c r="N3294"/>
      <c r="O3294"/>
      <c r="P3294"/>
      <c r="Q3294"/>
      <c r="R3294"/>
      <c r="S3294"/>
      <c r="T3294"/>
      <c r="U3294"/>
      <c r="V3294"/>
      <c r="W3294" s="41"/>
      <c r="X3294" s="41"/>
      <c r="Y3294" s="41"/>
    </row>
    <row r="3295" s="27" customFormat="1" ht="23" hidden="1" customHeight="1" spans="1:25">
      <c r="A3295" s="133" t="str">
        <f>IF(B3295="","",COUNTA($B$5:B3295))</f>
        <v/>
      </c>
      <c r="B3295" s="148"/>
      <c r="C3295" s="22" t="s">
        <v>49</v>
      </c>
      <c r="D3295" s="149"/>
      <c r="E3295" s="150"/>
      <c r="F3295" s="151"/>
      <c r="G3295" s="151"/>
      <c r="H3295" s="142">
        <f>IFERROR(VLOOKUP($C3295,$C$5:$H$18,6,0)+SUMIF($C$19:$C3295,$C3295,$F$19:$F3295)-SUMIF($C$19:$C3295,$C3295,$G$19:$G3295),"")</f>
        <v>81211.819999998</v>
      </c>
      <c r="I3295" s="147"/>
      <c r="J3295" s="147"/>
      <c r="K3295" s="147" t="str">
        <f t="shared" si="51"/>
        <v/>
      </c>
      <c r="L3295" s="40"/>
      <c r="M3295"/>
      <c r="N3295"/>
      <c r="O3295"/>
      <c r="P3295"/>
      <c r="Q3295"/>
      <c r="R3295"/>
      <c r="S3295"/>
      <c r="T3295"/>
      <c r="U3295"/>
      <c r="V3295"/>
      <c r="W3295" s="41"/>
      <c r="X3295" s="41"/>
      <c r="Y3295" s="41"/>
    </row>
    <row r="3296" s="27" customFormat="1" ht="23" hidden="1" customHeight="1" spans="1:25">
      <c r="A3296" s="133" t="str">
        <f>IF(B3296="","",COUNTA($B$5:B3296))</f>
        <v/>
      </c>
      <c r="B3296" s="148"/>
      <c r="C3296" s="22" t="s">
        <v>49</v>
      </c>
      <c r="D3296" s="149"/>
      <c r="E3296" s="150"/>
      <c r="F3296" s="151"/>
      <c r="G3296" s="151"/>
      <c r="H3296" s="142">
        <f>IFERROR(VLOOKUP($C3296,$C$5:$H$18,6,0)+SUMIF($C$19:$C3296,$C3296,$F$19:$F3296)-SUMIF($C$19:$C3296,$C3296,$G$19:$G3296),"")</f>
        <v>81211.819999998</v>
      </c>
      <c r="I3296" s="147"/>
      <c r="J3296" s="147"/>
      <c r="K3296" s="147" t="str">
        <f t="shared" si="51"/>
        <v/>
      </c>
      <c r="L3296" s="40"/>
      <c r="M3296"/>
      <c r="N3296"/>
      <c r="O3296"/>
      <c r="P3296"/>
      <c r="Q3296"/>
      <c r="R3296"/>
      <c r="S3296"/>
      <c r="T3296"/>
      <c r="U3296"/>
      <c r="V3296"/>
      <c r="W3296" s="41"/>
      <c r="X3296" s="41"/>
      <c r="Y3296" s="41"/>
    </row>
    <row r="3297" s="27" customFormat="1" ht="23" hidden="1" customHeight="1" spans="1:25">
      <c r="A3297" s="133" t="str">
        <f>IF(B3297="","",COUNTA($B$5:B3297))</f>
        <v/>
      </c>
      <c r="B3297" s="148"/>
      <c r="C3297" s="22" t="s">
        <v>49</v>
      </c>
      <c r="D3297" s="149"/>
      <c r="E3297" s="150"/>
      <c r="F3297" s="151"/>
      <c r="G3297" s="151"/>
      <c r="H3297" s="142">
        <f>IFERROR(VLOOKUP($C3297,$C$5:$H$18,6,0)+SUMIF($C$19:$C3297,$C3297,$F$19:$F3297)-SUMIF($C$19:$C3297,$C3297,$G$19:$G3297),"")</f>
        <v>81211.819999998</v>
      </c>
      <c r="I3297" s="147"/>
      <c r="J3297" s="147"/>
      <c r="K3297" s="147" t="str">
        <f t="shared" si="51"/>
        <v/>
      </c>
      <c r="L3297" s="40"/>
      <c r="M3297"/>
      <c r="N3297"/>
      <c r="O3297"/>
      <c r="P3297"/>
      <c r="Q3297"/>
      <c r="R3297"/>
      <c r="S3297"/>
      <c r="T3297"/>
      <c r="U3297"/>
      <c r="V3297"/>
      <c r="W3297" s="41"/>
      <c r="X3297" s="41"/>
      <c r="Y3297" s="41"/>
    </row>
    <row r="3298" s="27" customFormat="1" ht="23" hidden="1" customHeight="1" spans="1:25">
      <c r="A3298" s="133" t="str">
        <f>IF(B3298="","",COUNTA($B$5:B3298))</f>
        <v/>
      </c>
      <c r="B3298" s="148"/>
      <c r="C3298" s="22" t="s">
        <v>49</v>
      </c>
      <c r="D3298" s="149"/>
      <c r="E3298" s="150"/>
      <c r="F3298" s="151"/>
      <c r="G3298" s="151"/>
      <c r="H3298" s="142">
        <f>IFERROR(VLOOKUP($C3298,$C$5:$H$18,6,0)+SUMIF($C$19:$C3298,$C3298,$F$19:$F3298)-SUMIF($C$19:$C3298,$C3298,$G$19:$G3298),"")</f>
        <v>81211.819999998</v>
      </c>
      <c r="I3298" s="147"/>
      <c r="J3298" s="147"/>
      <c r="K3298" s="147" t="str">
        <f t="shared" si="51"/>
        <v/>
      </c>
      <c r="L3298" s="40"/>
      <c r="M3298"/>
      <c r="N3298"/>
      <c r="O3298"/>
      <c r="P3298"/>
      <c r="Q3298"/>
      <c r="R3298"/>
      <c r="S3298"/>
      <c r="T3298"/>
      <c r="U3298"/>
      <c r="V3298"/>
      <c r="W3298" s="41"/>
      <c r="X3298" s="41"/>
      <c r="Y3298" s="41"/>
    </row>
    <row r="3299" s="27" customFormat="1" ht="23" hidden="1" customHeight="1" spans="1:25">
      <c r="A3299" s="133" t="str">
        <f>IF(B3299="","",COUNTA($B$5:B3299))</f>
        <v/>
      </c>
      <c r="B3299" s="148"/>
      <c r="C3299" s="22" t="s">
        <v>49</v>
      </c>
      <c r="D3299" s="149"/>
      <c r="E3299" s="150"/>
      <c r="F3299" s="151"/>
      <c r="G3299" s="151"/>
      <c r="H3299" s="142">
        <f>IFERROR(VLOOKUP($C3299,$C$5:$H$18,6,0)+SUMIF($C$19:$C3299,$C3299,$F$19:$F3299)-SUMIF($C$19:$C3299,$C3299,$G$19:$G3299),"")</f>
        <v>81211.819999998</v>
      </c>
      <c r="I3299" s="147"/>
      <c r="J3299" s="147"/>
      <c r="K3299" s="147" t="str">
        <f t="shared" si="51"/>
        <v/>
      </c>
      <c r="L3299" s="40"/>
      <c r="M3299"/>
      <c r="N3299"/>
      <c r="O3299"/>
      <c r="P3299"/>
      <c r="Q3299"/>
      <c r="R3299"/>
      <c r="S3299"/>
      <c r="T3299"/>
      <c r="U3299"/>
      <c r="V3299"/>
      <c r="W3299" s="41"/>
      <c r="X3299" s="41"/>
      <c r="Y3299" s="41"/>
    </row>
    <row r="3300" s="27" customFormat="1" ht="23" hidden="1" customHeight="1" spans="1:25">
      <c r="A3300" s="133" t="str">
        <f>IF(B3300="","",COUNTA($B$5:B3300))</f>
        <v/>
      </c>
      <c r="B3300" s="148"/>
      <c r="C3300" s="22" t="s">
        <v>49</v>
      </c>
      <c r="D3300" s="149"/>
      <c r="E3300" s="150"/>
      <c r="F3300" s="151"/>
      <c r="G3300" s="151"/>
      <c r="H3300" s="142">
        <f>IFERROR(VLOOKUP($C3300,$C$5:$H$18,6,0)+SUMIF($C$19:$C3300,$C3300,$F$19:$F3300)-SUMIF($C$19:$C3300,$C3300,$G$19:$G3300),"")</f>
        <v>81211.819999998</v>
      </c>
      <c r="I3300" s="147"/>
      <c r="J3300" s="147"/>
      <c r="K3300" s="147" t="str">
        <f t="shared" si="51"/>
        <v/>
      </c>
      <c r="L3300" s="40"/>
      <c r="M3300"/>
      <c r="N3300"/>
      <c r="O3300"/>
      <c r="P3300"/>
      <c r="Q3300"/>
      <c r="R3300"/>
      <c r="S3300"/>
      <c r="T3300"/>
      <c r="U3300"/>
      <c r="V3300"/>
      <c r="W3300" s="41"/>
      <c r="X3300" s="41"/>
      <c r="Y3300" s="41"/>
    </row>
    <row r="3301" s="27" customFormat="1" ht="23" hidden="1" customHeight="1" spans="1:25">
      <c r="A3301" s="133" t="str">
        <f>IF(B3301="","",COUNTA($B$5:B3301))</f>
        <v/>
      </c>
      <c r="B3301" s="148"/>
      <c r="C3301" s="22" t="s">
        <v>49</v>
      </c>
      <c r="D3301" s="149"/>
      <c r="E3301" s="150"/>
      <c r="F3301" s="151"/>
      <c r="G3301" s="151"/>
      <c r="H3301" s="142">
        <f>IFERROR(VLOOKUP($C3301,$C$5:$H$18,6,0)+SUMIF($C$19:$C3301,$C3301,$F$19:$F3301)-SUMIF($C$19:$C3301,$C3301,$G$19:$G3301),"")</f>
        <v>81211.819999998</v>
      </c>
      <c r="I3301" s="147"/>
      <c r="J3301" s="147"/>
      <c r="K3301" s="147" t="str">
        <f t="shared" si="51"/>
        <v/>
      </c>
      <c r="L3301" s="40"/>
      <c r="M3301"/>
      <c r="N3301"/>
      <c r="O3301"/>
      <c r="P3301"/>
      <c r="Q3301"/>
      <c r="R3301"/>
      <c r="S3301"/>
      <c r="T3301"/>
      <c r="U3301"/>
      <c r="V3301"/>
      <c r="W3301" s="41"/>
      <c r="X3301" s="41"/>
      <c r="Y3301" s="41"/>
    </row>
    <row r="3302" s="27" customFormat="1" ht="23" hidden="1" customHeight="1" spans="1:25">
      <c r="A3302" s="133" t="str">
        <f>IF(B3302="","",COUNTA($B$5:B3302))</f>
        <v/>
      </c>
      <c r="B3302" s="148"/>
      <c r="C3302" s="22" t="s">
        <v>49</v>
      </c>
      <c r="D3302" s="149"/>
      <c r="E3302" s="150"/>
      <c r="F3302" s="151"/>
      <c r="G3302" s="151"/>
      <c r="H3302" s="142">
        <f>IFERROR(VLOOKUP($C3302,$C$5:$H$18,6,0)+SUMIF($C$19:$C3302,$C3302,$F$19:$F3302)-SUMIF($C$19:$C3302,$C3302,$G$19:$G3302),"")</f>
        <v>81211.819999998</v>
      </c>
      <c r="I3302" s="147"/>
      <c r="J3302" s="147"/>
      <c r="K3302" s="147" t="str">
        <f t="shared" si="51"/>
        <v/>
      </c>
      <c r="L3302" s="40"/>
      <c r="M3302"/>
      <c r="N3302"/>
      <c r="O3302"/>
      <c r="P3302"/>
      <c r="Q3302"/>
      <c r="R3302"/>
      <c r="S3302"/>
      <c r="T3302"/>
      <c r="U3302"/>
      <c r="V3302"/>
      <c r="W3302" s="41"/>
      <c r="X3302" s="41"/>
      <c r="Y3302" s="41"/>
    </row>
    <row r="3303" s="27" customFormat="1" ht="23" hidden="1" customHeight="1" spans="1:25">
      <c r="A3303" s="133" t="str">
        <f>IF(B3303="","",COUNTA($B$5:B3303))</f>
        <v/>
      </c>
      <c r="B3303" s="148"/>
      <c r="C3303" s="22" t="s">
        <v>49</v>
      </c>
      <c r="D3303" s="149"/>
      <c r="E3303" s="150"/>
      <c r="F3303" s="151"/>
      <c r="G3303" s="151"/>
      <c r="H3303" s="142">
        <f>IFERROR(VLOOKUP($C3303,$C$5:$H$18,6,0)+SUMIF($C$19:$C3303,$C3303,$F$19:$F3303)-SUMIF($C$19:$C3303,$C3303,$G$19:$G3303),"")</f>
        <v>81211.819999998</v>
      </c>
      <c r="I3303" s="147"/>
      <c r="J3303" s="147"/>
      <c r="K3303" s="147" t="str">
        <f t="shared" si="51"/>
        <v/>
      </c>
      <c r="L3303" s="40"/>
      <c r="M3303"/>
      <c r="N3303"/>
      <c r="O3303"/>
      <c r="P3303"/>
      <c r="Q3303"/>
      <c r="R3303"/>
      <c r="S3303"/>
      <c r="T3303"/>
      <c r="U3303"/>
      <c r="V3303"/>
      <c r="W3303" s="41"/>
      <c r="X3303" s="41"/>
      <c r="Y3303" s="41"/>
    </row>
    <row r="3304" s="27" customFormat="1" ht="23" hidden="1" customHeight="1" spans="1:25">
      <c r="A3304" s="133" t="str">
        <f>IF(B3304="","",COUNTA($B$5:B3304))</f>
        <v/>
      </c>
      <c r="B3304" s="148"/>
      <c r="C3304" s="22" t="s">
        <v>49</v>
      </c>
      <c r="D3304" s="149"/>
      <c r="E3304" s="150"/>
      <c r="F3304" s="151"/>
      <c r="G3304" s="151"/>
      <c r="H3304" s="142">
        <f>IFERROR(VLOOKUP($C3304,$C$5:$H$18,6,0)+SUMIF($C$19:$C3304,$C3304,$F$19:$F3304)-SUMIF($C$19:$C3304,$C3304,$G$19:$G3304),"")</f>
        <v>81211.819999998</v>
      </c>
      <c r="I3304" s="147"/>
      <c r="J3304" s="147"/>
      <c r="K3304" s="147" t="str">
        <f t="shared" si="51"/>
        <v/>
      </c>
      <c r="L3304" s="40"/>
      <c r="M3304"/>
      <c r="N3304"/>
      <c r="O3304"/>
      <c r="P3304"/>
      <c r="Q3304"/>
      <c r="R3304"/>
      <c r="S3304"/>
      <c r="T3304"/>
      <c r="U3304"/>
      <c r="V3304"/>
      <c r="W3304" s="41"/>
      <c r="X3304" s="41"/>
      <c r="Y3304" s="41"/>
    </row>
    <row r="3305" s="27" customFormat="1" ht="23" hidden="1" customHeight="1" spans="1:25">
      <c r="A3305" s="133" t="str">
        <f>IF(B3305="","",COUNTA($B$5:B3305))</f>
        <v/>
      </c>
      <c r="B3305" s="148"/>
      <c r="C3305" s="22" t="s">
        <v>49</v>
      </c>
      <c r="D3305" s="149"/>
      <c r="E3305" s="150"/>
      <c r="F3305" s="151"/>
      <c r="G3305" s="151"/>
      <c r="H3305" s="142">
        <f>IFERROR(VLOOKUP($C3305,$C$5:$H$18,6,0)+SUMIF($C$19:$C3305,$C3305,$F$19:$F3305)-SUMIF($C$19:$C3305,$C3305,$G$19:$G3305),"")</f>
        <v>81211.819999998</v>
      </c>
      <c r="I3305" s="147"/>
      <c r="J3305" s="147"/>
      <c r="K3305" s="147" t="str">
        <f t="shared" si="51"/>
        <v/>
      </c>
      <c r="L3305" s="40"/>
      <c r="M3305"/>
      <c r="N3305"/>
      <c r="O3305"/>
      <c r="P3305"/>
      <c r="Q3305"/>
      <c r="R3305"/>
      <c r="S3305"/>
      <c r="T3305"/>
      <c r="U3305"/>
      <c r="V3305"/>
      <c r="W3305" s="41"/>
      <c r="X3305" s="41"/>
      <c r="Y3305" s="41"/>
    </row>
    <row r="3306" s="27" customFormat="1" ht="23" hidden="1" customHeight="1" spans="1:25">
      <c r="A3306" s="133" t="str">
        <f>IF(B3306="","",COUNTA($B$5:B3306))</f>
        <v/>
      </c>
      <c r="B3306" s="148"/>
      <c r="C3306" s="22" t="s">
        <v>49</v>
      </c>
      <c r="D3306" s="149"/>
      <c r="E3306" s="150"/>
      <c r="F3306" s="151"/>
      <c r="G3306" s="151"/>
      <c r="H3306" s="142">
        <f>IFERROR(VLOOKUP($C3306,$C$5:$H$18,6,0)+SUMIF($C$19:$C3306,$C3306,$F$19:$F3306)-SUMIF($C$19:$C3306,$C3306,$G$19:$G3306),"")</f>
        <v>81211.819999998</v>
      </c>
      <c r="I3306" s="147"/>
      <c r="J3306" s="147"/>
      <c r="K3306" s="147" t="str">
        <f t="shared" si="51"/>
        <v/>
      </c>
      <c r="L3306" s="40"/>
      <c r="M3306"/>
      <c r="N3306"/>
      <c r="O3306"/>
      <c r="P3306"/>
      <c r="Q3306"/>
      <c r="R3306"/>
      <c r="S3306"/>
      <c r="T3306"/>
      <c r="U3306"/>
      <c r="V3306"/>
      <c r="W3306" s="41"/>
      <c r="X3306" s="41"/>
      <c r="Y3306" s="41"/>
    </row>
    <row r="3307" s="27" customFormat="1" ht="23" hidden="1" customHeight="1" spans="1:25">
      <c r="A3307" s="133" t="str">
        <f>IF(B3307="","",COUNTA($B$5:B3307))</f>
        <v/>
      </c>
      <c r="B3307" s="148"/>
      <c r="C3307" s="22" t="s">
        <v>49</v>
      </c>
      <c r="D3307" s="149"/>
      <c r="E3307" s="150"/>
      <c r="F3307" s="151"/>
      <c r="G3307" s="151"/>
      <c r="H3307" s="142">
        <f>IFERROR(VLOOKUP($C3307,$C$5:$H$18,6,0)+SUMIF($C$19:$C3307,$C3307,$F$19:$F3307)-SUMIF($C$19:$C3307,$C3307,$G$19:$G3307),"")</f>
        <v>81211.819999998</v>
      </c>
      <c r="I3307" s="147"/>
      <c r="J3307" s="147"/>
      <c r="K3307" s="147" t="str">
        <f t="shared" si="51"/>
        <v/>
      </c>
      <c r="L3307" s="40"/>
      <c r="M3307"/>
      <c r="N3307"/>
      <c r="O3307"/>
      <c r="P3307"/>
      <c r="Q3307"/>
      <c r="R3307"/>
      <c r="S3307"/>
      <c r="T3307"/>
      <c r="U3307"/>
      <c r="V3307"/>
      <c r="W3307" s="41"/>
      <c r="X3307" s="41"/>
      <c r="Y3307" s="41"/>
    </row>
    <row r="3308" s="27" customFormat="1" ht="23" hidden="1" customHeight="1" spans="1:25">
      <c r="A3308" s="133" t="str">
        <f>IF(B3308="","",COUNTA($B$5:B3308))</f>
        <v/>
      </c>
      <c r="B3308" s="148"/>
      <c r="C3308" s="22" t="s">
        <v>49</v>
      </c>
      <c r="D3308" s="149"/>
      <c r="E3308" s="150"/>
      <c r="F3308" s="151"/>
      <c r="G3308" s="151"/>
      <c r="H3308" s="142">
        <f>IFERROR(VLOOKUP($C3308,$C$5:$H$18,6,0)+SUMIF($C$19:$C3308,$C3308,$F$19:$F3308)-SUMIF($C$19:$C3308,$C3308,$G$19:$G3308),"")</f>
        <v>81211.819999998</v>
      </c>
      <c r="I3308" s="147"/>
      <c r="J3308" s="147"/>
      <c r="K3308" s="147" t="str">
        <f t="shared" si="51"/>
        <v/>
      </c>
      <c r="L3308" s="40"/>
      <c r="M3308"/>
      <c r="N3308"/>
      <c r="O3308"/>
      <c r="P3308"/>
      <c r="Q3308"/>
      <c r="R3308"/>
      <c r="S3308"/>
      <c r="T3308"/>
      <c r="U3308"/>
      <c r="V3308"/>
      <c r="W3308" s="41"/>
      <c r="X3308" s="41"/>
      <c r="Y3308" s="41"/>
    </row>
    <row r="3309" s="27" customFormat="1" ht="23" hidden="1" customHeight="1" spans="1:25">
      <c r="A3309" s="133" t="str">
        <f>IF(B3309="","",COUNTA($B$5:B3309))</f>
        <v/>
      </c>
      <c r="B3309" s="148"/>
      <c r="C3309" s="22" t="s">
        <v>49</v>
      </c>
      <c r="D3309" s="149"/>
      <c r="E3309" s="150"/>
      <c r="F3309" s="151"/>
      <c r="G3309" s="151"/>
      <c r="H3309" s="142">
        <f>IFERROR(VLOOKUP($C3309,$C$5:$H$18,6,0)+SUMIF($C$19:$C3309,$C3309,$F$19:$F3309)-SUMIF($C$19:$C3309,$C3309,$G$19:$G3309),"")</f>
        <v>81211.819999998</v>
      </c>
      <c r="I3309" s="147"/>
      <c r="J3309" s="147"/>
      <c r="K3309" s="147" t="str">
        <f t="shared" si="51"/>
        <v/>
      </c>
      <c r="L3309" s="40"/>
      <c r="M3309"/>
      <c r="N3309"/>
      <c r="O3309"/>
      <c r="P3309"/>
      <c r="Q3309"/>
      <c r="R3309"/>
      <c r="S3309"/>
      <c r="T3309"/>
      <c r="U3309"/>
      <c r="V3309"/>
      <c r="W3309" s="41"/>
      <c r="X3309" s="41"/>
      <c r="Y3309" s="41"/>
    </row>
    <row r="3310" s="27" customFormat="1" ht="23" hidden="1" customHeight="1" spans="1:25">
      <c r="A3310" s="133" t="str">
        <f>IF(B3310="","",COUNTA($B$5:B3310))</f>
        <v/>
      </c>
      <c r="B3310" s="148"/>
      <c r="C3310" s="22" t="s">
        <v>49</v>
      </c>
      <c r="D3310" s="149"/>
      <c r="E3310" s="150"/>
      <c r="F3310" s="151"/>
      <c r="G3310" s="151"/>
      <c r="H3310" s="142">
        <f>IFERROR(VLOOKUP($C3310,$C$5:$H$18,6,0)+SUMIF($C$19:$C3310,$C3310,$F$19:$F3310)-SUMIF($C$19:$C3310,$C3310,$G$19:$G3310),"")</f>
        <v>81211.819999998</v>
      </c>
      <c r="I3310" s="147"/>
      <c r="J3310" s="147"/>
      <c r="K3310" s="147" t="str">
        <f t="shared" si="51"/>
        <v/>
      </c>
      <c r="L3310" s="40"/>
      <c r="M3310"/>
      <c r="N3310"/>
      <c r="O3310"/>
      <c r="P3310"/>
      <c r="Q3310"/>
      <c r="R3310"/>
      <c r="S3310"/>
      <c r="T3310"/>
      <c r="U3310"/>
      <c r="V3310"/>
      <c r="W3310" s="41"/>
      <c r="X3310" s="41"/>
      <c r="Y3310" s="41"/>
    </row>
    <row r="3311" s="27" customFormat="1" ht="23" hidden="1" customHeight="1" spans="1:25">
      <c r="A3311" s="133" t="str">
        <f>IF(B3311="","",COUNTA($B$5:B3311))</f>
        <v/>
      </c>
      <c r="B3311" s="148"/>
      <c r="C3311" s="22" t="s">
        <v>49</v>
      </c>
      <c r="D3311" s="149"/>
      <c r="E3311" s="150"/>
      <c r="F3311" s="151"/>
      <c r="G3311" s="151"/>
      <c r="H3311" s="142">
        <f>IFERROR(VLOOKUP($C3311,$C$5:$H$18,6,0)+SUMIF($C$19:$C3311,$C3311,$F$19:$F3311)-SUMIF($C$19:$C3311,$C3311,$G$19:$G3311),"")</f>
        <v>81211.819999998</v>
      </c>
      <c r="I3311" s="147"/>
      <c r="J3311" s="147"/>
      <c r="K3311" s="147" t="str">
        <f t="shared" si="51"/>
        <v/>
      </c>
      <c r="L3311" s="40"/>
      <c r="M3311"/>
      <c r="N3311"/>
      <c r="O3311"/>
      <c r="P3311"/>
      <c r="Q3311"/>
      <c r="R3311"/>
      <c r="S3311"/>
      <c r="T3311"/>
      <c r="U3311"/>
      <c r="V3311"/>
      <c r="W3311" s="41"/>
      <c r="X3311" s="41"/>
      <c r="Y3311" s="41"/>
    </row>
    <row r="3312" s="27" customFormat="1" ht="23" hidden="1" customHeight="1" spans="1:25">
      <c r="A3312" s="133" t="str">
        <f>IF(B3312="","",COUNTA($B$5:B3312))</f>
        <v/>
      </c>
      <c r="B3312" s="148"/>
      <c r="C3312" s="22" t="s">
        <v>49</v>
      </c>
      <c r="D3312" s="149"/>
      <c r="E3312" s="150"/>
      <c r="F3312" s="151"/>
      <c r="G3312" s="151"/>
      <c r="H3312" s="142">
        <f>IFERROR(VLOOKUP($C3312,$C$5:$H$18,6,0)+SUMIF($C$19:$C3312,$C3312,$F$19:$F3312)-SUMIF($C$19:$C3312,$C3312,$G$19:$G3312),"")</f>
        <v>81211.819999998</v>
      </c>
      <c r="I3312" s="147"/>
      <c r="J3312" s="147"/>
      <c r="K3312" s="147" t="str">
        <f t="shared" si="51"/>
        <v/>
      </c>
      <c r="L3312" s="40"/>
      <c r="M3312"/>
      <c r="N3312"/>
      <c r="O3312"/>
      <c r="P3312"/>
      <c r="Q3312"/>
      <c r="R3312"/>
      <c r="S3312"/>
      <c r="T3312"/>
      <c r="U3312"/>
      <c r="V3312"/>
      <c r="W3312" s="41"/>
      <c r="X3312" s="41"/>
      <c r="Y3312" s="41"/>
    </row>
    <row r="3313" s="27" customFormat="1" ht="23" hidden="1" customHeight="1" spans="1:25">
      <c r="A3313" s="133" t="str">
        <f>IF(B3313="","",COUNTA($B$5:B3313))</f>
        <v/>
      </c>
      <c r="B3313" s="148"/>
      <c r="C3313" s="22" t="s">
        <v>49</v>
      </c>
      <c r="D3313" s="149"/>
      <c r="E3313" s="150"/>
      <c r="F3313" s="151"/>
      <c r="G3313" s="151"/>
      <c r="H3313" s="142">
        <f>IFERROR(VLOOKUP($C3313,$C$5:$H$18,6,0)+SUMIF($C$19:$C3313,$C3313,$F$19:$F3313)-SUMIF($C$19:$C3313,$C3313,$G$19:$G3313),"")</f>
        <v>81211.819999998</v>
      </c>
      <c r="I3313" s="147"/>
      <c r="J3313" s="147"/>
      <c r="K3313" s="147" t="str">
        <f t="shared" si="51"/>
        <v/>
      </c>
      <c r="L3313" s="40"/>
      <c r="M3313"/>
      <c r="N3313"/>
      <c r="O3313"/>
      <c r="P3313"/>
      <c r="Q3313"/>
      <c r="R3313"/>
      <c r="S3313"/>
      <c r="T3313"/>
      <c r="U3313"/>
      <c r="V3313"/>
      <c r="W3313" s="41"/>
      <c r="X3313" s="41"/>
      <c r="Y3313" s="41"/>
    </row>
    <row r="3314" s="27" customFormat="1" ht="23" hidden="1" customHeight="1" spans="1:25">
      <c r="A3314" s="133" t="str">
        <f>IF(B3314="","",COUNTA($B$5:B3314))</f>
        <v/>
      </c>
      <c r="B3314" s="148"/>
      <c r="C3314" s="22" t="s">
        <v>49</v>
      </c>
      <c r="D3314" s="149"/>
      <c r="E3314" s="150"/>
      <c r="F3314" s="151"/>
      <c r="G3314" s="151"/>
      <c r="H3314" s="142">
        <f>IFERROR(VLOOKUP($C3314,$C$5:$H$18,6,0)+SUMIF($C$19:$C3314,$C3314,$F$19:$F3314)-SUMIF($C$19:$C3314,$C3314,$G$19:$G3314),"")</f>
        <v>81211.819999998</v>
      </c>
      <c r="I3314" s="147"/>
      <c r="J3314" s="147"/>
      <c r="K3314" s="147" t="str">
        <f t="shared" si="51"/>
        <v/>
      </c>
      <c r="L3314" s="40"/>
      <c r="M3314"/>
      <c r="N3314"/>
      <c r="O3314"/>
      <c r="P3314"/>
      <c r="Q3314"/>
      <c r="R3314"/>
      <c r="S3314"/>
      <c r="T3314"/>
      <c r="U3314"/>
      <c r="V3314"/>
      <c r="W3314" s="41"/>
      <c r="X3314" s="41"/>
      <c r="Y3314" s="41"/>
    </row>
    <row r="3315" s="27" customFormat="1" ht="23" hidden="1" customHeight="1" spans="1:25">
      <c r="A3315" s="133" t="str">
        <f>IF(B3315="","",COUNTA($B$5:B3315))</f>
        <v/>
      </c>
      <c r="B3315" s="148"/>
      <c r="C3315" s="22" t="s">
        <v>49</v>
      </c>
      <c r="D3315" s="149"/>
      <c r="E3315" s="150"/>
      <c r="F3315" s="151"/>
      <c r="G3315" s="151"/>
      <c r="H3315" s="142">
        <f>IFERROR(VLOOKUP($C3315,$C$5:$H$18,6,0)+SUMIF($C$19:$C3315,$C3315,$F$19:$F3315)-SUMIF($C$19:$C3315,$C3315,$G$19:$G3315),"")</f>
        <v>81211.819999998</v>
      </c>
      <c r="I3315" s="147"/>
      <c r="J3315" s="147"/>
      <c r="K3315" s="147" t="str">
        <f t="shared" si="51"/>
        <v/>
      </c>
      <c r="L3315" s="40"/>
      <c r="M3315"/>
      <c r="N3315"/>
      <c r="O3315"/>
      <c r="P3315"/>
      <c r="Q3315"/>
      <c r="R3315"/>
      <c r="S3315"/>
      <c r="T3315"/>
      <c r="U3315"/>
      <c r="V3315"/>
      <c r="W3315" s="41"/>
      <c r="X3315" s="41"/>
      <c r="Y3315" s="41"/>
    </row>
    <row r="3316" s="27" customFormat="1" ht="23" hidden="1" customHeight="1" spans="1:25">
      <c r="A3316" s="133" t="str">
        <f>IF(B3316="","",COUNTA($B$5:B3316))</f>
        <v/>
      </c>
      <c r="B3316" s="148"/>
      <c r="C3316" s="22" t="s">
        <v>49</v>
      </c>
      <c r="D3316" s="149"/>
      <c r="E3316" s="150"/>
      <c r="F3316" s="151"/>
      <c r="G3316" s="151"/>
      <c r="H3316" s="142">
        <f>IFERROR(VLOOKUP($C3316,$C$5:$H$18,6,0)+SUMIF($C$19:$C3316,$C3316,$F$19:$F3316)-SUMIF($C$19:$C3316,$C3316,$G$19:$G3316),"")</f>
        <v>81211.819999998</v>
      </c>
      <c r="I3316" s="147"/>
      <c r="J3316" s="147"/>
      <c r="K3316" s="147" t="str">
        <f t="shared" si="51"/>
        <v/>
      </c>
      <c r="L3316" s="40"/>
      <c r="M3316"/>
      <c r="N3316"/>
      <c r="O3316"/>
      <c r="P3316"/>
      <c r="Q3316"/>
      <c r="R3316"/>
      <c r="S3316"/>
      <c r="T3316"/>
      <c r="U3316"/>
      <c r="V3316"/>
      <c r="W3316" s="41"/>
      <c r="X3316" s="41"/>
      <c r="Y3316" s="41"/>
    </row>
    <row r="3317" s="27" customFormat="1" ht="23" hidden="1" customHeight="1" spans="1:25">
      <c r="A3317" s="133" t="str">
        <f>IF(B3317="","",COUNTA($B$5:B3317))</f>
        <v/>
      </c>
      <c r="B3317" s="148"/>
      <c r="C3317" s="22" t="s">
        <v>49</v>
      </c>
      <c r="D3317" s="149"/>
      <c r="E3317" s="150"/>
      <c r="F3317" s="151"/>
      <c r="G3317" s="151"/>
      <c r="H3317" s="142">
        <f>IFERROR(VLOOKUP($C3317,$C$5:$H$18,6,0)+SUMIF($C$19:$C3317,$C3317,$F$19:$F3317)-SUMIF($C$19:$C3317,$C3317,$G$19:$G3317),"")</f>
        <v>81211.819999998</v>
      </c>
      <c r="I3317" s="147"/>
      <c r="J3317" s="147"/>
      <c r="K3317" s="147" t="str">
        <f t="shared" si="51"/>
        <v/>
      </c>
      <c r="L3317" s="40"/>
      <c r="M3317"/>
      <c r="N3317"/>
      <c r="O3317"/>
      <c r="P3317"/>
      <c r="Q3317"/>
      <c r="R3317"/>
      <c r="S3317"/>
      <c r="T3317"/>
      <c r="U3317"/>
      <c r="V3317"/>
      <c r="W3317" s="41"/>
      <c r="X3317" s="41"/>
      <c r="Y3317" s="41"/>
    </row>
    <row r="3318" s="27" customFormat="1" ht="23" hidden="1" customHeight="1" spans="1:25">
      <c r="A3318" s="133" t="str">
        <f>IF(B3318="","",COUNTA($B$5:B3318))</f>
        <v/>
      </c>
      <c r="B3318" s="148"/>
      <c r="C3318" s="22" t="s">
        <v>49</v>
      </c>
      <c r="D3318" s="149"/>
      <c r="E3318" s="150"/>
      <c r="F3318" s="151"/>
      <c r="G3318" s="151"/>
      <c r="H3318" s="142">
        <f>IFERROR(VLOOKUP($C3318,$C$5:$H$18,6,0)+SUMIF($C$19:$C3318,$C3318,$F$19:$F3318)-SUMIF($C$19:$C3318,$C3318,$G$19:$G3318),"")</f>
        <v>81211.819999998</v>
      </c>
      <c r="I3318" s="147"/>
      <c r="J3318" s="147"/>
      <c r="K3318" s="147" t="str">
        <f t="shared" si="51"/>
        <v/>
      </c>
      <c r="L3318" s="40"/>
      <c r="M3318"/>
      <c r="N3318"/>
      <c r="O3318"/>
      <c r="P3318"/>
      <c r="Q3318"/>
      <c r="R3318"/>
      <c r="S3318"/>
      <c r="T3318"/>
      <c r="U3318"/>
      <c r="V3318"/>
      <c r="W3318" s="41"/>
      <c r="X3318" s="41"/>
      <c r="Y3318" s="41"/>
    </row>
    <row r="3319" s="27" customFormat="1" ht="23" hidden="1" customHeight="1" spans="1:25">
      <c r="A3319" s="133" t="str">
        <f>IF(B3319="","",COUNTA($B$5:B3319))</f>
        <v/>
      </c>
      <c r="B3319" s="148"/>
      <c r="C3319" s="22" t="s">
        <v>49</v>
      </c>
      <c r="D3319" s="149"/>
      <c r="E3319" s="150"/>
      <c r="F3319" s="151"/>
      <c r="G3319" s="151"/>
      <c r="H3319" s="142">
        <f>IFERROR(VLOOKUP($C3319,$C$5:$H$18,6,0)+SUMIF($C$19:$C3319,$C3319,$F$19:$F3319)-SUMIF($C$19:$C3319,$C3319,$G$19:$G3319),"")</f>
        <v>81211.819999998</v>
      </c>
      <c r="I3319" s="147"/>
      <c r="J3319" s="147"/>
      <c r="K3319" s="147" t="str">
        <f t="shared" si="51"/>
        <v/>
      </c>
      <c r="L3319" s="40"/>
      <c r="M3319"/>
      <c r="N3319"/>
      <c r="O3319"/>
      <c r="P3319"/>
      <c r="Q3319"/>
      <c r="R3319"/>
      <c r="S3319"/>
      <c r="T3319"/>
      <c r="U3319"/>
      <c r="V3319"/>
      <c r="W3319" s="41"/>
      <c r="X3319" s="41"/>
      <c r="Y3319" s="41"/>
    </row>
    <row r="3320" s="27" customFormat="1" ht="23" hidden="1" customHeight="1" spans="1:25">
      <c r="A3320" s="133" t="str">
        <f>IF(B3320="","",COUNTA($B$5:B3320))</f>
        <v/>
      </c>
      <c r="B3320" s="148"/>
      <c r="C3320" s="22" t="s">
        <v>49</v>
      </c>
      <c r="D3320" s="149"/>
      <c r="E3320" s="150"/>
      <c r="F3320" s="151"/>
      <c r="G3320" s="151"/>
      <c r="H3320" s="142">
        <f>IFERROR(VLOOKUP($C3320,$C$5:$H$18,6,0)+SUMIF($C$19:$C3320,$C3320,$F$19:$F3320)-SUMIF($C$19:$C3320,$C3320,$G$19:$G3320),"")</f>
        <v>81211.819999998</v>
      </c>
      <c r="I3320" s="147"/>
      <c r="J3320" s="147"/>
      <c r="K3320" s="147" t="str">
        <f t="shared" si="51"/>
        <v/>
      </c>
      <c r="L3320" s="40"/>
      <c r="M3320"/>
      <c r="N3320"/>
      <c r="O3320"/>
      <c r="P3320"/>
      <c r="Q3320"/>
      <c r="R3320"/>
      <c r="S3320"/>
      <c r="T3320"/>
      <c r="U3320"/>
      <c r="V3320"/>
      <c r="W3320" s="41"/>
      <c r="X3320" s="41"/>
      <c r="Y3320" s="41"/>
    </row>
    <row r="3321" s="27" customFormat="1" ht="23" hidden="1" customHeight="1" spans="1:25">
      <c r="A3321" s="133" t="str">
        <f>IF(B3321="","",COUNTA($B$5:B3321))</f>
        <v/>
      </c>
      <c r="B3321" s="148"/>
      <c r="C3321" s="22" t="s">
        <v>49</v>
      </c>
      <c r="D3321" s="149"/>
      <c r="E3321" s="150"/>
      <c r="F3321" s="151"/>
      <c r="G3321" s="151"/>
      <c r="H3321" s="142">
        <f>IFERROR(VLOOKUP($C3321,$C$5:$H$18,6,0)+SUMIF($C$19:$C3321,$C3321,$F$19:$F3321)-SUMIF($C$19:$C3321,$C3321,$G$19:$G3321),"")</f>
        <v>81211.819999998</v>
      </c>
      <c r="I3321" s="147"/>
      <c r="J3321" s="147"/>
      <c r="K3321" s="147" t="str">
        <f t="shared" si="51"/>
        <v/>
      </c>
      <c r="L3321" s="40"/>
      <c r="M3321"/>
      <c r="N3321"/>
      <c r="O3321"/>
      <c r="P3321"/>
      <c r="Q3321"/>
      <c r="R3321"/>
      <c r="S3321"/>
      <c r="T3321"/>
      <c r="U3321"/>
      <c r="V3321"/>
      <c r="W3321" s="41"/>
      <c r="X3321" s="41"/>
      <c r="Y3321" s="41"/>
    </row>
    <row r="3322" s="27" customFormat="1" ht="23" hidden="1" customHeight="1" spans="1:25">
      <c r="A3322" s="133" t="str">
        <f>IF(B3322="","",COUNTA($B$5:B3322))</f>
        <v/>
      </c>
      <c r="B3322" s="148"/>
      <c r="C3322" s="22" t="s">
        <v>49</v>
      </c>
      <c r="D3322" s="149"/>
      <c r="E3322" s="150"/>
      <c r="F3322" s="151"/>
      <c r="G3322" s="151"/>
      <c r="H3322" s="142">
        <f>IFERROR(VLOOKUP($C3322,$C$5:$H$18,6,0)+SUMIF($C$19:$C3322,$C3322,$F$19:$F3322)-SUMIF($C$19:$C3322,$C3322,$G$19:$G3322),"")</f>
        <v>81211.819999998</v>
      </c>
      <c r="I3322" s="147"/>
      <c r="J3322" s="147"/>
      <c r="K3322" s="147" t="str">
        <f t="shared" si="51"/>
        <v/>
      </c>
      <c r="L3322" s="40"/>
      <c r="M3322"/>
      <c r="N3322"/>
      <c r="O3322"/>
      <c r="P3322"/>
      <c r="Q3322"/>
      <c r="R3322"/>
      <c r="S3322"/>
      <c r="T3322"/>
      <c r="U3322"/>
      <c r="V3322"/>
      <c r="W3322" s="41"/>
      <c r="X3322" s="41"/>
      <c r="Y3322" s="41"/>
    </row>
    <row r="3323" s="27" customFormat="1" ht="23" hidden="1" customHeight="1" spans="1:25">
      <c r="A3323" s="133" t="str">
        <f>IF(B3323="","",COUNTA($B$5:B3323))</f>
        <v/>
      </c>
      <c r="B3323" s="148"/>
      <c r="C3323" s="22" t="s">
        <v>49</v>
      </c>
      <c r="D3323" s="149"/>
      <c r="E3323" s="150"/>
      <c r="F3323" s="151"/>
      <c r="G3323" s="151"/>
      <c r="H3323" s="142">
        <f>IFERROR(VLOOKUP($C3323,$C$5:$H$18,6,0)+SUMIF($C$19:$C3323,$C3323,$F$19:$F3323)-SUMIF($C$19:$C3323,$C3323,$G$19:$G3323),"")</f>
        <v>81211.819999998</v>
      </c>
      <c r="I3323" s="147"/>
      <c r="J3323" s="147"/>
      <c r="K3323" s="147" t="str">
        <f t="shared" si="51"/>
        <v/>
      </c>
      <c r="L3323" s="40"/>
      <c r="M3323"/>
      <c r="N3323"/>
      <c r="O3323"/>
      <c r="P3323"/>
      <c r="Q3323"/>
      <c r="R3323"/>
      <c r="S3323"/>
      <c r="T3323"/>
      <c r="U3323"/>
      <c r="V3323"/>
      <c r="W3323" s="41"/>
      <c r="X3323" s="41"/>
      <c r="Y3323" s="41"/>
    </row>
    <row r="3324" s="27" customFormat="1" ht="23" hidden="1" customHeight="1" spans="1:25">
      <c r="A3324" s="133" t="str">
        <f>IF(B3324="","",COUNTA($B$5:B3324))</f>
        <v/>
      </c>
      <c r="B3324" s="148"/>
      <c r="C3324" s="22" t="s">
        <v>49</v>
      </c>
      <c r="D3324" s="149"/>
      <c r="E3324" s="150"/>
      <c r="F3324" s="151"/>
      <c r="G3324" s="151"/>
      <c r="H3324" s="142">
        <f>IFERROR(VLOOKUP($C3324,$C$5:$H$18,6,0)+SUMIF($C$19:$C3324,$C3324,$F$19:$F3324)-SUMIF($C$19:$C3324,$C3324,$G$19:$G3324),"")</f>
        <v>81211.819999998</v>
      </c>
      <c r="I3324" s="147"/>
      <c r="J3324" s="147"/>
      <c r="K3324" s="147" t="str">
        <f t="shared" si="51"/>
        <v/>
      </c>
      <c r="L3324" s="40"/>
      <c r="M3324"/>
      <c r="N3324"/>
      <c r="O3324"/>
      <c r="P3324"/>
      <c r="Q3324"/>
      <c r="R3324"/>
      <c r="S3324"/>
      <c r="T3324"/>
      <c r="U3324"/>
      <c r="V3324"/>
      <c r="W3324" s="41"/>
      <c r="X3324" s="41"/>
      <c r="Y3324" s="41"/>
    </row>
    <row r="3325" s="27" customFormat="1" ht="23" hidden="1" customHeight="1" spans="1:25">
      <c r="A3325" s="133" t="str">
        <f>IF(B3325="","",COUNTA($B$5:B3325))</f>
        <v/>
      </c>
      <c r="B3325" s="148"/>
      <c r="C3325" s="22" t="s">
        <v>49</v>
      </c>
      <c r="D3325" s="149"/>
      <c r="E3325" s="150"/>
      <c r="F3325" s="151"/>
      <c r="G3325" s="151"/>
      <c r="H3325" s="142">
        <f>IFERROR(VLOOKUP($C3325,$C$5:$H$18,6,0)+SUMIF($C$19:$C3325,$C3325,$F$19:$F3325)-SUMIF($C$19:$C3325,$C3325,$G$19:$G3325),"")</f>
        <v>81211.819999998</v>
      </c>
      <c r="I3325" s="147"/>
      <c r="J3325" s="147"/>
      <c r="K3325" s="147" t="str">
        <f t="shared" si="51"/>
        <v/>
      </c>
      <c r="L3325" s="40"/>
      <c r="M3325"/>
      <c r="N3325"/>
      <c r="O3325"/>
      <c r="P3325"/>
      <c r="Q3325"/>
      <c r="R3325"/>
      <c r="S3325"/>
      <c r="T3325"/>
      <c r="U3325"/>
      <c r="V3325"/>
      <c r="W3325" s="41"/>
      <c r="X3325" s="41"/>
      <c r="Y3325" s="41"/>
    </row>
    <row r="3326" s="27" customFormat="1" ht="23" hidden="1" customHeight="1" spans="1:25">
      <c r="A3326" s="133" t="str">
        <f>IF(B3326="","",COUNTA($B$5:B3326))</f>
        <v/>
      </c>
      <c r="B3326" s="148"/>
      <c r="C3326" s="22" t="s">
        <v>49</v>
      </c>
      <c r="D3326" s="149"/>
      <c r="E3326" s="150"/>
      <c r="F3326" s="151"/>
      <c r="G3326" s="151"/>
      <c r="H3326" s="142">
        <f>IFERROR(VLOOKUP($C3326,$C$5:$H$18,6,0)+SUMIF($C$19:$C3326,$C3326,$F$19:$F3326)-SUMIF($C$19:$C3326,$C3326,$G$19:$G3326),"")</f>
        <v>81211.819999998</v>
      </c>
      <c r="I3326" s="147"/>
      <c r="J3326" s="147"/>
      <c r="K3326" s="147" t="str">
        <f t="shared" si="51"/>
        <v/>
      </c>
      <c r="L3326" s="40"/>
      <c r="M3326"/>
      <c r="N3326"/>
      <c r="O3326"/>
      <c r="P3326"/>
      <c r="Q3326"/>
      <c r="R3326"/>
      <c r="S3326"/>
      <c r="T3326"/>
      <c r="U3326"/>
      <c r="V3326"/>
      <c r="W3326" s="41"/>
      <c r="X3326" s="41"/>
      <c r="Y3326" s="41"/>
    </row>
    <row r="3327" s="27" customFormat="1" ht="23" hidden="1" customHeight="1" spans="1:25">
      <c r="A3327" s="133" t="str">
        <f>IF(B3327="","",COUNTA($B$5:B3327))</f>
        <v/>
      </c>
      <c r="B3327" s="148"/>
      <c r="C3327" s="22" t="s">
        <v>49</v>
      </c>
      <c r="D3327" s="149"/>
      <c r="E3327" s="150"/>
      <c r="F3327" s="151"/>
      <c r="G3327" s="151"/>
      <c r="H3327" s="142">
        <f>IFERROR(VLOOKUP($C3327,$C$5:$H$18,6,0)+SUMIF($C$19:$C3327,$C3327,$F$19:$F3327)-SUMIF($C$19:$C3327,$C3327,$G$19:$G3327),"")</f>
        <v>81211.819999998</v>
      </c>
      <c r="I3327" s="147"/>
      <c r="J3327" s="147"/>
      <c r="K3327" s="147" t="str">
        <f t="shared" si="51"/>
        <v/>
      </c>
      <c r="L3327" s="40"/>
      <c r="M3327"/>
      <c r="N3327"/>
      <c r="O3327"/>
      <c r="P3327"/>
      <c r="Q3327"/>
      <c r="R3327"/>
      <c r="S3327"/>
      <c r="T3327"/>
      <c r="U3327"/>
      <c r="V3327"/>
      <c r="W3327" s="41"/>
      <c r="X3327" s="41"/>
      <c r="Y3327" s="41"/>
    </row>
    <row r="3328" s="27" customFormat="1" ht="23" hidden="1" customHeight="1" spans="1:25">
      <c r="A3328" s="133" t="str">
        <f>IF(B3328="","",COUNTA($B$5:B3328))</f>
        <v/>
      </c>
      <c r="B3328" s="148"/>
      <c r="C3328" s="22" t="s">
        <v>49</v>
      </c>
      <c r="D3328" s="149"/>
      <c r="E3328" s="150"/>
      <c r="F3328" s="151"/>
      <c r="G3328" s="151"/>
      <c r="H3328" s="142">
        <f>IFERROR(VLOOKUP($C3328,$C$5:$H$18,6,0)+SUMIF($C$19:$C3328,$C3328,$F$19:$F3328)-SUMIF($C$19:$C3328,$C3328,$G$19:$G3328),"")</f>
        <v>81211.819999998</v>
      </c>
      <c r="I3328" s="147"/>
      <c r="J3328" s="147"/>
      <c r="K3328" s="147" t="str">
        <f t="shared" si="51"/>
        <v/>
      </c>
      <c r="L3328" s="40"/>
      <c r="M3328"/>
      <c r="N3328"/>
      <c r="O3328"/>
      <c r="P3328"/>
      <c r="Q3328"/>
      <c r="R3328"/>
      <c r="S3328"/>
      <c r="T3328"/>
      <c r="U3328"/>
      <c r="V3328"/>
      <c r="W3328" s="41"/>
      <c r="X3328" s="41"/>
      <c r="Y3328" s="41"/>
    </row>
    <row r="3329" s="27" customFormat="1" ht="23" hidden="1" customHeight="1" spans="1:25">
      <c r="A3329" s="133" t="str">
        <f>IF(B3329="","",COUNTA($B$5:B3329))</f>
        <v/>
      </c>
      <c r="B3329" s="148"/>
      <c r="C3329" s="22" t="s">
        <v>49</v>
      </c>
      <c r="D3329" s="149"/>
      <c r="E3329" s="150"/>
      <c r="F3329" s="151"/>
      <c r="G3329" s="151"/>
      <c r="H3329" s="142">
        <f>IFERROR(VLOOKUP($C3329,$C$5:$H$18,6,0)+SUMIF($C$19:$C3329,$C3329,$F$19:$F3329)-SUMIF($C$19:$C3329,$C3329,$G$19:$G3329),"")</f>
        <v>81211.819999998</v>
      </c>
      <c r="I3329" s="147"/>
      <c r="J3329" s="147"/>
      <c r="K3329" s="147" t="str">
        <f t="shared" si="51"/>
        <v/>
      </c>
      <c r="L3329" s="40"/>
      <c r="M3329"/>
      <c r="N3329"/>
      <c r="O3329"/>
      <c r="P3329"/>
      <c r="Q3329"/>
      <c r="R3329"/>
      <c r="S3329"/>
      <c r="T3329"/>
      <c r="U3329"/>
      <c r="V3329"/>
      <c r="W3329" s="41"/>
      <c r="X3329" s="41"/>
      <c r="Y3329" s="41"/>
    </row>
    <row r="3330" s="27" customFormat="1" ht="23" hidden="1" customHeight="1" spans="1:25">
      <c r="A3330" s="133" t="str">
        <f>IF(B3330="","",COUNTA($B$5:B3330))</f>
        <v/>
      </c>
      <c r="B3330" s="148"/>
      <c r="C3330" s="22" t="s">
        <v>49</v>
      </c>
      <c r="D3330" s="149"/>
      <c r="E3330" s="150"/>
      <c r="F3330" s="151"/>
      <c r="G3330" s="151"/>
      <c r="H3330" s="142">
        <f>IFERROR(VLOOKUP($C3330,$C$5:$H$18,6,0)+SUMIF($C$19:$C3330,$C3330,$F$19:$F3330)-SUMIF($C$19:$C3330,$C3330,$G$19:$G3330),"")</f>
        <v>81211.819999998</v>
      </c>
      <c r="I3330" s="147"/>
      <c r="J3330" s="147"/>
      <c r="K3330" s="147" t="str">
        <f t="shared" si="51"/>
        <v/>
      </c>
      <c r="L3330" s="40"/>
      <c r="M3330"/>
      <c r="N3330"/>
      <c r="O3330"/>
      <c r="P3330"/>
      <c r="Q3330"/>
      <c r="R3330"/>
      <c r="S3330"/>
      <c r="T3330"/>
      <c r="U3330"/>
      <c r="V3330"/>
      <c r="W3330" s="41"/>
      <c r="X3330" s="41"/>
      <c r="Y3330" s="41"/>
    </row>
    <row r="3331" s="27" customFormat="1" ht="23" hidden="1" customHeight="1" spans="1:25">
      <c r="A3331" s="133" t="str">
        <f>IF(B3331="","",COUNTA($B$5:B3331))</f>
        <v/>
      </c>
      <c r="B3331" s="148"/>
      <c r="C3331" s="22" t="s">
        <v>49</v>
      </c>
      <c r="D3331" s="149"/>
      <c r="E3331" s="150"/>
      <c r="F3331" s="151"/>
      <c r="G3331" s="151"/>
      <c r="H3331" s="142">
        <f>IFERROR(VLOOKUP($C3331,$C$5:$H$18,6,0)+SUMIF($C$19:$C3331,$C3331,$F$19:$F3331)-SUMIF($C$19:$C3331,$C3331,$G$19:$G3331),"")</f>
        <v>81211.819999998</v>
      </c>
      <c r="I3331" s="147"/>
      <c r="J3331" s="147"/>
      <c r="K3331" s="147" t="str">
        <f t="shared" si="51"/>
        <v/>
      </c>
      <c r="L3331" s="40"/>
      <c r="M3331"/>
      <c r="N3331"/>
      <c r="O3331"/>
      <c r="P3331"/>
      <c r="Q3331"/>
      <c r="R3331"/>
      <c r="S3331"/>
      <c r="T3331"/>
      <c r="U3331"/>
      <c r="V3331"/>
      <c r="W3331" s="41"/>
      <c r="X3331" s="41"/>
      <c r="Y3331" s="41"/>
    </row>
    <row r="3332" s="27" customFormat="1" ht="23" hidden="1" customHeight="1" spans="1:25">
      <c r="A3332" s="133" t="str">
        <f>IF(B3332="","",COUNTA($B$5:B3332))</f>
        <v/>
      </c>
      <c r="B3332" s="148"/>
      <c r="C3332" s="22" t="s">
        <v>49</v>
      </c>
      <c r="D3332" s="149"/>
      <c r="E3332" s="150"/>
      <c r="F3332" s="151"/>
      <c r="G3332" s="151"/>
      <c r="H3332" s="142">
        <f>IFERROR(VLOOKUP($C3332,$C$5:$H$18,6,0)+SUMIF($C$19:$C3332,$C3332,$F$19:$F3332)-SUMIF($C$19:$C3332,$C3332,$G$19:$G3332),"")</f>
        <v>81211.819999998</v>
      </c>
      <c r="I3332" s="147"/>
      <c r="J3332" s="147"/>
      <c r="K3332" s="147" t="str">
        <f t="shared" si="51"/>
        <v/>
      </c>
      <c r="L3332" s="40"/>
      <c r="M3332"/>
      <c r="N3332"/>
      <c r="O3332"/>
      <c r="P3332"/>
      <c r="Q3332"/>
      <c r="R3332"/>
      <c r="S3332"/>
      <c r="T3332"/>
      <c r="U3332"/>
      <c r="V3332"/>
      <c r="W3332" s="41"/>
      <c r="X3332" s="41"/>
      <c r="Y3332" s="41"/>
    </row>
    <row r="3333" s="27" customFormat="1" ht="23" hidden="1" customHeight="1" spans="1:25">
      <c r="A3333" s="133" t="str">
        <f>IF(B3333="","",COUNTA($B$5:B3333))</f>
        <v/>
      </c>
      <c r="B3333" s="148"/>
      <c r="C3333" s="22" t="s">
        <v>49</v>
      </c>
      <c r="D3333" s="149"/>
      <c r="E3333" s="150"/>
      <c r="F3333" s="151"/>
      <c r="G3333" s="151"/>
      <c r="H3333" s="142">
        <f>IFERROR(VLOOKUP($C3333,$C$5:$H$18,6,0)+SUMIF($C$19:$C3333,$C3333,$F$19:$F3333)-SUMIF($C$19:$C3333,$C3333,$G$19:$G3333),"")</f>
        <v>81211.819999998</v>
      </c>
      <c r="I3333" s="147"/>
      <c r="J3333" s="147"/>
      <c r="K3333" s="147" t="str">
        <f t="shared" ref="K3333:K3396" si="52">IF($B3333="","",--TEXT($B3333,"yyyymm"))</f>
        <v/>
      </c>
      <c r="L3333" s="40"/>
      <c r="M3333"/>
      <c r="N3333"/>
      <c r="O3333"/>
      <c r="P3333"/>
      <c r="Q3333"/>
      <c r="R3333"/>
      <c r="S3333"/>
      <c r="T3333"/>
      <c r="U3333"/>
      <c r="V3333"/>
      <c r="W3333" s="41"/>
      <c r="X3333" s="41"/>
      <c r="Y3333" s="41"/>
    </row>
    <row r="3334" s="27" customFormat="1" ht="23" hidden="1" customHeight="1" spans="1:25">
      <c r="A3334" s="133" t="str">
        <f>IF(B3334="","",COUNTA($B$5:B3334))</f>
        <v/>
      </c>
      <c r="B3334" s="148"/>
      <c r="C3334" s="22" t="s">
        <v>49</v>
      </c>
      <c r="D3334" s="149"/>
      <c r="E3334" s="150"/>
      <c r="F3334" s="151"/>
      <c r="G3334" s="151"/>
      <c r="H3334" s="142">
        <f>IFERROR(VLOOKUP($C3334,$C$5:$H$18,6,0)+SUMIF($C$19:$C3334,$C3334,$F$19:$F3334)-SUMIF($C$19:$C3334,$C3334,$G$19:$G3334),"")</f>
        <v>81211.819999998</v>
      </c>
      <c r="I3334" s="147"/>
      <c r="J3334" s="147"/>
      <c r="K3334" s="147" t="str">
        <f t="shared" si="52"/>
        <v/>
      </c>
      <c r="L3334" s="40"/>
      <c r="M3334"/>
      <c r="N3334"/>
      <c r="O3334"/>
      <c r="P3334"/>
      <c r="Q3334"/>
      <c r="R3334"/>
      <c r="S3334"/>
      <c r="T3334"/>
      <c r="U3334"/>
      <c r="V3334"/>
      <c r="W3334" s="41"/>
      <c r="X3334" s="41"/>
      <c r="Y3334" s="41"/>
    </row>
    <row r="3335" s="27" customFormat="1" ht="23" hidden="1" customHeight="1" spans="1:25">
      <c r="A3335" s="133" t="str">
        <f>IF(B3335="","",COUNTA($B$5:B3335))</f>
        <v/>
      </c>
      <c r="B3335" s="148"/>
      <c r="C3335" s="22" t="s">
        <v>49</v>
      </c>
      <c r="D3335" s="149"/>
      <c r="E3335" s="150"/>
      <c r="F3335" s="151"/>
      <c r="G3335" s="151"/>
      <c r="H3335" s="142">
        <f>IFERROR(VLOOKUP($C3335,$C$5:$H$18,6,0)+SUMIF($C$19:$C3335,$C3335,$F$19:$F3335)-SUMIF($C$19:$C3335,$C3335,$G$19:$G3335),"")</f>
        <v>81211.819999998</v>
      </c>
      <c r="I3335" s="147"/>
      <c r="J3335" s="147"/>
      <c r="K3335" s="147" t="str">
        <f t="shared" si="52"/>
        <v/>
      </c>
      <c r="L3335" s="40"/>
      <c r="M3335"/>
      <c r="N3335"/>
      <c r="O3335"/>
      <c r="P3335"/>
      <c r="Q3335"/>
      <c r="R3335"/>
      <c r="S3335"/>
      <c r="T3335"/>
      <c r="U3335"/>
      <c r="V3335"/>
      <c r="W3335" s="41"/>
      <c r="X3335" s="41"/>
      <c r="Y3335" s="41"/>
    </row>
    <row r="3336" s="27" customFormat="1" ht="23" hidden="1" customHeight="1" spans="1:25">
      <c r="A3336" s="133" t="str">
        <f>IF(B3336="","",COUNTA($B$5:B3336))</f>
        <v/>
      </c>
      <c r="B3336" s="148"/>
      <c r="C3336" s="22" t="s">
        <v>49</v>
      </c>
      <c r="D3336" s="149"/>
      <c r="E3336" s="150"/>
      <c r="F3336" s="151"/>
      <c r="G3336" s="151"/>
      <c r="H3336" s="142">
        <f>IFERROR(VLOOKUP($C3336,$C$5:$H$18,6,0)+SUMIF($C$19:$C3336,$C3336,$F$19:$F3336)-SUMIF($C$19:$C3336,$C3336,$G$19:$G3336),"")</f>
        <v>81211.819999998</v>
      </c>
      <c r="I3336" s="147"/>
      <c r="J3336" s="147"/>
      <c r="K3336" s="147" t="str">
        <f t="shared" si="52"/>
        <v/>
      </c>
      <c r="L3336" s="40"/>
      <c r="M3336"/>
      <c r="N3336"/>
      <c r="O3336"/>
      <c r="P3336"/>
      <c r="Q3336"/>
      <c r="R3336"/>
      <c r="S3336"/>
      <c r="T3336"/>
      <c r="U3336"/>
      <c r="V3336"/>
      <c r="W3336" s="41"/>
      <c r="X3336" s="41"/>
      <c r="Y3336" s="41"/>
    </row>
    <row r="3337" s="27" customFormat="1" ht="23" hidden="1" customHeight="1" spans="1:25">
      <c r="A3337" s="133" t="str">
        <f>IF(B3337="","",COUNTA($B$5:B3337))</f>
        <v/>
      </c>
      <c r="B3337" s="148"/>
      <c r="C3337" s="22" t="s">
        <v>49</v>
      </c>
      <c r="D3337" s="149"/>
      <c r="E3337" s="150"/>
      <c r="F3337" s="151"/>
      <c r="G3337" s="151"/>
      <c r="H3337" s="142">
        <f>IFERROR(VLOOKUP($C3337,$C$5:$H$18,6,0)+SUMIF($C$19:$C3337,$C3337,$F$19:$F3337)-SUMIF($C$19:$C3337,$C3337,$G$19:$G3337),"")</f>
        <v>81211.819999998</v>
      </c>
      <c r="I3337" s="147"/>
      <c r="J3337" s="147"/>
      <c r="K3337" s="147" t="str">
        <f t="shared" si="52"/>
        <v/>
      </c>
      <c r="L3337" s="40"/>
      <c r="M3337"/>
      <c r="N3337"/>
      <c r="O3337"/>
      <c r="P3337"/>
      <c r="Q3337"/>
      <c r="R3337"/>
      <c r="S3337"/>
      <c r="T3337"/>
      <c r="U3337"/>
      <c r="V3337"/>
      <c r="W3337" s="41"/>
      <c r="X3337" s="41"/>
      <c r="Y3337" s="41"/>
    </row>
    <row r="3338" s="27" customFormat="1" ht="23" hidden="1" customHeight="1" spans="1:25">
      <c r="A3338" s="133" t="str">
        <f>IF(B3338="","",COUNTA($B$5:B3338))</f>
        <v/>
      </c>
      <c r="B3338" s="148"/>
      <c r="C3338" s="22" t="s">
        <v>49</v>
      </c>
      <c r="D3338" s="149"/>
      <c r="E3338" s="150"/>
      <c r="F3338" s="151"/>
      <c r="G3338" s="151"/>
      <c r="H3338" s="142">
        <f>IFERROR(VLOOKUP($C3338,$C$5:$H$18,6,0)+SUMIF($C$19:$C3338,$C3338,$F$19:$F3338)-SUMIF($C$19:$C3338,$C3338,$G$19:$G3338),"")</f>
        <v>81211.819999998</v>
      </c>
      <c r="I3338" s="147"/>
      <c r="J3338" s="147"/>
      <c r="K3338" s="147" t="str">
        <f t="shared" si="52"/>
        <v/>
      </c>
      <c r="L3338" s="40"/>
      <c r="M3338"/>
      <c r="N3338"/>
      <c r="O3338"/>
      <c r="P3338"/>
      <c r="Q3338"/>
      <c r="R3338"/>
      <c r="S3338"/>
      <c r="T3338"/>
      <c r="U3338"/>
      <c r="V3338"/>
      <c r="W3338" s="41"/>
      <c r="X3338" s="41"/>
      <c r="Y3338" s="41"/>
    </row>
    <row r="3339" s="27" customFormat="1" ht="23" hidden="1" customHeight="1" spans="1:25">
      <c r="A3339" s="133" t="str">
        <f>IF(B3339="","",COUNTA($B$5:B3339))</f>
        <v/>
      </c>
      <c r="B3339" s="148"/>
      <c r="C3339" s="22" t="s">
        <v>49</v>
      </c>
      <c r="D3339" s="149"/>
      <c r="E3339" s="150"/>
      <c r="F3339" s="151"/>
      <c r="G3339" s="151"/>
      <c r="H3339" s="142">
        <f>IFERROR(VLOOKUP($C3339,$C$5:$H$18,6,0)+SUMIF($C$19:$C3339,$C3339,$F$19:$F3339)-SUMIF($C$19:$C3339,$C3339,$G$19:$G3339),"")</f>
        <v>81211.819999998</v>
      </c>
      <c r="I3339" s="147"/>
      <c r="J3339" s="147"/>
      <c r="K3339" s="147" t="str">
        <f t="shared" si="52"/>
        <v/>
      </c>
      <c r="L3339" s="40"/>
      <c r="M3339"/>
      <c r="N3339"/>
      <c r="O3339"/>
      <c r="P3339"/>
      <c r="Q3339"/>
      <c r="R3339"/>
      <c r="S3339"/>
      <c r="T3339"/>
      <c r="U3339"/>
      <c r="V3339"/>
      <c r="W3339" s="41"/>
      <c r="X3339" s="41"/>
      <c r="Y3339" s="41"/>
    </row>
    <row r="3340" s="27" customFormat="1" ht="23" hidden="1" customHeight="1" spans="1:25">
      <c r="A3340" s="133" t="str">
        <f>IF(B3340="","",COUNTA($B$5:B3340))</f>
        <v/>
      </c>
      <c r="B3340" s="148"/>
      <c r="C3340" s="22" t="s">
        <v>49</v>
      </c>
      <c r="D3340" s="149"/>
      <c r="E3340" s="150"/>
      <c r="F3340" s="151"/>
      <c r="G3340" s="151"/>
      <c r="H3340" s="142">
        <f>IFERROR(VLOOKUP($C3340,$C$5:$H$18,6,0)+SUMIF($C$19:$C3340,$C3340,$F$19:$F3340)-SUMIF($C$19:$C3340,$C3340,$G$19:$G3340),"")</f>
        <v>81211.819999998</v>
      </c>
      <c r="I3340" s="147"/>
      <c r="J3340" s="147"/>
      <c r="K3340" s="147" t="str">
        <f t="shared" si="52"/>
        <v/>
      </c>
      <c r="L3340" s="40"/>
      <c r="M3340"/>
      <c r="N3340"/>
      <c r="O3340"/>
      <c r="P3340"/>
      <c r="Q3340"/>
      <c r="R3340"/>
      <c r="S3340"/>
      <c r="T3340"/>
      <c r="U3340"/>
      <c r="V3340"/>
      <c r="W3340" s="41"/>
      <c r="X3340" s="41"/>
      <c r="Y3340" s="41"/>
    </row>
    <row r="3341" s="27" customFormat="1" ht="23" hidden="1" customHeight="1" spans="1:25">
      <c r="A3341" s="133" t="str">
        <f>IF(B3341="","",COUNTA($B$5:B3341))</f>
        <v/>
      </c>
      <c r="B3341" s="148"/>
      <c r="C3341" s="22" t="s">
        <v>49</v>
      </c>
      <c r="D3341" s="149"/>
      <c r="E3341" s="150"/>
      <c r="F3341" s="151"/>
      <c r="G3341" s="151"/>
      <c r="H3341" s="142">
        <f>IFERROR(VLOOKUP($C3341,$C$5:$H$18,6,0)+SUMIF($C$19:$C3341,$C3341,$F$19:$F3341)-SUMIF($C$19:$C3341,$C3341,$G$19:$G3341),"")</f>
        <v>81211.819999998</v>
      </c>
      <c r="I3341" s="147"/>
      <c r="J3341" s="147"/>
      <c r="K3341" s="147" t="str">
        <f t="shared" si="52"/>
        <v/>
      </c>
      <c r="L3341" s="40"/>
      <c r="M3341"/>
      <c r="N3341"/>
      <c r="O3341"/>
      <c r="P3341"/>
      <c r="Q3341"/>
      <c r="R3341"/>
      <c r="S3341"/>
      <c r="T3341"/>
      <c r="U3341"/>
      <c r="V3341"/>
      <c r="W3341" s="41"/>
      <c r="X3341" s="41"/>
      <c r="Y3341" s="41"/>
    </row>
    <row r="3342" s="27" customFormat="1" ht="23" hidden="1" customHeight="1" spans="1:25">
      <c r="A3342" s="133" t="str">
        <f>IF(B3342="","",COUNTA($B$5:B3342))</f>
        <v/>
      </c>
      <c r="B3342" s="148"/>
      <c r="C3342" s="22" t="s">
        <v>49</v>
      </c>
      <c r="D3342" s="149"/>
      <c r="E3342" s="150"/>
      <c r="F3342" s="151"/>
      <c r="G3342" s="151"/>
      <c r="H3342" s="142">
        <f>IFERROR(VLOOKUP($C3342,$C$5:$H$18,6,0)+SUMIF($C$19:$C3342,$C3342,$F$19:$F3342)-SUMIF($C$19:$C3342,$C3342,$G$19:$G3342),"")</f>
        <v>81211.819999998</v>
      </c>
      <c r="I3342" s="147"/>
      <c r="J3342" s="147"/>
      <c r="K3342" s="147" t="str">
        <f t="shared" si="52"/>
        <v/>
      </c>
      <c r="L3342" s="40"/>
      <c r="M3342"/>
      <c r="N3342"/>
      <c r="O3342"/>
      <c r="P3342"/>
      <c r="Q3342"/>
      <c r="R3342"/>
      <c r="S3342"/>
      <c r="T3342"/>
      <c r="U3342"/>
      <c r="V3342"/>
      <c r="W3342" s="41"/>
      <c r="X3342" s="41"/>
      <c r="Y3342" s="41"/>
    </row>
    <row r="3343" s="27" customFormat="1" ht="23" hidden="1" customHeight="1" spans="1:25">
      <c r="A3343" s="133" t="str">
        <f>IF(B3343="","",COUNTA($B$5:B3343))</f>
        <v/>
      </c>
      <c r="B3343" s="148"/>
      <c r="C3343" s="22" t="s">
        <v>49</v>
      </c>
      <c r="D3343" s="149"/>
      <c r="E3343" s="150"/>
      <c r="F3343" s="151"/>
      <c r="G3343" s="151"/>
      <c r="H3343" s="142">
        <f>IFERROR(VLOOKUP($C3343,$C$5:$H$18,6,0)+SUMIF($C$19:$C3343,$C3343,$F$19:$F3343)-SUMIF($C$19:$C3343,$C3343,$G$19:$G3343),"")</f>
        <v>81211.819999998</v>
      </c>
      <c r="I3343" s="147"/>
      <c r="J3343" s="147"/>
      <c r="K3343" s="147" t="str">
        <f t="shared" si="52"/>
        <v/>
      </c>
      <c r="L3343" s="40"/>
      <c r="M3343"/>
      <c r="N3343"/>
      <c r="O3343"/>
      <c r="P3343"/>
      <c r="Q3343"/>
      <c r="R3343"/>
      <c r="S3343"/>
      <c r="T3343"/>
      <c r="U3343"/>
      <c r="V3343"/>
      <c r="W3343" s="41"/>
      <c r="X3343" s="41"/>
      <c r="Y3343" s="41"/>
    </row>
    <row r="3344" s="27" customFormat="1" ht="23" hidden="1" customHeight="1" spans="1:25">
      <c r="A3344" s="133" t="str">
        <f>IF(B3344="","",COUNTA($B$5:B3344))</f>
        <v/>
      </c>
      <c r="B3344" s="148"/>
      <c r="C3344" s="22" t="s">
        <v>49</v>
      </c>
      <c r="D3344" s="149"/>
      <c r="E3344" s="150"/>
      <c r="F3344" s="151"/>
      <c r="G3344" s="151"/>
      <c r="H3344" s="142">
        <f>IFERROR(VLOOKUP($C3344,$C$5:$H$18,6,0)+SUMIF($C$19:$C3344,$C3344,$F$19:$F3344)-SUMIF($C$19:$C3344,$C3344,$G$19:$G3344),"")</f>
        <v>81211.819999998</v>
      </c>
      <c r="I3344" s="147"/>
      <c r="J3344" s="147"/>
      <c r="K3344" s="147" t="str">
        <f t="shared" si="52"/>
        <v/>
      </c>
      <c r="L3344" s="40"/>
      <c r="M3344"/>
      <c r="N3344"/>
      <c r="O3344"/>
      <c r="P3344"/>
      <c r="Q3344"/>
      <c r="R3344"/>
      <c r="S3344"/>
      <c r="T3344"/>
      <c r="U3344"/>
      <c r="V3344"/>
      <c r="W3344" s="41"/>
      <c r="X3344" s="41"/>
      <c r="Y3344" s="41"/>
    </row>
    <row r="3345" s="27" customFormat="1" ht="23" hidden="1" customHeight="1" spans="1:25">
      <c r="A3345" s="133" t="str">
        <f>IF(B3345="","",COUNTA($B$5:B3345))</f>
        <v/>
      </c>
      <c r="B3345" s="148"/>
      <c r="C3345" s="22" t="s">
        <v>49</v>
      </c>
      <c r="D3345" s="149"/>
      <c r="E3345" s="150"/>
      <c r="F3345" s="151"/>
      <c r="G3345" s="151"/>
      <c r="H3345" s="142">
        <f>IFERROR(VLOOKUP($C3345,$C$5:$H$18,6,0)+SUMIF($C$19:$C3345,$C3345,$F$19:$F3345)-SUMIF($C$19:$C3345,$C3345,$G$19:$G3345),"")</f>
        <v>81211.819999998</v>
      </c>
      <c r="I3345" s="147"/>
      <c r="J3345" s="147"/>
      <c r="K3345" s="147" t="str">
        <f t="shared" si="52"/>
        <v/>
      </c>
      <c r="L3345" s="40"/>
      <c r="M3345"/>
      <c r="N3345"/>
      <c r="O3345"/>
      <c r="P3345"/>
      <c r="Q3345"/>
      <c r="R3345"/>
      <c r="S3345"/>
      <c r="T3345"/>
      <c r="U3345"/>
      <c r="V3345"/>
      <c r="W3345" s="41"/>
      <c r="X3345" s="41"/>
      <c r="Y3345" s="41"/>
    </row>
    <row r="3346" s="27" customFormat="1" ht="23" hidden="1" customHeight="1" spans="1:25">
      <c r="A3346" s="133" t="str">
        <f>IF(B3346="","",COUNTA($B$5:B3346))</f>
        <v/>
      </c>
      <c r="B3346" s="148"/>
      <c r="C3346" s="22" t="s">
        <v>49</v>
      </c>
      <c r="D3346" s="149"/>
      <c r="E3346" s="150"/>
      <c r="F3346" s="151"/>
      <c r="G3346" s="151"/>
      <c r="H3346" s="142">
        <f>IFERROR(VLOOKUP($C3346,$C$5:$H$18,6,0)+SUMIF($C$19:$C3346,$C3346,$F$19:$F3346)-SUMIF($C$19:$C3346,$C3346,$G$19:$G3346),"")</f>
        <v>81211.819999998</v>
      </c>
      <c r="I3346" s="147"/>
      <c r="J3346" s="147"/>
      <c r="K3346" s="147" t="str">
        <f t="shared" si="52"/>
        <v/>
      </c>
      <c r="L3346" s="40"/>
      <c r="M3346"/>
      <c r="N3346"/>
      <c r="O3346"/>
      <c r="P3346"/>
      <c r="Q3346"/>
      <c r="R3346"/>
      <c r="S3346"/>
      <c r="T3346"/>
      <c r="U3346"/>
      <c r="V3346"/>
      <c r="W3346" s="41"/>
      <c r="X3346" s="41"/>
      <c r="Y3346" s="41"/>
    </row>
    <row r="3347" s="27" customFormat="1" ht="23" hidden="1" customHeight="1" spans="1:25">
      <c r="A3347" s="133" t="str">
        <f>IF(B3347="","",COUNTA($B$5:B3347))</f>
        <v/>
      </c>
      <c r="B3347" s="148"/>
      <c r="C3347" s="22" t="s">
        <v>49</v>
      </c>
      <c r="D3347" s="149"/>
      <c r="E3347" s="150"/>
      <c r="F3347" s="151"/>
      <c r="G3347" s="151"/>
      <c r="H3347" s="142">
        <f>IFERROR(VLOOKUP($C3347,$C$5:$H$18,6,0)+SUMIF($C$19:$C3347,$C3347,$F$19:$F3347)-SUMIF($C$19:$C3347,$C3347,$G$19:$G3347),"")</f>
        <v>81211.819999998</v>
      </c>
      <c r="I3347" s="147"/>
      <c r="J3347" s="147"/>
      <c r="K3347" s="147" t="str">
        <f t="shared" si="52"/>
        <v/>
      </c>
      <c r="L3347" s="40"/>
      <c r="M3347"/>
      <c r="N3347"/>
      <c r="O3347"/>
      <c r="P3347"/>
      <c r="Q3347"/>
      <c r="R3347"/>
      <c r="S3347"/>
      <c r="T3347"/>
      <c r="U3347"/>
      <c r="V3347"/>
      <c r="W3347" s="41"/>
      <c r="X3347" s="41"/>
      <c r="Y3347" s="41"/>
    </row>
    <row r="3348" s="27" customFormat="1" ht="23" hidden="1" customHeight="1" spans="1:25">
      <c r="A3348" s="133" t="str">
        <f>IF(B3348="","",COUNTA($B$5:B3348))</f>
        <v/>
      </c>
      <c r="B3348" s="148"/>
      <c r="C3348" s="22" t="s">
        <v>49</v>
      </c>
      <c r="D3348" s="149"/>
      <c r="E3348" s="150"/>
      <c r="F3348" s="151"/>
      <c r="G3348" s="151"/>
      <c r="H3348" s="142">
        <f>IFERROR(VLOOKUP($C3348,$C$5:$H$18,6,0)+SUMIF($C$19:$C3348,$C3348,$F$19:$F3348)-SUMIF($C$19:$C3348,$C3348,$G$19:$G3348),"")</f>
        <v>81211.819999998</v>
      </c>
      <c r="I3348" s="147"/>
      <c r="J3348" s="147"/>
      <c r="K3348" s="147" t="str">
        <f t="shared" si="52"/>
        <v/>
      </c>
      <c r="L3348" s="40"/>
      <c r="M3348"/>
      <c r="N3348"/>
      <c r="O3348"/>
      <c r="P3348"/>
      <c r="Q3348"/>
      <c r="R3348"/>
      <c r="S3348"/>
      <c r="T3348"/>
      <c r="U3348"/>
      <c r="V3348"/>
      <c r="W3348" s="41"/>
      <c r="X3348" s="41"/>
      <c r="Y3348" s="41"/>
    </row>
    <row r="3349" s="27" customFormat="1" ht="23" hidden="1" customHeight="1" spans="1:25">
      <c r="A3349" s="133" t="str">
        <f>IF(B3349="","",COUNTA($B$5:B3349))</f>
        <v/>
      </c>
      <c r="B3349" s="148"/>
      <c r="C3349" s="22" t="s">
        <v>49</v>
      </c>
      <c r="D3349" s="149"/>
      <c r="E3349" s="150"/>
      <c r="F3349" s="151"/>
      <c r="G3349" s="151"/>
      <c r="H3349" s="142">
        <f>IFERROR(VLOOKUP($C3349,$C$5:$H$18,6,0)+SUMIF($C$19:$C3349,$C3349,$F$19:$F3349)-SUMIF($C$19:$C3349,$C3349,$G$19:$G3349),"")</f>
        <v>81211.819999998</v>
      </c>
      <c r="I3349" s="147"/>
      <c r="J3349" s="147"/>
      <c r="K3349" s="147" t="str">
        <f t="shared" si="52"/>
        <v/>
      </c>
      <c r="L3349" s="40"/>
      <c r="M3349"/>
      <c r="N3349"/>
      <c r="O3349"/>
      <c r="P3349"/>
      <c r="Q3349"/>
      <c r="R3349"/>
      <c r="S3349"/>
      <c r="T3349"/>
      <c r="U3349"/>
      <c r="V3349"/>
      <c r="W3349" s="41"/>
      <c r="X3349" s="41"/>
      <c r="Y3349" s="41"/>
    </row>
    <row r="3350" s="27" customFormat="1" ht="23" hidden="1" customHeight="1" spans="1:25">
      <c r="A3350" s="133" t="str">
        <f>IF(B3350="","",COUNTA($B$5:B3350))</f>
        <v/>
      </c>
      <c r="B3350" s="148"/>
      <c r="C3350" s="22" t="s">
        <v>49</v>
      </c>
      <c r="D3350" s="149"/>
      <c r="E3350" s="150"/>
      <c r="F3350" s="151"/>
      <c r="G3350" s="151"/>
      <c r="H3350" s="142">
        <f>IFERROR(VLOOKUP($C3350,$C$5:$H$18,6,0)+SUMIF($C$19:$C3350,$C3350,$F$19:$F3350)-SUMIF($C$19:$C3350,$C3350,$G$19:$G3350),"")</f>
        <v>81211.819999998</v>
      </c>
      <c r="I3350" s="147"/>
      <c r="J3350" s="147"/>
      <c r="K3350" s="147" t="str">
        <f t="shared" si="52"/>
        <v/>
      </c>
      <c r="L3350" s="40"/>
      <c r="M3350"/>
      <c r="N3350"/>
      <c r="O3350"/>
      <c r="P3350"/>
      <c r="Q3350"/>
      <c r="R3350"/>
      <c r="S3350"/>
      <c r="T3350"/>
      <c r="U3350"/>
      <c r="V3350"/>
      <c r="W3350" s="41"/>
      <c r="X3350" s="41"/>
      <c r="Y3350" s="41"/>
    </row>
    <row r="3351" s="27" customFormat="1" ht="23" hidden="1" customHeight="1" spans="1:25">
      <c r="A3351" s="133" t="str">
        <f>IF(B3351="","",COUNTA($B$5:B3351))</f>
        <v/>
      </c>
      <c r="B3351" s="148"/>
      <c r="C3351" s="22" t="s">
        <v>49</v>
      </c>
      <c r="D3351" s="149"/>
      <c r="E3351" s="150"/>
      <c r="F3351" s="151"/>
      <c r="G3351" s="151"/>
      <c r="H3351" s="142">
        <f>IFERROR(VLOOKUP($C3351,$C$5:$H$18,6,0)+SUMIF($C$19:$C3351,$C3351,$F$19:$F3351)-SUMIF($C$19:$C3351,$C3351,$G$19:$G3351),"")</f>
        <v>81211.819999998</v>
      </c>
      <c r="I3351" s="147"/>
      <c r="J3351" s="147"/>
      <c r="K3351" s="147" t="str">
        <f t="shared" si="52"/>
        <v/>
      </c>
      <c r="L3351" s="40"/>
      <c r="M3351"/>
      <c r="N3351"/>
      <c r="O3351"/>
      <c r="P3351"/>
      <c r="Q3351"/>
      <c r="R3351"/>
      <c r="S3351"/>
      <c r="T3351"/>
      <c r="U3351"/>
      <c r="V3351"/>
      <c r="W3351" s="41"/>
      <c r="X3351" s="41"/>
      <c r="Y3351" s="41"/>
    </row>
    <row r="3352" s="27" customFormat="1" ht="23" hidden="1" customHeight="1" spans="1:25">
      <c r="A3352" s="133" t="str">
        <f>IF(B3352="","",COUNTA($B$5:B3352))</f>
        <v/>
      </c>
      <c r="B3352" s="148"/>
      <c r="C3352" s="22" t="s">
        <v>49</v>
      </c>
      <c r="D3352" s="149"/>
      <c r="E3352" s="150"/>
      <c r="F3352" s="151"/>
      <c r="G3352" s="151"/>
      <c r="H3352" s="142">
        <f>IFERROR(VLOOKUP($C3352,$C$5:$H$18,6,0)+SUMIF($C$19:$C3352,$C3352,$F$19:$F3352)-SUMIF($C$19:$C3352,$C3352,$G$19:$G3352),"")</f>
        <v>81211.819999998</v>
      </c>
      <c r="I3352" s="147"/>
      <c r="J3352" s="147"/>
      <c r="K3352" s="147" t="str">
        <f t="shared" si="52"/>
        <v/>
      </c>
      <c r="L3352" s="40"/>
      <c r="M3352"/>
      <c r="N3352"/>
      <c r="O3352"/>
      <c r="P3352"/>
      <c r="Q3352"/>
      <c r="R3352"/>
      <c r="S3352"/>
      <c r="T3352"/>
      <c r="U3352"/>
      <c r="V3352"/>
      <c r="W3352" s="41"/>
      <c r="X3352" s="41"/>
      <c r="Y3352" s="41"/>
    </row>
    <row r="3353" s="27" customFormat="1" ht="23" hidden="1" customHeight="1" spans="1:25">
      <c r="A3353" s="133" t="str">
        <f>IF(B3353="","",COUNTA($B$5:B3353))</f>
        <v/>
      </c>
      <c r="B3353" s="148"/>
      <c r="C3353" s="22" t="s">
        <v>49</v>
      </c>
      <c r="D3353" s="149"/>
      <c r="E3353" s="150"/>
      <c r="F3353" s="151"/>
      <c r="G3353" s="151"/>
      <c r="H3353" s="142">
        <f>IFERROR(VLOOKUP($C3353,$C$5:$H$18,6,0)+SUMIF($C$19:$C3353,$C3353,$F$19:$F3353)-SUMIF($C$19:$C3353,$C3353,$G$19:$G3353),"")</f>
        <v>81211.819999998</v>
      </c>
      <c r="I3353" s="147"/>
      <c r="J3353" s="147"/>
      <c r="K3353" s="147" t="str">
        <f t="shared" si="52"/>
        <v/>
      </c>
      <c r="L3353" s="40"/>
      <c r="M3353"/>
      <c r="N3353"/>
      <c r="O3353"/>
      <c r="P3353"/>
      <c r="Q3353"/>
      <c r="R3353"/>
      <c r="S3353"/>
      <c r="T3353"/>
      <c r="U3353"/>
      <c r="V3353"/>
      <c r="W3353" s="41"/>
      <c r="X3353" s="41"/>
      <c r="Y3353" s="41"/>
    </row>
    <row r="3354" s="27" customFormat="1" ht="23" hidden="1" customHeight="1" spans="1:25">
      <c r="A3354" s="133" t="str">
        <f>IF(B3354="","",COUNTA($B$5:B3354))</f>
        <v/>
      </c>
      <c r="B3354" s="148"/>
      <c r="C3354" s="22" t="s">
        <v>49</v>
      </c>
      <c r="D3354" s="149"/>
      <c r="E3354" s="150"/>
      <c r="F3354" s="151"/>
      <c r="G3354" s="151"/>
      <c r="H3354" s="142">
        <f>IFERROR(VLOOKUP($C3354,$C$5:$H$18,6,0)+SUMIF($C$19:$C3354,$C3354,$F$19:$F3354)-SUMIF($C$19:$C3354,$C3354,$G$19:$G3354),"")</f>
        <v>81211.819999998</v>
      </c>
      <c r="I3354" s="147"/>
      <c r="J3354" s="147"/>
      <c r="K3354" s="147" t="str">
        <f t="shared" si="52"/>
        <v/>
      </c>
      <c r="L3354" s="40"/>
      <c r="M3354"/>
      <c r="N3354"/>
      <c r="O3354"/>
      <c r="P3354"/>
      <c r="Q3354"/>
      <c r="R3354"/>
      <c r="S3354"/>
      <c r="T3354"/>
      <c r="U3354"/>
      <c r="V3354"/>
      <c r="W3354" s="41"/>
      <c r="X3354" s="41"/>
      <c r="Y3354" s="41"/>
    </row>
    <row r="3355" s="27" customFormat="1" ht="23" hidden="1" customHeight="1" spans="1:25">
      <c r="A3355" s="133" t="str">
        <f>IF(B3355="","",COUNTA($B$5:B3355))</f>
        <v/>
      </c>
      <c r="B3355" s="148"/>
      <c r="C3355" s="22" t="s">
        <v>49</v>
      </c>
      <c r="D3355" s="149"/>
      <c r="E3355" s="150"/>
      <c r="F3355" s="151"/>
      <c r="G3355" s="151"/>
      <c r="H3355" s="142">
        <f>IFERROR(VLOOKUP($C3355,$C$5:$H$18,6,0)+SUMIF($C$19:$C3355,$C3355,$F$19:$F3355)-SUMIF($C$19:$C3355,$C3355,$G$19:$G3355),"")</f>
        <v>81211.819999998</v>
      </c>
      <c r="I3355" s="147"/>
      <c r="J3355" s="147"/>
      <c r="K3355" s="147" t="str">
        <f t="shared" si="52"/>
        <v/>
      </c>
      <c r="L3355" s="40"/>
      <c r="M3355"/>
      <c r="N3355"/>
      <c r="O3355"/>
      <c r="P3355"/>
      <c r="Q3355"/>
      <c r="R3355"/>
      <c r="S3355"/>
      <c r="T3355"/>
      <c r="U3355"/>
      <c r="V3355"/>
      <c r="W3355" s="41"/>
      <c r="X3355" s="41"/>
      <c r="Y3355" s="41"/>
    </row>
    <row r="3356" s="27" customFormat="1" ht="23" hidden="1" customHeight="1" spans="1:25">
      <c r="A3356" s="133" t="str">
        <f>IF(B3356="","",COUNTA($B$5:B3356))</f>
        <v/>
      </c>
      <c r="B3356" s="148"/>
      <c r="C3356" s="22" t="s">
        <v>49</v>
      </c>
      <c r="D3356" s="149"/>
      <c r="E3356" s="150"/>
      <c r="F3356" s="151"/>
      <c r="G3356" s="151"/>
      <c r="H3356" s="142">
        <f>IFERROR(VLOOKUP($C3356,$C$5:$H$18,6,0)+SUMIF($C$19:$C3356,$C3356,$F$19:$F3356)-SUMIF($C$19:$C3356,$C3356,$G$19:$G3356),"")</f>
        <v>81211.819999998</v>
      </c>
      <c r="I3356" s="147"/>
      <c r="J3356" s="147"/>
      <c r="K3356" s="147" t="str">
        <f t="shared" si="52"/>
        <v/>
      </c>
      <c r="L3356" s="40"/>
      <c r="M3356"/>
      <c r="N3356"/>
      <c r="O3356"/>
      <c r="P3356"/>
      <c r="Q3356"/>
      <c r="R3356"/>
      <c r="S3356"/>
      <c r="T3356"/>
      <c r="U3356"/>
      <c r="V3356"/>
      <c r="W3356" s="41"/>
      <c r="X3356" s="41"/>
      <c r="Y3356" s="41"/>
    </row>
    <row r="3357" s="27" customFormat="1" ht="23" hidden="1" customHeight="1" spans="1:25">
      <c r="A3357" s="133" t="str">
        <f>IF(B3357="","",COUNTA($B$5:B3357))</f>
        <v/>
      </c>
      <c r="B3357" s="148"/>
      <c r="C3357" s="22" t="s">
        <v>49</v>
      </c>
      <c r="D3357" s="149"/>
      <c r="E3357" s="150"/>
      <c r="F3357" s="151"/>
      <c r="G3357" s="151"/>
      <c r="H3357" s="142">
        <f>IFERROR(VLOOKUP($C3357,$C$5:$H$18,6,0)+SUMIF($C$19:$C3357,$C3357,$F$19:$F3357)-SUMIF($C$19:$C3357,$C3357,$G$19:$G3357),"")</f>
        <v>81211.819999998</v>
      </c>
      <c r="I3357" s="147"/>
      <c r="J3357" s="147"/>
      <c r="K3357" s="147" t="str">
        <f t="shared" si="52"/>
        <v/>
      </c>
      <c r="L3357" s="40"/>
      <c r="M3357"/>
      <c r="N3357"/>
      <c r="O3357"/>
      <c r="P3357"/>
      <c r="Q3357"/>
      <c r="R3357"/>
      <c r="S3357"/>
      <c r="T3357"/>
      <c r="U3357"/>
      <c r="V3357"/>
      <c r="W3357" s="41"/>
      <c r="X3357" s="41"/>
      <c r="Y3357" s="41"/>
    </row>
    <row r="3358" s="27" customFormat="1" ht="23" hidden="1" customHeight="1" spans="1:25">
      <c r="A3358" s="133" t="str">
        <f>IF(B3358="","",COUNTA($B$5:B3358))</f>
        <v/>
      </c>
      <c r="B3358" s="148"/>
      <c r="C3358" s="22" t="s">
        <v>49</v>
      </c>
      <c r="D3358" s="149"/>
      <c r="E3358" s="150"/>
      <c r="F3358" s="151"/>
      <c r="G3358" s="151"/>
      <c r="H3358" s="142">
        <f>IFERROR(VLOOKUP($C3358,$C$5:$H$18,6,0)+SUMIF($C$19:$C3358,$C3358,$F$19:$F3358)-SUMIF($C$19:$C3358,$C3358,$G$19:$G3358),"")</f>
        <v>81211.819999998</v>
      </c>
      <c r="I3358" s="147"/>
      <c r="J3358" s="147"/>
      <c r="K3358" s="147" t="str">
        <f t="shared" si="52"/>
        <v/>
      </c>
      <c r="L3358" s="40"/>
      <c r="M3358"/>
      <c r="N3358"/>
      <c r="O3358"/>
      <c r="P3358"/>
      <c r="Q3358"/>
      <c r="R3358"/>
      <c r="S3358"/>
      <c r="T3358"/>
      <c r="U3358"/>
      <c r="V3358"/>
      <c r="W3358" s="41"/>
      <c r="X3358" s="41"/>
      <c r="Y3358" s="41"/>
    </row>
    <row r="3359" s="27" customFormat="1" ht="23" hidden="1" customHeight="1" spans="1:25">
      <c r="A3359" s="133" t="str">
        <f>IF(B3359="","",COUNTA($B$5:B3359))</f>
        <v/>
      </c>
      <c r="B3359" s="148"/>
      <c r="C3359" s="22" t="s">
        <v>49</v>
      </c>
      <c r="D3359" s="149"/>
      <c r="E3359" s="150"/>
      <c r="F3359" s="151"/>
      <c r="G3359" s="151"/>
      <c r="H3359" s="142">
        <f>IFERROR(VLOOKUP($C3359,$C$5:$H$18,6,0)+SUMIF($C$19:$C3359,$C3359,$F$19:$F3359)-SUMIF($C$19:$C3359,$C3359,$G$19:$G3359),"")</f>
        <v>81211.819999998</v>
      </c>
      <c r="I3359" s="147"/>
      <c r="J3359" s="147"/>
      <c r="K3359" s="147" t="str">
        <f t="shared" si="52"/>
        <v/>
      </c>
      <c r="L3359" s="40"/>
      <c r="M3359"/>
      <c r="N3359"/>
      <c r="O3359"/>
      <c r="P3359"/>
      <c r="Q3359"/>
      <c r="R3359"/>
      <c r="S3359"/>
      <c r="T3359"/>
      <c r="U3359"/>
      <c r="V3359"/>
      <c r="W3359" s="41"/>
      <c r="X3359" s="41"/>
      <c r="Y3359" s="41"/>
    </row>
    <row r="3360" s="27" customFormat="1" ht="23" hidden="1" customHeight="1" spans="1:25">
      <c r="A3360" s="133" t="str">
        <f>IF(B3360="","",COUNTA($B$5:B3360))</f>
        <v/>
      </c>
      <c r="B3360" s="148"/>
      <c r="C3360" s="22" t="s">
        <v>49</v>
      </c>
      <c r="D3360" s="149"/>
      <c r="E3360" s="150"/>
      <c r="F3360" s="151"/>
      <c r="G3360" s="151"/>
      <c r="H3360" s="142">
        <f>IFERROR(VLOOKUP($C3360,$C$5:$H$18,6,0)+SUMIF($C$19:$C3360,$C3360,$F$19:$F3360)-SUMIF($C$19:$C3360,$C3360,$G$19:$G3360),"")</f>
        <v>81211.819999998</v>
      </c>
      <c r="I3360" s="147"/>
      <c r="J3360" s="147"/>
      <c r="K3360" s="147" t="str">
        <f t="shared" si="52"/>
        <v/>
      </c>
      <c r="L3360" s="40"/>
      <c r="M3360"/>
      <c r="N3360"/>
      <c r="O3360"/>
      <c r="P3360"/>
      <c r="Q3360"/>
      <c r="R3360"/>
      <c r="S3360"/>
      <c r="T3360"/>
      <c r="U3360"/>
      <c r="V3360"/>
      <c r="W3360" s="41"/>
      <c r="X3360" s="41"/>
      <c r="Y3360" s="41"/>
    </row>
    <row r="3361" s="27" customFormat="1" ht="23" hidden="1" customHeight="1" spans="1:25">
      <c r="A3361" s="133" t="str">
        <f>IF(B3361="","",COUNTA($B$5:B3361))</f>
        <v/>
      </c>
      <c r="B3361" s="148"/>
      <c r="C3361" s="22" t="s">
        <v>49</v>
      </c>
      <c r="D3361" s="149"/>
      <c r="E3361" s="150"/>
      <c r="F3361" s="151"/>
      <c r="G3361" s="151"/>
      <c r="H3361" s="142">
        <f>IFERROR(VLOOKUP($C3361,$C$5:$H$18,6,0)+SUMIF($C$19:$C3361,$C3361,$F$19:$F3361)-SUMIF($C$19:$C3361,$C3361,$G$19:$G3361),"")</f>
        <v>81211.819999998</v>
      </c>
      <c r="I3361" s="147"/>
      <c r="J3361" s="147"/>
      <c r="K3361" s="147" t="str">
        <f t="shared" si="52"/>
        <v/>
      </c>
      <c r="L3361" s="40"/>
      <c r="M3361"/>
      <c r="N3361"/>
      <c r="O3361"/>
      <c r="P3361"/>
      <c r="Q3361"/>
      <c r="R3361"/>
      <c r="S3361"/>
      <c r="T3361"/>
      <c r="U3361"/>
      <c r="V3361"/>
      <c r="W3361" s="41"/>
      <c r="X3361" s="41"/>
      <c r="Y3361" s="41"/>
    </row>
    <row r="3362" s="27" customFormat="1" ht="23" hidden="1" customHeight="1" spans="1:25">
      <c r="A3362" s="133" t="str">
        <f>IF(B3362="","",COUNTA($B$5:B3362))</f>
        <v/>
      </c>
      <c r="B3362" s="148"/>
      <c r="C3362" s="22" t="s">
        <v>49</v>
      </c>
      <c r="D3362" s="149"/>
      <c r="E3362" s="150"/>
      <c r="F3362" s="151"/>
      <c r="G3362" s="151"/>
      <c r="H3362" s="142">
        <f>IFERROR(VLOOKUP($C3362,$C$5:$H$18,6,0)+SUMIF($C$19:$C3362,$C3362,$F$19:$F3362)-SUMIF($C$19:$C3362,$C3362,$G$19:$G3362),"")</f>
        <v>81211.819999998</v>
      </c>
      <c r="I3362" s="147"/>
      <c r="J3362" s="147"/>
      <c r="K3362" s="147" t="str">
        <f t="shared" si="52"/>
        <v/>
      </c>
      <c r="L3362" s="40"/>
      <c r="M3362"/>
      <c r="N3362"/>
      <c r="O3362"/>
      <c r="P3362"/>
      <c r="Q3362"/>
      <c r="R3362"/>
      <c r="S3362"/>
      <c r="T3362"/>
      <c r="U3362"/>
      <c r="V3362"/>
      <c r="W3362" s="41"/>
      <c r="X3362" s="41"/>
      <c r="Y3362" s="41"/>
    </row>
    <row r="3363" s="27" customFormat="1" ht="23" hidden="1" customHeight="1" spans="1:25">
      <c r="A3363" s="133" t="str">
        <f>IF(B3363="","",COUNTA($B$5:B3363))</f>
        <v/>
      </c>
      <c r="B3363" s="148"/>
      <c r="C3363" s="22" t="s">
        <v>49</v>
      </c>
      <c r="D3363" s="149"/>
      <c r="E3363" s="150"/>
      <c r="F3363" s="151"/>
      <c r="G3363" s="151"/>
      <c r="H3363" s="142">
        <f>IFERROR(VLOOKUP($C3363,$C$5:$H$18,6,0)+SUMIF($C$19:$C3363,$C3363,$F$19:$F3363)-SUMIF($C$19:$C3363,$C3363,$G$19:$G3363),"")</f>
        <v>81211.819999998</v>
      </c>
      <c r="I3363" s="147"/>
      <c r="J3363" s="147"/>
      <c r="K3363" s="147" t="str">
        <f t="shared" si="52"/>
        <v/>
      </c>
      <c r="L3363" s="40"/>
      <c r="M3363"/>
      <c r="N3363"/>
      <c r="O3363"/>
      <c r="P3363"/>
      <c r="Q3363"/>
      <c r="R3363"/>
      <c r="S3363"/>
      <c r="T3363"/>
      <c r="U3363"/>
      <c r="V3363"/>
      <c r="W3363" s="41"/>
      <c r="X3363" s="41"/>
      <c r="Y3363" s="41"/>
    </row>
    <row r="3364" s="27" customFormat="1" ht="23" hidden="1" customHeight="1" spans="1:25">
      <c r="A3364" s="133" t="str">
        <f>IF(B3364="","",COUNTA($B$5:B3364))</f>
        <v/>
      </c>
      <c r="B3364" s="148"/>
      <c r="C3364" s="22" t="s">
        <v>49</v>
      </c>
      <c r="D3364" s="149"/>
      <c r="E3364" s="150"/>
      <c r="F3364" s="151"/>
      <c r="G3364" s="151"/>
      <c r="H3364" s="142">
        <f>IFERROR(VLOOKUP($C3364,$C$5:$H$18,6,0)+SUMIF($C$19:$C3364,$C3364,$F$19:$F3364)-SUMIF($C$19:$C3364,$C3364,$G$19:$G3364),"")</f>
        <v>81211.819999998</v>
      </c>
      <c r="I3364" s="147"/>
      <c r="J3364" s="147"/>
      <c r="K3364" s="147" t="str">
        <f t="shared" si="52"/>
        <v/>
      </c>
      <c r="L3364" s="40"/>
      <c r="M3364"/>
      <c r="N3364"/>
      <c r="O3364"/>
      <c r="P3364"/>
      <c r="Q3364"/>
      <c r="R3364"/>
      <c r="S3364"/>
      <c r="T3364"/>
      <c r="U3364"/>
      <c r="V3364"/>
      <c r="W3364" s="41"/>
      <c r="X3364" s="41"/>
      <c r="Y3364" s="41"/>
    </row>
    <row r="3365" s="27" customFormat="1" ht="23" hidden="1" customHeight="1" spans="1:25">
      <c r="A3365" s="133" t="str">
        <f>IF(B3365="","",COUNTA($B$5:B3365))</f>
        <v/>
      </c>
      <c r="B3365" s="148"/>
      <c r="C3365" s="22" t="s">
        <v>49</v>
      </c>
      <c r="D3365" s="149"/>
      <c r="E3365" s="150"/>
      <c r="F3365" s="151"/>
      <c r="G3365" s="151"/>
      <c r="H3365" s="142">
        <f>IFERROR(VLOOKUP($C3365,$C$5:$H$18,6,0)+SUMIF($C$19:$C3365,$C3365,$F$19:$F3365)-SUMIF($C$19:$C3365,$C3365,$G$19:$G3365),"")</f>
        <v>81211.819999998</v>
      </c>
      <c r="I3365" s="147"/>
      <c r="J3365" s="147"/>
      <c r="K3365" s="147" t="str">
        <f t="shared" si="52"/>
        <v/>
      </c>
      <c r="L3365" s="40"/>
      <c r="M3365"/>
      <c r="N3365"/>
      <c r="O3365"/>
      <c r="P3365"/>
      <c r="Q3365"/>
      <c r="R3365"/>
      <c r="S3365"/>
      <c r="T3365"/>
      <c r="U3365"/>
      <c r="V3365"/>
      <c r="W3365" s="41"/>
      <c r="X3365" s="41"/>
      <c r="Y3365" s="41"/>
    </row>
    <row r="3366" s="27" customFormat="1" ht="23" hidden="1" customHeight="1" spans="1:25">
      <c r="A3366" s="133" t="str">
        <f>IF(B3366="","",COUNTA($B$5:B3366))</f>
        <v/>
      </c>
      <c r="B3366" s="148"/>
      <c r="C3366" s="22" t="s">
        <v>49</v>
      </c>
      <c r="D3366" s="149"/>
      <c r="E3366" s="150"/>
      <c r="F3366" s="151"/>
      <c r="G3366" s="151"/>
      <c r="H3366" s="142">
        <f>IFERROR(VLOOKUP($C3366,$C$5:$H$18,6,0)+SUMIF($C$19:$C3366,$C3366,$F$19:$F3366)-SUMIF($C$19:$C3366,$C3366,$G$19:$G3366),"")</f>
        <v>81211.819999998</v>
      </c>
      <c r="I3366" s="147"/>
      <c r="J3366" s="147"/>
      <c r="K3366" s="147" t="str">
        <f t="shared" si="52"/>
        <v/>
      </c>
      <c r="L3366" s="40"/>
      <c r="M3366"/>
      <c r="N3366"/>
      <c r="O3366"/>
      <c r="P3366"/>
      <c r="Q3366"/>
      <c r="R3366"/>
      <c r="S3366"/>
      <c r="T3366"/>
      <c r="U3366"/>
      <c r="V3366"/>
      <c r="W3366" s="41"/>
      <c r="X3366" s="41"/>
      <c r="Y3366" s="41"/>
    </row>
    <row r="3367" s="27" customFormat="1" ht="23" hidden="1" customHeight="1" spans="1:25">
      <c r="A3367" s="133" t="str">
        <f>IF(B3367="","",COUNTA($B$5:B3367))</f>
        <v/>
      </c>
      <c r="B3367" s="148"/>
      <c r="C3367" s="22" t="s">
        <v>49</v>
      </c>
      <c r="D3367" s="149"/>
      <c r="E3367" s="150"/>
      <c r="F3367" s="151"/>
      <c r="G3367" s="151"/>
      <c r="H3367" s="142">
        <f>IFERROR(VLOOKUP($C3367,$C$5:$H$18,6,0)+SUMIF($C$19:$C3367,$C3367,$F$19:$F3367)-SUMIF($C$19:$C3367,$C3367,$G$19:$G3367),"")</f>
        <v>81211.819999998</v>
      </c>
      <c r="I3367" s="147"/>
      <c r="J3367" s="147"/>
      <c r="K3367" s="147" t="str">
        <f t="shared" si="52"/>
        <v/>
      </c>
      <c r="L3367" s="40"/>
      <c r="M3367"/>
      <c r="N3367"/>
      <c r="O3367"/>
      <c r="P3367"/>
      <c r="Q3367"/>
      <c r="R3367"/>
      <c r="S3367"/>
      <c r="T3367"/>
      <c r="U3367"/>
      <c r="V3367"/>
      <c r="W3367" s="41"/>
      <c r="X3367" s="41"/>
      <c r="Y3367" s="41"/>
    </row>
    <row r="3368" s="27" customFormat="1" ht="23" hidden="1" customHeight="1" spans="1:25">
      <c r="A3368" s="133" t="str">
        <f>IF(B3368="","",COUNTA($B$5:B3368))</f>
        <v/>
      </c>
      <c r="B3368" s="148"/>
      <c r="C3368" s="22" t="s">
        <v>49</v>
      </c>
      <c r="D3368" s="149"/>
      <c r="E3368" s="150"/>
      <c r="F3368" s="151"/>
      <c r="G3368" s="151"/>
      <c r="H3368" s="142">
        <f>IFERROR(VLOOKUP($C3368,$C$5:$H$18,6,0)+SUMIF($C$19:$C3368,$C3368,$F$19:$F3368)-SUMIF($C$19:$C3368,$C3368,$G$19:$G3368),"")</f>
        <v>81211.819999998</v>
      </c>
      <c r="I3368" s="147"/>
      <c r="J3368" s="147"/>
      <c r="K3368" s="147" t="str">
        <f t="shared" si="52"/>
        <v/>
      </c>
      <c r="L3368" s="40"/>
      <c r="M3368"/>
      <c r="N3368"/>
      <c r="O3368"/>
      <c r="P3368"/>
      <c r="Q3368"/>
      <c r="R3368"/>
      <c r="S3368"/>
      <c r="T3368"/>
      <c r="U3368"/>
      <c r="V3368"/>
      <c r="W3368" s="41"/>
      <c r="X3368" s="41"/>
      <c r="Y3368" s="41"/>
    </row>
    <row r="3369" s="27" customFormat="1" ht="23" hidden="1" customHeight="1" spans="1:25">
      <c r="A3369" s="133" t="str">
        <f>IF(B3369="","",COUNTA($B$5:B3369))</f>
        <v/>
      </c>
      <c r="B3369" s="148"/>
      <c r="C3369" s="22" t="s">
        <v>49</v>
      </c>
      <c r="D3369" s="149"/>
      <c r="E3369" s="150"/>
      <c r="F3369" s="151"/>
      <c r="G3369" s="151"/>
      <c r="H3369" s="142">
        <f>IFERROR(VLOOKUP($C3369,$C$5:$H$18,6,0)+SUMIF($C$19:$C3369,$C3369,$F$19:$F3369)-SUMIF($C$19:$C3369,$C3369,$G$19:$G3369),"")</f>
        <v>81211.819999998</v>
      </c>
      <c r="I3369" s="147"/>
      <c r="J3369" s="147"/>
      <c r="K3369" s="147" t="str">
        <f t="shared" si="52"/>
        <v/>
      </c>
      <c r="L3369" s="40"/>
      <c r="M3369"/>
      <c r="N3369"/>
      <c r="O3369"/>
      <c r="P3369"/>
      <c r="Q3369"/>
      <c r="R3369"/>
      <c r="S3369"/>
      <c r="T3369"/>
      <c r="U3369"/>
      <c r="V3369"/>
      <c r="W3369" s="41"/>
      <c r="X3369" s="41"/>
      <c r="Y3369" s="41"/>
    </row>
    <row r="3370" s="27" customFormat="1" ht="23" hidden="1" customHeight="1" spans="1:25">
      <c r="A3370" s="133" t="str">
        <f>IF(B3370="","",COUNTA($B$5:B3370))</f>
        <v/>
      </c>
      <c r="B3370" s="148"/>
      <c r="C3370" s="22" t="s">
        <v>49</v>
      </c>
      <c r="D3370" s="149"/>
      <c r="E3370" s="150"/>
      <c r="F3370" s="151"/>
      <c r="G3370" s="151"/>
      <c r="H3370" s="142">
        <f>IFERROR(VLOOKUP($C3370,$C$5:$H$18,6,0)+SUMIF($C$19:$C3370,$C3370,$F$19:$F3370)-SUMIF($C$19:$C3370,$C3370,$G$19:$G3370),"")</f>
        <v>81211.819999998</v>
      </c>
      <c r="I3370" s="147"/>
      <c r="J3370" s="147"/>
      <c r="K3370" s="147" t="str">
        <f t="shared" si="52"/>
        <v/>
      </c>
      <c r="L3370" s="40"/>
      <c r="M3370"/>
      <c r="N3370"/>
      <c r="O3370"/>
      <c r="P3370"/>
      <c r="Q3370"/>
      <c r="R3370"/>
      <c r="S3370"/>
      <c r="T3370"/>
      <c r="U3370"/>
      <c r="V3370"/>
      <c r="W3370" s="41"/>
      <c r="X3370" s="41"/>
      <c r="Y3370" s="41"/>
    </row>
    <row r="3371" s="27" customFormat="1" ht="23" hidden="1" customHeight="1" spans="1:25">
      <c r="A3371" s="133" t="str">
        <f>IF(B3371="","",COUNTA($B$5:B3371))</f>
        <v/>
      </c>
      <c r="B3371" s="148"/>
      <c r="C3371" s="22" t="s">
        <v>49</v>
      </c>
      <c r="D3371" s="149"/>
      <c r="E3371" s="150"/>
      <c r="F3371" s="151"/>
      <c r="G3371" s="151"/>
      <c r="H3371" s="142">
        <f>IFERROR(VLOOKUP($C3371,$C$5:$H$18,6,0)+SUMIF($C$19:$C3371,$C3371,$F$19:$F3371)-SUMIF($C$19:$C3371,$C3371,$G$19:$G3371),"")</f>
        <v>81211.819999998</v>
      </c>
      <c r="I3371" s="147"/>
      <c r="J3371" s="147"/>
      <c r="K3371" s="147" t="str">
        <f t="shared" si="52"/>
        <v/>
      </c>
      <c r="L3371" s="40"/>
      <c r="M3371"/>
      <c r="N3371"/>
      <c r="O3371"/>
      <c r="P3371"/>
      <c r="Q3371"/>
      <c r="R3371"/>
      <c r="S3371"/>
      <c r="T3371"/>
      <c r="U3371"/>
      <c r="V3371"/>
      <c r="W3371" s="41"/>
      <c r="X3371" s="41"/>
      <c r="Y3371" s="41"/>
    </row>
    <row r="3372" s="27" customFormat="1" ht="23" hidden="1" customHeight="1" spans="1:25">
      <c r="A3372" s="133" t="str">
        <f>IF(B3372="","",COUNTA($B$5:B3372))</f>
        <v/>
      </c>
      <c r="B3372" s="148"/>
      <c r="C3372" s="22" t="s">
        <v>49</v>
      </c>
      <c r="D3372" s="149"/>
      <c r="E3372" s="150"/>
      <c r="F3372" s="151"/>
      <c r="G3372" s="151"/>
      <c r="H3372" s="142">
        <f>IFERROR(VLOOKUP($C3372,$C$5:$H$18,6,0)+SUMIF($C$19:$C3372,$C3372,$F$19:$F3372)-SUMIF($C$19:$C3372,$C3372,$G$19:$G3372),"")</f>
        <v>81211.819999998</v>
      </c>
      <c r="I3372" s="147"/>
      <c r="J3372" s="147"/>
      <c r="K3372" s="147" t="str">
        <f t="shared" si="52"/>
        <v/>
      </c>
      <c r="L3372" s="40"/>
      <c r="M3372"/>
      <c r="N3372"/>
      <c r="O3372"/>
      <c r="P3372"/>
      <c r="Q3372"/>
      <c r="R3372"/>
      <c r="S3372"/>
      <c r="T3372"/>
      <c r="U3372"/>
      <c r="V3372"/>
      <c r="W3372" s="41"/>
      <c r="X3372" s="41"/>
      <c r="Y3372" s="41"/>
    </row>
    <row r="3373" s="27" customFormat="1" ht="23" hidden="1" customHeight="1" spans="1:25">
      <c r="A3373" s="133" t="str">
        <f>IF(B3373="","",COUNTA($B$5:B3373))</f>
        <v/>
      </c>
      <c r="B3373" s="148"/>
      <c r="C3373" s="22" t="s">
        <v>49</v>
      </c>
      <c r="D3373" s="149"/>
      <c r="E3373" s="150"/>
      <c r="F3373" s="151"/>
      <c r="G3373" s="151"/>
      <c r="H3373" s="142">
        <f>IFERROR(VLOOKUP($C3373,$C$5:$H$18,6,0)+SUMIF($C$19:$C3373,$C3373,$F$19:$F3373)-SUMIF($C$19:$C3373,$C3373,$G$19:$G3373),"")</f>
        <v>81211.819999998</v>
      </c>
      <c r="I3373" s="147"/>
      <c r="J3373" s="147"/>
      <c r="K3373" s="147" t="str">
        <f t="shared" si="52"/>
        <v/>
      </c>
      <c r="L3373" s="40"/>
      <c r="M3373"/>
      <c r="N3373"/>
      <c r="O3373"/>
      <c r="P3373"/>
      <c r="Q3373"/>
      <c r="R3373"/>
      <c r="S3373"/>
      <c r="T3373"/>
      <c r="U3373"/>
      <c r="V3373"/>
      <c r="W3373" s="41"/>
      <c r="X3373" s="41"/>
      <c r="Y3373" s="41"/>
    </row>
    <row r="3374" s="27" customFormat="1" ht="23" hidden="1" customHeight="1" spans="1:25">
      <c r="A3374" s="133" t="str">
        <f>IF(B3374="","",COUNTA($B$5:B3374))</f>
        <v/>
      </c>
      <c r="B3374" s="148"/>
      <c r="C3374" s="22" t="s">
        <v>49</v>
      </c>
      <c r="D3374" s="149"/>
      <c r="E3374" s="150"/>
      <c r="F3374" s="151"/>
      <c r="G3374" s="151"/>
      <c r="H3374" s="142">
        <f>IFERROR(VLOOKUP($C3374,$C$5:$H$18,6,0)+SUMIF($C$19:$C3374,$C3374,$F$19:$F3374)-SUMIF($C$19:$C3374,$C3374,$G$19:$G3374),"")</f>
        <v>81211.819999998</v>
      </c>
      <c r="I3374" s="147"/>
      <c r="J3374" s="147"/>
      <c r="K3374" s="147" t="str">
        <f t="shared" si="52"/>
        <v/>
      </c>
      <c r="L3374" s="40"/>
      <c r="M3374"/>
      <c r="N3374"/>
      <c r="O3374"/>
      <c r="P3374"/>
      <c r="Q3374"/>
      <c r="R3374"/>
      <c r="S3374"/>
      <c r="T3374"/>
      <c r="U3374"/>
      <c r="V3374"/>
      <c r="W3374" s="41"/>
      <c r="X3374" s="41"/>
      <c r="Y3374" s="41"/>
    </row>
    <row r="3375" s="27" customFormat="1" ht="23" hidden="1" customHeight="1" spans="1:25">
      <c r="A3375" s="133" t="str">
        <f>IF(B3375="","",COUNTA($B$5:B3375))</f>
        <v/>
      </c>
      <c r="B3375" s="148"/>
      <c r="C3375" s="22" t="s">
        <v>49</v>
      </c>
      <c r="D3375" s="149"/>
      <c r="E3375" s="150"/>
      <c r="F3375" s="151"/>
      <c r="G3375" s="151"/>
      <c r="H3375" s="142">
        <f>IFERROR(VLOOKUP($C3375,$C$5:$H$18,6,0)+SUMIF($C$19:$C3375,$C3375,$F$19:$F3375)-SUMIF($C$19:$C3375,$C3375,$G$19:$G3375),"")</f>
        <v>81211.819999998</v>
      </c>
      <c r="I3375" s="147"/>
      <c r="J3375" s="147"/>
      <c r="K3375" s="147" t="str">
        <f t="shared" si="52"/>
        <v/>
      </c>
      <c r="L3375" s="40"/>
      <c r="M3375"/>
      <c r="N3375"/>
      <c r="O3375"/>
      <c r="P3375"/>
      <c r="Q3375"/>
      <c r="R3375"/>
      <c r="S3375"/>
      <c r="T3375"/>
      <c r="U3375"/>
      <c r="V3375"/>
      <c r="W3375" s="41"/>
      <c r="X3375" s="41"/>
      <c r="Y3375" s="41"/>
    </row>
    <row r="3376" s="27" customFormat="1" ht="23" hidden="1" customHeight="1" spans="1:25">
      <c r="A3376" s="133" t="str">
        <f>IF(B3376="","",COUNTA($B$5:B3376))</f>
        <v/>
      </c>
      <c r="B3376" s="148"/>
      <c r="C3376" s="22" t="s">
        <v>49</v>
      </c>
      <c r="D3376" s="149"/>
      <c r="E3376" s="150"/>
      <c r="F3376" s="151"/>
      <c r="G3376" s="151"/>
      <c r="H3376" s="142">
        <f>IFERROR(VLOOKUP($C3376,$C$5:$H$18,6,0)+SUMIF($C$19:$C3376,$C3376,$F$19:$F3376)-SUMIF($C$19:$C3376,$C3376,$G$19:$G3376),"")</f>
        <v>81211.819999998</v>
      </c>
      <c r="I3376" s="147"/>
      <c r="J3376" s="147"/>
      <c r="K3376" s="147" t="str">
        <f t="shared" si="52"/>
        <v/>
      </c>
      <c r="L3376" s="40"/>
      <c r="M3376"/>
      <c r="N3376"/>
      <c r="O3376"/>
      <c r="P3376"/>
      <c r="Q3376"/>
      <c r="R3376"/>
      <c r="S3376"/>
      <c r="T3376"/>
      <c r="U3376"/>
      <c r="V3376"/>
      <c r="W3376" s="41"/>
      <c r="X3376" s="41"/>
      <c r="Y3376" s="41"/>
    </row>
    <row r="3377" s="27" customFormat="1" ht="23" hidden="1" customHeight="1" spans="1:25">
      <c r="A3377" s="133" t="str">
        <f>IF(B3377="","",COUNTA($B$5:B3377))</f>
        <v/>
      </c>
      <c r="B3377" s="148"/>
      <c r="C3377" s="22" t="s">
        <v>49</v>
      </c>
      <c r="D3377" s="149"/>
      <c r="E3377" s="150"/>
      <c r="F3377" s="151"/>
      <c r="G3377" s="151"/>
      <c r="H3377" s="142">
        <f>IFERROR(VLOOKUP($C3377,$C$5:$H$18,6,0)+SUMIF($C$19:$C3377,$C3377,$F$19:$F3377)-SUMIF($C$19:$C3377,$C3377,$G$19:$G3377),"")</f>
        <v>81211.819999998</v>
      </c>
      <c r="I3377" s="147"/>
      <c r="J3377" s="147"/>
      <c r="K3377" s="147" t="str">
        <f t="shared" si="52"/>
        <v/>
      </c>
      <c r="L3377" s="40"/>
      <c r="M3377"/>
      <c r="N3377"/>
      <c r="O3377"/>
      <c r="P3377"/>
      <c r="Q3377"/>
      <c r="R3377"/>
      <c r="S3377"/>
      <c r="T3377"/>
      <c r="U3377"/>
      <c r="V3377"/>
      <c r="W3377" s="41"/>
      <c r="X3377" s="41"/>
      <c r="Y3377" s="41"/>
    </row>
    <row r="3378" s="27" customFormat="1" ht="23" hidden="1" customHeight="1" spans="1:25">
      <c r="A3378" s="133" t="str">
        <f>IF(B3378="","",COUNTA($B$5:B3378))</f>
        <v/>
      </c>
      <c r="B3378" s="148"/>
      <c r="C3378" s="22" t="s">
        <v>49</v>
      </c>
      <c r="D3378" s="149"/>
      <c r="E3378" s="150"/>
      <c r="F3378" s="151"/>
      <c r="G3378" s="151"/>
      <c r="H3378" s="142">
        <f>IFERROR(VLOOKUP($C3378,$C$5:$H$18,6,0)+SUMIF($C$19:$C3378,$C3378,$F$19:$F3378)-SUMIF($C$19:$C3378,$C3378,$G$19:$G3378),"")</f>
        <v>81211.819999998</v>
      </c>
      <c r="I3378" s="147"/>
      <c r="J3378" s="147"/>
      <c r="K3378" s="147" t="str">
        <f t="shared" si="52"/>
        <v/>
      </c>
      <c r="L3378" s="40"/>
      <c r="M3378"/>
      <c r="N3378"/>
      <c r="O3378"/>
      <c r="P3378"/>
      <c r="Q3378"/>
      <c r="R3378"/>
      <c r="S3378"/>
      <c r="T3378"/>
      <c r="U3378"/>
      <c r="V3378"/>
      <c r="W3378" s="41"/>
      <c r="X3378" s="41"/>
      <c r="Y3378" s="41"/>
    </row>
    <row r="3379" s="27" customFormat="1" ht="23" hidden="1" customHeight="1" spans="1:25">
      <c r="A3379" s="133" t="str">
        <f>IF(B3379="","",COUNTA($B$5:B3379))</f>
        <v/>
      </c>
      <c r="B3379" s="148"/>
      <c r="C3379" s="22" t="s">
        <v>49</v>
      </c>
      <c r="D3379" s="149"/>
      <c r="E3379" s="150"/>
      <c r="F3379" s="151"/>
      <c r="G3379" s="151"/>
      <c r="H3379" s="142">
        <f>IFERROR(VLOOKUP($C3379,$C$5:$H$18,6,0)+SUMIF($C$19:$C3379,$C3379,$F$19:$F3379)-SUMIF($C$19:$C3379,$C3379,$G$19:$G3379),"")</f>
        <v>81211.819999998</v>
      </c>
      <c r="I3379" s="147"/>
      <c r="J3379" s="147"/>
      <c r="K3379" s="147" t="str">
        <f t="shared" si="52"/>
        <v/>
      </c>
      <c r="L3379" s="40"/>
      <c r="M3379"/>
      <c r="N3379"/>
      <c r="O3379"/>
      <c r="P3379"/>
      <c r="Q3379"/>
      <c r="R3379"/>
      <c r="S3379"/>
      <c r="T3379"/>
      <c r="U3379"/>
      <c r="V3379"/>
      <c r="W3379" s="41"/>
      <c r="X3379" s="41"/>
      <c r="Y3379" s="41"/>
    </row>
    <row r="3380" s="27" customFormat="1" ht="23" hidden="1" customHeight="1" spans="1:25">
      <c r="A3380" s="133" t="str">
        <f>IF(B3380="","",COUNTA($B$5:B3380))</f>
        <v/>
      </c>
      <c r="B3380" s="148"/>
      <c r="C3380" s="22" t="s">
        <v>49</v>
      </c>
      <c r="D3380" s="149"/>
      <c r="E3380" s="150"/>
      <c r="F3380" s="151"/>
      <c r="G3380" s="151"/>
      <c r="H3380" s="142">
        <f>IFERROR(VLOOKUP($C3380,$C$5:$H$18,6,0)+SUMIF($C$19:$C3380,$C3380,$F$19:$F3380)-SUMIF($C$19:$C3380,$C3380,$G$19:$G3380),"")</f>
        <v>81211.819999998</v>
      </c>
      <c r="I3380" s="147"/>
      <c r="J3380" s="147"/>
      <c r="K3380" s="147" t="str">
        <f t="shared" si="52"/>
        <v/>
      </c>
      <c r="L3380" s="40"/>
      <c r="M3380"/>
      <c r="N3380"/>
      <c r="O3380"/>
      <c r="P3380"/>
      <c r="Q3380"/>
      <c r="R3380"/>
      <c r="S3380"/>
      <c r="T3380"/>
      <c r="U3380"/>
      <c r="V3380"/>
      <c r="W3380" s="41"/>
      <c r="X3380" s="41"/>
      <c r="Y3380" s="41"/>
    </row>
    <row r="3381" s="27" customFormat="1" ht="23" hidden="1" customHeight="1" spans="1:25">
      <c r="A3381" s="133" t="str">
        <f>IF(B3381="","",COUNTA($B$5:B3381))</f>
        <v/>
      </c>
      <c r="B3381" s="148"/>
      <c r="C3381" s="22" t="s">
        <v>49</v>
      </c>
      <c r="D3381" s="149"/>
      <c r="E3381" s="150"/>
      <c r="F3381" s="151"/>
      <c r="G3381" s="151"/>
      <c r="H3381" s="142">
        <f>IFERROR(VLOOKUP($C3381,$C$5:$H$18,6,0)+SUMIF($C$19:$C3381,$C3381,$F$19:$F3381)-SUMIF($C$19:$C3381,$C3381,$G$19:$G3381),"")</f>
        <v>81211.819999998</v>
      </c>
      <c r="I3381" s="147"/>
      <c r="J3381" s="147"/>
      <c r="K3381" s="147" t="str">
        <f t="shared" si="52"/>
        <v/>
      </c>
      <c r="L3381" s="40"/>
      <c r="M3381"/>
      <c r="N3381"/>
      <c r="O3381"/>
      <c r="P3381"/>
      <c r="Q3381"/>
      <c r="R3381"/>
      <c r="S3381"/>
      <c r="T3381"/>
      <c r="U3381"/>
      <c r="V3381"/>
      <c r="W3381" s="41"/>
      <c r="X3381" s="41"/>
      <c r="Y3381" s="41"/>
    </row>
    <row r="3382" s="27" customFormat="1" ht="23" hidden="1" customHeight="1" spans="1:25">
      <c r="A3382" s="133" t="str">
        <f>IF(B3382="","",COUNTA($B$5:B3382))</f>
        <v/>
      </c>
      <c r="B3382" s="148"/>
      <c r="C3382" s="22" t="s">
        <v>49</v>
      </c>
      <c r="D3382" s="149"/>
      <c r="E3382" s="150"/>
      <c r="F3382" s="151"/>
      <c r="G3382" s="151"/>
      <c r="H3382" s="142">
        <f>IFERROR(VLOOKUP($C3382,$C$5:$H$18,6,0)+SUMIF($C$19:$C3382,$C3382,$F$19:$F3382)-SUMIF($C$19:$C3382,$C3382,$G$19:$G3382),"")</f>
        <v>81211.819999998</v>
      </c>
      <c r="I3382" s="147"/>
      <c r="J3382" s="147"/>
      <c r="K3382" s="147" t="str">
        <f t="shared" si="52"/>
        <v/>
      </c>
      <c r="L3382" s="40"/>
      <c r="M3382"/>
      <c r="N3382"/>
      <c r="O3382"/>
      <c r="P3382"/>
      <c r="Q3382"/>
      <c r="R3382"/>
      <c r="S3382"/>
      <c r="T3382"/>
      <c r="U3382"/>
      <c r="V3382"/>
      <c r="W3382" s="41"/>
      <c r="X3382" s="41"/>
      <c r="Y3382" s="41"/>
    </row>
    <row r="3383" s="27" customFormat="1" ht="23" hidden="1" customHeight="1" spans="1:25">
      <c r="A3383" s="133" t="str">
        <f>IF(B3383="","",COUNTA($B$5:B3383))</f>
        <v/>
      </c>
      <c r="B3383" s="148"/>
      <c r="C3383" s="22" t="s">
        <v>49</v>
      </c>
      <c r="D3383" s="149"/>
      <c r="E3383" s="150"/>
      <c r="F3383" s="151"/>
      <c r="G3383" s="151"/>
      <c r="H3383" s="142">
        <f>IFERROR(VLOOKUP($C3383,$C$5:$H$18,6,0)+SUMIF($C$19:$C3383,$C3383,$F$19:$F3383)-SUMIF($C$19:$C3383,$C3383,$G$19:$G3383),"")</f>
        <v>81211.819999998</v>
      </c>
      <c r="I3383" s="147"/>
      <c r="J3383" s="147"/>
      <c r="K3383" s="147" t="str">
        <f t="shared" si="52"/>
        <v/>
      </c>
      <c r="L3383" s="40"/>
      <c r="M3383"/>
      <c r="N3383"/>
      <c r="O3383"/>
      <c r="P3383"/>
      <c r="Q3383"/>
      <c r="R3383"/>
      <c r="S3383"/>
      <c r="T3383"/>
      <c r="U3383"/>
      <c r="V3383"/>
      <c r="W3383" s="41"/>
      <c r="X3383" s="41"/>
      <c r="Y3383" s="41"/>
    </row>
    <row r="3384" s="27" customFormat="1" ht="23" hidden="1" customHeight="1" spans="1:25">
      <c r="A3384" s="133" t="str">
        <f>IF(B3384="","",COUNTA($B$5:B3384))</f>
        <v/>
      </c>
      <c r="B3384" s="148"/>
      <c r="C3384" s="22" t="s">
        <v>49</v>
      </c>
      <c r="D3384" s="149"/>
      <c r="E3384" s="150"/>
      <c r="F3384" s="151"/>
      <c r="G3384" s="151"/>
      <c r="H3384" s="142">
        <f>IFERROR(VLOOKUP($C3384,$C$5:$H$18,6,0)+SUMIF($C$19:$C3384,$C3384,$F$19:$F3384)-SUMIF($C$19:$C3384,$C3384,$G$19:$G3384),"")</f>
        <v>81211.819999998</v>
      </c>
      <c r="I3384" s="147"/>
      <c r="J3384" s="147"/>
      <c r="K3384" s="147" t="str">
        <f t="shared" si="52"/>
        <v/>
      </c>
      <c r="L3384" s="40"/>
      <c r="M3384"/>
      <c r="N3384"/>
      <c r="O3384"/>
      <c r="P3384"/>
      <c r="Q3384"/>
      <c r="R3384"/>
      <c r="S3384"/>
      <c r="T3384"/>
      <c r="U3384"/>
      <c r="V3384"/>
      <c r="W3384" s="41"/>
      <c r="X3384" s="41"/>
      <c r="Y3384" s="41"/>
    </row>
    <row r="3385" s="27" customFormat="1" ht="23" hidden="1" customHeight="1" spans="1:25">
      <c r="A3385" s="133" t="str">
        <f>IF(B3385="","",COUNTA($B$5:B3385))</f>
        <v/>
      </c>
      <c r="B3385" s="148"/>
      <c r="C3385" s="22" t="s">
        <v>49</v>
      </c>
      <c r="D3385" s="149"/>
      <c r="E3385" s="150"/>
      <c r="F3385" s="151"/>
      <c r="G3385" s="151"/>
      <c r="H3385" s="142">
        <f>IFERROR(VLOOKUP($C3385,$C$5:$H$18,6,0)+SUMIF($C$19:$C3385,$C3385,$F$19:$F3385)-SUMIF($C$19:$C3385,$C3385,$G$19:$G3385),"")</f>
        <v>81211.819999998</v>
      </c>
      <c r="I3385" s="147"/>
      <c r="J3385" s="147"/>
      <c r="K3385" s="147" t="str">
        <f t="shared" si="52"/>
        <v/>
      </c>
      <c r="L3385" s="40"/>
      <c r="M3385"/>
      <c r="N3385"/>
      <c r="O3385"/>
      <c r="P3385"/>
      <c r="Q3385"/>
      <c r="R3385"/>
      <c r="S3385"/>
      <c r="T3385"/>
      <c r="U3385"/>
      <c r="V3385"/>
      <c r="W3385" s="41"/>
      <c r="X3385" s="41"/>
      <c r="Y3385" s="41"/>
    </row>
    <row r="3386" s="27" customFormat="1" ht="23" hidden="1" customHeight="1" spans="1:25">
      <c r="A3386" s="133" t="str">
        <f>IF(B3386="","",COUNTA($B$5:B3386))</f>
        <v/>
      </c>
      <c r="B3386" s="148"/>
      <c r="C3386" s="22" t="s">
        <v>49</v>
      </c>
      <c r="D3386" s="149"/>
      <c r="E3386" s="150"/>
      <c r="F3386" s="151"/>
      <c r="G3386" s="151"/>
      <c r="H3386" s="142">
        <f>IFERROR(VLOOKUP($C3386,$C$5:$H$18,6,0)+SUMIF($C$19:$C3386,$C3386,$F$19:$F3386)-SUMIF($C$19:$C3386,$C3386,$G$19:$G3386),"")</f>
        <v>81211.819999998</v>
      </c>
      <c r="I3386" s="147"/>
      <c r="J3386" s="147"/>
      <c r="K3386" s="147" t="str">
        <f t="shared" si="52"/>
        <v/>
      </c>
      <c r="L3386" s="40"/>
      <c r="M3386"/>
      <c r="N3386"/>
      <c r="O3386"/>
      <c r="P3386"/>
      <c r="Q3386"/>
      <c r="R3386"/>
      <c r="S3386"/>
      <c r="T3386"/>
      <c r="U3386"/>
      <c r="V3386"/>
      <c r="W3386" s="41"/>
      <c r="X3386" s="41"/>
      <c r="Y3386" s="41"/>
    </row>
    <row r="3387" s="27" customFormat="1" ht="23" hidden="1" customHeight="1" spans="1:25">
      <c r="A3387" s="133" t="str">
        <f>IF(B3387="","",COUNTA($B$5:B3387))</f>
        <v/>
      </c>
      <c r="B3387" s="148"/>
      <c r="C3387" s="22" t="s">
        <v>49</v>
      </c>
      <c r="D3387" s="149"/>
      <c r="E3387" s="150"/>
      <c r="F3387" s="151"/>
      <c r="G3387" s="151"/>
      <c r="H3387" s="142">
        <f>IFERROR(VLOOKUP($C3387,$C$5:$H$18,6,0)+SUMIF($C$19:$C3387,$C3387,$F$19:$F3387)-SUMIF($C$19:$C3387,$C3387,$G$19:$G3387),"")</f>
        <v>81211.819999998</v>
      </c>
      <c r="I3387" s="147"/>
      <c r="J3387" s="147"/>
      <c r="K3387" s="147" t="str">
        <f t="shared" si="52"/>
        <v/>
      </c>
      <c r="L3387" s="40"/>
      <c r="M3387"/>
      <c r="N3387"/>
      <c r="O3387"/>
      <c r="P3387"/>
      <c r="Q3387"/>
      <c r="R3387"/>
      <c r="S3387"/>
      <c r="T3387"/>
      <c r="U3387"/>
      <c r="V3387"/>
      <c r="W3387" s="41"/>
      <c r="X3387" s="41"/>
      <c r="Y3387" s="41"/>
    </row>
    <row r="3388" s="27" customFormat="1" ht="23" hidden="1" customHeight="1" spans="1:25">
      <c r="A3388" s="133" t="str">
        <f>IF(B3388="","",COUNTA($B$5:B3388))</f>
        <v/>
      </c>
      <c r="B3388" s="148"/>
      <c r="C3388" s="22" t="s">
        <v>49</v>
      </c>
      <c r="D3388" s="149"/>
      <c r="E3388" s="150"/>
      <c r="F3388" s="151"/>
      <c r="G3388" s="151"/>
      <c r="H3388" s="142">
        <f>IFERROR(VLOOKUP($C3388,$C$5:$H$18,6,0)+SUMIF($C$19:$C3388,$C3388,$F$19:$F3388)-SUMIF($C$19:$C3388,$C3388,$G$19:$G3388),"")</f>
        <v>81211.819999998</v>
      </c>
      <c r="I3388" s="147"/>
      <c r="J3388" s="147"/>
      <c r="K3388" s="147" t="str">
        <f t="shared" si="52"/>
        <v/>
      </c>
      <c r="L3388" s="40"/>
      <c r="M3388"/>
      <c r="N3388"/>
      <c r="O3388"/>
      <c r="P3388"/>
      <c r="Q3388"/>
      <c r="R3388"/>
      <c r="S3388"/>
      <c r="T3388"/>
      <c r="U3388"/>
      <c r="V3388"/>
      <c r="W3388" s="41"/>
      <c r="X3388" s="41"/>
      <c r="Y3388" s="41"/>
    </row>
    <row r="3389" s="27" customFormat="1" ht="23" hidden="1" customHeight="1" spans="1:25">
      <c r="A3389" s="133" t="str">
        <f>IF(B3389="","",COUNTA($B$5:B3389))</f>
        <v/>
      </c>
      <c r="B3389" s="148"/>
      <c r="C3389" s="22" t="s">
        <v>49</v>
      </c>
      <c r="D3389" s="149"/>
      <c r="E3389" s="150"/>
      <c r="F3389" s="151"/>
      <c r="G3389" s="151"/>
      <c r="H3389" s="142">
        <f>IFERROR(VLOOKUP($C3389,$C$5:$H$18,6,0)+SUMIF($C$19:$C3389,$C3389,$F$19:$F3389)-SUMIF($C$19:$C3389,$C3389,$G$19:$G3389),"")</f>
        <v>81211.819999998</v>
      </c>
      <c r="I3389" s="147"/>
      <c r="J3389" s="147"/>
      <c r="K3389" s="147" t="str">
        <f t="shared" si="52"/>
        <v/>
      </c>
      <c r="L3389" s="40"/>
      <c r="M3389"/>
      <c r="N3389"/>
      <c r="O3389"/>
      <c r="P3389"/>
      <c r="Q3389"/>
      <c r="R3389"/>
      <c r="S3389"/>
      <c r="T3389"/>
      <c r="U3389"/>
      <c r="V3389"/>
      <c r="W3389" s="41"/>
      <c r="X3389" s="41"/>
      <c r="Y3389" s="41"/>
    </row>
    <row r="3390" s="27" customFormat="1" ht="23" hidden="1" customHeight="1" spans="1:25">
      <c r="A3390" s="133" t="str">
        <f>IF(B3390="","",COUNTA($B$5:B3390))</f>
        <v/>
      </c>
      <c r="B3390" s="148"/>
      <c r="C3390" s="22" t="s">
        <v>49</v>
      </c>
      <c r="D3390" s="149"/>
      <c r="E3390" s="150"/>
      <c r="F3390" s="151"/>
      <c r="G3390" s="151"/>
      <c r="H3390" s="142">
        <f>IFERROR(VLOOKUP($C3390,$C$5:$H$18,6,0)+SUMIF($C$19:$C3390,$C3390,$F$19:$F3390)-SUMIF($C$19:$C3390,$C3390,$G$19:$G3390),"")</f>
        <v>81211.819999998</v>
      </c>
      <c r="I3390" s="147"/>
      <c r="J3390" s="147"/>
      <c r="K3390" s="147" t="str">
        <f t="shared" si="52"/>
        <v/>
      </c>
      <c r="L3390" s="40"/>
      <c r="M3390"/>
      <c r="N3390"/>
      <c r="O3390"/>
      <c r="P3390"/>
      <c r="Q3390"/>
      <c r="R3390"/>
      <c r="S3390"/>
      <c r="T3390"/>
      <c r="U3390"/>
      <c r="V3390"/>
      <c r="W3390" s="41"/>
      <c r="X3390" s="41"/>
      <c r="Y3390" s="41"/>
    </row>
    <row r="3391" s="27" customFormat="1" ht="23" hidden="1" customHeight="1" spans="1:25">
      <c r="A3391" s="133" t="str">
        <f>IF(B3391="","",COUNTA($B$5:B3391))</f>
        <v/>
      </c>
      <c r="B3391" s="148"/>
      <c r="C3391" s="22" t="s">
        <v>49</v>
      </c>
      <c r="D3391" s="149"/>
      <c r="E3391" s="150"/>
      <c r="F3391" s="151"/>
      <c r="G3391" s="151"/>
      <c r="H3391" s="142">
        <f>IFERROR(VLOOKUP($C3391,$C$5:$H$18,6,0)+SUMIF($C$19:$C3391,$C3391,$F$19:$F3391)-SUMIF($C$19:$C3391,$C3391,$G$19:$G3391),"")</f>
        <v>81211.819999998</v>
      </c>
      <c r="I3391" s="147"/>
      <c r="J3391" s="147"/>
      <c r="K3391" s="147" t="str">
        <f t="shared" si="52"/>
        <v/>
      </c>
      <c r="L3391" s="40"/>
      <c r="M3391"/>
      <c r="N3391"/>
      <c r="O3391"/>
      <c r="P3391"/>
      <c r="Q3391"/>
      <c r="R3391"/>
      <c r="S3391"/>
      <c r="T3391"/>
      <c r="U3391"/>
      <c r="V3391"/>
      <c r="W3391" s="41"/>
      <c r="X3391" s="41"/>
      <c r="Y3391" s="41"/>
    </row>
    <row r="3392" s="27" customFormat="1" ht="23" hidden="1" customHeight="1" spans="1:25">
      <c r="A3392" s="133" t="str">
        <f>IF(B3392="","",COUNTA($B$5:B3392))</f>
        <v/>
      </c>
      <c r="B3392" s="148"/>
      <c r="C3392" s="22" t="s">
        <v>49</v>
      </c>
      <c r="D3392" s="149"/>
      <c r="E3392" s="150"/>
      <c r="F3392" s="151"/>
      <c r="G3392" s="151"/>
      <c r="H3392" s="142">
        <f>IFERROR(VLOOKUP($C3392,$C$5:$H$18,6,0)+SUMIF($C$19:$C3392,$C3392,$F$19:$F3392)-SUMIF($C$19:$C3392,$C3392,$G$19:$G3392),"")</f>
        <v>81211.819999998</v>
      </c>
      <c r="I3392" s="147"/>
      <c r="J3392" s="147"/>
      <c r="K3392" s="147" t="str">
        <f t="shared" si="52"/>
        <v/>
      </c>
      <c r="L3392" s="40"/>
      <c r="M3392"/>
      <c r="N3392"/>
      <c r="O3392"/>
      <c r="P3392"/>
      <c r="Q3392"/>
      <c r="R3392"/>
      <c r="S3392"/>
      <c r="T3392"/>
      <c r="U3392"/>
      <c r="V3392"/>
      <c r="W3392" s="41"/>
      <c r="X3392" s="41"/>
      <c r="Y3392" s="41"/>
    </row>
    <row r="3393" s="27" customFormat="1" ht="23" hidden="1" customHeight="1" spans="1:25">
      <c r="A3393" s="133" t="str">
        <f>IF(B3393="","",COUNTA($B$5:B3393))</f>
        <v/>
      </c>
      <c r="B3393" s="148"/>
      <c r="C3393" s="22" t="s">
        <v>49</v>
      </c>
      <c r="D3393" s="149"/>
      <c r="E3393" s="150"/>
      <c r="F3393" s="151"/>
      <c r="G3393" s="151"/>
      <c r="H3393" s="142">
        <f>IFERROR(VLOOKUP($C3393,$C$5:$H$18,6,0)+SUMIF($C$19:$C3393,$C3393,$F$19:$F3393)-SUMIF($C$19:$C3393,$C3393,$G$19:$G3393),"")</f>
        <v>81211.819999998</v>
      </c>
      <c r="I3393" s="147"/>
      <c r="J3393" s="147"/>
      <c r="K3393" s="147" t="str">
        <f t="shared" si="52"/>
        <v/>
      </c>
      <c r="L3393" s="40"/>
      <c r="M3393"/>
      <c r="N3393"/>
      <c r="O3393"/>
      <c r="P3393"/>
      <c r="Q3393"/>
      <c r="R3393"/>
      <c r="S3393"/>
      <c r="T3393"/>
      <c r="U3393"/>
      <c r="V3393"/>
      <c r="W3393" s="41"/>
      <c r="X3393" s="41"/>
      <c r="Y3393" s="41"/>
    </row>
    <row r="3394" s="27" customFormat="1" ht="23" hidden="1" customHeight="1" spans="1:25">
      <c r="A3394" s="133" t="str">
        <f>IF(B3394="","",COUNTA($B$5:B3394))</f>
        <v/>
      </c>
      <c r="B3394" s="148"/>
      <c r="C3394" s="22" t="s">
        <v>49</v>
      </c>
      <c r="D3394" s="149"/>
      <c r="E3394" s="150"/>
      <c r="F3394" s="151"/>
      <c r="G3394" s="151"/>
      <c r="H3394" s="142">
        <f>IFERROR(VLOOKUP($C3394,$C$5:$H$18,6,0)+SUMIF($C$19:$C3394,$C3394,$F$19:$F3394)-SUMIF($C$19:$C3394,$C3394,$G$19:$G3394),"")</f>
        <v>81211.819999998</v>
      </c>
      <c r="I3394" s="147"/>
      <c r="J3394" s="147"/>
      <c r="K3394" s="147" t="str">
        <f t="shared" si="52"/>
        <v/>
      </c>
      <c r="L3394" s="40"/>
      <c r="M3394"/>
      <c r="N3394"/>
      <c r="O3394"/>
      <c r="P3394"/>
      <c r="Q3394"/>
      <c r="R3394"/>
      <c r="S3394"/>
      <c r="T3394"/>
      <c r="U3394"/>
      <c r="V3394"/>
      <c r="W3394" s="41"/>
      <c r="X3394" s="41"/>
      <c r="Y3394" s="41"/>
    </row>
    <row r="3395" s="27" customFormat="1" ht="23" hidden="1" customHeight="1" spans="1:25">
      <c r="A3395" s="133" t="str">
        <f>IF(B3395="","",COUNTA($B$5:B3395))</f>
        <v/>
      </c>
      <c r="B3395" s="148"/>
      <c r="C3395" s="22" t="s">
        <v>49</v>
      </c>
      <c r="D3395" s="149"/>
      <c r="E3395" s="150"/>
      <c r="F3395" s="151"/>
      <c r="G3395" s="151"/>
      <c r="H3395" s="142">
        <f>IFERROR(VLOOKUP($C3395,$C$5:$H$18,6,0)+SUMIF($C$19:$C3395,$C3395,$F$19:$F3395)-SUMIF($C$19:$C3395,$C3395,$G$19:$G3395),"")</f>
        <v>81211.819999998</v>
      </c>
      <c r="I3395" s="147"/>
      <c r="J3395" s="147"/>
      <c r="K3395" s="147" t="str">
        <f t="shared" si="52"/>
        <v/>
      </c>
      <c r="L3395" s="40"/>
      <c r="M3395"/>
      <c r="N3395"/>
      <c r="O3395"/>
      <c r="P3395"/>
      <c r="Q3395"/>
      <c r="R3395"/>
      <c r="S3395"/>
      <c r="T3395"/>
      <c r="U3395"/>
      <c r="V3395"/>
      <c r="W3395" s="41"/>
      <c r="X3395" s="41"/>
      <c r="Y3395" s="41"/>
    </row>
    <row r="3396" s="27" customFormat="1" ht="23" hidden="1" customHeight="1" spans="1:25">
      <c r="A3396" s="133" t="str">
        <f>IF(B3396="","",COUNTA($B$5:B3396))</f>
        <v/>
      </c>
      <c r="B3396" s="148"/>
      <c r="C3396" s="22" t="s">
        <v>49</v>
      </c>
      <c r="D3396" s="149"/>
      <c r="E3396" s="150"/>
      <c r="F3396" s="151"/>
      <c r="G3396" s="151"/>
      <c r="H3396" s="142">
        <f>IFERROR(VLOOKUP($C3396,$C$5:$H$18,6,0)+SUMIF($C$19:$C3396,$C3396,$F$19:$F3396)-SUMIF($C$19:$C3396,$C3396,$G$19:$G3396),"")</f>
        <v>81211.819999998</v>
      </c>
      <c r="I3396" s="147"/>
      <c r="J3396" s="147"/>
      <c r="K3396" s="147" t="str">
        <f t="shared" si="52"/>
        <v/>
      </c>
      <c r="L3396" s="40"/>
      <c r="M3396"/>
      <c r="N3396"/>
      <c r="O3396"/>
      <c r="P3396"/>
      <c r="Q3396"/>
      <c r="R3396"/>
      <c r="S3396"/>
      <c r="T3396"/>
      <c r="U3396"/>
      <c r="V3396"/>
      <c r="W3396" s="41"/>
      <c r="X3396" s="41"/>
      <c r="Y3396" s="41"/>
    </row>
    <row r="3397" s="27" customFormat="1" ht="23" hidden="1" customHeight="1" spans="1:25">
      <c r="A3397" s="133" t="str">
        <f>IF(B3397="","",COUNTA($B$5:B3397))</f>
        <v/>
      </c>
      <c r="B3397" s="148"/>
      <c r="C3397" s="22" t="s">
        <v>49</v>
      </c>
      <c r="D3397" s="149"/>
      <c r="E3397" s="150"/>
      <c r="F3397" s="151"/>
      <c r="G3397" s="151"/>
      <c r="H3397" s="142">
        <f>IFERROR(VLOOKUP($C3397,$C$5:$H$18,6,0)+SUMIF($C$19:$C3397,$C3397,$F$19:$F3397)-SUMIF($C$19:$C3397,$C3397,$G$19:$G3397),"")</f>
        <v>81211.819999998</v>
      </c>
      <c r="I3397" s="147"/>
      <c r="J3397" s="147"/>
      <c r="K3397" s="147" t="str">
        <f t="shared" ref="K3397:K3460" si="53">IF($B3397="","",--TEXT($B3397,"yyyymm"))</f>
        <v/>
      </c>
      <c r="L3397" s="40"/>
      <c r="M3397"/>
      <c r="N3397"/>
      <c r="O3397"/>
      <c r="P3397"/>
      <c r="Q3397"/>
      <c r="R3397"/>
      <c r="S3397"/>
      <c r="T3397"/>
      <c r="U3397"/>
      <c r="V3397"/>
      <c r="W3397" s="41"/>
      <c r="X3397" s="41"/>
      <c r="Y3397" s="41"/>
    </row>
    <row r="3398" s="27" customFormat="1" ht="23" hidden="1" customHeight="1" spans="1:25">
      <c r="A3398" s="133" t="str">
        <f>IF(B3398="","",COUNTA($B$5:B3398))</f>
        <v/>
      </c>
      <c r="B3398" s="148"/>
      <c r="C3398" s="22" t="s">
        <v>49</v>
      </c>
      <c r="D3398" s="149"/>
      <c r="E3398" s="150"/>
      <c r="F3398" s="151"/>
      <c r="G3398" s="151"/>
      <c r="H3398" s="142">
        <f>IFERROR(VLOOKUP($C3398,$C$5:$H$18,6,0)+SUMIF($C$19:$C3398,$C3398,$F$19:$F3398)-SUMIF($C$19:$C3398,$C3398,$G$19:$G3398),"")</f>
        <v>81211.819999998</v>
      </c>
      <c r="I3398" s="147"/>
      <c r="J3398" s="147"/>
      <c r="K3398" s="147" t="str">
        <f t="shared" si="53"/>
        <v/>
      </c>
      <c r="L3398" s="40"/>
      <c r="M3398"/>
      <c r="N3398"/>
      <c r="O3398"/>
      <c r="P3398"/>
      <c r="Q3398"/>
      <c r="R3398"/>
      <c r="S3398"/>
      <c r="T3398"/>
      <c r="U3398"/>
      <c r="V3398"/>
      <c r="W3398" s="41"/>
      <c r="X3398" s="41"/>
      <c r="Y3398" s="41"/>
    </row>
    <row r="3399" s="27" customFormat="1" ht="23" hidden="1" customHeight="1" spans="1:25">
      <c r="A3399" s="133" t="str">
        <f>IF(B3399="","",COUNTA($B$5:B3399))</f>
        <v/>
      </c>
      <c r="B3399" s="148"/>
      <c r="C3399" s="22" t="s">
        <v>49</v>
      </c>
      <c r="D3399" s="149"/>
      <c r="E3399" s="150"/>
      <c r="F3399" s="151"/>
      <c r="G3399" s="151"/>
      <c r="H3399" s="142">
        <f>IFERROR(VLOOKUP($C3399,$C$5:$H$18,6,0)+SUMIF($C$19:$C3399,$C3399,$F$19:$F3399)-SUMIF($C$19:$C3399,$C3399,$G$19:$G3399),"")</f>
        <v>81211.819999998</v>
      </c>
      <c r="I3399" s="147"/>
      <c r="J3399" s="147"/>
      <c r="K3399" s="147" t="str">
        <f t="shared" si="53"/>
        <v/>
      </c>
      <c r="L3399" s="40"/>
      <c r="M3399"/>
      <c r="N3399"/>
      <c r="O3399"/>
      <c r="P3399"/>
      <c r="Q3399"/>
      <c r="R3399"/>
      <c r="S3399"/>
      <c r="T3399"/>
      <c r="U3399"/>
      <c r="V3399"/>
      <c r="W3399" s="41"/>
      <c r="X3399" s="41"/>
      <c r="Y3399" s="41"/>
    </row>
    <row r="3400" s="27" customFormat="1" ht="23" hidden="1" customHeight="1" spans="1:25">
      <c r="A3400" s="133" t="str">
        <f>IF(B3400="","",COUNTA($B$5:B3400))</f>
        <v/>
      </c>
      <c r="B3400" s="148"/>
      <c r="C3400" s="22" t="s">
        <v>49</v>
      </c>
      <c r="D3400" s="149"/>
      <c r="E3400" s="150"/>
      <c r="F3400" s="151"/>
      <c r="G3400" s="151"/>
      <c r="H3400" s="142">
        <f>IFERROR(VLOOKUP($C3400,$C$5:$H$18,6,0)+SUMIF($C$19:$C3400,$C3400,$F$19:$F3400)-SUMIF($C$19:$C3400,$C3400,$G$19:$G3400),"")</f>
        <v>81211.819999998</v>
      </c>
      <c r="I3400" s="147"/>
      <c r="J3400" s="147"/>
      <c r="K3400" s="147" t="str">
        <f t="shared" si="53"/>
        <v/>
      </c>
      <c r="L3400" s="40"/>
      <c r="M3400"/>
      <c r="N3400"/>
      <c r="O3400"/>
      <c r="P3400"/>
      <c r="Q3400"/>
      <c r="R3400"/>
      <c r="S3400"/>
      <c r="T3400"/>
      <c r="U3400"/>
      <c r="V3400"/>
      <c r="W3400" s="41"/>
      <c r="X3400" s="41"/>
      <c r="Y3400" s="41"/>
    </row>
    <row r="3401" s="27" customFormat="1" ht="23" hidden="1" customHeight="1" spans="1:25">
      <c r="A3401" s="133" t="str">
        <f>IF(B3401="","",COUNTA($B$5:B3401))</f>
        <v/>
      </c>
      <c r="B3401" s="148"/>
      <c r="C3401" s="22" t="s">
        <v>49</v>
      </c>
      <c r="D3401" s="149"/>
      <c r="E3401" s="150"/>
      <c r="F3401" s="151"/>
      <c r="G3401" s="151"/>
      <c r="H3401" s="142">
        <f>IFERROR(VLOOKUP($C3401,$C$5:$H$18,6,0)+SUMIF($C$19:$C3401,$C3401,$F$19:$F3401)-SUMIF($C$19:$C3401,$C3401,$G$19:$G3401),"")</f>
        <v>81211.819999998</v>
      </c>
      <c r="I3401" s="147"/>
      <c r="J3401" s="147"/>
      <c r="K3401" s="147" t="str">
        <f t="shared" si="53"/>
        <v/>
      </c>
      <c r="L3401" s="40"/>
      <c r="M3401"/>
      <c r="N3401"/>
      <c r="O3401"/>
      <c r="P3401"/>
      <c r="Q3401"/>
      <c r="R3401"/>
      <c r="S3401"/>
      <c r="T3401"/>
      <c r="U3401"/>
      <c r="V3401"/>
      <c r="W3401" s="41"/>
      <c r="X3401" s="41"/>
      <c r="Y3401" s="41"/>
    </row>
    <row r="3402" s="27" customFormat="1" ht="23" hidden="1" customHeight="1" spans="1:25">
      <c r="A3402" s="133" t="str">
        <f>IF(B3402="","",COUNTA($B$5:B3402))</f>
        <v/>
      </c>
      <c r="B3402" s="148"/>
      <c r="C3402" s="22" t="s">
        <v>49</v>
      </c>
      <c r="D3402" s="149"/>
      <c r="E3402" s="150"/>
      <c r="F3402" s="151"/>
      <c r="G3402" s="151"/>
      <c r="H3402" s="142">
        <f>IFERROR(VLOOKUP($C3402,$C$5:$H$18,6,0)+SUMIF($C$19:$C3402,$C3402,$F$19:$F3402)-SUMIF($C$19:$C3402,$C3402,$G$19:$G3402),"")</f>
        <v>81211.819999998</v>
      </c>
      <c r="I3402" s="147"/>
      <c r="J3402" s="147"/>
      <c r="K3402" s="147" t="str">
        <f t="shared" si="53"/>
        <v/>
      </c>
      <c r="L3402" s="40"/>
      <c r="M3402"/>
      <c r="N3402"/>
      <c r="O3402"/>
      <c r="P3402"/>
      <c r="Q3402"/>
      <c r="R3402"/>
      <c r="S3402"/>
      <c r="T3402"/>
      <c r="U3402"/>
      <c r="V3402"/>
      <c r="W3402" s="41"/>
      <c r="X3402" s="41"/>
      <c r="Y3402" s="41"/>
    </row>
    <row r="3403" s="27" customFormat="1" ht="23" hidden="1" customHeight="1" spans="1:25">
      <c r="A3403" s="133" t="str">
        <f>IF(B3403="","",COUNTA($B$5:B3403))</f>
        <v/>
      </c>
      <c r="B3403" s="148"/>
      <c r="C3403" s="22" t="s">
        <v>49</v>
      </c>
      <c r="D3403" s="149"/>
      <c r="E3403" s="150"/>
      <c r="F3403" s="151"/>
      <c r="G3403" s="151"/>
      <c r="H3403" s="142">
        <f>IFERROR(VLOOKUP($C3403,$C$5:$H$18,6,0)+SUMIF($C$19:$C3403,$C3403,$F$19:$F3403)-SUMIF($C$19:$C3403,$C3403,$G$19:$G3403),"")</f>
        <v>81211.819999998</v>
      </c>
      <c r="I3403" s="147"/>
      <c r="J3403" s="147"/>
      <c r="K3403" s="147" t="str">
        <f t="shared" si="53"/>
        <v/>
      </c>
      <c r="L3403" s="40"/>
      <c r="M3403"/>
      <c r="N3403"/>
      <c r="O3403"/>
      <c r="P3403"/>
      <c r="Q3403"/>
      <c r="R3403"/>
      <c r="S3403"/>
      <c r="T3403"/>
      <c r="U3403"/>
      <c r="V3403"/>
      <c r="W3403" s="41"/>
      <c r="X3403" s="41"/>
      <c r="Y3403" s="41"/>
    </row>
    <row r="3404" s="27" customFormat="1" ht="23" hidden="1" customHeight="1" spans="1:25">
      <c r="A3404" s="133" t="str">
        <f>IF(B3404="","",COUNTA($B$5:B3404))</f>
        <v/>
      </c>
      <c r="B3404" s="148"/>
      <c r="C3404" s="22" t="s">
        <v>49</v>
      </c>
      <c r="D3404" s="149"/>
      <c r="E3404" s="150"/>
      <c r="F3404" s="151"/>
      <c r="G3404" s="151"/>
      <c r="H3404" s="142">
        <f>IFERROR(VLOOKUP($C3404,$C$5:$H$18,6,0)+SUMIF($C$19:$C3404,$C3404,$F$19:$F3404)-SUMIF($C$19:$C3404,$C3404,$G$19:$G3404),"")</f>
        <v>81211.819999998</v>
      </c>
      <c r="I3404" s="147"/>
      <c r="J3404" s="147"/>
      <c r="K3404" s="147" t="str">
        <f t="shared" si="53"/>
        <v/>
      </c>
      <c r="L3404" s="40"/>
      <c r="M3404"/>
      <c r="N3404"/>
      <c r="O3404"/>
      <c r="P3404"/>
      <c r="Q3404"/>
      <c r="R3404"/>
      <c r="S3404"/>
      <c r="T3404"/>
      <c r="U3404"/>
      <c r="V3404"/>
      <c r="W3404" s="41"/>
      <c r="X3404" s="41"/>
      <c r="Y3404" s="41"/>
    </row>
    <row r="3405" s="27" customFormat="1" ht="23" hidden="1" customHeight="1" spans="1:25">
      <c r="A3405" s="133" t="str">
        <f>IF(B3405="","",COUNTA($B$5:B3405))</f>
        <v/>
      </c>
      <c r="B3405" s="148"/>
      <c r="C3405" s="22" t="s">
        <v>49</v>
      </c>
      <c r="D3405" s="149"/>
      <c r="E3405" s="150"/>
      <c r="F3405" s="151"/>
      <c r="G3405" s="151"/>
      <c r="H3405" s="142">
        <f>IFERROR(VLOOKUP($C3405,$C$5:$H$18,6,0)+SUMIF($C$19:$C3405,$C3405,$F$19:$F3405)-SUMIF($C$19:$C3405,$C3405,$G$19:$G3405),"")</f>
        <v>81211.819999998</v>
      </c>
      <c r="I3405" s="147"/>
      <c r="J3405" s="147"/>
      <c r="K3405" s="147" t="str">
        <f t="shared" si="53"/>
        <v/>
      </c>
      <c r="L3405" s="40"/>
      <c r="M3405"/>
      <c r="N3405"/>
      <c r="O3405"/>
      <c r="P3405"/>
      <c r="Q3405"/>
      <c r="R3405"/>
      <c r="S3405"/>
      <c r="T3405"/>
      <c r="U3405"/>
      <c r="V3405"/>
      <c r="W3405" s="41"/>
      <c r="X3405" s="41"/>
      <c r="Y3405" s="41"/>
    </row>
    <row r="3406" s="27" customFormat="1" ht="23" hidden="1" customHeight="1" spans="1:25">
      <c r="A3406" s="133" t="str">
        <f>IF(B3406="","",COUNTA($B$5:B3406))</f>
        <v/>
      </c>
      <c r="B3406" s="148"/>
      <c r="C3406" s="22" t="s">
        <v>49</v>
      </c>
      <c r="D3406" s="149"/>
      <c r="E3406" s="150"/>
      <c r="F3406" s="151"/>
      <c r="G3406" s="151"/>
      <c r="H3406" s="142">
        <f>IFERROR(VLOOKUP($C3406,$C$5:$H$18,6,0)+SUMIF($C$19:$C3406,$C3406,$F$19:$F3406)-SUMIF($C$19:$C3406,$C3406,$G$19:$G3406),"")</f>
        <v>81211.819999998</v>
      </c>
      <c r="I3406" s="147"/>
      <c r="J3406" s="147"/>
      <c r="K3406" s="147" t="str">
        <f t="shared" si="53"/>
        <v/>
      </c>
      <c r="L3406" s="40"/>
      <c r="M3406"/>
      <c r="N3406"/>
      <c r="O3406"/>
      <c r="P3406"/>
      <c r="Q3406"/>
      <c r="R3406"/>
      <c r="S3406"/>
      <c r="T3406"/>
      <c r="U3406"/>
      <c r="V3406"/>
      <c r="W3406" s="41"/>
      <c r="X3406" s="41"/>
      <c r="Y3406" s="41"/>
    </row>
    <row r="3407" s="27" customFormat="1" ht="23" hidden="1" customHeight="1" spans="1:25">
      <c r="A3407" s="133" t="str">
        <f>IF(B3407="","",COUNTA($B$5:B3407))</f>
        <v/>
      </c>
      <c r="B3407" s="148"/>
      <c r="C3407" s="22" t="s">
        <v>49</v>
      </c>
      <c r="D3407" s="149"/>
      <c r="E3407" s="150"/>
      <c r="F3407" s="151"/>
      <c r="G3407" s="151"/>
      <c r="H3407" s="142">
        <f>IFERROR(VLOOKUP($C3407,$C$5:$H$18,6,0)+SUMIF($C$19:$C3407,$C3407,$F$19:$F3407)-SUMIF($C$19:$C3407,$C3407,$G$19:$G3407),"")</f>
        <v>81211.819999998</v>
      </c>
      <c r="I3407" s="147"/>
      <c r="J3407" s="147"/>
      <c r="K3407" s="147" t="str">
        <f t="shared" si="53"/>
        <v/>
      </c>
      <c r="L3407" s="40"/>
      <c r="M3407"/>
      <c r="N3407"/>
      <c r="O3407"/>
      <c r="P3407"/>
      <c r="Q3407"/>
      <c r="R3407"/>
      <c r="S3407"/>
      <c r="T3407"/>
      <c r="U3407"/>
      <c r="V3407"/>
      <c r="W3407" s="41"/>
      <c r="X3407" s="41"/>
      <c r="Y3407" s="41"/>
    </row>
    <row r="3408" s="27" customFormat="1" ht="23" hidden="1" customHeight="1" spans="1:25">
      <c r="A3408" s="133" t="str">
        <f>IF(B3408="","",COUNTA($B$5:B3408))</f>
        <v/>
      </c>
      <c r="B3408" s="148"/>
      <c r="C3408" s="22" t="s">
        <v>49</v>
      </c>
      <c r="D3408" s="149"/>
      <c r="E3408" s="150"/>
      <c r="F3408" s="151"/>
      <c r="G3408" s="151"/>
      <c r="H3408" s="142">
        <f>IFERROR(VLOOKUP($C3408,$C$5:$H$18,6,0)+SUMIF($C$19:$C3408,$C3408,$F$19:$F3408)-SUMIF($C$19:$C3408,$C3408,$G$19:$G3408),"")</f>
        <v>81211.819999998</v>
      </c>
      <c r="I3408" s="147"/>
      <c r="J3408" s="147"/>
      <c r="K3408" s="147" t="str">
        <f t="shared" si="53"/>
        <v/>
      </c>
      <c r="L3408" s="40"/>
      <c r="M3408"/>
      <c r="N3408"/>
      <c r="O3408"/>
      <c r="P3408"/>
      <c r="Q3408"/>
      <c r="R3408"/>
      <c r="S3408"/>
      <c r="T3408"/>
      <c r="U3408"/>
      <c r="V3408"/>
      <c r="W3408" s="41"/>
      <c r="X3408" s="41"/>
      <c r="Y3408" s="41"/>
    </row>
    <row r="3409" s="27" customFormat="1" ht="23" hidden="1" customHeight="1" spans="1:25">
      <c r="A3409" s="133" t="str">
        <f>IF(B3409="","",COUNTA($B$5:B3409))</f>
        <v/>
      </c>
      <c r="B3409" s="148"/>
      <c r="C3409" s="22" t="s">
        <v>49</v>
      </c>
      <c r="D3409" s="149"/>
      <c r="E3409" s="150"/>
      <c r="F3409" s="151"/>
      <c r="G3409" s="151"/>
      <c r="H3409" s="142">
        <f>IFERROR(VLOOKUP($C3409,$C$5:$H$18,6,0)+SUMIF($C$19:$C3409,$C3409,$F$19:$F3409)-SUMIF($C$19:$C3409,$C3409,$G$19:$G3409),"")</f>
        <v>81211.819999998</v>
      </c>
      <c r="I3409" s="147"/>
      <c r="J3409" s="147"/>
      <c r="K3409" s="147" t="str">
        <f t="shared" si="53"/>
        <v/>
      </c>
      <c r="L3409" s="40"/>
      <c r="M3409"/>
      <c r="N3409"/>
      <c r="O3409"/>
      <c r="P3409"/>
      <c r="Q3409"/>
      <c r="R3409"/>
      <c r="S3409"/>
      <c r="T3409"/>
      <c r="U3409"/>
      <c r="V3409"/>
      <c r="W3409" s="41"/>
      <c r="X3409" s="41"/>
      <c r="Y3409" s="41"/>
    </row>
    <row r="3410" s="27" customFormat="1" ht="23" hidden="1" customHeight="1" spans="1:25">
      <c r="A3410" s="133" t="str">
        <f>IF(B3410="","",COUNTA($B$5:B3410))</f>
        <v/>
      </c>
      <c r="B3410" s="148"/>
      <c r="C3410" s="22" t="s">
        <v>49</v>
      </c>
      <c r="D3410" s="149"/>
      <c r="E3410" s="150"/>
      <c r="F3410" s="151"/>
      <c r="G3410" s="151"/>
      <c r="H3410" s="142">
        <f>IFERROR(VLOOKUP($C3410,$C$5:$H$18,6,0)+SUMIF($C$19:$C3410,$C3410,$F$19:$F3410)-SUMIF($C$19:$C3410,$C3410,$G$19:$G3410),"")</f>
        <v>81211.819999998</v>
      </c>
      <c r="I3410" s="147"/>
      <c r="J3410" s="147"/>
      <c r="K3410" s="147" t="str">
        <f t="shared" si="53"/>
        <v/>
      </c>
      <c r="L3410" s="40"/>
      <c r="M3410"/>
      <c r="N3410"/>
      <c r="O3410"/>
      <c r="P3410"/>
      <c r="Q3410"/>
      <c r="R3410"/>
      <c r="S3410"/>
      <c r="T3410"/>
      <c r="U3410"/>
      <c r="V3410"/>
      <c r="W3410" s="41"/>
      <c r="X3410" s="41"/>
      <c r="Y3410" s="41"/>
    </row>
    <row r="3411" s="27" customFormat="1" ht="23" hidden="1" customHeight="1" spans="1:25">
      <c r="A3411" s="133" t="str">
        <f>IF(B3411="","",COUNTA($B$5:B3411))</f>
        <v/>
      </c>
      <c r="B3411" s="148"/>
      <c r="C3411" s="22" t="s">
        <v>49</v>
      </c>
      <c r="D3411" s="149"/>
      <c r="E3411" s="150"/>
      <c r="F3411" s="151"/>
      <c r="G3411" s="151"/>
      <c r="H3411" s="142">
        <f>IFERROR(VLOOKUP($C3411,$C$5:$H$18,6,0)+SUMIF($C$19:$C3411,$C3411,$F$19:$F3411)-SUMIF($C$19:$C3411,$C3411,$G$19:$G3411),"")</f>
        <v>81211.819999998</v>
      </c>
      <c r="I3411" s="147"/>
      <c r="J3411" s="147"/>
      <c r="K3411" s="147" t="str">
        <f t="shared" si="53"/>
        <v/>
      </c>
      <c r="L3411" s="40"/>
      <c r="M3411"/>
      <c r="N3411"/>
      <c r="O3411"/>
      <c r="P3411"/>
      <c r="Q3411"/>
      <c r="R3411"/>
      <c r="S3411"/>
      <c r="T3411"/>
      <c r="U3411"/>
      <c r="V3411"/>
      <c r="W3411" s="41"/>
      <c r="X3411" s="41"/>
      <c r="Y3411" s="41"/>
    </row>
    <row r="3412" s="27" customFormat="1" ht="23" hidden="1" customHeight="1" spans="1:25">
      <c r="A3412" s="133" t="str">
        <f>IF(B3412="","",COUNTA($B$5:B3412))</f>
        <v/>
      </c>
      <c r="B3412" s="148"/>
      <c r="C3412" s="22" t="s">
        <v>49</v>
      </c>
      <c r="D3412" s="149"/>
      <c r="E3412" s="150"/>
      <c r="F3412" s="151"/>
      <c r="G3412" s="151"/>
      <c r="H3412" s="142">
        <f>IFERROR(VLOOKUP($C3412,$C$5:$H$18,6,0)+SUMIF($C$19:$C3412,$C3412,$F$19:$F3412)-SUMIF($C$19:$C3412,$C3412,$G$19:$G3412),"")</f>
        <v>81211.819999998</v>
      </c>
      <c r="I3412" s="147"/>
      <c r="J3412" s="147"/>
      <c r="K3412" s="147" t="str">
        <f t="shared" si="53"/>
        <v/>
      </c>
      <c r="L3412" s="40"/>
      <c r="M3412"/>
      <c r="N3412"/>
      <c r="O3412"/>
      <c r="P3412"/>
      <c r="Q3412"/>
      <c r="R3412"/>
      <c r="S3412"/>
      <c r="T3412"/>
      <c r="U3412"/>
      <c r="V3412"/>
      <c r="W3412" s="41"/>
      <c r="X3412" s="41"/>
      <c r="Y3412" s="41"/>
    </row>
    <row r="3413" s="27" customFormat="1" ht="23" hidden="1" customHeight="1" spans="1:25">
      <c r="A3413" s="133" t="str">
        <f>IF(B3413="","",COUNTA($B$5:B3413))</f>
        <v/>
      </c>
      <c r="B3413" s="148"/>
      <c r="C3413" s="22" t="s">
        <v>49</v>
      </c>
      <c r="D3413" s="149"/>
      <c r="E3413" s="150"/>
      <c r="F3413" s="151"/>
      <c r="G3413" s="151"/>
      <c r="H3413" s="142">
        <f>IFERROR(VLOOKUP($C3413,$C$5:$H$18,6,0)+SUMIF($C$19:$C3413,$C3413,$F$19:$F3413)-SUMIF($C$19:$C3413,$C3413,$G$19:$G3413),"")</f>
        <v>81211.819999998</v>
      </c>
      <c r="I3413" s="147"/>
      <c r="J3413" s="147"/>
      <c r="K3413" s="147" t="str">
        <f t="shared" si="53"/>
        <v/>
      </c>
      <c r="L3413" s="40"/>
      <c r="M3413"/>
      <c r="N3413"/>
      <c r="O3413"/>
      <c r="P3413"/>
      <c r="Q3413"/>
      <c r="R3413"/>
      <c r="S3413"/>
      <c r="T3413"/>
      <c r="U3413"/>
      <c r="V3413"/>
      <c r="W3413" s="41"/>
      <c r="X3413" s="41"/>
      <c r="Y3413" s="41"/>
    </row>
    <row r="3414" s="27" customFormat="1" ht="23" hidden="1" customHeight="1" spans="1:25">
      <c r="A3414" s="133" t="str">
        <f>IF(B3414="","",COUNTA($B$5:B3414))</f>
        <v/>
      </c>
      <c r="B3414" s="148"/>
      <c r="C3414" s="22" t="s">
        <v>49</v>
      </c>
      <c r="D3414" s="149"/>
      <c r="E3414" s="150"/>
      <c r="F3414" s="151"/>
      <c r="G3414" s="151"/>
      <c r="H3414" s="142">
        <f>IFERROR(VLOOKUP($C3414,$C$5:$H$18,6,0)+SUMIF($C$19:$C3414,$C3414,$F$19:$F3414)-SUMIF($C$19:$C3414,$C3414,$G$19:$G3414),"")</f>
        <v>81211.819999998</v>
      </c>
      <c r="I3414" s="147"/>
      <c r="J3414" s="147"/>
      <c r="K3414" s="147" t="str">
        <f t="shared" si="53"/>
        <v/>
      </c>
      <c r="L3414" s="40"/>
      <c r="M3414"/>
      <c r="N3414"/>
      <c r="O3414"/>
      <c r="P3414"/>
      <c r="Q3414"/>
      <c r="R3414"/>
      <c r="S3414"/>
      <c r="T3414"/>
      <c r="U3414"/>
      <c r="V3414"/>
      <c r="W3414" s="41"/>
      <c r="X3414" s="41"/>
      <c r="Y3414" s="41"/>
    </row>
    <row r="3415" s="27" customFormat="1" ht="23" hidden="1" customHeight="1" spans="1:25">
      <c r="A3415" s="133" t="str">
        <f>IF(B3415="","",COUNTA($B$5:B3415))</f>
        <v/>
      </c>
      <c r="B3415" s="148"/>
      <c r="C3415" s="22" t="s">
        <v>49</v>
      </c>
      <c r="D3415" s="149"/>
      <c r="E3415" s="150"/>
      <c r="F3415" s="151"/>
      <c r="G3415" s="151"/>
      <c r="H3415" s="142">
        <f>IFERROR(VLOOKUP($C3415,$C$5:$H$18,6,0)+SUMIF($C$19:$C3415,$C3415,$F$19:$F3415)-SUMIF($C$19:$C3415,$C3415,$G$19:$G3415),"")</f>
        <v>81211.819999998</v>
      </c>
      <c r="I3415" s="147"/>
      <c r="J3415" s="147"/>
      <c r="K3415" s="147" t="str">
        <f t="shared" si="53"/>
        <v/>
      </c>
      <c r="L3415" s="40"/>
      <c r="M3415"/>
      <c r="N3415"/>
      <c r="O3415"/>
      <c r="P3415"/>
      <c r="Q3415"/>
      <c r="R3415"/>
      <c r="S3415"/>
      <c r="T3415"/>
      <c r="U3415"/>
      <c r="V3415"/>
      <c r="W3415" s="41"/>
      <c r="X3415" s="41"/>
      <c r="Y3415" s="41"/>
    </row>
    <row r="3416" s="27" customFormat="1" ht="23" hidden="1" customHeight="1" spans="1:25">
      <c r="A3416" s="133" t="str">
        <f>IF(B3416="","",COUNTA($B$5:B3416))</f>
        <v/>
      </c>
      <c r="B3416" s="148"/>
      <c r="C3416" s="22" t="s">
        <v>49</v>
      </c>
      <c r="D3416" s="149"/>
      <c r="E3416" s="150"/>
      <c r="F3416" s="151"/>
      <c r="G3416" s="151"/>
      <c r="H3416" s="142">
        <f>IFERROR(VLOOKUP($C3416,$C$5:$H$18,6,0)+SUMIF($C$19:$C3416,$C3416,$F$19:$F3416)-SUMIF($C$19:$C3416,$C3416,$G$19:$G3416),"")</f>
        <v>81211.819999998</v>
      </c>
      <c r="I3416" s="147"/>
      <c r="J3416" s="147"/>
      <c r="K3416" s="147" t="str">
        <f t="shared" si="53"/>
        <v/>
      </c>
      <c r="L3416" s="40"/>
      <c r="M3416"/>
      <c r="N3416"/>
      <c r="O3416"/>
      <c r="P3416"/>
      <c r="Q3416"/>
      <c r="R3416"/>
      <c r="S3416"/>
      <c r="T3416"/>
      <c r="U3416"/>
      <c r="V3416"/>
      <c r="W3416" s="41"/>
      <c r="X3416" s="41"/>
      <c r="Y3416" s="41"/>
    </row>
    <row r="3417" s="27" customFormat="1" ht="23" hidden="1" customHeight="1" spans="1:25">
      <c r="A3417" s="133" t="str">
        <f>IF(B3417="","",COUNTA($B$5:B3417))</f>
        <v/>
      </c>
      <c r="B3417" s="148"/>
      <c r="C3417" s="22" t="s">
        <v>49</v>
      </c>
      <c r="D3417" s="149"/>
      <c r="E3417" s="150"/>
      <c r="F3417" s="151"/>
      <c r="G3417" s="151"/>
      <c r="H3417" s="142">
        <f>IFERROR(VLOOKUP($C3417,$C$5:$H$18,6,0)+SUMIF($C$19:$C3417,$C3417,$F$19:$F3417)-SUMIF($C$19:$C3417,$C3417,$G$19:$G3417),"")</f>
        <v>81211.819999998</v>
      </c>
      <c r="I3417" s="147"/>
      <c r="J3417" s="147"/>
      <c r="K3417" s="147" t="str">
        <f t="shared" si="53"/>
        <v/>
      </c>
      <c r="L3417" s="40"/>
      <c r="M3417"/>
      <c r="N3417"/>
      <c r="O3417"/>
      <c r="P3417"/>
      <c r="Q3417"/>
      <c r="R3417"/>
      <c r="S3417"/>
      <c r="T3417"/>
      <c r="U3417"/>
      <c r="V3417"/>
      <c r="W3417" s="41"/>
      <c r="X3417" s="41"/>
      <c r="Y3417" s="41"/>
    </row>
    <row r="3418" s="27" customFormat="1" ht="23" hidden="1" customHeight="1" spans="1:25">
      <c r="A3418" s="133" t="str">
        <f>IF(B3418="","",COUNTA($B$5:B3418))</f>
        <v/>
      </c>
      <c r="B3418" s="148"/>
      <c r="C3418" s="22" t="s">
        <v>49</v>
      </c>
      <c r="D3418" s="149"/>
      <c r="E3418" s="150"/>
      <c r="F3418" s="151"/>
      <c r="G3418" s="151"/>
      <c r="H3418" s="142">
        <f>IFERROR(VLOOKUP($C3418,$C$5:$H$18,6,0)+SUMIF($C$19:$C3418,$C3418,$F$19:$F3418)-SUMIF($C$19:$C3418,$C3418,$G$19:$G3418),"")</f>
        <v>81211.819999998</v>
      </c>
      <c r="I3418" s="147"/>
      <c r="J3418" s="147"/>
      <c r="K3418" s="147" t="str">
        <f t="shared" si="53"/>
        <v/>
      </c>
      <c r="L3418" s="40"/>
      <c r="M3418"/>
      <c r="N3418"/>
      <c r="O3418"/>
      <c r="P3418"/>
      <c r="Q3418"/>
      <c r="R3418"/>
      <c r="S3418"/>
      <c r="T3418"/>
      <c r="U3418"/>
      <c r="V3418"/>
      <c r="W3418" s="41"/>
      <c r="X3418" s="41"/>
      <c r="Y3418" s="41"/>
    </row>
    <row r="3419" s="27" customFormat="1" ht="23" hidden="1" customHeight="1" spans="1:25">
      <c r="A3419" s="133" t="str">
        <f>IF(B3419="","",COUNTA($B$5:B3419))</f>
        <v/>
      </c>
      <c r="B3419" s="148"/>
      <c r="C3419" s="22" t="s">
        <v>49</v>
      </c>
      <c r="D3419" s="149"/>
      <c r="E3419" s="150"/>
      <c r="F3419" s="151"/>
      <c r="G3419" s="151"/>
      <c r="H3419" s="142">
        <f>IFERROR(VLOOKUP($C3419,$C$5:$H$18,6,0)+SUMIF($C$19:$C3419,$C3419,$F$19:$F3419)-SUMIF($C$19:$C3419,$C3419,$G$19:$G3419),"")</f>
        <v>81211.819999998</v>
      </c>
      <c r="I3419" s="147"/>
      <c r="J3419" s="147"/>
      <c r="K3419" s="147" t="str">
        <f t="shared" si="53"/>
        <v/>
      </c>
      <c r="L3419" s="40"/>
      <c r="M3419"/>
      <c r="N3419"/>
      <c r="O3419"/>
      <c r="P3419"/>
      <c r="Q3419"/>
      <c r="R3419"/>
      <c r="S3419"/>
      <c r="T3419"/>
      <c r="U3419"/>
      <c r="V3419"/>
      <c r="W3419" s="41"/>
      <c r="X3419" s="41"/>
      <c r="Y3419" s="41"/>
    </row>
    <row r="3420" s="27" customFormat="1" ht="23" hidden="1" customHeight="1" spans="1:25">
      <c r="A3420" s="133" t="str">
        <f>IF(B3420="","",COUNTA($B$5:B3420))</f>
        <v/>
      </c>
      <c r="B3420" s="148"/>
      <c r="C3420" s="22" t="s">
        <v>49</v>
      </c>
      <c r="D3420" s="149"/>
      <c r="E3420" s="150"/>
      <c r="F3420" s="151"/>
      <c r="G3420" s="151"/>
      <c r="H3420" s="142">
        <f>IFERROR(VLOOKUP($C3420,$C$5:$H$18,6,0)+SUMIF($C$19:$C3420,$C3420,$F$19:$F3420)-SUMIF($C$19:$C3420,$C3420,$G$19:$G3420),"")</f>
        <v>81211.819999998</v>
      </c>
      <c r="I3420" s="147"/>
      <c r="J3420" s="147"/>
      <c r="K3420" s="147" t="str">
        <f t="shared" si="53"/>
        <v/>
      </c>
      <c r="L3420" s="40"/>
      <c r="M3420"/>
      <c r="N3420"/>
      <c r="O3420"/>
      <c r="P3420"/>
      <c r="Q3420"/>
      <c r="R3420"/>
      <c r="S3420"/>
      <c r="T3420"/>
      <c r="U3420"/>
      <c r="V3420"/>
      <c r="W3420" s="41"/>
      <c r="X3420" s="41"/>
      <c r="Y3420" s="41"/>
    </row>
    <row r="3421" s="27" customFormat="1" ht="23" hidden="1" customHeight="1" spans="1:25">
      <c r="A3421" s="133" t="str">
        <f>IF(B3421="","",COUNTA($B$5:B3421))</f>
        <v/>
      </c>
      <c r="B3421" s="148"/>
      <c r="C3421" s="22" t="s">
        <v>49</v>
      </c>
      <c r="D3421" s="149"/>
      <c r="E3421" s="150"/>
      <c r="F3421" s="151"/>
      <c r="G3421" s="151"/>
      <c r="H3421" s="142">
        <f>IFERROR(VLOOKUP($C3421,$C$5:$H$18,6,0)+SUMIF($C$19:$C3421,$C3421,$F$19:$F3421)-SUMIF($C$19:$C3421,$C3421,$G$19:$G3421),"")</f>
        <v>81211.819999998</v>
      </c>
      <c r="I3421" s="147"/>
      <c r="J3421" s="147"/>
      <c r="K3421" s="147" t="str">
        <f t="shared" si="53"/>
        <v/>
      </c>
      <c r="L3421" s="40"/>
      <c r="M3421"/>
      <c r="N3421"/>
      <c r="O3421"/>
      <c r="P3421"/>
      <c r="Q3421"/>
      <c r="R3421"/>
      <c r="S3421"/>
      <c r="T3421"/>
      <c r="U3421"/>
      <c r="V3421"/>
      <c r="W3421" s="41"/>
      <c r="X3421" s="41"/>
      <c r="Y3421" s="41"/>
    </row>
    <row r="3422" s="27" customFormat="1" ht="23" hidden="1" customHeight="1" spans="1:25">
      <c r="A3422" s="133" t="str">
        <f>IF(B3422="","",COUNTA($B$5:B3422))</f>
        <v/>
      </c>
      <c r="B3422" s="148"/>
      <c r="C3422" s="22" t="s">
        <v>49</v>
      </c>
      <c r="D3422" s="149"/>
      <c r="E3422" s="150"/>
      <c r="F3422" s="151"/>
      <c r="G3422" s="151"/>
      <c r="H3422" s="142">
        <f>IFERROR(VLOOKUP($C3422,$C$5:$H$18,6,0)+SUMIF($C$19:$C3422,$C3422,$F$19:$F3422)-SUMIF($C$19:$C3422,$C3422,$G$19:$G3422),"")</f>
        <v>81211.819999998</v>
      </c>
      <c r="I3422" s="147"/>
      <c r="J3422" s="147"/>
      <c r="K3422" s="147" t="str">
        <f t="shared" si="53"/>
        <v/>
      </c>
      <c r="L3422" s="40"/>
      <c r="M3422"/>
      <c r="N3422"/>
      <c r="O3422"/>
      <c r="P3422"/>
      <c r="Q3422"/>
      <c r="R3422"/>
      <c r="S3422"/>
      <c r="T3422"/>
      <c r="U3422"/>
      <c r="V3422"/>
      <c r="W3422" s="41"/>
      <c r="X3422" s="41"/>
      <c r="Y3422" s="41"/>
    </row>
    <row r="3423" s="27" customFormat="1" ht="23" hidden="1" customHeight="1" spans="1:25">
      <c r="A3423" s="133" t="str">
        <f>IF(B3423="","",COUNTA($B$5:B3423))</f>
        <v/>
      </c>
      <c r="B3423" s="148"/>
      <c r="C3423" s="22" t="s">
        <v>49</v>
      </c>
      <c r="D3423" s="149"/>
      <c r="E3423" s="150"/>
      <c r="F3423" s="151"/>
      <c r="G3423" s="151"/>
      <c r="H3423" s="142">
        <f>IFERROR(VLOOKUP($C3423,$C$5:$H$18,6,0)+SUMIF($C$19:$C3423,$C3423,$F$19:$F3423)-SUMIF($C$19:$C3423,$C3423,$G$19:$G3423),"")</f>
        <v>81211.819999998</v>
      </c>
      <c r="I3423" s="147"/>
      <c r="J3423" s="147"/>
      <c r="K3423" s="147" t="str">
        <f t="shared" si="53"/>
        <v/>
      </c>
      <c r="L3423" s="40"/>
      <c r="M3423"/>
      <c r="N3423"/>
      <c r="O3423"/>
      <c r="P3423"/>
      <c r="Q3423"/>
      <c r="R3423"/>
      <c r="S3423"/>
      <c r="T3423"/>
      <c r="U3423"/>
      <c r="V3423"/>
      <c r="W3423" s="41"/>
      <c r="X3423" s="41"/>
      <c r="Y3423" s="41"/>
    </row>
    <row r="3424" s="27" customFormat="1" ht="23" hidden="1" customHeight="1" spans="1:25">
      <c r="A3424" s="133" t="str">
        <f>IF(B3424="","",COUNTA($B$5:B3424))</f>
        <v/>
      </c>
      <c r="B3424" s="148"/>
      <c r="C3424" s="22" t="s">
        <v>49</v>
      </c>
      <c r="D3424" s="149"/>
      <c r="E3424" s="150"/>
      <c r="F3424" s="151"/>
      <c r="G3424" s="151"/>
      <c r="H3424" s="142">
        <f>IFERROR(VLOOKUP($C3424,$C$5:$H$18,6,0)+SUMIF($C$19:$C3424,$C3424,$F$19:$F3424)-SUMIF($C$19:$C3424,$C3424,$G$19:$G3424),"")</f>
        <v>81211.819999998</v>
      </c>
      <c r="I3424" s="147"/>
      <c r="J3424" s="147"/>
      <c r="K3424" s="147" t="str">
        <f t="shared" si="53"/>
        <v/>
      </c>
      <c r="L3424" s="40"/>
      <c r="M3424"/>
      <c r="N3424"/>
      <c r="O3424"/>
      <c r="P3424"/>
      <c r="Q3424"/>
      <c r="R3424"/>
      <c r="S3424"/>
      <c r="T3424"/>
      <c r="U3424"/>
      <c r="V3424"/>
      <c r="W3424" s="41"/>
      <c r="X3424" s="41"/>
      <c r="Y3424" s="41"/>
    </row>
    <row r="3425" s="27" customFormat="1" ht="23" hidden="1" customHeight="1" spans="1:25">
      <c r="A3425" s="133" t="str">
        <f>IF(B3425="","",COUNTA($B$5:B3425))</f>
        <v/>
      </c>
      <c r="B3425" s="148"/>
      <c r="C3425" s="22" t="s">
        <v>49</v>
      </c>
      <c r="D3425" s="149"/>
      <c r="E3425" s="150"/>
      <c r="F3425" s="151"/>
      <c r="G3425" s="151"/>
      <c r="H3425" s="142">
        <f>IFERROR(VLOOKUP($C3425,$C$5:$H$18,6,0)+SUMIF($C$19:$C3425,$C3425,$F$19:$F3425)-SUMIF($C$19:$C3425,$C3425,$G$19:$G3425),"")</f>
        <v>81211.819999998</v>
      </c>
      <c r="I3425" s="147"/>
      <c r="J3425" s="147"/>
      <c r="K3425" s="147" t="str">
        <f t="shared" si="53"/>
        <v/>
      </c>
      <c r="L3425" s="40"/>
      <c r="M3425"/>
      <c r="N3425"/>
      <c r="O3425"/>
      <c r="P3425"/>
      <c r="Q3425"/>
      <c r="R3425"/>
      <c r="S3425"/>
      <c r="T3425"/>
      <c r="U3425"/>
      <c r="V3425"/>
      <c r="W3425" s="41"/>
      <c r="X3425" s="41"/>
      <c r="Y3425" s="41"/>
    </row>
    <row r="3426" s="27" customFormat="1" ht="23" hidden="1" customHeight="1" spans="1:25">
      <c r="A3426" s="133" t="str">
        <f>IF(B3426="","",COUNTA($B$5:B3426))</f>
        <v/>
      </c>
      <c r="B3426" s="148"/>
      <c r="C3426" s="22" t="s">
        <v>49</v>
      </c>
      <c r="D3426" s="149"/>
      <c r="E3426" s="150"/>
      <c r="F3426" s="151"/>
      <c r="G3426" s="151"/>
      <c r="H3426" s="142">
        <f>IFERROR(VLOOKUP($C3426,$C$5:$H$18,6,0)+SUMIF($C$19:$C3426,$C3426,$F$19:$F3426)-SUMIF($C$19:$C3426,$C3426,$G$19:$G3426),"")</f>
        <v>81211.819999998</v>
      </c>
      <c r="I3426" s="147"/>
      <c r="J3426" s="147"/>
      <c r="K3426" s="147" t="str">
        <f t="shared" si="53"/>
        <v/>
      </c>
      <c r="L3426" s="40"/>
      <c r="M3426"/>
      <c r="N3426"/>
      <c r="O3426"/>
      <c r="P3426"/>
      <c r="Q3426"/>
      <c r="R3426"/>
      <c r="S3426"/>
      <c r="T3426"/>
      <c r="U3426"/>
      <c r="V3426"/>
      <c r="W3426" s="41"/>
      <c r="X3426" s="41"/>
      <c r="Y3426" s="41"/>
    </row>
    <row r="3427" s="27" customFormat="1" ht="23" hidden="1" customHeight="1" spans="1:25">
      <c r="A3427" s="133" t="str">
        <f>IF(B3427="","",COUNTA($B$5:B3427))</f>
        <v/>
      </c>
      <c r="B3427" s="148"/>
      <c r="C3427" s="22" t="s">
        <v>49</v>
      </c>
      <c r="D3427" s="149"/>
      <c r="E3427" s="150"/>
      <c r="F3427" s="151"/>
      <c r="G3427" s="151"/>
      <c r="H3427" s="142">
        <f>IFERROR(VLOOKUP($C3427,$C$5:$H$18,6,0)+SUMIF($C$19:$C3427,$C3427,$F$19:$F3427)-SUMIF($C$19:$C3427,$C3427,$G$19:$G3427),"")</f>
        <v>81211.819999998</v>
      </c>
      <c r="I3427" s="147"/>
      <c r="J3427" s="147"/>
      <c r="K3427" s="147" t="str">
        <f t="shared" si="53"/>
        <v/>
      </c>
      <c r="L3427" s="40"/>
      <c r="M3427"/>
      <c r="N3427"/>
      <c r="O3427"/>
      <c r="P3427"/>
      <c r="Q3427"/>
      <c r="R3427"/>
      <c r="S3427"/>
      <c r="T3427"/>
      <c r="U3427"/>
      <c r="V3427"/>
      <c r="W3427" s="41"/>
      <c r="X3427" s="41"/>
      <c r="Y3427" s="41"/>
    </row>
    <row r="3428" s="27" customFormat="1" ht="23" hidden="1" customHeight="1" spans="1:25">
      <c r="A3428" s="133" t="str">
        <f>IF(B3428="","",COUNTA($B$5:B3428))</f>
        <v/>
      </c>
      <c r="B3428" s="148"/>
      <c r="C3428" s="22" t="s">
        <v>49</v>
      </c>
      <c r="D3428" s="149"/>
      <c r="E3428" s="150"/>
      <c r="F3428" s="151"/>
      <c r="G3428" s="151"/>
      <c r="H3428" s="142">
        <f>IFERROR(VLOOKUP($C3428,$C$5:$H$18,6,0)+SUMIF($C$19:$C3428,$C3428,$F$19:$F3428)-SUMIF($C$19:$C3428,$C3428,$G$19:$G3428),"")</f>
        <v>81211.819999998</v>
      </c>
      <c r="I3428" s="147"/>
      <c r="J3428" s="147"/>
      <c r="K3428" s="147" t="str">
        <f t="shared" si="53"/>
        <v/>
      </c>
      <c r="L3428" s="40"/>
      <c r="M3428"/>
      <c r="N3428"/>
      <c r="O3428"/>
      <c r="P3428"/>
      <c r="Q3428"/>
      <c r="R3428"/>
      <c r="S3428"/>
      <c r="T3428"/>
      <c r="U3428"/>
      <c r="V3428"/>
      <c r="W3428" s="41"/>
      <c r="X3428" s="41"/>
      <c r="Y3428" s="41"/>
    </row>
    <row r="3429" s="27" customFormat="1" ht="23" hidden="1" customHeight="1" spans="1:25">
      <c r="A3429" s="133" t="str">
        <f>IF(B3429="","",COUNTA($B$5:B3429))</f>
        <v/>
      </c>
      <c r="B3429" s="148"/>
      <c r="C3429" s="22" t="s">
        <v>49</v>
      </c>
      <c r="D3429" s="149"/>
      <c r="E3429" s="150"/>
      <c r="F3429" s="151"/>
      <c r="G3429" s="151"/>
      <c r="H3429" s="142">
        <f>IFERROR(VLOOKUP($C3429,$C$5:$H$18,6,0)+SUMIF($C$19:$C3429,$C3429,$F$19:$F3429)-SUMIF($C$19:$C3429,$C3429,$G$19:$G3429),"")</f>
        <v>81211.819999998</v>
      </c>
      <c r="I3429" s="147"/>
      <c r="J3429" s="147"/>
      <c r="K3429" s="147" t="str">
        <f t="shared" si="53"/>
        <v/>
      </c>
      <c r="L3429" s="40"/>
      <c r="M3429"/>
      <c r="N3429"/>
      <c r="O3429"/>
      <c r="P3429"/>
      <c r="Q3429"/>
      <c r="R3429"/>
      <c r="S3429"/>
      <c r="T3429"/>
      <c r="U3429"/>
      <c r="V3429"/>
      <c r="W3429" s="41"/>
      <c r="X3429" s="41"/>
      <c r="Y3429" s="41"/>
    </row>
    <row r="3430" s="27" customFormat="1" ht="23" hidden="1" customHeight="1" spans="1:25">
      <c r="A3430" s="133" t="str">
        <f>IF(B3430="","",COUNTA($B$5:B3430))</f>
        <v/>
      </c>
      <c r="B3430" s="148"/>
      <c r="C3430" s="22" t="s">
        <v>49</v>
      </c>
      <c r="D3430" s="149"/>
      <c r="E3430" s="150"/>
      <c r="F3430" s="151"/>
      <c r="G3430" s="151"/>
      <c r="H3430" s="142">
        <f>IFERROR(VLOOKUP($C3430,$C$5:$H$18,6,0)+SUMIF($C$19:$C3430,$C3430,$F$19:$F3430)-SUMIF($C$19:$C3430,$C3430,$G$19:$G3430),"")</f>
        <v>81211.819999998</v>
      </c>
      <c r="I3430" s="147"/>
      <c r="J3430" s="147"/>
      <c r="K3430" s="147" t="str">
        <f t="shared" si="53"/>
        <v/>
      </c>
      <c r="L3430" s="40"/>
      <c r="M3430"/>
      <c r="N3430"/>
      <c r="O3430"/>
      <c r="P3430"/>
      <c r="Q3430"/>
      <c r="R3430"/>
      <c r="S3430"/>
      <c r="T3430"/>
      <c r="U3430"/>
      <c r="V3430"/>
      <c r="W3430" s="41"/>
      <c r="X3430" s="41"/>
      <c r="Y3430" s="41"/>
    </row>
    <row r="3431" s="27" customFormat="1" ht="23" hidden="1" customHeight="1" spans="1:25">
      <c r="A3431" s="133" t="str">
        <f>IF(B3431="","",COUNTA($B$5:B3431))</f>
        <v/>
      </c>
      <c r="B3431" s="148"/>
      <c r="C3431" s="22" t="s">
        <v>49</v>
      </c>
      <c r="D3431" s="149"/>
      <c r="E3431" s="150"/>
      <c r="F3431" s="151"/>
      <c r="G3431" s="151"/>
      <c r="H3431" s="142">
        <f>IFERROR(VLOOKUP($C3431,$C$5:$H$18,6,0)+SUMIF($C$19:$C3431,$C3431,$F$19:$F3431)-SUMIF($C$19:$C3431,$C3431,$G$19:$G3431),"")</f>
        <v>81211.819999998</v>
      </c>
      <c r="I3431" s="147"/>
      <c r="J3431" s="147"/>
      <c r="K3431" s="147" t="str">
        <f t="shared" si="53"/>
        <v/>
      </c>
      <c r="L3431" s="40"/>
      <c r="M3431"/>
      <c r="N3431"/>
      <c r="O3431"/>
      <c r="P3431"/>
      <c r="Q3431"/>
      <c r="R3431"/>
      <c r="S3431"/>
      <c r="T3431"/>
      <c r="U3431"/>
      <c r="V3431"/>
      <c r="W3431" s="41"/>
      <c r="X3431" s="41"/>
      <c r="Y3431" s="41"/>
    </row>
    <row r="3432" s="27" customFormat="1" ht="23" hidden="1" customHeight="1" spans="1:25">
      <c r="A3432" s="133" t="str">
        <f>IF(B3432="","",COUNTA($B$5:B3432))</f>
        <v/>
      </c>
      <c r="B3432" s="148"/>
      <c r="C3432" s="22" t="s">
        <v>49</v>
      </c>
      <c r="D3432" s="149"/>
      <c r="E3432" s="150"/>
      <c r="F3432" s="151"/>
      <c r="G3432" s="151"/>
      <c r="H3432" s="142">
        <f>IFERROR(VLOOKUP($C3432,$C$5:$H$18,6,0)+SUMIF($C$19:$C3432,$C3432,$F$19:$F3432)-SUMIF($C$19:$C3432,$C3432,$G$19:$G3432),"")</f>
        <v>81211.819999998</v>
      </c>
      <c r="I3432" s="147"/>
      <c r="J3432" s="147"/>
      <c r="K3432" s="147" t="str">
        <f t="shared" si="53"/>
        <v/>
      </c>
      <c r="L3432" s="40"/>
      <c r="M3432"/>
      <c r="N3432"/>
      <c r="O3432"/>
      <c r="P3432"/>
      <c r="Q3432"/>
      <c r="R3432"/>
      <c r="S3432"/>
      <c r="T3432"/>
      <c r="U3432"/>
      <c r="V3432"/>
      <c r="W3432" s="41"/>
      <c r="X3432" s="41"/>
      <c r="Y3432" s="41"/>
    </row>
    <row r="3433" s="27" customFormat="1" ht="23" hidden="1" customHeight="1" spans="1:25">
      <c r="A3433" s="133" t="str">
        <f>IF(B3433="","",COUNTA($B$5:B3433))</f>
        <v/>
      </c>
      <c r="B3433" s="148"/>
      <c r="C3433" s="22" t="s">
        <v>49</v>
      </c>
      <c r="D3433" s="149"/>
      <c r="E3433" s="150"/>
      <c r="F3433" s="151"/>
      <c r="G3433" s="151"/>
      <c r="H3433" s="142">
        <f>IFERROR(VLOOKUP($C3433,$C$5:$H$18,6,0)+SUMIF($C$19:$C3433,$C3433,$F$19:$F3433)-SUMIF($C$19:$C3433,$C3433,$G$19:$G3433),"")</f>
        <v>81211.819999998</v>
      </c>
      <c r="I3433" s="147"/>
      <c r="J3433" s="147"/>
      <c r="K3433" s="147" t="str">
        <f t="shared" si="53"/>
        <v/>
      </c>
      <c r="L3433" s="40"/>
      <c r="M3433"/>
      <c r="N3433"/>
      <c r="O3433"/>
      <c r="P3433"/>
      <c r="Q3433"/>
      <c r="R3433"/>
      <c r="S3433"/>
      <c r="T3433"/>
      <c r="U3433"/>
      <c r="V3433"/>
      <c r="W3433" s="41"/>
      <c r="X3433" s="41"/>
      <c r="Y3433" s="41"/>
    </row>
    <row r="3434" s="27" customFormat="1" ht="23" hidden="1" customHeight="1" spans="1:25">
      <c r="A3434" s="133" t="str">
        <f>IF(B3434="","",COUNTA($B$5:B3434))</f>
        <v/>
      </c>
      <c r="B3434" s="148"/>
      <c r="C3434" s="22" t="s">
        <v>49</v>
      </c>
      <c r="D3434" s="149"/>
      <c r="E3434" s="150"/>
      <c r="F3434" s="151"/>
      <c r="G3434" s="151"/>
      <c r="H3434" s="142">
        <f>IFERROR(VLOOKUP($C3434,$C$5:$H$18,6,0)+SUMIF($C$19:$C3434,$C3434,$F$19:$F3434)-SUMIF($C$19:$C3434,$C3434,$G$19:$G3434),"")</f>
        <v>81211.819999998</v>
      </c>
      <c r="I3434" s="147"/>
      <c r="J3434" s="147"/>
      <c r="K3434" s="147" t="str">
        <f t="shared" si="53"/>
        <v/>
      </c>
      <c r="L3434" s="40"/>
      <c r="M3434"/>
      <c r="N3434"/>
      <c r="O3434"/>
      <c r="P3434"/>
      <c r="Q3434"/>
      <c r="R3434"/>
      <c r="S3434"/>
      <c r="T3434"/>
      <c r="U3434"/>
      <c r="V3434"/>
      <c r="W3434" s="41"/>
      <c r="X3434" s="41"/>
      <c r="Y3434" s="41"/>
    </row>
    <row r="3435" s="27" customFormat="1" ht="23" hidden="1" customHeight="1" spans="1:25">
      <c r="A3435" s="133" t="str">
        <f>IF(B3435="","",COUNTA($B$5:B3435))</f>
        <v/>
      </c>
      <c r="B3435" s="148"/>
      <c r="C3435" s="22" t="s">
        <v>49</v>
      </c>
      <c r="D3435" s="149"/>
      <c r="E3435" s="150"/>
      <c r="F3435" s="151"/>
      <c r="G3435" s="151"/>
      <c r="H3435" s="142">
        <f>IFERROR(VLOOKUP($C3435,$C$5:$H$18,6,0)+SUMIF($C$19:$C3435,$C3435,$F$19:$F3435)-SUMIF($C$19:$C3435,$C3435,$G$19:$G3435),"")</f>
        <v>81211.819999998</v>
      </c>
      <c r="I3435" s="147"/>
      <c r="J3435" s="147"/>
      <c r="K3435" s="147" t="str">
        <f t="shared" si="53"/>
        <v/>
      </c>
      <c r="L3435" s="40"/>
      <c r="M3435"/>
      <c r="N3435"/>
      <c r="O3435"/>
      <c r="P3435"/>
      <c r="Q3435"/>
      <c r="R3435"/>
      <c r="S3435"/>
      <c r="T3435"/>
      <c r="U3435"/>
      <c r="V3435"/>
      <c r="W3435" s="41"/>
      <c r="X3435" s="41"/>
      <c r="Y3435" s="41"/>
    </row>
    <row r="3436" s="27" customFormat="1" ht="23" hidden="1" customHeight="1" spans="1:25">
      <c r="A3436" s="133" t="str">
        <f>IF(B3436="","",COUNTA($B$5:B3436))</f>
        <v/>
      </c>
      <c r="B3436" s="148"/>
      <c r="C3436" s="22" t="s">
        <v>49</v>
      </c>
      <c r="D3436" s="149"/>
      <c r="E3436" s="150"/>
      <c r="F3436" s="151"/>
      <c r="G3436" s="151"/>
      <c r="H3436" s="142">
        <f>IFERROR(VLOOKUP($C3436,$C$5:$H$18,6,0)+SUMIF($C$19:$C3436,$C3436,$F$19:$F3436)-SUMIF($C$19:$C3436,$C3436,$G$19:$G3436),"")</f>
        <v>81211.819999998</v>
      </c>
      <c r="I3436" s="147"/>
      <c r="J3436" s="147"/>
      <c r="K3436" s="147" t="str">
        <f t="shared" si="53"/>
        <v/>
      </c>
      <c r="L3436" s="40"/>
      <c r="M3436"/>
      <c r="N3436"/>
      <c r="O3436"/>
      <c r="P3436"/>
      <c r="Q3436"/>
      <c r="R3436"/>
      <c r="S3436"/>
      <c r="T3436"/>
      <c r="U3436"/>
      <c r="V3436"/>
      <c r="W3436" s="41"/>
      <c r="X3436" s="41"/>
      <c r="Y3436" s="41"/>
    </row>
    <row r="3437" s="27" customFormat="1" ht="23" hidden="1" customHeight="1" spans="1:25">
      <c r="A3437" s="133" t="str">
        <f>IF(B3437="","",COUNTA($B$5:B3437))</f>
        <v/>
      </c>
      <c r="B3437" s="148"/>
      <c r="C3437" s="22" t="s">
        <v>49</v>
      </c>
      <c r="D3437" s="149"/>
      <c r="E3437" s="150"/>
      <c r="F3437" s="151"/>
      <c r="G3437" s="151"/>
      <c r="H3437" s="142">
        <f>IFERROR(VLOOKUP($C3437,$C$5:$H$18,6,0)+SUMIF($C$19:$C3437,$C3437,$F$19:$F3437)-SUMIF($C$19:$C3437,$C3437,$G$19:$G3437),"")</f>
        <v>81211.819999998</v>
      </c>
      <c r="I3437" s="147"/>
      <c r="J3437" s="147"/>
      <c r="K3437" s="147" t="str">
        <f t="shared" si="53"/>
        <v/>
      </c>
      <c r="L3437" s="40"/>
      <c r="M3437"/>
      <c r="N3437"/>
      <c r="O3437"/>
      <c r="P3437"/>
      <c r="Q3437"/>
      <c r="R3437"/>
      <c r="S3437"/>
      <c r="T3437"/>
      <c r="U3437"/>
      <c r="V3437"/>
      <c r="W3437" s="41"/>
      <c r="X3437" s="41"/>
      <c r="Y3437" s="41"/>
    </row>
    <row r="3438" s="27" customFormat="1" ht="23" hidden="1" customHeight="1" spans="1:25">
      <c r="A3438" s="133" t="str">
        <f>IF(B3438="","",COUNTA($B$5:B3438))</f>
        <v/>
      </c>
      <c r="B3438" s="148"/>
      <c r="C3438" s="22" t="s">
        <v>49</v>
      </c>
      <c r="D3438" s="149"/>
      <c r="E3438" s="150"/>
      <c r="F3438" s="151"/>
      <c r="G3438" s="151"/>
      <c r="H3438" s="142">
        <f>IFERROR(VLOOKUP($C3438,$C$5:$H$18,6,0)+SUMIF($C$19:$C3438,$C3438,$F$19:$F3438)-SUMIF($C$19:$C3438,$C3438,$G$19:$G3438),"")</f>
        <v>81211.819999998</v>
      </c>
      <c r="I3438" s="147"/>
      <c r="J3438" s="147"/>
      <c r="K3438" s="147" t="str">
        <f t="shared" si="53"/>
        <v/>
      </c>
      <c r="L3438" s="40"/>
      <c r="M3438"/>
      <c r="N3438"/>
      <c r="O3438"/>
      <c r="P3438"/>
      <c r="Q3438"/>
      <c r="R3438"/>
      <c r="S3438"/>
      <c r="T3438"/>
      <c r="U3438"/>
      <c r="V3438"/>
      <c r="W3438" s="41"/>
      <c r="X3438" s="41"/>
      <c r="Y3438" s="41"/>
    </row>
    <row r="3439" s="27" customFormat="1" ht="23" hidden="1" customHeight="1" spans="1:25">
      <c r="A3439" s="133" t="str">
        <f>IF(B3439="","",COUNTA($B$5:B3439))</f>
        <v/>
      </c>
      <c r="B3439" s="148"/>
      <c r="C3439" s="22" t="s">
        <v>49</v>
      </c>
      <c r="D3439" s="149"/>
      <c r="E3439" s="150"/>
      <c r="F3439" s="151"/>
      <c r="G3439" s="151"/>
      <c r="H3439" s="142">
        <f>IFERROR(VLOOKUP($C3439,$C$5:$H$18,6,0)+SUMIF($C$19:$C3439,$C3439,$F$19:$F3439)-SUMIF($C$19:$C3439,$C3439,$G$19:$G3439),"")</f>
        <v>81211.819999998</v>
      </c>
      <c r="I3439" s="147"/>
      <c r="J3439" s="147"/>
      <c r="K3439" s="147" t="str">
        <f t="shared" si="53"/>
        <v/>
      </c>
      <c r="L3439" s="40"/>
      <c r="M3439"/>
      <c r="N3439"/>
      <c r="O3439"/>
      <c r="P3439"/>
      <c r="Q3439"/>
      <c r="R3439"/>
      <c r="S3439"/>
      <c r="T3439"/>
      <c r="U3439"/>
      <c r="V3439"/>
      <c r="W3439" s="41"/>
      <c r="X3439" s="41"/>
      <c r="Y3439" s="41"/>
    </row>
    <row r="3440" s="27" customFormat="1" ht="23" hidden="1" customHeight="1" spans="1:25">
      <c r="A3440" s="133" t="str">
        <f>IF(B3440="","",COUNTA($B$5:B3440))</f>
        <v/>
      </c>
      <c r="B3440" s="148"/>
      <c r="C3440" s="22" t="s">
        <v>49</v>
      </c>
      <c r="D3440" s="149"/>
      <c r="E3440" s="150"/>
      <c r="F3440" s="151"/>
      <c r="G3440" s="151"/>
      <c r="H3440" s="142">
        <f>IFERROR(VLOOKUP($C3440,$C$5:$H$18,6,0)+SUMIF($C$19:$C3440,$C3440,$F$19:$F3440)-SUMIF($C$19:$C3440,$C3440,$G$19:$G3440),"")</f>
        <v>81211.819999998</v>
      </c>
      <c r="I3440" s="147"/>
      <c r="J3440" s="147"/>
      <c r="K3440" s="147" t="str">
        <f t="shared" si="53"/>
        <v/>
      </c>
      <c r="L3440" s="40"/>
      <c r="M3440"/>
      <c r="N3440"/>
      <c r="O3440"/>
      <c r="P3440"/>
      <c r="Q3440"/>
      <c r="R3440"/>
      <c r="S3440"/>
      <c r="T3440"/>
      <c r="U3440"/>
      <c r="V3440"/>
      <c r="W3440" s="41"/>
      <c r="X3440" s="41"/>
      <c r="Y3440" s="41"/>
    </row>
    <row r="3441" s="27" customFormat="1" ht="23" hidden="1" customHeight="1" spans="1:25">
      <c r="A3441" s="133" t="str">
        <f>IF(B3441="","",COUNTA($B$5:B3441))</f>
        <v/>
      </c>
      <c r="B3441" s="148"/>
      <c r="C3441" s="22" t="s">
        <v>49</v>
      </c>
      <c r="D3441" s="149"/>
      <c r="E3441" s="150"/>
      <c r="F3441" s="151"/>
      <c r="G3441" s="151"/>
      <c r="H3441" s="142">
        <f>IFERROR(VLOOKUP($C3441,$C$5:$H$18,6,0)+SUMIF($C$19:$C3441,$C3441,$F$19:$F3441)-SUMIF($C$19:$C3441,$C3441,$G$19:$G3441),"")</f>
        <v>81211.819999998</v>
      </c>
      <c r="I3441" s="147"/>
      <c r="J3441" s="147"/>
      <c r="K3441" s="147" t="str">
        <f t="shared" si="53"/>
        <v/>
      </c>
      <c r="L3441" s="40"/>
      <c r="M3441"/>
      <c r="N3441"/>
      <c r="O3441"/>
      <c r="P3441"/>
      <c r="Q3441"/>
      <c r="R3441"/>
      <c r="S3441"/>
      <c r="T3441"/>
      <c r="U3441"/>
      <c r="V3441"/>
      <c r="W3441" s="41"/>
      <c r="X3441" s="41"/>
      <c r="Y3441" s="41"/>
    </row>
    <row r="3442" s="27" customFormat="1" ht="23" hidden="1" customHeight="1" spans="1:25">
      <c r="A3442" s="133" t="str">
        <f>IF(B3442="","",COUNTA($B$5:B3442))</f>
        <v/>
      </c>
      <c r="B3442" s="148"/>
      <c r="C3442" s="22" t="s">
        <v>49</v>
      </c>
      <c r="D3442" s="149"/>
      <c r="E3442" s="150"/>
      <c r="F3442" s="151"/>
      <c r="G3442" s="151"/>
      <c r="H3442" s="142">
        <f>IFERROR(VLOOKUP($C3442,$C$5:$H$18,6,0)+SUMIF($C$19:$C3442,$C3442,$F$19:$F3442)-SUMIF($C$19:$C3442,$C3442,$G$19:$G3442),"")</f>
        <v>81211.819999998</v>
      </c>
      <c r="I3442" s="147"/>
      <c r="J3442" s="147"/>
      <c r="K3442" s="147" t="str">
        <f t="shared" si="53"/>
        <v/>
      </c>
      <c r="L3442" s="40"/>
      <c r="M3442"/>
      <c r="N3442"/>
      <c r="O3442"/>
      <c r="P3442"/>
      <c r="Q3442"/>
      <c r="R3442"/>
      <c r="S3442"/>
      <c r="T3442"/>
      <c r="U3442"/>
      <c r="V3442"/>
      <c r="W3442" s="41"/>
      <c r="X3442" s="41"/>
      <c r="Y3442" s="41"/>
    </row>
    <row r="3443" s="27" customFormat="1" ht="23" hidden="1" customHeight="1" spans="1:25">
      <c r="A3443" s="133" t="str">
        <f>IF(B3443="","",COUNTA($B$5:B3443))</f>
        <v/>
      </c>
      <c r="B3443" s="148"/>
      <c r="C3443" s="22" t="s">
        <v>49</v>
      </c>
      <c r="D3443" s="149"/>
      <c r="E3443" s="150"/>
      <c r="F3443" s="151"/>
      <c r="G3443" s="151"/>
      <c r="H3443" s="142">
        <f>IFERROR(VLOOKUP($C3443,$C$5:$H$18,6,0)+SUMIF($C$19:$C3443,$C3443,$F$19:$F3443)-SUMIF($C$19:$C3443,$C3443,$G$19:$G3443),"")</f>
        <v>81211.819999998</v>
      </c>
      <c r="I3443" s="147"/>
      <c r="J3443" s="147"/>
      <c r="K3443" s="147" t="str">
        <f t="shared" si="53"/>
        <v/>
      </c>
      <c r="L3443" s="40"/>
      <c r="M3443"/>
      <c r="N3443"/>
      <c r="O3443"/>
      <c r="P3443"/>
      <c r="Q3443"/>
      <c r="R3443"/>
      <c r="S3443"/>
      <c r="T3443"/>
      <c r="U3443"/>
      <c r="V3443"/>
      <c r="W3443" s="41"/>
      <c r="X3443" s="41"/>
      <c r="Y3443" s="41"/>
    </row>
    <row r="3444" s="27" customFormat="1" ht="23" hidden="1" customHeight="1" spans="1:25">
      <c r="A3444" s="133" t="str">
        <f>IF(B3444="","",COUNTA($B$5:B3444))</f>
        <v/>
      </c>
      <c r="B3444" s="148"/>
      <c r="C3444" s="22" t="s">
        <v>49</v>
      </c>
      <c r="D3444" s="149"/>
      <c r="E3444" s="150"/>
      <c r="F3444" s="151"/>
      <c r="G3444" s="151"/>
      <c r="H3444" s="142">
        <f>IFERROR(VLOOKUP($C3444,$C$5:$H$18,6,0)+SUMIF($C$19:$C3444,$C3444,$F$19:$F3444)-SUMIF($C$19:$C3444,$C3444,$G$19:$G3444),"")</f>
        <v>81211.819999998</v>
      </c>
      <c r="I3444" s="147"/>
      <c r="J3444" s="147"/>
      <c r="K3444" s="147" t="str">
        <f t="shared" si="53"/>
        <v/>
      </c>
      <c r="L3444" s="40"/>
      <c r="M3444"/>
      <c r="N3444"/>
      <c r="O3444"/>
      <c r="P3444"/>
      <c r="Q3444"/>
      <c r="R3444"/>
      <c r="S3444"/>
      <c r="T3444"/>
      <c r="U3444"/>
      <c r="V3444"/>
      <c r="W3444" s="41"/>
      <c r="X3444" s="41"/>
      <c r="Y3444" s="41"/>
    </row>
    <row r="3445" s="27" customFormat="1" ht="23" hidden="1" customHeight="1" spans="1:25">
      <c r="A3445" s="133" t="str">
        <f>IF(B3445="","",COUNTA($B$5:B3445))</f>
        <v/>
      </c>
      <c r="B3445" s="148"/>
      <c r="C3445" s="22" t="s">
        <v>49</v>
      </c>
      <c r="D3445" s="149"/>
      <c r="E3445" s="150"/>
      <c r="F3445" s="151"/>
      <c r="G3445" s="151"/>
      <c r="H3445" s="142">
        <f>IFERROR(VLOOKUP($C3445,$C$5:$H$18,6,0)+SUMIF($C$19:$C3445,$C3445,$F$19:$F3445)-SUMIF($C$19:$C3445,$C3445,$G$19:$G3445),"")</f>
        <v>81211.819999998</v>
      </c>
      <c r="I3445" s="147"/>
      <c r="J3445" s="147"/>
      <c r="K3445" s="147" t="str">
        <f t="shared" si="53"/>
        <v/>
      </c>
      <c r="L3445" s="40"/>
      <c r="M3445"/>
      <c r="N3445"/>
      <c r="O3445"/>
      <c r="P3445"/>
      <c r="Q3445"/>
      <c r="R3445"/>
      <c r="S3445"/>
      <c r="T3445"/>
      <c r="U3445"/>
      <c r="V3445"/>
      <c r="W3445" s="41"/>
      <c r="X3445" s="41"/>
      <c r="Y3445" s="41"/>
    </row>
    <row r="3446" s="27" customFormat="1" ht="23" hidden="1" customHeight="1" spans="1:25">
      <c r="A3446" s="133" t="str">
        <f>IF(B3446="","",COUNTA($B$5:B3446))</f>
        <v/>
      </c>
      <c r="B3446" s="148"/>
      <c r="C3446" s="22" t="s">
        <v>49</v>
      </c>
      <c r="D3446" s="149"/>
      <c r="E3446" s="150"/>
      <c r="F3446" s="151"/>
      <c r="G3446" s="151"/>
      <c r="H3446" s="142">
        <f>IFERROR(VLOOKUP($C3446,$C$5:$H$18,6,0)+SUMIF($C$19:$C3446,$C3446,$F$19:$F3446)-SUMIF($C$19:$C3446,$C3446,$G$19:$G3446),"")</f>
        <v>81211.819999998</v>
      </c>
      <c r="I3446" s="147"/>
      <c r="J3446" s="147"/>
      <c r="K3446" s="147" t="str">
        <f t="shared" si="53"/>
        <v/>
      </c>
      <c r="L3446" s="40"/>
      <c r="M3446"/>
      <c r="N3446"/>
      <c r="O3446"/>
      <c r="P3446"/>
      <c r="Q3446"/>
      <c r="R3446"/>
      <c r="S3446"/>
      <c r="T3446"/>
      <c r="U3446"/>
      <c r="V3446"/>
      <c r="W3446" s="41"/>
      <c r="X3446" s="41"/>
      <c r="Y3446" s="41"/>
    </row>
    <row r="3447" s="27" customFormat="1" ht="23" hidden="1" customHeight="1" spans="1:25">
      <c r="A3447" s="133" t="str">
        <f>IF(B3447="","",COUNTA($B$5:B3447))</f>
        <v/>
      </c>
      <c r="B3447" s="148"/>
      <c r="C3447" s="22" t="s">
        <v>49</v>
      </c>
      <c r="D3447" s="149"/>
      <c r="E3447" s="150"/>
      <c r="F3447" s="151"/>
      <c r="G3447" s="151"/>
      <c r="H3447" s="142">
        <f>IFERROR(VLOOKUP($C3447,$C$5:$H$18,6,0)+SUMIF($C$19:$C3447,$C3447,$F$19:$F3447)-SUMIF($C$19:$C3447,$C3447,$G$19:$G3447),"")</f>
        <v>81211.819999998</v>
      </c>
      <c r="I3447" s="147"/>
      <c r="J3447" s="147"/>
      <c r="K3447" s="147" t="str">
        <f t="shared" si="53"/>
        <v/>
      </c>
      <c r="L3447" s="40"/>
      <c r="M3447"/>
      <c r="N3447"/>
      <c r="O3447"/>
      <c r="P3447"/>
      <c r="Q3447"/>
      <c r="R3447"/>
      <c r="S3447"/>
      <c r="T3447"/>
      <c r="U3447"/>
      <c r="V3447"/>
      <c r="W3447" s="41"/>
      <c r="X3447" s="41"/>
      <c r="Y3447" s="41"/>
    </row>
    <row r="3448" s="27" customFormat="1" ht="23" hidden="1" customHeight="1" spans="1:25">
      <c r="A3448" s="133" t="str">
        <f>IF(B3448="","",COUNTA($B$5:B3448))</f>
        <v/>
      </c>
      <c r="B3448" s="148"/>
      <c r="C3448" s="22" t="s">
        <v>49</v>
      </c>
      <c r="D3448" s="149"/>
      <c r="E3448" s="150"/>
      <c r="F3448" s="151"/>
      <c r="G3448" s="151"/>
      <c r="H3448" s="142">
        <f>IFERROR(VLOOKUP($C3448,$C$5:$H$18,6,0)+SUMIF($C$19:$C3448,$C3448,$F$19:$F3448)-SUMIF($C$19:$C3448,$C3448,$G$19:$G3448),"")</f>
        <v>81211.819999998</v>
      </c>
      <c r="I3448" s="147"/>
      <c r="J3448" s="147"/>
      <c r="K3448" s="147" t="str">
        <f t="shared" si="53"/>
        <v/>
      </c>
      <c r="L3448" s="40"/>
      <c r="M3448"/>
      <c r="N3448"/>
      <c r="O3448"/>
      <c r="P3448"/>
      <c r="Q3448"/>
      <c r="R3448"/>
      <c r="S3448"/>
      <c r="T3448"/>
      <c r="U3448"/>
      <c r="V3448"/>
      <c r="W3448" s="41"/>
      <c r="X3448" s="41"/>
      <c r="Y3448" s="41"/>
    </row>
    <row r="3449" s="27" customFormat="1" ht="23" hidden="1" customHeight="1" spans="1:25">
      <c r="A3449" s="133" t="str">
        <f>IF(B3449="","",COUNTA($B$5:B3449))</f>
        <v/>
      </c>
      <c r="B3449" s="148"/>
      <c r="C3449" s="22" t="s">
        <v>49</v>
      </c>
      <c r="D3449" s="149"/>
      <c r="E3449" s="150"/>
      <c r="F3449" s="151"/>
      <c r="G3449" s="151"/>
      <c r="H3449" s="142">
        <f>IFERROR(VLOOKUP($C3449,$C$5:$H$18,6,0)+SUMIF($C$19:$C3449,$C3449,$F$19:$F3449)-SUMIF($C$19:$C3449,$C3449,$G$19:$G3449),"")</f>
        <v>81211.819999998</v>
      </c>
      <c r="I3449" s="147"/>
      <c r="J3449" s="147"/>
      <c r="K3449" s="147" t="str">
        <f t="shared" si="53"/>
        <v/>
      </c>
      <c r="L3449" s="40"/>
      <c r="M3449"/>
      <c r="N3449"/>
      <c r="O3449"/>
      <c r="P3449"/>
      <c r="Q3449"/>
      <c r="R3449"/>
      <c r="S3449"/>
      <c r="T3449"/>
      <c r="U3449"/>
      <c r="V3449"/>
      <c r="W3449" s="41"/>
      <c r="X3449" s="41"/>
      <c r="Y3449" s="41"/>
    </row>
    <row r="3450" s="27" customFormat="1" ht="23" hidden="1" customHeight="1" spans="1:25">
      <c r="A3450" s="133" t="str">
        <f>IF(B3450="","",COUNTA($B$5:B3450))</f>
        <v/>
      </c>
      <c r="B3450" s="148"/>
      <c r="C3450" s="22" t="s">
        <v>49</v>
      </c>
      <c r="D3450" s="149"/>
      <c r="E3450" s="150"/>
      <c r="F3450" s="151"/>
      <c r="G3450" s="151"/>
      <c r="H3450" s="142">
        <f>IFERROR(VLOOKUP($C3450,$C$5:$H$18,6,0)+SUMIF($C$19:$C3450,$C3450,$F$19:$F3450)-SUMIF($C$19:$C3450,$C3450,$G$19:$G3450),"")</f>
        <v>81211.819999998</v>
      </c>
      <c r="I3450" s="147"/>
      <c r="J3450" s="147"/>
      <c r="K3450" s="147" t="str">
        <f t="shared" si="53"/>
        <v/>
      </c>
      <c r="L3450" s="40"/>
      <c r="M3450"/>
      <c r="N3450"/>
      <c r="O3450"/>
      <c r="P3450"/>
      <c r="Q3450"/>
      <c r="R3450"/>
      <c r="S3450"/>
      <c r="T3450"/>
      <c r="U3450"/>
      <c r="V3450"/>
      <c r="W3450" s="41"/>
      <c r="X3450" s="41"/>
      <c r="Y3450" s="41"/>
    </row>
    <row r="3451" s="27" customFormat="1" ht="23" hidden="1" customHeight="1" spans="1:25">
      <c r="A3451" s="133" t="str">
        <f>IF(B3451="","",COUNTA($B$5:B3451))</f>
        <v/>
      </c>
      <c r="B3451" s="148"/>
      <c r="C3451" s="22" t="s">
        <v>49</v>
      </c>
      <c r="D3451" s="149"/>
      <c r="E3451" s="150"/>
      <c r="F3451" s="151"/>
      <c r="G3451" s="151"/>
      <c r="H3451" s="142">
        <f>IFERROR(VLOOKUP($C3451,$C$5:$H$18,6,0)+SUMIF($C$19:$C3451,$C3451,$F$19:$F3451)-SUMIF($C$19:$C3451,$C3451,$G$19:$G3451),"")</f>
        <v>81211.819999998</v>
      </c>
      <c r="I3451" s="147"/>
      <c r="J3451" s="147"/>
      <c r="K3451" s="147" t="str">
        <f t="shared" si="53"/>
        <v/>
      </c>
      <c r="L3451" s="40"/>
      <c r="M3451"/>
      <c r="N3451"/>
      <c r="O3451"/>
      <c r="P3451"/>
      <c r="Q3451"/>
      <c r="R3451"/>
      <c r="S3451"/>
      <c r="T3451"/>
      <c r="U3451"/>
      <c r="V3451"/>
      <c r="W3451" s="41"/>
      <c r="X3451" s="41"/>
      <c r="Y3451" s="41"/>
    </row>
    <row r="3452" s="27" customFormat="1" ht="23" hidden="1" customHeight="1" spans="1:25">
      <c r="A3452" s="133" t="str">
        <f>IF(B3452="","",COUNTA($B$5:B3452))</f>
        <v/>
      </c>
      <c r="B3452" s="148"/>
      <c r="C3452" s="22" t="s">
        <v>49</v>
      </c>
      <c r="D3452" s="149"/>
      <c r="E3452" s="150"/>
      <c r="F3452" s="151"/>
      <c r="G3452" s="151"/>
      <c r="H3452" s="142">
        <f>IFERROR(VLOOKUP($C3452,$C$5:$H$18,6,0)+SUMIF($C$19:$C3452,$C3452,$F$19:$F3452)-SUMIF($C$19:$C3452,$C3452,$G$19:$G3452),"")</f>
        <v>81211.819999998</v>
      </c>
      <c r="I3452" s="147"/>
      <c r="J3452" s="147"/>
      <c r="K3452" s="147" t="str">
        <f t="shared" si="53"/>
        <v/>
      </c>
      <c r="L3452" s="40"/>
      <c r="M3452"/>
      <c r="N3452"/>
      <c r="O3452"/>
      <c r="P3452"/>
      <c r="Q3452"/>
      <c r="R3452"/>
      <c r="S3452"/>
      <c r="T3452"/>
      <c r="U3452"/>
      <c r="V3452"/>
      <c r="W3452" s="41"/>
      <c r="X3452" s="41"/>
      <c r="Y3452" s="41"/>
    </row>
    <row r="3453" s="27" customFormat="1" ht="23" hidden="1" customHeight="1" spans="1:25">
      <c r="A3453" s="133" t="str">
        <f>IF(B3453="","",COUNTA($B$5:B3453))</f>
        <v/>
      </c>
      <c r="B3453" s="148"/>
      <c r="C3453" s="22" t="s">
        <v>49</v>
      </c>
      <c r="D3453" s="149"/>
      <c r="E3453" s="150"/>
      <c r="F3453" s="151"/>
      <c r="G3453" s="151"/>
      <c r="H3453" s="142">
        <f>IFERROR(VLOOKUP($C3453,$C$5:$H$18,6,0)+SUMIF($C$19:$C3453,$C3453,$F$19:$F3453)-SUMIF($C$19:$C3453,$C3453,$G$19:$G3453),"")</f>
        <v>81211.819999998</v>
      </c>
      <c r="I3453" s="147"/>
      <c r="J3453" s="147"/>
      <c r="K3453" s="147" t="str">
        <f t="shared" si="53"/>
        <v/>
      </c>
      <c r="L3453" s="40"/>
      <c r="M3453"/>
      <c r="N3453"/>
      <c r="O3453"/>
      <c r="P3453"/>
      <c r="Q3453"/>
      <c r="R3453"/>
      <c r="S3453"/>
      <c r="T3453"/>
      <c r="U3453"/>
      <c r="V3453"/>
      <c r="W3453" s="41"/>
      <c r="X3453" s="41"/>
      <c r="Y3453" s="41"/>
    </row>
    <row r="3454" s="27" customFormat="1" ht="23" hidden="1" customHeight="1" spans="1:25">
      <c r="A3454" s="133" t="str">
        <f>IF(B3454="","",COUNTA($B$5:B3454))</f>
        <v/>
      </c>
      <c r="B3454" s="148"/>
      <c r="C3454" s="22" t="s">
        <v>49</v>
      </c>
      <c r="D3454" s="149"/>
      <c r="E3454" s="150"/>
      <c r="F3454" s="151"/>
      <c r="G3454" s="151"/>
      <c r="H3454" s="142">
        <f>IFERROR(VLOOKUP($C3454,$C$5:$H$18,6,0)+SUMIF($C$19:$C3454,$C3454,$F$19:$F3454)-SUMIF($C$19:$C3454,$C3454,$G$19:$G3454),"")</f>
        <v>81211.819999998</v>
      </c>
      <c r="I3454" s="147"/>
      <c r="J3454" s="147"/>
      <c r="K3454" s="147" t="str">
        <f t="shared" si="53"/>
        <v/>
      </c>
      <c r="L3454" s="40"/>
      <c r="M3454"/>
      <c r="N3454"/>
      <c r="O3454"/>
      <c r="P3454"/>
      <c r="Q3454"/>
      <c r="R3454"/>
      <c r="S3454"/>
      <c r="T3454"/>
      <c r="U3454"/>
      <c r="V3454"/>
      <c r="W3454" s="41"/>
      <c r="X3454" s="41"/>
      <c r="Y3454" s="41"/>
    </row>
    <row r="3455" s="27" customFormat="1" ht="23" hidden="1" customHeight="1" spans="1:25">
      <c r="A3455" s="133" t="str">
        <f>IF(B3455="","",COUNTA($B$5:B3455))</f>
        <v/>
      </c>
      <c r="B3455" s="148"/>
      <c r="C3455" s="22" t="s">
        <v>49</v>
      </c>
      <c r="D3455" s="149"/>
      <c r="E3455" s="150"/>
      <c r="F3455" s="151"/>
      <c r="G3455" s="151"/>
      <c r="H3455" s="142">
        <f>IFERROR(VLOOKUP($C3455,$C$5:$H$18,6,0)+SUMIF($C$19:$C3455,$C3455,$F$19:$F3455)-SUMIF($C$19:$C3455,$C3455,$G$19:$G3455),"")</f>
        <v>81211.819999998</v>
      </c>
      <c r="I3455" s="147"/>
      <c r="J3455" s="147"/>
      <c r="K3455" s="147" t="str">
        <f t="shared" si="53"/>
        <v/>
      </c>
      <c r="L3455" s="40"/>
      <c r="M3455"/>
      <c r="N3455"/>
      <c r="O3455"/>
      <c r="P3455"/>
      <c r="Q3455"/>
      <c r="R3455"/>
      <c r="S3455"/>
      <c r="T3455"/>
      <c r="U3455"/>
      <c r="V3455"/>
      <c r="W3455" s="41"/>
      <c r="X3455" s="41"/>
      <c r="Y3455" s="41"/>
    </row>
    <row r="3456" s="27" customFormat="1" ht="23" hidden="1" customHeight="1" spans="1:25">
      <c r="A3456" s="133" t="str">
        <f>IF(B3456="","",COUNTA($B$5:B3456))</f>
        <v/>
      </c>
      <c r="B3456" s="148"/>
      <c r="C3456" s="22" t="s">
        <v>49</v>
      </c>
      <c r="D3456" s="149"/>
      <c r="E3456" s="150"/>
      <c r="F3456" s="151"/>
      <c r="G3456" s="151"/>
      <c r="H3456" s="142">
        <f>IFERROR(VLOOKUP($C3456,$C$5:$H$18,6,0)+SUMIF($C$19:$C3456,$C3456,$F$19:$F3456)-SUMIF($C$19:$C3456,$C3456,$G$19:$G3456),"")</f>
        <v>81211.819999998</v>
      </c>
      <c r="I3456" s="147"/>
      <c r="J3456" s="147"/>
      <c r="K3456" s="147" t="str">
        <f t="shared" si="53"/>
        <v/>
      </c>
      <c r="L3456" s="40"/>
      <c r="M3456"/>
      <c r="N3456"/>
      <c r="O3456"/>
      <c r="P3456"/>
      <c r="Q3456"/>
      <c r="R3456"/>
      <c r="S3456"/>
      <c r="T3456"/>
      <c r="U3456"/>
      <c r="V3456"/>
      <c r="W3456" s="41"/>
      <c r="X3456" s="41"/>
      <c r="Y3456" s="41"/>
    </row>
    <row r="3457" s="27" customFormat="1" ht="23" hidden="1" customHeight="1" spans="1:25">
      <c r="A3457" s="133" t="str">
        <f>IF(B3457="","",COUNTA($B$5:B3457))</f>
        <v/>
      </c>
      <c r="B3457" s="148"/>
      <c r="C3457" s="22" t="s">
        <v>49</v>
      </c>
      <c r="D3457" s="149"/>
      <c r="E3457" s="150"/>
      <c r="F3457" s="151"/>
      <c r="G3457" s="151"/>
      <c r="H3457" s="142">
        <f>IFERROR(VLOOKUP($C3457,$C$5:$H$18,6,0)+SUMIF($C$19:$C3457,$C3457,$F$19:$F3457)-SUMIF($C$19:$C3457,$C3457,$G$19:$G3457),"")</f>
        <v>81211.819999998</v>
      </c>
      <c r="I3457" s="147"/>
      <c r="J3457" s="147"/>
      <c r="K3457" s="147" t="str">
        <f t="shared" si="53"/>
        <v/>
      </c>
      <c r="L3457" s="40"/>
      <c r="M3457"/>
      <c r="N3457"/>
      <c r="O3457"/>
      <c r="P3457"/>
      <c r="Q3457"/>
      <c r="R3457"/>
      <c r="S3457"/>
      <c r="T3457"/>
      <c r="U3457"/>
      <c r="V3457"/>
      <c r="W3457" s="41"/>
      <c r="X3457" s="41"/>
      <c r="Y3457" s="41"/>
    </row>
    <row r="3458" s="27" customFormat="1" ht="23" hidden="1" customHeight="1" spans="1:25">
      <c r="A3458" s="133" t="str">
        <f>IF(B3458="","",COUNTA($B$5:B3458))</f>
        <v/>
      </c>
      <c r="B3458" s="148"/>
      <c r="C3458" s="22" t="s">
        <v>49</v>
      </c>
      <c r="D3458" s="149"/>
      <c r="E3458" s="150"/>
      <c r="F3458" s="151"/>
      <c r="G3458" s="151"/>
      <c r="H3458" s="142">
        <f>IFERROR(VLOOKUP($C3458,$C$5:$H$18,6,0)+SUMIF($C$19:$C3458,$C3458,$F$19:$F3458)-SUMIF($C$19:$C3458,$C3458,$G$19:$G3458),"")</f>
        <v>81211.819999998</v>
      </c>
      <c r="I3458" s="147"/>
      <c r="J3458" s="147"/>
      <c r="K3458" s="147" t="str">
        <f t="shared" si="53"/>
        <v/>
      </c>
      <c r="L3458" s="40"/>
      <c r="M3458"/>
      <c r="N3458"/>
      <c r="O3458"/>
      <c r="P3458"/>
      <c r="Q3458"/>
      <c r="R3458"/>
      <c r="S3458"/>
      <c r="T3458"/>
      <c r="U3458"/>
      <c r="V3458"/>
      <c r="W3458" s="41"/>
      <c r="X3458" s="41"/>
      <c r="Y3458" s="41"/>
    </row>
    <row r="3459" s="27" customFormat="1" ht="23" hidden="1" customHeight="1" spans="1:25">
      <c r="A3459" s="133" t="str">
        <f>IF(B3459="","",COUNTA($B$5:B3459))</f>
        <v/>
      </c>
      <c r="B3459" s="148"/>
      <c r="C3459" s="22" t="s">
        <v>49</v>
      </c>
      <c r="D3459" s="149"/>
      <c r="E3459" s="150"/>
      <c r="F3459" s="151"/>
      <c r="G3459" s="151"/>
      <c r="H3459" s="142">
        <f>IFERROR(VLOOKUP($C3459,$C$5:$H$18,6,0)+SUMIF($C$19:$C3459,$C3459,$F$19:$F3459)-SUMIF($C$19:$C3459,$C3459,$G$19:$G3459),"")</f>
        <v>81211.819999998</v>
      </c>
      <c r="I3459" s="147"/>
      <c r="J3459" s="147"/>
      <c r="K3459" s="147" t="str">
        <f t="shared" si="53"/>
        <v/>
      </c>
      <c r="L3459" s="40"/>
      <c r="M3459"/>
      <c r="N3459"/>
      <c r="O3459"/>
      <c r="P3459"/>
      <c r="Q3459"/>
      <c r="R3459"/>
      <c r="S3459"/>
      <c r="T3459"/>
      <c r="U3459"/>
      <c r="V3459"/>
      <c r="W3459" s="41"/>
      <c r="X3459" s="41"/>
      <c r="Y3459" s="41"/>
    </row>
    <row r="3460" s="27" customFormat="1" ht="23" hidden="1" customHeight="1" spans="1:25">
      <c r="A3460" s="133" t="str">
        <f>IF(B3460="","",COUNTA($B$5:B3460))</f>
        <v/>
      </c>
      <c r="B3460" s="148"/>
      <c r="C3460" s="22" t="s">
        <v>49</v>
      </c>
      <c r="D3460" s="149"/>
      <c r="E3460" s="150"/>
      <c r="F3460" s="151"/>
      <c r="G3460" s="151"/>
      <c r="H3460" s="142">
        <f>IFERROR(VLOOKUP($C3460,$C$5:$H$18,6,0)+SUMIF($C$19:$C3460,$C3460,$F$19:$F3460)-SUMIF($C$19:$C3460,$C3460,$G$19:$G3460),"")</f>
        <v>81211.819999998</v>
      </c>
      <c r="I3460" s="147"/>
      <c r="J3460" s="147"/>
      <c r="K3460" s="147" t="str">
        <f t="shared" si="53"/>
        <v/>
      </c>
      <c r="L3460" s="40"/>
      <c r="M3460"/>
      <c r="N3460"/>
      <c r="O3460"/>
      <c r="P3460"/>
      <c r="Q3460"/>
      <c r="R3460"/>
      <c r="S3460"/>
      <c r="T3460"/>
      <c r="U3460"/>
      <c r="V3460"/>
      <c r="W3460" s="41"/>
      <c r="X3460" s="41"/>
      <c r="Y3460" s="41"/>
    </row>
    <row r="3461" s="27" customFormat="1" ht="23" hidden="1" customHeight="1" spans="1:25">
      <c r="A3461" s="133" t="str">
        <f>IF(B3461="","",COUNTA($B$5:B3461))</f>
        <v/>
      </c>
      <c r="B3461" s="148"/>
      <c r="C3461" s="22" t="s">
        <v>49</v>
      </c>
      <c r="D3461" s="149"/>
      <c r="E3461" s="150"/>
      <c r="F3461" s="151"/>
      <c r="G3461" s="151"/>
      <c r="H3461" s="142">
        <f>IFERROR(VLOOKUP($C3461,$C$5:$H$18,6,0)+SUMIF($C$19:$C3461,$C3461,$F$19:$F3461)-SUMIF($C$19:$C3461,$C3461,$G$19:$G3461),"")</f>
        <v>81211.819999998</v>
      </c>
      <c r="I3461" s="147"/>
      <c r="J3461" s="147"/>
      <c r="K3461" s="147" t="str">
        <f t="shared" ref="K3461:K3524" si="54">IF($B3461="","",--TEXT($B3461,"yyyymm"))</f>
        <v/>
      </c>
      <c r="L3461" s="40"/>
      <c r="M3461"/>
      <c r="N3461"/>
      <c r="O3461"/>
      <c r="P3461"/>
      <c r="Q3461"/>
      <c r="R3461"/>
      <c r="S3461"/>
      <c r="T3461"/>
      <c r="U3461"/>
      <c r="V3461"/>
      <c r="W3461" s="41"/>
      <c r="X3461" s="41"/>
      <c r="Y3461" s="41"/>
    </row>
    <row r="3462" s="27" customFormat="1" ht="23" hidden="1" customHeight="1" spans="1:25">
      <c r="A3462" s="133" t="str">
        <f>IF(B3462="","",COUNTA($B$5:B3462))</f>
        <v/>
      </c>
      <c r="B3462" s="148"/>
      <c r="C3462" s="22" t="s">
        <v>49</v>
      </c>
      <c r="D3462" s="149"/>
      <c r="E3462" s="150"/>
      <c r="F3462" s="151"/>
      <c r="G3462" s="151"/>
      <c r="H3462" s="142">
        <f>IFERROR(VLOOKUP($C3462,$C$5:$H$18,6,0)+SUMIF($C$19:$C3462,$C3462,$F$19:$F3462)-SUMIF($C$19:$C3462,$C3462,$G$19:$G3462),"")</f>
        <v>81211.819999998</v>
      </c>
      <c r="I3462" s="147"/>
      <c r="J3462" s="147"/>
      <c r="K3462" s="147" t="str">
        <f t="shared" si="54"/>
        <v/>
      </c>
      <c r="L3462" s="40"/>
      <c r="M3462"/>
      <c r="N3462"/>
      <c r="O3462"/>
      <c r="P3462"/>
      <c r="Q3462"/>
      <c r="R3462"/>
      <c r="S3462"/>
      <c r="T3462"/>
      <c r="U3462"/>
      <c r="V3462"/>
      <c r="W3462" s="41"/>
      <c r="X3462" s="41"/>
      <c r="Y3462" s="41"/>
    </row>
    <row r="3463" s="27" customFormat="1" ht="23" hidden="1" customHeight="1" spans="1:25">
      <c r="A3463" s="133" t="str">
        <f>IF(B3463="","",COUNTA($B$5:B3463))</f>
        <v/>
      </c>
      <c r="B3463" s="148"/>
      <c r="C3463" s="22" t="s">
        <v>49</v>
      </c>
      <c r="D3463" s="149"/>
      <c r="E3463" s="150"/>
      <c r="F3463" s="151"/>
      <c r="G3463" s="151"/>
      <c r="H3463" s="142">
        <f>IFERROR(VLOOKUP($C3463,$C$5:$H$18,6,0)+SUMIF($C$19:$C3463,$C3463,$F$19:$F3463)-SUMIF($C$19:$C3463,$C3463,$G$19:$G3463),"")</f>
        <v>81211.819999998</v>
      </c>
      <c r="I3463" s="147"/>
      <c r="J3463" s="147"/>
      <c r="K3463" s="147" t="str">
        <f t="shared" si="54"/>
        <v/>
      </c>
      <c r="L3463" s="40"/>
      <c r="M3463"/>
      <c r="N3463"/>
      <c r="O3463"/>
      <c r="P3463"/>
      <c r="Q3463"/>
      <c r="R3463"/>
      <c r="S3463"/>
      <c r="T3463"/>
      <c r="U3463"/>
      <c r="V3463"/>
      <c r="W3463" s="41"/>
      <c r="X3463" s="41"/>
      <c r="Y3463" s="41"/>
    </row>
    <row r="3464" s="27" customFormat="1" ht="23" hidden="1" customHeight="1" spans="1:25">
      <c r="A3464" s="133" t="str">
        <f>IF(B3464="","",COUNTA($B$5:B3464))</f>
        <v/>
      </c>
      <c r="B3464" s="148"/>
      <c r="C3464" s="22" t="s">
        <v>49</v>
      </c>
      <c r="D3464" s="149"/>
      <c r="E3464" s="150"/>
      <c r="F3464" s="151"/>
      <c r="G3464" s="151"/>
      <c r="H3464" s="142">
        <f>IFERROR(VLOOKUP($C3464,$C$5:$H$18,6,0)+SUMIF($C$19:$C3464,$C3464,$F$19:$F3464)-SUMIF($C$19:$C3464,$C3464,$G$19:$G3464),"")</f>
        <v>81211.819999998</v>
      </c>
      <c r="I3464" s="147"/>
      <c r="J3464" s="147"/>
      <c r="K3464" s="147" t="str">
        <f t="shared" si="54"/>
        <v/>
      </c>
      <c r="L3464" s="40"/>
      <c r="M3464"/>
      <c r="N3464"/>
      <c r="O3464"/>
      <c r="P3464"/>
      <c r="Q3464"/>
      <c r="R3464"/>
      <c r="S3464"/>
      <c r="T3464"/>
      <c r="U3464"/>
      <c r="V3464"/>
      <c r="W3464" s="41"/>
      <c r="X3464" s="41"/>
      <c r="Y3464" s="41"/>
    </row>
    <row r="3465" s="27" customFormat="1" ht="23" hidden="1" customHeight="1" spans="1:25">
      <c r="A3465" s="133" t="str">
        <f>IF(B3465="","",COUNTA($B$5:B3465))</f>
        <v/>
      </c>
      <c r="B3465" s="148"/>
      <c r="C3465" s="22" t="s">
        <v>49</v>
      </c>
      <c r="D3465" s="149"/>
      <c r="E3465" s="150"/>
      <c r="F3465" s="151"/>
      <c r="G3465" s="151"/>
      <c r="H3465" s="142">
        <f>IFERROR(VLOOKUP($C3465,$C$5:$H$18,6,0)+SUMIF($C$19:$C3465,$C3465,$F$19:$F3465)-SUMIF($C$19:$C3465,$C3465,$G$19:$G3465),"")</f>
        <v>81211.819999998</v>
      </c>
      <c r="I3465" s="147"/>
      <c r="J3465" s="147"/>
      <c r="K3465" s="147" t="str">
        <f t="shared" si="54"/>
        <v/>
      </c>
      <c r="L3465" s="40"/>
      <c r="M3465"/>
      <c r="N3465"/>
      <c r="O3465"/>
      <c r="P3465"/>
      <c r="Q3465"/>
      <c r="R3465"/>
      <c r="S3465"/>
      <c r="T3465"/>
      <c r="U3465"/>
      <c r="V3465"/>
      <c r="W3465" s="41"/>
      <c r="X3465" s="41"/>
      <c r="Y3465" s="41"/>
    </row>
    <row r="3466" s="27" customFormat="1" ht="23" hidden="1" customHeight="1" spans="1:25">
      <c r="A3466" s="133" t="str">
        <f>IF(B3466="","",COUNTA($B$5:B3466))</f>
        <v/>
      </c>
      <c r="B3466" s="148"/>
      <c r="C3466" s="22" t="s">
        <v>49</v>
      </c>
      <c r="D3466" s="149"/>
      <c r="E3466" s="150"/>
      <c r="F3466" s="151"/>
      <c r="G3466" s="151"/>
      <c r="H3466" s="142">
        <f>IFERROR(VLOOKUP($C3466,$C$5:$H$18,6,0)+SUMIF($C$19:$C3466,$C3466,$F$19:$F3466)-SUMIF($C$19:$C3466,$C3466,$G$19:$G3466),"")</f>
        <v>81211.819999998</v>
      </c>
      <c r="I3466" s="147"/>
      <c r="J3466" s="147"/>
      <c r="K3466" s="147" t="str">
        <f t="shared" si="54"/>
        <v/>
      </c>
      <c r="L3466" s="40"/>
      <c r="M3466"/>
      <c r="N3466"/>
      <c r="O3466"/>
      <c r="P3466"/>
      <c r="Q3466"/>
      <c r="R3466"/>
      <c r="S3466"/>
      <c r="T3466"/>
      <c r="U3466"/>
      <c r="V3466"/>
      <c r="W3466" s="41"/>
      <c r="X3466" s="41"/>
      <c r="Y3466" s="41"/>
    </row>
    <row r="3467" s="27" customFormat="1" ht="23" hidden="1" customHeight="1" spans="1:25">
      <c r="A3467" s="133" t="str">
        <f>IF(B3467="","",COUNTA($B$5:B3467))</f>
        <v/>
      </c>
      <c r="B3467" s="148"/>
      <c r="C3467" s="22" t="s">
        <v>49</v>
      </c>
      <c r="D3467" s="149"/>
      <c r="E3467" s="150"/>
      <c r="F3467" s="151"/>
      <c r="G3467" s="151"/>
      <c r="H3467" s="142">
        <f>IFERROR(VLOOKUP($C3467,$C$5:$H$18,6,0)+SUMIF($C$19:$C3467,$C3467,$F$19:$F3467)-SUMIF($C$19:$C3467,$C3467,$G$19:$G3467),"")</f>
        <v>81211.819999998</v>
      </c>
      <c r="I3467" s="147"/>
      <c r="J3467" s="147"/>
      <c r="K3467" s="147" t="str">
        <f t="shared" si="54"/>
        <v/>
      </c>
      <c r="L3467" s="40"/>
      <c r="M3467"/>
      <c r="N3467"/>
      <c r="O3467"/>
      <c r="P3467"/>
      <c r="Q3467"/>
      <c r="R3467"/>
      <c r="S3467"/>
      <c r="T3467"/>
      <c r="U3467"/>
      <c r="V3467"/>
      <c r="W3467" s="41"/>
      <c r="X3467" s="41"/>
      <c r="Y3467" s="41"/>
    </row>
    <row r="3468" s="27" customFormat="1" ht="23" hidden="1" customHeight="1" spans="1:25">
      <c r="A3468" s="133" t="str">
        <f>IF(B3468="","",COUNTA($B$5:B3468))</f>
        <v/>
      </c>
      <c r="B3468" s="148"/>
      <c r="C3468" s="22" t="s">
        <v>49</v>
      </c>
      <c r="D3468" s="149"/>
      <c r="E3468" s="150"/>
      <c r="F3468" s="151"/>
      <c r="G3468" s="151"/>
      <c r="H3468" s="142">
        <f>IFERROR(VLOOKUP($C3468,$C$5:$H$18,6,0)+SUMIF($C$19:$C3468,$C3468,$F$19:$F3468)-SUMIF($C$19:$C3468,$C3468,$G$19:$G3468),"")</f>
        <v>81211.819999998</v>
      </c>
      <c r="I3468" s="147"/>
      <c r="J3468" s="147"/>
      <c r="K3468" s="147" t="str">
        <f t="shared" si="54"/>
        <v/>
      </c>
      <c r="L3468" s="40"/>
      <c r="M3468"/>
      <c r="N3468"/>
      <c r="O3468"/>
      <c r="P3468"/>
      <c r="Q3468"/>
      <c r="R3468"/>
      <c r="S3468"/>
      <c r="T3468"/>
      <c r="U3468"/>
      <c r="V3468"/>
      <c r="W3468" s="41"/>
      <c r="X3468" s="41"/>
      <c r="Y3468" s="41"/>
    </row>
    <row r="3469" s="27" customFormat="1" ht="23" hidden="1" customHeight="1" spans="1:25">
      <c r="A3469" s="133" t="str">
        <f>IF(B3469="","",COUNTA($B$5:B3469))</f>
        <v/>
      </c>
      <c r="B3469" s="148"/>
      <c r="C3469" s="22" t="s">
        <v>49</v>
      </c>
      <c r="D3469" s="149"/>
      <c r="E3469" s="150"/>
      <c r="F3469" s="151"/>
      <c r="G3469" s="151"/>
      <c r="H3469" s="142">
        <f>IFERROR(VLOOKUP($C3469,$C$5:$H$18,6,0)+SUMIF($C$19:$C3469,$C3469,$F$19:$F3469)-SUMIF($C$19:$C3469,$C3469,$G$19:$G3469),"")</f>
        <v>81211.819999998</v>
      </c>
      <c r="I3469" s="147"/>
      <c r="J3469" s="147"/>
      <c r="K3469" s="147" t="str">
        <f t="shared" si="54"/>
        <v/>
      </c>
      <c r="L3469" s="40"/>
      <c r="M3469"/>
      <c r="N3469"/>
      <c r="O3469"/>
      <c r="P3469"/>
      <c r="Q3469"/>
      <c r="R3469"/>
      <c r="S3469"/>
      <c r="T3469"/>
      <c r="U3469"/>
      <c r="V3469"/>
      <c r="W3469" s="41"/>
      <c r="X3469" s="41"/>
      <c r="Y3469" s="41"/>
    </row>
    <row r="3470" s="27" customFormat="1" ht="23" hidden="1" customHeight="1" spans="1:25">
      <c r="A3470" s="133" t="str">
        <f>IF(B3470="","",COUNTA($B$5:B3470))</f>
        <v/>
      </c>
      <c r="B3470" s="148"/>
      <c r="C3470" s="22" t="s">
        <v>49</v>
      </c>
      <c r="D3470" s="149"/>
      <c r="E3470" s="150"/>
      <c r="F3470" s="151"/>
      <c r="G3470" s="151"/>
      <c r="H3470" s="142">
        <f>IFERROR(VLOOKUP($C3470,$C$5:$H$18,6,0)+SUMIF($C$19:$C3470,$C3470,$F$19:$F3470)-SUMIF($C$19:$C3470,$C3470,$G$19:$G3470),"")</f>
        <v>81211.819999998</v>
      </c>
      <c r="I3470" s="147"/>
      <c r="J3470" s="147"/>
      <c r="K3470" s="147" t="str">
        <f t="shared" si="54"/>
        <v/>
      </c>
      <c r="L3470" s="40"/>
      <c r="M3470"/>
      <c r="N3470"/>
      <c r="O3470"/>
      <c r="P3470"/>
      <c r="Q3470"/>
      <c r="R3470"/>
      <c r="S3470"/>
      <c r="T3470"/>
      <c r="U3470"/>
      <c r="V3470"/>
      <c r="W3470" s="41"/>
      <c r="X3470" s="41"/>
      <c r="Y3470" s="41"/>
    </row>
    <row r="3471" s="27" customFormat="1" ht="23" hidden="1" customHeight="1" spans="1:25">
      <c r="A3471" s="133" t="str">
        <f>IF(B3471="","",COUNTA($B$5:B3471))</f>
        <v/>
      </c>
      <c r="B3471" s="148"/>
      <c r="C3471" s="22" t="s">
        <v>49</v>
      </c>
      <c r="D3471" s="149"/>
      <c r="E3471" s="150"/>
      <c r="F3471" s="151"/>
      <c r="G3471" s="151"/>
      <c r="H3471" s="142">
        <f>IFERROR(VLOOKUP($C3471,$C$5:$H$18,6,0)+SUMIF($C$19:$C3471,$C3471,$F$19:$F3471)-SUMIF($C$19:$C3471,$C3471,$G$19:$G3471),"")</f>
        <v>81211.819999998</v>
      </c>
      <c r="I3471" s="147"/>
      <c r="J3471" s="147"/>
      <c r="K3471" s="147" t="str">
        <f t="shared" si="54"/>
        <v/>
      </c>
      <c r="L3471" s="40"/>
      <c r="M3471"/>
      <c r="N3471"/>
      <c r="O3471"/>
      <c r="P3471"/>
      <c r="Q3471"/>
      <c r="R3471"/>
      <c r="S3471"/>
      <c r="T3471"/>
      <c r="U3471"/>
      <c r="V3471"/>
      <c r="W3471" s="41"/>
      <c r="X3471" s="41"/>
      <c r="Y3471" s="41"/>
    </row>
    <row r="3472" s="27" customFormat="1" ht="23" hidden="1" customHeight="1" spans="1:25">
      <c r="A3472" s="133" t="str">
        <f>IF(B3472="","",COUNTA($B$5:B3472))</f>
        <v/>
      </c>
      <c r="B3472" s="148"/>
      <c r="C3472" s="22" t="s">
        <v>49</v>
      </c>
      <c r="D3472" s="149"/>
      <c r="E3472" s="150"/>
      <c r="F3472" s="151"/>
      <c r="G3472" s="151"/>
      <c r="H3472" s="142">
        <f>IFERROR(VLOOKUP($C3472,$C$5:$H$18,6,0)+SUMIF($C$19:$C3472,$C3472,$F$19:$F3472)-SUMIF($C$19:$C3472,$C3472,$G$19:$G3472),"")</f>
        <v>81211.819999998</v>
      </c>
      <c r="I3472" s="147"/>
      <c r="J3472" s="147"/>
      <c r="K3472" s="147" t="str">
        <f t="shared" si="54"/>
        <v/>
      </c>
      <c r="L3472" s="40"/>
      <c r="M3472"/>
      <c r="N3472"/>
      <c r="O3472"/>
      <c r="P3472"/>
      <c r="Q3472"/>
      <c r="R3472"/>
      <c r="S3472"/>
      <c r="T3472"/>
      <c r="U3472"/>
      <c r="V3472"/>
      <c r="W3472" s="41"/>
      <c r="X3472" s="41"/>
      <c r="Y3472" s="41"/>
    </row>
    <row r="3473" s="27" customFormat="1" ht="23" hidden="1" customHeight="1" spans="1:25">
      <c r="A3473" s="133" t="str">
        <f>IF(B3473="","",COUNTA($B$5:B3473))</f>
        <v/>
      </c>
      <c r="B3473" s="148"/>
      <c r="C3473" s="22" t="s">
        <v>49</v>
      </c>
      <c r="D3473" s="149"/>
      <c r="E3473" s="150"/>
      <c r="F3473" s="151"/>
      <c r="G3473" s="151"/>
      <c r="H3473" s="142">
        <f>IFERROR(VLOOKUP($C3473,$C$5:$H$18,6,0)+SUMIF($C$19:$C3473,$C3473,$F$19:$F3473)-SUMIF($C$19:$C3473,$C3473,$G$19:$G3473),"")</f>
        <v>81211.819999998</v>
      </c>
      <c r="I3473" s="147"/>
      <c r="J3473" s="147"/>
      <c r="K3473" s="147" t="str">
        <f t="shared" si="54"/>
        <v/>
      </c>
      <c r="L3473" s="40"/>
      <c r="M3473"/>
      <c r="N3473"/>
      <c r="O3473"/>
      <c r="P3473"/>
      <c r="Q3473"/>
      <c r="R3473"/>
      <c r="S3473"/>
      <c r="T3473"/>
      <c r="U3473"/>
      <c r="V3473"/>
      <c r="W3473" s="41"/>
      <c r="X3473" s="41"/>
      <c r="Y3473" s="41"/>
    </row>
    <row r="3474" s="27" customFormat="1" ht="23" hidden="1" customHeight="1" spans="1:25">
      <c r="A3474" s="133" t="str">
        <f>IF(B3474="","",COUNTA($B$5:B3474))</f>
        <v/>
      </c>
      <c r="B3474" s="148"/>
      <c r="C3474" s="22" t="s">
        <v>49</v>
      </c>
      <c r="D3474" s="149"/>
      <c r="E3474" s="150"/>
      <c r="F3474" s="151"/>
      <c r="G3474" s="151"/>
      <c r="H3474" s="142">
        <f>IFERROR(VLOOKUP($C3474,$C$5:$H$18,6,0)+SUMIF($C$19:$C3474,$C3474,$F$19:$F3474)-SUMIF($C$19:$C3474,$C3474,$G$19:$G3474),"")</f>
        <v>81211.819999998</v>
      </c>
      <c r="I3474" s="147"/>
      <c r="J3474" s="147"/>
      <c r="K3474" s="147" t="str">
        <f t="shared" si="54"/>
        <v/>
      </c>
      <c r="L3474" s="40"/>
      <c r="M3474"/>
      <c r="N3474"/>
      <c r="O3474"/>
      <c r="P3474"/>
      <c r="Q3474"/>
      <c r="R3474"/>
      <c r="S3474"/>
      <c r="T3474"/>
      <c r="U3474"/>
      <c r="V3474"/>
      <c r="W3474" s="41"/>
      <c r="X3474" s="41"/>
      <c r="Y3474" s="41"/>
    </row>
    <row r="3475" s="27" customFormat="1" ht="23" hidden="1" customHeight="1" spans="1:25">
      <c r="A3475" s="133" t="str">
        <f>IF(B3475="","",COUNTA($B$5:B3475))</f>
        <v/>
      </c>
      <c r="B3475" s="148"/>
      <c r="C3475" s="22" t="s">
        <v>49</v>
      </c>
      <c r="D3475" s="149"/>
      <c r="E3475" s="150"/>
      <c r="F3475" s="151"/>
      <c r="G3475" s="151"/>
      <c r="H3475" s="142">
        <f>IFERROR(VLOOKUP($C3475,$C$5:$H$18,6,0)+SUMIF($C$19:$C3475,$C3475,$F$19:$F3475)-SUMIF($C$19:$C3475,$C3475,$G$19:$G3475),"")</f>
        <v>81211.819999998</v>
      </c>
      <c r="I3475" s="147"/>
      <c r="J3475" s="147"/>
      <c r="K3475" s="147" t="str">
        <f t="shared" si="54"/>
        <v/>
      </c>
      <c r="L3475" s="40"/>
      <c r="M3475"/>
      <c r="N3475"/>
      <c r="O3475"/>
      <c r="P3475"/>
      <c r="Q3475"/>
      <c r="R3475"/>
      <c r="S3475"/>
      <c r="T3475"/>
      <c r="U3475"/>
      <c r="V3475"/>
      <c r="W3475" s="41"/>
      <c r="X3475" s="41"/>
      <c r="Y3475" s="41"/>
    </row>
    <row r="3476" s="27" customFormat="1" ht="23" hidden="1" customHeight="1" spans="1:25">
      <c r="A3476" s="133" t="str">
        <f>IF(B3476="","",COUNTA($B$5:B3476))</f>
        <v/>
      </c>
      <c r="B3476" s="148"/>
      <c r="C3476" s="22" t="s">
        <v>49</v>
      </c>
      <c r="D3476" s="149"/>
      <c r="E3476" s="150"/>
      <c r="F3476" s="151"/>
      <c r="G3476" s="151"/>
      <c r="H3476" s="142">
        <f>IFERROR(VLOOKUP($C3476,$C$5:$H$18,6,0)+SUMIF($C$19:$C3476,$C3476,$F$19:$F3476)-SUMIF($C$19:$C3476,$C3476,$G$19:$G3476),"")</f>
        <v>81211.819999998</v>
      </c>
      <c r="I3476" s="147"/>
      <c r="J3476" s="147"/>
      <c r="K3476" s="147" t="str">
        <f t="shared" si="54"/>
        <v/>
      </c>
      <c r="L3476" s="40"/>
      <c r="M3476"/>
      <c r="N3476"/>
      <c r="O3476"/>
      <c r="P3476"/>
      <c r="Q3476"/>
      <c r="R3476"/>
      <c r="S3476"/>
      <c r="T3476"/>
      <c r="U3476"/>
      <c r="V3476"/>
      <c r="W3476" s="41"/>
      <c r="X3476" s="41"/>
      <c r="Y3476" s="41"/>
    </row>
    <row r="3477" s="27" customFormat="1" ht="23" hidden="1" customHeight="1" spans="1:25">
      <c r="A3477" s="133" t="str">
        <f>IF(B3477="","",COUNTA($B$5:B3477))</f>
        <v/>
      </c>
      <c r="B3477" s="148"/>
      <c r="C3477" s="22" t="s">
        <v>49</v>
      </c>
      <c r="D3477" s="149"/>
      <c r="E3477" s="150"/>
      <c r="F3477" s="151"/>
      <c r="G3477" s="151"/>
      <c r="H3477" s="142">
        <f>IFERROR(VLOOKUP($C3477,$C$5:$H$18,6,0)+SUMIF($C$19:$C3477,$C3477,$F$19:$F3477)-SUMIF($C$19:$C3477,$C3477,$G$19:$G3477),"")</f>
        <v>81211.819999998</v>
      </c>
      <c r="I3477" s="147"/>
      <c r="J3477" s="147"/>
      <c r="K3477" s="147" t="str">
        <f t="shared" si="54"/>
        <v/>
      </c>
      <c r="L3477" s="40"/>
      <c r="M3477"/>
      <c r="N3477"/>
      <c r="O3477"/>
      <c r="P3477"/>
      <c r="Q3477"/>
      <c r="R3477"/>
      <c r="S3477"/>
      <c r="T3477"/>
      <c r="U3477"/>
      <c r="V3477"/>
      <c r="W3477" s="41"/>
      <c r="X3477" s="41"/>
      <c r="Y3477" s="41"/>
    </row>
    <row r="3478" s="27" customFormat="1" ht="23" hidden="1" customHeight="1" spans="1:25">
      <c r="A3478" s="133" t="str">
        <f>IF(B3478="","",COUNTA($B$5:B3478))</f>
        <v/>
      </c>
      <c r="B3478" s="148"/>
      <c r="C3478" s="22" t="s">
        <v>49</v>
      </c>
      <c r="D3478" s="149"/>
      <c r="E3478" s="150"/>
      <c r="F3478" s="151"/>
      <c r="G3478" s="151"/>
      <c r="H3478" s="142">
        <f>IFERROR(VLOOKUP($C3478,$C$5:$H$18,6,0)+SUMIF($C$19:$C3478,$C3478,$F$19:$F3478)-SUMIF($C$19:$C3478,$C3478,$G$19:$G3478),"")</f>
        <v>81211.819999998</v>
      </c>
      <c r="I3478" s="147"/>
      <c r="J3478" s="147"/>
      <c r="K3478" s="147" t="str">
        <f t="shared" si="54"/>
        <v/>
      </c>
      <c r="L3478" s="40"/>
      <c r="M3478"/>
      <c r="N3478"/>
      <c r="O3478"/>
      <c r="P3478"/>
      <c r="Q3478"/>
      <c r="R3478"/>
      <c r="S3478"/>
      <c r="T3478"/>
      <c r="U3478"/>
      <c r="V3478"/>
      <c r="W3478" s="41"/>
      <c r="X3478" s="41"/>
      <c r="Y3478" s="41"/>
    </row>
    <row r="3479" s="27" customFormat="1" ht="23" hidden="1" customHeight="1" spans="1:25">
      <c r="A3479" s="133" t="str">
        <f>IF(B3479="","",COUNTA($B$5:B3479))</f>
        <v/>
      </c>
      <c r="B3479" s="148"/>
      <c r="C3479" s="22" t="s">
        <v>49</v>
      </c>
      <c r="D3479" s="149"/>
      <c r="E3479" s="150"/>
      <c r="F3479" s="151"/>
      <c r="G3479" s="151"/>
      <c r="H3479" s="142">
        <f>IFERROR(VLOOKUP($C3479,$C$5:$H$18,6,0)+SUMIF($C$19:$C3479,$C3479,$F$19:$F3479)-SUMIF($C$19:$C3479,$C3479,$G$19:$G3479),"")</f>
        <v>81211.819999998</v>
      </c>
      <c r="I3479" s="147"/>
      <c r="J3479" s="147"/>
      <c r="K3479" s="147" t="str">
        <f t="shared" si="54"/>
        <v/>
      </c>
      <c r="L3479" s="40"/>
      <c r="M3479"/>
      <c r="N3479"/>
      <c r="O3479"/>
      <c r="P3479"/>
      <c r="Q3479"/>
      <c r="R3479"/>
      <c r="S3479"/>
      <c r="T3479"/>
      <c r="U3479"/>
      <c r="V3479"/>
      <c r="W3479" s="41"/>
      <c r="X3479" s="41"/>
      <c r="Y3479" s="41"/>
    </row>
    <row r="3480" s="27" customFormat="1" ht="23" hidden="1" customHeight="1" spans="1:25">
      <c r="A3480" s="133" t="str">
        <f>IF(B3480="","",COUNTA($B$5:B3480))</f>
        <v/>
      </c>
      <c r="B3480" s="148"/>
      <c r="C3480" s="22" t="s">
        <v>49</v>
      </c>
      <c r="D3480" s="149"/>
      <c r="E3480" s="150"/>
      <c r="F3480" s="151"/>
      <c r="G3480" s="151"/>
      <c r="H3480" s="142">
        <f>IFERROR(VLOOKUP($C3480,$C$5:$H$18,6,0)+SUMIF($C$19:$C3480,$C3480,$F$19:$F3480)-SUMIF($C$19:$C3480,$C3480,$G$19:$G3480),"")</f>
        <v>81211.819999998</v>
      </c>
      <c r="I3480" s="147"/>
      <c r="J3480" s="147"/>
      <c r="K3480" s="147" t="str">
        <f t="shared" si="54"/>
        <v/>
      </c>
      <c r="L3480" s="40"/>
      <c r="M3480"/>
      <c r="N3480"/>
      <c r="O3480"/>
      <c r="P3480"/>
      <c r="Q3480"/>
      <c r="R3480"/>
      <c r="S3480"/>
      <c r="T3480"/>
      <c r="U3480"/>
      <c r="V3480"/>
      <c r="W3480" s="41"/>
      <c r="X3480" s="41"/>
      <c r="Y3480" s="41"/>
    </row>
    <row r="3481" s="27" customFormat="1" ht="23" hidden="1" customHeight="1" spans="1:25">
      <c r="A3481" s="133" t="str">
        <f>IF(B3481="","",COUNTA($B$5:B3481))</f>
        <v/>
      </c>
      <c r="B3481" s="148"/>
      <c r="C3481" s="22" t="s">
        <v>49</v>
      </c>
      <c r="D3481" s="149"/>
      <c r="E3481" s="150"/>
      <c r="F3481" s="151"/>
      <c r="G3481" s="151"/>
      <c r="H3481" s="142">
        <f>IFERROR(VLOOKUP($C3481,$C$5:$H$18,6,0)+SUMIF($C$19:$C3481,$C3481,$F$19:$F3481)-SUMIF($C$19:$C3481,$C3481,$G$19:$G3481),"")</f>
        <v>81211.819999998</v>
      </c>
      <c r="I3481" s="147"/>
      <c r="J3481" s="147"/>
      <c r="K3481" s="147" t="str">
        <f t="shared" si="54"/>
        <v/>
      </c>
      <c r="L3481" s="40"/>
      <c r="M3481"/>
      <c r="N3481"/>
      <c r="O3481"/>
      <c r="P3481"/>
      <c r="Q3481"/>
      <c r="R3481"/>
      <c r="S3481"/>
      <c r="T3481"/>
      <c r="U3481"/>
      <c r="V3481"/>
      <c r="W3481" s="41"/>
      <c r="X3481" s="41"/>
      <c r="Y3481" s="41"/>
    </row>
    <row r="3482" s="27" customFormat="1" ht="23" hidden="1" customHeight="1" spans="1:25">
      <c r="A3482" s="133" t="str">
        <f>IF(B3482="","",COUNTA($B$5:B3482))</f>
        <v/>
      </c>
      <c r="B3482" s="148"/>
      <c r="C3482" s="22" t="s">
        <v>49</v>
      </c>
      <c r="D3482" s="149"/>
      <c r="E3482" s="150"/>
      <c r="F3482" s="151"/>
      <c r="G3482" s="151"/>
      <c r="H3482" s="142">
        <f>IFERROR(VLOOKUP($C3482,$C$5:$H$18,6,0)+SUMIF($C$19:$C3482,$C3482,$F$19:$F3482)-SUMIF($C$19:$C3482,$C3482,$G$19:$G3482),"")</f>
        <v>81211.819999998</v>
      </c>
      <c r="I3482" s="147"/>
      <c r="J3482" s="147"/>
      <c r="K3482" s="147" t="str">
        <f t="shared" si="54"/>
        <v/>
      </c>
      <c r="L3482" s="40"/>
      <c r="M3482"/>
      <c r="N3482"/>
      <c r="O3482"/>
      <c r="P3482"/>
      <c r="Q3482"/>
      <c r="R3482"/>
      <c r="S3482"/>
      <c r="T3482"/>
      <c r="U3482"/>
      <c r="V3482"/>
      <c r="W3482" s="41"/>
      <c r="X3482" s="41"/>
      <c r="Y3482" s="41"/>
    </row>
    <row r="3483" s="27" customFormat="1" ht="23" hidden="1" customHeight="1" spans="1:25">
      <c r="A3483" s="133" t="str">
        <f>IF(B3483="","",COUNTA($B$5:B3483))</f>
        <v/>
      </c>
      <c r="B3483" s="148"/>
      <c r="C3483" s="22" t="s">
        <v>49</v>
      </c>
      <c r="D3483" s="149"/>
      <c r="E3483" s="150"/>
      <c r="F3483" s="151"/>
      <c r="G3483" s="151"/>
      <c r="H3483" s="142">
        <f>IFERROR(VLOOKUP($C3483,$C$5:$H$18,6,0)+SUMIF($C$19:$C3483,$C3483,$F$19:$F3483)-SUMIF($C$19:$C3483,$C3483,$G$19:$G3483),"")</f>
        <v>81211.819999998</v>
      </c>
      <c r="I3483" s="147"/>
      <c r="J3483" s="147"/>
      <c r="K3483" s="147" t="str">
        <f t="shared" si="54"/>
        <v/>
      </c>
      <c r="L3483" s="40"/>
      <c r="M3483"/>
      <c r="N3483"/>
      <c r="O3483"/>
      <c r="P3483"/>
      <c r="Q3483"/>
      <c r="R3483"/>
      <c r="S3483"/>
      <c r="T3483"/>
      <c r="U3483"/>
      <c r="V3483"/>
      <c r="W3483" s="41"/>
      <c r="X3483" s="41"/>
      <c r="Y3483" s="41"/>
    </row>
    <row r="3484" s="27" customFormat="1" ht="23" hidden="1" customHeight="1" spans="1:25">
      <c r="A3484" s="133" t="str">
        <f>IF(B3484="","",COUNTA($B$5:B3484))</f>
        <v/>
      </c>
      <c r="B3484" s="148"/>
      <c r="C3484" s="22" t="s">
        <v>49</v>
      </c>
      <c r="D3484" s="149"/>
      <c r="E3484" s="150"/>
      <c r="F3484" s="151"/>
      <c r="G3484" s="151"/>
      <c r="H3484" s="142">
        <f>IFERROR(VLOOKUP($C3484,$C$5:$H$18,6,0)+SUMIF($C$19:$C3484,$C3484,$F$19:$F3484)-SUMIF($C$19:$C3484,$C3484,$G$19:$G3484),"")</f>
        <v>81211.819999998</v>
      </c>
      <c r="I3484" s="147"/>
      <c r="J3484" s="147"/>
      <c r="K3484" s="147" t="str">
        <f t="shared" si="54"/>
        <v/>
      </c>
      <c r="L3484" s="40"/>
      <c r="M3484"/>
      <c r="N3484"/>
      <c r="O3484"/>
      <c r="P3484"/>
      <c r="Q3484"/>
      <c r="R3484"/>
      <c r="S3484"/>
      <c r="T3484"/>
      <c r="U3484"/>
      <c r="V3484"/>
      <c r="W3484" s="41"/>
      <c r="X3484" s="41"/>
      <c r="Y3484" s="41"/>
    </row>
    <row r="3485" s="27" customFormat="1" ht="23" hidden="1" customHeight="1" spans="1:25">
      <c r="A3485" s="133" t="str">
        <f>IF(B3485="","",COUNTA($B$5:B3485))</f>
        <v/>
      </c>
      <c r="B3485" s="148"/>
      <c r="C3485" s="22" t="s">
        <v>49</v>
      </c>
      <c r="D3485" s="149"/>
      <c r="E3485" s="150"/>
      <c r="F3485" s="151"/>
      <c r="G3485" s="151"/>
      <c r="H3485" s="142">
        <f>IFERROR(VLOOKUP($C3485,$C$5:$H$18,6,0)+SUMIF($C$19:$C3485,$C3485,$F$19:$F3485)-SUMIF($C$19:$C3485,$C3485,$G$19:$G3485),"")</f>
        <v>81211.819999998</v>
      </c>
      <c r="I3485" s="147"/>
      <c r="J3485" s="147"/>
      <c r="K3485" s="147" t="str">
        <f t="shared" si="54"/>
        <v/>
      </c>
      <c r="L3485" s="40"/>
      <c r="M3485"/>
      <c r="N3485"/>
      <c r="O3485"/>
      <c r="P3485"/>
      <c r="Q3485"/>
      <c r="R3485"/>
      <c r="S3485"/>
      <c r="T3485"/>
      <c r="U3485"/>
      <c r="V3485"/>
      <c r="W3485" s="41"/>
      <c r="X3485" s="41"/>
      <c r="Y3485" s="41"/>
    </row>
    <row r="3486" s="27" customFormat="1" ht="23" hidden="1" customHeight="1" spans="1:25">
      <c r="A3486" s="133" t="str">
        <f>IF(B3486="","",COUNTA($B$5:B3486))</f>
        <v/>
      </c>
      <c r="B3486" s="148"/>
      <c r="C3486" s="22" t="s">
        <v>49</v>
      </c>
      <c r="D3486" s="149"/>
      <c r="E3486" s="150"/>
      <c r="F3486" s="151"/>
      <c r="G3486" s="151"/>
      <c r="H3486" s="142">
        <f>IFERROR(VLOOKUP($C3486,$C$5:$H$18,6,0)+SUMIF($C$19:$C3486,$C3486,$F$19:$F3486)-SUMIF($C$19:$C3486,$C3486,$G$19:$G3486),"")</f>
        <v>81211.819999998</v>
      </c>
      <c r="I3486" s="147"/>
      <c r="J3486" s="147"/>
      <c r="K3486" s="147" t="str">
        <f t="shared" si="54"/>
        <v/>
      </c>
      <c r="L3486" s="40"/>
      <c r="M3486"/>
      <c r="N3486"/>
      <c r="O3486"/>
      <c r="P3486"/>
      <c r="Q3486"/>
      <c r="R3486"/>
      <c r="S3486"/>
      <c r="T3486"/>
      <c r="U3486"/>
      <c r="V3486"/>
      <c r="W3486" s="41"/>
      <c r="X3486" s="41"/>
      <c r="Y3486" s="41"/>
    </row>
    <row r="3487" s="27" customFormat="1" ht="23" hidden="1" customHeight="1" spans="1:25">
      <c r="A3487" s="133" t="str">
        <f>IF(B3487="","",COUNTA($B$5:B3487))</f>
        <v/>
      </c>
      <c r="B3487" s="148"/>
      <c r="C3487" s="22" t="s">
        <v>49</v>
      </c>
      <c r="D3487" s="149"/>
      <c r="E3487" s="150"/>
      <c r="F3487" s="151"/>
      <c r="G3487" s="151"/>
      <c r="H3487" s="142">
        <f>IFERROR(VLOOKUP($C3487,$C$5:$H$18,6,0)+SUMIF($C$19:$C3487,$C3487,$F$19:$F3487)-SUMIF($C$19:$C3487,$C3487,$G$19:$G3487),"")</f>
        <v>81211.819999998</v>
      </c>
      <c r="I3487" s="147"/>
      <c r="J3487" s="147"/>
      <c r="K3487" s="147" t="str">
        <f t="shared" si="54"/>
        <v/>
      </c>
      <c r="L3487" s="40"/>
      <c r="M3487"/>
      <c r="N3487"/>
      <c r="O3487"/>
      <c r="P3487"/>
      <c r="Q3487"/>
      <c r="R3487"/>
      <c r="S3487"/>
      <c r="T3487"/>
      <c r="U3487"/>
      <c r="V3487"/>
      <c r="W3487" s="41"/>
      <c r="X3487" s="41"/>
      <c r="Y3487" s="41"/>
    </row>
    <row r="3488" s="27" customFormat="1" ht="23" hidden="1" customHeight="1" spans="1:25">
      <c r="A3488" s="133" t="str">
        <f>IF(B3488="","",COUNTA($B$5:B3488))</f>
        <v/>
      </c>
      <c r="B3488" s="148"/>
      <c r="C3488" s="22" t="s">
        <v>49</v>
      </c>
      <c r="D3488" s="149"/>
      <c r="E3488" s="150"/>
      <c r="F3488" s="151"/>
      <c r="G3488" s="151"/>
      <c r="H3488" s="142">
        <f>IFERROR(VLOOKUP($C3488,$C$5:$H$18,6,0)+SUMIF($C$19:$C3488,$C3488,$F$19:$F3488)-SUMIF($C$19:$C3488,$C3488,$G$19:$G3488),"")</f>
        <v>81211.819999998</v>
      </c>
      <c r="I3488" s="147"/>
      <c r="J3488" s="147"/>
      <c r="K3488" s="147" t="str">
        <f t="shared" si="54"/>
        <v/>
      </c>
      <c r="L3488" s="40"/>
      <c r="M3488"/>
      <c r="N3488"/>
      <c r="O3488"/>
      <c r="P3488"/>
      <c r="Q3488"/>
      <c r="R3488"/>
      <c r="S3488"/>
      <c r="T3488"/>
      <c r="U3488"/>
      <c r="V3488"/>
      <c r="W3488" s="41"/>
      <c r="X3488" s="41"/>
      <c r="Y3488" s="41"/>
    </row>
    <row r="3489" s="27" customFormat="1" ht="23" hidden="1" customHeight="1" spans="1:25">
      <c r="A3489" s="133" t="str">
        <f>IF(B3489="","",COUNTA($B$5:B3489))</f>
        <v/>
      </c>
      <c r="B3489" s="148"/>
      <c r="C3489" s="22" t="s">
        <v>49</v>
      </c>
      <c r="D3489" s="149"/>
      <c r="E3489" s="150"/>
      <c r="F3489" s="151"/>
      <c r="G3489" s="151"/>
      <c r="H3489" s="142">
        <f>IFERROR(VLOOKUP($C3489,$C$5:$H$18,6,0)+SUMIF($C$19:$C3489,$C3489,$F$19:$F3489)-SUMIF($C$19:$C3489,$C3489,$G$19:$G3489),"")</f>
        <v>81211.819999998</v>
      </c>
      <c r="I3489" s="147"/>
      <c r="J3489" s="147"/>
      <c r="K3489" s="147" t="str">
        <f t="shared" si="54"/>
        <v/>
      </c>
      <c r="L3489" s="40"/>
      <c r="M3489"/>
      <c r="N3489"/>
      <c r="O3489"/>
      <c r="P3489"/>
      <c r="Q3489"/>
      <c r="R3489"/>
      <c r="S3489"/>
      <c r="T3489"/>
      <c r="U3489"/>
      <c r="V3489"/>
      <c r="W3489" s="41"/>
      <c r="X3489" s="41"/>
      <c r="Y3489" s="41"/>
    </row>
    <row r="3490" s="27" customFormat="1" ht="23" hidden="1" customHeight="1" spans="1:25">
      <c r="A3490" s="133" t="str">
        <f>IF(B3490="","",COUNTA($B$5:B3490))</f>
        <v/>
      </c>
      <c r="B3490" s="148"/>
      <c r="C3490" s="22" t="s">
        <v>49</v>
      </c>
      <c r="D3490" s="149"/>
      <c r="E3490" s="150"/>
      <c r="F3490" s="151"/>
      <c r="G3490" s="151"/>
      <c r="H3490" s="142">
        <f>IFERROR(VLOOKUP($C3490,$C$5:$H$18,6,0)+SUMIF($C$19:$C3490,$C3490,$F$19:$F3490)-SUMIF($C$19:$C3490,$C3490,$G$19:$G3490),"")</f>
        <v>81211.819999998</v>
      </c>
      <c r="I3490" s="147"/>
      <c r="J3490" s="147"/>
      <c r="K3490" s="147" t="str">
        <f t="shared" si="54"/>
        <v/>
      </c>
      <c r="L3490" s="40"/>
      <c r="M3490"/>
      <c r="N3490"/>
      <c r="O3490"/>
      <c r="P3490"/>
      <c r="Q3490"/>
      <c r="R3490"/>
      <c r="S3490"/>
      <c r="T3490"/>
      <c r="U3490"/>
      <c r="V3490"/>
      <c r="W3490" s="41"/>
      <c r="X3490" s="41"/>
      <c r="Y3490" s="41"/>
    </row>
    <row r="3491" s="27" customFormat="1" ht="23" hidden="1" customHeight="1" spans="1:25">
      <c r="A3491" s="133" t="str">
        <f>IF(B3491="","",COUNTA($B$5:B3491))</f>
        <v/>
      </c>
      <c r="B3491" s="148"/>
      <c r="C3491" s="22" t="s">
        <v>49</v>
      </c>
      <c r="D3491" s="149"/>
      <c r="E3491" s="150"/>
      <c r="F3491" s="151"/>
      <c r="G3491" s="151"/>
      <c r="H3491" s="142">
        <f>IFERROR(VLOOKUP($C3491,$C$5:$H$18,6,0)+SUMIF($C$19:$C3491,$C3491,$F$19:$F3491)-SUMIF($C$19:$C3491,$C3491,$G$19:$G3491),"")</f>
        <v>81211.819999998</v>
      </c>
      <c r="I3491" s="147"/>
      <c r="J3491" s="147"/>
      <c r="K3491" s="147" t="str">
        <f t="shared" si="54"/>
        <v/>
      </c>
      <c r="L3491" s="40"/>
      <c r="M3491"/>
      <c r="N3491"/>
      <c r="O3491"/>
      <c r="P3491"/>
      <c r="Q3491"/>
      <c r="R3491"/>
      <c r="S3491"/>
      <c r="T3491"/>
      <c r="U3491"/>
      <c r="V3491"/>
      <c r="W3491" s="41"/>
      <c r="X3491" s="41"/>
      <c r="Y3491" s="41"/>
    </row>
    <row r="3492" s="27" customFormat="1" ht="23" hidden="1" customHeight="1" spans="1:25">
      <c r="A3492" s="133" t="str">
        <f>IF(B3492="","",COUNTA($B$5:B3492))</f>
        <v/>
      </c>
      <c r="B3492" s="148"/>
      <c r="C3492" s="22" t="s">
        <v>49</v>
      </c>
      <c r="D3492" s="149"/>
      <c r="E3492" s="150"/>
      <c r="F3492" s="151"/>
      <c r="G3492" s="151"/>
      <c r="H3492" s="142">
        <f>IFERROR(VLOOKUP($C3492,$C$5:$H$18,6,0)+SUMIF($C$19:$C3492,$C3492,$F$19:$F3492)-SUMIF($C$19:$C3492,$C3492,$G$19:$G3492),"")</f>
        <v>81211.819999998</v>
      </c>
      <c r="I3492" s="147"/>
      <c r="J3492" s="147"/>
      <c r="K3492" s="147" t="str">
        <f t="shared" si="54"/>
        <v/>
      </c>
      <c r="L3492" s="40"/>
      <c r="M3492"/>
      <c r="N3492"/>
      <c r="O3492"/>
      <c r="P3492"/>
      <c r="Q3492"/>
      <c r="R3492"/>
      <c r="S3492"/>
      <c r="T3492"/>
      <c r="U3492"/>
      <c r="V3492"/>
      <c r="W3492" s="41"/>
      <c r="X3492" s="41"/>
      <c r="Y3492" s="41"/>
    </row>
    <row r="3493" s="27" customFormat="1" ht="23" hidden="1" customHeight="1" spans="1:25">
      <c r="A3493" s="133" t="str">
        <f>IF(B3493="","",COUNTA($B$5:B3493))</f>
        <v/>
      </c>
      <c r="B3493" s="148"/>
      <c r="C3493" s="22" t="s">
        <v>49</v>
      </c>
      <c r="D3493" s="149"/>
      <c r="E3493" s="150"/>
      <c r="F3493" s="151"/>
      <c r="G3493" s="151"/>
      <c r="H3493" s="142">
        <f>IFERROR(VLOOKUP($C3493,$C$5:$H$18,6,0)+SUMIF($C$19:$C3493,$C3493,$F$19:$F3493)-SUMIF($C$19:$C3493,$C3493,$G$19:$G3493),"")</f>
        <v>81211.819999998</v>
      </c>
      <c r="I3493" s="147"/>
      <c r="J3493" s="147"/>
      <c r="K3493" s="147" t="str">
        <f t="shared" si="54"/>
        <v/>
      </c>
      <c r="L3493" s="40"/>
      <c r="M3493"/>
      <c r="N3493"/>
      <c r="O3493"/>
      <c r="P3493"/>
      <c r="Q3493"/>
      <c r="R3493"/>
      <c r="S3493"/>
      <c r="T3493"/>
      <c r="U3493"/>
      <c r="V3493"/>
      <c r="W3493" s="41"/>
      <c r="X3493" s="41"/>
      <c r="Y3493" s="41"/>
    </row>
    <row r="3494" s="27" customFormat="1" ht="23" hidden="1" customHeight="1" spans="1:25">
      <c r="A3494" s="133" t="str">
        <f>IF(B3494="","",COUNTA($B$5:B3494))</f>
        <v/>
      </c>
      <c r="B3494" s="148"/>
      <c r="C3494" s="22" t="s">
        <v>49</v>
      </c>
      <c r="D3494" s="149"/>
      <c r="E3494" s="150"/>
      <c r="F3494" s="151"/>
      <c r="G3494" s="151"/>
      <c r="H3494" s="142">
        <f>IFERROR(VLOOKUP($C3494,$C$5:$H$18,6,0)+SUMIF($C$19:$C3494,$C3494,$F$19:$F3494)-SUMIF($C$19:$C3494,$C3494,$G$19:$G3494),"")</f>
        <v>81211.819999998</v>
      </c>
      <c r="I3494" s="147"/>
      <c r="J3494" s="147"/>
      <c r="K3494" s="147" t="str">
        <f t="shared" si="54"/>
        <v/>
      </c>
      <c r="L3494" s="40"/>
      <c r="M3494"/>
      <c r="N3494"/>
      <c r="O3494"/>
      <c r="P3494"/>
      <c r="Q3494"/>
      <c r="R3494"/>
      <c r="S3494"/>
      <c r="T3494"/>
      <c r="U3494"/>
      <c r="V3494"/>
      <c r="W3494" s="41"/>
      <c r="X3494" s="41"/>
      <c r="Y3494" s="41"/>
    </row>
    <row r="3495" s="27" customFormat="1" ht="23" hidden="1" customHeight="1" spans="1:25">
      <c r="A3495" s="133" t="str">
        <f>IF(B3495="","",COUNTA($B$5:B3495))</f>
        <v/>
      </c>
      <c r="B3495" s="148"/>
      <c r="C3495" s="22" t="s">
        <v>49</v>
      </c>
      <c r="D3495" s="149"/>
      <c r="E3495" s="150"/>
      <c r="F3495" s="151"/>
      <c r="G3495" s="151"/>
      <c r="H3495" s="142">
        <f>IFERROR(VLOOKUP($C3495,$C$5:$H$18,6,0)+SUMIF($C$19:$C3495,$C3495,$F$19:$F3495)-SUMIF($C$19:$C3495,$C3495,$G$19:$G3495),"")</f>
        <v>81211.819999998</v>
      </c>
      <c r="I3495" s="147"/>
      <c r="J3495" s="147"/>
      <c r="K3495" s="147" t="str">
        <f t="shared" si="54"/>
        <v/>
      </c>
      <c r="L3495" s="40"/>
      <c r="M3495"/>
      <c r="N3495"/>
      <c r="O3495"/>
      <c r="P3495"/>
      <c r="Q3495"/>
      <c r="R3495"/>
      <c r="S3495"/>
      <c r="T3495"/>
      <c r="U3495"/>
      <c r="V3495"/>
      <c r="W3495" s="41"/>
      <c r="X3495" s="41"/>
      <c r="Y3495" s="41"/>
    </row>
    <row r="3496" s="27" customFormat="1" ht="23" hidden="1" customHeight="1" spans="1:25">
      <c r="A3496" s="133" t="str">
        <f>IF(B3496="","",COUNTA($B$5:B3496))</f>
        <v/>
      </c>
      <c r="B3496" s="148"/>
      <c r="C3496" s="22" t="s">
        <v>49</v>
      </c>
      <c r="D3496" s="149"/>
      <c r="E3496" s="150"/>
      <c r="F3496" s="151"/>
      <c r="G3496" s="151"/>
      <c r="H3496" s="142">
        <f>IFERROR(VLOOKUP($C3496,$C$5:$H$18,6,0)+SUMIF($C$19:$C3496,$C3496,$F$19:$F3496)-SUMIF($C$19:$C3496,$C3496,$G$19:$G3496),"")</f>
        <v>81211.819999998</v>
      </c>
      <c r="I3496" s="147"/>
      <c r="J3496" s="147"/>
      <c r="K3496" s="147" t="str">
        <f t="shared" si="54"/>
        <v/>
      </c>
      <c r="L3496" s="40"/>
      <c r="M3496"/>
      <c r="N3496"/>
      <c r="O3496"/>
      <c r="P3496"/>
      <c r="Q3496"/>
      <c r="R3496"/>
      <c r="S3496"/>
      <c r="T3496"/>
      <c r="U3496"/>
      <c r="V3496"/>
      <c r="W3496" s="41"/>
      <c r="X3496" s="41"/>
      <c r="Y3496" s="41"/>
    </row>
    <row r="3497" s="27" customFormat="1" ht="23" hidden="1" customHeight="1" spans="1:25">
      <c r="A3497" s="133" t="str">
        <f>IF(B3497="","",COUNTA($B$5:B3497))</f>
        <v/>
      </c>
      <c r="B3497" s="148"/>
      <c r="C3497" s="22" t="s">
        <v>49</v>
      </c>
      <c r="D3497" s="149"/>
      <c r="E3497" s="150"/>
      <c r="F3497" s="151"/>
      <c r="G3497" s="151"/>
      <c r="H3497" s="142">
        <f>IFERROR(VLOOKUP($C3497,$C$5:$H$18,6,0)+SUMIF($C$19:$C3497,$C3497,$F$19:$F3497)-SUMIF($C$19:$C3497,$C3497,$G$19:$G3497),"")</f>
        <v>81211.819999998</v>
      </c>
      <c r="I3497" s="147"/>
      <c r="J3497" s="147"/>
      <c r="K3497" s="147" t="str">
        <f t="shared" si="54"/>
        <v/>
      </c>
      <c r="L3497" s="40"/>
      <c r="M3497"/>
      <c r="N3497"/>
      <c r="O3497"/>
      <c r="P3497"/>
      <c r="Q3497"/>
      <c r="R3497"/>
      <c r="S3497"/>
      <c r="T3497"/>
      <c r="U3497"/>
      <c r="V3497"/>
      <c r="W3497" s="41"/>
      <c r="X3497" s="41"/>
      <c r="Y3497" s="41"/>
    </row>
    <row r="3498" s="27" customFormat="1" ht="23" hidden="1" customHeight="1" spans="1:25">
      <c r="A3498" s="133" t="str">
        <f>IF(B3498="","",COUNTA($B$5:B3498))</f>
        <v/>
      </c>
      <c r="B3498" s="148"/>
      <c r="C3498" s="22" t="s">
        <v>49</v>
      </c>
      <c r="D3498" s="149"/>
      <c r="E3498" s="150"/>
      <c r="F3498" s="151"/>
      <c r="G3498" s="151"/>
      <c r="H3498" s="142">
        <f>IFERROR(VLOOKUP($C3498,$C$5:$H$18,6,0)+SUMIF($C$19:$C3498,$C3498,$F$19:$F3498)-SUMIF($C$19:$C3498,$C3498,$G$19:$G3498),"")</f>
        <v>81211.819999998</v>
      </c>
      <c r="I3498" s="147"/>
      <c r="J3498" s="147"/>
      <c r="K3498" s="147" t="str">
        <f t="shared" si="54"/>
        <v/>
      </c>
      <c r="L3498" s="40"/>
      <c r="M3498"/>
      <c r="N3498"/>
      <c r="O3498"/>
      <c r="P3498"/>
      <c r="Q3498"/>
      <c r="R3498"/>
      <c r="S3498"/>
      <c r="T3498"/>
      <c r="U3498"/>
      <c r="V3498"/>
      <c r="W3498" s="41"/>
      <c r="X3498" s="41"/>
      <c r="Y3498" s="41"/>
    </row>
    <row r="3499" s="27" customFormat="1" ht="23" hidden="1" customHeight="1" spans="1:25">
      <c r="A3499" s="133" t="str">
        <f>IF(B3499="","",COUNTA($B$5:B3499))</f>
        <v/>
      </c>
      <c r="B3499" s="148"/>
      <c r="C3499" s="22" t="s">
        <v>49</v>
      </c>
      <c r="D3499" s="149"/>
      <c r="E3499" s="150"/>
      <c r="F3499" s="151"/>
      <c r="G3499" s="151"/>
      <c r="H3499" s="142">
        <f>IFERROR(VLOOKUP($C3499,$C$5:$H$18,6,0)+SUMIF($C$19:$C3499,$C3499,$F$19:$F3499)-SUMIF($C$19:$C3499,$C3499,$G$19:$G3499),"")</f>
        <v>81211.819999998</v>
      </c>
      <c r="I3499" s="147"/>
      <c r="J3499" s="147"/>
      <c r="K3499" s="147" t="str">
        <f t="shared" si="54"/>
        <v/>
      </c>
      <c r="L3499" s="40"/>
      <c r="M3499"/>
      <c r="N3499"/>
      <c r="O3499"/>
      <c r="P3499"/>
      <c r="Q3499"/>
      <c r="R3499"/>
      <c r="S3499"/>
      <c r="T3499"/>
      <c r="U3499"/>
      <c r="V3499"/>
      <c r="W3499" s="41"/>
      <c r="X3499" s="41"/>
      <c r="Y3499" s="41"/>
    </row>
    <row r="3500" s="27" customFormat="1" ht="23" hidden="1" customHeight="1" spans="1:25">
      <c r="A3500" s="133" t="str">
        <f>IF(B3500="","",COUNTA($B$5:B3500))</f>
        <v/>
      </c>
      <c r="B3500" s="148"/>
      <c r="C3500" s="22" t="s">
        <v>49</v>
      </c>
      <c r="D3500" s="149"/>
      <c r="E3500" s="150"/>
      <c r="F3500" s="151"/>
      <c r="G3500" s="151"/>
      <c r="H3500" s="142">
        <f>IFERROR(VLOOKUP($C3500,$C$5:$H$18,6,0)+SUMIF($C$19:$C3500,$C3500,$F$19:$F3500)-SUMIF($C$19:$C3500,$C3500,$G$19:$G3500),"")</f>
        <v>81211.819999998</v>
      </c>
      <c r="I3500" s="147"/>
      <c r="J3500" s="147"/>
      <c r="K3500" s="147" t="str">
        <f t="shared" si="54"/>
        <v/>
      </c>
      <c r="L3500" s="40"/>
      <c r="M3500"/>
      <c r="N3500"/>
      <c r="O3500"/>
      <c r="P3500"/>
      <c r="Q3500"/>
      <c r="R3500"/>
      <c r="S3500"/>
      <c r="T3500"/>
      <c r="U3500"/>
      <c r="V3500"/>
      <c r="W3500" s="41"/>
      <c r="X3500" s="41"/>
      <c r="Y3500" s="41"/>
    </row>
    <row r="3501" s="27" customFormat="1" ht="23" hidden="1" customHeight="1" spans="1:25">
      <c r="A3501" s="133" t="str">
        <f>IF(B3501="","",COUNTA($B$5:B3501))</f>
        <v/>
      </c>
      <c r="B3501" s="148"/>
      <c r="C3501" s="22" t="s">
        <v>49</v>
      </c>
      <c r="D3501" s="149"/>
      <c r="E3501" s="150"/>
      <c r="F3501" s="151"/>
      <c r="G3501" s="151"/>
      <c r="H3501" s="142">
        <f>IFERROR(VLOOKUP($C3501,$C$5:$H$18,6,0)+SUMIF($C$19:$C3501,$C3501,$F$19:$F3501)-SUMIF($C$19:$C3501,$C3501,$G$19:$G3501),"")</f>
        <v>81211.819999998</v>
      </c>
      <c r="I3501" s="147"/>
      <c r="J3501" s="147"/>
      <c r="K3501" s="147" t="str">
        <f t="shared" si="54"/>
        <v/>
      </c>
      <c r="L3501" s="40"/>
      <c r="M3501"/>
      <c r="N3501"/>
      <c r="O3501"/>
      <c r="P3501"/>
      <c r="Q3501"/>
      <c r="R3501"/>
      <c r="S3501"/>
      <c r="T3501"/>
      <c r="U3501"/>
      <c r="V3501"/>
      <c r="W3501" s="41"/>
      <c r="X3501" s="41"/>
      <c r="Y3501" s="41"/>
    </row>
    <row r="3502" s="27" customFormat="1" ht="23" hidden="1" customHeight="1" spans="1:25">
      <c r="A3502" s="133" t="str">
        <f>IF(B3502="","",COUNTA($B$5:B3502))</f>
        <v/>
      </c>
      <c r="B3502" s="148"/>
      <c r="C3502" s="22" t="s">
        <v>49</v>
      </c>
      <c r="D3502" s="149"/>
      <c r="E3502" s="150"/>
      <c r="F3502" s="151"/>
      <c r="G3502" s="151"/>
      <c r="H3502" s="142">
        <f>IFERROR(VLOOKUP($C3502,$C$5:$H$18,6,0)+SUMIF($C$19:$C3502,$C3502,$F$19:$F3502)-SUMIF($C$19:$C3502,$C3502,$G$19:$G3502),"")</f>
        <v>81211.819999998</v>
      </c>
      <c r="I3502" s="147"/>
      <c r="J3502" s="147"/>
      <c r="K3502" s="147" t="str">
        <f t="shared" si="54"/>
        <v/>
      </c>
      <c r="L3502" s="40"/>
      <c r="M3502"/>
      <c r="N3502"/>
      <c r="O3502"/>
      <c r="P3502"/>
      <c r="Q3502"/>
      <c r="R3502"/>
      <c r="S3502"/>
      <c r="T3502"/>
      <c r="U3502"/>
      <c r="V3502"/>
      <c r="W3502" s="41"/>
      <c r="X3502" s="41"/>
      <c r="Y3502" s="41"/>
    </row>
    <row r="3503" s="27" customFormat="1" ht="23" hidden="1" customHeight="1" spans="1:25">
      <c r="A3503" s="133" t="str">
        <f>IF(B3503="","",COUNTA($B$5:B3503))</f>
        <v/>
      </c>
      <c r="B3503" s="148"/>
      <c r="C3503" s="22" t="s">
        <v>49</v>
      </c>
      <c r="D3503" s="149"/>
      <c r="E3503" s="150"/>
      <c r="F3503" s="151"/>
      <c r="G3503" s="151"/>
      <c r="H3503" s="142">
        <f>IFERROR(VLOOKUP($C3503,$C$5:$H$18,6,0)+SUMIF($C$19:$C3503,$C3503,$F$19:$F3503)-SUMIF($C$19:$C3503,$C3503,$G$19:$G3503),"")</f>
        <v>81211.819999998</v>
      </c>
      <c r="I3503" s="147"/>
      <c r="J3503" s="147"/>
      <c r="K3503" s="147" t="str">
        <f t="shared" si="54"/>
        <v/>
      </c>
      <c r="L3503" s="40"/>
      <c r="M3503"/>
      <c r="N3503"/>
      <c r="O3503"/>
      <c r="P3503"/>
      <c r="Q3503"/>
      <c r="R3503"/>
      <c r="S3503"/>
      <c r="T3503"/>
      <c r="U3503"/>
      <c r="V3503"/>
      <c r="W3503" s="41"/>
      <c r="X3503" s="41"/>
      <c r="Y3503" s="41"/>
    </row>
    <row r="3504" s="27" customFormat="1" ht="23" hidden="1" customHeight="1" spans="1:25">
      <c r="A3504" s="133" t="str">
        <f>IF(B3504="","",COUNTA($B$5:B3504))</f>
        <v/>
      </c>
      <c r="B3504" s="148"/>
      <c r="C3504" s="22" t="s">
        <v>49</v>
      </c>
      <c r="D3504" s="149"/>
      <c r="E3504" s="150"/>
      <c r="F3504" s="151"/>
      <c r="G3504" s="151"/>
      <c r="H3504" s="142">
        <f>IFERROR(VLOOKUP($C3504,$C$5:$H$18,6,0)+SUMIF($C$19:$C3504,$C3504,$F$19:$F3504)-SUMIF($C$19:$C3504,$C3504,$G$19:$G3504),"")</f>
        <v>81211.819999998</v>
      </c>
      <c r="I3504" s="147"/>
      <c r="J3504" s="147"/>
      <c r="K3504" s="147" t="str">
        <f t="shared" si="54"/>
        <v/>
      </c>
      <c r="L3504" s="40"/>
      <c r="M3504"/>
      <c r="N3504"/>
      <c r="O3504"/>
      <c r="P3504"/>
      <c r="Q3504"/>
      <c r="R3504"/>
      <c r="S3504"/>
      <c r="T3504"/>
      <c r="U3504"/>
      <c r="V3504"/>
      <c r="W3504" s="41"/>
      <c r="X3504" s="41"/>
      <c r="Y3504" s="41"/>
    </row>
    <row r="3505" s="27" customFormat="1" ht="23" hidden="1" customHeight="1" spans="1:25">
      <c r="A3505" s="133" t="str">
        <f>IF(B3505="","",COUNTA($B$5:B3505))</f>
        <v/>
      </c>
      <c r="B3505" s="148"/>
      <c r="C3505" s="22" t="s">
        <v>49</v>
      </c>
      <c r="D3505" s="149"/>
      <c r="E3505" s="150"/>
      <c r="F3505" s="151"/>
      <c r="G3505" s="151"/>
      <c r="H3505" s="142">
        <f>IFERROR(VLOOKUP($C3505,$C$5:$H$18,6,0)+SUMIF($C$19:$C3505,$C3505,$F$19:$F3505)-SUMIF($C$19:$C3505,$C3505,$G$19:$G3505),"")</f>
        <v>81211.819999998</v>
      </c>
      <c r="I3505" s="147"/>
      <c r="J3505" s="147"/>
      <c r="K3505" s="147" t="str">
        <f t="shared" si="54"/>
        <v/>
      </c>
      <c r="L3505" s="40"/>
      <c r="M3505"/>
      <c r="N3505"/>
      <c r="O3505"/>
      <c r="P3505"/>
      <c r="Q3505"/>
      <c r="R3505"/>
      <c r="S3505"/>
      <c r="T3505"/>
      <c r="U3505"/>
      <c r="V3505"/>
      <c r="W3505" s="41"/>
      <c r="X3505" s="41"/>
      <c r="Y3505" s="41"/>
    </row>
    <row r="3506" s="27" customFormat="1" ht="23" hidden="1" customHeight="1" spans="1:25">
      <c r="A3506" s="133" t="str">
        <f>IF(B3506="","",COUNTA($B$5:B3506))</f>
        <v/>
      </c>
      <c r="B3506" s="148"/>
      <c r="C3506" s="22" t="s">
        <v>49</v>
      </c>
      <c r="D3506" s="149"/>
      <c r="E3506" s="150"/>
      <c r="F3506" s="151"/>
      <c r="G3506" s="151"/>
      <c r="H3506" s="142">
        <f>IFERROR(VLOOKUP($C3506,$C$5:$H$18,6,0)+SUMIF($C$19:$C3506,$C3506,$F$19:$F3506)-SUMIF($C$19:$C3506,$C3506,$G$19:$G3506),"")</f>
        <v>81211.819999998</v>
      </c>
      <c r="I3506" s="147"/>
      <c r="J3506" s="147"/>
      <c r="K3506" s="147" t="str">
        <f t="shared" si="54"/>
        <v/>
      </c>
      <c r="L3506" s="40"/>
      <c r="M3506"/>
      <c r="N3506"/>
      <c r="O3506"/>
      <c r="P3506"/>
      <c r="Q3506"/>
      <c r="R3506"/>
      <c r="S3506"/>
      <c r="T3506"/>
      <c r="U3506"/>
      <c r="V3506"/>
      <c r="W3506" s="41"/>
      <c r="X3506" s="41"/>
      <c r="Y3506" s="41"/>
    </row>
    <row r="3507" s="27" customFormat="1" ht="23" hidden="1" customHeight="1" spans="1:25">
      <c r="A3507" s="133" t="str">
        <f>IF(B3507="","",COUNTA($B$5:B3507))</f>
        <v/>
      </c>
      <c r="B3507" s="148"/>
      <c r="C3507" s="22" t="s">
        <v>49</v>
      </c>
      <c r="D3507" s="149"/>
      <c r="E3507" s="150"/>
      <c r="F3507" s="151"/>
      <c r="G3507" s="151"/>
      <c r="H3507" s="142">
        <f>IFERROR(VLOOKUP($C3507,$C$5:$H$18,6,0)+SUMIF($C$19:$C3507,$C3507,$F$19:$F3507)-SUMIF($C$19:$C3507,$C3507,$G$19:$G3507),"")</f>
        <v>81211.819999998</v>
      </c>
      <c r="I3507" s="147"/>
      <c r="J3507" s="147"/>
      <c r="K3507" s="147" t="str">
        <f t="shared" si="54"/>
        <v/>
      </c>
      <c r="L3507" s="40"/>
      <c r="M3507"/>
      <c r="N3507"/>
      <c r="O3507"/>
      <c r="P3507"/>
      <c r="Q3507"/>
      <c r="R3507"/>
      <c r="S3507"/>
      <c r="T3507"/>
      <c r="U3507"/>
      <c r="V3507"/>
      <c r="W3507" s="41"/>
      <c r="X3507" s="41"/>
      <c r="Y3507" s="41"/>
    </row>
    <row r="3508" s="27" customFormat="1" ht="23" hidden="1" customHeight="1" spans="1:25">
      <c r="A3508" s="133" t="str">
        <f>IF(B3508="","",COUNTA($B$5:B3508))</f>
        <v/>
      </c>
      <c r="B3508" s="148"/>
      <c r="C3508" s="22" t="s">
        <v>49</v>
      </c>
      <c r="D3508" s="149"/>
      <c r="E3508" s="150"/>
      <c r="F3508" s="151"/>
      <c r="G3508" s="151"/>
      <c r="H3508" s="142">
        <f>IFERROR(VLOOKUP($C3508,$C$5:$H$18,6,0)+SUMIF($C$19:$C3508,$C3508,$F$19:$F3508)-SUMIF($C$19:$C3508,$C3508,$G$19:$G3508),"")</f>
        <v>81211.819999998</v>
      </c>
      <c r="I3508" s="147"/>
      <c r="J3508" s="147"/>
      <c r="K3508" s="147" t="str">
        <f t="shared" si="54"/>
        <v/>
      </c>
      <c r="L3508" s="40"/>
      <c r="M3508"/>
      <c r="N3508"/>
      <c r="O3508"/>
      <c r="P3508"/>
      <c r="Q3508"/>
      <c r="R3508"/>
      <c r="S3508"/>
      <c r="T3508"/>
      <c r="U3508"/>
      <c r="V3508"/>
      <c r="W3508" s="41"/>
      <c r="X3508" s="41"/>
      <c r="Y3508" s="41"/>
    </row>
    <row r="3509" s="27" customFormat="1" ht="23" hidden="1" customHeight="1" spans="1:25">
      <c r="A3509" s="133" t="str">
        <f>IF(B3509="","",COUNTA($B$5:B3509))</f>
        <v/>
      </c>
      <c r="B3509" s="148"/>
      <c r="C3509" s="22" t="s">
        <v>49</v>
      </c>
      <c r="D3509" s="149"/>
      <c r="E3509" s="150"/>
      <c r="F3509" s="151"/>
      <c r="G3509" s="151"/>
      <c r="H3509" s="142">
        <f>IFERROR(VLOOKUP($C3509,$C$5:$H$18,6,0)+SUMIF($C$19:$C3509,$C3509,$F$19:$F3509)-SUMIF($C$19:$C3509,$C3509,$G$19:$G3509),"")</f>
        <v>81211.819999998</v>
      </c>
      <c r="I3509" s="147"/>
      <c r="J3509" s="147"/>
      <c r="K3509" s="147" t="str">
        <f t="shared" si="54"/>
        <v/>
      </c>
      <c r="L3509" s="40"/>
      <c r="M3509"/>
      <c r="N3509"/>
      <c r="O3509"/>
      <c r="P3509"/>
      <c r="Q3509"/>
      <c r="R3509"/>
      <c r="S3509"/>
      <c r="T3509"/>
      <c r="U3509"/>
      <c r="V3509"/>
      <c r="W3509" s="41"/>
      <c r="X3509" s="41"/>
      <c r="Y3509" s="41"/>
    </row>
    <row r="3510" s="27" customFormat="1" ht="23" hidden="1" customHeight="1" spans="1:25">
      <c r="A3510" s="133" t="str">
        <f>IF(B3510="","",COUNTA($B$5:B3510))</f>
        <v/>
      </c>
      <c r="B3510" s="148"/>
      <c r="C3510" s="22" t="s">
        <v>49</v>
      </c>
      <c r="D3510" s="149"/>
      <c r="E3510" s="150"/>
      <c r="F3510" s="151"/>
      <c r="G3510" s="151"/>
      <c r="H3510" s="142">
        <f>IFERROR(VLOOKUP($C3510,$C$5:$H$18,6,0)+SUMIF($C$19:$C3510,$C3510,$F$19:$F3510)-SUMIF($C$19:$C3510,$C3510,$G$19:$G3510),"")</f>
        <v>81211.819999998</v>
      </c>
      <c r="I3510" s="147"/>
      <c r="J3510" s="147"/>
      <c r="K3510" s="147" t="str">
        <f t="shared" si="54"/>
        <v/>
      </c>
      <c r="L3510" s="40"/>
      <c r="M3510"/>
      <c r="N3510"/>
      <c r="O3510"/>
      <c r="P3510"/>
      <c r="Q3510"/>
      <c r="R3510"/>
      <c r="S3510"/>
      <c r="T3510"/>
      <c r="U3510"/>
      <c r="V3510"/>
      <c r="W3510" s="41"/>
      <c r="X3510" s="41"/>
      <c r="Y3510" s="41"/>
    </row>
    <row r="3511" s="27" customFormat="1" ht="23" hidden="1" customHeight="1" spans="1:25">
      <c r="A3511" s="133" t="str">
        <f>IF(B3511="","",COUNTA($B$5:B3511))</f>
        <v/>
      </c>
      <c r="B3511" s="148"/>
      <c r="C3511" s="22" t="s">
        <v>49</v>
      </c>
      <c r="D3511" s="149"/>
      <c r="E3511" s="150"/>
      <c r="F3511" s="151"/>
      <c r="G3511" s="151"/>
      <c r="H3511" s="142">
        <f>IFERROR(VLOOKUP($C3511,$C$5:$H$18,6,0)+SUMIF($C$19:$C3511,$C3511,$F$19:$F3511)-SUMIF($C$19:$C3511,$C3511,$G$19:$G3511),"")</f>
        <v>81211.819999998</v>
      </c>
      <c r="I3511" s="147"/>
      <c r="J3511" s="147"/>
      <c r="K3511" s="147" t="str">
        <f t="shared" si="54"/>
        <v/>
      </c>
      <c r="L3511" s="40"/>
      <c r="M3511"/>
      <c r="N3511"/>
      <c r="O3511"/>
      <c r="P3511"/>
      <c r="Q3511"/>
      <c r="R3511"/>
      <c r="S3511"/>
      <c r="T3511"/>
      <c r="U3511"/>
      <c r="V3511"/>
      <c r="W3511" s="41"/>
      <c r="X3511" s="41"/>
      <c r="Y3511" s="41"/>
    </row>
    <row r="3512" s="27" customFormat="1" ht="23" hidden="1" customHeight="1" spans="1:25">
      <c r="A3512" s="133" t="str">
        <f>IF(B3512="","",COUNTA($B$5:B3512))</f>
        <v/>
      </c>
      <c r="B3512" s="148"/>
      <c r="C3512" s="22" t="s">
        <v>49</v>
      </c>
      <c r="D3512" s="149"/>
      <c r="E3512" s="150"/>
      <c r="F3512" s="151"/>
      <c r="G3512" s="151"/>
      <c r="H3512" s="142">
        <f>IFERROR(VLOOKUP($C3512,$C$5:$H$18,6,0)+SUMIF($C$19:$C3512,$C3512,$F$19:$F3512)-SUMIF($C$19:$C3512,$C3512,$G$19:$G3512),"")</f>
        <v>81211.819999998</v>
      </c>
      <c r="I3512" s="147"/>
      <c r="J3512" s="147"/>
      <c r="K3512" s="147" t="str">
        <f t="shared" si="54"/>
        <v/>
      </c>
      <c r="L3512" s="40"/>
      <c r="M3512"/>
      <c r="N3512"/>
      <c r="O3512"/>
      <c r="P3512"/>
      <c r="Q3512"/>
      <c r="R3512"/>
      <c r="S3512"/>
      <c r="T3512"/>
      <c r="U3512"/>
      <c r="V3512"/>
      <c r="W3512" s="41"/>
      <c r="X3512" s="41"/>
      <c r="Y3512" s="41"/>
    </row>
    <row r="3513" s="27" customFormat="1" ht="23" hidden="1" customHeight="1" spans="1:25">
      <c r="A3513" s="133" t="str">
        <f>IF(B3513="","",COUNTA($B$5:B3513))</f>
        <v/>
      </c>
      <c r="B3513" s="148"/>
      <c r="C3513" s="22" t="s">
        <v>49</v>
      </c>
      <c r="D3513" s="149"/>
      <c r="E3513" s="150"/>
      <c r="F3513" s="151"/>
      <c r="G3513" s="151"/>
      <c r="H3513" s="142">
        <f>IFERROR(VLOOKUP($C3513,$C$5:$H$18,6,0)+SUMIF($C$19:$C3513,$C3513,$F$19:$F3513)-SUMIF($C$19:$C3513,$C3513,$G$19:$G3513),"")</f>
        <v>81211.819999998</v>
      </c>
      <c r="I3513" s="147"/>
      <c r="J3513" s="147"/>
      <c r="K3513" s="147" t="str">
        <f t="shared" si="54"/>
        <v/>
      </c>
      <c r="L3513" s="40"/>
      <c r="M3513"/>
      <c r="N3513"/>
      <c r="O3513"/>
      <c r="P3513"/>
      <c r="Q3513"/>
      <c r="R3513"/>
      <c r="S3513"/>
      <c r="T3513"/>
      <c r="U3513"/>
      <c r="V3513"/>
      <c r="W3513" s="41"/>
      <c r="X3513" s="41"/>
      <c r="Y3513" s="41"/>
    </row>
    <row r="3514" s="27" customFormat="1" ht="23" hidden="1" customHeight="1" spans="1:25">
      <c r="A3514" s="133" t="str">
        <f>IF(B3514="","",COUNTA($B$5:B3514))</f>
        <v/>
      </c>
      <c r="B3514" s="148"/>
      <c r="C3514" s="22" t="s">
        <v>49</v>
      </c>
      <c r="D3514" s="149"/>
      <c r="E3514" s="150"/>
      <c r="F3514" s="151"/>
      <c r="G3514" s="151"/>
      <c r="H3514" s="142">
        <f>IFERROR(VLOOKUP($C3514,$C$5:$H$18,6,0)+SUMIF($C$19:$C3514,$C3514,$F$19:$F3514)-SUMIF($C$19:$C3514,$C3514,$G$19:$G3514),"")</f>
        <v>81211.819999998</v>
      </c>
      <c r="I3514" s="147"/>
      <c r="J3514" s="147"/>
      <c r="K3514" s="147" t="str">
        <f t="shared" si="54"/>
        <v/>
      </c>
      <c r="L3514" s="40"/>
      <c r="M3514"/>
      <c r="N3514"/>
      <c r="O3514"/>
      <c r="P3514"/>
      <c r="Q3514"/>
      <c r="R3514"/>
      <c r="S3514"/>
      <c r="T3514"/>
      <c r="U3514"/>
      <c r="V3514"/>
      <c r="W3514" s="41"/>
      <c r="X3514" s="41"/>
      <c r="Y3514" s="41"/>
    </row>
    <row r="3515" s="27" customFormat="1" ht="23" hidden="1" customHeight="1" spans="1:25">
      <c r="A3515" s="133" t="str">
        <f>IF(B3515="","",COUNTA($B$5:B3515))</f>
        <v/>
      </c>
      <c r="B3515" s="148"/>
      <c r="C3515" s="22" t="s">
        <v>49</v>
      </c>
      <c r="D3515" s="149"/>
      <c r="E3515" s="150"/>
      <c r="F3515" s="151"/>
      <c r="G3515" s="151"/>
      <c r="H3515" s="142">
        <f>IFERROR(VLOOKUP($C3515,$C$5:$H$18,6,0)+SUMIF($C$19:$C3515,$C3515,$F$19:$F3515)-SUMIF($C$19:$C3515,$C3515,$G$19:$G3515),"")</f>
        <v>81211.819999998</v>
      </c>
      <c r="I3515" s="147"/>
      <c r="J3515" s="147"/>
      <c r="K3515" s="147" t="str">
        <f t="shared" si="54"/>
        <v/>
      </c>
      <c r="L3515" s="40"/>
      <c r="M3515"/>
      <c r="N3515"/>
      <c r="O3515"/>
      <c r="P3515"/>
      <c r="Q3515"/>
      <c r="R3515"/>
      <c r="S3515"/>
      <c r="T3515"/>
      <c r="U3515"/>
      <c r="V3515"/>
      <c r="W3515" s="41"/>
      <c r="X3515" s="41"/>
      <c r="Y3515" s="41"/>
    </row>
    <row r="3516" s="27" customFormat="1" ht="23" hidden="1" customHeight="1" spans="1:25">
      <c r="A3516" s="133" t="str">
        <f>IF(B3516="","",COUNTA($B$5:B3516))</f>
        <v/>
      </c>
      <c r="B3516" s="148"/>
      <c r="C3516" s="22" t="s">
        <v>49</v>
      </c>
      <c r="D3516" s="149"/>
      <c r="E3516" s="150"/>
      <c r="F3516" s="151"/>
      <c r="G3516" s="151"/>
      <c r="H3516" s="142">
        <f>IFERROR(VLOOKUP($C3516,$C$5:$H$18,6,0)+SUMIF($C$19:$C3516,$C3516,$F$19:$F3516)-SUMIF($C$19:$C3516,$C3516,$G$19:$G3516),"")</f>
        <v>81211.819999998</v>
      </c>
      <c r="I3516" s="147"/>
      <c r="J3516" s="147"/>
      <c r="K3516" s="147" t="str">
        <f t="shared" si="54"/>
        <v/>
      </c>
      <c r="L3516" s="40"/>
      <c r="M3516"/>
      <c r="N3516"/>
      <c r="O3516"/>
      <c r="P3516"/>
      <c r="Q3516"/>
      <c r="R3516"/>
      <c r="S3516"/>
      <c r="T3516"/>
      <c r="U3516"/>
      <c r="V3516"/>
      <c r="W3516" s="41"/>
      <c r="X3516" s="41"/>
      <c r="Y3516" s="41"/>
    </row>
    <row r="3517" s="27" customFormat="1" ht="23" hidden="1" customHeight="1" spans="1:25">
      <c r="A3517" s="133" t="str">
        <f>IF(B3517="","",COUNTA($B$5:B3517))</f>
        <v/>
      </c>
      <c r="B3517" s="148"/>
      <c r="C3517" s="22" t="s">
        <v>49</v>
      </c>
      <c r="D3517" s="149"/>
      <c r="E3517" s="150"/>
      <c r="F3517" s="151"/>
      <c r="G3517" s="151"/>
      <c r="H3517" s="142">
        <f>IFERROR(VLOOKUP($C3517,$C$5:$H$18,6,0)+SUMIF($C$19:$C3517,$C3517,$F$19:$F3517)-SUMIF($C$19:$C3517,$C3517,$G$19:$G3517),"")</f>
        <v>81211.819999998</v>
      </c>
      <c r="I3517" s="147"/>
      <c r="J3517" s="147"/>
      <c r="K3517" s="147" t="str">
        <f t="shared" si="54"/>
        <v/>
      </c>
      <c r="L3517" s="40"/>
      <c r="M3517"/>
      <c r="N3517"/>
      <c r="O3517"/>
      <c r="P3517"/>
      <c r="Q3517"/>
      <c r="R3517"/>
      <c r="S3517"/>
      <c r="T3517"/>
      <c r="U3517"/>
      <c r="V3517"/>
      <c r="W3517" s="41"/>
      <c r="X3517" s="41"/>
      <c r="Y3517" s="41"/>
    </row>
    <row r="3518" s="27" customFormat="1" ht="23" hidden="1" customHeight="1" spans="1:25">
      <c r="A3518" s="133" t="str">
        <f>IF(B3518="","",COUNTA($B$5:B3518))</f>
        <v/>
      </c>
      <c r="B3518" s="148"/>
      <c r="C3518" s="22" t="s">
        <v>49</v>
      </c>
      <c r="D3518" s="149"/>
      <c r="E3518" s="150"/>
      <c r="F3518" s="151"/>
      <c r="G3518" s="151"/>
      <c r="H3518" s="142">
        <f>IFERROR(VLOOKUP($C3518,$C$5:$H$18,6,0)+SUMIF($C$19:$C3518,$C3518,$F$19:$F3518)-SUMIF($C$19:$C3518,$C3518,$G$19:$G3518),"")</f>
        <v>81211.819999998</v>
      </c>
      <c r="I3518" s="147"/>
      <c r="J3518" s="147"/>
      <c r="K3518" s="147" t="str">
        <f t="shared" si="54"/>
        <v/>
      </c>
      <c r="L3518" s="40"/>
      <c r="M3518"/>
      <c r="N3518"/>
      <c r="O3518"/>
      <c r="P3518"/>
      <c r="Q3518"/>
      <c r="R3518"/>
      <c r="S3518"/>
      <c r="T3518"/>
      <c r="U3518"/>
      <c r="V3518"/>
      <c r="W3518" s="41"/>
      <c r="X3518" s="41"/>
      <c r="Y3518" s="41"/>
    </row>
    <row r="3519" s="27" customFormat="1" ht="23" hidden="1" customHeight="1" spans="1:25">
      <c r="A3519" s="133" t="str">
        <f>IF(B3519="","",COUNTA($B$5:B3519))</f>
        <v/>
      </c>
      <c r="B3519" s="148"/>
      <c r="C3519" s="22" t="s">
        <v>49</v>
      </c>
      <c r="D3519" s="149"/>
      <c r="E3519" s="150"/>
      <c r="F3519" s="151"/>
      <c r="G3519" s="151"/>
      <c r="H3519" s="142">
        <f>IFERROR(VLOOKUP($C3519,$C$5:$H$18,6,0)+SUMIF($C$19:$C3519,$C3519,$F$19:$F3519)-SUMIF($C$19:$C3519,$C3519,$G$19:$G3519),"")</f>
        <v>81211.819999998</v>
      </c>
      <c r="I3519" s="147"/>
      <c r="J3519" s="147"/>
      <c r="K3519" s="147" t="str">
        <f t="shared" si="54"/>
        <v/>
      </c>
      <c r="L3519" s="40"/>
      <c r="M3519"/>
      <c r="N3519"/>
      <c r="O3519"/>
      <c r="P3519"/>
      <c r="Q3519"/>
      <c r="R3519"/>
      <c r="S3519"/>
      <c r="T3519"/>
      <c r="U3519"/>
      <c r="V3519"/>
      <c r="W3519" s="41"/>
      <c r="X3519" s="41"/>
      <c r="Y3519" s="41"/>
    </row>
    <row r="3520" s="27" customFormat="1" ht="23" hidden="1" customHeight="1" spans="1:25">
      <c r="A3520" s="133" t="str">
        <f>IF(B3520="","",COUNTA($B$5:B3520))</f>
        <v/>
      </c>
      <c r="B3520" s="148"/>
      <c r="C3520" s="22" t="s">
        <v>49</v>
      </c>
      <c r="D3520" s="149"/>
      <c r="E3520" s="150"/>
      <c r="F3520" s="151"/>
      <c r="G3520" s="151"/>
      <c r="H3520" s="142">
        <f>IFERROR(VLOOKUP($C3520,$C$5:$H$18,6,0)+SUMIF($C$19:$C3520,$C3520,$F$19:$F3520)-SUMIF($C$19:$C3520,$C3520,$G$19:$G3520),"")</f>
        <v>81211.819999998</v>
      </c>
      <c r="I3520" s="147"/>
      <c r="J3520" s="147"/>
      <c r="K3520" s="147" t="str">
        <f t="shared" si="54"/>
        <v/>
      </c>
      <c r="L3520" s="40"/>
      <c r="M3520"/>
      <c r="N3520"/>
      <c r="O3520"/>
      <c r="P3520"/>
      <c r="Q3520"/>
      <c r="R3520"/>
      <c r="S3520"/>
      <c r="T3520"/>
      <c r="U3520"/>
      <c r="V3520"/>
      <c r="W3520" s="41"/>
      <c r="X3520" s="41"/>
      <c r="Y3520" s="41"/>
    </row>
    <row r="3521" s="27" customFormat="1" ht="23" hidden="1" customHeight="1" spans="1:25">
      <c r="A3521" s="133" t="str">
        <f>IF(B3521="","",COUNTA($B$5:B3521))</f>
        <v/>
      </c>
      <c r="B3521" s="148"/>
      <c r="C3521" s="22" t="s">
        <v>49</v>
      </c>
      <c r="D3521" s="149"/>
      <c r="E3521" s="150"/>
      <c r="F3521" s="151"/>
      <c r="G3521" s="151"/>
      <c r="H3521" s="142">
        <f>IFERROR(VLOOKUP($C3521,$C$5:$H$18,6,0)+SUMIF($C$19:$C3521,$C3521,$F$19:$F3521)-SUMIF($C$19:$C3521,$C3521,$G$19:$G3521),"")</f>
        <v>81211.819999998</v>
      </c>
      <c r="I3521" s="147"/>
      <c r="J3521" s="147"/>
      <c r="K3521" s="147" t="str">
        <f t="shared" si="54"/>
        <v/>
      </c>
      <c r="L3521" s="40"/>
      <c r="M3521"/>
      <c r="N3521"/>
      <c r="O3521"/>
      <c r="P3521"/>
      <c r="Q3521"/>
      <c r="R3521"/>
      <c r="S3521"/>
      <c r="T3521"/>
      <c r="U3521"/>
      <c r="V3521"/>
      <c r="W3521" s="41"/>
      <c r="X3521" s="41"/>
      <c r="Y3521" s="41"/>
    </row>
    <row r="3522" s="27" customFormat="1" ht="23" hidden="1" customHeight="1" spans="1:25">
      <c r="A3522" s="133" t="str">
        <f>IF(B3522="","",COUNTA($B$5:B3522))</f>
        <v/>
      </c>
      <c r="B3522" s="148"/>
      <c r="C3522" s="22" t="s">
        <v>49</v>
      </c>
      <c r="D3522" s="149"/>
      <c r="E3522" s="150"/>
      <c r="F3522" s="151"/>
      <c r="G3522" s="151"/>
      <c r="H3522" s="142">
        <f>IFERROR(VLOOKUP($C3522,$C$5:$H$18,6,0)+SUMIF($C$19:$C3522,$C3522,$F$19:$F3522)-SUMIF($C$19:$C3522,$C3522,$G$19:$G3522),"")</f>
        <v>81211.819999998</v>
      </c>
      <c r="I3522" s="147"/>
      <c r="J3522" s="147"/>
      <c r="K3522" s="147" t="str">
        <f t="shared" si="54"/>
        <v/>
      </c>
      <c r="L3522" s="40"/>
      <c r="M3522"/>
      <c r="N3522"/>
      <c r="O3522"/>
      <c r="P3522"/>
      <c r="Q3522"/>
      <c r="R3522"/>
      <c r="S3522"/>
      <c r="T3522"/>
      <c r="U3522"/>
      <c r="V3522"/>
      <c r="W3522" s="41"/>
      <c r="X3522" s="41"/>
      <c r="Y3522" s="41"/>
    </row>
    <row r="3523" s="27" customFormat="1" ht="23" hidden="1" customHeight="1" spans="1:25">
      <c r="A3523" s="133" t="str">
        <f>IF(B3523="","",COUNTA($B$5:B3523))</f>
        <v/>
      </c>
      <c r="B3523" s="148"/>
      <c r="C3523" s="22" t="s">
        <v>49</v>
      </c>
      <c r="D3523" s="149"/>
      <c r="E3523" s="150"/>
      <c r="F3523" s="151"/>
      <c r="G3523" s="151"/>
      <c r="H3523" s="142">
        <f>IFERROR(VLOOKUP($C3523,$C$5:$H$18,6,0)+SUMIF($C$19:$C3523,$C3523,$F$19:$F3523)-SUMIF($C$19:$C3523,$C3523,$G$19:$G3523),"")</f>
        <v>81211.819999998</v>
      </c>
      <c r="I3523" s="147"/>
      <c r="J3523" s="147"/>
      <c r="K3523" s="147" t="str">
        <f t="shared" si="54"/>
        <v/>
      </c>
      <c r="L3523" s="40"/>
      <c r="M3523"/>
      <c r="N3523"/>
      <c r="O3523"/>
      <c r="P3523"/>
      <c r="Q3523"/>
      <c r="R3523"/>
      <c r="S3523"/>
      <c r="T3523"/>
      <c r="U3523"/>
      <c r="V3523"/>
      <c r="W3523" s="41"/>
      <c r="X3523" s="41"/>
      <c r="Y3523" s="41"/>
    </row>
    <row r="3524" s="27" customFormat="1" ht="23" hidden="1" customHeight="1" spans="1:25">
      <c r="A3524" s="133" t="str">
        <f>IF(B3524="","",COUNTA($B$5:B3524))</f>
        <v/>
      </c>
      <c r="B3524" s="148"/>
      <c r="C3524" s="22" t="s">
        <v>49</v>
      </c>
      <c r="D3524" s="149"/>
      <c r="E3524" s="150"/>
      <c r="F3524" s="151"/>
      <c r="G3524" s="151"/>
      <c r="H3524" s="142">
        <f>IFERROR(VLOOKUP($C3524,$C$5:$H$18,6,0)+SUMIF($C$19:$C3524,$C3524,$F$19:$F3524)-SUMIF($C$19:$C3524,$C3524,$G$19:$G3524),"")</f>
        <v>81211.819999998</v>
      </c>
      <c r="I3524" s="147"/>
      <c r="J3524" s="147"/>
      <c r="K3524" s="147" t="str">
        <f t="shared" si="54"/>
        <v/>
      </c>
      <c r="L3524" s="40"/>
      <c r="M3524"/>
      <c r="N3524"/>
      <c r="O3524"/>
      <c r="P3524"/>
      <c r="Q3524"/>
      <c r="R3524"/>
      <c r="S3524"/>
      <c r="T3524"/>
      <c r="U3524"/>
      <c r="V3524"/>
      <c r="W3524" s="41"/>
      <c r="X3524" s="41"/>
      <c r="Y3524" s="41"/>
    </row>
    <row r="3525" s="27" customFormat="1" ht="23" hidden="1" customHeight="1" spans="1:25">
      <c r="A3525" s="133" t="str">
        <f>IF(B3525="","",COUNTA($B$5:B3525))</f>
        <v/>
      </c>
      <c r="B3525" s="148"/>
      <c r="C3525" s="22" t="s">
        <v>49</v>
      </c>
      <c r="D3525" s="149"/>
      <c r="E3525" s="150"/>
      <c r="F3525" s="151"/>
      <c r="G3525" s="151"/>
      <c r="H3525" s="142">
        <f>IFERROR(VLOOKUP($C3525,$C$5:$H$18,6,0)+SUMIF($C$19:$C3525,$C3525,$F$19:$F3525)-SUMIF($C$19:$C3525,$C3525,$G$19:$G3525),"")</f>
        <v>81211.819999998</v>
      </c>
      <c r="I3525" s="147"/>
      <c r="J3525" s="147"/>
      <c r="K3525" s="147" t="str">
        <f t="shared" ref="K3525:K3588" si="55">IF($B3525="","",--TEXT($B3525,"yyyymm"))</f>
        <v/>
      </c>
      <c r="L3525" s="40"/>
      <c r="M3525"/>
      <c r="N3525"/>
      <c r="O3525"/>
      <c r="P3525"/>
      <c r="Q3525"/>
      <c r="R3525"/>
      <c r="S3525"/>
      <c r="T3525"/>
      <c r="U3525"/>
      <c r="V3525"/>
      <c r="W3525" s="41"/>
      <c r="X3525" s="41"/>
      <c r="Y3525" s="41"/>
    </row>
    <row r="3526" s="27" customFormat="1" ht="23" hidden="1" customHeight="1" spans="1:25">
      <c r="A3526" s="133" t="str">
        <f>IF(B3526="","",COUNTA($B$5:B3526))</f>
        <v/>
      </c>
      <c r="B3526" s="148"/>
      <c r="C3526" s="22" t="s">
        <v>49</v>
      </c>
      <c r="D3526" s="149"/>
      <c r="E3526" s="150"/>
      <c r="F3526" s="151"/>
      <c r="G3526" s="151"/>
      <c r="H3526" s="142">
        <f>IFERROR(VLOOKUP($C3526,$C$5:$H$18,6,0)+SUMIF($C$19:$C3526,$C3526,$F$19:$F3526)-SUMIF($C$19:$C3526,$C3526,$G$19:$G3526),"")</f>
        <v>81211.819999998</v>
      </c>
      <c r="I3526" s="147"/>
      <c r="J3526" s="147"/>
      <c r="K3526" s="147" t="str">
        <f t="shared" si="55"/>
        <v/>
      </c>
      <c r="L3526" s="40"/>
      <c r="M3526"/>
      <c r="N3526"/>
      <c r="O3526"/>
      <c r="P3526"/>
      <c r="Q3526"/>
      <c r="R3526"/>
      <c r="S3526"/>
      <c r="T3526"/>
      <c r="U3526"/>
      <c r="V3526"/>
      <c r="W3526" s="41"/>
      <c r="X3526" s="41"/>
      <c r="Y3526" s="41"/>
    </row>
    <row r="3527" s="27" customFormat="1" ht="23" hidden="1" customHeight="1" spans="1:25">
      <c r="A3527" s="133" t="str">
        <f>IF(B3527="","",COUNTA($B$5:B3527))</f>
        <v/>
      </c>
      <c r="B3527" s="148"/>
      <c r="C3527" s="22" t="s">
        <v>49</v>
      </c>
      <c r="D3527" s="149"/>
      <c r="E3527" s="150"/>
      <c r="F3527" s="151"/>
      <c r="G3527" s="151"/>
      <c r="H3527" s="142">
        <f>IFERROR(VLOOKUP($C3527,$C$5:$H$18,6,0)+SUMIF($C$19:$C3527,$C3527,$F$19:$F3527)-SUMIF($C$19:$C3527,$C3527,$G$19:$G3527),"")</f>
        <v>81211.819999998</v>
      </c>
      <c r="I3527" s="147"/>
      <c r="J3527" s="147"/>
      <c r="K3527" s="147" t="str">
        <f t="shared" si="55"/>
        <v/>
      </c>
      <c r="L3527" s="40"/>
      <c r="M3527"/>
      <c r="N3527"/>
      <c r="O3527"/>
      <c r="P3527"/>
      <c r="Q3527"/>
      <c r="R3527"/>
      <c r="S3527"/>
      <c r="T3527"/>
      <c r="U3527"/>
      <c r="V3527"/>
      <c r="W3527" s="41"/>
      <c r="X3527" s="41"/>
      <c r="Y3527" s="41"/>
    </row>
    <row r="3528" s="27" customFormat="1" ht="23" hidden="1" customHeight="1" spans="1:25">
      <c r="A3528" s="133" t="str">
        <f>IF(B3528="","",COUNTA($B$5:B3528))</f>
        <v/>
      </c>
      <c r="B3528" s="148"/>
      <c r="C3528" s="22" t="s">
        <v>49</v>
      </c>
      <c r="D3528" s="149"/>
      <c r="E3528" s="150"/>
      <c r="F3528" s="151"/>
      <c r="G3528" s="151"/>
      <c r="H3528" s="142">
        <f>IFERROR(VLOOKUP($C3528,$C$5:$H$18,6,0)+SUMIF($C$19:$C3528,$C3528,$F$19:$F3528)-SUMIF($C$19:$C3528,$C3528,$G$19:$G3528),"")</f>
        <v>81211.819999998</v>
      </c>
      <c r="I3528" s="147"/>
      <c r="J3528" s="147"/>
      <c r="K3528" s="147" t="str">
        <f t="shared" si="55"/>
        <v/>
      </c>
      <c r="L3528" s="40"/>
      <c r="M3528"/>
      <c r="N3528"/>
      <c r="O3528"/>
      <c r="P3528"/>
      <c r="Q3528"/>
      <c r="R3528"/>
      <c r="S3528"/>
      <c r="T3528"/>
      <c r="U3528"/>
      <c r="V3528"/>
      <c r="W3528" s="41"/>
      <c r="X3528" s="41"/>
      <c r="Y3528" s="41"/>
    </row>
    <row r="3529" s="27" customFormat="1" ht="23" hidden="1" customHeight="1" spans="1:25">
      <c r="A3529" s="133" t="str">
        <f>IF(B3529="","",COUNTA($B$5:B3529))</f>
        <v/>
      </c>
      <c r="B3529" s="148"/>
      <c r="C3529" s="22" t="s">
        <v>49</v>
      </c>
      <c r="D3529" s="149"/>
      <c r="E3529" s="150"/>
      <c r="F3529" s="151"/>
      <c r="G3529" s="151"/>
      <c r="H3529" s="142">
        <f>IFERROR(VLOOKUP($C3529,$C$5:$H$18,6,0)+SUMIF($C$19:$C3529,$C3529,$F$19:$F3529)-SUMIF($C$19:$C3529,$C3529,$G$19:$G3529),"")</f>
        <v>81211.819999998</v>
      </c>
      <c r="I3529" s="147"/>
      <c r="J3529" s="147"/>
      <c r="K3529" s="147" t="str">
        <f t="shared" si="55"/>
        <v/>
      </c>
      <c r="L3529" s="40"/>
      <c r="M3529"/>
      <c r="N3529"/>
      <c r="O3529"/>
      <c r="P3529"/>
      <c r="Q3529"/>
      <c r="R3529"/>
      <c r="S3529"/>
      <c r="T3529"/>
      <c r="U3529"/>
      <c r="V3529"/>
      <c r="W3529" s="41"/>
      <c r="X3529" s="41"/>
      <c r="Y3529" s="41"/>
    </row>
    <row r="3530" s="27" customFormat="1" ht="23" hidden="1" customHeight="1" spans="1:25">
      <c r="A3530" s="133" t="str">
        <f>IF(B3530="","",COUNTA($B$5:B3530))</f>
        <v/>
      </c>
      <c r="B3530" s="148"/>
      <c r="C3530" s="22" t="s">
        <v>49</v>
      </c>
      <c r="D3530" s="149"/>
      <c r="E3530" s="150"/>
      <c r="F3530" s="151"/>
      <c r="G3530" s="151"/>
      <c r="H3530" s="142">
        <f>IFERROR(VLOOKUP($C3530,$C$5:$H$18,6,0)+SUMIF($C$19:$C3530,$C3530,$F$19:$F3530)-SUMIF($C$19:$C3530,$C3530,$G$19:$G3530),"")</f>
        <v>81211.819999998</v>
      </c>
      <c r="I3530" s="147"/>
      <c r="J3530" s="147"/>
      <c r="K3530" s="147" t="str">
        <f t="shared" si="55"/>
        <v/>
      </c>
      <c r="L3530" s="40"/>
      <c r="M3530"/>
      <c r="N3530"/>
      <c r="O3530"/>
      <c r="P3530"/>
      <c r="Q3530"/>
      <c r="R3530"/>
      <c r="S3530"/>
      <c r="T3530"/>
      <c r="U3530"/>
      <c r="V3530"/>
      <c r="W3530" s="41"/>
      <c r="X3530" s="41"/>
      <c r="Y3530" s="41"/>
    </row>
    <row r="3531" s="27" customFormat="1" ht="23" hidden="1" customHeight="1" spans="1:25">
      <c r="A3531" s="133" t="str">
        <f>IF(B3531="","",COUNTA($B$5:B3531))</f>
        <v/>
      </c>
      <c r="B3531" s="148"/>
      <c r="C3531" s="22" t="s">
        <v>49</v>
      </c>
      <c r="D3531" s="149"/>
      <c r="E3531" s="150"/>
      <c r="F3531" s="151"/>
      <c r="G3531" s="151"/>
      <c r="H3531" s="142">
        <f>IFERROR(VLOOKUP($C3531,$C$5:$H$18,6,0)+SUMIF($C$19:$C3531,$C3531,$F$19:$F3531)-SUMIF($C$19:$C3531,$C3531,$G$19:$G3531),"")</f>
        <v>81211.819999998</v>
      </c>
      <c r="I3531" s="147"/>
      <c r="J3531" s="147"/>
      <c r="K3531" s="147" t="str">
        <f t="shared" si="55"/>
        <v/>
      </c>
      <c r="L3531" s="40"/>
      <c r="M3531"/>
      <c r="N3531"/>
      <c r="O3531"/>
      <c r="P3531"/>
      <c r="Q3531"/>
      <c r="R3531"/>
      <c r="S3531"/>
      <c r="T3531"/>
      <c r="U3531"/>
      <c r="V3531"/>
      <c r="W3531" s="41"/>
      <c r="X3531" s="41"/>
      <c r="Y3531" s="41"/>
    </row>
    <row r="3532" s="27" customFormat="1" ht="23" hidden="1" customHeight="1" spans="1:25">
      <c r="A3532" s="133" t="str">
        <f>IF(B3532="","",COUNTA($B$5:B3532))</f>
        <v/>
      </c>
      <c r="B3532" s="148"/>
      <c r="C3532" s="22" t="s">
        <v>49</v>
      </c>
      <c r="D3532" s="149"/>
      <c r="E3532" s="150"/>
      <c r="F3532" s="151"/>
      <c r="G3532" s="151"/>
      <c r="H3532" s="142">
        <f>IFERROR(VLOOKUP($C3532,$C$5:$H$18,6,0)+SUMIF($C$19:$C3532,$C3532,$F$19:$F3532)-SUMIF($C$19:$C3532,$C3532,$G$19:$G3532),"")</f>
        <v>81211.819999998</v>
      </c>
      <c r="I3532" s="147"/>
      <c r="J3532" s="147"/>
      <c r="K3532" s="147" t="str">
        <f t="shared" si="55"/>
        <v/>
      </c>
      <c r="L3532" s="40"/>
      <c r="M3532"/>
      <c r="N3532"/>
      <c r="O3532"/>
      <c r="P3532"/>
      <c r="Q3532"/>
      <c r="R3532"/>
      <c r="S3532"/>
      <c r="T3532"/>
      <c r="U3532"/>
      <c r="V3532"/>
      <c r="W3532" s="41"/>
      <c r="X3532" s="41"/>
      <c r="Y3532" s="41"/>
    </row>
    <row r="3533" s="27" customFormat="1" ht="23" hidden="1" customHeight="1" spans="1:25">
      <c r="A3533" s="133" t="str">
        <f>IF(B3533="","",COUNTA($B$5:B3533))</f>
        <v/>
      </c>
      <c r="B3533" s="148"/>
      <c r="C3533" s="22" t="s">
        <v>49</v>
      </c>
      <c r="D3533" s="149"/>
      <c r="E3533" s="150"/>
      <c r="F3533" s="151"/>
      <c r="G3533" s="151"/>
      <c r="H3533" s="142">
        <f>IFERROR(VLOOKUP($C3533,$C$5:$H$18,6,0)+SUMIF($C$19:$C3533,$C3533,$F$19:$F3533)-SUMIF($C$19:$C3533,$C3533,$G$19:$G3533),"")</f>
        <v>81211.819999998</v>
      </c>
      <c r="I3533" s="147"/>
      <c r="J3533" s="147"/>
      <c r="K3533" s="147" t="str">
        <f t="shared" si="55"/>
        <v/>
      </c>
      <c r="L3533" s="40"/>
      <c r="M3533"/>
      <c r="N3533"/>
      <c r="O3533"/>
      <c r="P3533"/>
      <c r="Q3533"/>
      <c r="R3533"/>
      <c r="S3533"/>
      <c r="T3533"/>
      <c r="U3533"/>
      <c r="V3533"/>
      <c r="W3533" s="41"/>
      <c r="X3533" s="41"/>
      <c r="Y3533" s="41"/>
    </row>
    <row r="3534" s="27" customFormat="1" ht="23" hidden="1" customHeight="1" spans="1:25">
      <c r="A3534" s="133" t="str">
        <f>IF(B3534="","",COUNTA($B$5:B3534))</f>
        <v/>
      </c>
      <c r="B3534" s="148"/>
      <c r="C3534" s="22" t="s">
        <v>49</v>
      </c>
      <c r="D3534" s="149"/>
      <c r="E3534" s="150"/>
      <c r="F3534" s="151"/>
      <c r="G3534" s="151"/>
      <c r="H3534" s="142">
        <f>IFERROR(VLOOKUP($C3534,$C$5:$H$18,6,0)+SUMIF($C$19:$C3534,$C3534,$F$19:$F3534)-SUMIF($C$19:$C3534,$C3534,$G$19:$G3534),"")</f>
        <v>81211.819999998</v>
      </c>
      <c r="I3534" s="147"/>
      <c r="J3534" s="147"/>
      <c r="K3534" s="147" t="str">
        <f t="shared" si="55"/>
        <v/>
      </c>
      <c r="L3534" s="40"/>
      <c r="M3534"/>
      <c r="N3534"/>
      <c r="O3534"/>
      <c r="P3534"/>
      <c r="Q3534"/>
      <c r="R3534"/>
      <c r="S3534"/>
      <c r="T3534"/>
      <c r="U3534"/>
      <c r="V3534"/>
      <c r="W3534" s="41"/>
      <c r="X3534" s="41"/>
      <c r="Y3534" s="41"/>
    </row>
    <row r="3535" s="27" customFormat="1" ht="23" hidden="1" customHeight="1" spans="1:25">
      <c r="A3535" s="133" t="str">
        <f>IF(B3535="","",COUNTA($B$5:B3535))</f>
        <v/>
      </c>
      <c r="B3535" s="148"/>
      <c r="C3535" s="22" t="s">
        <v>49</v>
      </c>
      <c r="D3535" s="149"/>
      <c r="E3535" s="150"/>
      <c r="F3535" s="151"/>
      <c r="G3535" s="151"/>
      <c r="H3535" s="142">
        <f>IFERROR(VLOOKUP($C3535,$C$5:$H$18,6,0)+SUMIF($C$19:$C3535,$C3535,$F$19:$F3535)-SUMIF($C$19:$C3535,$C3535,$G$19:$G3535),"")</f>
        <v>81211.819999998</v>
      </c>
      <c r="I3535" s="147"/>
      <c r="J3535" s="147"/>
      <c r="K3535" s="147" t="str">
        <f t="shared" si="55"/>
        <v/>
      </c>
      <c r="L3535" s="40"/>
      <c r="M3535"/>
      <c r="N3535"/>
      <c r="O3535"/>
      <c r="P3535"/>
      <c r="Q3535"/>
      <c r="R3535"/>
      <c r="S3535"/>
      <c r="T3535"/>
      <c r="U3535"/>
      <c r="V3535"/>
      <c r="W3535" s="41"/>
      <c r="X3535" s="41"/>
      <c r="Y3535" s="41"/>
    </row>
    <row r="3536" s="27" customFormat="1" ht="23" hidden="1" customHeight="1" spans="1:25">
      <c r="A3536" s="133" t="str">
        <f>IF(B3536="","",COUNTA($B$5:B3536))</f>
        <v/>
      </c>
      <c r="B3536" s="148"/>
      <c r="C3536" s="22" t="s">
        <v>49</v>
      </c>
      <c r="D3536" s="149"/>
      <c r="E3536" s="150"/>
      <c r="F3536" s="151"/>
      <c r="G3536" s="151"/>
      <c r="H3536" s="142">
        <f>IFERROR(VLOOKUP($C3536,$C$5:$H$18,6,0)+SUMIF($C$19:$C3536,$C3536,$F$19:$F3536)-SUMIF($C$19:$C3536,$C3536,$G$19:$G3536),"")</f>
        <v>81211.819999998</v>
      </c>
      <c r="I3536" s="147"/>
      <c r="J3536" s="147"/>
      <c r="K3536" s="147" t="str">
        <f t="shared" si="55"/>
        <v/>
      </c>
      <c r="L3536" s="40"/>
      <c r="M3536"/>
      <c r="N3536"/>
      <c r="O3536"/>
      <c r="P3536"/>
      <c r="Q3536"/>
      <c r="R3536"/>
      <c r="S3536"/>
      <c r="T3536"/>
      <c r="U3536"/>
      <c r="V3536"/>
      <c r="W3536" s="41"/>
      <c r="X3536" s="41"/>
      <c r="Y3536" s="41"/>
    </row>
    <row r="3537" s="27" customFormat="1" ht="23" hidden="1" customHeight="1" spans="1:25">
      <c r="A3537" s="133" t="str">
        <f>IF(B3537="","",COUNTA($B$5:B3537))</f>
        <v/>
      </c>
      <c r="B3537" s="148"/>
      <c r="C3537" s="22" t="s">
        <v>49</v>
      </c>
      <c r="D3537" s="149"/>
      <c r="E3537" s="150"/>
      <c r="F3537" s="151"/>
      <c r="G3537" s="151"/>
      <c r="H3537" s="142">
        <f>IFERROR(VLOOKUP($C3537,$C$5:$H$18,6,0)+SUMIF($C$19:$C3537,$C3537,$F$19:$F3537)-SUMIF($C$19:$C3537,$C3537,$G$19:$G3537),"")</f>
        <v>81211.819999998</v>
      </c>
      <c r="I3537" s="147"/>
      <c r="J3537" s="147"/>
      <c r="K3537" s="147" t="str">
        <f t="shared" si="55"/>
        <v/>
      </c>
      <c r="L3537" s="40"/>
      <c r="M3537"/>
      <c r="N3537"/>
      <c r="O3537"/>
      <c r="P3537"/>
      <c r="Q3537"/>
      <c r="R3537"/>
      <c r="S3537"/>
      <c r="T3537"/>
      <c r="U3537"/>
      <c r="V3537"/>
      <c r="W3537" s="41"/>
      <c r="X3537" s="41"/>
      <c r="Y3537" s="41"/>
    </row>
    <row r="3538" s="27" customFormat="1" ht="23" hidden="1" customHeight="1" spans="1:25">
      <c r="A3538" s="133" t="str">
        <f>IF(B3538="","",COUNTA($B$5:B3538))</f>
        <v/>
      </c>
      <c r="B3538" s="148"/>
      <c r="C3538" s="22" t="s">
        <v>49</v>
      </c>
      <c r="D3538" s="149"/>
      <c r="E3538" s="150"/>
      <c r="F3538" s="151"/>
      <c r="G3538" s="151"/>
      <c r="H3538" s="142">
        <f>IFERROR(VLOOKUP($C3538,$C$5:$H$18,6,0)+SUMIF($C$19:$C3538,$C3538,$F$19:$F3538)-SUMIF($C$19:$C3538,$C3538,$G$19:$G3538),"")</f>
        <v>81211.819999998</v>
      </c>
      <c r="I3538" s="147"/>
      <c r="J3538" s="147"/>
      <c r="K3538" s="147" t="str">
        <f t="shared" si="55"/>
        <v/>
      </c>
      <c r="L3538" s="40"/>
      <c r="M3538"/>
      <c r="N3538"/>
      <c r="O3538"/>
      <c r="P3538"/>
      <c r="Q3538"/>
      <c r="R3538"/>
      <c r="S3538"/>
      <c r="T3538"/>
      <c r="U3538"/>
      <c r="V3538"/>
      <c r="W3538" s="41"/>
      <c r="X3538" s="41"/>
      <c r="Y3538" s="41"/>
    </row>
    <row r="3539" s="27" customFormat="1" ht="23" hidden="1" customHeight="1" spans="1:25">
      <c r="A3539" s="133" t="str">
        <f>IF(B3539="","",COUNTA($B$5:B3539))</f>
        <v/>
      </c>
      <c r="B3539" s="148"/>
      <c r="C3539" s="22" t="s">
        <v>49</v>
      </c>
      <c r="D3539" s="149"/>
      <c r="E3539" s="150"/>
      <c r="F3539" s="151"/>
      <c r="G3539" s="151"/>
      <c r="H3539" s="142">
        <f>IFERROR(VLOOKUP($C3539,$C$5:$H$18,6,0)+SUMIF($C$19:$C3539,$C3539,$F$19:$F3539)-SUMIF($C$19:$C3539,$C3539,$G$19:$G3539),"")</f>
        <v>81211.819999998</v>
      </c>
      <c r="I3539" s="147"/>
      <c r="J3539" s="147"/>
      <c r="K3539" s="147" t="str">
        <f t="shared" si="55"/>
        <v/>
      </c>
      <c r="L3539" s="40"/>
      <c r="M3539"/>
      <c r="N3539"/>
      <c r="O3539"/>
      <c r="P3539"/>
      <c r="Q3539"/>
      <c r="R3539"/>
      <c r="S3539"/>
      <c r="T3539"/>
      <c r="U3539"/>
      <c r="V3539"/>
      <c r="W3539" s="41"/>
      <c r="X3539" s="41"/>
      <c r="Y3539" s="41"/>
    </row>
    <row r="3540" s="27" customFormat="1" ht="23" hidden="1" customHeight="1" spans="1:25">
      <c r="A3540" s="133" t="str">
        <f>IF(B3540="","",COUNTA($B$5:B3540))</f>
        <v/>
      </c>
      <c r="B3540" s="148"/>
      <c r="C3540" s="22" t="s">
        <v>49</v>
      </c>
      <c r="D3540" s="149"/>
      <c r="E3540" s="150"/>
      <c r="F3540" s="151"/>
      <c r="G3540" s="151"/>
      <c r="H3540" s="142">
        <f>IFERROR(VLOOKUP($C3540,$C$5:$H$18,6,0)+SUMIF($C$19:$C3540,$C3540,$F$19:$F3540)-SUMIF($C$19:$C3540,$C3540,$G$19:$G3540),"")</f>
        <v>81211.819999998</v>
      </c>
      <c r="I3540" s="147"/>
      <c r="J3540" s="147"/>
      <c r="K3540" s="147" t="str">
        <f t="shared" si="55"/>
        <v/>
      </c>
      <c r="L3540" s="40"/>
      <c r="M3540"/>
      <c r="N3540"/>
      <c r="O3540"/>
      <c r="P3540"/>
      <c r="Q3540"/>
      <c r="R3540"/>
      <c r="S3540"/>
      <c r="T3540"/>
      <c r="U3540"/>
      <c r="V3540"/>
      <c r="W3540" s="41"/>
      <c r="X3540" s="41"/>
      <c r="Y3540" s="41"/>
    </row>
    <row r="3541" s="27" customFormat="1" ht="23" hidden="1" customHeight="1" spans="1:25">
      <c r="A3541" s="133" t="str">
        <f>IF(B3541="","",COUNTA($B$5:B3541))</f>
        <v/>
      </c>
      <c r="B3541" s="148"/>
      <c r="C3541" s="22" t="s">
        <v>49</v>
      </c>
      <c r="D3541" s="149"/>
      <c r="E3541" s="150"/>
      <c r="F3541" s="151"/>
      <c r="G3541" s="151"/>
      <c r="H3541" s="142">
        <f>IFERROR(VLOOKUP($C3541,$C$5:$H$18,6,0)+SUMIF($C$19:$C3541,$C3541,$F$19:$F3541)-SUMIF($C$19:$C3541,$C3541,$G$19:$G3541),"")</f>
        <v>81211.819999998</v>
      </c>
      <c r="I3541" s="147"/>
      <c r="J3541" s="147"/>
      <c r="K3541" s="147" t="str">
        <f t="shared" si="55"/>
        <v/>
      </c>
      <c r="L3541" s="40"/>
      <c r="M3541"/>
      <c r="N3541"/>
      <c r="O3541"/>
      <c r="P3541"/>
      <c r="Q3541"/>
      <c r="R3541"/>
      <c r="S3541"/>
      <c r="T3541"/>
      <c r="U3541"/>
      <c r="V3541"/>
      <c r="W3541" s="41"/>
      <c r="X3541" s="41"/>
      <c r="Y3541" s="41"/>
    </row>
    <row r="3542" s="27" customFormat="1" ht="23" hidden="1" customHeight="1" spans="1:25">
      <c r="A3542" s="133" t="str">
        <f>IF(B3542="","",COUNTA($B$5:B3542))</f>
        <v/>
      </c>
      <c r="B3542" s="148"/>
      <c r="C3542" s="22" t="s">
        <v>49</v>
      </c>
      <c r="D3542" s="149"/>
      <c r="E3542" s="150"/>
      <c r="F3542" s="151"/>
      <c r="G3542" s="151"/>
      <c r="H3542" s="142">
        <f>IFERROR(VLOOKUP($C3542,$C$5:$H$18,6,0)+SUMIF($C$19:$C3542,$C3542,$F$19:$F3542)-SUMIF($C$19:$C3542,$C3542,$G$19:$G3542),"")</f>
        <v>81211.819999998</v>
      </c>
      <c r="I3542" s="147"/>
      <c r="J3542" s="147"/>
      <c r="K3542" s="147" t="str">
        <f t="shared" si="55"/>
        <v/>
      </c>
      <c r="L3542" s="40"/>
      <c r="M3542"/>
      <c r="N3542"/>
      <c r="O3542"/>
      <c r="P3542"/>
      <c r="Q3542"/>
      <c r="R3542"/>
      <c r="S3542"/>
      <c r="T3542"/>
      <c r="U3542"/>
      <c r="V3542"/>
      <c r="W3542" s="41"/>
      <c r="X3542" s="41"/>
      <c r="Y3542" s="41"/>
    </row>
    <row r="3543" s="27" customFormat="1" ht="23" hidden="1" customHeight="1" spans="1:25">
      <c r="A3543" s="133" t="str">
        <f>IF(B3543="","",COUNTA($B$5:B3543))</f>
        <v/>
      </c>
      <c r="B3543" s="148"/>
      <c r="C3543" s="22" t="s">
        <v>49</v>
      </c>
      <c r="D3543" s="149"/>
      <c r="E3543" s="150"/>
      <c r="F3543" s="151"/>
      <c r="G3543" s="151"/>
      <c r="H3543" s="142">
        <f>IFERROR(VLOOKUP($C3543,$C$5:$H$18,6,0)+SUMIF($C$19:$C3543,$C3543,$F$19:$F3543)-SUMIF($C$19:$C3543,$C3543,$G$19:$G3543),"")</f>
        <v>81211.819999998</v>
      </c>
      <c r="I3543" s="147"/>
      <c r="J3543" s="147"/>
      <c r="K3543" s="147" t="str">
        <f t="shared" si="55"/>
        <v/>
      </c>
      <c r="L3543" s="40"/>
      <c r="M3543"/>
      <c r="N3543"/>
      <c r="O3543"/>
      <c r="P3543"/>
      <c r="Q3543"/>
      <c r="R3543"/>
      <c r="S3543"/>
      <c r="T3543"/>
      <c r="U3543"/>
      <c r="V3543"/>
      <c r="W3543" s="41"/>
      <c r="X3543" s="41"/>
      <c r="Y3543" s="41"/>
    </row>
    <row r="3544" s="27" customFormat="1" ht="23" hidden="1" customHeight="1" spans="1:25">
      <c r="A3544" s="133" t="str">
        <f>IF(B3544="","",COUNTA($B$5:B3544))</f>
        <v/>
      </c>
      <c r="B3544" s="148"/>
      <c r="C3544" s="22" t="s">
        <v>49</v>
      </c>
      <c r="D3544" s="149"/>
      <c r="E3544" s="150"/>
      <c r="F3544" s="151"/>
      <c r="G3544" s="151"/>
      <c r="H3544" s="142">
        <f>IFERROR(VLOOKUP($C3544,$C$5:$H$18,6,0)+SUMIF($C$19:$C3544,$C3544,$F$19:$F3544)-SUMIF($C$19:$C3544,$C3544,$G$19:$G3544),"")</f>
        <v>81211.819999998</v>
      </c>
      <c r="I3544" s="147"/>
      <c r="J3544" s="147"/>
      <c r="K3544" s="147" t="str">
        <f t="shared" si="55"/>
        <v/>
      </c>
      <c r="L3544" s="40"/>
      <c r="M3544"/>
      <c r="N3544"/>
      <c r="O3544"/>
      <c r="P3544"/>
      <c r="Q3544"/>
      <c r="R3544"/>
      <c r="S3544"/>
      <c r="T3544"/>
      <c r="U3544"/>
      <c r="V3544"/>
      <c r="W3544" s="41"/>
      <c r="X3544" s="41"/>
      <c r="Y3544" s="41"/>
    </row>
    <row r="3545" s="27" customFormat="1" ht="23" hidden="1" customHeight="1" spans="1:25">
      <c r="A3545" s="133" t="str">
        <f>IF(B3545="","",COUNTA($B$5:B3545))</f>
        <v/>
      </c>
      <c r="B3545" s="148"/>
      <c r="C3545" s="22" t="s">
        <v>49</v>
      </c>
      <c r="D3545" s="149"/>
      <c r="E3545" s="150"/>
      <c r="F3545" s="151"/>
      <c r="G3545" s="151"/>
      <c r="H3545" s="142">
        <f>IFERROR(VLOOKUP($C3545,$C$5:$H$18,6,0)+SUMIF($C$19:$C3545,$C3545,$F$19:$F3545)-SUMIF($C$19:$C3545,$C3545,$G$19:$G3545),"")</f>
        <v>81211.819999998</v>
      </c>
      <c r="I3545" s="147"/>
      <c r="J3545" s="147"/>
      <c r="K3545" s="147" t="str">
        <f t="shared" si="55"/>
        <v/>
      </c>
      <c r="L3545" s="40"/>
      <c r="M3545"/>
      <c r="N3545"/>
      <c r="O3545"/>
      <c r="P3545"/>
      <c r="Q3545"/>
      <c r="R3545"/>
      <c r="S3545"/>
      <c r="T3545"/>
      <c r="U3545"/>
      <c r="V3545"/>
      <c r="W3545" s="41"/>
      <c r="X3545" s="41"/>
      <c r="Y3545" s="41"/>
    </row>
    <row r="3546" s="27" customFormat="1" ht="23" hidden="1" customHeight="1" spans="1:25">
      <c r="A3546" s="133" t="str">
        <f>IF(B3546="","",COUNTA($B$5:B3546))</f>
        <v/>
      </c>
      <c r="B3546" s="148"/>
      <c r="C3546" s="22" t="s">
        <v>49</v>
      </c>
      <c r="D3546" s="149"/>
      <c r="E3546" s="150"/>
      <c r="F3546" s="151"/>
      <c r="G3546" s="151"/>
      <c r="H3546" s="142">
        <f>IFERROR(VLOOKUP($C3546,$C$5:$H$18,6,0)+SUMIF($C$19:$C3546,$C3546,$F$19:$F3546)-SUMIF($C$19:$C3546,$C3546,$G$19:$G3546),"")</f>
        <v>81211.819999998</v>
      </c>
      <c r="I3546" s="147"/>
      <c r="J3546" s="147"/>
      <c r="K3546" s="147" t="str">
        <f t="shared" si="55"/>
        <v/>
      </c>
      <c r="L3546" s="40"/>
      <c r="M3546"/>
      <c r="N3546"/>
      <c r="O3546"/>
      <c r="P3546"/>
      <c r="Q3546"/>
      <c r="R3546"/>
      <c r="S3546"/>
      <c r="T3546"/>
      <c r="U3546"/>
      <c r="V3546"/>
      <c r="W3546" s="41"/>
      <c r="X3546" s="41"/>
      <c r="Y3546" s="41"/>
    </row>
    <row r="3547" s="27" customFormat="1" ht="23" hidden="1" customHeight="1" spans="1:25">
      <c r="A3547" s="133" t="str">
        <f>IF(B3547="","",COUNTA($B$5:B3547))</f>
        <v/>
      </c>
      <c r="B3547" s="148"/>
      <c r="C3547" s="22" t="s">
        <v>49</v>
      </c>
      <c r="D3547" s="149"/>
      <c r="E3547" s="150"/>
      <c r="F3547" s="151"/>
      <c r="G3547" s="151"/>
      <c r="H3547" s="142">
        <f>IFERROR(VLOOKUP($C3547,$C$5:$H$18,6,0)+SUMIF($C$19:$C3547,$C3547,$F$19:$F3547)-SUMIF($C$19:$C3547,$C3547,$G$19:$G3547),"")</f>
        <v>81211.819999998</v>
      </c>
      <c r="I3547" s="147"/>
      <c r="J3547" s="147"/>
      <c r="K3547" s="147" t="str">
        <f t="shared" si="55"/>
        <v/>
      </c>
      <c r="L3547" s="40"/>
      <c r="M3547"/>
      <c r="N3547"/>
      <c r="O3547"/>
      <c r="P3547"/>
      <c r="Q3547"/>
      <c r="R3547"/>
      <c r="S3547"/>
      <c r="T3547"/>
      <c r="U3547"/>
      <c r="V3547"/>
      <c r="W3547" s="41"/>
      <c r="X3547" s="41"/>
      <c r="Y3547" s="41"/>
    </row>
    <row r="3548" s="27" customFormat="1" ht="23" hidden="1" customHeight="1" spans="1:25">
      <c r="A3548" s="133" t="str">
        <f>IF(B3548="","",COUNTA($B$5:B3548))</f>
        <v/>
      </c>
      <c r="B3548" s="148"/>
      <c r="C3548" s="22" t="s">
        <v>49</v>
      </c>
      <c r="D3548" s="149"/>
      <c r="E3548" s="150"/>
      <c r="F3548" s="151"/>
      <c r="G3548" s="151"/>
      <c r="H3548" s="142">
        <f>IFERROR(VLOOKUP($C3548,$C$5:$H$18,6,0)+SUMIF($C$19:$C3548,$C3548,$F$19:$F3548)-SUMIF($C$19:$C3548,$C3548,$G$19:$G3548),"")</f>
        <v>81211.819999998</v>
      </c>
      <c r="I3548" s="147"/>
      <c r="J3548" s="147"/>
      <c r="K3548" s="147" t="str">
        <f t="shared" si="55"/>
        <v/>
      </c>
      <c r="L3548" s="40"/>
      <c r="M3548"/>
      <c r="N3548"/>
      <c r="O3548"/>
      <c r="P3548"/>
      <c r="Q3548"/>
      <c r="R3548"/>
      <c r="S3548"/>
      <c r="T3548"/>
      <c r="U3548"/>
      <c r="V3548"/>
      <c r="W3548" s="41"/>
      <c r="X3548" s="41"/>
      <c r="Y3548" s="41"/>
    </row>
    <row r="3549" s="27" customFormat="1" ht="23" hidden="1" customHeight="1" spans="1:25">
      <c r="A3549" s="133" t="str">
        <f>IF(B3549="","",COUNTA($B$5:B3549))</f>
        <v/>
      </c>
      <c r="B3549" s="148"/>
      <c r="C3549" s="22" t="s">
        <v>49</v>
      </c>
      <c r="D3549" s="149"/>
      <c r="E3549" s="150"/>
      <c r="F3549" s="151"/>
      <c r="G3549" s="151"/>
      <c r="H3549" s="142">
        <f>IFERROR(VLOOKUP($C3549,$C$5:$H$18,6,0)+SUMIF($C$19:$C3549,$C3549,$F$19:$F3549)-SUMIF($C$19:$C3549,$C3549,$G$19:$G3549),"")</f>
        <v>81211.819999998</v>
      </c>
      <c r="I3549" s="147"/>
      <c r="J3549" s="147"/>
      <c r="K3549" s="147" t="str">
        <f t="shared" si="55"/>
        <v/>
      </c>
      <c r="L3549" s="40"/>
      <c r="M3549"/>
      <c r="N3549"/>
      <c r="O3549"/>
      <c r="P3549"/>
      <c r="Q3549"/>
      <c r="R3549"/>
      <c r="S3549"/>
      <c r="T3549"/>
      <c r="U3549"/>
      <c r="V3549"/>
      <c r="W3549" s="41"/>
      <c r="X3549" s="41"/>
      <c r="Y3549" s="41"/>
    </row>
    <row r="3550" s="27" customFormat="1" ht="23" hidden="1" customHeight="1" spans="1:25">
      <c r="A3550" s="133" t="str">
        <f>IF(B3550="","",COUNTA($B$5:B3550))</f>
        <v/>
      </c>
      <c r="B3550" s="148"/>
      <c r="C3550" s="22" t="s">
        <v>49</v>
      </c>
      <c r="D3550" s="149"/>
      <c r="E3550" s="150"/>
      <c r="F3550" s="151"/>
      <c r="G3550" s="151"/>
      <c r="H3550" s="142">
        <f>IFERROR(VLOOKUP($C3550,$C$5:$H$18,6,0)+SUMIF($C$19:$C3550,$C3550,$F$19:$F3550)-SUMIF($C$19:$C3550,$C3550,$G$19:$G3550),"")</f>
        <v>81211.819999998</v>
      </c>
      <c r="I3550" s="147"/>
      <c r="J3550" s="147"/>
      <c r="K3550" s="147" t="str">
        <f t="shared" si="55"/>
        <v/>
      </c>
      <c r="L3550" s="40"/>
      <c r="M3550"/>
      <c r="N3550"/>
      <c r="O3550"/>
      <c r="P3550"/>
      <c r="Q3550"/>
      <c r="R3550"/>
      <c r="S3550"/>
      <c r="T3550"/>
      <c r="U3550"/>
      <c r="V3550"/>
      <c r="W3550" s="41"/>
      <c r="X3550" s="41"/>
      <c r="Y3550" s="41"/>
    </row>
    <row r="3551" s="27" customFormat="1" ht="23" hidden="1" customHeight="1" spans="1:25">
      <c r="A3551" s="133" t="str">
        <f>IF(B3551="","",COUNTA($B$5:B3551))</f>
        <v/>
      </c>
      <c r="B3551" s="148"/>
      <c r="C3551" s="22" t="s">
        <v>49</v>
      </c>
      <c r="D3551" s="149"/>
      <c r="E3551" s="150"/>
      <c r="F3551" s="151"/>
      <c r="G3551" s="151"/>
      <c r="H3551" s="142">
        <f>IFERROR(VLOOKUP($C3551,$C$5:$H$18,6,0)+SUMIF($C$19:$C3551,$C3551,$F$19:$F3551)-SUMIF($C$19:$C3551,$C3551,$G$19:$G3551),"")</f>
        <v>81211.819999998</v>
      </c>
      <c r="I3551" s="147"/>
      <c r="J3551" s="147"/>
      <c r="K3551" s="147" t="str">
        <f t="shared" si="55"/>
        <v/>
      </c>
      <c r="L3551" s="40"/>
      <c r="M3551"/>
      <c r="N3551"/>
      <c r="O3551"/>
      <c r="P3551"/>
      <c r="Q3551"/>
      <c r="R3551"/>
      <c r="S3551"/>
      <c r="T3551"/>
      <c r="U3551"/>
      <c r="V3551"/>
      <c r="W3551" s="41"/>
      <c r="X3551" s="41"/>
      <c r="Y3551" s="41"/>
    </row>
    <row r="3552" s="27" customFormat="1" ht="23" hidden="1" customHeight="1" spans="1:25">
      <c r="A3552" s="133" t="str">
        <f>IF(B3552="","",COUNTA($B$5:B3552))</f>
        <v/>
      </c>
      <c r="B3552" s="148"/>
      <c r="C3552" s="22" t="s">
        <v>49</v>
      </c>
      <c r="D3552" s="149"/>
      <c r="E3552" s="150"/>
      <c r="F3552" s="151"/>
      <c r="G3552" s="151"/>
      <c r="H3552" s="142">
        <f>IFERROR(VLOOKUP($C3552,$C$5:$H$18,6,0)+SUMIF($C$19:$C3552,$C3552,$F$19:$F3552)-SUMIF($C$19:$C3552,$C3552,$G$19:$G3552),"")</f>
        <v>81211.819999998</v>
      </c>
      <c r="I3552" s="147"/>
      <c r="J3552" s="147"/>
      <c r="K3552" s="147" t="str">
        <f t="shared" si="55"/>
        <v/>
      </c>
      <c r="L3552" s="40"/>
      <c r="M3552"/>
      <c r="N3552"/>
      <c r="O3552"/>
      <c r="P3552"/>
      <c r="Q3552"/>
      <c r="R3552"/>
      <c r="S3552"/>
      <c r="T3552"/>
      <c r="U3552"/>
      <c r="V3552"/>
      <c r="W3552" s="41"/>
      <c r="X3552" s="41"/>
      <c r="Y3552" s="41"/>
    </row>
    <row r="3553" s="27" customFormat="1" ht="23" hidden="1" customHeight="1" spans="1:25">
      <c r="A3553" s="133" t="str">
        <f>IF(B3553="","",COUNTA($B$5:B3553))</f>
        <v/>
      </c>
      <c r="B3553" s="148"/>
      <c r="C3553" s="22" t="s">
        <v>49</v>
      </c>
      <c r="D3553" s="149"/>
      <c r="E3553" s="150"/>
      <c r="F3553" s="151"/>
      <c r="G3553" s="151"/>
      <c r="H3553" s="142">
        <f>IFERROR(VLOOKUP($C3553,$C$5:$H$18,6,0)+SUMIF($C$19:$C3553,$C3553,$F$19:$F3553)-SUMIF($C$19:$C3553,$C3553,$G$19:$G3553),"")</f>
        <v>81211.819999998</v>
      </c>
      <c r="I3553" s="147"/>
      <c r="J3553" s="147"/>
      <c r="K3553" s="147" t="str">
        <f t="shared" si="55"/>
        <v/>
      </c>
      <c r="L3553" s="40"/>
      <c r="M3553"/>
      <c r="N3553"/>
      <c r="O3553"/>
      <c r="P3553"/>
      <c r="Q3553"/>
      <c r="R3553"/>
      <c r="S3553"/>
      <c r="T3553"/>
      <c r="U3553"/>
      <c r="V3553"/>
      <c r="W3553" s="41"/>
      <c r="X3553" s="41"/>
      <c r="Y3553" s="41"/>
    </row>
    <row r="3554" s="27" customFormat="1" ht="23" hidden="1" customHeight="1" spans="1:25">
      <c r="A3554" s="133" t="str">
        <f>IF(B3554="","",COUNTA($B$5:B3554))</f>
        <v/>
      </c>
      <c r="B3554" s="148"/>
      <c r="C3554" s="22" t="s">
        <v>49</v>
      </c>
      <c r="D3554" s="149"/>
      <c r="E3554" s="150"/>
      <c r="F3554" s="151"/>
      <c r="G3554" s="151"/>
      <c r="H3554" s="142">
        <f>IFERROR(VLOOKUP($C3554,$C$5:$H$18,6,0)+SUMIF($C$19:$C3554,$C3554,$F$19:$F3554)-SUMIF($C$19:$C3554,$C3554,$G$19:$G3554),"")</f>
        <v>81211.819999998</v>
      </c>
      <c r="I3554" s="147"/>
      <c r="J3554" s="147"/>
      <c r="K3554" s="147" t="str">
        <f t="shared" si="55"/>
        <v/>
      </c>
      <c r="L3554" s="40"/>
      <c r="M3554"/>
      <c r="N3554"/>
      <c r="O3554"/>
      <c r="P3554"/>
      <c r="Q3554"/>
      <c r="R3554"/>
      <c r="S3554"/>
      <c r="T3554"/>
      <c r="U3554"/>
      <c r="V3554"/>
      <c r="W3554" s="41"/>
      <c r="X3554" s="41"/>
      <c r="Y3554" s="41"/>
    </row>
    <row r="3555" s="27" customFormat="1" ht="23" hidden="1" customHeight="1" spans="1:25">
      <c r="A3555" s="133" t="str">
        <f>IF(B3555="","",COUNTA($B$5:B3555))</f>
        <v/>
      </c>
      <c r="B3555" s="148"/>
      <c r="C3555" s="22" t="s">
        <v>49</v>
      </c>
      <c r="D3555" s="149"/>
      <c r="E3555" s="150"/>
      <c r="F3555" s="151"/>
      <c r="G3555" s="151"/>
      <c r="H3555" s="142">
        <f>IFERROR(VLOOKUP($C3555,$C$5:$H$18,6,0)+SUMIF($C$19:$C3555,$C3555,$F$19:$F3555)-SUMIF($C$19:$C3555,$C3555,$G$19:$G3555),"")</f>
        <v>81211.819999998</v>
      </c>
      <c r="I3555" s="147"/>
      <c r="J3555" s="147"/>
      <c r="K3555" s="147" t="str">
        <f t="shared" si="55"/>
        <v/>
      </c>
      <c r="L3555" s="40"/>
      <c r="M3555"/>
      <c r="N3555"/>
      <c r="O3555"/>
      <c r="P3555"/>
      <c r="Q3555"/>
      <c r="R3555"/>
      <c r="S3555"/>
      <c r="T3555"/>
      <c r="U3555"/>
      <c r="V3555"/>
      <c r="W3555" s="41"/>
      <c r="X3555" s="41"/>
      <c r="Y3555" s="41"/>
    </row>
    <row r="3556" s="27" customFormat="1" ht="23" hidden="1" customHeight="1" spans="1:25">
      <c r="A3556" s="133" t="str">
        <f>IF(B3556="","",COUNTA($B$5:B3556))</f>
        <v/>
      </c>
      <c r="B3556" s="148"/>
      <c r="C3556" s="22" t="s">
        <v>49</v>
      </c>
      <c r="D3556" s="149"/>
      <c r="E3556" s="150"/>
      <c r="F3556" s="151"/>
      <c r="G3556" s="151"/>
      <c r="H3556" s="142">
        <f>IFERROR(VLOOKUP($C3556,$C$5:$H$18,6,0)+SUMIF($C$19:$C3556,$C3556,$F$19:$F3556)-SUMIF($C$19:$C3556,$C3556,$G$19:$G3556),"")</f>
        <v>81211.819999998</v>
      </c>
      <c r="I3556" s="147"/>
      <c r="J3556" s="147"/>
      <c r="K3556" s="147" t="str">
        <f t="shared" si="55"/>
        <v/>
      </c>
      <c r="L3556" s="40"/>
      <c r="M3556"/>
      <c r="N3556"/>
      <c r="O3556"/>
      <c r="P3556"/>
      <c r="Q3556"/>
      <c r="R3556"/>
      <c r="S3556"/>
      <c r="T3556"/>
      <c r="U3556"/>
      <c r="V3556"/>
      <c r="W3556" s="41"/>
      <c r="X3556" s="41"/>
      <c r="Y3556" s="41"/>
    </row>
    <row r="3557" s="27" customFormat="1" ht="23" hidden="1" customHeight="1" spans="1:25">
      <c r="A3557" s="133" t="str">
        <f>IF(B3557="","",COUNTA($B$5:B3557))</f>
        <v/>
      </c>
      <c r="B3557" s="148"/>
      <c r="C3557" s="22" t="s">
        <v>49</v>
      </c>
      <c r="D3557" s="149"/>
      <c r="E3557" s="150"/>
      <c r="F3557" s="151"/>
      <c r="G3557" s="151"/>
      <c r="H3557" s="142">
        <f>IFERROR(VLOOKUP($C3557,$C$5:$H$18,6,0)+SUMIF($C$19:$C3557,$C3557,$F$19:$F3557)-SUMIF($C$19:$C3557,$C3557,$G$19:$G3557),"")</f>
        <v>81211.819999998</v>
      </c>
      <c r="I3557" s="147"/>
      <c r="J3557" s="147"/>
      <c r="K3557" s="147" t="str">
        <f t="shared" si="55"/>
        <v/>
      </c>
      <c r="L3557" s="40"/>
      <c r="M3557"/>
      <c r="N3557"/>
      <c r="O3557"/>
      <c r="P3557"/>
      <c r="Q3557"/>
      <c r="R3557"/>
      <c r="S3557"/>
      <c r="T3557"/>
      <c r="U3557"/>
      <c r="V3557"/>
      <c r="W3557" s="41"/>
      <c r="X3557" s="41"/>
      <c r="Y3557" s="41"/>
    </row>
    <row r="3558" s="27" customFormat="1" ht="23" hidden="1" customHeight="1" spans="1:25">
      <c r="A3558" s="133" t="str">
        <f>IF(B3558="","",COUNTA($B$5:B3558))</f>
        <v/>
      </c>
      <c r="B3558" s="148"/>
      <c r="C3558" s="22" t="s">
        <v>49</v>
      </c>
      <c r="D3558" s="149"/>
      <c r="E3558" s="150"/>
      <c r="F3558" s="151"/>
      <c r="G3558" s="151"/>
      <c r="H3558" s="142">
        <f>IFERROR(VLOOKUP($C3558,$C$5:$H$18,6,0)+SUMIF($C$19:$C3558,$C3558,$F$19:$F3558)-SUMIF($C$19:$C3558,$C3558,$G$19:$G3558),"")</f>
        <v>81211.819999998</v>
      </c>
      <c r="I3558" s="147"/>
      <c r="J3558" s="147"/>
      <c r="K3558" s="147" t="str">
        <f t="shared" si="55"/>
        <v/>
      </c>
      <c r="L3558" s="40"/>
      <c r="M3558"/>
      <c r="N3558"/>
      <c r="O3558"/>
      <c r="P3558"/>
      <c r="Q3558"/>
      <c r="R3558"/>
      <c r="S3558"/>
      <c r="T3558"/>
      <c r="U3558"/>
      <c r="V3558"/>
      <c r="W3558" s="41"/>
      <c r="X3558" s="41"/>
      <c r="Y3558" s="41"/>
    </row>
    <row r="3559" s="27" customFormat="1" ht="23" hidden="1" customHeight="1" spans="1:25">
      <c r="A3559" s="133" t="str">
        <f>IF(B3559="","",COUNTA($B$5:B3559))</f>
        <v/>
      </c>
      <c r="B3559" s="148"/>
      <c r="C3559" s="22" t="s">
        <v>49</v>
      </c>
      <c r="D3559" s="149"/>
      <c r="E3559" s="150"/>
      <c r="F3559" s="151"/>
      <c r="G3559" s="151"/>
      <c r="H3559" s="142">
        <f>IFERROR(VLOOKUP($C3559,$C$5:$H$18,6,0)+SUMIF($C$19:$C3559,$C3559,$F$19:$F3559)-SUMIF($C$19:$C3559,$C3559,$G$19:$G3559),"")</f>
        <v>81211.819999998</v>
      </c>
      <c r="I3559" s="147"/>
      <c r="J3559" s="147"/>
      <c r="K3559" s="147" t="str">
        <f t="shared" si="55"/>
        <v/>
      </c>
      <c r="L3559" s="40"/>
      <c r="M3559"/>
      <c r="N3559"/>
      <c r="O3559"/>
      <c r="P3559"/>
      <c r="Q3559"/>
      <c r="R3559"/>
      <c r="S3559"/>
      <c r="T3559"/>
      <c r="U3559"/>
      <c r="V3559"/>
      <c r="W3559" s="41"/>
      <c r="X3559" s="41"/>
      <c r="Y3559" s="41"/>
    </row>
    <row r="3560" s="27" customFormat="1" ht="23" hidden="1" customHeight="1" spans="1:25">
      <c r="A3560" s="133" t="str">
        <f>IF(B3560="","",COUNTA($B$5:B3560))</f>
        <v/>
      </c>
      <c r="B3560" s="148"/>
      <c r="C3560" s="22" t="s">
        <v>49</v>
      </c>
      <c r="D3560" s="149"/>
      <c r="E3560" s="150"/>
      <c r="F3560" s="151"/>
      <c r="G3560" s="151"/>
      <c r="H3560" s="142">
        <f>IFERROR(VLOOKUP($C3560,$C$5:$H$18,6,0)+SUMIF($C$19:$C3560,$C3560,$F$19:$F3560)-SUMIF($C$19:$C3560,$C3560,$G$19:$G3560),"")</f>
        <v>81211.819999998</v>
      </c>
      <c r="I3560" s="147"/>
      <c r="J3560" s="147"/>
      <c r="K3560" s="147" t="str">
        <f t="shared" si="55"/>
        <v/>
      </c>
      <c r="L3560" s="40"/>
      <c r="M3560"/>
      <c r="N3560"/>
      <c r="O3560"/>
      <c r="P3560"/>
      <c r="Q3560"/>
      <c r="R3560"/>
      <c r="S3560"/>
      <c r="T3560"/>
      <c r="U3560"/>
      <c r="V3560"/>
      <c r="W3560" s="41"/>
      <c r="X3560" s="41"/>
      <c r="Y3560" s="41"/>
    </row>
    <row r="3561" s="27" customFormat="1" ht="23" hidden="1" customHeight="1" spans="1:25">
      <c r="A3561" s="133" t="str">
        <f>IF(B3561="","",COUNTA($B$5:B3561))</f>
        <v/>
      </c>
      <c r="B3561" s="148"/>
      <c r="C3561" s="22" t="s">
        <v>49</v>
      </c>
      <c r="D3561" s="149"/>
      <c r="E3561" s="150"/>
      <c r="F3561" s="151"/>
      <c r="G3561" s="151"/>
      <c r="H3561" s="142">
        <f>IFERROR(VLOOKUP($C3561,$C$5:$H$18,6,0)+SUMIF($C$19:$C3561,$C3561,$F$19:$F3561)-SUMIF($C$19:$C3561,$C3561,$G$19:$G3561),"")</f>
        <v>81211.819999998</v>
      </c>
      <c r="I3561" s="147"/>
      <c r="J3561" s="147"/>
      <c r="K3561" s="147" t="str">
        <f t="shared" si="55"/>
        <v/>
      </c>
      <c r="L3561" s="40"/>
      <c r="M3561"/>
      <c r="N3561"/>
      <c r="O3561"/>
      <c r="P3561"/>
      <c r="Q3561"/>
      <c r="R3561"/>
      <c r="S3561"/>
      <c r="T3561"/>
      <c r="U3561"/>
      <c r="V3561"/>
      <c r="W3561" s="41"/>
      <c r="X3561" s="41"/>
      <c r="Y3561" s="41"/>
    </row>
    <row r="3562" s="27" customFormat="1" ht="23" hidden="1" customHeight="1" spans="1:25">
      <c r="A3562" s="133" t="str">
        <f>IF(B3562="","",COUNTA($B$5:B3562))</f>
        <v/>
      </c>
      <c r="B3562" s="148"/>
      <c r="C3562" s="22" t="s">
        <v>49</v>
      </c>
      <c r="D3562" s="149"/>
      <c r="E3562" s="150"/>
      <c r="F3562" s="151"/>
      <c r="G3562" s="151"/>
      <c r="H3562" s="142">
        <f>IFERROR(VLOOKUP($C3562,$C$5:$H$18,6,0)+SUMIF($C$19:$C3562,$C3562,$F$19:$F3562)-SUMIF($C$19:$C3562,$C3562,$G$19:$G3562),"")</f>
        <v>81211.819999998</v>
      </c>
      <c r="I3562" s="147"/>
      <c r="J3562" s="147"/>
      <c r="K3562" s="147" t="str">
        <f t="shared" si="55"/>
        <v/>
      </c>
      <c r="L3562" s="40"/>
      <c r="M3562"/>
      <c r="N3562"/>
      <c r="O3562"/>
      <c r="P3562"/>
      <c r="Q3562"/>
      <c r="R3562"/>
      <c r="S3562"/>
      <c r="T3562"/>
      <c r="U3562"/>
      <c r="V3562"/>
      <c r="W3562" s="41"/>
      <c r="X3562" s="41"/>
      <c r="Y3562" s="41"/>
    </row>
    <row r="3563" s="27" customFormat="1" ht="23" hidden="1" customHeight="1" spans="1:25">
      <c r="A3563" s="133" t="str">
        <f>IF(B3563="","",COUNTA($B$5:B3563))</f>
        <v/>
      </c>
      <c r="B3563" s="148"/>
      <c r="C3563" s="22" t="s">
        <v>49</v>
      </c>
      <c r="D3563" s="149"/>
      <c r="E3563" s="150"/>
      <c r="F3563" s="151"/>
      <c r="G3563" s="151"/>
      <c r="H3563" s="142">
        <f>IFERROR(VLOOKUP($C3563,$C$5:$H$18,6,0)+SUMIF($C$19:$C3563,$C3563,$F$19:$F3563)-SUMIF($C$19:$C3563,$C3563,$G$19:$G3563),"")</f>
        <v>81211.819999998</v>
      </c>
      <c r="I3563" s="147"/>
      <c r="J3563" s="147"/>
      <c r="K3563" s="147" t="str">
        <f t="shared" si="55"/>
        <v/>
      </c>
      <c r="L3563" s="40"/>
      <c r="M3563"/>
      <c r="N3563"/>
      <c r="O3563"/>
      <c r="P3563"/>
      <c r="Q3563"/>
      <c r="R3563"/>
      <c r="S3563"/>
      <c r="T3563"/>
      <c r="U3563"/>
      <c r="V3563"/>
      <c r="W3563" s="41"/>
      <c r="X3563" s="41"/>
      <c r="Y3563" s="41"/>
    </row>
    <row r="3564" s="27" customFormat="1" ht="23" hidden="1" customHeight="1" spans="1:25">
      <c r="A3564" s="133" t="str">
        <f>IF(B3564="","",COUNTA($B$5:B3564))</f>
        <v/>
      </c>
      <c r="B3564" s="148"/>
      <c r="C3564" s="22" t="s">
        <v>49</v>
      </c>
      <c r="D3564" s="149"/>
      <c r="E3564" s="150"/>
      <c r="F3564" s="151"/>
      <c r="G3564" s="151"/>
      <c r="H3564" s="142">
        <f>IFERROR(VLOOKUP($C3564,$C$5:$H$18,6,0)+SUMIF($C$19:$C3564,$C3564,$F$19:$F3564)-SUMIF($C$19:$C3564,$C3564,$G$19:$G3564),"")</f>
        <v>81211.819999998</v>
      </c>
      <c r="I3564" s="147"/>
      <c r="J3564" s="147"/>
      <c r="K3564" s="147" t="str">
        <f t="shared" si="55"/>
        <v/>
      </c>
      <c r="L3564" s="40"/>
      <c r="M3564"/>
      <c r="N3564"/>
      <c r="O3564"/>
      <c r="P3564"/>
      <c r="Q3564"/>
      <c r="R3564"/>
      <c r="S3564"/>
      <c r="T3564"/>
      <c r="U3564"/>
      <c r="V3564"/>
      <c r="W3564" s="41"/>
      <c r="X3564" s="41"/>
      <c r="Y3564" s="41"/>
    </row>
    <row r="3565" s="27" customFormat="1" ht="23" hidden="1" customHeight="1" spans="1:25">
      <c r="A3565" s="133" t="str">
        <f>IF(B3565="","",COUNTA($B$5:B3565))</f>
        <v/>
      </c>
      <c r="B3565" s="148"/>
      <c r="C3565" s="22" t="s">
        <v>49</v>
      </c>
      <c r="D3565" s="149"/>
      <c r="E3565" s="150"/>
      <c r="F3565" s="151"/>
      <c r="G3565" s="151"/>
      <c r="H3565" s="142">
        <f>IFERROR(VLOOKUP($C3565,$C$5:$H$18,6,0)+SUMIF($C$19:$C3565,$C3565,$F$19:$F3565)-SUMIF($C$19:$C3565,$C3565,$G$19:$G3565),"")</f>
        <v>81211.819999998</v>
      </c>
      <c r="I3565" s="147"/>
      <c r="J3565" s="147"/>
      <c r="K3565" s="147" t="str">
        <f t="shared" si="55"/>
        <v/>
      </c>
      <c r="L3565" s="40"/>
      <c r="M3565"/>
      <c r="N3565"/>
      <c r="O3565"/>
      <c r="P3565"/>
      <c r="Q3565"/>
      <c r="R3565"/>
      <c r="S3565"/>
      <c r="T3565"/>
      <c r="U3565"/>
      <c r="V3565"/>
      <c r="W3565" s="41"/>
      <c r="X3565" s="41"/>
      <c r="Y3565" s="41"/>
    </row>
    <row r="3566" s="27" customFormat="1" ht="23" hidden="1" customHeight="1" spans="1:25">
      <c r="A3566" s="133" t="str">
        <f>IF(B3566="","",COUNTA($B$5:B3566))</f>
        <v/>
      </c>
      <c r="B3566" s="148"/>
      <c r="C3566" s="22" t="s">
        <v>49</v>
      </c>
      <c r="D3566" s="149"/>
      <c r="E3566" s="150"/>
      <c r="F3566" s="151"/>
      <c r="G3566" s="151"/>
      <c r="H3566" s="142">
        <f>IFERROR(VLOOKUP($C3566,$C$5:$H$18,6,0)+SUMIF($C$19:$C3566,$C3566,$F$19:$F3566)-SUMIF($C$19:$C3566,$C3566,$G$19:$G3566),"")</f>
        <v>81211.819999998</v>
      </c>
      <c r="I3566" s="147"/>
      <c r="J3566" s="147"/>
      <c r="K3566" s="147" t="str">
        <f t="shared" si="55"/>
        <v/>
      </c>
      <c r="L3566" s="40"/>
      <c r="M3566"/>
      <c r="N3566"/>
      <c r="O3566"/>
      <c r="P3566"/>
      <c r="Q3566"/>
      <c r="R3566"/>
      <c r="S3566"/>
      <c r="T3566"/>
      <c r="U3566"/>
      <c r="V3566"/>
      <c r="W3566" s="41"/>
      <c r="X3566" s="41"/>
      <c r="Y3566" s="41"/>
    </row>
    <row r="3567" s="27" customFormat="1" ht="23" hidden="1" customHeight="1" spans="1:25">
      <c r="A3567" s="133" t="str">
        <f>IF(B3567="","",COUNTA($B$5:B3567))</f>
        <v/>
      </c>
      <c r="B3567" s="148"/>
      <c r="C3567" s="22" t="s">
        <v>49</v>
      </c>
      <c r="D3567" s="149"/>
      <c r="E3567" s="150"/>
      <c r="F3567" s="151"/>
      <c r="G3567" s="151"/>
      <c r="H3567" s="142">
        <f>IFERROR(VLOOKUP($C3567,$C$5:$H$18,6,0)+SUMIF($C$19:$C3567,$C3567,$F$19:$F3567)-SUMIF($C$19:$C3567,$C3567,$G$19:$G3567),"")</f>
        <v>81211.819999998</v>
      </c>
      <c r="I3567" s="147"/>
      <c r="J3567" s="147"/>
      <c r="K3567" s="147" t="str">
        <f t="shared" si="55"/>
        <v/>
      </c>
      <c r="L3567" s="40"/>
      <c r="M3567"/>
      <c r="N3567"/>
      <c r="O3567"/>
      <c r="P3567"/>
      <c r="Q3567"/>
      <c r="R3567"/>
      <c r="S3567"/>
      <c r="T3567"/>
      <c r="U3567"/>
      <c r="V3567"/>
      <c r="W3567" s="41"/>
      <c r="X3567" s="41"/>
      <c r="Y3567" s="41"/>
    </row>
    <row r="3568" s="27" customFormat="1" ht="23" hidden="1" customHeight="1" spans="1:25">
      <c r="A3568" s="133" t="str">
        <f>IF(B3568="","",COUNTA($B$5:B3568))</f>
        <v/>
      </c>
      <c r="B3568" s="148"/>
      <c r="C3568" s="22" t="s">
        <v>49</v>
      </c>
      <c r="D3568" s="149"/>
      <c r="E3568" s="150"/>
      <c r="F3568" s="151"/>
      <c r="G3568" s="151"/>
      <c r="H3568" s="142">
        <f>IFERROR(VLOOKUP($C3568,$C$5:$H$18,6,0)+SUMIF($C$19:$C3568,$C3568,$F$19:$F3568)-SUMIF($C$19:$C3568,$C3568,$G$19:$G3568),"")</f>
        <v>81211.819999998</v>
      </c>
      <c r="I3568" s="147"/>
      <c r="J3568" s="147"/>
      <c r="K3568" s="147" t="str">
        <f t="shared" si="55"/>
        <v/>
      </c>
      <c r="L3568" s="40"/>
      <c r="M3568"/>
      <c r="N3568"/>
      <c r="O3568"/>
      <c r="P3568"/>
      <c r="Q3568"/>
      <c r="R3568"/>
      <c r="S3568"/>
      <c r="T3568"/>
      <c r="U3568"/>
      <c r="V3568"/>
      <c r="W3568" s="41"/>
      <c r="X3568" s="41"/>
      <c r="Y3568" s="41"/>
    </row>
    <row r="3569" s="27" customFormat="1" ht="23" hidden="1" customHeight="1" spans="1:25">
      <c r="A3569" s="133" t="str">
        <f>IF(B3569="","",COUNTA($B$5:B3569))</f>
        <v/>
      </c>
      <c r="B3569" s="148"/>
      <c r="C3569" s="22" t="s">
        <v>49</v>
      </c>
      <c r="D3569" s="149"/>
      <c r="E3569" s="150"/>
      <c r="F3569" s="151"/>
      <c r="G3569" s="151"/>
      <c r="H3569" s="142">
        <f>IFERROR(VLOOKUP($C3569,$C$5:$H$18,6,0)+SUMIF($C$19:$C3569,$C3569,$F$19:$F3569)-SUMIF($C$19:$C3569,$C3569,$G$19:$G3569),"")</f>
        <v>81211.819999998</v>
      </c>
      <c r="I3569" s="147"/>
      <c r="J3569" s="147"/>
      <c r="K3569" s="147" t="str">
        <f t="shared" si="55"/>
        <v/>
      </c>
      <c r="L3569" s="40"/>
      <c r="M3569"/>
      <c r="N3569"/>
      <c r="O3569"/>
      <c r="P3569"/>
      <c r="Q3569"/>
      <c r="R3569"/>
      <c r="S3569"/>
      <c r="T3569"/>
      <c r="U3569"/>
      <c r="V3569"/>
      <c r="W3569" s="41"/>
      <c r="X3569" s="41"/>
      <c r="Y3569" s="41"/>
    </row>
    <row r="3570" s="27" customFormat="1" ht="23" hidden="1" customHeight="1" spans="1:25">
      <c r="A3570" s="133" t="str">
        <f>IF(B3570="","",COUNTA($B$5:B3570))</f>
        <v/>
      </c>
      <c r="B3570" s="148"/>
      <c r="C3570" s="22" t="s">
        <v>49</v>
      </c>
      <c r="D3570" s="149"/>
      <c r="E3570" s="150"/>
      <c r="F3570" s="151"/>
      <c r="G3570" s="151"/>
      <c r="H3570" s="142">
        <f>IFERROR(VLOOKUP($C3570,$C$5:$H$18,6,0)+SUMIF($C$19:$C3570,$C3570,$F$19:$F3570)-SUMIF($C$19:$C3570,$C3570,$G$19:$G3570),"")</f>
        <v>81211.819999998</v>
      </c>
      <c r="I3570" s="147"/>
      <c r="J3570" s="147"/>
      <c r="K3570" s="147" t="str">
        <f t="shared" si="55"/>
        <v/>
      </c>
      <c r="L3570" s="40"/>
      <c r="M3570"/>
      <c r="N3570"/>
      <c r="O3570"/>
      <c r="P3570"/>
      <c r="Q3570"/>
      <c r="R3570"/>
      <c r="S3570"/>
      <c r="T3570"/>
      <c r="U3570"/>
      <c r="V3570"/>
      <c r="W3570" s="41"/>
      <c r="X3570" s="41"/>
      <c r="Y3570" s="41"/>
    </row>
    <row r="3571" s="27" customFormat="1" ht="23" hidden="1" customHeight="1" spans="1:25">
      <c r="A3571" s="133" t="str">
        <f>IF(B3571="","",COUNTA($B$5:B3571))</f>
        <v/>
      </c>
      <c r="B3571" s="148"/>
      <c r="C3571" s="22" t="s">
        <v>49</v>
      </c>
      <c r="D3571" s="149"/>
      <c r="E3571" s="150"/>
      <c r="F3571" s="151"/>
      <c r="G3571" s="151"/>
      <c r="H3571" s="142">
        <f>IFERROR(VLOOKUP($C3571,$C$5:$H$18,6,0)+SUMIF($C$19:$C3571,$C3571,$F$19:$F3571)-SUMIF($C$19:$C3571,$C3571,$G$19:$G3571),"")</f>
        <v>81211.819999998</v>
      </c>
      <c r="I3571" s="147"/>
      <c r="J3571" s="147"/>
      <c r="K3571" s="147" t="str">
        <f t="shared" si="55"/>
        <v/>
      </c>
      <c r="L3571" s="40"/>
      <c r="M3571"/>
      <c r="N3571"/>
      <c r="O3571"/>
      <c r="P3571"/>
      <c r="Q3571"/>
      <c r="R3571"/>
      <c r="S3571"/>
      <c r="T3571"/>
      <c r="U3571"/>
      <c r="V3571"/>
      <c r="W3571" s="41"/>
      <c r="X3571" s="41"/>
      <c r="Y3571" s="41"/>
    </row>
    <row r="3572" s="27" customFormat="1" ht="23" hidden="1" customHeight="1" spans="1:25">
      <c r="A3572" s="133" t="str">
        <f>IF(B3572="","",COUNTA($B$5:B3572))</f>
        <v/>
      </c>
      <c r="B3572" s="148"/>
      <c r="C3572" s="22" t="s">
        <v>49</v>
      </c>
      <c r="D3572" s="149"/>
      <c r="E3572" s="150"/>
      <c r="F3572" s="151"/>
      <c r="G3572" s="151"/>
      <c r="H3572" s="142">
        <f>IFERROR(VLOOKUP($C3572,$C$5:$H$18,6,0)+SUMIF($C$19:$C3572,$C3572,$F$19:$F3572)-SUMIF($C$19:$C3572,$C3572,$G$19:$G3572),"")</f>
        <v>81211.819999998</v>
      </c>
      <c r="I3572" s="147"/>
      <c r="J3572" s="147"/>
      <c r="K3572" s="147" t="str">
        <f t="shared" si="55"/>
        <v/>
      </c>
      <c r="L3572" s="40"/>
      <c r="M3572"/>
      <c r="N3572"/>
      <c r="O3572"/>
      <c r="P3572"/>
      <c r="Q3572"/>
      <c r="R3572"/>
      <c r="S3572"/>
      <c r="T3572"/>
      <c r="U3572"/>
      <c r="V3572"/>
      <c r="W3572" s="41"/>
      <c r="X3572" s="41"/>
      <c r="Y3572" s="41"/>
    </row>
    <row r="3573" s="27" customFormat="1" ht="23" hidden="1" customHeight="1" spans="1:25">
      <c r="A3573" s="133" t="str">
        <f>IF(B3573="","",COUNTA($B$5:B3573))</f>
        <v/>
      </c>
      <c r="B3573" s="148"/>
      <c r="C3573" s="22" t="s">
        <v>49</v>
      </c>
      <c r="D3573" s="149"/>
      <c r="E3573" s="150"/>
      <c r="F3573" s="151"/>
      <c r="G3573" s="151"/>
      <c r="H3573" s="142">
        <f>IFERROR(VLOOKUP($C3573,$C$5:$H$18,6,0)+SUMIF($C$19:$C3573,$C3573,$F$19:$F3573)-SUMIF($C$19:$C3573,$C3573,$G$19:$G3573),"")</f>
        <v>81211.819999998</v>
      </c>
      <c r="I3573" s="147"/>
      <c r="J3573" s="147"/>
      <c r="K3573" s="147" t="str">
        <f t="shared" si="55"/>
        <v/>
      </c>
      <c r="L3573" s="40"/>
      <c r="M3573"/>
      <c r="N3573"/>
      <c r="O3573"/>
      <c r="P3573"/>
      <c r="Q3573"/>
      <c r="R3573"/>
      <c r="S3573"/>
      <c r="T3573"/>
      <c r="U3573"/>
      <c r="V3573"/>
      <c r="W3573" s="41"/>
      <c r="X3573" s="41"/>
      <c r="Y3573" s="41"/>
    </row>
    <row r="3574" s="27" customFormat="1" ht="23" hidden="1" customHeight="1" spans="1:25">
      <c r="A3574" s="133" t="str">
        <f>IF(B3574="","",COUNTA($B$5:B3574))</f>
        <v/>
      </c>
      <c r="B3574" s="148"/>
      <c r="C3574" s="22" t="s">
        <v>49</v>
      </c>
      <c r="D3574" s="149"/>
      <c r="E3574" s="150"/>
      <c r="F3574" s="151"/>
      <c r="G3574" s="151"/>
      <c r="H3574" s="142">
        <f>IFERROR(VLOOKUP($C3574,$C$5:$H$18,6,0)+SUMIF($C$19:$C3574,$C3574,$F$19:$F3574)-SUMIF($C$19:$C3574,$C3574,$G$19:$G3574),"")</f>
        <v>81211.819999998</v>
      </c>
      <c r="I3574" s="147"/>
      <c r="J3574" s="147"/>
      <c r="K3574" s="147" t="str">
        <f t="shared" si="55"/>
        <v/>
      </c>
      <c r="L3574" s="40"/>
      <c r="M3574"/>
      <c r="N3574"/>
      <c r="O3574"/>
      <c r="P3574"/>
      <c r="Q3574"/>
      <c r="R3574"/>
      <c r="S3574"/>
      <c r="T3574"/>
      <c r="U3574"/>
      <c r="V3574"/>
      <c r="W3574" s="41"/>
      <c r="X3574" s="41"/>
      <c r="Y3574" s="41"/>
    </row>
    <row r="3575" s="27" customFormat="1" ht="23" hidden="1" customHeight="1" spans="1:25">
      <c r="A3575" s="133" t="str">
        <f>IF(B3575="","",COUNTA($B$5:B3575))</f>
        <v/>
      </c>
      <c r="B3575" s="148"/>
      <c r="C3575" s="22" t="s">
        <v>49</v>
      </c>
      <c r="D3575" s="149"/>
      <c r="E3575" s="150"/>
      <c r="F3575" s="151"/>
      <c r="G3575" s="151"/>
      <c r="H3575" s="142">
        <f>IFERROR(VLOOKUP($C3575,$C$5:$H$18,6,0)+SUMIF($C$19:$C3575,$C3575,$F$19:$F3575)-SUMIF($C$19:$C3575,$C3575,$G$19:$G3575),"")</f>
        <v>81211.819999998</v>
      </c>
      <c r="I3575" s="147"/>
      <c r="J3575" s="147"/>
      <c r="K3575" s="147" t="str">
        <f t="shared" si="55"/>
        <v/>
      </c>
      <c r="L3575" s="40"/>
      <c r="M3575"/>
      <c r="N3575"/>
      <c r="O3575"/>
      <c r="P3575"/>
      <c r="Q3575"/>
      <c r="R3575"/>
      <c r="S3575"/>
      <c r="T3575"/>
      <c r="U3575"/>
      <c r="V3575"/>
      <c r="W3575" s="41"/>
      <c r="X3575" s="41"/>
      <c r="Y3575" s="41"/>
    </row>
    <row r="3576" s="27" customFormat="1" ht="23" hidden="1" customHeight="1" spans="1:25">
      <c r="A3576" s="133" t="str">
        <f>IF(B3576="","",COUNTA($B$5:B3576))</f>
        <v/>
      </c>
      <c r="B3576" s="148"/>
      <c r="C3576" s="22" t="s">
        <v>49</v>
      </c>
      <c r="D3576" s="149"/>
      <c r="E3576" s="150"/>
      <c r="F3576" s="151"/>
      <c r="G3576" s="151"/>
      <c r="H3576" s="142">
        <f>IFERROR(VLOOKUP($C3576,$C$5:$H$18,6,0)+SUMIF($C$19:$C3576,$C3576,$F$19:$F3576)-SUMIF($C$19:$C3576,$C3576,$G$19:$G3576),"")</f>
        <v>81211.819999998</v>
      </c>
      <c r="I3576" s="147"/>
      <c r="J3576" s="147"/>
      <c r="K3576" s="147" t="str">
        <f t="shared" si="55"/>
        <v/>
      </c>
      <c r="L3576" s="40"/>
      <c r="M3576"/>
      <c r="N3576"/>
      <c r="O3576"/>
      <c r="P3576"/>
      <c r="Q3576"/>
      <c r="R3576"/>
      <c r="S3576"/>
      <c r="T3576"/>
      <c r="U3576"/>
      <c r="V3576"/>
      <c r="W3576" s="41"/>
      <c r="X3576" s="41"/>
      <c r="Y3576" s="41"/>
    </row>
    <row r="3577" s="27" customFormat="1" ht="23" hidden="1" customHeight="1" spans="1:25">
      <c r="A3577" s="133" t="str">
        <f>IF(B3577="","",COUNTA($B$5:B3577))</f>
        <v/>
      </c>
      <c r="B3577" s="148"/>
      <c r="C3577" s="22" t="s">
        <v>49</v>
      </c>
      <c r="D3577" s="149"/>
      <c r="E3577" s="150"/>
      <c r="F3577" s="151"/>
      <c r="G3577" s="151"/>
      <c r="H3577" s="142">
        <f>IFERROR(VLOOKUP($C3577,$C$5:$H$18,6,0)+SUMIF($C$19:$C3577,$C3577,$F$19:$F3577)-SUMIF($C$19:$C3577,$C3577,$G$19:$G3577),"")</f>
        <v>81211.819999998</v>
      </c>
      <c r="I3577" s="147"/>
      <c r="J3577" s="147"/>
      <c r="K3577" s="147" t="str">
        <f t="shared" si="55"/>
        <v/>
      </c>
      <c r="L3577" s="40"/>
      <c r="M3577"/>
      <c r="N3577"/>
      <c r="O3577"/>
      <c r="P3577"/>
      <c r="Q3577"/>
      <c r="R3577"/>
      <c r="S3577"/>
      <c r="T3577"/>
      <c r="U3577"/>
      <c r="V3577"/>
      <c r="W3577" s="41"/>
      <c r="X3577" s="41"/>
      <c r="Y3577" s="41"/>
    </row>
    <row r="3578" s="27" customFormat="1" ht="23" hidden="1" customHeight="1" spans="1:25">
      <c r="A3578" s="133" t="str">
        <f>IF(B3578="","",COUNTA($B$5:B3578))</f>
        <v/>
      </c>
      <c r="B3578" s="148"/>
      <c r="C3578" s="22" t="s">
        <v>49</v>
      </c>
      <c r="D3578" s="149"/>
      <c r="E3578" s="150"/>
      <c r="F3578" s="151"/>
      <c r="G3578" s="151"/>
      <c r="H3578" s="142">
        <f>IFERROR(VLOOKUP($C3578,$C$5:$H$18,6,0)+SUMIF($C$19:$C3578,$C3578,$F$19:$F3578)-SUMIF($C$19:$C3578,$C3578,$G$19:$G3578),"")</f>
        <v>81211.819999998</v>
      </c>
      <c r="I3578" s="147"/>
      <c r="J3578" s="147"/>
      <c r="K3578" s="147" t="str">
        <f t="shared" si="55"/>
        <v/>
      </c>
      <c r="L3578" s="40"/>
      <c r="M3578"/>
      <c r="N3578"/>
      <c r="O3578"/>
      <c r="P3578"/>
      <c r="Q3578"/>
      <c r="R3578"/>
      <c r="S3578"/>
      <c r="T3578"/>
      <c r="U3578"/>
      <c r="V3578"/>
      <c r="W3578" s="41"/>
      <c r="X3578" s="41"/>
      <c r="Y3578" s="41"/>
    </row>
    <row r="3579" s="27" customFormat="1" ht="23" hidden="1" customHeight="1" spans="1:25">
      <c r="A3579" s="133" t="str">
        <f>IF(B3579="","",COUNTA($B$5:B3579))</f>
        <v/>
      </c>
      <c r="B3579" s="148"/>
      <c r="C3579" s="22" t="s">
        <v>49</v>
      </c>
      <c r="D3579" s="149"/>
      <c r="E3579" s="150"/>
      <c r="F3579" s="151"/>
      <c r="G3579" s="151"/>
      <c r="H3579" s="142">
        <f>IFERROR(VLOOKUP($C3579,$C$5:$H$18,6,0)+SUMIF($C$19:$C3579,$C3579,$F$19:$F3579)-SUMIF($C$19:$C3579,$C3579,$G$19:$G3579),"")</f>
        <v>81211.819999998</v>
      </c>
      <c r="I3579" s="147"/>
      <c r="J3579" s="147"/>
      <c r="K3579" s="147" t="str">
        <f t="shared" si="55"/>
        <v/>
      </c>
      <c r="L3579" s="40"/>
      <c r="M3579"/>
      <c r="N3579"/>
      <c r="O3579"/>
      <c r="P3579"/>
      <c r="Q3579"/>
      <c r="R3579"/>
      <c r="S3579"/>
      <c r="T3579"/>
      <c r="U3579"/>
      <c r="V3579"/>
      <c r="W3579" s="41"/>
      <c r="X3579" s="41"/>
      <c r="Y3579" s="41"/>
    </row>
    <row r="3580" s="27" customFormat="1" ht="23" hidden="1" customHeight="1" spans="1:25">
      <c r="A3580" s="133" t="str">
        <f>IF(B3580="","",COUNTA($B$5:B3580))</f>
        <v/>
      </c>
      <c r="B3580" s="148"/>
      <c r="C3580" s="22" t="s">
        <v>49</v>
      </c>
      <c r="D3580" s="149"/>
      <c r="E3580" s="150"/>
      <c r="F3580" s="151"/>
      <c r="G3580" s="151"/>
      <c r="H3580" s="142">
        <f>IFERROR(VLOOKUP($C3580,$C$5:$H$18,6,0)+SUMIF($C$19:$C3580,$C3580,$F$19:$F3580)-SUMIF($C$19:$C3580,$C3580,$G$19:$G3580),"")</f>
        <v>81211.819999998</v>
      </c>
      <c r="I3580" s="147"/>
      <c r="J3580" s="147"/>
      <c r="K3580" s="147" t="str">
        <f t="shared" si="55"/>
        <v/>
      </c>
      <c r="L3580" s="40"/>
      <c r="M3580"/>
      <c r="N3580"/>
      <c r="O3580"/>
      <c r="P3580"/>
      <c r="Q3580"/>
      <c r="R3580"/>
      <c r="S3580"/>
      <c r="T3580"/>
      <c r="U3580"/>
      <c r="V3580"/>
      <c r="W3580" s="41"/>
      <c r="X3580" s="41"/>
      <c r="Y3580" s="41"/>
    </row>
    <row r="3581" s="27" customFormat="1" ht="23" hidden="1" customHeight="1" spans="1:25">
      <c r="A3581" s="133" t="str">
        <f>IF(B3581="","",COUNTA($B$5:B3581))</f>
        <v/>
      </c>
      <c r="B3581" s="148"/>
      <c r="C3581" s="22" t="s">
        <v>49</v>
      </c>
      <c r="D3581" s="149"/>
      <c r="E3581" s="150"/>
      <c r="F3581" s="151"/>
      <c r="G3581" s="151"/>
      <c r="H3581" s="142">
        <f>IFERROR(VLOOKUP($C3581,$C$5:$H$18,6,0)+SUMIF($C$19:$C3581,$C3581,$F$19:$F3581)-SUMIF($C$19:$C3581,$C3581,$G$19:$G3581),"")</f>
        <v>81211.819999998</v>
      </c>
      <c r="I3581" s="147"/>
      <c r="J3581" s="147"/>
      <c r="K3581" s="147" t="str">
        <f t="shared" si="55"/>
        <v/>
      </c>
      <c r="L3581" s="40"/>
      <c r="M3581"/>
      <c r="N3581"/>
      <c r="O3581"/>
      <c r="P3581"/>
      <c r="Q3581"/>
      <c r="R3581"/>
      <c r="S3581"/>
      <c r="T3581"/>
      <c r="U3581"/>
      <c r="V3581"/>
      <c r="W3581" s="41"/>
      <c r="X3581" s="41"/>
      <c r="Y3581" s="41"/>
    </row>
    <row r="3582" s="27" customFormat="1" ht="23" hidden="1" customHeight="1" spans="1:25">
      <c r="A3582" s="133" t="str">
        <f>IF(B3582="","",COUNTA($B$5:B3582))</f>
        <v/>
      </c>
      <c r="B3582" s="148"/>
      <c r="C3582" s="22" t="s">
        <v>49</v>
      </c>
      <c r="D3582" s="149"/>
      <c r="E3582" s="150"/>
      <c r="F3582" s="151"/>
      <c r="G3582" s="151"/>
      <c r="H3582" s="142">
        <f>IFERROR(VLOOKUP($C3582,$C$5:$H$18,6,0)+SUMIF($C$19:$C3582,$C3582,$F$19:$F3582)-SUMIF($C$19:$C3582,$C3582,$G$19:$G3582),"")</f>
        <v>81211.819999998</v>
      </c>
      <c r="I3582" s="147"/>
      <c r="J3582" s="147"/>
      <c r="K3582" s="147" t="str">
        <f t="shared" si="55"/>
        <v/>
      </c>
      <c r="L3582" s="40"/>
      <c r="M3582"/>
      <c r="N3582"/>
      <c r="O3582"/>
      <c r="P3582"/>
      <c r="Q3582"/>
      <c r="R3582"/>
      <c r="S3582"/>
      <c r="T3582"/>
      <c r="U3582"/>
      <c r="V3582"/>
      <c r="W3582" s="41"/>
      <c r="X3582" s="41"/>
      <c r="Y3582" s="41"/>
    </row>
    <row r="3583" s="27" customFormat="1" ht="23" hidden="1" customHeight="1" spans="1:25">
      <c r="A3583" s="133" t="str">
        <f>IF(B3583="","",COUNTA($B$5:B3583))</f>
        <v/>
      </c>
      <c r="B3583" s="148"/>
      <c r="C3583" s="22" t="s">
        <v>49</v>
      </c>
      <c r="D3583" s="149"/>
      <c r="E3583" s="150"/>
      <c r="F3583" s="151"/>
      <c r="G3583" s="151"/>
      <c r="H3583" s="142">
        <f>IFERROR(VLOOKUP($C3583,$C$5:$H$18,6,0)+SUMIF($C$19:$C3583,$C3583,$F$19:$F3583)-SUMIF($C$19:$C3583,$C3583,$G$19:$G3583),"")</f>
        <v>81211.819999998</v>
      </c>
      <c r="I3583" s="147"/>
      <c r="J3583" s="147"/>
      <c r="K3583" s="147" t="str">
        <f t="shared" si="55"/>
        <v/>
      </c>
      <c r="L3583" s="40"/>
      <c r="M3583"/>
      <c r="N3583"/>
      <c r="O3583"/>
      <c r="P3583"/>
      <c r="Q3583"/>
      <c r="R3583"/>
      <c r="S3583"/>
      <c r="T3583"/>
      <c r="U3583"/>
      <c r="V3583"/>
      <c r="W3583" s="41"/>
      <c r="X3583" s="41"/>
      <c r="Y3583" s="41"/>
    </row>
    <row r="3584" s="27" customFormat="1" ht="23" hidden="1" customHeight="1" spans="1:25">
      <c r="A3584" s="133" t="str">
        <f>IF(B3584="","",COUNTA($B$5:B3584))</f>
        <v/>
      </c>
      <c r="B3584" s="148"/>
      <c r="C3584" s="22" t="s">
        <v>49</v>
      </c>
      <c r="D3584" s="149"/>
      <c r="E3584" s="150"/>
      <c r="F3584" s="151"/>
      <c r="G3584" s="151"/>
      <c r="H3584" s="142">
        <f>IFERROR(VLOOKUP($C3584,$C$5:$H$18,6,0)+SUMIF($C$19:$C3584,$C3584,$F$19:$F3584)-SUMIF($C$19:$C3584,$C3584,$G$19:$G3584),"")</f>
        <v>81211.819999998</v>
      </c>
      <c r="I3584" s="147"/>
      <c r="J3584" s="147"/>
      <c r="K3584" s="147" t="str">
        <f t="shared" si="55"/>
        <v/>
      </c>
      <c r="L3584" s="40"/>
      <c r="M3584"/>
      <c r="N3584"/>
      <c r="O3584"/>
      <c r="P3584"/>
      <c r="Q3584"/>
      <c r="R3584"/>
      <c r="S3584"/>
      <c r="T3584"/>
      <c r="U3584"/>
      <c r="V3584"/>
      <c r="W3584" s="41"/>
      <c r="X3584" s="41"/>
      <c r="Y3584" s="41"/>
    </row>
    <row r="3585" s="27" customFormat="1" ht="23" hidden="1" customHeight="1" spans="1:25">
      <c r="A3585" s="133" t="str">
        <f>IF(B3585="","",COUNTA($B$5:B3585))</f>
        <v/>
      </c>
      <c r="B3585" s="148"/>
      <c r="C3585" s="22" t="s">
        <v>49</v>
      </c>
      <c r="D3585" s="149"/>
      <c r="E3585" s="150"/>
      <c r="F3585" s="151"/>
      <c r="G3585" s="151"/>
      <c r="H3585" s="142">
        <f>IFERROR(VLOOKUP($C3585,$C$5:$H$18,6,0)+SUMIF($C$19:$C3585,$C3585,$F$19:$F3585)-SUMIF($C$19:$C3585,$C3585,$G$19:$G3585),"")</f>
        <v>81211.819999998</v>
      </c>
      <c r="I3585" s="147"/>
      <c r="J3585" s="147"/>
      <c r="K3585" s="147" t="str">
        <f t="shared" si="55"/>
        <v/>
      </c>
      <c r="L3585" s="40"/>
      <c r="M3585"/>
      <c r="N3585"/>
      <c r="O3585"/>
      <c r="P3585"/>
      <c r="Q3585"/>
      <c r="R3585"/>
      <c r="S3585"/>
      <c r="T3585"/>
      <c r="U3585"/>
      <c r="V3585"/>
      <c r="W3585" s="41"/>
      <c r="X3585" s="41"/>
      <c r="Y3585" s="41"/>
    </row>
    <row r="3586" s="27" customFormat="1" ht="23" hidden="1" customHeight="1" spans="1:25">
      <c r="A3586" s="133" t="str">
        <f>IF(B3586="","",COUNTA($B$5:B3586))</f>
        <v/>
      </c>
      <c r="B3586" s="148"/>
      <c r="C3586" s="22" t="s">
        <v>49</v>
      </c>
      <c r="D3586" s="149"/>
      <c r="E3586" s="150"/>
      <c r="F3586" s="151"/>
      <c r="G3586" s="151"/>
      <c r="H3586" s="142">
        <f>IFERROR(VLOOKUP($C3586,$C$5:$H$18,6,0)+SUMIF($C$19:$C3586,$C3586,$F$19:$F3586)-SUMIF($C$19:$C3586,$C3586,$G$19:$G3586),"")</f>
        <v>81211.819999998</v>
      </c>
      <c r="I3586" s="147"/>
      <c r="J3586" s="147"/>
      <c r="K3586" s="147" t="str">
        <f t="shared" si="55"/>
        <v/>
      </c>
      <c r="L3586" s="40"/>
      <c r="M3586"/>
      <c r="N3586"/>
      <c r="O3586"/>
      <c r="P3586"/>
      <c r="Q3586"/>
      <c r="R3586"/>
      <c r="S3586"/>
      <c r="T3586"/>
      <c r="U3586"/>
      <c r="V3586"/>
      <c r="W3586" s="41"/>
      <c r="X3586" s="41"/>
      <c r="Y3586" s="41"/>
    </row>
    <row r="3587" s="27" customFormat="1" ht="23" hidden="1" customHeight="1" spans="1:25">
      <c r="A3587" s="133" t="str">
        <f>IF(B3587="","",COUNTA($B$5:B3587))</f>
        <v/>
      </c>
      <c r="B3587" s="148"/>
      <c r="C3587" s="22" t="s">
        <v>49</v>
      </c>
      <c r="D3587" s="149"/>
      <c r="E3587" s="150"/>
      <c r="F3587" s="151"/>
      <c r="G3587" s="151"/>
      <c r="H3587" s="142">
        <f>IFERROR(VLOOKUP($C3587,$C$5:$H$18,6,0)+SUMIF($C$19:$C3587,$C3587,$F$19:$F3587)-SUMIF($C$19:$C3587,$C3587,$G$19:$G3587),"")</f>
        <v>81211.819999998</v>
      </c>
      <c r="I3587" s="147"/>
      <c r="J3587" s="147"/>
      <c r="K3587" s="147" t="str">
        <f t="shared" si="55"/>
        <v/>
      </c>
      <c r="L3587" s="40"/>
      <c r="M3587"/>
      <c r="N3587"/>
      <c r="O3587"/>
      <c r="P3587"/>
      <c r="Q3587"/>
      <c r="R3587"/>
      <c r="S3587"/>
      <c r="T3587"/>
      <c r="U3587"/>
      <c r="V3587"/>
      <c r="W3587" s="41"/>
      <c r="X3587" s="41"/>
      <c r="Y3587" s="41"/>
    </row>
    <row r="3588" s="27" customFormat="1" ht="23" hidden="1" customHeight="1" spans="1:25">
      <c r="A3588" s="133" t="str">
        <f>IF(B3588="","",COUNTA($B$5:B3588))</f>
        <v/>
      </c>
      <c r="B3588" s="148"/>
      <c r="C3588" s="22" t="s">
        <v>49</v>
      </c>
      <c r="D3588" s="149"/>
      <c r="E3588" s="150"/>
      <c r="F3588" s="151"/>
      <c r="G3588" s="151"/>
      <c r="H3588" s="142">
        <f>IFERROR(VLOOKUP($C3588,$C$5:$H$18,6,0)+SUMIF($C$19:$C3588,$C3588,$F$19:$F3588)-SUMIF($C$19:$C3588,$C3588,$G$19:$G3588),"")</f>
        <v>81211.819999998</v>
      </c>
      <c r="I3588" s="147"/>
      <c r="J3588" s="147"/>
      <c r="K3588" s="147" t="str">
        <f t="shared" si="55"/>
        <v/>
      </c>
      <c r="L3588" s="40"/>
      <c r="M3588"/>
      <c r="N3588"/>
      <c r="O3588"/>
      <c r="P3588"/>
      <c r="Q3588"/>
      <c r="R3588"/>
      <c r="S3588"/>
      <c r="T3588"/>
      <c r="U3588"/>
      <c r="V3588"/>
      <c r="W3588" s="41"/>
      <c r="X3588" s="41"/>
      <c r="Y3588" s="41"/>
    </row>
    <row r="3589" s="27" customFormat="1" ht="23" hidden="1" customHeight="1" spans="1:25">
      <c r="A3589" s="133" t="str">
        <f>IF(B3589="","",COUNTA($B$5:B3589))</f>
        <v/>
      </c>
      <c r="B3589" s="148"/>
      <c r="C3589" s="22" t="s">
        <v>49</v>
      </c>
      <c r="D3589" s="149"/>
      <c r="E3589" s="150"/>
      <c r="F3589" s="151"/>
      <c r="G3589" s="151"/>
      <c r="H3589" s="142">
        <f>IFERROR(VLOOKUP($C3589,$C$5:$H$18,6,0)+SUMIF($C$19:$C3589,$C3589,$F$19:$F3589)-SUMIF($C$19:$C3589,$C3589,$G$19:$G3589),"")</f>
        <v>81211.819999998</v>
      </c>
      <c r="I3589" s="147"/>
      <c r="J3589" s="147"/>
      <c r="K3589" s="147" t="str">
        <f t="shared" ref="K3589:K3652" si="56">IF($B3589="","",--TEXT($B3589,"yyyymm"))</f>
        <v/>
      </c>
      <c r="L3589" s="40"/>
      <c r="M3589"/>
      <c r="N3589"/>
      <c r="O3589"/>
      <c r="P3589"/>
      <c r="Q3589"/>
      <c r="R3589"/>
      <c r="S3589"/>
      <c r="T3589"/>
      <c r="U3589"/>
      <c r="V3589"/>
      <c r="W3589" s="41"/>
      <c r="X3589" s="41"/>
      <c r="Y3589" s="41"/>
    </row>
    <row r="3590" s="27" customFormat="1" ht="23" hidden="1" customHeight="1" spans="1:25">
      <c r="A3590" s="133" t="str">
        <f>IF(B3590="","",COUNTA($B$5:B3590))</f>
        <v/>
      </c>
      <c r="B3590" s="148"/>
      <c r="C3590" s="22" t="s">
        <v>49</v>
      </c>
      <c r="D3590" s="149"/>
      <c r="E3590" s="150"/>
      <c r="F3590" s="151"/>
      <c r="G3590" s="151"/>
      <c r="H3590" s="142">
        <f>IFERROR(VLOOKUP($C3590,$C$5:$H$18,6,0)+SUMIF($C$19:$C3590,$C3590,$F$19:$F3590)-SUMIF($C$19:$C3590,$C3590,$G$19:$G3590),"")</f>
        <v>81211.819999998</v>
      </c>
      <c r="I3590" s="147"/>
      <c r="J3590" s="147"/>
      <c r="K3590" s="147" t="str">
        <f t="shared" si="56"/>
        <v/>
      </c>
      <c r="L3590" s="40"/>
      <c r="M3590"/>
      <c r="N3590"/>
      <c r="O3590"/>
      <c r="P3590"/>
      <c r="Q3590"/>
      <c r="R3590"/>
      <c r="S3590"/>
      <c r="T3590"/>
      <c r="U3590"/>
      <c r="V3590"/>
      <c r="W3590" s="41"/>
      <c r="X3590" s="41"/>
      <c r="Y3590" s="41"/>
    </row>
    <row r="3591" s="27" customFormat="1" ht="23" hidden="1" customHeight="1" spans="1:25">
      <c r="A3591" s="133" t="str">
        <f>IF(B3591="","",COUNTA($B$5:B3591))</f>
        <v/>
      </c>
      <c r="B3591" s="148"/>
      <c r="C3591" s="22" t="s">
        <v>49</v>
      </c>
      <c r="D3591" s="149"/>
      <c r="E3591" s="150"/>
      <c r="F3591" s="151"/>
      <c r="G3591" s="151"/>
      <c r="H3591" s="142">
        <f>IFERROR(VLOOKUP($C3591,$C$5:$H$18,6,0)+SUMIF($C$19:$C3591,$C3591,$F$19:$F3591)-SUMIF($C$19:$C3591,$C3591,$G$19:$G3591),"")</f>
        <v>81211.819999998</v>
      </c>
      <c r="I3591" s="147"/>
      <c r="J3591" s="147"/>
      <c r="K3591" s="147" t="str">
        <f t="shared" si="56"/>
        <v/>
      </c>
      <c r="L3591" s="40"/>
      <c r="M3591"/>
      <c r="N3591"/>
      <c r="O3591"/>
      <c r="P3591"/>
      <c r="Q3591"/>
      <c r="R3591"/>
      <c r="S3591"/>
      <c r="T3591"/>
      <c r="U3591"/>
      <c r="V3591"/>
      <c r="W3591" s="41"/>
      <c r="X3591" s="41"/>
      <c r="Y3591" s="41"/>
    </row>
    <row r="3592" s="27" customFormat="1" ht="23" hidden="1" customHeight="1" spans="1:25">
      <c r="A3592" s="133" t="str">
        <f>IF(B3592="","",COUNTA($B$5:B3592))</f>
        <v/>
      </c>
      <c r="B3592" s="148"/>
      <c r="C3592" s="22" t="s">
        <v>49</v>
      </c>
      <c r="D3592" s="149"/>
      <c r="E3592" s="150"/>
      <c r="F3592" s="151"/>
      <c r="G3592" s="151"/>
      <c r="H3592" s="142">
        <f>IFERROR(VLOOKUP($C3592,$C$5:$H$18,6,0)+SUMIF($C$19:$C3592,$C3592,$F$19:$F3592)-SUMIF($C$19:$C3592,$C3592,$G$19:$G3592),"")</f>
        <v>81211.819999998</v>
      </c>
      <c r="I3592" s="147"/>
      <c r="J3592" s="147"/>
      <c r="K3592" s="147" t="str">
        <f t="shared" si="56"/>
        <v/>
      </c>
      <c r="L3592" s="40"/>
      <c r="M3592"/>
      <c r="N3592"/>
      <c r="O3592"/>
      <c r="P3592"/>
      <c r="Q3592"/>
      <c r="R3592"/>
      <c r="S3592"/>
      <c r="T3592"/>
      <c r="U3592"/>
      <c r="V3592"/>
      <c r="W3592" s="41"/>
      <c r="X3592" s="41"/>
      <c r="Y3592" s="41"/>
    </row>
    <row r="3593" s="27" customFormat="1" ht="23" hidden="1" customHeight="1" spans="1:25">
      <c r="A3593" s="133" t="str">
        <f>IF(B3593="","",COUNTA($B$5:B3593))</f>
        <v/>
      </c>
      <c r="B3593" s="148"/>
      <c r="C3593" s="22" t="s">
        <v>49</v>
      </c>
      <c r="D3593" s="149"/>
      <c r="E3593" s="150"/>
      <c r="F3593" s="151"/>
      <c r="G3593" s="151"/>
      <c r="H3593" s="142">
        <f>IFERROR(VLOOKUP($C3593,$C$5:$H$18,6,0)+SUMIF($C$19:$C3593,$C3593,$F$19:$F3593)-SUMIF($C$19:$C3593,$C3593,$G$19:$G3593),"")</f>
        <v>81211.819999998</v>
      </c>
      <c r="I3593" s="147"/>
      <c r="J3593" s="147"/>
      <c r="K3593" s="147" t="str">
        <f t="shared" si="56"/>
        <v/>
      </c>
      <c r="L3593" s="40"/>
      <c r="M3593"/>
      <c r="N3593"/>
      <c r="O3593"/>
      <c r="P3593"/>
      <c r="Q3593"/>
      <c r="R3593"/>
      <c r="S3593"/>
      <c r="T3593"/>
      <c r="U3593"/>
      <c r="V3593"/>
      <c r="W3593" s="41"/>
      <c r="X3593" s="41"/>
      <c r="Y3593" s="41"/>
    </row>
    <row r="3594" s="27" customFormat="1" ht="23" hidden="1" customHeight="1" spans="1:25">
      <c r="A3594" s="133" t="str">
        <f>IF(B3594="","",COUNTA($B$5:B3594))</f>
        <v/>
      </c>
      <c r="B3594" s="148"/>
      <c r="C3594" s="22" t="s">
        <v>49</v>
      </c>
      <c r="D3594" s="149"/>
      <c r="E3594" s="150"/>
      <c r="F3594" s="151"/>
      <c r="G3594" s="151"/>
      <c r="H3594" s="142">
        <f>IFERROR(VLOOKUP($C3594,$C$5:$H$18,6,0)+SUMIF($C$19:$C3594,$C3594,$F$19:$F3594)-SUMIF($C$19:$C3594,$C3594,$G$19:$G3594),"")</f>
        <v>81211.819999998</v>
      </c>
      <c r="I3594" s="147"/>
      <c r="J3594" s="147"/>
      <c r="K3594" s="147" t="str">
        <f t="shared" si="56"/>
        <v/>
      </c>
      <c r="L3594" s="40"/>
      <c r="M3594"/>
      <c r="N3594"/>
      <c r="O3594"/>
      <c r="P3594"/>
      <c r="Q3594"/>
      <c r="R3594"/>
      <c r="S3594"/>
      <c r="T3594"/>
      <c r="U3594"/>
      <c r="V3594"/>
      <c r="W3594" s="41"/>
      <c r="X3594" s="41"/>
      <c r="Y3594" s="41"/>
    </row>
    <row r="3595" s="27" customFormat="1" ht="23" hidden="1" customHeight="1" spans="1:25">
      <c r="A3595" s="133" t="str">
        <f>IF(B3595="","",COUNTA($B$5:B3595))</f>
        <v/>
      </c>
      <c r="B3595" s="148"/>
      <c r="C3595" s="22" t="s">
        <v>49</v>
      </c>
      <c r="D3595" s="149"/>
      <c r="E3595" s="150"/>
      <c r="F3595" s="151"/>
      <c r="G3595" s="151"/>
      <c r="H3595" s="142">
        <f>IFERROR(VLOOKUP($C3595,$C$5:$H$18,6,0)+SUMIF($C$19:$C3595,$C3595,$F$19:$F3595)-SUMIF($C$19:$C3595,$C3595,$G$19:$G3595),"")</f>
        <v>81211.819999998</v>
      </c>
      <c r="I3595" s="147"/>
      <c r="J3595" s="147"/>
      <c r="K3595" s="147" t="str">
        <f t="shared" si="56"/>
        <v/>
      </c>
      <c r="L3595" s="40"/>
      <c r="M3595"/>
      <c r="N3595"/>
      <c r="O3595"/>
      <c r="P3595"/>
      <c r="Q3595"/>
      <c r="R3595"/>
      <c r="S3595"/>
      <c r="T3595"/>
      <c r="U3595"/>
      <c r="V3595"/>
      <c r="W3595" s="41"/>
      <c r="X3595" s="41"/>
      <c r="Y3595" s="41"/>
    </row>
    <row r="3596" s="27" customFormat="1" ht="23" hidden="1" customHeight="1" spans="1:25">
      <c r="A3596" s="133" t="str">
        <f>IF(B3596="","",COUNTA($B$5:B3596))</f>
        <v/>
      </c>
      <c r="B3596" s="148"/>
      <c r="C3596" s="22" t="s">
        <v>49</v>
      </c>
      <c r="D3596" s="149"/>
      <c r="E3596" s="150"/>
      <c r="F3596" s="151"/>
      <c r="G3596" s="151"/>
      <c r="H3596" s="142">
        <f>IFERROR(VLOOKUP($C3596,$C$5:$H$18,6,0)+SUMIF($C$19:$C3596,$C3596,$F$19:$F3596)-SUMIF($C$19:$C3596,$C3596,$G$19:$G3596),"")</f>
        <v>81211.819999998</v>
      </c>
      <c r="I3596" s="147"/>
      <c r="J3596" s="147"/>
      <c r="K3596" s="147" t="str">
        <f t="shared" si="56"/>
        <v/>
      </c>
      <c r="L3596" s="40"/>
      <c r="M3596"/>
      <c r="N3596"/>
      <c r="O3596"/>
      <c r="P3596"/>
      <c r="Q3596"/>
      <c r="R3596"/>
      <c r="S3596"/>
      <c r="T3596"/>
      <c r="U3596"/>
      <c r="V3596"/>
      <c r="W3596" s="41"/>
      <c r="X3596" s="41"/>
      <c r="Y3596" s="41"/>
    </row>
    <row r="3597" s="27" customFormat="1" ht="23" hidden="1" customHeight="1" spans="1:25">
      <c r="A3597" s="133" t="str">
        <f>IF(B3597="","",COUNTA($B$5:B3597))</f>
        <v/>
      </c>
      <c r="B3597" s="148"/>
      <c r="C3597" s="22" t="s">
        <v>49</v>
      </c>
      <c r="D3597" s="149"/>
      <c r="E3597" s="150"/>
      <c r="F3597" s="151"/>
      <c r="G3597" s="151"/>
      <c r="H3597" s="142">
        <f>IFERROR(VLOOKUP($C3597,$C$5:$H$18,6,0)+SUMIF($C$19:$C3597,$C3597,$F$19:$F3597)-SUMIF($C$19:$C3597,$C3597,$G$19:$G3597),"")</f>
        <v>81211.819999998</v>
      </c>
      <c r="I3597" s="147"/>
      <c r="J3597" s="147"/>
      <c r="K3597" s="147" t="str">
        <f t="shared" si="56"/>
        <v/>
      </c>
      <c r="L3597" s="40"/>
      <c r="M3597"/>
      <c r="N3597"/>
      <c r="O3597"/>
      <c r="P3597"/>
      <c r="Q3597"/>
      <c r="R3597"/>
      <c r="S3597"/>
      <c r="T3597"/>
      <c r="U3597"/>
      <c r="V3597"/>
      <c r="W3597" s="41"/>
      <c r="X3597" s="41"/>
      <c r="Y3597" s="41"/>
    </row>
    <row r="3598" s="27" customFormat="1" ht="23" hidden="1" customHeight="1" spans="1:25">
      <c r="A3598" s="133" t="str">
        <f>IF(B3598="","",COUNTA($B$5:B3598))</f>
        <v/>
      </c>
      <c r="B3598" s="148"/>
      <c r="C3598" s="22" t="s">
        <v>49</v>
      </c>
      <c r="D3598" s="149"/>
      <c r="E3598" s="150"/>
      <c r="F3598" s="151"/>
      <c r="G3598" s="151"/>
      <c r="H3598" s="142">
        <f>IFERROR(VLOOKUP($C3598,$C$5:$H$18,6,0)+SUMIF($C$19:$C3598,$C3598,$F$19:$F3598)-SUMIF($C$19:$C3598,$C3598,$G$19:$G3598),"")</f>
        <v>81211.819999998</v>
      </c>
      <c r="I3598" s="147"/>
      <c r="J3598" s="147"/>
      <c r="K3598" s="147" t="str">
        <f t="shared" si="56"/>
        <v/>
      </c>
      <c r="L3598" s="40"/>
      <c r="M3598"/>
      <c r="N3598"/>
      <c r="O3598"/>
      <c r="P3598"/>
      <c r="Q3598"/>
      <c r="R3598"/>
      <c r="S3598"/>
      <c r="T3598"/>
      <c r="U3598"/>
      <c r="V3598"/>
      <c r="W3598" s="41"/>
      <c r="X3598" s="41"/>
      <c r="Y3598" s="41"/>
    </row>
    <row r="3599" s="27" customFormat="1" ht="23" hidden="1" customHeight="1" spans="1:25">
      <c r="A3599" s="133" t="str">
        <f>IF(B3599="","",COUNTA($B$5:B3599))</f>
        <v/>
      </c>
      <c r="B3599" s="148"/>
      <c r="C3599" s="22" t="s">
        <v>49</v>
      </c>
      <c r="D3599" s="149"/>
      <c r="E3599" s="150"/>
      <c r="F3599" s="151"/>
      <c r="G3599" s="151"/>
      <c r="H3599" s="142">
        <f>IFERROR(VLOOKUP($C3599,$C$5:$H$18,6,0)+SUMIF($C$19:$C3599,$C3599,$F$19:$F3599)-SUMIF($C$19:$C3599,$C3599,$G$19:$G3599),"")</f>
        <v>81211.819999998</v>
      </c>
      <c r="I3599" s="147"/>
      <c r="J3599" s="147"/>
      <c r="K3599" s="147" t="str">
        <f t="shared" si="56"/>
        <v/>
      </c>
      <c r="L3599" s="40"/>
      <c r="M3599"/>
      <c r="N3599"/>
      <c r="O3599"/>
      <c r="P3599"/>
      <c r="Q3599"/>
      <c r="R3599"/>
      <c r="S3599"/>
      <c r="T3599"/>
      <c r="U3599"/>
      <c r="V3599"/>
      <c r="W3599" s="41"/>
      <c r="X3599" s="41"/>
      <c r="Y3599" s="41"/>
    </row>
    <row r="3600" s="27" customFormat="1" ht="23" hidden="1" customHeight="1" spans="1:25">
      <c r="A3600" s="133" t="str">
        <f>IF(B3600="","",COUNTA($B$5:B3600))</f>
        <v/>
      </c>
      <c r="B3600" s="148"/>
      <c r="C3600" s="22" t="s">
        <v>49</v>
      </c>
      <c r="D3600" s="149"/>
      <c r="E3600" s="150"/>
      <c r="F3600" s="151"/>
      <c r="G3600" s="151"/>
      <c r="H3600" s="142">
        <f>IFERROR(VLOOKUP($C3600,$C$5:$H$18,6,0)+SUMIF($C$19:$C3600,$C3600,$F$19:$F3600)-SUMIF($C$19:$C3600,$C3600,$G$19:$G3600),"")</f>
        <v>81211.819999998</v>
      </c>
      <c r="I3600" s="147"/>
      <c r="J3600" s="147"/>
      <c r="K3600" s="147" t="str">
        <f t="shared" si="56"/>
        <v/>
      </c>
      <c r="L3600" s="40"/>
      <c r="M3600"/>
      <c r="N3600"/>
      <c r="O3600"/>
      <c r="P3600"/>
      <c r="Q3600"/>
      <c r="R3600"/>
      <c r="S3600"/>
      <c r="T3600"/>
      <c r="U3600"/>
      <c r="V3600"/>
      <c r="W3600" s="41"/>
      <c r="X3600" s="41"/>
      <c r="Y3600" s="41"/>
    </row>
    <row r="3601" s="27" customFormat="1" ht="23" hidden="1" customHeight="1" spans="1:25">
      <c r="A3601" s="133" t="str">
        <f>IF(B3601="","",COUNTA($B$5:B3601))</f>
        <v/>
      </c>
      <c r="B3601" s="148"/>
      <c r="C3601" s="22" t="s">
        <v>49</v>
      </c>
      <c r="D3601" s="149"/>
      <c r="E3601" s="150"/>
      <c r="F3601" s="151"/>
      <c r="G3601" s="151"/>
      <c r="H3601" s="142">
        <f>IFERROR(VLOOKUP($C3601,$C$5:$H$18,6,0)+SUMIF($C$19:$C3601,$C3601,$F$19:$F3601)-SUMIF($C$19:$C3601,$C3601,$G$19:$G3601),"")</f>
        <v>81211.819999998</v>
      </c>
      <c r="I3601" s="147"/>
      <c r="J3601" s="147"/>
      <c r="K3601" s="147" t="str">
        <f t="shared" si="56"/>
        <v/>
      </c>
      <c r="L3601" s="40"/>
      <c r="M3601"/>
      <c r="N3601"/>
      <c r="O3601"/>
      <c r="P3601"/>
      <c r="Q3601"/>
      <c r="R3601"/>
      <c r="S3601"/>
      <c r="T3601"/>
      <c r="U3601"/>
      <c r="V3601"/>
      <c r="W3601" s="41"/>
      <c r="X3601" s="41"/>
      <c r="Y3601" s="41"/>
    </row>
    <row r="3602" s="27" customFormat="1" ht="23" hidden="1" customHeight="1" spans="1:25">
      <c r="A3602" s="133" t="str">
        <f>IF(B3602="","",COUNTA($B$5:B3602))</f>
        <v/>
      </c>
      <c r="B3602" s="148"/>
      <c r="C3602" s="22" t="s">
        <v>49</v>
      </c>
      <c r="D3602" s="149"/>
      <c r="E3602" s="150"/>
      <c r="F3602" s="151"/>
      <c r="G3602" s="151"/>
      <c r="H3602" s="142">
        <f>IFERROR(VLOOKUP($C3602,$C$5:$H$18,6,0)+SUMIF($C$19:$C3602,$C3602,$F$19:$F3602)-SUMIF($C$19:$C3602,$C3602,$G$19:$G3602),"")</f>
        <v>81211.819999998</v>
      </c>
      <c r="I3602" s="147"/>
      <c r="J3602" s="147"/>
      <c r="K3602" s="147" t="str">
        <f t="shared" si="56"/>
        <v/>
      </c>
      <c r="L3602" s="40"/>
      <c r="M3602"/>
      <c r="N3602"/>
      <c r="O3602"/>
      <c r="P3602"/>
      <c r="Q3602"/>
      <c r="R3602"/>
      <c r="S3602"/>
      <c r="T3602"/>
      <c r="U3602"/>
      <c r="V3602"/>
      <c r="W3602" s="41"/>
      <c r="X3602" s="41"/>
      <c r="Y3602" s="41"/>
    </row>
    <row r="3603" s="27" customFormat="1" ht="23" hidden="1" customHeight="1" spans="1:25">
      <c r="A3603" s="133" t="str">
        <f>IF(B3603="","",COUNTA($B$5:B3603))</f>
        <v/>
      </c>
      <c r="B3603" s="148"/>
      <c r="C3603" s="22" t="s">
        <v>49</v>
      </c>
      <c r="D3603" s="149"/>
      <c r="E3603" s="150"/>
      <c r="F3603" s="151"/>
      <c r="G3603" s="151"/>
      <c r="H3603" s="142">
        <f>IFERROR(VLOOKUP($C3603,$C$5:$H$18,6,0)+SUMIF($C$19:$C3603,$C3603,$F$19:$F3603)-SUMIF($C$19:$C3603,$C3603,$G$19:$G3603),"")</f>
        <v>81211.819999998</v>
      </c>
      <c r="I3603" s="147"/>
      <c r="J3603" s="147"/>
      <c r="K3603" s="147" t="str">
        <f t="shared" si="56"/>
        <v/>
      </c>
      <c r="L3603" s="40"/>
      <c r="M3603"/>
      <c r="N3603"/>
      <c r="O3603"/>
      <c r="P3603"/>
      <c r="Q3603"/>
      <c r="R3603"/>
      <c r="S3603"/>
      <c r="T3603"/>
      <c r="U3603"/>
      <c r="V3603"/>
      <c r="W3603" s="41"/>
      <c r="X3603" s="41"/>
      <c r="Y3603" s="41"/>
    </row>
    <row r="3604" s="27" customFormat="1" ht="23" hidden="1" customHeight="1" spans="1:25">
      <c r="A3604" s="133" t="str">
        <f>IF(B3604="","",COUNTA($B$5:B3604))</f>
        <v/>
      </c>
      <c r="B3604" s="148"/>
      <c r="C3604" s="22" t="s">
        <v>49</v>
      </c>
      <c r="D3604" s="149"/>
      <c r="E3604" s="150"/>
      <c r="F3604" s="151"/>
      <c r="G3604" s="151"/>
      <c r="H3604" s="142">
        <f>IFERROR(VLOOKUP($C3604,$C$5:$H$18,6,0)+SUMIF($C$19:$C3604,$C3604,$F$19:$F3604)-SUMIF($C$19:$C3604,$C3604,$G$19:$G3604),"")</f>
        <v>81211.819999998</v>
      </c>
      <c r="I3604" s="147"/>
      <c r="J3604" s="147"/>
      <c r="K3604" s="147" t="str">
        <f t="shared" si="56"/>
        <v/>
      </c>
      <c r="L3604" s="40"/>
      <c r="M3604"/>
      <c r="N3604"/>
      <c r="O3604"/>
      <c r="P3604"/>
      <c r="Q3604"/>
      <c r="R3604"/>
      <c r="S3604"/>
      <c r="T3604"/>
      <c r="U3604"/>
      <c r="V3604"/>
      <c r="W3604" s="41"/>
      <c r="X3604" s="41"/>
      <c r="Y3604" s="41"/>
    </row>
    <row r="3605" s="27" customFormat="1" ht="23" hidden="1" customHeight="1" spans="1:25">
      <c r="A3605" s="133" t="str">
        <f>IF(B3605="","",COUNTA($B$5:B3605))</f>
        <v/>
      </c>
      <c r="B3605" s="148"/>
      <c r="C3605" s="22" t="s">
        <v>49</v>
      </c>
      <c r="D3605" s="149"/>
      <c r="E3605" s="150"/>
      <c r="F3605" s="151"/>
      <c r="G3605" s="151"/>
      <c r="H3605" s="142">
        <f>IFERROR(VLOOKUP($C3605,$C$5:$H$18,6,0)+SUMIF($C$19:$C3605,$C3605,$F$19:$F3605)-SUMIF($C$19:$C3605,$C3605,$G$19:$G3605),"")</f>
        <v>81211.819999998</v>
      </c>
      <c r="I3605" s="147"/>
      <c r="J3605" s="147"/>
      <c r="K3605" s="147" t="str">
        <f t="shared" si="56"/>
        <v/>
      </c>
      <c r="L3605" s="40"/>
      <c r="M3605"/>
      <c r="N3605"/>
      <c r="O3605"/>
      <c r="P3605"/>
      <c r="Q3605"/>
      <c r="R3605"/>
      <c r="S3605"/>
      <c r="T3605"/>
      <c r="U3605"/>
      <c r="V3605"/>
      <c r="W3605" s="41"/>
      <c r="X3605" s="41"/>
      <c r="Y3605" s="41"/>
    </row>
    <row r="3606" s="27" customFormat="1" ht="23" hidden="1" customHeight="1" spans="1:25">
      <c r="A3606" s="133" t="str">
        <f>IF(B3606="","",COUNTA($B$5:B3606))</f>
        <v/>
      </c>
      <c r="B3606" s="148"/>
      <c r="C3606" s="22" t="s">
        <v>49</v>
      </c>
      <c r="D3606" s="149"/>
      <c r="E3606" s="150"/>
      <c r="F3606" s="151"/>
      <c r="G3606" s="151"/>
      <c r="H3606" s="142">
        <f>IFERROR(VLOOKUP($C3606,$C$5:$H$18,6,0)+SUMIF($C$19:$C3606,$C3606,$F$19:$F3606)-SUMIF($C$19:$C3606,$C3606,$G$19:$G3606),"")</f>
        <v>81211.819999998</v>
      </c>
      <c r="I3606" s="147"/>
      <c r="J3606" s="147"/>
      <c r="K3606" s="147" t="str">
        <f t="shared" si="56"/>
        <v/>
      </c>
      <c r="L3606" s="40"/>
      <c r="M3606"/>
      <c r="N3606"/>
      <c r="O3606"/>
      <c r="P3606"/>
      <c r="Q3606"/>
      <c r="R3606"/>
      <c r="S3606"/>
      <c r="T3606"/>
      <c r="U3606"/>
      <c r="V3606"/>
      <c r="W3606" s="41"/>
      <c r="X3606" s="41"/>
      <c r="Y3606" s="41"/>
    </row>
    <row r="3607" s="27" customFormat="1" ht="23" hidden="1" customHeight="1" spans="1:25">
      <c r="A3607" s="133" t="str">
        <f>IF(B3607="","",COUNTA($B$5:B3607))</f>
        <v/>
      </c>
      <c r="B3607" s="148"/>
      <c r="C3607" s="22" t="s">
        <v>49</v>
      </c>
      <c r="D3607" s="149"/>
      <c r="E3607" s="150"/>
      <c r="F3607" s="151"/>
      <c r="G3607" s="151"/>
      <c r="H3607" s="142">
        <f>IFERROR(VLOOKUP($C3607,$C$5:$H$18,6,0)+SUMIF($C$19:$C3607,$C3607,$F$19:$F3607)-SUMIF($C$19:$C3607,$C3607,$G$19:$G3607),"")</f>
        <v>81211.819999998</v>
      </c>
      <c r="I3607" s="147"/>
      <c r="J3607" s="147"/>
      <c r="K3607" s="147" t="str">
        <f t="shared" si="56"/>
        <v/>
      </c>
      <c r="L3607" s="40"/>
      <c r="M3607"/>
      <c r="N3607"/>
      <c r="O3607"/>
      <c r="P3607"/>
      <c r="Q3607"/>
      <c r="R3607"/>
      <c r="S3607"/>
      <c r="T3607"/>
      <c r="U3607"/>
      <c r="V3607"/>
      <c r="W3607" s="41"/>
      <c r="X3607" s="41"/>
      <c r="Y3607" s="41"/>
    </row>
    <row r="3608" s="27" customFormat="1" ht="23" hidden="1" customHeight="1" spans="1:25">
      <c r="A3608" s="133" t="str">
        <f>IF(B3608="","",COUNTA($B$5:B3608))</f>
        <v/>
      </c>
      <c r="B3608" s="148"/>
      <c r="C3608" s="22" t="s">
        <v>49</v>
      </c>
      <c r="D3608" s="149"/>
      <c r="E3608" s="150"/>
      <c r="F3608" s="151"/>
      <c r="G3608" s="151"/>
      <c r="H3608" s="142">
        <f>IFERROR(VLOOKUP($C3608,$C$5:$H$18,6,0)+SUMIF($C$19:$C3608,$C3608,$F$19:$F3608)-SUMIF($C$19:$C3608,$C3608,$G$19:$G3608),"")</f>
        <v>81211.819999998</v>
      </c>
      <c r="I3608" s="147"/>
      <c r="J3608" s="147"/>
      <c r="K3608" s="147" t="str">
        <f t="shared" si="56"/>
        <v/>
      </c>
      <c r="L3608" s="40"/>
      <c r="M3608"/>
      <c r="N3608"/>
      <c r="O3608"/>
      <c r="P3608"/>
      <c r="Q3608"/>
      <c r="R3608"/>
      <c r="S3608"/>
      <c r="T3608"/>
      <c r="U3608"/>
      <c r="V3608"/>
      <c r="W3608" s="41"/>
      <c r="X3608" s="41"/>
      <c r="Y3608" s="41"/>
    </row>
    <row r="3609" s="27" customFormat="1" ht="23" hidden="1" customHeight="1" spans="1:25">
      <c r="A3609" s="133" t="str">
        <f>IF(B3609="","",COUNTA($B$5:B3609))</f>
        <v/>
      </c>
      <c r="B3609" s="148"/>
      <c r="C3609" s="22" t="s">
        <v>49</v>
      </c>
      <c r="D3609" s="149"/>
      <c r="E3609" s="150"/>
      <c r="F3609" s="151"/>
      <c r="G3609" s="151"/>
      <c r="H3609" s="142">
        <f>IFERROR(VLOOKUP($C3609,$C$5:$H$18,6,0)+SUMIF($C$19:$C3609,$C3609,$F$19:$F3609)-SUMIF($C$19:$C3609,$C3609,$G$19:$G3609),"")</f>
        <v>81211.819999998</v>
      </c>
      <c r="I3609" s="147"/>
      <c r="J3609" s="147"/>
      <c r="K3609" s="147" t="str">
        <f t="shared" si="56"/>
        <v/>
      </c>
      <c r="L3609" s="40"/>
      <c r="M3609"/>
      <c r="N3609"/>
      <c r="O3609"/>
      <c r="P3609"/>
      <c r="Q3609"/>
      <c r="R3609"/>
      <c r="S3609"/>
      <c r="T3609"/>
      <c r="U3609"/>
      <c r="V3609"/>
      <c r="W3609" s="41"/>
      <c r="X3609" s="41"/>
      <c r="Y3609" s="41"/>
    </row>
    <row r="3610" s="27" customFormat="1" ht="23" hidden="1" customHeight="1" spans="1:25">
      <c r="A3610" s="133" t="str">
        <f>IF(B3610="","",COUNTA($B$5:B3610))</f>
        <v/>
      </c>
      <c r="B3610" s="148"/>
      <c r="C3610" s="22" t="s">
        <v>49</v>
      </c>
      <c r="D3610" s="149"/>
      <c r="E3610" s="150"/>
      <c r="F3610" s="151"/>
      <c r="G3610" s="151"/>
      <c r="H3610" s="142">
        <f>IFERROR(VLOOKUP($C3610,$C$5:$H$18,6,0)+SUMIF($C$19:$C3610,$C3610,$F$19:$F3610)-SUMIF($C$19:$C3610,$C3610,$G$19:$G3610),"")</f>
        <v>81211.819999998</v>
      </c>
      <c r="I3610" s="147"/>
      <c r="J3610" s="147"/>
      <c r="K3610" s="147" t="str">
        <f t="shared" si="56"/>
        <v/>
      </c>
      <c r="L3610" s="40"/>
      <c r="M3610"/>
      <c r="N3610"/>
      <c r="O3610"/>
      <c r="P3610"/>
      <c r="Q3610"/>
      <c r="R3610"/>
      <c r="S3610"/>
      <c r="T3610"/>
      <c r="U3610"/>
      <c r="V3610"/>
      <c r="W3610" s="41"/>
      <c r="X3610" s="41"/>
      <c r="Y3610" s="41"/>
    </row>
    <row r="3611" s="27" customFormat="1" ht="23" hidden="1" customHeight="1" spans="1:25">
      <c r="A3611" s="133" t="str">
        <f>IF(B3611="","",COUNTA($B$5:B3611))</f>
        <v/>
      </c>
      <c r="B3611" s="148"/>
      <c r="C3611" s="22" t="s">
        <v>49</v>
      </c>
      <c r="D3611" s="149"/>
      <c r="E3611" s="150"/>
      <c r="F3611" s="151"/>
      <c r="G3611" s="151"/>
      <c r="H3611" s="142">
        <f>IFERROR(VLOOKUP($C3611,$C$5:$H$18,6,0)+SUMIF($C$19:$C3611,$C3611,$F$19:$F3611)-SUMIF($C$19:$C3611,$C3611,$G$19:$G3611),"")</f>
        <v>81211.819999998</v>
      </c>
      <c r="I3611" s="147"/>
      <c r="J3611" s="147"/>
      <c r="K3611" s="147" t="str">
        <f t="shared" si="56"/>
        <v/>
      </c>
      <c r="L3611" s="40"/>
      <c r="M3611"/>
      <c r="N3611"/>
      <c r="O3611"/>
      <c r="P3611"/>
      <c r="Q3611"/>
      <c r="R3611"/>
      <c r="S3611"/>
      <c r="T3611"/>
      <c r="U3611"/>
      <c r="V3611"/>
      <c r="W3611" s="41"/>
      <c r="X3611" s="41"/>
      <c r="Y3611" s="41"/>
    </row>
    <row r="3612" s="27" customFormat="1" ht="23" hidden="1" customHeight="1" spans="1:25">
      <c r="A3612" s="133" t="str">
        <f>IF(B3612="","",COUNTA($B$5:B3612))</f>
        <v/>
      </c>
      <c r="B3612" s="148"/>
      <c r="C3612" s="22" t="s">
        <v>49</v>
      </c>
      <c r="D3612" s="149"/>
      <c r="E3612" s="150"/>
      <c r="F3612" s="151"/>
      <c r="G3612" s="151"/>
      <c r="H3612" s="142">
        <f>IFERROR(VLOOKUP($C3612,$C$5:$H$18,6,0)+SUMIF($C$19:$C3612,$C3612,$F$19:$F3612)-SUMIF($C$19:$C3612,$C3612,$G$19:$G3612),"")</f>
        <v>81211.819999998</v>
      </c>
      <c r="I3612" s="147"/>
      <c r="J3612" s="147"/>
      <c r="K3612" s="147" t="str">
        <f t="shared" si="56"/>
        <v/>
      </c>
      <c r="L3612" s="40"/>
      <c r="M3612"/>
      <c r="N3612"/>
      <c r="O3612"/>
      <c r="P3612"/>
      <c r="Q3612"/>
      <c r="R3612"/>
      <c r="S3612"/>
      <c r="T3612"/>
      <c r="U3612"/>
      <c r="V3612"/>
      <c r="W3612" s="41"/>
      <c r="X3612" s="41"/>
      <c r="Y3612" s="41"/>
    </row>
    <row r="3613" s="27" customFormat="1" ht="23" hidden="1" customHeight="1" spans="1:25">
      <c r="A3613" s="133" t="str">
        <f>IF(B3613="","",COUNTA($B$5:B3613))</f>
        <v/>
      </c>
      <c r="B3613" s="148"/>
      <c r="C3613" s="22" t="s">
        <v>49</v>
      </c>
      <c r="D3613" s="149"/>
      <c r="E3613" s="150"/>
      <c r="F3613" s="151"/>
      <c r="G3613" s="151"/>
      <c r="H3613" s="142">
        <f>IFERROR(VLOOKUP($C3613,$C$5:$H$18,6,0)+SUMIF($C$19:$C3613,$C3613,$F$19:$F3613)-SUMIF($C$19:$C3613,$C3613,$G$19:$G3613),"")</f>
        <v>81211.819999998</v>
      </c>
      <c r="I3613" s="147"/>
      <c r="J3613" s="147"/>
      <c r="K3613" s="147" t="str">
        <f t="shared" si="56"/>
        <v/>
      </c>
      <c r="L3613" s="40"/>
      <c r="M3613"/>
      <c r="N3613"/>
      <c r="O3613"/>
      <c r="P3613"/>
      <c r="Q3613"/>
      <c r="R3613"/>
      <c r="S3613"/>
      <c r="T3613"/>
      <c r="U3613"/>
      <c r="V3613"/>
      <c r="W3613" s="41"/>
      <c r="X3613" s="41"/>
      <c r="Y3613" s="41"/>
    </row>
    <row r="3614" s="27" customFormat="1" ht="23" hidden="1" customHeight="1" spans="1:25">
      <c r="A3614" s="133" t="str">
        <f>IF(B3614="","",COUNTA($B$5:B3614))</f>
        <v/>
      </c>
      <c r="B3614" s="148"/>
      <c r="C3614" s="22" t="s">
        <v>49</v>
      </c>
      <c r="D3614" s="149"/>
      <c r="E3614" s="150"/>
      <c r="F3614" s="151"/>
      <c r="G3614" s="151"/>
      <c r="H3614" s="142">
        <f>IFERROR(VLOOKUP($C3614,$C$5:$H$18,6,0)+SUMIF($C$19:$C3614,$C3614,$F$19:$F3614)-SUMIF($C$19:$C3614,$C3614,$G$19:$G3614),"")</f>
        <v>81211.819999998</v>
      </c>
      <c r="I3614" s="147"/>
      <c r="J3614" s="147"/>
      <c r="K3614" s="147" t="str">
        <f t="shared" si="56"/>
        <v/>
      </c>
      <c r="L3614" s="40"/>
      <c r="M3614"/>
      <c r="N3614"/>
      <c r="O3614"/>
      <c r="P3614"/>
      <c r="Q3614"/>
      <c r="R3614"/>
      <c r="S3614"/>
      <c r="T3614"/>
      <c r="U3614"/>
      <c r="V3614"/>
      <c r="W3614" s="41"/>
      <c r="X3614" s="41"/>
      <c r="Y3614" s="41"/>
    </row>
    <row r="3615" s="27" customFormat="1" ht="23" hidden="1" customHeight="1" spans="1:25">
      <c r="A3615" s="133" t="str">
        <f>IF(B3615="","",COUNTA($B$5:B3615))</f>
        <v/>
      </c>
      <c r="B3615" s="148"/>
      <c r="C3615" s="22" t="s">
        <v>49</v>
      </c>
      <c r="D3615" s="149"/>
      <c r="E3615" s="150"/>
      <c r="F3615" s="151"/>
      <c r="G3615" s="151"/>
      <c r="H3615" s="142">
        <f>IFERROR(VLOOKUP($C3615,$C$5:$H$18,6,0)+SUMIF($C$19:$C3615,$C3615,$F$19:$F3615)-SUMIF($C$19:$C3615,$C3615,$G$19:$G3615),"")</f>
        <v>81211.819999998</v>
      </c>
      <c r="I3615" s="147"/>
      <c r="J3615" s="147"/>
      <c r="K3615" s="147" t="str">
        <f t="shared" si="56"/>
        <v/>
      </c>
      <c r="L3615" s="40"/>
      <c r="M3615"/>
      <c r="N3615"/>
      <c r="O3615"/>
      <c r="P3615"/>
      <c r="Q3615"/>
      <c r="R3615"/>
      <c r="S3615"/>
      <c r="T3615"/>
      <c r="U3615"/>
      <c r="V3615"/>
      <c r="W3615" s="41"/>
      <c r="X3615" s="41"/>
      <c r="Y3615" s="41"/>
    </row>
    <row r="3616" s="27" customFormat="1" ht="23" hidden="1" customHeight="1" spans="1:25">
      <c r="A3616" s="133" t="str">
        <f>IF(B3616="","",COUNTA($B$5:B3616))</f>
        <v/>
      </c>
      <c r="B3616" s="148"/>
      <c r="C3616" s="22" t="s">
        <v>49</v>
      </c>
      <c r="D3616" s="149"/>
      <c r="E3616" s="150"/>
      <c r="F3616" s="151"/>
      <c r="G3616" s="151"/>
      <c r="H3616" s="142">
        <f>IFERROR(VLOOKUP($C3616,$C$5:$H$18,6,0)+SUMIF($C$19:$C3616,$C3616,$F$19:$F3616)-SUMIF($C$19:$C3616,$C3616,$G$19:$G3616),"")</f>
        <v>81211.819999998</v>
      </c>
      <c r="I3616" s="147"/>
      <c r="J3616" s="147"/>
      <c r="K3616" s="147" t="str">
        <f t="shared" si="56"/>
        <v/>
      </c>
      <c r="L3616" s="40"/>
      <c r="M3616"/>
      <c r="N3616"/>
      <c r="O3616"/>
      <c r="P3616"/>
      <c r="Q3616"/>
      <c r="R3616"/>
      <c r="S3616"/>
      <c r="T3616"/>
      <c r="U3616"/>
      <c r="V3616"/>
      <c r="W3616" s="41"/>
      <c r="X3616" s="41"/>
      <c r="Y3616" s="41"/>
    </row>
    <row r="3617" s="27" customFormat="1" ht="23" hidden="1" customHeight="1" spans="1:25">
      <c r="A3617" s="133" t="str">
        <f>IF(B3617="","",COUNTA($B$5:B3617))</f>
        <v/>
      </c>
      <c r="B3617" s="148"/>
      <c r="C3617" s="22" t="s">
        <v>49</v>
      </c>
      <c r="D3617" s="149"/>
      <c r="E3617" s="150"/>
      <c r="F3617" s="151"/>
      <c r="G3617" s="151"/>
      <c r="H3617" s="142">
        <f>IFERROR(VLOOKUP($C3617,$C$5:$H$18,6,0)+SUMIF($C$19:$C3617,$C3617,$F$19:$F3617)-SUMIF($C$19:$C3617,$C3617,$G$19:$G3617),"")</f>
        <v>81211.819999998</v>
      </c>
      <c r="I3617" s="147"/>
      <c r="J3617" s="147"/>
      <c r="K3617" s="147" t="str">
        <f t="shared" si="56"/>
        <v/>
      </c>
      <c r="L3617" s="40"/>
      <c r="M3617"/>
      <c r="N3617"/>
      <c r="O3617"/>
      <c r="P3617"/>
      <c r="Q3617"/>
      <c r="R3617"/>
      <c r="S3617"/>
      <c r="T3617"/>
      <c r="U3617"/>
      <c r="V3617"/>
      <c r="W3617" s="41"/>
      <c r="X3617" s="41"/>
      <c r="Y3617" s="41"/>
    </row>
    <row r="3618" s="27" customFormat="1" ht="23" hidden="1" customHeight="1" spans="1:25">
      <c r="A3618" s="133" t="str">
        <f>IF(B3618="","",COUNTA($B$5:B3618))</f>
        <v/>
      </c>
      <c r="B3618" s="148"/>
      <c r="C3618" s="22" t="s">
        <v>49</v>
      </c>
      <c r="D3618" s="149"/>
      <c r="E3618" s="150"/>
      <c r="F3618" s="151"/>
      <c r="G3618" s="151"/>
      <c r="H3618" s="142">
        <f>IFERROR(VLOOKUP($C3618,$C$5:$H$18,6,0)+SUMIF($C$19:$C3618,$C3618,$F$19:$F3618)-SUMIF($C$19:$C3618,$C3618,$G$19:$G3618),"")</f>
        <v>81211.819999998</v>
      </c>
      <c r="I3618" s="147"/>
      <c r="J3618" s="147"/>
      <c r="K3618" s="147" t="str">
        <f t="shared" si="56"/>
        <v/>
      </c>
      <c r="L3618" s="40"/>
      <c r="M3618"/>
      <c r="N3618"/>
      <c r="O3618"/>
      <c r="P3618"/>
      <c r="Q3618"/>
      <c r="R3618"/>
      <c r="S3618"/>
      <c r="T3618"/>
      <c r="U3618"/>
      <c r="V3618"/>
      <c r="W3618" s="41"/>
      <c r="X3618" s="41"/>
      <c r="Y3618" s="41"/>
    </row>
    <row r="3619" s="27" customFormat="1" ht="23" hidden="1" customHeight="1" spans="1:25">
      <c r="A3619" s="133" t="str">
        <f>IF(B3619="","",COUNTA($B$5:B3619))</f>
        <v/>
      </c>
      <c r="B3619" s="148"/>
      <c r="C3619" s="22" t="s">
        <v>49</v>
      </c>
      <c r="D3619" s="149"/>
      <c r="E3619" s="150"/>
      <c r="F3619" s="151"/>
      <c r="G3619" s="151"/>
      <c r="H3619" s="142">
        <f>IFERROR(VLOOKUP($C3619,$C$5:$H$18,6,0)+SUMIF($C$19:$C3619,$C3619,$F$19:$F3619)-SUMIF($C$19:$C3619,$C3619,$G$19:$G3619),"")</f>
        <v>81211.819999998</v>
      </c>
      <c r="I3619" s="147"/>
      <c r="J3619" s="147"/>
      <c r="K3619" s="147" t="str">
        <f t="shared" si="56"/>
        <v/>
      </c>
      <c r="L3619" s="40"/>
      <c r="M3619"/>
      <c r="N3619"/>
      <c r="O3619"/>
      <c r="P3619"/>
      <c r="Q3619"/>
      <c r="R3619"/>
      <c r="S3619"/>
      <c r="T3619"/>
      <c r="U3619"/>
      <c r="V3619"/>
      <c r="W3619" s="41"/>
      <c r="X3619" s="41"/>
      <c r="Y3619" s="41"/>
    </row>
    <row r="3620" s="27" customFormat="1" ht="23" hidden="1" customHeight="1" spans="1:25">
      <c r="A3620" s="133" t="str">
        <f>IF(B3620="","",COUNTA($B$5:B3620))</f>
        <v/>
      </c>
      <c r="B3620" s="148"/>
      <c r="C3620" s="22" t="s">
        <v>49</v>
      </c>
      <c r="D3620" s="149"/>
      <c r="E3620" s="150"/>
      <c r="F3620" s="151"/>
      <c r="G3620" s="151"/>
      <c r="H3620" s="142">
        <f>IFERROR(VLOOKUP($C3620,$C$5:$H$18,6,0)+SUMIF($C$19:$C3620,$C3620,$F$19:$F3620)-SUMIF($C$19:$C3620,$C3620,$G$19:$G3620),"")</f>
        <v>81211.819999998</v>
      </c>
      <c r="I3620" s="147"/>
      <c r="J3620" s="147"/>
      <c r="K3620" s="147" t="str">
        <f t="shared" si="56"/>
        <v/>
      </c>
      <c r="L3620" s="40"/>
      <c r="M3620"/>
      <c r="N3620"/>
      <c r="O3620"/>
      <c r="P3620"/>
      <c r="Q3620"/>
      <c r="R3620"/>
      <c r="S3620"/>
      <c r="T3620"/>
      <c r="U3620"/>
      <c r="V3620"/>
      <c r="W3620" s="41"/>
      <c r="X3620" s="41"/>
      <c r="Y3620" s="41"/>
    </row>
    <row r="3621" s="27" customFormat="1" ht="23" hidden="1" customHeight="1" spans="1:25">
      <c r="A3621" s="133" t="str">
        <f>IF(B3621="","",COUNTA($B$5:B3621))</f>
        <v/>
      </c>
      <c r="B3621" s="148"/>
      <c r="C3621" s="22" t="s">
        <v>49</v>
      </c>
      <c r="D3621" s="149"/>
      <c r="E3621" s="150"/>
      <c r="F3621" s="151"/>
      <c r="G3621" s="151"/>
      <c r="H3621" s="142">
        <f>IFERROR(VLOOKUP($C3621,$C$5:$H$18,6,0)+SUMIF($C$19:$C3621,$C3621,$F$19:$F3621)-SUMIF($C$19:$C3621,$C3621,$G$19:$G3621),"")</f>
        <v>81211.819999998</v>
      </c>
      <c r="I3621" s="147"/>
      <c r="J3621" s="147"/>
      <c r="K3621" s="147" t="str">
        <f t="shared" si="56"/>
        <v/>
      </c>
      <c r="L3621" s="40"/>
      <c r="M3621"/>
      <c r="N3621"/>
      <c r="O3621"/>
      <c r="P3621"/>
      <c r="Q3621"/>
      <c r="R3621"/>
      <c r="S3621"/>
      <c r="T3621"/>
      <c r="U3621"/>
      <c r="V3621"/>
      <c r="W3621" s="41"/>
      <c r="X3621" s="41"/>
      <c r="Y3621" s="41"/>
    </row>
    <row r="3622" s="27" customFormat="1" ht="23" hidden="1" customHeight="1" spans="1:25">
      <c r="A3622" s="133" t="str">
        <f>IF(B3622="","",COUNTA($B$5:B3622))</f>
        <v/>
      </c>
      <c r="B3622" s="148"/>
      <c r="C3622" s="22" t="s">
        <v>49</v>
      </c>
      <c r="D3622" s="149"/>
      <c r="E3622" s="150"/>
      <c r="F3622" s="151"/>
      <c r="G3622" s="151"/>
      <c r="H3622" s="142">
        <f>IFERROR(VLOOKUP($C3622,$C$5:$H$18,6,0)+SUMIF($C$19:$C3622,$C3622,$F$19:$F3622)-SUMIF($C$19:$C3622,$C3622,$G$19:$G3622),"")</f>
        <v>81211.819999998</v>
      </c>
      <c r="I3622" s="147"/>
      <c r="J3622" s="147"/>
      <c r="K3622" s="147" t="str">
        <f t="shared" si="56"/>
        <v/>
      </c>
      <c r="L3622" s="40"/>
      <c r="M3622"/>
      <c r="N3622"/>
      <c r="O3622"/>
      <c r="P3622"/>
      <c r="Q3622"/>
      <c r="R3622"/>
      <c r="S3622"/>
      <c r="T3622"/>
      <c r="U3622"/>
      <c r="V3622"/>
      <c r="W3622" s="41"/>
      <c r="X3622" s="41"/>
      <c r="Y3622" s="41"/>
    </row>
    <row r="3623" s="27" customFormat="1" ht="23" hidden="1" customHeight="1" spans="1:25">
      <c r="A3623" s="133" t="str">
        <f>IF(B3623="","",COUNTA($B$5:B3623))</f>
        <v/>
      </c>
      <c r="B3623" s="148"/>
      <c r="C3623" s="22" t="s">
        <v>49</v>
      </c>
      <c r="D3623" s="149"/>
      <c r="E3623" s="150"/>
      <c r="F3623" s="151"/>
      <c r="G3623" s="151"/>
      <c r="H3623" s="142">
        <f>IFERROR(VLOOKUP($C3623,$C$5:$H$18,6,0)+SUMIF($C$19:$C3623,$C3623,$F$19:$F3623)-SUMIF($C$19:$C3623,$C3623,$G$19:$G3623),"")</f>
        <v>81211.819999998</v>
      </c>
      <c r="I3623" s="147"/>
      <c r="J3623" s="147"/>
      <c r="K3623" s="147" t="str">
        <f t="shared" si="56"/>
        <v/>
      </c>
      <c r="L3623" s="40"/>
      <c r="M3623"/>
      <c r="N3623"/>
      <c r="O3623"/>
      <c r="P3623"/>
      <c r="Q3623"/>
      <c r="R3623"/>
      <c r="S3623"/>
      <c r="T3623"/>
      <c r="U3623"/>
      <c r="V3623"/>
      <c r="W3623" s="41"/>
      <c r="X3623" s="41"/>
      <c r="Y3623" s="41"/>
    </row>
    <row r="3624" s="27" customFormat="1" ht="23" hidden="1" customHeight="1" spans="1:25">
      <c r="A3624" s="133" t="str">
        <f>IF(B3624="","",COUNTA($B$5:B3624))</f>
        <v/>
      </c>
      <c r="B3624" s="148"/>
      <c r="C3624" s="22" t="s">
        <v>49</v>
      </c>
      <c r="D3624" s="149"/>
      <c r="E3624" s="150"/>
      <c r="F3624" s="151"/>
      <c r="G3624" s="151"/>
      <c r="H3624" s="142">
        <f>IFERROR(VLOOKUP($C3624,$C$5:$H$18,6,0)+SUMIF($C$19:$C3624,$C3624,$F$19:$F3624)-SUMIF($C$19:$C3624,$C3624,$G$19:$G3624),"")</f>
        <v>81211.819999998</v>
      </c>
      <c r="I3624" s="147"/>
      <c r="J3624" s="147"/>
      <c r="K3624" s="147" t="str">
        <f t="shared" si="56"/>
        <v/>
      </c>
      <c r="L3624" s="40"/>
      <c r="M3624"/>
      <c r="N3624"/>
      <c r="O3624"/>
      <c r="P3624"/>
      <c r="Q3624"/>
      <c r="R3624"/>
      <c r="S3624"/>
      <c r="T3624"/>
      <c r="U3624"/>
      <c r="V3624"/>
      <c r="W3624" s="41"/>
      <c r="X3624" s="41"/>
      <c r="Y3624" s="41"/>
    </row>
    <row r="3625" s="27" customFormat="1" ht="23" hidden="1" customHeight="1" spans="1:25">
      <c r="A3625" s="133" t="str">
        <f>IF(B3625="","",COUNTA($B$5:B3625))</f>
        <v/>
      </c>
      <c r="B3625" s="148"/>
      <c r="C3625" s="22" t="s">
        <v>49</v>
      </c>
      <c r="D3625" s="149"/>
      <c r="E3625" s="150"/>
      <c r="F3625" s="151"/>
      <c r="G3625" s="151"/>
      <c r="H3625" s="142">
        <f>IFERROR(VLOOKUP($C3625,$C$5:$H$18,6,0)+SUMIF($C$19:$C3625,$C3625,$F$19:$F3625)-SUMIF($C$19:$C3625,$C3625,$G$19:$G3625),"")</f>
        <v>81211.819999998</v>
      </c>
      <c r="I3625" s="147"/>
      <c r="J3625" s="147"/>
      <c r="K3625" s="147" t="str">
        <f t="shared" si="56"/>
        <v/>
      </c>
      <c r="L3625" s="40"/>
      <c r="M3625"/>
      <c r="N3625"/>
      <c r="O3625"/>
      <c r="P3625"/>
      <c r="Q3625"/>
      <c r="R3625"/>
      <c r="S3625"/>
      <c r="T3625"/>
      <c r="U3625"/>
      <c r="V3625"/>
      <c r="W3625" s="41"/>
      <c r="X3625" s="41"/>
      <c r="Y3625" s="41"/>
    </row>
    <row r="3626" s="27" customFormat="1" ht="23" hidden="1" customHeight="1" spans="1:25">
      <c r="A3626" s="133" t="str">
        <f>IF(B3626="","",COUNTA($B$5:B3626))</f>
        <v/>
      </c>
      <c r="B3626" s="148"/>
      <c r="C3626" s="22" t="s">
        <v>49</v>
      </c>
      <c r="D3626" s="149"/>
      <c r="E3626" s="150"/>
      <c r="F3626" s="151"/>
      <c r="G3626" s="151"/>
      <c r="H3626" s="142">
        <f>IFERROR(VLOOKUP($C3626,$C$5:$H$18,6,0)+SUMIF($C$19:$C3626,$C3626,$F$19:$F3626)-SUMIF($C$19:$C3626,$C3626,$G$19:$G3626),"")</f>
        <v>81211.819999998</v>
      </c>
      <c r="I3626" s="147"/>
      <c r="J3626" s="147"/>
      <c r="K3626" s="147" t="str">
        <f t="shared" si="56"/>
        <v/>
      </c>
      <c r="L3626" s="40"/>
      <c r="M3626"/>
      <c r="N3626"/>
      <c r="O3626"/>
      <c r="P3626"/>
      <c r="Q3626"/>
      <c r="R3626"/>
      <c r="S3626"/>
      <c r="T3626"/>
      <c r="U3626"/>
      <c r="V3626"/>
      <c r="W3626" s="41"/>
      <c r="X3626" s="41"/>
      <c r="Y3626" s="41"/>
    </row>
    <row r="3627" s="27" customFormat="1" ht="23" hidden="1" customHeight="1" spans="1:25">
      <c r="A3627" s="133" t="str">
        <f>IF(B3627="","",COUNTA($B$5:B3627))</f>
        <v/>
      </c>
      <c r="B3627" s="148"/>
      <c r="C3627" s="22" t="s">
        <v>49</v>
      </c>
      <c r="D3627" s="149"/>
      <c r="E3627" s="150"/>
      <c r="F3627" s="151"/>
      <c r="G3627" s="151"/>
      <c r="H3627" s="142">
        <f>IFERROR(VLOOKUP($C3627,$C$5:$H$18,6,0)+SUMIF($C$19:$C3627,$C3627,$F$19:$F3627)-SUMIF($C$19:$C3627,$C3627,$G$19:$G3627),"")</f>
        <v>81211.819999998</v>
      </c>
      <c r="I3627" s="147"/>
      <c r="J3627" s="147"/>
      <c r="K3627" s="147" t="str">
        <f t="shared" si="56"/>
        <v/>
      </c>
      <c r="L3627" s="40"/>
      <c r="M3627"/>
      <c r="N3627"/>
      <c r="O3627"/>
      <c r="P3627"/>
      <c r="Q3627"/>
      <c r="R3627"/>
      <c r="S3627"/>
      <c r="T3627"/>
      <c r="U3627"/>
      <c r="V3627"/>
      <c r="W3627" s="41"/>
      <c r="X3627" s="41"/>
      <c r="Y3627" s="41"/>
    </row>
    <row r="3628" s="27" customFormat="1" ht="23" hidden="1" customHeight="1" spans="1:25">
      <c r="A3628" s="133" t="str">
        <f>IF(B3628="","",COUNTA($B$5:B3628))</f>
        <v/>
      </c>
      <c r="B3628" s="148"/>
      <c r="C3628" s="22" t="s">
        <v>49</v>
      </c>
      <c r="D3628" s="149"/>
      <c r="E3628" s="150"/>
      <c r="F3628" s="151"/>
      <c r="G3628" s="151"/>
      <c r="H3628" s="142">
        <f>IFERROR(VLOOKUP($C3628,$C$5:$H$18,6,0)+SUMIF($C$19:$C3628,$C3628,$F$19:$F3628)-SUMIF($C$19:$C3628,$C3628,$G$19:$G3628),"")</f>
        <v>81211.819999998</v>
      </c>
      <c r="I3628" s="147"/>
      <c r="J3628" s="147"/>
      <c r="K3628" s="147" t="str">
        <f t="shared" si="56"/>
        <v/>
      </c>
      <c r="L3628" s="40"/>
      <c r="M3628"/>
      <c r="N3628"/>
      <c r="O3628"/>
      <c r="P3628"/>
      <c r="Q3628"/>
      <c r="R3628"/>
      <c r="S3628"/>
      <c r="T3628"/>
      <c r="U3628"/>
      <c r="V3628"/>
      <c r="W3628" s="41"/>
      <c r="X3628" s="41"/>
      <c r="Y3628" s="41"/>
    </row>
    <row r="3629" s="27" customFormat="1" ht="23" hidden="1" customHeight="1" spans="1:25">
      <c r="A3629" s="133" t="str">
        <f>IF(B3629="","",COUNTA($B$5:B3629))</f>
        <v/>
      </c>
      <c r="B3629" s="148"/>
      <c r="C3629" s="22" t="s">
        <v>49</v>
      </c>
      <c r="D3629" s="149"/>
      <c r="E3629" s="150"/>
      <c r="F3629" s="151"/>
      <c r="G3629" s="151"/>
      <c r="H3629" s="142">
        <f>IFERROR(VLOOKUP($C3629,$C$5:$H$18,6,0)+SUMIF($C$19:$C3629,$C3629,$F$19:$F3629)-SUMIF($C$19:$C3629,$C3629,$G$19:$G3629),"")</f>
        <v>81211.819999998</v>
      </c>
      <c r="I3629" s="147"/>
      <c r="J3629" s="147"/>
      <c r="K3629" s="147" t="str">
        <f t="shared" si="56"/>
        <v/>
      </c>
      <c r="L3629" s="40"/>
      <c r="M3629"/>
      <c r="N3629"/>
      <c r="O3629"/>
      <c r="P3629"/>
      <c r="Q3629"/>
      <c r="R3629"/>
      <c r="S3629"/>
      <c r="T3629"/>
      <c r="U3629"/>
      <c r="V3629"/>
      <c r="W3629" s="41"/>
      <c r="X3629" s="41"/>
      <c r="Y3629" s="41"/>
    </row>
    <row r="3630" s="27" customFormat="1" ht="23" hidden="1" customHeight="1" spans="1:25">
      <c r="A3630" s="133" t="str">
        <f>IF(B3630="","",COUNTA($B$5:B3630))</f>
        <v/>
      </c>
      <c r="B3630" s="148"/>
      <c r="C3630" s="22" t="s">
        <v>49</v>
      </c>
      <c r="D3630" s="149"/>
      <c r="E3630" s="150"/>
      <c r="F3630" s="151"/>
      <c r="G3630" s="151"/>
      <c r="H3630" s="142">
        <f>IFERROR(VLOOKUP($C3630,$C$5:$H$18,6,0)+SUMIF($C$19:$C3630,$C3630,$F$19:$F3630)-SUMIF($C$19:$C3630,$C3630,$G$19:$G3630),"")</f>
        <v>81211.819999998</v>
      </c>
      <c r="I3630" s="147"/>
      <c r="J3630" s="147"/>
      <c r="K3630" s="147" t="str">
        <f t="shared" si="56"/>
        <v/>
      </c>
      <c r="L3630" s="40"/>
      <c r="M3630"/>
      <c r="N3630"/>
      <c r="O3630"/>
      <c r="P3630"/>
      <c r="Q3630"/>
      <c r="R3630"/>
      <c r="S3630"/>
      <c r="T3630"/>
      <c r="U3630"/>
      <c r="V3630"/>
      <c r="W3630" s="41"/>
      <c r="X3630" s="41"/>
      <c r="Y3630" s="41"/>
    </row>
    <row r="3631" s="27" customFormat="1" ht="23" hidden="1" customHeight="1" spans="1:25">
      <c r="A3631" s="133" t="str">
        <f>IF(B3631="","",COUNTA($B$5:B3631))</f>
        <v/>
      </c>
      <c r="B3631" s="148"/>
      <c r="C3631" s="22" t="s">
        <v>49</v>
      </c>
      <c r="D3631" s="149"/>
      <c r="E3631" s="150"/>
      <c r="F3631" s="151"/>
      <c r="G3631" s="151"/>
      <c r="H3631" s="142">
        <f>IFERROR(VLOOKUP($C3631,$C$5:$H$18,6,0)+SUMIF($C$19:$C3631,$C3631,$F$19:$F3631)-SUMIF($C$19:$C3631,$C3631,$G$19:$G3631),"")</f>
        <v>81211.819999998</v>
      </c>
      <c r="I3631" s="147"/>
      <c r="J3631" s="147"/>
      <c r="K3631" s="147" t="str">
        <f t="shared" si="56"/>
        <v/>
      </c>
      <c r="L3631" s="40"/>
      <c r="M3631"/>
      <c r="N3631"/>
      <c r="O3631"/>
      <c r="P3631"/>
      <c r="Q3631"/>
      <c r="R3631"/>
      <c r="S3631"/>
      <c r="T3631"/>
      <c r="U3631"/>
      <c r="V3631"/>
      <c r="W3631" s="41"/>
      <c r="X3631" s="41"/>
      <c r="Y3631" s="41"/>
    </row>
    <row r="3632" s="27" customFormat="1" ht="23" hidden="1" customHeight="1" spans="1:25">
      <c r="A3632" s="133" t="str">
        <f>IF(B3632="","",COUNTA($B$5:B3632))</f>
        <v/>
      </c>
      <c r="B3632" s="148"/>
      <c r="C3632" s="22" t="s">
        <v>49</v>
      </c>
      <c r="D3632" s="149"/>
      <c r="E3632" s="150"/>
      <c r="F3632" s="151"/>
      <c r="G3632" s="151"/>
      <c r="H3632" s="142">
        <f>IFERROR(VLOOKUP($C3632,$C$5:$H$18,6,0)+SUMIF($C$19:$C3632,$C3632,$F$19:$F3632)-SUMIF($C$19:$C3632,$C3632,$G$19:$G3632),"")</f>
        <v>81211.819999998</v>
      </c>
      <c r="I3632" s="147"/>
      <c r="J3632" s="147"/>
      <c r="K3632" s="147" t="str">
        <f t="shared" si="56"/>
        <v/>
      </c>
      <c r="L3632" s="40"/>
      <c r="M3632"/>
      <c r="N3632"/>
      <c r="O3632"/>
      <c r="P3632"/>
      <c r="Q3632"/>
      <c r="R3632"/>
      <c r="S3632"/>
      <c r="T3632"/>
      <c r="U3632"/>
      <c r="V3632"/>
      <c r="W3632" s="41"/>
      <c r="X3632" s="41"/>
      <c r="Y3632" s="41"/>
    </row>
    <row r="3633" s="27" customFormat="1" ht="23" hidden="1" customHeight="1" spans="1:25">
      <c r="A3633" s="133" t="str">
        <f>IF(B3633="","",COUNTA($B$5:B3633))</f>
        <v/>
      </c>
      <c r="B3633" s="148"/>
      <c r="C3633" s="22" t="s">
        <v>49</v>
      </c>
      <c r="D3633" s="149"/>
      <c r="E3633" s="150"/>
      <c r="F3633" s="151"/>
      <c r="G3633" s="151"/>
      <c r="H3633" s="142">
        <f>IFERROR(VLOOKUP($C3633,$C$5:$H$18,6,0)+SUMIF($C$19:$C3633,$C3633,$F$19:$F3633)-SUMIF($C$19:$C3633,$C3633,$G$19:$G3633),"")</f>
        <v>81211.819999998</v>
      </c>
      <c r="I3633" s="147"/>
      <c r="J3633" s="147"/>
      <c r="K3633" s="147" t="str">
        <f t="shared" si="56"/>
        <v/>
      </c>
      <c r="L3633" s="40"/>
      <c r="M3633"/>
      <c r="N3633"/>
      <c r="O3633"/>
      <c r="P3633"/>
      <c r="Q3633"/>
      <c r="R3633"/>
      <c r="S3633"/>
      <c r="T3633"/>
      <c r="U3633"/>
      <c r="V3633"/>
      <c r="W3633" s="41"/>
      <c r="X3633" s="41"/>
      <c r="Y3633" s="41"/>
    </row>
    <row r="3634" s="27" customFormat="1" ht="23" hidden="1" customHeight="1" spans="1:25">
      <c r="A3634" s="133" t="str">
        <f>IF(B3634="","",COUNTA($B$5:B3634))</f>
        <v/>
      </c>
      <c r="B3634" s="148"/>
      <c r="C3634" s="22" t="s">
        <v>49</v>
      </c>
      <c r="D3634" s="149"/>
      <c r="E3634" s="150"/>
      <c r="F3634" s="151"/>
      <c r="G3634" s="151"/>
      <c r="H3634" s="142">
        <f>IFERROR(VLOOKUP($C3634,$C$5:$H$18,6,0)+SUMIF($C$19:$C3634,$C3634,$F$19:$F3634)-SUMIF($C$19:$C3634,$C3634,$G$19:$G3634),"")</f>
        <v>81211.819999998</v>
      </c>
      <c r="I3634" s="147"/>
      <c r="J3634" s="147"/>
      <c r="K3634" s="147" t="str">
        <f t="shared" si="56"/>
        <v/>
      </c>
      <c r="L3634" s="40"/>
      <c r="M3634"/>
      <c r="N3634"/>
      <c r="O3634"/>
      <c r="P3634"/>
      <c r="Q3634"/>
      <c r="R3634"/>
      <c r="S3634"/>
      <c r="T3634"/>
      <c r="U3634"/>
      <c r="V3634"/>
      <c r="W3634" s="41"/>
      <c r="X3634" s="41"/>
      <c r="Y3634" s="41"/>
    </row>
    <row r="3635" s="27" customFormat="1" ht="23" hidden="1" customHeight="1" spans="1:25">
      <c r="A3635" s="133" t="str">
        <f>IF(B3635="","",COUNTA($B$5:B3635))</f>
        <v/>
      </c>
      <c r="B3635" s="148"/>
      <c r="C3635" s="22" t="s">
        <v>49</v>
      </c>
      <c r="D3635" s="149"/>
      <c r="E3635" s="150"/>
      <c r="F3635" s="151"/>
      <c r="G3635" s="151"/>
      <c r="H3635" s="142">
        <f>IFERROR(VLOOKUP($C3635,$C$5:$H$18,6,0)+SUMIF($C$19:$C3635,$C3635,$F$19:$F3635)-SUMIF($C$19:$C3635,$C3635,$G$19:$G3635),"")</f>
        <v>81211.819999998</v>
      </c>
      <c r="I3635" s="147"/>
      <c r="J3635" s="147"/>
      <c r="K3635" s="147" t="str">
        <f t="shared" si="56"/>
        <v/>
      </c>
      <c r="L3635" s="40"/>
      <c r="M3635"/>
      <c r="N3635"/>
      <c r="O3635"/>
      <c r="P3635"/>
      <c r="Q3635"/>
      <c r="R3635"/>
      <c r="S3635"/>
      <c r="T3635"/>
      <c r="U3635"/>
      <c r="V3635"/>
      <c r="W3635" s="41"/>
      <c r="X3635" s="41"/>
      <c r="Y3635" s="41"/>
    </row>
    <row r="3636" s="27" customFormat="1" ht="23" hidden="1" customHeight="1" spans="1:25">
      <c r="A3636" s="133" t="str">
        <f>IF(B3636="","",COUNTA($B$5:B3636))</f>
        <v/>
      </c>
      <c r="B3636" s="148"/>
      <c r="C3636" s="22" t="s">
        <v>49</v>
      </c>
      <c r="D3636" s="149"/>
      <c r="E3636" s="150"/>
      <c r="F3636" s="151"/>
      <c r="G3636" s="151"/>
      <c r="H3636" s="142">
        <f>IFERROR(VLOOKUP($C3636,$C$5:$H$18,6,0)+SUMIF($C$19:$C3636,$C3636,$F$19:$F3636)-SUMIF($C$19:$C3636,$C3636,$G$19:$G3636),"")</f>
        <v>81211.819999998</v>
      </c>
      <c r="I3636" s="147"/>
      <c r="J3636" s="147"/>
      <c r="K3636" s="147" t="str">
        <f t="shared" si="56"/>
        <v/>
      </c>
      <c r="L3636" s="40"/>
      <c r="M3636"/>
      <c r="N3636"/>
      <c r="O3636"/>
      <c r="P3636"/>
      <c r="Q3636"/>
      <c r="R3636"/>
      <c r="S3636"/>
      <c r="T3636"/>
      <c r="U3636"/>
      <c r="V3636"/>
      <c r="W3636" s="41"/>
      <c r="X3636" s="41"/>
      <c r="Y3636" s="41"/>
    </row>
    <row r="3637" s="27" customFormat="1" ht="23" hidden="1" customHeight="1" spans="1:25">
      <c r="A3637" s="133" t="str">
        <f>IF(B3637="","",COUNTA($B$5:B3637))</f>
        <v/>
      </c>
      <c r="B3637" s="148"/>
      <c r="C3637" s="22" t="s">
        <v>49</v>
      </c>
      <c r="D3637" s="149"/>
      <c r="E3637" s="150"/>
      <c r="F3637" s="151"/>
      <c r="G3637" s="151"/>
      <c r="H3637" s="142">
        <f>IFERROR(VLOOKUP($C3637,$C$5:$H$18,6,0)+SUMIF($C$19:$C3637,$C3637,$F$19:$F3637)-SUMIF($C$19:$C3637,$C3637,$G$19:$G3637),"")</f>
        <v>81211.819999998</v>
      </c>
      <c r="I3637" s="147"/>
      <c r="J3637" s="147"/>
      <c r="K3637" s="147" t="str">
        <f t="shared" si="56"/>
        <v/>
      </c>
      <c r="L3637" s="40"/>
      <c r="M3637"/>
      <c r="N3637"/>
      <c r="O3637"/>
      <c r="P3637"/>
      <c r="Q3637"/>
      <c r="R3637"/>
      <c r="S3637"/>
      <c r="T3637"/>
      <c r="U3637"/>
      <c r="V3637"/>
      <c r="W3637" s="41"/>
      <c r="X3637" s="41"/>
      <c r="Y3637" s="41"/>
    </row>
    <row r="3638" s="27" customFormat="1" ht="23" hidden="1" customHeight="1" spans="1:25">
      <c r="A3638" s="133" t="str">
        <f>IF(B3638="","",COUNTA($B$5:B3638))</f>
        <v/>
      </c>
      <c r="B3638" s="148"/>
      <c r="C3638" s="22" t="s">
        <v>49</v>
      </c>
      <c r="D3638" s="149"/>
      <c r="E3638" s="150"/>
      <c r="F3638" s="151"/>
      <c r="G3638" s="151"/>
      <c r="H3638" s="142">
        <f>IFERROR(VLOOKUP($C3638,$C$5:$H$18,6,0)+SUMIF($C$19:$C3638,$C3638,$F$19:$F3638)-SUMIF($C$19:$C3638,$C3638,$G$19:$G3638),"")</f>
        <v>81211.819999998</v>
      </c>
      <c r="I3638" s="147"/>
      <c r="J3638" s="147"/>
      <c r="K3638" s="147" t="str">
        <f t="shared" si="56"/>
        <v/>
      </c>
      <c r="L3638" s="40"/>
      <c r="M3638"/>
      <c r="N3638"/>
      <c r="O3638"/>
      <c r="P3638"/>
      <c r="Q3638"/>
      <c r="R3638"/>
      <c r="S3638"/>
      <c r="T3638"/>
      <c r="U3638"/>
      <c r="V3638"/>
      <c r="W3638" s="41"/>
      <c r="X3638" s="41"/>
      <c r="Y3638" s="41"/>
    </row>
    <row r="3639" s="27" customFormat="1" ht="23" hidden="1" customHeight="1" spans="1:25">
      <c r="A3639" s="133" t="str">
        <f>IF(B3639="","",COUNTA($B$5:B3639))</f>
        <v/>
      </c>
      <c r="B3639" s="148"/>
      <c r="C3639" s="22" t="s">
        <v>49</v>
      </c>
      <c r="D3639" s="149"/>
      <c r="E3639" s="150"/>
      <c r="F3639" s="151"/>
      <c r="G3639" s="151"/>
      <c r="H3639" s="142">
        <f>IFERROR(VLOOKUP($C3639,$C$5:$H$18,6,0)+SUMIF($C$19:$C3639,$C3639,$F$19:$F3639)-SUMIF($C$19:$C3639,$C3639,$G$19:$G3639),"")</f>
        <v>81211.819999998</v>
      </c>
      <c r="I3639" s="147"/>
      <c r="J3639" s="147"/>
      <c r="K3639" s="147" t="str">
        <f t="shared" si="56"/>
        <v/>
      </c>
      <c r="L3639" s="40"/>
      <c r="M3639"/>
      <c r="N3639"/>
      <c r="O3639"/>
      <c r="P3639"/>
      <c r="Q3639"/>
      <c r="R3639"/>
      <c r="S3639"/>
      <c r="T3639"/>
      <c r="U3639"/>
      <c r="V3639"/>
      <c r="W3639" s="41"/>
      <c r="X3639" s="41"/>
      <c r="Y3639" s="41"/>
    </row>
    <row r="3640" s="27" customFormat="1" ht="23" hidden="1" customHeight="1" spans="1:25">
      <c r="A3640" s="133" t="str">
        <f>IF(B3640="","",COUNTA($B$5:B3640))</f>
        <v/>
      </c>
      <c r="B3640" s="148"/>
      <c r="C3640" s="22" t="s">
        <v>49</v>
      </c>
      <c r="D3640" s="149"/>
      <c r="E3640" s="150"/>
      <c r="F3640" s="151"/>
      <c r="G3640" s="151"/>
      <c r="H3640" s="142">
        <f>IFERROR(VLOOKUP($C3640,$C$5:$H$18,6,0)+SUMIF($C$19:$C3640,$C3640,$F$19:$F3640)-SUMIF($C$19:$C3640,$C3640,$G$19:$G3640),"")</f>
        <v>81211.819999998</v>
      </c>
      <c r="I3640" s="147"/>
      <c r="J3640" s="147"/>
      <c r="K3640" s="147" t="str">
        <f t="shared" si="56"/>
        <v/>
      </c>
      <c r="L3640" s="40"/>
      <c r="M3640"/>
      <c r="N3640"/>
      <c r="O3640"/>
      <c r="P3640"/>
      <c r="Q3640"/>
      <c r="R3640"/>
      <c r="S3640"/>
      <c r="T3640"/>
      <c r="U3640"/>
      <c r="V3640"/>
      <c r="W3640" s="41"/>
      <c r="X3640" s="41"/>
      <c r="Y3640" s="41"/>
    </row>
    <row r="3641" s="27" customFormat="1" ht="23" hidden="1" customHeight="1" spans="1:25">
      <c r="A3641" s="133" t="str">
        <f>IF(B3641="","",COUNTA($B$5:B3641))</f>
        <v/>
      </c>
      <c r="B3641" s="148"/>
      <c r="C3641" s="22" t="s">
        <v>49</v>
      </c>
      <c r="D3641" s="149"/>
      <c r="E3641" s="150"/>
      <c r="F3641" s="151"/>
      <c r="G3641" s="151"/>
      <c r="H3641" s="142">
        <f>IFERROR(VLOOKUP($C3641,$C$5:$H$18,6,0)+SUMIF($C$19:$C3641,$C3641,$F$19:$F3641)-SUMIF($C$19:$C3641,$C3641,$G$19:$G3641),"")</f>
        <v>81211.819999998</v>
      </c>
      <c r="I3641" s="147"/>
      <c r="J3641" s="147"/>
      <c r="K3641" s="147" t="str">
        <f t="shared" si="56"/>
        <v/>
      </c>
      <c r="L3641" s="40"/>
      <c r="M3641"/>
      <c r="N3641"/>
      <c r="O3641"/>
      <c r="P3641"/>
      <c r="Q3641"/>
      <c r="R3641"/>
      <c r="S3641"/>
      <c r="T3641"/>
      <c r="U3641"/>
      <c r="V3641"/>
      <c r="W3641" s="41"/>
      <c r="X3641" s="41"/>
      <c r="Y3641" s="41"/>
    </row>
    <row r="3642" s="27" customFormat="1" ht="23" hidden="1" customHeight="1" spans="1:25">
      <c r="A3642" s="133" t="str">
        <f>IF(B3642="","",COUNTA($B$5:B3642))</f>
        <v/>
      </c>
      <c r="B3642" s="148"/>
      <c r="C3642" s="22" t="s">
        <v>49</v>
      </c>
      <c r="D3642" s="149"/>
      <c r="E3642" s="150"/>
      <c r="F3642" s="151"/>
      <c r="G3642" s="151"/>
      <c r="H3642" s="142">
        <f>IFERROR(VLOOKUP($C3642,$C$5:$H$18,6,0)+SUMIF($C$19:$C3642,$C3642,$F$19:$F3642)-SUMIF($C$19:$C3642,$C3642,$G$19:$G3642),"")</f>
        <v>81211.819999998</v>
      </c>
      <c r="I3642" s="147"/>
      <c r="J3642" s="147"/>
      <c r="K3642" s="147" t="str">
        <f t="shared" si="56"/>
        <v/>
      </c>
      <c r="L3642" s="40"/>
      <c r="M3642"/>
      <c r="N3642"/>
      <c r="O3642"/>
      <c r="P3642"/>
      <c r="Q3642"/>
      <c r="R3642"/>
      <c r="S3642"/>
      <c r="T3642"/>
      <c r="U3642"/>
      <c r="V3642"/>
      <c r="W3642" s="41"/>
      <c r="X3642" s="41"/>
      <c r="Y3642" s="41"/>
    </row>
    <row r="3643" s="27" customFormat="1" ht="23" hidden="1" customHeight="1" spans="1:25">
      <c r="A3643" s="133" t="str">
        <f>IF(B3643="","",COUNTA($B$5:B3643))</f>
        <v/>
      </c>
      <c r="B3643" s="148"/>
      <c r="C3643" s="22" t="s">
        <v>49</v>
      </c>
      <c r="D3643" s="149"/>
      <c r="E3643" s="150"/>
      <c r="F3643" s="151"/>
      <c r="G3643" s="151"/>
      <c r="H3643" s="142">
        <f>IFERROR(VLOOKUP($C3643,$C$5:$H$18,6,0)+SUMIF($C$19:$C3643,$C3643,$F$19:$F3643)-SUMIF($C$19:$C3643,$C3643,$G$19:$G3643),"")</f>
        <v>81211.819999998</v>
      </c>
      <c r="I3643" s="147"/>
      <c r="J3643" s="147"/>
      <c r="K3643" s="147" t="str">
        <f t="shared" si="56"/>
        <v/>
      </c>
      <c r="L3643" s="40"/>
      <c r="M3643"/>
      <c r="N3643"/>
      <c r="O3643"/>
      <c r="P3643"/>
      <c r="Q3643"/>
      <c r="R3643"/>
      <c r="S3643"/>
      <c r="T3643"/>
      <c r="U3643"/>
      <c r="V3643"/>
      <c r="W3643" s="41"/>
      <c r="X3643" s="41"/>
      <c r="Y3643" s="41"/>
    </row>
    <row r="3644" s="27" customFormat="1" ht="23" hidden="1" customHeight="1" spans="1:25">
      <c r="A3644" s="133" t="str">
        <f>IF(B3644="","",COUNTA($B$5:B3644))</f>
        <v/>
      </c>
      <c r="B3644" s="148"/>
      <c r="C3644" s="22" t="s">
        <v>49</v>
      </c>
      <c r="D3644" s="149"/>
      <c r="E3644" s="150"/>
      <c r="F3644" s="151"/>
      <c r="G3644" s="151"/>
      <c r="H3644" s="142">
        <f>IFERROR(VLOOKUP($C3644,$C$5:$H$18,6,0)+SUMIF($C$19:$C3644,$C3644,$F$19:$F3644)-SUMIF($C$19:$C3644,$C3644,$G$19:$G3644),"")</f>
        <v>81211.819999998</v>
      </c>
      <c r="I3644" s="147"/>
      <c r="J3644" s="147"/>
      <c r="K3644" s="147" t="str">
        <f t="shared" si="56"/>
        <v/>
      </c>
      <c r="L3644" s="40"/>
      <c r="M3644"/>
      <c r="N3644"/>
      <c r="O3644"/>
      <c r="P3644"/>
      <c r="Q3644"/>
      <c r="R3644"/>
      <c r="S3644"/>
      <c r="T3644"/>
      <c r="U3644"/>
      <c r="V3644"/>
      <c r="W3644" s="41"/>
      <c r="X3644" s="41"/>
      <c r="Y3644" s="41"/>
    </row>
    <row r="3645" s="27" customFormat="1" ht="23" hidden="1" customHeight="1" spans="1:25">
      <c r="A3645" s="133" t="str">
        <f>IF(B3645="","",COUNTA($B$5:B3645))</f>
        <v/>
      </c>
      <c r="B3645" s="148"/>
      <c r="C3645" s="22" t="s">
        <v>49</v>
      </c>
      <c r="D3645" s="149"/>
      <c r="E3645" s="150"/>
      <c r="F3645" s="151"/>
      <c r="G3645" s="151"/>
      <c r="H3645" s="142">
        <f>IFERROR(VLOOKUP($C3645,$C$5:$H$18,6,0)+SUMIF($C$19:$C3645,$C3645,$F$19:$F3645)-SUMIF($C$19:$C3645,$C3645,$G$19:$G3645),"")</f>
        <v>81211.819999998</v>
      </c>
      <c r="I3645" s="147"/>
      <c r="J3645" s="147"/>
      <c r="K3645" s="147" t="str">
        <f t="shared" si="56"/>
        <v/>
      </c>
      <c r="L3645" s="40"/>
      <c r="M3645"/>
      <c r="N3645"/>
      <c r="O3645"/>
      <c r="P3645"/>
      <c r="Q3645"/>
      <c r="R3645"/>
      <c r="S3645"/>
      <c r="T3645"/>
      <c r="U3645"/>
      <c r="V3645"/>
      <c r="W3645" s="41"/>
      <c r="X3645" s="41"/>
      <c r="Y3645" s="41"/>
    </row>
    <row r="3646" s="27" customFormat="1" ht="23" hidden="1" customHeight="1" spans="1:25">
      <c r="A3646" s="133" t="str">
        <f>IF(B3646="","",COUNTA($B$5:B3646))</f>
        <v/>
      </c>
      <c r="B3646" s="148"/>
      <c r="C3646" s="22" t="s">
        <v>49</v>
      </c>
      <c r="D3646" s="149"/>
      <c r="E3646" s="150"/>
      <c r="F3646" s="151"/>
      <c r="G3646" s="151"/>
      <c r="H3646" s="142">
        <f>IFERROR(VLOOKUP($C3646,$C$5:$H$18,6,0)+SUMIF($C$19:$C3646,$C3646,$F$19:$F3646)-SUMIF($C$19:$C3646,$C3646,$G$19:$G3646),"")</f>
        <v>81211.819999998</v>
      </c>
      <c r="I3646" s="147"/>
      <c r="J3646" s="147"/>
      <c r="K3646" s="147" t="str">
        <f t="shared" si="56"/>
        <v/>
      </c>
      <c r="L3646" s="40"/>
      <c r="M3646"/>
      <c r="N3646"/>
      <c r="O3646"/>
      <c r="P3646"/>
      <c r="Q3646"/>
      <c r="R3646"/>
      <c r="S3646"/>
      <c r="T3646"/>
      <c r="U3646"/>
      <c r="V3646"/>
      <c r="W3646" s="41"/>
      <c r="X3646" s="41"/>
      <c r="Y3646" s="41"/>
    </row>
    <row r="3647" s="27" customFormat="1" ht="23" hidden="1" customHeight="1" spans="1:25">
      <c r="A3647" s="133" t="str">
        <f>IF(B3647="","",COUNTA($B$5:B3647))</f>
        <v/>
      </c>
      <c r="B3647" s="148"/>
      <c r="C3647" s="22" t="s">
        <v>49</v>
      </c>
      <c r="D3647" s="149"/>
      <c r="E3647" s="150"/>
      <c r="F3647" s="151"/>
      <c r="G3647" s="151"/>
      <c r="H3647" s="142">
        <f>IFERROR(VLOOKUP($C3647,$C$5:$H$18,6,0)+SUMIF($C$19:$C3647,$C3647,$F$19:$F3647)-SUMIF($C$19:$C3647,$C3647,$G$19:$G3647),"")</f>
        <v>81211.819999998</v>
      </c>
      <c r="I3647" s="147"/>
      <c r="J3647" s="147"/>
      <c r="K3647" s="147" t="str">
        <f t="shared" si="56"/>
        <v/>
      </c>
      <c r="L3647" s="40"/>
      <c r="M3647"/>
      <c r="N3647"/>
      <c r="O3647"/>
      <c r="P3647"/>
      <c r="Q3647"/>
      <c r="R3647"/>
      <c r="S3647"/>
      <c r="T3647"/>
      <c r="U3647"/>
      <c r="V3647"/>
      <c r="W3647" s="41"/>
      <c r="X3647" s="41"/>
      <c r="Y3647" s="41"/>
    </row>
    <row r="3648" s="27" customFormat="1" ht="23" hidden="1" customHeight="1" spans="1:25">
      <c r="A3648" s="133" t="str">
        <f>IF(B3648="","",COUNTA($B$5:B3648))</f>
        <v/>
      </c>
      <c r="B3648" s="148"/>
      <c r="C3648" s="22" t="s">
        <v>49</v>
      </c>
      <c r="D3648" s="149"/>
      <c r="E3648" s="150"/>
      <c r="F3648" s="151"/>
      <c r="G3648" s="151"/>
      <c r="H3648" s="142">
        <f>IFERROR(VLOOKUP($C3648,$C$5:$H$18,6,0)+SUMIF($C$19:$C3648,$C3648,$F$19:$F3648)-SUMIF($C$19:$C3648,$C3648,$G$19:$G3648),"")</f>
        <v>81211.819999998</v>
      </c>
      <c r="I3648" s="147"/>
      <c r="J3648" s="147"/>
      <c r="K3648" s="147" t="str">
        <f t="shared" si="56"/>
        <v/>
      </c>
      <c r="L3648" s="40"/>
      <c r="M3648"/>
      <c r="N3648"/>
      <c r="O3648"/>
      <c r="P3648"/>
      <c r="Q3648"/>
      <c r="R3648"/>
      <c r="S3648"/>
      <c r="T3648"/>
      <c r="U3648"/>
      <c r="V3648"/>
      <c r="W3648" s="41"/>
      <c r="X3648" s="41"/>
      <c r="Y3648" s="41"/>
    </row>
    <row r="3649" s="27" customFormat="1" ht="23" hidden="1" customHeight="1" spans="1:25">
      <c r="A3649" s="133" t="str">
        <f>IF(B3649="","",COUNTA($B$5:B3649))</f>
        <v/>
      </c>
      <c r="B3649" s="148"/>
      <c r="C3649" s="22" t="s">
        <v>49</v>
      </c>
      <c r="D3649" s="149"/>
      <c r="E3649" s="150"/>
      <c r="F3649" s="151"/>
      <c r="G3649" s="151"/>
      <c r="H3649" s="142">
        <f>IFERROR(VLOOKUP($C3649,$C$5:$H$18,6,0)+SUMIF($C$19:$C3649,$C3649,$F$19:$F3649)-SUMIF($C$19:$C3649,$C3649,$G$19:$G3649),"")</f>
        <v>81211.819999998</v>
      </c>
      <c r="I3649" s="147"/>
      <c r="J3649" s="147"/>
      <c r="K3649" s="147" t="str">
        <f t="shared" si="56"/>
        <v/>
      </c>
      <c r="L3649" s="40"/>
      <c r="M3649"/>
      <c r="N3649"/>
      <c r="O3649"/>
      <c r="P3649"/>
      <c r="Q3649"/>
      <c r="R3649"/>
      <c r="S3649"/>
      <c r="T3649"/>
      <c r="U3649"/>
      <c r="V3649"/>
      <c r="W3649" s="41"/>
      <c r="X3649" s="41"/>
      <c r="Y3649" s="41"/>
    </row>
    <row r="3650" s="27" customFormat="1" ht="23" hidden="1" customHeight="1" spans="1:25">
      <c r="A3650" s="133" t="str">
        <f>IF(B3650="","",COUNTA($B$5:B3650))</f>
        <v/>
      </c>
      <c r="B3650" s="148"/>
      <c r="C3650" s="22" t="s">
        <v>49</v>
      </c>
      <c r="D3650" s="149"/>
      <c r="E3650" s="150"/>
      <c r="F3650" s="151"/>
      <c r="G3650" s="151"/>
      <c r="H3650" s="142">
        <f>IFERROR(VLOOKUP($C3650,$C$5:$H$18,6,0)+SUMIF($C$19:$C3650,$C3650,$F$19:$F3650)-SUMIF($C$19:$C3650,$C3650,$G$19:$G3650),"")</f>
        <v>81211.819999998</v>
      </c>
      <c r="I3650" s="147"/>
      <c r="J3650" s="147"/>
      <c r="K3650" s="147" t="str">
        <f t="shared" si="56"/>
        <v/>
      </c>
      <c r="L3650" s="40"/>
      <c r="M3650"/>
      <c r="N3650"/>
      <c r="O3650"/>
      <c r="P3650"/>
      <c r="Q3650"/>
      <c r="R3650"/>
      <c r="S3650"/>
      <c r="T3650"/>
      <c r="U3650"/>
      <c r="V3650"/>
      <c r="W3650" s="41"/>
      <c r="X3650" s="41"/>
      <c r="Y3650" s="41"/>
    </row>
    <row r="3651" s="27" customFormat="1" ht="23" hidden="1" customHeight="1" spans="1:25">
      <c r="A3651" s="133" t="str">
        <f>IF(B3651="","",COUNTA($B$5:B3651))</f>
        <v/>
      </c>
      <c r="B3651" s="148"/>
      <c r="C3651" s="22" t="s">
        <v>49</v>
      </c>
      <c r="D3651" s="149"/>
      <c r="E3651" s="150"/>
      <c r="F3651" s="151"/>
      <c r="G3651" s="151"/>
      <c r="H3651" s="142">
        <f>IFERROR(VLOOKUP($C3651,$C$5:$H$18,6,0)+SUMIF($C$19:$C3651,$C3651,$F$19:$F3651)-SUMIF($C$19:$C3651,$C3651,$G$19:$G3651),"")</f>
        <v>81211.819999998</v>
      </c>
      <c r="I3651" s="147"/>
      <c r="J3651" s="147"/>
      <c r="K3651" s="147" t="str">
        <f t="shared" si="56"/>
        <v/>
      </c>
      <c r="L3651" s="40"/>
      <c r="M3651"/>
      <c r="N3651"/>
      <c r="O3651"/>
      <c r="P3651"/>
      <c r="Q3651"/>
      <c r="R3651"/>
      <c r="S3651"/>
      <c r="T3651"/>
      <c r="U3651"/>
      <c r="V3651"/>
      <c r="W3651" s="41"/>
      <c r="X3651" s="41"/>
      <c r="Y3651" s="41"/>
    </row>
    <row r="3652" s="27" customFormat="1" ht="23" hidden="1" customHeight="1" spans="1:25">
      <c r="A3652" s="133" t="str">
        <f>IF(B3652="","",COUNTA($B$5:B3652))</f>
        <v/>
      </c>
      <c r="B3652" s="148"/>
      <c r="C3652" s="22" t="s">
        <v>49</v>
      </c>
      <c r="D3652" s="149"/>
      <c r="E3652" s="150"/>
      <c r="F3652" s="151"/>
      <c r="G3652" s="151"/>
      <c r="H3652" s="142">
        <f>IFERROR(VLOOKUP($C3652,$C$5:$H$18,6,0)+SUMIF($C$19:$C3652,$C3652,$F$19:$F3652)-SUMIF($C$19:$C3652,$C3652,$G$19:$G3652),"")</f>
        <v>81211.819999998</v>
      </c>
      <c r="I3652" s="147"/>
      <c r="J3652" s="147"/>
      <c r="K3652" s="147" t="str">
        <f t="shared" si="56"/>
        <v/>
      </c>
      <c r="L3652" s="40"/>
      <c r="M3652"/>
      <c r="N3652"/>
      <c r="O3652"/>
      <c r="P3652"/>
      <c r="Q3652"/>
      <c r="R3652"/>
      <c r="S3652"/>
      <c r="T3652"/>
      <c r="U3652"/>
      <c r="V3652"/>
      <c r="W3652" s="41"/>
      <c r="X3652" s="41"/>
      <c r="Y3652" s="41"/>
    </row>
    <row r="3653" s="27" customFormat="1" ht="23" hidden="1" customHeight="1" spans="1:25">
      <c r="A3653" s="133" t="str">
        <f>IF(B3653="","",COUNTA($B$5:B3653))</f>
        <v/>
      </c>
      <c r="B3653" s="148"/>
      <c r="C3653" s="22" t="s">
        <v>49</v>
      </c>
      <c r="D3653" s="149"/>
      <c r="E3653" s="150"/>
      <c r="F3653" s="151"/>
      <c r="G3653" s="151"/>
      <c r="H3653" s="142">
        <f>IFERROR(VLOOKUP($C3653,$C$5:$H$18,6,0)+SUMIF($C$19:$C3653,$C3653,$F$19:$F3653)-SUMIF($C$19:$C3653,$C3653,$G$19:$G3653),"")</f>
        <v>81211.819999998</v>
      </c>
      <c r="I3653" s="147"/>
      <c r="J3653" s="147"/>
      <c r="K3653" s="147" t="str">
        <f t="shared" ref="K3653:K3716" si="57">IF($B3653="","",--TEXT($B3653,"yyyymm"))</f>
        <v/>
      </c>
      <c r="L3653" s="40"/>
      <c r="M3653"/>
      <c r="N3653"/>
      <c r="O3653"/>
      <c r="P3653"/>
      <c r="Q3653"/>
      <c r="R3653"/>
      <c r="S3653"/>
      <c r="T3653"/>
      <c r="U3653"/>
      <c r="V3653"/>
      <c r="W3653" s="41"/>
      <c r="X3653" s="41"/>
      <c r="Y3653" s="41"/>
    </row>
    <row r="3654" s="27" customFormat="1" ht="23" hidden="1" customHeight="1" spans="1:25">
      <c r="A3654" s="133" t="str">
        <f>IF(B3654="","",COUNTA($B$5:B3654))</f>
        <v/>
      </c>
      <c r="B3654" s="148"/>
      <c r="C3654" s="22" t="s">
        <v>49</v>
      </c>
      <c r="D3654" s="149"/>
      <c r="E3654" s="150"/>
      <c r="F3654" s="151"/>
      <c r="G3654" s="151"/>
      <c r="H3654" s="142">
        <f>IFERROR(VLOOKUP($C3654,$C$5:$H$18,6,0)+SUMIF($C$19:$C3654,$C3654,$F$19:$F3654)-SUMIF($C$19:$C3654,$C3654,$G$19:$G3654),"")</f>
        <v>81211.819999998</v>
      </c>
      <c r="I3654" s="147"/>
      <c r="J3654" s="147"/>
      <c r="K3654" s="147" t="str">
        <f t="shared" si="57"/>
        <v/>
      </c>
      <c r="L3654" s="40"/>
      <c r="M3654"/>
      <c r="N3654"/>
      <c r="O3654"/>
      <c r="P3654"/>
      <c r="Q3654"/>
      <c r="R3654"/>
      <c r="S3654"/>
      <c r="T3654"/>
      <c r="U3654"/>
      <c r="V3654"/>
      <c r="W3654" s="41"/>
      <c r="X3654" s="41"/>
      <c r="Y3654" s="41"/>
    </row>
    <row r="3655" s="27" customFormat="1" ht="23" hidden="1" customHeight="1" spans="1:25">
      <c r="A3655" s="133" t="str">
        <f>IF(B3655="","",COUNTA($B$5:B3655))</f>
        <v/>
      </c>
      <c r="B3655" s="148"/>
      <c r="C3655" s="22" t="s">
        <v>49</v>
      </c>
      <c r="D3655" s="149"/>
      <c r="E3655" s="150"/>
      <c r="F3655" s="151"/>
      <c r="G3655" s="151"/>
      <c r="H3655" s="142">
        <f>IFERROR(VLOOKUP($C3655,$C$5:$H$18,6,0)+SUMIF($C$19:$C3655,$C3655,$F$19:$F3655)-SUMIF($C$19:$C3655,$C3655,$G$19:$G3655),"")</f>
        <v>81211.819999998</v>
      </c>
      <c r="I3655" s="147"/>
      <c r="J3655" s="147"/>
      <c r="K3655" s="147" t="str">
        <f t="shared" si="57"/>
        <v/>
      </c>
      <c r="L3655" s="40"/>
      <c r="M3655"/>
      <c r="N3655"/>
      <c r="O3655"/>
      <c r="P3655"/>
      <c r="Q3655"/>
      <c r="R3655"/>
      <c r="S3655"/>
      <c r="T3655"/>
      <c r="U3655"/>
      <c r="V3655"/>
      <c r="W3655" s="41"/>
      <c r="X3655" s="41"/>
      <c r="Y3655" s="41"/>
    </row>
    <row r="3656" s="27" customFormat="1" ht="23" hidden="1" customHeight="1" spans="1:25">
      <c r="A3656" s="133" t="str">
        <f>IF(B3656="","",COUNTA($B$5:B3656))</f>
        <v/>
      </c>
      <c r="B3656" s="148"/>
      <c r="C3656" s="22" t="s">
        <v>49</v>
      </c>
      <c r="D3656" s="149"/>
      <c r="E3656" s="150"/>
      <c r="F3656" s="151"/>
      <c r="G3656" s="151"/>
      <c r="H3656" s="142">
        <f>IFERROR(VLOOKUP($C3656,$C$5:$H$18,6,0)+SUMIF($C$19:$C3656,$C3656,$F$19:$F3656)-SUMIF($C$19:$C3656,$C3656,$G$19:$G3656),"")</f>
        <v>81211.819999998</v>
      </c>
      <c r="I3656" s="147"/>
      <c r="J3656" s="147"/>
      <c r="K3656" s="147" t="str">
        <f t="shared" si="57"/>
        <v/>
      </c>
      <c r="L3656" s="40"/>
      <c r="M3656"/>
      <c r="N3656"/>
      <c r="O3656"/>
      <c r="P3656"/>
      <c r="Q3656"/>
      <c r="R3656"/>
      <c r="S3656"/>
      <c r="T3656"/>
      <c r="U3656"/>
      <c r="V3656"/>
      <c r="W3656" s="41"/>
      <c r="X3656" s="41"/>
      <c r="Y3656" s="41"/>
    </row>
    <row r="3657" s="27" customFormat="1" ht="23" hidden="1" customHeight="1" spans="1:25">
      <c r="A3657" s="133" t="str">
        <f>IF(B3657="","",COUNTA($B$5:B3657))</f>
        <v/>
      </c>
      <c r="B3657" s="148"/>
      <c r="C3657" s="22" t="s">
        <v>49</v>
      </c>
      <c r="D3657" s="149"/>
      <c r="E3657" s="150"/>
      <c r="F3657" s="151"/>
      <c r="G3657" s="151"/>
      <c r="H3657" s="142">
        <f>IFERROR(VLOOKUP($C3657,$C$5:$H$18,6,0)+SUMIF($C$19:$C3657,$C3657,$F$19:$F3657)-SUMIF($C$19:$C3657,$C3657,$G$19:$G3657),"")</f>
        <v>81211.819999998</v>
      </c>
      <c r="I3657" s="147"/>
      <c r="J3657" s="147"/>
      <c r="K3657" s="147" t="str">
        <f t="shared" si="57"/>
        <v/>
      </c>
      <c r="L3657" s="40"/>
      <c r="M3657"/>
      <c r="N3657"/>
      <c r="O3657"/>
      <c r="P3657"/>
      <c r="Q3657"/>
      <c r="R3657"/>
      <c r="S3657"/>
      <c r="T3657"/>
      <c r="U3657"/>
      <c r="V3657"/>
      <c r="W3657" s="41"/>
      <c r="X3657" s="41"/>
      <c r="Y3657" s="41"/>
    </row>
    <row r="3658" s="27" customFormat="1" ht="23" hidden="1" customHeight="1" spans="1:25">
      <c r="A3658" s="133" t="str">
        <f>IF(B3658="","",COUNTA($B$5:B3658))</f>
        <v/>
      </c>
      <c r="B3658" s="148"/>
      <c r="C3658" s="22" t="s">
        <v>49</v>
      </c>
      <c r="D3658" s="149"/>
      <c r="E3658" s="150"/>
      <c r="F3658" s="151"/>
      <c r="G3658" s="151"/>
      <c r="H3658" s="142">
        <f>IFERROR(VLOOKUP($C3658,$C$5:$H$18,6,0)+SUMIF($C$19:$C3658,$C3658,$F$19:$F3658)-SUMIF($C$19:$C3658,$C3658,$G$19:$G3658),"")</f>
        <v>81211.819999998</v>
      </c>
      <c r="I3658" s="147"/>
      <c r="J3658" s="147"/>
      <c r="K3658" s="147" t="str">
        <f t="shared" si="57"/>
        <v/>
      </c>
      <c r="L3658" s="40"/>
      <c r="M3658"/>
      <c r="N3658"/>
      <c r="O3658"/>
      <c r="P3658"/>
      <c r="Q3658"/>
      <c r="R3658"/>
      <c r="S3658"/>
      <c r="T3658"/>
      <c r="U3658"/>
      <c r="V3658"/>
      <c r="W3658" s="41"/>
      <c r="X3658" s="41"/>
      <c r="Y3658" s="41"/>
    </row>
    <row r="3659" s="27" customFormat="1" ht="23" hidden="1" customHeight="1" spans="1:25">
      <c r="A3659" s="133" t="str">
        <f>IF(B3659="","",COUNTA($B$5:B3659))</f>
        <v/>
      </c>
      <c r="B3659" s="148"/>
      <c r="C3659" s="22" t="s">
        <v>49</v>
      </c>
      <c r="D3659" s="149"/>
      <c r="E3659" s="150"/>
      <c r="F3659" s="151"/>
      <c r="G3659" s="151"/>
      <c r="H3659" s="142">
        <f>IFERROR(VLOOKUP($C3659,$C$5:$H$18,6,0)+SUMIF($C$19:$C3659,$C3659,$F$19:$F3659)-SUMIF($C$19:$C3659,$C3659,$G$19:$G3659),"")</f>
        <v>81211.819999998</v>
      </c>
      <c r="I3659" s="147"/>
      <c r="J3659" s="147"/>
      <c r="K3659" s="147" t="str">
        <f t="shared" si="57"/>
        <v/>
      </c>
      <c r="L3659" s="40"/>
      <c r="M3659"/>
      <c r="N3659"/>
      <c r="O3659"/>
      <c r="P3659"/>
      <c r="Q3659"/>
      <c r="R3659"/>
      <c r="S3659"/>
      <c r="T3659"/>
      <c r="U3659"/>
      <c r="V3659"/>
      <c r="W3659" s="41"/>
      <c r="X3659" s="41"/>
      <c r="Y3659" s="41"/>
    </row>
    <row r="3660" s="27" customFormat="1" ht="23" hidden="1" customHeight="1" spans="1:25">
      <c r="A3660" s="133" t="str">
        <f>IF(B3660="","",COUNTA($B$5:B3660))</f>
        <v/>
      </c>
      <c r="B3660" s="148"/>
      <c r="C3660" s="22" t="s">
        <v>49</v>
      </c>
      <c r="D3660" s="149"/>
      <c r="E3660" s="150"/>
      <c r="F3660" s="151"/>
      <c r="G3660" s="151"/>
      <c r="H3660" s="142">
        <f>IFERROR(VLOOKUP($C3660,$C$5:$H$18,6,0)+SUMIF($C$19:$C3660,$C3660,$F$19:$F3660)-SUMIF($C$19:$C3660,$C3660,$G$19:$G3660),"")</f>
        <v>81211.819999998</v>
      </c>
      <c r="I3660" s="147"/>
      <c r="J3660" s="147"/>
      <c r="K3660" s="147" t="str">
        <f t="shared" si="57"/>
        <v/>
      </c>
      <c r="L3660" s="40"/>
      <c r="M3660"/>
      <c r="N3660"/>
      <c r="O3660"/>
      <c r="P3660"/>
      <c r="Q3660"/>
      <c r="R3660"/>
      <c r="S3660"/>
      <c r="T3660"/>
      <c r="U3660"/>
      <c r="V3660"/>
      <c r="W3660" s="41"/>
      <c r="X3660" s="41"/>
      <c r="Y3660" s="41"/>
    </row>
    <row r="3661" s="27" customFormat="1" ht="23" hidden="1" customHeight="1" spans="1:25">
      <c r="A3661" s="133" t="str">
        <f>IF(B3661="","",COUNTA($B$5:B3661))</f>
        <v/>
      </c>
      <c r="B3661" s="148"/>
      <c r="C3661" s="22" t="s">
        <v>49</v>
      </c>
      <c r="D3661" s="149"/>
      <c r="E3661" s="150"/>
      <c r="F3661" s="151"/>
      <c r="G3661" s="151"/>
      <c r="H3661" s="142">
        <f>IFERROR(VLOOKUP($C3661,$C$5:$H$18,6,0)+SUMIF($C$19:$C3661,$C3661,$F$19:$F3661)-SUMIF($C$19:$C3661,$C3661,$G$19:$G3661),"")</f>
        <v>81211.819999998</v>
      </c>
      <c r="I3661" s="147"/>
      <c r="J3661" s="147"/>
      <c r="K3661" s="147" t="str">
        <f t="shared" si="57"/>
        <v/>
      </c>
      <c r="L3661" s="40"/>
      <c r="M3661"/>
      <c r="N3661"/>
      <c r="O3661"/>
      <c r="P3661"/>
      <c r="Q3661"/>
      <c r="R3661"/>
      <c r="S3661"/>
      <c r="T3661"/>
      <c r="U3661"/>
      <c r="V3661"/>
      <c r="W3661" s="41"/>
      <c r="X3661" s="41"/>
      <c r="Y3661" s="41"/>
    </row>
    <row r="3662" s="27" customFormat="1" ht="23" hidden="1" customHeight="1" spans="1:25">
      <c r="A3662" s="133" t="str">
        <f>IF(B3662="","",COUNTA($B$5:B3662))</f>
        <v/>
      </c>
      <c r="B3662" s="148"/>
      <c r="C3662" s="22" t="s">
        <v>49</v>
      </c>
      <c r="D3662" s="149"/>
      <c r="E3662" s="150"/>
      <c r="F3662" s="151"/>
      <c r="G3662" s="151"/>
      <c r="H3662" s="142">
        <f>IFERROR(VLOOKUP($C3662,$C$5:$H$18,6,0)+SUMIF($C$19:$C3662,$C3662,$F$19:$F3662)-SUMIF($C$19:$C3662,$C3662,$G$19:$G3662),"")</f>
        <v>81211.819999998</v>
      </c>
      <c r="I3662" s="147"/>
      <c r="J3662" s="147"/>
      <c r="K3662" s="147" t="str">
        <f t="shared" si="57"/>
        <v/>
      </c>
      <c r="L3662" s="40"/>
      <c r="M3662"/>
      <c r="N3662"/>
      <c r="O3662"/>
      <c r="P3662"/>
      <c r="Q3662"/>
      <c r="R3662"/>
      <c r="S3662"/>
      <c r="T3662"/>
      <c r="U3662"/>
      <c r="V3662"/>
      <c r="W3662" s="41"/>
      <c r="X3662" s="41"/>
      <c r="Y3662" s="41"/>
    </row>
    <row r="3663" s="27" customFormat="1" ht="23" hidden="1" customHeight="1" spans="1:25">
      <c r="A3663" s="133" t="str">
        <f>IF(B3663="","",COUNTA($B$5:B3663))</f>
        <v/>
      </c>
      <c r="B3663" s="148"/>
      <c r="C3663" s="22" t="s">
        <v>49</v>
      </c>
      <c r="D3663" s="149"/>
      <c r="E3663" s="150"/>
      <c r="F3663" s="151"/>
      <c r="G3663" s="151"/>
      <c r="H3663" s="142">
        <f>IFERROR(VLOOKUP($C3663,$C$5:$H$18,6,0)+SUMIF($C$19:$C3663,$C3663,$F$19:$F3663)-SUMIF($C$19:$C3663,$C3663,$G$19:$G3663),"")</f>
        <v>81211.819999998</v>
      </c>
      <c r="I3663" s="147"/>
      <c r="J3663" s="147"/>
      <c r="K3663" s="147" t="str">
        <f t="shared" si="57"/>
        <v/>
      </c>
      <c r="L3663" s="40"/>
      <c r="M3663"/>
      <c r="N3663"/>
      <c r="O3663"/>
      <c r="P3663"/>
      <c r="Q3663"/>
      <c r="R3663"/>
      <c r="S3663"/>
      <c r="T3663"/>
      <c r="U3663"/>
      <c r="V3663"/>
      <c r="W3663" s="41"/>
      <c r="X3663" s="41"/>
      <c r="Y3663" s="41"/>
    </row>
    <row r="3664" s="27" customFormat="1" ht="23" hidden="1" customHeight="1" spans="1:25">
      <c r="A3664" s="133" t="str">
        <f>IF(B3664="","",COUNTA($B$5:B3664))</f>
        <v/>
      </c>
      <c r="B3664" s="148"/>
      <c r="C3664" s="22" t="s">
        <v>49</v>
      </c>
      <c r="D3664" s="149"/>
      <c r="E3664" s="150"/>
      <c r="F3664" s="151"/>
      <c r="G3664" s="151"/>
      <c r="H3664" s="142">
        <f>IFERROR(VLOOKUP($C3664,$C$5:$H$18,6,0)+SUMIF($C$19:$C3664,$C3664,$F$19:$F3664)-SUMIF($C$19:$C3664,$C3664,$G$19:$G3664),"")</f>
        <v>81211.819999998</v>
      </c>
      <c r="I3664" s="147"/>
      <c r="J3664" s="147"/>
      <c r="K3664" s="147" t="str">
        <f t="shared" si="57"/>
        <v/>
      </c>
      <c r="L3664" s="40"/>
      <c r="M3664"/>
      <c r="N3664"/>
      <c r="O3664"/>
      <c r="P3664"/>
      <c r="Q3664"/>
      <c r="R3664"/>
      <c r="S3664"/>
      <c r="T3664"/>
      <c r="U3664"/>
      <c r="V3664"/>
      <c r="W3664" s="41"/>
      <c r="X3664" s="41"/>
      <c r="Y3664" s="41"/>
    </row>
    <row r="3665" s="27" customFormat="1" ht="23" hidden="1" customHeight="1" spans="1:25">
      <c r="A3665" s="133" t="str">
        <f>IF(B3665="","",COUNTA($B$5:B3665))</f>
        <v/>
      </c>
      <c r="B3665" s="148"/>
      <c r="C3665" s="22" t="s">
        <v>49</v>
      </c>
      <c r="D3665" s="149"/>
      <c r="E3665" s="150"/>
      <c r="F3665" s="151"/>
      <c r="G3665" s="151"/>
      <c r="H3665" s="142">
        <f>IFERROR(VLOOKUP($C3665,$C$5:$H$18,6,0)+SUMIF($C$19:$C3665,$C3665,$F$19:$F3665)-SUMIF($C$19:$C3665,$C3665,$G$19:$G3665),"")</f>
        <v>81211.819999998</v>
      </c>
      <c r="I3665" s="147"/>
      <c r="J3665" s="147"/>
      <c r="K3665" s="147" t="str">
        <f t="shared" si="57"/>
        <v/>
      </c>
      <c r="L3665" s="40"/>
      <c r="M3665"/>
      <c r="N3665"/>
      <c r="O3665"/>
      <c r="P3665"/>
      <c r="Q3665"/>
      <c r="R3665"/>
      <c r="S3665"/>
      <c r="T3665"/>
      <c r="U3665"/>
      <c r="V3665"/>
      <c r="W3665" s="41"/>
      <c r="X3665" s="41"/>
      <c r="Y3665" s="41"/>
    </row>
    <row r="3666" s="27" customFormat="1" ht="23" hidden="1" customHeight="1" spans="1:25">
      <c r="A3666" s="133" t="str">
        <f>IF(B3666="","",COUNTA($B$5:B3666))</f>
        <v/>
      </c>
      <c r="B3666" s="148"/>
      <c r="C3666" s="22" t="s">
        <v>49</v>
      </c>
      <c r="D3666" s="149"/>
      <c r="E3666" s="150"/>
      <c r="F3666" s="151"/>
      <c r="G3666" s="151"/>
      <c r="H3666" s="142">
        <f>IFERROR(VLOOKUP($C3666,$C$5:$H$18,6,0)+SUMIF($C$19:$C3666,$C3666,$F$19:$F3666)-SUMIF($C$19:$C3666,$C3666,$G$19:$G3666),"")</f>
        <v>81211.819999998</v>
      </c>
      <c r="I3666" s="147"/>
      <c r="J3666" s="147"/>
      <c r="K3666" s="147" t="str">
        <f t="shared" si="57"/>
        <v/>
      </c>
      <c r="L3666" s="40"/>
      <c r="M3666"/>
      <c r="N3666"/>
      <c r="O3666"/>
      <c r="P3666"/>
      <c r="Q3666"/>
      <c r="R3666"/>
      <c r="S3666"/>
      <c r="T3666"/>
      <c r="U3666"/>
      <c r="V3666"/>
      <c r="W3666" s="41"/>
      <c r="X3666" s="41"/>
      <c r="Y3666" s="41"/>
    </row>
    <row r="3667" s="27" customFormat="1" ht="23" hidden="1" customHeight="1" spans="1:25">
      <c r="A3667" s="133" t="str">
        <f>IF(B3667="","",COUNTA($B$5:B3667))</f>
        <v/>
      </c>
      <c r="B3667" s="148"/>
      <c r="C3667" s="22" t="s">
        <v>49</v>
      </c>
      <c r="D3667" s="149"/>
      <c r="E3667" s="150"/>
      <c r="F3667" s="151"/>
      <c r="G3667" s="151"/>
      <c r="H3667" s="142">
        <f>IFERROR(VLOOKUP($C3667,$C$5:$H$18,6,0)+SUMIF($C$19:$C3667,$C3667,$F$19:$F3667)-SUMIF($C$19:$C3667,$C3667,$G$19:$G3667),"")</f>
        <v>81211.819999998</v>
      </c>
      <c r="I3667" s="147"/>
      <c r="J3667" s="147"/>
      <c r="K3667" s="147" t="str">
        <f t="shared" si="57"/>
        <v/>
      </c>
      <c r="L3667" s="40"/>
      <c r="M3667"/>
      <c r="N3667"/>
      <c r="O3667"/>
      <c r="P3667"/>
      <c r="Q3667"/>
      <c r="R3667"/>
      <c r="S3667"/>
      <c r="T3667"/>
      <c r="U3667"/>
      <c r="V3667"/>
      <c r="W3667" s="41"/>
      <c r="X3667" s="41"/>
      <c r="Y3667" s="41"/>
    </row>
    <row r="3668" s="27" customFormat="1" ht="23" hidden="1" customHeight="1" spans="1:25">
      <c r="A3668" s="133" t="str">
        <f>IF(B3668="","",COUNTA($B$5:B3668))</f>
        <v/>
      </c>
      <c r="B3668" s="148"/>
      <c r="C3668" s="22" t="s">
        <v>49</v>
      </c>
      <c r="D3668" s="149"/>
      <c r="E3668" s="150"/>
      <c r="F3668" s="151"/>
      <c r="G3668" s="151"/>
      <c r="H3668" s="142">
        <f>IFERROR(VLOOKUP($C3668,$C$5:$H$18,6,0)+SUMIF($C$19:$C3668,$C3668,$F$19:$F3668)-SUMIF($C$19:$C3668,$C3668,$G$19:$G3668),"")</f>
        <v>81211.819999998</v>
      </c>
      <c r="I3668" s="147"/>
      <c r="J3668" s="147"/>
      <c r="K3668" s="147" t="str">
        <f t="shared" si="57"/>
        <v/>
      </c>
      <c r="L3668" s="40"/>
      <c r="M3668"/>
      <c r="N3668"/>
      <c r="O3668"/>
      <c r="P3668"/>
      <c r="Q3668"/>
      <c r="R3668"/>
      <c r="S3668"/>
      <c r="T3668"/>
      <c r="U3668"/>
      <c r="V3668"/>
      <c r="W3668" s="41"/>
      <c r="X3668" s="41"/>
      <c r="Y3668" s="41"/>
    </row>
    <row r="3669" s="27" customFormat="1" ht="23" hidden="1" customHeight="1" spans="1:25">
      <c r="A3669" s="133" t="str">
        <f>IF(B3669="","",COUNTA($B$5:B3669))</f>
        <v/>
      </c>
      <c r="B3669" s="148"/>
      <c r="C3669" s="22" t="s">
        <v>49</v>
      </c>
      <c r="D3669" s="149"/>
      <c r="E3669" s="150"/>
      <c r="F3669" s="151"/>
      <c r="G3669" s="151"/>
      <c r="H3669" s="142">
        <f>IFERROR(VLOOKUP($C3669,$C$5:$H$18,6,0)+SUMIF($C$19:$C3669,$C3669,$F$19:$F3669)-SUMIF($C$19:$C3669,$C3669,$G$19:$G3669),"")</f>
        <v>81211.819999998</v>
      </c>
      <c r="I3669" s="147"/>
      <c r="J3669" s="147"/>
      <c r="K3669" s="147" t="str">
        <f t="shared" si="57"/>
        <v/>
      </c>
      <c r="L3669" s="40"/>
      <c r="M3669"/>
      <c r="N3669"/>
      <c r="O3669"/>
      <c r="P3669"/>
      <c r="Q3669"/>
      <c r="R3669"/>
      <c r="S3669"/>
      <c r="T3669"/>
      <c r="U3669"/>
      <c r="V3669"/>
      <c r="W3669" s="41"/>
      <c r="X3669" s="41"/>
      <c r="Y3669" s="41"/>
    </row>
    <row r="3670" s="27" customFormat="1" ht="23" hidden="1" customHeight="1" spans="1:25">
      <c r="A3670" s="133" t="str">
        <f>IF(B3670="","",COUNTA($B$5:B3670))</f>
        <v/>
      </c>
      <c r="B3670" s="148"/>
      <c r="C3670" s="22" t="s">
        <v>49</v>
      </c>
      <c r="D3670" s="149"/>
      <c r="E3670" s="150"/>
      <c r="F3670" s="151"/>
      <c r="G3670" s="151"/>
      <c r="H3670" s="142">
        <f>IFERROR(VLOOKUP($C3670,$C$5:$H$18,6,0)+SUMIF($C$19:$C3670,$C3670,$F$19:$F3670)-SUMIF($C$19:$C3670,$C3670,$G$19:$G3670),"")</f>
        <v>81211.819999998</v>
      </c>
      <c r="I3670" s="147"/>
      <c r="J3670" s="147"/>
      <c r="K3670" s="147" t="str">
        <f t="shared" si="57"/>
        <v/>
      </c>
      <c r="L3670" s="40"/>
      <c r="M3670"/>
      <c r="N3670"/>
      <c r="O3670"/>
      <c r="P3670"/>
      <c r="Q3670"/>
      <c r="R3670"/>
      <c r="S3670"/>
      <c r="T3670"/>
      <c r="U3670"/>
      <c r="V3670"/>
      <c r="W3670" s="41"/>
      <c r="X3670" s="41"/>
      <c r="Y3670" s="41"/>
    </row>
    <row r="3671" s="27" customFormat="1" ht="23" hidden="1" customHeight="1" spans="1:25">
      <c r="A3671" s="133" t="str">
        <f>IF(B3671="","",COUNTA($B$5:B3671))</f>
        <v/>
      </c>
      <c r="B3671" s="148"/>
      <c r="C3671" s="22" t="s">
        <v>49</v>
      </c>
      <c r="D3671" s="149"/>
      <c r="E3671" s="150"/>
      <c r="F3671" s="151"/>
      <c r="G3671" s="151"/>
      <c r="H3671" s="142">
        <f>IFERROR(VLOOKUP($C3671,$C$5:$H$18,6,0)+SUMIF($C$19:$C3671,$C3671,$F$19:$F3671)-SUMIF($C$19:$C3671,$C3671,$G$19:$G3671),"")</f>
        <v>81211.819999998</v>
      </c>
      <c r="I3671" s="147"/>
      <c r="J3671" s="147"/>
      <c r="K3671" s="147" t="str">
        <f t="shared" si="57"/>
        <v/>
      </c>
      <c r="L3671" s="40"/>
      <c r="M3671"/>
      <c r="N3671"/>
      <c r="O3671"/>
      <c r="P3671"/>
      <c r="Q3671"/>
      <c r="R3671"/>
      <c r="S3671"/>
      <c r="T3671"/>
      <c r="U3671"/>
      <c r="V3671"/>
      <c r="W3671" s="41"/>
      <c r="X3671" s="41"/>
      <c r="Y3671" s="41"/>
    </row>
    <row r="3672" s="27" customFormat="1" ht="23" hidden="1" customHeight="1" spans="1:25">
      <c r="A3672" s="133" t="str">
        <f>IF(B3672="","",COUNTA($B$5:B3672))</f>
        <v/>
      </c>
      <c r="B3672" s="148"/>
      <c r="C3672" s="22" t="s">
        <v>49</v>
      </c>
      <c r="D3672" s="149"/>
      <c r="E3672" s="150"/>
      <c r="F3672" s="151"/>
      <c r="G3672" s="151"/>
      <c r="H3672" s="142">
        <f>IFERROR(VLOOKUP($C3672,$C$5:$H$18,6,0)+SUMIF($C$19:$C3672,$C3672,$F$19:$F3672)-SUMIF($C$19:$C3672,$C3672,$G$19:$G3672),"")</f>
        <v>81211.819999998</v>
      </c>
      <c r="I3672" s="147"/>
      <c r="J3672" s="147"/>
      <c r="K3672" s="147" t="str">
        <f t="shared" si="57"/>
        <v/>
      </c>
      <c r="L3672" s="40"/>
      <c r="M3672"/>
      <c r="N3672"/>
      <c r="O3672"/>
      <c r="P3672"/>
      <c r="Q3672"/>
      <c r="R3672"/>
      <c r="S3672"/>
      <c r="T3672"/>
      <c r="U3672"/>
      <c r="V3672"/>
      <c r="W3672" s="41"/>
      <c r="X3672" s="41"/>
      <c r="Y3672" s="41"/>
    </row>
    <row r="3673" s="27" customFormat="1" ht="23" hidden="1" customHeight="1" spans="1:25">
      <c r="A3673" s="133" t="str">
        <f>IF(B3673="","",COUNTA($B$5:B3673))</f>
        <v/>
      </c>
      <c r="B3673" s="148"/>
      <c r="C3673" s="22" t="s">
        <v>49</v>
      </c>
      <c r="D3673" s="149"/>
      <c r="E3673" s="150"/>
      <c r="F3673" s="151"/>
      <c r="G3673" s="151"/>
      <c r="H3673" s="142">
        <f>IFERROR(VLOOKUP($C3673,$C$5:$H$18,6,0)+SUMIF($C$19:$C3673,$C3673,$F$19:$F3673)-SUMIF($C$19:$C3673,$C3673,$G$19:$G3673),"")</f>
        <v>81211.819999998</v>
      </c>
      <c r="I3673" s="147"/>
      <c r="J3673" s="147"/>
      <c r="K3673" s="147" t="str">
        <f t="shared" si="57"/>
        <v/>
      </c>
      <c r="L3673" s="40"/>
      <c r="M3673"/>
      <c r="N3673"/>
      <c r="O3673"/>
      <c r="P3673"/>
      <c r="Q3673"/>
      <c r="R3673"/>
      <c r="S3673"/>
      <c r="T3673"/>
      <c r="U3673"/>
      <c r="V3673"/>
      <c r="W3673" s="41"/>
      <c r="X3673" s="41"/>
      <c r="Y3673" s="41"/>
    </row>
    <row r="3674" s="27" customFormat="1" ht="23" hidden="1" customHeight="1" spans="1:25">
      <c r="A3674" s="133" t="str">
        <f>IF(B3674="","",COUNTA($B$5:B3674))</f>
        <v/>
      </c>
      <c r="B3674" s="148"/>
      <c r="C3674" s="22" t="s">
        <v>49</v>
      </c>
      <c r="D3674" s="149"/>
      <c r="E3674" s="150"/>
      <c r="F3674" s="151"/>
      <c r="G3674" s="151"/>
      <c r="H3674" s="142">
        <f>IFERROR(VLOOKUP($C3674,$C$5:$H$18,6,0)+SUMIF($C$19:$C3674,$C3674,$F$19:$F3674)-SUMIF($C$19:$C3674,$C3674,$G$19:$G3674),"")</f>
        <v>81211.819999998</v>
      </c>
      <c r="I3674" s="147"/>
      <c r="J3674" s="147"/>
      <c r="K3674" s="147" t="str">
        <f t="shared" si="57"/>
        <v/>
      </c>
      <c r="L3674" s="40"/>
      <c r="M3674"/>
      <c r="N3674"/>
      <c r="O3674"/>
      <c r="P3674"/>
      <c r="Q3674"/>
      <c r="R3674"/>
      <c r="S3674"/>
      <c r="T3674"/>
      <c r="U3674"/>
      <c r="V3674"/>
      <c r="W3674" s="41"/>
      <c r="X3674" s="41"/>
      <c r="Y3674" s="41"/>
    </row>
    <row r="3675" s="27" customFormat="1" ht="23" hidden="1" customHeight="1" spans="1:25">
      <c r="A3675" s="133" t="str">
        <f>IF(B3675="","",COUNTA($B$5:B3675))</f>
        <v/>
      </c>
      <c r="B3675" s="148"/>
      <c r="C3675" s="22" t="s">
        <v>49</v>
      </c>
      <c r="D3675" s="149"/>
      <c r="E3675" s="150"/>
      <c r="F3675" s="151"/>
      <c r="G3675" s="151"/>
      <c r="H3675" s="142">
        <f>IFERROR(VLOOKUP($C3675,$C$5:$H$18,6,0)+SUMIF($C$19:$C3675,$C3675,$F$19:$F3675)-SUMIF($C$19:$C3675,$C3675,$G$19:$G3675),"")</f>
        <v>81211.819999998</v>
      </c>
      <c r="I3675" s="147"/>
      <c r="J3675" s="147"/>
      <c r="K3675" s="147" t="str">
        <f t="shared" si="57"/>
        <v/>
      </c>
      <c r="L3675" s="40"/>
      <c r="M3675"/>
      <c r="N3675"/>
      <c r="O3675"/>
      <c r="P3675"/>
      <c r="Q3675"/>
      <c r="R3675"/>
      <c r="S3675"/>
      <c r="T3675"/>
      <c r="U3675"/>
      <c r="V3675"/>
      <c r="W3675" s="41"/>
      <c r="X3675" s="41"/>
      <c r="Y3675" s="41"/>
    </row>
    <row r="3676" s="27" customFormat="1" ht="23" hidden="1" customHeight="1" spans="1:25">
      <c r="A3676" s="133" t="str">
        <f>IF(B3676="","",COUNTA($B$5:B3676))</f>
        <v/>
      </c>
      <c r="B3676" s="148"/>
      <c r="C3676" s="22" t="s">
        <v>49</v>
      </c>
      <c r="D3676" s="149"/>
      <c r="E3676" s="150"/>
      <c r="F3676" s="151"/>
      <c r="G3676" s="151"/>
      <c r="H3676" s="142">
        <f>IFERROR(VLOOKUP($C3676,$C$5:$H$18,6,0)+SUMIF($C$19:$C3676,$C3676,$F$19:$F3676)-SUMIF($C$19:$C3676,$C3676,$G$19:$G3676),"")</f>
        <v>81211.819999998</v>
      </c>
      <c r="I3676" s="147"/>
      <c r="J3676" s="147"/>
      <c r="K3676" s="147" t="str">
        <f t="shared" si="57"/>
        <v/>
      </c>
      <c r="L3676" s="40"/>
      <c r="M3676"/>
      <c r="N3676"/>
      <c r="O3676"/>
      <c r="P3676"/>
      <c r="Q3676"/>
      <c r="R3676"/>
      <c r="S3676"/>
      <c r="T3676"/>
      <c r="U3676"/>
      <c r="V3676"/>
      <c r="W3676" s="41"/>
      <c r="X3676" s="41"/>
      <c r="Y3676" s="41"/>
    </row>
    <row r="3677" s="27" customFormat="1" ht="23" hidden="1" customHeight="1" spans="1:25">
      <c r="A3677" s="133" t="str">
        <f>IF(B3677="","",COUNTA($B$5:B3677))</f>
        <v/>
      </c>
      <c r="B3677" s="148"/>
      <c r="C3677" s="22" t="s">
        <v>49</v>
      </c>
      <c r="D3677" s="149"/>
      <c r="E3677" s="150"/>
      <c r="F3677" s="151"/>
      <c r="G3677" s="151"/>
      <c r="H3677" s="142">
        <f>IFERROR(VLOOKUP($C3677,$C$5:$H$18,6,0)+SUMIF($C$19:$C3677,$C3677,$F$19:$F3677)-SUMIF($C$19:$C3677,$C3677,$G$19:$G3677),"")</f>
        <v>81211.819999998</v>
      </c>
      <c r="I3677" s="147"/>
      <c r="J3677" s="147"/>
      <c r="K3677" s="147" t="str">
        <f t="shared" si="57"/>
        <v/>
      </c>
      <c r="L3677" s="40"/>
      <c r="M3677"/>
      <c r="N3677"/>
      <c r="O3677"/>
      <c r="P3677"/>
      <c r="Q3677"/>
      <c r="R3677"/>
      <c r="S3677"/>
      <c r="T3677"/>
      <c r="U3677"/>
      <c r="V3677"/>
      <c r="W3677" s="41"/>
      <c r="X3677" s="41"/>
      <c r="Y3677" s="41"/>
    </row>
    <row r="3678" s="27" customFormat="1" ht="23" hidden="1" customHeight="1" spans="1:25">
      <c r="A3678" s="133" t="str">
        <f>IF(B3678="","",COUNTA($B$5:B3678))</f>
        <v/>
      </c>
      <c r="B3678" s="148"/>
      <c r="C3678" s="22" t="s">
        <v>49</v>
      </c>
      <c r="D3678" s="149"/>
      <c r="E3678" s="150"/>
      <c r="F3678" s="151"/>
      <c r="G3678" s="151"/>
      <c r="H3678" s="142">
        <f>IFERROR(VLOOKUP($C3678,$C$5:$H$18,6,0)+SUMIF($C$19:$C3678,$C3678,$F$19:$F3678)-SUMIF($C$19:$C3678,$C3678,$G$19:$G3678),"")</f>
        <v>81211.819999998</v>
      </c>
      <c r="I3678" s="147"/>
      <c r="J3678" s="147"/>
      <c r="K3678" s="147" t="str">
        <f t="shared" si="57"/>
        <v/>
      </c>
      <c r="L3678" s="40"/>
      <c r="M3678"/>
      <c r="N3678"/>
      <c r="O3678"/>
      <c r="P3678"/>
      <c r="Q3678"/>
      <c r="R3678"/>
      <c r="S3678"/>
      <c r="T3678"/>
      <c r="U3678"/>
      <c r="V3678"/>
      <c r="W3678" s="41"/>
      <c r="X3678" s="41"/>
      <c r="Y3678" s="41"/>
    </row>
    <row r="3679" s="27" customFormat="1" ht="23" hidden="1" customHeight="1" spans="1:25">
      <c r="A3679" s="133" t="str">
        <f>IF(B3679="","",COUNTA($B$5:B3679))</f>
        <v/>
      </c>
      <c r="B3679" s="148"/>
      <c r="C3679" s="22" t="s">
        <v>49</v>
      </c>
      <c r="D3679" s="149"/>
      <c r="E3679" s="150"/>
      <c r="F3679" s="151"/>
      <c r="G3679" s="151"/>
      <c r="H3679" s="142">
        <f>IFERROR(VLOOKUP($C3679,$C$5:$H$18,6,0)+SUMIF($C$19:$C3679,$C3679,$F$19:$F3679)-SUMIF($C$19:$C3679,$C3679,$G$19:$G3679),"")</f>
        <v>81211.819999998</v>
      </c>
      <c r="I3679" s="147"/>
      <c r="J3679" s="147"/>
      <c r="K3679" s="147" t="str">
        <f t="shared" si="57"/>
        <v/>
      </c>
      <c r="L3679" s="40"/>
      <c r="M3679"/>
      <c r="N3679"/>
      <c r="O3679"/>
      <c r="P3679"/>
      <c r="Q3679"/>
      <c r="R3679"/>
      <c r="S3679"/>
      <c r="T3679"/>
      <c r="U3679"/>
      <c r="V3679"/>
      <c r="W3679" s="41"/>
      <c r="X3679" s="41"/>
      <c r="Y3679" s="41"/>
    </row>
    <row r="3680" s="27" customFormat="1" ht="23" hidden="1" customHeight="1" spans="1:25">
      <c r="A3680" s="133" t="str">
        <f>IF(B3680="","",COUNTA($B$5:B3680))</f>
        <v/>
      </c>
      <c r="B3680" s="148"/>
      <c r="C3680" s="22" t="s">
        <v>49</v>
      </c>
      <c r="D3680" s="149"/>
      <c r="E3680" s="150"/>
      <c r="F3680" s="151"/>
      <c r="G3680" s="151"/>
      <c r="H3680" s="142">
        <f>IFERROR(VLOOKUP($C3680,$C$5:$H$18,6,0)+SUMIF($C$19:$C3680,$C3680,$F$19:$F3680)-SUMIF($C$19:$C3680,$C3680,$G$19:$G3680),"")</f>
        <v>81211.819999998</v>
      </c>
      <c r="I3680" s="147"/>
      <c r="J3680" s="147"/>
      <c r="K3680" s="147" t="str">
        <f t="shared" si="57"/>
        <v/>
      </c>
      <c r="L3680" s="40"/>
      <c r="M3680"/>
      <c r="N3680"/>
      <c r="O3680"/>
      <c r="P3680"/>
      <c r="Q3680"/>
      <c r="R3680"/>
      <c r="S3680"/>
      <c r="T3680"/>
      <c r="U3680"/>
      <c r="V3680"/>
      <c r="W3680" s="41"/>
      <c r="X3680" s="41"/>
      <c r="Y3680" s="41"/>
    </row>
    <row r="3681" s="27" customFormat="1" ht="23" hidden="1" customHeight="1" spans="1:25">
      <c r="A3681" s="133" t="str">
        <f>IF(B3681="","",COUNTA($B$5:B3681))</f>
        <v/>
      </c>
      <c r="B3681" s="148"/>
      <c r="C3681" s="22" t="s">
        <v>49</v>
      </c>
      <c r="D3681" s="149"/>
      <c r="E3681" s="150"/>
      <c r="F3681" s="151"/>
      <c r="G3681" s="151"/>
      <c r="H3681" s="142">
        <f>IFERROR(VLOOKUP($C3681,$C$5:$H$18,6,0)+SUMIF($C$19:$C3681,$C3681,$F$19:$F3681)-SUMIF($C$19:$C3681,$C3681,$G$19:$G3681),"")</f>
        <v>81211.819999998</v>
      </c>
      <c r="I3681" s="147"/>
      <c r="J3681" s="147"/>
      <c r="K3681" s="147" t="str">
        <f t="shared" si="57"/>
        <v/>
      </c>
      <c r="L3681" s="40"/>
      <c r="M3681"/>
      <c r="N3681"/>
      <c r="O3681"/>
      <c r="P3681"/>
      <c r="Q3681"/>
      <c r="R3681"/>
      <c r="S3681"/>
      <c r="T3681"/>
      <c r="U3681"/>
      <c r="V3681"/>
      <c r="W3681" s="41"/>
      <c r="X3681" s="41"/>
      <c r="Y3681" s="41"/>
    </row>
    <row r="3682" s="27" customFormat="1" ht="23" hidden="1" customHeight="1" spans="1:25">
      <c r="A3682" s="133" t="str">
        <f>IF(B3682="","",COUNTA($B$5:B3682))</f>
        <v/>
      </c>
      <c r="B3682" s="148"/>
      <c r="C3682" s="22" t="s">
        <v>49</v>
      </c>
      <c r="D3682" s="149"/>
      <c r="E3682" s="150"/>
      <c r="F3682" s="151"/>
      <c r="G3682" s="151"/>
      <c r="H3682" s="142">
        <f>IFERROR(VLOOKUP($C3682,$C$5:$H$18,6,0)+SUMIF($C$19:$C3682,$C3682,$F$19:$F3682)-SUMIF($C$19:$C3682,$C3682,$G$19:$G3682),"")</f>
        <v>81211.819999998</v>
      </c>
      <c r="I3682" s="147"/>
      <c r="J3682" s="147"/>
      <c r="K3682" s="147" t="str">
        <f t="shared" si="57"/>
        <v/>
      </c>
      <c r="L3682" s="40"/>
      <c r="M3682"/>
      <c r="N3682"/>
      <c r="O3682"/>
      <c r="P3682"/>
      <c r="Q3682"/>
      <c r="R3682"/>
      <c r="S3682"/>
      <c r="T3682"/>
      <c r="U3682"/>
      <c r="V3682"/>
      <c r="W3682" s="41"/>
      <c r="X3682" s="41"/>
      <c r="Y3682" s="41"/>
    </row>
    <row r="3683" s="27" customFormat="1" ht="23" hidden="1" customHeight="1" spans="1:25">
      <c r="A3683" s="133" t="str">
        <f>IF(B3683="","",COUNTA($B$5:B3683))</f>
        <v/>
      </c>
      <c r="B3683" s="148"/>
      <c r="C3683" s="22" t="s">
        <v>49</v>
      </c>
      <c r="D3683" s="149"/>
      <c r="E3683" s="150"/>
      <c r="F3683" s="151"/>
      <c r="G3683" s="151"/>
      <c r="H3683" s="142">
        <f>IFERROR(VLOOKUP($C3683,$C$5:$H$18,6,0)+SUMIF($C$19:$C3683,$C3683,$F$19:$F3683)-SUMIF($C$19:$C3683,$C3683,$G$19:$G3683),"")</f>
        <v>81211.819999998</v>
      </c>
      <c r="I3683" s="147"/>
      <c r="J3683" s="147"/>
      <c r="K3683" s="147" t="str">
        <f t="shared" si="57"/>
        <v/>
      </c>
      <c r="L3683" s="40"/>
      <c r="M3683"/>
      <c r="N3683"/>
      <c r="O3683"/>
      <c r="P3683"/>
      <c r="Q3683"/>
      <c r="R3683"/>
      <c r="S3683"/>
      <c r="T3683"/>
      <c r="U3683"/>
      <c r="V3683"/>
      <c r="W3683" s="41"/>
      <c r="X3683" s="41"/>
      <c r="Y3683" s="41"/>
    </row>
    <row r="3684" s="27" customFormat="1" ht="23" hidden="1" customHeight="1" spans="1:25">
      <c r="A3684" s="133" t="str">
        <f>IF(B3684="","",COUNTA($B$5:B3684))</f>
        <v/>
      </c>
      <c r="B3684" s="148"/>
      <c r="C3684" s="22" t="s">
        <v>49</v>
      </c>
      <c r="D3684" s="149"/>
      <c r="E3684" s="150"/>
      <c r="F3684" s="151"/>
      <c r="G3684" s="151"/>
      <c r="H3684" s="142">
        <f>IFERROR(VLOOKUP($C3684,$C$5:$H$18,6,0)+SUMIF($C$19:$C3684,$C3684,$F$19:$F3684)-SUMIF($C$19:$C3684,$C3684,$G$19:$G3684),"")</f>
        <v>81211.819999998</v>
      </c>
      <c r="I3684" s="147"/>
      <c r="J3684" s="147"/>
      <c r="K3684" s="147" t="str">
        <f t="shared" si="57"/>
        <v/>
      </c>
      <c r="L3684" s="40"/>
      <c r="M3684"/>
      <c r="N3684"/>
      <c r="O3684"/>
      <c r="P3684"/>
      <c r="Q3684"/>
      <c r="R3684"/>
      <c r="S3684"/>
      <c r="T3684"/>
      <c r="U3684"/>
      <c r="V3684"/>
      <c r="W3684" s="41"/>
      <c r="X3684" s="41"/>
      <c r="Y3684" s="41"/>
    </row>
    <row r="3685" s="27" customFormat="1" ht="23" hidden="1" customHeight="1" spans="1:25">
      <c r="A3685" s="133" t="str">
        <f>IF(B3685="","",COUNTA($B$5:B3685))</f>
        <v/>
      </c>
      <c r="B3685" s="148"/>
      <c r="C3685" s="22" t="s">
        <v>49</v>
      </c>
      <c r="D3685" s="149"/>
      <c r="E3685" s="150"/>
      <c r="F3685" s="151"/>
      <c r="G3685" s="151"/>
      <c r="H3685" s="142">
        <f>IFERROR(VLOOKUP($C3685,$C$5:$H$18,6,0)+SUMIF($C$19:$C3685,$C3685,$F$19:$F3685)-SUMIF($C$19:$C3685,$C3685,$G$19:$G3685),"")</f>
        <v>81211.819999998</v>
      </c>
      <c r="I3685" s="147"/>
      <c r="J3685" s="147"/>
      <c r="K3685" s="147" t="str">
        <f t="shared" si="57"/>
        <v/>
      </c>
      <c r="L3685" s="40"/>
      <c r="M3685"/>
      <c r="N3685"/>
      <c r="O3685"/>
      <c r="P3685"/>
      <c r="Q3685"/>
      <c r="R3685"/>
      <c r="S3685"/>
      <c r="T3685"/>
      <c r="U3685"/>
      <c r="V3685"/>
      <c r="W3685" s="41"/>
      <c r="X3685" s="41"/>
      <c r="Y3685" s="41"/>
    </row>
    <row r="3686" s="27" customFormat="1" ht="23" hidden="1" customHeight="1" spans="1:25">
      <c r="A3686" s="133" t="str">
        <f>IF(B3686="","",COUNTA($B$5:B3686))</f>
        <v/>
      </c>
      <c r="B3686" s="148"/>
      <c r="C3686" s="22" t="s">
        <v>49</v>
      </c>
      <c r="D3686" s="149"/>
      <c r="E3686" s="150"/>
      <c r="F3686" s="151"/>
      <c r="G3686" s="151"/>
      <c r="H3686" s="142">
        <f>IFERROR(VLOOKUP($C3686,$C$5:$H$18,6,0)+SUMIF($C$19:$C3686,$C3686,$F$19:$F3686)-SUMIF($C$19:$C3686,$C3686,$G$19:$G3686),"")</f>
        <v>81211.819999998</v>
      </c>
      <c r="I3686" s="147"/>
      <c r="J3686" s="147"/>
      <c r="K3686" s="147" t="str">
        <f t="shared" si="57"/>
        <v/>
      </c>
      <c r="L3686" s="40"/>
      <c r="M3686"/>
      <c r="N3686"/>
      <c r="O3686"/>
      <c r="P3686"/>
      <c r="Q3686"/>
      <c r="R3686"/>
      <c r="S3686"/>
      <c r="T3686"/>
      <c r="U3686"/>
      <c r="V3686"/>
      <c r="W3686" s="41"/>
      <c r="X3686" s="41"/>
      <c r="Y3686" s="41"/>
    </row>
    <row r="3687" s="27" customFormat="1" ht="23" hidden="1" customHeight="1" spans="1:25">
      <c r="A3687" s="133" t="str">
        <f>IF(B3687="","",COUNTA($B$5:B3687))</f>
        <v/>
      </c>
      <c r="B3687" s="148"/>
      <c r="C3687" s="22" t="s">
        <v>49</v>
      </c>
      <c r="D3687" s="149"/>
      <c r="E3687" s="150"/>
      <c r="F3687" s="151"/>
      <c r="G3687" s="151"/>
      <c r="H3687" s="142">
        <f>IFERROR(VLOOKUP($C3687,$C$5:$H$18,6,0)+SUMIF($C$19:$C3687,$C3687,$F$19:$F3687)-SUMIF($C$19:$C3687,$C3687,$G$19:$G3687),"")</f>
        <v>81211.819999998</v>
      </c>
      <c r="I3687" s="147"/>
      <c r="J3687" s="147"/>
      <c r="K3687" s="147" t="str">
        <f t="shared" si="57"/>
        <v/>
      </c>
      <c r="L3687" s="40"/>
      <c r="M3687"/>
      <c r="N3687"/>
      <c r="O3687"/>
      <c r="P3687"/>
      <c r="Q3687"/>
      <c r="R3687"/>
      <c r="S3687"/>
      <c r="T3687"/>
      <c r="U3687"/>
      <c r="V3687"/>
      <c r="W3687" s="41"/>
      <c r="X3687" s="41"/>
      <c r="Y3687" s="41"/>
    </row>
    <row r="3688" s="27" customFormat="1" ht="23" hidden="1" customHeight="1" spans="1:25">
      <c r="A3688" s="133" t="str">
        <f>IF(B3688="","",COUNTA($B$5:B3688))</f>
        <v/>
      </c>
      <c r="B3688" s="148"/>
      <c r="C3688" s="22" t="s">
        <v>49</v>
      </c>
      <c r="D3688" s="149"/>
      <c r="E3688" s="150"/>
      <c r="F3688" s="151"/>
      <c r="G3688" s="151"/>
      <c r="H3688" s="142">
        <f>IFERROR(VLOOKUP($C3688,$C$5:$H$18,6,0)+SUMIF($C$19:$C3688,$C3688,$F$19:$F3688)-SUMIF($C$19:$C3688,$C3688,$G$19:$G3688),"")</f>
        <v>81211.819999998</v>
      </c>
      <c r="I3688" s="147"/>
      <c r="J3688" s="147"/>
      <c r="K3688" s="147" t="str">
        <f t="shared" si="57"/>
        <v/>
      </c>
      <c r="L3688" s="40"/>
      <c r="M3688"/>
      <c r="N3688"/>
      <c r="O3688"/>
      <c r="P3688"/>
      <c r="Q3688"/>
      <c r="R3688"/>
      <c r="S3688"/>
      <c r="T3688"/>
      <c r="U3688"/>
      <c r="V3688"/>
      <c r="W3688" s="41"/>
      <c r="X3688" s="41"/>
      <c r="Y3688" s="41"/>
    </row>
    <row r="3689" s="27" customFormat="1" ht="23" hidden="1" customHeight="1" spans="1:25">
      <c r="A3689" s="133" t="str">
        <f>IF(B3689="","",COUNTA($B$5:B3689))</f>
        <v/>
      </c>
      <c r="B3689" s="148"/>
      <c r="C3689" s="22" t="s">
        <v>49</v>
      </c>
      <c r="D3689" s="149"/>
      <c r="E3689" s="150"/>
      <c r="F3689" s="151"/>
      <c r="G3689" s="151"/>
      <c r="H3689" s="142">
        <f>IFERROR(VLOOKUP($C3689,$C$5:$H$18,6,0)+SUMIF($C$19:$C3689,$C3689,$F$19:$F3689)-SUMIF($C$19:$C3689,$C3689,$G$19:$G3689),"")</f>
        <v>81211.819999998</v>
      </c>
      <c r="I3689" s="147"/>
      <c r="J3689" s="147"/>
      <c r="K3689" s="147" t="str">
        <f t="shared" si="57"/>
        <v/>
      </c>
      <c r="L3689" s="40"/>
      <c r="M3689"/>
      <c r="N3689"/>
      <c r="O3689"/>
      <c r="P3689"/>
      <c r="Q3689"/>
      <c r="R3689"/>
      <c r="S3689"/>
      <c r="T3689"/>
      <c r="U3689"/>
      <c r="V3689"/>
      <c r="W3689" s="41"/>
      <c r="X3689" s="41"/>
      <c r="Y3689" s="41"/>
    </row>
    <row r="3690" s="27" customFormat="1" ht="23" hidden="1" customHeight="1" spans="1:25">
      <c r="A3690" s="133" t="str">
        <f>IF(B3690="","",COUNTA($B$5:B3690))</f>
        <v/>
      </c>
      <c r="B3690" s="148"/>
      <c r="C3690" s="22" t="s">
        <v>49</v>
      </c>
      <c r="D3690" s="149"/>
      <c r="E3690" s="150"/>
      <c r="F3690" s="151"/>
      <c r="G3690" s="151"/>
      <c r="H3690" s="142">
        <f>IFERROR(VLOOKUP($C3690,$C$5:$H$18,6,0)+SUMIF($C$19:$C3690,$C3690,$F$19:$F3690)-SUMIF($C$19:$C3690,$C3690,$G$19:$G3690),"")</f>
        <v>81211.819999998</v>
      </c>
      <c r="I3690" s="147"/>
      <c r="J3690" s="147"/>
      <c r="K3690" s="147" t="str">
        <f t="shared" si="57"/>
        <v/>
      </c>
      <c r="L3690" s="40"/>
      <c r="M3690"/>
      <c r="N3690"/>
      <c r="O3690"/>
      <c r="P3690"/>
      <c r="Q3690"/>
      <c r="R3690"/>
      <c r="S3690"/>
      <c r="T3690"/>
      <c r="U3690"/>
      <c r="V3690"/>
      <c r="W3690" s="41"/>
      <c r="X3690" s="41"/>
      <c r="Y3690" s="41"/>
    </row>
    <row r="3691" s="27" customFormat="1" ht="23" hidden="1" customHeight="1" spans="1:25">
      <c r="A3691" s="133" t="str">
        <f>IF(B3691="","",COUNTA($B$5:B3691))</f>
        <v/>
      </c>
      <c r="B3691" s="148"/>
      <c r="C3691" s="22" t="s">
        <v>49</v>
      </c>
      <c r="D3691" s="149"/>
      <c r="E3691" s="150"/>
      <c r="F3691" s="151"/>
      <c r="G3691" s="151"/>
      <c r="H3691" s="142">
        <f>IFERROR(VLOOKUP($C3691,$C$5:$H$18,6,0)+SUMIF($C$19:$C3691,$C3691,$F$19:$F3691)-SUMIF($C$19:$C3691,$C3691,$G$19:$G3691),"")</f>
        <v>81211.819999998</v>
      </c>
      <c r="I3691" s="147"/>
      <c r="J3691" s="147"/>
      <c r="K3691" s="147" t="str">
        <f t="shared" si="57"/>
        <v/>
      </c>
      <c r="L3691" s="40"/>
      <c r="M3691"/>
      <c r="N3691"/>
      <c r="O3691"/>
      <c r="P3691"/>
      <c r="Q3691"/>
      <c r="R3691"/>
      <c r="S3691"/>
      <c r="T3691"/>
      <c r="U3691"/>
      <c r="V3691"/>
      <c r="W3691" s="41"/>
      <c r="X3691" s="41"/>
      <c r="Y3691" s="41"/>
    </row>
    <row r="3692" s="27" customFormat="1" ht="23" hidden="1" customHeight="1" spans="1:25">
      <c r="A3692" s="133" t="str">
        <f>IF(B3692="","",COUNTA($B$5:B3692))</f>
        <v/>
      </c>
      <c r="B3692" s="148"/>
      <c r="C3692" s="22" t="s">
        <v>49</v>
      </c>
      <c r="D3692" s="149"/>
      <c r="E3692" s="150"/>
      <c r="F3692" s="151"/>
      <c r="G3692" s="151"/>
      <c r="H3692" s="142">
        <f>IFERROR(VLOOKUP($C3692,$C$5:$H$18,6,0)+SUMIF($C$19:$C3692,$C3692,$F$19:$F3692)-SUMIF($C$19:$C3692,$C3692,$G$19:$G3692),"")</f>
        <v>81211.819999998</v>
      </c>
      <c r="I3692" s="147"/>
      <c r="J3692" s="147"/>
      <c r="K3692" s="147" t="str">
        <f t="shared" si="57"/>
        <v/>
      </c>
      <c r="L3692" s="40"/>
      <c r="M3692"/>
      <c r="N3692"/>
      <c r="O3692"/>
      <c r="P3692"/>
      <c r="Q3692"/>
      <c r="R3692"/>
      <c r="S3692"/>
      <c r="T3692"/>
      <c r="U3692"/>
      <c r="V3692"/>
      <c r="W3692" s="41"/>
      <c r="X3692" s="41"/>
      <c r="Y3692" s="41"/>
    </row>
    <row r="3693" s="27" customFormat="1" ht="23" hidden="1" customHeight="1" spans="1:25">
      <c r="A3693" s="133" t="str">
        <f>IF(B3693="","",COUNTA($B$5:B3693))</f>
        <v/>
      </c>
      <c r="B3693" s="148"/>
      <c r="C3693" s="22" t="s">
        <v>49</v>
      </c>
      <c r="D3693" s="149"/>
      <c r="E3693" s="150"/>
      <c r="F3693" s="151"/>
      <c r="G3693" s="151"/>
      <c r="H3693" s="142">
        <f>IFERROR(VLOOKUP($C3693,$C$5:$H$18,6,0)+SUMIF($C$19:$C3693,$C3693,$F$19:$F3693)-SUMIF($C$19:$C3693,$C3693,$G$19:$G3693),"")</f>
        <v>81211.819999998</v>
      </c>
      <c r="I3693" s="147"/>
      <c r="J3693" s="147"/>
      <c r="K3693" s="147" t="str">
        <f t="shared" si="57"/>
        <v/>
      </c>
      <c r="L3693" s="40"/>
      <c r="M3693"/>
      <c r="N3693"/>
      <c r="O3693"/>
      <c r="P3693"/>
      <c r="Q3693"/>
      <c r="R3693"/>
      <c r="S3693"/>
      <c r="T3693"/>
      <c r="U3693"/>
      <c r="V3693"/>
      <c r="W3693" s="41"/>
      <c r="X3693" s="41"/>
      <c r="Y3693" s="41"/>
    </row>
    <row r="3694" s="27" customFormat="1" ht="23" hidden="1" customHeight="1" spans="1:25">
      <c r="A3694" s="133" t="str">
        <f>IF(B3694="","",COUNTA($B$5:B3694))</f>
        <v/>
      </c>
      <c r="B3694" s="148"/>
      <c r="C3694" s="22" t="s">
        <v>49</v>
      </c>
      <c r="D3694" s="149"/>
      <c r="E3694" s="150"/>
      <c r="F3694" s="151"/>
      <c r="G3694" s="151"/>
      <c r="H3694" s="142">
        <f>IFERROR(VLOOKUP($C3694,$C$5:$H$18,6,0)+SUMIF($C$19:$C3694,$C3694,$F$19:$F3694)-SUMIF($C$19:$C3694,$C3694,$G$19:$G3694),"")</f>
        <v>81211.819999998</v>
      </c>
      <c r="I3694" s="147"/>
      <c r="J3694" s="147"/>
      <c r="K3694" s="147" t="str">
        <f t="shared" si="57"/>
        <v/>
      </c>
      <c r="L3694" s="40"/>
      <c r="M3694"/>
      <c r="N3694"/>
      <c r="O3694"/>
      <c r="P3694"/>
      <c r="Q3694"/>
      <c r="R3694"/>
      <c r="S3694"/>
      <c r="T3694"/>
      <c r="U3694"/>
      <c r="V3694"/>
      <c r="W3694" s="41"/>
      <c r="X3694" s="41"/>
      <c r="Y3694" s="41"/>
    </row>
    <row r="3695" s="27" customFormat="1" ht="23" hidden="1" customHeight="1" spans="1:25">
      <c r="A3695" s="133" t="str">
        <f>IF(B3695="","",COUNTA($B$5:B3695))</f>
        <v/>
      </c>
      <c r="B3695" s="148"/>
      <c r="C3695" s="22" t="s">
        <v>49</v>
      </c>
      <c r="D3695" s="149"/>
      <c r="E3695" s="150"/>
      <c r="F3695" s="151"/>
      <c r="G3695" s="151"/>
      <c r="H3695" s="142">
        <f>IFERROR(VLOOKUP($C3695,$C$5:$H$18,6,0)+SUMIF($C$19:$C3695,$C3695,$F$19:$F3695)-SUMIF($C$19:$C3695,$C3695,$G$19:$G3695),"")</f>
        <v>81211.819999998</v>
      </c>
      <c r="I3695" s="147"/>
      <c r="J3695" s="147"/>
      <c r="K3695" s="147" t="str">
        <f t="shared" si="57"/>
        <v/>
      </c>
      <c r="L3695" s="40"/>
      <c r="M3695"/>
      <c r="N3695"/>
      <c r="O3695"/>
      <c r="P3695"/>
      <c r="Q3695"/>
      <c r="R3695"/>
      <c r="S3695"/>
      <c r="T3695"/>
      <c r="U3695"/>
      <c r="V3695"/>
      <c r="W3695" s="41"/>
      <c r="X3695" s="41"/>
      <c r="Y3695" s="41"/>
    </row>
    <row r="3696" s="27" customFormat="1" ht="23" hidden="1" customHeight="1" spans="1:25">
      <c r="A3696" s="133" t="str">
        <f>IF(B3696="","",COUNTA($B$5:B3696))</f>
        <v/>
      </c>
      <c r="B3696" s="148"/>
      <c r="C3696" s="22" t="s">
        <v>49</v>
      </c>
      <c r="D3696" s="149"/>
      <c r="E3696" s="150"/>
      <c r="F3696" s="151"/>
      <c r="G3696" s="151"/>
      <c r="H3696" s="142">
        <f>IFERROR(VLOOKUP($C3696,$C$5:$H$18,6,0)+SUMIF($C$19:$C3696,$C3696,$F$19:$F3696)-SUMIF($C$19:$C3696,$C3696,$G$19:$G3696),"")</f>
        <v>81211.819999998</v>
      </c>
      <c r="I3696" s="147"/>
      <c r="J3696" s="147"/>
      <c r="K3696" s="147" t="str">
        <f t="shared" si="57"/>
        <v/>
      </c>
      <c r="L3696" s="40"/>
      <c r="M3696"/>
      <c r="N3696"/>
      <c r="O3696"/>
      <c r="P3696"/>
      <c r="Q3696"/>
      <c r="R3696"/>
      <c r="S3696"/>
      <c r="T3696"/>
      <c r="U3696"/>
      <c r="V3696"/>
      <c r="W3696" s="41"/>
      <c r="X3696" s="41"/>
      <c r="Y3696" s="41"/>
    </row>
    <row r="3697" s="27" customFormat="1" ht="23" hidden="1" customHeight="1" spans="1:25">
      <c r="A3697" s="133" t="str">
        <f>IF(B3697="","",COUNTA($B$5:B3697))</f>
        <v/>
      </c>
      <c r="B3697" s="148"/>
      <c r="C3697" s="22" t="s">
        <v>49</v>
      </c>
      <c r="D3697" s="149"/>
      <c r="E3697" s="150"/>
      <c r="F3697" s="151"/>
      <c r="G3697" s="151"/>
      <c r="H3697" s="142">
        <f>IFERROR(VLOOKUP($C3697,$C$5:$H$18,6,0)+SUMIF($C$19:$C3697,$C3697,$F$19:$F3697)-SUMIF($C$19:$C3697,$C3697,$G$19:$G3697),"")</f>
        <v>81211.819999998</v>
      </c>
      <c r="I3697" s="147"/>
      <c r="J3697" s="147"/>
      <c r="K3697" s="147" t="str">
        <f t="shared" si="57"/>
        <v/>
      </c>
      <c r="L3697" s="40"/>
      <c r="M3697"/>
      <c r="N3697"/>
      <c r="O3697"/>
      <c r="P3697"/>
      <c r="Q3697"/>
      <c r="R3697"/>
      <c r="S3697"/>
      <c r="T3697"/>
      <c r="U3697"/>
      <c r="V3697"/>
      <c r="W3697" s="41"/>
      <c r="X3697" s="41"/>
      <c r="Y3697" s="41"/>
    </row>
    <row r="3698" s="27" customFormat="1" ht="23" hidden="1" customHeight="1" spans="1:25">
      <c r="A3698" s="133" t="str">
        <f>IF(B3698="","",COUNTA($B$5:B3698))</f>
        <v/>
      </c>
      <c r="B3698" s="148"/>
      <c r="C3698" s="22" t="s">
        <v>49</v>
      </c>
      <c r="D3698" s="149"/>
      <c r="E3698" s="150"/>
      <c r="F3698" s="151"/>
      <c r="G3698" s="151"/>
      <c r="H3698" s="142">
        <f>IFERROR(VLOOKUP($C3698,$C$5:$H$18,6,0)+SUMIF($C$19:$C3698,$C3698,$F$19:$F3698)-SUMIF($C$19:$C3698,$C3698,$G$19:$G3698),"")</f>
        <v>81211.819999998</v>
      </c>
      <c r="I3698" s="147"/>
      <c r="J3698" s="147"/>
      <c r="K3698" s="147" t="str">
        <f t="shared" si="57"/>
        <v/>
      </c>
      <c r="L3698" s="40"/>
      <c r="M3698"/>
      <c r="N3698"/>
      <c r="O3698"/>
      <c r="P3698"/>
      <c r="Q3698"/>
      <c r="R3698"/>
      <c r="S3698"/>
      <c r="T3698"/>
      <c r="U3698"/>
      <c r="V3698"/>
      <c r="W3698" s="41"/>
      <c r="X3698" s="41"/>
      <c r="Y3698" s="41"/>
    </row>
    <row r="3699" s="27" customFormat="1" ht="23" hidden="1" customHeight="1" spans="1:25">
      <c r="A3699" s="133" t="str">
        <f>IF(B3699="","",COUNTA($B$5:B3699))</f>
        <v/>
      </c>
      <c r="B3699" s="148"/>
      <c r="C3699" s="22" t="s">
        <v>49</v>
      </c>
      <c r="D3699" s="149"/>
      <c r="E3699" s="150"/>
      <c r="F3699" s="151"/>
      <c r="G3699" s="151"/>
      <c r="H3699" s="142">
        <f>IFERROR(VLOOKUP($C3699,$C$5:$H$18,6,0)+SUMIF($C$19:$C3699,$C3699,$F$19:$F3699)-SUMIF($C$19:$C3699,$C3699,$G$19:$G3699),"")</f>
        <v>81211.819999998</v>
      </c>
      <c r="I3699" s="147"/>
      <c r="J3699" s="147"/>
      <c r="K3699" s="147" t="str">
        <f t="shared" si="57"/>
        <v/>
      </c>
      <c r="L3699" s="40"/>
      <c r="M3699"/>
      <c r="N3699"/>
      <c r="O3699"/>
      <c r="P3699"/>
      <c r="Q3699"/>
      <c r="R3699"/>
      <c r="S3699"/>
      <c r="T3699"/>
      <c r="U3699"/>
      <c r="V3699"/>
      <c r="W3699" s="41"/>
      <c r="X3699" s="41"/>
      <c r="Y3699" s="41"/>
    </row>
    <row r="3700" s="27" customFormat="1" ht="23" hidden="1" customHeight="1" spans="1:25">
      <c r="A3700" s="133" t="str">
        <f>IF(B3700="","",COUNTA($B$5:B3700))</f>
        <v/>
      </c>
      <c r="B3700" s="148"/>
      <c r="C3700" s="22" t="s">
        <v>49</v>
      </c>
      <c r="D3700" s="149"/>
      <c r="E3700" s="150"/>
      <c r="F3700" s="151"/>
      <c r="G3700" s="151"/>
      <c r="H3700" s="142">
        <f>IFERROR(VLOOKUP($C3700,$C$5:$H$18,6,0)+SUMIF($C$19:$C3700,$C3700,$F$19:$F3700)-SUMIF($C$19:$C3700,$C3700,$G$19:$G3700),"")</f>
        <v>81211.819999998</v>
      </c>
      <c r="I3700" s="147"/>
      <c r="J3700" s="147"/>
      <c r="K3700" s="147" t="str">
        <f t="shared" si="57"/>
        <v/>
      </c>
      <c r="L3700" s="40"/>
      <c r="M3700"/>
      <c r="N3700"/>
      <c r="O3700"/>
      <c r="P3700"/>
      <c r="Q3700"/>
      <c r="R3700"/>
      <c r="S3700"/>
      <c r="T3700"/>
      <c r="U3700"/>
      <c r="V3700"/>
      <c r="W3700" s="41"/>
      <c r="X3700" s="41"/>
      <c r="Y3700" s="41"/>
    </row>
    <row r="3701" s="27" customFormat="1" ht="23" hidden="1" customHeight="1" spans="1:25">
      <c r="A3701" s="133" t="str">
        <f>IF(B3701="","",COUNTA($B$5:B3701))</f>
        <v/>
      </c>
      <c r="B3701" s="148"/>
      <c r="C3701" s="22" t="s">
        <v>49</v>
      </c>
      <c r="D3701" s="149"/>
      <c r="E3701" s="150"/>
      <c r="F3701" s="151"/>
      <c r="G3701" s="151"/>
      <c r="H3701" s="142">
        <f>IFERROR(VLOOKUP($C3701,$C$5:$H$18,6,0)+SUMIF($C$19:$C3701,$C3701,$F$19:$F3701)-SUMIF($C$19:$C3701,$C3701,$G$19:$G3701),"")</f>
        <v>81211.819999998</v>
      </c>
      <c r="I3701" s="147"/>
      <c r="J3701" s="147"/>
      <c r="K3701" s="147" t="str">
        <f t="shared" si="57"/>
        <v/>
      </c>
      <c r="L3701" s="40"/>
      <c r="M3701"/>
      <c r="N3701"/>
      <c r="O3701"/>
      <c r="P3701"/>
      <c r="Q3701"/>
      <c r="R3701"/>
      <c r="S3701"/>
      <c r="T3701"/>
      <c r="U3701"/>
      <c r="V3701"/>
      <c r="W3701" s="41"/>
      <c r="X3701" s="41"/>
      <c r="Y3701" s="41"/>
    </row>
    <row r="3702" s="27" customFormat="1" ht="23" hidden="1" customHeight="1" spans="1:25">
      <c r="A3702" s="133" t="str">
        <f>IF(B3702="","",COUNTA($B$5:B3702))</f>
        <v/>
      </c>
      <c r="B3702" s="148"/>
      <c r="C3702" s="22" t="s">
        <v>49</v>
      </c>
      <c r="D3702" s="149"/>
      <c r="E3702" s="150"/>
      <c r="F3702" s="151"/>
      <c r="G3702" s="151"/>
      <c r="H3702" s="142">
        <f>IFERROR(VLOOKUP($C3702,$C$5:$H$18,6,0)+SUMIF($C$19:$C3702,$C3702,$F$19:$F3702)-SUMIF($C$19:$C3702,$C3702,$G$19:$G3702),"")</f>
        <v>81211.819999998</v>
      </c>
      <c r="I3702" s="147"/>
      <c r="J3702" s="147"/>
      <c r="K3702" s="147" t="str">
        <f t="shared" si="57"/>
        <v/>
      </c>
      <c r="L3702" s="40"/>
      <c r="M3702"/>
      <c r="N3702"/>
      <c r="O3702"/>
      <c r="P3702"/>
      <c r="Q3702"/>
      <c r="R3702"/>
      <c r="S3702"/>
      <c r="T3702"/>
      <c r="U3702"/>
      <c r="V3702"/>
      <c r="W3702" s="41"/>
      <c r="X3702" s="41"/>
      <c r="Y3702" s="41"/>
    </row>
    <row r="3703" s="27" customFormat="1" ht="23" hidden="1" customHeight="1" spans="1:25">
      <c r="A3703" s="133" t="str">
        <f>IF(B3703="","",COUNTA($B$5:B3703))</f>
        <v/>
      </c>
      <c r="B3703" s="148"/>
      <c r="C3703" s="22" t="s">
        <v>49</v>
      </c>
      <c r="D3703" s="149"/>
      <c r="E3703" s="150"/>
      <c r="F3703" s="151"/>
      <c r="G3703" s="151"/>
      <c r="H3703" s="142">
        <f>IFERROR(VLOOKUP($C3703,$C$5:$H$18,6,0)+SUMIF($C$19:$C3703,$C3703,$F$19:$F3703)-SUMIF($C$19:$C3703,$C3703,$G$19:$G3703),"")</f>
        <v>81211.819999998</v>
      </c>
      <c r="I3703" s="147"/>
      <c r="J3703" s="147"/>
      <c r="K3703" s="147" t="str">
        <f t="shared" si="57"/>
        <v/>
      </c>
      <c r="L3703" s="40"/>
      <c r="M3703"/>
      <c r="N3703"/>
      <c r="O3703"/>
      <c r="P3703"/>
      <c r="Q3703"/>
      <c r="R3703"/>
      <c r="S3703"/>
      <c r="T3703"/>
      <c r="U3703"/>
      <c r="V3703"/>
      <c r="W3703" s="41"/>
      <c r="X3703" s="41"/>
      <c r="Y3703" s="41"/>
    </row>
    <row r="3704" s="27" customFormat="1" ht="23" hidden="1" customHeight="1" spans="1:25">
      <c r="A3704" s="133" t="str">
        <f>IF(B3704="","",COUNTA($B$5:B3704))</f>
        <v/>
      </c>
      <c r="B3704" s="148"/>
      <c r="C3704" s="22" t="s">
        <v>49</v>
      </c>
      <c r="D3704" s="149"/>
      <c r="E3704" s="150"/>
      <c r="F3704" s="151"/>
      <c r="G3704" s="151"/>
      <c r="H3704" s="142">
        <f>IFERROR(VLOOKUP($C3704,$C$5:$H$18,6,0)+SUMIF($C$19:$C3704,$C3704,$F$19:$F3704)-SUMIF($C$19:$C3704,$C3704,$G$19:$G3704),"")</f>
        <v>81211.819999998</v>
      </c>
      <c r="I3704" s="147"/>
      <c r="J3704" s="147"/>
      <c r="K3704" s="147" t="str">
        <f t="shared" si="57"/>
        <v/>
      </c>
      <c r="L3704" s="40"/>
      <c r="M3704"/>
      <c r="N3704"/>
      <c r="O3704"/>
      <c r="P3704"/>
      <c r="Q3704"/>
      <c r="R3704"/>
      <c r="S3704"/>
      <c r="T3704"/>
      <c r="U3704"/>
      <c r="V3704"/>
      <c r="W3704" s="41"/>
      <c r="X3704" s="41"/>
      <c r="Y3704" s="41"/>
    </row>
    <row r="3705" s="27" customFormat="1" ht="23" hidden="1" customHeight="1" spans="1:25">
      <c r="A3705" s="133" t="str">
        <f>IF(B3705="","",COUNTA($B$5:B3705))</f>
        <v/>
      </c>
      <c r="B3705" s="148"/>
      <c r="C3705" s="22" t="s">
        <v>49</v>
      </c>
      <c r="D3705" s="149"/>
      <c r="E3705" s="150"/>
      <c r="F3705" s="151"/>
      <c r="G3705" s="151"/>
      <c r="H3705" s="142">
        <f>IFERROR(VLOOKUP($C3705,$C$5:$H$18,6,0)+SUMIF($C$19:$C3705,$C3705,$F$19:$F3705)-SUMIF($C$19:$C3705,$C3705,$G$19:$G3705),"")</f>
        <v>81211.819999998</v>
      </c>
      <c r="I3705" s="147"/>
      <c r="J3705" s="147"/>
      <c r="K3705" s="147" t="str">
        <f t="shared" si="57"/>
        <v/>
      </c>
      <c r="L3705" s="40"/>
      <c r="M3705"/>
      <c r="N3705"/>
      <c r="O3705"/>
      <c r="P3705"/>
      <c r="Q3705"/>
      <c r="R3705"/>
      <c r="S3705"/>
      <c r="T3705"/>
      <c r="U3705"/>
      <c r="V3705"/>
      <c r="W3705" s="41"/>
      <c r="X3705" s="41"/>
      <c r="Y3705" s="41"/>
    </row>
    <row r="3706" s="27" customFormat="1" ht="23" hidden="1" customHeight="1" spans="1:25">
      <c r="A3706" s="133" t="str">
        <f>IF(B3706="","",COUNTA($B$5:B3706))</f>
        <v/>
      </c>
      <c r="B3706" s="148"/>
      <c r="C3706" s="22" t="s">
        <v>49</v>
      </c>
      <c r="D3706" s="149"/>
      <c r="E3706" s="150"/>
      <c r="F3706" s="151"/>
      <c r="G3706" s="151"/>
      <c r="H3706" s="142">
        <f>IFERROR(VLOOKUP($C3706,$C$5:$H$18,6,0)+SUMIF($C$19:$C3706,$C3706,$F$19:$F3706)-SUMIF($C$19:$C3706,$C3706,$G$19:$G3706),"")</f>
        <v>81211.819999998</v>
      </c>
      <c r="I3706" s="147"/>
      <c r="J3706" s="147"/>
      <c r="K3706" s="147" t="str">
        <f t="shared" si="57"/>
        <v/>
      </c>
      <c r="L3706" s="40"/>
      <c r="M3706"/>
      <c r="N3706"/>
      <c r="O3706"/>
      <c r="P3706"/>
      <c r="Q3706"/>
      <c r="R3706"/>
      <c r="S3706"/>
      <c r="T3706"/>
      <c r="U3706"/>
      <c r="V3706"/>
      <c r="W3706" s="41"/>
      <c r="X3706" s="41"/>
      <c r="Y3706" s="41"/>
    </row>
    <row r="3707" s="27" customFormat="1" ht="23" hidden="1" customHeight="1" spans="1:25">
      <c r="A3707" s="133" t="str">
        <f>IF(B3707="","",COUNTA($B$5:B3707))</f>
        <v/>
      </c>
      <c r="B3707" s="148"/>
      <c r="C3707" s="22" t="s">
        <v>49</v>
      </c>
      <c r="D3707" s="149"/>
      <c r="E3707" s="150"/>
      <c r="F3707" s="151"/>
      <c r="G3707" s="151"/>
      <c r="H3707" s="142">
        <f>IFERROR(VLOOKUP($C3707,$C$5:$H$18,6,0)+SUMIF($C$19:$C3707,$C3707,$F$19:$F3707)-SUMIF($C$19:$C3707,$C3707,$G$19:$G3707),"")</f>
        <v>81211.819999998</v>
      </c>
      <c r="I3707" s="147"/>
      <c r="J3707" s="147"/>
      <c r="K3707" s="147" t="str">
        <f t="shared" si="57"/>
        <v/>
      </c>
      <c r="L3707" s="40"/>
      <c r="M3707"/>
      <c r="N3707"/>
      <c r="O3707"/>
      <c r="P3707"/>
      <c r="Q3707"/>
      <c r="R3707"/>
      <c r="S3707"/>
      <c r="T3707"/>
      <c r="U3707"/>
      <c r="V3707"/>
      <c r="W3707" s="41"/>
      <c r="X3707" s="41"/>
      <c r="Y3707" s="41"/>
    </row>
    <row r="3708" s="27" customFormat="1" ht="23" hidden="1" customHeight="1" spans="1:25">
      <c r="A3708" s="133" t="str">
        <f>IF(B3708="","",COUNTA($B$5:B3708))</f>
        <v/>
      </c>
      <c r="B3708" s="148"/>
      <c r="C3708" s="22" t="s">
        <v>49</v>
      </c>
      <c r="D3708" s="149"/>
      <c r="E3708" s="150"/>
      <c r="F3708" s="151"/>
      <c r="G3708" s="151"/>
      <c r="H3708" s="142">
        <f>IFERROR(VLOOKUP($C3708,$C$5:$H$18,6,0)+SUMIF($C$19:$C3708,$C3708,$F$19:$F3708)-SUMIF($C$19:$C3708,$C3708,$G$19:$G3708),"")</f>
        <v>81211.819999998</v>
      </c>
      <c r="I3708" s="147"/>
      <c r="J3708" s="147"/>
      <c r="K3708" s="147" t="str">
        <f t="shared" si="57"/>
        <v/>
      </c>
      <c r="L3708" s="40"/>
      <c r="M3708"/>
      <c r="N3708"/>
      <c r="O3708"/>
      <c r="P3708"/>
      <c r="Q3708"/>
      <c r="R3708"/>
      <c r="S3708"/>
      <c r="T3708"/>
      <c r="U3708"/>
      <c r="V3708"/>
      <c r="W3708" s="41"/>
      <c r="X3708" s="41"/>
      <c r="Y3708" s="41"/>
    </row>
    <row r="3709" s="27" customFormat="1" ht="23" hidden="1" customHeight="1" spans="1:25">
      <c r="A3709" s="133" t="str">
        <f>IF(B3709="","",COUNTA($B$5:B3709))</f>
        <v/>
      </c>
      <c r="B3709" s="148"/>
      <c r="C3709" s="22" t="s">
        <v>49</v>
      </c>
      <c r="D3709" s="149"/>
      <c r="E3709" s="150"/>
      <c r="F3709" s="151"/>
      <c r="G3709" s="151"/>
      <c r="H3709" s="142">
        <f>IFERROR(VLOOKUP($C3709,$C$5:$H$18,6,0)+SUMIF($C$19:$C3709,$C3709,$F$19:$F3709)-SUMIF($C$19:$C3709,$C3709,$G$19:$G3709),"")</f>
        <v>81211.819999998</v>
      </c>
      <c r="I3709" s="147"/>
      <c r="J3709" s="147"/>
      <c r="K3709" s="147" t="str">
        <f t="shared" si="57"/>
        <v/>
      </c>
      <c r="L3709" s="40"/>
      <c r="M3709"/>
      <c r="N3709"/>
      <c r="O3709"/>
      <c r="P3709"/>
      <c r="Q3709"/>
      <c r="R3709"/>
      <c r="S3709"/>
      <c r="T3709"/>
      <c r="U3709"/>
      <c r="V3709"/>
      <c r="W3709" s="41"/>
      <c r="X3709" s="41"/>
      <c r="Y3709" s="41"/>
    </row>
    <row r="3710" s="27" customFormat="1" ht="23" hidden="1" customHeight="1" spans="1:25">
      <c r="A3710" s="133" t="str">
        <f>IF(B3710="","",COUNTA($B$5:B3710))</f>
        <v/>
      </c>
      <c r="B3710" s="148"/>
      <c r="C3710" s="22" t="s">
        <v>49</v>
      </c>
      <c r="D3710" s="149"/>
      <c r="E3710" s="150"/>
      <c r="F3710" s="151"/>
      <c r="G3710" s="151"/>
      <c r="H3710" s="142">
        <f>IFERROR(VLOOKUP($C3710,$C$5:$H$18,6,0)+SUMIF($C$19:$C3710,$C3710,$F$19:$F3710)-SUMIF($C$19:$C3710,$C3710,$G$19:$G3710),"")</f>
        <v>81211.819999998</v>
      </c>
      <c r="I3710" s="147"/>
      <c r="J3710" s="147"/>
      <c r="K3710" s="147" t="str">
        <f t="shared" si="57"/>
        <v/>
      </c>
      <c r="L3710" s="40"/>
      <c r="M3710"/>
      <c r="N3710"/>
      <c r="O3710"/>
      <c r="P3710"/>
      <c r="Q3710"/>
      <c r="R3710"/>
      <c r="S3710"/>
      <c r="T3710"/>
      <c r="U3710"/>
      <c r="V3710"/>
      <c r="W3710" s="41"/>
      <c r="X3710" s="41"/>
      <c r="Y3710" s="41"/>
    </row>
    <row r="3711" s="27" customFormat="1" ht="23" hidden="1" customHeight="1" spans="1:25">
      <c r="A3711" s="133" t="str">
        <f>IF(B3711="","",COUNTA($B$5:B3711))</f>
        <v/>
      </c>
      <c r="B3711" s="148"/>
      <c r="C3711" s="22" t="s">
        <v>49</v>
      </c>
      <c r="D3711" s="149"/>
      <c r="E3711" s="150"/>
      <c r="F3711" s="151"/>
      <c r="G3711" s="151"/>
      <c r="H3711" s="142">
        <f>IFERROR(VLOOKUP($C3711,$C$5:$H$18,6,0)+SUMIF($C$19:$C3711,$C3711,$F$19:$F3711)-SUMIF($C$19:$C3711,$C3711,$G$19:$G3711),"")</f>
        <v>81211.819999998</v>
      </c>
      <c r="I3711" s="147"/>
      <c r="J3711" s="147"/>
      <c r="K3711" s="147" t="str">
        <f t="shared" si="57"/>
        <v/>
      </c>
      <c r="L3711" s="40"/>
      <c r="M3711"/>
      <c r="N3711"/>
      <c r="O3711"/>
      <c r="P3711"/>
      <c r="Q3711"/>
      <c r="R3711"/>
      <c r="S3711"/>
      <c r="T3711"/>
      <c r="U3711"/>
      <c r="V3711"/>
      <c r="W3711" s="41"/>
      <c r="X3711" s="41"/>
      <c r="Y3711" s="41"/>
    </row>
    <row r="3712" s="27" customFormat="1" ht="23" hidden="1" customHeight="1" spans="1:25">
      <c r="A3712" s="133" t="str">
        <f>IF(B3712="","",COUNTA($B$5:B3712))</f>
        <v/>
      </c>
      <c r="B3712" s="148"/>
      <c r="C3712" s="22" t="s">
        <v>49</v>
      </c>
      <c r="D3712" s="149"/>
      <c r="E3712" s="150"/>
      <c r="F3712" s="151"/>
      <c r="G3712" s="151"/>
      <c r="H3712" s="142">
        <f>IFERROR(VLOOKUP($C3712,$C$5:$H$18,6,0)+SUMIF($C$19:$C3712,$C3712,$F$19:$F3712)-SUMIF($C$19:$C3712,$C3712,$G$19:$G3712),"")</f>
        <v>81211.819999998</v>
      </c>
      <c r="I3712" s="147"/>
      <c r="J3712" s="147"/>
      <c r="K3712" s="147" t="str">
        <f t="shared" si="57"/>
        <v/>
      </c>
      <c r="L3712" s="40"/>
      <c r="M3712"/>
      <c r="N3712"/>
      <c r="O3712"/>
      <c r="P3712"/>
      <c r="Q3712"/>
      <c r="R3712"/>
      <c r="S3712"/>
      <c r="T3712"/>
      <c r="U3712"/>
      <c r="V3712"/>
      <c r="W3712" s="41"/>
      <c r="X3712" s="41"/>
      <c r="Y3712" s="41"/>
    </row>
    <row r="3713" s="27" customFormat="1" ht="23" hidden="1" customHeight="1" spans="1:25">
      <c r="A3713" s="133" t="str">
        <f>IF(B3713="","",COUNTA($B$5:B3713))</f>
        <v/>
      </c>
      <c r="B3713" s="148"/>
      <c r="C3713" s="22" t="s">
        <v>49</v>
      </c>
      <c r="D3713" s="149"/>
      <c r="E3713" s="150"/>
      <c r="F3713" s="151"/>
      <c r="G3713" s="151"/>
      <c r="H3713" s="142">
        <f>IFERROR(VLOOKUP($C3713,$C$5:$H$18,6,0)+SUMIF($C$19:$C3713,$C3713,$F$19:$F3713)-SUMIF($C$19:$C3713,$C3713,$G$19:$G3713),"")</f>
        <v>81211.819999998</v>
      </c>
      <c r="I3713" s="147"/>
      <c r="J3713" s="147"/>
      <c r="K3713" s="147" t="str">
        <f t="shared" si="57"/>
        <v/>
      </c>
      <c r="L3713" s="40"/>
      <c r="M3713"/>
      <c r="N3713"/>
      <c r="O3713"/>
      <c r="P3713"/>
      <c r="Q3713"/>
      <c r="R3713"/>
      <c r="S3713"/>
      <c r="T3713"/>
      <c r="U3713"/>
      <c r="V3713"/>
      <c r="W3713" s="41"/>
      <c r="X3713" s="41"/>
      <c r="Y3713" s="41"/>
    </row>
    <row r="3714" s="27" customFormat="1" ht="23" hidden="1" customHeight="1" spans="1:25">
      <c r="A3714" s="133" t="str">
        <f>IF(B3714="","",COUNTA($B$5:B3714))</f>
        <v/>
      </c>
      <c r="B3714" s="148"/>
      <c r="C3714" s="22" t="s">
        <v>49</v>
      </c>
      <c r="D3714" s="149"/>
      <c r="E3714" s="150"/>
      <c r="F3714" s="151"/>
      <c r="G3714" s="151"/>
      <c r="H3714" s="142">
        <f>IFERROR(VLOOKUP($C3714,$C$5:$H$18,6,0)+SUMIF($C$19:$C3714,$C3714,$F$19:$F3714)-SUMIF($C$19:$C3714,$C3714,$G$19:$G3714),"")</f>
        <v>81211.819999998</v>
      </c>
      <c r="I3714" s="147"/>
      <c r="J3714" s="147"/>
      <c r="K3714" s="147" t="str">
        <f t="shared" si="57"/>
        <v/>
      </c>
      <c r="L3714" s="40"/>
      <c r="M3714"/>
      <c r="N3714"/>
      <c r="O3714"/>
      <c r="P3714"/>
      <c r="Q3714"/>
      <c r="R3714"/>
      <c r="S3714"/>
      <c r="T3714"/>
      <c r="U3714"/>
      <c r="V3714"/>
      <c r="W3714" s="41"/>
      <c r="X3714" s="41"/>
      <c r="Y3714" s="41"/>
    </row>
    <row r="3715" s="27" customFormat="1" ht="23" hidden="1" customHeight="1" spans="1:25">
      <c r="A3715" s="133" t="str">
        <f>IF(B3715="","",COUNTA($B$5:B3715))</f>
        <v/>
      </c>
      <c r="B3715" s="148"/>
      <c r="C3715" s="22" t="s">
        <v>49</v>
      </c>
      <c r="D3715" s="149"/>
      <c r="E3715" s="150"/>
      <c r="F3715" s="151"/>
      <c r="G3715" s="151"/>
      <c r="H3715" s="142">
        <f>IFERROR(VLOOKUP($C3715,$C$5:$H$18,6,0)+SUMIF($C$19:$C3715,$C3715,$F$19:$F3715)-SUMIF($C$19:$C3715,$C3715,$G$19:$G3715),"")</f>
        <v>81211.819999998</v>
      </c>
      <c r="I3715" s="147"/>
      <c r="J3715" s="147"/>
      <c r="K3715" s="147" t="str">
        <f t="shared" si="57"/>
        <v/>
      </c>
      <c r="L3715" s="40"/>
      <c r="M3715"/>
      <c r="N3715"/>
      <c r="O3715"/>
      <c r="P3715"/>
      <c r="Q3715"/>
      <c r="R3715"/>
      <c r="S3715"/>
      <c r="T3715"/>
      <c r="U3715"/>
      <c r="V3715"/>
      <c r="W3715" s="41"/>
      <c r="X3715" s="41"/>
      <c r="Y3715" s="41"/>
    </row>
    <row r="3716" s="27" customFormat="1" ht="23" hidden="1" customHeight="1" spans="1:25">
      <c r="A3716" s="133" t="str">
        <f>IF(B3716="","",COUNTA($B$5:B3716))</f>
        <v/>
      </c>
      <c r="B3716" s="148"/>
      <c r="C3716" s="22" t="s">
        <v>49</v>
      </c>
      <c r="D3716" s="149"/>
      <c r="E3716" s="150"/>
      <c r="F3716" s="151"/>
      <c r="G3716" s="151"/>
      <c r="H3716" s="142">
        <f>IFERROR(VLOOKUP($C3716,$C$5:$H$18,6,0)+SUMIF($C$19:$C3716,$C3716,$F$19:$F3716)-SUMIF($C$19:$C3716,$C3716,$G$19:$G3716),"")</f>
        <v>81211.819999998</v>
      </c>
      <c r="I3716" s="147"/>
      <c r="J3716" s="147"/>
      <c r="K3716" s="147" t="str">
        <f t="shared" si="57"/>
        <v/>
      </c>
      <c r="L3716" s="40"/>
      <c r="M3716"/>
      <c r="N3716"/>
      <c r="O3716"/>
      <c r="P3716"/>
      <c r="Q3716"/>
      <c r="R3716"/>
      <c r="S3716"/>
      <c r="T3716"/>
      <c r="U3716"/>
      <c r="V3716"/>
      <c r="W3716" s="41"/>
      <c r="X3716" s="41"/>
      <c r="Y3716" s="41"/>
    </row>
    <row r="3717" s="27" customFormat="1" ht="23" hidden="1" customHeight="1" spans="1:25">
      <c r="A3717" s="133" t="str">
        <f>IF(B3717="","",COUNTA($B$5:B3717))</f>
        <v/>
      </c>
      <c r="B3717" s="148"/>
      <c r="C3717" s="22" t="s">
        <v>49</v>
      </c>
      <c r="D3717" s="149"/>
      <c r="E3717" s="150"/>
      <c r="F3717" s="151"/>
      <c r="G3717" s="151"/>
      <c r="H3717" s="142">
        <f>IFERROR(VLOOKUP($C3717,$C$5:$H$18,6,0)+SUMIF($C$19:$C3717,$C3717,$F$19:$F3717)-SUMIF($C$19:$C3717,$C3717,$G$19:$G3717),"")</f>
        <v>81211.819999998</v>
      </c>
      <c r="I3717" s="147"/>
      <c r="J3717" s="147"/>
      <c r="K3717" s="147" t="str">
        <f t="shared" ref="K3717:K3780" si="58">IF($B3717="","",--TEXT($B3717,"yyyymm"))</f>
        <v/>
      </c>
      <c r="L3717" s="40"/>
      <c r="M3717"/>
      <c r="N3717"/>
      <c r="O3717"/>
      <c r="P3717"/>
      <c r="Q3717"/>
      <c r="R3717"/>
      <c r="S3717"/>
      <c r="T3717"/>
      <c r="U3717"/>
      <c r="V3717"/>
      <c r="W3717" s="41"/>
      <c r="X3717" s="41"/>
      <c r="Y3717" s="41"/>
    </row>
    <row r="3718" s="27" customFormat="1" ht="23" hidden="1" customHeight="1" spans="1:25">
      <c r="A3718" s="133" t="str">
        <f>IF(B3718="","",COUNTA($B$5:B3718))</f>
        <v/>
      </c>
      <c r="B3718" s="148"/>
      <c r="C3718" s="22" t="s">
        <v>49</v>
      </c>
      <c r="D3718" s="149"/>
      <c r="E3718" s="150"/>
      <c r="F3718" s="151"/>
      <c r="G3718" s="151"/>
      <c r="H3718" s="142">
        <f>IFERROR(VLOOKUP($C3718,$C$5:$H$18,6,0)+SUMIF($C$19:$C3718,$C3718,$F$19:$F3718)-SUMIF($C$19:$C3718,$C3718,$G$19:$G3718),"")</f>
        <v>81211.819999998</v>
      </c>
      <c r="I3718" s="147"/>
      <c r="J3718" s="147"/>
      <c r="K3718" s="147" t="str">
        <f t="shared" si="58"/>
        <v/>
      </c>
      <c r="L3718" s="40"/>
      <c r="M3718"/>
      <c r="N3718"/>
      <c r="O3718"/>
      <c r="P3718"/>
      <c r="Q3718"/>
      <c r="R3718"/>
      <c r="S3718"/>
      <c r="T3718"/>
      <c r="U3718"/>
      <c r="V3718"/>
      <c r="W3718" s="41"/>
      <c r="X3718" s="41"/>
      <c r="Y3718" s="41"/>
    </row>
    <row r="3719" s="27" customFormat="1" ht="23" hidden="1" customHeight="1" spans="1:25">
      <c r="A3719" s="133" t="str">
        <f>IF(B3719="","",COUNTA($B$5:B3719))</f>
        <v/>
      </c>
      <c r="B3719" s="148"/>
      <c r="C3719" s="22" t="s">
        <v>49</v>
      </c>
      <c r="D3719" s="149"/>
      <c r="E3719" s="150"/>
      <c r="F3719" s="151"/>
      <c r="G3719" s="151"/>
      <c r="H3719" s="142">
        <f>IFERROR(VLOOKUP($C3719,$C$5:$H$18,6,0)+SUMIF($C$19:$C3719,$C3719,$F$19:$F3719)-SUMIF($C$19:$C3719,$C3719,$G$19:$G3719),"")</f>
        <v>81211.819999998</v>
      </c>
      <c r="I3719" s="147"/>
      <c r="J3719" s="147"/>
      <c r="K3719" s="147" t="str">
        <f t="shared" si="58"/>
        <v/>
      </c>
      <c r="L3719" s="40"/>
      <c r="M3719"/>
      <c r="N3719"/>
      <c r="O3719"/>
      <c r="P3719"/>
      <c r="Q3719"/>
      <c r="R3719"/>
      <c r="S3719"/>
      <c r="T3719"/>
      <c r="U3719"/>
      <c r="V3719"/>
      <c r="W3719" s="41"/>
      <c r="X3719" s="41"/>
      <c r="Y3719" s="41"/>
    </row>
    <row r="3720" s="27" customFormat="1" ht="23" hidden="1" customHeight="1" spans="1:25">
      <c r="A3720" s="133" t="str">
        <f>IF(B3720="","",COUNTA($B$5:B3720))</f>
        <v/>
      </c>
      <c r="B3720" s="148"/>
      <c r="C3720" s="22" t="s">
        <v>49</v>
      </c>
      <c r="D3720" s="149"/>
      <c r="E3720" s="150"/>
      <c r="F3720" s="151"/>
      <c r="G3720" s="151"/>
      <c r="H3720" s="142">
        <f>IFERROR(VLOOKUP($C3720,$C$5:$H$18,6,0)+SUMIF($C$19:$C3720,$C3720,$F$19:$F3720)-SUMIF($C$19:$C3720,$C3720,$G$19:$G3720),"")</f>
        <v>81211.819999998</v>
      </c>
      <c r="I3720" s="147"/>
      <c r="J3720" s="147"/>
      <c r="K3720" s="147" t="str">
        <f t="shared" si="58"/>
        <v/>
      </c>
      <c r="L3720" s="40"/>
      <c r="M3720"/>
      <c r="N3720"/>
      <c r="O3720"/>
      <c r="P3720"/>
      <c r="Q3720"/>
      <c r="R3720"/>
      <c r="S3720"/>
      <c r="T3720"/>
      <c r="U3720"/>
      <c r="V3720"/>
      <c r="W3720" s="41"/>
      <c r="X3720" s="41"/>
      <c r="Y3720" s="41"/>
    </row>
    <row r="3721" s="27" customFormat="1" ht="23" hidden="1" customHeight="1" spans="1:25">
      <c r="A3721" s="133" t="str">
        <f>IF(B3721="","",COUNTA($B$5:B3721))</f>
        <v/>
      </c>
      <c r="B3721" s="148"/>
      <c r="C3721" s="22" t="s">
        <v>49</v>
      </c>
      <c r="D3721" s="149"/>
      <c r="E3721" s="150"/>
      <c r="F3721" s="151"/>
      <c r="G3721" s="151"/>
      <c r="H3721" s="142">
        <f>IFERROR(VLOOKUP($C3721,$C$5:$H$18,6,0)+SUMIF($C$19:$C3721,$C3721,$F$19:$F3721)-SUMIF($C$19:$C3721,$C3721,$G$19:$G3721),"")</f>
        <v>81211.819999998</v>
      </c>
      <c r="I3721" s="147"/>
      <c r="J3721" s="147"/>
      <c r="K3721" s="147" t="str">
        <f t="shared" si="58"/>
        <v/>
      </c>
      <c r="L3721" s="40"/>
      <c r="M3721"/>
      <c r="N3721"/>
      <c r="O3721"/>
      <c r="P3721"/>
      <c r="Q3721"/>
      <c r="R3721"/>
      <c r="S3721"/>
      <c r="T3721"/>
      <c r="U3721"/>
      <c r="V3721"/>
      <c r="W3721" s="41"/>
      <c r="X3721" s="41"/>
      <c r="Y3721" s="41"/>
    </row>
    <row r="3722" s="27" customFormat="1" ht="23" hidden="1" customHeight="1" spans="1:25">
      <c r="A3722" s="133" t="str">
        <f>IF(B3722="","",COUNTA($B$5:B3722))</f>
        <v/>
      </c>
      <c r="B3722" s="148"/>
      <c r="C3722" s="22" t="s">
        <v>49</v>
      </c>
      <c r="D3722" s="149"/>
      <c r="E3722" s="150"/>
      <c r="F3722" s="151"/>
      <c r="G3722" s="151"/>
      <c r="H3722" s="142">
        <f>IFERROR(VLOOKUP($C3722,$C$5:$H$18,6,0)+SUMIF($C$19:$C3722,$C3722,$F$19:$F3722)-SUMIF($C$19:$C3722,$C3722,$G$19:$G3722),"")</f>
        <v>81211.819999998</v>
      </c>
      <c r="I3722" s="147"/>
      <c r="J3722" s="147"/>
      <c r="K3722" s="147" t="str">
        <f t="shared" si="58"/>
        <v/>
      </c>
      <c r="L3722" s="40"/>
      <c r="M3722"/>
      <c r="N3722"/>
      <c r="O3722"/>
      <c r="P3722"/>
      <c r="Q3722"/>
      <c r="R3722"/>
      <c r="S3722"/>
      <c r="T3722"/>
      <c r="U3722"/>
      <c r="V3722"/>
      <c r="W3722" s="41"/>
      <c r="X3722" s="41"/>
      <c r="Y3722" s="41"/>
    </row>
    <row r="3723" s="27" customFormat="1" ht="23" hidden="1" customHeight="1" spans="1:25">
      <c r="A3723" s="133" t="str">
        <f>IF(B3723="","",COUNTA($B$5:B3723))</f>
        <v/>
      </c>
      <c r="B3723" s="148"/>
      <c r="C3723" s="22" t="s">
        <v>49</v>
      </c>
      <c r="D3723" s="149"/>
      <c r="E3723" s="150"/>
      <c r="F3723" s="151"/>
      <c r="G3723" s="151"/>
      <c r="H3723" s="142">
        <f>IFERROR(VLOOKUP($C3723,$C$5:$H$18,6,0)+SUMIF($C$19:$C3723,$C3723,$F$19:$F3723)-SUMIF($C$19:$C3723,$C3723,$G$19:$G3723),"")</f>
        <v>81211.819999998</v>
      </c>
      <c r="I3723" s="147"/>
      <c r="J3723" s="147"/>
      <c r="K3723" s="147" t="str">
        <f t="shared" si="58"/>
        <v/>
      </c>
      <c r="L3723" s="40"/>
      <c r="M3723"/>
      <c r="N3723"/>
      <c r="O3723"/>
      <c r="P3723"/>
      <c r="Q3723"/>
      <c r="R3723"/>
      <c r="S3723"/>
      <c r="T3723"/>
      <c r="U3723"/>
      <c r="V3723"/>
      <c r="W3723" s="41"/>
      <c r="X3723" s="41"/>
      <c r="Y3723" s="41"/>
    </row>
    <row r="3724" s="27" customFormat="1" ht="23" hidden="1" customHeight="1" spans="1:25">
      <c r="A3724" s="133" t="str">
        <f>IF(B3724="","",COUNTA($B$5:B3724))</f>
        <v/>
      </c>
      <c r="B3724" s="148"/>
      <c r="C3724" s="22" t="s">
        <v>49</v>
      </c>
      <c r="D3724" s="149"/>
      <c r="E3724" s="150"/>
      <c r="F3724" s="151"/>
      <c r="G3724" s="151"/>
      <c r="H3724" s="142">
        <f>IFERROR(VLOOKUP($C3724,$C$5:$H$18,6,0)+SUMIF($C$19:$C3724,$C3724,$F$19:$F3724)-SUMIF($C$19:$C3724,$C3724,$G$19:$G3724),"")</f>
        <v>81211.819999998</v>
      </c>
      <c r="I3724" s="147"/>
      <c r="J3724" s="147"/>
      <c r="K3724" s="147" t="str">
        <f t="shared" si="58"/>
        <v/>
      </c>
      <c r="L3724" s="40"/>
      <c r="M3724"/>
      <c r="N3724"/>
      <c r="O3724"/>
      <c r="P3724"/>
      <c r="Q3724"/>
      <c r="R3724"/>
      <c r="S3724"/>
      <c r="T3724"/>
      <c r="U3724"/>
      <c r="V3724"/>
      <c r="W3724" s="41"/>
      <c r="X3724" s="41"/>
      <c r="Y3724" s="41"/>
    </row>
    <row r="3725" s="27" customFormat="1" ht="23" hidden="1" customHeight="1" spans="1:25">
      <c r="A3725" s="133" t="str">
        <f>IF(B3725="","",COUNTA($B$5:B3725))</f>
        <v/>
      </c>
      <c r="B3725" s="148"/>
      <c r="C3725" s="22" t="s">
        <v>49</v>
      </c>
      <c r="D3725" s="149"/>
      <c r="E3725" s="150"/>
      <c r="F3725" s="151"/>
      <c r="G3725" s="151"/>
      <c r="H3725" s="142">
        <f>IFERROR(VLOOKUP($C3725,$C$5:$H$18,6,0)+SUMIF($C$19:$C3725,$C3725,$F$19:$F3725)-SUMIF($C$19:$C3725,$C3725,$G$19:$G3725),"")</f>
        <v>81211.819999998</v>
      </c>
      <c r="I3725" s="147"/>
      <c r="J3725" s="147"/>
      <c r="K3725" s="147" t="str">
        <f t="shared" si="58"/>
        <v/>
      </c>
      <c r="L3725" s="40"/>
      <c r="M3725"/>
      <c r="N3725"/>
      <c r="O3725"/>
      <c r="P3725"/>
      <c r="Q3725"/>
      <c r="R3725"/>
      <c r="S3725"/>
      <c r="T3725"/>
      <c r="U3725"/>
      <c r="V3725"/>
      <c r="W3725" s="41"/>
      <c r="X3725" s="41"/>
      <c r="Y3725" s="41"/>
    </row>
    <row r="3726" s="27" customFormat="1" ht="23" hidden="1" customHeight="1" spans="1:25">
      <c r="A3726" s="133" t="str">
        <f>IF(B3726="","",COUNTA($B$5:B3726))</f>
        <v/>
      </c>
      <c r="B3726" s="148"/>
      <c r="C3726" s="22" t="s">
        <v>49</v>
      </c>
      <c r="D3726" s="149"/>
      <c r="E3726" s="150"/>
      <c r="F3726" s="151"/>
      <c r="G3726" s="151"/>
      <c r="H3726" s="142">
        <f>IFERROR(VLOOKUP($C3726,$C$5:$H$18,6,0)+SUMIF($C$19:$C3726,$C3726,$F$19:$F3726)-SUMIF($C$19:$C3726,$C3726,$G$19:$G3726),"")</f>
        <v>81211.819999998</v>
      </c>
      <c r="I3726" s="147"/>
      <c r="J3726" s="147"/>
      <c r="K3726" s="147" t="str">
        <f t="shared" si="58"/>
        <v/>
      </c>
      <c r="L3726" s="40"/>
      <c r="M3726"/>
      <c r="N3726"/>
      <c r="O3726"/>
      <c r="P3726"/>
      <c r="Q3726"/>
      <c r="R3726"/>
      <c r="S3726"/>
      <c r="T3726"/>
      <c r="U3726"/>
      <c r="V3726"/>
      <c r="W3726" s="41"/>
      <c r="X3726" s="41"/>
      <c r="Y3726" s="41"/>
    </row>
    <row r="3727" s="27" customFormat="1" ht="23" hidden="1" customHeight="1" spans="1:25">
      <c r="A3727" s="133" t="str">
        <f>IF(B3727="","",COUNTA($B$5:B3727))</f>
        <v/>
      </c>
      <c r="B3727" s="148"/>
      <c r="C3727" s="22" t="s">
        <v>49</v>
      </c>
      <c r="D3727" s="149"/>
      <c r="E3727" s="150"/>
      <c r="F3727" s="151"/>
      <c r="G3727" s="151"/>
      <c r="H3727" s="142">
        <f>IFERROR(VLOOKUP($C3727,$C$5:$H$18,6,0)+SUMIF($C$19:$C3727,$C3727,$F$19:$F3727)-SUMIF($C$19:$C3727,$C3727,$G$19:$G3727),"")</f>
        <v>81211.819999998</v>
      </c>
      <c r="I3727" s="147"/>
      <c r="J3727" s="147"/>
      <c r="K3727" s="147" t="str">
        <f t="shared" si="58"/>
        <v/>
      </c>
      <c r="L3727" s="40"/>
      <c r="M3727"/>
      <c r="N3727"/>
      <c r="O3727"/>
      <c r="P3727"/>
      <c r="Q3727"/>
      <c r="R3727"/>
      <c r="S3727"/>
      <c r="T3727"/>
      <c r="U3727"/>
      <c r="V3727"/>
      <c r="W3727" s="41"/>
      <c r="X3727" s="41"/>
      <c r="Y3727" s="41"/>
    </row>
    <row r="3728" s="27" customFormat="1" ht="23" hidden="1" customHeight="1" spans="1:25">
      <c r="A3728" s="133" t="str">
        <f>IF(B3728="","",COUNTA($B$5:B3728))</f>
        <v/>
      </c>
      <c r="B3728" s="148"/>
      <c r="C3728" s="22" t="s">
        <v>49</v>
      </c>
      <c r="D3728" s="149"/>
      <c r="E3728" s="150"/>
      <c r="F3728" s="151"/>
      <c r="G3728" s="151"/>
      <c r="H3728" s="142">
        <f>IFERROR(VLOOKUP($C3728,$C$5:$H$18,6,0)+SUMIF($C$19:$C3728,$C3728,$F$19:$F3728)-SUMIF($C$19:$C3728,$C3728,$G$19:$G3728),"")</f>
        <v>81211.819999998</v>
      </c>
      <c r="I3728" s="147"/>
      <c r="J3728" s="147"/>
      <c r="K3728" s="147" t="str">
        <f t="shared" si="58"/>
        <v/>
      </c>
      <c r="L3728" s="40"/>
      <c r="M3728"/>
      <c r="N3728"/>
      <c r="O3728"/>
      <c r="P3728"/>
      <c r="Q3728"/>
      <c r="R3728"/>
      <c r="S3728"/>
      <c r="T3728"/>
      <c r="U3728"/>
      <c r="V3728"/>
      <c r="W3728" s="41"/>
      <c r="X3728" s="41"/>
      <c r="Y3728" s="41"/>
    </row>
    <row r="3729" s="27" customFormat="1" ht="23" hidden="1" customHeight="1" spans="1:25">
      <c r="A3729" s="133" t="str">
        <f>IF(B3729="","",COUNTA($B$5:B3729))</f>
        <v/>
      </c>
      <c r="B3729" s="148"/>
      <c r="C3729" s="22" t="s">
        <v>49</v>
      </c>
      <c r="D3729" s="149"/>
      <c r="E3729" s="150"/>
      <c r="F3729" s="151"/>
      <c r="G3729" s="151"/>
      <c r="H3729" s="142">
        <f>IFERROR(VLOOKUP($C3729,$C$5:$H$18,6,0)+SUMIF($C$19:$C3729,$C3729,$F$19:$F3729)-SUMIF($C$19:$C3729,$C3729,$G$19:$G3729),"")</f>
        <v>81211.819999998</v>
      </c>
      <c r="I3729" s="147"/>
      <c r="J3729" s="147"/>
      <c r="K3729" s="147" t="str">
        <f t="shared" si="58"/>
        <v/>
      </c>
      <c r="L3729" s="40"/>
      <c r="M3729"/>
      <c r="N3729"/>
      <c r="O3729"/>
      <c r="P3729"/>
      <c r="Q3729"/>
      <c r="R3729"/>
      <c r="S3729"/>
      <c r="T3729"/>
      <c r="U3729"/>
      <c r="V3729"/>
      <c r="W3729" s="41"/>
      <c r="X3729" s="41"/>
      <c r="Y3729" s="41"/>
    </row>
    <row r="3730" s="27" customFormat="1" ht="23" hidden="1" customHeight="1" spans="1:25">
      <c r="A3730" s="133" t="str">
        <f>IF(B3730="","",COUNTA($B$5:B3730))</f>
        <v/>
      </c>
      <c r="B3730" s="148"/>
      <c r="C3730" s="22" t="s">
        <v>49</v>
      </c>
      <c r="D3730" s="149"/>
      <c r="E3730" s="150"/>
      <c r="F3730" s="151"/>
      <c r="G3730" s="151"/>
      <c r="H3730" s="142">
        <f>IFERROR(VLOOKUP($C3730,$C$5:$H$18,6,0)+SUMIF($C$19:$C3730,$C3730,$F$19:$F3730)-SUMIF($C$19:$C3730,$C3730,$G$19:$G3730),"")</f>
        <v>81211.819999998</v>
      </c>
      <c r="I3730" s="147"/>
      <c r="J3730" s="147"/>
      <c r="K3730" s="147" t="str">
        <f t="shared" si="58"/>
        <v/>
      </c>
      <c r="L3730" s="40"/>
      <c r="M3730"/>
      <c r="N3730"/>
      <c r="O3730"/>
      <c r="P3730"/>
      <c r="Q3730"/>
      <c r="R3730"/>
      <c r="S3730"/>
      <c r="T3730"/>
      <c r="U3730"/>
      <c r="V3730"/>
      <c r="W3730" s="41"/>
      <c r="X3730" s="41"/>
      <c r="Y3730" s="41"/>
    </row>
    <row r="3731" s="27" customFormat="1" ht="23" hidden="1" customHeight="1" spans="1:25">
      <c r="A3731" s="133" t="str">
        <f>IF(B3731="","",COUNTA($B$5:B3731))</f>
        <v/>
      </c>
      <c r="B3731" s="148"/>
      <c r="C3731" s="22" t="s">
        <v>49</v>
      </c>
      <c r="D3731" s="149"/>
      <c r="E3731" s="150"/>
      <c r="F3731" s="151"/>
      <c r="G3731" s="151"/>
      <c r="H3731" s="142">
        <f>IFERROR(VLOOKUP($C3731,$C$5:$H$18,6,0)+SUMIF($C$19:$C3731,$C3731,$F$19:$F3731)-SUMIF($C$19:$C3731,$C3731,$G$19:$G3731),"")</f>
        <v>81211.819999998</v>
      </c>
      <c r="I3731" s="147"/>
      <c r="J3731" s="147"/>
      <c r="K3731" s="147" t="str">
        <f t="shared" si="58"/>
        <v/>
      </c>
      <c r="L3731" s="40"/>
      <c r="M3731"/>
      <c r="N3731"/>
      <c r="O3731"/>
      <c r="P3731"/>
      <c r="Q3731"/>
      <c r="R3731"/>
      <c r="S3731"/>
      <c r="T3731"/>
      <c r="U3731"/>
      <c r="V3731"/>
      <c r="W3731" s="41"/>
      <c r="X3731" s="41"/>
      <c r="Y3731" s="41"/>
    </row>
    <row r="3732" s="27" customFormat="1" ht="23" hidden="1" customHeight="1" spans="1:25">
      <c r="A3732" s="133" t="str">
        <f>IF(B3732="","",COUNTA($B$5:B3732))</f>
        <v/>
      </c>
      <c r="B3732" s="148"/>
      <c r="C3732" s="22" t="s">
        <v>49</v>
      </c>
      <c r="D3732" s="149"/>
      <c r="E3732" s="150"/>
      <c r="F3732" s="151"/>
      <c r="G3732" s="151"/>
      <c r="H3732" s="142">
        <f>IFERROR(VLOOKUP($C3732,$C$5:$H$18,6,0)+SUMIF($C$19:$C3732,$C3732,$F$19:$F3732)-SUMIF($C$19:$C3732,$C3732,$G$19:$G3732),"")</f>
        <v>81211.819999998</v>
      </c>
      <c r="I3732" s="147"/>
      <c r="J3732" s="147"/>
      <c r="K3732" s="147" t="str">
        <f t="shared" si="58"/>
        <v/>
      </c>
      <c r="L3732" s="40"/>
      <c r="M3732"/>
      <c r="N3732"/>
      <c r="O3732"/>
      <c r="P3732"/>
      <c r="Q3732"/>
      <c r="R3732"/>
      <c r="S3732"/>
      <c r="T3732"/>
      <c r="U3732"/>
      <c r="V3732"/>
      <c r="W3732" s="41"/>
      <c r="X3732" s="41"/>
      <c r="Y3732" s="41"/>
    </row>
    <row r="3733" s="27" customFormat="1" ht="23" hidden="1" customHeight="1" spans="1:25">
      <c r="A3733" s="133" t="str">
        <f>IF(B3733="","",COUNTA($B$5:B3733))</f>
        <v/>
      </c>
      <c r="B3733" s="148"/>
      <c r="C3733" s="22" t="s">
        <v>49</v>
      </c>
      <c r="D3733" s="149"/>
      <c r="E3733" s="150"/>
      <c r="F3733" s="151"/>
      <c r="G3733" s="151"/>
      <c r="H3733" s="142">
        <f>IFERROR(VLOOKUP($C3733,$C$5:$H$18,6,0)+SUMIF($C$19:$C3733,$C3733,$F$19:$F3733)-SUMIF($C$19:$C3733,$C3733,$G$19:$G3733),"")</f>
        <v>81211.819999998</v>
      </c>
      <c r="I3733" s="147"/>
      <c r="J3733" s="147"/>
      <c r="K3733" s="147" t="str">
        <f t="shared" si="58"/>
        <v/>
      </c>
      <c r="L3733" s="40"/>
      <c r="M3733"/>
      <c r="N3733"/>
      <c r="O3733"/>
      <c r="P3733"/>
      <c r="Q3733"/>
      <c r="R3733"/>
      <c r="S3733"/>
      <c r="T3733"/>
      <c r="U3733"/>
      <c r="V3733"/>
      <c r="W3733" s="41"/>
      <c r="X3733" s="41"/>
      <c r="Y3733" s="41"/>
    </row>
    <row r="3734" s="27" customFormat="1" ht="23" hidden="1" customHeight="1" spans="1:25">
      <c r="A3734" s="133" t="str">
        <f>IF(B3734="","",COUNTA($B$5:B3734))</f>
        <v/>
      </c>
      <c r="B3734" s="148"/>
      <c r="C3734" s="22" t="s">
        <v>49</v>
      </c>
      <c r="D3734" s="149"/>
      <c r="E3734" s="150"/>
      <c r="F3734" s="151"/>
      <c r="G3734" s="151"/>
      <c r="H3734" s="142">
        <f>IFERROR(VLOOKUP($C3734,$C$5:$H$18,6,0)+SUMIF($C$19:$C3734,$C3734,$F$19:$F3734)-SUMIF($C$19:$C3734,$C3734,$G$19:$G3734),"")</f>
        <v>81211.819999998</v>
      </c>
      <c r="I3734" s="147"/>
      <c r="J3734" s="147"/>
      <c r="K3734" s="147" t="str">
        <f t="shared" si="58"/>
        <v/>
      </c>
      <c r="L3734" s="40"/>
      <c r="M3734"/>
      <c r="N3734"/>
      <c r="O3734"/>
      <c r="P3734"/>
      <c r="Q3734"/>
      <c r="R3734"/>
      <c r="S3734"/>
      <c r="T3734"/>
      <c r="U3734"/>
      <c r="V3734"/>
      <c r="W3734" s="41"/>
      <c r="X3734" s="41"/>
      <c r="Y3734" s="41"/>
    </row>
    <row r="3735" s="27" customFormat="1" ht="23" hidden="1" customHeight="1" spans="1:25">
      <c r="A3735" s="133" t="str">
        <f>IF(B3735="","",COUNTA($B$5:B3735))</f>
        <v/>
      </c>
      <c r="B3735" s="148"/>
      <c r="C3735" s="22" t="s">
        <v>49</v>
      </c>
      <c r="D3735" s="149"/>
      <c r="E3735" s="150"/>
      <c r="F3735" s="151"/>
      <c r="G3735" s="151"/>
      <c r="H3735" s="142">
        <f>IFERROR(VLOOKUP($C3735,$C$5:$H$18,6,0)+SUMIF($C$19:$C3735,$C3735,$F$19:$F3735)-SUMIF($C$19:$C3735,$C3735,$G$19:$G3735),"")</f>
        <v>81211.819999998</v>
      </c>
      <c r="I3735" s="147"/>
      <c r="J3735" s="147"/>
      <c r="K3735" s="147" t="str">
        <f t="shared" si="58"/>
        <v/>
      </c>
      <c r="L3735" s="40"/>
      <c r="M3735"/>
      <c r="N3735"/>
      <c r="O3735"/>
      <c r="P3735"/>
      <c r="Q3735"/>
      <c r="R3735"/>
      <c r="S3735"/>
      <c r="T3735"/>
      <c r="U3735"/>
      <c r="V3735"/>
      <c r="W3735" s="41"/>
      <c r="X3735" s="41"/>
      <c r="Y3735" s="41"/>
    </row>
    <row r="3736" s="27" customFormat="1" ht="23" hidden="1" customHeight="1" spans="1:25">
      <c r="A3736" s="133" t="str">
        <f>IF(B3736="","",COUNTA($B$5:B3736))</f>
        <v/>
      </c>
      <c r="B3736" s="148"/>
      <c r="C3736" s="22" t="s">
        <v>49</v>
      </c>
      <c r="D3736" s="149"/>
      <c r="E3736" s="150"/>
      <c r="F3736" s="151"/>
      <c r="G3736" s="151"/>
      <c r="H3736" s="142">
        <f>IFERROR(VLOOKUP($C3736,$C$5:$H$18,6,0)+SUMIF($C$19:$C3736,$C3736,$F$19:$F3736)-SUMIF($C$19:$C3736,$C3736,$G$19:$G3736),"")</f>
        <v>81211.819999998</v>
      </c>
      <c r="I3736" s="147"/>
      <c r="J3736" s="147"/>
      <c r="K3736" s="147" t="str">
        <f t="shared" si="58"/>
        <v/>
      </c>
      <c r="L3736" s="40"/>
      <c r="M3736"/>
      <c r="N3736"/>
      <c r="O3736"/>
      <c r="P3736"/>
      <c r="Q3736"/>
      <c r="R3736"/>
      <c r="S3736"/>
      <c r="T3736"/>
      <c r="U3736"/>
      <c r="V3736"/>
      <c r="W3736" s="41"/>
      <c r="X3736" s="41"/>
      <c r="Y3736" s="41"/>
    </row>
    <row r="3737" s="27" customFormat="1" ht="23" hidden="1" customHeight="1" spans="1:25">
      <c r="A3737" s="133" t="str">
        <f>IF(B3737="","",COUNTA($B$5:B3737))</f>
        <v/>
      </c>
      <c r="B3737" s="148"/>
      <c r="C3737" s="22" t="s">
        <v>49</v>
      </c>
      <c r="D3737" s="149"/>
      <c r="E3737" s="150"/>
      <c r="F3737" s="151"/>
      <c r="G3737" s="151"/>
      <c r="H3737" s="142">
        <f>IFERROR(VLOOKUP($C3737,$C$5:$H$18,6,0)+SUMIF($C$19:$C3737,$C3737,$F$19:$F3737)-SUMIF($C$19:$C3737,$C3737,$G$19:$G3737),"")</f>
        <v>81211.819999998</v>
      </c>
      <c r="I3737" s="147"/>
      <c r="J3737" s="147"/>
      <c r="K3737" s="147" t="str">
        <f t="shared" si="58"/>
        <v/>
      </c>
      <c r="L3737" s="40"/>
      <c r="M3737"/>
      <c r="N3737"/>
      <c r="O3737"/>
      <c r="P3737"/>
      <c r="Q3737"/>
      <c r="R3737"/>
      <c r="S3737"/>
      <c r="T3737"/>
      <c r="U3737"/>
      <c r="V3737"/>
      <c r="W3737" s="41"/>
      <c r="X3737" s="41"/>
      <c r="Y3737" s="41"/>
    </row>
    <row r="3738" s="27" customFormat="1" ht="23" hidden="1" customHeight="1" spans="1:25">
      <c r="A3738" s="133" t="str">
        <f>IF(B3738="","",COUNTA($B$5:B3738))</f>
        <v/>
      </c>
      <c r="B3738" s="148"/>
      <c r="C3738" s="22" t="s">
        <v>49</v>
      </c>
      <c r="D3738" s="149"/>
      <c r="E3738" s="150"/>
      <c r="F3738" s="151"/>
      <c r="G3738" s="151"/>
      <c r="H3738" s="142">
        <f>IFERROR(VLOOKUP($C3738,$C$5:$H$18,6,0)+SUMIF($C$19:$C3738,$C3738,$F$19:$F3738)-SUMIF($C$19:$C3738,$C3738,$G$19:$G3738),"")</f>
        <v>81211.819999998</v>
      </c>
      <c r="I3738" s="147"/>
      <c r="J3738" s="147"/>
      <c r="K3738" s="147" t="str">
        <f t="shared" si="58"/>
        <v/>
      </c>
      <c r="L3738" s="40"/>
      <c r="M3738"/>
      <c r="N3738"/>
      <c r="O3738"/>
      <c r="P3738"/>
      <c r="Q3738"/>
      <c r="R3738"/>
      <c r="S3738"/>
      <c r="T3738"/>
      <c r="U3738"/>
      <c r="V3738"/>
      <c r="W3738" s="41"/>
      <c r="X3738" s="41"/>
      <c r="Y3738" s="41"/>
    </row>
    <row r="3739" s="27" customFormat="1" ht="23" hidden="1" customHeight="1" spans="1:25">
      <c r="A3739" s="133" t="str">
        <f>IF(B3739="","",COUNTA($B$5:B3739))</f>
        <v/>
      </c>
      <c r="B3739" s="148"/>
      <c r="C3739" s="22" t="s">
        <v>49</v>
      </c>
      <c r="D3739" s="149"/>
      <c r="E3739" s="150"/>
      <c r="F3739" s="151"/>
      <c r="G3739" s="151"/>
      <c r="H3739" s="142">
        <f>IFERROR(VLOOKUP($C3739,$C$5:$H$18,6,0)+SUMIF($C$19:$C3739,$C3739,$F$19:$F3739)-SUMIF($C$19:$C3739,$C3739,$G$19:$G3739),"")</f>
        <v>81211.819999998</v>
      </c>
      <c r="I3739" s="147"/>
      <c r="J3739" s="147"/>
      <c r="K3739" s="147" t="str">
        <f t="shared" si="58"/>
        <v/>
      </c>
      <c r="L3739" s="40"/>
      <c r="M3739"/>
      <c r="N3739"/>
      <c r="O3739"/>
      <c r="P3739"/>
      <c r="Q3739"/>
      <c r="R3739"/>
      <c r="S3739"/>
      <c r="T3739"/>
      <c r="U3739"/>
      <c r="V3739"/>
      <c r="W3739" s="41"/>
      <c r="X3739" s="41"/>
      <c r="Y3739" s="41"/>
    </row>
    <row r="3740" s="27" customFormat="1" ht="23" hidden="1" customHeight="1" spans="1:25">
      <c r="A3740" s="133" t="str">
        <f>IF(B3740="","",COUNTA($B$5:B3740))</f>
        <v/>
      </c>
      <c r="B3740" s="148"/>
      <c r="C3740" s="22" t="s">
        <v>49</v>
      </c>
      <c r="D3740" s="149"/>
      <c r="E3740" s="150"/>
      <c r="F3740" s="151"/>
      <c r="G3740" s="151"/>
      <c r="H3740" s="142">
        <f>IFERROR(VLOOKUP($C3740,$C$5:$H$18,6,0)+SUMIF($C$19:$C3740,$C3740,$F$19:$F3740)-SUMIF($C$19:$C3740,$C3740,$G$19:$G3740),"")</f>
        <v>81211.819999998</v>
      </c>
      <c r="I3740" s="147"/>
      <c r="J3740" s="147"/>
      <c r="K3740" s="147" t="str">
        <f t="shared" si="58"/>
        <v/>
      </c>
      <c r="L3740" s="40"/>
      <c r="M3740"/>
      <c r="N3740"/>
      <c r="O3740"/>
      <c r="P3740"/>
      <c r="Q3740"/>
      <c r="R3740"/>
      <c r="S3740"/>
      <c r="T3740"/>
      <c r="U3740"/>
      <c r="V3740"/>
      <c r="W3740" s="41"/>
      <c r="X3740" s="41"/>
      <c r="Y3740" s="41"/>
    </row>
    <row r="3741" s="27" customFormat="1" ht="23" hidden="1" customHeight="1" spans="1:25">
      <c r="A3741" s="133" t="str">
        <f>IF(B3741="","",COUNTA($B$5:B3741))</f>
        <v/>
      </c>
      <c r="B3741" s="148"/>
      <c r="C3741" s="22" t="s">
        <v>49</v>
      </c>
      <c r="D3741" s="149"/>
      <c r="E3741" s="150"/>
      <c r="F3741" s="151"/>
      <c r="G3741" s="151"/>
      <c r="H3741" s="142">
        <f>IFERROR(VLOOKUP($C3741,$C$5:$H$18,6,0)+SUMIF($C$19:$C3741,$C3741,$F$19:$F3741)-SUMIF($C$19:$C3741,$C3741,$G$19:$G3741),"")</f>
        <v>81211.819999998</v>
      </c>
      <c r="I3741" s="147"/>
      <c r="J3741" s="147"/>
      <c r="K3741" s="147" t="str">
        <f t="shared" si="58"/>
        <v/>
      </c>
      <c r="L3741" s="40"/>
      <c r="M3741"/>
      <c r="N3741"/>
      <c r="O3741"/>
      <c r="P3741"/>
      <c r="Q3741"/>
      <c r="R3741"/>
      <c r="S3741"/>
      <c r="T3741"/>
      <c r="U3741"/>
      <c r="V3741"/>
      <c r="W3741" s="41"/>
      <c r="X3741" s="41"/>
      <c r="Y3741" s="41"/>
    </row>
    <row r="3742" s="27" customFormat="1" ht="23" hidden="1" customHeight="1" spans="1:25">
      <c r="A3742" s="133" t="str">
        <f>IF(B3742="","",COUNTA($B$5:B3742))</f>
        <v/>
      </c>
      <c r="B3742" s="148"/>
      <c r="C3742" s="22" t="s">
        <v>49</v>
      </c>
      <c r="D3742" s="149"/>
      <c r="E3742" s="150"/>
      <c r="F3742" s="151"/>
      <c r="G3742" s="151"/>
      <c r="H3742" s="142">
        <f>IFERROR(VLOOKUP($C3742,$C$5:$H$18,6,0)+SUMIF($C$19:$C3742,$C3742,$F$19:$F3742)-SUMIF($C$19:$C3742,$C3742,$G$19:$G3742),"")</f>
        <v>81211.819999998</v>
      </c>
      <c r="I3742" s="147"/>
      <c r="J3742" s="147"/>
      <c r="K3742" s="147" t="str">
        <f t="shared" si="58"/>
        <v/>
      </c>
      <c r="L3742" s="40"/>
      <c r="M3742"/>
      <c r="N3742"/>
      <c r="O3742"/>
      <c r="P3742"/>
      <c r="Q3742"/>
      <c r="R3742"/>
      <c r="S3742"/>
      <c r="T3742"/>
      <c r="U3742"/>
      <c r="V3742"/>
      <c r="W3742" s="41"/>
      <c r="X3742" s="41"/>
      <c r="Y3742" s="41"/>
    </row>
    <row r="3743" s="27" customFormat="1" ht="23" hidden="1" customHeight="1" spans="1:25">
      <c r="A3743" s="133" t="str">
        <f>IF(B3743="","",COUNTA($B$5:B3743))</f>
        <v/>
      </c>
      <c r="B3743" s="148"/>
      <c r="C3743" s="22" t="s">
        <v>49</v>
      </c>
      <c r="D3743" s="149"/>
      <c r="E3743" s="150"/>
      <c r="F3743" s="151"/>
      <c r="G3743" s="151"/>
      <c r="H3743" s="142">
        <f>IFERROR(VLOOKUP($C3743,$C$5:$H$18,6,0)+SUMIF($C$19:$C3743,$C3743,$F$19:$F3743)-SUMIF($C$19:$C3743,$C3743,$G$19:$G3743),"")</f>
        <v>81211.819999998</v>
      </c>
      <c r="I3743" s="147"/>
      <c r="J3743" s="147"/>
      <c r="K3743" s="147" t="str">
        <f t="shared" si="58"/>
        <v/>
      </c>
      <c r="L3743" s="40"/>
      <c r="M3743"/>
      <c r="N3743"/>
      <c r="O3743"/>
      <c r="P3743"/>
      <c r="Q3743"/>
      <c r="R3743"/>
      <c r="S3743"/>
      <c r="T3743"/>
      <c r="U3743"/>
      <c r="V3743"/>
      <c r="W3743" s="41"/>
      <c r="X3743" s="41"/>
      <c r="Y3743" s="41"/>
    </row>
    <row r="3744" s="27" customFormat="1" ht="23" hidden="1" customHeight="1" spans="1:25">
      <c r="A3744" s="133" t="str">
        <f>IF(B3744="","",COUNTA($B$5:B3744))</f>
        <v/>
      </c>
      <c r="B3744" s="148"/>
      <c r="C3744" s="22" t="s">
        <v>49</v>
      </c>
      <c r="D3744" s="149"/>
      <c r="E3744" s="150"/>
      <c r="F3744" s="151"/>
      <c r="G3744" s="151"/>
      <c r="H3744" s="142">
        <f>IFERROR(VLOOKUP($C3744,$C$5:$H$18,6,0)+SUMIF($C$19:$C3744,$C3744,$F$19:$F3744)-SUMIF($C$19:$C3744,$C3744,$G$19:$G3744),"")</f>
        <v>81211.819999998</v>
      </c>
      <c r="I3744" s="147"/>
      <c r="J3744" s="147"/>
      <c r="K3744" s="147" t="str">
        <f t="shared" si="58"/>
        <v/>
      </c>
      <c r="L3744" s="40"/>
      <c r="M3744"/>
      <c r="N3744"/>
      <c r="O3744"/>
      <c r="P3744"/>
      <c r="Q3744"/>
      <c r="R3744"/>
      <c r="S3744"/>
      <c r="T3744"/>
      <c r="U3744"/>
      <c r="V3744"/>
      <c r="W3744" s="41"/>
      <c r="X3744" s="41"/>
      <c r="Y3744" s="41"/>
    </row>
    <row r="3745" s="27" customFormat="1" ht="23" hidden="1" customHeight="1" spans="1:25">
      <c r="A3745" s="133" t="str">
        <f>IF(B3745="","",COUNTA($B$5:B3745))</f>
        <v/>
      </c>
      <c r="B3745" s="148"/>
      <c r="C3745" s="22" t="s">
        <v>49</v>
      </c>
      <c r="D3745" s="149"/>
      <c r="E3745" s="150"/>
      <c r="F3745" s="151"/>
      <c r="G3745" s="151"/>
      <c r="H3745" s="142">
        <f>IFERROR(VLOOKUP($C3745,$C$5:$H$18,6,0)+SUMIF($C$19:$C3745,$C3745,$F$19:$F3745)-SUMIF($C$19:$C3745,$C3745,$G$19:$G3745),"")</f>
        <v>81211.819999998</v>
      </c>
      <c r="I3745" s="147"/>
      <c r="J3745" s="147"/>
      <c r="K3745" s="147" t="str">
        <f t="shared" si="58"/>
        <v/>
      </c>
      <c r="L3745" s="40"/>
      <c r="M3745"/>
      <c r="N3745"/>
      <c r="O3745"/>
      <c r="P3745"/>
      <c r="Q3745"/>
      <c r="R3745"/>
      <c r="S3745"/>
      <c r="T3745"/>
      <c r="U3745"/>
      <c r="V3745"/>
      <c r="W3745" s="41"/>
      <c r="X3745" s="41"/>
      <c r="Y3745" s="41"/>
    </row>
    <row r="3746" s="27" customFormat="1" ht="23" hidden="1" customHeight="1" spans="1:25">
      <c r="A3746" s="133" t="str">
        <f>IF(B3746="","",COUNTA($B$5:B3746))</f>
        <v/>
      </c>
      <c r="B3746" s="148"/>
      <c r="C3746" s="22" t="s">
        <v>49</v>
      </c>
      <c r="D3746" s="149"/>
      <c r="E3746" s="150"/>
      <c r="F3746" s="151"/>
      <c r="G3746" s="151"/>
      <c r="H3746" s="142">
        <f>IFERROR(VLOOKUP($C3746,$C$5:$H$18,6,0)+SUMIF($C$19:$C3746,$C3746,$F$19:$F3746)-SUMIF($C$19:$C3746,$C3746,$G$19:$G3746),"")</f>
        <v>81211.819999998</v>
      </c>
      <c r="I3746" s="147"/>
      <c r="J3746" s="147"/>
      <c r="K3746" s="147" t="str">
        <f t="shared" si="58"/>
        <v/>
      </c>
      <c r="L3746" s="40"/>
      <c r="M3746"/>
      <c r="N3746"/>
      <c r="O3746"/>
      <c r="P3746"/>
      <c r="Q3746"/>
      <c r="R3746"/>
      <c r="S3746"/>
      <c r="T3746"/>
      <c r="U3746"/>
      <c r="V3746"/>
      <c r="W3746" s="41"/>
      <c r="X3746" s="41"/>
      <c r="Y3746" s="41"/>
    </row>
    <row r="3747" s="27" customFormat="1" ht="23" hidden="1" customHeight="1" spans="1:25">
      <c r="A3747" s="133" t="str">
        <f>IF(B3747="","",COUNTA($B$5:B3747))</f>
        <v/>
      </c>
      <c r="B3747" s="148"/>
      <c r="C3747" s="22" t="s">
        <v>49</v>
      </c>
      <c r="D3747" s="149"/>
      <c r="E3747" s="150"/>
      <c r="F3747" s="151"/>
      <c r="G3747" s="151"/>
      <c r="H3747" s="142">
        <f>IFERROR(VLOOKUP($C3747,$C$5:$H$18,6,0)+SUMIF($C$19:$C3747,$C3747,$F$19:$F3747)-SUMIF($C$19:$C3747,$C3747,$G$19:$G3747),"")</f>
        <v>81211.819999998</v>
      </c>
      <c r="I3747" s="147"/>
      <c r="J3747" s="147"/>
      <c r="K3747" s="147" t="str">
        <f t="shared" si="58"/>
        <v/>
      </c>
      <c r="L3747" s="40"/>
      <c r="M3747"/>
      <c r="N3747"/>
      <c r="O3747"/>
      <c r="P3747"/>
      <c r="Q3747"/>
      <c r="R3747"/>
      <c r="S3747"/>
      <c r="T3747"/>
      <c r="U3747"/>
      <c r="V3747"/>
      <c r="W3747" s="41"/>
      <c r="X3747" s="41"/>
      <c r="Y3747" s="41"/>
    </row>
    <row r="3748" s="27" customFormat="1" ht="23" hidden="1" customHeight="1" spans="1:25">
      <c r="A3748" s="133" t="str">
        <f>IF(B3748="","",COUNTA($B$5:B3748))</f>
        <v/>
      </c>
      <c r="B3748" s="148"/>
      <c r="C3748" s="22" t="s">
        <v>49</v>
      </c>
      <c r="D3748" s="149"/>
      <c r="E3748" s="150"/>
      <c r="F3748" s="151"/>
      <c r="G3748" s="151"/>
      <c r="H3748" s="142">
        <f>IFERROR(VLOOKUP($C3748,$C$5:$H$18,6,0)+SUMIF($C$19:$C3748,$C3748,$F$19:$F3748)-SUMIF($C$19:$C3748,$C3748,$G$19:$G3748),"")</f>
        <v>81211.819999998</v>
      </c>
      <c r="I3748" s="147"/>
      <c r="J3748" s="147"/>
      <c r="K3748" s="147" t="str">
        <f t="shared" si="58"/>
        <v/>
      </c>
      <c r="L3748" s="40"/>
      <c r="M3748"/>
      <c r="N3748"/>
      <c r="O3748"/>
      <c r="P3748"/>
      <c r="Q3748"/>
      <c r="R3748"/>
      <c r="S3748"/>
      <c r="T3748"/>
      <c r="U3748"/>
      <c r="V3748"/>
      <c r="W3748" s="41"/>
      <c r="X3748" s="41"/>
      <c r="Y3748" s="41"/>
    </row>
    <row r="3749" s="27" customFormat="1" ht="23" hidden="1" customHeight="1" spans="1:25">
      <c r="A3749" s="133" t="str">
        <f>IF(B3749="","",COUNTA($B$5:B3749))</f>
        <v/>
      </c>
      <c r="B3749" s="148"/>
      <c r="C3749" s="22" t="s">
        <v>49</v>
      </c>
      <c r="D3749" s="149"/>
      <c r="E3749" s="150"/>
      <c r="F3749" s="151"/>
      <c r="G3749" s="151"/>
      <c r="H3749" s="142">
        <f>IFERROR(VLOOKUP($C3749,$C$5:$H$18,6,0)+SUMIF($C$19:$C3749,$C3749,$F$19:$F3749)-SUMIF($C$19:$C3749,$C3749,$G$19:$G3749),"")</f>
        <v>81211.819999998</v>
      </c>
      <c r="I3749" s="147"/>
      <c r="J3749" s="147"/>
      <c r="K3749" s="147" t="str">
        <f t="shared" si="58"/>
        <v/>
      </c>
      <c r="L3749" s="40"/>
      <c r="M3749"/>
      <c r="N3749"/>
      <c r="O3749"/>
      <c r="P3749"/>
      <c r="Q3749"/>
      <c r="R3749"/>
      <c r="S3749"/>
      <c r="T3749"/>
      <c r="U3749"/>
      <c r="V3749"/>
      <c r="W3749" s="41"/>
      <c r="X3749" s="41"/>
      <c r="Y3749" s="41"/>
    </row>
    <row r="3750" s="27" customFormat="1" ht="23" hidden="1" customHeight="1" spans="1:25">
      <c r="A3750" s="133" t="str">
        <f>IF(B3750="","",COUNTA($B$5:B3750))</f>
        <v/>
      </c>
      <c r="B3750" s="148"/>
      <c r="C3750" s="22" t="s">
        <v>49</v>
      </c>
      <c r="D3750" s="149"/>
      <c r="E3750" s="150"/>
      <c r="F3750" s="151"/>
      <c r="G3750" s="151"/>
      <c r="H3750" s="142">
        <f>IFERROR(VLOOKUP($C3750,$C$5:$H$18,6,0)+SUMIF($C$19:$C3750,$C3750,$F$19:$F3750)-SUMIF($C$19:$C3750,$C3750,$G$19:$G3750),"")</f>
        <v>81211.819999998</v>
      </c>
      <c r="I3750" s="147"/>
      <c r="J3750" s="147"/>
      <c r="K3750" s="147" t="str">
        <f t="shared" si="58"/>
        <v/>
      </c>
      <c r="L3750" s="40"/>
      <c r="M3750"/>
      <c r="N3750"/>
      <c r="O3750"/>
      <c r="P3750"/>
      <c r="Q3750"/>
      <c r="R3750"/>
      <c r="S3750"/>
      <c r="T3750"/>
      <c r="U3750"/>
      <c r="V3750"/>
      <c r="W3750" s="41"/>
      <c r="X3750" s="41"/>
      <c r="Y3750" s="41"/>
    </row>
    <row r="3751" s="27" customFormat="1" ht="23" hidden="1" customHeight="1" spans="1:25">
      <c r="A3751" s="133" t="str">
        <f>IF(B3751="","",COUNTA($B$5:B3751))</f>
        <v/>
      </c>
      <c r="B3751" s="148"/>
      <c r="C3751" s="22" t="s">
        <v>49</v>
      </c>
      <c r="D3751" s="149"/>
      <c r="E3751" s="150"/>
      <c r="F3751" s="151"/>
      <c r="G3751" s="151"/>
      <c r="H3751" s="142">
        <f>IFERROR(VLOOKUP($C3751,$C$5:$H$18,6,0)+SUMIF($C$19:$C3751,$C3751,$F$19:$F3751)-SUMIF($C$19:$C3751,$C3751,$G$19:$G3751),"")</f>
        <v>81211.819999998</v>
      </c>
      <c r="I3751" s="147"/>
      <c r="J3751" s="147"/>
      <c r="K3751" s="147" t="str">
        <f t="shared" si="58"/>
        <v/>
      </c>
      <c r="L3751" s="40"/>
      <c r="M3751"/>
      <c r="N3751"/>
      <c r="O3751"/>
      <c r="P3751"/>
      <c r="Q3751"/>
      <c r="R3751"/>
      <c r="S3751"/>
      <c r="T3751"/>
      <c r="U3751"/>
      <c r="V3751"/>
      <c r="W3751" s="41"/>
      <c r="X3751" s="41"/>
      <c r="Y3751" s="41"/>
    </row>
    <row r="3752" s="27" customFormat="1" ht="23" hidden="1" customHeight="1" spans="1:25">
      <c r="A3752" s="133" t="str">
        <f>IF(B3752="","",COUNTA($B$5:B3752))</f>
        <v/>
      </c>
      <c r="B3752" s="148"/>
      <c r="C3752" s="22" t="s">
        <v>49</v>
      </c>
      <c r="D3752" s="149"/>
      <c r="E3752" s="150"/>
      <c r="F3752" s="151"/>
      <c r="G3752" s="151"/>
      <c r="H3752" s="142">
        <f>IFERROR(VLOOKUP($C3752,$C$5:$H$18,6,0)+SUMIF($C$19:$C3752,$C3752,$F$19:$F3752)-SUMIF($C$19:$C3752,$C3752,$G$19:$G3752),"")</f>
        <v>81211.819999998</v>
      </c>
      <c r="I3752" s="147"/>
      <c r="J3752" s="147"/>
      <c r="K3752" s="147" t="str">
        <f t="shared" si="58"/>
        <v/>
      </c>
      <c r="L3752" s="40"/>
      <c r="M3752"/>
      <c r="N3752"/>
      <c r="O3752"/>
      <c r="P3752"/>
      <c r="Q3752"/>
      <c r="R3752"/>
      <c r="S3752"/>
      <c r="T3752"/>
      <c r="U3752"/>
      <c r="V3752"/>
      <c r="W3752" s="41"/>
      <c r="X3752" s="41"/>
      <c r="Y3752" s="41"/>
    </row>
    <row r="3753" s="27" customFormat="1" ht="23" hidden="1" customHeight="1" spans="1:25">
      <c r="A3753" s="133" t="str">
        <f>IF(B3753="","",COUNTA($B$5:B3753))</f>
        <v/>
      </c>
      <c r="B3753" s="148"/>
      <c r="C3753" s="22" t="s">
        <v>49</v>
      </c>
      <c r="D3753" s="149"/>
      <c r="E3753" s="150"/>
      <c r="F3753" s="151"/>
      <c r="G3753" s="151"/>
      <c r="H3753" s="142">
        <f>IFERROR(VLOOKUP($C3753,$C$5:$H$18,6,0)+SUMIF($C$19:$C3753,$C3753,$F$19:$F3753)-SUMIF($C$19:$C3753,$C3753,$G$19:$G3753),"")</f>
        <v>81211.819999998</v>
      </c>
      <c r="I3753" s="147"/>
      <c r="J3753" s="147"/>
      <c r="K3753" s="147" t="str">
        <f t="shared" si="58"/>
        <v/>
      </c>
      <c r="L3753" s="40"/>
      <c r="M3753"/>
      <c r="N3753"/>
      <c r="O3753"/>
      <c r="P3753"/>
      <c r="Q3753"/>
      <c r="R3753"/>
      <c r="S3753"/>
      <c r="T3753"/>
      <c r="U3753"/>
      <c r="V3753"/>
      <c r="W3753" s="41"/>
      <c r="X3753" s="41"/>
      <c r="Y3753" s="41"/>
    </row>
    <row r="3754" s="27" customFormat="1" ht="23" hidden="1" customHeight="1" spans="1:25">
      <c r="A3754" s="133" t="str">
        <f>IF(B3754="","",COUNTA($B$5:B3754))</f>
        <v/>
      </c>
      <c r="B3754" s="148"/>
      <c r="C3754" s="22" t="s">
        <v>49</v>
      </c>
      <c r="D3754" s="149"/>
      <c r="E3754" s="150"/>
      <c r="F3754" s="151"/>
      <c r="G3754" s="151"/>
      <c r="H3754" s="142">
        <f>IFERROR(VLOOKUP($C3754,$C$5:$H$18,6,0)+SUMIF($C$19:$C3754,$C3754,$F$19:$F3754)-SUMIF($C$19:$C3754,$C3754,$G$19:$G3754),"")</f>
        <v>81211.819999998</v>
      </c>
      <c r="I3754" s="147"/>
      <c r="J3754" s="147"/>
      <c r="K3754" s="147" t="str">
        <f t="shared" si="58"/>
        <v/>
      </c>
      <c r="L3754" s="40"/>
      <c r="M3754"/>
      <c r="N3754"/>
      <c r="O3754"/>
      <c r="P3754"/>
      <c r="Q3754"/>
      <c r="R3754"/>
      <c r="S3754"/>
      <c r="T3754"/>
      <c r="U3754"/>
      <c r="V3754"/>
      <c r="W3754" s="41"/>
      <c r="X3754" s="41"/>
      <c r="Y3754" s="41"/>
    </row>
    <row r="3755" s="27" customFormat="1" ht="23" hidden="1" customHeight="1" spans="1:25">
      <c r="A3755" s="133" t="str">
        <f>IF(B3755="","",COUNTA($B$5:B3755))</f>
        <v/>
      </c>
      <c r="B3755" s="148"/>
      <c r="C3755" s="22" t="s">
        <v>49</v>
      </c>
      <c r="D3755" s="149"/>
      <c r="E3755" s="150"/>
      <c r="F3755" s="151"/>
      <c r="G3755" s="151"/>
      <c r="H3755" s="142">
        <f>IFERROR(VLOOKUP($C3755,$C$5:$H$18,6,0)+SUMIF($C$19:$C3755,$C3755,$F$19:$F3755)-SUMIF($C$19:$C3755,$C3755,$G$19:$G3755),"")</f>
        <v>81211.819999998</v>
      </c>
      <c r="I3755" s="147"/>
      <c r="J3755" s="147"/>
      <c r="K3755" s="147" t="str">
        <f t="shared" si="58"/>
        <v/>
      </c>
      <c r="L3755" s="40"/>
      <c r="M3755"/>
      <c r="N3755"/>
      <c r="O3755"/>
      <c r="P3755"/>
      <c r="Q3755"/>
      <c r="R3755"/>
      <c r="S3755"/>
      <c r="T3755"/>
      <c r="U3755"/>
      <c r="V3755"/>
      <c r="W3755" s="41"/>
      <c r="X3755" s="41"/>
      <c r="Y3755" s="41"/>
    </row>
    <row r="3756" s="27" customFormat="1" ht="23" hidden="1" customHeight="1" spans="1:25">
      <c r="A3756" s="133" t="str">
        <f>IF(B3756="","",COUNTA($B$5:B3756))</f>
        <v/>
      </c>
      <c r="B3756" s="148"/>
      <c r="C3756" s="22" t="s">
        <v>49</v>
      </c>
      <c r="D3756" s="149"/>
      <c r="E3756" s="150"/>
      <c r="F3756" s="151"/>
      <c r="G3756" s="151"/>
      <c r="H3756" s="142">
        <f>IFERROR(VLOOKUP($C3756,$C$5:$H$18,6,0)+SUMIF($C$19:$C3756,$C3756,$F$19:$F3756)-SUMIF($C$19:$C3756,$C3756,$G$19:$G3756),"")</f>
        <v>81211.819999998</v>
      </c>
      <c r="I3756" s="147"/>
      <c r="J3756" s="147"/>
      <c r="K3756" s="147" t="str">
        <f t="shared" si="58"/>
        <v/>
      </c>
      <c r="L3756" s="40"/>
      <c r="M3756"/>
      <c r="N3756"/>
      <c r="O3756"/>
      <c r="P3756"/>
      <c r="Q3756"/>
      <c r="R3756"/>
      <c r="S3756"/>
      <c r="T3756"/>
      <c r="U3756"/>
      <c r="V3756"/>
      <c r="W3756" s="41"/>
      <c r="X3756" s="41"/>
      <c r="Y3756" s="41"/>
    </row>
    <row r="3757" s="27" customFormat="1" ht="23" hidden="1" customHeight="1" spans="1:25">
      <c r="A3757" s="133" t="str">
        <f>IF(B3757="","",COUNTA($B$5:B3757))</f>
        <v/>
      </c>
      <c r="B3757" s="148"/>
      <c r="C3757" s="22" t="s">
        <v>49</v>
      </c>
      <c r="D3757" s="149"/>
      <c r="E3757" s="150"/>
      <c r="F3757" s="151"/>
      <c r="G3757" s="151"/>
      <c r="H3757" s="142">
        <f>IFERROR(VLOOKUP($C3757,$C$5:$H$18,6,0)+SUMIF($C$19:$C3757,$C3757,$F$19:$F3757)-SUMIF($C$19:$C3757,$C3757,$G$19:$G3757),"")</f>
        <v>81211.819999998</v>
      </c>
      <c r="I3757" s="147"/>
      <c r="J3757" s="147"/>
      <c r="K3757" s="147" t="str">
        <f t="shared" si="58"/>
        <v/>
      </c>
      <c r="L3757" s="40"/>
      <c r="M3757"/>
      <c r="N3757"/>
      <c r="O3757"/>
      <c r="P3757"/>
      <c r="Q3757"/>
      <c r="R3757"/>
      <c r="S3757"/>
      <c r="T3757"/>
      <c r="U3757"/>
      <c r="V3757"/>
      <c r="W3757" s="41"/>
      <c r="X3757" s="41"/>
      <c r="Y3757" s="41"/>
    </row>
    <row r="3758" s="27" customFormat="1" ht="23" hidden="1" customHeight="1" spans="1:25">
      <c r="A3758" s="133" t="str">
        <f>IF(B3758="","",COUNTA($B$5:B3758))</f>
        <v/>
      </c>
      <c r="B3758" s="148"/>
      <c r="C3758" s="22" t="s">
        <v>49</v>
      </c>
      <c r="D3758" s="149"/>
      <c r="E3758" s="150"/>
      <c r="F3758" s="151"/>
      <c r="G3758" s="151"/>
      <c r="H3758" s="142">
        <f>IFERROR(VLOOKUP($C3758,$C$5:$H$18,6,0)+SUMIF($C$19:$C3758,$C3758,$F$19:$F3758)-SUMIF($C$19:$C3758,$C3758,$G$19:$G3758),"")</f>
        <v>81211.819999998</v>
      </c>
      <c r="I3758" s="147"/>
      <c r="J3758" s="147"/>
      <c r="K3758" s="147" t="str">
        <f t="shared" si="58"/>
        <v/>
      </c>
      <c r="L3758" s="40"/>
      <c r="M3758"/>
      <c r="N3758"/>
      <c r="O3758"/>
      <c r="P3758"/>
      <c r="Q3758"/>
      <c r="R3758"/>
      <c r="S3758"/>
      <c r="T3758"/>
      <c r="U3758"/>
      <c r="V3758"/>
      <c r="W3758" s="41"/>
      <c r="X3758" s="41"/>
      <c r="Y3758" s="41"/>
    </row>
    <row r="3759" s="27" customFormat="1" ht="23" hidden="1" customHeight="1" spans="1:25">
      <c r="A3759" s="133" t="str">
        <f>IF(B3759="","",COUNTA($B$5:B3759))</f>
        <v/>
      </c>
      <c r="B3759" s="148"/>
      <c r="C3759" s="22" t="s">
        <v>49</v>
      </c>
      <c r="D3759" s="149"/>
      <c r="E3759" s="150"/>
      <c r="F3759" s="151"/>
      <c r="G3759" s="151"/>
      <c r="H3759" s="142">
        <f>IFERROR(VLOOKUP($C3759,$C$5:$H$18,6,0)+SUMIF($C$19:$C3759,$C3759,$F$19:$F3759)-SUMIF($C$19:$C3759,$C3759,$G$19:$G3759),"")</f>
        <v>81211.819999998</v>
      </c>
      <c r="I3759" s="147"/>
      <c r="J3759" s="147"/>
      <c r="K3759" s="147" t="str">
        <f t="shared" si="58"/>
        <v/>
      </c>
      <c r="L3759" s="40"/>
      <c r="M3759"/>
      <c r="N3759"/>
      <c r="O3759"/>
      <c r="P3759"/>
      <c r="Q3759"/>
      <c r="R3759"/>
      <c r="S3759"/>
      <c r="T3759"/>
      <c r="U3759"/>
      <c r="V3759"/>
      <c r="W3759" s="41"/>
      <c r="X3759" s="41"/>
      <c r="Y3759" s="41"/>
    </row>
    <row r="3760" s="27" customFormat="1" ht="23" hidden="1" customHeight="1" spans="1:25">
      <c r="A3760" s="133" t="str">
        <f>IF(B3760="","",COUNTA($B$5:B3760))</f>
        <v/>
      </c>
      <c r="B3760" s="148"/>
      <c r="C3760" s="22" t="s">
        <v>49</v>
      </c>
      <c r="D3760" s="149"/>
      <c r="E3760" s="150"/>
      <c r="F3760" s="151"/>
      <c r="G3760" s="151"/>
      <c r="H3760" s="142">
        <f>IFERROR(VLOOKUP($C3760,$C$5:$H$18,6,0)+SUMIF($C$19:$C3760,$C3760,$F$19:$F3760)-SUMIF($C$19:$C3760,$C3760,$G$19:$G3760),"")</f>
        <v>81211.819999998</v>
      </c>
      <c r="I3760" s="147"/>
      <c r="J3760" s="147"/>
      <c r="K3760" s="147" t="str">
        <f t="shared" si="58"/>
        <v/>
      </c>
      <c r="L3760" s="40"/>
      <c r="M3760"/>
      <c r="N3760"/>
      <c r="O3760"/>
      <c r="P3760"/>
      <c r="Q3760"/>
      <c r="R3760"/>
      <c r="S3760"/>
      <c r="T3760"/>
      <c r="U3760"/>
      <c r="V3760"/>
      <c r="W3760" s="41"/>
      <c r="X3760" s="41"/>
      <c r="Y3760" s="41"/>
    </row>
    <row r="3761" s="27" customFormat="1" ht="23" hidden="1" customHeight="1" spans="1:25">
      <c r="A3761" s="133" t="str">
        <f>IF(B3761="","",COUNTA($B$5:B3761))</f>
        <v/>
      </c>
      <c r="B3761" s="148"/>
      <c r="C3761" s="22" t="s">
        <v>49</v>
      </c>
      <c r="D3761" s="149"/>
      <c r="E3761" s="150"/>
      <c r="F3761" s="151"/>
      <c r="G3761" s="151"/>
      <c r="H3761" s="142">
        <f>IFERROR(VLOOKUP($C3761,$C$5:$H$18,6,0)+SUMIF($C$19:$C3761,$C3761,$F$19:$F3761)-SUMIF($C$19:$C3761,$C3761,$G$19:$G3761),"")</f>
        <v>81211.819999998</v>
      </c>
      <c r="I3761" s="147"/>
      <c r="J3761" s="147"/>
      <c r="K3761" s="147" t="str">
        <f t="shared" si="58"/>
        <v/>
      </c>
      <c r="L3761" s="40"/>
      <c r="M3761"/>
      <c r="N3761"/>
      <c r="O3761"/>
      <c r="P3761"/>
      <c r="Q3761"/>
      <c r="R3761"/>
      <c r="S3761"/>
      <c r="T3761"/>
      <c r="U3761"/>
      <c r="V3761"/>
      <c r="W3761" s="41"/>
      <c r="X3761" s="41"/>
      <c r="Y3761" s="41"/>
    </row>
    <row r="3762" s="27" customFormat="1" ht="23" hidden="1" customHeight="1" spans="1:25">
      <c r="A3762" s="133" t="str">
        <f>IF(B3762="","",COUNTA($B$5:B3762))</f>
        <v/>
      </c>
      <c r="B3762" s="148"/>
      <c r="C3762" s="22" t="s">
        <v>49</v>
      </c>
      <c r="D3762" s="149"/>
      <c r="E3762" s="150"/>
      <c r="F3762" s="151"/>
      <c r="G3762" s="151"/>
      <c r="H3762" s="142">
        <f>IFERROR(VLOOKUP($C3762,$C$5:$H$18,6,0)+SUMIF($C$19:$C3762,$C3762,$F$19:$F3762)-SUMIF($C$19:$C3762,$C3762,$G$19:$G3762),"")</f>
        <v>81211.819999998</v>
      </c>
      <c r="I3762" s="147"/>
      <c r="J3762" s="147"/>
      <c r="K3762" s="147" t="str">
        <f t="shared" si="58"/>
        <v/>
      </c>
      <c r="L3762" s="40"/>
      <c r="M3762"/>
      <c r="N3762"/>
      <c r="O3762"/>
      <c r="P3762"/>
      <c r="Q3762"/>
      <c r="R3762"/>
      <c r="S3762"/>
      <c r="T3762"/>
      <c r="U3762"/>
      <c r="V3762"/>
      <c r="W3762" s="41"/>
      <c r="X3762" s="41"/>
      <c r="Y3762" s="41"/>
    </row>
    <row r="3763" s="27" customFormat="1" ht="23" hidden="1" customHeight="1" spans="1:25">
      <c r="A3763" s="133" t="str">
        <f>IF(B3763="","",COUNTA($B$5:B3763))</f>
        <v/>
      </c>
      <c r="B3763" s="148"/>
      <c r="C3763" s="22" t="s">
        <v>49</v>
      </c>
      <c r="D3763" s="149"/>
      <c r="E3763" s="150"/>
      <c r="F3763" s="151"/>
      <c r="G3763" s="151"/>
      <c r="H3763" s="142">
        <f>IFERROR(VLOOKUP($C3763,$C$5:$H$18,6,0)+SUMIF($C$19:$C3763,$C3763,$F$19:$F3763)-SUMIF($C$19:$C3763,$C3763,$G$19:$G3763),"")</f>
        <v>81211.819999998</v>
      </c>
      <c r="I3763" s="147"/>
      <c r="J3763" s="147"/>
      <c r="K3763" s="147" t="str">
        <f t="shared" si="58"/>
        <v/>
      </c>
      <c r="L3763" s="40"/>
      <c r="M3763"/>
      <c r="N3763"/>
      <c r="O3763"/>
      <c r="P3763"/>
      <c r="Q3763"/>
      <c r="R3763"/>
      <c r="S3763"/>
      <c r="T3763"/>
      <c r="U3763"/>
      <c r="V3763"/>
      <c r="W3763" s="41"/>
      <c r="X3763" s="41"/>
      <c r="Y3763" s="41"/>
    </row>
    <row r="3764" s="27" customFormat="1" ht="23" hidden="1" customHeight="1" spans="1:25">
      <c r="A3764" s="133" t="str">
        <f>IF(B3764="","",COUNTA($B$5:B3764))</f>
        <v/>
      </c>
      <c r="B3764" s="148"/>
      <c r="C3764" s="22" t="s">
        <v>49</v>
      </c>
      <c r="D3764" s="149"/>
      <c r="E3764" s="150"/>
      <c r="F3764" s="151"/>
      <c r="G3764" s="151"/>
      <c r="H3764" s="142">
        <f>IFERROR(VLOOKUP($C3764,$C$5:$H$18,6,0)+SUMIF($C$19:$C3764,$C3764,$F$19:$F3764)-SUMIF($C$19:$C3764,$C3764,$G$19:$G3764),"")</f>
        <v>81211.819999998</v>
      </c>
      <c r="I3764" s="147"/>
      <c r="J3764" s="147"/>
      <c r="K3764" s="147" t="str">
        <f t="shared" si="58"/>
        <v/>
      </c>
      <c r="L3764" s="40"/>
      <c r="M3764"/>
      <c r="N3764"/>
      <c r="O3764"/>
      <c r="P3764"/>
      <c r="Q3764"/>
      <c r="R3764"/>
      <c r="S3764"/>
      <c r="T3764"/>
      <c r="U3764"/>
      <c r="V3764"/>
      <c r="W3764" s="41"/>
      <c r="X3764" s="41"/>
      <c r="Y3764" s="41"/>
    </row>
    <row r="3765" s="27" customFormat="1" ht="23" hidden="1" customHeight="1" spans="1:25">
      <c r="A3765" s="133" t="str">
        <f>IF(B3765="","",COUNTA($B$5:B3765))</f>
        <v/>
      </c>
      <c r="B3765" s="148"/>
      <c r="C3765" s="22" t="s">
        <v>49</v>
      </c>
      <c r="D3765" s="149"/>
      <c r="E3765" s="150"/>
      <c r="F3765" s="151"/>
      <c r="G3765" s="151"/>
      <c r="H3765" s="142">
        <f>IFERROR(VLOOKUP($C3765,$C$5:$H$18,6,0)+SUMIF($C$19:$C3765,$C3765,$F$19:$F3765)-SUMIF($C$19:$C3765,$C3765,$G$19:$G3765),"")</f>
        <v>81211.819999998</v>
      </c>
      <c r="I3765" s="147"/>
      <c r="J3765" s="147"/>
      <c r="K3765" s="147" t="str">
        <f t="shared" si="58"/>
        <v/>
      </c>
      <c r="L3765" s="40"/>
      <c r="M3765"/>
      <c r="N3765"/>
      <c r="O3765"/>
      <c r="P3765"/>
      <c r="Q3765"/>
      <c r="R3765"/>
      <c r="S3765"/>
      <c r="T3765"/>
      <c r="U3765"/>
      <c r="V3765"/>
      <c r="W3765" s="41"/>
      <c r="X3765" s="41"/>
      <c r="Y3765" s="41"/>
    </row>
    <row r="3766" s="27" customFormat="1" ht="23" hidden="1" customHeight="1" spans="1:25">
      <c r="A3766" s="133" t="str">
        <f>IF(B3766="","",COUNTA($B$5:B3766))</f>
        <v/>
      </c>
      <c r="B3766" s="148"/>
      <c r="C3766" s="22" t="s">
        <v>49</v>
      </c>
      <c r="D3766" s="149"/>
      <c r="E3766" s="150"/>
      <c r="F3766" s="151"/>
      <c r="G3766" s="151"/>
      <c r="H3766" s="142">
        <f>IFERROR(VLOOKUP($C3766,$C$5:$H$18,6,0)+SUMIF($C$19:$C3766,$C3766,$F$19:$F3766)-SUMIF($C$19:$C3766,$C3766,$G$19:$G3766),"")</f>
        <v>81211.819999998</v>
      </c>
      <c r="I3766" s="147"/>
      <c r="J3766" s="147"/>
      <c r="K3766" s="147" t="str">
        <f t="shared" si="58"/>
        <v/>
      </c>
      <c r="L3766" s="40"/>
      <c r="M3766"/>
      <c r="N3766"/>
      <c r="O3766"/>
      <c r="P3766"/>
      <c r="Q3766"/>
      <c r="R3766"/>
      <c r="S3766"/>
      <c r="T3766"/>
      <c r="U3766"/>
      <c r="V3766"/>
      <c r="W3766" s="41"/>
      <c r="X3766" s="41"/>
      <c r="Y3766" s="41"/>
    </row>
    <row r="3767" s="27" customFormat="1" ht="23" hidden="1" customHeight="1" spans="1:25">
      <c r="A3767" s="133" t="str">
        <f>IF(B3767="","",COUNTA($B$5:B3767))</f>
        <v/>
      </c>
      <c r="B3767" s="148"/>
      <c r="C3767" s="22" t="s">
        <v>49</v>
      </c>
      <c r="D3767" s="149"/>
      <c r="E3767" s="150"/>
      <c r="F3767" s="151"/>
      <c r="G3767" s="151"/>
      <c r="H3767" s="142">
        <f>IFERROR(VLOOKUP($C3767,$C$5:$H$18,6,0)+SUMIF($C$19:$C3767,$C3767,$F$19:$F3767)-SUMIF($C$19:$C3767,$C3767,$G$19:$G3767),"")</f>
        <v>81211.819999998</v>
      </c>
      <c r="I3767" s="147"/>
      <c r="J3767" s="147"/>
      <c r="K3767" s="147" t="str">
        <f t="shared" si="58"/>
        <v/>
      </c>
      <c r="L3767" s="40"/>
      <c r="M3767"/>
      <c r="N3767"/>
      <c r="O3767"/>
      <c r="P3767"/>
      <c r="Q3767"/>
      <c r="R3767"/>
      <c r="S3767"/>
      <c r="T3767"/>
      <c r="U3767"/>
      <c r="V3767"/>
      <c r="W3767" s="41"/>
      <c r="X3767" s="41"/>
      <c r="Y3767" s="41"/>
    </row>
    <row r="3768" s="27" customFormat="1" ht="23" hidden="1" customHeight="1" spans="1:25">
      <c r="A3768" s="133" t="str">
        <f>IF(B3768="","",COUNTA($B$5:B3768))</f>
        <v/>
      </c>
      <c r="B3768" s="148"/>
      <c r="C3768" s="22" t="s">
        <v>49</v>
      </c>
      <c r="D3768" s="149"/>
      <c r="E3768" s="150"/>
      <c r="F3768" s="151"/>
      <c r="G3768" s="151"/>
      <c r="H3768" s="142">
        <f>IFERROR(VLOOKUP($C3768,$C$5:$H$18,6,0)+SUMIF($C$19:$C3768,$C3768,$F$19:$F3768)-SUMIF($C$19:$C3768,$C3768,$G$19:$G3768),"")</f>
        <v>81211.819999998</v>
      </c>
      <c r="I3768" s="147"/>
      <c r="J3768" s="147"/>
      <c r="K3768" s="147" t="str">
        <f t="shared" si="58"/>
        <v/>
      </c>
      <c r="L3768" s="40"/>
      <c r="M3768"/>
      <c r="N3768"/>
      <c r="O3768"/>
      <c r="P3768"/>
      <c r="Q3768"/>
      <c r="R3768"/>
      <c r="S3768"/>
      <c r="T3768"/>
      <c r="U3768"/>
      <c r="V3768"/>
      <c r="W3768" s="41"/>
      <c r="X3768" s="41"/>
      <c r="Y3768" s="41"/>
    </row>
    <row r="3769" s="27" customFormat="1" ht="23" hidden="1" customHeight="1" spans="1:25">
      <c r="A3769" s="133" t="str">
        <f>IF(B3769="","",COUNTA($B$5:B3769))</f>
        <v/>
      </c>
      <c r="B3769" s="148"/>
      <c r="C3769" s="22" t="s">
        <v>49</v>
      </c>
      <c r="D3769" s="149"/>
      <c r="E3769" s="150"/>
      <c r="F3769" s="151"/>
      <c r="G3769" s="151"/>
      <c r="H3769" s="142">
        <f>IFERROR(VLOOKUP($C3769,$C$5:$H$18,6,0)+SUMIF($C$19:$C3769,$C3769,$F$19:$F3769)-SUMIF($C$19:$C3769,$C3769,$G$19:$G3769),"")</f>
        <v>81211.819999998</v>
      </c>
      <c r="I3769" s="147"/>
      <c r="J3769" s="147"/>
      <c r="K3769" s="147" t="str">
        <f t="shared" si="58"/>
        <v/>
      </c>
      <c r="L3769" s="40"/>
      <c r="M3769"/>
      <c r="N3769"/>
      <c r="O3769"/>
      <c r="P3769"/>
      <c r="Q3769"/>
      <c r="R3769"/>
      <c r="S3769"/>
      <c r="T3769"/>
      <c r="U3769"/>
      <c r="V3769"/>
      <c r="W3769" s="41"/>
      <c r="X3769" s="41"/>
      <c r="Y3769" s="41"/>
    </row>
    <row r="3770" s="27" customFormat="1" ht="23" hidden="1" customHeight="1" spans="1:25">
      <c r="A3770" s="133" t="str">
        <f>IF(B3770="","",COUNTA($B$5:B3770))</f>
        <v/>
      </c>
      <c r="B3770" s="148"/>
      <c r="C3770" s="22" t="s">
        <v>49</v>
      </c>
      <c r="D3770" s="149"/>
      <c r="E3770" s="150"/>
      <c r="F3770" s="151"/>
      <c r="G3770" s="151"/>
      <c r="H3770" s="142">
        <f>IFERROR(VLOOKUP($C3770,$C$5:$H$18,6,0)+SUMIF($C$19:$C3770,$C3770,$F$19:$F3770)-SUMIF($C$19:$C3770,$C3770,$G$19:$G3770),"")</f>
        <v>81211.819999998</v>
      </c>
      <c r="I3770" s="147"/>
      <c r="J3770" s="147"/>
      <c r="K3770" s="147" t="str">
        <f t="shared" si="58"/>
        <v/>
      </c>
      <c r="L3770" s="40"/>
      <c r="M3770"/>
      <c r="N3770"/>
      <c r="O3770"/>
      <c r="P3770"/>
      <c r="Q3770"/>
      <c r="R3770"/>
      <c r="S3770"/>
      <c r="T3770"/>
      <c r="U3770"/>
      <c r="V3770"/>
      <c r="W3770" s="41"/>
      <c r="X3770" s="41"/>
      <c r="Y3770" s="41"/>
    </row>
    <row r="3771" s="27" customFormat="1" ht="23" hidden="1" customHeight="1" spans="1:25">
      <c r="A3771" s="133" t="str">
        <f>IF(B3771="","",COUNTA($B$5:B3771))</f>
        <v/>
      </c>
      <c r="B3771" s="148"/>
      <c r="C3771" s="22" t="s">
        <v>49</v>
      </c>
      <c r="D3771" s="149"/>
      <c r="E3771" s="150"/>
      <c r="F3771" s="151"/>
      <c r="G3771" s="151"/>
      <c r="H3771" s="142">
        <f>IFERROR(VLOOKUP($C3771,$C$5:$H$18,6,0)+SUMIF($C$19:$C3771,$C3771,$F$19:$F3771)-SUMIF($C$19:$C3771,$C3771,$G$19:$G3771),"")</f>
        <v>81211.819999998</v>
      </c>
      <c r="I3771" s="147"/>
      <c r="J3771" s="147"/>
      <c r="K3771" s="147" t="str">
        <f t="shared" si="58"/>
        <v/>
      </c>
      <c r="L3771" s="40"/>
      <c r="M3771"/>
      <c r="N3771"/>
      <c r="O3771"/>
      <c r="P3771"/>
      <c r="Q3771"/>
      <c r="R3771"/>
      <c r="S3771"/>
      <c r="T3771"/>
      <c r="U3771"/>
      <c r="V3771"/>
      <c r="W3771" s="41"/>
      <c r="X3771" s="41"/>
      <c r="Y3771" s="41"/>
    </row>
    <row r="3772" s="27" customFormat="1" ht="23" hidden="1" customHeight="1" spans="1:25">
      <c r="A3772" s="133" t="str">
        <f>IF(B3772="","",COUNTA($B$5:B3772))</f>
        <v/>
      </c>
      <c r="B3772" s="148"/>
      <c r="C3772" s="22" t="s">
        <v>49</v>
      </c>
      <c r="D3772" s="149"/>
      <c r="E3772" s="150"/>
      <c r="F3772" s="151"/>
      <c r="G3772" s="151"/>
      <c r="H3772" s="142">
        <f>IFERROR(VLOOKUP($C3772,$C$5:$H$18,6,0)+SUMIF($C$19:$C3772,$C3772,$F$19:$F3772)-SUMIF($C$19:$C3772,$C3772,$G$19:$G3772),"")</f>
        <v>81211.819999998</v>
      </c>
      <c r="I3772" s="147"/>
      <c r="J3772" s="147"/>
      <c r="K3772" s="147" t="str">
        <f t="shared" si="58"/>
        <v/>
      </c>
      <c r="L3772" s="40"/>
      <c r="M3772"/>
      <c r="N3772"/>
      <c r="O3772"/>
      <c r="P3772"/>
      <c r="Q3772"/>
      <c r="R3772"/>
      <c r="S3772"/>
      <c r="T3772"/>
      <c r="U3772"/>
      <c r="V3772"/>
      <c r="W3772" s="41"/>
      <c r="X3772" s="41"/>
      <c r="Y3772" s="41"/>
    </row>
    <row r="3773" s="27" customFormat="1" ht="23" hidden="1" customHeight="1" spans="1:25">
      <c r="A3773" s="133" t="str">
        <f>IF(B3773="","",COUNTA($B$5:B3773))</f>
        <v/>
      </c>
      <c r="B3773" s="148"/>
      <c r="C3773" s="22" t="s">
        <v>49</v>
      </c>
      <c r="D3773" s="149"/>
      <c r="E3773" s="150"/>
      <c r="F3773" s="151"/>
      <c r="G3773" s="151"/>
      <c r="H3773" s="142">
        <f>IFERROR(VLOOKUP($C3773,$C$5:$H$18,6,0)+SUMIF($C$19:$C3773,$C3773,$F$19:$F3773)-SUMIF($C$19:$C3773,$C3773,$G$19:$G3773),"")</f>
        <v>81211.819999998</v>
      </c>
      <c r="I3773" s="147"/>
      <c r="J3773" s="147"/>
      <c r="K3773" s="147" t="str">
        <f t="shared" si="58"/>
        <v/>
      </c>
      <c r="L3773" s="40"/>
      <c r="M3773"/>
      <c r="N3773"/>
      <c r="O3773"/>
      <c r="P3773"/>
      <c r="Q3773"/>
      <c r="R3773"/>
      <c r="S3773"/>
      <c r="T3773"/>
      <c r="U3773"/>
      <c r="V3773"/>
      <c r="W3773" s="41"/>
      <c r="X3773" s="41"/>
      <c r="Y3773" s="41"/>
    </row>
    <row r="3774" s="27" customFormat="1" ht="23" hidden="1" customHeight="1" spans="1:25">
      <c r="A3774" s="133" t="str">
        <f>IF(B3774="","",COUNTA($B$5:B3774))</f>
        <v/>
      </c>
      <c r="B3774" s="148"/>
      <c r="C3774" s="22" t="s">
        <v>49</v>
      </c>
      <c r="D3774" s="149"/>
      <c r="E3774" s="150"/>
      <c r="F3774" s="151"/>
      <c r="G3774" s="151"/>
      <c r="H3774" s="142">
        <f>IFERROR(VLOOKUP($C3774,$C$5:$H$18,6,0)+SUMIF($C$19:$C3774,$C3774,$F$19:$F3774)-SUMIF($C$19:$C3774,$C3774,$G$19:$G3774),"")</f>
        <v>81211.819999998</v>
      </c>
      <c r="I3774" s="147"/>
      <c r="J3774" s="147"/>
      <c r="K3774" s="147" t="str">
        <f t="shared" si="58"/>
        <v/>
      </c>
      <c r="L3774" s="40"/>
      <c r="M3774"/>
      <c r="N3774"/>
      <c r="O3774"/>
      <c r="P3774"/>
      <c r="Q3774"/>
      <c r="R3774"/>
      <c r="S3774"/>
      <c r="T3774"/>
      <c r="U3774"/>
      <c r="V3774"/>
      <c r="W3774" s="41"/>
      <c r="X3774" s="41"/>
      <c r="Y3774" s="41"/>
    </row>
    <row r="3775" s="27" customFormat="1" ht="23" hidden="1" customHeight="1" spans="1:25">
      <c r="A3775" s="133" t="str">
        <f>IF(B3775="","",COUNTA($B$5:B3775))</f>
        <v/>
      </c>
      <c r="B3775" s="148"/>
      <c r="C3775" s="22" t="s">
        <v>49</v>
      </c>
      <c r="D3775" s="149"/>
      <c r="E3775" s="150"/>
      <c r="F3775" s="151"/>
      <c r="G3775" s="151"/>
      <c r="H3775" s="142">
        <f>IFERROR(VLOOKUP($C3775,$C$5:$H$18,6,0)+SUMIF($C$19:$C3775,$C3775,$F$19:$F3775)-SUMIF($C$19:$C3775,$C3775,$G$19:$G3775),"")</f>
        <v>81211.819999998</v>
      </c>
      <c r="I3775" s="147"/>
      <c r="J3775" s="147"/>
      <c r="K3775" s="147" t="str">
        <f t="shared" si="58"/>
        <v/>
      </c>
      <c r="L3775" s="40"/>
      <c r="M3775"/>
      <c r="N3775"/>
      <c r="O3775"/>
      <c r="P3775"/>
      <c r="Q3775"/>
      <c r="R3775"/>
      <c r="S3775"/>
      <c r="T3775"/>
      <c r="U3775"/>
      <c r="V3775"/>
      <c r="W3775" s="41"/>
      <c r="X3775" s="41"/>
      <c r="Y3775" s="41"/>
    </row>
    <row r="3776" s="27" customFormat="1" ht="23" hidden="1" customHeight="1" spans="1:25">
      <c r="A3776" s="133" t="str">
        <f>IF(B3776="","",COUNTA($B$5:B3776))</f>
        <v/>
      </c>
      <c r="B3776" s="148"/>
      <c r="C3776" s="22" t="s">
        <v>49</v>
      </c>
      <c r="D3776" s="149"/>
      <c r="E3776" s="150"/>
      <c r="F3776" s="151"/>
      <c r="G3776" s="151"/>
      <c r="H3776" s="142">
        <f>IFERROR(VLOOKUP($C3776,$C$5:$H$18,6,0)+SUMIF($C$19:$C3776,$C3776,$F$19:$F3776)-SUMIF($C$19:$C3776,$C3776,$G$19:$G3776),"")</f>
        <v>81211.819999998</v>
      </c>
      <c r="I3776" s="147"/>
      <c r="J3776" s="147"/>
      <c r="K3776" s="147" t="str">
        <f t="shared" si="58"/>
        <v/>
      </c>
      <c r="L3776" s="40"/>
      <c r="M3776"/>
      <c r="N3776"/>
      <c r="O3776"/>
      <c r="P3776"/>
      <c r="Q3776"/>
      <c r="R3776"/>
      <c r="S3776"/>
      <c r="T3776"/>
      <c r="U3776"/>
      <c r="V3776"/>
      <c r="W3776" s="41"/>
      <c r="X3776" s="41"/>
      <c r="Y3776" s="41"/>
    </row>
    <row r="3777" s="27" customFormat="1" ht="23" hidden="1" customHeight="1" spans="1:25">
      <c r="A3777" s="133" t="str">
        <f>IF(B3777="","",COUNTA($B$5:B3777))</f>
        <v/>
      </c>
      <c r="B3777" s="148"/>
      <c r="C3777" s="22" t="s">
        <v>49</v>
      </c>
      <c r="D3777" s="149"/>
      <c r="E3777" s="150"/>
      <c r="F3777" s="151"/>
      <c r="G3777" s="151"/>
      <c r="H3777" s="142">
        <f>IFERROR(VLOOKUP($C3777,$C$5:$H$18,6,0)+SUMIF($C$19:$C3777,$C3777,$F$19:$F3777)-SUMIF($C$19:$C3777,$C3777,$G$19:$G3777),"")</f>
        <v>81211.819999998</v>
      </c>
      <c r="I3777" s="147"/>
      <c r="J3777" s="147"/>
      <c r="K3777" s="147" t="str">
        <f t="shared" si="58"/>
        <v/>
      </c>
      <c r="L3777" s="40"/>
      <c r="M3777"/>
      <c r="N3777"/>
      <c r="O3777"/>
      <c r="P3777"/>
      <c r="Q3777"/>
      <c r="R3777"/>
      <c r="S3777"/>
      <c r="T3777"/>
      <c r="U3777"/>
      <c r="V3777"/>
      <c r="W3777" s="41"/>
      <c r="X3777" s="41"/>
      <c r="Y3777" s="41"/>
    </row>
    <row r="3778" s="27" customFormat="1" ht="23" hidden="1" customHeight="1" spans="1:25">
      <c r="A3778" s="133" t="str">
        <f>IF(B3778="","",COUNTA($B$5:B3778))</f>
        <v/>
      </c>
      <c r="B3778" s="148"/>
      <c r="C3778" s="22" t="s">
        <v>49</v>
      </c>
      <c r="D3778" s="149"/>
      <c r="E3778" s="150"/>
      <c r="F3778" s="151"/>
      <c r="G3778" s="151"/>
      <c r="H3778" s="142">
        <f>IFERROR(VLOOKUP($C3778,$C$5:$H$18,6,0)+SUMIF($C$19:$C3778,$C3778,$F$19:$F3778)-SUMIF($C$19:$C3778,$C3778,$G$19:$G3778),"")</f>
        <v>81211.819999998</v>
      </c>
      <c r="I3778" s="147"/>
      <c r="J3778" s="147"/>
      <c r="K3778" s="147" t="str">
        <f t="shared" si="58"/>
        <v/>
      </c>
      <c r="L3778" s="40"/>
      <c r="M3778"/>
      <c r="N3778"/>
      <c r="O3778"/>
      <c r="P3778"/>
      <c r="Q3778"/>
      <c r="R3778"/>
      <c r="S3778"/>
      <c r="T3778"/>
      <c r="U3778"/>
      <c r="V3778"/>
      <c r="W3778" s="41"/>
      <c r="X3778" s="41"/>
      <c r="Y3778" s="41"/>
    </row>
    <row r="3779" s="27" customFormat="1" ht="23" hidden="1" customHeight="1" spans="1:25">
      <c r="A3779" s="133" t="str">
        <f>IF(B3779="","",COUNTA($B$5:B3779))</f>
        <v/>
      </c>
      <c r="B3779" s="148"/>
      <c r="C3779" s="22" t="s">
        <v>49</v>
      </c>
      <c r="D3779" s="149"/>
      <c r="E3779" s="150"/>
      <c r="F3779" s="151"/>
      <c r="G3779" s="151"/>
      <c r="H3779" s="142">
        <f>IFERROR(VLOOKUP($C3779,$C$5:$H$18,6,0)+SUMIF($C$19:$C3779,$C3779,$F$19:$F3779)-SUMIF($C$19:$C3779,$C3779,$G$19:$G3779),"")</f>
        <v>81211.819999998</v>
      </c>
      <c r="I3779" s="147"/>
      <c r="J3779" s="147"/>
      <c r="K3779" s="147" t="str">
        <f t="shared" si="58"/>
        <v/>
      </c>
      <c r="L3779" s="40"/>
      <c r="M3779"/>
      <c r="N3779"/>
      <c r="O3779"/>
      <c r="P3779"/>
      <c r="Q3779"/>
      <c r="R3779"/>
      <c r="S3779"/>
      <c r="T3779"/>
      <c r="U3779"/>
      <c r="V3779"/>
      <c r="W3779" s="41"/>
      <c r="X3779" s="41"/>
      <c r="Y3779" s="41"/>
    </row>
    <row r="3780" s="27" customFormat="1" ht="23" hidden="1" customHeight="1" spans="1:25">
      <c r="A3780" s="133" t="str">
        <f>IF(B3780="","",COUNTA($B$5:B3780))</f>
        <v/>
      </c>
      <c r="B3780" s="148"/>
      <c r="C3780" s="22" t="s">
        <v>49</v>
      </c>
      <c r="D3780" s="149"/>
      <c r="E3780" s="150"/>
      <c r="F3780" s="151"/>
      <c r="G3780" s="151"/>
      <c r="H3780" s="142">
        <f>IFERROR(VLOOKUP($C3780,$C$5:$H$18,6,0)+SUMIF($C$19:$C3780,$C3780,$F$19:$F3780)-SUMIF($C$19:$C3780,$C3780,$G$19:$G3780),"")</f>
        <v>81211.819999998</v>
      </c>
      <c r="I3780" s="147"/>
      <c r="J3780" s="147"/>
      <c r="K3780" s="147" t="str">
        <f t="shared" si="58"/>
        <v/>
      </c>
      <c r="L3780" s="40"/>
      <c r="M3780"/>
      <c r="N3780"/>
      <c r="O3780"/>
      <c r="P3780"/>
      <c r="Q3780"/>
      <c r="R3780"/>
      <c r="S3780"/>
      <c r="T3780"/>
      <c r="U3780"/>
      <c r="V3780"/>
      <c r="W3780" s="41"/>
      <c r="X3780" s="41"/>
      <c r="Y3780" s="41"/>
    </row>
    <row r="3781" s="27" customFormat="1" ht="23" hidden="1" customHeight="1" spans="1:25">
      <c r="A3781" s="133" t="str">
        <f>IF(B3781="","",COUNTA($B$5:B3781))</f>
        <v/>
      </c>
      <c r="B3781" s="148"/>
      <c r="C3781" s="22" t="s">
        <v>49</v>
      </c>
      <c r="D3781" s="149"/>
      <c r="E3781" s="150"/>
      <c r="F3781" s="151"/>
      <c r="G3781" s="151"/>
      <c r="H3781" s="142">
        <f>IFERROR(VLOOKUP($C3781,$C$5:$H$18,6,0)+SUMIF($C$19:$C3781,$C3781,$F$19:$F3781)-SUMIF($C$19:$C3781,$C3781,$G$19:$G3781),"")</f>
        <v>81211.819999998</v>
      </c>
      <c r="I3781" s="147"/>
      <c r="J3781" s="147"/>
      <c r="K3781" s="147" t="str">
        <f t="shared" ref="K3781:K3844" si="59">IF($B3781="","",--TEXT($B3781,"yyyymm"))</f>
        <v/>
      </c>
      <c r="L3781" s="40"/>
      <c r="M3781"/>
      <c r="N3781"/>
      <c r="O3781"/>
      <c r="P3781"/>
      <c r="Q3781"/>
      <c r="R3781"/>
      <c r="S3781"/>
      <c r="T3781"/>
      <c r="U3781"/>
      <c r="V3781"/>
      <c r="W3781" s="41"/>
      <c r="X3781" s="41"/>
      <c r="Y3781" s="41"/>
    </row>
    <row r="3782" s="27" customFormat="1" ht="23" hidden="1" customHeight="1" spans="1:25">
      <c r="A3782" s="133" t="str">
        <f>IF(B3782="","",COUNTA($B$5:B3782))</f>
        <v/>
      </c>
      <c r="B3782" s="148"/>
      <c r="C3782" s="22" t="s">
        <v>49</v>
      </c>
      <c r="D3782" s="149"/>
      <c r="E3782" s="150"/>
      <c r="F3782" s="151"/>
      <c r="G3782" s="151"/>
      <c r="H3782" s="142">
        <f>IFERROR(VLOOKUP($C3782,$C$5:$H$18,6,0)+SUMIF($C$19:$C3782,$C3782,$F$19:$F3782)-SUMIF($C$19:$C3782,$C3782,$G$19:$G3782),"")</f>
        <v>81211.819999998</v>
      </c>
      <c r="I3782" s="147"/>
      <c r="J3782" s="147"/>
      <c r="K3782" s="147" t="str">
        <f t="shared" si="59"/>
        <v/>
      </c>
      <c r="L3782" s="40"/>
      <c r="M3782"/>
      <c r="N3782"/>
      <c r="O3782"/>
      <c r="P3782"/>
      <c r="Q3782"/>
      <c r="R3782"/>
      <c r="S3782"/>
      <c r="T3782"/>
      <c r="U3782"/>
      <c r="V3782"/>
      <c r="W3782" s="41"/>
      <c r="X3782" s="41"/>
      <c r="Y3782" s="41"/>
    </row>
    <row r="3783" s="27" customFormat="1" ht="23" hidden="1" customHeight="1" spans="1:25">
      <c r="A3783" s="133" t="str">
        <f>IF(B3783="","",COUNTA($B$5:B3783))</f>
        <v/>
      </c>
      <c r="B3783" s="148"/>
      <c r="C3783" s="22" t="s">
        <v>49</v>
      </c>
      <c r="D3783" s="149"/>
      <c r="E3783" s="150"/>
      <c r="F3783" s="151"/>
      <c r="G3783" s="151"/>
      <c r="H3783" s="142">
        <f>IFERROR(VLOOKUP($C3783,$C$5:$H$18,6,0)+SUMIF($C$19:$C3783,$C3783,$F$19:$F3783)-SUMIF($C$19:$C3783,$C3783,$G$19:$G3783),"")</f>
        <v>81211.819999998</v>
      </c>
      <c r="I3783" s="147"/>
      <c r="J3783" s="147"/>
      <c r="K3783" s="147" t="str">
        <f t="shared" si="59"/>
        <v/>
      </c>
      <c r="L3783" s="40"/>
      <c r="M3783"/>
      <c r="N3783"/>
      <c r="O3783"/>
      <c r="P3783"/>
      <c r="Q3783"/>
      <c r="R3783"/>
      <c r="S3783"/>
      <c r="T3783"/>
      <c r="U3783"/>
      <c r="V3783"/>
      <c r="W3783" s="41"/>
      <c r="X3783" s="41"/>
      <c r="Y3783" s="41"/>
    </row>
    <row r="3784" s="27" customFormat="1" ht="23" hidden="1" customHeight="1" spans="1:25">
      <c r="A3784" s="133" t="str">
        <f>IF(B3784="","",COUNTA($B$5:B3784))</f>
        <v/>
      </c>
      <c r="B3784" s="148"/>
      <c r="C3784" s="22" t="s">
        <v>49</v>
      </c>
      <c r="D3784" s="149"/>
      <c r="E3784" s="150"/>
      <c r="F3784" s="151"/>
      <c r="G3784" s="151"/>
      <c r="H3784" s="142">
        <f>IFERROR(VLOOKUP($C3784,$C$5:$H$18,6,0)+SUMIF($C$19:$C3784,$C3784,$F$19:$F3784)-SUMIF($C$19:$C3784,$C3784,$G$19:$G3784),"")</f>
        <v>81211.819999998</v>
      </c>
      <c r="I3784" s="147"/>
      <c r="J3784" s="147"/>
      <c r="K3784" s="147" t="str">
        <f t="shared" si="59"/>
        <v/>
      </c>
      <c r="L3784" s="40"/>
      <c r="M3784"/>
      <c r="N3784"/>
      <c r="O3784"/>
      <c r="P3784"/>
      <c r="Q3784"/>
      <c r="R3784"/>
      <c r="S3784"/>
      <c r="T3784"/>
      <c r="U3784"/>
      <c r="V3784"/>
      <c r="W3784" s="41"/>
      <c r="X3784" s="41"/>
      <c r="Y3784" s="41"/>
    </row>
    <row r="3785" s="27" customFormat="1" ht="23" hidden="1" customHeight="1" spans="1:25">
      <c r="A3785" s="133" t="str">
        <f>IF(B3785="","",COUNTA($B$5:B3785))</f>
        <v/>
      </c>
      <c r="B3785" s="148"/>
      <c r="C3785" s="22" t="s">
        <v>49</v>
      </c>
      <c r="D3785" s="149"/>
      <c r="E3785" s="150"/>
      <c r="F3785" s="151"/>
      <c r="G3785" s="151"/>
      <c r="H3785" s="142">
        <f>IFERROR(VLOOKUP($C3785,$C$5:$H$18,6,0)+SUMIF($C$19:$C3785,$C3785,$F$19:$F3785)-SUMIF($C$19:$C3785,$C3785,$G$19:$G3785),"")</f>
        <v>81211.819999998</v>
      </c>
      <c r="I3785" s="147"/>
      <c r="J3785" s="147"/>
      <c r="K3785" s="147" t="str">
        <f t="shared" si="59"/>
        <v/>
      </c>
      <c r="L3785" s="40"/>
      <c r="M3785"/>
      <c r="N3785"/>
      <c r="O3785"/>
      <c r="P3785"/>
      <c r="Q3785"/>
      <c r="R3785"/>
      <c r="S3785"/>
      <c r="T3785"/>
      <c r="U3785"/>
      <c r="V3785"/>
      <c r="W3785" s="41"/>
      <c r="X3785" s="41"/>
      <c r="Y3785" s="41"/>
    </row>
    <row r="3786" s="27" customFormat="1" ht="23" hidden="1" customHeight="1" spans="1:25">
      <c r="A3786" s="133" t="str">
        <f>IF(B3786="","",COUNTA($B$5:B3786))</f>
        <v/>
      </c>
      <c r="B3786" s="148"/>
      <c r="C3786" s="22" t="s">
        <v>49</v>
      </c>
      <c r="D3786" s="149"/>
      <c r="E3786" s="150"/>
      <c r="F3786" s="151"/>
      <c r="G3786" s="151"/>
      <c r="H3786" s="142">
        <f>IFERROR(VLOOKUP($C3786,$C$5:$H$18,6,0)+SUMIF($C$19:$C3786,$C3786,$F$19:$F3786)-SUMIF($C$19:$C3786,$C3786,$G$19:$G3786),"")</f>
        <v>81211.819999998</v>
      </c>
      <c r="I3786" s="147"/>
      <c r="J3786" s="147"/>
      <c r="K3786" s="147" t="str">
        <f t="shared" si="59"/>
        <v/>
      </c>
      <c r="L3786" s="40"/>
      <c r="M3786"/>
      <c r="N3786"/>
      <c r="O3786"/>
      <c r="P3786"/>
      <c r="Q3786"/>
      <c r="R3786"/>
      <c r="S3786"/>
      <c r="T3786"/>
      <c r="U3786"/>
      <c r="V3786"/>
      <c r="W3786" s="41"/>
      <c r="X3786" s="41"/>
      <c r="Y3786" s="41"/>
    </row>
    <row r="3787" s="27" customFormat="1" ht="23" hidden="1" customHeight="1" spans="1:25">
      <c r="A3787" s="133" t="str">
        <f>IF(B3787="","",COUNTA($B$5:B3787))</f>
        <v/>
      </c>
      <c r="B3787" s="148"/>
      <c r="C3787" s="22" t="s">
        <v>49</v>
      </c>
      <c r="D3787" s="149"/>
      <c r="E3787" s="150"/>
      <c r="F3787" s="151"/>
      <c r="G3787" s="151"/>
      <c r="H3787" s="142">
        <f>IFERROR(VLOOKUP($C3787,$C$5:$H$18,6,0)+SUMIF($C$19:$C3787,$C3787,$F$19:$F3787)-SUMIF($C$19:$C3787,$C3787,$G$19:$G3787),"")</f>
        <v>81211.819999998</v>
      </c>
      <c r="I3787" s="147"/>
      <c r="J3787" s="147"/>
      <c r="K3787" s="147" t="str">
        <f t="shared" si="59"/>
        <v/>
      </c>
      <c r="L3787" s="40"/>
      <c r="M3787"/>
      <c r="N3787"/>
      <c r="O3787"/>
      <c r="P3787"/>
      <c r="Q3787"/>
      <c r="R3787"/>
      <c r="S3787"/>
      <c r="T3787"/>
      <c r="U3787"/>
      <c r="V3787"/>
      <c r="W3787" s="41"/>
      <c r="X3787" s="41"/>
      <c r="Y3787" s="41"/>
    </row>
    <row r="3788" s="27" customFormat="1" ht="23" hidden="1" customHeight="1" spans="1:25">
      <c r="A3788" s="133" t="str">
        <f>IF(B3788="","",COUNTA($B$5:B3788))</f>
        <v/>
      </c>
      <c r="B3788" s="148"/>
      <c r="C3788" s="22" t="s">
        <v>49</v>
      </c>
      <c r="D3788" s="149"/>
      <c r="E3788" s="150"/>
      <c r="F3788" s="151"/>
      <c r="G3788" s="151"/>
      <c r="H3788" s="142">
        <f>IFERROR(VLOOKUP($C3788,$C$5:$H$18,6,0)+SUMIF($C$19:$C3788,$C3788,$F$19:$F3788)-SUMIF($C$19:$C3788,$C3788,$G$19:$G3788),"")</f>
        <v>81211.819999998</v>
      </c>
      <c r="I3788" s="147"/>
      <c r="J3788" s="147"/>
      <c r="K3788" s="147" t="str">
        <f t="shared" si="59"/>
        <v/>
      </c>
      <c r="L3788" s="40"/>
      <c r="M3788"/>
      <c r="N3788"/>
      <c r="O3788"/>
      <c r="P3788"/>
      <c r="Q3788"/>
      <c r="R3788"/>
      <c r="S3788"/>
      <c r="T3788"/>
      <c r="U3788"/>
      <c r="V3788"/>
      <c r="W3788" s="41"/>
      <c r="X3788" s="41"/>
      <c r="Y3788" s="41"/>
    </row>
    <row r="3789" s="27" customFormat="1" ht="23" hidden="1" customHeight="1" spans="1:25">
      <c r="A3789" s="133" t="str">
        <f>IF(B3789="","",COUNTA($B$5:B3789))</f>
        <v/>
      </c>
      <c r="B3789" s="148"/>
      <c r="C3789" s="22" t="s">
        <v>49</v>
      </c>
      <c r="D3789" s="149"/>
      <c r="E3789" s="150"/>
      <c r="F3789" s="151"/>
      <c r="G3789" s="151"/>
      <c r="H3789" s="142">
        <f>IFERROR(VLOOKUP($C3789,$C$5:$H$18,6,0)+SUMIF($C$19:$C3789,$C3789,$F$19:$F3789)-SUMIF($C$19:$C3789,$C3789,$G$19:$G3789),"")</f>
        <v>81211.819999998</v>
      </c>
      <c r="I3789" s="147"/>
      <c r="J3789" s="147"/>
      <c r="K3789" s="147" t="str">
        <f t="shared" si="59"/>
        <v/>
      </c>
      <c r="L3789" s="40"/>
      <c r="M3789"/>
      <c r="N3789"/>
      <c r="O3789"/>
      <c r="P3789"/>
      <c r="Q3789"/>
      <c r="R3789"/>
      <c r="S3789"/>
      <c r="T3789"/>
      <c r="U3789"/>
      <c r="V3789"/>
      <c r="W3789" s="41"/>
      <c r="X3789" s="41"/>
      <c r="Y3789" s="41"/>
    </row>
    <row r="3790" s="27" customFormat="1" ht="23" hidden="1" customHeight="1" spans="1:25">
      <c r="A3790" s="133" t="str">
        <f>IF(B3790="","",COUNTA($B$5:B3790))</f>
        <v/>
      </c>
      <c r="B3790" s="148"/>
      <c r="C3790" s="22" t="s">
        <v>49</v>
      </c>
      <c r="D3790" s="149"/>
      <c r="E3790" s="150"/>
      <c r="F3790" s="151"/>
      <c r="G3790" s="151"/>
      <c r="H3790" s="142">
        <f>IFERROR(VLOOKUP($C3790,$C$5:$H$18,6,0)+SUMIF($C$19:$C3790,$C3790,$F$19:$F3790)-SUMIF($C$19:$C3790,$C3790,$G$19:$G3790),"")</f>
        <v>81211.819999998</v>
      </c>
      <c r="I3790" s="147"/>
      <c r="J3790" s="147"/>
      <c r="K3790" s="147" t="str">
        <f t="shared" si="59"/>
        <v/>
      </c>
      <c r="L3790" s="40"/>
      <c r="M3790"/>
      <c r="N3790"/>
      <c r="O3790"/>
      <c r="P3790"/>
      <c r="Q3790"/>
      <c r="R3790"/>
      <c r="S3790"/>
      <c r="T3790"/>
      <c r="U3790"/>
      <c r="V3790"/>
      <c r="W3790" s="41"/>
      <c r="X3790" s="41"/>
      <c r="Y3790" s="41"/>
    </row>
    <row r="3791" s="27" customFormat="1" ht="23" hidden="1" customHeight="1" spans="1:25">
      <c r="A3791" s="133" t="str">
        <f>IF(B3791="","",COUNTA($B$5:B3791))</f>
        <v/>
      </c>
      <c r="B3791" s="148"/>
      <c r="C3791" s="22" t="s">
        <v>49</v>
      </c>
      <c r="D3791" s="149"/>
      <c r="E3791" s="150"/>
      <c r="F3791" s="151"/>
      <c r="G3791" s="151"/>
      <c r="H3791" s="142">
        <f>IFERROR(VLOOKUP($C3791,$C$5:$H$18,6,0)+SUMIF($C$19:$C3791,$C3791,$F$19:$F3791)-SUMIF($C$19:$C3791,$C3791,$G$19:$G3791),"")</f>
        <v>81211.819999998</v>
      </c>
      <c r="I3791" s="147"/>
      <c r="J3791" s="147"/>
      <c r="K3791" s="147" t="str">
        <f t="shared" si="59"/>
        <v/>
      </c>
      <c r="L3791" s="40"/>
      <c r="M3791"/>
      <c r="N3791"/>
      <c r="O3791"/>
      <c r="P3791"/>
      <c r="Q3791"/>
      <c r="R3791"/>
      <c r="S3791"/>
      <c r="T3791"/>
      <c r="U3791"/>
      <c r="V3791"/>
      <c r="W3791" s="41"/>
      <c r="X3791" s="41"/>
      <c r="Y3791" s="41"/>
    </row>
    <row r="3792" s="27" customFormat="1" ht="23" hidden="1" customHeight="1" spans="1:25">
      <c r="A3792" s="133" t="str">
        <f>IF(B3792="","",COUNTA($B$5:B3792))</f>
        <v/>
      </c>
      <c r="B3792" s="148"/>
      <c r="C3792" s="22" t="s">
        <v>49</v>
      </c>
      <c r="D3792" s="149"/>
      <c r="E3792" s="150"/>
      <c r="F3792" s="151"/>
      <c r="G3792" s="151"/>
      <c r="H3792" s="142">
        <f>IFERROR(VLOOKUP($C3792,$C$5:$H$18,6,0)+SUMIF($C$19:$C3792,$C3792,$F$19:$F3792)-SUMIF($C$19:$C3792,$C3792,$G$19:$G3792),"")</f>
        <v>81211.819999998</v>
      </c>
      <c r="I3792" s="147"/>
      <c r="J3792" s="147"/>
      <c r="K3792" s="147" t="str">
        <f t="shared" si="59"/>
        <v/>
      </c>
      <c r="L3792" s="40"/>
      <c r="M3792"/>
      <c r="N3792"/>
      <c r="O3792"/>
      <c r="P3792"/>
      <c r="Q3792"/>
      <c r="R3792"/>
      <c r="S3792"/>
      <c r="T3792"/>
      <c r="U3792"/>
      <c r="V3792"/>
      <c r="W3792" s="41"/>
      <c r="X3792" s="41"/>
      <c r="Y3792" s="41"/>
    </row>
    <row r="3793" s="27" customFormat="1" ht="23" hidden="1" customHeight="1" spans="1:25">
      <c r="A3793" s="133" t="str">
        <f>IF(B3793="","",COUNTA($B$5:B3793))</f>
        <v/>
      </c>
      <c r="B3793" s="148"/>
      <c r="C3793" s="22" t="s">
        <v>49</v>
      </c>
      <c r="D3793" s="149"/>
      <c r="E3793" s="150"/>
      <c r="F3793" s="151"/>
      <c r="G3793" s="151"/>
      <c r="H3793" s="142">
        <f>IFERROR(VLOOKUP($C3793,$C$5:$H$18,6,0)+SUMIF($C$19:$C3793,$C3793,$F$19:$F3793)-SUMIF($C$19:$C3793,$C3793,$G$19:$G3793),"")</f>
        <v>81211.819999998</v>
      </c>
      <c r="I3793" s="147"/>
      <c r="J3793" s="147"/>
      <c r="K3793" s="147" t="str">
        <f t="shared" si="59"/>
        <v/>
      </c>
      <c r="L3793" s="40"/>
      <c r="M3793"/>
      <c r="N3793"/>
      <c r="O3793"/>
      <c r="P3793"/>
      <c r="Q3793"/>
      <c r="R3793"/>
      <c r="S3793"/>
      <c r="T3793"/>
      <c r="U3793"/>
      <c r="V3793"/>
      <c r="W3793" s="41"/>
      <c r="X3793" s="41"/>
      <c r="Y3793" s="41"/>
    </row>
    <row r="3794" s="27" customFormat="1" ht="23" hidden="1" customHeight="1" spans="1:25">
      <c r="A3794" s="133" t="str">
        <f>IF(B3794="","",COUNTA($B$5:B3794))</f>
        <v/>
      </c>
      <c r="B3794" s="148"/>
      <c r="C3794" s="22" t="s">
        <v>49</v>
      </c>
      <c r="D3794" s="149"/>
      <c r="E3794" s="150"/>
      <c r="F3794" s="151"/>
      <c r="G3794" s="151"/>
      <c r="H3794" s="142">
        <f>IFERROR(VLOOKUP($C3794,$C$5:$H$18,6,0)+SUMIF($C$19:$C3794,$C3794,$F$19:$F3794)-SUMIF($C$19:$C3794,$C3794,$G$19:$G3794),"")</f>
        <v>81211.819999998</v>
      </c>
      <c r="I3794" s="147"/>
      <c r="J3794" s="147"/>
      <c r="K3794" s="147" t="str">
        <f t="shared" si="59"/>
        <v/>
      </c>
      <c r="L3794" s="40"/>
      <c r="M3794"/>
      <c r="N3794"/>
      <c r="O3794"/>
      <c r="P3794"/>
      <c r="Q3794"/>
      <c r="R3794"/>
      <c r="S3794"/>
      <c r="T3794"/>
      <c r="U3794"/>
      <c r="V3794"/>
      <c r="W3794" s="41"/>
      <c r="X3794" s="41"/>
      <c r="Y3794" s="41"/>
    </row>
    <row r="3795" s="27" customFormat="1" ht="23" hidden="1" customHeight="1" spans="1:25">
      <c r="A3795" s="133" t="str">
        <f>IF(B3795="","",COUNTA($B$5:B3795))</f>
        <v/>
      </c>
      <c r="B3795" s="148"/>
      <c r="C3795" s="22" t="s">
        <v>49</v>
      </c>
      <c r="D3795" s="149"/>
      <c r="E3795" s="150"/>
      <c r="F3795" s="151"/>
      <c r="G3795" s="151"/>
      <c r="H3795" s="142">
        <f>IFERROR(VLOOKUP($C3795,$C$5:$H$18,6,0)+SUMIF($C$19:$C3795,$C3795,$F$19:$F3795)-SUMIF($C$19:$C3795,$C3795,$G$19:$G3795),"")</f>
        <v>81211.819999998</v>
      </c>
      <c r="I3795" s="147"/>
      <c r="J3795" s="147"/>
      <c r="K3795" s="147" t="str">
        <f t="shared" si="59"/>
        <v/>
      </c>
      <c r="L3795" s="40"/>
      <c r="M3795"/>
      <c r="N3795"/>
      <c r="O3795"/>
      <c r="P3795"/>
      <c r="Q3795"/>
      <c r="R3795"/>
      <c r="S3795"/>
      <c r="T3795"/>
      <c r="U3795"/>
      <c r="V3795"/>
      <c r="W3795" s="41"/>
      <c r="X3795" s="41"/>
      <c r="Y3795" s="41"/>
    </row>
    <row r="3796" s="27" customFormat="1" ht="23" hidden="1" customHeight="1" spans="1:25">
      <c r="A3796" s="133" t="str">
        <f>IF(B3796="","",COUNTA($B$5:B3796))</f>
        <v/>
      </c>
      <c r="B3796" s="148"/>
      <c r="C3796" s="22" t="s">
        <v>49</v>
      </c>
      <c r="D3796" s="149"/>
      <c r="E3796" s="150"/>
      <c r="F3796" s="151"/>
      <c r="G3796" s="151"/>
      <c r="H3796" s="142">
        <f>IFERROR(VLOOKUP($C3796,$C$5:$H$18,6,0)+SUMIF($C$19:$C3796,$C3796,$F$19:$F3796)-SUMIF($C$19:$C3796,$C3796,$G$19:$G3796),"")</f>
        <v>81211.819999998</v>
      </c>
      <c r="I3796" s="147"/>
      <c r="J3796" s="147"/>
      <c r="K3796" s="147" t="str">
        <f t="shared" si="59"/>
        <v/>
      </c>
      <c r="L3796" s="40"/>
      <c r="M3796"/>
      <c r="N3796"/>
      <c r="O3796"/>
      <c r="P3796"/>
      <c r="Q3796"/>
      <c r="R3796"/>
      <c r="S3796"/>
      <c r="T3796"/>
      <c r="U3796"/>
      <c r="V3796"/>
      <c r="W3796" s="41"/>
      <c r="X3796" s="41"/>
      <c r="Y3796" s="41"/>
    </row>
    <row r="3797" s="27" customFormat="1" ht="23" hidden="1" customHeight="1" spans="1:25">
      <c r="A3797" s="133" t="str">
        <f>IF(B3797="","",COUNTA($B$5:B3797))</f>
        <v/>
      </c>
      <c r="B3797" s="148"/>
      <c r="C3797" s="22" t="s">
        <v>49</v>
      </c>
      <c r="D3797" s="149"/>
      <c r="E3797" s="150"/>
      <c r="F3797" s="151"/>
      <c r="G3797" s="151"/>
      <c r="H3797" s="142">
        <f>IFERROR(VLOOKUP($C3797,$C$5:$H$18,6,0)+SUMIF($C$19:$C3797,$C3797,$F$19:$F3797)-SUMIF($C$19:$C3797,$C3797,$G$19:$G3797),"")</f>
        <v>81211.819999998</v>
      </c>
      <c r="I3797" s="147"/>
      <c r="J3797" s="147"/>
      <c r="K3797" s="147" t="str">
        <f t="shared" si="59"/>
        <v/>
      </c>
      <c r="L3797" s="40"/>
      <c r="M3797"/>
      <c r="N3797"/>
      <c r="O3797"/>
      <c r="P3797"/>
      <c r="Q3797"/>
      <c r="R3797"/>
      <c r="S3797"/>
      <c r="T3797"/>
      <c r="U3797"/>
      <c r="V3797"/>
      <c r="W3797" s="41"/>
      <c r="X3797" s="41"/>
      <c r="Y3797" s="41"/>
    </row>
    <row r="3798" s="27" customFormat="1" ht="23" hidden="1" customHeight="1" spans="1:25">
      <c r="A3798" s="133" t="str">
        <f>IF(B3798="","",COUNTA($B$5:B3798))</f>
        <v/>
      </c>
      <c r="B3798" s="148"/>
      <c r="C3798" s="22" t="s">
        <v>49</v>
      </c>
      <c r="D3798" s="149"/>
      <c r="E3798" s="150"/>
      <c r="F3798" s="151"/>
      <c r="G3798" s="151"/>
      <c r="H3798" s="142">
        <f>IFERROR(VLOOKUP($C3798,$C$5:$H$18,6,0)+SUMIF($C$19:$C3798,$C3798,$F$19:$F3798)-SUMIF($C$19:$C3798,$C3798,$G$19:$G3798),"")</f>
        <v>81211.819999998</v>
      </c>
      <c r="I3798" s="147"/>
      <c r="J3798" s="147"/>
      <c r="K3798" s="147" t="str">
        <f t="shared" si="59"/>
        <v/>
      </c>
      <c r="L3798" s="40"/>
      <c r="M3798"/>
      <c r="N3798"/>
      <c r="O3798"/>
      <c r="P3798"/>
      <c r="Q3798"/>
      <c r="R3798"/>
      <c r="S3798"/>
      <c r="T3798"/>
      <c r="U3798"/>
      <c r="V3798"/>
      <c r="W3798" s="41"/>
      <c r="X3798" s="41"/>
      <c r="Y3798" s="41"/>
    </row>
    <row r="3799" s="27" customFormat="1" ht="23" hidden="1" customHeight="1" spans="1:25">
      <c r="A3799" s="133" t="str">
        <f>IF(B3799="","",COUNTA($B$5:B3799))</f>
        <v/>
      </c>
      <c r="B3799" s="148"/>
      <c r="C3799" s="22" t="s">
        <v>49</v>
      </c>
      <c r="D3799" s="149"/>
      <c r="E3799" s="150"/>
      <c r="F3799" s="151"/>
      <c r="G3799" s="151"/>
      <c r="H3799" s="142">
        <f>IFERROR(VLOOKUP($C3799,$C$5:$H$18,6,0)+SUMIF($C$19:$C3799,$C3799,$F$19:$F3799)-SUMIF($C$19:$C3799,$C3799,$G$19:$G3799),"")</f>
        <v>81211.819999998</v>
      </c>
      <c r="I3799" s="147"/>
      <c r="J3799" s="147"/>
      <c r="K3799" s="147" t="str">
        <f t="shared" si="59"/>
        <v/>
      </c>
      <c r="L3799" s="40"/>
      <c r="M3799"/>
      <c r="N3799"/>
      <c r="O3799"/>
      <c r="P3799"/>
      <c r="Q3799"/>
      <c r="R3799"/>
      <c r="S3799"/>
      <c r="T3799"/>
      <c r="U3799"/>
      <c r="V3799"/>
      <c r="W3799" s="41"/>
      <c r="X3799" s="41"/>
      <c r="Y3799" s="41"/>
    </row>
    <row r="3800" s="27" customFormat="1" ht="23" hidden="1" customHeight="1" spans="1:25">
      <c r="A3800" s="133" t="str">
        <f>IF(B3800="","",COUNTA($B$5:B3800))</f>
        <v/>
      </c>
      <c r="B3800" s="148"/>
      <c r="C3800" s="22" t="s">
        <v>49</v>
      </c>
      <c r="D3800" s="149"/>
      <c r="E3800" s="150"/>
      <c r="F3800" s="151"/>
      <c r="G3800" s="151"/>
      <c r="H3800" s="142">
        <f>IFERROR(VLOOKUP($C3800,$C$5:$H$18,6,0)+SUMIF($C$19:$C3800,$C3800,$F$19:$F3800)-SUMIF($C$19:$C3800,$C3800,$G$19:$G3800),"")</f>
        <v>81211.819999998</v>
      </c>
      <c r="I3800" s="147"/>
      <c r="J3800" s="147"/>
      <c r="K3800" s="147" t="str">
        <f t="shared" si="59"/>
        <v/>
      </c>
      <c r="L3800" s="40"/>
      <c r="M3800"/>
      <c r="N3800"/>
      <c r="O3800"/>
      <c r="P3800"/>
      <c r="Q3800"/>
      <c r="R3800"/>
      <c r="S3800"/>
      <c r="T3800"/>
      <c r="U3800"/>
      <c r="V3800"/>
      <c r="W3800" s="41"/>
      <c r="X3800" s="41"/>
      <c r="Y3800" s="41"/>
    </row>
    <row r="3801" s="27" customFormat="1" ht="23" hidden="1" customHeight="1" spans="1:25">
      <c r="A3801" s="133" t="str">
        <f>IF(B3801="","",COUNTA($B$5:B3801))</f>
        <v/>
      </c>
      <c r="B3801" s="148"/>
      <c r="C3801" s="22" t="s">
        <v>49</v>
      </c>
      <c r="D3801" s="149"/>
      <c r="E3801" s="150"/>
      <c r="F3801" s="151"/>
      <c r="G3801" s="151"/>
      <c r="H3801" s="142">
        <f>IFERROR(VLOOKUP($C3801,$C$5:$H$18,6,0)+SUMIF($C$19:$C3801,$C3801,$F$19:$F3801)-SUMIF($C$19:$C3801,$C3801,$G$19:$G3801),"")</f>
        <v>81211.819999998</v>
      </c>
      <c r="I3801" s="147"/>
      <c r="J3801" s="147"/>
      <c r="K3801" s="147" t="str">
        <f t="shared" si="59"/>
        <v/>
      </c>
      <c r="L3801" s="40"/>
      <c r="M3801"/>
      <c r="N3801"/>
      <c r="O3801"/>
      <c r="P3801"/>
      <c r="Q3801"/>
      <c r="R3801"/>
      <c r="S3801"/>
      <c r="T3801"/>
      <c r="U3801"/>
      <c r="V3801"/>
      <c r="W3801" s="41"/>
      <c r="X3801" s="41"/>
      <c r="Y3801" s="41"/>
    </row>
    <row r="3802" s="27" customFormat="1" ht="23" hidden="1" customHeight="1" spans="1:25">
      <c r="A3802" s="133" t="str">
        <f>IF(B3802="","",COUNTA($B$5:B3802))</f>
        <v/>
      </c>
      <c r="B3802" s="148"/>
      <c r="C3802" s="22" t="s">
        <v>49</v>
      </c>
      <c r="D3802" s="149"/>
      <c r="E3802" s="150"/>
      <c r="F3802" s="151"/>
      <c r="G3802" s="151"/>
      <c r="H3802" s="142">
        <f>IFERROR(VLOOKUP($C3802,$C$5:$H$18,6,0)+SUMIF($C$19:$C3802,$C3802,$F$19:$F3802)-SUMIF($C$19:$C3802,$C3802,$G$19:$G3802),"")</f>
        <v>81211.819999998</v>
      </c>
      <c r="I3802" s="147"/>
      <c r="J3802" s="147"/>
      <c r="K3802" s="147" t="str">
        <f t="shared" si="59"/>
        <v/>
      </c>
      <c r="L3802" s="40"/>
      <c r="M3802"/>
      <c r="N3802"/>
      <c r="O3802"/>
      <c r="P3802"/>
      <c r="Q3802"/>
      <c r="R3802"/>
      <c r="S3802"/>
      <c r="T3802"/>
      <c r="U3802"/>
      <c r="V3802"/>
      <c r="W3802" s="41"/>
      <c r="X3802" s="41"/>
      <c r="Y3802" s="41"/>
    </row>
    <row r="3803" s="27" customFormat="1" ht="23" hidden="1" customHeight="1" spans="1:25">
      <c r="A3803" s="133" t="str">
        <f>IF(B3803="","",COUNTA($B$5:B3803))</f>
        <v/>
      </c>
      <c r="B3803" s="148"/>
      <c r="C3803" s="22" t="s">
        <v>49</v>
      </c>
      <c r="D3803" s="149"/>
      <c r="E3803" s="150"/>
      <c r="F3803" s="151"/>
      <c r="G3803" s="151"/>
      <c r="H3803" s="142">
        <f>IFERROR(VLOOKUP($C3803,$C$5:$H$18,6,0)+SUMIF($C$19:$C3803,$C3803,$F$19:$F3803)-SUMIF($C$19:$C3803,$C3803,$G$19:$G3803),"")</f>
        <v>81211.819999998</v>
      </c>
      <c r="I3803" s="147"/>
      <c r="J3803" s="147"/>
      <c r="K3803" s="147" t="str">
        <f t="shared" si="59"/>
        <v/>
      </c>
      <c r="L3803" s="40"/>
      <c r="M3803"/>
      <c r="N3803"/>
      <c r="O3803"/>
      <c r="P3803"/>
      <c r="Q3803"/>
      <c r="R3803"/>
      <c r="S3803"/>
      <c r="T3803"/>
      <c r="U3803"/>
      <c r="V3803"/>
      <c r="W3803" s="41"/>
      <c r="X3803" s="41"/>
      <c r="Y3803" s="41"/>
    </row>
    <row r="3804" s="27" customFormat="1" ht="23" hidden="1" customHeight="1" spans="1:25">
      <c r="A3804" s="133" t="str">
        <f>IF(B3804="","",COUNTA($B$5:B3804))</f>
        <v/>
      </c>
      <c r="B3804" s="148"/>
      <c r="C3804" s="22" t="s">
        <v>49</v>
      </c>
      <c r="D3804" s="149"/>
      <c r="E3804" s="150"/>
      <c r="F3804" s="151"/>
      <c r="G3804" s="151"/>
      <c r="H3804" s="142">
        <f>IFERROR(VLOOKUP($C3804,$C$5:$H$18,6,0)+SUMIF($C$19:$C3804,$C3804,$F$19:$F3804)-SUMIF($C$19:$C3804,$C3804,$G$19:$G3804),"")</f>
        <v>81211.819999998</v>
      </c>
      <c r="I3804" s="147"/>
      <c r="J3804" s="147"/>
      <c r="K3804" s="147" t="str">
        <f t="shared" si="59"/>
        <v/>
      </c>
      <c r="L3804" s="40"/>
      <c r="M3804"/>
      <c r="N3804"/>
      <c r="O3804"/>
      <c r="P3804"/>
      <c r="Q3804"/>
      <c r="R3804"/>
      <c r="S3804"/>
      <c r="T3804"/>
      <c r="U3804"/>
      <c r="V3804"/>
      <c r="W3804" s="41"/>
      <c r="X3804" s="41"/>
      <c r="Y3804" s="41"/>
    </row>
    <row r="3805" s="27" customFormat="1" ht="23" hidden="1" customHeight="1" spans="1:25">
      <c r="A3805" s="133" t="str">
        <f>IF(B3805="","",COUNTA($B$5:B3805))</f>
        <v/>
      </c>
      <c r="B3805" s="148"/>
      <c r="C3805" s="22" t="s">
        <v>49</v>
      </c>
      <c r="D3805" s="149"/>
      <c r="E3805" s="150"/>
      <c r="F3805" s="151"/>
      <c r="G3805" s="151"/>
      <c r="H3805" s="142">
        <f>IFERROR(VLOOKUP($C3805,$C$5:$H$18,6,0)+SUMIF($C$19:$C3805,$C3805,$F$19:$F3805)-SUMIF($C$19:$C3805,$C3805,$G$19:$G3805),"")</f>
        <v>81211.819999998</v>
      </c>
      <c r="I3805" s="147"/>
      <c r="J3805" s="147"/>
      <c r="K3805" s="147" t="str">
        <f t="shared" si="59"/>
        <v/>
      </c>
      <c r="L3805" s="40"/>
      <c r="M3805"/>
      <c r="N3805"/>
      <c r="O3805"/>
      <c r="P3805"/>
      <c r="Q3805"/>
      <c r="R3805"/>
      <c r="S3805"/>
      <c r="T3805"/>
      <c r="U3805"/>
      <c r="V3805"/>
      <c r="W3805" s="41"/>
      <c r="X3805" s="41"/>
      <c r="Y3805" s="41"/>
    </row>
    <row r="3806" s="27" customFormat="1" ht="23" hidden="1" customHeight="1" spans="1:25">
      <c r="A3806" s="133" t="str">
        <f>IF(B3806="","",COUNTA($B$5:B3806))</f>
        <v/>
      </c>
      <c r="B3806" s="148"/>
      <c r="C3806" s="22" t="s">
        <v>49</v>
      </c>
      <c r="D3806" s="149"/>
      <c r="E3806" s="150"/>
      <c r="F3806" s="151"/>
      <c r="G3806" s="151"/>
      <c r="H3806" s="142">
        <f>IFERROR(VLOOKUP($C3806,$C$5:$H$18,6,0)+SUMIF($C$19:$C3806,$C3806,$F$19:$F3806)-SUMIF($C$19:$C3806,$C3806,$G$19:$G3806),"")</f>
        <v>81211.819999998</v>
      </c>
      <c r="I3806" s="147"/>
      <c r="J3806" s="147"/>
      <c r="K3806" s="147" t="str">
        <f t="shared" si="59"/>
        <v/>
      </c>
      <c r="L3806" s="40"/>
      <c r="M3806"/>
      <c r="N3806"/>
      <c r="O3806"/>
      <c r="P3806"/>
      <c r="Q3806"/>
      <c r="R3806"/>
      <c r="S3806"/>
      <c r="T3806"/>
      <c r="U3806"/>
      <c r="V3806"/>
      <c r="W3806" s="41"/>
      <c r="X3806" s="41"/>
      <c r="Y3806" s="41"/>
    </row>
    <row r="3807" s="27" customFormat="1" ht="23" hidden="1" customHeight="1" spans="1:25">
      <c r="A3807" s="133" t="str">
        <f>IF(B3807="","",COUNTA($B$5:B3807))</f>
        <v/>
      </c>
      <c r="B3807" s="148"/>
      <c r="C3807" s="22" t="s">
        <v>49</v>
      </c>
      <c r="D3807" s="149"/>
      <c r="E3807" s="150"/>
      <c r="F3807" s="151"/>
      <c r="G3807" s="151"/>
      <c r="H3807" s="142">
        <f>IFERROR(VLOOKUP($C3807,$C$5:$H$18,6,0)+SUMIF($C$19:$C3807,$C3807,$F$19:$F3807)-SUMIF($C$19:$C3807,$C3807,$G$19:$G3807),"")</f>
        <v>81211.819999998</v>
      </c>
      <c r="I3807" s="147"/>
      <c r="J3807" s="147"/>
      <c r="K3807" s="147" t="str">
        <f t="shared" si="59"/>
        <v/>
      </c>
      <c r="L3807" s="40"/>
      <c r="M3807"/>
      <c r="N3807"/>
      <c r="O3807"/>
      <c r="P3807"/>
      <c r="Q3807"/>
      <c r="R3807"/>
      <c r="S3807"/>
      <c r="T3807"/>
      <c r="U3807"/>
      <c r="V3807"/>
      <c r="W3807" s="41"/>
      <c r="X3807" s="41"/>
      <c r="Y3807" s="41"/>
    </row>
    <row r="3808" s="27" customFormat="1" ht="23" hidden="1" customHeight="1" spans="1:25">
      <c r="A3808" s="133" t="str">
        <f>IF(B3808="","",COUNTA($B$5:B3808))</f>
        <v/>
      </c>
      <c r="B3808" s="148"/>
      <c r="C3808" s="22" t="s">
        <v>49</v>
      </c>
      <c r="D3808" s="149"/>
      <c r="E3808" s="150"/>
      <c r="F3808" s="151"/>
      <c r="G3808" s="151"/>
      <c r="H3808" s="142">
        <f>IFERROR(VLOOKUP($C3808,$C$5:$H$18,6,0)+SUMIF($C$19:$C3808,$C3808,$F$19:$F3808)-SUMIF($C$19:$C3808,$C3808,$G$19:$G3808),"")</f>
        <v>81211.819999998</v>
      </c>
      <c r="I3808" s="147"/>
      <c r="J3808" s="147"/>
      <c r="K3808" s="147" t="str">
        <f t="shared" si="59"/>
        <v/>
      </c>
      <c r="L3808" s="40"/>
      <c r="M3808"/>
      <c r="N3808"/>
      <c r="O3808"/>
      <c r="P3808"/>
      <c r="Q3808"/>
      <c r="R3808"/>
      <c r="S3808"/>
      <c r="T3808"/>
      <c r="U3808"/>
      <c r="V3808"/>
      <c r="W3808" s="41"/>
      <c r="X3808" s="41"/>
      <c r="Y3808" s="41"/>
    </row>
    <row r="3809" s="27" customFormat="1" ht="23" hidden="1" customHeight="1" spans="1:25">
      <c r="A3809" s="133" t="str">
        <f>IF(B3809="","",COUNTA($B$5:B3809))</f>
        <v/>
      </c>
      <c r="B3809" s="148"/>
      <c r="C3809" s="22" t="s">
        <v>49</v>
      </c>
      <c r="D3809" s="149"/>
      <c r="E3809" s="150"/>
      <c r="F3809" s="151"/>
      <c r="G3809" s="151"/>
      <c r="H3809" s="142">
        <f>IFERROR(VLOOKUP($C3809,$C$5:$H$18,6,0)+SUMIF($C$19:$C3809,$C3809,$F$19:$F3809)-SUMIF($C$19:$C3809,$C3809,$G$19:$G3809),"")</f>
        <v>81211.819999998</v>
      </c>
      <c r="I3809" s="147"/>
      <c r="J3809" s="147"/>
      <c r="K3809" s="147" t="str">
        <f t="shared" si="59"/>
        <v/>
      </c>
      <c r="L3809" s="40"/>
      <c r="M3809"/>
      <c r="N3809"/>
      <c r="O3809"/>
      <c r="P3809"/>
      <c r="Q3809"/>
      <c r="R3809"/>
      <c r="S3809"/>
      <c r="T3809"/>
      <c r="U3809"/>
      <c r="V3809"/>
      <c r="W3809" s="41"/>
      <c r="X3809" s="41"/>
      <c r="Y3809" s="41"/>
    </row>
    <row r="3810" s="27" customFormat="1" ht="23" hidden="1" customHeight="1" spans="1:25">
      <c r="A3810" s="133" t="str">
        <f>IF(B3810="","",COUNTA($B$5:B3810))</f>
        <v/>
      </c>
      <c r="B3810" s="148"/>
      <c r="C3810" s="22" t="s">
        <v>49</v>
      </c>
      <c r="D3810" s="149"/>
      <c r="E3810" s="150"/>
      <c r="F3810" s="151"/>
      <c r="G3810" s="151"/>
      <c r="H3810" s="142">
        <f>IFERROR(VLOOKUP($C3810,$C$5:$H$18,6,0)+SUMIF($C$19:$C3810,$C3810,$F$19:$F3810)-SUMIF($C$19:$C3810,$C3810,$G$19:$G3810),"")</f>
        <v>81211.819999998</v>
      </c>
      <c r="I3810" s="147"/>
      <c r="J3810" s="147"/>
      <c r="K3810" s="147" t="str">
        <f t="shared" si="59"/>
        <v/>
      </c>
      <c r="L3810" s="40"/>
      <c r="M3810"/>
      <c r="N3810"/>
      <c r="O3810"/>
      <c r="P3810"/>
      <c r="Q3810"/>
      <c r="R3810"/>
      <c r="S3810"/>
      <c r="T3810"/>
      <c r="U3810"/>
      <c r="V3810"/>
      <c r="W3810" s="41"/>
      <c r="X3810" s="41"/>
      <c r="Y3810" s="41"/>
    </row>
    <row r="3811" s="27" customFormat="1" ht="23" hidden="1" customHeight="1" spans="1:25">
      <c r="A3811" s="133" t="str">
        <f>IF(B3811="","",COUNTA($B$5:B3811))</f>
        <v/>
      </c>
      <c r="B3811" s="148"/>
      <c r="C3811" s="22" t="s">
        <v>49</v>
      </c>
      <c r="D3811" s="149"/>
      <c r="E3811" s="150"/>
      <c r="F3811" s="151"/>
      <c r="G3811" s="151"/>
      <c r="H3811" s="142">
        <f>IFERROR(VLOOKUP($C3811,$C$5:$H$18,6,0)+SUMIF($C$19:$C3811,$C3811,$F$19:$F3811)-SUMIF($C$19:$C3811,$C3811,$G$19:$G3811),"")</f>
        <v>81211.819999998</v>
      </c>
      <c r="I3811" s="147"/>
      <c r="J3811" s="147"/>
      <c r="K3811" s="147" t="str">
        <f t="shared" si="59"/>
        <v/>
      </c>
      <c r="L3811" s="40"/>
      <c r="M3811"/>
      <c r="N3811"/>
      <c r="O3811"/>
      <c r="P3811"/>
      <c r="Q3811"/>
      <c r="R3811"/>
      <c r="S3811"/>
      <c r="T3811"/>
      <c r="U3811"/>
      <c r="V3811"/>
      <c r="W3811" s="41"/>
      <c r="X3811" s="41"/>
      <c r="Y3811" s="41"/>
    </row>
    <row r="3812" s="27" customFormat="1" ht="23" hidden="1" customHeight="1" spans="1:25">
      <c r="A3812" s="133" t="str">
        <f>IF(B3812="","",COUNTA($B$5:B3812))</f>
        <v/>
      </c>
      <c r="B3812" s="148"/>
      <c r="C3812" s="22" t="s">
        <v>49</v>
      </c>
      <c r="D3812" s="149"/>
      <c r="E3812" s="150"/>
      <c r="F3812" s="151"/>
      <c r="G3812" s="151"/>
      <c r="H3812" s="142">
        <f>IFERROR(VLOOKUP($C3812,$C$5:$H$18,6,0)+SUMIF($C$19:$C3812,$C3812,$F$19:$F3812)-SUMIF($C$19:$C3812,$C3812,$G$19:$G3812),"")</f>
        <v>81211.819999998</v>
      </c>
      <c r="I3812" s="147"/>
      <c r="J3812" s="147"/>
      <c r="K3812" s="147" t="str">
        <f t="shared" si="59"/>
        <v/>
      </c>
      <c r="L3812" s="40"/>
      <c r="M3812"/>
      <c r="N3812"/>
      <c r="O3812"/>
      <c r="P3812"/>
      <c r="Q3812"/>
      <c r="R3812"/>
      <c r="S3812"/>
      <c r="T3812"/>
      <c r="U3812"/>
      <c r="V3812"/>
      <c r="W3812" s="41"/>
      <c r="X3812" s="41"/>
      <c r="Y3812" s="41"/>
    </row>
    <row r="3813" s="27" customFormat="1" ht="23" hidden="1" customHeight="1" spans="1:25">
      <c r="A3813" s="133" t="str">
        <f>IF(B3813="","",COUNTA($B$5:B3813))</f>
        <v/>
      </c>
      <c r="B3813" s="148"/>
      <c r="C3813" s="22" t="s">
        <v>49</v>
      </c>
      <c r="D3813" s="149"/>
      <c r="E3813" s="150"/>
      <c r="F3813" s="151"/>
      <c r="G3813" s="151"/>
      <c r="H3813" s="142">
        <f>IFERROR(VLOOKUP($C3813,$C$5:$H$18,6,0)+SUMIF($C$19:$C3813,$C3813,$F$19:$F3813)-SUMIF($C$19:$C3813,$C3813,$G$19:$G3813),"")</f>
        <v>81211.819999998</v>
      </c>
      <c r="I3813" s="147"/>
      <c r="J3813" s="147"/>
      <c r="K3813" s="147" t="str">
        <f t="shared" si="59"/>
        <v/>
      </c>
      <c r="L3813" s="40"/>
      <c r="M3813"/>
      <c r="N3813"/>
      <c r="O3813"/>
      <c r="P3813"/>
      <c r="Q3813"/>
      <c r="R3813"/>
      <c r="S3813"/>
      <c r="T3813"/>
      <c r="U3813"/>
      <c r="V3813"/>
      <c r="W3813" s="41"/>
      <c r="X3813" s="41"/>
      <c r="Y3813" s="41"/>
    </row>
    <row r="3814" s="27" customFormat="1" ht="23" hidden="1" customHeight="1" spans="1:25">
      <c r="A3814" s="133" t="str">
        <f>IF(B3814="","",COUNTA($B$5:B3814))</f>
        <v/>
      </c>
      <c r="B3814" s="148"/>
      <c r="C3814" s="22" t="s">
        <v>49</v>
      </c>
      <c r="D3814" s="149"/>
      <c r="E3814" s="150"/>
      <c r="F3814" s="151"/>
      <c r="G3814" s="151"/>
      <c r="H3814" s="142">
        <f>IFERROR(VLOOKUP($C3814,$C$5:$H$18,6,0)+SUMIF($C$19:$C3814,$C3814,$F$19:$F3814)-SUMIF($C$19:$C3814,$C3814,$G$19:$G3814),"")</f>
        <v>81211.819999998</v>
      </c>
      <c r="I3814" s="147"/>
      <c r="J3814" s="147"/>
      <c r="K3814" s="147" t="str">
        <f t="shared" si="59"/>
        <v/>
      </c>
      <c r="L3814" s="40"/>
      <c r="M3814"/>
      <c r="N3814"/>
      <c r="O3814"/>
      <c r="P3814"/>
      <c r="Q3814"/>
      <c r="R3814"/>
      <c r="S3814"/>
      <c r="T3814"/>
      <c r="U3814"/>
      <c r="V3814"/>
      <c r="W3814" s="41"/>
      <c r="X3814" s="41"/>
      <c r="Y3814" s="41"/>
    </row>
    <row r="3815" s="27" customFormat="1" ht="23" hidden="1" customHeight="1" spans="1:25">
      <c r="A3815" s="133" t="str">
        <f>IF(B3815="","",COUNTA($B$5:B3815))</f>
        <v/>
      </c>
      <c r="B3815" s="148"/>
      <c r="C3815" s="22" t="s">
        <v>49</v>
      </c>
      <c r="D3815" s="149"/>
      <c r="E3815" s="150"/>
      <c r="F3815" s="151"/>
      <c r="G3815" s="151"/>
      <c r="H3815" s="142">
        <f>IFERROR(VLOOKUP($C3815,$C$5:$H$18,6,0)+SUMIF($C$19:$C3815,$C3815,$F$19:$F3815)-SUMIF($C$19:$C3815,$C3815,$G$19:$G3815),"")</f>
        <v>81211.819999998</v>
      </c>
      <c r="I3815" s="147"/>
      <c r="J3815" s="147"/>
      <c r="K3815" s="147" t="str">
        <f t="shared" si="59"/>
        <v/>
      </c>
      <c r="L3815" s="40"/>
      <c r="M3815"/>
      <c r="N3815"/>
      <c r="O3815"/>
      <c r="P3815"/>
      <c r="Q3815"/>
      <c r="R3815"/>
      <c r="S3815"/>
      <c r="T3815"/>
      <c r="U3815"/>
      <c r="V3815"/>
      <c r="W3815" s="41"/>
      <c r="X3815" s="41"/>
      <c r="Y3815" s="41"/>
    </row>
    <row r="3816" s="27" customFormat="1" ht="23" hidden="1" customHeight="1" spans="1:25">
      <c r="A3816" s="133" t="str">
        <f>IF(B3816="","",COUNTA($B$5:B3816))</f>
        <v/>
      </c>
      <c r="B3816" s="148"/>
      <c r="C3816" s="22" t="s">
        <v>49</v>
      </c>
      <c r="D3816" s="149"/>
      <c r="E3816" s="150"/>
      <c r="F3816" s="151"/>
      <c r="G3816" s="151"/>
      <c r="H3816" s="142">
        <f>IFERROR(VLOOKUP($C3816,$C$5:$H$18,6,0)+SUMIF($C$19:$C3816,$C3816,$F$19:$F3816)-SUMIF($C$19:$C3816,$C3816,$G$19:$G3816),"")</f>
        <v>81211.819999998</v>
      </c>
      <c r="I3816" s="147"/>
      <c r="J3816" s="147"/>
      <c r="K3816" s="147" t="str">
        <f t="shared" si="59"/>
        <v/>
      </c>
      <c r="L3816" s="40"/>
      <c r="M3816"/>
      <c r="N3816"/>
      <c r="O3816"/>
      <c r="P3816"/>
      <c r="Q3816"/>
      <c r="R3816"/>
      <c r="S3816"/>
      <c r="T3816"/>
      <c r="U3816"/>
      <c r="V3816"/>
      <c r="W3816" s="41"/>
      <c r="X3816" s="41"/>
      <c r="Y3816" s="41"/>
    </row>
    <row r="3817" s="27" customFormat="1" ht="23" hidden="1" customHeight="1" spans="1:25">
      <c r="A3817" s="133" t="str">
        <f>IF(B3817="","",COUNTA($B$5:B3817))</f>
        <v/>
      </c>
      <c r="B3817" s="148"/>
      <c r="C3817" s="22" t="s">
        <v>49</v>
      </c>
      <c r="D3817" s="149"/>
      <c r="E3817" s="150"/>
      <c r="F3817" s="151"/>
      <c r="G3817" s="151"/>
      <c r="H3817" s="142">
        <f>IFERROR(VLOOKUP($C3817,$C$5:$H$18,6,0)+SUMIF($C$19:$C3817,$C3817,$F$19:$F3817)-SUMIF($C$19:$C3817,$C3817,$G$19:$G3817),"")</f>
        <v>81211.819999998</v>
      </c>
      <c r="I3817" s="147"/>
      <c r="J3817" s="147"/>
      <c r="K3817" s="147" t="str">
        <f t="shared" si="59"/>
        <v/>
      </c>
      <c r="L3817" s="40"/>
      <c r="M3817"/>
      <c r="N3817"/>
      <c r="O3817"/>
      <c r="P3817"/>
      <c r="Q3817"/>
      <c r="R3817"/>
      <c r="S3817"/>
      <c r="T3817"/>
      <c r="U3817"/>
      <c r="V3817"/>
      <c r="W3817" s="41"/>
      <c r="X3817" s="41"/>
      <c r="Y3817" s="41"/>
    </row>
    <row r="3818" s="27" customFormat="1" ht="23" hidden="1" customHeight="1" spans="1:25">
      <c r="A3818" s="133" t="str">
        <f>IF(B3818="","",COUNTA($B$5:B3818))</f>
        <v/>
      </c>
      <c r="B3818" s="148"/>
      <c r="C3818" s="22" t="s">
        <v>49</v>
      </c>
      <c r="D3818" s="149"/>
      <c r="E3818" s="150"/>
      <c r="F3818" s="151"/>
      <c r="G3818" s="151"/>
      <c r="H3818" s="142">
        <f>IFERROR(VLOOKUP($C3818,$C$5:$H$18,6,0)+SUMIF($C$19:$C3818,$C3818,$F$19:$F3818)-SUMIF($C$19:$C3818,$C3818,$G$19:$G3818),"")</f>
        <v>81211.819999998</v>
      </c>
      <c r="I3818" s="147"/>
      <c r="J3818" s="147"/>
      <c r="K3818" s="147" t="str">
        <f t="shared" si="59"/>
        <v/>
      </c>
      <c r="L3818" s="40"/>
      <c r="M3818"/>
      <c r="N3818"/>
      <c r="O3818"/>
      <c r="P3818"/>
      <c r="Q3818"/>
      <c r="R3818"/>
      <c r="S3818"/>
      <c r="T3818"/>
      <c r="U3818"/>
      <c r="V3818"/>
      <c r="W3818" s="41"/>
      <c r="X3818" s="41"/>
      <c r="Y3818" s="41"/>
    </row>
    <row r="3819" s="27" customFormat="1" ht="23" hidden="1" customHeight="1" spans="1:25">
      <c r="A3819" s="133" t="str">
        <f>IF(B3819="","",COUNTA($B$5:B3819))</f>
        <v/>
      </c>
      <c r="B3819" s="148"/>
      <c r="C3819" s="22" t="s">
        <v>49</v>
      </c>
      <c r="D3819" s="149"/>
      <c r="E3819" s="150"/>
      <c r="F3819" s="151"/>
      <c r="G3819" s="151"/>
      <c r="H3819" s="142">
        <f>IFERROR(VLOOKUP($C3819,$C$5:$H$18,6,0)+SUMIF($C$19:$C3819,$C3819,$F$19:$F3819)-SUMIF($C$19:$C3819,$C3819,$G$19:$G3819),"")</f>
        <v>81211.819999998</v>
      </c>
      <c r="I3819" s="147"/>
      <c r="J3819" s="147"/>
      <c r="K3819" s="147" t="str">
        <f t="shared" si="59"/>
        <v/>
      </c>
      <c r="L3819" s="40"/>
      <c r="M3819"/>
      <c r="N3819"/>
      <c r="O3819"/>
      <c r="P3819"/>
      <c r="Q3819"/>
      <c r="R3819"/>
      <c r="S3819"/>
      <c r="T3819"/>
      <c r="U3819"/>
      <c r="V3819"/>
      <c r="W3819" s="41"/>
      <c r="X3819" s="41"/>
      <c r="Y3819" s="41"/>
    </row>
    <row r="3820" s="27" customFormat="1" ht="23" hidden="1" customHeight="1" spans="1:25">
      <c r="A3820" s="133" t="str">
        <f>IF(B3820="","",COUNTA($B$5:B3820))</f>
        <v/>
      </c>
      <c r="B3820" s="148"/>
      <c r="C3820" s="22" t="s">
        <v>49</v>
      </c>
      <c r="D3820" s="149"/>
      <c r="E3820" s="150"/>
      <c r="F3820" s="151"/>
      <c r="G3820" s="151"/>
      <c r="H3820" s="142">
        <f>IFERROR(VLOOKUP($C3820,$C$5:$H$18,6,0)+SUMIF($C$19:$C3820,$C3820,$F$19:$F3820)-SUMIF($C$19:$C3820,$C3820,$G$19:$G3820),"")</f>
        <v>81211.819999998</v>
      </c>
      <c r="I3820" s="147"/>
      <c r="J3820" s="147"/>
      <c r="K3820" s="147" t="str">
        <f t="shared" si="59"/>
        <v/>
      </c>
      <c r="L3820" s="40"/>
      <c r="M3820"/>
      <c r="N3820"/>
      <c r="O3820"/>
      <c r="P3820"/>
      <c r="Q3820"/>
      <c r="R3820"/>
      <c r="S3820"/>
      <c r="T3820"/>
      <c r="U3820"/>
      <c r="V3820"/>
      <c r="W3820" s="41"/>
      <c r="X3820" s="41"/>
      <c r="Y3820" s="41"/>
    </row>
    <row r="3821" s="27" customFormat="1" ht="23" hidden="1" customHeight="1" spans="1:25">
      <c r="A3821" s="133" t="str">
        <f>IF(B3821="","",COUNTA($B$5:B3821))</f>
        <v/>
      </c>
      <c r="B3821" s="148"/>
      <c r="C3821" s="22" t="s">
        <v>49</v>
      </c>
      <c r="D3821" s="149"/>
      <c r="E3821" s="150"/>
      <c r="F3821" s="151"/>
      <c r="G3821" s="151"/>
      <c r="H3821" s="142">
        <f>IFERROR(VLOOKUP($C3821,$C$5:$H$18,6,0)+SUMIF($C$19:$C3821,$C3821,$F$19:$F3821)-SUMIF($C$19:$C3821,$C3821,$G$19:$G3821),"")</f>
        <v>81211.819999998</v>
      </c>
      <c r="I3821" s="147"/>
      <c r="J3821" s="147"/>
      <c r="K3821" s="147" t="str">
        <f t="shared" si="59"/>
        <v/>
      </c>
      <c r="L3821" s="40"/>
      <c r="M3821"/>
      <c r="N3821"/>
      <c r="O3821"/>
      <c r="P3821"/>
      <c r="Q3821"/>
      <c r="R3821"/>
      <c r="S3821"/>
      <c r="T3821"/>
      <c r="U3821"/>
      <c r="V3821"/>
      <c r="W3821" s="41"/>
      <c r="X3821" s="41"/>
      <c r="Y3821" s="41"/>
    </row>
    <row r="3822" s="27" customFormat="1" ht="23" hidden="1" customHeight="1" spans="1:25">
      <c r="A3822" s="133" t="str">
        <f>IF(B3822="","",COUNTA($B$5:B3822))</f>
        <v/>
      </c>
      <c r="B3822" s="148"/>
      <c r="C3822" s="22" t="s">
        <v>49</v>
      </c>
      <c r="D3822" s="149"/>
      <c r="E3822" s="150"/>
      <c r="F3822" s="151"/>
      <c r="G3822" s="151"/>
      <c r="H3822" s="142">
        <f>IFERROR(VLOOKUP($C3822,$C$5:$H$18,6,0)+SUMIF($C$19:$C3822,$C3822,$F$19:$F3822)-SUMIF($C$19:$C3822,$C3822,$G$19:$G3822),"")</f>
        <v>81211.819999998</v>
      </c>
      <c r="I3822" s="147"/>
      <c r="J3822" s="147"/>
      <c r="K3822" s="147" t="str">
        <f t="shared" si="59"/>
        <v/>
      </c>
      <c r="L3822" s="40"/>
      <c r="M3822"/>
      <c r="N3822"/>
      <c r="O3822"/>
      <c r="P3822"/>
      <c r="Q3822"/>
      <c r="R3822"/>
      <c r="S3822"/>
      <c r="T3822"/>
      <c r="U3822"/>
      <c r="V3822"/>
      <c r="W3822" s="41"/>
      <c r="X3822" s="41"/>
      <c r="Y3822" s="41"/>
    </row>
    <row r="3823" s="27" customFormat="1" ht="23" hidden="1" customHeight="1" spans="1:25">
      <c r="A3823" s="133" t="str">
        <f>IF(B3823="","",COUNTA($B$5:B3823))</f>
        <v/>
      </c>
      <c r="B3823" s="148"/>
      <c r="C3823" s="22" t="s">
        <v>49</v>
      </c>
      <c r="D3823" s="149"/>
      <c r="E3823" s="150"/>
      <c r="F3823" s="151"/>
      <c r="G3823" s="151"/>
      <c r="H3823" s="142">
        <f>IFERROR(VLOOKUP($C3823,$C$5:$H$18,6,0)+SUMIF($C$19:$C3823,$C3823,$F$19:$F3823)-SUMIF($C$19:$C3823,$C3823,$G$19:$G3823),"")</f>
        <v>81211.819999998</v>
      </c>
      <c r="I3823" s="147"/>
      <c r="J3823" s="147"/>
      <c r="K3823" s="147" t="str">
        <f t="shared" si="59"/>
        <v/>
      </c>
      <c r="L3823" s="40"/>
      <c r="M3823"/>
      <c r="N3823"/>
      <c r="O3823"/>
      <c r="P3823"/>
      <c r="Q3823"/>
      <c r="R3823"/>
      <c r="S3823"/>
      <c r="T3823"/>
      <c r="U3823"/>
      <c r="V3823"/>
      <c r="W3823" s="41"/>
      <c r="X3823" s="41"/>
      <c r="Y3823" s="41"/>
    </row>
    <row r="3824" s="27" customFormat="1" ht="23" hidden="1" customHeight="1" spans="1:25">
      <c r="A3824" s="133" t="str">
        <f>IF(B3824="","",COUNTA($B$5:B3824))</f>
        <v/>
      </c>
      <c r="B3824" s="148"/>
      <c r="C3824" s="22" t="s">
        <v>49</v>
      </c>
      <c r="D3824" s="149"/>
      <c r="E3824" s="150"/>
      <c r="F3824" s="151"/>
      <c r="G3824" s="151"/>
      <c r="H3824" s="142">
        <f>IFERROR(VLOOKUP($C3824,$C$5:$H$18,6,0)+SUMIF($C$19:$C3824,$C3824,$F$19:$F3824)-SUMIF($C$19:$C3824,$C3824,$G$19:$G3824),"")</f>
        <v>81211.819999998</v>
      </c>
      <c r="I3824" s="147"/>
      <c r="J3824" s="147"/>
      <c r="K3824" s="147" t="str">
        <f t="shared" si="59"/>
        <v/>
      </c>
      <c r="L3824" s="40"/>
      <c r="M3824"/>
      <c r="N3824"/>
      <c r="O3824"/>
      <c r="P3824"/>
      <c r="Q3824"/>
      <c r="R3824"/>
      <c r="S3824"/>
      <c r="T3824"/>
      <c r="U3824"/>
      <c r="V3824"/>
      <c r="W3824" s="41"/>
      <c r="X3824" s="41"/>
      <c r="Y3824" s="41"/>
    </row>
    <row r="3825" s="27" customFormat="1" ht="23" hidden="1" customHeight="1" spans="1:25">
      <c r="A3825" s="133" t="str">
        <f>IF(B3825="","",COUNTA($B$5:B3825))</f>
        <v/>
      </c>
      <c r="B3825" s="148"/>
      <c r="C3825" s="22" t="s">
        <v>49</v>
      </c>
      <c r="D3825" s="149"/>
      <c r="E3825" s="150"/>
      <c r="F3825" s="151"/>
      <c r="G3825" s="151"/>
      <c r="H3825" s="142">
        <f>IFERROR(VLOOKUP($C3825,$C$5:$H$18,6,0)+SUMIF($C$19:$C3825,$C3825,$F$19:$F3825)-SUMIF($C$19:$C3825,$C3825,$G$19:$G3825),"")</f>
        <v>81211.819999998</v>
      </c>
      <c r="I3825" s="147"/>
      <c r="J3825" s="147"/>
      <c r="K3825" s="147" t="str">
        <f t="shared" si="59"/>
        <v/>
      </c>
      <c r="L3825" s="40"/>
      <c r="M3825"/>
      <c r="N3825"/>
      <c r="O3825"/>
      <c r="P3825"/>
      <c r="Q3825"/>
      <c r="R3825"/>
      <c r="S3825"/>
      <c r="T3825"/>
      <c r="U3825"/>
      <c r="V3825"/>
      <c r="W3825" s="41"/>
      <c r="X3825" s="41"/>
      <c r="Y3825" s="41"/>
    </row>
    <row r="3826" s="27" customFormat="1" ht="23" hidden="1" customHeight="1" spans="1:25">
      <c r="A3826" s="133" t="str">
        <f>IF(B3826="","",COUNTA($B$5:B3826))</f>
        <v/>
      </c>
      <c r="B3826" s="148"/>
      <c r="C3826" s="22" t="s">
        <v>49</v>
      </c>
      <c r="D3826" s="149"/>
      <c r="E3826" s="150"/>
      <c r="F3826" s="151"/>
      <c r="G3826" s="151"/>
      <c r="H3826" s="142">
        <f>IFERROR(VLOOKUP($C3826,$C$5:$H$18,6,0)+SUMIF($C$19:$C3826,$C3826,$F$19:$F3826)-SUMIF($C$19:$C3826,$C3826,$G$19:$G3826),"")</f>
        <v>81211.819999998</v>
      </c>
      <c r="I3826" s="147"/>
      <c r="J3826" s="147"/>
      <c r="K3826" s="147" t="str">
        <f t="shared" si="59"/>
        <v/>
      </c>
      <c r="L3826" s="40"/>
      <c r="M3826"/>
      <c r="N3826"/>
      <c r="O3826"/>
      <c r="P3826"/>
      <c r="Q3826"/>
      <c r="R3826"/>
      <c r="S3826"/>
      <c r="T3826"/>
      <c r="U3826"/>
      <c r="V3826"/>
      <c r="W3826" s="41"/>
      <c r="X3826" s="41"/>
      <c r="Y3826" s="41"/>
    </row>
    <row r="3827" s="27" customFormat="1" ht="23" hidden="1" customHeight="1" spans="1:25">
      <c r="A3827" s="133" t="str">
        <f>IF(B3827="","",COUNTA($B$5:B3827))</f>
        <v/>
      </c>
      <c r="B3827" s="148"/>
      <c r="C3827" s="22" t="s">
        <v>49</v>
      </c>
      <c r="D3827" s="149"/>
      <c r="E3827" s="150"/>
      <c r="F3827" s="151"/>
      <c r="G3827" s="151"/>
      <c r="H3827" s="142">
        <f>IFERROR(VLOOKUP($C3827,$C$5:$H$18,6,0)+SUMIF($C$19:$C3827,$C3827,$F$19:$F3827)-SUMIF($C$19:$C3827,$C3827,$G$19:$G3827),"")</f>
        <v>81211.819999998</v>
      </c>
      <c r="I3827" s="147"/>
      <c r="J3827" s="147"/>
      <c r="K3827" s="147" t="str">
        <f t="shared" si="59"/>
        <v/>
      </c>
      <c r="L3827" s="40"/>
      <c r="M3827"/>
      <c r="N3827"/>
      <c r="O3827"/>
      <c r="P3827"/>
      <c r="Q3827"/>
      <c r="R3827"/>
      <c r="S3827"/>
      <c r="T3827"/>
      <c r="U3827"/>
      <c r="V3827"/>
      <c r="W3827" s="41"/>
      <c r="X3827" s="41"/>
      <c r="Y3827" s="41"/>
    </row>
    <row r="3828" s="27" customFormat="1" ht="23" hidden="1" customHeight="1" spans="1:25">
      <c r="A3828" s="133" t="str">
        <f>IF(B3828="","",COUNTA($B$5:B3828))</f>
        <v/>
      </c>
      <c r="B3828" s="148"/>
      <c r="C3828" s="22" t="s">
        <v>49</v>
      </c>
      <c r="D3828" s="149"/>
      <c r="E3828" s="150"/>
      <c r="F3828" s="151"/>
      <c r="G3828" s="151"/>
      <c r="H3828" s="142">
        <f>IFERROR(VLOOKUP($C3828,$C$5:$H$18,6,0)+SUMIF($C$19:$C3828,$C3828,$F$19:$F3828)-SUMIF($C$19:$C3828,$C3828,$G$19:$G3828),"")</f>
        <v>81211.819999998</v>
      </c>
      <c r="I3828" s="147"/>
      <c r="J3828" s="147"/>
      <c r="K3828" s="147" t="str">
        <f t="shared" si="59"/>
        <v/>
      </c>
      <c r="L3828" s="40"/>
      <c r="M3828"/>
      <c r="N3828"/>
      <c r="O3828"/>
      <c r="P3828"/>
      <c r="Q3828"/>
      <c r="R3828"/>
      <c r="S3828"/>
      <c r="T3828"/>
      <c r="U3828"/>
      <c r="V3828"/>
      <c r="W3828" s="41"/>
      <c r="X3828" s="41"/>
      <c r="Y3828" s="41"/>
    </row>
    <row r="3829" s="27" customFormat="1" ht="23" hidden="1" customHeight="1" spans="1:25">
      <c r="A3829" s="133" t="str">
        <f>IF(B3829="","",COUNTA($B$5:B3829))</f>
        <v/>
      </c>
      <c r="B3829" s="148"/>
      <c r="C3829" s="22" t="s">
        <v>49</v>
      </c>
      <c r="D3829" s="149"/>
      <c r="E3829" s="150"/>
      <c r="F3829" s="151"/>
      <c r="G3829" s="151"/>
      <c r="H3829" s="142">
        <f>IFERROR(VLOOKUP($C3829,$C$5:$H$18,6,0)+SUMIF($C$19:$C3829,$C3829,$F$19:$F3829)-SUMIF($C$19:$C3829,$C3829,$G$19:$G3829),"")</f>
        <v>81211.819999998</v>
      </c>
      <c r="I3829" s="147"/>
      <c r="J3829" s="147"/>
      <c r="K3829" s="147" t="str">
        <f t="shared" si="59"/>
        <v/>
      </c>
      <c r="L3829" s="40"/>
      <c r="M3829"/>
      <c r="N3829"/>
      <c r="O3829"/>
      <c r="P3829"/>
      <c r="Q3829"/>
      <c r="R3829"/>
      <c r="S3829"/>
      <c r="T3829"/>
      <c r="U3829"/>
      <c r="V3829"/>
      <c r="W3829" s="41"/>
      <c r="X3829" s="41"/>
      <c r="Y3829" s="41"/>
    </row>
    <row r="3830" s="27" customFormat="1" ht="23" hidden="1" customHeight="1" spans="1:25">
      <c r="A3830" s="133" t="str">
        <f>IF(B3830="","",COUNTA($B$5:B3830))</f>
        <v/>
      </c>
      <c r="B3830" s="148"/>
      <c r="C3830" s="22" t="s">
        <v>49</v>
      </c>
      <c r="D3830" s="149"/>
      <c r="E3830" s="150"/>
      <c r="F3830" s="151"/>
      <c r="G3830" s="151"/>
      <c r="H3830" s="142">
        <f>IFERROR(VLOOKUP($C3830,$C$5:$H$18,6,0)+SUMIF($C$19:$C3830,$C3830,$F$19:$F3830)-SUMIF($C$19:$C3830,$C3830,$G$19:$G3830),"")</f>
        <v>81211.819999998</v>
      </c>
      <c r="I3830" s="147"/>
      <c r="J3830" s="147"/>
      <c r="K3830" s="147" t="str">
        <f t="shared" si="59"/>
        <v/>
      </c>
      <c r="L3830" s="40"/>
      <c r="M3830"/>
      <c r="N3830"/>
      <c r="O3830"/>
      <c r="P3830"/>
      <c r="Q3830"/>
      <c r="R3830"/>
      <c r="S3830"/>
      <c r="T3830"/>
      <c r="U3830"/>
      <c r="V3830"/>
      <c r="W3830" s="41"/>
      <c r="X3830" s="41"/>
      <c r="Y3830" s="41"/>
    </row>
    <row r="3831" s="27" customFormat="1" ht="23" hidden="1" customHeight="1" spans="1:25">
      <c r="A3831" s="133" t="str">
        <f>IF(B3831="","",COUNTA($B$5:B3831))</f>
        <v/>
      </c>
      <c r="B3831" s="148"/>
      <c r="C3831" s="22" t="s">
        <v>49</v>
      </c>
      <c r="D3831" s="149"/>
      <c r="E3831" s="150"/>
      <c r="F3831" s="151"/>
      <c r="G3831" s="151"/>
      <c r="H3831" s="142">
        <f>IFERROR(VLOOKUP($C3831,$C$5:$H$18,6,0)+SUMIF($C$19:$C3831,$C3831,$F$19:$F3831)-SUMIF($C$19:$C3831,$C3831,$G$19:$G3831),"")</f>
        <v>81211.819999998</v>
      </c>
      <c r="I3831" s="147"/>
      <c r="J3831" s="147"/>
      <c r="K3831" s="147" t="str">
        <f t="shared" si="59"/>
        <v/>
      </c>
      <c r="L3831" s="40"/>
      <c r="M3831"/>
      <c r="N3831"/>
      <c r="O3831"/>
      <c r="P3831"/>
      <c r="Q3831"/>
      <c r="R3831"/>
      <c r="S3831"/>
      <c r="T3831"/>
      <c r="U3831"/>
      <c r="V3831"/>
      <c r="W3831" s="41"/>
      <c r="X3831" s="41"/>
      <c r="Y3831" s="41"/>
    </row>
    <row r="3832" s="27" customFormat="1" ht="23" hidden="1" customHeight="1" spans="1:25">
      <c r="A3832" s="133" t="str">
        <f>IF(B3832="","",COUNTA($B$5:B3832))</f>
        <v/>
      </c>
      <c r="B3832" s="148"/>
      <c r="C3832" s="22" t="s">
        <v>49</v>
      </c>
      <c r="D3832" s="149"/>
      <c r="E3832" s="150"/>
      <c r="F3832" s="151"/>
      <c r="G3832" s="151"/>
      <c r="H3832" s="142">
        <f>IFERROR(VLOOKUP($C3832,$C$5:$H$18,6,0)+SUMIF($C$19:$C3832,$C3832,$F$19:$F3832)-SUMIF($C$19:$C3832,$C3832,$G$19:$G3832),"")</f>
        <v>81211.819999998</v>
      </c>
      <c r="I3832" s="147"/>
      <c r="J3832" s="147"/>
      <c r="K3832" s="147" t="str">
        <f t="shared" si="59"/>
        <v/>
      </c>
      <c r="L3832" s="40"/>
      <c r="M3832"/>
      <c r="N3832"/>
      <c r="O3832"/>
      <c r="P3832"/>
      <c r="Q3832"/>
      <c r="R3832"/>
      <c r="S3832"/>
      <c r="T3832"/>
      <c r="U3832"/>
      <c r="V3832"/>
      <c r="W3832" s="41"/>
      <c r="X3832" s="41"/>
      <c r="Y3832" s="41"/>
    </row>
    <row r="3833" s="27" customFormat="1" ht="23" hidden="1" customHeight="1" spans="1:25">
      <c r="A3833" s="133" t="str">
        <f>IF(B3833="","",COUNTA($B$5:B3833))</f>
        <v/>
      </c>
      <c r="B3833" s="148"/>
      <c r="C3833" s="22" t="s">
        <v>49</v>
      </c>
      <c r="D3833" s="149"/>
      <c r="E3833" s="150"/>
      <c r="F3833" s="151"/>
      <c r="G3833" s="151"/>
      <c r="H3833" s="142">
        <f>IFERROR(VLOOKUP($C3833,$C$5:$H$18,6,0)+SUMIF($C$19:$C3833,$C3833,$F$19:$F3833)-SUMIF($C$19:$C3833,$C3833,$G$19:$G3833),"")</f>
        <v>81211.819999998</v>
      </c>
      <c r="I3833" s="147"/>
      <c r="J3833" s="147"/>
      <c r="K3833" s="147" t="str">
        <f t="shared" si="59"/>
        <v/>
      </c>
      <c r="L3833" s="40"/>
      <c r="M3833"/>
      <c r="N3833"/>
      <c r="O3833"/>
      <c r="P3833"/>
      <c r="Q3833"/>
      <c r="R3833"/>
      <c r="S3833"/>
      <c r="T3833"/>
      <c r="U3833"/>
      <c r="V3833"/>
      <c r="W3833" s="41"/>
      <c r="X3833" s="41"/>
      <c r="Y3833" s="41"/>
    </row>
    <row r="3834" s="27" customFormat="1" ht="23" hidden="1" customHeight="1" spans="1:25">
      <c r="A3834" s="133" t="str">
        <f>IF(B3834="","",COUNTA($B$5:B3834))</f>
        <v/>
      </c>
      <c r="B3834" s="148"/>
      <c r="C3834" s="22" t="s">
        <v>49</v>
      </c>
      <c r="D3834" s="149"/>
      <c r="E3834" s="150"/>
      <c r="F3834" s="151"/>
      <c r="G3834" s="151"/>
      <c r="H3834" s="142">
        <f>IFERROR(VLOOKUP($C3834,$C$5:$H$18,6,0)+SUMIF($C$19:$C3834,$C3834,$F$19:$F3834)-SUMIF($C$19:$C3834,$C3834,$G$19:$G3834),"")</f>
        <v>81211.819999998</v>
      </c>
      <c r="I3834" s="147"/>
      <c r="J3834" s="147"/>
      <c r="K3834" s="147" t="str">
        <f t="shared" si="59"/>
        <v/>
      </c>
      <c r="L3834" s="40"/>
      <c r="M3834"/>
      <c r="N3834"/>
      <c r="O3834"/>
      <c r="P3834"/>
      <c r="Q3834"/>
      <c r="R3834"/>
      <c r="S3834"/>
      <c r="T3834"/>
      <c r="U3834"/>
      <c r="V3834"/>
      <c r="W3834" s="41"/>
      <c r="X3834" s="41"/>
      <c r="Y3834" s="41"/>
    </row>
    <row r="3835" s="27" customFormat="1" ht="23" hidden="1" customHeight="1" spans="1:25">
      <c r="A3835" s="133" t="str">
        <f>IF(B3835="","",COUNTA($B$5:B3835))</f>
        <v/>
      </c>
      <c r="B3835" s="148"/>
      <c r="C3835" s="22" t="s">
        <v>49</v>
      </c>
      <c r="D3835" s="149"/>
      <c r="E3835" s="150"/>
      <c r="F3835" s="151"/>
      <c r="G3835" s="151"/>
      <c r="H3835" s="142">
        <f>IFERROR(VLOOKUP($C3835,$C$5:$H$18,6,0)+SUMIF($C$19:$C3835,$C3835,$F$19:$F3835)-SUMIF($C$19:$C3835,$C3835,$G$19:$G3835),"")</f>
        <v>81211.819999998</v>
      </c>
      <c r="I3835" s="147"/>
      <c r="J3835" s="147"/>
      <c r="K3835" s="147" t="str">
        <f t="shared" si="59"/>
        <v/>
      </c>
      <c r="L3835" s="40"/>
      <c r="M3835"/>
      <c r="N3835"/>
      <c r="O3835"/>
      <c r="P3835"/>
      <c r="Q3835"/>
      <c r="R3835"/>
      <c r="S3835"/>
      <c r="T3835"/>
      <c r="U3835"/>
      <c r="V3835"/>
      <c r="W3835" s="41"/>
      <c r="X3835" s="41"/>
      <c r="Y3835" s="41"/>
    </row>
    <row r="3836" s="27" customFormat="1" ht="23" hidden="1" customHeight="1" spans="1:25">
      <c r="A3836" s="133" t="str">
        <f>IF(B3836="","",COUNTA($B$5:B3836))</f>
        <v/>
      </c>
      <c r="B3836" s="148"/>
      <c r="C3836" s="22" t="s">
        <v>49</v>
      </c>
      <c r="D3836" s="149"/>
      <c r="E3836" s="150"/>
      <c r="F3836" s="151"/>
      <c r="G3836" s="151"/>
      <c r="H3836" s="142">
        <f>IFERROR(VLOOKUP($C3836,$C$5:$H$18,6,0)+SUMIF($C$19:$C3836,$C3836,$F$19:$F3836)-SUMIF($C$19:$C3836,$C3836,$G$19:$G3836),"")</f>
        <v>81211.819999998</v>
      </c>
      <c r="I3836" s="147"/>
      <c r="J3836" s="147"/>
      <c r="K3836" s="147" t="str">
        <f t="shared" si="59"/>
        <v/>
      </c>
      <c r="L3836" s="40"/>
      <c r="M3836"/>
      <c r="N3836"/>
      <c r="O3836"/>
      <c r="P3836"/>
      <c r="Q3836"/>
      <c r="R3836"/>
      <c r="S3836"/>
      <c r="T3836"/>
      <c r="U3836"/>
      <c r="V3836"/>
      <c r="W3836" s="41"/>
      <c r="X3836" s="41"/>
      <c r="Y3836" s="41"/>
    </row>
    <row r="3837" s="27" customFormat="1" ht="23" hidden="1" customHeight="1" spans="1:25">
      <c r="A3837" s="133" t="str">
        <f>IF(B3837="","",COUNTA($B$5:B3837))</f>
        <v/>
      </c>
      <c r="B3837" s="148"/>
      <c r="C3837" s="22" t="s">
        <v>49</v>
      </c>
      <c r="D3837" s="149"/>
      <c r="E3837" s="150"/>
      <c r="F3837" s="151"/>
      <c r="G3837" s="151"/>
      <c r="H3837" s="142">
        <f>IFERROR(VLOOKUP($C3837,$C$5:$H$18,6,0)+SUMIF($C$19:$C3837,$C3837,$F$19:$F3837)-SUMIF($C$19:$C3837,$C3837,$G$19:$G3837),"")</f>
        <v>81211.819999998</v>
      </c>
      <c r="I3837" s="147"/>
      <c r="J3837" s="147"/>
      <c r="K3837" s="147" t="str">
        <f t="shared" si="59"/>
        <v/>
      </c>
      <c r="L3837" s="40"/>
      <c r="M3837"/>
      <c r="N3837"/>
      <c r="O3837"/>
      <c r="P3837"/>
      <c r="Q3837"/>
      <c r="R3837"/>
      <c r="S3837"/>
      <c r="T3837"/>
      <c r="U3837"/>
      <c r="V3837"/>
      <c r="W3837" s="41"/>
      <c r="X3837" s="41"/>
      <c r="Y3837" s="41"/>
    </row>
    <row r="3838" s="27" customFormat="1" ht="23" hidden="1" customHeight="1" spans="1:25">
      <c r="A3838" s="133" t="str">
        <f>IF(B3838="","",COUNTA($B$5:B3838))</f>
        <v/>
      </c>
      <c r="B3838" s="148"/>
      <c r="C3838" s="22" t="s">
        <v>49</v>
      </c>
      <c r="D3838" s="149"/>
      <c r="E3838" s="150"/>
      <c r="F3838" s="151"/>
      <c r="G3838" s="151"/>
      <c r="H3838" s="142">
        <f>IFERROR(VLOOKUP($C3838,$C$5:$H$18,6,0)+SUMIF($C$19:$C3838,$C3838,$F$19:$F3838)-SUMIF($C$19:$C3838,$C3838,$G$19:$G3838),"")</f>
        <v>81211.819999998</v>
      </c>
      <c r="I3838" s="147"/>
      <c r="J3838" s="147"/>
      <c r="K3838" s="147" t="str">
        <f t="shared" si="59"/>
        <v/>
      </c>
      <c r="L3838" s="40"/>
      <c r="M3838"/>
      <c r="N3838"/>
      <c r="O3838"/>
      <c r="P3838"/>
      <c r="Q3838"/>
      <c r="R3838"/>
      <c r="S3838"/>
      <c r="T3838"/>
      <c r="U3838"/>
      <c r="V3838"/>
      <c r="W3838" s="41"/>
      <c r="X3838" s="41"/>
      <c r="Y3838" s="41"/>
    </row>
    <row r="3839" s="27" customFormat="1" ht="23" hidden="1" customHeight="1" spans="1:25">
      <c r="A3839" s="133" t="str">
        <f>IF(B3839="","",COUNTA($B$5:B3839))</f>
        <v/>
      </c>
      <c r="B3839" s="148"/>
      <c r="C3839" s="22" t="s">
        <v>49</v>
      </c>
      <c r="D3839" s="149"/>
      <c r="E3839" s="150"/>
      <c r="F3839" s="151"/>
      <c r="G3839" s="151"/>
      <c r="H3839" s="142">
        <f>IFERROR(VLOOKUP($C3839,$C$5:$H$18,6,0)+SUMIF($C$19:$C3839,$C3839,$F$19:$F3839)-SUMIF($C$19:$C3839,$C3839,$G$19:$G3839),"")</f>
        <v>81211.819999998</v>
      </c>
      <c r="I3839" s="147"/>
      <c r="J3839" s="147"/>
      <c r="K3839" s="147" t="str">
        <f t="shared" si="59"/>
        <v/>
      </c>
      <c r="L3839" s="40"/>
      <c r="M3839"/>
      <c r="N3839"/>
      <c r="O3839"/>
      <c r="P3839"/>
      <c r="Q3839"/>
      <c r="R3839"/>
      <c r="S3839"/>
      <c r="T3839"/>
      <c r="U3839"/>
      <c r="V3839"/>
      <c r="W3839" s="41"/>
      <c r="X3839" s="41"/>
      <c r="Y3839" s="41"/>
    </row>
    <row r="3840" s="27" customFormat="1" ht="23" hidden="1" customHeight="1" spans="1:25">
      <c r="A3840" s="133" t="str">
        <f>IF(B3840="","",COUNTA($B$5:B3840))</f>
        <v/>
      </c>
      <c r="B3840" s="148"/>
      <c r="C3840" s="22" t="s">
        <v>49</v>
      </c>
      <c r="D3840" s="149"/>
      <c r="E3840" s="150"/>
      <c r="F3840" s="151"/>
      <c r="G3840" s="151"/>
      <c r="H3840" s="142">
        <f>IFERROR(VLOOKUP($C3840,$C$5:$H$18,6,0)+SUMIF($C$19:$C3840,$C3840,$F$19:$F3840)-SUMIF($C$19:$C3840,$C3840,$G$19:$G3840),"")</f>
        <v>81211.819999998</v>
      </c>
      <c r="I3840" s="147"/>
      <c r="J3840" s="147"/>
      <c r="K3840" s="147" t="str">
        <f t="shared" si="59"/>
        <v/>
      </c>
      <c r="L3840" s="40"/>
      <c r="M3840"/>
      <c r="N3840"/>
      <c r="O3840"/>
      <c r="P3840"/>
      <c r="Q3840"/>
      <c r="R3840"/>
      <c r="S3840"/>
      <c r="T3840"/>
      <c r="U3840"/>
      <c r="V3840"/>
      <c r="W3840" s="41"/>
      <c r="X3840" s="41"/>
      <c r="Y3840" s="41"/>
    </row>
    <row r="3841" s="27" customFormat="1" ht="23" hidden="1" customHeight="1" spans="1:25">
      <c r="A3841" s="133" t="str">
        <f>IF(B3841="","",COUNTA($B$5:B3841))</f>
        <v/>
      </c>
      <c r="B3841" s="148"/>
      <c r="C3841" s="22" t="s">
        <v>49</v>
      </c>
      <c r="D3841" s="149"/>
      <c r="E3841" s="150"/>
      <c r="F3841" s="151"/>
      <c r="G3841" s="151"/>
      <c r="H3841" s="142">
        <f>IFERROR(VLOOKUP($C3841,$C$5:$H$18,6,0)+SUMIF($C$19:$C3841,$C3841,$F$19:$F3841)-SUMIF($C$19:$C3841,$C3841,$G$19:$G3841),"")</f>
        <v>81211.819999998</v>
      </c>
      <c r="I3841" s="147"/>
      <c r="J3841" s="147"/>
      <c r="K3841" s="147" t="str">
        <f t="shared" si="59"/>
        <v/>
      </c>
      <c r="L3841" s="40"/>
      <c r="M3841"/>
      <c r="N3841"/>
      <c r="O3841"/>
      <c r="P3841"/>
      <c r="Q3841"/>
      <c r="R3841"/>
      <c r="S3841"/>
      <c r="T3841"/>
      <c r="U3841"/>
      <c r="V3841"/>
      <c r="W3841" s="41"/>
      <c r="X3841" s="41"/>
      <c r="Y3841" s="41"/>
    </row>
    <row r="3842" s="27" customFormat="1" ht="23" hidden="1" customHeight="1" spans="1:25">
      <c r="A3842" s="133" t="str">
        <f>IF(B3842="","",COUNTA($B$5:B3842))</f>
        <v/>
      </c>
      <c r="B3842" s="148"/>
      <c r="C3842" s="22" t="s">
        <v>49</v>
      </c>
      <c r="D3842" s="149"/>
      <c r="E3842" s="150"/>
      <c r="F3842" s="151"/>
      <c r="G3842" s="151"/>
      <c r="H3842" s="142">
        <f>IFERROR(VLOOKUP($C3842,$C$5:$H$18,6,0)+SUMIF($C$19:$C3842,$C3842,$F$19:$F3842)-SUMIF($C$19:$C3842,$C3842,$G$19:$G3842),"")</f>
        <v>81211.819999998</v>
      </c>
      <c r="I3842" s="147"/>
      <c r="J3842" s="147"/>
      <c r="K3842" s="147" t="str">
        <f t="shared" si="59"/>
        <v/>
      </c>
      <c r="L3842" s="40"/>
      <c r="M3842"/>
      <c r="N3842"/>
      <c r="O3842"/>
      <c r="P3842"/>
      <c r="Q3842"/>
      <c r="R3842"/>
      <c r="S3842"/>
      <c r="T3842"/>
      <c r="U3842"/>
      <c r="V3842"/>
      <c r="W3842" s="41"/>
      <c r="X3842" s="41"/>
      <c r="Y3842" s="41"/>
    </row>
    <row r="3843" s="27" customFormat="1" ht="23" hidden="1" customHeight="1" spans="1:25">
      <c r="A3843" s="133" t="str">
        <f>IF(B3843="","",COUNTA($B$5:B3843))</f>
        <v/>
      </c>
      <c r="B3843" s="148"/>
      <c r="C3843" s="22" t="s">
        <v>49</v>
      </c>
      <c r="D3843" s="149"/>
      <c r="E3843" s="150"/>
      <c r="F3843" s="151"/>
      <c r="G3843" s="151"/>
      <c r="H3843" s="142">
        <f>IFERROR(VLOOKUP($C3843,$C$5:$H$18,6,0)+SUMIF($C$19:$C3843,$C3843,$F$19:$F3843)-SUMIF($C$19:$C3843,$C3843,$G$19:$G3843),"")</f>
        <v>81211.819999998</v>
      </c>
      <c r="I3843" s="147"/>
      <c r="J3843" s="147"/>
      <c r="K3843" s="147" t="str">
        <f t="shared" si="59"/>
        <v/>
      </c>
      <c r="L3843" s="40"/>
      <c r="M3843"/>
      <c r="N3843"/>
      <c r="O3843"/>
      <c r="P3843"/>
      <c r="Q3843"/>
      <c r="R3843"/>
      <c r="S3843"/>
      <c r="T3843"/>
      <c r="U3843"/>
      <c r="V3843"/>
      <c r="W3843" s="41"/>
      <c r="X3843" s="41"/>
      <c r="Y3843" s="41"/>
    </row>
    <row r="3844" s="27" customFormat="1" ht="23" hidden="1" customHeight="1" spans="1:25">
      <c r="A3844" s="133" t="str">
        <f>IF(B3844="","",COUNTA($B$5:B3844))</f>
        <v/>
      </c>
      <c r="B3844" s="148"/>
      <c r="C3844" s="22" t="s">
        <v>49</v>
      </c>
      <c r="D3844" s="149"/>
      <c r="E3844" s="150"/>
      <c r="F3844" s="151"/>
      <c r="G3844" s="151"/>
      <c r="H3844" s="142">
        <f>IFERROR(VLOOKUP($C3844,$C$5:$H$18,6,0)+SUMIF($C$19:$C3844,$C3844,$F$19:$F3844)-SUMIF($C$19:$C3844,$C3844,$G$19:$G3844),"")</f>
        <v>81211.819999998</v>
      </c>
      <c r="I3844" s="147"/>
      <c r="J3844" s="147"/>
      <c r="K3844" s="147" t="str">
        <f t="shared" si="59"/>
        <v/>
      </c>
      <c r="L3844" s="40"/>
      <c r="M3844"/>
      <c r="N3844"/>
      <c r="O3844"/>
      <c r="P3844"/>
      <c r="Q3844"/>
      <c r="R3844"/>
      <c r="S3844"/>
      <c r="T3844"/>
      <c r="U3844"/>
      <c r="V3844"/>
      <c r="W3844" s="41"/>
      <c r="X3844" s="41"/>
      <c r="Y3844" s="41"/>
    </row>
    <row r="3845" s="27" customFormat="1" ht="23" hidden="1" customHeight="1" spans="1:25">
      <c r="A3845" s="133" t="str">
        <f>IF(B3845="","",COUNTA($B$5:B3845))</f>
        <v/>
      </c>
      <c r="B3845" s="148"/>
      <c r="C3845" s="22" t="s">
        <v>49</v>
      </c>
      <c r="D3845" s="149"/>
      <c r="E3845" s="150"/>
      <c r="F3845" s="151"/>
      <c r="G3845" s="151"/>
      <c r="H3845" s="142">
        <f>IFERROR(VLOOKUP($C3845,$C$5:$H$18,6,0)+SUMIF($C$19:$C3845,$C3845,$F$19:$F3845)-SUMIF($C$19:$C3845,$C3845,$G$19:$G3845),"")</f>
        <v>81211.819999998</v>
      </c>
      <c r="I3845" s="147"/>
      <c r="J3845" s="147"/>
      <c r="K3845" s="147" t="str">
        <f t="shared" ref="K3845:K3908" si="60">IF($B3845="","",--TEXT($B3845,"yyyymm"))</f>
        <v/>
      </c>
      <c r="L3845" s="40"/>
      <c r="M3845"/>
      <c r="N3845"/>
      <c r="O3845"/>
      <c r="P3845"/>
      <c r="Q3845"/>
      <c r="R3845"/>
      <c r="S3845"/>
      <c r="T3845"/>
      <c r="U3845"/>
      <c r="V3845"/>
      <c r="W3845" s="41"/>
      <c r="X3845" s="41"/>
      <c r="Y3845" s="41"/>
    </row>
    <row r="3846" s="27" customFormat="1" ht="23" hidden="1" customHeight="1" spans="1:25">
      <c r="A3846" s="133" t="str">
        <f>IF(B3846="","",COUNTA($B$5:B3846))</f>
        <v/>
      </c>
      <c r="B3846" s="148"/>
      <c r="C3846" s="22" t="s">
        <v>49</v>
      </c>
      <c r="D3846" s="149"/>
      <c r="E3846" s="150"/>
      <c r="F3846" s="151"/>
      <c r="G3846" s="151"/>
      <c r="H3846" s="142">
        <f>IFERROR(VLOOKUP($C3846,$C$5:$H$18,6,0)+SUMIF($C$19:$C3846,$C3846,$F$19:$F3846)-SUMIF($C$19:$C3846,$C3846,$G$19:$G3846),"")</f>
        <v>81211.819999998</v>
      </c>
      <c r="I3846" s="147"/>
      <c r="J3846" s="147"/>
      <c r="K3846" s="147" t="str">
        <f t="shared" si="60"/>
        <v/>
      </c>
      <c r="L3846" s="40"/>
      <c r="M3846"/>
      <c r="N3846"/>
      <c r="O3846"/>
      <c r="P3846"/>
      <c r="Q3846"/>
      <c r="R3846"/>
      <c r="S3846"/>
      <c r="T3846"/>
      <c r="U3846"/>
      <c r="V3846"/>
      <c r="W3846" s="41"/>
      <c r="X3846" s="41"/>
      <c r="Y3846" s="41"/>
    </row>
    <row r="3847" s="27" customFormat="1" ht="23" hidden="1" customHeight="1" spans="1:25">
      <c r="A3847" s="133" t="str">
        <f>IF(B3847="","",COUNTA($B$5:B3847))</f>
        <v/>
      </c>
      <c r="B3847" s="148"/>
      <c r="C3847" s="22" t="s">
        <v>49</v>
      </c>
      <c r="D3847" s="149"/>
      <c r="E3847" s="150"/>
      <c r="F3847" s="151"/>
      <c r="G3847" s="151"/>
      <c r="H3847" s="142">
        <f>IFERROR(VLOOKUP($C3847,$C$5:$H$18,6,0)+SUMIF($C$19:$C3847,$C3847,$F$19:$F3847)-SUMIF($C$19:$C3847,$C3847,$G$19:$G3847),"")</f>
        <v>81211.819999998</v>
      </c>
      <c r="I3847" s="147"/>
      <c r="J3847" s="147"/>
      <c r="K3847" s="147" t="str">
        <f t="shared" si="60"/>
        <v/>
      </c>
      <c r="L3847" s="40"/>
      <c r="M3847"/>
      <c r="N3847"/>
      <c r="O3847"/>
      <c r="P3847"/>
      <c r="Q3847"/>
      <c r="R3847"/>
      <c r="S3847"/>
      <c r="T3847"/>
      <c r="U3847"/>
      <c r="V3847"/>
      <c r="W3847" s="41"/>
      <c r="X3847" s="41"/>
      <c r="Y3847" s="41"/>
    </row>
    <row r="3848" s="27" customFormat="1" ht="23" hidden="1" customHeight="1" spans="1:25">
      <c r="A3848" s="133" t="str">
        <f>IF(B3848="","",COUNTA($B$5:B3848))</f>
        <v/>
      </c>
      <c r="B3848" s="148"/>
      <c r="C3848" s="22" t="s">
        <v>49</v>
      </c>
      <c r="D3848" s="149"/>
      <c r="E3848" s="150"/>
      <c r="F3848" s="151"/>
      <c r="G3848" s="151"/>
      <c r="H3848" s="142">
        <f>IFERROR(VLOOKUP($C3848,$C$5:$H$18,6,0)+SUMIF($C$19:$C3848,$C3848,$F$19:$F3848)-SUMIF($C$19:$C3848,$C3848,$G$19:$G3848),"")</f>
        <v>81211.819999998</v>
      </c>
      <c r="I3848" s="147"/>
      <c r="J3848" s="147"/>
      <c r="K3848" s="147" t="str">
        <f t="shared" si="60"/>
        <v/>
      </c>
      <c r="L3848" s="40"/>
      <c r="M3848"/>
      <c r="N3848"/>
      <c r="O3848"/>
      <c r="P3848"/>
      <c r="Q3848"/>
      <c r="R3848"/>
      <c r="S3848"/>
      <c r="T3848"/>
      <c r="U3848"/>
      <c r="V3848"/>
      <c r="W3848" s="41"/>
      <c r="X3848" s="41"/>
      <c r="Y3848" s="41"/>
    </row>
    <row r="3849" s="27" customFormat="1" ht="23" hidden="1" customHeight="1" spans="1:25">
      <c r="A3849" s="133" t="str">
        <f>IF(B3849="","",COUNTA($B$5:B3849))</f>
        <v/>
      </c>
      <c r="B3849" s="148"/>
      <c r="C3849" s="22" t="s">
        <v>49</v>
      </c>
      <c r="D3849" s="149"/>
      <c r="E3849" s="150"/>
      <c r="F3849" s="151"/>
      <c r="G3849" s="151"/>
      <c r="H3849" s="142">
        <f>IFERROR(VLOOKUP($C3849,$C$5:$H$18,6,0)+SUMIF($C$19:$C3849,$C3849,$F$19:$F3849)-SUMIF($C$19:$C3849,$C3849,$G$19:$G3849),"")</f>
        <v>81211.819999998</v>
      </c>
      <c r="I3849" s="147"/>
      <c r="J3849" s="147"/>
      <c r="K3849" s="147" t="str">
        <f t="shared" si="60"/>
        <v/>
      </c>
      <c r="L3849" s="40"/>
      <c r="M3849"/>
      <c r="N3849"/>
      <c r="O3849"/>
      <c r="P3849"/>
      <c r="Q3849"/>
      <c r="R3849"/>
      <c r="S3849"/>
      <c r="T3849"/>
      <c r="U3849"/>
      <c r="V3849"/>
      <c r="W3849" s="41"/>
      <c r="X3849" s="41"/>
      <c r="Y3849" s="41"/>
    </row>
    <row r="3850" s="27" customFormat="1" ht="23" hidden="1" customHeight="1" spans="1:25">
      <c r="A3850" s="133" t="str">
        <f>IF(B3850="","",COUNTA($B$5:B3850))</f>
        <v/>
      </c>
      <c r="B3850" s="148"/>
      <c r="C3850" s="22" t="s">
        <v>49</v>
      </c>
      <c r="D3850" s="149"/>
      <c r="E3850" s="150"/>
      <c r="F3850" s="151"/>
      <c r="G3850" s="151"/>
      <c r="H3850" s="142">
        <f>IFERROR(VLOOKUP($C3850,$C$5:$H$18,6,0)+SUMIF($C$19:$C3850,$C3850,$F$19:$F3850)-SUMIF($C$19:$C3850,$C3850,$G$19:$G3850),"")</f>
        <v>81211.819999998</v>
      </c>
      <c r="I3850" s="147"/>
      <c r="J3850" s="147"/>
      <c r="K3850" s="147" t="str">
        <f t="shared" si="60"/>
        <v/>
      </c>
      <c r="L3850" s="40"/>
      <c r="M3850"/>
      <c r="N3850"/>
      <c r="O3850"/>
      <c r="P3850"/>
      <c r="Q3850"/>
      <c r="R3850"/>
      <c r="S3850"/>
      <c r="T3850"/>
      <c r="U3850"/>
      <c r="V3850"/>
      <c r="W3850" s="41"/>
      <c r="X3850" s="41"/>
      <c r="Y3850" s="41"/>
    </row>
    <row r="3851" s="27" customFormat="1" ht="23" hidden="1" customHeight="1" spans="1:25">
      <c r="A3851" s="133" t="str">
        <f>IF(B3851="","",COUNTA($B$5:B3851))</f>
        <v/>
      </c>
      <c r="B3851" s="148"/>
      <c r="C3851" s="22" t="s">
        <v>49</v>
      </c>
      <c r="D3851" s="149"/>
      <c r="E3851" s="150"/>
      <c r="F3851" s="151"/>
      <c r="G3851" s="151"/>
      <c r="H3851" s="142">
        <f>IFERROR(VLOOKUP($C3851,$C$5:$H$18,6,0)+SUMIF($C$19:$C3851,$C3851,$F$19:$F3851)-SUMIF($C$19:$C3851,$C3851,$G$19:$G3851),"")</f>
        <v>81211.819999998</v>
      </c>
      <c r="I3851" s="147"/>
      <c r="J3851" s="147"/>
      <c r="K3851" s="147" t="str">
        <f t="shared" si="60"/>
        <v/>
      </c>
      <c r="L3851" s="40"/>
      <c r="M3851"/>
      <c r="N3851"/>
      <c r="O3851"/>
      <c r="P3851"/>
      <c r="Q3851"/>
      <c r="R3851"/>
      <c r="S3851"/>
      <c r="T3851"/>
      <c r="U3851"/>
      <c r="V3851"/>
      <c r="W3851" s="41"/>
      <c r="X3851" s="41"/>
      <c r="Y3851" s="41"/>
    </row>
    <row r="3852" s="27" customFormat="1" ht="23" hidden="1" customHeight="1" spans="1:25">
      <c r="A3852" s="133" t="str">
        <f>IF(B3852="","",COUNTA($B$5:B3852))</f>
        <v/>
      </c>
      <c r="B3852" s="148"/>
      <c r="C3852" s="22" t="s">
        <v>49</v>
      </c>
      <c r="D3852" s="149"/>
      <c r="E3852" s="150"/>
      <c r="F3852" s="151"/>
      <c r="G3852" s="151"/>
      <c r="H3852" s="142">
        <f>IFERROR(VLOOKUP($C3852,$C$5:$H$18,6,0)+SUMIF($C$19:$C3852,$C3852,$F$19:$F3852)-SUMIF($C$19:$C3852,$C3852,$G$19:$G3852),"")</f>
        <v>81211.819999998</v>
      </c>
      <c r="I3852" s="147"/>
      <c r="J3852" s="147"/>
      <c r="K3852" s="147" t="str">
        <f t="shared" si="60"/>
        <v/>
      </c>
      <c r="L3852" s="40"/>
      <c r="M3852"/>
      <c r="N3852"/>
      <c r="O3852"/>
      <c r="P3852"/>
      <c r="Q3852"/>
      <c r="R3852"/>
      <c r="S3852"/>
      <c r="T3852"/>
      <c r="U3852"/>
      <c r="V3852"/>
      <c r="W3852" s="41"/>
      <c r="X3852" s="41"/>
      <c r="Y3852" s="41"/>
    </row>
    <row r="3853" s="27" customFormat="1" ht="23" hidden="1" customHeight="1" spans="1:25">
      <c r="A3853" s="133" t="str">
        <f>IF(B3853="","",COUNTA($B$5:B3853))</f>
        <v/>
      </c>
      <c r="B3853" s="148"/>
      <c r="C3853" s="22" t="s">
        <v>49</v>
      </c>
      <c r="D3853" s="149"/>
      <c r="E3853" s="150"/>
      <c r="F3853" s="151"/>
      <c r="G3853" s="151"/>
      <c r="H3853" s="142">
        <f>IFERROR(VLOOKUP($C3853,$C$5:$H$18,6,0)+SUMIF($C$19:$C3853,$C3853,$F$19:$F3853)-SUMIF($C$19:$C3853,$C3853,$G$19:$G3853),"")</f>
        <v>81211.819999998</v>
      </c>
      <c r="I3853" s="147"/>
      <c r="J3853" s="147"/>
      <c r="K3853" s="147" t="str">
        <f t="shared" si="60"/>
        <v/>
      </c>
      <c r="L3853" s="40"/>
      <c r="M3853"/>
      <c r="N3853"/>
      <c r="O3853"/>
      <c r="P3853"/>
      <c r="Q3853"/>
      <c r="R3853"/>
      <c r="S3853"/>
      <c r="T3853"/>
      <c r="U3853"/>
      <c r="V3853"/>
      <c r="W3853" s="41"/>
      <c r="X3853" s="41"/>
      <c r="Y3853" s="41"/>
    </row>
    <row r="3854" s="27" customFormat="1" ht="23" hidden="1" customHeight="1" spans="1:25">
      <c r="A3854" s="133" t="str">
        <f>IF(B3854="","",COUNTA($B$5:B3854))</f>
        <v/>
      </c>
      <c r="B3854" s="148"/>
      <c r="C3854" s="22" t="s">
        <v>49</v>
      </c>
      <c r="D3854" s="149"/>
      <c r="E3854" s="150"/>
      <c r="F3854" s="151"/>
      <c r="G3854" s="151"/>
      <c r="H3854" s="142">
        <f>IFERROR(VLOOKUP($C3854,$C$5:$H$18,6,0)+SUMIF($C$19:$C3854,$C3854,$F$19:$F3854)-SUMIF($C$19:$C3854,$C3854,$G$19:$G3854),"")</f>
        <v>81211.819999998</v>
      </c>
      <c r="I3854" s="147"/>
      <c r="J3854" s="147"/>
      <c r="K3854" s="147" t="str">
        <f t="shared" si="60"/>
        <v/>
      </c>
      <c r="L3854" s="40"/>
      <c r="M3854"/>
      <c r="N3854"/>
      <c r="O3854"/>
      <c r="P3854"/>
      <c r="Q3854"/>
      <c r="R3854"/>
      <c r="S3854"/>
      <c r="T3854"/>
      <c r="U3854"/>
      <c r="V3854"/>
      <c r="W3854" s="41"/>
      <c r="X3854" s="41"/>
      <c r="Y3854" s="41"/>
    </row>
    <row r="3855" s="27" customFormat="1" ht="23" hidden="1" customHeight="1" spans="1:25">
      <c r="A3855" s="133" t="str">
        <f>IF(B3855="","",COUNTA($B$5:B3855))</f>
        <v/>
      </c>
      <c r="B3855" s="148"/>
      <c r="C3855" s="22" t="s">
        <v>49</v>
      </c>
      <c r="D3855" s="149"/>
      <c r="E3855" s="150"/>
      <c r="F3855" s="151"/>
      <c r="G3855" s="151"/>
      <c r="H3855" s="142">
        <f>IFERROR(VLOOKUP($C3855,$C$5:$H$18,6,0)+SUMIF($C$19:$C3855,$C3855,$F$19:$F3855)-SUMIF($C$19:$C3855,$C3855,$G$19:$G3855),"")</f>
        <v>81211.819999998</v>
      </c>
      <c r="I3855" s="147"/>
      <c r="J3855" s="147"/>
      <c r="K3855" s="147" t="str">
        <f t="shared" si="60"/>
        <v/>
      </c>
      <c r="L3855" s="40"/>
      <c r="M3855"/>
      <c r="N3855"/>
      <c r="O3855"/>
      <c r="P3855"/>
      <c r="Q3855"/>
      <c r="R3855"/>
      <c r="S3855"/>
      <c r="T3855"/>
      <c r="U3855"/>
      <c r="V3855"/>
      <c r="W3855" s="41"/>
      <c r="X3855" s="41"/>
      <c r="Y3855" s="41"/>
    </row>
    <row r="3856" s="27" customFormat="1" ht="23" hidden="1" customHeight="1" spans="1:25">
      <c r="A3856" s="133" t="str">
        <f>IF(B3856="","",COUNTA($B$5:B3856))</f>
        <v/>
      </c>
      <c r="B3856" s="148"/>
      <c r="C3856" s="22" t="s">
        <v>49</v>
      </c>
      <c r="D3856" s="149"/>
      <c r="E3856" s="150"/>
      <c r="F3856" s="151"/>
      <c r="G3856" s="151"/>
      <c r="H3856" s="142">
        <f>IFERROR(VLOOKUP($C3856,$C$5:$H$18,6,0)+SUMIF($C$19:$C3856,$C3856,$F$19:$F3856)-SUMIF($C$19:$C3856,$C3856,$G$19:$G3856),"")</f>
        <v>81211.819999998</v>
      </c>
      <c r="I3856" s="147"/>
      <c r="J3856" s="147"/>
      <c r="K3856" s="147" t="str">
        <f t="shared" si="60"/>
        <v/>
      </c>
      <c r="L3856" s="40"/>
      <c r="M3856"/>
      <c r="N3856"/>
      <c r="O3856"/>
      <c r="P3856"/>
      <c r="Q3856"/>
      <c r="R3856"/>
      <c r="S3856"/>
      <c r="T3856"/>
      <c r="U3856"/>
      <c r="V3856"/>
      <c r="W3856" s="41"/>
      <c r="X3856" s="41"/>
      <c r="Y3856" s="41"/>
    </row>
    <row r="3857" s="27" customFormat="1" ht="23" hidden="1" customHeight="1" spans="1:25">
      <c r="A3857" s="133" t="str">
        <f>IF(B3857="","",COUNTA($B$5:B3857))</f>
        <v/>
      </c>
      <c r="B3857" s="148"/>
      <c r="C3857" s="22" t="s">
        <v>49</v>
      </c>
      <c r="D3857" s="149"/>
      <c r="E3857" s="150"/>
      <c r="F3857" s="151"/>
      <c r="G3857" s="151"/>
      <c r="H3857" s="142">
        <f>IFERROR(VLOOKUP($C3857,$C$5:$H$18,6,0)+SUMIF($C$19:$C3857,$C3857,$F$19:$F3857)-SUMIF($C$19:$C3857,$C3857,$G$19:$G3857),"")</f>
        <v>81211.819999998</v>
      </c>
      <c r="I3857" s="147"/>
      <c r="J3857" s="147"/>
      <c r="K3857" s="147" t="str">
        <f t="shared" si="60"/>
        <v/>
      </c>
      <c r="L3857" s="40"/>
      <c r="M3857"/>
      <c r="N3857"/>
      <c r="O3857"/>
      <c r="P3857"/>
      <c r="Q3857"/>
      <c r="R3857"/>
      <c r="S3857"/>
      <c r="T3857"/>
      <c r="U3857"/>
      <c r="V3857"/>
      <c r="W3857" s="41"/>
      <c r="X3857" s="41"/>
      <c r="Y3857" s="41"/>
    </row>
    <row r="3858" s="27" customFormat="1" ht="23" hidden="1" customHeight="1" spans="1:25">
      <c r="A3858" s="133" t="str">
        <f>IF(B3858="","",COUNTA($B$5:B3858))</f>
        <v/>
      </c>
      <c r="B3858" s="148"/>
      <c r="C3858" s="22" t="s">
        <v>49</v>
      </c>
      <c r="D3858" s="149"/>
      <c r="E3858" s="150"/>
      <c r="F3858" s="151"/>
      <c r="G3858" s="151"/>
      <c r="H3858" s="142">
        <f>IFERROR(VLOOKUP($C3858,$C$5:$H$18,6,0)+SUMIF($C$19:$C3858,$C3858,$F$19:$F3858)-SUMIF($C$19:$C3858,$C3858,$G$19:$G3858),"")</f>
        <v>81211.819999998</v>
      </c>
      <c r="I3858" s="147"/>
      <c r="J3858" s="147"/>
      <c r="K3858" s="147" t="str">
        <f t="shared" si="60"/>
        <v/>
      </c>
      <c r="L3858" s="40"/>
      <c r="M3858"/>
      <c r="N3858"/>
      <c r="O3858"/>
      <c r="P3858"/>
      <c r="Q3858"/>
      <c r="R3858"/>
      <c r="S3858"/>
      <c r="T3858"/>
      <c r="U3858"/>
      <c r="V3858"/>
      <c r="W3858" s="41"/>
      <c r="X3858" s="41"/>
      <c r="Y3858" s="41"/>
    </row>
    <row r="3859" s="27" customFormat="1" ht="23" hidden="1" customHeight="1" spans="1:25">
      <c r="A3859" s="133" t="str">
        <f>IF(B3859="","",COUNTA($B$5:B3859))</f>
        <v/>
      </c>
      <c r="B3859" s="148"/>
      <c r="C3859" s="22" t="s">
        <v>49</v>
      </c>
      <c r="D3859" s="149"/>
      <c r="E3859" s="150"/>
      <c r="F3859" s="151"/>
      <c r="G3859" s="151"/>
      <c r="H3859" s="142">
        <f>IFERROR(VLOOKUP($C3859,$C$5:$H$18,6,0)+SUMIF($C$19:$C3859,$C3859,$F$19:$F3859)-SUMIF($C$19:$C3859,$C3859,$G$19:$G3859),"")</f>
        <v>81211.819999998</v>
      </c>
      <c r="I3859" s="147"/>
      <c r="J3859" s="147"/>
      <c r="K3859" s="147" t="str">
        <f t="shared" si="60"/>
        <v/>
      </c>
      <c r="L3859" s="40"/>
      <c r="M3859"/>
      <c r="N3859"/>
      <c r="O3859"/>
      <c r="P3859"/>
      <c r="Q3859"/>
      <c r="R3859"/>
      <c r="S3859"/>
      <c r="T3859"/>
      <c r="U3859"/>
      <c r="V3859"/>
      <c r="W3859" s="41"/>
      <c r="X3859" s="41"/>
      <c r="Y3859" s="41"/>
    </row>
    <row r="3860" s="27" customFormat="1" ht="23" hidden="1" customHeight="1" spans="1:25">
      <c r="A3860" s="133" t="str">
        <f>IF(B3860="","",COUNTA($B$5:B3860))</f>
        <v/>
      </c>
      <c r="B3860" s="148"/>
      <c r="C3860" s="22" t="s">
        <v>49</v>
      </c>
      <c r="D3860" s="149"/>
      <c r="E3860" s="150"/>
      <c r="F3860" s="151"/>
      <c r="G3860" s="151"/>
      <c r="H3860" s="142">
        <f>IFERROR(VLOOKUP($C3860,$C$5:$H$18,6,0)+SUMIF($C$19:$C3860,$C3860,$F$19:$F3860)-SUMIF($C$19:$C3860,$C3860,$G$19:$G3860),"")</f>
        <v>81211.819999998</v>
      </c>
      <c r="I3860" s="147"/>
      <c r="J3860" s="147"/>
      <c r="K3860" s="147" t="str">
        <f t="shared" si="60"/>
        <v/>
      </c>
      <c r="L3860" s="40"/>
      <c r="M3860"/>
      <c r="N3860"/>
      <c r="O3860"/>
      <c r="P3860"/>
      <c r="Q3860"/>
      <c r="R3860"/>
      <c r="S3860"/>
      <c r="T3860"/>
      <c r="U3860"/>
      <c r="V3860"/>
      <c r="W3860" s="41"/>
      <c r="X3860" s="41"/>
      <c r="Y3860" s="41"/>
    </row>
    <row r="3861" s="27" customFormat="1" ht="23" hidden="1" customHeight="1" spans="1:25">
      <c r="A3861" s="133" t="str">
        <f>IF(B3861="","",COUNTA($B$5:B3861))</f>
        <v/>
      </c>
      <c r="B3861" s="148"/>
      <c r="C3861" s="22" t="s">
        <v>49</v>
      </c>
      <c r="D3861" s="149"/>
      <c r="E3861" s="150"/>
      <c r="F3861" s="151"/>
      <c r="G3861" s="151"/>
      <c r="H3861" s="142">
        <f>IFERROR(VLOOKUP($C3861,$C$5:$H$18,6,0)+SUMIF($C$19:$C3861,$C3861,$F$19:$F3861)-SUMIF($C$19:$C3861,$C3861,$G$19:$G3861),"")</f>
        <v>81211.819999998</v>
      </c>
      <c r="I3861" s="147"/>
      <c r="J3861" s="147"/>
      <c r="K3861" s="147" t="str">
        <f t="shared" si="60"/>
        <v/>
      </c>
      <c r="L3861" s="40"/>
      <c r="M3861"/>
      <c r="N3861"/>
      <c r="O3861"/>
      <c r="P3861"/>
      <c r="Q3861"/>
      <c r="R3861"/>
      <c r="S3861"/>
      <c r="T3861"/>
      <c r="U3861"/>
      <c r="V3861"/>
      <c r="W3861" s="41"/>
      <c r="X3861" s="41"/>
      <c r="Y3861" s="41"/>
    </row>
    <row r="3862" s="27" customFormat="1" ht="23" hidden="1" customHeight="1" spans="1:25">
      <c r="A3862" s="133" t="str">
        <f>IF(B3862="","",COUNTA($B$5:B3862))</f>
        <v/>
      </c>
      <c r="B3862" s="148"/>
      <c r="C3862" s="22" t="s">
        <v>49</v>
      </c>
      <c r="D3862" s="149"/>
      <c r="E3862" s="150"/>
      <c r="F3862" s="151"/>
      <c r="G3862" s="151"/>
      <c r="H3862" s="142">
        <f>IFERROR(VLOOKUP($C3862,$C$5:$H$18,6,0)+SUMIF($C$19:$C3862,$C3862,$F$19:$F3862)-SUMIF($C$19:$C3862,$C3862,$G$19:$G3862),"")</f>
        <v>81211.819999998</v>
      </c>
      <c r="I3862" s="147"/>
      <c r="J3862" s="147"/>
      <c r="K3862" s="147" t="str">
        <f t="shared" si="60"/>
        <v/>
      </c>
      <c r="L3862" s="40"/>
      <c r="M3862"/>
      <c r="N3862"/>
      <c r="O3862"/>
      <c r="P3862"/>
      <c r="Q3862"/>
      <c r="R3862"/>
      <c r="S3862"/>
      <c r="T3862"/>
      <c r="U3862"/>
      <c r="V3862"/>
      <c r="W3862" s="41"/>
      <c r="X3862" s="41"/>
      <c r="Y3862" s="41"/>
    </row>
    <row r="3863" s="27" customFormat="1" ht="23" hidden="1" customHeight="1" spans="1:25">
      <c r="A3863" s="133" t="str">
        <f>IF(B3863="","",COUNTA($B$5:B3863))</f>
        <v/>
      </c>
      <c r="B3863" s="148"/>
      <c r="C3863" s="22" t="s">
        <v>49</v>
      </c>
      <c r="D3863" s="149"/>
      <c r="E3863" s="150"/>
      <c r="F3863" s="151"/>
      <c r="G3863" s="151"/>
      <c r="H3863" s="142">
        <f>IFERROR(VLOOKUP($C3863,$C$5:$H$18,6,0)+SUMIF($C$19:$C3863,$C3863,$F$19:$F3863)-SUMIF($C$19:$C3863,$C3863,$G$19:$G3863),"")</f>
        <v>81211.819999998</v>
      </c>
      <c r="I3863" s="147"/>
      <c r="J3863" s="147"/>
      <c r="K3863" s="147" t="str">
        <f t="shared" si="60"/>
        <v/>
      </c>
      <c r="L3863" s="40"/>
      <c r="M3863"/>
      <c r="N3863"/>
      <c r="O3863"/>
      <c r="P3863"/>
      <c r="Q3863"/>
      <c r="R3863"/>
      <c r="S3863"/>
      <c r="T3863"/>
      <c r="U3863"/>
      <c r="V3863"/>
      <c r="W3863" s="41"/>
      <c r="X3863" s="41"/>
      <c r="Y3863" s="41"/>
    </row>
    <row r="3864" s="27" customFormat="1" ht="23" hidden="1" customHeight="1" spans="1:25">
      <c r="A3864" s="133" t="str">
        <f>IF(B3864="","",COUNTA($B$5:B3864))</f>
        <v/>
      </c>
      <c r="B3864" s="148"/>
      <c r="C3864" s="22" t="s">
        <v>49</v>
      </c>
      <c r="D3864" s="149"/>
      <c r="E3864" s="150"/>
      <c r="F3864" s="151"/>
      <c r="G3864" s="151"/>
      <c r="H3864" s="142">
        <f>IFERROR(VLOOKUP($C3864,$C$5:$H$18,6,0)+SUMIF($C$19:$C3864,$C3864,$F$19:$F3864)-SUMIF($C$19:$C3864,$C3864,$G$19:$G3864),"")</f>
        <v>81211.819999998</v>
      </c>
      <c r="I3864" s="147"/>
      <c r="J3864" s="147"/>
      <c r="K3864" s="147" t="str">
        <f t="shared" si="60"/>
        <v/>
      </c>
      <c r="L3864" s="40"/>
      <c r="M3864"/>
      <c r="N3864"/>
      <c r="O3864"/>
      <c r="P3864"/>
      <c r="Q3864"/>
      <c r="R3864"/>
      <c r="S3864"/>
      <c r="T3864"/>
      <c r="U3864"/>
      <c r="V3864"/>
      <c r="W3864" s="41"/>
      <c r="X3864" s="41"/>
      <c r="Y3864" s="41"/>
    </row>
    <row r="3865" s="27" customFormat="1" ht="23" hidden="1" customHeight="1" spans="1:25">
      <c r="A3865" s="133" t="str">
        <f>IF(B3865="","",COUNTA($B$5:B3865))</f>
        <v/>
      </c>
      <c r="B3865" s="148"/>
      <c r="C3865" s="22" t="s">
        <v>49</v>
      </c>
      <c r="D3865" s="149"/>
      <c r="E3865" s="150"/>
      <c r="F3865" s="151"/>
      <c r="G3865" s="151"/>
      <c r="H3865" s="142">
        <f>IFERROR(VLOOKUP($C3865,$C$5:$H$18,6,0)+SUMIF($C$19:$C3865,$C3865,$F$19:$F3865)-SUMIF($C$19:$C3865,$C3865,$G$19:$G3865),"")</f>
        <v>81211.819999998</v>
      </c>
      <c r="I3865" s="147"/>
      <c r="J3865" s="147"/>
      <c r="K3865" s="147" t="str">
        <f t="shared" si="60"/>
        <v/>
      </c>
      <c r="L3865" s="40"/>
      <c r="M3865"/>
      <c r="N3865"/>
      <c r="O3865"/>
      <c r="P3865"/>
      <c r="Q3865"/>
      <c r="R3865"/>
      <c r="S3865"/>
      <c r="T3865"/>
      <c r="U3865"/>
      <c r="V3865"/>
      <c r="W3865" s="41"/>
      <c r="X3865" s="41"/>
      <c r="Y3865" s="41"/>
    </row>
    <row r="3866" s="27" customFormat="1" ht="23" hidden="1" customHeight="1" spans="1:25">
      <c r="A3866" s="133" t="str">
        <f>IF(B3866="","",COUNTA($B$5:B3866))</f>
        <v/>
      </c>
      <c r="B3866" s="148"/>
      <c r="C3866" s="22" t="s">
        <v>49</v>
      </c>
      <c r="D3866" s="149"/>
      <c r="E3866" s="150"/>
      <c r="F3866" s="151"/>
      <c r="G3866" s="151"/>
      <c r="H3866" s="142">
        <f>IFERROR(VLOOKUP($C3866,$C$5:$H$18,6,0)+SUMIF($C$19:$C3866,$C3866,$F$19:$F3866)-SUMIF($C$19:$C3866,$C3866,$G$19:$G3866),"")</f>
        <v>81211.819999998</v>
      </c>
      <c r="I3866" s="147"/>
      <c r="J3866" s="147"/>
      <c r="K3866" s="147" t="str">
        <f t="shared" si="60"/>
        <v/>
      </c>
      <c r="L3866" s="40"/>
      <c r="M3866"/>
      <c r="N3866"/>
      <c r="O3866"/>
      <c r="P3866"/>
      <c r="Q3866"/>
      <c r="R3866"/>
      <c r="S3866"/>
      <c r="T3866"/>
      <c r="U3866"/>
      <c r="V3866"/>
      <c r="W3866" s="41"/>
      <c r="X3866" s="41"/>
      <c r="Y3866" s="41"/>
    </row>
    <row r="3867" s="27" customFormat="1" ht="23" hidden="1" customHeight="1" spans="1:25">
      <c r="A3867" s="133" t="str">
        <f>IF(B3867="","",COUNTA($B$5:B3867))</f>
        <v/>
      </c>
      <c r="B3867" s="148"/>
      <c r="C3867" s="22" t="s">
        <v>49</v>
      </c>
      <c r="D3867" s="149"/>
      <c r="E3867" s="150"/>
      <c r="F3867" s="151"/>
      <c r="G3867" s="151"/>
      <c r="H3867" s="142">
        <f>IFERROR(VLOOKUP($C3867,$C$5:$H$18,6,0)+SUMIF($C$19:$C3867,$C3867,$F$19:$F3867)-SUMIF($C$19:$C3867,$C3867,$G$19:$G3867),"")</f>
        <v>81211.819999998</v>
      </c>
      <c r="I3867" s="147"/>
      <c r="J3867" s="147"/>
      <c r="K3867" s="147" t="str">
        <f t="shared" si="60"/>
        <v/>
      </c>
      <c r="L3867" s="40"/>
      <c r="M3867"/>
      <c r="N3867"/>
      <c r="O3867"/>
      <c r="P3867"/>
      <c r="Q3867"/>
      <c r="R3867"/>
      <c r="S3867"/>
      <c r="T3867"/>
      <c r="U3867"/>
      <c r="V3867"/>
      <c r="W3867" s="41"/>
      <c r="X3867" s="41"/>
      <c r="Y3867" s="41"/>
    </row>
    <row r="3868" s="27" customFormat="1" ht="23" hidden="1" customHeight="1" spans="1:25">
      <c r="A3868" s="133" t="str">
        <f>IF(B3868="","",COUNTA($B$5:B3868))</f>
        <v/>
      </c>
      <c r="B3868" s="148"/>
      <c r="C3868" s="22" t="s">
        <v>49</v>
      </c>
      <c r="D3868" s="149"/>
      <c r="E3868" s="150"/>
      <c r="F3868" s="151"/>
      <c r="G3868" s="151"/>
      <c r="H3868" s="142">
        <f>IFERROR(VLOOKUP($C3868,$C$5:$H$18,6,0)+SUMIF($C$19:$C3868,$C3868,$F$19:$F3868)-SUMIF($C$19:$C3868,$C3868,$G$19:$G3868),"")</f>
        <v>81211.819999998</v>
      </c>
      <c r="I3868" s="147"/>
      <c r="J3868" s="147"/>
      <c r="K3868" s="147" t="str">
        <f t="shared" si="60"/>
        <v/>
      </c>
      <c r="L3868" s="40"/>
      <c r="M3868"/>
      <c r="N3868"/>
      <c r="O3868"/>
      <c r="P3868"/>
      <c r="Q3868"/>
      <c r="R3868"/>
      <c r="S3868"/>
      <c r="T3868"/>
      <c r="U3868"/>
      <c r="V3868"/>
      <c r="W3868" s="41"/>
      <c r="X3868" s="41"/>
      <c r="Y3868" s="41"/>
    </row>
    <row r="3869" s="27" customFormat="1" ht="23" hidden="1" customHeight="1" spans="1:25">
      <c r="A3869" s="133" t="str">
        <f>IF(B3869="","",COUNTA($B$5:B3869))</f>
        <v/>
      </c>
      <c r="B3869" s="148"/>
      <c r="C3869" s="22" t="s">
        <v>49</v>
      </c>
      <c r="D3869" s="149"/>
      <c r="E3869" s="150"/>
      <c r="F3869" s="151"/>
      <c r="G3869" s="151"/>
      <c r="H3869" s="142">
        <f>IFERROR(VLOOKUP($C3869,$C$5:$H$18,6,0)+SUMIF($C$19:$C3869,$C3869,$F$19:$F3869)-SUMIF($C$19:$C3869,$C3869,$G$19:$G3869),"")</f>
        <v>81211.819999998</v>
      </c>
      <c r="I3869" s="147"/>
      <c r="J3869" s="147"/>
      <c r="K3869" s="147" t="str">
        <f t="shared" si="60"/>
        <v/>
      </c>
      <c r="L3869" s="40"/>
      <c r="M3869"/>
      <c r="N3869"/>
      <c r="O3869"/>
      <c r="P3869"/>
      <c r="Q3869"/>
      <c r="R3869"/>
      <c r="S3869"/>
      <c r="T3869"/>
      <c r="U3869"/>
      <c r="V3869"/>
      <c r="W3869" s="41"/>
      <c r="X3869" s="41"/>
      <c r="Y3869" s="41"/>
    </row>
    <row r="3870" s="27" customFormat="1" ht="23" hidden="1" customHeight="1" spans="1:25">
      <c r="A3870" s="133" t="str">
        <f>IF(B3870="","",COUNTA($B$5:B3870))</f>
        <v/>
      </c>
      <c r="B3870" s="148"/>
      <c r="C3870" s="22" t="s">
        <v>49</v>
      </c>
      <c r="D3870" s="149"/>
      <c r="E3870" s="150"/>
      <c r="F3870" s="151"/>
      <c r="G3870" s="151"/>
      <c r="H3870" s="142">
        <f>IFERROR(VLOOKUP($C3870,$C$5:$H$18,6,0)+SUMIF($C$19:$C3870,$C3870,$F$19:$F3870)-SUMIF($C$19:$C3870,$C3870,$G$19:$G3870),"")</f>
        <v>81211.819999998</v>
      </c>
      <c r="I3870" s="147"/>
      <c r="J3870" s="147"/>
      <c r="K3870" s="147" t="str">
        <f t="shared" si="60"/>
        <v/>
      </c>
      <c r="L3870" s="40"/>
      <c r="M3870"/>
      <c r="N3870"/>
      <c r="O3870"/>
      <c r="P3870"/>
      <c r="Q3870"/>
      <c r="R3870"/>
      <c r="S3870"/>
      <c r="T3870"/>
      <c r="U3870"/>
      <c r="V3870"/>
      <c r="W3870" s="41"/>
      <c r="X3870" s="41"/>
      <c r="Y3870" s="41"/>
    </row>
    <row r="3871" s="27" customFormat="1" ht="23" hidden="1" customHeight="1" spans="1:25">
      <c r="A3871" s="133" t="str">
        <f>IF(B3871="","",COUNTA($B$5:B3871))</f>
        <v/>
      </c>
      <c r="B3871" s="148"/>
      <c r="C3871" s="22" t="s">
        <v>49</v>
      </c>
      <c r="D3871" s="149"/>
      <c r="E3871" s="150"/>
      <c r="F3871" s="151"/>
      <c r="G3871" s="151"/>
      <c r="H3871" s="142">
        <f>IFERROR(VLOOKUP($C3871,$C$5:$H$18,6,0)+SUMIF($C$19:$C3871,$C3871,$F$19:$F3871)-SUMIF($C$19:$C3871,$C3871,$G$19:$G3871),"")</f>
        <v>81211.819999998</v>
      </c>
      <c r="I3871" s="147"/>
      <c r="J3871" s="147"/>
      <c r="K3871" s="147" t="str">
        <f t="shared" si="60"/>
        <v/>
      </c>
      <c r="L3871" s="40"/>
      <c r="M3871"/>
      <c r="N3871"/>
      <c r="O3871"/>
      <c r="P3871"/>
      <c r="Q3871"/>
      <c r="R3871"/>
      <c r="S3871"/>
      <c r="T3871"/>
      <c r="U3871"/>
      <c r="V3871"/>
      <c r="W3871" s="41"/>
      <c r="X3871" s="41"/>
      <c r="Y3871" s="41"/>
    </row>
    <row r="3872" s="27" customFormat="1" ht="23" hidden="1" customHeight="1" spans="1:25">
      <c r="A3872" s="133" t="str">
        <f>IF(B3872="","",COUNTA($B$5:B3872))</f>
        <v/>
      </c>
      <c r="B3872" s="148"/>
      <c r="C3872" s="22" t="s">
        <v>49</v>
      </c>
      <c r="D3872" s="149"/>
      <c r="E3872" s="150"/>
      <c r="F3872" s="151"/>
      <c r="G3872" s="151"/>
      <c r="H3872" s="142">
        <f>IFERROR(VLOOKUP($C3872,$C$5:$H$18,6,0)+SUMIF($C$19:$C3872,$C3872,$F$19:$F3872)-SUMIF($C$19:$C3872,$C3872,$G$19:$G3872),"")</f>
        <v>81211.819999998</v>
      </c>
      <c r="I3872" s="147"/>
      <c r="J3872" s="147"/>
      <c r="K3872" s="147" t="str">
        <f t="shared" si="60"/>
        <v/>
      </c>
      <c r="L3872" s="40"/>
      <c r="M3872"/>
      <c r="N3872"/>
      <c r="O3872"/>
      <c r="P3872"/>
      <c r="Q3872"/>
      <c r="R3872"/>
      <c r="S3872"/>
      <c r="T3872"/>
      <c r="U3872"/>
      <c r="V3872"/>
      <c r="W3872" s="41"/>
      <c r="X3872" s="41"/>
      <c r="Y3872" s="41"/>
    </row>
    <row r="3873" s="27" customFormat="1" ht="23" hidden="1" customHeight="1" spans="1:25">
      <c r="A3873" s="133" t="str">
        <f>IF(B3873="","",COUNTA($B$5:B3873))</f>
        <v/>
      </c>
      <c r="B3873" s="148"/>
      <c r="C3873" s="22" t="s">
        <v>49</v>
      </c>
      <c r="D3873" s="149"/>
      <c r="E3873" s="150"/>
      <c r="F3873" s="151"/>
      <c r="G3873" s="151"/>
      <c r="H3873" s="142">
        <f>IFERROR(VLOOKUP($C3873,$C$5:$H$18,6,0)+SUMIF($C$19:$C3873,$C3873,$F$19:$F3873)-SUMIF($C$19:$C3873,$C3873,$G$19:$G3873),"")</f>
        <v>81211.819999998</v>
      </c>
      <c r="I3873" s="147"/>
      <c r="J3873" s="147"/>
      <c r="K3873" s="147" t="str">
        <f t="shared" si="60"/>
        <v/>
      </c>
      <c r="L3873" s="40"/>
      <c r="M3873"/>
      <c r="N3873"/>
      <c r="O3873"/>
      <c r="P3873"/>
      <c r="Q3873"/>
      <c r="R3873"/>
      <c r="S3873"/>
      <c r="T3873"/>
      <c r="U3873"/>
      <c r="V3873"/>
      <c r="W3873" s="41"/>
      <c r="X3873" s="41"/>
      <c r="Y3873" s="41"/>
    </row>
    <row r="3874" s="27" customFormat="1" ht="23" hidden="1" customHeight="1" spans="1:25">
      <c r="A3874" s="133" t="str">
        <f>IF(B3874="","",COUNTA($B$5:B3874))</f>
        <v/>
      </c>
      <c r="B3874" s="148"/>
      <c r="C3874" s="22" t="s">
        <v>49</v>
      </c>
      <c r="D3874" s="149"/>
      <c r="E3874" s="150"/>
      <c r="F3874" s="151"/>
      <c r="G3874" s="151"/>
      <c r="H3874" s="142">
        <f>IFERROR(VLOOKUP($C3874,$C$5:$H$18,6,0)+SUMIF($C$19:$C3874,$C3874,$F$19:$F3874)-SUMIF($C$19:$C3874,$C3874,$G$19:$G3874),"")</f>
        <v>81211.819999998</v>
      </c>
      <c r="I3874" s="147"/>
      <c r="J3874" s="147"/>
      <c r="K3874" s="147" t="str">
        <f t="shared" si="60"/>
        <v/>
      </c>
      <c r="L3874" s="40"/>
      <c r="M3874"/>
      <c r="N3874"/>
      <c r="O3874"/>
      <c r="P3874"/>
      <c r="Q3874"/>
      <c r="R3874"/>
      <c r="S3874"/>
      <c r="T3874"/>
      <c r="U3874"/>
      <c r="V3874"/>
      <c r="W3874" s="41"/>
      <c r="X3874" s="41"/>
      <c r="Y3874" s="41"/>
    </row>
    <row r="3875" s="27" customFormat="1" ht="23" hidden="1" customHeight="1" spans="1:25">
      <c r="A3875" s="133" t="str">
        <f>IF(B3875="","",COUNTA($B$5:B3875))</f>
        <v/>
      </c>
      <c r="B3875" s="148"/>
      <c r="C3875" s="22" t="s">
        <v>49</v>
      </c>
      <c r="D3875" s="149"/>
      <c r="E3875" s="150"/>
      <c r="F3875" s="151"/>
      <c r="G3875" s="151"/>
      <c r="H3875" s="142">
        <f>IFERROR(VLOOKUP($C3875,$C$5:$H$18,6,0)+SUMIF($C$19:$C3875,$C3875,$F$19:$F3875)-SUMIF($C$19:$C3875,$C3875,$G$19:$G3875),"")</f>
        <v>81211.819999998</v>
      </c>
      <c r="I3875" s="147"/>
      <c r="J3875" s="147"/>
      <c r="K3875" s="147" t="str">
        <f t="shared" si="60"/>
        <v/>
      </c>
      <c r="L3875" s="40"/>
      <c r="M3875"/>
      <c r="N3875"/>
      <c r="O3875"/>
      <c r="P3875"/>
      <c r="Q3875"/>
      <c r="R3875"/>
      <c r="S3875"/>
      <c r="T3875"/>
      <c r="U3875"/>
      <c r="V3875"/>
      <c r="W3875" s="41"/>
      <c r="X3875" s="41"/>
      <c r="Y3875" s="41"/>
    </row>
    <row r="3876" s="27" customFormat="1" ht="23" hidden="1" customHeight="1" spans="1:25">
      <c r="A3876" s="133" t="str">
        <f>IF(B3876="","",COUNTA($B$5:B3876))</f>
        <v/>
      </c>
      <c r="B3876" s="148"/>
      <c r="C3876" s="22" t="s">
        <v>49</v>
      </c>
      <c r="D3876" s="149"/>
      <c r="E3876" s="150"/>
      <c r="F3876" s="151"/>
      <c r="G3876" s="151"/>
      <c r="H3876" s="142">
        <f>IFERROR(VLOOKUP($C3876,$C$5:$H$18,6,0)+SUMIF($C$19:$C3876,$C3876,$F$19:$F3876)-SUMIF($C$19:$C3876,$C3876,$G$19:$G3876),"")</f>
        <v>81211.819999998</v>
      </c>
      <c r="I3876" s="147"/>
      <c r="J3876" s="147"/>
      <c r="K3876" s="147" t="str">
        <f t="shared" si="60"/>
        <v/>
      </c>
      <c r="L3876" s="40"/>
      <c r="M3876"/>
      <c r="N3876"/>
      <c r="O3876"/>
      <c r="P3876"/>
      <c r="Q3876"/>
      <c r="R3876"/>
      <c r="S3876"/>
      <c r="T3876"/>
      <c r="U3876"/>
      <c r="V3876"/>
      <c r="W3876" s="41"/>
      <c r="X3876" s="41"/>
      <c r="Y3876" s="41"/>
    </row>
    <row r="3877" s="27" customFormat="1" ht="23" hidden="1" customHeight="1" spans="1:25">
      <c r="A3877" s="133" t="str">
        <f>IF(B3877="","",COUNTA($B$5:B3877))</f>
        <v/>
      </c>
      <c r="B3877" s="148"/>
      <c r="C3877" s="22" t="s">
        <v>49</v>
      </c>
      <c r="D3877" s="149"/>
      <c r="E3877" s="150"/>
      <c r="F3877" s="151"/>
      <c r="G3877" s="151"/>
      <c r="H3877" s="142">
        <f>IFERROR(VLOOKUP($C3877,$C$5:$H$18,6,0)+SUMIF($C$19:$C3877,$C3877,$F$19:$F3877)-SUMIF($C$19:$C3877,$C3877,$G$19:$G3877),"")</f>
        <v>81211.819999998</v>
      </c>
      <c r="I3877" s="147"/>
      <c r="J3877" s="147"/>
      <c r="K3877" s="147" t="str">
        <f t="shared" si="60"/>
        <v/>
      </c>
      <c r="L3877" s="40"/>
      <c r="M3877"/>
      <c r="N3877"/>
      <c r="O3877"/>
      <c r="P3877"/>
      <c r="Q3877"/>
      <c r="R3877"/>
      <c r="S3877"/>
      <c r="T3877"/>
      <c r="U3877"/>
      <c r="V3877"/>
      <c r="W3877" s="41"/>
      <c r="X3877" s="41"/>
      <c r="Y3877" s="41"/>
    </row>
    <row r="3878" s="27" customFormat="1" ht="23" hidden="1" customHeight="1" spans="1:25">
      <c r="A3878" s="133" t="str">
        <f>IF(B3878="","",COUNTA($B$5:B3878))</f>
        <v/>
      </c>
      <c r="B3878" s="148"/>
      <c r="C3878" s="22" t="s">
        <v>49</v>
      </c>
      <c r="D3878" s="149"/>
      <c r="E3878" s="150"/>
      <c r="F3878" s="151"/>
      <c r="G3878" s="151"/>
      <c r="H3878" s="142">
        <f>IFERROR(VLOOKUP($C3878,$C$5:$H$18,6,0)+SUMIF($C$19:$C3878,$C3878,$F$19:$F3878)-SUMIF($C$19:$C3878,$C3878,$G$19:$G3878),"")</f>
        <v>81211.819999998</v>
      </c>
      <c r="I3878" s="147"/>
      <c r="J3878" s="147"/>
      <c r="K3878" s="147" t="str">
        <f t="shared" si="60"/>
        <v/>
      </c>
      <c r="L3878" s="40"/>
      <c r="M3878"/>
      <c r="N3878"/>
      <c r="O3878"/>
      <c r="P3878"/>
      <c r="Q3878"/>
      <c r="R3878"/>
      <c r="S3878"/>
      <c r="T3878"/>
      <c r="U3878"/>
      <c r="V3878"/>
      <c r="W3878" s="41"/>
      <c r="X3878" s="41"/>
      <c r="Y3878" s="41"/>
    </row>
    <row r="3879" s="27" customFormat="1" ht="23" hidden="1" customHeight="1" spans="1:25">
      <c r="A3879" s="133" t="str">
        <f>IF(B3879="","",COUNTA($B$5:B3879))</f>
        <v/>
      </c>
      <c r="B3879" s="148"/>
      <c r="C3879" s="22" t="s">
        <v>49</v>
      </c>
      <c r="D3879" s="149"/>
      <c r="E3879" s="150"/>
      <c r="F3879" s="151"/>
      <c r="G3879" s="151"/>
      <c r="H3879" s="142">
        <f>IFERROR(VLOOKUP($C3879,$C$5:$H$18,6,0)+SUMIF($C$19:$C3879,$C3879,$F$19:$F3879)-SUMIF($C$19:$C3879,$C3879,$G$19:$G3879),"")</f>
        <v>81211.819999998</v>
      </c>
      <c r="I3879" s="147"/>
      <c r="J3879" s="147"/>
      <c r="K3879" s="147" t="str">
        <f t="shared" si="60"/>
        <v/>
      </c>
      <c r="L3879" s="40"/>
      <c r="M3879"/>
      <c r="N3879"/>
      <c r="O3879"/>
      <c r="P3879"/>
      <c r="Q3879"/>
      <c r="R3879"/>
      <c r="S3879"/>
      <c r="T3879"/>
      <c r="U3879"/>
      <c r="V3879"/>
      <c r="W3879" s="41"/>
      <c r="X3879" s="41"/>
      <c r="Y3879" s="41"/>
    </row>
    <row r="3880" s="27" customFormat="1" ht="23" hidden="1" customHeight="1" spans="1:25">
      <c r="A3880" s="133" t="str">
        <f>IF(B3880="","",COUNTA($B$5:B3880))</f>
        <v/>
      </c>
      <c r="B3880" s="148"/>
      <c r="C3880" s="22" t="s">
        <v>49</v>
      </c>
      <c r="D3880" s="149"/>
      <c r="E3880" s="150"/>
      <c r="F3880" s="151"/>
      <c r="G3880" s="151"/>
      <c r="H3880" s="142">
        <f>IFERROR(VLOOKUP($C3880,$C$5:$H$18,6,0)+SUMIF($C$19:$C3880,$C3880,$F$19:$F3880)-SUMIF($C$19:$C3880,$C3880,$G$19:$G3880),"")</f>
        <v>81211.819999998</v>
      </c>
      <c r="I3880" s="147"/>
      <c r="J3880" s="147"/>
      <c r="K3880" s="147" t="str">
        <f t="shared" si="60"/>
        <v/>
      </c>
      <c r="L3880" s="40"/>
      <c r="M3880"/>
      <c r="N3880"/>
      <c r="O3880"/>
      <c r="P3880"/>
      <c r="Q3880"/>
      <c r="R3880"/>
      <c r="S3880"/>
      <c r="T3880"/>
      <c r="U3880"/>
      <c r="V3880"/>
      <c r="W3880" s="41"/>
      <c r="X3880" s="41"/>
      <c r="Y3880" s="41"/>
    </row>
    <row r="3881" s="27" customFormat="1" ht="23" hidden="1" customHeight="1" spans="1:25">
      <c r="A3881" s="133" t="str">
        <f>IF(B3881="","",COUNTA($B$5:B3881))</f>
        <v/>
      </c>
      <c r="B3881" s="148"/>
      <c r="C3881" s="22" t="s">
        <v>49</v>
      </c>
      <c r="D3881" s="149"/>
      <c r="E3881" s="150"/>
      <c r="F3881" s="151"/>
      <c r="G3881" s="151"/>
      <c r="H3881" s="142">
        <f>IFERROR(VLOOKUP($C3881,$C$5:$H$18,6,0)+SUMIF($C$19:$C3881,$C3881,$F$19:$F3881)-SUMIF($C$19:$C3881,$C3881,$G$19:$G3881),"")</f>
        <v>81211.819999998</v>
      </c>
      <c r="I3881" s="147"/>
      <c r="J3881" s="147"/>
      <c r="K3881" s="147" t="str">
        <f t="shared" si="60"/>
        <v/>
      </c>
      <c r="L3881" s="40"/>
      <c r="M3881"/>
      <c r="N3881"/>
      <c r="O3881"/>
      <c r="P3881"/>
      <c r="Q3881"/>
      <c r="R3881"/>
      <c r="S3881"/>
      <c r="T3881"/>
      <c r="U3881"/>
      <c r="V3881"/>
      <c r="W3881" s="41"/>
      <c r="X3881" s="41"/>
      <c r="Y3881" s="41"/>
    </row>
    <row r="3882" s="27" customFormat="1" ht="23" hidden="1" customHeight="1" spans="1:25">
      <c r="A3882" s="133" t="str">
        <f>IF(B3882="","",COUNTA($B$5:B3882))</f>
        <v/>
      </c>
      <c r="B3882" s="148"/>
      <c r="C3882" s="22" t="s">
        <v>49</v>
      </c>
      <c r="D3882" s="149"/>
      <c r="E3882" s="150"/>
      <c r="F3882" s="151"/>
      <c r="G3882" s="151"/>
      <c r="H3882" s="142">
        <f>IFERROR(VLOOKUP($C3882,$C$5:$H$18,6,0)+SUMIF($C$19:$C3882,$C3882,$F$19:$F3882)-SUMIF($C$19:$C3882,$C3882,$G$19:$G3882),"")</f>
        <v>81211.819999998</v>
      </c>
      <c r="I3882" s="147"/>
      <c r="J3882" s="147"/>
      <c r="K3882" s="147" t="str">
        <f t="shared" si="60"/>
        <v/>
      </c>
      <c r="L3882" s="40"/>
      <c r="M3882"/>
      <c r="N3882"/>
      <c r="O3882"/>
      <c r="P3882"/>
      <c r="Q3882"/>
      <c r="R3882"/>
      <c r="S3882"/>
      <c r="T3882"/>
      <c r="U3882"/>
      <c r="V3882"/>
      <c r="W3882" s="41"/>
      <c r="X3882" s="41"/>
      <c r="Y3882" s="41"/>
    </row>
    <row r="3883" s="27" customFormat="1" ht="23" hidden="1" customHeight="1" spans="1:25">
      <c r="A3883" s="133" t="str">
        <f>IF(B3883="","",COUNTA($B$5:B3883))</f>
        <v/>
      </c>
      <c r="B3883" s="148"/>
      <c r="C3883" s="22" t="s">
        <v>49</v>
      </c>
      <c r="D3883" s="149"/>
      <c r="E3883" s="150"/>
      <c r="F3883" s="151"/>
      <c r="G3883" s="151"/>
      <c r="H3883" s="142">
        <f>IFERROR(VLOOKUP($C3883,$C$5:$H$18,6,0)+SUMIF($C$19:$C3883,$C3883,$F$19:$F3883)-SUMIF($C$19:$C3883,$C3883,$G$19:$G3883),"")</f>
        <v>81211.819999998</v>
      </c>
      <c r="I3883" s="147"/>
      <c r="J3883" s="147"/>
      <c r="K3883" s="147" t="str">
        <f t="shared" si="60"/>
        <v/>
      </c>
      <c r="L3883" s="40"/>
      <c r="M3883"/>
      <c r="N3883"/>
      <c r="O3883"/>
      <c r="P3883"/>
      <c r="Q3883"/>
      <c r="R3883"/>
      <c r="S3883"/>
      <c r="T3883"/>
      <c r="U3883"/>
      <c r="V3883"/>
      <c r="W3883" s="41"/>
      <c r="X3883" s="41"/>
      <c r="Y3883" s="41"/>
    </row>
    <row r="3884" s="27" customFormat="1" ht="23" hidden="1" customHeight="1" spans="1:25">
      <c r="A3884" s="133" t="str">
        <f>IF(B3884="","",COUNTA($B$5:B3884))</f>
        <v/>
      </c>
      <c r="B3884" s="148"/>
      <c r="C3884" s="22" t="s">
        <v>49</v>
      </c>
      <c r="D3884" s="149"/>
      <c r="E3884" s="150"/>
      <c r="F3884" s="151"/>
      <c r="G3884" s="151"/>
      <c r="H3884" s="142">
        <f>IFERROR(VLOOKUP($C3884,$C$5:$H$18,6,0)+SUMIF($C$19:$C3884,$C3884,$F$19:$F3884)-SUMIF($C$19:$C3884,$C3884,$G$19:$G3884),"")</f>
        <v>81211.819999998</v>
      </c>
      <c r="I3884" s="147"/>
      <c r="J3884" s="147"/>
      <c r="K3884" s="147" t="str">
        <f t="shared" si="60"/>
        <v/>
      </c>
      <c r="L3884" s="40"/>
      <c r="M3884"/>
      <c r="N3884"/>
      <c r="O3884"/>
      <c r="P3884"/>
      <c r="Q3884"/>
      <c r="R3884"/>
      <c r="S3884"/>
      <c r="T3884"/>
      <c r="U3884"/>
      <c r="V3884"/>
      <c r="W3884" s="41"/>
      <c r="X3884" s="41"/>
      <c r="Y3884" s="41"/>
    </row>
    <row r="3885" s="27" customFormat="1" ht="23" hidden="1" customHeight="1" spans="1:25">
      <c r="A3885" s="133" t="str">
        <f>IF(B3885="","",COUNTA($B$5:B3885))</f>
        <v/>
      </c>
      <c r="B3885" s="148"/>
      <c r="C3885" s="22" t="s">
        <v>49</v>
      </c>
      <c r="D3885" s="149"/>
      <c r="E3885" s="150"/>
      <c r="F3885" s="151"/>
      <c r="G3885" s="151"/>
      <c r="H3885" s="142">
        <f>IFERROR(VLOOKUP($C3885,$C$5:$H$18,6,0)+SUMIF($C$19:$C3885,$C3885,$F$19:$F3885)-SUMIF($C$19:$C3885,$C3885,$G$19:$G3885),"")</f>
        <v>81211.819999998</v>
      </c>
      <c r="I3885" s="147"/>
      <c r="J3885" s="147"/>
      <c r="K3885" s="147" t="str">
        <f t="shared" si="60"/>
        <v/>
      </c>
      <c r="L3885" s="40"/>
      <c r="M3885"/>
      <c r="N3885"/>
      <c r="O3885"/>
      <c r="P3885"/>
      <c r="Q3885"/>
      <c r="R3885"/>
      <c r="S3885"/>
      <c r="T3885"/>
      <c r="U3885"/>
      <c r="V3885"/>
      <c r="W3885" s="41"/>
      <c r="X3885" s="41"/>
      <c r="Y3885" s="41"/>
    </row>
    <row r="3886" s="27" customFormat="1" ht="23" hidden="1" customHeight="1" spans="1:25">
      <c r="A3886" s="133" t="str">
        <f>IF(B3886="","",COUNTA($B$5:B3886))</f>
        <v/>
      </c>
      <c r="B3886" s="148"/>
      <c r="C3886" s="22" t="s">
        <v>49</v>
      </c>
      <c r="D3886" s="149"/>
      <c r="E3886" s="150"/>
      <c r="F3886" s="151"/>
      <c r="G3886" s="151"/>
      <c r="H3886" s="142">
        <f>IFERROR(VLOOKUP($C3886,$C$5:$H$18,6,0)+SUMIF($C$19:$C3886,$C3886,$F$19:$F3886)-SUMIF($C$19:$C3886,$C3886,$G$19:$G3886),"")</f>
        <v>81211.819999998</v>
      </c>
      <c r="I3886" s="147"/>
      <c r="J3886" s="147"/>
      <c r="K3886" s="147" t="str">
        <f t="shared" si="60"/>
        <v/>
      </c>
      <c r="L3886" s="40"/>
      <c r="M3886"/>
      <c r="N3886"/>
      <c r="O3886"/>
      <c r="P3886"/>
      <c r="Q3886"/>
      <c r="R3886"/>
      <c r="S3886"/>
      <c r="T3886"/>
      <c r="U3886"/>
      <c r="V3886"/>
      <c r="W3886" s="41"/>
      <c r="X3886" s="41"/>
      <c r="Y3886" s="41"/>
    </row>
    <row r="3887" s="27" customFormat="1" ht="23" hidden="1" customHeight="1" spans="1:25">
      <c r="A3887" s="133" t="str">
        <f>IF(B3887="","",COUNTA($B$5:B3887))</f>
        <v/>
      </c>
      <c r="B3887" s="148"/>
      <c r="C3887" s="22" t="s">
        <v>49</v>
      </c>
      <c r="D3887" s="149"/>
      <c r="E3887" s="150"/>
      <c r="F3887" s="151"/>
      <c r="G3887" s="151"/>
      <c r="H3887" s="142">
        <f>IFERROR(VLOOKUP($C3887,$C$5:$H$18,6,0)+SUMIF($C$19:$C3887,$C3887,$F$19:$F3887)-SUMIF($C$19:$C3887,$C3887,$G$19:$G3887),"")</f>
        <v>81211.819999998</v>
      </c>
      <c r="I3887" s="147"/>
      <c r="J3887" s="147"/>
      <c r="K3887" s="147" t="str">
        <f t="shared" si="60"/>
        <v/>
      </c>
      <c r="L3887" s="40"/>
      <c r="M3887"/>
      <c r="N3887"/>
      <c r="O3887"/>
      <c r="P3887"/>
      <c r="Q3887"/>
      <c r="R3887"/>
      <c r="S3887"/>
      <c r="T3887"/>
      <c r="U3887"/>
      <c r="V3887"/>
      <c r="W3887" s="41"/>
      <c r="X3887" s="41"/>
      <c r="Y3887" s="41"/>
    </row>
    <row r="3888" s="27" customFormat="1" ht="23" hidden="1" customHeight="1" spans="1:25">
      <c r="A3888" s="133" t="str">
        <f>IF(B3888="","",COUNTA($B$5:B3888))</f>
        <v/>
      </c>
      <c r="B3888" s="148"/>
      <c r="C3888" s="22" t="s">
        <v>49</v>
      </c>
      <c r="D3888" s="149"/>
      <c r="E3888" s="150"/>
      <c r="F3888" s="151"/>
      <c r="G3888" s="151"/>
      <c r="H3888" s="142">
        <f>IFERROR(VLOOKUP($C3888,$C$5:$H$18,6,0)+SUMIF($C$19:$C3888,$C3888,$F$19:$F3888)-SUMIF($C$19:$C3888,$C3888,$G$19:$G3888),"")</f>
        <v>81211.819999998</v>
      </c>
      <c r="I3888" s="147"/>
      <c r="J3888" s="147"/>
      <c r="K3888" s="147" t="str">
        <f t="shared" si="60"/>
        <v/>
      </c>
      <c r="L3888" s="40"/>
      <c r="M3888"/>
      <c r="N3888"/>
      <c r="O3888"/>
      <c r="P3888"/>
      <c r="Q3888"/>
      <c r="R3888"/>
      <c r="S3888"/>
      <c r="T3888"/>
      <c r="U3888"/>
      <c r="V3888"/>
      <c r="W3888" s="41"/>
      <c r="X3888" s="41"/>
      <c r="Y3888" s="41"/>
    </row>
    <row r="3889" s="27" customFormat="1" ht="23" hidden="1" customHeight="1" spans="1:25">
      <c r="A3889" s="133" t="str">
        <f>IF(B3889="","",COUNTA($B$5:B3889))</f>
        <v/>
      </c>
      <c r="B3889" s="148"/>
      <c r="C3889" s="22" t="s">
        <v>49</v>
      </c>
      <c r="D3889" s="149"/>
      <c r="E3889" s="150"/>
      <c r="F3889" s="151"/>
      <c r="G3889" s="151"/>
      <c r="H3889" s="142">
        <f>IFERROR(VLOOKUP($C3889,$C$5:$H$18,6,0)+SUMIF($C$19:$C3889,$C3889,$F$19:$F3889)-SUMIF($C$19:$C3889,$C3889,$G$19:$G3889),"")</f>
        <v>81211.819999998</v>
      </c>
      <c r="I3889" s="147"/>
      <c r="J3889" s="147"/>
      <c r="K3889" s="147" t="str">
        <f t="shared" si="60"/>
        <v/>
      </c>
      <c r="L3889" s="40"/>
      <c r="M3889"/>
      <c r="N3889"/>
      <c r="O3889"/>
      <c r="P3889"/>
      <c r="Q3889"/>
      <c r="R3889"/>
      <c r="S3889"/>
      <c r="T3889"/>
      <c r="U3889"/>
      <c r="V3889"/>
      <c r="W3889" s="41"/>
      <c r="X3889" s="41"/>
      <c r="Y3889" s="41"/>
    </row>
    <row r="3890" s="27" customFormat="1" ht="23" hidden="1" customHeight="1" spans="1:25">
      <c r="A3890" s="133" t="str">
        <f>IF(B3890="","",COUNTA($B$5:B3890))</f>
        <v/>
      </c>
      <c r="B3890" s="148"/>
      <c r="C3890" s="22" t="s">
        <v>49</v>
      </c>
      <c r="D3890" s="149"/>
      <c r="E3890" s="150"/>
      <c r="F3890" s="151"/>
      <c r="G3890" s="151"/>
      <c r="H3890" s="142">
        <f>IFERROR(VLOOKUP($C3890,$C$5:$H$18,6,0)+SUMIF($C$19:$C3890,$C3890,$F$19:$F3890)-SUMIF($C$19:$C3890,$C3890,$G$19:$G3890),"")</f>
        <v>81211.819999998</v>
      </c>
      <c r="I3890" s="147"/>
      <c r="J3890" s="147"/>
      <c r="K3890" s="147" t="str">
        <f t="shared" si="60"/>
        <v/>
      </c>
      <c r="L3890" s="40"/>
      <c r="M3890"/>
      <c r="N3890"/>
      <c r="O3890"/>
      <c r="P3890"/>
      <c r="Q3890"/>
      <c r="R3890"/>
      <c r="S3890"/>
      <c r="T3890"/>
      <c r="U3890"/>
      <c r="V3890"/>
      <c r="W3890" s="41"/>
      <c r="X3890" s="41"/>
      <c r="Y3890" s="41"/>
    </row>
    <row r="3891" s="27" customFormat="1" ht="23" hidden="1" customHeight="1" spans="1:25">
      <c r="A3891" s="133" t="str">
        <f>IF(B3891="","",COUNTA($B$5:B3891))</f>
        <v/>
      </c>
      <c r="B3891" s="148"/>
      <c r="C3891" s="22" t="s">
        <v>49</v>
      </c>
      <c r="D3891" s="149"/>
      <c r="E3891" s="150"/>
      <c r="F3891" s="151"/>
      <c r="G3891" s="151"/>
      <c r="H3891" s="142">
        <f>IFERROR(VLOOKUP($C3891,$C$5:$H$18,6,0)+SUMIF($C$19:$C3891,$C3891,$F$19:$F3891)-SUMIF($C$19:$C3891,$C3891,$G$19:$G3891),"")</f>
        <v>81211.819999998</v>
      </c>
      <c r="I3891" s="147"/>
      <c r="J3891" s="147"/>
      <c r="K3891" s="147" t="str">
        <f t="shared" si="60"/>
        <v/>
      </c>
      <c r="L3891" s="40"/>
      <c r="M3891"/>
      <c r="N3891"/>
      <c r="O3891"/>
      <c r="P3891"/>
      <c r="Q3891"/>
      <c r="R3891"/>
      <c r="S3891"/>
      <c r="T3891"/>
      <c r="U3891"/>
      <c r="V3891"/>
      <c r="W3891" s="41"/>
      <c r="X3891" s="41"/>
      <c r="Y3891" s="41"/>
    </row>
    <row r="3892" s="27" customFormat="1" ht="23" hidden="1" customHeight="1" spans="1:25">
      <c r="A3892" s="133" t="str">
        <f>IF(B3892="","",COUNTA($B$5:B3892))</f>
        <v/>
      </c>
      <c r="B3892" s="148"/>
      <c r="C3892" s="22" t="s">
        <v>49</v>
      </c>
      <c r="D3892" s="149"/>
      <c r="E3892" s="150"/>
      <c r="F3892" s="151"/>
      <c r="G3892" s="151"/>
      <c r="H3892" s="142">
        <f>IFERROR(VLOOKUP($C3892,$C$5:$H$18,6,0)+SUMIF($C$19:$C3892,$C3892,$F$19:$F3892)-SUMIF($C$19:$C3892,$C3892,$G$19:$G3892),"")</f>
        <v>81211.819999998</v>
      </c>
      <c r="I3892" s="147"/>
      <c r="J3892" s="147"/>
      <c r="K3892" s="147" t="str">
        <f t="shared" si="60"/>
        <v/>
      </c>
      <c r="L3892" s="40"/>
      <c r="M3892"/>
      <c r="N3892"/>
      <c r="O3892"/>
      <c r="P3892"/>
      <c r="Q3892"/>
      <c r="R3892"/>
      <c r="S3892"/>
      <c r="T3892"/>
      <c r="U3892"/>
      <c r="V3892"/>
      <c r="W3892" s="41"/>
      <c r="X3892" s="41"/>
      <c r="Y3892" s="41"/>
    </row>
    <row r="3893" s="27" customFormat="1" ht="23" hidden="1" customHeight="1" spans="1:25">
      <c r="A3893" s="133" t="str">
        <f>IF(B3893="","",COUNTA($B$5:B3893))</f>
        <v/>
      </c>
      <c r="B3893" s="148"/>
      <c r="C3893" s="22" t="s">
        <v>49</v>
      </c>
      <c r="D3893" s="149"/>
      <c r="E3893" s="150"/>
      <c r="F3893" s="151"/>
      <c r="G3893" s="151"/>
      <c r="H3893" s="142">
        <f>IFERROR(VLOOKUP($C3893,$C$5:$H$18,6,0)+SUMIF($C$19:$C3893,$C3893,$F$19:$F3893)-SUMIF($C$19:$C3893,$C3893,$G$19:$G3893),"")</f>
        <v>81211.819999998</v>
      </c>
      <c r="I3893" s="147"/>
      <c r="J3893" s="147"/>
      <c r="K3893" s="147" t="str">
        <f t="shared" si="60"/>
        <v/>
      </c>
      <c r="L3893" s="40"/>
      <c r="M3893"/>
      <c r="N3893"/>
      <c r="O3893"/>
      <c r="P3893"/>
      <c r="Q3893"/>
      <c r="R3893"/>
      <c r="S3893"/>
      <c r="T3893"/>
      <c r="U3893"/>
      <c r="V3893"/>
      <c r="W3893" s="41"/>
      <c r="X3893" s="41"/>
      <c r="Y3893" s="41"/>
    </row>
    <row r="3894" s="27" customFormat="1" ht="23" hidden="1" customHeight="1" spans="1:25">
      <c r="A3894" s="133" t="str">
        <f>IF(B3894="","",COUNTA($B$5:B3894))</f>
        <v/>
      </c>
      <c r="B3894" s="148"/>
      <c r="C3894" s="22" t="s">
        <v>49</v>
      </c>
      <c r="D3894" s="149"/>
      <c r="E3894" s="150"/>
      <c r="F3894" s="151"/>
      <c r="G3894" s="151"/>
      <c r="H3894" s="142">
        <f>IFERROR(VLOOKUP($C3894,$C$5:$H$18,6,0)+SUMIF($C$19:$C3894,$C3894,$F$19:$F3894)-SUMIF($C$19:$C3894,$C3894,$G$19:$G3894),"")</f>
        <v>81211.819999998</v>
      </c>
      <c r="I3894" s="147"/>
      <c r="J3894" s="147"/>
      <c r="K3894" s="147" t="str">
        <f t="shared" si="60"/>
        <v/>
      </c>
      <c r="L3894" s="40"/>
      <c r="M3894"/>
      <c r="N3894"/>
      <c r="O3894"/>
      <c r="P3894"/>
      <c r="Q3894"/>
      <c r="R3894"/>
      <c r="S3894"/>
      <c r="T3894"/>
      <c r="U3894"/>
      <c r="V3894"/>
      <c r="W3894" s="41"/>
      <c r="X3894" s="41"/>
      <c r="Y3894" s="41"/>
    </row>
    <row r="3895" s="27" customFormat="1" ht="23" hidden="1" customHeight="1" spans="1:25">
      <c r="A3895" s="133" t="str">
        <f>IF(B3895="","",COUNTA($B$5:B3895))</f>
        <v/>
      </c>
      <c r="B3895" s="148"/>
      <c r="C3895" s="22" t="s">
        <v>49</v>
      </c>
      <c r="D3895" s="149"/>
      <c r="E3895" s="150"/>
      <c r="F3895" s="151"/>
      <c r="G3895" s="151"/>
      <c r="H3895" s="142">
        <f>IFERROR(VLOOKUP($C3895,$C$5:$H$18,6,0)+SUMIF($C$19:$C3895,$C3895,$F$19:$F3895)-SUMIF($C$19:$C3895,$C3895,$G$19:$G3895),"")</f>
        <v>81211.819999998</v>
      </c>
      <c r="I3895" s="147"/>
      <c r="J3895" s="147"/>
      <c r="K3895" s="147" t="str">
        <f t="shared" si="60"/>
        <v/>
      </c>
      <c r="L3895" s="40"/>
      <c r="M3895"/>
      <c r="N3895"/>
      <c r="O3895"/>
      <c r="P3895"/>
      <c r="Q3895"/>
      <c r="R3895"/>
      <c r="S3895"/>
      <c r="T3895"/>
      <c r="U3895"/>
      <c r="V3895"/>
      <c r="W3895" s="41"/>
      <c r="X3895" s="41"/>
      <c r="Y3895" s="41"/>
    </row>
    <row r="3896" s="27" customFormat="1" ht="23" hidden="1" customHeight="1" spans="1:25">
      <c r="A3896" s="133" t="str">
        <f>IF(B3896="","",COUNTA($B$5:B3896))</f>
        <v/>
      </c>
      <c r="B3896" s="148"/>
      <c r="C3896" s="22" t="s">
        <v>49</v>
      </c>
      <c r="D3896" s="149"/>
      <c r="E3896" s="150"/>
      <c r="F3896" s="151"/>
      <c r="G3896" s="151"/>
      <c r="H3896" s="142">
        <f>IFERROR(VLOOKUP($C3896,$C$5:$H$18,6,0)+SUMIF($C$19:$C3896,$C3896,$F$19:$F3896)-SUMIF($C$19:$C3896,$C3896,$G$19:$G3896),"")</f>
        <v>81211.819999998</v>
      </c>
      <c r="I3896" s="147"/>
      <c r="J3896" s="147"/>
      <c r="K3896" s="147" t="str">
        <f t="shared" si="60"/>
        <v/>
      </c>
      <c r="L3896" s="40"/>
      <c r="M3896"/>
      <c r="N3896"/>
      <c r="O3896"/>
      <c r="P3896"/>
      <c r="Q3896"/>
      <c r="R3896"/>
      <c r="S3896"/>
      <c r="T3896"/>
      <c r="U3896"/>
      <c r="V3896"/>
      <c r="W3896" s="41"/>
      <c r="X3896" s="41"/>
      <c r="Y3896" s="41"/>
    </row>
    <row r="3897" s="27" customFormat="1" ht="23" hidden="1" customHeight="1" spans="1:25">
      <c r="A3897" s="133" t="str">
        <f>IF(B3897="","",COUNTA($B$5:B3897))</f>
        <v/>
      </c>
      <c r="B3897" s="148"/>
      <c r="C3897" s="22" t="s">
        <v>49</v>
      </c>
      <c r="D3897" s="149"/>
      <c r="E3897" s="150"/>
      <c r="F3897" s="151"/>
      <c r="G3897" s="151"/>
      <c r="H3897" s="142">
        <f>IFERROR(VLOOKUP($C3897,$C$5:$H$18,6,0)+SUMIF($C$19:$C3897,$C3897,$F$19:$F3897)-SUMIF($C$19:$C3897,$C3897,$G$19:$G3897),"")</f>
        <v>81211.819999998</v>
      </c>
      <c r="I3897" s="147"/>
      <c r="J3897" s="147"/>
      <c r="K3897" s="147" t="str">
        <f t="shared" si="60"/>
        <v/>
      </c>
      <c r="L3897" s="40"/>
      <c r="M3897"/>
      <c r="N3897"/>
      <c r="O3897"/>
      <c r="P3897"/>
      <c r="Q3897"/>
      <c r="R3897"/>
      <c r="S3897"/>
      <c r="T3897"/>
      <c r="U3897"/>
      <c r="V3897"/>
      <c r="W3897" s="41"/>
      <c r="X3897" s="41"/>
      <c r="Y3897" s="41"/>
    </row>
    <row r="3898" s="27" customFormat="1" ht="23" hidden="1" customHeight="1" spans="1:25">
      <c r="A3898" s="133" t="str">
        <f>IF(B3898="","",COUNTA($B$5:B3898))</f>
        <v/>
      </c>
      <c r="B3898" s="148"/>
      <c r="C3898" s="22" t="s">
        <v>49</v>
      </c>
      <c r="D3898" s="149"/>
      <c r="E3898" s="150"/>
      <c r="F3898" s="151"/>
      <c r="G3898" s="151"/>
      <c r="H3898" s="142">
        <f>IFERROR(VLOOKUP($C3898,$C$5:$H$18,6,0)+SUMIF($C$19:$C3898,$C3898,$F$19:$F3898)-SUMIF($C$19:$C3898,$C3898,$G$19:$G3898),"")</f>
        <v>81211.819999998</v>
      </c>
      <c r="I3898" s="147"/>
      <c r="J3898" s="147"/>
      <c r="K3898" s="147" t="str">
        <f t="shared" si="60"/>
        <v/>
      </c>
      <c r="L3898" s="40"/>
      <c r="M3898"/>
      <c r="N3898"/>
      <c r="O3898"/>
      <c r="P3898"/>
      <c r="Q3898"/>
      <c r="R3898"/>
      <c r="S3898"/>
      <c r="T3898"/>
      <c r="U3898"/>
      <c r="V3898"/>
      <c r="W3898" s="41"/>
      <c r="X3898" s="41"/>
      <c r="Y3898" s="41"/>
    </row>
    <row r="3899" s="27" customFormat="1" ht="23" hidden="1" customHeight="1" spans="1:25">
      <c r="A3899" s="133" t="str">
        <f>IF(B3899="","",COUNTA($B$5:B3899))</f>
        <v/>
      </c>
      <c r="B3899" s="148"/>
      <c r="C3899" s="22" t="s">
        <v>49</v>
      </c>
      <c r="D3899" s="149"/>
      <c r="E3899" s="150"/>
      <c r="F3899" s="151"/>
      <c r="G3899" s="151"/>
      <c r="H3899" s="142">
        <f>IFERROR(VLOOKUP($C3899,$C$5:$H$18,6,0)+SUMIF($C$19:$C3899,$C3899,$F$19:$F3899)-SUMIF($C$19:$C3899,$C3899,$G$19:$G3899),"")</f>
        <v>81211.819999998</v>
      </c>
      <c r="I3899" s="147"/>
      <c r="J3899" s="147"/>
      <c r="K3899" s="147" t="str">
        <f t="shared" si="60"/>
        <v/>
      </c>
      <c r="L3899" s="40"/>
      <c r="M3899"/>
      <c r="N3899"/>
      <c r="O3899"/>
      <c r="P3899"/>
      <c r="Q3899"/>
      <c r="R3899"/>
      <c r="S3899"/>
      <c r="T3899"/>
      <c r="U3899"/>
      <c r="V3899"/>
      <c r="W3899" s="41"/>
      <c r="X3899" s="41"/>
      <c r="Y3899" s="41"/>
    </row>
    <row r="3900" s="27" customFormat="1" ht="23" hidden="1" customHeight="1" spans="1:25">
      <c r="A3900" s="133" t="str">
        <f>IF(B3900="","",COUNTA($B$5:B3900))</f>
        <v/>
      </c>
      <c r="B3900" s="148"/>
      <c r="C3900" s="22" t="s">
        <v>49</v>
      </c>
      <c r="D3900" s="149"/>
      <c r="E3900" s="150"/>
      <c r="F3900" s="151"/>
      <c r="G3900" s="151"/>
      <c r="H3900" s="142">
        <f>IFERROR(VLOOKUP($C3900,$C$5:$H$18,6,0)+SUMIF($C$19:$C3900,$C3900,$F$19:$F3900)-SUMIF($C$19:$C3900,$C3900,$G$19:$G3900),"")</f>
        <v>81211.819999998</v>
      </c>
      <c r="I3900" s="147"/>
      <c r="J3900" s="147"/>
      <c r="K3900" s="147" t="str">
        <f t="shared" si="60"/>
        <v/>
      </c>
      <c r="L3900" s="40"/>
      <c r="M3900"/>
      <c r="N3900"/>
      <c r="O3900"/>
      <c r="P3900"/>
      <c r="Q3900"/>
      <c r="R3900"/>
      <c r="S3900"/>
      <c r="T3900"/>
      <c r="U3900"/>
      <c r="V3900"/>
      <c r="W3900" s="41"/>
      <c r="X3900" s="41"/>
      <c r="Y3900" s="41"/>
    </row>
    <row r="3901" s="27" customFormat="1" ht="23" hidden="1" customHeight="1" spans="1:25">
      <c r="A3901" s="133" t="str">
        <f>IF(B3901="","",COUNTA($B$5:B3901))</f>
        <v/>
      </c>
      <c r="B3901" s="148"/>
      <c r="C3901" s="22" t="s">
        <v>49</v>
      </c>
      <c r="D3901" s="149"/>
      <c r="E3901" s="150"/>
      <c r="F3901" s="151"/>
      <c r="G3901" s="151"/>
      <c r="H3901" s="142">
        <f>IFERROR(VLOOKUP($C3901,$C$5:$H$18,6,0)+SUMIF($C$19:$C3901,$C3901,$F$19:$F3901)-SUMIF($C$19:$C3901,$C3901,$G$19:$G3901),"")</f>
        <v>81211.819999998</v>
      </c>
      <c r="I3901" s="147"/>
      <c r="J3901" s="147"/>
      <c r="K3901" s="147" t="str">
        <f t="shared" si="60"/>
        <v/>
      </c>
      <c r="L3901" s="40"/>
      <c r="M3901"/>
      <c r="N3901"/>
      <c r="O3901"/>
      <c r="P3901"/>
      <c r="Q3901"/>
      <c r="R3901"/>
      <c r="S3901"/>
      <c r="T3901"/>
      <c r="U3901"/>
      <c r="V3901"/>
      <c r="W3901" s="41"/>
      <c r="X3901" s="41"/>
      <c r="Y3901" s="41"/>
    </row>
    <row r="3902" s="27" customFormat="1" ht="23" hidden="1" customHeight="1" spans="1:25">
      <c r="A3902" s="133" t="str">
        <f>IF(B3902="","",COUNTA($B$5:B3902))</f>
        <v/>
      </c>
      <c r="B3902" s="148"/>
      <c r="C3902" s="22" t="s">
        <v>49</v>
      </c>
      <c r="D3902" s="149"/>
      <c r="E3902" s="150"/>
      <c r="F3902" s="151"/>
      <c r="G3902" s="151"/>
      <c r="H3902" s="142">
        <f>IFERROR(VLOOKUP($C3902,$C$5:$H$18,6,0)+SUMIF($C$19:$C3902,$C3902,$F$19:$F3902)-SUMIF($C$19:$C3902,$C3902,$G$19:$G3902),"")</f>
        <v>81211.819999998</v>
      </c>
      <c r="I3902" s="147"/>
      <c r="J3902" s="147"/>
      <c r="K3902" s="147" t="str">
        <f t="shared" si="60"/>
        <v/>
      </c>
      <c r="L3902" s="40"/>
      <c r="M3902"/>
      <c r="N3902"/>
      <c r="O3902"/>
      <c r="P3902"/>
      <c r="Q3902"/>
      <c r="R3902"/>
      <c r="S3902"/>
      <c r="T3902"/>
      <c r="U3902"/>
      <c r="V3902"/>
      <c r="W3902" s="41"/>
      <c r="X3902" s="41"/>
      <c r="Y3902" s="41"/>
    </row>
    <row r="3903" s="27" customFormat="1" ht="23" hidden="1" customHeight="1" spans="1:25">
      <c r="A3903" s="133" t="str">
        <f>IF(B3903="","",COUNTA($B$5:B3903))</f>
        <v/>
      </c>
      <c r="B3903" s="148"/>
      <c r="C3903" s="22" t="s">
        <v>49</v>
      </c>
      <c r="D3903" s="149"/>
      <c r="E3903" s="150"/>
      <c r="F3903" s="151"/>
      <c r="G3903" s="151"/>
      <c r="H3903" s="142">
        <f>IFERROR(VLOOKUP($C3903,$C$5:$H$18,6,0)+SUMIF($C$19:$C3903,$C3903,$F$19:$F3903)-SUMIF($C$19:$C3903,$C3903,$G$19:$G3903),"")</f>
        <v>81211.819999998</v>
      </c>
      <c r="I3903" s="147"/>
      <c r="J3903" s="147"/>
      <c r="K3903" s="147" t="str">
        <f t="shared" si="60"/>
        <v/>
      </c>
      <c r="L3903" s="40"/>
      <c r="M3903"/>
      <c r="N3903"/>
      <c r="O3903"/>
      <c r="P3903"/>
      <c r="Q3903"/>
      <c r="R3903"/>
      <c r="S3903"/>
      <c r="T3903"/>
      <c r="U3903"/>
      <c r="V3903"/>
      <c r="W3903" s="41"/>
      <c r="X3903" s="41"/>
      <c r="Y3903" s="41"/>
    </row>
    <row r="3904" s="27" customFormat="1" ht="23" hidden="1" customHeight="1" spans="1:25">
      <c r="A3904" s="133" t="str">
        <f>IF(B3904="","",COUNTA($B$5:B3904))</f>
        <v/>
      </c>
      <c r="B3904" s="148"/>
      <c r="C3904" s="22" t="s">
        <v>49</v>
      </c>
      <c r="D3904" s="149"/>
      <c r="E3904" s="150"/>
      <c r="F3904" s="151"/>
      <c r="G3904" s="151"/>
      <c r="H3904" s="142">
        <f>IFERROR(VLOOKUP($C3904,$C$5:$H$18,6,0)+SUMIF($C$19:$C3904,$C3904,$F$19:$F3904)-SUMIF($C$19:$C3904,$C3904,$G$19:$G3904),"")</f>
        <v>81211.819999998</v>
      </c>
      <c r="I3904" s="147"/>
      <c r="J3904" s="147"/>
      <c r="K3904" s="147" t="str">
        <f t="shared" si="60"/>
        <v/>
      </c>
      <c r="L3904" s="40"/>
      <c r="M3904"/>
      <c r="N3904"/>
      <c r="O3904"/>
      <c r="P3904"/>
      <c r="Q3904"/>
      <c r="R3904"/>
      <c r="S3904"/>
      <c r="T3904"/>
      <c r="U3904"/>
      <c r="V3904"/>
      <c r="W3904" s="41"/>
      <c r="X3904" s="41"/>
      <c r="Y3904" s="41"/>
    </row>
    <row r="3905" s="27" customFormat="1" ht="23" hidden="1" customHeight="1" spans="1:25">
      <c r="A3905" s="133" t="str">
        <f>IF(B3905="","",COUNTA($B$5:B3905))</f>
        <v/>
      </c>
      <c r="B3905" s="148"/>
      <c r="C3905" s="22" t="s">
        <v>49</v>
      </c>
      <c r="D3905" s="149"/>
      <c r="E3905" s="150"/>
      <c r="F3905" s="151"/>
      <c r="G3905" s="151"/>
      <c r="H3905" s="142">
        <f>IFERROR(VLOOKUP($C3905,$C$5:$H$18,6,0)+SUMIF($C$19:$C3905,$C3905,$F$19:$F3905)-SUMIF($C$19:$C3905,$C3905,$G$19:$G3905),"")</f>
        <v>81211.819999998</v>
      </c>
      <c r="I3905" s="147"/>
      <c r="J3905" s="147"/>
      <c r="K3905" s="147" t="str">
        <f t="shared" si="60"/>
        <v/>
      </c>
      <c r="L3905" s="40"/>
      <c r="M3905"/>
      <c r="N3905"/>
      <c r="O3905"/>
      <c r="P3905"/>
      <c r="Q3905"/>
      <c r="R3905"/>
      <c r="S3905"/>
      <c r="T3905"/>
      <c r="U3905"/>
      <c r="V3905"/>
      <c r="W3905" s="41"/>
      <c r="X3905" s="41"/>
      <c r="Y3905" s="41"/>
    </row>
    <row r="3906" s="27" customFormat="1" ht="23" hidden="1" customHeight="1" spans="1:25">
      <c r="A3906" s="133" t="str">
        <f>IF(B3906="","",COUNTA($B$5:B3906))</f>
        <v/>
      </c>
      <c r="B3906" s="148"/>
      <c r="C3906" s="22" t="s">
        <v>49</v>
      </c>
      <c r="D3906" s="149"/>
      <c r="E3906" s="150"/>
      <c r="F3906" s="151"/>
      <c r="G3906" s="151"/>
      <c r="H3906" s="142">
        <f>IFERROR(VLOOKUP($C3906,$C$5:$H$18,6,0)+SUMIF($C$19:$C3906,$C3906,$F$19:$F3906)-SUMIF($C$19:$C3906,$C3906,$G$19:$G3906),"")</f>
        <v>81211.819999998</v>
      </c>
      <c r="I3906" s="147"/>
      <c r="J3906" s="147"/>
      <c r="K3906" s="147" t="str">
        <f t="shared" si="60"/>
        <v/>
      </c>
      <c r="L3906" s="40"/>
      <c r="M3906"/>
      <c r="N3906"/>
      <c r="O3906"/>
      <c r="P3906"/>
      <c r="Q3906"/>
      <c r="R3906"/>
      <c r="S3906"/>
      <c r="T3906"/>
      <c r="U3906"/>
      <c r="V3906"/>
      <c r="W3906" s="41"/>
      <c r="X3906" s="41"/>
      <c r="Y3906" s="41"/>
    </row>
    <row r="3907" s="27" customFormat="1" ht="23" hidden="1" customHeight="1" spans="1:25">
      <c r="A3907" s="133" t="str">
        <f>IF(B3907="","",COUNTA($B$5:B3907))</f>
        <v/>
      </c>
      <c r="B3907" s="148"/>
      <c r="C3907" s="22" t="s">
        <v>49</v>
      </c>
      <c r="D3907" s="149"/>
      <c r="E3907" s="150"/>
      <c r="F3907" s="151"/>
      <c r="G3907" s="151"/>
      <c r="H3907" s="142">
        <f>IFERROR(VLOOKUP($C3907,$C$5:$H$18,6,0)+SUMIF($C$19:$C3907,$C3907,$F$19:$F3907)-SUMIF($C$19:$C3907,$C3907,$G$19:$G3907),"")</f>
        <v>81211.819999998</v>
      </c>
      <c r="I3907" s="147"/>
      <c r="J3907" s="147"/>
      <c r="K3907" s="147" t="str">
        <f t="shared" si="60"/>
        <v/>
      </c>
      <c r="L3907" s="40"/>
      <c r="M3907"/>
      <c r="N3907"/>
      <c r="O3907"/>
      <c r="P3907"/>
      <c r="Q3907"/>
      <c r="R3907"/>
      <c r="S3907"/>
      <c r="T3907"/>
      <c r="U3907"/>
      <c r="V3907"/>
      <c r="W3907" s="41"/>
      <c r="X3907" s="41"/>
      <c r="Y3907" s="41"/>
    </row>
    <row r="3908" s="27" customFormat="1" ht="23" hidden="1" customHeight="1" spans="1:25">
      <c r="A3908" s="133" t="str">
        <f>IF(B3908="","",COUNTA($B$5:B3908))</f>
        <v/>
      </c>
      <c r="B3908" s="148"/>
      <c r="C3908" s="22" t="s">
        <v>49</v>
      </c>
      <c r="D3908" s="149"/>
      <c r="E3908" s="150"/>
      <c r="F3908" s="151"/>
      <c r="G3908" s="151"/>
      <c r="H3908" s="142">
        <f>IFERROR(VLOOKUP($C3908,$C$5:$H$18,6,0)+SUMIF($C$19:$C3908,$C3908,$F$19:$F3908)-SUMIF($C$19:$C3908,$C3908,$G$19:$G3908),"")</f>
        <v>81211.819999998</v>
      </c>
      <c r="I3908" s="147"/>
      <c r="J3908" s="147"/>
      <c r="K3908" s="147" t="str">
        <f t="shared" si="60"/>
        <v/>
      </c>
      <c r="L3908" s="40"/>
      <c r="M3908"/>
      <c r="N3908"/>
      <c r="O3908"/>
      <c r="P3908"/>
      <c r="Q3908"/>
      <c r="R3908"/>
      <c r="S3908"/>
      <c r="T3908"/>
      <c r="U3908"/>
      <c r="V3908"/>
      <c r="W3908" s="41"/>
      <c r="X3908" s="41"/>
      <c r="Y3908" s="41"/>
    </row>
    <row r="3909" s="27" customFormat="1" ht="23" hidden="1" customHeight="1" spans="1:25">
      <c r="A3909" s="133" t="str">
        <f>IF(B3909="","",COUNTA($B$5:B3909))</f>
        <v/>
      </c>
      <c r="B3909" s="148"/>
      <c r="C3909" s="22" t="s">
        <v>49</v>
      </c>
      <c r="D3909" s="149"/>
      <c r="E3909" s="150"/>
      <c r="F3909" s="151"/>
      <c r="G3909" s="151"/>
      <c r="H3909" s="142">
        <f>IFERROR(VLOOKUP($C3909,$C$5:$H$18,6,0)+SUMIF($C$19:$C3909,$C3909,$F$19:$F3909)-SUMIF($C$19:$C3909,$C3909,$G$19:$G3909),"")</f>
        <v>81211.819999998</v>
      </c>
      <c r="I3909" s="147"/>
      <c r="J3909" s="147"/>
      <c r="K3909" s="147" t="str">
        <f t="shared" ref="K3909:K3972" si="61">IF($B3909="","",--TEXT($B3909,"yyyymm"))</f>
        <v/>
      </c>
      <c r="L3909" s="40"/>
      <c r="M3909"/>
      <c r="N3909"/>
      <c r="O3909"/>
      <c r="P3909"/>
      <c r="Q3909"/>
      <c r="R3909"/>
      <c r="S3909"/>
      <c r="T3909"/>
      <c r="U3909"/>
      <c r="V3909"/>
      <c r="W3909" s="41"/>
      <c r="X3909" s="41"/>
      <c r="Y3909" s="41"/>
    </row>
    <row r="3910" s="27" customFormat="1" ht="23" hidden="1" customHeight="1" spans="1:25">
      <c r="A3910" s="133" t="str">
        <f>IF(B3910="","",COUNTA($B$5:B3910))</f>
        <v/>
      </c>
      <c r="B3910" s="148"/>
      <c r="C3910" s="22" t="s">
        <v>49</v>
      </c>
      <c r="D3910" s="149"/>
      <c r="E3910" s="150"/>
      <c r="F3910" s="151"/>
      <c r="G3910" s="151"/>
      <c r="H3910" s="142">
        <f>IFERROR(VLOOKUP($C3910,$C$5:$H$18,6,0)+SUMIF($C$19:$C3910,$C3910,$F$19:$F3910)-SUMIF($C$19:$C3910,$C3910,$G$19:$G3910),"")</f>
        <v>81211.819999998</v>
      </c>
      <c r="I3910" s="147"/>
      <c r="J3910" s="147"/>
      <c r="K3910" s="147" t="str">
        <f t="shared" si="61"/>
        <v/>
      </c>
      <c r="L3910" s="40"/>
      <c r="M3910"/>
      <c r="N3910"/>
      <c r="O3910"/>
      <c r="P3910"/>
      <c r="Q3910"/>
      <c r="R3910"/>
      <c r="S3910"/>
      <c r="T3910"/>
      <c r="U3910"/>
      <c r="V3910"/>
      <c r="W3910" s="41"/>
      <c r="X3910" s="41"/>
      <c r="Y3910" s="41"/>
    </row>
    <row r="3911" s="27" customFormat="1" ht="23" hidden="1" customHeight="1" spans="1:25">
      <c r="A3911" s="133" t="str">
        <f>IF(B3911="","",COUNTA($B$5:B3911))</f>
        <v/>
      </c>
      <c r="B3911" s="148"/>
      <c r="C3911" s="22" t="s">
        <v>49</v>
      </c>
      <c r="D3911" s="149"/>
      <c r="E3911" s="150"/>
      <c r="F3911" s="151"/>
      <c r="G3911" s="151"/>
      <c r="H3911" s="142">
        <f>IFERROR(VLOOKUP($C3911,$C$5:$H$18,6,0)+SUMIF($C$19:$C3911,$C3911,$F$19:$F3911)-SUMIF($C$19:$C3911,$C3911,$G$19:$G3911),"")</f>
        <v>81211.819999998</v>
      </c>
      <c r="I3911" s="147"/>
      <c r="J3911" s="147"/>
      <c r="K3911" s="147" t="str">
        <f t="shared" si="61"/>
        <v/>
      </c>
      <c r="L3911" s="40"/>
      <c r="M3911"/>
      <c r="N3911"/>
      <c r="O3911"/>
      <c r="P3911"/>
      <c r="Q3911"/>
      <c r="R3911"/>
      <c r="S3911"/>
      <c r="T3911"/>
      <c r="U3911"/>
      <c r="V3911"/>
      <c r="W3911" s="41"/>
      <c r="X3911" s="41"/>
      <c r="Y3911" s="41"/>
    </row>
    <row r="3912" s="27" customFormat="1" ht="23" hidden="1" customHeight="1" spans="1:25">
      <c r="A3912" s="133" t="str">
        <f>IF(B3912="","",COUNTA($B$5:B3912))</f>
        <v/>
      </c>
      <c r="B3912" s="148"/>
      <c r="C3912" s="22" t="s">
        <v>49</v>
      </c>
      <c r="D3912" s="149"/>
      <c r="E3912" s="150"/>
      <c r="F3912" s="151"/>
      <c r="G3912" s="151"/>
      <c r="H3912" s="142">
        <f>IFERROR(VLOOKUP($C3912,$C$5:$H$18,6,0)+SUMIF($C$19:$C3912,$C3912,$F$19:$F3912)-SUMIF($C$19:$C3912,$C3912,$G$19:$G3912),"")</f>
        <v>81211.819999998</v>
      </c>
      <c r="I3912" s="147"/>
      <c r="J3912" s="147"/>
      <c r="K3912" s="147" t="str">
        <f t="shared" si="61"/>
        <v/>
      </c>
      <c r="L3912" s="40"/>
      <c r="M3912"/>
      <c r="N3912"/>
      <c r="O3912"/>
      <c r="P3912"/>
      <c r="Q3912"/>
      <c r="R3912"/>
      <c r="S3912"/>
      <c r="T3912"/>
      <c r="U3912"/>
      <c r="V3912"/>
      <c r="W3912" s="41"/>
      <c r="X3912" s="41"/>
      <c r="Y3912" s="41"/>
    </row>
    <row r="3913" s="27" customFormat="1" ht="23" hidden="1" customHeight="1" spans="1:25">
      <c r="A3913" s="133" t="str">
        <f>IF(B3913="","",COUNTA($B$5:B3913))</f>
        <v/>
      </c>
      <c r="B3913" s="148"/>
      <c r="C3913" s="22" t="s">
        <v>49</v>
      </c>
      <c r="D3913" s="149"/>
      <c r="E3913" s="150"/>
      <c r="F3913" s="151"/>
      <c r="G3913" s="151"/>
      <c r="H3913" s="142">
        <f>IFERROR(VLOOKUP($C3913,$C$5:$H$18,6,0)+SUMIF($C$19:$C3913,$C3913,$F$19:$F3913)-SUMIF($C$19:$C3913,$C3913,$G$19:$G3913),"")</f>
        <v>81211.819999998</v>
      </c>
      <c r="I3913" s="147"/>
      <c r="J3913" s="147"/>
      <c r="K3913" s="147" t="str">
        <f t="shared" si="61"/>
        <v/>
      </c>
      <c r="L3913" s="40"/>
      <c r="M3913"/>
      <c r="N3913"/>
      <c r="O3913"/>
      <c r="P3913"/>
      <c r="Q3913"/>
      <c r="R3913"/>
      <c r="S3913"/>
      <c r="T3913"/>
      <c r="U3913"/>
      <c r="V3913"/>
      <c r="W3913" s="41"/>
      <c r="X3913" s="41"/>
      <c r="Y3913" s="41"/>
    </row>
    <row r="3914" s="27" customFormat="1" ht="23" hidden="1" customHeight="1" spans="1:25">
      <c r="A3914" s="133" t="str">
        <f>IF(B3914="","",COUNTA($B$5:B3914))</f>
        <v/>
      </c>
      <c r="B3914" s="148"/>
      <c r="C3914" s="22" t="s">
        <v>49</v>
      </c>
      <c r="D3914" s="149"/>
      <c r="E3914" s="150"/>
      <c r="F3914" s="151"/>
      <c r="G3914" s="151"/>
      <c r="H3914" s="142">
        <f>IFERROR(VLOOKUP($C3914,$C$5:$H$18,6,0)+SUMIF($C$19:$C3914,$C3914,$F$19:$F3914)-SUMIF($C$19:$C3914,$C3914,$G$19:$G3914),"")</f>
        <v>81211.819999998</v>
      </c>
      <c r="I3914" s="147"/>
      <c r="J3914" s="147"/>
      <c r="K3914" s="147" t="str">
        <f t="shared" si="61"/>
        <v/>
      </c>
      <c r="L3914" s="40"/>
      <c r="M3914"/>
      <c r="N3914"/>
      <c r="O3914"/>
      <c r="P3914"/>
      <c r="Q3914"/>
      <c r="R3914"/>
      <c r="S3914"/>
      <c r="T3914"/>
      <c r="U3914"/>
      <c r="V3914"/>
      <c r="W3914" s="41"/>
      <c r="X3914" s="41"/>
      <c r="Y3914" s="41"/>
    </row>
    <row r="3915" s="27" customFormat="1" ht="23" hidden="1" customHeight="1" spans="1:25">
      <c r="A3915" s="133" t="str">
        <f>IF(B3915="","",COUNTA($B$5:B3915))</f>
        <v/>
      </c>
      <c r="B3915" s="148"/>
      <c r="C3915" s="22" t="s">
        <v>49</v>
      </c>
      <c r="D3915" s="149"/>
      <c r="E3915" s="150"/>
      <c r="F3915" s="151"/>
      <c r="G3915" s="151"/>
      <c r="H3915" s="142">
        <f>IFERROR(VLOOKUP($C3915,$C$5:$H$18,6,0)+SUMIF($C$19:$C3915,$C3915,$F$19:$F3915)-SUMIF($C$19:$C3915,$C3915,$G$19:$G3915),"")</f>
        <v>81211.819999998</v>
      </c>
      <c r="I3915" s="147"/>
      <c r="J3915" s="147"/>
      <c r="K3915" s="147" t="str">
        <f t="shared" si="61"/>
        <v/>
      </c>
      <c r="L3915" s="40"/>
      <c r="M3915"/>
      <c r="N3915"/>
      <c r="O3915"/>
      <c r="P3915"/>
      <c r="Q3915"/>
      <c r="R3915"/>
      <c r="S3915"/>
      <c r="T3915"/>
      <c r="U3915"/>
      <c r="V3915"/>
      <c r="W3915" s="41"/>
      <c r="X3915" s="41"/>
      <c r="Y3915" s="41"/>
    </row>
    <row r="3916" s="27" customFormat="1" ht="23" hidden="1" customHeight="1" spans="1:25">
      <c r="A3916" s="133" t="str">
        <f>IF(B3916="","",COUNTA($B$5:B3916))</f>
        <v/>
      </c>
      <c r="B3916" s="148"/>
      <c r="C3916" s="22" t="s">
        <v>49</v>
      </c>
      <c r="D3916" s="149"/>
      <c r="E3916" s="150"/>
      <c r="F3916" s="151"/>
      <c r="G3916" s="151"/>
      <c r="H3916" s="142">
        <f>IFERROR(VLOOKUP($C3916,$C$5:$H$18,6,0)+SUMIF($C$19:$C3916,$C3916,$F$19:$F3916)-SUMIF($C$19:$C3916,$C3916,$G$19:$G3916),"")</f>
        <v>81211.819999998</v>
      </c>
      <c r="I3916" s="147"/>
      <c r="J3916" s="147"/>
      <c r="K3916" s="147" t="str">
        <f t="shared" si="61"/>
        <v/>
      </c>
      <c r="L3916" s="40"/>
      <c r="M3916"/>
      <c r="N3916"/>
      <c r="O3916"/>
      <c r="P3916"/>
      <c r="Q3916"/>
      <c r="R3916"/>
      <c r="S3916"/>
      <c r="T3916"/>
      <c r="U3916"/>
      <c r="V3916"/>
      <c r="W3916" s="41"/>
      <c r="X3916" s="41"/>
      <c r="Y3916" s="41"/>
    </row>
    <row r="3917" s="27" customFormat="1" ht="23" hidden="1" customHeight="1" spans="1:25">
      <c r="A3917" s="133" t="str">
        <f>IF(B3917="","",COUNTA($B$5:B3917))</f>
        <v/>
      </c>
      <c r="B3917" s="148"/>
      <c r="C3917" s="22" t="s">
        <v>49</v>
      </c>
      <c r="D3917" s="149"/>
      <c r="E3917" s="150"/>
      <c r="F3917" s="151"/>
      <c r="G3917" s="151"/>
      <c r="H3917" s="142">
        <f>IFERROR(VLOOKUP($C3917,$C$5:$H$18,6,0)+SUMIF($C$19:$C3917,$C3917,$F$19:$F3917)-SUMIF($C$19:$C3917,$C3917,$G$19:$G3917),"")</f>
        <v>81211.819999998</v>
      </c>
      <c r="I3917" s="147"/>
      <c r="J3917" s="147"/>
      <c r="K3917" s="147" t="str">
        <f t="shared" si="61"/>
        <v/>
      </c>
      <c r="L3917" s="40"/>
      <c r="M3917"/>
      <c r="N3917"/>
      <c r="O3917"/>
      <c r="P3917"/>
      <c r="Q3917"/>
      <c r="R3917"/>
      <c r="S3917"/>
      <c r="T3917"/>
      <c r="U3917"/>
      <c r="V3917"/>
      <c r="W3917" s="41"/>
      <c r="X3917" s="41"/>
      <c r="Y3917" s="41"/>
    </row>
    <row r="3918" s="27" customFormat="1" ht="23" hidden="1" customHeight="1" spans="1:25">
      <c r="A3918" s="133" t="str">
        <f>IF(B3918="","",COUNTA($B$5:B3918))</f>
        <v/>
      </c>
      <c r="B3918" s="148"/>
      <c r="C3918" s="22" t="s">
        <v>49</v>
      </c>
      <c r="D3918" s="149"/>
      <c r="E3918" s="150"/>
      <c r="F3918" s="151"/>
      <c r="G3918" s="151"/>
      <c r="H3918" s="142">
        <f>IFERROR(VLOOKUP($C3918,$C$5:$H$18,6,0)+SUMIF($C$19:$C3918,$C3918,$F$19:$F3918)-SUMIF($C$19:$C3918,$C3918,$G$19:$G3918),"")</f>
        <v>81211.819999998</v>
      </c>
      <c r="I3918" s="147"/>
      <c r="J3918" s="147"/>
      <c r="K3918" s="147" t="str">
        <f t="shared" si="61"/>
        <v/>
      </c>
      <c r="L3918" s="40"/>
      <c r="M3918"/>
      <c r="N3918"/>
      <c r="O3918"/>
      <c r="P3918"/>
      <c r="Q3918"/>
      <c r="R3918"/>
      <c r="S3918"/>
      <c r="T3918"/>
      <c r="U3918"/>
      <c r="V3918"/>
      <c r="W3918" s="41"/>
      <c r="X3918" s="41"/>
      <c r="Y3918" s="41"/>
    </row>
    <row r="3919" s="27" customFormat="1" ht="23" hidden="1" customHeight="1" spans="1:25">
      <c r="A3919" s="133" t="str">
        <f>IF(B3919="","",COUNTA($B$5:B3919))</f>
        <v/>
      </c>
      <c r="B3919" s="148"/>
      <c r="C3919" s="22" t="s">
        <v>49</v>
      </c>
      <c r="D3919" s="149"/>
      <c r="E3919" s="150"/>
      <c r="F3919" s="151"/>
      <c r="G3919" s="151"/>
      <c r="H3919" s="142">
        <f>IFERROR(VLOOKUP($C3919,$C$5:$H$18,6,0)+SUMIF($C$19:$C3919,$C3919,$F$19:$F3919)-SUMIF($C$19:$C3919,$C3919,$G$19:$G3919),"")</f>
        <v>81211.819999998</v>
      </c>
      <c r="I3919" s="147"/>
      <c r="J3919" s="147"/>
      <c r="K3919" s="147" t="str">
        <f t="shared" si="61"/>
        <v/>
      </c>
      <c r="L3919" s="40"/>
      <c r="M3919"/>
      <c r="N3919"/>
      <c r="O3919"/>
      <c r="P3919"/>
      <c r="Q3919"/>
      <c r="R3919"/>
      <c r="S3919"/>
      <c r="T3919"/>
      <c r="U3919"/>
      <c r="V3919"/>
      <c r="W3919" s="41"/>
      <c r="X3919" s="41"/>
      <c r="Y3919" s="41"/>
    </row>
    <row r="3920" s="27" customFormat="1" ht="23" hidden="1" customHeight="1" spans="1:25">
      <c r="A3920" s="133" t="str">
        <f>IF(B3920="","",COUNTA($B$5:B3920))</f>
        <v/>
      </c>
      <c r="B3920" s="148"/>
      <c r="C3920" s="22" t="s">
        <v>49</v>
      </c>
      <c r="D3920" s="149"/>
      <c r="E3920" s="150"/>
      <c r="F3920" s="151"/>
      <c r="G3920" s="151"/>
      <c r="H3920" s="142">
        <f>IFERROR(VLOOKUP($C3920,$C$5:$H$18,6,0)+SUMIF($C$19:$C3920,$C3920,$F$19:$F3920)-SUMIF($C$19:$C3920,$C3920,$G$19:$G3920),"")</f>
        <v>81211.819999998</v>
      </c>
      <c r="I3920" s="147"/>
      <c r="J3920" s="147"/>
      <c r="K3920" s="147" t="str">
        <f t="shared" si="61"/>
        <v/>
      </c>
      <c r="L3920" s="40"/>
      <c r="M3920"/>
      <c r="N3920"/>
      <c r="O3920"/>
      <c r="P3920"/>
      <c r="Q3920"/>
      <c r="R3920"/>
      <c r="S3920"/>
      <c r="T3920"/>
      <c r="U3920"/>
      <c r="V3920"/>
      <c r="W3920" s="41"/>
      <c r="X3920" s="41"/>
      <c r="Y3920" s="41"/>
    </row>
    <row r="3921" s="27" customFormat="1" ht="23" hidden="1" customHeight="1" spans="1:25">
      <c r="A3921" s="133" t="str">
        <f>IF(B3921="","",COUNTA($B$5:B3921))</f>
        <v/>
      </c>
      <c r="B3921" s="148"/>
      <c r="C3921" s="22" t="s">
        <v>49</v>
      </c>
      <c r="D3921" s="149"/>
      <c r="E3921" s="150"/>
      <c r="F3921" s="151"/>
      <c r="G3921" s="151"/>
      <c r="H3921" s="142">
        <f>IFERROR(VLOOKUP($C3921,$C$5:$H$18,6,0)+SUMIF($C$19:$C3921,$C3921,$F$19:$F3921)-SUMIF($C$19:$C3921,$C3921,$G$19:$G3921),"")</f>
        <v>81211.819999998</v>
      </c>
      <c r="I3921" s="147"/>
      <c r="J3921" s="147"/>
      <c r="K3921" s="147" t="str">
        <f t="shared" si="61"/>
        <v/>
      </c>
      <c r="L3921" s="40"/>
      <c r="M3921"/>
      <c r="N3921"/>
      <c r="O3921"/>
      <c r="P3921"/>
      <c r="Q3921"/>
      <c r="R3921"/>
      <c r="S3921"/>
      <c r="T3921"/>
      <c r="U3921"/>
      <c r="V3921"/>
      <c r="W3921" s="41"/>
      <c r="X3921" s="41"/>
      <c r="Y3921" s="41"/>
    </row>
    <row r="3922" s="27" customFormat="1" ht="23" hidden="1" customHeight="1" spans="1:25">
      <c r="A3922" s="133" t="str">
        <f>IF(B3922="","",COUNTA($B$5:B3922))</f>
        <v/>
      </c>
      <c r="B3922" s="148"/>
      <c r="C3922" s="22" t="s">
        <v>49</v>
      </c>
      <c r="D3922" s="149"/>
      <c r="E3922" s="150"/>
      <c r="F3922" s="151"/>
      <c r="G3922" s="151"/>
      <c r="H3922" s="142">
        <f>IFERROR(VLOOKUP($C3922,$C$5:$H$18,6,0)+SUMIF($C$19:$C3922,$C3922,$F$19:$F3922)-SUMIF($C$19:$C3922,$C3922,$G$19:$G3922),"")</f>
        <v>81211.819999998</v>
      </c>
      <c r="I3922" s="147"/>
      <c r="J3922" s="147"/>
      <c r="K3922" s="147" t="str">
        <f t="shared" si="61"/>
        <v/>
      </c>
      <c r="L3922" s="40"/>
      <c r="M3922"/>
      <c r="N3922"/>
      <c r="O3922"/>
      <c r="P3922"/>
      <c r="Q3922"/>
      <c r="R3922"/>
      <c r="S3922"/>
      <c r="T3922"/>
      <c r="U3922"/>
      <c r="V3922"/>
      <c r="W3922" s="41"/>
      <c r="X3922" s="41"/>
      <c r="Y3922" s="41"/>
    </row>
    <row r="3923" s="27" customFormat="1" ht="23" hidden="1" customHeight="1" spans="1:25">
      <c r="A3923" s="133" t="str">
        <f>IF(B3923="","",COUNTA($B$5:B3923))</f>
        <v/>
      </c>
      <c r="B3923" s="148"/>
      <c r="C3923" s="22" t="s">
        <v>49</v>
      </c>
      <c r="D3923" s="149"/>
      <c r="E3923" s="150"/>
      <c r="F3923" s="151"/>
      <c r="G3923" s="151"/>
      <c r="H3923" s="142">
        <f>IFERROR(VLOOKUP($C3923,$C$5:$H$18,6,0)+SUMIF($C$19:$C3923,$C3923,$F$19:$F3923)-SUMIF($C$19:$C3923,$C3923,$G$19:$G3923),"")</f>
        <v>81211.819999998</v>
      </c>
      <c r="I3923" s="147"/>
      <c r="J3923" s="147"/>
      <c r="K3923" s="147" t="str">
        <f t="shared" si="61"/>
        <v/>
      </c>
      <c r="L3923" s="40"/>
      <c r="M3923"/>
      <c r="N3923"/>
      <c r="O3923"/>
      <c r="P3923"/>
      <c r="Q3923"/>
      <c r="R3923"/>
      <c r="S3923"/>
      <c r="T3923"/>
      <c r="U3923"/>
      <c r="V3923"/>
      <c r="W3923" s="41"/>
      <c r="X3923" s="41"/>
      <c r="Y3923" s="41"/>
    </row>
    <row r="3924" s="27" customFormat="1" ht="23" hidden="1" customHeight="1" spans="1:25">
      <c r="A3924" s="133" t="str">
        <f>IF(B3924="","",COUNTA($B$5:B3924))</f>
        <v/>
      </c>
      <c r="B3924" s="148"/>
      <c r="C3924" s="22" t="s">
        <v>49</v>
      </c>
      <c r="D3924" s="149"/>
      <c r="E3924" s="150"/>
      <c r="F3924" s="151"/>
      <c r="G3924" s="151"/>
      <c r="H3924" s="142">
        <f>IFERROR(VLOOKUP($C3924,$C$5:$H$18,6,0)+SUMIF($C$19:$C3924,$C3924,$F$19:$F3924)-SUMIF($C$19:$C3924,$C3924,$G$19:$G3924),"")</f>
        <v>81211.819999998</v>
      </c>
      <c r="I3924" s="147"/>
      <c r="J3924" s="147"/>
      <c r="K3924" s="147" t="str">
        <f t="shared" si="61"/>
        <v/>
      </c>
      <c r="L3924" s="40"/>
      <c r="M3924"/>
      <c r="N3924"/>
      <c r="O3924"/>
      <c r="P3924"/>
      <c r="Q3924"/>
      <c r="R3924"/>
      <c r="S3924"/>
      <c r="T3924"/>
      <c r="U3924"/>
      <c r="V3924"/>
      <c r="W3924" s="41"/>
      <c r="X3924" s="41"/>
      <c r="Y3924" s="41"/>
    </row>
    <row r="3925" s="27" customFormat="1" ht="23" hidden="1" customHeight="1" spans="1:25">
      <c r="A3925" s="133" t="str">
        <f>IF(B3925="","",COUNTA($B$5:B3925))</f>
        <v/>
      </c>
      <c r="B3925" s="148"/>
      <c r="C3925" s="22" t="s">
        <v>49</v>
      </c>
      <c r="D3925" s="149"/>
      <c r="E3925" s="150"/>
      <c r="F3925" s="151"/>
      <c r="G3925" s="151"/>
      <c r="H3925" s="142">
        <f>IFERROR(VLOOKUP($C3925,$C$5:$H$18,6,0)+SUMIF($C$19:$C3925,$C3925,$F$19:$F3925)-SUMIF($C$19:$C3925,$C3925,$G$19:$G3925),"")</f>
        <v>81211.819999998</v>
      </c>
      <c r="I3925" s="147"/>
      <c r="J3925" s="147"/>
      <c r="K3925" s="147" t="str">
        <f t="shared" si="61"/>
        <v/>
      </c>
      <c r="L3925" s="40"/>
      <c r="M3925"/>
      <c r="N3925"/>
      <c r="O3925"/>
      <c r="P3925"/>
      <c r="Q3925"/>
      <c r="R3925"/>
      <c r="S3925"/>
      <c r="T3925"/>
      <c r="U3925"/>
      <c r="V3925"/>
      <c r="W3925" s="41"/>
      <c r="X3925" s="41"/>
      <c r="Y3925" s="41"/>
    </row>
    <row r="3926" s="27" customFormat="1" ht="23" hidden="1" customHeight="1" spans="1:25">
      <c r="A3926" s="133" t="str">
        <f>IF(B3926="","",COUNTA($B$5:B3926))</f>
        <v/>
      </c>
      <c r="B3926" s="148"/>
      <c r="C3926" s="22" t="s">
        <v>49</v>
      </c>
      <c r="D3926" s="149"/>
      <c r="E3926" s="150"/>
      <c r="F3926" s="151"/>
      <c r="G3926" s="151"/>
      <c r="H3926" s="142">
        <f>IFERROR(VLOOKUP($C3926,$C$5:$H$18,6,0)+SUMIF($C$19:$C3926,$C3926,$F$19:$F3926)-SUMIF($C$19:$C3926,$C3926,$G$19:$G3926),"")</f>
        <v>81211.819999998</v>
      </c>
      <c r="I3926" s="147"/>
      <c r="J3926" s="147"/>
      <c r="K3926" s="147" t="str">
        <f t="shared" si="61"/>
        <v/>
      </c>
      <c r="L3926" s="40"/>
      <c r="M3926"/>
      <c r="N3926"/>
      <c r="O3926"/>
      <c r="P3926"/>
      <c r="Q3926"/>
      <c r="R3926"/>
      <c r="S3926"/>
      <c r="T3926"/>
      <c r="U3926"/>
      <c r="V3926"/>
      <c r="W3926" s="41"/>
      <c r="X3926" s="41"/>
      <c r="Y3926" s="41"/>
    </row>
    <row r="3927" s="27" customFormat="1" ht="23" hidden="1" customHeight="1" spans="1:25">
      <c r="A3927" s="133" t="str">
        <f>IF(B3927="","",COUNTA($B$5:B3927))</f>
        <v/>
      </c>
      <c r="B3927" s="148"/>
      <c r="C3927" s="22" t="s">
        <v>49</v>
      </c>
      <c r="D3927" s="149"/>
      <c r="E3927" s="150"/>
      <c r="F3927" s="151"/>
      <c r="G3927" s="151"/>
      <c r="H3927" s="142">
        <f>IFERROR(VLOOKUP($C3927,$C$5:$H$18,6,0)+SUMIF($C$19:$C3927,$C3927,$F$19:$F3927)-SUMIF($C$19:$C3927,$C3927,$G$19:$G3927),"")</f>
        <v>81211.819999998</v>
      </c>
      <c r="I3927" s="147"/>
      <c r="J3927" s="147"/>
      <c r="K3927" s="147" t="str">
        <f t="shared" si="61"/>
        <v/>
      </c>
      <c r="L3927" s="40"/>
      <c r="M3927"/>
      <c r="N3927"/>
      <c r="O3927"/>
      <c r="P3927"/>
      <c r="Q3927"/>
      <c r="R3927"/>
      <c r="S3927"/>
      <c r="T3927"/>
      <c r="U3927"/>
      <c r="V3927"/>
      <c r="W3927" s="41"/>
      <c r="X3927" s="41"/>
      <c r="Y3927" s="41"/>
    </row>
    <row r="3928" s="27" customFormat="1" ht="23" hidden="1" customHeight="1" spans="1:25">
      <c r="A3928" s="133" t="str">
        <f>IF(B3928="","",COUNTA($B$5:B3928))</f>
        <v/>
      </c>
      <c r="B3928" s="148"/>
      <c r="C3928" s="22" t="s">
        <v>49</v>
      </c>
      <c r="D3928" s="149"/>
      <c r="E3928" s="150"/>
      <c r="F3928" s="151"/>
      <c r="G3928" s="151"/>
      <c r="H3928" s="142">
        <f>IFERROR(VLOOKUP($C3928,$C$5:$H$18,6,0)+SUMIF($C$19:$C3928,$C3928,$F$19:$F3928)-SUMIF($C$19:$C3928,$C3928,$G$19:$G3928),"")</f>
        <v>81211.819999998</v>
      </c>
      <c r="I3928" s="147"/>
      <c r="J3928" s="147"/>
      <c r="K3928" s="147" t="str">
        <f t="shared" si="61"/>
        <v/>
      </c>
      <c r="L3928" s="40"/>
      <c r="M3928"/>
      <c r="N3928"/>
      <c r="O3928"/>
      <c r="P3928"/>
      <c r="Q3928"/>
      <c r="R3928"/>
      <c r="S3928"/>
      <c r="T3928"/>
      <c r="U3928"/>
      <c r="V3928"/>
      <c r="W3928" s="41"/>
      <c r="X3928" s="41"/>
      <c r="Y3928" s="41"/>
    </row>
    <row r="3929" s="27" customFormat="1" ht="23" hidden="1" customHeight="1" spans="1:25">
      <c r="A3929" s="133" t="str">
        <f>IF(B3929="","",COUNTA($B$5:B3929))</f>
        <v/>
      </c>
      <c r="B3929" s="148"/>
      <c r="C3929" s="22" t="s">
        <v>49</v>
      </c>
      <c r="D3929" s="149"/>
      <c r="E3929" s="150"/>
      <c r="F3929" s="151"/>
      <c r="G3929" s="151"/>
      <c r="H3929" s="142">
        <f>IFERROR(VLOOKUP($C3929,$C$5:$H$18,6,0)+SUMIF($C$19:$C3929,$C3929,$F$19:$F3929)-SUMIF($C$19:$C3929,$C3929,$G$19:$G3929),"")</f>
        <v>81211.819999998</v>
      </c>
      <c r="I3929" s="147"/>
      <c r="J3929" s="147"/>
      <c r="K3929" s="147" t="str">
        <f t="shared" si="61"/>
        <v/>
      </c>
      <c r="L3929" s="40"/>
      <c r="M3929"/>
      <c r="N3929"/>
      <c r="O3929"/>
      <c r="P3929"/>
      <c r="Q3929"/>
      <c r="R3929"/>
      <c r="S3929"/>
      <c r="T3929"/>
      <c r="U3929"/>
      <c r="V3929"/>
      <c r="W3929" s="41"/>
      <c r="X3929" s="41"/>
      <c r="Y3929" s="41"/>
    </row>
    <row r="3930" s="27" customFormat="1" ht="23" hidden="1" customHeight="1" spans="1:25">
      <c r="A3930" s="133" t="str">
        <f>IF(B3930="","",COUNTA($B$5:B3930))</f>
        <v/>
      </c>
      <c r="B3930" s="148"/>
      <c r="C3930" s="22" t="s">
        <v>49</v>
      </c>
      <c r="D3930" s="149"/>
      <c r="E3930" s="150"/>
      <c r="F3930" s="151"/>
      <c r="G3930" s="151"/>
      <c r="H3930" s="142">
        <f>IFERROR(VLOOKUP($C3930,$C$5:$H$18,6,0)+SUMIF($C$19:$C3930,$C3930,$F$19:$F3930)-SUMIF($C$19:$C3930,$C3930,$G$19:$G3930),"")</f>
        <v>81211.819999998</v>
      </c>
      <c r="I3930" s="147"/>
      <c r="J3930" s="147"/>
      <c r="K3930" s="147" t="str">
        <f t="shared" si="61"/>
        <v/>
      </c>
      <c r="L3930" s="40"/>
      <c r="M3930"/>
      <c r="N3930"/>
      <c r="O3930"/>
      <c r="P3930"/>
      <c r="Q3930"/>
      <c r="R3930"/>
      <c r="S3930"/>
      <c r="T3930"/>
      <c r="U3930"/>
      <c r="V3930"/>
      <c r="W3930" s="41"/>
      <c r="X3930" s="41"/>
      <c r="Y3930" s="41"/>
    </row>
    <row r="3931" s="27" customFormat="1" ht="23" hidden="1" customHeight="1" spans="1:25">
      <c r="A3931" s="133" t="str">
        <f>IF(B3931="","",COUNTA($B$5:B3931))</f>
        <v/>
      </c>
      <c r="B3931" s="148"/>
      <c r="C3931" s="22" t="s">
        <v>49</v>
      </c>
      <c r="D3931" s="149"/>
      <c r="E3931" s="150"/>
      <c r="F3931" s="151"/>
      <c r="G3931" s="151"/>
      <c r="H3931" s="142">
        <f>IFERROR(VLOOKUP($C3931,$C$5:$H$18,6,0)+SUMIF($C$19:$C3931,$C3931,$F$19:$F3931)-SUMIF($C$19:$C3931,$C3931,$G$19:$G3931),"")</f>
        <v>81211.819999998</v>
      </c>
      <c r="I3931" s="147"/>
      <c r="J3931" s="147"/>
      <c r="K3931" s="147" t="str">
        <f t="shared" si="61"/>
        <v/>
      </c>
      <c r="L3931" s="40"/>
      <c r="M3931"/>
      <c r="N3931"/>
      <c r="O3931"/>
      <c r="P3931"/>
      <c r="Q3931"/>
      <c r="R3931"/>
      <c r="S3931"/>
      <c r="T3931"/>
      <c r="U3931"/>
      <c r="V3931"/>
      <c r="W3931" s="41"/>
      <c r="X3931" s="41"/>
      <c r="Y3931" s="41"/>
    </row>
    <row r="3932" s="27" customFormat="1" ht="23" hidden="1" customHeight="1" spans="1:25">
      <c r="A3932" s="133" t="str">
        <f>IF(B3932="","",COUNTA($B$5:B3932))</f>
        <v/>
      </c>
      <c r="B3932" s="148"/>
      <c r="C3932" s="22" t="s">
        <v>49</v>
      </c>
      <c r="D3932" s="149"/>
      <c r="E3932" s="150"/>
      <c r="F3932" s="151"/>
      <c r="G3932" s="151"/>
      <c r="H3932" s="142">
        <f>IFERROR(VLOOKUP($C3932,$C$5:$H$18,6,0)+SUMIF($C$19:$C3932,$C3932,$F$19:$F3932)-SUMIF($C$19:$C3932,$C3932,$G$19:$G3932),"")</f>
        <v>81211.819999998</v>
      </c>
      <c r="I3932" s="147"/>
      <c r="J3932" s="147"/>
      <c r="K3932" s="147" t="str">
        <f t="shared" si="61"/>
        <v/>
      </c>
      <c r="L3932" s="40"/>
      <c r="M3932"/>
      <c r="N3932"/>
      <c r="O3932"/>
      <c r="P3932"/>
      <c r="Q3932"/>
      <c r="R3932"/>
      <c r="S3932"/>
      <c r="T3932"/>
      <c r="U3932"/>
      <c r="V3932"/>
      <c r="W3932" s="41"/>
      <c r="X3932" s="41"/>
      <c r="Y3932" s="41"/>
    </row>
    <row r="3933" s="27" customFormat="1" ht="23" hidden="1" customHeight="1" spans="1:25">
      <c r="A3933" s="133" t="str">
        <f>IF(B3933="","",COUNTA($B$5:B3933))</f>
        <v/>
      </c>
      <c r="B3933" s="148"/>
      <c r="C3933" s="22" t="s">
        <v>49</v>
      </c>
      <c r="D3933" s="149"/>
      <c r="E3933" s="150"/>
      <c r="F3933" s="151"/>
      <c r="G3933" s="151"/>
      <c r="H3933" s="142">
        <f>IFERROR(VLOOKUP($C3933,$C$5:$H$18,6,0)+SUMIF($C$19:$C3933,$C3933,$F$19:$F3933)-SUMIF($C$19:$C3933,$C3933,$G$19:$G3933),"")</f>
        <v>81211.819999998</v>
      </c>
      <c r="I3933" s="147"/>
      <c r="J3933" s="147"/>
      <c r="K3933" s="147" t="str">
        <f t="shared" si="61"/>
        <v/>
      </c>
      <c r="L3933" s="40"/>
      <c r="M3933"/>
      <c r="N3933"/>
      <c r="O3933"/>
      <c r="P3933"/>
      <c r="Q3933"/>
      <c r="R3933"/>
      <c r="S3933"/>
      <c r="T3933"/>
      <c r="U3933"/>
      <c r="V3933"/>
      <c r="W3933" s="41"/>
      <c r="X3933" s="41"/>
      <c r="Y3933" s="41"/>
    </row>
    <row r="3934" s="27" customFormat="1" ht="23" hidden="1" customHeight="1" spans="1:25">
      <c r="A3934" s="133" t="str">
        <f>IF(B3934="","",COUNTA($B$5:B3934))</f>
        <v/>
      </c>
      <c r="B3934" s="148"/>
      <c r="C3934" s="22" t="s">
        <v>49</v>
      </c>
      <c r="D3934" s="149"/>
      <c r="E3934" s="150"/>
      <c r="F3934" s="151"/>
      <c r="G3934" s="151"/>
      <c r="H3934" s="142">
        <f>IFERROR(VLOOKUP($C3934,$C$5:$H$18,6,0)+SUMIF($C$19:$C3934,$C3934,$F$19:$F3934)-SUMIF($C$19:$C3934,$C3934,$G$19:$G3934),"")</f>
        <v>81211.819999998</v>
      </c>
      <c r="I3934" s="147"/>
      <c r="J3934" s="147"/>
      <c r="K3934" s="147" t="str">
        <f t="shared" si="61"/>
        <v/>
      </c>
      <c r="L3934" s="40"/>
      <c r="M3934"/>
      <c r="N3934"/>
      <c r="O3934"/>
      <c r="P3934"/>
      <c r="Q3934"/>
      <c r="R3934"/>
      <c r="S3934"/>
      <c r="T3934"/>
      <c r="U3934"/>
      <c r="V3934"/>
      <c r="W3934" s="41"/>
      <c r="X3934" s="41"/>
      <c r="Y3934" s="41"/>
    </row>
    <row r="3935" s="27" customFormat="1" ht="23" hidden="1" customHeight="1" spans="1:25">
      <c r="A3935" s="133" t="str">
        <f>IF(B3935="","",COUNTA($B$5:B3935))</f>
        <v/>
      </c>
      <c r="B3935" s="148"/>
      <c r="C3935" s="22" t="s">
        <v>49</v>
      </c>
      <c r="D3935" s="149"/>
      <c r="E3935" s="150"/>
      <c r="F3935" s="151"/>
      <c r="G3935" s="151"/>
      <c r="H3935" s="142">
        <f>IFERROR(VLOOKUP($C3935,$C$5:$H$18,6,0)+SUMIF($C$19:$C3935,$C3935,$F$19:$F3935)-SUMIF($C$19:$C3935,$C3935,$G$19:$G3935),"")</f>
        <v>81211.819999998</v>
      </c>
      <c r="I3935" s="147"/>
      <c r="J3935" s="147"/>
      <c r="K3935" s="147" t="str">
        <f t="shared" si="61"/>
        <v/>
      </c>
      <c r="L3935" s="40"/>
      <c r="M3935"/>
      <c r="N3935"/>
      <c r="O3935"/>
      <c r="P3935"/>
      <c r="Q3935"/>
      <c r="R3935"/>
      <c r="S3935"/>
      <c r="T3935"/>
      <c r="U3935"/>
      <c r="V3935"/>
      <c r="W3935" s="41"/>
      <c r="X3935" s="41"/>
      <c r="Y3935" s="41"/>
    </row>
    <row r="3936" s="27" customFormat="1" ht="23" hidden="1" customHeight="1" spans="1:25">
      <c r="A3936" s="133" t="str">
        <f>IF(B3936="","",COUNTA($B$5:B3936))</f>
        <v/>
      </c>
      <c r="B3936" s="148"/>
      <c r="C3936" s="22" t="s">
        <v>49</v>
      </c>
      <c r="D3936" s="149"/>
      <c r="E3936" s="150"/>
      <c r="F3936" s="151"/>
      <c r="G3936" s="151"/>
      <c r="H3936" s="142">
        <f>IFERROR(VLOOKUP($C3936,$C$5:$H$18,6,0)+SUMIF($C$19:$C3936,$C3936,$F$19:$F3936)-SUMIF($C$19:$C3936,$C3936,$G$19:$G3936),"")</f>
        <v>81211.819999998</v>
      </c>
      <c r="I3936" s="147"/>
      <c r="J3936" s="147"/>
      <c r="K3936" s="147" t="str">
        <f t="shared" si="61"/>
        <v/>
      </c>
      <c r="L3936" s="40"/>
      <c r="M3936"/>
      <c r="N3936"/>
      <c r="O3936"/>
      <c r="P3936"/>
      <c r="Q3936"/>
      <c r="R3936"/>
      <c r="S3936"/>
      <c r="T3936"/>
      <c r="U3936"/>
      <c r="V3936"/>
      <c r="W3936" s="41"/>
      <c r="X3936" s="41"/>
      <c r="Y3936" s="41"/>
    </row>
    <row r="3937" s="27" customFormat="1" ht="23" hidden="1" customHeight="1" spans="1:25">
      <c r="A3937" s="133" t="str">
        <f>IF(B3937="","",COUNTA($B$5:B3937))</f>
        <v/>
      </c>
      <c r="B3937" s="148"/>
      <c r="C3937" s="22" t="s">
        <v>49</v>
      </c>
      <c r="D3937" s="149"/>
      <c r="E3937" s="150"/>
      <c r="F3937" s="151"/>
      <c r="G3937" s="151"/>
      <c r="H3937" s="142">
        <f>IFERROR(VLOOKUP($C3937,$C$5:$H$18,6,0)+SUMIF($C$19:$C3937,$C3937,$F$19:$F3937)-SUMIF($C$19:$C3937,$C3937,$G$19:$G3937),"")</f>
        <v>81211.819999998</v>
      </c>
      <c r="I3937" s="147"/>
      <c r="J3937" s="147"/>
      <c r="K3937" s="147" t="str">
        <f t="shared" si="61"/>
        <v/>
      </c>
      <c r="L3937" s="40"/>
      <c r="M3937"/>
      <c r="N3937"/>
      <c r="O3937"/>
      <c r="P3937"/>
      <c r="Q3937"/>
      <c r="R3937"/>
      <c r="S3937"/>
      <c r="T3937"/>
      <c r="U3937"/>
      <c r="V3937"/>
      <c r="W3937" s="41"/>
      <c r="X3937" s="41"/>
      <c r="Y3937" s="41"/>
    </row>
    <row r="3938" s="27" customFormat="1" ht="23" hidden="1" customHeight="1" spans="1:25">
      <c r="A3938" s="133" t="str">
        <f>IF(B3938="","",COUNTA($B$5:B3938))</f>
        <v/>
      </c>
      <c r="B3938" s="148"/>
      <c r="C3938" s="22" t="s">
        <v>49</v>
      </c>
      <c r="D3938" s="149"/>
      <c r="E3938" s="150"/>
      <c r="F3938" s="151"/>
      <c r="G3938" s="151"/>
      <c r="H3938" s="142">
        <f>IFERROR(VLOOKUP($C3938,$C$5:$H$18,6,0)+SUMIF($C$19:$C3938,$C3938,$F$19:$F3938)-SUMIF($C$19:$C3938,$C3938,$G$19:$G3938),"")</f>
        <v>81211.819999998</v>
      </c>
      <c r="I3938" s="147"/>
      <c r="J3938" s="147"/>
      <c r="K3938" s="147" t="str">
        <f t="shared" si="61"/>
        <v/>
      </c>
      <c r="L3938" s="40"/>
      <c r="M3938"/>
      <c r="N3938"/>
      <c r="O3938"/>
      <c r="P3938"/>
      <c r="Q3938"/>
      <c r="R3938"/>
      <c r="S3938"/>
      <c r="T3938"/>
      <c r="U3938"/>
      <c r="V3938"/>
      <c r="W3938" s="41"/>
      <c r="X3938" s="41"/>
      <c r="Y3938" s="41"/>
    </row>
    <row r="3939" s="27" customFormat="1" ht="23" hidden="1" customHeight="1" spans="1:25">
      <c r="A3939" s="133" t="str">
        <f>IF(B3939="","",COUNTA($B$5:B3939))</f>
        <v/>
      </c>
      <c r="B3939" s="148"/>
      <c r="C3939" s="22" t="s">
        <v>49</v>
      </c>
      <c r="D3939" s="149"/>
      <c r="E3939" s="150"/>
      <c r="F3939" s="151"/>
      <c r="G3939" s="151"/>
      <c r="H3939" s="142">
        <f>IFERROR(VLOOKUP($C3939,$C$5:$H$18,6,0)+SUMIF($C$19:$C3939,$C3939,$F$19:$F3939)-SUMIF($C$19:$C3939,$C3939,$G$19:$G3939),"")</f>
        <v>81211.819999998</v>
      </c>
      <c r="I3939" s="147"/>
      <c r="J3939" s="147"/>
      <c r="K3939" s="147" t="str">
        <f t="shared" si="61"/>
        <v/>
      </c>
      <c r="L3939" s="40"/>
      <c r="M3939"/>
      <c r="N3939"/>
      <c r="O3939"/>
      <c r="P3939"/>
      <c r="Q3939"/>
      <c r="R3939"/>
      <c r="S3939"/>
      <c r="T3939"/>
      <c r="U3939"/>
      <c r="V3939"/>
      <c r="W3939" s="41"/>
      <c r="X3939" s="41"/>
      <c r="Y3939" s="41"/>
    </row>
    <row r="3940" s="27" customFormat="1" ht="23" hidden="1" customHeight="1" spans="1:25">
      <c r="A3940" s="133" t="str">
        <f>IF(B3940="","",COUNTA($B$5:B3940))</f>
        <v/>
      </c>
      <c r="B3940" s="148"/>
      <c r="C3940" s="22" t="s">
        <v>49</v>
      </c>
      <c r="D3940" s="149"/>
      <c r="E3940" s="150"/>
      <c r="F3940" s="151"/>
      <c r="G3940" s="151"/>
      <c r="H3940" s="142">
        <f>IFERROR(VLOOKUP($C3940,$C$5:$H$18,6,0)+SUMIF($C$19:$C3940,$C3940,$F$19:$F3940)-SUMIF($C$19:$C3940,$C3940,$G$19:$G3940),"")</f>
        <v>81211.819999998</v>
      </c>
      <c r="I3940" s="147"/>
      <c r="J3940" s="147"/>
      <c r="K3940" s="147" t="str">
        <f t="shared" si="61"/>
        <v/>
      </c>
      <c r="L3940" s="40"/>
      <c r="M3940"/>
      <c r="N3940"/>
      <c r="O3940"/>
      <c r="P3940"/>
      <c r="Q3940"/>
      <c r="R3940"/>
      <c r="S3940"/>
      <c r="T3940"/>
      <c r="U3940"/>
      <c r="V3940"/>
      <c r="W3940" s="41"/>
      <c r="X3940" s="41"/>
      <c r="Y3940" s="41"/>
    </row>
    <row r="3941" s="27" customFormat="1" ht="23" hidden="1" customHeight="1" spans="1:25">
      <c r="A3941" s="133" t="str">
        <f>IF(B3941="","",COUNTA($B$5:B3941))</f>
        <v/>
      </c>
      <c r="B3941" s="148"/>
      <c r="C3941" s="22" t="s">
        <v>49</v>
      </c>
      <c r="D3941" s="149"/>
      <c r="E3941" s="150"/>
      <c r="F3941" s="151"/>
      <c r="G3941" s="151"/>
      <c r="H3941" s="142">
        <f>IFERROR(VLOOKUP($C3941,$C$5:$H$18,6,0)+SUMIF($C$19:$C3941,$C3941,$F$19:$F3941)-SUMIF($C$19:$C3941,$C3941,$G$19:$G3941),"")</f>
        <v>81211.819999998</v>
      </c>
      <c r="I3941" s="147"/>
      <c r="J3941" s="147"/>
      <c r="K3941" s="147" t="str">
        <f t="shared" si="61"/>
        <v/>
      </c>
      <c r="L3941" s="40"/>
      <c r="M3941"/>
      <c r="N3941"/>
      <c r="O3941"/>
      <c r="P3941"/>
      <c r="Q3941"/>
      <c r="R3941"/>
      <c r="S3941"/>
      <c r="T3941"/>
      <c r="U3941"/>
      <c r="V3941"/>
      <c r="W3941" s="41"/>
      <c r="X3941" s="41"/>
      <c r="Y3941" s="41"/>
    </row>
    <row r="3942" s="27" customFormat="1" ht="23" hidden="1" customHeight="1" spans="1:25">
      <c r="A3942" s="133" t="str">
        <f>IF(B3942="","",COUNTA($B$5:B3942))</f>
        <v/>
      </c>
      <c r="B3942" s="148"/>
      <c r="C3942" s="22" t="s">
        <v>49</v>
      </c>
      <c r="D3942" s="149"/>
      <c r="E3942" s="150"/>
      <c r="F3942" s="151"/>
      <c r="G3942" s="151"/>
      <c r="H3942" s="142">
        <f>IFERROR(VLOOKUP($C3942,$C$5:$H$18,6,0)+SUMIF($C$19:$C3942,$C3942,$F$19:$F3942)-SUMIF($C$19:$C3942,$C3942,$G$19:$G3942),"")</f>
        <v>81211.819999998</v>
      </c>
      <c r="I3942" s="147"/>
      <c r="J3942" s="147"/>
      <c r="K3942" s="147" t="str">
        <f t="shared" si="61"/>
        <v/>
      </c>
      <c r="L3942" s="40"/>
      <c r="M3942"/>
      <c r="N3942"/>
      <c r="O3942"/>
      <c r="P3942"/>
      <c r="Q3942"/>
      <c r="R3942"/>
      <c r="S3942"/>
      <c r="T3942"/>
      <c r="U3942"/>
      <c r="V3942"/>
      <c r="W3942" s="41"/>
      <c r="X3942" s="41"/>
      <c r="Y3942" s="41"/>
    </row>
    <row r="3943" s="27" customFormat="1" ht="23" hidden="1" customHeight="1" spans="1:25">
      <c r="A3943" s="133" t="str">
        <f>IF(B3943="","",COUNTA($B$5:B3943))</f>
        <v/>
      </c>
      <c r="B3943" s="148"/>
      <c r="C3943" s="22" t="s">
        <v>49</v>
      </c>
      <c r="D3943" s="149"/>
      <c r="E3943" s="150"/>
      <c r="F3943" s="151"/>
      <c r="G3943" s="151"/>
      <c r="H3943" s="142">
        <f>IFERROR(VLOOKUP($C3943,$C$5:$H$18,6,0)+SUMIF($C$19:$C3943,$C3943,$F$19:$F3943)-SUMIF($C$19:$C3943,$C3943,$G$19:$G3943),"")</f>
        <v>81211.819999998</v>
      </c>
      <c r="I3943" s="147"/>
      <c r="J3943" s="147"/>
      <c r="K3943" s="147" t="str">
        <f t="shared" si="61"/>
        <v/>
      </c>
      <c r="L3943" s="40"/>
      <c r="M3943"/>
      <c r="N3943"/>
      <c r="O3943"/>
      <c r="P3943"/>
      <c r="Q3943"/>
      <c r="R3943"/>
      <c r="S3943"/>
      <c r="T3943"/>
      <c r="U3943"/>
      <c r="V3943"/>
      <c r="W3943" s="41"/>
      <c r="X3943" s="41"/>
      <c r="Y3943" s="41"/>
    </row>
    <row r="3944" s="27" customFormat="1" ht="23" hidden="1" customHeight="1" spans="1:25">
      <c r="A3944" s="133" t="str">
        <f>IF(B3944="","",COUNTA($B$5:B3944))</f>
        <v/>
      </c>
      <c r="B3944" s="148"/>
      <c r="C3944" s="22" t="s">
        <v>49</v>
      </c>
      <c r="D3944" s="149"/>
      <c r="E3944" s="150"/>
      <c r="F3944" s="151"/>
      <c r="G3944" s="151"/>
      <c r="H3944" s="142">
        <f>IFERROR(VLOOKUP($C3944,$C$5:$H$18,6,0)+SUMIF($C$19:$C3944,$C3944,$F$19:$F3944)-SUMIF($C$19:$C3944,$C3944,$G$19:$G3944),"")</f>
        <v>81211.819999998</v>
      </c>
      <c r="I3944" s="147"/>
      <c r="J3944" s="147"/>
      <c r="K3944" s="147" t="str">
        <f t="shared" si="61"/>
        <v/>
      </c>
      <c r="L3944" s="40"/>
      <c r="M3944"/>
      <c r="N3944"/>
      <c r="O3944"/>
      <c r="P3944"/>
      <c r="Q3944"/>
      <c r="R3944"/>
      <c r="S3944"/>
      <c r="T3944"/>
      <c r="U3944"/>
      <c r="V3944"/>
      <c r="W3944" s="41"/>
      <c r="X3944" s="41"/>
      <c r="Y3944" s="41"/>
    </row>
    <row r="3945" s="27" customFormat="1" ht="23" hidden="1" customHeight="1" spans="1:25">
      <c r="A3945" s="133" t="str">
        <f>IF(B3945="","",COUNTA($B$5:B3945))</f>
        <v/>
      </c>
      <c r="B3945" s="148"/>
      <c r="C3945" s="22" t="s">
        <v>49</v>
      </c>
      <c r="D3945" s="149"/>
      <c r="E3945" s="150"/>
      <c r="F3945" s="151"/>
      <c r="G3945" s="151"/>
      <c r="H3945" s="142">
        <f>IFERROR(VLOOKUP($C3945,$C$5:$H$18,6,0)+SUMIF($C$19:$C3945,$C3945,$F$19:$F3945)-SUMIF($C$19:$C3945,$C3945,$G$19:$G3945),"")</f>
        <v>81211.819999998</v>
      </c>
      <c r="I3945" s="147"/>
      <c r="J3945" s="147"/>
      <c r="K3945" s="147" t="str">
        <f t="shared" si="61"/>
        <v/>
      </c>
      <c r="L3945" s="40"/>
      <c r="M3945"/>
      <c r="N3945"/>
      <c r="O3945"/>
      <c r="P3945"/>
      <c r="Q3945"/>
      <c r="R3945"/>
      <c r="S3945"/>
      <c r="T3945"/>
      <c r="U3945"/>
      <c r="V3945"/>
      <c r="W3945" s="41"/>
      <c r="X3945" s="41"/>
      <c r="Y3945" s="41"/>
    </row>
    <row r="3946" s="27" customFormat="1" ht="23" hidden="1" customHeight="1" spans="1:25">
      <c r="A3946" s="133" t="str">
        <f>IF(B3946="","",COUNTA($B$5:B3946))</f>
        <v/>
      </c>
      <c r="B3946" s="148"/>
      <c r="C3946" s="22" t="s">
        <v>49</v>
      </c>
      <c r="D3946" s="149"/>
      <c r="E3946" s="150"/>
      <c r="F3946" s="151"/>
      <c r="G3946" s="151"/>
      <c r="H3946" s="142">
        <f>IFERROR(VLOOKUP($C3946,$C$5:$H$18,6,0)+SUMIF($C$19:$C3946,$C3946,$F$19:$F3946)-SUMIF($C$19:$C3946,$C3946,$G$19:$G3946),"")</f>
        <v>81211.819999998</v>
      </c>
      <c r="I3946" s="147"/>
      <c r="J3946" s="147"/>
      <c r="K3946" s="147" t="str">
        <f t="shared" si="61"/>
        <v/>
      </c>
      <c r="L3946" s="40"/>
      <c r="M3946"/>
      <c r="N3946"/>
      <c r="O3946"/>
      <c r="P3946"/>
      <c r="Q3946"/>
      <c r="R3946"/>
      <c r="S3946"/>
      <c r="T3946"/>
      <c r="U3946"/>
      <c r="V3946"/>
      <c r="W3946" s="41"/>
      <c r="X3946" s="41"/>
      <c r="Y3946" s="41"/>
    </row>
    <row r="3947" s="27" customFormat="1" ht="23" hidden="1" customHeight="1" spans="1:25">
      <c r="A3947" s="133" t="str">
        <f>IF(B3947="","",COUNTA($B$5:B3947))</f>
        <v/>
      </c>
      <c r="B3947" s="148"/>
      <c r="C3947" s="22" t="s">
        <v>49</v>
      </c>
      <c r="D3947" s="149"/>
      <c r="E3947" s="150"/>
      <c r="F3947" s="151"/>
      <c r="G3947" s="151"/>
      <c r="H3947" s="142">
        <f>IFERROR(VLOOKUP($C3947,$C$5:$H$18,6,0)+SUMIF($C$19:$C3947,$C3947,$F$19:$F3947)-SUMIF($C$19:$C3947,$C3947,$G$19:$G3947),"")</f>
        <v>81211.819999998</v>
      </c>
      <c r="I3947" s="147"/>
      <c r="J3947" s="147"/>
      <c r="K3947" s="147" t="str">
        <f t="shared" si="61"/>
        <v/>
      </c>
      <c r="L3947" s="40"/>
      <c r="M3947"/>
      <c r="N3947"/>
      <c r="O3947"/>
      <c r="P3947"/>
      <c r="Q3947"/>
      <c r="R3947"/>
      <c r="S3947"/>
      <c r="T3947"/>
      <c r="U3947"/>
      <c r="V3947"/>
      <c r="W3947" s="41"/>
      <c r="X3947" s="41"/>
      <c r="Y3947" s="41"/>
    </row>
    <row r="3948" s="27" customFormat="1" ht="23" hidden="1" customHeight="1" spans="1:25">
      <c r="A3948" s="133" t="str">
        <f>IF(B3948="","",COUNTA($B$5:B3948))</f>
        <v/>
      </c>
      <c r="B3948" s="148"/>
      <c r="C3948" s="22" t="s">
        <v>49</v>
      </c>
      <c r="D3948" s="149"/>
      <c r="E3948" s="150"/>
      <c r="F3948" s="151"/>
      <c r="G3948" s="151"/>
      <c r="H3948" s="142">
        <f>IFERROR(VLOOKUP($C3948,$C$5:$H$18,6,0)+SUMIF($C$19:$C3948,$C3948,$F$19:$F3948)-SUMIF($C$19:$C3948,$C3948,$G$19:$G3948),"")</f>
        <v>81211.819999998</v>
      </c>
      <c r="I3948" s="147"/>
      <c r="J3948" s="147"/>
      <c r="K3948" s="147" t="str">
        <f t="shared" si="61"/>
        <v/>
      </c>
      <c r="L3948" s="40"/>
      <c r="M3948"/>
      <c r="N3948"/>
      <c r="O3948"/>
      <c r="P3948"/>
      <c r="Q3948"/>
      <c r="R3948"/>
      <c r="S3948"/>
      <c r="T3948"/>
      <c r="U3948"/>
      <c r="V3948"/>
      <c r="W3948" s="41"/>
      <c r="X3948" s="41"/>
      <c r="Y3948" s="41"/>
    </row>
    <row r="3949" s="27" customFormat="1" ht="23" hidden="1" customHeight="1" spans="1:25">
      <c r="A3949" s="133" t="str">
        <f>IF(B3949="","",COUNTA($B$5:B3949))</f>
        <v/>
      </c>
      <c r="B3949" s="148"/>
      <c r="C3949" s="22" t="s">
        <v>49</v>
      </c>
      <c r="D3949" s="149"/>
      <c r="E3949" s="150"/>
      <c r="F3949" s="151"/>
      <c r="G3949" s="151"/>
      <c r="H3949" s="142">
        <f>IFERROR(VLOOKUP($C3949,$C$5:$H$18,6,0)+SUMIF($C$19:$C3949,$C3949,$F$19:$F3949)-SUMIF($C$19:$C3949,$C3949,$G$19:$G3949),"")</f>
        <v>81211.819999998</v>
      </c>
      <c r="I3949" s="147"/>
      <c r="J3949" s="147"/>
      <c r="K3949" s="147" t="str">
        <f t="shared" si="61"/>
        <v/>
      </c>
      <c r="L3949" s="40"/>
      <c r="M3949"/>
      <c r="N3949"/>
      <c r="O3949"/>
      <c r="P3949"/>
      <c r="Q3949"/>
      <c r="R3949"/>
      <c r="S3949"/>
      <c r="T3949"/>
      <c r="U3949"/>
      <c r="V3949"/>
      <c r="W3949" s="41"/>
      <c r="X3949" s="41"/>
      <c r="Y3949" s="41"/>
    </row>
    <row r="3950" s="27" customFormat="1" ht="23" hidden="1" customHeight="1" spans="1:25">
      <c r="A3950" s="133" t="str">
        <f>IF(B3950="","",COUNTA($B$5:B3950))</f>
        <v/>
      </c>
      <c r="B3950" s="148"/>
      <c r="C3950" s="22" t="s">
        <v>49</v>
      </c>
      <c r="D3950" s="149"/>
      <c r="E3950" s="150"/>
      <c r="F3950" s="151"/>
      <c r="G3950" s="151"/>
      <c r="H3950" s="142">
        <f>IFERROR(VLOOKUP($C3950,$C$5:$H$18,6,0)+SUMIF($C$19:$C3950,$C3950,$F$19:$F3950)-SUMIF($C$19:$C3950,$C3950,$G$19:$G3950),"")</f>
        <v>81211.819999998</v>
      </c>
      <c r="I3950" s="147"/>
      <c r="J3950" s="147"/>
      <c r="K3950" s="147" t="str">
        <f t="shared" si="61"/>
        <v/>
      </c>
      <c r="L3950" s="40"/>
      <c r="M3950"/>
      <c r="N3950"/>
      <c r="O3950"/>
      <c r="P3950"/>
      <c r="Q3950"/>
      <c r="R3950"/>
      <c r="S3950"/>
      <c r="T3950"/>
      <c r="U3950"/>
      <c r="V3950"/>
      <c r="W3950" s="41"/>
      <c r="X3950" s="41"/>
      <c r="Y3950" s="41"/>
    </row>
    <row r="3951" s="27" customFormat="1" ht="23" hidden="1" customHeight="1" spans="1:25">
      <c r="A3951" s="133" t="str">
        <f>IF(B3951="","",COUNTA($B$5:B3951))</f>
        <v/>
      </c>
      <c r="B3951" s="148"/>
      <c r="C3951" s="22" t="s">
        <v>49</v>
      </c>
      <c r="D3951" s="149"/>
      <c r="E3951" s="150"/>
      <c r="F3951" s="151"/>
      <c r="G3951" s="151"/>
      <c r="H3951" s="142">
        <f>IFERROR(VLOOKUP($C3951,$C$5:$H$18,6,0)+SUMIF($C$19:$C3951,$C3951,$F$19:$F3951)-SUMIF($C$19:$C3951,$C3951,$G$19:$G3951),"")</f>
        <v>81211.819999998</v>
      </c>
      <c r="I3951" s="147"/>
      <c r="J3951" s="147"/>
      <c r="K3951" s="147" t="str">
        <f t="shared" si="61"/>
        <v/>
      </c>
      <c r="L3951" s="40"/>
      <c r="M3951"/>
      <c r="N3951"/>
      <c r="O3951"/>
      <c r="P3951"/>
      <c r="Q3951"/>
      <c r="R3951"/>
      <c r="S3951"/>
      <c r="T3951"/>
      <c r="U3951"/>
      <c r="V3951"/>
      <c r="W3951" s="41"/>
      <c r="X3951" s="41"/>
      <c r="Y3951" s="41"/>
    </row>
    <row r="3952" s="27" customFormat="1" ht="23" hidden="1" customHeight="1" spans="1:25">
      <c r="A3952" s="133" t="str">
        <f>IF(B3952="","",COUNTA($B$5:B3952))</f>
        <v/>
      </c>
      <c r="B3952" s="148"/>
      <c r="C3952" s="22" t="s">
        <v>49</v>
      </c>
      <c r="D3952" s="149"/>
      <c r="E3952" s="150"/>
      <c r="F3952" s="151"/>
      <c r="G3952" s="151"/>
      <c r="H3952" s="142">
        <f>IFERROR(VLOOKUP($C3952,$C$5:$H$18,6,0)+SUMIF($C$19:$C3952,$C3952,$F$19:$F3952)-SUMIF($C$19:$C3952,$C3952,$G$19:$G3952),"")</f>
        <v>81211.819999998</v>
      </c>
      <c r="I3952" s="147"/>
      <c r="J3952" s="147"/>
      <c r="K3952" s="147" t="str">
        <f t="shared" si="61"/>
        <v/>
      </c>
      <c r="L3952" s="40"/>
      <c r="M3952"/>
      <c r="N3952"/>
      <c r="O3952"/>
      <c r="P3952"/>
      <c r="Q3952"/>
      <c r="R3952"/>
      <c r="S3952"/>
      <c r="T3952"/>
      <c r="U3952"/>
      <c r="V3952"/>
      <c r="W3952" s="41"/>
      <c r="X3952" s="41"/>
      <c r="Y3952" s="41"/>
    </row>
    <row r="3953" s="27" customFormat="1" ht="23" hidden="1" customHeight="1" spans="1:25">
      <c r="A3953" s="133" t="str">
        <f>IF(B3953="","",COUNTA($B$5:B3953))</f>
        <v/>
      </c>
      <c r="B3953" s="148"/>
      <c r="C3953" s="22" t="s">
        <v>49</v>
      </c>
      <c r="D3953" s="149"/>
      <c r="E3953" s="150"/>
      <c r="F3953" s="151"/>
      <c r="G3953" s="151"/>
      <c r="H3953" s="142">
        <f>IFERROR(VLOOKUP($C3953,$C$5:$H$18,6,0)+SUMIF($C$19:$C3953,$C3953,$F$19:$F3953)-SUMIF($C$19:$C3953,$C3953,$G$19:$G3953),"")</f>
        <v>81211.819999998</v>
      </c>
      <c r="I3953" s="147"/>
      <c r="J3953" s="147"/>
      <c r="K3953" s="147" t="str">
        <f t="shared" si="61"/>
        <v/>
      </c>
      <c r="L3953" s="40"/>
      <c r="M3953"/>
      <c r="N3953"/>
      <c r="O3953"/>
      <c r="P3953"/>
      <c r="Q3953"/>
      <c r="R3953"/>
      <c r="S3953"/>
      <c r="T3953"/>
      <c r="U3953"/>
      <c r="V3953"/>
      <c r="W3953" s="41"/>
      <c r="X3953" s="41"/>
      <c r="Y3953" s="41"/>
    </row>
    <row r="3954" s="27" customFormat="1" ht="23" hidden="1" customHeight="1" spans="1:25">
      <c r="A3954" s="133" t="str">
        <f>IF(B3954="","",COUNTA($B$5:B3954))</f>
        <v/>
      </c>
      <c r="B3954" s="148"/>
      <c r="C3954" s="22" t="s">
        <v>49</v>
      </c>
      <c r="D3954" s="149"/>
      <c r="E3954" s="150"/>
      <c r="F3954" s="151"/>
      <c r="G3954" s="151"/>
      <c r="H3954" s="142">
        <f>IFERROR(VLOOKUP($C3954,$C$5:$H$18,6,0)+SUMIF($C$19:$C3954,$C3954,$F$19:$F3954)-SUMIF($C$19:$C3954,$C3954,$G$19:$G3954),"")</f>
        <v>81211.819999998</v>
      </c>
      <c r="I3954" s="147"/>
      <c r="J3954" s="147"/>
      <c r="K3954" s="147" t="str">
        <f t="shared" si="61"/>
        <v/>
      </c>
      <c r="L3954" s="40"/>
      <c r="M3954"/>
      <c r="N3954"/>
      <c r="O3954"/>
      <c r="P3954"/>
      <c r="Q3954"/>
      <c r="R3954"/>
      <c r="S3954"/>
      <c r="T3954"/>
      <c r="U3954"/>
      <c r="V3954"/>
      <c r="W3954" s="41"/>
      <c r="X3954" s="41"/>
      <c r="Y3954" s="41"/>
    </row>
    <row r="3955" s="27" customFormat="1" ht="23" hidden="1" customHeight="1" spans="1:25">
      <c r="A3955" s="133" t="str">
        <f>IF(B3955="","",COUNTA($B$5:B3955))</f>
        <v/>
      </c>
      <c r="B3955" s="148"/>
      <c r="C3955" s="22" t="s">
        <v>49</v>
      </c>
      <c r="D3955" s="149"/>
      <c r="E3955" s="150"/>
      <c r="F3955" s="151"/>
      <c r="G3955" s="151"/>
      <c r="H3955" s="142">
        <f>IFERROR(VLOOKUP($C3955,$C$5:$H$18,6,0)+SUMIF($C$19:$C3955,$C3955,$F$19:$F3955)-SUMIF($C$19:$C3955,$C3955,$G$19:$G3955),"")</f>
        <v>81211.819999998</v>
      </c>
      <c r="I3955" s="147"/>
      <c r="J3955" s="147"/>
      <c r="K3955" s="147" t="str">
        <f t="shared" si="61"/>
        <v/>
      </c>
      <c r="L3955" s="40"/>
      <c r="M3955"/>
      <c r="N3955"/>
      <c r="O3955"/>
      <c r="P3955"/>
      <c r="Q3955"/>
      <c r="R3955"/>
      <c r="S3955"/>
      <c r="T3955"/>
      <c r="U3955"/>
      <c r="V3955"/>
      <c r="W3955" s="41"/>
      <c r="X3955" s="41"/>
      <c r="Y3955" s="41"/>
    </row>
    <row r="3956" s="27" customFormat="1" ht="23" hidden="1" customHeight="1" spans="1:25">
      <c r="A3956" s="133" t="str">
        <f>IF(B3956="","",COUNTA($B$5:B3956))</f>
        <v/>
      </c>
      <c r="B3956" s="148"/>
      <c r="C3956" s="22" t="s">
        <v>49</v>
      </c>
      <c r="D3956" s="149"/>
      <c r="E3956" s="150"/>
      <c r="F3956" s="151"/>
      <c r="G3956" s="151"/>
      <c r="H3956" s="142">
        <f>IFERROR(VLOOKUP($C3956,$C$5:$H$18,6,0)+SUMIF($C$19:$C3956,$C3956,$F$19:$F3956)-SUMIF($C$19:$C3956,$C3956,$G$19:$G3956),"")</f>
        <v>81211.819999998</v>
      </c>
      <c r="I3956" s="147"/>
      <c r="J3956" s="147"/>
      <c r="K3956" s="147" t="str">
        <f t="shared" si="61"/>
        <v/>
      </c>
      <c r="L3956" s="40"/>
      <c r="M3956"/>
      <c r="N3956"/>
      <c r="O3956"/>
      <c r="P3956"/>
      <c r="Q3956"/>
      <c r="R3956"/>
      <c r="S3956"/>
      <c r="T3956"/>
      <c r="U3956"/>
      <c r="V3956"/>
      <c r="W3956" s="41"/>
      <c r="X3956" s="41"/>
      <c r="Y3956" s="41"/>
    </row>
    <row r="3957" s="27" customFormat="1" ht="23" hidden="1" customHeight="1" spans="1:25">
      <c r="A3957" s="133" t="str">
        <f>IF(B3957="","",COUNTA($B$5:B3957))</f>
        <v/>
      </c>
      <c r="B3957" s="148"/>
      <c r="C3957" s="22" t="s">
        <v>49</v>
      </c>
      <c r="D3957" s="149"/>
      <c r="E3957" s="150"/>
      <c r="F3957" s="151"/>
      <c r="G3957" s="151"/>
      <c r="H3957" s="142">
        <f>IFERROR(VLOOKUP($C3957,$C$5:$H$18,6,0)+SUMIF($C$19:$C3957,$C3957,$F$19:$F3957)-SUMIF($C$19:$C3957,$C3957,$G$19:$G3957),"")</f>
        <v>81211.819999998</v>
      </c>
      <c r="I3957" s="147"/>
      <c r="J3957" s="147"/>
      <c r="K3957" s="147" t="str">
        <f t="shared" si="61"/>
        <v/>
      </c>
      <c r="L3957" s="40"/>
      <c r="M3957"/>
      <c r="N3957"/>
      <c r="O3957"/>
      <c r="P3957"/>
      <c r="Q3957"/>
      <c r="R3957"/>
      <c r="S3957"/>
      <c r="T3957"/>
      <c r="U3957"/>
      <c r="V3957"/>
      <c r="W3957" s="41"/>
      <c r="X3957" s="41"/>
      <c r="Y3957" s="41"/>
    </row>
    <row r="3958" s="27" customFormat="1" ht="23" hidden="1" customHeight="1" spans="1:25">
      <c r="A3958" s="133" t="str">
        <f>IF(B3958="","",COUNTA($B$5:B3958))</f>
        <v/>
      </c>
      <c r="B3958" s="148"/>
      <c r="C3958" s="22" t="s">
        <v>49</v>
      </c>
      <c r="D3958" s="149"/>
      <c r="E3958" s="150"/>
      <c r="F3958" s="151"/>
      <c r="G3958" s="151"/>
      <c r="H3958" s="142">
        <f>IFERROR(VLOOKUP($C3958,$C$5:$H$18,6,0)+SUMIF($C$19:$C3958,$C3958,$F$19:$F3958)-SUMIF($C$19:$C3958,$C3958,$G$19:$G3958),"")</f>
        <v>81211.819999998</v>
      </c>
      <c r="I3958" s="147"/>
      <c r="J3958" s="147"/>
      <c r="K3958" s="147" t="str">
        <f t="shared" si="61"/>
        <v/>
      </c>
      <c r="L3958" s="40"/>
      <c r="M3958"/>
      <c r="N3958"/>
      <c r="O3958"/>
      <c r="P3958"/>
      <c r="Q3958"/>
      <c r="R3958"/>
      <c r="S3958"/>
      <c r="T3958"/>
      <c r="U3958"/>
      <c r="V3958"/>
      <c r="W3958" s="41"/>
      <c r="X3958" s="41"/>
      <c r="Y3958" s="41"/>
    </row>
    <row r="3959" s="27" customFormat="1" ht="23" hidden="1" customHeight="1" spans="1:25">
      <c r="A3959" s="133" t="str">
        <f>IF(B3959="","",COUNTA($B$5:B3959))</f>
        <v/>
      </c>
      <c r="B3959" s="148"/>
      <c r="C3959" s="22" t="s">
        <v>49</v>
      </c>
      <c r="D3959" s="149"/>
      <c r="E3959" s="150"/>
      <c r="F3959" s="151"/>
      <c r="G3959" s="151"/>
      <c r="H3959" s="142">
        <f>IFERROR(VLOOKUP($C3959,$C$5:$H$18,6,0)+SUMIF($C$19:$C3959,$C3959,$F$19:$F3959)-SUMIF($C$19:$C3959,$C3959,$G$19:$G3959),"")</f>
        <v>81211.819999998</v>
      </c>
      <c r="I3959" s="147"/>
      <c r="J3959" s="147"/>
      <c r="K3959" s="147" t="str">
        <f t="shared" si="61"/>
        <v/>
      </c>
      <c r="L3959" s="40"/>
      <c r="M3959"/>
      <c r="N3959"/>
      <c r="O3959"/>
      <c r="P3959"/>
      <c r="Q3959"/>
      <c r="R3959"/>
      <c r="S3959"/>
      <c r="T3959"/>
      <c r="U3959"/>
      <c r="V3959"/>
      <c r="W3959" s="41"/>
      <c r="X3959" s="41"/>
      <c r="Y3959" s="41"/>
    </row>
    <row r="3960" s="27" customFormat="1" ht="23" hidden="1" customHeight="1" spans="1:25">
      <c r="A3960" s="133" t="str">
        <f>IF(B3960="","",COUNTA($B$5:B3960))</f>
        <v/>
      </c>
      <c r="B3960" s="148"/>
      <c r="C3960" s="22" t="s">
        <v>49</v>
      </c>
      <c r="D3960" s="149"/>
      <c r="E3960" s="150"/>
      <c r="F3960" s="151"/>
      <c r="G3960" s="151"/>
      <c r="H3960" s="142">
        <f>IFERROR(VLOOKUP($C3960,$C$5:$H$18,6,0)+SUMIF($C$19:$C3960,$C3960,$F$19:$F3960)-SUMIF($C$19:$C3960,$C3960,$G$19:$G3960),"")</f>
        <v>81211.819999998</v>
      </c>
      <c r="I3960" s="147"/>
      <c r="J3960" s="147"/>
      <c r="K3960" s="147" t="str">
        <f t="shared" si="61"/>
        <v/>
      </c>
      <c r="L3960" s="40"/>
      <c r="M3960"/>
      <c r="N3960"/>
      <c r="O3960"/>
      <c r="P3960"/>
      <c r="Q3960"/>
      <c r="R3960"/>
      <c r="S3960"/>
      <c r="T3960"/>
      <c r="U3960"/>
      <c r="V3960"/>
      <c r="W3960" s="41"/>
      <c r="X3960" s="41"/>
      <c r="Y3960" s="41"/>
    </row>
    <row r="3961" s="27" customFormat="1" ht="23" hidden="1" customHeight="1" spans="1:25">
      <c r="A3961" s="133" t="str">
        <f>IF(B3961="","",COUNTA($B$5:B3961))</f>
        <v/>
      </c>
      <c r="B3961" s="148"/>
      <c r="C3961" s="22" t="s">
        <v>49</v>
      </c>
      <c r="D3961" s="149"/>
      <c r="E3961" s="150"/>
      <c r="F3961" s="151"/>
      <c r="G3961" s="151"/>
      <c r="H3961" s="142">
        <f>IFERROR(VLOOKUP($C3961,$C$5:$H$18,6,0)+SUMIF($C$19:$C3961,$C3961,$F$19:$F3961)-SUMIF($C$19:$C3961,$C3961,$G$19:$G3961),"")</f>
        <v>81211.819999998</v>
      </c>
      <c r="I3961" s="147"/>
      <c r="J3961" s="147"/>
      <c r="K3961" s="147" t="str">
        <f t="shared" si="61"/>
        <v/>
      </c>
      <c r="L3961" s="40"/>
      <c r="M3961"/>
      <c r="N3961"/>
      <c r="O3961"/>
      <c r="P3961"/>
      <c r="Q3961"/>
      <c r="R3961"/>
      <c r="S3961"/>
      <c r="T3961"/>
      <c r="U3961"/>
      <c r="V3961"/>
      <c r="W3961" s="41"/>
      <c r="X3961" s="41"/>
      <c r="Y3961" s="41"/>
    </row>
    <row r="3962" s="27" customFormat="1" ht="23" hidden="1" customHeight="1" spans="1:25">
      <c r="A3962" s="133" t="str">
        <f>IF(B3962="","",COUNTA($B$5:B3962))</f>
        <v/>
      </c>
      <c r="B3962" s="148"/>
      <c r="C3962" s="22" t="s">
        <v>49</v>
      </c>
      <c r="D3962" s="149"/>
      <c r="E3962" s="150"/>
      <c r="F3962" s="151"/>
      <c r="G3962" s="151"/>
      <c r="H3962" s="142">
        <f>IFERROR(VLOOKUP($C3962,$C$5:$H$18,6,0)+SUMIF($C$19:$C3962,$C3962,$F$19:$F3962)-SUMIF($C$19:$C3962,$C3962,$G$19:$G3962),"")</f>
        <v>81211.819999998</v>
      </c>
      <c r="I3962" s="147"/>
      <c r="J3962" s="147"/>
      <c r="K3962" s="147" t="str">
        <f t="shared" si="61"/>
        <v/>
      </c>
      <c r="L3962" s="40"/>
      <c r="M3962"/>
      <c r="N3962"/>
      <c r="O3962"/>
      <c r="P3962"/>
      <c r="Q3962"/>
      <c r="R3962"/>
      <c r="S3962"/>
      <c r="T3962"/>
      <c r="U3962"/>
      <c r="V3962"/>
      <c r="W3962" s="41"/>
      <c r="X3962" s="41"/>
      <c r="Y3962" s="41"/>
    </row>
    <row r="3963" s="27" customFormat="1" ht="23" hidden="1" customHeight="1" spans="1:25">
      <c r="A3963" s="133" t="str">
        <f>IF(B3963="","",COUNTA($B$5:B3963))</f>
        <v/>
      </c>
      <c r="B3963" s="148"/>
      <c r="C3963" s="22" t="s">
        <v>49</v>
      </c>
      <c r="D3963" s="149"/>
      <c r="E3963" s="150"/>
      <c r="F3963" s="151"/>
      <c r="G3963" s="151"/>
      <c r="H3963" s="142">
        <f>IFERROR(VLOOKUP($C3963,$C$5:$H$18,6,0)+SUMIF($C$19:$C3963,$C3963,$F$19:$F3963)-SUMIF($C$19:$C3963,$C3963,$G$19:$G3963),"")</f>
        <v>81211.819999998</v>
      </c>
      <c r="I3963" s="147"/>
      <c r="J3963" s="147"/>
      <c r="K3963" s="147" t="str">
        <f t="shared" si="61"/>
        <v/>
      </c>
      <c r="L3963" s="40"/>
      <c r="M3963"/>
      <c r="N3963"/>
      <c r="O3963"/>
      <c r="P3963"/>
      <c r="Q3963"/>
      <c r="R3963"/>
      <c r="S3963"/>
      <c r="T3963"/>
      <c r="U3963"/>
      <c r="V3963"/>
      <c r="W3963" s="41"/>
      <c r="X3963" s="41"/>
      <c r="Y3963" s="41"/>
    </row>
    <row r="3964" s="27" customFormat="1" ht="23" hidden="1" customHeight="1" spans="1:25">
      <c r="A3964" s="133" t="str">
        <f>IF(B3964="","",COUNTA($B$5:B3964))</f>
        <v/>
      </c>
      <c r="B3964" s="148"/>
      <c r="C3964" s="22" t="s">
        <v>49</v>
      </c>
      <c r="D3964" s="149"/>
      <c r="E3964" s="150"/>
      <c r="F3964" s="151"/>
      <c r="G3964" s="151"/>
      <c r="H3964" s="142">
        <f>IFERROR(VLOOKUP($C3964,$C$5:$H$18,6,0)+SUMIF($C$19:$C3964,$C3964,$F$19:$F3964)-SUMIF($C$19:$C3964,$C3964,$G$19:$G3964),"")</f>
        <v>81211.819999998</v>
      </c>
      <c r="I3964" s="147"/>
      <c r="J3964" s="147"/>
      <c r="K3964" s="147" t="str">
        <f t="shared" si="61"/>
        <v/>
      </c>
      <c r="L3964" s="40"/>
      <c r="M3964"/>
      <c r="N3964"/>
      <c r="O3964"/>
      <c r="P3964"/>
      <c r="Q3964"/>
      <c r="R3964"/>
      <c r="S3964"/>
      <c r="T3964"/>
      <c r="U3964"/>
      <c r="V3964"/>
      <c r="W3964" s="41"/>
      <c r="X3964" s="41"/>
      <c r="Y3964" s="41"/>
    </row>
    <row r="3965" s="27" customFormat="1" ht="23" hidden="1" customHeight="1" spans="1:25">
      <c r="A3965" s="133" t="str">
        <f>IF(B3965="","",COUNTA($B$5:B3965))</f>
        <v/>
      </c>
      <c r="B3965" s="148"/>
      <c r="C3965" s="22" t="s">
        <v>49</v>
      </c>
      <c r="D3965" s="149"/>
      <c r="E3965" s="150"/>
      <c r="F3965" s="151"/>
      <c r="G3965" s="151"/>
      <c r="H3965" s="142">
        <f>IFERROR(VLOOKUP($C3965,$C$5:$H$18,6,0)+SUMIF($C$19:$C3965,$C3965,$F$19:$F3965)-SUMIF($C$19:$C3965,$C3965,$G$19:$G3965),"")</f>
        <v>81211.819999998</v>
      </c>
      <c r="I3965" s="147"/>
      <c r="J3965" s="147"/>
      <c r="K3965" s="147" t="str">
        <f t="shared" si="61"/>
        <v/>
      </c>
      <c r="L3965" s="40"/>
      <c r="M3965"/>
      <c r="N3965"/>
      <c r="O3965"/>
      <c r="P3965"/>
      <c r="Q3965"/>
      <c r="R3965"/>
      <c r="S3965"/>
      <c r="T3965"/>
      <c r="U3965"/>
      <c r="V3965"/>
      <c r="W3965" s="41"/>
      <c r="X3965" s="41"/>
      <c r="Y3965" s="41"/>
    </row>
    <row r="3966" s="27" customFormat="1" ht="23" hidden="1" customHeight="1" spans="1:25">
      <c r="A3966" s="133" t="str">
        <f>IF(B3966="","",COUNTA($B$5:B3966))</f>
        <v/>
      </c>
      <c r="B3966" s="148"/>
      <c r="C3966" s="22" t="s">
        <v>49</v>
      </c>
      <c r="D3966" s="149"/>
      <c r="E3966" s="150"/>
      <c r="F3966" s="151"/>
      <c r="G3966" s="151"/>
      <c r="H3966" s="142">
        <f>IFERROR(VLOOKUP($C3966,$C$5:$H$18,6,0)+SUMIF($C$19:$C3966,$C3966,$F$19:$F3966)-SUMIF($C$19:$C3966,$C3966,$G$19:$G3966),"")</f>
        <v>81211.819999998</v>
      </c>
      <c r="I3966" s="147"/>
      <c r="J3966" s="147"/>
      <c r="K3966" s="147" t="str">
        <f t="shared" si="61"/>
        <v/>
      </c>
      <c r="L3966" s="40"/>
      <c r="M3966"/>
      <c r="N3966"/>
      <c r="O3966"/>
      <c r="P3966"/>
      <c r="Q3966"/>
      <c r="R3966"/>
      <c r="S3966"/>
      <c r="T3966"/>
      <c r="U3966"/>
      <c r="V3966"/>
      <c r="W3966" s="41"/>
      <c r="X3966" s="41"/>
      <c r="Y3966" s="41"/>
    </row>
    <row r="3967" s="27" customFormat="1" ht="23" hidden="1" customHeight="1" spans="1:25">
      <c r="A3967" s="133" t="str">
        <f>IF(B3967="","",COUNTA($B$5:B3967))</f>
        <v/>
      </c>
      <c r="B3967" s="148"/>
      <c r="C3967" s="22" t="s">
        <v>49</v>
      </c>
      <c r="D3967" s="149"/>
      <c r="E3967" s="150"/>
      <c r="F3967" s="151"/>
      <c r="G3967" s="151"/>
      <c r="H3967" s="142">
        <f>IFERROR(VLOOKUP($C3967,$C$5:$H$18,6,0)+SUMIF($C$19:$C3967,$C3967,$F$19:$F3967)-SUMIF($C$19:$C3967,$C3967,$G$19:$G3967),"")</f>
        <v>81211.819999998</v>
      </c>
      <c r="I3967" s="147"/>
      <c r="J3967" s="147"/>
      <c r="K3967" s="147" t="str">
        <f t="shared" si="61"/>
        <v/>
      </c>
      <c r="L3967" s="40"/>
      <c r="M3967"/>
      <c r="N3967"/>
      <c r="O3967"/>
      <c r="P3967"/>
      <c r="Q3967"/>
      <c r="R3967"/>
      <c r="S3967"/>
      <c r="T3967"/>
      <c r="U3967"/>
      <c r="V3967"/>
      <c r="W3967" s="41"/>
      <c r="X3967" s="41"/>
      <c r="Y3967" s="41"/>
    </row>
    <row r="3968" s="27" customFormat="1" ht="23" hidden="1" customHeight="1" spans="1:25">
      <c r="A3968" s="133" t="str">
        <f>IF(B3968="","",COUNTA($B$5:B3968))</f>
        <v/>
      </c>
      <c r="B3968" s="148"/>
      <c r="C3968" s="22" t="s">
        <v>49</v>
      </c>
      <c r="D3968" s="149"/>
      <c r="E3968" s="150"/>
      <c r="F3968" s="151"/>
      <c r="G3968" s="151"/>
      <c r="H3968" s="142">
        <f>IFERROR(VLOOKUP($C3968,$C$5:$H$18,6,0)+SUMIF($C$19:$C3968,$C3968,$F$19:$F3968)-SUMIF($C$19:$C3968,$C3968,$G$19:$G3968),"")</f>
        <v>81211.819999998</v>
      </c>
      <c r="I3968" s="147"/>
      <c r="J3968" s="147"/>
      <c r="K3968" s="147" t="str">
        <f t="shared" si="61"/>
        <v/>
      </c>
      <c r="L3968" s="40"/>
      <c r="M3968"/>
      <c r="N3968"/>
      <c r="O3968"/>
      <c r="P3968"/>
      <c r="Q3968"/>
      <c r="R3968"/>
      <c r="S3968"/>
      <c r="T3968"/>
      <c r="U3968"/>
      <c r="V3968"/>
      <c r="W3968" s="41"/>
      <c r="X3968" s="41"/>
      <c r="Y3968" s="41"/>
    </row>
    <row r="3969" s="27" customFormat="1" ht="23" hidden="1" customHeight="1" spans="1:25">
      <c r="A3969" s="133" t="str">
        <f>IF(B3969="","",COUNTA($B$5:B3969))</f>
        <v/>
      </c>
      <c r="B3969" s="148"/>
      <c r="C3969" s="22" t="s">
        <v>49</v>
      </c>
      <c r="D3969" s="149"/>
      <c r="E3969" s="150"/>
      <c r="F3969" s="151"/>
      <c r="G3969" s="151"/>
      <c r="H3969" s="142">
        <f>IFERROR(VLOOKUP($C3969,$C$5:$H$18,6,0)+SUMIF($C$19:$C3969,$C3969,$F$19:$F3969)-SUMIF($C$19:$C3969,$C3969,$G$19:$G3969),"")</f>
        <v>81211.819999998</v>
      </c>
      <c r="I3969" s="147"/>
      <c r="J3969" s="147"/>
      <c r="K3969" s="147" t="str">
        <f t="shared" si="61"/>
        <v/>
      </c>
      <c r="L3969" s="40"/>
      <c r="M3969"/>
      <c r="N3969"/>
      <c r="O3969"/>
      <c r="P3969"/>
      <c r="Q3969"/>
      <c r="R3969"/>
      <c r="S3969"/>
      <c r="T3969"/>
      <c r="U3969"/>
      <c r="V3969"/>
      <c r="W3969" s="41"/>
      <c r="X3969" s="41"/>
      <c r="Y3969" s="41"/>
    </row>
    <row r="3970" s="27" customFormat="1" ht="23" hidden="1" customHeight="1" spans="1:25">
      <c r="A3970" s="133" t="str">
        <f>IF(B3970="","",COUNTA($B$5:B3970))</f>
        <v/>
      </c>
      <c r="B3970" s="148"/>
      <c r="C3970" s="22" t="s">
        <v>49</v>
      </c>
      <c r="D3970" s="149"/>
      <c r="E3970" s="150"/>
      <c r="F3970" s="151"/>
      <c r="G3970" s="151"/>
      <c r="H3970" s="142">
        <f>IFERROR(VLOOKUP($C3970,$C$5:$H$18,6,0)+SUMIF($C$19:$C3970,$C3970,$F$19:$F3970)-SUMIF($C$19:$C3970,$C3970,$G$19:$G3970),"")</f>
        <v>81211.819999998</v>
      </c>
      <c r="I3970" s="147"/>
      <c r="J3970" s="147"/>
      <c r="K3970" s="147" t="str">
        <f t="shared" si="61"/>
        <v/>
      </c>
      <c r="L3970" s="40"/>
      <c r="M3970"/>
      <c r="N3970"/>
      <c r="O3970"/>
      <c r="P3970"/>
      <c r="Q3970"/>
      <c r="R3970"/>
      <c r="S3970"/>
      <c r="T3970"/>
      <c r="U3970"/>
      <c r="V3970"/>
      <c r="W3970" s="41"/>
      <c r="X3970" s="41"/>
      <c r="Y3970" s="41"/>
    </row>
    <row r="3971" s="27" customFormat="1" ht="23" hidden="1" customHeight="1" spans="1:25">
      <c r="A3971" s="133" t="str">
        <f>IF(B3971="","",COUNTA($B$5:B3971))</f>
        <v/>
      </c>
      <c r="B3971" s="148"/>
      <c r="C3971" s="22" t="s">
        <v>49</v>
      </c>
      <c r="D3971" s="149"/>
      <c r="E3971" s="150"/>
      <c r="F3971" s="151"/>
      <c r="G3971" s="151"/>
      <c r="H3971" s="142">
        <f>IFERROR(VLOOKUP($C3971,$C$5:$H$18,6,0)+SUMIF($C$19:$C3971,$C3971,$F$19:$F3971)-SUMIF($C$19:$C3971,$C3971,$G$19:$G3971),"")</f>
        <v>81211.819999998</v>
      </c>
      <c r="I3971" s="147"/>
      <c r="J3971" s="147"/>
      <c r="K3971" s="147" t="str">
        <f t="shared" si="61"/>
        <v/>
      </c>
      <c r="L3971" s="40"/>
      <c r="M3971"/>
      <c r="N3971"/>
      <c r="O3971"/>
      <c r="P3971"/>
      <c r="Q3971"/>
      <c r="R3971"/>
      <c r="S3971"/>
      <c r="T3971"/>
      <c r="U3971"/>
      <c r="V3971"/>
      <c r="W3971" s="41"/>
      <c r="X3971" s="41"/>
      <c r="Y3971" s="41"/>
    </row>
    <row r="3972" s="27" customFormat="1" ht="23" hidden="1" customHeight="1" spans="1:25">
      <c r="A3972" s="133" t="str">
        <f>IF(B3972="","",COUNTA($B$5:B3972))</f>
        <v/>
      </c>
      <c r="B3972" s="148"/>
      <c r="C3972" s="22" t="s">
        <v>49</v>
      </c>
      <c r="D3972" s="149"/>
      <c r="E3972" s="150"/>
      <c r="F3972" s="151"/>
      <c r="G3972" s="151"/>
      <c r="H3972" s="142">
        <f>IFERROR(VLOOKUP($C3972,$C$5:$H$18,6,0)+SUMIF($C$19:$C3972,$C3972,$F$19:$F3972)-SUMIF($C$19:$C3972,$C3972,$G$19:$G3972),"")</f>
        <v>81211.819999998</v>
      </c>
      <c r="I3972" s="147"/>
      <c r="J3972" s="147"/>
      <c r="K3972" s="147" t="str">
        <f t="shared" si="61"/>
        <v/>
      </c>
      <c r="L3972" s="40"/>
      <c r="M3972"/>
      <c r="N3972"/>
      <c r="O3972"/>
      <c r="P3972"/>
      <c r="Q3972"/>
      <c r="R3972"/>
      <c r="S3972"/>
      <c r="T3972"/>
      <c r="U3972"/>
      <c r="V3972"/>
      <c r="W3972" s="41"/>
      <c r="X3972" s="41"/>
      <c r="Y3972" s="41"/>
    </row>
    <row r="3973" s="27" customFormat="1" ht="23" hidden="1" customHeight="1" spans="1:25">
      <c r="A3973" s="133" t="str">
        <f>IF(B3973="","",COUNTA($B$5:B3973))</f>
        <v/>
      </c>
      <c r="B3973" s="148"/>
      <c r="C3973" s="22" t="s">
        <v>49</v>
      </c>
      <c r="D3973" s="149"/>
      <c r="E3973" s="150"/>
      <c r="F3973" s="151"/>
      <c r="G3973" s="151"/>
      <c r="H3973" s="142">
        <f>IFERROR(VLOOKUP($C3973,$C$5:$H$18,6,0)+SUMIF($C$19:$C3973,$C3973,$F$19:$F3973)-SUMIF($C$19:$C3973,$C3973,$G$19:$G3973),"")</f>
        <v>81211.819999998</v>
      </c>
      <c r="I3973" s="147"/>
      <c r="J3973" s="147"/>
      <c r="K3973" s="147" t="str">
        <f t="shared" ref="K3973:K4036" si="62">IF($B3973="","",--TEXT($B3973,"yyyymm"))</f>
        <v/>
      </c>
      <c r="L3973" s="40"/>
      <c r="M3973"/>
      <c r="N3973"/>
      <c r="O3973"/>
      <c r="P3973"/>
      <c r="Q3973"/>
      <c r="R3973"/>
      <c r="S3973"/>
      <c r="T3973"/>
      <c r="U3973"/>
      <c r="V3973"/>
      <c r="W3973" s="41"/>
      <c r="X3973" s="41"/>
      <c r="Y3973" s="41"/>
    </row>
    <row r="3974" s="27" customFormat="1" ht="23" hidden="1" customHeight="1" spans="1:25">
      <c r="A3974" s="133" t="str">
        <f>IF(B3974="","",COUNTA($B$5:B3974))</f>
        <v/>
      </c>
      <c r="B3974" s="148"/>
      <c r="C3974" s="22" t="s">
        <v>49</v>
      </c>
      <c r="D3974" s="149"/>
      <c r="E3974" s="150"/>
      <c r="F3974" s="151"/>
      <c r="G3974" s="151"/>
      <c r="H3974" s="142">
        <f>IFERROR(VLOOKUP($C3974,$C$5:$H$18,6,0)+SUMIF($C$19:$C3974,$C3974,$F$19:$F3974)-SUMIF($C$19:$C3974,$C3974,$G$19:$G3974),"")</f>
        <v>81211.819999998</v>
      </c>
      <c r="I3974" s="147"/>
      <c r="J3974" s="147"/>
      <c r="K3974" s="147" t="str">
        <f t="shared" si="62"/>
        <v/>
      </c>
      <c r="L3974" s="40"/>
      <c r="M3974"/>
      <c r="N3974"/>
      <c r="O3974"/>
      <c r="P3974"/>
      <c r="Q3974"/>
      <c r="R3974"/>
      <c r="S3974"/>
      <c r="T3974"/>
      <c r="U3974"/>
      <c r="V3974"/>
      <c r="W3974" s="41"/>
      <c r="X3974" s="41"/>
      <c r="Y3974" s="41"/>
    </row>
    <row r="3975" s="27" customFormat="1" ht="23" hidden="1" customHeight="1" spans="1:25">
      <c r="A3975" s="133" t="str">
        <f>IF(B3975="","",COUNTA($B$5:B3975))</f>
        <v/>
      </c>
      <c r="B3975" s="148"/>
      <c r="C3975" s="22" t="s">
        <v>49</v>
      </c>
      <c r="D3975" s="149"/>
      <c r="E3975" s="150"/>
      <c r="F3975" s="151"/>
      <c r="G3975" s="151"/>
      <c r="H3975" s="142">
        <f>IFERROR(VLOOKUP($C3975,$C$5:$H$18,6,0)+SUMIF($C$19:$C3975,$C3975,$F$19:$F3975)-SUMIF($C$19:$C3975,$C3975,$G$19:$G3975),"")</f>
        <v>81211.819999998</v>
      </c>
      <c r="I3975" s="147"/>
      <c r="J3975" s="147"/>
      <c r="K3975" s="147" t="str">
        <f t="shared" si="62"/>
        <v/>
      </c>
      <c r="L3975" s="40"/>
      <c r="M3975"/>
      <c r="N3975"/>
      <c r="O3975"/>
      <c r="P3975"/>
      <c r="Q3975"/>
      <c r="R3975"/>
      <c r="S3975"/>
      <c r="T3975"/>
      <c r="U3975"/>
      <c r="V3975"/>
      <c r="W3975" s="41"/>
      <c r="X3975" s="41"/>
      <c r="Y3975" s="41"/>
    </row>
    <row r="3976" s="27" customFormat="1" ht="23" hidden="1" customHeight="1" spans="1:25">
      <c r="A3976" s="133" t="str">
        <f>IF(B3976="","",COUNTA($B$5:B3976))</f>
        <v/>
      </c>
      <c r="B3976" s="148"/>
      <c r="C3976" s="22" t="s">
        <v>49</v>
      </c>
      <c r="D3976" s="149"/>
      <c r="E3976" s="150"/>
      <c r="F3976" s="151"/>
      <c r="G3976" s="151"/>
      <c r="H3976" s="142">
        <f>IFERROR(VLOOKUP($C3976,$C$5:$H$18,6,0)+SUMIF($C$19:$C3976,$C3976,$F$19:$F3976)-SUMIF($C$19:$C3976,$C3976,$G$19:$G3976),"")</f>
        <v>81211.819999998</v>
      </c>
      <c r="I3976" s="147"/>
      <c r="J3976" s="147"/>
      <c r="K3976" s="147" t="str">
        <f t="shared" si="62"/>
        <v/>
      </c>
      <c r="L3976" s="40"/>
      <c r="M3976"/>
      <c r="N3976"/>
      <c r="O3976"/>
      <c r="P3976"/>
      <c r="Q3976"/>
      <c r="R3976"/>
      <c r="S3976"/>
      <c r="T3976"/>
      <c r="U3976"/>
      <c r="V3976"/>
      <c r="W3976" s="41"/>
      <c r="X3976" s="41"/>
      <c r="Y3976" s="41"/>
    </row>
    <row r="3977" s="27" customFormat="1" ht="23" hidden="1" customHeight="1" spans="1:25">
      <c r="A3977" s="133" t="str">
        <f>IF(B3977="","",COUNTA($B$5:B3977))</f>
        <v/>
      </c>
      <c r="B3977" s="148"/>
      <c r="C3977" s="22" t="s">
        <v>49</v>
      </c>
      <c r="D3977" s="149"/>
      <c r="E3977" s="150"/>
      <c r="F3977" s="151"/>
      <c r="G3977" s="151"/>
      <c r="H3977" s="142">
        <f>IFERROR(VLOOKUP($C3977,$C$5:$H$18,6,0)+SUMIF($C$19:$C3977,$C3977,$F$19:$F3977)-SUMIF($C$19:$C3977,$C3977,$G$19:$G3977),"")</f>
        <v>81211.819999998</v>
      </c>
      <c r="I3977" s="147"/>
      <c r="J3977" s="147"/>
      <c r="K3977" s="147" t="str">
        <f t="shared" si="62"/>
        <v/>
      </c>
      <c r="L3977" s="40"/>
      <c r="M3977"/>
      <c r="N3977"/>
      <c r="O3977"/>
      <c r="P3977"/>
      <c r="Q3977"/>
      <c r="R3977"/>
      <c r="S3977"/>
      <c r="T3977"/>
      <c r="U3977"/>
      <c r="V3977"/>
      <c r="W3977" s="41"/>
      <c r="X3977" s="41"/>
      <c r="Y3977" s="41"/>
    </row>
    <row r="3978" s="27" customFormat="1" ht="23" hidden="1" customHeight="1" spans="1:25">
      <c r="A3978" s="133" t="str">
        <f>IF(B3978="","",COUNTA($B$5:B3978))</f>
        <v/>
      </c>
      <c r="B3978" s="148"/>
      <c r="C3978" s="22" t="s">
        <v>49</v>
      </c>
      <c r="D3978" s="149"/>
      <c r="E3978" s="150"/>
      <c r="F3978" s="151"/>
      <c r="G3978" s="151"/>
      <c r="H3978" s="142">
        <f>IFERROR(VLOOKUP($C3978,$C$5:$H$18,6,0)+SUMIF($C$19:$C3978,$C3978,$F$19:$F3978)-SUMIF($C$19:$C3978,$C3978,$G$19:$G3978),"")</f>
        <v>81211.819999998</v>
      </c>
      <c r="I3978" s="147"/>
      <c r="J3978" s="147"/>
      <c r="K3978" s="147" t="str">
        <f t="shared" si="62"/>
        <v/>
      </c>
      <c r="L3978" s="40"/>
      <c r="M3978"/>
      <c r="N3978"/>
      <c r="O3978"/>
      <c r="P3978"/>
      <c r="Q3978"/>
      <c r="R3978"/>
      <c r="S3978"/>
      <c r="T3978"/>
      <c r="U3978"/>
      <c r="V3978"/>
      <c r="W3978" s="41"/>
      <c r="X3978" s="41"/>
      <c r="Y3978" s="41"/>
    </row>
    <row r="3979" s="27" customFormat="1" ht="23" hidden="1" customHeight="1" spans="1:25">
      <c r="A3979" s="133" t="str">
        <f>IF(B3979="","",COUNTA($B$5:B3979))</f>
        <v/>
      </c>
      <c r="B3979" s="148"/>
      <c r="C3979" s="22" t="s">
        <v>49</v>
      </c>
      <c r="D3979" s="149"/>
      <c r="E3979" s="150"/>
      <c r="F3979" s="151"/>
      <c r="G3979" s="151"/>
      <c r="H3979" s="142">
        <f>IFERROR(VLOOKUP($C3979,$C$5:$H$18,6,0)+SUMIF($C$19:$C3979,$C3979,$F$19:$F3979)-SUMIF($C$19:$C3979,$C3979,$G$19:$G3979),"")</f>
        <v>81211.819999998</v>
      </c>
      <c r="I3979" s="147"/>
      <c r="J3979" s="147"/>
      <c r="K3979" s="147" t="str">
        <f t="shared" si="62"/>
        <v/>
      </c>
      <c r="L3979" s="40"/>
      <c r="M3979"/>
      <c r="N3979"/>
      <c r="O3979"/>
      <c r="P3979"/>
      <c r="Q3979"/>
      <c r="R3979"/>
      <c r="S3979"/>
      <c r="T3979"/>
      <c r="U3979"/>
      <c r="V3979"/>
      <c r="W3979" s="41"/>
      <c r="X3979" s="41"/>
      <c r="Y3979" s="41"/>
    </row>
    <row r="3980" s="27" customFormat="1" ht="23" hidden="1" customHeight="1" spans="1:25">
      <c r="A3980" s="133" t="str">
        <f>IF(B3980="","",COUNTA($B$5:B3980))</f>
        <v/>
      </c>
      <c r="B3980" s="148"/>
      <c r="C3980" s="22" t="s">
        <v>49</v>
      </c>
      <c r="D3980" s="149"/>
      <c r="E3980" s="150"/>
      <c r="F3980" s="151"/>
      <c r="G3980" s="151"/>
      <c r="H3980" s="142">
        <f>IFERROR(VLOOKUP($C3980,$C$5:$H$18,6,0)+SUMIF($C$19:$C3980,$C3980,$F$19:$F3980)-SUMIF($C$19:$C3980,$C3980,$G$19:$G3980),"")</f>
        <v>81211.819999998</v>
      </c>
      <c r="I3980" s="147"/>
      <c r="J3980" s="147"/>
      <c r="K3980" s="147" t="str">
        <f t="shared" si="62"/>
        <v/>
      </c>
      <c r="L3980" s="40"/>
      <c r="M3980"/>
      <c r="N3980"/>
      <c r="O3980"/>
      <c r="P3980"/>
      <c r="Q3980"/>
      <c r="R3980"/>
      <c r="S3980"/>
      <c r="T3980"/>
      <c r="U3980"/>
      <c r="V3980"/>
      <c r="W3980" s="41"/>
      <c r="X3980" s="41"/>
      <c r="Y3980" s="41"/>
    </row>
    <row r="3981" s="27" customFormat="1" ht="23" hidden="1" customHeight="1" spans="1:25">
      <c r="A3981" s="133" t="str">
        <f>IF(B3981="","",COUNTA($B$5:B3981))</f>
        <v/>
      </c>
      <c r="B3981" s="148"/>
      <c r="C3981" s="22" t="s">
        <v>49</v>
      </c>
      <c r="D3981" s="149"/>
      <c r="E3981" s="150"/>
      <c r="F3981" s="151"/>
      <c r="G3981" s="151"/>
      <c r="H3981" s="142">
        <f>IFERROR(VLOOKUP($C3981,$C$5:$H$18,6,0)+SUMIF($C$19:$C3981,$C3981,$F$19:$F3981)-SUMIF($C$19:$C3981,$C3981,$G$19:$G3981),"")</f>
        <v>81211.819999998</v>
      </c>
      <c r="I3981" s="147"/>
      <c r="J3981" s="147"/>
      <c r="K3981" s="147" t="str">
        <f t="shared" si="62"/>
        <v/>
      </c>
      <c r="L3981" s="40"/>
      <c r="M3981"/>
      <c r="N3981"/>
      <c r="O3981"/>
      <c r="P3981"/>
      <c r="Q3981"/>
      <c r="R3981"/>
      <c r="S3981"/>
      <c r="T3981"/>
      <c r="U3981"/>
      <c r="V3981"/>
      <c r="W3981" s="41"/>
      <c r="X3981" s="41"/>
      <c r="Y3981" s="41"/>
    </row>
    <row r="3982" s="27" customFormat="1" ht="23" hidden="1" customHeight="1" spans="1:25">
      <c r="A3982" s="133" t="str">
        <f>IF(B3982="","",COUNTA($B$5:B3982))</f>
        <v/>
      </c>
      <c r="B3982" s="148"/>
      <c r="C3982" s="22" t="s">
        <v>49</v>
      </c>
      <c r="D3982" s="149"/>
      <c r="E3982" s="150"/>
      <c r="F3982" s="151"/>
      <c r="G3982" s="151"/>
      <c r="H3982" s="142">
        <f>IFERROR(VLOOKUP($C3982,$C$5:$H$18,6,0)+SUMIF($C$19:$C3982,$C3982,$F$19:$F3982)-SUMIF($C$19:$C3982,$C3982,$G$19:$G3982),"")</f>
        <v>81211.819999998</v>
      </c>
      <c r="I3982" s="147"/>
      <c r="J3982" s="147"/>
      <c r="K3982" s="147" t="str">
        <f t="shared" si="62"/>
        <v/>
      </c>
      <c r="L3982" s="40"/>
      <c r="M3982"/>
      <c r="N3982"/>
      <c r="O3982"/>
      <c r="P3982"/>
      <c r="Q3982"/>
      <c r="R3982"/>
      <c r="S3982"/>
      <c r="T3982"/>
      <c r="U3982"/>
      <c r="V3982"/>
      <c r="W3982" s="41"/>
      <c r="X3982" s="41"/>
      <c r="Y3982" s="41"/>
    </row>
    <row r="3983" s="27" customFormat="1" ht="23" hidden="1" customHeight="1" spans="1:25">
      <c r="A3983" s="133" t="str">
        <f>IF(B3983="","",COUNTA($B$5:B3983))</f>
        <v/>
      </c>
      <c r="B3983" s="148"/>
      <c r="C3983" s="22" t="s">
        <v>49</v>
      </c>
      <c r="D3983" s="149"/>
      <c r="E3983" s="150"/>
      <c r="F3983" s="151"/>
      <c r="G3983" s="151"/>
      <c r="H3983" s="142">
        <f>IFERROR(VLOOKUP($C3983,$C$5:$H$18,6,0)+SUMIF($C$19:$C3983,$C3983,$F$19:$F3983)-SUMIF($C$19:$C3983,$C3983,$G$19:$G3983),"")</f>
        <v>81211.819999998</v>
      </c>
      <c r="I3983" s="147"/>
      <c r="J3983" s="147"/>
      <c r="K3983" s="147" t="str">
        <f t="shared" si="62"/>
        <v/>
      </c>
      <c r="L3983" s="40"/>
      <c r="M3983"/>
      <c r="N3983"/>
      <c r="O3983"/>
      <c r="P3983"/>
      <c r="Q3983"/>
      <c r="R3983"/>
      <c r="S3983"/>
      <c r="T3983"/>
      <c r="U3983"/>
      <c r="V3983"/>
      <c r="W3983" s="41"/>
      <c r="X3983" s="41"/>
      <c r="Y3983" s="41"/>
    </row>
    <row r="3984" s="27" customFormat="1" ht="23" hidden="1" customHeight="1" spans="1:25">
      <c r="A3984" s="133" t="str">
        <f>IF(B3984="","",COUNTA($B$5:B3984))</f>
        <v/>
      </c>
      <c r="B3984" s="148"/>
      <c r="C3984" s="22" t="s">
        <v>49</v>
      </c>
      <c r="D3984" s="149"/>
      <c r="E3984" s="150"/>
      <c r="F3984" s="151"/>
      <c r="G3984" s="151"/>
      <c r="H3984" s="142">
        <f>IFERROR(VLOOKUP($C3984,$C$5:$H$18,6,0)+SUMIF($C$19:$C3984,$C3984,$F$19:$F3984)-SUMIF($C$19:$C3984,$C3984,$G$19:$G3984),"")</f>
        <v>81211.819999998</v>
      </c>
      <c r="I3984" s="147"/>
      <c r="J3984" s="147"/>
      <c r="K3984" s="147" t="str">
        <f t="shared" si="62"/>
        <v/>
      </c>
      <c r="L3984" s="40"/>
      <c r="M3984"/>
      <c r="N3984"/>
      <c r="O3984"/>
      <c r="P3984"/>
      <c r="Q3984"/>
      <c r="R3984"/>
      <c r="S3984"/>
      <c r="T3984"/>
      <c r="U3984"/>
      <c r="V3984"/>
      <c r="W3984" s="41"/>
      <c r="X3984" s="41"/>
      <c r="Y3984" s="41"/>
    </row>
    <row r="3985" s="27" customFormat="1" ht="23" hidden="1" customHeight="1" spans="1:25">
      <c r="A3985" s="133" t="str">
        <f>IF(B3985="","",COUNTA($B$5:B3985))</f>
        <v/>
      </c>
      <c r="B3985" s="148"/>
      <c r="C3985" s="22" t="s">
        <v>49</v>
      </c>
      <c r="D3985" s="149"/>
      <c r="E3985" s="150"/>
      <c r="F3985" s="151"/>
      <c r="G3985" s="151"/>
      <c r="H3985" s="142">
        <f>IFERROR(VLOOKUP($C3985,$C$5:$H$18,6,0)+SUMIF($C$19:$C3985,$C3985,$F$19:$F3985)-SUMIF($C$19:$C3985,$C3985,$G$19:$G3985),"")</f>
        <v>81211.819999998</v>
      </c>
      <c r="I3985" s="147"/>
      <c r="J3985" s="147"/>
      <c r="K3985" s="147" t="str">
        <f t="shared" si="62"/>
        <v/>
      </c>
      <c r="L3985" s="40"/>
      <c r="M3985"/>
      <c r="N3985"/>
      <c r="O3985"/>
      <c r="P3985"/>
      <c r="Q3985"/>
      <c r="R3985"/>
      <c r="S3985"/>
      <c r="T3985"/>
      <c r="U3985"/>
      <c r="V3985"/>
      <c r="W3985" s="41"/>
      <c r="X3985" s="41"/>
      <c r="Y3985" s="41"/>
    </row>
    <row r="3986" s="27" customFormat="1" ht="23" hidden="1" customHeight="1" spans="1:25">
      <c r="A3986" s="133" t="str">
        <f>IF(B3986="","",COUNTA($B$5:B3986))</f>
        <v/>
      </c>
      <c r="B3986" s="148"/>
      <c r="C3986" s="22" t="s">
        <v>49</v>
      </c>
      <c r="D3986" s="149"/>
      <c r="E3986" s="150"/>
      <c r="F3986" s="151"/>
      <c r="G3986" s="151"/>
      <c r="H3986" s="142">
        <f>IFERROR(VLOOKUP($C3986,$C$5:$H$18,6,0)+SUMIF($C$19:$C3986,$C3986,$F$19:$F3986)-SUMIF($C$19:$C3986,$C3986,$G$19:$G3986),"")</f>
        <v>81211.819999998</v>
      </c>
      <c r="I3986" s="147"/>
      <c r="J3986" s="147"/>
      <c r="K3986" s="147" t="str">
        <f t="shared" si="62"/>
        <v/>
      </c>
      <c r="L3986" s="40"/>
      <c r="M3986"/>
      <c r="N3986"/>
      <c r="O3986"/>
      <c r="P3986"/>
      <c r="Q3986"/>
      <c r="R3986"/>
      <c r="S3986"/>
      <c r="T3986"/>
      <c r="U3986"/>
      <c r="V3986"/>
      <c r="W3986" s="41"/>
      <c r="X3986" s="41"/>
      <c r="Y3986" s="41"/>
    </row>
    <row r="3987" s="27" customFormat="1" ht="23" hidden="1" customHeight="1" spans="1:25">
      <c r="A3987" s="133" t="str">
        <f>IF(B3987="","",COUNTA($B$5:B3987))</f>
        <v/>
      </c>
      <c r="B3987" s="148"/>
      <c r="C3987" s="22" t="s">
        <v>49</v>
      </c>
      <c r="D3987" s="149"/>
      <c r="E3987" s="150"/>
      <c r="F3987" s="151"/>
      <c r="G3987" s="151"/>
      <c r="H3987" s="142">
        <f>IFERROR(VLOOKUP($C3987,$C$5:$H$18,6,0)+SUMIF($C$19:$C3987,$C3987,$F$19:$F3987)-SUMIF($C$19:$C3987,$C3987,$G$19:$G3987),"")</f>
        <v>81211.819999998</v>
      </c>
      <c r="I3987" s="147"/>
      <c r="J3987" s="147"/>
      <c r="K3987" s="147" t="str">
        <f t="shared" si="62"/>
        <v/>
      </c>
      <c r="L3987" s="40"/>
      <c r="M3987"/>
      <c r="N3987"/>
      <c r="O3987"/>
      <c r="P3987"/>
      <c r="Q3987"/>
      <c r="R3987"/>
      <c r="S3987"/>
      <c r="T3987"/>
      <c r="U3987"/>
      <c r="V3987"/>
      <c r="W3987" s="41"/>
      <c r="X3987" s="41"/>
      <c r="Y3987" s="41"/>
    </row>
    <row r="3988" s="27" customFormat="1" ht="23" hidden="1" customHeight="1" spans="1:25">
      <c r="A3988" s="133" t="str">
        <f>IF(B3988="","",COUNTA($B$5:B3988))</f>
        <v/>
      </c>
      <c r="B3988" s="148"/>
      <c r="C3988" s="22" t="s">
        <v>49</v>
      </c>
      <c r="D3988" s="149"/>
      <c r="E3988" s="150"/>
      <c r="F3988" s="151"/>
      <c r="G3988" s="151"/>
      <c r="H3988" s="142">
        <f>IFERROR(VLOOKUP($C3988,$C$5:$H$18,6,0)+SUMIF($C$19:$C3988,$C3988,$F$19:$F3988)-SUMIF($C$19:$C3988,$C3988,$G$19:$G3988),"")</f>
        <v>81211.819999998</v>
      </c>
      <c r="I3988" s="147"/>
      <c r="J3988" s="147"/>
      <c r="K3988" s="147" t="str">
        <f t="shared" si="62"/>
        <v/>
      </c>
      <c r="L3988" s="40"/>
      <c r="M3988"/>
      <c r="N3988"/>
      <c r="O3988"/>
      <c r="P3988"/>
      <c r="Q3988"/>
      <c r="R3988"/>
      <c r="S3988"/>
      <c r="T3988"/>
      <c r="U3988"/>
      <c r="V3988"/>
      <c r="W3988" s="41"/>
      <c r="X3988" s="41"/>
      <c r="Y3988" s="41"/>
    </row>
    <row r="3989" s="27" customFormat="1" ht="23" hidden="1" customHeight="1" spans="1:25">
      <c r="A3989" s="133" t="str">
        <f>IF(B3989="","",COUNTA($B$5:B3989))</f>
        <v/>
      </c>
      <c r="B3989" s="148"/>
      <c r="C3989" s="22" t="s">
        <v>49</v>
      </c>
      <c r="D3989" s="149"/>
      <c r="E3989" s="150"/>
      <c r="F3989" s="151"/>
      <c r="G3989" s="151"/>
      <c r="H3989" s="142">
        <f>IFERROR(VLOOKUP($C3989,$C$5:$H$18,6,0)+SUMIF($C$19:$C3989,$C3989,$F$19:$F3989)-SUMIF($C$19:$C3989,$C3989,$G$19:$G3989),"")</f>
        <v>81211.819999998</v>
      </c>
      <c r="I3989" s="147"/>
      <c r="J3989" s="147"/>
      <c r="K3989" s="147" t="str">
        <f t="shared" si="62"/>
        <v/>
      </c>
      <c r="L3989" s="40"/>
      <c r="M3989"/>
      <c r="N3989"/>
      <c r="O3989"/>
      <c r="P3989"/>
      <c r="Q3989"/>
      <c r="R3989"/>
      <c r="S3989"/>
      <c r="T3989"/>
      <c r="U3989"/>
      <c r="V3989"/>
      <c r="W3989" s="41"/>
      <c r="X3989" s="41"/>
      <c r="Y3989" s="41"/>
    </row>
    <row r="3990" s="27" customFormat="1" ht="23" hidden="1" customHeight="1" spans="1:25">
      <c r="A3990" s="133" t="str">
        <f>IF(B3990="","",COUNTA($B$5:B3990))</f>
        <v/>
      </c>
      <c r="B3990" s="148"/>
      <c r="C3990" s="22" t="s">
        <v>49</v>
      </c>
      <c r="D3990" s="149"/>
      <c r="E3990" s="150"/>
      <c r="F3990" s="151"/>
      <c r="G3990" s="151"/>
      <c r="H3990" s="142">
        <f>IFERROR(VLOOKUP($C3990,$C$5:$H$18,6,0)+SUMIF($C$19:$C3990,$C3990,$F$19:$F3990)-SUMIF($C$19:$C3990,$C3990,$G$19:$G3990),"")</f>
        <v>81211.819999998</v>
      </c>
      <c r="I3990" s="147"/>
      <c r="J3990" s="147"/>
      <c r="K3990" s="147" t="str">
        <f t="shared" si="62"/>
        <v/>
      </c>
      <c r="L3990" s="40"/>
      <c r="M3990"/>
      <c r="N3990"/>
      <c r="O3990"/>
      <c r="P3990"/>
      <c r="Q3990"/>
      <c r="R3990"/>
      <c r="S3990"/>
      <c r="T3990"/>
      <c r="U3990"/>
      <c r="V3990"/>
      <c r="W3990" s="41"/>
      <c r="X3990" s="41"/>
      <c r="Y3990" s="41"/>
    </row>
    <row r="3991" s="27" customFormat="1" ht="23" hidden="1" customHeight="1" spans="1:25">
      <c r="A3991" s="133" t="str">
        <f>IF(B3991="","",COUNTA($B$5:B3991))</f>
        <v/>
      </c>
      <c r="B3991" s="148"/>
      <c r="C3991" s="22" t="s">
        <v>49</v>
      </c>
      <c r="D3991" s="149"/>
      <c r="E3991" s="150"/>
      <c r="F3991" s="151"/>
      <c r="G3991" s="151"/>
      <c r="H3991" s="142">
        <f>IFERROR(VLOOKUP($C3991,$C$5:$H$18,6,0)+SUMIF($C$19:$C3991,$C3991,$F$19:$F3991)-SUMIF($C$19:$C3991,$C3991,$G$19:$G3991),"")</f>
        <v>81211.819999998</v>
      </c>
      <c r="I3991" s="147"/>
      <c r="J3991" s="147"/>
      <c r="K3991" s="147" t="str">
        <f t="shared" si="62"/>
        <v/>
      </c>
      <c r="L3991" s="40"/>
      <c r="M3991"/>
      <c r="N3991"/>
      <c r="O3991"/>
      <c r="P3991"/>
      <c r="Q3991"/>
      <c r="R3991"/>
      <c r="S3991"/>
      <c r="T3991"/>
      <c r="U3991"/>
      <c r="V3991"/>
      <c r="W3991" s="41"/>
      <c r="X3991" s="41"/>
      <c r="Y3991" s="41"/>
    </row>
    <row r="3992" s="27" customFormat="1" ht="23" hidden="1" customHeight="1" spans="1:25">
      <c r="A3992" s="133" t="str">
        <f>IF(B3992="","",COUNTA($B$5:B3992))</f>
        <v/>
      </c>
      <c r="B3992" s="148"/>
      <c r="C3992" s="22" t="s">
        <v>49</v>
      </c>
      <c r="D3992" s="149"/>
      <c r="E3992" s="150"/>
      <c r="F3992" s="151"/>
      <c r="G3992" s="151"/>
      <c r="H3992" s="142">
        <f>IFERROR(VLOOKUP($C3992,$C$5:$H$18,6,0)+SUMIF($C$19:$C3992,$C3992,$F$19:$F3992)-SUMIF($C$19:$C3992,$C3992,$G$19:$G3992),"")</f>
        <v>81211.819999998</v>
      </c>
      <c r="I3992" s="147"/>
      <c r="J3992" s="147"/>
      <c r="K3992" s="147" t="str">
        <f t="shared" si="62"/>
        <v/>
      </c>
      <c r="L3992" s="40"/>
      <c r="M3992"/>
      <c r="N3992"/>
      <c r="O3992"/>
      <c r="P3992"/>
      <c r="Q3992"/>
      <c r="R3992"/>
      <c r="S3992"/>
      <c r="T3992"/>
      <c r="U3992"/>
      <c r="V3992"/>
      <c r="W3992" s="41"/>
      <c r="X3992" s="41"/>
      <c r="Y3992" s="41"/>
    </row>
    <row r="3993" s="27" customFormat="1" ht="23" hidden="1" customHeight="1" spans="1:25">
      <c r="A3993" s="133" t="str">
        <f>IF(B3993="","",COUNTA($B$5:B3993))</f>
        <v/>
      </c>
      <c r="B3993" s="148"/>
      <c r="C3993" s="22" t="s">
        <v>49</v>
      </c>
      <c r="D3993" s="149"/>
      <c r="E3993" s="150"/>
      <c r="F3993" s="151"/>
      <c r="G3993" s="151"/>
      <c r="H3993" s="142">
        <f>IFERROR(VLOOKUP($C3993,$C$5:$H$18,6,0)+SUMIF($C$19:$C3993,$C3993,$F$19:$F3993)-SUMIF($C$19:$C3993,$C3993,$G$19:$G3993),"")</f>
        <v>81211.819999998</v>
      </c>
      <c r="I3993" s="147"/>
      <c r="J3993" s="147"/>
      <c r="K3993" s="147" t="str">
        <f t="shared" si="62"/>
        <v/>
      </c>
      <c r="L3993" s="40"/>
      <c r="M3993"/>
      <c r="N3993"/>
      <c r="O3993"/>
      <c r="P3993"/>
      <c r="Q3993"/>
      <c r="R3993"/>
      <c r="S3993"/>
      <c r="T3993"/>
      <c r="U3993"/>
      <c r="V3993"/>
      <c r="W3993" s="41"/>
      <c r="X3993" s="41"/>
      <c r="Y3993" s="41"/>
    </row>
    <row r="3994" s="27" customFormat="1" ht="23" hidden="1" customHeight="1" spans="1:25">
      <c r="A3994" s="133" t="str">
        <f>IF(B3994="","",COUNTA($B$5:B3994))</f>
        <v/>
      </c>
      <c r="B3994" s="148"/>
      <c r="C3994" s="22" t="s">
        <v>49</v>
      </c>
      <c r="D3994" s="149"/>
      <c r="E3994" s="150"/>
      <c r="F3994" s="151"/>
      <c r="G3994" s="151"/>
      <c r="H3994" s="142">
        <f>IFERROR(VLOOKUP($C3994,$C$5:$H$18,6,0)+SUMIF($C$19:$C3994,$C3994,$F$19:$F3994)-SUMIF($C$19:$C3994,$C3994,$G$19:$G3994),"")</f>
        <v>81211.819999998</v>
      </c>
      <c r="I3994" s="147"/>
      <c r="J3994" s="147"/>
      <c r="K3994" s="147" t="str">
        <f t="shared" si="62"/>
        <v/>
      </c>
      <c r="L3994" s="40"/>
      <c r="M3994"/>
      <c r="N3994"/>
      <c r="O3994"/>
      <c r="P3994"/>
      <c r="Q3994"/>
      <c r="R3994"/>
      <c r="S3994"/>
      <c r="T3994"/>
      <c r="U3994"/>
      <c r="V3994"/>
      <c r="W3994" s="41"/>
      <c r="X3994" s="41"/>
      <c r="Y3994" s="41"/>
    </row>
    <row r="3995" s="27" customFormat="1" ht="23" hidden="1" customHeight="1" spans="1:25">
      <c r="A3995" s="133" t="str">
        <f>IF(B3995="","",COUNTA($B$5:B3995))</f>
        <v/>
      </c>
      <c r="B3995" s="148"/>
      <c r="C3995" s="22" t="s">
        <v>49</v>
      </c>
      <c r="D3995" s="149"/>
      <c r="E3995" s="150"/>
      <c r="F3995" s="151"/>
      <c r="G3995" s="151"/>
      <c r="H3995" s="142">
        <f>IFERROR(VLOOKUP($C3995,$C$5:$H$18,6,0)+SUMIF($C$19:$C3995,$C3995,$F$19:$F3995)-SUMIF($C$19:$C3995,$C3995,$G$19:$G3995),"")</f>
        <v>81211.819999998</v>
      </c>
      <c r="I3995" s="147"/>
      <c r="J3995" s="147"/>
      <c r="K3995" s="147" t="str">
        <f t="shared" si="62"/>
        <v/>
      </c>
      <c r="L3995" s="40"/>
      <c r="M3995"/>
      <c r="N3995"/>
      <c r="O3995"/>
      <c r="P3995"/>
      <c r="Q3995"/>
      <c r="R3995"/>
      <c r="S3995"/>
      <c r="T3995"/>
      <c r="U3995"/>
      <c r="V3995"/>
      <c r="W3995" s="41"/>
      <c r="X3995" s="41"/>
      <c r="Y3995" s="41"/>
    </row>
    <row r="3996" s="27" customFormat="1" ht="23" hidden="1" customHeight="1" spans="1:25">
      <c r="A3996" s="133" t="str">
        <f>IF(B3996="","",COUNTA($B$5:B3996))</f>
        <v/>
      </c>
      <c r="B3996" s="148"/>
      <c r="C3996" s="22" t="s">
        <v>49</v>
      </c>
      <c r="D3996" s="149"/>
      <c r="E3996" s="150"/>
      <c r="F3996" s="151"/>
      <c r="G3996" s="151"/>
      <c r="H3996" s="142">
        <f>IFERROR(VLOOKUP($C3996,$C$5:$H$18,6,0)+SUMIF($C$19:$C3996,$C3996,$F$19:$F3996)-SUMIF($C$19:$C3996,$C3996,$G$19:$G3996),"")</f>
        <v>81211.819999998</v>
      </c>
      <c r="I3996" s="147"/>
      <c r="J3996" s="147"/>
      <c r="K3996" s="147" t="str">
        <f t="shared" si="62"/>
        <v/>
      </c>
      <c r="L3996" s="40"/>
      <c r="M3996"/>
      <c r="N3996"/>
      <c r="O3996"/>
      <c r="P3996"/>
      <c r="Q3996"/>
      <c r="R3996"/>
      <c r="S3996"/>
      <c r="T3996"/>
      <c r="U3996"/>
      <c r="V3996"/>
      <c r="W3996" s="41"/>
      <c r="X3996" s="41"/>
      <c r="Y3996" s="41"/>
    </row>
    <row r="3997" s="27" customFormat="1" ht="23" hidden="1" customHeight="1" spans="1:25">
      <c r="A3997" s="133" t="str">
        <f>IF(B3997="","",COUNTA($B$5:B3997))</f>
        <v/>
      </c>
      <c r="B3997" s="148"/>
      <c r="C3997" s="22" t="s">
        <v>49</v>
      </c>
      <c r="D3997" s="149"/>
      <c r="E3997" s="150"/>
      <c r="F3997" s="151"/>
      <c r="G3997" s="151"/>
      <c r="H3997" s="142">
        <f>IFERROR(VLOOKUP($C3997,$C$5:$H$18,6,0)+SUMIF($C$19:$C3997,$C3997,$F$19:$F3997)-SUMIF($C$19:$C3997,$C3997,$G$19:$G3997),"")</f>
        <v>81211.819999998</v>
      </c>
      <c r="I3997" s="147"/>
      <c r="J3997" s="147"/>
      <c r="K3997" s="147" t="str">
        <f t="shared" si="62"/>
        <v/>
      </c>
      <c r="L3997" s="40"/>
      <c r="M3997"/>
      <c r="N3997"/>
      <c r="O3997"/>
      <c r="P3997"/>
      <c r="Q3997"/>
      <c r="R3997"/>
      <c r="S3997"/>
      <c r="T3997"/>
      <c r="U3997"/>
      <c r="V3997"/>
      <c r="W3997" s="41"/>
      <c r="X3997" s="41"/>
      <c r="Y3997" s="41"/>
    </row>
    <row r="3998" s="27" customFormat="1" ht="23" hidden="1" customHeight="1" spans="1:25">
      <c r="A3998" s="133" t="str">
        <f>IF(B3998="","",COUNTA($B$5:B3998))</f>
        <v/>
      </c>
      <c r="B3998" s="148"/>
      <c r="C3998" s="22" t="s">
        <v>49</v>
      </c>
      <c r="D3998" s="149"/>
      <c r="E3998" s="150"/>
      <c r="F3998" s="151"/>
      <c r="G3998" s="151"/>
      <c r="H3998" s="142">
        <f>IFERROR(VLOOKUP($C3998,$C$5:$H$18,6,0)+SUMIF($C$19:$C3998,$C3998,$F$19:$F3998)-SUMIF($C$19:$C3998,$C3998,$G$19:$G3998),"")</f>
        <v>81211.819999998</v>
      </c>
      <c r="I3998" s="147"/>
      <c r="J3998" s="147"/>
      <c r="K3998" s="147" t="str">
        <f t="shared" si="62"/>
        <v/>
      </c>
      <c r="L3998" s="40"/>
      <c r="M3998"/>
      <c r="N3998"/>
      <c r="O3998"/>
      <c r="P3998"/>
      <c r="Q3998"/>
      <c r="R3998"/>
      <c r="S3998"/>
      <c r="T3998"/>
      <c r="U3998"/>
      <c r="V3998"/>
      <c r="W3998" s="41"/>
      <c r="X3998" s="41"/>
      <c r="Y3998" s="41"/>
    </row>
    <row r="3999" s="27" customFormat="1" ht="23" hidden="1" customHeight="1" spans="1:25">
      <c r="A3999" s="133" t="str">
        <f>IF(B3999="","",COUNTA($B$5:B3999))</f>
        <v/>
      </c>
      <c r="B3999" s="148"/>
      <c r="C3999" s="22" t="s">
        <v>49</v>
      </c>
      <c r="D3999" s="149"/>
      <c r="E3999" s="150"/>
      <c r="F3999" s="151"/>
      <c r="G3999" s="151"/>
      <c r="H3999" s="142">
        <f>IFERROR(VLOOKUP($C3999,$C$5:$H$18,6,0)+SUMIF($C$19:$C3999,$C3999,$F$19:$F3999)-SUMIF($C$19:$C3999,$C3999,$G$19:$G3999),"")</f>
        <v>81211.819999998</v>
      </c>
      <c r="I3999" s="147"/>
      <c r="J3999" s="147"/>
      <c r="K3999" s="147" t="str">
        <f t="shared" si="62"/>
        <v/>
      </c>
      <c r="L3999" s="40"/>
      <c r="M3999"/>
      <c r="N3999"/>
      <c r="O3999"/>
      <c r="P3999"/>
      <c r="Q3999"/>
      <c r="R3999"/>
      <c r="S3999"/>
      <c r="T3999"/>
      <c r="U3999"/>
      <c r="V3999"/>
      <c r="W3999" s="41"/>
      <c r="X3999" s="41"/>
      <c r="Y3999" s="41"/>
    </row>
    <row r="4000" s="27" customFormat="1" ht="23" hidden="1" customHeight="1" spans="1:25">
      <c r="A4000" s="133" t="str">
        <f>IF(B4000="","",COUNTA($B$5:B4000))</f>
        <v/>
      </c>
      <c r="B4000" s="148"/>
      <c r="C4000" s="22" t="s">
        <v>49</v>
      </c>
      <c r="D4000" s="149"/>
      <c r="E4000" s="150"/>
      <c r="F4000" s="151"/>
      <c r="G4000" s="151"/>
      <c r="H4000" s="142">
        <f>IFERROR(VLOOKUP($C4000,$C$5:$H$18,6,0)+SUMIF($C$19:$C4000,$C4000,$F$19:$F4000)-SUMIF($C$19:$C4000,$C4000,$G$19:$G4000),"")</f>
        <v>81211.819999998</v>
      </c>
      <c r="I4000" s="147"/>
      <c r="J4000" s="147"/>
      <c r="K4000" s="147" t="str">
        <f t="shared" si="62"/>
        <v/>
      </c>
      <c r="L4000" s="40"/>
      <c r="M4000"/>
      <c r="N4000"/>
      <c r="O4000"/>
      <c r="P4000"/>
      <c r="Q4000"/>
      <c r="R4000"/>
      <c r="S4000"/>
      <c r="T4000"/>
      <c r="U4000"/>
      <c r="V4000"/>
      <c r="W4000" s="41"/>
      <c r="X4000" s="41"/>
      <c r="Y4000" s="41"/>
    </row>
    <row r="4001" s="27" customFormat="1" ht="23" hidden="1" customHeight="1" spans="1:25">
      <c r="A4001" s="133" t="str">
        <f>IF(B4001="","",COUNTA($B$5:B4001))</f>
        <v/>
      </c>
      <c r="B4001" s="148"/>
      <c r="C4001" s="22" t="s">
        <v>49</v>
      </c>
      <c r="D4001" s="149"/>
      <c r="E4001" s="150"/>
      <c r="F4001" s="151"/>
      <c r="G4001" s="151"/>
      <c r="H4001" s="142">
        <f>IFERROR(VLOOKUP($C4001,$C$5:$H$18,6,0)+SUMIF($C$19:$C4001,$C4001,$F$19:$F4001)-SUMIF($C$19:$C4001,$C4001,$G$19:$G4001),"")</f>
        <v>81211.819999998</v>
      </c>
      <c r="I4001" s="147"/>
      <c r="J4001" s="147"/>
      <c r="K4001" s="147" t="str">
        <f t="shared" si="62"/>
        <v/>
      </c>
      <c r="L4001" s="40"/>
      <c r="M4001"/>
      <c r="N4001"/>
      <c r="O4001"/>
      <c r="P4001"/>
      <c r="Q4001"/>
      <c r="R4001"/>
      <c r="S4001"/>
      <c r="T4001"/>
      <c r="U4001"/>
      <c r="V4001"/>
      <c r="W4001" s="41"/>
      <c r="X4001" s="41"/>
      <c r="Y4001" s="41"/>
    </row>
    <row r="4002" s="27" customFormat="1" ht="23" hidden="1" customHeight="1" spans="1:25">
      <c r="A4002" s="133" t="str">
        <f>IF(B4002="","",COUNTA($B$5:B4002))</f>
        <v/>
      </c>
      <c r="B4002" s="148"/>
      <c r="C4002" s="22" t="s">
        <v>49</v>
      </c>
      <c r="D4002" s="149"/>
      <c r="E4002" s="150"/>
      <c r="F4002" s="151"/>
      <c r="G4002" s="151"/>
      <c r="H4002" s="142">
        <f>IFERROR(VLOOKUP($C4002,$C$5:$H$18,6,0)+SUMIF($C$19:$C4002,$C4002,$F$19:$F4002)-SUMIF($C$19:$C4002,$C4002,$G$19:$G4002),"")</f>
        <v>81211.819999998</v>
      </c>
      <c r="I4002" s="147"/>
      <c r="J4002" s="147"/>
      <c r="K4002" s="147" t="str">
        <f t="shared" si="62"/>
        <v/>
      </c>
      <c r="L4002" s="40"/>
      <c r="M4002"/>
      <c r="N4002"/>
      <c r="O4002"/>
      <c r="P4002"/>
      <c r="Q4002"/>
      <c r="R4002"/>
      <c r="S4002"/>
      <c r="T4002"/>
      <c r="U4002"/>
      <c r="V4002"/>
      <c r="W4002" s="41"/>
      <c r="X4002" s="41"/>
      <c r="Y4002" s="41"/>
    </row>
    <row r="4003" s="27" customFormat="1" ht="23" hidden="1" customHeight="1" spans="1:25">
      <c r="A4003" s="133" t="str">
        <f>IF(B4003="","",COUNTA($B$5:B4003))</f>
        <v/>
      </c>
      <c r="B4003" s="148"/>
      <c r="C4003" s="22" t="s">
        <v>49</v>
      </c>
      <c r="D4003" s="149"/>
      <c r="E4003" s="150"/>
      <c r="F4003" s="151"/>
      <c r="G4003" s="151"/>
      <c r="H4003" s="142">
        <f>IFERROR(VLOOKUP($C4003,$C$5:$H$18,6,0)+SUMIF($C$19:$C4003,$C4003,$F$19:$F4003)-SUMIF($C$19:$C4003,$C4003,$G$19:$G4003),"")</f>
        <v>81211.819999998</v>
      </c>
      <c r="I4003" s="147"/>
      <c r="J4003" s="147"/>
      <c r="K4003" s="147" t="str">
        <f t="shared" si="62"/>
        <v/>
      </c>
      <c r="L4003" s="40"/>
      <c r="M4003"/>
      <c r="N4003"/>
      <c r="O4003"/>
      <c r="P4003"/>
      <c r="Q4003"/>
      <c r="R4003"/>
      <c r="S4003"/>
      <c r="T4003"/>
      <c r="U4003"/>
      <c r="V4003"/>
      <c r="W4003" s="41"/>
      <c r="X4003" s="41"/>
      <c r="Y4003" s="41"/>
    </row>
    <row r="4004" s="27" customFormat="1" ht="23" hidden="1" customHeight="1" spans="1:25">
      <c r="A4004" s="133" t="str">
        <f>IF(B4004="","",COUNTA($B$5:B4004))</f>
        <v/>
      </c>
      <c r="B4004" s="148"/>
      <c r="C4004" s="22" t="s">
        <v>49</v>
      </c>
      <c r="D4004" s="149"/>
      <c r="E4004" s="150"/>
      <c r="F4004" s="151"/>
      <c r="G4004" s="151"/>
      <c r="H4004" s="142">
        <f>IFERROR(VLOOKUP($C4004,$C$5:$H$18,6,0)+SUMIF($C$19:$C4004,$C4004,$F$19:$F4004)-SUMIF($C$19:$C4004,$C4004,$G$19:$G4004),"")</f>
        <v>81211.819999998</v>
      </c>
      <c r="I4004" s="147"/>
      <c r="J4004" s="147"/>
      <c r="K4004" s="147" t="str">
        <f t="shared" si="62"/>
        <v/>
      </c>
      <c r="L4004" s="40"/>
      <c r="M4004"/>
      <c r="N4004"/>
      <c r="O4004"/>
      <c r="P4004"/>
      <c r="Q4004"/>
      <c r="R4004"/>
      <c r="S4004"/>
      <c r="T4004"/>
      <c r="U4004"/>
      <c r="V4004"/>
      <c r="W4004" s="41"/>
      <c r="X4004" s="41"/>
      <c r="Y4004" s="41"/>
    </row>
    <row r="4005" s="27" customFormat="1" ht="23" hidden="1" customHeight="1" spans="1:25">
      <c r="A4005" s="133" t="str">
        <f>IF(B4005="","",COUNTA($B$5:B4005))</f>
        <v/>
      </c>
      <c r="B4005" s="148"/>
      <c r="C4005" s="22" t="s">
        <v>49</v>
      </c>
      <c r="D4005" s="149"/>
      <c r="E4005" s="150"/>
      <c r="F4005" s="151"/>
      <c r="G4005" s="151"/>
      <c r="H4005" s="142">
        <f>IFERROR(VLOOKUP($C4005,$C$5:$H$18,6,0)+SUMIF($C$19:$C4005,$C4005,$F$19:$F4005)-SUMIF($C$19:$C4005,$C4005,$G$19:$G4005),"")</f>
        <v>81211.819999998</v>
      </c>
      <c r="I4005" s="147"/>
      <c r="J4005" s="147"/>
      <c r="K4005" s="147" t="str">
        <f t="shared" si="62"/>
        <v/>
      </c>
      <c r="L4005" s="40"/>
      <c r="M4005"/>
      <c r="N4005"/>
      <c r="O4005"/>
      <c r="P4005"/>
      <c r="Q4005"/>
      <c r="R4005"/>
      <c r="S4005"/>
      <c r="T4005"/>
      <c r="U4005"/>
      <c r="V4005"/>
      <c r="W4005" s="41"/>
      <c r="X4005" s="41"/>
      <c r="Y4005" s="41"/>
    </row>
    <row r="4006" s="27" customFormat="1" ht="23" hidden="1" customHeight="1" spans="1:25">
      <c r="A4006" s="133" t="str">
        <f>IF(B4006="","",COUNTA($B$5:B4006))</f>
        <v/>
      </c>
      <c r="B4006" s="148"/>
      <c r="C4006" s="22" t="s">
        <v>49</v>
      </c>
      <c r="D4006" s="149"/>
      <c r="E4006" s="150"/>
      <c r="F4006" s="151"/>
      <c r="G4006" s="151"/>
      <c r="H4006" s="142">
        <f>IFERROR(VLOOKUP($C4006,$C$5:$H$18,6,0)+SUMIF($C$19:$C4006,$C4006,$F$19:$F4006)-SUMIF($C$19:$C4006,$C4006,$G$19:$G4006),"")</f>
        <v>81211.819999998</v>
      </c>
      <c r="I4006" s="147"/>
      <c r="J4006" s="147"/>
      <c r="K4006" s="147" t="str">
        <f t="shared" si="62"/>
        <v/>
      </c>
      <c r="L4006" s="40"/>
      <c r="M4006"/>
      <c r="N4006"/>
      <c r="O4006"/>
      <c r="P4006"/>
      <c r="Q4006"/>
      <c r="R4006"/>
      <c r="S4006"/>
      <c r="T4006"/>
      <c r="U4006"/>
      <c r="V4006"/>
      <c r="W4006" s="41"/>
      <c r="X4006" s="41"/>
      <c r="Y4006" s="41"/>
    </row>
    <row r="4007" s="27" customFormat="1" ht="23" hidden="1" customHeight="1" spans="1:25">
      <c r="A4007" s="133" t="str">
        <f>IF(B4007="","",COUNTA($B$5:B4007))</f>
        <v/>
      </c>
      <c r="B4007" s="148"/>
      <c r="C4007" s="22" t="s">
        <v>49</v>
      </c>
      <c r="D4007" s="149"/>
      <c r="E4007" s="150"/>
      <c r="F4007" s="151"/>
      <c r="G4007" s="151"/>
      <c r="H4007" s="142">
        <f>IFERROR(VLOOKUP($C4007,$C$5:$H$18,6,0)+SUMIF($C$19:$C4007,$C4007,$F$19:$F4007)-SUMIF($C$19:$C4007,$C4007,$G$19:$G4007),"")</f>
        <v>81211.819999998</v>
      </c>
      <c r="I4007" s="147"/>
      <c r="J4007" s="147"/>
      <c r="K4007" s="147" t="str">
        <f t="shared" si="62"/>
        <v/>
      </c>
      <c r="L4007" s="40"/>
      <c r="M4007"/>
      <c r="N4007"/>
      <c r="O4007"/>
      <c r="P4007"/>
      <c r="Q4007"/>
      <c r="R4007"/>
      <c r="S4007"/>
      <c r="T4007"/>
      <c r="U4007"/>
      <c r="V4007"/>
      <c r="W4007" s="41"/>
      <c r="X4007" s="41"/>
      <c r="Y4007" s="41"/>
    </row>
    <row r="4008" s="27" customFormat="1" ht="23" hidden="1" customHeight="1" spans="1:25">
      <c r="A4008" s="133" t="str">
        <f>IF(B4008="","",COUNTA($B$5:B4008))</f>
        <v/>
      </c>
      <c r="B4008" s="148"/>
      <c r="C4008" s="22" t="s">
        <v>49</v>
      </c>
      <c r="D4008" s="149"/>
      <c r="E4008" s="150"/>
      <c r="F4008" s="151"/>
      <c r="G4008" s="151"/>
      <c r="H4008" s="142">
        <f>IFERROR(VLOOKUP($C4008,$C$5:$H$18,6,0)+SUMIF($C$19:$C4008,$C4008,$F$19:$F4008)-SUMIF($C$19:$C4008,$C4008,$G$19:$G4008),"")</f>
        <v>81211.819999998</v>
      </c>
      <c r="I4008" s="147"/>
      <c r="J4008" s="147"/>
      <c r="K4008" s="147" t="str">
        <f t="shared" si="62"/>
        <v/>
      </c>
      <c r="L4008" s="40"/>
      <c r="M4008"/>
      <c r="N4008"/>
      <c r="O4008"/>
      <c r="P4008"/>
      <c r="Q4008"/>
      <c r="R4008"/>
      <c r="S4008"/>
      <c r="T4008"/>
      <c r="U4008"/>
      <c r="V4008"/>
      <c r="W4008" s="41"/>
      <c r="X4008" s="41"/>
      <c r="Y4008" s="41"/>
    </row>
    <row r="4009" s="27" customFormat="1" ht="23" hidden="1" customHeight="1" spans="1:25">
      <c r="A4009" s="133" t="str">
        <f>IF(B4009="","",COUNTA($B$5:B4009))</f>
        <v/>
      </c>
      <c r="B4009" s="148"/>
      <c r="C4009" s="22" t="s">
        <v>49</v>
      </c>
      <c r="D4009" s="149"/>
      <c r="E4009" s="150"/>
      <c r="F4009" s="151"/>
      <c r="G4009" s="151"/>
      <c r="H4009" s="142">
        <f>IFERROR(VLOOKUP($C4009,$C$5:$H$18,6,0)+SUMIF($C$19:$C4009,$C4009,$F$19:$F4009)-SUMIF($C$19:$C4009,$C4009,$G$19:$G4009),"")</f>
        <v>81211.819999998</v>
      </c>
      <c r="I4009" s="147"/>
      <c r="J4009" s="147"/>
      <c r="K4009" s="147" t="str">
        <f t="shared" si="62"/>
        <v/>
      </c>
      <c r="L4009" s="40"/>
      <c r="M4009"/>
      <c r="N4009"/>
      <c r="O4009"/>
      <c r="P4009"/>
      <c r="Q4009"/>
      <c r="R4009"/>
      <c r="S4009"/>
      <c r="T4009"/>
      <c r="U4009"/>
      <c r="V4009"/>
      <c r="W4009" s="41"/>
      <c r="X4009" s="41"/>
      <c r="Y4009" s="41"/>
    </row>
    <row r="4010" s="27" customFormat="1" ht="23" hidden="1" customHeight="1" spans="1:25">
      <c r="A4010" s="133" t="str">
        <f>IF(B4010="","",COUNTA($B$5:B4010))</f>
        <v/>
      </c>
      <c r="B4010" s="148"/>
      <c r="C4010" s="22" t="s">
        <v>49</v>
      </c>
      <c r="D4010" s="149"/>
      <c r="E4010" s="150"/>
      <c r="F4010" s="151"/>
      <c r="G4010" s="151"/>
      <c r="H4010" s="142">
        <f>IFERROR(VLOOKUP($C4010,$C$5:$H$18,6,0)+SUMIF($C$19:$C4010,$C4010,$F$19:$F4010)-SUMIF($C$19:$C4010,$C4010,$G$19:$G4010),"")</f>
        <v>81211.819999998</v>
      </c>
      <c r="I4010" s="147"/>
      <c r="J4010" s="147"/>
      <c r="K4010" s="147" t="str">
        <f t="shared" si="62"/>
        <v/>
      </c>
      <c r="L4010" s="40"/>
      <c r="M4010"/>
      <c r="N4010"/>
      <c r="O4010"/>
      <c r="P4010"/>
      <c r="Q4010"/>
      <c r="R4010"/>
      <c r="S4010"/>
      <c r="T4010"/>
      <c r="U4010"/>
      <c r="V4010"/>
      <c r="W4010" s="41"/>
      <c r="X4010" s="41"/>
      <c r="Y4010" s="41"/>
    </row>
    <row r="4011" s="27" customFormat="1" ht="23" hidden="1" customHeight="1" spans="1:25">
      <c r="A4011" s="133" t="str">
        <f>IF(B4011="","",COUNTA($B$5:B4011))</f>
        <v/>
      </c>
      <c r="B4011" s="148"/>
      <c r="C4011" s="22" t="s">
        <v>49</v>
      </c>
      <c r="D4011" s="149"/>
      <c r="E4011" s="150"/>
      <c r="F4011" s="151"/>
      <c r="G4011" s="151"/>
      <c r="H4011" s="142">
        <f>IFERROR(VLOOKUP($C4011,$C$5:$H$18,6,0)+SUMIF($C$19:$C4011,$C4011,$F$19:$F4011)-SUMIF($C$19:$C4011,$C4011,$G$19:$G4011),"")</f>
        <v>81211.819999998</v>
      </c>
      <c r="I4011" s="147"/>
      <c r="J4011" s="147"/>
      <c r="K4011" s="147" t="str">
        <f t="shared" si="62"/>
        <v/>
      </c>
      <c r="L4011" s="40"/>
      <c r="M4011"/>
      <c r="N4011"/>
      <c r="O4011"/>
      <c r="P4011"/>
      <c r="Q4011"/>
      <c r="R4011"/>
      <c r="S4011"/>
      <c r="T4011"/>
      <c r="U4011"/>
      <c r="V4011"/>
      <c r="W4011" s="41"/>
      <c r="X4011" s="41"/>
      <c r="Y4011" s="41"/>
    </row>
    <row r="4012" s="27" customFormat="1" ht="23" hidden="1" customHeight="1" spans="1:25">
      <c r="A4012" s="133" t="str">
        <f>IF(B4012="","",COUNTA($B$5:B4012))</f>
        <v/>
      </c>
      <c r="B4012" s="148"/>
      <c r="C4012" s="22" t="s">
        <v>49</v>
      </c>
      <c r="D4012" s="149"/>
      <c r="E4012" s="150"/>
      <c r="F4012" s="151"/>
      <c r="G4012" s="151"/>
      <c r="H4012" s="142">
        <f>IFERROR(VLOOKUP($C4012,$C$5:$H$18,6,0)+SUMIF($C$19:$C4012,$C4012,$F$19:$F4012)-SUMIF($C$19:$C4012,$C4012,$G$19:$G4012),"")</f>
        <v>81211.819999998</v>
      </c>
      <c r="I4012" s="147"/>
      <c r="J4012" s="147"/>
      <c r="K4012" s="147" t="str">
        <f t="shared" si="62"/>
        <v/>
      </c>
      <c r="L4012" s="40"/>
      <c r="M4012"/>
      <c r="N4012"/>
      <c r="O4012"/>
      <c r="P4012"/>
      <c r="Q4012"/>
      <c r="R4012"/>
      <c r="S4012"/>
      <c r="T4012"/>
      <c r="U4012"/>
      <c r="V4012"/>
      <c r="W4012" s="41"/>
      <c r="X4012" s="41"/>
      <c r="Y4012" s="41"/>
    </row>
    <row r="4013" s="27" customFormat="1" ht="23" hidden="1" customHeight="1" spans="1:25">
      <c r="A4013" s="133" t="str">
        <f>IF(B4013="","",COUNTA($B$5:B4013))</f>
        <v/>
      </c>
      <c r="B4013" s="148"/>
      <c r="C4013" s="22" t="s">
        <v>49</v>
      </c>
      <c r="D4013" s="149"/>
      <c r="E4013" s="150"/>
      <c r="F4013" s="151"/>
      <c r="G4013" s="151"/>
      <c r="H4013" s="142">
        <f>IFERROR(VLOOKUP($C4013,$C$5:$H$18,6,0)+SUMIF($C$19:$C4013,$C4013,$F$19:$F4013)-SUMIF($C$19:$C4013,$C4013,$G$19:$G4013),"")</f>
        <v>81211.819999998</v>
      </c>
      <c r="I4013" s="147"/>
      <c r="J4013" s="147"/>
      <c r="K4013" s="147" t="str">
        <f t="shared" si="62"/>
        <v/>
      </c>
      <c r="L4013" s="40"/>
      <c r="M4013"/>
      <c r="N4013"/>
      <c r="O4013"/>
      <c r="P4013"/>
      <c r="Q4013"/>
      <c r="R4013"/>
      <c r="S4013"/>
      <c r="T4013"/>
      <c r="U4013"/>
      <c r="V4013"/>
      <c r="W4013" s="41"/>
      <c r="X4013" s="41"/>
      <c r="Y4013" s="41"/>
    </row>
    <row r="4014" s="27" customFormat="1" ht="23" hidden="1" customHeight="1" spans="1:25">
      <c r="A4014" s="133" t="str">
        <f>IF(B4014="","",COUNTA($B$5:B4014))</f>
        <v/>
      </c>
      <c r="B4014" s="148"/>
      <c r="C4014" s="22" t="s">
        <v>49</v>
      </c>
      <c r="D4014" s="149"/>
      <c r="E4014" s="150"/>
      <c r="F4014" s="151"/>
      <c r="G4014" s="151"/>
      <c r="H4014" s="142">
        <f>IFERROR(VLOOKUP($C4014,$C$5:$H$18,6,0)+SUMIF($C$19:$C4014,$C4014,$F$19:$F4014)-SUMIF($C$19:$C4014,$C4014,$G$19:$G4014),"")</f>
        <v>81211.819999998</v>
      </c>
      <c r="I4014" s="147"/>
      <c r="J4014" s="147"/>
      <c r="K4014" s="147" t="str">
        <f t="shared" si="62"/>
        <v/>
      </c>
      <c r="L4014" s="40"/>
      <c r="M4014"/>
      <c r="N4014"/>
      <c r="O4014"/>
      <c r="P4014"/>
      <c r="Q4014"/>
      <c r="R4014"/>
      <c r="S4014"/>
      <c r="T4014"/>
      <c r="U4014"/>
      <c r="V4014"/>
      <c r="W4014" s="41"/>
      <c r="X4014" s="41"/>
      <c r="Y4014" s="41"/>
    </row>
    <row r="4015" s="27" customFormat="1" ht="23" hidden="1" customHeight="1" spans="1:25">
      <c r="A4015" s="133" t="str">
        <f>IF(B4015="","",COUNTA($B$5:B4015))</f>
        <v/>
      </c>
      <c r="B4015" s="148"/>
      <c r="C4015" s="22" t="s">
        <v>49</v>
      </c>
      <c r="D4015" s="149"/>
      <c r="E4015" s="150"/>
      <c r="F4015" s="151"/>
      <c r="G4015" s="151"/>
      <c r="H4015" s="142">
        <f>IFERROR(VLOOKUP($C4015,$C$5:$H$18,6,0)+SUMIF($C$19:$C4015,$C4015,$F$19:$F4015)-SUMIF($C$19:$C4015,$C4015,$G$19:$G4015),"")</f>
        <v>81211.819999998</v>
      </c>
      <c r="I4015" s="147"/>
      <c r="J4015" s="147"/>
      <c r="K4015" s="147" t="str">
        <f t="shared" si="62"/>
        <v/>
      </c>
      <c r="L4015" s="40"/>
      <c r="M4015"/>
      <c r="N4015"/>
      <c r="O4015"/>
      <c r="P4015"/>
      <c r="Q4015"/>
      <c r="R4015"/>
      <c r="S4015"/>
      <c r="T4015"/>
      <c r="U4015"/>
      <c r="V4015"/>
      <c r="W4015" s="41"/>
      <c r="X4015" s="41"/>
      <c r="Y4015" s="41"/>
    </row>
    <row r="4016" s="27" customFormat="1" ht="23" hidden="1" customHeight="1" spans="1:25">
      <c r="A4016" s="133" t="str">
        <f>IF(B4016="","",COUNTA($B$5:B4016))</f>
        <v/>
      </c>
      <c r="B4016" s="148"/>
      <c r="C4016" s="22" t="s">
        <v>49</v>
      </c>
      <c r="D4016" s="149"/>
      <c r="E4016" s="150"/>
      <c r="F4016" s="151"/>
      <c r="G4016" s="151"/>
      <c r="H4016" s="142">
        <f>IFERROR(VLOOKUP($C4016,$C$5:$H$18,6,0)+SUMIF($C$19:$C4016,$C4016,$F$19:$F4016)-SUMIF($C$19:$C4016,$C4016,$G$19:$G4016),"")</f>
        <v>81211.819999998</v>
      </c>
      <c r="I4016" s="147"/>
      <c r="J4016" s="147"/>
      <c r="K4016" s="147" t="str">
        <f t="shared" si="62"/>
        <v/>
      </c>
      <c r="L4016" s="40"/>
      <c r="M4016"/>
      <c r="N4016"/>
      <c r="O4016"/>
      <c r="P4016"/>
      <c r="Q4016"/>
      <c r="R4016"/>
      <c r="S4016"/>
      <c r="T4016"/>
      <c r="U4016"/>
      <c r="V4016"/>
      <c r="W4016" s="41"/>
      <c r="X4016" s="41"/>
      <c r="Y4016" s="41"/>
    </row>
    <row r="4017" s="27" customFormat="1" ht="23" hidden="1" customHeight="1" spans="1:25">
      <c r="A4017" s="133" t="str">
        <f>IF(B4017="","",COUNTA($B$5:B4017))</f>
        <v/>
      </c>
      <c r="B4017" s="148"/>
      <c r="C4017" s="22" t="s">
        <v>49</v>
      </c>
      <c r="D4017" s="149"/>
      <c r="E4017" s="150"/>
      <c r="F4017" s="151"/>
      <c r="G4017" s="151"/>
      <c r="H4017" s="142">
        <f>IFERROR(VLOOKUP($C4017,$C$5:$H$18,6,0)+SUMIF($C$19:$C4017,$C4017,$F$19:$F4017)-SUMIF($C$19:$C4017,$C4017,$G$19:$G4017),"")</f>
        <v>81211.819999998</v>
      </c>
      <c r="I4017" s="147"/>
      <c r="J4017" s="147"/>
      <c r="K4017" s="147" t="str">
        <f t="shared" si="62"/>
        <v/>
      </c>
      <c r="L4017" s="40"/>
      <c r="M4017"/>
      <c r="N4017"/>
      <c r="O4017"/>
      <c r="P4017"/>
      <c r="Q4017"/>
      <c r="R4017"/>
      <c r="S4017"/>
      <c r="T4017"/>
      <c r="U4017"/>
      <c r="V4017"/>
      <c r="W4017" s="41"/>
      <c r="X4017" s="41"/>
      <c r="Y4017" s="41"/>
    </row>
    <row r="4018" s="27" customFormat="1" ht="23" hidden="1" customHeight="1" spans="1:25">
      <c r="A4018" s="133" t="str">
        <f>IF(B4018="","",COUNTA($B$5:B4018))</f>
        <v/>
      </c>
      <c r="B4018" s="148"/>
      <c r="C4018" s="22" t="s">
        <v>49</v>
      </c>
      <c r="D4018" s="149"/>
      <c r="E4018" s="150"/>
      <c r="F4018" s="151"/>
      <c r="G4018" s="151"/>
      <c r="H4018" s="142">
        <f>IFERROR(VLOOKUP($C4018,$C$5:$H$18,6,0)+SUMIF($C$19:$C4018,$C4018,$F$19:$F4018)-SUMIF($C$19:$C4018,$C4018,$G$19:$G4018),"")</f>
        <v>81211.819999998</v>
      </c>
      <c r="I4018" s="147"/>
      <c r="J4018" s="147"/>
      <c r="K4018" s="147" t="str">
        <f t="shared" si="62"/>
        <v/>
      </c>
      <c r="L4018" s="40"/>
      <c r="M4018"/>
      <c r="N4018"/>
      <c r="O4018"/>
      <c r="P4018"/>
      <c r="Q4018"/>
      <c r="R4018"/>
      <c r="S4018"/>
      <c r="T4018"/>
      <c r="U4018"/>
      <c r="V4018"/>
      <c r="W4018" s="41"/>
      <c r="X4018" s="41"/>
      <c r="Y4018" s="41"/>
    </row>
    <row r="4019" s="27" customFormat="1" ht="23" hidden="1" customHeight="1" spans="1:25">
      <c r="A4019" s="133" t="str">
        <f>IF(B4019="","",COUNTA($B$5:B4019))</f>
        <v/>
      </c>
      <c r="B4019" s="148"/>
      <c r="C4019" s="22" t="s">
        <v>49</v>
      </c>
      <c r="D4019" s="149"/>
      <c r="E4019" s="150"/>
      <c r="F4019" s="151"/>
      <c r="G4019" s="151"/>
      <c r="H4019" s="142">
        <f>IFERROR(VLOOKUP($C4019,$C$5:$H$18,6,0)+SUMIF($C$19:$C4019,$C4019,$F$19:$F4019)-SUMIF($C$19:$C4019,$C4019,$G$19:$G4019),"")</f>
        <v>81211.819999998</v>
      </c>
      <c r="I4019" s="147"/>
      <c r="J4019" s="147"/>
      <c r="K4019" s="147" t="str">
        <f t="shared" si="62"/>
        <v/>
      </c>
      <c r="L4019" s="40"/>
      <c r="M4019"/>
      <c r="N4019"/>
      <c r="O4019"/>
      <c r="P4019"/>
      <c r="Q4019"/>
      <c r="R4019"/>
      <c r="S4019"/>
      <c r="T4019"/>
      <c r="U4019"/>
      <c r="V4019"/>
      <c r="W4019" s="41"/>
      <c r="X4019" s="41"/>
      <c r="Y4019" s="41"/>
    </row>
    <row r="4020" s="27" customFormat="1" ht="23" hidden="1" customHeight="1" spans="1:25">
      <c r="A4020" s="133" t="str">
        <f>IF(B4020="","",COUNTA($B$5:B4020))</f>
        <v/>
      </c>
      <c r="B4020" s="148"/>
      <c r="C4020" s="22" t="s">
        <v>49</v>
      </c>
      <c r="D4020" s="149"/>
      <c r="E4020" s="150"/>
      <c r="F4020" s="151"/>
      <c r="G4020" s="151"/>
      <c r="H4020" s="142">
        <f>IFERROR(VLOOKUP($C4020,$C$5:$H$18,6,0)+SUMIF($C$19:$C4020,$C4020,$F$19:$F4020)-SUMIF($C$19:$C4020,$C4020,$G$19:$G4020),"")</f>
        <v>81211.819999998</v>
      </c>
      <c r="I4020" s="147"/>
      <c r="J4020" s="147"/>
      <c r="K4020" s="147" t="str">
        <f t="shared" si="62"/>
        <v/>
      </c>
      <c r="L4020" s="40"/>
      <c r="M4020"/>
      <c r="N4020"/>
      <c r="O4020"/>
      <c r="P4020"/>
      <c r="Q4020"/>
      <c r="R4020"/>
      <c r="S4020"/>
      <c r="T4020"/>
      <c r="U4020"/>
      <c r="V4020"/>
      <c r="W4020" s="41"/>
      <c r="X4020" s="41"/>
      <c r="Y4020" s="41"/>
    </row>
    <row r="4021" s="27" customFormat="1" ht="23" hidden="1" customHeight="1" spans="1:25">
      <c r="A4021" s="133" t="str">
        <f>IF(B4021="","",COUNTA($B$5:B4021))</f>
        <v/>
      </c>
      <c r="B4021" s="148"/>
      <c r="C4021" s="22" t="s">
        <v>49</v>
      </c>
      <c r="D4021" s="149"/>
      <c r="E4021" s="150"/>
      <c r="F4021" s="151"/>
      <c r="G4021" s="151"/>
      <c r="H4021" s="142">
        <f>IFERROR(VLOOKUP($C4021,$C$5:$H$18,6,0)+SUMIF($C$19:$C4021,$C4021,$F$19:$F4021)-SUMIF($C$19:$C4021,$C4021,$G$19:$G4021),"")</f>
        <v>81211.819999998</v>
      </c>
      <c r="I4021" s="147"/>
      <c r="J4021" s="147"/>
      <c r="K4021" s="147" t="str">
        <f t="shared" si="62"/>
        <v/>
      </c>
      <c r="L4021" s="40"/>
      <c r="M4021"/>
      <c r="N4021"/>
      <c r="O4021"/>
      <c r="P4021"/>
      <c r="Q4021"/>
      <c r="R4021"/>
      <c r="S4021"/>
      <c r="T4021"/>
      <c r="U4021"/>
      <c r="V4021"/>
      <c r="W4021" s="41"/>
      <c r="X4021" s="41"/>
      <c r="Y4021" s="41"/>
    </row>
    <row r="4022" s="27" customFormat="1" ht="23" hidden="1" customHeight="1" spans="1:25">
      <c r="A4022" s="133" t="str">
        <f>IF(B4022="","",COUNTA($B$5:B4022))</f>
        <v/>
      </c>
      <c r="B4022" s="148"/>
      <c r="C4022" s="22" t="s">
        <v>49</v>
      </c>
      <c r="D4022" s="149"/>
      <c r="E4022" s="150"/>
      <c r="F4022" s="151"/>
      <c r="G4022" s="151"/>
      <c r="H4022" s="142">
        <f>IFERROR(VLOOKUP($C4022,$C$5:$H$18,6,0)+SUMIF($C$19:$C4022,$C4022,$F$19:$F4022)-SUMIF($C$19:$C4022,$C4022,$G$19:$G4022),"")</f>
        <v>81211.819999998</v>
      </c>
      <c r="I4022" s="147"/>
      <c r="J4022" s="147"/>
      <c r="K4022" s="147" t="str">
        <f t="shared" si="62"/>
        <v/>
      </c>
      <c r="L4022" s="40"/>
      <c r="M4022"/>
      <c r="N4022"/>
      <c r="O4022"/>
      <c r="P4022"/>
      <c r="Q4022"/>
      <c r="R4022"/>
      <c r="S4022"/>
      <c r="T4022"/>
      <c r="U4022"/>
      <c r="V4022"/>
      <c r="W4022" s="41"/>
      <c r="X4022" s="41"/>
      <c r="Y4022" s="41"/>
    </row>
    <row r="4023" s="27" customFormat="1" ht="23" hidden="1" customHeight="1" spans="1:25">
      <c r="A4023" s="133" t="str">
        <f>IF(B4023="","",COUNTA($B$5:B4023))</f>
        <v/>
      </c>
      <c r="B4023" s="148"/>
      <c r="C4023" s="22" t="s">
        <v>49</v>
      </c>
      <c r="D4023" s="149"/>
      <c r="E4023" s="150"/>
      <c r="F4023" s="151"/>
      <c r="G4023" s="151"/>
      <c r="H4023" s="142">
        <f>IFERROR(VLOOKUP($C4023,$C$5:$H$18,6,0)+SUMIF($C$19:$C4023,$C4023,$F$19:$F4023)-SUMIF($C$19:$C4023,$C4023,$G$19:$G4023),"")</f>
        <v>81211.819999998</v>
      </c>
      <c r="I4023" s="147"/>
      <c r="J4023" s="147"/>
      <c r="K4023" s="147" t="str">
        <f t="shared" si="62"/>
        <v/>
      </c>
      <c r="L4023" s="40"/>
      <c r="M4023"/>
      <c r="N4023"/>
      <c r="O4023"/>
      <c r="P4023"/>
      <c r="Q4023"/>
      <c r="R4023"/>
      <c r="S4023"/>
      <c r="T4023"/>
      <c r="U4023"/>
      <c r="V4023"/>
      <c r="W4023" s="41"/>
      <c r="X4023" s="41"/>
      <c r="Y4023" s="41"/>
    </row>
    <row r="4024" s="27" customFormat="1" ht="23" hidden="1" customHeight="1" spans="1:25">
      <c r="A4024" s="133" t="str">
        <f>IF(B4024="","",COUNTA($B$5:B4024))</f>
        <v/>
      </c>
      <c r="B4024" s="148"/>
      <c r="C4024" s="22" t="s">
        <v>49</v>
      </c>
      <c r="D4024" s="149"/>
      <c r="E4024" s="150"/>
      <c r="F4024" s="151"/>
      <c r="G4024" s="151"/>
      <c r="H4024" s="142">
        <f>IFERROR(VLOOKUP($C4024,$C$5:$H$18,6,0)+SUMIF($C$19:$C4024,$C4024,$F$19:$F4024)-SUMIF($C$19:$C4024,$C4024,$G$19:$G4024),"")</f>
        <v>81211.819999998</v>
      </c>
      <c r="I4024" s="147"/>
      <c r="J4024" s="147"/>
      <c r="K4024" s="147" t="str">
        <f t="shared" si="62"/>
        <v/>
      </c>
      <c r="L4024" s="40"/>
      <c r="M4024"/>
      <c r="N4024"/>
      <c r="O4024"/>
      <c r="P4024"/>
      <c r="Q4024"/>
      <c r="R4024"/>
      <c r="S4024"/>
      <c r="T4024"/>
      <c r="U4024"/>
      <c r="V4024"/>
      <c r="W4024" s="41"/>
      <c r="X4024" s="41"/>
      <c r="Y4024" s="41"/>
    </row>
    <row r="4025" s="27" customFormat="1" ht="23" hidden="1" customHeight="1" spans="1:25">
      <c r="A4025" s="133" t="str">
        <f>IF(B4025="","",COUNTA($B$5:B4025))</f>
        <v/>
      </c>
      <c r="B4025" s="148"/>
      <c r="C4025" s="22" t="s">
        <v>49</v>
      </c>
      <c r="D4025" s="149"/>
      <c r="E4025" s="150"/>
      <c r="F4025" s="151"/>
      <c r="G4025" s="151"/>
      <c r="H4025" s="142">
        <f>IFERROR(VLOOKUP($C4025,$C$5:$H$18,6,0)+SUMIF($C$19:$C4025,$C4025,$F$19:$F4025)-SUMIF($C$19:$C4025,$C4025,$G$19:$G4025),"")</f>
        <v>81211.819999998</v>
      </c>
      <c r="I4025" s="147"/>
      <c r="J4025" s="147"/>
      <c r="K4025" s="147" t="str">
        <f t="shared" si="62"/>
        <v/>
      </c>
      <c r="L4025" s="40"/>
      <c r="M4025"/>
      <c r="N4025"/>
      <c r="O4025"/>
      <c r="P4025"/>
      <c r="Q4025"/>
      <c r="R4025"/>
      <c r="S4025"/>
      <c r="T4025"/>
      <c r="U4025"/>
      <c r="V4025"/>
      <c r="W4025" s="41"/>
      <c r="X4025" s="41"/>
      <c r="Y4025" s="41"/>
    </row>
    <row r="4026" s="27" customFormat="1" ht="23" hidden="1" customHeight="1" spans="1:25">
      <c r="A4026" s="133" t="str">
        <f>IF(B4026="","",COUNTA($B$5:B4026))</f>
        <v/>
      </c>
      <c r="B4026" s="148"/>
      <c r="C4026" s="22" t="s">
        <v>49</v>
      </c>
      <c r="D4026" s="149"/>
      <c r="E4026" s="150"/>
      <c r="F4026" s="151"/>
      <c r="G4026" s="151"/>
      <c r="H4026" s="142">
        <f>IFERROR(VLOOKUP($C4026,$C$5:$H$18,6,0)+SUMIF($C$19:$C4026,$C4026,$F$19:$F4026)-SUMIF($C$19:$C4026,$C4026,$G$19:$G4026),"")</f>
        <v>81211.819999998</v>
      </c>
      <c r="I4026" s="147"/>
      <c r="J4026" s="147"/>
      <c r="K4026" s="147" t="str">
        <f t="shared" si="62"/>
        <v/>
      </c>
      <c r="L4026" s="40"/>
      <c r="M4026"/>
      <c r="N4026"/>
      <c r="O4026"/>
      <c r="P4026"/>
      <c r="Q4026"/>
      <c r="R4026"/>
      <c r="S4026"/>
      <c r="T4026"/>
      <c r="U4026"/>
      <c r="V4026"/>
      <c r="W4026" s="41"/>
      <c r="X4026" s="41"/>
      <c r="Y4026" s="41"/>
    </row>
    <row r="4027" s="27" customFormat="1" ht="23" hidden="1" customHeight="1" spans="1:25">
      <c r="A4027" s="133" t="str">
        <f>IF(B4027="","",COUNTA($B$5:B4027))</f>
        <v/>
      </c>
      <c r="B4027" s="148"/>
      <c r="C4027" s="22" t="s">
        <v>49</v>
      </c>
      <c r="D4027" s="149"/>
      <c r="E4027" s="150"/>
      <c r="F4027" s="151"/>
      <c r="G4027" s="151"/>
      <c r="H4027" s="142">
        <f>IFERROR(VLOOKUP($C4027,$C$5:$H$18,6,0)+SUMIF($C$19:$C4027,$C4027,$F$19:$F4027)-SUMIF($C$19:$C4027,$C4027,$G$19:$G4027),"")</f>
        <v>81211.819999998</v>
      </c>
      <c r="I4027" s="147"/>
      <c r="J4027" s="147"/>
      <c r="K4027" s="147" t="str">
        <f t="shared" si="62"/>
        <v/>
      </c>
      <c r="L4027" s="40"/>
      <c r="M4027"/>
      <c r="N4027"/>
      <c r="O4027"/>
      <c r="P4027"/>
      <c r="Q4027"/>
      <c r="R4027"/>
      <c r="S4027"/>
      <c r="T4027"/>
      <c r="U4027"/>
      <c r="V4027"/>
      <c r="W4027" s="41"/>
      <c r="X4027" s="41"/>
      <c r="Y4027" s="41"/>
    </row>
    <row r="4028" s="27" customFormat="1" ht="23" hidden="1" customHeight="1" spans="1:25">
      <c r="A4028" s="133" t="str">
        <f>IF(B4028="","",COUNTA($B$5:B4028))</f>
        <v/>
      </c>
      <c r="B4028" s="148"/>
      <c r="C4028" s="22" t="s">
        <v>49</v>
      </c>
      <c r="D4028" s="149"/>
      <c r="E4028" s="150"/>
      <c r="F4028" s="151"/>
      <c r="G4028" s="151"/>
      <c r="H4028" s="142">
        <f>IFERROR(VLOOKUP($C4028,$C$5:$H$18,6,0)+SUMIF($C$19:$C4028,$C4028,$F$19:$F4028)-SUMIF($C$19:$C4028,$C4028,$G$19:$G4028),"")</f>
        <v>81211.819999998</v>
      </c>
      <c r="I4028" s="147"/>
      <c r="J4028" s="147"/>
      <c r="K4028" s="147" t="str">
        <f t="shared" si="62"/>
        <v/>
      </c>
      <c r="L4028" s="40"/>
      <c r="M4028"/>
      <c r="N4028"/>
      <c r="O4028"/>
      <c r="P4028"/>
      <c r="Q4028"/>
      <c r="R4028"/>
      <c r="S4028"/>
      <c r="T4028"/>
      <c r="U4028"/>
      <c r="V4028"/>
      <c r="W4028" s="41"/>
      <c r="X4028" s="41"/>
      <c r="Y4028" s="41"/>
    </row>
    <row r="4029" s="27" customFormat="1" ht="23" hidden="1" customHeight="1" spans="1:25">
      <c r="A4029" s="133" t="str">
        <f>IF(B4029="","",COUNTA($B$5:B4029))</f>
        <v/>
      </c>
      <c r="B4029" s="148"/>
      <c r="C4029" s="22" t="s">
        <v>49</v>
      </c>
      <c r="D4029" s="149"/>
      <c r="E4029" s="150"/>
      <c r="F4029" s="151"/>
      <c r="G4029" s="151"/>
      <c r="H4029" s="142">
        <f>IFERROR(VLOOKUP($C4029,$C$5:$H$18,6,0)+SUMIF($C$19:$C4029,$C4029,$F$19:$F4029)-SUMIF($C$19:$C4029,$C4029,$G$19:$G4029),"")</f>
        <v>81211.819999998</v>
      </c>
      <c r="I4029" s="147"/>
      <c r="J4029" s="147"/>
      <c r="K4029" s="147" t="str">
        <f t="shared" si="62"/>
        <v/>
      </c>
      <c r="L4029" s="40"/>
      <c r="M4029"/>
      <c r="N4029"/>
      <c r="O4029"/>
      <c r="P4029"/>
      <c r="Q4029"/>
      <c r="R4029"/>
      <c r="S4029"/>
      <c r="T4029"/>
      <c r="U4029"/>
      <c r="V4029"/>
      <c r="W4029" s="41"/>
      <c r="X4029" s="41"/>
      <c r="Y4029" s="41"/>
    </row>
    <row r="4030" s="27" customFormat="1" ht="23" hidden="1" customHeight="1" spans="1:25">
      <c r="A4030" s="133" t="str">
        <f>IF(B4030="","",COUNTA($B$5:B4030))</f>
        <v/>
      </c>
      <c r="B4030" s="148"/>
      <c r="C4030" s="22" t="s">
        <v>49</v>
      </c>
      <c r="D4030" s="149"/>
      <c r="E4030" s="150"/>
      <c r="F4030" s="151"/>
      <c r="G4030" s="151"/>
      <c r="H4030" s="142">
        <f>IFERROR(VLOOKUP($C4030,$C$5:$H$18,6,0)+SUMIF($C$19:$C4030,$C4030,$F$19:$F4030)-SUMIF($C$19:$C4030,$C4030,$G$19:$G4030),"")</f>
        <v>81211.819999998</v>
      </c>
      <c r="I4030" s="147"/>
      <c r="J4030" s="147"/>
      <c r="K4030" s="147" t="str">
        <f t="shared" si="62"/>
        <v/>
      </c>
      <c r="L4030" s="40"/>
      <c r="M4030"/>
      <c r="N4030"/>
      <c r="O4030"/>
      <c r="P4030"/>
      <c r="Q4030"/>
      <c r="R4030"/>
      <c r="S4030"/>
      <c r="T4030"/>
      <c r="U4030"/>
      <c r="V4030"/>
      <c r="W4030" s="41"/>
      <c r="X4030" s="41"/>
      <c r="Y4030" s="41"/>
    </row>
    <row r="4031" s="27" customFormat="1" ht="23" hidden="1" customHeight="1" spans="1:25">
      <c r="A4031" s="133" t="str">
        <f>IF(B4031="","",COUNTA($B$5:B4031))</f>
        <v/>
      </c>
      <c r="B4031" s="148"/>
      <c r="C4031" s="22" t="s">
        <v>49</v>
      </c>
      <c r="D4031" s="149"/>
      <c r="E4031" s="150"/>
      <c r="F4031" s="151"/>
      <c r="G4031" s="151"/>
      <c r="H4031" s="142">
        <f>IFERROR(VLOOKUP($C4031,$C$5:$H$18,6,0)+SUMIF($C$19:$C4031,$C4031,$F$19:$F4031)-SUMIF($C$19:$C4031,$C4031,$G$19:$G4031),"")</f>
        <v>81211.819999998</v>
      </c>
      <c r="I4031" s="147"/>
      <c r="J4031" s="147"/>
      <c r="K4031" s="147" t="str">
        <f t="shared" si="62"/>
        <v/>
      </c>
      <c r="L4031" s="40"/>
      <c r="M4031"/>
      <c r="N4031"/>
      <c r="O4031"/>
      <c r="P4031"/>
      <c r="Q4031"/>
      <c r="R4031"/>
      <c r="S4031"/>
      <c r="T4031"/>
      <c r="U4031"/>
      <c r="V4031"/>
      <c r="W4031" s="41"/>
      <c r="X4031" s="41"/>
      <c r="Y4031" s="41"/>
    </row>
    <row r="4032" s="27" customFormat="1" ht="23" hidden="1" customHeight="1" spans="1:25">
      <c r="A4032" s="133" t="str">
        <f>IF(B4032="","",COUNTA($B$5:B4032))</f>
        <v/>
      </c>
      <c r="B4032" s="148"/>
      <c r="C4032" s="22" t="s">
        <v>49</v>
      </c>
      <c r="D4032" s="149"/>
      <c r="E4032" s="150"/>
      <c r="F4032" s="151"/>
      <c r="G4032" s="151"/>
      <c r="H4032" s="142">
        <f>IFERROR(VLOOKUP($C4032,$C$5:$H$18,6,0)+SUMIF($C$19:$C4032,$C4032,$F$19:$F4032)-SUMIF($C$19:$C4032,$C4032,$G$19:$G4032),"")</f>
        <v>81211.819999998</v>
      </c>
      <c r="I4032" s="147"/>
      <c r="J4032" s="147"/>
      <c r="K4032" s="147" t="str">
        <f t="shared" si="62"/>
        <v/>
      </c>
      <c r="L4032" s="40"/>
      <c r="M4032"/>
      <c r="N4032"/>
      <c r="O4032"/>
      <c r="P4032"/>
      <c r="Q4032"/>
      <c r="R4032"/>
      <c r="S4032"/>
      <c r="T4032"/>
      <c r="U4032"/>
      <c r="V4032"/>
      <c r="W4032" s="41"/>
      <c r="X4032" s="41"/>
      <c r="Y4032" s="41"/>
    </row>
    <row r="4033" s="27" customFormat="1" ht="23" hidden="1" customHeight="1" spans="1:25">
      <c r="A4033" s="133" t="str">
        <f>IF(B4033="","",COUNTA($B$5:B4033))</f>
        <v/>
      </c>
      <c r="B4033" s="148"/>
      <c r="C4033" s="22" t="s">
        <v>49</v>
      </c>
      <c r="D4033" s="149"/>
      <c r="E4033" s="150"/>
      <c r="F4033" s="151"/>
      <c r="G4033" s="151"/>
      <c r="H4033" s="142">
        <f>IFERROR(VLOOKUP($C4033,$C$5:$H$18,6,0)+SUMIF($C$19:$C4033,$C4033,$F$19:$F4033)-SUMIF($C$19:$C4033,$C4033,$G$19:$G4033),"")</f>
        <v>81211.819999998</v>
      </c>
      <c r="I4033" s="147"/>
      <c r="J4033" s="147"/>
      <c r="K4033" s="147" t="str">
        <f t="shared" si="62"/>
        <v/>
      </c>
      <c r="L4033" s="40"/>
      <c r="M4033"/>
      <c r="N4033"/>
      <c r="O4033"/>
      <c r="P4033"/>
      <c r="Q4033"/>
      <c r="R4033"/>
      <c r="S4033"/>
      <c r="T4033"/>
      <c r="U4033"/>
      <c r="V4033"/>
      <c r="W4033" s="41"/>
      <c r="X4033" s="41"/>
      <c r="Y4033" s="41"/>
    </row>
    <row r="4034" s="27" customFormat="1" ht="23" hidden="1" customHeight="1" spans="1:25">
      <c r="A4034" s="133" t="str">
        <f>IF(B4034="","",COUNTA($B$5:B4034))</f>
        <v/>
      </c>
      <c r="B4034" s="148"/>
      <c r="C4034" s="22" t="s">
        <v>49</v>
      </c>
      <c r="D4034" s="149"/>
      <c r="E4034" s="150"/>
      <c r="F4034" s="151"/>
      <c r="G4034" s="151"/>
      <c r="H4034" s="142">
        <f>IFERROR(VLOOKUP($C4034,$C$5:$H$18,6,0)+SUMIF($C$19:$C4034,$C4034,$F$19:$F4034)-SUMIF($C$19:$C4034,$C4034,$G$19:$G4034),"")</f>
        <v>81211.819999998</v>
      </c>
      <c r="I4034" s="147"/>
      <c r="J4034" s="147"/>
      <c r="K4034" s="147" t="str">
        <f t="shared" si="62"/>
        <v/>
      </c>
      <c r="L4034" s="40"/>
      <c r="M4034"/>
      <c r="N4034"/>
      <c r="O4034"/>
      <c r="P4034"/>
      <c r="Q4034"/>
      <c r="R4034"/>
      <c r="S4034"/>
      <c r="T4034"/>
      <c r="U4034"/>
      <c r="V4034"/>
      <c r="W4034" s="41"/>
      <c r="X4034" s="41"/>
      <c r="Y4034" s="41"/>
    </row>
    <row r="4035" s="27" customFormat="1" ht="23" hidden="1" customHeight="1" spans="1:25">
      <c r="A4035" s="133" t="str">
        <f>IF(B4035="","",COUNTA($B$5:B4035))</f>
        <v/>
      </c>
      <c r="B4035" s="148"/>
      <c r="C4035" s="22" t="s">
        <v>49</v>
      </c>
      <c r="D4035" s="149"/>
      <c r="E4035" s="150"/>
      <c r="F4035" s="151"/>
      <c r="G4035" s="151"/>
      <c r="H4035" s="142">
        <f>IFERROR(VLOOKUP($C4035,$C$5:$H$18,6,0)+SUMIF($C$19:$C4035,$C4035,$F$19:$F4035)-SUMIF($C$19:$C4035,$C4035,$G$19:$G4035),"")</f>
        <v>81211.819999998</v>
      </c>
      <c r="I4035" s="147"/>
      <c r="J4035" s="147"/>
      <c r="K4035" s="147" t="str">
        <f t="shared" si="62"/>
        <v/>
      </c>
      <c r="L4035" s="40"/>
      <c r="M4035"/>
      <c r="N4035"/>
      <c r="O4035"/>
      <c r="P4035"/>
      <c r="Q4035"/>
      <c r="R4035"/>
      <c r="S4035"/>
      <c r="T4035"/>
      <c r="U4035"/>
      <c r="V4035"/>
      <c r="W4035" s="41"/>
      <c r="X4035" s="41"/>
      <c r="Y4035" s="41"/>
    </row>
    <row r="4036" s="27" customFormat="1" ht="23" hidden="1" customHeight="1" spans="1:25">
      <c r="A4036" s="133" t="str">
        <f>IF(B4036="","",COUNTA($B$5:B4036))</f>
        <v/>
      </c>
      <c r="B4036" s="148"/>
      <c r="C4036" s="22" t="s">
        <v>49</v>
      </c>
      <c r="D4036" s="149"/>
      <c r="E4036" s="150"/>
      <c r="F4036" s="151"/>
      <c r="G4036" s="151"/>
      <c r="H4036" s="142">
        <f>IFERROR(VLOOKUP($C4036,$C$5:$H$18,6,0)+SUMIF($C$19:$C4036,$C4036,$F$19:$F4036)-SUMIF($C$19:$C4036,$C4036,$G$19:$G4036),"")</f>
        <v>81211.819999998</v>
      </c>
      <c r="I4036" s="147"/>
      <c r="J4036" s="147"/>
      <c r="K4036" s="147" t="str">
        <f t="shared" si="62"/>
        <v/>
      </c>
      <c r="L4036" s="40"/>
      <c r="M4036"/>
      <c r="N4036"/>
      <c r="O4036"/>
      <c r="P4036"/>
      <c r="Q4036"/>
      <c r="R4036"/>
      <c r="S4036"/>
      <c r="T4036"/>
      <c r="U4036"/>
      <c r="V4036"/>
      <c r="W4036" s="41"/>
      <c r="X4036" s="41"/>
      <c r="Y4036" s="41"/>
    </row>
    <row r="4037" s="27" customFormat="1" ht="23" hidden="1" customHeight="1" spans="1:25">
      <c r="A4037" s="133" t="str">
        <f>IF(B4037="","",COUNTA($B$5:B4037))</f>
        <v/>
      </c>
      <c r="B4037" s="148"/>
      <c r="C4037" s="22" t="s">
        <v>49</v>
      </c>
      <c r="D4037" s="149"/>
      <c r="E4037" s="150"/>
      <c r="F4037" s="151"/>
      <c r="G4037" s="151"/>
      <c r="H4037" s="142">
        <f>IFERROR(VLOOKUP($C4037,$C$5:$H$18,6,0)+SUMIF($C$19:$C4037,$C4037,$F$19:$F4037)-SUMIF($C$19:$C4037,$C4037,$G$19:$G4037),"")</f>
        <v>81211.819999998</v>
      </c>
      <c r="I4037" s="147"/>
      <c r="J4037" s="147"/>
      <c r="K4037" s="147" t="str">
        <f t="shared" ref="K4037:K4100" si="63">IF($B4037="","",--TEXT($B4037,"yyyymm"))</f>
        <v/>
      </c>
      <c r="L4037" s="40"/>
      <c r="M4037"/>
      <c r="N4037"/>
      <c r="O4037"/>
      <c r="P4037"/>
      <c r="Q4037"/>
      <c r="R4037"/>
      <c r="S4037"/>
      <c r="T4037"/>
      <c r="U4037"/>
      <c r="V4037"/>
      <c r="W4037" s="41"/>
      <c r="X4037" s="41"/>
      <c r="Y4037" s="41"/>
    </row>
    <row r="4038" s="27" customFormat="1" ht="23" hidden="1" customHeight="1" spans="1:25">
      <c r="A4038" s="133" t="str">
        <f>IF(B4038="","",COUNTA($B$5:B4038))</f>
        <v/>
      </c>
      <c r="B4038" s="148"/>
      <c r="C4038" s="22" t="s">
        <v>49</v>
      </c>
      <c r="D4038" s="149"/>
      <c r="E4038" s="150"/>
      <c r="F4038" s="151"/>
      <c r="G4038" s="151"/>
      <c r="H4038" s="142">
        <f>IFERROR(VLOOKUP($C4038,$C$5:$H$18,6,0)+SUMIF($C$19:$C4038,$C4038,$F$19:$F4038)-SUMIF($C$19:$C4038,$C4038,$G$19:$G4038),"")</f>
        <v>81211.819999998</v>
      </c>
      <c r="I4038" s="147"/>
      <c r="J4038" s="147"/>
      <c r="K4038" s="147" t="str">
        <f t="shared" si="63"/>
        <v/>
      </c>
      <c r="L4038" s="40"/>
      <c r="M4038"/>
      <c r="N4038"/>
      <c r="O4038"/>
      <c r="P4038"/>
      <c r="Q4038"/>
      <c r="R4038"/>
      <c r="S4038"/>
      <c r="T4038"/>
      <c r="U4038"/>
      <c r="V4038"/>
      <c r="W4038" s="41"/>
      <c r="X4038" s="41"/>
      <c r="Y4038" s="41"/>
    </row>
    <row r="4039" s="27" customFormat="1" ht="23" hidden="1" customHeight="1" spans="1:25">
      <c r="A4039" s="133" t="str">
        <f>IF(B4039="","",COUNTA($B$5:B4039))</f>
        <v/>
      </c>
      <c r="B4039" s="148"/>
      <c r="C4039" s="22" t="s">
        <v>49</v>
      </c>
      <c r="D4039" s="149"/>
      <c r="E4039" s="150"/>
      <c r="F4039" s="151"/>
      <c r="G4039" s="151"/>
      <c r="H4039" s="142">
        <f>IFERROR(VLOOKUP($C4039,$C$5:$H$18,6,0)+SUMIF($C$19:$C4039,$C4039,$F$19:$F4039)-SUMIF($C$19:$C4039,$C4039,$G$19:$G4039),"")</f>
        <v>81211.819999998</v>
      </c>
      <c r="I4039" s="147"/>
      <c r="J4039" s="147"/>
      <c r="K4039" s="147" t="str">
        <f t="shared" si="63"/>
        <v/>
      </c>
      <c r="L4039" s="40"/>
      <c r="M4039"/>
      <c r="N4039"/>
      <c r="O4039"/>
      <c r="P4039"/>
      <c r="Q4039"/>
      <c r="R4039"/>
      <c r="S4039"/>
      <c r="T4039"/>
      <c r="U4039"/>
      <c r="V4039"/>
      <c r="W4039" s="41"/>
      <c r="X4039" s="41"/>
      <c r="Y4039" s="41"/>
    </row>
    <row r="4040" s="27" customFormat="1" ht="23" hidden="1" customHeight="1" spans="1:25">
      <c r="A4040" s="133" t="str">
        <f>IF(B4040="","",COUNTA($B$5:B4040))</f>
        <v/>
      </c>
      <c r="B4040" s="148"/>
      <c r="C4040" s="22" t="s">
        <v>49</v>
      </c>
      <c r="D4040" s="149"/>
      <c r="E4040" s="150"/>
      <c r="F4040" s="151"/>
      <c r="G4040" s="151"/>
      <c r="H4040" s="142">
        <f>IFERROR(VLOOKUP($C4040,$C$5:$H$18,6,0)+SUMIF($C$19:$C4040,$C4040,$F$19:$F4040)-SUMIF($C$19:$C4040,$C4040,$G$19:$G4040),"")</f>
        <v>81211.819999998</v>
      </c>
      <c r="I4040" s="147"/>
      <c r="J4040" s="147"/>
      <c r="K4040" s="147" t="str">
        <f t="shared" si="63"/>
        <v/>
      </c>
      <c r="L4040" s="40"/>
      <c r="M4040"/>
      <c r="N4040"/>
      <c r="O4040"/>
      <c r="P4040"/>
      <c r="Q4040"/>
      <c r="R4040"/>
      <c r="S4040"/>
      <c r="T4040"/>
      <c r="U4040"/>
      <c r="V4040"/>
      <c r="W4040" s="41"/>
      <c r="X4040" s="41"/>
      <c r="Y4040" s="41"/>
    </row>
    <row r="4041" s="27" customFormat="1" ht="23" hidden="1" customHeight="1" spans="1:25">
      <c r="A4041" s="133" t="str">
        <f>IF(B4041="","",COUNTA($B$5:B4041))</f>
        <v/>
      </c>
      <c r="B4041" s="148"/>
      <c r="C4041" s="22" t="s">
        <v>49</v>
      </c>
      <c r="D4041" s="149"/>
      <c r="E4041" s="150"/>
      <c r="F4041" s="151"/>
      <c r="G4041" s="151"/>
      <c r="H4041" s="142">
        <f>IFERROR(VLOOKUP($C4041,$C$5:$H$18,6,0)+SUMIF($C$19:$C4041,$C4041,$F$19:$F4041)-SUMIF($C$19:$C4041,$C4041,$G$19:$G4041),"")</f>
        <v>81211.819999998</v>
      </c>
      <c r="I4041" s="147"/>
      <c r="J4041" s="147"/>
      <c r="K4041" s="147" t="str">
        <f t="shared" si="63"/>
        <v/>
      </c>
      <c r="L4041" s="40"/>
      <c r="M4041"/>
      <c r="N4041"/>
      <c r="O4041"/>
      <c r="P4041"/>
      <c r="Q4041"/>
      <c r="R4041"/>
      <c r="S4041"/>
      <c r="T4041"/>
      <c r="U4041"/>
      <c r="V4041"/>
      <c r="W4041" s="41"/>
      <c r="X4041" s="41"/>
      <c r="Y4041" s="41"/>
    </row>
    <row r="4042" s="27" customFormat="1" ht="23" hidden="1" customHeight="1" spans="1:25">
      <c r="A4042" s="133" t="str">
        <f>IF(B4042="","",COUNTA($B$5:B4042))</f>
        <v/>
      </c>
      <c r="B4042" s="148"/>
      <c r="C4042" s="22" t="s">
        <v>49</v>
      </c>
      <c r="D4042" s="149"/>
      <c r="E4042" s="150"/>
      <c r="F4042" s="151"/>
      <c r="G4042" s="151"/>
      <c r="H4042" s="142">
        <f>IFERROR(VLOOKUP($C4042,$C$5:$H$18,6,0)+SUMIF($C$19:$C4042,$C4042,$F$19:$F4042)-SUMIF($C$19:$C4042,$C4042,$G$19:$G4042),"")</f>
        <v>81211.819999998</v>
      </c>
      <c r="I4042" s="147"/>
      <c r="J4042" s="147"/>
      <c r="K4042" s="147" t="str">
        <f t="shared" si="63"/>
        <v/>
      </c>
      <c r="L4042" s="40"/>
      <c r="M4042"/>
      <c r="N4042"/>
      <c r="O4042"/>
      <c r="P4042"/>
      <c r="Q4042"/>
      <c r="R4042"/>
      <c r="S4042"/>
      <c r="T4042"/>
      <c r="U4042"/>
      <c r="V4042"/>
      <c r="W4042" s="41"/>
      <c r="X4042" s="41"/>
      <c r="Y4042" s="41"/>
    </row>
    <row r="4043" s="27" customFormat="1" ht="23" hidden="1" customHeight="1" spans="1:25">
      <c r="A4043" s="133" t="str">
        <f>IF(B4043="","",COUNTA($B$5:B4043))</f>
        <v/>
      </c>
      <c r="B4043" s="148"/>
      <c r="C4043" s="22" t="s">
        <v>49</v>
      </c>
      <c r="D4043" s="149"/>
      <c r="E4043" s="150"/>
      <c r="F4043" s="151"/>
      <c r="G4043" s="151"/>
      <c r="H4043" s="142">
        <f>IFERROR(VLOOKUP($C4043,$C$5:$H$18,6,0)+SUMIF($C$19:$C4043,$C4043,$F$19:$F4043)-SUMIF($C$19:$C4043,$C4043,$G$19:$G4043),"")</f>
        <v>81211.819999998</v>
      </c>
      <c r="I4043" s="147"/>
      <c r="J4043" s="147"/>
      <c r="K4043" s="147" t="str">
        <f t="shared" si="63"/>
        <v/>
      </c>
      <c r="L4043" s="40"/>
      <c r="M4043"/>
      <c r="N4043"/>
      <c r="O4043"/>
      <c r="P4043"/>
      <c r="Q4043"/>
      <c r="R4043"/>
      <c r="S4043"/>
      <c r="T4043"/>
      <c r="U4043"/>
      <c r="V4043"/>
      <c r="W4043" s="41"/>
      <c r="X4043" s="41"/>
      <c r="Y4043" s="41"/>
    </row>
    <row r="4044" s="27" customFormat="1" ht="23" hidden="1" customHeight="1" spans="1:25">
      <c r="A4044" s="133" t="str">
        <f>IF(B4044="","",COUNTA($B$5:B4044))</f>
        <v/>
      </c>
      <c r="B4044" s="148"/>
      <c r="C4044" s="22" t="s">
        <v>49</v>
      </c>
      <c r="D4044" s="149"/>
      <c r="E4044" s="150"/>
      <c r="F4044" s="151"/>
      <c r="G4044" s="151"/>
      <c r="H4044" s="142">
        <f>IFERROR(VLOOKUP($C4044,$C$5:$H$18,6,0)+SUMIF($C$19:$C4044,$C4044,$F$19:$F4044)-SUMIF($C$19:$C4044,$C4044,$G$19:$G4044),"")</f>
        <v>81211.819999998</v>
      </c>
      <c r="I4044" s="147"/>
      <c r="J4044" s="147"/>
      <c r="K4044" s="147" t="str">
        <f t="shared" si="63"/>
        <v/>
      </c>
      <c r="L4044" s="40"/>
      <c r="M4044"/>
      <c r="N4044"/>
      <c r="O4044"/>
      <c r="P4044"/>
      <c r="Q4044"/>
      <c r="R4044"/>
      <c r="S4044"/>
      <c r="T4044"/>
      <c r="U4044"/>
      <c r="V4044"/>
      <c r="W4044" s="41"/>
      <c r="X4044" s="41"/>
      <c r="Y4044" s="41"/>
    </row>
    <row r="4045" s="27" customFormat="1" ht="23" hidden="1" customHeight="1" spans="1:25">
      <c r="A4045" s="133" t="str">
        <f>IF(B4045="","",COUNTA($B$5:B4045))</f>
        <v/>
      </c>
      <c r="B4045" s="148"/>
      <c r="C4045" s="22" t="s">
        <v>49</v>
      </c>
      <c r="D4045" s="149"/>
      <c r="E4045" s="150"/>
      <c r="F4045" s="151"/>
      <c r="G4045" s="151"/>
      <c r="H4045" s="142">
        <f>IFERROR(VLOOKUP($C4045,$C$5:$H$18,6,0)+SUMIF($C$19:$C4045,$C4045,$F$19:$F4045)-SUMIF($C$19:$C4045,$C4045,$G$19:$G4045),"")</f>
        <v>81211.819999998</v>
      </c>
      <c r="I4045" s="147"/>
      <c r="J4045" s="147"/>
      <c r="K4045" s="147" t="str">
        <f t="shared" si="63"/>
        <v/>
      </c>
      <c r="L4045" s="40"/>
      <c r="M4045"/>
      <c r="N4045"/>
      <c r="O4045"/>
      <c r="P4045"/>
      <c r="Q4045"/>
      <c r="R4045"/>
      <c r="S4045"/>
      <c r="T4045"/>
      <c r="U4045"/>
      <c r="V4045"/>
      <c r="W4045" s="41"/>
      <c r="X4045" s="41"/>
      <c r="Y4045" s="41"/>
    </row>
    <row r="4046" s="27" customFormat="1" ht="23" hidden="1" customHeight="1" spans="1:25">
      <c r="A4046" s="133" t="str">
        <f>IF(B4046="","",COUNTA($B$5:B4046))</f>
        <v/>
      </c>
      <c r="B4046" s="148"/>
      <c r="C4046" s="22" t="s">
        <v>49</v>
      </c>
      <c r="D4046" s="149"/>
      <c r="E4046" s="150"/>
      <c r="F4046" s="151"/>
      <c r="G4046" s="151"/>
      <c r="H4046" s="142">
        <f>IFERROR(VLOOKUP($C4046,$C$5:$H$18,6,0)+SUMIF($C$19:$C4046,$C4046,$F$19:$F4046)-SUMIF($C$19:$C4046,$C4046,$G$19:$G4046),"")</f>
        <v>81211.819999998</v>
      </c>
      <c r="I4046" s="147"/>
      <c r="J4046" s="147"/>
      <c r="K4046" s="147" t="str">
        <f t="shared" si="63"/>
        <v/>
      </c>
      <c r="L4046" s="40"/>
      <c r="M4046"/>
      <c r="N4046"/>
      <c r="O4046"/>
      <c r="P4046"/>
      <c r="Q4046"/>
      <c r="R4046"/>
      <c r="S4046"/>
      <c r="T4046"/>
      <c r="U4046"/>
      <c r="V4046"/>
      <c r="W4046" s="41"/>
      <c r="X4046" s="41"/>
      <c r="Y4046" s="41"/>
    </row>
    <row r="4047" s="27" customFormat="1" ht="23" hidden="1" customHeight="1" spans="1:25">
      <c r="A4047" s="133" t="str">
        <f>IF(B4047="","",COUNTA($B$5:B4047))</f>
        <v/>
      </c>
      <c r="B4047" s="148"/>
      <c r="C4047" s="22" t="s">
        <v>49</v>
      </c>
      <c r="D4047" s="149"/>
      <c r="E4047" s="150"/>
      <c r="F4047" s="151"/>
      <c r="G4047" s="151"/>
      <c r="H4047" s="142">
        <f>IFERROR(VLOOKUP($C4047,$C$5:$H$18,6,0)+SUMIF($C$19:$C4047,$C4047,$F$19:$F4047)-SUMIF($C$19:$C4047,$C4047,$G$19:$G4047),"")</f>
        <v>81211.819999998</v>
      </c>
      <c r="I4047" s="147"/>
      <c r="J4047" s="147"/>
      <c r="K4047" s="147" t="str">
        <f t="shared" si="63"/>
        <v/>
      </c>
      <c r="L4047" s="40"/>
      <c r="M4047"/>
      <c r="N4047"/>
      <c r="O4047"/>
      <c r="P4047"/>
      <c r="Q4047"/>
      <c r="R4047"/>
      <c r="S4047"/>
      <c r="T4047"/>
      <c r="U4047"/>
      <c r="V4047"/>
      <c r="W4047" s="41"/>
      <c r="X4047" s="41"/>
      <c r="Y4047" s="41"/>
    </row>
    <row r="4048" s="27" customFormat="1" ht="23" hidden="1" customHeight="1" spans="1:25">
      <c r="A4048" s="133" t="str">
        <f>IF(B4048="","",COUNTA($B$5:B4048))</f>
        <v/>
      </c>
      <c r="B4048" s="148"/>
      <c r="C4048" s="22" t="s">
        <v>49</v>
      </c>
      <c r="D4048" s="149"/>
      <c r="E4048" s="150"/>
      <c r="F4048" s="151"/>
      <c r="G4048" s="151"/>
      <c r="H4048" s="142">
        <f>IFERROR(VLOOKUP($C4048,$C$5:$H$18,6,0)+SUMIF($C$19:$C4048,$C4048,$F$19:$F4048)-SUMIF($C$19:$C4048,$C4048,$G$19:$G4048),"")</f>
        <v>81211.819999998</v>
      </c>
      <c r="I4048" s="147"/>
      <c r="J4048" s="147"/>
      <c r="K4048" s="147" t="str">
        <f t="shared" si="63"/>
        <v/>
      </c>
      <c r="L4048" s="40"/>
      <c r="M4048"/>
      <c r="N4048"/>
      <c r="O4048"/>
      <c r="P4048"/>
      <c r="Q4048"/>
      <c r="R4048"/>
      <c r="S4048"/>
      <c r="T4048"/>
      <c r="U4048"/>
      <c r="V4048"/>
      <c r="W4048" s="41"/>
      <c r="X4048" s="41"/>
      <c r="Y4048" s="41"/>
    </row>
    <row r="4049" s="27" customFormat="1" ht="23" hidden="1" customHeight="1" spans="1:25">
      <c r="A4049" s="133" t="str">
        <f>IF(B4049="","",COUNTA($B$5:B4049))</f>
        <v/>
      </c>
      <c r="B4049" s="148"/>
      <c r="C4049" s="22" t="s">
        <v>49</v>
      </c>
      <c r="D4049" s="149"/>
      <c r="E4049" s="150"/>
      <c r="F4049" s="151"/>
      <c r="G4049" s="151"/>
      <c r="H4049" s="142">
        <f>IFERROR(VLOOKUP($C4049,$C$5:$H$18,6,0)+SUMIF($C$19:$C4049,$C4049,$F$19:$F4049)-SUMIF($C$19:$C4049,$C4049,$G$19:$G4049),"")</f>
        <v>81211.819999998</v>
      </c>
      <c r="I4049" s="147"/>
      <c r="J4049" s="147"/>
      <c r="K4049" s="147" t="str">
        <f t="shared" si="63"/>
        <v/>
      </c>
      <c r="L4049" s="40"/>
      <c r="M4049"/>
      <c r="N4049"/>
      <c r="O4049"/>
      <c r="P4049"/>
      <c r="Q4049"/>
      <c r="R4049"/>
      <c r="S4049"/>
      <c r="T4049"/>
      <c r="U4049"/>
      <c r="V4049"/>
      <c r="W4049" s="41"/>
      <c r="X4049" s="41"/>
      <c r="Y4049" s="41"/>
    </row>
    <row r="4050" s="27" customFormat="1" ht="23" hidden="1" customHeight="1" spans="1:25">
      <c r="A4050" s="133" t="str">
        <f>IF(B4050="","",COUNTA($B$5:B4050))</f>
        <v/>
      </c>
      <c r="B4050" s="148"/>
      <c r="C4050" s="22" t="s">
        <v>49</v>
      </c>
      <c r="D4050" s="149"/>
      <c r="E4050" s="150"/>
      <c r="F4050" s="151"/>
      <c r="G4050" s="151"/>
      <c r="H4050" s="142">
        <f>IFERROR(VLOOKUP($C4050,$C$5:$H$18,6,0)+SUMIF($C$19:$C4050,$C4050,$F$19:$F4050)-SUMIF($C$19:$C4050,$C4050,$G$19:$G4050),"")</f>
        <v>81211.819999998</v>
      </c>
      <c r="I4050" s="147"/>
      <c r="J4050" s="147"/>
      <c r="K4050" s="147" t="str">
        <f t="shared" si="63"/>
        <v/>
      </c>
      <c r="L4050" s="40"/>
      <c r="M4050"/>
      <c r="N4050"/>
      <c r="O4050"/>
      <c r="P4050"/>
      <c r="Q4050"/>
      <c r="R4050"/>
      <c r="S4050"/>
      <c r="T4050"/>
      <c r="U4050"/>
      <c r="V4050"/>
      <c r="W4050" s="41"/>
      <c r="X4050" s="41"/>
      <c r="Y4050" s="41"/>
    </row>
    <row r="4051" s="27" customFormat="1" ht="23" hidden="1" customHeight="1" spans="1:25">
      <c r="A4051" s="133" t="str">
        <f>IF(B4051="","",COUNTA($B$5:B4051))</f>
        <v/>
      </c>
      <c r="B4051" s="148"/>
      <c r="C4051" s="22" t="s">
        <v>49</v>
      </c>
      <c r="D4051" s="149"/>
      <c r="E4051" s="150"/>
      <c r="F4051" s="151"/>
      <c r="G4051" s="151"/>
      <c r="H4051" s="142">
        <f>IFERROR(VLOOKUP($C4051,$C$5:$H$18,6,0)+SUMIF($C$19:$C4051,$C4051,$F$19:$F4051)-SUMIF($C$19:$C4051,$C4051,$G$19:$G4051),"")</f>
        <v>81211.819999998</v>
      </c>
      <c r="I4051" s="147"/>
      <c r="J4051" s="147"/>
      <c r="K4051" s="147" t="str">
        <f t="shared" si="63"/>
        <v/>
      </c>
      <c r="L4051" s="40"/>
      <c r="M4051"/>
      <c r="N4051"/>
      <c r="O4051"/>
      <c r="P4051"/>
      <c r="Q4051"/>
      <c r="R4051"/>
      <c r="S4051"/>
      <c r="T4051"/>
      <c r="U4051"/>
      <c r="V4051"/>
      <c r="W4051" s="41"/>
      <c r="X4051" s="41"/>
      <c r="Y4051" s="41"/>
    </row>
    <row r="4052" s="27" customFormat="1" ht="23" hidden="1" customHeight="1" spans="1:25">
      <c r="A4052" s="133" t="str">
        <f>IF(B4052="","",COUNTA($B$5:B4052))</f>
        <v/>
      </c>
      <c r="B4052" s="148"/>
      <c r="C4052" s="22" t="s">
        <v>49</v>
      </c>
      <c r="D4052" s="149"/>
      <c r="E4052" s="150"/>
      <c r="F4052" s="151"/>
      <c r="G4052" s="151"/>
      <c r="H4052" s="142">
        <f>IFERROR(VLOOKUP($C4052,$C$5:$H$18,6,0)+SUMIF($C$19:$C4052,$C4052,$F$19:$F4052)-SUMIF($C$19:$C4052,$C4052,$G$19:$G4052),"")</f>
        <v>81211.819999998</v>
      </c>
      <c r="I4052" s="147"/>
      <c r="J4052" s="147"/>
      <c r="K4052" s="147" t="str">
        <f t="shared" si="63"/>
        <v/>
      </c>
      <c r="L4052" s="40"/>
      <c r="M4052"/>
      <c r="N4052"/>
      <c r="O4052"/>
      <c r="P4052"/>
      <c r="Q4052"/>
      <c r="R4052"/>
      <c r="S4052"/>
      <c r="T4052"/>
      <c r="U4052"/>
      <c r="V4052"/>
      <c r="W4052" s="41"/>
      <c r="X4052" s="41"/>
      <c r="Y4052" s="41"/>
    </row>
    <row r="4053" s="27" customFormat="1" ht="23" hidden="1" customHeight="1" spans="1:25">
      <c r="A4053" s="133" t="str">
        <f>IF(B4053="","",COUNTA($B$5:B4053))</f>
        <v/>
      </c>
      <c r="B4053" s="148"/>
      <c r="C4053" s="22" t="s">
        <v>49</v>
      </c>
      <c r="D4053" s="149"/>
      <c r="E4053" s="150"/>
      <c r="F4053" s="151"/>
      <c r="G4053" s="151"/>
      <c r="H4053" s="142">
        <f>IFERROR(VLOOKUP($C4053,$C$5:$H$18,6,0)+SUMIF($C$19:$C4053,$C4053,$F$19:$F4053)-SUMIF($C$19:$C4053,$C4053,$G$19:$G4053),"")</f>
        <v>81211.819999998</v>
      </c>
      <c r="I4053" s="147"/>
      <c r="J4053" s="147"/>
      <c r="K4053" s="147" t="str">
        <f t="shared" si="63"/>
        <v/>
      </c>
      <c r="L4053" s="40"/>
      <c r="M4053"/>
      <c r="N4053"/>
      <c r="O4053"/>
      <c r="P4053"/>
      <c r="Q4053"/>
      <c r="R4053"/>
      <c r="S4053"/>
      <c r="T4053"/>
      <c r="U4053"/>
      <c r="V4053"/>
      <c r="W4053" s="41"/>
      <c r="X4053" s="41"/>
      <c r="Y4053" s="41"/>
    </row>
    <row r="4054" s="27" customFormat="1" ht="23" hidden="1" customHeight="1" spans="1:25">
      <c r="A4054" s="133" t="str">
        <f>IF(B4054="","",COUNTA($B$5:B4054))</f>
        <v/>
      </c>
      <c r="B4054" s="148"/>
      <c r="C4054" s="22" t="s">
        <v>49</v>
      </c>
      <c r="D4054" s="149"/>
      <c r="E4054" s="150"/>
      <c r="F4054" s="151"/>
      <c r="G4054" s="151"/>
      <c r="H4054" s="142">
        <f>IFERROR(VLOOKUP($C4054,$C$5:$H$18,6,0)+SUMIF($C$19:$C4054,$C4054,$F$19:$F4054)-SUMIF($C$19:$C4054,$C4054,$G$19:$G4054),"")</f>
        <v>81211.819999998</v>
      </c>
      <c r="I4054" s="147"/>
      <c r="J4054" s="147"/>
      <c r="K4054" s="147" t="str">
        <f t="shared" si="63"/>
        <v/>
      </c>
      <c r="L4054" s="40"/>
      <c r="M4054"/>
      <c r="N4054"/>
      <c r="O4054"/>
      <c r="P4054"/>
      <c r="Q4054"/>
      <c r="R4054"/>
      <c r="S4054"/>
      <c r="T4054"/>
      <c r="U4054"/>
      <c r="V4054"/>
      <c r="W4054" s="41"/>
      <c r="X4054" s="41"/>
      <c r="Y4054" s="41"/>
    </row>
    <row r="4055" s="27" customFormat="1" ht="23" hidden="1" customHeight="1" spans="1:25">
      <c r="A4055" s="133" t="str">
        <f>IF(B4055="","",COUNTA($B$5:B4055))</f>
        <v/>
      </c>
      <c r="B4055" s="148"/>
      <c r="C4055" s="22" t="s">
        <v>49</v>
      </c>
      <c r="D4055" s="149"/>
      <c r="E4055" s="150"/>
      <c r="F4055" s="151"/>
      <c r="G4055" s="151"/>
      <c r="H4055" s="142">
        <f>IFERROR(VLOOKUP($C4055,$C$5:$H$18,6,0)+SUMIF($C$19:$C4055,$C4055,$F$19:$F4055)-SUMIF($C$19:$C4055,$C4055,$G$19:$G4055),"")</f>
        <v>81211.819999998</v>
      </c>
      <c r="I4055" s="147"/>
      <c r="J4055" s="147"/>
      <c r="K4055" s="147" t="str">
        <f t="shared" si="63"/>
        <v/>
      </c>
      <c r="L4055" s="40"/>
      <c r="M4055"/>
      <c r="N4055"/>
      <c r="O4055"/>
      <c r="P4055"/>
      <c r="Q4055"/>
      <c r="R4055"/>
      <c r="S4055"/>
      <c r="T4055"/>
      <c r="U4055"/>
      <c r="V4055"/>
      <c r="W4055" s="41"/>
      <c r="X4055" s="41"/>
      <c r="Y4055" s="41"/>
    </row>
    <row r="4056" s="27" customFormat="1" ht="23" hidden="1" customHeight="1" spans="1:25">
      <c r="A4056" s="133" t="str">
        <f>IF(B4056="","",COUNTA($B$5:B4056))</f>
        <v/>
      </c>
      <c r="B4056" s="148"/>
      <c r="C4056" s="22" t="s">
        <v>49</v>
      </c>
      <c r="D4056" s="149"/>
      <c r="E4056" s="150"/>
      <c r="F4056" s="151"/>
      <c r="G4056" s="151"/>
      <c r="H4056" s="142">
        <f>IFERROR(VLOOKUP($C4056,$C$5:$H$18,6,0)+SUMIF($C$19:$C4056,$C4056,$F$19:$F4056)-SUMIF($C$19:$C4056,$C4056,$G$19:$G4056),"")</f>
        <v>81211.819999998</v>
      </c>
      <c r="I4056" s="147"/>
      <c r="J4056" s="147"/>
      <c r="K4056" s="147" t="str">
        <f t="shared" si="63"/>
        <v/>
      </c>
      <c r="L4056" s="40"/>
      <c r="M4056"/>
      <c r="N4056"/>
      <c r="O4056"/>
      <c r="P4056"/>
      <c r="Q4056"/>
      <c r="R4056"/>
      <c r="S4056"/>
      <c r="T4056"/>
      <c r="U4056"/>
      <c r="V4056"/>
      <c r="W4056" s="41"/>
      <c r="X4056" s="41"/>
      <c r="Y4056" s="41"/>
    </row>
    <row r="4057" s="27" customFormat="1" ht="23" hidden="1" customHeight="1" spans="1:25">
      <c r="A4057" s="133" t="str">
        <f>IF(B4057="","",COUNTA($B$5:B4057))</f>
        <v/>
      </c>
      <c r="B4057" s="148"/>
      <c r="C4057" s="22" t="s">
        <v>49</v>
      </c>
      <c r="D4057" s="149"/>
      <c r="E4057" s="150"/>
      <c r="F4057" s="151"/>
      <c r="G4057" s="151"/>
      <c r="H4057" s="142">
        <f>IFERROR(VLOOKUP($C4057,$C$5:$H$18,6,0)+SUMIF($C$19:$C4057,$C4057,$F$19:$F4057)-SUMIF($C$19:$C4057,$C4057,$G$19:$G4057),"")</f>
        <v>81211.819999998</v>
      </c>
      <c r="I4057" s="147"/>
      <c r="J4057" s="147"/>
      <c r="K4057" s="147" t="str">
        <f t="shared" si="63"/>
        <v/>
      </c>
      <c r="L4057" s="40"/>
      <c r="M4057"/>
      <c r="N4057"/>
      <c r="O4057"/>
      <c r="P4057"/>
      <c r="Q4057"/>
      <c r="R4057"/>
      <c r="S4057"/>
      <c r="T4057"/>
      <c r="U4057"/>
      <c r="V4057"/>
      <c r="W4057" s="41"/>
      <c r="X4057" s="41"/>
      <c r="Y4057" s="41"/>
    </row>
    <row r="4058" s="27" customFormat="1" ht="23" hidden="1" customHeight="1" spans="1:25">
      <c r="A4058" s="133" t="str">
        <f>IF(B4058="","",COUNTA($B$5:B4058))</f>
        <v/>
      </c>
      <c r="B4058" s="148"/>
      <c r="C4058" s="22" t="s">
        <v>49</v>
      </c>
      <c r="D4058" s="149"/>
      <c r="E4058" s="150"/>
      <c r="F4058" s="151"/>
      <c r="G4058" s="151"/>
      <c r="H4058" s="142">
        <f>IFERROR(VLOOKUP($C4058,$C$5:$H$18,6,0)+SUMIF($C$19:$C4058,$C4058,$F$19:$F4058)-SUMIF($C$19:$C4058,$C4058,$G$19:$G4058),"")</f>
        <v>81211.819999998</v>
      </c>
      <c r="I4058" s="147"/>
      <c r="J4058" s="147"/>
      <c r="K4058" s="147" t="str">
        <f t="shared" si="63"/>
        <v/>
      </c>
      <c r="L4058" s="40"/>
      <c r="M4058"/>
      <c r="N4058"/>
      <c r="O4058"/>
      <c r="P4058"/>
      <c r="Q4058"/>
      <c r="R4058"/>
      <c r="S4058"/>
      <c r="T4058"/>
      <c r="U4058"/>
      <c r="V4058"/>
      <c r="W4058" s="41"/>
      <c r="X4058" s="41"/>
      <c r="Y4058" s="41"/>
    </row>
    <row r="4059" s="27" customFormat="1" ht="23" hidden="1" customHeight="1" spans="1:25">
      <c r="A4059" s="133" t="str">
        <f>IF(B4059="","",COUNTA($B$5:B4059))</f>
        <v/>
      </c>
      <c r="B4059" s="148"/>
      <c r="C4059" s="22" t="s">
        <v>49</v>
      </c>
      <c r="D4059" s="149"/>
      <c r="E4059" s="150"/>
      <c r="F4059" s="151"/>
      <c r="G4059" s="151"/>
      <c r="H4059" s="142">
        <f>IFERROR(VLOOKUP($C4059,$C$5:$H$18,6,0)+SUMIF($C$19:$C4059,$C4059,$F$19:$F4059)-SUMIF($C$19:$C4059,$C4059,$G$19:$G4059),"")</f>
        <v>81211.819999998</v>
      </c>
      <c r="I4059" s="147"/>
      <c r="J4059" s="147"/>
      <c r="K4059" s="147" t="str">
        <f t="shared" si="63"/>
        <v/>
      </c>
      <c r="L4059" s="40"/>
      <c r="M4059"/>
      <c r="N4059"/>
      <c r="O4059"/>
      <c r="P4059"/>
      <c r="Q4059"/>
      <c r="R4059"/>
      <c r="S4059"/>
      <c r="T4059"/>
      <c r="U4059"/>
      <c r="V4059"/>
      <c r="W4059" s="41"/>
      <c r="X4059" s="41"/>
      <c r="Y4059" s="41"/>
    </row>
    <row r="4060" s="27" customFormat="1" ht="23" hidden="1" customHeight="1" spans="1:25">
      <c r="A4060" s="133" t="str">
        <f>IF(B4060="","",COUNTA($B$5:B4060))</f>
        <v/>
      </c>
      <c r="B4060" s="148"/>
      <c r="C4060" s="22" t="s">
        <v>49</v>
      </c>
      <c r="D4060" s="149"/>
      <c r="E4060" s="150"/>
      <c r="F4060" s="151"/>
      <c r="G4060" s="151"/>
      <c r="H4060" s="142">
        <f>IFERROR(VLOOKUP($C4060,$C$5:$H$18,6,0)+SUMIF($C$19:$C4060,$C4060,$F$19:$F4060)-SUMIF($C$19:$C4060,$C4060,$G$19:$G4060),"")</f>
        <v>81211.819999998</v>
      </c>
      <c r="I4060" s="147"/>
      <c r="J4060" s="147"/>
      <c r="K4060" s="147" t="str">
        <f t="shared" si="63"/>
        <v/>
      </c>
      <c r="L4060" s="40"/>
      <c r="M4060"/>
      <c r="N4060"/>
      <c r="O4060"/>
      <c r="P4060"/>
      <c r="Q4060"/>
      <c r="R4060"/>
      <c r="S4060"/>
      <c r="T4060"/>
      <c r="U4060"/>
      <c r="V4060"/>
      <c r="W4060" s="41"/>
      <c r="X4060" s="41"/>
      <c r="Y4060" s="41"/>
    </row>
    <row r="4061" s="27" customFormat="1" ht="23" hidden="1" customHeight="1" spans="1:25">
      <c r="A4061" s="133" t="str">
        <f>IF(B4061="","",COUNTA($B$5:B4061))</f>
        <v/>
      </c>
      <c r="B4061" s="148"/>
      <c r="C4061" s="22" t="s">
        <v>49</v>
      </c>
      <c r="D4061" s="149"/>
      <c r="E4061" s="150"/>
      <c r="F4061" s="151"/>
      <c r="G4061" s="151"/>
      <c r="H4061" s="142">
        <f>IFERROR(VLOOKUP($C4061,$C$5:$H$18,6,0)+SUMIF($C$19:$C4061,$C4061,$F$19:$F4061)-SUMIF($C$19:$C4061,$C4061,$G$19:$G4061),"")</f>
        <v>81211.819999998</v>
      </c>
      <c r="I4061" s="147"/>
      <c r="J4061" s="147"/>
      <c r="K4061" s="147" t="str">
        <f t="shared" si="63"/>
        <v/>
      </c>
      <c r="L4061" s="40"/>
      <c r="M4061"/>
      <c r="N4061"/>
      <c r="O4061"/>
      <c r="P4061"/>
      <c r="Q4061"/>
      <c r="R4061"/>
      <c r="S4061"/>
      <c r="T4061"/>
      <c r="U4061"/>
      <c r="V4061"/>
      <c r="W4061" s="41"/>
      <c r="X4061" s="41"/>
      <c r="Y4061" s="41"/>
    </row>
    <row r="4062" s="27" customFormat="1" ht="23" hidden="1" customHeight="1" spans="1:25">
      <c r="A4062" s="133" t="str">
        <f>IF(B4062="","",COUNTA($B$5:B4062))</f>
        <v/>
      </c>
      <c r="B4062" s="148"/>
      <c r="C4062" s="22" t="s">
        <v>49</v>
      </c>
      <c r="D4062" s="149"/>
      <c r="E4062" s="150"/>
      <c r="F4062" s="151"/>
      <c r="G4062" s="151"/>
      <c r="H4062" s="142">
        <f>IFERROR(VLOOKUP($C4062,$C$5:$H$18,6,0)+SUMIF($C$19:$C4062,$C4062,$F$19:$F4062)-SUMIF($C$19:$C4062,$C4062,$G$19:$G4062),"")</f>
        <v>81211.819999998</v>
      </c>
      <c r="I4062" s="147"/>
      <c r="J4062" s="147"/>
      <c r="K4062" s="147" t="str">
        <f t="shared" si="63"/>
        <v/>
      </c>
      <c r="L4062" s="40"/>
      <c r="M4062"/>
      <c r="N4062"/>
      <c r="O4062"/>
      <c r="P4062"/>
      <c r="Q4062"/>
      <c r="R4062"/>
      <c r="S4062"/>
      <c r="T4062"/>
      <c r="U4062"/>
      <c r="V4062"/>
      <c r="W4062" s="41"/>
      <c r="X4062" s="41"/>
      <c r="Y4062" s="41"/>
    </row>
    <row r="4063" s="27" customFormat="1" ht="23" hidden="1" customHeight="1" spans="1:25">
      <c r="A4063" s="133" t="str">
        <f>IF(B4063="","",COUNTA($B$5:B4063))</f>
        <v/>
      </c>
      <c r="B4063" s="148"/>
      <c r="C4063" s="22" t="s">
        <v>49</v>
      </c>
      <c r="D4063" s="149"/>
      <c r="E4063" s="150"/>
      <c r="F4063" s="151"/>
      <c r="G4063" s="151"/>
      <c r="H4063" s="142">
        <f>IFERROR(VLOOKUP($C4063,$C$5:$H$18,6,0)+SUMIF($C$19:$C4063,$C4063,$F$19:$F4063)-SUMIF($C$19:$C4063,$C4063,$G$19:$G4063),"")</f>
        <v>81211.819999998</v>
      </c>
      <c r="I4063" s="147"/>
      <c r="J4063" s="147"/>
      <c r="K4063" s="147" t="str">
        <f t="shared" si="63"/>
        <v/>
      </c>
      <c r="L4063" s="40"/>
      <c r="M4063"/>
      <c r="N4063"/>
      <c r="O4063"/>
      <c r="P4063"/>
      <c r="Q4063"/>
      <c r="R4063"/>
      <c r="S4063"/>
      <c r="T4063"/>
      <c r="U4063"/>
      <c r="V4063"/>
      <c r="W4063" s="41"/>
      <c r="X4063" s="41"/>
      <c r="Y4063" s="41"/>
    </row>
    <row r="4064" s="27" customFormat="1" ht="23" hidden="1" customHeight="1" spans="1:25">
      <c r="A4064" s="133" t="str">
        <f>IF(B4064="","",COUNTA($B$5:B4064))</f>
        <v/>
      </c>
      <c r="B4064" s="148"/>
      <c r="C4064" s="22" t="s">
        <v>49</v>
      </c>
      <c r="D4064" s="149"/>
      <c r="E4064" s="150"/>
      <c r="F4064" s="151"/>
      <c r="G4064" s="151"/>
      <c r="H4064" s="142">
        <f>IFERROR(VLOOKUP($C4064,$C$5:$H$18,6,0)+SUMIF($C$19:$C4064,$C4064,$F$19:$F4064)-SUMIF($C$19:$C4064,$C4064,$G$19:$G4064),"")</f>
        <v>81211.819999998</v>
      </c>
      <c r="I4064" s="147"/>
      <c r="J4064" s="147"/>
      <c r="K4064" s="147" t="str">
        <f t="shared" si="63"/>
        <v/>
      </c>
      <c r="L4064" s="40"/>
      <c r="M4064"/>
      <c r="N4064"/>
      <c r="O4064"/>
      <c r="P4064"/>
      <c r="Q4064"/>
      <c r="R4064"/>
      <c r="S4064"/>
      <c r="T4064"/>
      <c r="U4064"/>
      <c r="V4064"/>
      <c r="W4064" s="41"/>
      <c r="X4064" s="41"/>
      <c r="Y4064" s="41"/>
    </row>
    <row r="4065" s="27" customFormat="1" ht="23" hidden="1" customHeight="1" spans="1:25">
      <c r="A4065" s="133" t="str">
        <f>IF(B4065="","",COUNTA($B$5:B4065))</f>
        <v/>
      </c>
      <c r="B4065" s="148"/>
      <c r="C4065" s="22" t="s">
        <v>49</v>
      </c>
      <c r="D4065" s="149"/>
      <c r="E4065" s="150"/>
      <c r="F4065" s="151"/>
      <c r="G4065" s="151"/>
      <c r="H4065" s="142">
        <f>IFERROR(VLOOKUP($C4065,$C$5:$H$18,6,0)+SUMIF($C$19:$C4065,$C4065,$F$19:$F4065)-SUMIF($C$19:$C4065,$C4065,$G$19:$G4065),"")</f>
        <v>81211.819999998</v>
      </c>
      <c r="I4065" s="147"/>
      <c r="J4065" s="147"/>
      <c r="K4065" s="147" t="str">
        <f t="shared" si="63"/>
        <v/>
      </c>
      <c r="L4065" s="40"/>
      <c r="M4065"/>
      <c r="N4065"/>
      <c r="O4065"/>
      <c r="P4065"/>
      <c r="Q4065"/>
      <c r="R4065"/>
      <c r="S4065"/>
      <c r="T4065"/>
      <c r="U4065"/>
      <c r="V4065"/>
      <c r="W4065" s="41"/>
      <c r="X4065" s="41"/>
      <c r="Y4065" s="41"/>
    </row>
    <row r="4066" s="27" customFormat="1" ht="23" hidden="1" customHeight="1" spans="1:25">
      <c r="A4066" s="133" t="str">
        <f>IF(B4066="","",COUNTA($B$5:B4066))</f>
        <v/>
      </c>
      <c r="B4066" s="148"/>
      <c r="C4066" s="22" t="s">
        <v>49</v>
      </c>
      <c r="D4066" s="149"/>
      <c r="E4066" s="150"/>
      <c r="F4066" s="151"/>
      <c r="G4066" s="151"/>
      <c r="H4066" s="142">
        <f>IFERROR(VLOOKUP($C4066,$C$5:$H$18,6,0)+SUMIF($C$19:$C4066,$C4066,$F$19:$F4066)-SUMIF($C$19:$C4066,$C4066,$G$19:$G4066),"")</f>
        <v>81211.819999998</v>
      </c>
      <c r="I4066" s="147"/>
      <c r="J4066" s="147"/>
      <c r="K4066" s="147" t="str">
        <f t="shared" si="63"/>
        <v/>
      </c>
      <c r="L4066" s="40"/>
      <c r="M4066"/>
      <c r="N4066"/>
      <c r="O4066"/>
      <c r="P4066"/>
      <c r="Q4066"/>
      <c r="R4066"/>
      <c r="S4066"/>
      <c r="T4066"/>
      <c r="U4066"/>
      <c r="V4066"/>
      <c r="W4066" s="41"/>
      <c r="X4066" s="41"/>
      <c r="Y4066" s="41"/>
    </row>
    <row r="4067" s="27" customFormat="1" ht="23" hidden="1" customHeight="1" spans="1:25">
      <c r="A4067" s="133" t="str">
        <f>IF(B4067="","",COUNTA($B$5:B4067))</f>
        <v/>
      </c>
      <c r="B4067" s="148"/>
      <c r="C4067" s="22" t="s">
        <v>49</v>
      </c>
      <c r="D4067" s="149"/>
      <c r="E4067" s="150"/>
      <c r="F4067" s="151"/>
      <c r="G4067" s="151"/>
      <c r="H4067" s="142">
        <f>IFERROR(VLOOKUP($C4067,$C$5:$H$18,6,0)+SUMIF($C$19:$C4067,$C4067,$F$19:$F4067)-SUMIF($C$19:$C4067,$C4067,$G$19:$G4067),"")</f>
        <v>81211.819999998</v>
      </c>
      <c r="I4067" s="147"/>
      <c r="J4067" s="147"/>
      <c r="K4067" s="147" t="str">
        <f t="shared" si="63"/>
        <v/>
      </c>
      <c r="L4067" s="40"/>
      <c r="M4067"/>
      <c r="N4067"/>
      <c r="O4067"/>
      <c r="P4067"/>
      <c r="Q4067"/>
      <c r="R4067"/>
      <c r="S4067"/>
      <c r="T4067"/>
      <c r="U4067"/>
      <c r="V4067"/>
      <c r="W4067" s="41"/>
      <c r="X4067" s="41"/>
      <c r="Y4067" s="41"/>
    </row>
    <row r="4068" s="27" customFormat="1" ht="23" hidden="1" customHeight="1" spans="1:25">
      <c r="A4068" s="133" t="str">
        <f>IF(B4068="","",COUNTA($B$5:B4068))</f>
        <v/>
      </c>
      <c r="B4068" s="148"/>
      <c r="C4068" s="22" t="s">
        <v>49</v>
      </c>
      <c r="D4068" s="149"/>
      <c r="E4068" s="150"/>
      <c r="F4068" s="151"/>
      <c r="G4068" s="151"/>
      <c r="H4068" s="142">
        <f>IFERROR(VLOOKUP($C4068,$C$5:$H$18,6,0)+SUMIF($C$19:$C4068,$C4068,$F$19:$F4068)-SUMIF($C$19:$C4068,$C4068,$G$19:$G4068),"")</f>
        <v>81211.819999998</v>
      </c>
      <c r="I4068" s="147"/>
      <c r="J4068" s="147"/>
      <c r="K4068" s="147" t="str">
        <f t="shared" si="63"/>
        <v/>
      </c>
      <c r="L4068" s="40"/>
      <c r="M4068"/>
      <c r="N4068"/>
      <c r="O4068"/>
      <c r="P4068"/>
      <c r="Q4068"/>
      <c r="R4068"/>
      <c r="S4068"/>
      <c r="T4068"/>
      <c r="U4068"/>
      <c r="V4068"/>
      <c r="W4068" s="41"/>
      <c r="X4068" s="41"/>
      <c r="Y4068" s="41"/>
    </row>
    <row r="4069" s="27" customFormat="1" ht="23" hidden="1" customHeight="1" spans="1:25">
      <c r="A4069" s="133" t="str">
        <f>IF(B4069="","",COUNTA($B$5:B4069))</f>
        <v/>
      </c>
      <c r="B4069" s="148"/>
      <c r="C4069" s="22" t="s">
        <v>49</v>
      </c>
      <c r="D4069" s="149"/>
      <c r="E4069" s="150"/>
      <c r="F4069" s="151"/>
      <c r="G4069" s="151"/>
      <c r="H4069" s="142">
        <f>IFERROR(VLOOKUP($C4069,$C$5:$H$18,6,0)+SUMIF($C$19:$C4069,$C4069,$F$19:$F4069)-SUMIF($C$19:$C4069,$C4069,$G$19:$G4069),"")</f>
        <v>81211.819999998</v>
      </c>
      <c r="I4069" s="147"/>
      <c r="J4069" s="147"/>
      <c r="K4069" s="147" t="str">
        <f t="shared" si="63"/>
        <v/>
      </c>
      <c r="L4069" s="40"/>
      <c r="M4069"/>
      <c r="N4069"/>
      <c r="O4069"/>
      <c r="P4069"/>
      <c r="Q4069"/>
      <c r="R4069"/>
      <c r="S4069"/>
      <c r="T4069"/>
      <c r="U4069"/>
      <c r="V4069"/>
      <c r="W4069" s="41"/>
      <c r="X4069" s="41"/>
      <c r="Y4069" s="41"/>
    </row>
    <row r="4070" s="27" customFormat="1" ht="23" hidden="1" customHeight="1" spans="1:25">
      <c r="A4070" s="133" t="str">
        <f>IF(B4070="","",COUNTA($B$5:B4070))</f>
        <v/>
      </c>
      <c r="B4070" s="148"/>
      <c r="C4070" s="22" t="s">
        <v>49</v>
      </c>
      <c r="D4070" s="149"/>
      <c r="E4070" s="150"/>
      <c r="F4070" s="151"/>
      <c r="G4070" s="151"/>
      <c r="H4070" s="142">
        <f>IFERROR(VLOOKUP($C4070,$C$5:$H$18,6,0)+SUMIF($C$19:$C4070,$C4070,$F$19:$F4070)-SUMIF($C$19:$C4070,$C4070,$G$19:$G4070),"")</f>
        <v>81211.819999998</v>
      </c>
      <c r="I4070" s="147"/>
      <c r="J4070" s="147"/>
      <c r="K4070" s="147" t="str">
        <f t="shared" si="63"/>
        <v/>
      </c>
      <c r="L4070" s="40"/>
      <c r="M4070"/>
      <c r="N4070"/>
      <c r="O4070"/>
      <c r="P4070"/>
      <c r="Q4070"/>
      <c r="R4070"/>
      <c r="S4070"/>
      <c r="T4070"/>
      <c r="U4070"/>
      <c r="V4070"/>
      <c r="W4070" s="41"/>
      <c r="X4070" s="41"/>
      <c r="Y4070" s="41"/>
    </row>
    <row r="4071" s="27" customFormat="1" ht="23" hidden="1" customHeight="1" spans="1:25">
      <c r="A4071" s="133" t="str">
        <f>IF(B4071="","",COUNTA($B$5:B4071))</f>
        <v/>
      </c>
      <c r="B4071" s="148"/>
      <c r="C4071" s="22" t="s">
        <v>49</v>
      </c>
      <c r="D4071" s="149"/>
      <c r="E4071" s="150"/>
      <c r="F4071" s="151"/>
      <c r="G4071" s="151"/>
      <c r="H4071" s="142">
        <f>IFERROR(VLOOKUP($C4071,$C$5:$H$18,6,0)+SUMIF($C$19:$C4071,$C4071,$F$19:$F4071)-SUMIF($C$19:$C4071,$C4071,$G$19:$G4071),"")</f>
        <v>81211.819999998</v>
      </c>
      <c r="I4071" s="147"/>
      <c r="J4071" s="147"/>
      <c r="K4071" s="147" t="str">
        <f t="shared" si="63"/>
        <v/>
      </c>
      <c r="L4071" s="40"/>
      <c r="M4071"/>
      <c r="N4071"/>
      <c r="O4071"/>
      <c r="P4071"/>
      <c r="Q4071"/>
      <c r="R4071"/>
      <c r="S4071"/>
      <c r="T4071"/>
      <c r="U4071"/>
      <c r="V4071"/>
      <c r="W4071" s="41"/>
      <c r="X4071" s="41"/>
      <c r="Y4071" s="41"/>
    </row>
    <row r="4072" s="27" customFormat="1" ht="23" hidden="1" customHeight="1" spans="1:25">
      <c r="A4072" s="133" t="str">
        <f>IF(B4072="","",COUNTA($B$5:B4072))</f>
        <v/>
      </c>
      <c r="B4072" s="148"/>
      <c r="C4072" s="22" t="s">
        <v>49</v>
      </c>
      <c r="D4072" s="149"/>
      <c r="E4072" s="150"/>
      <c r="F4072" s="151"/>
      <c r="G4072" s="151"/>
      <c r="H4072" s="142">
        <f>IFERROR(VLOOKUP($C4072,$C$5:$H$18,6,0)+SUMIF($C$19:$C4072,$C4072,$F$19:$F4072)-SUMIF($C$19:$C4072,$C4072,$G$19:$G4072),"")</f>
        <v>81211.819999998</v>
      </c>
      <c r="I4072" s="147"/>
      <c r="J4072" s="147"/>
      <c r="K4072" s="147" t="str">
        <f t="shared" si="63"/>
        <v/>
      </c>
      <c r="L4072" s="40"/>
      <c r="M4072"/>
      <c r="N4072"/>
      <c r="O4072"/>
      <c r="P4072"/>
      <c r="Q4072"/>
      <c r="R4072"/>
      <c r="S4072"/>
      <c r="T4072"/>
      <c r="U4072"/>
      <c r="V4072"/>
      <c r="W4072" s="41"/>
      <c r="X4072" s="41"/>
      <c r="Y4072" s="41"/>
    </row>
    <row r="4073" s="27" customFormat="1" ht="23" hidden="1" customHeight="1" spans="1:25">
      <c r="A4073" s="133" t="str">
        <f>IF(B4073="","",COUNTA($B$5:B4073))</f>
        <v/>
      </c>
      <c r="B4073" s="148"/>
      <c r="C4073" s="22" t="s">
        <v>49</v>
      </c>
      <c r="D4073" s="149"/>
      <c r="E4073" s="150"/>
      <c r="F4073" s="151"/>
      <c r="G4073" s="151"/>
      <c r="H4073" s="142">
        <f>IFERROR(VLOOKUP($C4073,$C$5:$H$18,6,0)+SUMIF($C$19:$C4073,$C4073,$F$19:$F4073)-SUMIF($C$19:$C4073,$C4073,$G$19:$G4073),"")</f>
        <v>81211.819999998</v>
      </c>
      <c r="I4073" s="147"/>
      <c r="J4073" s="147"/>
      <c r="K4073" s="147" t="str">
        <f t="shared" si="63"/>
        <v/>
      </c>
      <c r="L4073" s="40"/>
      <c r="M4073"/>
      <c r="N4073"/>
      <c r="O4073"/>
      <c r="P4073"/>
      <c r="Q4073"/>
      <c r="R4073"/>
      <c r="S4073"/>
      <c r="T4073"/>
      <c r="U4073"/>
      <c r="V4073"/>
      <c r="W4073" s="41"/>
      <c r="X4073" s="41"/>
      <c r="Y4073" s="41"/>
    </row>
    <row r="4074" s="27" customFormat="1" ht="23" hidden="1" customHeight="1" spans="1:25">
      <c r="A4074" s="133" t="str">
        <f>IF(B4074="","",COUNTA($B$5:B4074))</f>
        <v/>
      </c>
      <c r="B4074" s="148"/>
      <c r="C4074" s="22" t="s">
        <v>49</v>
      </c>
      <c r="D4074" s="149"/>
      <c r="E4074" s="150"/>
      <c r="F4074" s="151"/>
      <c r="G4074" s="151"/>
      <c r="H4074" s="142">
        <f>IFERROR(VLOOKUP($C4074,$C$5:$H$18,6,0)+SUMIF($C$19:$C4074,$C4074,$F$19:$F4074)-SUMIF($C$19:$C4074,$C4074,$G$19:$G4074),"")</f>
        <v>81211.819999998</v>
      </c>
      <c r="I4074" s="147"/>
      <c r="J4074" s="147"/>
      <c r="K4074" s="147" t="str">
        <f t="shared" si="63"/>
        <v/>
      </c>
      <c r="L4074" s="40"/>
      <c r="M4074"/>
      <c r="N4074"/>
      <c r="O4074"/>
      <c r="P4074"/>
      <c r="Q4074"/>
      <c r="R4074"/>
      <c r="S4074"/>
      <c r="T4074"/>
      <c r="U4074"/>
      <c r="V4074"/>
      <c r="W4074" s="41"/>
      <c r="X4074" s="41"/>
      <c r="Y4074" s="41"/>
    </row>
    <row r="4075" s="27" customFormat="1" ht="23" hidden="1" customHeight="1" spans="1:25">
      <c r="A4075" s="133" t="str">
        <f>IF(B4075="","",COUNTA($B$5:B4075))</f>
        <v/>
      </c>
      <c r="B4075" s="148"/>
      <c r="C4075" s="22" t="s">
        <v>49</v>
      </c>
      <c r="D4075" s="149"/>
      <c r="E4075" s="150"/>
      <c r="F4075" s="151"/>
      <c r="G4075" s="151"/>
      <c r="H4075" s="142">
        <f>IFERROR(VLOOKUP($C4075,$C$5:$H$18,6,0)+SUMIF($C$19:$C4075,$C4075,$F$19:$F4075)-SUMIF($C$19:$C4075,$C4075,$G$19:$G4075),"")</f>
        <v>81211.819999998</v>
      </c>
      <c r="I4075" s="147"/>
      <c r="J4075" s="147"/>
      <c r="K4075" s="147" t="str">
        <f t="shared" si="63"/>
        <v/>
      </c>
      <c r="L4075" s="40"/>
      <c r="M4075"/>
      <c r="N4075"/>
      <c r="O4075"/>
      <c r="P4075"/>
      <c r="Q4075"/>
      <c r="R4075"/>
      <c r="S4075"/>
      <c r="T4075"/>
      <c r="U4075"/>
      <c r="V4075"/>
      <c r="W4075" s="41"/>
      <c r="X4075" s="41"/>
      <c r="Y4075" s="41"/>
    </row>
    <row r="4076" s="27" customFormat="1" ht="23" hidden="1" customHeight="1" spans="1:25">
      <c r="A4076" s="133" t="str">
        <f>IF(B4076="","",COUNTA($B$5:B4076))</f>
        <v/>
      </c>
      <c r="B4076" s="148"/>
      <c r="C4076" s="22" t="s">
        <v>49</v>
      </c>
      <c r="D4076" s="149"/>
      <c r="E4076" s="150"/>
      <c r="F4076" s="151"/>
      <c r="G4076" s="151"/>
      <c r="H4076" s="142">
        <f>IFERROR(VLOOKUP($C4076,$C$5:$H$18,6,0)+SUMIF($C$19:$C4076,$C4076,$F$19:$F4076)-SUMIF($C$19:$C4076,$C4076,$G$19:$G4076),"")</f>
        <v>81211.819999998</v>
      </c>
      <c r="I4076" s="147"/>
      <c r="J4076" s="147"/>
      <c r="K4076" s="147" t="str">
        <f t="shared" si="63"/>
        <v/>
      </c>
      <c r="L4076" s="40"/>
      <c r="M4076"/>
      <c r="N4076"/>
      <c r="O4076"/>
      <c r="P4076"/>
      <c r="Q4076"/>
      <c r="R4076"/>
      <c r="S4076"/>
      <c r="T4076"/>
      <c r="U4076"/>
      <c r="V4076"/>
      <c r="W4076" s="41"/>
      <c r="X4076" s="41"/>
      <c r="Y4076" s="41"/>
    </row>
    <row r="4077" s="27" customFormat="1" ht="23" hidden="1" customHeight="1" spans="1:25">
      <c r="A4077" s="133" t="str">
        <f>IF(B4077="","",COUNTA($B$5:B4077))</f>
        <v/>
      </c>
      <c r="B4077" s="148"/>
      <c r="C4077" s="22" t="s">
        <v>49</v>
      </c>
      <c r="D4077" s="149"/>
      <c r="E4077" s="150"/>
      <c r="F4077" s="151"/>
      <c r="G4077" s="151"/>
      <c r="H4077" s="142">
        <f>IFERROR(VLOOKUP($C4077,$C$5:$H$18,6,0)+SUMIF($C$19:$C4077,$C4077,$F$19:$F4077)-SUMIF($C$19:$C4077,$C4077,$G$19:$G4077),"")</f>
        <v>81211.819999998</v>
      </c>
      <c r="I4077" s="147"/>
      <c r="J4077" s="147"/>
      <c r="K4077" s="147" t="str">
        <f t="shared" si="63"/>
        <v/>
      </c>
      <c r="L4077" s="40"/>
      <c r="M4077"/>
      <c r="N4077"/>
      <c r="O4077"/>
      <c r="P4077"/>
      <c r="Q4077"/>
      <c r="R4077"/>
      <c r="S4077"/>
      <c r="T4077"/>
      <c r="U4077"/>
      <c r="V4077"/>
      <c r="W4077" s="41"/>
      <c r="X4077" s="41"/>
      <c r="Y4077" s="41"/>
    </row>
    <row r="4078" s="27" customFormat="1" ht="23" hidden="1" customHeight="1" spans="1:25">
      <c r="A4078" s="133" t="str">
        <f>IF(B4078="","",COUNTA($B$5:B4078))</f>
        <v/>
      </c>
      <c r="B4078" s="148"/>
      <c r="C4078" s="22" t="s">
        <v>49</v>
      </c>
      <c r="D4078" s="149"/>
      <c r="E4078" s="150"/>
      <c r="F4078" s="151"/>
      <c r="G4078" s="151"/>
      <c r="H4078" s="142">
        <f>IFERROR(VLOOKUP($C4078,$C$5:$H$18,6,0)+SUMIF($C$19:$C4078,$C4078,$F$19:$F4078)-SUMIF($C$19:$C4078,$C4078,$G$19:$G4078),"")</f>
        <v>81211.819999998</v>
      </c>
      <c r="I4078" s="147"/>
      <c r="J4078" s="147"/>
      <c r="K4078" s="147" t="str">
        <f t="shared" si="63"/>
        <v/>
      </c>
      <c r="L4078" s="40"/>
      <c r="M4078"/>
      <c r="N4078"/>
      <c r="O4078"/>
      <c r="P4078"/>
      <c r="Q4078"/>
      <c r="R4078"/>
      <c r="S4078"/>
      <c r="T4078"/>
      <c r="U4078"/>
      <c r="V4078"/>
      <c r="W4078" s="41"/>
      <c r="X4078" s="41"/>
      <c r="Y4078" s="41"/>
    </row>
    <row r="4079" s="27" customFormat="1" ht="23" hidden="1" customHeight="1" spans="1:25">
      <c r="A4079" s="133" t="str">
        <f>IF(B4079="","",COUNTA($B$5:B4079))</f>
        <v/>
      </c>
      <c r="B4079" s="148"/>
      <c r="C4079" s="22" t="s">
        <v>49</v>
      </c>
      <c r="D4079" s="149"/>
      <c r="E4079" s="150"/>
      <c r="F4079" s="151"/>
      <c r="G4079" s="151"/>
      <c r="H4079" s="142">
        <f>IFERROR(VLOOKUP($C4079,$C$5:$H$18,6,0)+SUMIF($C$19:$C4079,$C4079,$F$19:$F4079)-SUMIF($C$19:$C4079,$C4079,$G$19:$G4079),"")</f>
        <v>81211.819999998</v>
      </c>
      <c r="I4079" s="147"/>
      <c r="J4079" s="147"/>
      <c r="K4079" s="147" t="str">
        <f t="shared" si="63"/>
        <v/>
      </c>
      <c r="L4079" s="40"/>
      <c r="M4079"/>
      <c r="N4079"/>
      <c r="O4079"/>
      <c r="P4079"/>
      <c r="Q4079"/>
      <c r="R4079"/>
      <c r="S4079"/>
      <c r="T4079"/>
      <c r="U4079"/>
      <c r="V4079"/>
      <c r="W4079" s="41"/>
      <c r="X4079" s="41"/>
      <c r="Y4079" s="41"/>
    </row>
    <row r="4080" s="27" customFormat="1" ht="23" hidden="1" customHeight="1" spans="1:25">
      <c r="A4080" s="133" t="str">
        <f>IF(B4080="","",COUNTA($B$5:B4080))</f>
        <v/>
      </c>
      <c r="B4080" s="148"/>
      <c r="C4080" s="22" t="s">
        <v>49</v>
      </c>
      <c r="D4080" s="149"/>
      <c r="E4080" s="150"/>
      <c r="F4080" s="151"/>
      <c r="G4080" s="151"/>
      <c r="H4080" s="142">
        <f>IFERROR(VLOOKUP($C4080,$C$5:$H$18,6,0)+SUMIF($C$19:$C4080,$C4080,$F$19:$F4080)-SUMIF($C$19:$C4080,$C4080,$G$19:$G4080),"")</f>
        <v>81211.819999998</v>
      </c>
      <c r="I4080" s="147"/>
      <c r="J4080" s="147"/>
      <c r="K4080" s="147" t="str">
        <f t="shared" si="63"/>
        <v/>
      </c>
      <c r="L4080" s="40"/>
      <c r="M4080"/>
      <c r="N4080"/>
      <c r="O4080"/>
      <c r="P4080"/>
      <c r="Q4080"/>
      <c r="R4080"/>
      <c r="S4080"/>
      <c r="T4080"/>
      <c r="U4080"/>
      <c r="V4080"/>
      <c r="W4080" s="41"/>
      <c r="X4080" s="41"/>
      <c r="Y4080" s="41"/>
    </row>
    <row r="4081" s="27" customFormat="1" ht="23" hidden="1" customHeight="1" spans="1:25">
      <c r="A4081" s="133" t="str">
        <f>IF(B4081="","",COUNTA($B$5:B4081))</f>
        <v/>
      </c>
      <c r="B4081" s="148"/>
      <c r="C4081" s="22" t="s">
        <v>49</v>
      </c>
      <c r="D4081" s="149"/>
      <c r="E4081" s="150"/>
      <c r="F4081" s="151"/>
      <c r="G4081" s="151"/>
      <c r="H4081" s="142">
        <f>IFERROR(VLOOKUP($C4081,$C$5:$H$18,6,0)+SUMIF($C$19:$C4081,$C4081,$F$19:$F4081)-SUMIF($C$19:$C4081,$C4081,$G$19:$G4081),"")</f>
        <v>81211.819999998</v>
      </c>
      <c r="I4081" s="147"/>
      <c r="J4081" s="147"/>
      <c r="K4081" s="147" t="str">
        <f t="shared" si="63"/>
        <v/>
      </c>
      <c r="L4081" s="40"/>
      <c r="M4081"/>
      <c r="N4081"/>
      <c r="O4081"/>
      <c r="P4081"/>
      <c r="Q4081"/>
      <c r="R4081"/>
      <c r="S4081"/>
      <c r="T4081"/>
      <c r="U4081"/>
      <c r="V4081"/>
      <c r="W4081" s="41"/>
      <c r="X4081" s="41"/>
      <c r="Y4081" s="41"/>
    </row>
    <row r="4082" s="27" customFormat="1" ht="23" hidden="1" customHeight="1" spans="1:25">
      <c r="A4082" s="133" t="str">
        <f>IF(B4082="","",COUNTA($B$5:B4082))</f>
        <v/>
      </c>
      <c r="B4082" s="148"/>
      <c r="C4082" s="22" t="s">
        <v>49</v>
      </c>
      <c r="D4082" s="149"/>
      <c r="E4082" s="150"/>
      <c r="F4082" s="151"/>
      <c r="G4082" s="151"/>
      <c r="H4082" s="142">
        <f>IFERROR(VLOOKUP($C4082,$C$5:$H$18,6,0)+SUMIF($C$19:$C4082,$C4082,$F$19:$F4082)-SUMIF($C$19:$C4082,$C4082,$G$19:$G4082),"")</f>
        <v>81211.819999998</v>
      </c>
      <c r="I4082" s="147"/>
      <c r="J4082" s="147"/>
      <c r="K4082" s="147" t="str">
        <f t="shared" si="63"/>
        <v/>
      </c>
      <c r="L4082" s="40"/>
      <c r="M4082"/>
      <c r="N4082"/>
      <c r="O4082"/>
      <c r="P4082"/>
      <c r="Q4082"/>
      <c r="R4082"/>
      <c r="S4082"/>
      <c r="T4082"/>
      <c r="U4082"/>
      <c r="V4082"/>
      <c r="W4082" s="41"/>
      <c r="X4082" s="41"/>
      <c r="Y4082" s="41"/>
    </row>
    <row r="4083" s="27" customFormat="1" ht="23" hidden="1" customHeight="1" spans="1:25">
      <c r="A4083" s="133" t="str">
        <f>IF(B4083="","",COUNTA($B$5:B4083))</f>
        <v/>
      </c>
      <c r="B4083" s="148"/>
      <c r="C4083" s="22" t="s">
        <v>49</v>
      </c>
      <c r="D4083" s="149"/>
      <c r="E4083" s="150"/>
      <c r="F4083" s="151"/>
      <c r="G4083" s="151"/>
      <c r="H4083" s="142">
        <f>IFERROR(VLOOKUP($C4083,$C$5:$H$18,6,0)+SUMIF($C$19:$C4083,$C4083,$F$19:$F4083)-SUMIF($C$19:$C4083,$C4083,$G$19:$G4083),"")</f>
        <v>81211.819999998</v>
      </c>
      <c r="I4083" s="147"/>
      <c r="J4083" s="147"/>
      <c r="K4083" s="147" t="str">
        <f t="shared" si="63"/>
        <v/>
      </c>
      <c r="L4083" s="40"/>
      <c r="M4083"/>
      <c r="N4083"/>
      <c r="O4083"/>
      <c r="P4083"/>
      <c r="Q4083"/>
      <c r="R4083"/>
      <c r="S4083"/>
      <c r="T4083"/>
      <c r="U4083"/>
      <c r="V4083"/>
      <c r="W4083" s="41"/>
      <c r="X4083" s="41"/>
      <c r="Y4083" s="41"/>
    </row>
    <row r="4084" s="27" customFormat="1" ht="23" hidden="1" customHeight="1" spans="1:25">
      <c r="A4084" s="133" t="str">
        <f>IF(B4084="","",COUNTA($B$5:B4084))</f>
        <v/>
      </c>
      <c r="B4084" s="148"/>
      <c r="C4084" s="22" t="s">
        <v>49</v>
      </c>
      <c r="D4084" s="149"/>
      <c r="E4084" s="150"/>
      <c r="F4084" s="151"/>
      <c r="G4084" s="151"/>
      <c r="H4084" s="142">
        <f>IFERROR(VLOOKUP($C4084,$C$5:$H$18,6,0)+SUMIF($C$19:$C4084,$C4084,$F$19:$F4084)-SUMIF($C$19:$C4084,$C4084,$G$19:$G4084),"")</f>
        <v>81211.819999998</v>
      </c>
      <c r="I4084" s="147"/>
      <c r="J4084" s="147"/>
      <c r="K4084" s="147" t="str">
        <f t="shared" si="63"/>
        <v/>
      </c>
      <c r="L4084" s="40"/>
      <c r="M4084"/>
      <c r="N4084"/>
      <c r="O4084"/>
      <c r="P4084"/>
      <c r="Q4084"/>
      <c r="R4084"/>
      <c r="S4084"/>
      <c r="T4084"/>
      <c r="U4084"/>
      <c r="V4084"/>
      <c r="W4084" s="41"/>
      <c r="X4084" s="41"/>
      <c r="Y4084" s="41"/>
    </row>
    <row r="4085" s="27" customFormat="1" ht="23" hidden="1" customHeight="1" spans="1:25">
      <c r="A4085" s="133" t="str">
        <f>IF(B4085="","",COUNTA($B$5:B4085))</f>
        <v/>
      </c>
      <c r="B4085" s="148"/>
      <c r="C4085" s="22" t="s">
        <v>49</v>
      </c>
      <c r="D4085" s="149"/>
      <c r="E4085" s="150"/>
      <c r="F4085" s="151"/>
      <c r="G4085" s="151"/>
      <c r="H4085" s="142">
        <f>IFERROR(VLOOKUP($C4085,$C$5:$H$18,6,0)+SUMIF($C$19:$C4085,$C4085,$F$19:$F4085)-SUMIF($C$19:$C4085,$C4085,$G$19:$G4085),"")</f>
        <v>81211.819999998</v>
      </c>
      <c r="I4085" s="147"/>
      <c r="J4085" s="147"/>
      <c r="K4085" s="147" t="str">
        <f t="shared" si="63"/>
        <v/>
      </c>
      <c r="L4085" s="40"/>
      <c r="M4085"/>
      <c r="N4085"/>
      <c r="O4085"/>
      <c r="P4085"/>
      <c r="Q4085"/>
      <c r="R4085"/>
      <c r="S4085"/>
      <c r="T4085"/>
      <c r="U4085"/>
      <c r="V4085"/>
      <c r="W4085" s="41"/>
      <c r="X4085" s="41"/>
      <c r="Y4085" s="41"/>
    </row>
    <row r="4086" s="27" customFormat="1" ht="23" hidden="1" customHeight="1" spans="1:25">
      <c r="A4086" s="133" t="str">
        <f>IF(B4086="","",COUNTA($B$5:B4086))</f>
        <v/>
      </c>
      <c r="B4086" s="148"/>
      <c r="C4086" s="22" t="s">
        <v>49</v>
      </c>
      <c r="D4086" s="149"/>
      <c r="E4086" s="150"/>
      <c r="F4086" s="151"/>
      <c r="G4086" s="151"/>
      <c r="H4086" s="142">
        <f>IFERROR(VLOOKUP($C4086,$C$5:$H$18,6,0)+SUMIF($C$19:$C4086,$C4086,$F$19:$F4086)-SUMIF($C$19:$C4086,$C4086,$G$19:$G4086),"")</f>
        <v>81211.819999998</v>
      </c>
      <c r="I4086" s="147"/>
      <c r="J4086" s="147"/>
      <c r="K4086" s="147" t="str">
        <f t="shared" si="63"/>
        <v/>
      </c>
      <c r="L4086" s="40"/>
      <c r="M4086"/>
      <c r="N4086"/>
      <c r="O4086"/>
      <c r="P4086"/>
      <c r="Q4086"/>
      <c r="R4086"/>
      <c r="S4086"/>
      <c r="T4086"/>
      <c r="U4086"/>
      <c r="V4086"/>
      <c r="W4086" s="41"/>
      <c r="X4086" s="41"/>
      <c r="Y4086" s="41"/>
    </row>
    <row r="4087" s="27" customFormat="1" ht="23" hidden="1" customHeight="1" spans="1:25">
      <c r="A4087" s="133" t="str">
        <f>IF(B4087="","",COUNTA($B$5:B4087))</f>
        <v/>
      </c>
      <c r="B4087" s="148"/>
      <c r="C4087" s="22" t="s">
        <v>49</v>
      </c>
      <c r="D4087" s="149"/>
      <c r="E4087" s="150"/>
      <c r="F4087" s="151"/>
      <c r="G4087" s="151"/>
      <c r="H4087" s="142">
        <f>IFERROR(VLOOKUP($C4087,$C$5:$H$18,6,0)+SUMIF($C$19:$C4087,$C4087,$F$19:$F4087)-SUMIF($C$19:$C4087,$C4087,$G$19:$G4087),"")</f>
        <v>81211.819999998</v>
      </c>
      <c r="I4087" s="147"/>
      <c r="J4087" s="147"/>
      <c r="K4087" s="147" t="str">
        <f t="shared" si="63"/>
        <v/>
      </c>
      <c r="L4087" s="40"/>
      <c r="M4087"/>
      <c r="N4087"/>
      <c r="O4087"/>
      <c r="P4087"/>
      <c r="Q4087"/>
      <c r="R4087"/>
      <c r="S4087"/>
      <c r="T4087"/>
      <c r="U4087"/>
      <c r="V4087"/>
      <c r="W4087" s="41"/>
      <c r="X4087" s="41"/>
      <c r="Y4087" s="41"/>
    </row>
    <row r="4088" s="27" customFormat="1" ht="23" hidden="1" customHeight="1" spans="1:25">
      <c r="A4088" s="133" t="str">
        <f>IF(B4088="","",COUNTA($B$5:B4088))</f>
        <v/>
      </c>
      <c r="B4088" s="148"/>
      <c r="C4088" s="22" t="s">
        <v>49</v>
      </c>
      <c r="D4088" s="149"/>
      <c r="E4088" s="150"/>
      <c r="F4088" s="151"/>
      <c r="G4088" s="151"/>
      <c r="H4088" s="142">
        <f>IFERROR(VLOOKUP($C4088,$C$5:$H$18,6,0)+SUMIF($C$19:$C4088,$C4088,$F$19:$F4088)-SUMIF($C$19:$C4088,$C4088,$G$19:$G4088),"")</f>
        <v>81211.819999998</v>
      </c>
      <c r="I4088" s="147"/>
      <c r="J4088" s="147"/>
      <c r="K4088" s="147" t="str">
        <f t="shared" si="63"/>
        <v/>
      </c>
      <c r="L4088" s="40"/>
      <c r="M4088"/>
      <c r="N4088"/>
      <c r="O4088"/>
      <c r="P4088"/>
      <c r="Q4088"/>
      <c r="R4088"/>
      <c r="S4088"/>
      <c r="T4088"/>
      <c r="U4088"/>
      <c r="V4088"/>
      <c r="W4088" s="41"/>
      <c r="X4088" s="41"/>
      <c r="Y4088" s="41"/>
    </row>
    <row r="4089" s="27" customFormat="1" ht="23" hidden="1" customHeight="1" spans="1:25">
      <c r="A4089" s="133" t="str">
        <f>IF(B4089="","",COUNTA($B$5:B4089))</f>
        <v/>
      </c>
      <c r="B4089" s="148"/>
      <c r="C4089" s="22" t="s">
        <v>49</v>
      </c>
      <c r="D4089" s="149"/>
      <c r="E4089" s="150"/>
      <c r="F4089" s="151"/>
      <c r="G4089" s="151"/>
      <c r="H4089" s="142">
        <f>IFERROR(VLOOKUP($C4089,$C$5:$H$18,6,0)+SUMIF($C$19:$C4089,$C4089,$F$19:$F4089)-SUMIF($C$19:$C4089,$C4089,$G$19:$G4089),"")</f>
        <v>81211.819999998</v>
      </c>
      <c r="I4089" s="147"/>
      <c r="J4089" s="147"/>
      <c r="K4089" s="147" t="str">
        <f t="shared" si="63"/>
        <v/>
      </c>
      <c r="L4089" s="40"/>
      <c r="M4089"/>
      <c r="N4089"/>
      <c r="O4089"/>
      <c r="P4089"/>
      <c r="Q4089"/>
      <c r="R4089"/>
      <c r="S4089"/>
      <c r="T4089"/>
      <c r="U4089"/>
      <c r="V4089"/>
      <c r="W4089" s="41"/>
      <c r="X4089" s="41"/>
      <c r="Y4089" s="41"/>
    </row>
    <row r="4090" s="27" customFormat="1" ht="23" hidden="1" customHeight="1" spans="1:25">
      <c r="A4090" s="133" t="str">
        <f>IF(B4090="","",COUNTA($B$5:B4090))</f>
        <v/>
      </c>
      <c r="B4090" s="148"/>
      <c r="C4090" s="22" t="s">
        <v>49</v>
      </c>
      <c r="D4090" s="149"/>
      <c r="E4090" s="150"/>
      <c r="F4090" s="151"/>
      <c r="G4090" s="151"/>
      <c r="H4090" s="142">
        <f>IFERROR(VLOOKUP($C4090,$C$5:$H$18,6,0)+SUMIF($C$19:$C4090,$C4090,$F$19:$F4090)-SUMIF($C$19:$C4090,$C4090,$G$19:$G4090),"")</f>
        <v>81211.819999998</v>
      </c>
      <c r="I4090" s="147"/>
      <c r="J4090" s="147"/>
      <c r="K4090" s="147" t="str">
        <f t="shared" si="63"/>
        <v/>
      </c>
      <c r="L4090" s="40"/>
      <c r="M4090"/>
      <c r="N4090"/>
      <c r="O4090"/>
      <c r="P4090"/>
      <c r="Q4090"/>
      <c r="R4090"/>
      <c r="S4090"/>
      <c r="T4090"/>
      <c r="U4090"/>
      <c r="V4090"/>
      <c r="W4090" s="41"/>
      <c r="X4090" s="41"/>
      <c r="Y4090" s="41"/>
    </row>
    <row r="4091" s="27" customFormat="1" ht="23" hidden="1" customHeight="1" spans="1:25">
      <c r="A4091" s="133" t="str">
        <f>IF(B4091="","",COUNTA($B$5:B4091))</f>
        <v/>
      </c>
      <c r="B4091" s="148"/>
      <c r="C4091" s="22" t="s">
        <v>49</v>
      </c>
      <c r="D4091" s="149"/>
      <c r="E4091" s="150"/>
      <c r="F4091" s="151"/>
      <c r="G4091" s="151"/>
      <c r="H4091" s="142">
        <f>IFERROR(VLOOKUP($C4091,$C$5:$H$18,6,0)+SUMIF($C$19:$C4091,$C4091,$F$19:$F4091)-SUMIF($C$19:$C4091,$C4091,$G$19:$G4091),"")</f>
        <v>81211.819999998</v>
      </c>
      <c r="I4091" s="147"/>
      <c r="J4091" s="147"/>
      <c r="K4091" s="147" t="str">
        <f t="shared" si="63"/>
        <v/>
      </c>
      <c r="L4091" s="40"/>
      <c r="M4091"/>
      <c r="N4091"/>
      <c r="O4091"/>
      <c r="P4091"/>
      <c r="Q4091"/>
      <c r="R4091"/>
      <c r="S4091"/>
      <c r="T4091"/>
      <c r="U4091"/>
      <c r="V4091"/>
      <c r="W4091" s="41"/>
      <c r="X4091" s="41"/>
      <c r="Y4091" s="41"/>
    </row>
    <row r="4092" s="27" customFormat="1" ht="23" hidden="1" customHeight="1" spans="1:25">
      <c r="A4092" s="133" t="str">
        <f>IF(B4092="","",COUNTA($B$5:B4092))</f>
        <v/>
      </c>
      <c r="B4092" s="148"/>
      <c r="C4092" s="22" t="s">
        <v>49</v>
      </c>
      <c r="D4092" s="149"/>
      <c r="E4092" s="150"/>
      <c r="F4092" s="151"/>
      <c r="G4092" s="151"/>
      <c r="H4092" s="142">
        <f>IFERROR(VLOOKUP($C4092,$C$5:$H$18,6,0)+SUMIF($C$19:$C4092,$C4092,$F$19:$F4092)-SUMIF($C$19:$C4092,$C4092,$G$19:$G4092),"")</f>
        <v>81211.819999998</v>
      </c>
      <c r="I4092" s="147"/>
      <c r="J4092" s="147"/>
      <c r="K4092" s="147" t="str">
        <f t="shared" si="63"/>
        <v/>
      </c>
      <c r="L4092" s="40"/>
      <c r="M4092"/>
      <c r="N4092"/>
      <c r="O4092"/>
      <c r="P4092"/>
      <c r="Q4092"/>
      <c r="R4092"/>
      <c r="S4092"/>
      <c r="T4092"/>
      <c r="U4092"/>
      <c r="V4092"/>
      <c r="W4092" s="41"/>
      <c r="X4092" s="41"/>
      <c r="Y4092" s="41"/>
    </row>
    <row r="4093" s="27" customFormat="1" ht="23" hidden="1" customHeight="1" spans="1:25">
      <c r="A4093" s="133" t="str">
        <f>IF(B4093="","",COUNTA($B$5:B4093))</f>
        <v/>
      </c>
      <c r="B4093" s="148"/>
      <c r="C4093" s="22" t="s">
        <v>49</v>
      </c>
      <c r="D4093" s="149"/>
      <c r="E4093" s="150"/>
      <c r="F4093" s="151"/>
      <c r="G4093" s="151"/>
      <c r="H4093" s="142">
        <f>IFERROR(VLOOKUP($C4093,$C$5:$H$18,6,0)+SUMIF($C$19:$C4093,$C4093,$F$19:$F4093)-SUMIF($C$19:$C4093,$C4093,$G$19:$G4093),"")</f>
        <v>81211.819999998</v>
      </c>
      <c r="I4093" s="147"/>
      <c r="J4093" s="147"/>
      <c r="K4093" s="147" t="str">
        <f t="shared" si="63"/>
        <v/>
      </c>
      <c r="L4093" s="40"/>
      <c r="M4093"/>
      <c r="N4093"/>
      <c r="O4093"/>
      <c r="P4093"/>
      <c r="Q4093"/>
      <c r="R4093"/>
      <c r="S4093"/>
      <c r="T4093"/>
      <c r="U4093"/>
      <c r="V4093"/>
      <c r="W4093" s="41"/>
      <c r="X4093" s="41"/>
      <c r="Y4093" s="41"/>
    </row>
    <row r="4094" s="27" customFormat="1" ht="23" hidden="1" customHeight="1" spans="1:25">
      <c r="A4094" s="133" t="str">
        <f>IF(B4094="","",COUNTA($B$5:B4094))</f>
        <v/>
      </c>
      <c r="B4094" s="148"/>
      <c r="C4094" s="22" t="s">
        <v>49</v>
      </c>
      <c r="D4094" s="149"/>
      <c r="E4094" s="150"/>
      <c r="F4094" s="151"/>
      <c r="G4094" s="151"/>
      <c r="H4094" s="142">
        <f>IFERROR(VLOOKUP($C4094,$C$5:$H$18,6,0)+SUMIF($C$19:$C4094,$C4094,$F$19:$F4094)-SUMIF($C$19:$C4094,$C4094,$G$19:$G4094),"")</f>
        <v>81211.819999998</v>
      </c>
      <c r="I4094" s="147"/>
      <c r="J4094" s="147"/>
      <c r="K4094" s="147" t="str">
        <f t="shared" si="63"/>
        <v/>
      </c>
      <c r="L4094" s="40"/>
      <c r="M4094"/>
      <c r="N4094"/>
      <c r="O4094"/>
      <c r="P4094"/>
      <c r="Q4094"/>
      <c r="R4094"/>
      <c r="S4094"/>
      <c r="T4094"/>
      <c r="U4094"/>
      <c r="V4094"/>
      <c r="W4094" s="41"/>
      <c r="X4094" s="41"/>
      <c r="Y4094" s="41"/>
    </row>
    <row r="4095" s="27" customFormat="1" ht="23" hidden="1" customHeight="1" spans="1:25">
      <c r="A4095" s="133" t="str">
        <f>IF(B4095="","",COUNTA($B$5:B4095))</f>
        <v/>
      </c>
      <c r="B4095" s="148"/>
      <c r="C4095" s="22" t="s">
        <v>49</v>
      </c>
      <c r="D4095" s="149"/>
      <c r="E4095" s="150"/>
      <c r="F4095" s="151"/>
      <c r="G4095" s="151"/>
      <c r="H4095" s="142">
        <f>IFERROR(VLOOKUP($C4095,$C$5:$H$18,6,0)+SUMIF($C$19:$C4095,$C4095,$F$19:$F4095)-SUMIF($C$19:$C4095,$C4095,$G$19:$G4095),"")</f>
        <v>81211.819999998</v>
      </c>
      <c r="I4095" s="147"/>
      <c r="J4095" s="147"/>
      <c r="K4095" s="147" t="str">
        <f t="shared" si="63"/>
        <v/>
      </c>
      <c r="L4095" s="40"/>
      <c r="M4095"/>
      <c r="N4095"/>
      <c r="O4095"/>
      <c r="P4095"/>
      <c r="Q4095"/>
      <c r="R4095"/>
      <c r="S4095"/>
      <c r="T4095"/>
      <c r="U4095"/>
      <c r="V4095"/>
      <c r="W4095" s="41"/>
      <c r="X4095" s="41"/>
      <c r="Y4095" s="41"/>
    </row>
    <row r="4096" s="27" customFormat="1" ht="23" hidden="1" customHeight="1" spans="1:25">
      <c r="A4096" s="133" t="str">
        <f>IF(B4096="","",COUNTA($B$5:B4096))</f>
        <v/>
      </c>
      <c r="B4096" s="148"/>
      <c r="C4096" s="22" t="s">
        <v>49</v>
      </c>
      <c r="D4096" s="149"/>
      <c r="E4096" s="150"/>
      <c r="F4096" s="151"/>
      <c r="G4096" s="151"/>
      <c r="H4096" s="142">
        <f>IFERROR(VLOOKUP($C4096,$C$5:$H$18,6,0)+SUMIF($C$19:$C4096,$C4096,$F$19:$F4096)-SUMIF($C$19:$C4096,$C4096,$G$19:$G4096),"")</f>
        <v>81211.819999998</v>
      </c>
      <c r="I4096" s="147"/>
      <c r="J4096" s="147"/>
      <c r="K4096" s="147" t="str">
        <f t="shared" si="63"/>
        <v/>
      </c>
      <c r="L4096" s="40"/>
      <c r="M4096"/>
      <c r="N4096"/>
      <c r="O4096"/>
      <c r="P4096"/>
      <c r="Q4096"/>
      <c r="R4096"/>
      <c r="S4096"/>
      <c r="T4096"/>
      <c r="U4096"/>
      <c r="V4096"/>
      <c r="W4096" s="41"/>
      <c r="X4096" s="41"/>
      <c r="Y4096" s="41"/>
    </row>
    <row r="4097" s="27" customFormat="1" ht="23" hidden="1" customHeight="1" spans="1:25">
      <c r="A4097" s="133" t="str">
        <f>IF(B4097="","",COUNTA($B$5:B4097))</f>
        <v/>
      </c>
      <c r="B4097" s="148"/>
      <c r="C4097" s="22" t="s">
        <v>49</v>
      </c>
      <c r="D4097" s="149"/>
      <c r="E4097" s="150"/>
      <c r="F4097" s="151"/>
      <c r="G4097" s="151"/>
      <c r="H4097" s="142">
        <f>IFERROR(VLOOKUP($C4097,$C$5:$H$18,6,0)+SUMIF($C$19:$C4097,$C4097,$F$19:$F4097)-SUMIF($C$19:$C4097,$C4097,$G$19:$G4097),"")</f>
        <v>81211.819999998</v>
      </c>
      <c r="I4097" s="147"/>
      <c r="J4097" s="147"/>
      <c r="K4097" s="147" t="str">
        <f t="shared" si="63"/>
        <v/>
      </c>
      <c r="L4097" s="40"/>
      <c r="M4097"/>
      <c r="N4097"/>
      <c r="O4097"/>
      <c r="P4097"/>
      <c r="Q4097"/>
      <c r="R4097"/>
      <c r="S4097"/>
      <c r="T4097"/>
      <c r="U4097"/>
      <c r="V4097"/>
      <c r="W4097" s="41"/>
      <c r="X4097" s="41"/>
      <c r="Y4097" s="41"/>
    </row>
    <row r="4098" s="27" customFormat="1" ht="23" hidden="1" customHeight="1" spans="1:25">
      <c r="A4098" s="133" t="str">
        <f>IF(B4098="","",COUNTA($B$5:B4098))</f>
        <v/>
      </c>
      <c r="B4098" s="148"/>
      <c r="C4098" s="22" t="s">
        <v>49</v>
      </c>
      <c r="D4098" s="149"/>
      <c r="E4098" s="150"/>
      <c r="F4098" s="151"/>
      <c r="G4098" s="151"/>
      <c r="H4098" s="142">
        <f>IFERROR(VLOOKUP($C4098,$C$5:$H$18,6,0)+SUMIF($C$19:$C4098,$C4098,$F$19:$F4098)-SUMIF($C$19:$C4098,$C4098,$G$19:$G4098),"")</f>
        <v>81211.819999998</v>
      </c>
      <c r="I4098" s="147"/>
      <c r="J4098" s="147"/>
      <c r="K4098" s="147" t="str">
        <f t="shared" si="63"/>
        <v/>
      </c>
      <c r="L4098" s="40"/>
      <c r="M4098"/>
      <c r="N4098"/>
      <c r="O4098"/>
      <c r="P4098"/>
      <c r="Q4098"/>
      <c r="R4098"/>
      <c r="S4098"/>
      <c r="T4098"/>
      <c r="U4098"/>
      <c r="V4098"/>
      <c r="W4098" s="41"/>
      <c r="X4098" s="41"/>
      <c r="Y4098" s="41"/>
    </row>
    <row r="4099" s="27" customFormat="1" ht="23" hidden="1" customHeight="1" spans="1:25">
      <c r="A4099" s="133" t="str">
        <f>IF(B4099="","",COUNTA($B$5:B4099))</f>
        <v/>
      </c>
      <c r="B4099" s="148"/>
      <c r="C4099" s="22" t="s">
        <v>49</v>
      </c>
      <c r="D4099" s="149"/>
      <c r="E4099" s="150"/>
      <c r="F4099" s="151"/>
      <c r="G4099" s="151"/>
      <c r="H4099" s="142">
        <f>IFERROR(VLOOKUP($C4099,$C$5:$H$18,6,0)+SUMIF($C$19:$C4099,$C4099,$F$19:$F4099)-SUMIF($C$19:$C4099,$C4099,$G$19:$G4099),"")</f>
        <v>81211.819999998</v>
      </c>
      <c r="I4099" s="147"/>
      <c r="J4099" s="147"/>
      <c r="K4099" s="147" t="str">
        <f t="shared" si="63"/>
        <v/>
      </c>
      <c r="L4099" s="40"/>
      <c r="M4099"/>
      <c r="N4099"/>
      <c r="O4099"/>
      <c r="P4099"/>
      <c r="Q4099"/>
      <c r="R4099"/>
      <c r="S4099"/>
      <c r="T4099"/>
      <c r="U4099"/>
      <c r="V4099"/>
      <c r="W4099" s="41"/>
      <c r="X4099" s="41"/>
      <c r="Y4099" s="41"/>
    </row>
    <row r="4100" s="27" customFormat="1" ht="23" hidden="1" customHeight="1" spans="1:25">
      <c r="A4100" s="133" t="str">
        <f>IF(B4100="","",COUNTA($B$5:B4100))</f>
        <v/>
      </c>
      <c r="B4100" s="148"/>
      <c r="C4100" s="22" t="s">
        <v>49</v>
      </c>
      <c r="D4100" s="149"/>
      <c r="E4100" s="150"/>
      <c r="F4100" s="151"/>
      <c r="G4100" s="151"/>
      <c r="H4100" s="142">
        <f>IFERROR(VLOOKUP($C4100,$C$5:$H$18,6,0)+SUMIF($C$19:$C4100,$C4100,$F$19:$F4100)-SUMIF($C$19:$C4100,$C4100,$G$19:$G4100),"")</f>
        <v>81211.819999998</v>
      </c>
      <c r="I4100" s="147"/>
      <c r="J4100" s="147"/>
      <c r="K4100" s="147" t="str">
        <f t="shared" si="63"/>
        <v/>
      </c>
      <c r="L4100" s="40"/>
      <c r="M4100"/>
      <c r="N4100"/>
      <c r="O4100"/>
      <c r="P4100"/>
      <c r="Q4100"/>
      <c r="R4100"/>
      <c r="S4100"/>
      <c r="T4100"/>
      <c r="U4100"/>
      <c r="V4100"/>
      <c r="W4100" s="41"/>
      <c r="X4100" s="41"/>
      <c r="Y4100" s="41"/>
    </row>
    <row r="4101" s="27" customFormat="1" ht="23" hidden="1" customHeight="1" spans="1:25">
      <c r="A4101" s="133" t="str">
        <f>IF(B4101="","",COUNTA($B$5:B4101))</f>
        <v/>
      </c>
      <c r="B4101" s="148"/>
      <c r="C4101" s="22" t="s">
        <v>49</v>
      </c>
      <c r="D4101" s="149"/>
      <c r="E4101" s="150"/>
      <c r="F4101" s="151"/>
      <c r="G4101" s="151"/>
      <c r="H4101" s="142">
        <f>IFERROR(VLOOKUP($C4101,$C$5:$H$18,6,0)+SUMIF($C$19:$C4101,$C4101,$F$19:$F4101)-SUMIF($C$19:$C4101,$C4101,$G$19:$G4101),"")</f>
        <v>81211.819999998</v>
      </c>
      <c r="I4101" s="147"/>
      <c r="J4101" s="147"/>
      <c r="K4101" s="147" t="str">
        <f t="shared" ref="K4101:K4164" si="64">IF($B4101="","",--TEXT($B4101,"yyyymm"))</f>
        <v/>
      </c>
      <c r="L4101" s="40"/>
      <c r="M4101"/>
      <c r="N4101"/>
      <c r="O4101"/>
      <c r="P4101"/>
      <c r="Q4101"/>
      <c r="R4101"/>
      <c r="S4101"/>
      <c r="T4101"/>
      <c r="U4101"/>
      <c r="V4101"/>
      <c r="W4101" s="41"/>
      <c r="X4101" s="41"/>
      <c r="Y4101" s="41"/>
    </row>
    <row r="4102" s="27" customFormat="1" ht="23" hidden="1" customHeight="1" spans="1:25">
      <c r="A4102" s="133" t="str">
        <f>IF(B4102="","",COUNTA($B$5:B4102))</f>
        <v/>
      </c>
      <c r="B4102" s="148"/>
      <c r="C4102" s="22" t="s">
        <v>49</v>
      </c>
      <c r="D4102" s="149"/>
      <c r="E4102" s="150"/>
      <c r="F4102" s="151"/>
      <c r="G4102" s="151"/>
      <c r="H4102" s="142">
        <f>IFERROR(VLOOKUP($C4102,$C$5:$H$18,6,0)+SUMIF($C$19:$C4102,$C4102,$F$19:$F4102)-SUMIF($C$19:$C4102,$C4102,$G$19:$G4102),"")</f>
        <v>81211.819999998</v>
      </c>
      <c r="I4102" s="147"/>
      <c r="J4102" s="147"/>
      <c r="K4102" s="147" t="str">
        <f t="shared" si="64"/>
        <v/>
      </c>
      <c r="L4102" s="40"/>
      <c r="M4102"/>
      <c r="N4102"/>
      <c r="O4102"/>
      <c r="P4102"/>
      <c r="Q4102"/>
      <c r="R4102"/>
      <c r="S4102"/>
      <c r="T4102"/>
      <c r="U4102"/>
      <c r="V4102"/>
      <c r="W4102" s="41"/>
      <c r="X4102" s="41"/>
      <c r="Y4102" s="41"/>
    </row>
    <row r="4103" s="27" customFormat="1" ht="23" hidden="1" customHeight="1" spans="1:25">
      <c r="A4103" s="133" t="str">
        <f>IF(B4103="","",COUNTA($B$5:B4103))</f>
        <v/>
      </c>
      <c r="B4103" s="148"/>
      <c r="C4103" s="22" t="s">
        <v>49</v>
      </c>
      <c r="D4103" s="149"/>
      <c r="E4103" s="150"/>
      <c r="F4103" s="151"/>
      <c r="G4103" s="151"/>
      <c r="H4103" s="142">
        <f>IFERROR(VLOOKUP($C4103,$C$5:$H$18,6,0)+SUMIF($C$19:$C4103,$C4103,$F$19:$F4103)-SUMIF($C$19:$C4103,$C4103,$G$19:$G4103),"")</f>
        <v>81211.819999998</v>
      </c>
      <c r="I4103" s="147"/>
      <c r="J4103" s="147"/>
      <c r="K4103" s="147" t="str">
        <f t="shared" si="64"/>
        <v/>
      </c>
      <c r="L4103" s="40"/>
      <c r="M4103"/>
      <c r="N4103"/>
      <c r="O4103"/>
      <c r="P4103"/>
      <c r="Q4103"/>
      <c r="R4103"/>
      <c r="S4103"/>
      <c r="T4103"/>
      <c r="U4103"/>
      <c r="V4103"/>
      <c r="W4103" s="41"/>
      <c r="X4103" s="41"/>
      <c r="Y4103" s="41"/>
    </row>
    <row r="4104" s="27" customFormat="1" ht="23" hidden="1" customHeight="1" spans="1:25">
      <c r="A4104" s="133" t="str">
        <f>IF(B4104="","",COUNTA($B$5:B4104))</f>
        <v/>
      </c>
      <c r="B4104" s="148"/>
      <c r="C4104" s="22" t="s">
        <v>49</v>
      </c>
      <c r="D4104" s="149"/>
      <c r="E4104" s="150"/>
      <c r="F4104" s="151"/>
      <c r="G4104" s="151"/>
      <c r="H4104" s="142">
        <f>IFERROR(VLOOKUP($C4104,$C$5:$H$18,6,0)+SUMIF($C$19:$C4104,$C4104,$F$19:$F4104)-SUMIF($C$19:$C4104,$C4104,$G$19:$G4104),"")</f>
        <v>81211.819999998</v>
      </c>
      <c r="I4104" s="147"/>
      <c r="J4104" s="147"/>
      <c r="K4104" s="147" t="str">
        <f t="shared" si="64"/>
        <v/>
      </c>
      <c r="L4104" s="40"/>
      <c r="M4104"/>
      <c r="N4104"/>
      <c r="O4104"/>
      <c r="P4104"/>
      <c r="Q4104"/>
      <c r="R4104"/>
      <c r="S4104"/>
      <c r="T4104"/>
      <c r="U4104"/>
      <c r="V4104"/>
      <c r="W4104" s="41"/>
      <c r="X4104" s="41"/>
      <c r="Y4104" s="41"/>
    </row>
    <row r="4105" s="27" customFormat="1" ht="23" hidden="1" customHeight="1" spans="1:25">
      <c r="A4105" s="133" t="str">
        <f>IF(B4105="","",COUNTA($B$5:B4105))</f>
        <v/>
      </c>
      <c r="B4105" s="148"/>
      <c r="C4105" s="22" t="s">
        <v>49</v>
      </c>
      <c r="D4105" s="149"/>
      <c r="E4105" s="150"/>
      <c r="F4105" s="151"/>
      <c r="G4105" s="151"/>
      <c r="H4105" s="142">
        <f>IFERROR(VLOOKUP($C4105,$C$5:$H$18,6,0)+SUMIF($C$19:$C4105,$C4105,$F$19:$F4105)-SUMIF($C$19:$C4105,$C4105,$G$19:$G4105),"")</f>
        <v>81211.819999998</v>
      </c>
      <c r="I4105" s="147"/>
      <c r="J4105" s="147"/>
      <c r="K4105" s="147" t="str">
        <f t="shared" si="64"/>
        <v/>
      </c>
      <c r="L4105" s="40"/>
      <c r="M4105"/>
      <c r="N4105"/>
      <c r="O4105"/>
      <c r="P4105"/>
      <c r="Q4105"/>
      <c r="R4105"/>
      <c r="S4105"/>
      <c r="T4105"/>
      <c r="U4105"/>
      <c r="V4105"/>
      <c r="W4105" s="41"/>
      <c r="X4105" s="41"/>
      <c r="Y4105" s="41"/>
    </row>
    <row r="4106" s="27" customFormat="1" ht="23" hidden="1" customHeight="1" spans="1:25">
      <c r="A4106" s="133" t="str">
        <f>IF(B4106="","",COUNTA($B$5:B4106))</f>
        <v/>
      </c>
      <c r="B4106" s="148"/>
      <c r="C4106" s="22" t="s">
        <v>49</v>
      </c>
      <c r="D4106" s="149"/>
      <c r="E4106" s="150"/>
      <c r="F4106" s="151"/>
      <c r="G4106" s="151"/>
      <c r="H4106" s="142">
        <f>IFERROR(VLOOKUP($C4106,$C$5:$H$18,6,0)+SUMIF($C$19:$C4106,$C4106,$F$19:$F4106)-SUMIF($C$19:$C4106,$C4106,$G$19:$G4106),"")</f>
        <v>81211.819999998</v>
      </c>
      <c r="I4106" s="147"/>
      <c r="J4106" s="147"/>
      <c r="K4106" s="147" t="str">
        <f t="shared" si="64"/>
        <v/>
      </c>
      <c r="L4106" s="40"/>
      <c r="M4106"/>
      <c r="N4106"/>
      <c r="O4106"/>
      <c r="P4106"/>
      <c r="Q4106"/>
      <c r="R4106"/>
      <c r="S4106"/>
      <c r="T4106"/>
      <c r="U4106"/>
      <c r="V4106"/>
      <c r="W4106" s="41"/>
      <c r="X4106" s="41"/>
      <c r="Y4106" s="41"/>
    </row>
    <row r="4107" s="27" customFormat="1" ht="23" hidden="1" customHeight="1" spans="1:25">
      <c r="A4107" s="133" t="str">
        <f>IF(B4107="","",COUNTA($B$5:B4107))</f>
        <v/>
      </c>
      <c r="B4107" s="148"/>
      <c r="C4107" s="22" t="s">
        <v>49</v>
      </c>
      <c r="D4107" s="149"/>
      <c r="E4107" s="150"/>
      <c r="F4107" s="151"/>
      <c r="G4107" s="151"/>
      <c r="H4107" s="142">
        <f>IFERROR(VLOOKUP($C4107,$C$5:$H$18,6,0)+SUMIF($C$19:$C4107,$C4107,$F$19:$F4107)-SUMIF($C$19:$C4107,$C4107,$G$19:$G4107),"")</f>
        <v>81211.819999998</v>
      </c>
      <c r="I4107" s="147"/>
      <c r="J4107" s="147"/>
      <c r="K4107" s="147" t="str">
        <f t="shared" si="64"/>
        <v/>
      </c>
      <c r="L4107" s="40"/>
      <c r="M4107"/>
      <c r="N4107"/>
      <c r="O4107"/>
      <c r="P4107"/>
      <c r="Q4107"/>
      <c r="R4107"/>
      <c r="S4107"/>
      <c r="T4107"/>
      <c r="U4107"/>
      <c r="V4107"/>
      <c r="W4107" s="41"/>
      <c r="X4107" s="41"/>
      <c r="Y4107" s="41"/>
    </row>
    <row r="4108" s="27" customFormat="1" ht="23" hidden="1" customHeight="1" spans="1:25">
      <c r="A4108" s="133" t="str">
        <f>IF(B4108="","",COUNTA($B$5:B4108))</f>
        <v/>
      </c>
      <c r="B4108" s="148"/>
      <c r="C4108" s="22" t="s">
        <v>49</v>
      </c>
      <c r="D4108" s="149"/>
      <c r="E4108" s="150"/>
      <c r="F4108" s="151"/>
      <c r="G4108" s="151"/>
      <c r="H4108" s="142">
        <f>IFERROR(VLOOKUP($C4108,$C$5:$H$18,6,0)+SUMIF($C$19:$C4108,$C4108,$F$19:$F4108)-SUMIF($C$19:$C4108,$C4108,$G$19:$G4108),"")</f>
        <v>81211.819999998</v>
      </c>
      <c r="I4108" s="147"/>
      <c r="J4108" s="147"/>
      <c r="K4108" s="147" t="str">
        <f t="shared" si="64"/>
        <v/>
      </c>
      <c r="L4108" s="40"/>
      <c r="M4108"/>
      <c r="N4108"/>
      <c r="O4108"/>
      <c r="P4108"/>
      <c r="Q4108"/>
      <c r="R4108"/>
      <c r="S4108"/>
      <c r="T4108"/>
      <c r="U4108"/>
      <c r="V4108"/>
      <c r="W4108" s="41"/>
      <c r="X4108" s="41"/>
      <c r="Y4108" s="41"/>
    </row>
    <row r="4109" s="27" customFormat="1" ht="23" hidden="1" customHeight="1" spans="1:25">
      <c r="A4109" s="133" t="str">
        <f>IF(B4109="","",COUNTA($B$5:B4109))</f>
        <v/>
      </c>
      <c r="B4109" s="148"/>
      <c r="C4109" s="22" t="s">
        <v>49</v>
      </c>
      <c r="D4109" s="149"/>
      <c r="E4109" s="150"/>
      <c r="F4109" s="151"/>
      <c r="G4109" s="151"/>
      <c r="H4109" s="142">
        <f>IFERROR(VLOOKUP($C4109,$C$5:$H$18,6,0)+SUMIF($C$19:$C4109,$C4109,$F$19:$F4109)-SUMIF($C$19:$C4109,$C4109,$G$19:$G4109),"")</f>
        <v>81211.819999998</v>
      </c>
      <c r="I4109" s="147"/>
      <c r="J4109" s="147"/>
      <c r="K4109" s="147" t="str">
        <f t="shared" si="64"/>
        <v/>
      </c>
      <c r="L4109" s="40"/>
      <c r="M4109"/>
      <c r="N4109"/>
      <c r="O4109"/>
      <c r="P4109"/>
      <c r="Q4109"/>
      <c r="R4109"/>
      <c r="S4109"/>
      <c r="T4109"/>
      <c r="U4109"/>
      <c r="V4109"/>
      <c r="W4109" s="41"/>
      <c r="X4109" s="41"/>
      <c r="Y4109" s="41"/>
    </row>
    <row r="4110" s="27" customFormat="1" ht="23" hidden="1" customHeight="1" spans="1:25">
      <c r="A4110" s="133" t="str">
        <f>IF(B4110="","",COUNTA($B$5:B4110))</f>
        <v/>
      </c>
      <c r="B4110" s="148"/>
      <c r="C4110" s="22" t="s">
        <v>49</v>
      </c>
      <c r="D4110" s="149"/>
      <c r="E4110" s="150"/>
      <c r="F4110" s="151"/>
      <c r="G4110" s="151"/>
      <c r="H4110" s="142">
        <f>IFERROR(VLOOKUP($C4110,$C$5:$H$18,6,0)+SUMIF($C$19:$C4110,$C4110,$F$19:$F4110)-SUMIF($C$19:$C4110,$C4110,$G$19:$G4110),"")</f>
        <v>81211.819999998</v>
      </c>
      <c r="I4110" s="147"/>
      <c r="J4110" s="147"/>
      <c r="K4110" s="147" t="str">
        <f t="shared" si="64"/>
        <v/>
      </c>
      <c r="L4110" s="40"/>
      <c r="M4110"/>
      <c r="N4110"/>
      <c r="O4110"/>
      <c r="P4110"/>
      <c r="Q4110"/>
      <c r="R4110"/>
      <c r="S4110"/>
      <c r="T4110"/>
      <c r="U4110"/>
      <c r="V4110"/>
      <c r="W4110" s="41"/>
      <c r="X4110" s="41"/>
      <c r="Y4110" s="41"/>
    </row>
    <row r="4111" s="27" customFormat="1" ht="23" hidden="1" customHeight="1" spans="1:25">
      <c r="A4111" s="133" t="str">
        <f>IF(B4111="","",COUNTA($B$5:B4111))</f>
        <v/>
      </c>
      <c r="B4111" s="148"/>
      <c r="C4111" s="22" t="s">
        <v>49</v>
      </c>
      <c r="D4111" s="149"/>
      <c r="E4111" s="150"/>
      <c r="F4111" s="151"/>
      <c r="G4111" s="151"/>
      <c r="H4111" s="142">
        <f>IFERROR(VLOOKUP($C4111,$C$5:$H$18,6,0)+SUMIF($C$19:$C4111,$C4111,$F$19:$F4111)-SUMIF($C$19:$C4111,$C4111,$G$19:$G4111),"")</f>
        <v>81211.819999998</v>
      </c>
      <c r="I4111" s="147"/>
      <c r="J4111" s="147"/>
      <c r="K4111" s="147" t="str">
        <f t="shared" si="64"/>
        <v/>
      </c>
      <c r="L4111" s="40"/>
      <c r="M4111"/>
      <c r="N4111"/>
      <c r="O4111"/>
      <c r="P4111"/>
      <c r="Q4111"/>
      <c r="R4111"/>
      <c r="S4111"/>
      <c r="T4111"/>
      <c r="U4111"/>
      <c r="V4111"/>
      <c r="W4111" s="41"/>
      <c r="X4111" s="41"/>
      <c r="Y4111" s="41"/>
    </row>
    <row r="4112" s="27" customFormat="1" ht="23" hidden="1" customHeight="1" spans="1:25">
      <c r="A4112" s="133" t="str">
        <f>IF(B4112="","",COUNTA($B$5:B4112))</f>
        <v/>
      </c>
      <c r="B4112" s="148"/>
      <c r="C4112" s="22" t="s">
        <v>49</v>
      </c>
      <c r="D4112" s="149"/>
      <c r="E4112" s="150"/>
      <c r="F4112" s="151"/>
      <c r="G4112" s="151"/>
      <c r="H4112" s="142">
        <f>IFERROR(VLOOKUP($C4112,$C$5:$H$18,6,0)+SUMIF($C$19:$C4112,$C4112,$F$19:$F4112)-SUMIF($C$19:$C4112,$C4112,$G$19:$G4112),"")</f>
        <v>81211.819999998</v>
      </c>
      <c r="I4112" s="147"/>
      <c r="J4112" s="147"/>
      <c r="K4112" s="147" t="str">
        <f t="shared" si="64"/>
        <v/>
      </c>
      <c r="L4112" s="40"/>
      <c r="M4112"/>
      <c r="N4112"/>
      <c r="O4112"/>
      <c r="P4112"/>
      <c r="Q4112"/>
      <c r="R4112"/>
      <c r="S4112"/>
      <c r="T4112"/>
      <c r="U4112"/>
      <c r="V4112"/>
      <c r="W4112" s="41"/>
      <c r="X4112" s="41"/>
      <c r="Y4112" s="41"/>
    </row>
    <row r="4113" s="27" customFormat="1" ht="23" hidden="1" customHeight="1" spans="1:25">
      <c r="A4113" s="133" t="str">
        <f>IF(B4113="","",COUNTA($B$5:B4113))</f>
        <v/>
      </c>
      <c r="B4113" s="148"/>
      <c r="C4113" s="22" t="s">
        <v>49</v>
      </c>
      <c r="D4113" s="149"/>
      <c r="E4113" s="150"/>
      <c r="F4113" s="151"/>
      <c r="G4113" s="151"/>
      <c r="H4113" s="142">
        <f>IFERROR(VLOOKUP($C4113,$C$5:$H$18,6,0)+SUMIF($C$19:$C4113,$C4113,$F$19:$F4113)-SUMIF($C$19:$C4113,$C4113,$G$19:$G4113),"")</f>
        <v>81211.819999998</v>
      </c>
      <c r="I4113" s="147"/>
      <c r="J4113" s="147"/>
      <c r="K4113" s="147" t="str">
        <f t="shared" si="64"/>
        <v/>
      </c>
      <c r="L4113" s="40"/>
      <c r="M4113"/>
      <c r="N4113"/>
      <c r="O4113"/>
      <c r="P4113"/>
      <c r="Q4113"/>
      <c r="R4113"/>
      <c r="S4113"/>
      <c r="T4113"/>
      <c r="U4113"/>
      <c r="V4113"/>
      <c r="W4113" s="41"/>
      <c r="X4113" s="41"/>
      <c r="Y4113" s="41"/>
    </row>
    <row r="4114" s="27" customFormat="1" ht="23" hidden="1" customHeight="1" spans="1:25">
      <c r="A4114" s="133" t="str">
        <f>IF(B4114="","",COUNTA($B$5:B4114))</f>
        <v/>
      </c>
      <c r="B4114" s="148"/>
      <c r="C4114" s="22" t="s">
        <v>49</v>
      </c>
      <c r="D4114" s="149"/>
      <c r="E4114" s="150"/>
      <c r="F4114" s="151"/>
      <c r="G4114" s="151"/>
      <c r="H4114" s="142">
        <f>IFERROR(VLOOKUP($C4114,$C$5:$H$18,6,0)+SUMIF($C$19:$C4114,$C4114,$F$19:$F4114)-SUMIF($C$19:$C4114,$C4114,$G$19:$G4114),"")</f>
        <v>81211.819999998</v>
      </c>
      <c r="I4114" s="147"/>
      <c r="J4114" s="147"/>
      <c r="K4114" s="147" t="str">
        <f t="shared" si="64"/>
        <v/>
      </c>
      <c r="L4114" s="40"/>
      <c r="M4114"/>
      <c r="N4114"/>
      <c r="O4114"/>
      <c r="P4114"/>
      <c r="Q4114"/>
      <c r="R4114"/>
      <c r="S4114"/>
      <c r="T4114"/>
      <c r="U4114"/>
      <c r="V4114"/>
      <c r="W4114" s="41"/>
      <c r="X4114" s="41"/>
      <c r="Y4114" s="41"/>
    </row>
    <row r="4115" s="27" customFormat="1" ht="23" hidden="1" customHeight="1" spans="1:25">
      <c r="A4115" s="133" t="str">
        <f>IF(B4115="","",COUNTA($B$5:B4115))</f>
        <v/>
      </c>
      <c r="B4115" s="148"/>
      <c r="C4115" s="22" t="s">
        <v>49</v>
      </c>
      <c r="D4115" s="149"/>
      <c r="E4115" s="150"/>
      <c r="F4115" s="151"/>
      <c r="G4115" s="151"/>
      <c r="H4115" s="142">
        <f>IFERROR(VLOOKUP($C4115,$C$5:$H$18,6,0)+SUMIF($C$19:$C4115,$C4115,$F$19:$F4115)-SUMIF($C$19:$C4115,$C4115,$G$19:$G4115),"")</f>
        <v>81211.819999998</v>
      </c>
      <c r="I4115" s="147"/>
      <c r="J4115" s="147"/>
      <c r="K4115" s="147" t="str">
        <f t="shared" si="64"/>
        <v/>
      </c>
      <c r="L4115" s="40"/>
      <c r="M4115"/>
      <c r="N4115"/>
      <c r="O4115"/>
      <c r="P4115"/>
      <c r="Q4115"/>
      <c r="R4115"/>
      <c r="S4115"/>
      <c r="T4115"/>
      <c r="U4115"/>
      <c r="V4115"/>
      <c r="W4115" s="41"/>
      <c r="X4115" s="41"/>
      <c r="Y4115" s="41"/>
    </row>
    <row r="4116" s="27" customFormat="1" ht="23" hidden="1" customHeight="1" spans="1:25">
      <c r="A4116" s="133" t="str">
        <f>IF(B4116="","",COUNTA($B$5:B4116))</f>
        <v/>
      </c>
      <c r="B4116" s="148"/>
      <c r="C4116" s="22" t="s">
        <v>49</v>
      </c>
      <c r="D4116" s="149"/>
      <c r="E4116" s="150"/>
      <c r="F4116" s="151"/>
      <c r="G4116" s="151"/>
      <c r="H4116" s="142">
        <f>IFERROR(VLOOKUP($C4116,$C$5:$H$18,6,0)+SUMIF($C$19:$C4116,$C4116,$F$19:$F4116)-SUMIF($C$19:$C4116,$C4116,$G$19:$G4116),"")</f>
        <v>81211.819999998</v>
      </c>
      <c r="I4116" s="147"/>
      <c r="J4116" s="147"/>
      <c r="K4116" s="147" t="str">
        <f t="shared" si="64"/>
        <v/>
      </c>
      <c r="L4116" s="40"/>
      <c r="M4116"/>
      <c r="N4116"/>
      <c r="O4116"/>
      <c r="P4116"/>
      <c r="Q4116"/>
      <c r="R4116"/>
      <c r="S4116"/>
      <c r="T4116"/>
      <c r="U4116"/>
      <c r="V4116"/>
      <c r="W4116" s="41"/>
      <c r="X4116" s="41"/>
      <c r="Y4116" s="41"/>
    </row>
    <row r="4117" s="27" customFormat="1" ht="23" hidden="1" customHeight="1" spans="1:25">
      <c r="A4117" s="133" t="str">
        <f>IF(B4117="","",COUNTA($B$5:B4117))</f>
        <v/>
      </c>
      <c r="B4117" s="148"/>
      <c r="C4117" s="22" t="s">
        <v>49</v>
      </c>
      <c r="D4117" s="149"/>
      <c r="E4117" s="150"/>
      <c r="F4117" s="151"/>
      <c r="G4117" s="151"/>
      <c r="H4117" s="142">
        <f>IFERROR(VLOOKUP($C4117,$C$5:$H$18,6,0)+SUMIF($C$19:$C4117,$C4117,$F$19:$F4117)-SUMIF($C$19:$C4117,$C4117,$G$19:$G4117),"")</f>
        <v>81211.819999998</v>
      </c>
      <c r="I4117" s="147"/>
      <c r="J4117" s="147"/>
      <c r="K4117" s="147" t="str">
        <f t="shared" si="64"/>
        <v/>
      </c>
      <c r="L4117" s="40"/>
      <c r="M4117"/>
      <c r="N4117"/>
      <c r="O4117"/>
      <c r="P4117"/>
      <c r="Q4117"/>
      <c r="R4117"/>
      <c r="S4117"/>
      <c r="T4117"/>
      <c r="U4117"/>
      <c r="V4117"/>
      <c r="W4117" s="41"/>
      <c r="X4117" s="41"/>
      <c r="Y4117" s="41"/>
    </row>
    <row r="4118" s="27" customFormat="1" ht="23" hidden="1" customHeight="1" spans="1:25">
      <c r="A4118" s="133" t="str">
        <f>IF(B4118="","",COUNTA($B$5:B4118))</f>
        <v/>
      </c>
      <c r="B4118" s="148"/>
      <c r="C4118" s="22" t="s">
        <v>49</v>
      </c>
      <c r="D4118" s="149"/>
      <c r="E4118" s="150"/>
      <c r="F4118" s="151"/>
      <c r="G4118" s="151"/>
      <c r="H4118" s="142">
        <f>IFERROR(VLOOKUP($C4118,$C$5:$H$18,6,0)+SUMIF($C$19:$C4118,$C4118,$F$19:$F4118)-SUMIF($C$19:$C4118,$C4118,$G$19:$G4118),"")</f>
        <v>81211.819999998</v>
      </c>
      <c r="I4118" s="147"/>
      <c r="J4118" s="147"/>
      <c r="K4118" s="147" t="str">
        <f t="shared" si="64"/>
        <v/>
      </c>
      <c r="L4118" s="40"/>
      <c r="M4118"/>
      <c r="N4118"/>
      <c r="O4118"/>
      <c r="P4118"/>
      <c r="Q4118"/>
      <c r="R4118"/>
      <c r="S4118"/>
      <c r="T4118"/>
      <c r="U4118"/>
      <c r="V4118"/>
      <c r="W4118" s="41"/>
      <c r="X4118" s="41"/>
      <c r="Y4118" s="41"/>
    </row>
    <row r="4119" s="27" customFormat="1" ht="23" hidden="1" customHeight="1" spans="1:25">
      <c r="A4119" s="133" t="str">
        <f>IF(B4119="","",COUNTA($B$5:B4119))</f>
        <v/>
      </c>
      <c r="B4119" s="148"/>
      <c r="C4119" s="22" t="s">
        <v>49</v>
      </c>
      <c r="D4119" s="149"/>
      <c r="E4119" s="150"/>
      <c r="F4119" s="151"/>
      <c r="G4119" s="151"/>
      <c r="H4119" s="142">
        <f>IFERROR(VLOOKUP($C4119,$C$5:$H$18,6,0)+SUMIF($C$19:$C4119,$C4119,$F$19:$F4119)-SUMIF($C$19:$C4119,$C4119,$G$19:$G4119),"")</f>
        <v>81211.819999998</v>
      </c>
      <c r="I4119" s="147"/>
      <c r="J4119" s="147"/>
      <c r="K4119" s="147" t="str">
        <f t="shared" si="64"/>
        <v/>
      </c>
      <c r="L4119" s="40"/>
      <c r="M4119"/>
      <c r="N4119"/>
      <c r="O4119"/>
      <c r="P4119"/>
      <c r="Q4119"/>
      <c r="R4119"/>
      <c r="S4119"/>
      <c r="T4119"/>
      <c r="U4119"/>
      <c r="V4119"/>
      <c r="W4119" s="41"/>
      <c r="X4119" s="41"/>
      <c r="Y4119" s="41"/>
    </row>
    <row r="4120" s="27" customFormat="1" ht="23" hidden="1" customHeight="1" spans="1:25">
      <c r="A4120" s="133" t="str">
        <f>IF(B4120="","",COUNTA($B$5:B4120))</f>
        <v/>
      </c>
      <c r="B4120" s="148"/>
      <c r="C4120" s="22" t="s">
        <v>49</v>
      </c>
      <c r="D4120" s="149"/>
      <c r="E4120" s="150"/>
      <c r="F4120" s="151"/>
      <c r="G4120" s="151"/>
      <c r="H4120" s="142">
        <f>IFERROR(VLOOKUP($C4120,$C$5:$H$18,6,0)+SUMIF($C$19:$C4120,$C4120,$F$19:$F4120)-SUMIF($C$19:$C4120,$C4120,$G$19:$G4120),"")</f>
        <v>81211.819999998</v>
      </c>
      <c r="I4120" s="147"/>
      <c r="J4120" s="147"/>
      <c r="K4120" s="147" t="str">
        <f t="shared" si="64"/>
        <v/>
      </c>
      <c r="L4120" s="40"/>
      <c r="M4120"/>
      <c r="N4120"/>
      <c r="O4120"/>
      <c r="P4120"/>
      <c r="Q4120"/>
      <c r="R4120"/>
      <c r="S4120"/>
      <c r="T4120"/>
      <c r="U4120"/>
      <c r="V4120"/>
      <c r="W4120" s="41"/>
      <c r="X4120" s="41"/>
      <c r="Y4120" s="41"/>
    </row>
    <row r="4121" s="27" customFormat="1" ht="23" hidden="1" customHeight="1" spans="1:25">
      <c r="A4121" s="133" t="str">
        <f>IF(B4121="","",COUNTA($B$5:B4121))</f>
        <v/>
      </c>
      <c r="B4121" s="148"/>
      <c r="C4121" s="22" t="s">
        <v>49</v>
      </c>
      <c r="D4121" s="149"/>
      <c r="E4121" s="150"/>
      <c r="F4121" s="151"/>
      <c r="G4121" s="151"/>
      <c r="H4121" s="142">
        <f>IFERROR(VLOOKUP($C4121,$C$5:$H$18,6,0)+SUMIF($C$19:$C4121,$C4121,$F$19:$F4121)-SUMIF($C$19:$C4121,$C4121,$G$19:$G4121),"")</f>
        <v>81211.819999998</v>
      </c>
      <c r="I4121" s="147"/>
      <c r="J4121" s="147"/>
      <c r="K4121" s="147" t="str">
        <f t="shared" si="64"/>
        <v/>
      </c>
      <c r="L4121" s="40"/>
      <c r="M4121"/>
      <c r="N4121"/>
      <c r="O4121"/>
      <c r="P4121"/>
      <c r="Q4121"/>
      <c r="R4121"/>
      <c r="S4121"/>
      <c r="T4121"/>
      <c r="U4121"/>
      <c r="V4121"/>
      <c r="W4121" s="41"/>
      <c r="X4121" s="41"/>
      <c r="Y4121" s="41"/>
    </row>
    <row r="4122" s="27" customFormat="1" ht="23" hidden="1" customHeight="1" spans="1:25">
      <c r="A4122" s="133" t="str">
        <f>IF(B4122="","",COUNTA($B$5:B4122))</f>
        <v/>
      </c>
      <c r="B4122" s="148"/>
      <c r="C4122" s="22" t="s">
        <v>49</v>
      </c>
      <c r="D4122" s="149"/>
      <c r="E4122" s="150"/>
      <c r="F4122" s="151"/>
      <c r="G4122" s="151"/>
      <c r="H4122" s="142">
        <f>IFERROR(VLOOKUP($C4122,$C$5:$H$18,6,0)+SUMIF($C$19:$C4122,$C4122,$F$19:$F4122)-SUMIF($C$19:$C4122,$C4122,$G$19:$G4122),"")</f>
        <v>81211.819999998</v>
      </c>
      <c r="I4122" s="147"/>
      <c r="J4122" s="147"/>
      <c r="K4122" s="147" t="str">
        <f t="shared" si="64"/>
        <v/>
      </c>
      <c r="L4122" s="40"/>
      <c r="M4122"/>
      <c r="N4122"/>
      <c r="O4122"/>
      <c r="P4122"/>
      <c r="Q4122"/>
      <c r="R4122"/>
      <c r="S4122"/>
      <c r="T4122"/>
      <c r="U4122"/>
      <c r="V4122"/>
      <c r="W4122" s="41"/>
      <c r="X4122" s="41"/>
      <c r="Y4122" s="41"/>
    </row>
    <row r="4123" s="27" customFormat="1" ht="23" hidden="1" customHeight="1" spans="1:25">
      <c r="A4123" s="133" t="str">
        <f>IF(B4123="","",COUNTA($B$5:B4123))</f>
        <v/>
      </c>
      <c r="B4123" s="148"/>
      <c r="C4123" s="22" t="s">
        <v>49</v>
      </c>
      <c r="D4123" s="149"/>
      <c r="E4123" s="150"/>
      <c r="F4123" s="151"/>
      <c r="G4123" s="151"/>
      <c r="H4123" s="142">
        <f>IFERROR(VLOOKUP($C4123,$C$5:$H$18,6,0)+SUMIF($C$19:$C4123,$C4123,$F$19:$F4123)-SUMIF($C$19:$C4123,$C4123,$G$19:$G4123),"")</f>
        <v>81211.819999998</v>
      </c>
      <c r="I4123" s="147"/>
      <c r="J4123" s="147"/>
      <c r="K4123" s="147" t="str">
        <f t="shared" si="64"/>
        <v/>
      </c>
      <c r="L4123" s="40"/>
      <c r="M4123"/>
      <c r="N4123"/>
      <c r="O4123"/>
      <c r="P4123"/>
      <c r="Q4123"/>
      <c r="R4123"/>
      <c r="S4123"/>
      <c r="T4123"/>
      <c r="U4123"/>
      <c r="V4123"/>
      <c r="W4123" s="41"/>
      <c r="X4123" s="41"/>
      <c r="Y4123" s="41"/>
    </row>
    <row r="4124" s="27" customFormat="1" ht="23" hidden="1" customHeight="1" spans="1:25">
      <c r="A4124" s="133" t="str">
        <f>IF(B4124="","",COUNTA($B$5:B4124))</f>
        <v/>
      </c>
      <c r="B4124" s="148"/>
      <c r="C4124" s="22" t="s">
        <v>49</v>
      </c>
      <c r="D4124" s="149"/>
      <c r="E4124" s="150"/>
      <c r="F4124" s="151"/>
      <c r="G4124" s="151"/>
      <c r="H4124" s="142">
        <f>IFERROR(VLOOKUP($C4124,$C$5:$H$18,6,0)+SUMIF($C$19:$C4124,$C4124,$F$19:$F4124)-SUMIF($C$19:$C4124,$C4124,$G$19:$G4124),"")</f>
        <v>81211.819999998</v>
      </c>
      <c r="I4124" s="147"/>
      <c r="J4124" s="147"/>
      <c r="K4124" s="147" t="str">
        <f t="shared" si="64"/>
        <v/>
      </c>
      <c r="L4124" s="40"/>
      <c r="M4124"/>
      <c r="N4124"/>
      <c r="O4124"/>
      <c r="P4124"/>
      <c r="Q4124"/>
      <c r="R4124"/>
      <c r="S4124"/>
      <c r="T4124"/>
      <c r="U4124"/>
      <c r="V4124"/>
      <c r="W4124" s="41"/>
      <c r="X4124" s="41"/>
      <c r="Y4124" s="41"/>
    </row>
    <row r="4125" s="27" customFormat="1" ht="23" hidden="1" customHeight="1" spans="1:25">
      <c r="A4125" s="133" t="str">
        <f>IF(B4125="","",COUNTA($B$5:B4125))</f>
        <v/>
      </c>
      <c r="B4125" s="148"/>
      <c r="C4125" s="22" t="s">
        <v>49</v>
      </c>
      <c r="D4125" s="149"/>
      <c r="E4125" s="150"/>
      <c r="F4125" s="151"/>
      <c r="G4125" s="151"/>
      <c r="H4125" s="142">
        <f>IFERROR(VLOOKUP($C4125,$C$5:$H$18,6,0)+SUMIF($C$19:$C4125,$C4125,$F$19:$F4125)-SUMIF($C$19:$C4125,$C4125,$G$19:$G4125),"")</f>
        <v>81211.819999998</v>
      </c>
      <c r="I4125" s="147"/>
      <c r="J4125" s="147"/>
      <c r="K4125" s="147" t="str">
        <f t="shared" si="64"/>
        <v/>
      </c>
      <c r="L4125" s="40"/>
      <c r="M4125"/>
      <c r="N4125"/>
      <c r="O4125"/>
      <c r="P4125"/>
      <c r="Q4125"/>
      <c r="R4125"/>
      <c r="S4125"/>
      <c r="T4125"/>
      <c r="U4125"/>
      <c r="V4125"/>
      <c r="W4125" s="41"/>
      <c r="X4125" s="41"/>
      <c r="Y4125" s="41"/>
    </row>
    <row r="4126" s="27" customFormat="1" ht="23" hidden="1" customHeight="1" spans="1:25">
      <c r="A4126" s="133" t="str">
        <f>IF(B4126="","",COUNTA($B$5:B4126))</f>
        <v/>
      </c>
      <c r="B4126" s="148"/>
      <c r="C4126" s="22" t="s">
        <v>49</v>
      </c>
      <c r="D4126" s="149"/>
      <c r="E4126" s="150"/>
      <c r="F4126" s="151"/>
      <c r="G4126" s="151"/>
      <c r="H4126" s="142">
        <f>IFERROR(VLOOKUP($C4126,$C$5:$H$18,6,0)+SUMIF($C$19:$C4126,$C4126,$F$19:$F4126)-SUMIF($C$19:$C4126,$C4126,$G$19:$G4126),"")</f>
        <v>81211.819999998</v>
      </c>
      <c r="I4126" s="147"/>
      <c r="J4126" s="147"/>
      <c r="K4126" s="147" t="str">
        <f t="shared" si="64"/>
        <v/>
      </c>
      <c r="L4126" s="40"/>
      <c r="M4126"/>
      <c r="N4126"/>
      <c r="O4126"/>
      <c r="P4126"/>
      <c r="Q4126"/>
      <c r="R4126"/>
      <c r="S4126"/>
      <c r="T4126"/>
      <c r="U4126"/>
      <c r="V4126"/>
      <c r="W4126" s="41"/>
      <c r="X4126" s="41"/>
      <c r="Y4126" s="41"/>
    </row>
    <row r="4127" s="27" customFormat="1" ht="23" hidden="1" customHeight="1" spans="1:25">
      <c r="A4127" s="133" t="str">
        <f>IF(B4127="","",COUNTA($B$5:B4127))</f>
        <v/>
      </c>
      <c r="B4127" s="148"/>
      <c r="C4127" s="22" t="s">
        <v>49</v>
      </c>
      <c r="D4127" s="149"/>
      <c r="E4127" s="150"/>
      <c r="F4127" s="151"/>
      <c r="G4127" s="151"/>
      <c r="H4127" s="142">
        <f>IFERROR(VLOOKUP($C4127,$C$5:$H$18,6,0)+SUMIF($C$19:$C4127,$C4127,$F$19:$F4127)-SUMIF($C$19:$C4127,$C4127,$G$19:$G4127),"")</f>
        <v>81211.819999998</v>
      </c>
      <c r="I4127" s="147"/>
      <c r="J4127" s="147"/>
      <c r="K4127" s="147" t="str">
        <f t="shared" si="64"/>
        <v/>
      </c>
      <c r="L4127" s="40"/>
      <c r="M4127"/>
      <c r="N4127"/>
      <c r="O4127"/>
      <c r="P4127"/>
      <c r="Q4127"/>
      <c r="R4127"/>
      <c r="S4127"/>
      <c r="T4127"/>
      <c r="U4127"/>
      <c r="V4127"/>
      <c r="W4127" s="41"/>
      <c r="X4127" s="41"/>
      <c r="Y4127" s="41"/>
    </row>
    <row r="4128" s="27" customFormat="1" ht="23" hidden="1" customHeight="1" spans="1:25">
      <c r="A4128" s="133" t="str">
        <f>IF(B4128="","",COUNTA($B$5:B4128))</f>
        <v/>
      </c>
      <c r="B4128" s="148"/>
      <c r="C4128" s="22" t="s">
        <v>49</v>
      </c>
      <c r="D4128" s="149"/>
      <c r="E4128" s="150"/>
      <c r="F4128" s="151"/>
      <c r="G4128" s="151"/>
      <c r="H4128" s="142">
        <f>IFERROR(VLOOKUP($C4128,$C$5:$H$18,6,0)+SUMIF($C$19:$C4128,$C4128,$F$19:$F4128)-SUMIF($C$19:$C4128,$C4128,$G$19:$G4128),"")</f>
        <v>81211.819999998</v>
      </c>
      <c r="I4128" s="147"/>
      <c r="J4128" s="147"/>
      <c r="K4128" s="147" t="str">
        <f t="shared" si="64"/>
        <v/>
      </c>
      <c r="L4128" s="40"/>
      <c r="M4128"/>
      <c r="N4128"/>
      <c r="O4128"/>
      <c r="P4128"/>
      <c r="Q4128"/>
      <c r="R4128"/>
      <c r="S4128"/>
      <c r="T4128"/>
      <c r="U4128"/>
      <c r="V4128"/>
      <c r="W4128" s="41"/>
      <c r="X4128" s="41"/>
      <c r="Y4128" s="41"/>
    </row>
    <row r="4129" s="27" customFormat="1" ht="23" hidden="1" customHeight="1" spans="1:25">
      <c r="A4129" s="133" t="str">
        <f>IF(B4129="","",COUNTA($B$5:B4129))</f>
        <v/>
      </c>
      <c r="B4129" s="148"/>
      <c r="C4129" s="22" t="s">
        <v>49</v>
      </c>
      <c r="D4129" s="149"/>
      <c r="E4129" s="150"/>
      <c r="F4129" s="151"/>
      <c r="G4129" s="151"/>
      <c r="H4129" s="142">
        <f>IFERROR(VLOOKUP($C4129,$C$5:$H$18,6,0)+SUMIF($C$19:$C4129,$C4129,$F$19:$F4129)-SUMIF($C$19:$C4129,$C4129,$G$19:$G4129),"")</f>
        <v>81211.819999998</v>
      </c>
      <c r="I4129" s="147"/>
      <c r="J4129" s="147"/>
      <c r="K4129" s="147" t="str">
        <f t="shared" si="64"/>
        <v/>
      </c>
      <c r="L4129" s="40"/>
      <c r="M4129"/>
      <c r="N4129"/>
      <c r="O4129"/>
      <c r="P4129"/>
      <c r="Q4129"/>
      <c r="R4129"/>
      <c r="S4129"/>
      <c r="T4129"/>
      <c r="U4129"/>
      <c r="V4129"/>
      <c r="W4129" s="41"/>
      <c r="X4129" s="41"/>
      <c r="Y4129" s="41"/>
    </row>
    <row r="4130" s="27" customFormat="1" ht="23" hidden="1" customHeight="1" spans="1:25">
      <c r="A4130" s="133" t="str">
        <f>IF(B4130="","",COUNTA($B$5:B4130))</f>
        <v/>
      </c>
      <c r="B4130" s="148"/>
      <c r="C4130" s="22" t="s">
        <v>49</v>
      </c>
      <c r="D4130" s="149"/>
      <c r="E4130" s="150"/>
      <c r="F4130" s="151"/>
      <c r="G4130" s="151"/>
      <c r="H4130" s="142">
        <f>IFERROR(VLOOKUP($C4130,$C$5:$H$18,6,0)+SUMIF($C$19:$C4130,$C4130,$F$19:$F4130)-SUMIF($C$19:$C4130,$C4130,$G$19:$G4130),"")</f>
        <v>81211.819999998</v>
      </c>
      <c r="I4130" s="147"/>
      <c r="J4130" s="147"/>
      <c r="K4130" s="147" t="str">
        <f t="shared" si="64"/>
        <v/>
      </c>
      <c r="L4130" s="40"/>
      <c r="M4130"/>
      <c r="N4130"/>
      <c r="O4130"/>
      <c r="P4130"/>
      <c r="Q4130"/>
      <c r="R4130"/>
      <c r="S4130"/>
      <c r="T4130"/>
      <c r="U4130"/>
      <c r="V4130"/>
      <c r="W4130" s="41"/>
      <c r="X4130" s="41"/>
      <c r="Y4130" s="41"/>
    </row>
    <row r="4131" s="27" customFormat="1" ht="23" hidden="1" customHeight="1" spans="1:25">
      <c r="A4131" s="133" t="str">
        <f>IF(B4131="","",COUNTA($B$5:B4131))</f>
        <v/>
      </c>
      <c r="B4131" s="148"/>
      <c r="C4131" s="22" t="s">
        <v>49</v>
      </c>
      <c r="D4131" s="149"/>
      <c r="E4131" s="150"/>
      <c r="F4131" s="151"/>
      <c r="G4131" s="151"/>
      <c r="H4131" s="142">
        <f>IFERROR(VLOOKUP($C4131,$C$5:$H$18,6,0)+SUMIF($C$19:$C4131,$C4131,$F$19:$F4131)-SUMIF($C$19:$C4131,$C4131,$G$19:$G4131),"")</f>
        <v>81211.819999998</v>
      </c>
      <c r="I4131" s="147"/>
      <c r="J4131" s="147"/>
      <c r="K4131" s="147" t="str">
        <f t="shared" si="64"/>
        <v/>
      </c>
      <c r="L4131" s="40"/>
      <c r="M4131"/>
      <c r="N4131"/>
      <c r="O4131"/>
      <c r="P4131"/>
      <c r="Q4131"/>
      <c r="R4131"/>
      <c r="S4131"/>
      <c r="T4131"/>
      <c r="U4131"/>
      <c r="V4131"/>
      <c r="W4131" s="41"/>
      <c r="X4131" s="41"/>
      <c r="Y4131" s="41"/>
    </row>
    <row r="4132" s="27" customFormat="1" ht="23" hidden="1" customHeight="1" spans="1:25">
      <c r="A4132" s="133" t="str">
        <f>IF(B4132="","",COUNTA($B$5:B4132))</f>
        <v/>
      </c>
      <c r="B4132" s="148"/>
      <c r="C4132" s="22" t="s">
        <v>49</v>
      </c>
      <c r="D4132" s="149"/>
      <c r="E4132" s="150"/>
      <c r="F4132" s="151"/>
      <c r="G4132" s="151"/>
      <c r="H4132" s="142">
        <f>IFERROR(VLOOKUP($C4132,$C$5:$H$18,6,0)+SUMIF($C$19:$C4132,$C4132,$F$19:$F4132)-SUMIF($C$19:$C4132,$C4132,$G$19:$G4132),"")</f>
        <v>81211.819999998</v>
      </c>
      <c r="I4132" s="147"/>
      <c r="J4132" s="147"/>
      <c r="K4132" s="147" t="str">
        <f t="shared" si="64"/>
        <v/>
      </c>
      <c r="L4132" s="40"/>
      <c r="M4132"/>
      <c r="N4132"/>
      <c r="O4132"/>
      <c r="P4132"/>
      <c r="Q4132"/>
      <c r="R4132"/>
      <c r="S4132"/>
      <c r="T4132"/>
      <c r="U4132"/>
      <c r="V4132"/>
      <c r="W4132" s="41"/>
      <c r="X4132" s="41"/>
      <c r="Y4132" s="41"/>
    </row>
    <row r="4133" s="27" customFormat="1" ht="23" hidden="1" customHeight="1" spans="1:25">
      <c r="A4133" s="133" t="str">
        <f>IF(B4133="","",COUNTA($B$5:B4133))</f>
        <v/>
      </c>
      <c r="B4133" s="148"/>
      <c r="C4133" s="22" t="s">
        <v>49</v>
      </c>
      <c r="D4133" s="149"/>
      <c r="E4133" s="150"/>
      <c r="F4133" s="151"/>
      <c r="G4133" s="151"/>
      <c r="H4133" s="142">
        <f>IFERROR(VLOOKUP($C4133,$C$5:$H$18,6,0)+SUMIF($C$19:$C4133,$C4133,$F$19:$F4133)-SUMIF($C$19:$C4133,$C4133,$G$19:$G4133),"")</f>
        <v>81211.819999998</v>
      </c>
      <c r="I4133" s="147"/>
      <c r="J4133" s="147"/>
      <c r="K4133" s="147" t="str">
        <f t="shared" si="64"/>
        <v/>
      </c>
      <c r="L4133" s="40"/>
      <c r="M4133"/>
      <c r="N4133"/>
      <c r="O4133"/>
      <c r="P4133"/>
      <c r="Q4133"/>
      <c r="R4133"/>
      <c r="S4133"/>
      <c r="T4133"/>
      <c r="U4133"/>
      <c r="V4133"/>
      <c r="W4133" s="41"/>
      <c r="X4133" s="41"/>
      <c r="Y4133" s="41"/>
    </row>
    <row r="4134" s="27" customFormat="1" ht="23" hidden="1" customHeight="1" spans="1:25">
      <c r="A4134" s="133" t="str">
        <f>IF(B4134="","",COUNTA($B$5:B4134))</f>
        <v/>
      </c>
      <c r="B4134" s="148"/>
      <c r="C4134" s="22" t="s">
        <v>49</v>
      </c>
      <c r="D4134" s="149"/>
      <c r="E4134" s="150"/>
      <c r="F4134" s="151"/>
      <c r="G4134" s="151"/>
      <c r="H4134" s="142">
        <f>IFERROR(VLOOKUP($C4134,$C$5:$H$18,6,0)+SUMIF($C$19:$C4134,$C4134,$F$19:$F4134)-SUMIF($C$19:$C4134,$C4134,$G$19:$G4134),"")</f>
        <v>81211.819999998</v>
      </c>
      <c r="I4134" s="147"/>
      <c r="J4134" s="147"/>
      <c r="K4134" s="147" t="str">
        <f t="shared" si="64"/>
        <v/>
      </c>
      <c r="L4134" s="40"/>
      <c r="M4134"/>
      <c r="N4134"/>
      <c r="O4134"/>
      <c r="P4134"/>
      <c r="Q4134"/>
      <c r="R4134"/>
      <c r="S4134"/>
      <c r="T4134"/>
      <c r="U4134"/>
      <c r="V4134"/>
      <c r="W4134" s="41"/>
      <c r="X4134" s="41"/>
      <c r="Y4134" s="41"/>
    </row>
    <row r="4135" s="27" customFormat="1" ht="23" hidden="1" customHeight="1" spans="1:25">
      <c r="A4135" s="133" t="str">
        <f>IF(B4135="","",COUNTA($B$5:B4135))</f>
        <v/>
      </c>
      <c r="B4135" s="148"/>
      <c r="C4135" s="22" t="s">
        <v>49</v>
      </c>
      <c r="D4135" s="149"/>
      <c r="E4135" s="150"/>
      <c r="F4135" s="151"/>
      <c r="G4135" s="151"/>
      <c r="H4135" s="142">
        <f>IFERROR(VLOOKUP($C4135,$C$5:$H$18,6,0)+SUMIF($C$19:$C4135,$C4135,$F$19:$F4135)-SUMIF($C$19:$C4135,$C4135,$G$19:$G4135),"")</f>
        <v>81211.819999998</v>
      </c>
      <c r="I4135" s="147"/>
      <c r="J4135" s="147"/>
      <c r="K4135" s="147" t="str">
        <f t="shared" si="64"/>
        <v/>
      </c>
      <c r="L4135" s="40"/>
      <c r="M4135"/>
      <c r="N4135"/>
      <c r="O4135"/>
      <c r="P4135"/>
      <c r="Q4135"/>
      <c r="R4135"/>
      <c r="S4135"/>
      <c r="T4135"/>
      <c r="U4135"/>
      <c r="V4135"/>
      <c r="W4135" s="41"/>
      <c r="X4135" s="41"/>
      <c r="Y4135" s="41"/>
    </row>
    <row r="4136" s="27" customFormat="1" ht="23" hidden="1" customHeight="1" spans="1:25">
      <c r="A4136" s="133" t="str">
        <f>IF(B4136="","",COUNTA($B$5:B4136))</f>
        <v/>
      </c>
      <c r="B4136" s="148"/>
      <c r="C4136" s="22" t="s">
        <v>49</v>
      </c>
      <c r="D4136" s="149"/>
      <c r="E4136" s="150"/>
      <c r="F4136" s="151"/>
      <c r="G4136" s="151"/>
      <c r="H4136" s="142">
        <f>IFERROR(VLOOKUP($C4136,$C$5:$H$18,6,0)+SUMIF($C$19:$C4136,$C4136,$F$19:$F4136)-SUMIF($C$19:$C4136,$C4136,$G$19:$G4136),"")</f>
        <v>81211.819999998</v>
      </c>
      <c r="I4136" s="147"/>
      <c r="J4136" s="147"/>
      <c r="K4136" s="147" t="str">
        <f t="shared" si="64"/>
        <v/>
      </c>
      <c r="L4136" s="40"/>
      <c r="M4136"/>
      <c r="N4136"/>
      <c r="O4136"/>
      <c r="P4136"/>
      <c r="Q4136"/>
      <c r="R4136"/>
      <c r="S4136"/>
      <c r="T4136"/>
      <c r="U4136"/>
      <c r="V4136"/>
      <c r="W4136" s="41"/>
      <c r="X4136" s="41"/>
      <c r="Y4136" s="41"/>
    </row>
    <row r="4137" s="27" customFormat="1" ht="23" hidden="1" customHeight="1" spans="1:25">
      <c r="A4137" s="133" t="str">
        <f>IF(B4137="","",COUNTA($B$5:B4137))</f>
        <v/>
      </c>
      <c r="B4137" s="148"/>
      <c r="C4137" s="22" t="s">
        <v>49</v>
      </c>
      <c r="D4137" s="149"/>
      <c r="E4137" s="150"/>
      <c r="F4137" s="151"/>
      <c r="G4137" s="151"/>
      <c r="H4137" s="142">
        <f>IFERROR(VLOOKUP($C4137,$C$5:$H$18,6,0)+SUMIF($C$19:$C4137,$C4137,$F$19:$F4137)-SUMIF($C$19:$C4137,$C4137,$G$19:$G4137),"")</f>
        <v>81211.819999998</v>
      </c>
      <c r="I4137" s="147"/>
      <c r="J4137" s="147"/>
      <c r="K4137" s="147" t="str">
        <f t="shared" si="64"/>
        <v/>
      </c>
      <c r="L4137" s="40"/>
      <c r="M4137"/>
      <c r="N4137"/>
      <c r="O4137"/>
      <c r="P4137"/>
      <c r="Q4137"/>
      <c r="R4137"/>
      <c r="S4137"/>
      <c r="T4137"/>
      <c r="U4137"/>
      <c r="V4137"/>
      <c r="W4137" s="41"/>
      <c r="X4137" s="41"/>
      <c r="Y4137" s="41"/>
    </row>
    <row r="4138" s="27" customFormat="1" ht="23" hidden="1" customHeight="1" spans="1:25">
      <c r="A4138" s="133" t="str">
        <f>IF(B4138="","",COUNTA($B$5:B4138))</f>
        <v/>
      </c>
      <c r="B4138" s="148"/>
      <c r="C4138" s="22" t="s">
        <v>49</v>
      </c>
      <c r="D4138" s="149"/>
      <c r="E4138" s="150"/>
      <c r="F4138" s="151"/>
      <c r="G4138" s="151"/>
      <c r="H4138" s="142">
        <f>IFERROR(VLOOKUP($C4138,$C$5:$H$18,6,0)+SUMIF($C$19:$C4138,$C4138,$F$19:$F4138)-SUMIF($C$19:$C4138,$C4138,$G$19:$G4138),"")</f>
        <v>81211.819999998</v>
      </c>
      <c r="I4138" s="147"/>
      <c r="J4138" s="147"/>
      <c r="K4138" s="147" t="str">
        <f t="shared" si="64"/>
        <v/>
      </c>
      <c r="L4138" s="40"/>
      <c r="M4138"/>
      <c r="N4138"/>
      <c r="O4138"/>
      <c r="P4138"/>
      <c r="Q4138"/>
      <c r="R4138"/>
      <c r="S4138"/>
      <c r="T4138"/>
      <c r="U4138"/>
      <c r="V4138"/>
      <c r="W4138" s="41"/>
      <c r="X4138" s="41"/>
      <c r="Y4138" s="41"/>
    </row>
    <row r="4139" s="27" customFormat="1" ht="23" hidden="1" customHeight="1" spans="1:25">
      <c r="A4139" s="133" t="str">
        <f>IF(B4139="","",COUNTA($B$5:B4139))</f>
        <v/>
      </c>
      <c r="B4139" s="148"/>
      <c r="C4139" s="22" t="s">
        <v>49</v>
      </c>
      <c r="D4139" s="149"/>
      <c r="E4139" s="150"/>
      <c r="F4139" s="151"/>
      <c r="G4139" s="151"/>
      <c r="H4139" s="142">
        <f>IFERROR(VLOOKUP($C4139,$C$5:$H$18,6,0)+SUMIF($C$19:$C4139,$C4139,$F$19:$F4139)-SUMIF($C$19:$C4139,$C4139,$G$19:$G4139),"")</f>
        <v>81211.819999998</v>
      </c>
      <c r="I4139" s="147"/>
      <c r="J4139" s="147"/>
      <c r="K4139" s="147" t="str">
        <f t="shared" si="64"/>
        <v/>
      </c>
      <c r="L4139" s="40"/>
      <c r="M4139"/>
      <c r="N4139"/>
      <c r="O4139"/>
      <c r="P4139"/>
      <c r="Q4139"/>
      <c r="R4139"/>
      <c r="S4139"/>
      <c r="T4139"/>
      <c r="U4139"/>
      <c r="V4139"/>
      <c r="W4139" s="41"/>
      <c r="X4139" s="41"/>
      <c r="Y4139" s="41"/>
    </row>
    <row r="4140" s="27" customFormat="1" ht="23" hidden="1" customHeight="1" spans="1:25">
      <c r="A4140" s="133" t="str">
        <f>IF(B4140="","",COUNTA($B$5:B4140))</f>
        <v/>
      </c>
      <c r="B4140" s="148"/>
      <c r="C4140" s="22" t="s">
        <v>49</v>
      </c>
      <c r="D4140" s="149"/>
      <c r="E4140" s="150"/>
      <c r="F4140" s="151"/>
      <c r="G4140" s="151"/>
      <c r="H4140" s="142">
        <f>IFERROR(VLOOKUP($C4140,$C$5:$H$18,6,0)+SUMIF($C$19:$C4140,$C4140,$F$19:$F4140)-SUMIF($C$19:$C4140,$C4140,$G$19:$G4140),"")</f>
        <v>81211.819999998</v>
      </c>
      <c r="I4140" s="147"/>
      <c r="J4140" s="147"/>
      <c r="K4140" s="147" t="str">
        <f t="shared" si="64"/>
        <v/>
      </c>
      <c r="L4140" s="40"/>
      <c r="M4140"/>
      <c r="N4140"/>
      <c r="O4140"/>
      <c r="P4140"/>
      <c r="Q4140"/>
      <c r="R4140"/>
      <c r="S4140"/>
      <c r="T4140"/>
      <c r="U4140"/>
      <c r="V4140"/>
      <c r="W4140" s="41"/>
      <c r="X4140" s="41"/>
      <c r="Y4140" s="41"/>
    </row>
    <row r="4141" s="27" customFormat="1" ht="23" hidden="1" customHeight="1" spans="1:25">
      <c r="A4141" s="133" t="str">
        <f>IF(B4141="","",COUNTA($B$5:B4141))</f>
        <v/>
      </c>
      <c r="B4141" s="148"/>
      <c r="C4141" s="22" t="s">
        <v>49</v>
      </c>
      <c r="D4141" s="149"/>
      <c r="E4141" s="150"/>
      <c r="F4141" s="151"/>
      <c r="G4141" s="151"/>
      <c r="H4141" s="142">
        <f>IFERROR(VLOOKUP($C4141,$C$5:$H$18,6,0)+SUMIF($C$19:$C4141,$C4141,$F$19:$F4141)-SUMIF($C$19:$C4141,$C4141,$G$19:$G4141),"")</f>
        <v>81211.819999998</v>
      </c>
      <c r="I4141" s="147"/>
      <c r="J4141" s="147"/>
      <c r="K4141" s="147" t="str">
        <f t="shared" si="64"/>
        <v/>
      </c>
      <c r="L4141" s="40"/>
      <c r="M4141"/>
      <c r="N4141"/>
      <c r="O4141"/>
      <c r="P4141"/>
      <c r="Q4141"/>
      <c r="R4141"/>
      <c r="S4141"/>
      <c r="T4141"/>
      <c r="U4141"/>
      <c r="V4141"/>
      <c r="W4141" s="41"/>
      <c r="X4141" s="41"/>
      <c r="Y4141" s="41"/>
    </row>
    <row r="4142" s="27" customFormat="1" ht="23" hidden="1" customHeight="1" spans="1:25">
      <c r="A4142" s="133" t="str">
        <f>IF(B4142="","",COUNTA($B$5:B4142))</f>
        <v/>
      </c>
      <c r="B4142" s="148"/>
      <c r="C4142" s="22" t="s">
        <v>49</v>
      </c>
      <c r="D4142" s="149"/>
      <c r="E4142" s="150"/>
      <c r="F4142" s="151"/>
      <c r="G4142" s="151"/>
      <c r="H4142" s="142">
        <f>IFERROR(VLOOKUP($C4142,$C$5:$H$18,6,0)+SUMIF($C$19:$C4142,$C4142,$F$19:$F4142)-SUMIF($C$19:$C4142,$C4142,$G$19:$G4142),"")</f>
        <v>81211.819999998</v>
      </c>
      <c r="I4142" s="147"/>
      <c r="J4142" s="147"/>
      <c r="K4142" s="147" t="str">
        <f t="shared" si="64"/>
        <v/>
      </c>
      <c r="L4142" s="40"/>
      <c r="M4142"/>
      <c r="N4142"/>
      <c r="O4142"/>
      <c r="P4142"/>
      <c r="Q4142"/>
      <c r="R4142"/>
      <c r="S4142"/>
      <c r="T4142"/>
      <c r="U4142"/>
      <c r="V4142"/>
      <c r="W4142" s="41"/>
      <c r="X4142" s="41"/>
      <c r="Y4142" s="41"/>
    </row>
    <row r="4143" s="27" customFormat="1" ht="23" hidden="1" customHeight="1" spans="1:25">
      <c r="A4143" s="133" t="str">
        <f>IF(B4143="","",COUNTA($B$5:B4143))</f>
        <v/>
      </c>
      <c r="B4143" s="148"/>
      <c r="C4143" s="22" t="s">
        <v>49</v>
      </c>
      <c r="D4143" s="149"/>
      <c r="E4143" s="150"/>
      <c r="F4143" s="151"/>
      <c r="G4143" s="151"/>
      <c r="H4143" s="142">
        <f>IFERROR(VLOOKUP($C4143,$C$5:$H$18,6,0)+SUMIF($C$19:$C4143,$C4143,$F$19:$F4143)-SUMIF($C$19:$C4143,$C4143,$G$19:$G4143),"")</f>
        <v>81211.819999998</v>
      </c>
      <c r="I4143" s="147"/>
      <c r="J4143" s="147"/>
      <c r="K4143" s="147" t="str">
        <f t="shared" si="64"/>
        <v/>
      </c>
      <c r="L4143" s="40"/>
      <c r="M4143"/>
      <c r="N4143"/>
      <c r="O4143"/>
      <c r="P4143"/>
      <c r="Q4143"/>
      <c r="R4143"/>
      <c r="S4143"/>
      <c r="T4143"/>
      <c r="U4143"/>
      <c r="V4143"/>
      <c r="W4143" s="41"/>
      <c r="X4143" s="41"/>
      <c r="Y4143" s="41"/>
    </row>
    <row r="4144" s="27" customFormat="1" ht="23" hidden="1" customHeight="1" spans="1:25">
      <c r="A4144" s="133" t="str">
        <f>IF(B4144="","",COUNTA($B$5:B4144))</f>
        <v/>
      </c>
      <c r="B4144" s="148"/>
      <c r="C4144" s="22" t="s">
        <v>49</v>
      </c>
      <c r="D4144" s="149"/>
      <c r="E4144" s="150"/>
      <c r="F4144" s="151"/>
      <c r="G4144" s="151"/>
      <c r="H4144" s="142">
        <f>IFERROR(VLOOKUP($C4144,$C$5:$H$18,6,0)+SUMIF($C$19:$C4144,$C4144,$F$19:$F4144)-SUMIF($C$19:$C4144,$C4144,$G$19:$G4144),"")</f>
        <v>81211.819999998</v>
      </c>
      <c r="I4144" s="147"/>
      <c r="J4144" s="147"/>
      <c r="K4144" s="147" t="str">
        <f t="shared" si="64"/>
        <v/>
      </c>
      <c r="L4144" s="40"/>
      <c r="M4144"/>
      <c r="N4144"/>
      <c r="O4144"/>
      <c r="P4144"/>
      <c r="Q4144"/>
      <c r="R4144"/>
      <c r="S4144"/>
      <c r="T4144"/>
      <c r="U4144"/>
      <c r="V4144"/>
      <c r="W4144" s="41"/>
      <c r="X4144" s="41"/>
      <c r="Y4144" s="41"/>
    </row>
    <row r="4145" s="27" customFormat="1" ht="23" hidden="1" customHeight="1" spans="1:25">
      <c r="A4145" s="133" t="str">
        <f>IF(B4145="","",COUNTA($B$5:B4145))</f>
        <v/>
      </c>
      <c r="B4145" s="148"/>
      <c r="C4145" s="22" t="s">
        <v>49</v>
      </c>
      <c r="D4145" s="149"/>
      <c r="E4145" s="150"/>
      <c r="F4145" s="151"/>
      <c r="G4145" s="151"/>
      <c r="H4145" s="142">
        <f>IFERROR(VLOOKUP($C4145,$C$5:$H$18,6,0)+SUMIF($C$19:$C4145,$C4145,$F$19:$F4145)-SUMIF($C$19:$C4145,$C4145,$G$19:$G4145),"")</f>
        <v>81211.819999998</v>
      </c>
      <c r="I4145" s="147"/>
      <c r="J4145" s="147"/>
      <c r="K4145" s="147" t="str">
        <f t="shared" si="64"/>
        <v/>
      </c>
      <c r="L4145" s="40"/>
      <c r="M4145"/>
      <c r="N4145"/>
      <c r="O4145"/>
      <c r="P4145"/>
      <c r="Q4145"/>
      <c r="R4145"/>
      <c r="S4145"/>
      <c r="T4145"/>
      <c r="U4145"/>
      <c r="V4145"/>
      <c r="W4145" s="41"/>
      <c r="X4145" s="41"/>
      <c r="Y4145" s="41"/>
    </row>
    <row r="4146" s="27" customFormat="1" ht="23" hidden="1" customHeight="1" spans="1:25">
      <c r="A4146" s="133" t="str">
        <f>IF(B4146="","",COUNTA($B$5:B4146))</f>
        <v/>
      </c>
      <c r="B4146" s="148"/>
      <c r="C4146" s="22" t="s">
        <v>49</v>
      </c>
      <c r="D4146" s="149"/>
      <c r="E4146" s="150"/>
      <c r="F4146" s="151"/>
      <c r="G4146" s="151"/>
      <c r="H4146" s="142">
        <f>IFERROR(VLOOKUP($C4146,$C$5:$H$18,6,0)+SUMIF($C$19:$C4146,$C4146,$F$19:$F4146)-SUMIF($C$19:$C4146,$C4146,$G$19:$G4146),"")</f>
        <v>81211.819999998</v>
      </c>
      <c r="I4146" s="147"/>
      <c r="J4146" s="147"/>
      <c r="K4146" s="147" t="str">
        <f t="shared" si="64"/>
        <v/>
      </c>
      <c r="L4146" s="40"/>
      <c r="M4146"/>
      <c r="N4146"/>
      <c r="O4146"/>
      <c r="P4146"/>
      <c r="Q4146"/>
      <c r="R4146"/>
      <c r="S4146"/>
      <c r="T4146"/>
      <c r="U4146"/>
      <c r="V4146"/>
      <c r="W4146" s="41"/>
      <c r="X4146" s="41"/>
      <c r="Y4146" s="41"/>
    </row>
    <row r="4147" s="27" customFormat="1" ht="23" hidden="1" customHeight="1" spans="1:25">
      <c r="A4147" s="133" t="str">
        <f>IF(B4147="","",COUNTA($B$5:B4147))</f>
        <v/>
      </c>
      <c r="B4147" s="148"/>
      <c r="C4147" s="22" t="s">
        <v>49</v>
      </c>
      <c r="D4147" s="149"/>
      <c r="E4147" s="150"/>
      <c r="F4147" s="151"/>
      <c r="G4147" s="151"/>
      <c r="H4147" s="142">
        <f>IFERROR(VLOOKUP($C4147,$C$5:$H$18,6,0)+SUMIF($C$19:$C4147,$C4147,$F$19:$F4147)-SUMIF($C$19:$C4147,$C4147,$G$19:$G4147),"")</f>
        <v>81211.819999998</v>
      </c>
      <c r="I4147" s="147"/>
      <c r="J4147" s="147"/>
      <c r="K4147" s="147" t="str">
        <f t="shared" si="64"/>
        <v/>
      </c>
      <c r="L4147" s="40"/>
      <c r="M4147"/>
      <c r="N4147"/>
      <c r="O4147"/>
      <c r="P4147"/>
      <c r="Q4147"/>
      <c r="R4147"/>
      <c r="S4147"/>
      <c r="T4147"/>
      <c r="U4147"/>
      <c r="V4147"/>
      <c r="W4147" s="41"/>
      <c r="X4147" s="41"/>
      <c r="Y4147" s="41"/>
    </row>
    <row r="4148" s="27" customFormat="1" ht="23" hidden="1" customHeight="1" spans="1:25">
      <c r="A4148" s="133" t="str">
        <f>IF(B4148="","",COUNTA($B$5:B4148))</f>
        <v/>
      </c>
      <c r="B4148" s="148"/>
      <c r="C4148" s="22" t="s">
        <v>49</v>
      </c>
      <c r="D4148" s="149"/>
      <c r="E4148" s="150"/>
      <c r="F4148" s="151"/>
      <c r="G4148" s="151"/>
      <c r="H4148" s="142">
        <f>IFERROR(VLOOKUP($C4148,$C$5:$H$18,6,0)+SUMIF($C$19:$C4148,$C4148,$F$19:$F4148)-SUMIF($C$19:$C4148,$C4148,$G$19:$G4148),"")</f>
        <v>81211.819999998</v>
      </c>
      <c r="I4148" s="147"/>
      <c r="J4148" s="147"/>
      <c r="K4148" s="147" t="str">
        <f t="shared" si="64"/>
        <v/>
      </c>
      <c r="L4148" s="40"/>
      <c r="M4148"/>
      <c r="N4148"/>
      <c r="O4148"/>
      <c r="P4148"/>
      <c r="Q4148"/>
      <c r="R4148"/>
      <c r="S4148"/>
      <c r="T4148"/>
      <c r="U4148"/>
      <c r="V4148"/>
      <c r="W4148" s="41"/>
      <c r="X4148" s="41"/>
      <c r="Y4148" s="41"/>
    </row>
    <row r="4149" s="27" customFormat="1" ht="23" hidden="1" customHeight="1" spans="1:25">
      <c r="A4149" s="133" t="str">
        <f>IF(B4149="","",COUNTA($B$5:B4149))</f>
        <v/>
      </c>
      <c r="B4149" s="148"/>
      <c r="C4149" s="22" t="s">
        <v>49</v>
      </c>
      <c r="D4149" s="149"/>
      <c r="E4149" s="150"/>
      <c r="F4149" s="151"/>
      <c r="G4149" s="151"/>
      <c r="H4149" s="142">
        <f>IFERROR(VLOOKUP($C4149,$C$5:$H$18,6,0)+SUMIF($C$19:$C4149,$C4149,$F$19:$F4149)-SUMIF($C$19:$C4149,$C4149,$G$19:$G4149),"")</f>
        <v>81211.819999998</v>
      </c>
      <c r="I4149" s="147"/>
      <c r="J4149" s="147"/>
      <c r="K4149" s="147" t="str">
        <f t="shared" si="64"/>
        <v/>
      </c>
      <c r="L4149" s="40"/>
      <c r="M4149"/>
      <c r="N4149"/>
      <c r="O4149"/>
      <c r="P4149"/>
      <c r="Q4149"/>
      <c r="R4149"/>
      <c r="S4149"/>
      <c r="T4149"/>
      <c r="U4149"/>
      <c r="V4149"/>
      <c r="W4149" s="41"/>
      <c r="X4149" s="41"/>
      <c r="Y4149" s="41"/>
    </row>
    <row r="4150" s="27" customFormat="1" ht="23" hidden="1" customHeight="1" spans="1:25">
      <c r="A4150" s="133" t="str">
        <f>IF(B4150="","",COUNTA($B$5:B4150))</f>
        <v/>
      </c>
      <c r="B4150" s="148"/>
      <c r="C4150" s="22" t="s">
        <v>49</v>
      </c>
      <c r="D4150" s="149"/>
      <c r="E4150" s="150"/>
      <c r="F4150" s="151"/>
      <c r="G4150" s="151"/>
      <c r="H4150" s="142">
        <f>IFERROR(VLOOKUP($C4150,$C$5:$H$18,6,0)+SUMIF($C$19:$C4150,$C4150,$F$19:$F4150)-SUMIF($C$19:$C4150,$C4150,$G$19:$G4150),"")</f>
        <v>81211.819999998</v>
      </c>
      <c r="I4150" s="147"/>
      <c r="J4150" s="147"/>
      <c r="K4150" s="147" t="str">
        <f t="shared" si="64"/>
        <v/>
      </c>
      <c r="L4150" s="40"/>
      <c r="M4150"/>
      <c r="N4150"/>
      <c r="O4150"/>
      <c r="P4150"/>
      <c r="Q4150"/>
      <c r="R4150"/>
      <c r="S4150"/>
      <c r="T4150"/>
      <c r="U4150"/>
      <c r="V4150"/>
      <c r="W4150" s="41"/>
      <c r="X4150" s="41"/>
      <c r="Y4150" s="41"/>
    </row>
    <row r="4151" s="27" customFormat="1" ht="23" hidden="1" customHeight="1" spans="1:25">
      <c r="A4151" s="133" t="str">
        <f>IF(B4151="","",COUNTA($B$5:B4151))</f>
        <v/>
      </c>
      <c r="B4151" s="148"/>
      <c r="C4151" s="22" t="s">
        <v>49</v>
      </c>
      <c r="D4151" s="149"/>
      <c r="E4151" s="150"/>
      <c r="F4151" s="151"/>
      <c r="G4151" s="151"/>
      <c r="H4151" s="142">
        <f>IFERROR(VLOOKUP($C4151,$C$5:$H$18,6,0)+SUMIF($C$19:$C4151,$C4151,$F$19:$F4151)-SUMIF($C$19:$C4151,$C4151,$G$19:$G4151),"")</f>
        <v>81211.819999998</v>
      </c>
      <c r="I4151" s="147"/>
      <c r="J4151" s="147"/>
      <c r="K4151" s="147" t="str">
        <f t="shared" si="64"/>
        <v/>
      </c>
      <c r="L4151" s="40"/>
      <c r="M4151"/>
      <c r="N4151"/>
      <c r="O4151"/>
      <c r="P4151"/>
      <c r="Q4151"/>
      <c r="R4151"/>
      <c r="S4151"/>
      <c r="T4151"/>
      <c r="U4151"/>
      <c r="V4151"/>
      <c r="W4151" s="41"/>
      <c r="X4151" s="41"/>
      <c r="Y4151" s="41"/>
    </row>
    <row r="4152" s="27" customFormat="1" ht="23" hidden="1" customHeight="1" spans="1:25">
      <c r="A4152" s="133" t="str">
        <f>IF(B4152="","",COUNTA($B$5:B4152))</f>
        <v/>
      </c>
      <c r="B4152" s="148"/>
      <c r="C4152" s="22" t="s">
        <v>49</v>
      </c>
      <c r="D4152" s="149"/>
      <c r="E4152" s="150"/>
      <c r="F4152" s="151"/>
      <c r="G4152" s="151"/>
      <c r="H4152" s="142">
        <f>IFERROR(VLOOKUP($C4152,$C$5:$H$18,6,0)+SUMIF($C$19:$C4152,$C4152,$F$19:$F4152)-SUMIF($C$19:$C4152,$C4152,$G$19:$G4152),"")</f>
        <v>81211.819999998</v>
      </c>
      <c r="I4152" s="147"/>
      <c r="J4152" s="147"/>
      <c r="K4152" s="147" t="str">
        <f t="shared" si="64"/>
        <v/>
      </c>
      <c r="L4152" s="40"/>
      <c r="M4152"/>
      <c r="N4152"/>
      <c r="O4152"/>
      <c r="P4152"/>
      <c r="Q4152"/>
      <c r="R4152"/>
      <c r="S4152"/>
      <c r="T4152"/>
      <c r="U4152"/>
      <c r="V4152"/>
      <c r="W4152" s="41"/>
      <c r="X4152" s="41"/>
      <c r="Y4152" s="41"/>
    </row>
    <row r="4153" s="27" customFormat="1" ht="23" hidden="1" customHeight="1" spans="1:25">
      <c r="A4153" s="133" t="str">
        <f>IF(B4153="","",COUNTA($B$5:B4153))</f>
        <v/>
      </c>
      <c r="B4153" s="148"/>
      <c r="C4153" s="22" t="s">
        <v>49</v>
      </c>
      <c r="D4153" s="149"/>
      <c r="E4153" s="150"/>
      <c r="F4153" s="151"/>
      <c r="G4153" s="151"/>
      <c r="H4153" s="142">
        <f>IFERROR(VLOOKUP($C4153,$C$5:$H$18,6,0)+SUMIF($C$19:$C4153,$C4153,$F$19:$F4153)-SUMIF($C$19:$C4153,$C4153,$G$19:$G4153),"")</f>
        <v>81211.819999998</v>
      </c>
      <c r="I4153" s="147"/>
      <c r="J4153" s="147"/>
      <c r="K4153" s="147" t="str">
        <f t="shared" si="64"/>
        <v/>
      </c>
      <c r="L4153" s="40"/>
      <c r="M4153"/>
      <c r="N4153"/>
      <c r="O4153"/>
      <c r="P4153"/>
      <c r="Q4153"/>
      <c r="R4153"/>
      <c r="S4153"/>
      <c r="T4153"/>
      <c r="U4153"/>
      <c r="V4153"/>
      <c r="W4153" s="41"/>
      <c r="X4153" s="41"/>
      <c r="Y4153" s="41"/>
    </row>
    <row r="4154" s="27" customFormat="1" ht="23" hidden="1" customHeight="1" spans="1:25">
      <c r="A4154" s="133" t="str">
        <f>IF(B4154="","",COUNTA($B$5:B4154))</f>
        <v/>
      </c>
      <c r="B4154" s="148"/>
      <c r="C4154" s="22" t="s">
        <v>49</v>
      </c>
      <c r="D4154" s="149"/>
      <c r="E4154" s="150"/>
      <c r="F4154" s="151"/>
      <c r="G4154" s="151"/>
      <c r="H4154" s="142">
        <f>IFERROR(VLOOKUP($C4154,$C$5:$H$18,6,0)+SUMIF($C$19:$C4154,$C4154,$F$19:$F4154)-SUMIF($C$19:$C4154,$C4154,$G$19:$G4154),"")</f>
        <v>81211.819999998</v>
      </c>
      <c r="I4154" s="147"/>
      <c r="J4154" s="147"/>
      <c r="K4154" s="147" t="str">
        <f t="shared" si="64"/>
        <v/>
      </c>
      <c r="L4154" s="40"/>
      <c r="M4154"/>
      <c r="N4154"/>
      <c r="O4154"/>
      <c r="P4154"/>
      <c r="Q4154"/>
      <c r="R4154"/>
      <c r="S4154"/>
      <c r="T4154"/>
      <c r="U4154"/>
      <c r="V4154"/>
      <c r="W4154" s="41"/>
      <c r="X4154" s="41"/>
      <c r="Y4154" s="41"/>
    </row>
    <row r="4155" s="27" customFormat="1" ht="23" hidden="1" customHeight="1" spans="1:25">
      <c r="A4155" s="133" t="str">
        <f>IF(B4155="","",COUNTA($B$5:B4155))</f>
        <v/>
      </c>
      <c r="B4155" s="148"/>
      <c r="C4155" s="22" t="s">
        <v>49</v>
      </c>
      <c r="D4155" s="149"/>
      <c r="E4155" s="150"/>
      <c r="F4155" s="151"/>
      <c r="G4155" s="151"/>
      <c r="H4155" s="142">
        <f>IFERROR(VLOOKUP($C4155,$C$5:$H$18,6,0)+SUMIF($C$19:$C4155,$C4155,$F$19:$F4155)-SUMIF($C$19:$C4155,$C4155,$G$19:$G4155),"")</f>
        <v>81211.819999998</v>
      </c>
      <c r="I4155" s="147"/>
      <c r="J4155" s="147"/>
      <c r="K4155" s="147" t="str">
        <f t="shared" si="64"/>
        <v/>
      </c>
      <c r="L4155" s="40"/>
      <c r="M4155"/>
      <c r="N4155"/>
      <c r="O4155"/>
      <c r="P4155"/>
      <c r="Q4155"/>
      <c r="R4155"/>
      <c r="S4155"/>
      <c r="T4155"/>
      <c r="U4155"/>
      <c r="V4155"/>
      <c r="W4155" s="41"/>
      <c r="X4155" s="41"/>
      <c r="Y4155" s="41"/>
    </row>
    <row r="4156" s="27" customFormat="1" ht="23" hidden="1" customHeight="1" spans="1:25">
      <c r="A4156" s="133" t="str">
        <f>IF(B4156="","",COUNTA($B$5:B4156))</f>
        <v/>
      </c>
      <c r="B4156" s="148"/>
      <c r="C4156" s="22" t="s">
        <v>49</v>
      </c>
      <c r="D4156" s="149"/>
      <c r="E4156" s="150"/>
      <c r="F4156" s="151"/>
      <c r="G4156" s="151"/>
      <c r="H4156" s="142">
        <f>IFERROR(VLOOKUP($C4156,$C$5:$H$18,6,0)+SUMIF($C$19:$C4156,$C4156,$F$19:$F4156)-SUMIF($C$19:$C4156,$C4156,$G$19:$G4156),"")</f>
        <v>81211.819999998</v>
      </c>
      <c r="I4156" s="147"/>
      <c r="J4156" s="147"/>
      <c r="K4156" s="147" t="str">
        <f t="shared" si="64"/>
        <v/>
      </c>
      <c r="L4156" s="40"/>
      <c r="M4156"/>
      <c r="N4156"/>
      <c r="O4156"/>
      <c r="P4156"/>
      <c r="Q4156"/>
      <c r="R4156"/>
      <c r="S4156"/>
      <c r="T4156"/>
      <c r="U4156"/>
      <c r="V4156"/>
      <c r="W4156" s="41"/>
      <c r="X4156" s="41"/>
      <c r="Y4156" s="41"/>
    </row>
    <row r="4157" s="27" customFormat="1" ht="23" hidden="1" customHeight="1" spans="1:25">
      <c r="A4157" s="133" t="str">
        <f>IF(B4157="","",COUNTA($B$5:B4157))</f>
        <v/>
      </c>
      <c r="B4157" s="148"/>
      <c r="C4157" s="22" t="s">
        <v>49</v>
      </c>
      <c r="D4157" s="149"/>
      <c r="E4157" s="150"/>
      <c r="F4157" s="151"/>
      <c r="G4157" s="151"/>
      <c r="H4157" s="142">
        <f>IFERROR(VLOOKUP($C4157,$C$5:$H$18,6,0)+SUMIF($C$19:$C4157,$C4157,$F$19:$F4157)-SUMIF($C$19:$C4157,$C4157,$G$19:$G4157),"")</f>
        <v>81211.819999998</v>
      </c>
      <c r="I4157" s="147"/>
      <c r="J4157" s="147"/>
      <c r="K4157" s="147" t="str">
        <f t="shared" si="64"/>
        <v/>
      </c>
      <c r="L4157" s="40"/>
      <c r="M4157"/>
      <c r="N4157"/>
      <c r="O4157"/>
      <c r="P4157"/>
      <c r="Q4157"/>
      <c r="R4157"/>
      <c r="S4157"/>
      <c r="T4157"/>
      <c r="U4157"/>
      <c r="V4157"/>
      <c r="W4157" s="41"/>
      <c r="X4157" s="41"/>
      <c r="Y4157" s="41"/>
    </row>
    <row r="4158" s="27" customFormat="1" ht="23" hidden="1" customHeight="1" spans="1:25">
      <c r="A4158" s="133" t="str">
        <f>IF(B4158="","",COUNTA($B$5:B4158))</f>
        <v/>
      </c>
      <c r="B4158" s="148"/>
      <c r="C4158" s="22" t="s">
        <v>49</v>
      </c>
      <c r="D4158" s="149"/>
      <c r="E4158" s="150"/>
      <c r="F4158" s="151"/>
      <c r="G4158" s="151"/>
      <c r="H4158" s="142">
        <f>IFERROR(VLOOKUP($C4158,$C$5:$H$18,6,0)+SUMIF($C$19:$C4158,$C4158,$F$19:$F4158)-SUMIF($C$19:$C4158,$C4158,$G$19:$G4158),"")</f>
        <v>81211.819999998</v>
      </c>
      <c r="I4158" s="147"/>
      <c r="J4158" s="147"/>
      <c r="K4158" s="147" t="str">
        <f t="shared" si="64"/>
        <v/>
      </c>
      <c r="L4158" s="40"/>
      <c r="M4158"/>
      <c r="N4158"/>
      <c r="O4158"/>
      <c r="P4158"/>
      <c r="Q4158"/>
      <c r="R4158"/>
      <c r="S4158"/>
      <c r="T4158"/>
      <c r="U4158"/>
      <c r="V4158"/>
      <c r="W4158" s="41"/>
      <c r="X4158" s="41"/>
      <c r="Y4158" s="41"/>
    </row>
    <row r="4159" s="27" customFormat="1" ht="23" hidden="1" customHeight="1" spans="1:25">
      <c r="A4159" s="133" t="str">
        <f>IF(B4159="","",COUNTA($B$5:B4159))</f>
        <v/>
      </c>
      <c r="B4159" s="148"/>
      <c r="C4159" s="22" t="s">
        <v>49</v>
      </c>
      <c r="D4159" s="149"/>
      <c r="E4159" s="150"/>
      <c r="F4159" s="151"/>
      <c r="G4159" s="151"/>
      <c r="H4159" s="142">
        <f>IFERROR(VLOOKUP($C4159,$C$5:$H$18,6,0)+SUMIF($C$19:$C4159,$C4159,$F$19:$F4159)-SUMIF($C$19:$C4159,$C4159,$G$19:$G4159),"")</f>
        <v>81211.819999998</v>
      </c>
      <c r="I4159" s="147"/>
      <c r="J4159" s="147"/>
      <c r="K4159" s="147" t="str">
        <f t="shared" si="64"/>
        <v/>
      </c>
      <c r="L4159" s="40"/>
      <c r="M4159"/>
      <c r="N4159"/>
      <c r="O4159"/>
      <c r="P4159"/>
      <c r="Q4159"/>
      <c r="R4159"/>
      <c r="S4159"/>
      <c r="T4159"/>
      <c r="U4159"/>
      <c r="V4159"/>
      <c r="W4159" s="41"/>
      <c r="X4159" s="41"/>
      <c r="Y4159" s="41"/>
    </row>
    <row r="4160" s="27" customFormat="1" ht="23" hidden="1" customHeight="1" spans="1:25">
      <c r="A4160" s="133" t="str">
        <f>IF(B4160="","",COUNTA($B$5:B4160))</f>
        <v/>
      </c>
      <c r="B4160" s="148"/>
      <c r="C4160" s="22" t="s">
        <v>49</v>
      </c>
      <c r="D4160" s="149"/>
      <c r="E4160" s="150"/>
      <c r="F4160" s="151"/>
      <c r="G4160" s="151"/>
      <c r="H4160" s="142">
        <f>IFERROR(VLOOKUP($C4160,$C$5:$H$18,6,0)+SUMIF($C$19:$C4160,$C4160,$F$19:$F4160)-SUMIF($C$19:$C4160,$C4160,$G$19:$G4160),"")</f>
        <v>81211.819999998</v>
      </c>
      <c r="I4160" s="147"/>
      <c r="J4160" s="147"/>
      <c r="K4160" s="147" t="str">
        <f t="shared" si="64"/>
        <v/>
      </c>
      <c r="L4160" s="40"/>
      <c r="M4160"/>
      <c r="N4160"/>
      <c r="O4160"/>
      <c r="P4160"/>
      <c r="Q4160"/>
      <c r="R4160"/>
      <c r="S4160"/>
      <c r="T4160"/>
      <c r="U4160"/>
      <c r="V4160"/>
      <c r="W4160" s="41"/>
      <c r="X4160" s="41"/>
      <c r="Y4160" s="41"/>
    </row>
    <row r="4161" s="27" customFormat="1" ht="23" hidden="1" customHeight="1" spans="1:25">
      <c r="A4161" s="133" t="str">
        <f>IF(B4161="","",COUNTA($B$5:B4161))</f>
        <v/>
      </c>
      <c r="B4161" s="148"/>
      <c r="C4161" s="22" t="s">
        <v>49</v>
      </c>
      <c r="D4161" s="149"/>
      <c r="E4161" s="150"/>
      <c r="F4161" s="151"/>
      <c r="G4161" s="151"/>
      <c r="H4161" s="142">
        <f>IFERROR(VLOOKUP($C4161,$C$5:$H$18,6,0)+SUMIF($C$19:$C4161,$C4161,$F$19:$F4161)-SUMIF($C$19:$C4161,$C4161,$G$19:$G4161),"")</f>
        <v>81211.819999998</v>
      </c>
      <c r="I4161" s="147"/>
      <c r="J4161" s="147"/>
      <c r="K4161" s="147" t="str">
        <f t="shared" si="64"/>
        <v/>
      </c>
      <c r="L4161" s="40"/>
      <c r="M4161"/>
      <c r="N4161"/>
      <c r="O4161"/>
      <c r="P4161"/>
      <c r="Q4161"/>
      <c r="R4161"/>
      <c r="S4161"/>
      <c r="T4161"/>
      <c r="U4161"/>
      <c r="V4161"/>
      <c r="W4161" s="41"/>
      <c r="X4161" s="41"/>
      <c r="Y4161" s="41"/>
    </row>
    <row r="4162" s="27" customFormat="1" ht="23" hidden="1" customHeight="1" spans="1:25">
      <c r="A4162" s="133" t="str">
        <f>IF(B4162="","",COUNTA($B$5:B4162))</f>
        <v/>
      </c>
      <c r="B4162" s="148"/>
      <c r="C4162" s="22" t="s">
        <v>49</v>
      </c>
      <c r="D4162" s="149"/>
      <c r="E4162" s="150"/>
      <c r="F4162" s="151"/>
      <c r="G4162" s="151"/>
      <c r="H4162" s="142">
        <f>IFERROR(VLOOKUP($C4162,$C$5:$H$18,6,0)+SUMIF($C$19:$C4162,$C4162,$F$19:$F4162)-SUMIF($C$19:$C4162,$C4162,$G$19:$G4162),"")</f>
        <v>81211.819999998</v>
      </c>
      <c r="I4162" s="147"/>
      <c r="J4162" s="147"/>
      <c r="K4162" s="147" t="str">
        <f t="shared" si="64"/>
        <v/>
      </c>
      <c r="L4162" s="40"/>
      <c r="M4162"/>
      <c r="N4162"/>
      <c r="O4162"/>
      <c r="P4162"/>
      <c r="Q4162"/>
      <c r="R4162"/>
      <c r="S4162"/>
      <c r="T4162"/>
      <c r="U4162"/>
      <c r="V4162"/>
      <c r="W4162" s="41"/>
      <c r="X4162" s="41"/>
      <c r="Y4162" s="41"/>
    </row>
    <row r="4163" s="27" customFormat="1" ht="23" hidden="1" customHeight="1" spans="1:25">
      <c r="A4163" s="133" t="str">
        <f>IF(B4163="","",COUNTA($B$5:B4163))</f>
        <v/>
      </c>
      <c r="B4163" s="148"/>
      <c r="C4163" s="22" t="s">
        <v>49</v>
      </c>
      <c r="D4163" s="149"/>
      <c r="E4163" s="150"/>
      <c r="F4163" s="151"/>
      <c r="G4163" s="151"/>
      <c r="H4163" s="142">
        <f>IFERROR(VLOOKUP($C4163,$C$5:$H$18,6,0)+SUMIF($C$19:$C4163,$C4163,$F$19:$F4163)-SUMIF($C$19:$C4163,$C4163,$G$19:$G4163),"")</f>
        <v>81211.819999998</v>
      </c>
      <c r="I4163" s="147"/>
      <c r="J4163" s="147"/>
      <c r="K4163" s="147" t="str">
        <f t="shared" si="64"/>
        <v/>
      </c>
      <c r="L4163" s="40"/>
      <c r="M4163"/>
      <c r="N4163"/>
      <c r="O4163"/>
      <c r="P4163"/>
      <c r="Q4163"/>
      <c r="R4163"/>
      <c r="S4163"/>
      <c r="T4163"/>
      <c r="U4163"/>
      <c r="V4163"/>
      <c r="W4163" s="41"/>
      <c r="X4163" s="41"/>
      <c r="Y4163" s="41"/>
    </row>
    <row r="4164" s="27" customFormat="1" ht="23" hidden="1" customHeight="1" spans="1:25">
      <c r="A4164" s="133" t="str">
        <f>IF(B4164="","",COUNTA($B$5:B4164))</f>
        <v/>
      </c>
      <c r="B4164" s="148"/>
      <c r="C4164" s="22" t="s">
        <v>49</v>
      </c>
      <c r="D4164" s="149"/>
      <c r="E4164" s="150"/>
      <c r="F4164" s="151"/>
      <c r="G4164" s="151"/>
      <c r="H4164" s="142">
        <f>IFERROR(VLOOKUP($C4164,$C$5:$H$18,6,0)+SUMIF($C$19:$C4164,$C4164,$F$19:$F4164)-SUMIF($C$19:$C4164,$C4164,$G$19:$G4164),"")</f>
        <v>81211.819999998</v>
      </c>
      <c r="I4164" s="147"/>
      <c r="J4164" s="147"/>
      <c r="K4164" s="147" t="str">
        <f t="shared" si="64"/>
        <v/>
      </c>
      <c r="L4164" s="40"/>
      <c r="M4164"/>
      <c r="N4164"/>
      <c r="O4164"/>
      <c r="P4164"/>
      <c r="Q4164"/>
      <c r="R4164"/>
      <c r="S4164"/>
      <c r="T4164"/>
      <c r="U4164"/>
      <c r="V4164"/>
      <c r="W4164" s="41"/>
      <c r="X4164" s="41"/>
      <c r="Y4164" s="41"/>
    </row>
    <row r="4165" s="27" customFormat="1" ht="23" hidden="1" customHeight="1" spans="1:25">
      <c r="A4165" s="133" t="str">
        <f>IF(B4165="","",COUNTA($B$5:B4165))</f>
        <v/>
      </c>
      <c r="B4165" s="148"/>
      <c r="C4165" s="22" t="s">
        <v>49</v>
      </c>
      <c r="D4165" s="149"/>
      <c r="E4165" s="150"/>
      <c r="F4165" s="151"/>
      <c r="G4165" s="151"/>
      <c r="H4165" s="142">
        <f>IFERROR(VLOOKUP($C4165,$C$5:$H$18,6,0)+SUMIF($C$19:$C4165,$C4165,$F$19:$F4165)-SUMIF($C$19:$C4165,$C4165,$G$19:$G4165),"")</f>
        <v>81211.819999998</v>
      </c>
      <c r="I4165" s="147"/>
      <c r="J4165" s="147"/>
      <c r="K4165" s="147" t="str">
        <f t="shared" ref="K4165:K4228" si="65">IF($B4165="","",--TEXT($B4165,"yyyymm"))</f>
        <v/>
      </c>
      <c r="L4165" s="40"/>
      <c r="M4165"/>
      <c r="N4165"/>
      <c r="O4165"/>
      <c r="P4165"/>
      <c r="Q4165"/>
      <c r="R4165"/>
      <c r="S4165"/>
      <c r="T4165"/>
      <c r="U4165"/>
      <c r="V4165"/>
      <c r="W4165" s="41"/>
      <c r="X4165" s="41"/>
      <c r="Y4165" s="41"/>
    </row>
    <row r="4166" s="27" customFormat="1" ht="23" hidden="1" customHeight="1" spans="1:25">
      <c r="A4166" s="133" t="str">
        <f>IF(B4166="","",COUNTA($B$5:B4166))</f>
        <v/>
      </c>
      <c r="B4166" s="148"/>
      <c r="C4166" s="22" t="s">
        <v>49</v>
      </c>
      <c r="D4166" s="149"/>
      <c r="E4166" s="150"/>
      <c r="F4166" s="151"/>
      <c r="G4166" s="151"/>
      <c r="H4166" s="142">
        <f>IFERROR(VLOOKUP($C4166,$C$5:$H$18,6,0)+SUMIF($C$19:$C4166,$C4166,$F$19:$F4166)-SUMIF($C$19:$C4166,$C4166,$G$19:$G4166),"")</f>
        <v>81211.819999998</v>
      </c>
      <c r="I4166" s="147"/>
      <c r="J4166" s="147"/>
      <c r="K4166" s="147" t="str">
        <f t="shared" si="65"/>
        <v/>
      </c>
      <c r="L4166" s="40"/>
      <c r="M4166"/>
      <c r="N4166"/>
      <c r="O4166"/>
      <c r="P4166"/>
      <c r="Q4166"/>
      <c r="R4166"/>
      <c r="S4166"/>
      <c r="T4166"/>
      <c r="U4166"/>
      <c r="V4166"/>
      <c r="W4166" s="41"/>
      <c r="X4166" s="41"/>
      <c r="Y4166" s="41"/>
    </row>
    <row r="4167" s="27" customFormat="1" ht="23" hidden="1" customHeight="1" spans="1:25">
      <c r="A4167" s="133" t="str">
        <f>IF(B4167="","",COUNTA($B$5:B4167))</f>
        <v/>
      </c>
      <c r="B4167" s="148"/>
      <c r="C4167" s="22" t="s">
        <v>49</v>
      </c>
      <c r="D4167" s="149"/>
      <c r="E4167" s="150"/>
      <c r="F4167" s="151"/>
      <c r="G4167" s="151"/>
      <c r="H4167" s="142">
        <f>IFERROR(VLOOKUP($C4167,$C$5:$H$18,6,0)+SUMIF($C$19:$C4167,$C4167,$F$19:$F4167)-SUMIF($C$19:$C4167,$C4167,$G$19:$G4167),"")</f>
        <v>81211.819999998</v>
      </c>
      <c r="I4167" s="147"/>
      <c r="J4167" s="147"/>
      <c r="K4167" s="147" t="str">
        <f t="shared" si="65"/>
        <v/>
      </c>
      <c r="L4167" s="40"/>
      <c r="M4167"/>
      <c r="N4167"/>
      <c r="O4167"/>
      <c r="P4167"/>
      <c r="Q4167"/>
      <c r="R4167"/>
      <c r="S4167"/>
      <c r="T4167"/>
      <c r="U4167"/>
      <c r="V4167"/>
      <c r="W4167" s="41"/>
      <c r="X4167" s="41"/>
      <c r="Y4167" s="41"/>
    </row>
    <row r="4168" s="27" customFormat="1" ht="23" hidden="1" customHeight="1" spans="1:25">
      <c r="A4168" s="133" t="str">
        <f>IF(B4168="","",COUNTA($B$5:B4168))</f>
        <v/>
      </c>
      <c r="B4168" s="148"/>
      <c r="C4168" s="22" t="s">
        <v>49</v>
      </c>
      <c r="D4168" s="149"/>
      <c r="E4168" s="150"/>
      <c r="F4168" s="151"/>
      <c r="G4168" s="151"/>
      <c r="H4168" s="142">
        <f>IFERROR(VLOOKUP($C4168,$C$5:$H$18,6,0)+SUMIF($C$19:$C4168,$C4168,$F$19:$F4168)-SUMIF($C$19:$C4168,$C4168,$G$19:$G4168),"")</f>
        <v>81211.819999998</v>
      </c>
      <c r="I4168" s="147"/>
      <c r="J4168" s="147"/>
      <c r="K4168" s="147" t="str">
        <f t="shared" si="65"/>
        <v/>
      </c>
      <c r="L4168" s="40"/>
      <c r="M4168"/>
      <c r="N4168"/>
      <c r="O4168"/>
      <c r="P4168"/>
      <c r="Q4168"/>
      <c r="R4168"/>
      <c r="S4168"/>
      <c r="T4168"/>
      <c r="U4168"/>
      <c r="V4168"/>
      <c r="W4168" s="41"/>
      <c r="X4168" s="41"/>
      <c r="Y4168" s="41"/>
    </row>
    <row r="4169" s="27" customFormat="1" ht="23" hidden="1" customHeight="1" spans="1:25">
      <c r="A4169" s="133" t="str">
        <f>IF(B4169="","",COUNTA($B$5:B4169))</f>
        <v/>
      </c>
      <c r="B4169" s="148"/>
      <c r="C4169" s="22" t="s">
        <v>49</v>
      </c>
      <c r="D4169" s="149"/>
      <c r="E4169" s="150"/>
      <c r="F4169" s="151"/>
      <c r="G4169" s="151"/>
      <c r="H4169" s="142">
        <f>IFERROR(VLOOKUP($C4169,$C$5:$H$18,6,0)+SUMIF($C$19:$C4169,$C4169,$F$19:$F4169)-SUMIF($C$19:$C4169,$C4169,$G$19:$G4169),"")</f>
        <v>81211.819999998</v>
      </c>
      <c r="I4169" s="147"/>
      <c r="J4169" s="147"/>
      <c r="K4169" s="147" t="str">
        <f t="shared" si="65"/>
        <v/>
      </c>
      <c r="L4169" s="40"/>
      <c r="M4169"/>
      <c r="N4169"/>
      <c r="O4169"/>
      <c r="P4169"/>
      <c r="Q4169"/>
      <c r="R4169"/>
      <c r="S4169"/>
      <c r="T4169"/>
      <c r="U4169"/>
      <c r="V4169"/>
      <c r="W4169" s="41"/>
      <c r="X4169" s="41"/>
      <c r="Y4169" s="41"/>
    </row>
    <row r="4170" s="27" customFormat="1" ht="23" hidden="1" customHeight="1" spans="1:25">
      <c r="A4170" s="133" t="str">
        <f>IF(B4170="","",COUNTA($B$5:B4170))</f>
        <v/>
      </c>
      <c r="B4170" s="148"/>
      <c r="C4170" s="22" t="s">
        <v>49</v>
      </c>
      <c r="D4170" s="149"/>
      <c r="E4170" s="150"/>
      <c r="F4170" s="151"/>
      <c r="G4170" s="151"/>
      <c r="H4170" s="142">
        <f>IFERROR(VLOOKUP($C4170,$C$5:$H$18,6,0)+SUMIF($C$19:$C4170,$C4170,$F$19:$F4170)-SUMIF($C$19:$C4170,$C4170,$G$19:$G4170),"")</f>
        <v>81211.819999998</v>
      </c>
      <c r="I4170" s="147"/>
      <c r="J4170" s="147"/>
      <c r="K4170" s="147" t="str">
        <f t="shared" si="65"/>
        <v/>
      </c>
      <c r="L4170" s="40"/>
      <c r="M4170"/>
      <c r="N4170"/>
      <c r="O4170"/>
      <c r="P4170"/>
      <c r="Q4170"/>
      <c r="R4170"/>
      <c r="S4170"/>
      <c r="T4170"/>
      <c r="U4170"/>
      <c r="V4170"/>
      <c r="W4170" s="41"/>
      <c r="X4170" s="41"/>
      <c r="Y4170" s="41"/>
    </row>
    <row r="4171" s="27" customFormat="1" ht="23" hidden="1" customHeight="1" spans="1:25">
      <c r="A4171" s="133" t="str">
        <f>IF(B4171="","",COUNTA($B$5:B4171))</f>
        <v/>
      </c>
      <c r="B4171" s="148"/>
      <c r="C4171" s="22" t="s">
        <v>49</v>
      </c>
      <c r="D4171" s="149"/>
      <c r="E4171" s="150"/>
      <c r="F4171" s="151"/>
      <c r="G4171" s="151"/>
      <c r="H4171" s="142">
        <f>IFERROR(VLOOKUP($C4171,$C$5:$H$18,6,0)+SUMIF($C$19:$C4171,$C4171,$F$19:$F4171)-SUMIF($C$19:$C4171,$C4171,$G$19:$G4171),"")</f>
        <v>81211.819999998</v>
      </c>
      <c r="I4171" s="147"/>
      <c r="J4171" s="147"/>
      <c r="K4171" s="147" t="str">
        <f t="shared" si="65"/>
        <v/>
      </c>
      <c r="L4171" s="40"/>
      <c r="M4171"/>
      <c r="N4171"/>
      <c r="O4171"/>
      <c r="P4171"/>
      <c r="Q4171"/>
      <c r="R4171"/>
      <c r="S4171"/>
      <c r="T4171"/>
      <c r="U4171"/>
      <c r="V4171"/>
      <c r="W4171" s="41"/>
      <c r="X4171" s="41"/>
      <c r="Y4171" s="41"/>
    </row>
    <row r="4172" s="27" customFormat="1" ht="23" hidden="1" customHeight="1" spans="1:25">
      <c r="A4172" s="133" t="str">
        <f>IF(B4172="","",COUNTA($B$5:B4172))</f>
        <v/>
      </c>
      <c r="B4172" s="148"/>
      <c r="C4172" s="22" t="s">
        <v>49</v>
      </c>
      <c r="D4172" s="149"/>
      <c r="E4172" s="150"/>
      <c r="F4172" s="151"/>
      <c r="G4172" s="151"/>
      <c r="H4172" s="142">
        <f>IFERROR(VLOOKUP($C4172,$C$5:$H$18,6,0)+SUMIF($C$19:$C4172,$C4172,$F$19:$F4172)-SUMIF($C$19:$C4172,$C4172,$G$19:$G4172),"")</f>
        <v>81211.819999998</v>
      </c>
      <c r="I4172" s="147"/>
      <c r="J4172" s="147"/>
      <c r="K4172" s="147" t="str">
        <f t="shared" si="65"/>
        <v/>
      </c>
      <c r="L4172" s="40"/>
      <c r="M4172"/>
      <c r="N4172"/>
      <c r="O4172"/>
      <c r="P4172"/>
      <c r="Q4172"/>
      <c r="R4172"/>
      <c r="S4172"/>
      <c r="T4172"/>
      <c r="U4172"/>
      <c r="V4172"/>
      <c r="W4172" s="41"/>
      <c r="X4172" s="41"/>
      <c r="Y4172" s="41"/>
    </row>
    <row r="4173" s="27" customFormat="1" ht="23" hidden="1" customHeight="1" spans="1:25">
      <c r="A4173" s="133" t="str">
        <f>IF(B4173="","",COUNTA($B$5:B4173))</f>
        <v/>
      </c>
      <c r="B4173" s="148"/>
      <c r="C4173" s="22" t="s">
        <v>49</v>
      </c>
      <c r="D4173" s="149"/>
      <c r="E4173" s="150"/>
      <c r="F4173" s="151"/>
      <c r="G4173" s="151"/>
      <c r="H4173" s="142">
        <f>IFERROR(VLOOKUP($C4173,$C$5:$H$18,6,0)+SUMIF($C$19:$C4173,$C4173,$F$19:$F4173)-SUMIF($C$19:$C4173,$C4173,$G$19:$G4173),"")</f>
        <v>81211.819999998</v>
      </c>
      <c r="I4173" s="147"/>
      <c r="J4173" s="147"/>
      <c r="K4173" s="147" t="str">
        <f t="shared" si="65"/>
        <v/>
      </c>
      <c r="L4173" s="40"/>
      <c r="M4173"/>
      <c r="N4173"/>
      <c r="O4173"/>
      <c r="P4173"/>
      <c r="Q4173"/>
      <c r="R4173"/>
      <c r="S4173"/>
      <c r="T4173"/>
      <c r="U4173"/>
      <c r="V4173"/>
      <c r="W4173" s="41"/>
      <c r="X4173" s="41"/>
      <c r="Y4173" s="41"/>
    </row>
    <row r="4174" s="27" customFormat="1" ht="23" hidden="1" customHeight="1" spans="1:25">
      <c r="A4174" s="133" t="str">
        <f>IF(B4174="","",COUNTA($B$5:B4174))</f>
        <v/>
      </c>
      <c r="B4174" s="148"/>
      <c r="C4174" s="22" t="s">
        <v>49</v>
      </c>
      <c r="D4174" s="149"/>
      <c r="E4174" s="150"/>
      <c r="F4174" s="151"/>
      <c r="G4174" s="151"/>
      <c r="H4174" s="142">
        <f>IFERROR(VLOOKUP($C4174,$C$5:$H$18,6,0)+SUMIF($C$19:$C4174,$C4174,$F$19:$F4174)-SUMIF($C$19:$C4174,$C4174,$G$19:$G4174),"")</f>
        <v>81211.819999998</v>
      </c>
      <c r="I4174" s="147"/>
      <c r="J4174" s="147"/>
      <c r="K4174" s="147" t="str">
        <f t="shared" si="65"/>
        <v/>
      </c>
      <c r="L4174" s="40"/>
      <c r="M4174"/>
      <c r="N4174"/>
      <c r="O4174"/>
      <c r="P4174"/>
      <c r="Q4174"/>
      <c r="R4174"/>
      <c r="S4174"/>
      <c r="T4174"/>
      <c r="U4174"/>
      <c r="V4174"/>
      <c r="W4174" s="41"/>
      <c r="X4174" s="41"/>
      <c r="Y4174" s="41"/>
    </row>
    <row r="4175" s="27" customFormat="1" ht="23" hidden="1" customHeight="1" spans="1:25">
      <c r="A4175" s="133" t="str">
        <f>IF(B4175="","",COUNTA($B$5:B4175))</f>
        <v/>
      </c>
      <c r="B4175" s="148"/>
      <c r="C4175" s="22" t="s">
        <v>49</v>
      </c>
      <c r="D4175" s="149"/>
      <c r="E4175" s="150"/>
      <c r="F4175" s="151"/>
      <c r="G4175" s="151"/>
      <c r="H4175" s="142">
        <f>IFERROR(VLOOKUP($C4175,$C$5:$H$18,6,0)+SUMIF($C$19:$C4175,$C4175,$F$19:$F4175)-SUMIF($C$19:$C4175,$C4175,$G$19:$G4175),"")</f>
        <v>81211.819999998</v>
      </c>
      <c r="I4175" s="147"/>
      <c r="J4175" s="147"/>
      <c r="K4175" s="147" t="str">
        <f t="shared" si="65"/>
        <v/>
      </c>
      <c r="L4175" s="40"/>
      <c r="M4175"/>
      <c r="N4175"/>
      <c r="O4175"/>
      <c r="P4175"/>
      <c r="Q4175"/>
      <c r="R4175"/>
      <c r="S4175"/>
      <c r="T4175"/>
      <c r="U4175"/>
      <c r="V4175"/>
      <c r="W4175" s="41"/>
      <c r="X4175" s="41"/>
      <c r="Y4175" s="41"/>
    </row>
    <row r="4176" s="27" customFormat="1" ht="23" hidden="1" customHeight="1" spans="1:25">
      <c r="A4176" s="133" t="str">
        <f>IF(B4176="","",COUNTA($B$5:B4176))</f>
        <v/>
      </c>
      <c r="B4176" s="148"/>
      <c r="C4176" s="22" t="s">
        <v>49</v>
      </c>
      <c r="D4176" s="149"/>
      <c r="E4176" s="150"/>
      <c r="F4176" s="151"/>
      <c r="G4176" s="151"/>
      <c r="H4176" s="142">
        <f>IFERROR(VLOOKUP($C4176,$C$5:$H$18,6,0)+SUMIF($C$19:$C4176,$C4176,$F$19:$F4176)-SUMIF($C$19:$C4176,$C4176,$G$19:$G4176),"")</f>
        <v>81211.819999998</v>
      </c>
      <c r="I4176" s="147"/>
      <c r="J4176" s="147"/>
      <c r="K4176" s="147" t="str">
        <f t="shared" si="65"/>
        <v/>
      </c>
      <c r="L4176" s="40"/>
      <c r="M4176"/>
      <c r="N4176"/>
      <c r="O4176"/>
      <c r="P4176"/>
      <c r="Q4176"/>
      <c r="R4176"/>
      <c r="S4176"/>
      <c r="T4176"/>
      <c r="U4176"/>
      <c r="V4176"/>
      <c r="W4176" s="41"/>
      <c r="X4176" s="41"/>
      <c r="Y4176" s="41"/>
    </row>
    <row r="4177" s="27" customFormat="1" ht="23" hidden="1" customHeight="1" spans="1:25">
      <c r="A4177" s="133" t="str">
        <f>IF(B4177="","",COUNTA($B$5:B4177))</f>
        <v/>
      </c>
      <c r="B4177" s="148"/>
      <c r="C4177" s="22" t="s">
        <v>49</v>
      </c>
      <c r="D4177" s="149"/>
      <c r="E4177" s="150"/>
      <c r="F4177" s="151"/>
      <c r="G4177" s="151"/>
      <c r="H4177" s="142">
        <f>IFERROR(VLOOKUP($C4177,$C$5:$H$18,6,0)+SUMIF($C$19:$C4177,$C4177,$F$19:$F4177)-SUMIF($C$19:$C4177,$C4177,$G$19:$G4177),"")</f>
        <v>81211.819999998</v>
      </c>
      <c r="I4177" s="147"/>
      <c r="J4177" s="147"/>
      <c r="K4177" s="147" t="str">
        <f t="shared" si="65"/>
        <v/>
      </c>
      <c r="L4177" s="40"/>
      <c r="M4177"/>
      <c r="N4177"/>
      <c r="O4177"/>
      <c r="P4177"/>
      <c r="Q4177"/>
      <c r="R4177"/>
      <c r="S4177"/>
      <c r="T4177"/>
      <c r="U4177"/>
      <c r="V4177"/>
      <c r="W4177" s="41"/>
      <c r="X4177" s="41"/>
      <c r="Y4177" s="41"/>
    </row>
    <row r="4178" s="27" customFormat="1" ht="23" hidden="1" customHeight="1" spans="1:25">
      <c r="A4178" s="133" t="str">
        <f>IF(B4178="","",COUNTA($B$5:B4178))</f>
        <v/>
      </c>
      <c r="B4178" s="148"/>
      <c r="C4178" s="22" t="s">
        <v>49</v>
      </c>
      <c r="D4178" s="149"/>
      <c r="E4178" s="150"/>
      <c r="F4178" s="151"/>
      <c r="G4178" s="151"/>
      <c r="H4178" s="142">
        <f>IFERROR(VLOOKUP($C4178,$C$5:$H$18,6,0)+SUMIF($C$19:$C4178,$C4178,$F$19:$F4178)-SUMIF($C$19:$C4178,$C4178,$G$19:$G4178),"")</f>
        <v>81211.819999998</v>
      </c>
      <c r="I4178" s="147"/>
      <c r="J4178" s="147"/>
      <c r="K4178" s="147" t="str">
        <f t="shared" si="65"/>
        <v/>
      </c>
      <c r="L4178" s="40"/>
      <c r="M4178"/>
      <c r="N4178"/>
      <c r="O4178"/>
      <c r="P4178"/>
      <c r="Q4178"/>
      <c r="R4178"/>
      <c r="S4178"/>
      <c r="T4178"/>
      <c r="U4178"/>
      <c r="V4178"/>
      <c r="W4178" s="41"/>
      <c r="X4178" s="41"/>
      <c r="Y4178" s="41"/>
    </row>
    <row r="4179" s="27" customFormat="1" ht="23" hidden="1" customHeight="1" spans="1:25">
      <c r="A4179" s="133" t="str">
        <f>IF(B4179="","",COUNTA($B$5:B4179))</f>
        <v/>
      </c>
      <c r="B4179" s="148"/>
      <c r="C4179" s="22" t="s">
        <v>49</v>
      </c>
      <c r="D4179" s="149"/>
      <c r="E4179" s="150"/>
      <c r="F4179" s="151"/>
      <c r="G4179" s="151"/>
      <c r="H4179" s="142">
        <f>IFERROR(VLOOKUP($C4179,$C$5:$H$18,6,0)+SUMIF($C$19:$C4179,$C4179,$F$19:$F4179)-SUMIF($C$19:$C4179,$C4179,$G$19:$G4179),"")</f>
        <v>81211.819999998</v>
      </c>
      <c r="I4179" s="147"/>
      <c r="J4179" s="147"/>
      <c r="K4179" s="147" t="str">
        <f t="shared" si="65"/>
        <v/>
      </c>
      <c r="L4179" s="40"/>
      <c r="M4179"/>
      <c r="N4179"/>
      <c r="O4179"/>
      <c r="P4179"/>
      <c r="Q4179"/>
      <c r="R4179"/>
      <c r="S4179"/>
      <c r="T4179"/>
      <c r="U4179"/>
      <c r="V4179"/>
      <c r="W4179" s="41"/>
      <c r="X4179" s="41"/>
      <c r="Y4179" s="41"/>
    </row>
    <row r="4180" s="27" customFormat="1" ht="23" hidden="1" customHeight="1" spans="1:25">
      <c r="A4180" s="133" t="str">
        <f>IF(B4180="","",COUNTA($B$5:B4180))</f>
        <v/>
      </c>
      <c r="B4180" s="148"/>
      <c r="C4180" s="22" t="s">
        <v>49</v>
      </c>
      <c r="D4180" s="149"/>
      <c r="E4180" s="150"/>
      <c r="F4180" s="151"/>
      <c r="G4180" s="151"/>
      <c r="H4180" s="142">
        <f>IFERROR(VLOOKUP($C4180,$C$5:$H$18,6,0)+SUMIF($C$19:$C4180,$C4180,$F$19:$F4180)-SUMIF($C$19:$C4180,$C4180,$G$19:$G4180),"")</f>
        <v>81211.819999998</v>
      </c>
      <c r="I4180" s="147"/>
      <c r="J4180" s="147"/>
      <c r="K4180" s="147" t="str">
        <f t="shared" si="65"/>
        <v/>
      </c>
      <c r="L4180" s="40"/>
      <c r="M4180"/>
      <c r="N4180"/>
      <c r="O4180"/>
      <c r="P4180"/>
      <c r="Q4180"/>
      <c r="R4180"/>
      <c r="S4180"/>
      <c r="T4180"/>
      <c r="U4180"/>
      <c r="V4180"/>
      <c r="W4180" s="41"/>
      <c r="X4180" s="41"/>
      <c r="Y4180" s="41"/>
    </row>
    <row r="4181" s="27" customFormat="1" ht="23" hidden="1" customHeight="1" spans="1:25">
      <c r="A4181" s="133" t="str">
        <f>IF(B4181="","",COUNTA($B$5:B4181))</f>
        <v/>
      </c>
      <c r="B4181" s="148"/>
      <c r="C4181" s="22" t="s">
        <v>49</v>
      </c>
      <c r="D4181" s="149"/>
      <c r="E4181" s="150"/>
      <c r="F4181" s="151"/>
      <c r="G4181" s="151"/>
      <c r="H4181" s="142">
        <f>IFERROR(VLOOKUP($C4181,$C$5:$H$18,6,0)+SUMIF($C$19:$C4181,$C4181,$F$19:$F4181)-SUMIF($C$19:$C4181,$C4181,$G$19:$G4181),"")</f>
        <v>81211.819999998</v>
      </c>
      <c r="I4181" s="147"/>
      <c r="J4181" s="147"/>
      <c r="K4181" s="147" t="str">
        <f t="shared" si="65"/>
        <v/>
      </c>
      <c r="L4181" s="40"/>
      <c r="M4181"/>
      <c r="N4181"/>
      <c r="O4181"/>
      <c r="P4181"/>
      <c r="Q4181"/>
      <c r="R4181"/>
      <c r="S4181"/>
      <c r="T4181"/>
      <c r="U4181"/>
      <c r="V4181"/>
      <c r="W4181" s="41"/>
      <c r="X4181" s="41"/>
      <c r="Y4181" s="41"/>
    </row>
    <row r="4182" s="27" customFormat="1" ht="23" hidden="1" customHeight="1" spans="1:25">
      <c r="A4182" s="133" t="str">
        <f>IF(B4182="","",COUNTA($B$5:B4182))</f>
        <v/>
      </c>
      <c r="B4182" s="148"/>
      <c r="C4182" s="22" t="s">
        <v>49</v>
      </c>
      <c r="D4182" s="149"/>
      <c r="E4182" s="150"/>
      <c r="F4182" s="151"/>
      <c r="G4182" s="151"/>
      <c r="H4182" s="142">
        <f>IFERROR(VLOOKUP($C4182,$C$5:$H$18,6,0)+SUMIF($C$19:$C4182,$C4182,$F$19:$F4182)-SUMIF($C$19:$C4182,$C4182,$G$19:$G4182),"")</f>
        <v>81211.819999998</v>
      </c>
      <c r="I4182" s="147"/>
      <c r="J4182" s="147"/>
      <c r="K4182" s="147" t="str">
        <f t="shared" si="65"/>
        <v/>
      </c>
      <c r="L4182" s="40"/>
      <c r="M4182"/>
      <c r="N4182"/>
      <c r="O4182"/>
      <c r="P4182"/>
      <c r="Q4182"/>
      <c r="R4182"/>
      <c r="S4182"/>
      <c r="T4182"/>
      <c r="U4182"/>
      <c r="V4182"/>
      <c r="W4182" s="41"/>
      <c r="X4182" s="41"/>
      <c r="Y4182" s="41"/>
    </row>
    <row r="4183" s="27" customFormat="1" ht="23" hidden="1" customHeight="1" spans="1:25">
      <c r="A4183" s="133" t="str">
        <f>IF(B4183="","",COUNTA($B$5:B4183))</f>
        <v/>
      </c>
      <c r="B4183" s="148"/>
      <c r="C4183" s="22" t="s">
        <v>49</v>
      </c>
      <c r="D4183" s="149"/>
      <c r="E4183" s="150"/>
      <c r="F4183" s="151"/>
      <c r="G4183" s="151"/>
      <c r="H4183" s="142">
        <f>IFERROR(VLOOKUP($C4183,$C$5:$H$18,6,0)+SUMIF($C$19:$C4183,$C4183,$F$19:$F4183)-SUMIF($C$19:$C4183,$C4183,$G$19:$G4183),"")</f>
        <v>81211.819999998</v>
      </c>
      <c r="I4183" s="147"/>
      <c r="J4183" s="147"/>
      <c r="K4183" s="147" t="str">
        <f t="shared" si="65"/>
        <v/>
      </c>
      <c r="L4183" s="40"/>
      <c r="M4183"/>
      <c r="N4183"/>
      <c r="O4183"/>
      <c r="P4183"/>
      <c r="Q4183"/>
      <c r="R4183"/>
      <c r="S4183"/>
      <c r="T4183"/>
      <c r="U4183"/>
      <c r="V4183"/>
      <c r="W4183" s="41"/>
      <c r="X4183" s="41"/>
      <c r="Y4183" s="41"/>
    </row>
    <row r="4184" s="27" customFormat="1" ht="23" hidden="1" customHeight="1" spans="1:25">
      <c r="A4184" s="133" t="str">
        <f>IF(B4184="","",COUNTA($B$5:B4184))</f>
        <v/>
      </c>
      <c r="B4184" s="148"/>
      <c r="C4184" s="22" t="s">
        <v>49</v>
      </c>
      <c r="D4184" s="149"/>
      <c r="E4184" s="150"/>
      <c r="F4184" s="151"/>
      <c r="G4184" s="151"/>
      <c r="H4184" s="142">
        <f>IFERROR(VLOOKUP($C4184,$C$5:$H$18,6,0)+SUMIF($C$19:$C4184,$C4184,$F$19:$F4184)-SUMIF($C$19:$C4184,$C4184,$G$19:$G4184),"")</f>
        <v>81211.819999998</v>
      </c>
      <c r="I4184" s="147"/>
      <c r="J4184" s="147"/>
      <c r="K4184" s="147" t="str">
        <f t="shared" si="65"/>
        <v/>
      </c>
      <c r="L4184" s="40"/>
      <c r="M4184"/>
      <c r="N4184"/>
      <c r="O4184"/>
      <c r="P4184"/>
      <c r="Q4184"/>
      <c r="R4184"/>
      <c r="S4184"/>
      <c r="T4184"/>
      <c r="U4184"/>
      <c r="V4184"/>
      <c r="W4184" s="41"/>
      <c r="X4184" s="41"/>
      <c r="Y4184" s="41"/>
    </row>
    <row r="4185" s="27" customFormat="1" ht="23" hidden="1" customHeight="1" spans="1:25">
      <c r="A4185" s="133" t="str">
        <f>IF(B4185="","",COUNTA($B$5:B4185))</f>
        <v/>
      </c>
      <c r="B4185" s="148"/>
      <c r="C4185" s="22" t="s">
        <v>49</v>
      </c>
      <c r="D4185" s="149"/>
      <c r="E4185" s="150"/>
      <c r="F4185" s="151"/>
      <c r="G4185" s="151"/>
      <c r="H4185" s="142">
        <f>IFERROR(VLOOKUP($C4185,$C$5:$H$18,6,0)+SUMIF($C$19:$C4185,$C4185,$F$19:$F4185)-SUMIF($C$19:$C4185,$C4185,$G$19:$G4185),"")</f>
        <v>81211.819999998</v>
      </c>
      <c r="I4185" s="147"/>
      <c r="J4185" s="147"/>
      <c r="K4185" s="147" t="str">
        <f t="shared" si="65"/>
        <v/>
      </c>
      <c r="L4185" s="40"/>
      <c r="M4185"/>
      <c r="N4185"/>
      <c r="O4185"/>
      <c r="P4185"/>
      <c r="Q4185"/>
      <c r="R4185"/>
      <c r="S4185"/>
      <c r="T4185"/>
      <c r="U4185"/>
      <c r="V4185"/>
      <c r="W4185" s="41"/>
      <c r="X4185" s="41"/>
      <c r="Y4185" s="41"/>
    </row>
    <row r="4186" s="27" customFormat="1" ht="23" hidden="1" customHeight="1" spans="1:25">
      <c r="A4186" s="133" t="str">
        <f>IF(B4186="","",COUNTA($B$5:B4186))</f>
        <v/>
      </c>
      <c r="B4186" s="148"/>
      <c r="C4186" s="22" t="s">
        <v>49</v>
      </c>
      <c r="D4186" s="149"/>
      <c r="E4186" s="150"/>
      <c r="F4186" s="151"/>
      <c r="G4186" s="151"/>
      <c r="H4186" s="142">
        <f>IFERROR(VLOOKUP($C4186,$C$5:$H$18,6,0)+SUMIF($C$19:$C4186,$C4186,$F$19:$F4186)-SUMIF($C$19:$C4186,$C4186,$G$19:$G4186),"")</f>
        <v>81211.819999998</v>
      </c>
      <c r="I4186" s="147"/>
      <c r="J4186" s="147"/>
      <c r="K4186" s="147" t="str">
        <f t="shared" si="65"/>
        <v/>
      </c>
      <c r="L4186" s="40"/>
      <c r="M4186"/>
      <c r="N4186"/>
      <c r="O4186"/>
      <c r="P4186"/>
      <c r="Q4186"/>
      <c r="R4186"/>
      <c r="S4186"/>
      <c r="T4186"/>
      <c r="U4186"/>
      <c r="V4186"/>
      <c r="W4186" s="41"/>
      <c r="X4186" s="41"/>
      <c r="Y4186" s="41"/>
    </row>
    <row r="4187" s="27" customFormat="1" ht="23" hidden="1" customHeight="1" spans="1:25">
      <c r="A4187" s="133" t="str">
        <f>IF(B4187="","",COUNTA($B$5:B4187))</f>
        <v/>
      </c>
      <c r="B4187" s="148"/>
      <c r="C4187" s="22" t="s">
        <v>49</v>
      </c>
      <c r="D4187" s="149"/>
      <c r="E4187" s="150"/>
      <c r="F4187" s="151"/>
      <c r="G4187" s="151"/>
      <c r="H4187" s="142">
        <f>IFERROR(VLOOKUP($C4187,$C$5:$H$18,6,0)+SUMIF($C$19:$C4187,$C4187,$F$19:$F4187)-SUMIF($C$19:$C4187,$C4187,$G$19:$G4187),"")</f>
        <v>81211.819999998</v>
      </c>
      <c r="I4187" s="147"/>
      <c r="J4187" s="147"/>
      <c r="K4187" s="147" t="str">
        <f t="shared" si="65"/>
        <v/>
      </c>
      <c r="L4187" s="40"/>
      <c r="M4187"/>
      <c r="N4187"/>
      <c r="O4187"/>
      <c r="P4187"/>
      <c r="Q4187"/>
      <c r="R4187"/>
      <c r="S4187"/>
      <c r="T4187"/>
      <c r="U4187"/>
      <c r="V4187"/>
      <c r="W4187" s="41"/>
      <c r="X4187" s="41"/>
      <c r="Y4187" s="41"/>
    </row>
    <row r="4188" s="27" customFormat="1" ht="23" hidden="1" customHeight="1" spans="1:25">
      <c r="A4188" s="133" t="str">
        <f>IF(B4188="","",COUNTA($B$5:B4188))</f>
        <v/>
      </c>
      <c r="B4188" s="148"/>
      <c r="C4188" s="22" t="s">
        <v>49</v>
      </c>
      <c r="D4188" s="149"/>
      <c r="E4188" s="150"/>
      <c r="F4188" s="151"/>
      <c r="G4188" s="151"/>
      <c r="H4188" s="142">
        <f>IFERROR(VLOOKUP($C4188,$C$5:$H$18,6,0)+SUMIF($C$19:$C4188,$C4188,$F$19:$F4188)-SUMIF($C$19:$C4188,$C4188,$G$19:$G4188),"")</f>
        <v>81211.819999998</v>
      </c>
      <c r="I4188" s="147"/>
      <c r="J4188" s="147"/>
      <c r="K4188" s="147" t="str">
        <f t="shared" si="65"/>
        <v/>
      </c>
      <c r="L4188" s="40"/>
      <c r="M4188"/>
      <c r="N4188"/>
      <c r="O4188"/>
      <c r="P4188"/>
      <c r="Q4188"/>
      <c r="R4188"/>
      <c r="S4188"/>
      <c r="T4188"/>
      <c r="U4188"/>
      <c r="V4188"/>
      <c r="W4188" s="41"/>
      <c r="X4188" s="41"/>
      <c r="Y4188" s="41"/>
    </row>
    <row r="4189" s="27" customFormat="1" ht="23" hidden="1" customHeight="1" spans="1:25">
      <c r="A4189" s="133" t="str">
        <f>IF(B4189="","",COUNTA($B$5:B4189))</f>
        <v/>
      </c>
      <c r="B4189" s="148"/>
      <c r="C4189" s="22" t="s">
        <v>49</v>
      </c>
      <c r="D4189" s="149"/>
      <c r="E4189" s="150"/>
      <c r="F4189" s="151"/>
      <c r="G4189" s="151"/>
      <c r="H4189" s="142">
        <f>IFERROR(VLOOKUP($C4189,$C$5:$H$18,6,0)+SUMIF($C$19:$C4189,$C4189,$F$19:$F4189)-SUMIF($C$19:$C4189,$C4189,$G$19:$G4189),"")</f>
        <v>81211.819999998</v>
      </c>
      <c r="I4189" s="147"/>
      <c r="J4189" s="147"/>
      <c r="K4189" s="147" t="str">
        <f t="shared" si="65"/>
        <v/>
      </c>
      <c r="L4189" s="40"/>
      <c r="M4189"/>
      <c r="N4189"/>
      <c r="O4189"/>
      <c r="P4189"/>
      <c r="Q4189"/>
      <c r="R4189"/>
      <c r="S4189"/>
      <c r="T4189"/>
      <c r="U4189"/>
      <c r="V4189"/>
      <c r="W4189" s="41"/>
      <c r="X4189" s="41"/>
      <c r="Y4189" s="41"/>
    </row>
    <row r="4190" s="27" customFormat="1" ht="23" hidden="1" customHeight="1" spans="1:25">
      <c r="A4190" s="133" t="str">
        <f>IF(B4190="","",COUNTA($B$5:B4190))</f>
        <v/>
      </c>
      <c r="B4190" s="148"/>
      <c r="C4190" s="22" t="s">
        <v>49</v>
      </c>
      <c r="D4190" s="149"/>
      <c r="E4190" s="150"/>
      <c r="F4190" s="151"/>
      <c r="G4190" s="151"/>
      <c r="H4190" s="142">
        <f>IFERROR(VLOOKUP($C4190,$C$5:$H$18,6,0)+SUMIF($C$19:$C4190,$C4190,$F$19:$F4190)-SUMIF($C$19:$C4190,$C4190,$G$19:$G4190),"")</f>
        <v>81211.819999998</v>
      </c>
      <c r="I4190" s="147"/>
      <c r="J4190" s="147"/>
      <c r="K4190" s="147" t="str">
        <f t="shared" si="65"/>
        <v/>
      </c>
      <c r="L4190" s="40"/>
      <c r="M4190"/>
      <c r="N4190"/>
      <c r="O4190"/>
      <c r="P4190"/>
      <c r="Q4190"/>
      <c r="R4190"/>
      <c r="S4190"/>
      <c r="T4190"/>
      <c r="U4190"/>
      <c r="V4190"/>
      <c r="W4190" s="41"/>
      <c r="X4190" s="41"/>
      <c r="Y4190" s="41"/>
    </row>
    <row r="4191" s="27" customFormat="1" ht="23" hidden="1" customHeight="1" spans="1:25">
      <c r="A4191" s="133" t="str">
        <f>IF(B4191="","",COUNTA($B$5:B4191))</f>
        <v/>
      </c>
      <c r="B4191" s="148"/>
      <c r="C4191" s="22" t="s">
        <v>49</v>
      </c>
      <c r="D4191" s="149"/>
      <c r="E4191" s="150"/>
      <c r="F4191" s="151"/>
      <c r="G4191" s="151"/>
      <c r="H4191" s="142">
        <f>IFERROR(VLOOKUP($C4191,$C$5:$H$18,6,0)+SUMIF($C$19:$C4191,$C4191,$F$19:$F4191)-SUMIF($C$19:$C4191,$C4191,$G$19:$G4191),"")</f>
        <v>81211.819999998</v>
      </c>
      <c r="I4191" s="147"/>
      <c r="J4191" s="147"/>
      <c r="K4191" s="147" t="str">
        <f t="shared" si="65"/>
        <v/>
      </c>
      <c r="L4191" s="40"/>
      <c r="M4191"/>
      <c r="N4191"/>
      <c r="O4191"/>
      <c r="P4191"/>
      <c r="Q4191"/>
      <c r="R4191"/>
      <c r="S4191"/>
      <c r="T4191"/>
      <c r="U4191"/>
      <c r="V4191"/>
      <c r="W4191" s="41"/>
      <c r="X4191" s="41"/>
      <c r="Y4191" s="41"/>
    </row>
    <row r="4192" s="27" customFormat="1" ht="23" hidden="1" customHeight="1" spans="1:25">
      <c r="A4192" s="133" t="str">
        <f>IF(B4192="","",COUNTA($B$5:B4192))</f>
        <v/>
      </c>
      <c r="B4192" s="148"/>
      <c r="C4192" s="22" t="s">
        <v>49</v>
      </c>
      <c r="D4192" s="149"/>
      <c r="E4192" s="150"/>
      <c r="F4192" s="151"/>
      <c r="G4192" s="151"/>
      <c r="H4192" s="142">
        <f>IFERROR(VLOOKUP($C4192,$C$5:$H$18,6,0)+SUMIF($C$19:$C4192,$C4192,$F$19:$F4192)-SUMIF($C$19:$C4192,$C4192,$G$19:$G4192),"")</f>
        <v>81211.819999998</v>
      </c>
      <c r="I4192" s="147"/>
      <c r="J4192" s="147"/>
      <c r="K4192" s="147" t="str">
        <f t="shared" si="65"/>
        <v/>
      </c>
      <c r="L4192" s="40"/>
      <c r="M4192"/>
      <c r="N4192"/>
      <c r="O4192"/>
      <c r="P4192"/>
      <c r="Q4192"/>
      <c r="R4192"/>
      <c r="S4192"/>
      <c r="T4192"/>
      <c r="U4192"/>
      <c r="V4192"/>
      <c r="W4192" s="41"/>
      <c r="X4192" s="41"/>
      <c r="Y4192" s="41"/>
    </row>
    <row r="4193" s="27" customFormat="1" ht="23" hidden="1" customHeight="1" spans="1:25">
      <c r="A4193" s="133" t="str">
        <f>IF(B4193="","",COUNTA($B$5:B4193))</f>
        <v/>
      </c>
      <c r="B4193" s="148"/>
      <c r="C4193" s="22" t="s">
        <v>49</v>
      </c>
      <c r="D4193" s="149"/>
      <c r="E4193" s="150"/>
      <c r="F4193" s="151"/>
      <c r="G4193" s="151"/>
      <c r="H4193" s="142">
        <f>IFERROR(VLOOKUP($C4193,$C$5:$H$18,6,0)+SUMIF($C$19:$C4193,$C4193,$F$19:$F4193)-SUMIF($C$19:$C4193,$C4193,$G$19:$G4193),"")</f>
        <v>81211.819999998</v>
      </c>
      <c r="I4193" s="147"/>
      <c r="J4193" s="147"/>
      <c r="K4193" s="147" t="str">
        <f t="shared" si="65"/>
        <v/>
      </c>
      <c r="L4193" s="40"/>
      <c r="M4193"/>
      <c r="N4193"/>
      <c r="O4193"/>
      <c r="P4193"/>
      <c r="Q4193"/>
      <c r="R4193"/>
      <c r="S4193"/>
      <c r="T4193"/>
      <c r="U4193"/>
      <c r="V4193"/>
      <c r="W4193" s="41"/>
      <c r="X4193" s="41"/>
      <c r="Y4193" s="41"/>
    </row>
    <row r="4194" s="27" customFormat="1" ht="23" hidden="1" customHeight="1" spans="1:25">
      <c r="A4194" s="133" t="str">
        <f>IF(B4194="","",COUNTA($B$5:B4194))</f>
        <v/>
      </c>
      <c r="B4194" s="148"/>
      <c r="C4194" s="22" t="s">
        <v>49</v>
      </c>
      <c r="D4194" s="149"/>
      <c r="E4194" s="150"/>
      <c r="F4194" s="151"/>
      <c r="G4194" s="151"/>
      <c r="H4194" s="142">
        <f>IFERROR(VLOOKUP($C4194,$C$5:$H$18,6,0)+SUMIF($C$19:$C4194,$C4194,$F$19:$F4194)-SUMIF($C$19:$C4194,$C4194,$G$19:$G4194),"")</f>
        <v>81211.819999998</v>
      </c>
      <c r="I4194" s="147"/>
      <c r="J4194" s="147"/>
      <c r="K4194" s="147" t="str">
        <f t="shared" si="65"/>
        <v/>
      </c>
      <c r="L4194" s="40"/>
      <c r="M4194"/>
      <c r="N4194"/>
      <c r="O4194"/>
      <c r="P4194"/>
      <c r="Q4194"/>
      <c r="R4194"/>
      <c r="S4194"/>
      <c r="T4194"/>
      <c r="U4194"/>
      <c r="V4194"/>
      <c r="W4194" s="41"/>
      <c r="X4194" s="41"/>
      <c r="Y4194" s="41"/>
    </row>
    <row r="4195" s="27" customFormat="1" ht="23" hidden="1" customHeight="1" spans="1:25">
      <c r="A4195" s="133" t="str">
        <f>IF(B4195="","",COUNTA($B$5:B4195))</f>
        <v/>
      </c>
      <c r="B4195" s="148"/>
      <c r="C4195" s="22" t="s">
        <v>49</v>
      </c>
      <c r="D4195" s="149"/>
      <c r="E4195" s="150"/>
      <c r="F4195" s="151"/>
      <c r="G4195" s="151"/>
      <c r="H4195" s="142">
        <f>IFERROR(VLOOKUP($C4195,$C$5:$H$18,6,0)+SUMIF($C$19:$C4195,$C4195,$F$19:$F4195)-SUMIF($C$19:$C4195,$C4195,$G$19:$G4195),"")</f>
        <v>81211.819999998</v>
      </c>
      <c r="I4195" s="147"/>
      <c r="J4195" s="147"/>
      <c r="K4195" s="147" t="str">
        <f t="shared" si="65"/>
        <v/>
      </c>
      <c r="L4195" s="40"/>
      <c r="M4195"/>
      <c r="N4195"/>
      <c r="O4195"/>
      <c r="P4195"/>
      <c r="Q4195"/>
      <c r="R4195"/>
      <c r="S4195"/>
      <c r="T4195"/>
      <c r="U4195"/>
      <c r="V4195"/>
      <c r="W4195" s="41"/>
      <c r="X4195" s="41"/>
      <c r="Y4195" s="41"/>
    </row>
    <row r="4196" s="27" customFormat="1" ht="23" hidden="1" customHeight="1" spans="1:25">
      <c r="A4196" s="133" t="str">
        <f>IF(B4196="","",COUNTA($B$5:B4196))</f>
        <v/>
      </c>
      <c r="B4196" s="148"/>
      <c r="C4196" s="22" t="s">
        <v>49</v>
      </c>
      <c r="D4196" s="149"/>
      <c r="E4196" s="150"/>
      <c r="F4196" s="151"/>
      <c r="G4196" s="151"/>
      <c r="H4196" s="142">
        <f>IFERROR(VLOOKUP($C4196,$C$5:$H$18,6,0)+SUMIF($C$19:$C4196,$C4196,$F$19:$F4196)-SUMIF($C$19:$C4196,$C4196,$G$19:$G4196),"")</f>
        <v>81211.819999998</v>
      </c>
      <c r="I4196" s="147"/>
      <c r="J4196" s="147"/>
      <c r="K4196" s="147" t="str">
        <f t="shared" si="65"/>
        <v/>
      </c>
      <c r="L4196" s="40"/>
      <c r="M4196"/>
      <c r="N4196"/>
      <c r="O4196"/>
      <c r="P4196"/>
      <c r="Q4196"/>
      <c r="R4196"/>
      <c r="S4196"/>
      <c r="T4196"/>
      <c r="U4196"/>
      <c r="V4196"/>
      <c r="W4196" s="41"/>
      <c r="X4196" s="41"/>
      <c r="Y4196" s="41"/>
    </row>
    <row r="4197" s="27" customFormat="1" ht="23" hidden="1" customHeight="1" spans="1:25">
      <c r="A4197" s="133" t="str">
        <f>IF(B4197="","",COUNTA($B$5:B4197))</f>
        <v/>
      </c>
      <c r="B4197" s="148"/>
      <c r="C4197" s="22" t="s">
        <v>49</v>
      </c>
      <c r="D4197" s="149"/>
      <c r="E4197" s="150"/>
      <c r="F4197" s="151"/>
      <c r="G4197" s="151"/>
      <c r="H4197" s="142">
        <f>IFERROR(VLOOKUP($C4197,$C$5:$H$18,6,0)+SUMIF($C$19:$C4197,$C4197,$F$19:$F4197)-SUMIF($C$19:$C4197,$C4197,$G$19:$G4197),"")</f>
        <v>81211.819999998</v>
      </c>
      <c r="I4197" s="147"/>
      <c r="J4197" s="147"/>
      <c r="K4197" s="147" t="str">
        <f t="shared" si="65"/>
        <v/>
      </c>
      <c r="L4197" s="40"/>
      <c r="M4197"/>
      <c r="N4197"/>
      <c r="O4197"/>
      <c r="P4197"/>
      <c r="Q4197"/>
      <c r="R4197"/>
      <c r="S4197"/>
      <c r="T4197"/>
      <c r="U4197"/>
      <c r="V4197"/>
      <c r="W4197" s="41"/>
      <c r="X4197" s="41"/>
      <c r="Y4197" s="41"/>
    </row>
    <row r="4198" s="27" customFormat="1" ht="23" hidden="1" customHeight="1" spans="1:25">
      <c r="A4198" s="133" t="str">
        <f>IF(B4198="","",COUNTA($B$5:B4198))</f>
        <v/>
      </c>
      <c r="B4198" s="148"/>
      <c r="C4198" s="22" t="s">
        <v>49</v>
      </c>
      <c r="D4198" s="149"/>
      <c r="E4198" s="150"/>
      <c r="F4198" s="151"/>
      <c r="G4198" s="151"/>
      <c r="H4198" s="142">
        <f>IFERROR(VLOOKUP($C4198,$C$5:$H$18,6,0)+SUMIF($C$19:$C4198,$C4198,$F$19:$F4198)-SUMIF($C$19:$C4198,$C4198,$G$19:$G4198),"")</f>
        <v>81211.819999998</v>
      </c>
      <c r="I4198" s="147"/>
      <c r="J4198" s="147"/>
      <c r="K4198" s="147" t="str">
        <f t="shared" si="65"/>
        <v/>
      </c>
      <c r="L4198" s="40"/>
      <c r="M4198"/>
      <c r="N4198"/>
      <c r="O4198"/>
      <c r="P4198"/>
      <c r="Q4198"/>
      <c r="R4198"/>
      <c r="S4198"/>
      <c r="T4198"/>
      <c r="U4198"/>
      <c r="V4198"/>
      <c r="W4198" s="41"/>
      <c r="X4198" s="41"/>
      <c r="Y4198" s="41"/>
    </row>
    <row r="4199" s="27" customFormat="1" ht="23" hidden="1" customHeight="1" spans="1:25">
      <c r="A4199" s="133" t="str">
        <f>IF(B4199="","",COUNTA($B$5:B4199))</f>
        <v/>
      </c>
      <c r="B4199" s="148"/>
      <c r="C4199" s="22" t="s">
        <v>49</v>
      </c>
      <c r="D4199" s="149"/>
      <c r="E4199" s="150"/>
      <c r="F4199" s="151"/>
      <c r="G4199" s="151"/>
      <c r="H4199" s="142">
        <f>IFERROR(VLOOKUP($C4199,$C$5:$H$18,6,0)+SUMIF($C$19:$C4199,$C4199,$F$19:$F4199)-SUMIF($C$19:$C4199,$C4199,$G$19:$G4199),"")</f>
        <v>81211.819999998</v>
      </c>
      <c r="I4199" s="147"/>
      <c r="J4199" s="147"/>
      <c r="K4199" s="147" t="str">
        <f t="shared" si="65"/>
        <v/>
      </c>
      <c r="L4199" s="40"/>
      <c r="M4199"/>
      <c r="N4199"/>
      <c r="O4199"/>
      <c r="P4199"/>
      <c r="Q4199"/>
      <c r="R4199"/>
      <c r="S4199"/>
      <c r="T4199"/>
      <c r="U4199"/>
      <c r="V4199"/>
      <c r="W4199" s="41"/>
      <c r="X4199" s="41"/>
      <c r="Y4199" s="41"/>
    </row>
    <row r="4200" s="27" customFormat="1" ht="23" hidden="1" customHeight="1" spans="1:25">
      <c r="A4200" s="133" t="str">
        <f>IF(B4200="","",COUNTA($B$5:B4200))</f>
        <v/>
      </c>
      <c r="B4200" s="148"/>
      <c r="C4200" s="22" t="s">
        <v>49</v>
      </c>
      <c r="D4200" s="149"/>
      <c r="E4200" s="150"/>
      <c r="F4200" s="151"/>
      <c r="G4200" s="151"/>
      <c r="H4200" s="142">
        <f>IFERROR(VLOOKUP($C4200,$C$5:$H$18,6,0)+SUMIF($C$19:$C4200,$C4200,$F$19:$F4200)-SUMIF($C$19:$C4200,$C4200,$G$19:$G4200),"")</f>
        <v>81211.819999998</v>
      </c>
      <c r="I4200" s="147"/>
      <c r="J4200" s="147"/>
      <c r="K4200" s="147" t="str">
        <f t="shared" si="65"/>
        <v/>
      </c>
      <c r="L4200" s="40"/>
      <c r="M4200"/>
      <c r="N4200"/>
      <c r="O4200"/>
      <c r="P4200"/>
      <c r="Q4200"/>
      <c r="R4200"/>
      <c r="S4200"/>
      <c r="T4200"/>
      <c r="U4200"/>
      <c r="V4200"/>
      <c r="W4200" s="41"/>
      <c r="X4200" s="41"/>
      <c r="Y4200" s="41"/>
    </row>
    <row r="4201" s="27" customFormat="1" ht="23" hidden="1" customHeight="1" spans="1:25">
      <c r="A4201" s="133" t="str">
        <f>IF(B4201="","",COUNTA($B$5:B4201))</f>
        <v/>
      </c>
      <c r="B4201" s="148"/>
      <c r="C4201" s="22" t="s">
        <v>49</v>
      </c>
      <c r="D4201" s="149"/>
      <c r="E4201" s="150"/>
      <c r="F4201" s="151"/>
      <c r="G4201" s="151"/>
      <c r="H4201" s="142">
        <f>IFERROR(VLOOKUP($C4201,$C$5:$H$18,6,0)+SUMIF($C$19:$C4201,$C4201,$F$19:$F4201)-SUMIF($C$19:$C4201,$C4201,$G$19:$G4201),"")</f>
        <v>81211.819999998</v>
      </c>
      <c r="I4201" s="147"/>
      <c r="J4201" s="147"/>
      <c r="K4201" s="147" t="str">
        <f t="shared" si="65"/>
        <v/>
      </c>
      <c r="L4201" s="40"/>
      <c r="M4201"/>
      <c r="N4201"/>
      <c r="O4201"/>
      <c r="P4201"/>
      <c r="Q4201"/>
      <c r="R4201"/>
      <c r="S4201"/>
      <c r="T4201"/>
      <c r="U4201"/>
      <c r="V4201"/>
      <c r="W4201" s="41"/>
      <c r="X4201" s="41"/>
      <c r="Y4201" s="41"/>
    </row>
    <row r="4202" s="27" customFormat="1" ht="23" hidden="1" customHeight="1" spans="1:25">
      <c r="A4202" s="133" t="str">
        <f>IF(B4202="","",COUNTA($B$5:B4202))</f>
        <v/>
      </c>
      <c r="B4202" s="148"/>
      <c r="C4202" s="22" t="s">
        <v>49</v>
      </c>
      <c r="D4202" s="149"/>
      <c r="E4202" s="150"/>
      <c r="F4202" s="151"/>
      <c r="G4202" s="151"/>
      <c r="H4202" s="142">
        <f>IFERROR(VLOOKUP($C4202,$C$5:$H$18,6,0)+SUMIF($C$19:$C4202,$C4202,$F$19:$F4202)-SUMIF($C$19:$C4202,$C4202,$G$19:$G4202),"")</f>
        <v>81211.819999998</v>
      </c>
      <c r="I4202" s="147"/>
      <c r="J4202" s="147"/>
      <c r="K4202" s="147" t="str">
        <f t="shared" si="65"/>
        <v/>
      </c>
      <c r="L4202" s="40"/>
      <c r="M4202"/>
      <c r="N4202"/>
      <c r="O4202"/>
      <c r="P4202"/>
      <c r="Q4202"/>
      <c r="R4202"/>
      <c r="S4202"/>
      <c r="T4202"/>
      <c r="U4202"/>
      <c r="V4202"/>
      <c r="W4202" s="41"/>
      <c r="X4202" s="41"/>
      <c r="Y4202" s="41"/>
    </row>
    <row r="4203" s="27" customFormat="1" ht="23" hidden="1" customHeight="1" spans="1:25">
      <c r="A4203" s="133" t="str">
        <f>IF(B4203="","",COUNTA($B$5:B4203))</f>
        <v/>
      </c>
      <c r="B4203" s="148"/>
      <c r="C4203" s="22" t="s">
        <v>49</v>
      </c>
      <c r="D4203" s="149"/>
      <c r="E4203" s="150"/>
      <c r="F4203" s="151"/>
      <c r="G4203" s="151"/>
      <c r="H4203" s="142">
        <f>IFERROR(VLOOKUP($C4203,$C$5:$H$18,6,0)+SUMIF($C$19:$C4203,$C4203,$F$19:$F4203)-SUMIF($C$19:$C4203,$C4203,$G$19:$G4203),"")</f>
        <v>81211.819999998</v>
      </c>
      <c r="I4203" s="147"/>
      <c r="J4203" s="147"/>
      <c r="K4203" s="147" t="str">
        <f t="shared" si="65"/>
        <v/>
      </c>
      <c r="L4203" s="40"/>
      <c r="M4203"/>
      <c r="N4203"/>
      <c r="O4203"/>
      <c r="P4203"/>
      <c r="Q4203"/>
      <c r="R4203"/>
      <c r="S4203"/>
      <c r="T4203"/>
      <c r="U4203"/>
      <c r="V4203"/>
      <c r="W4203" s="41"/>
      <c r="X4203" s="41"/>
      <c r="Y4203" s="41"/>
    </row>
    <row r="4204" s="27" customFormat="1" ht="23" hidden="1" customHeight="1" spans="1:25">
      <c r="A4204" s="133" t="str">
        <f>IF(B4204="","",COUNTA($B$5:B4204))</f>
        <v/>
      </c>
      <c r="B4204" s="148"/>
      <c r="C4204" s="22" t="s">
        <v>49</v>
      </c>
      <c r="D4204" s="149"/>
      <c r="E4204" s="150"/>
      <c r="F4204" s="151"/>
      <c r="G4204" s="151"/>
      <c r="H4204" s="142">
        <f>IFERROR(VLOOKUP($C4204,$C$5:$H$18,6,0)+SUMIF($C$19:$C4204,$C4204,$F$19:$F4204)-SUMIF($C$19:$C4204,$C4204,$G$19:$G4204),"")</f>
        <v>81211.819999998</v>
      </c>
      <c r="I4204" s="147"/>
      <c r="J4204" s="147"/>
      <c r="K4204" s="147" t="str">
        <f t="shared" si="65"/>
        <v/>
      </c>
      <c r="L4204" s="40"/>
      <c r="M4204"/>
      <c r="N4204"/>
      <c r="O4204"/>
      <c r="P4204"/>
      <c r="Q4204"/>
      <c r="R4204"/>
      <c r="S4204"/>
      <c r="T4204"/>
      <c r="U4204"/>
      <c r="V4204"/>
      <c r="W4204" s="41"/>
      <c r="X4204" s="41"/>
      <c r="Y4204" s="41"/>
    </row>
    <row r="4205" s="27" customFormat="1" ht="23" hidden="1" customHeight="1" spans="1:25">
      <c r="A4205" s="133" t="str">
        <f>IF(B4205="","",COUNTA($B$5:B4205))</f>
        <v/>
      </c>
      <c r="B4205" s="148"/>
      <c r="C4205" s="22" t="s">
        <v>49</v>
      </c>
      <c r="D4205" s="149"/>
      <c r="E4205" s="150"/>
      <c r="F4205" s="151"/>
      <c r="G4205" s="151"/>
      <c r="H4205" s="142">
        <f>IFERROR(VLOOKUP($C4205,$C$5:$H$18,6,0)+SUMIF($C$19:$C4205,$C4205,$F$19:$F4205)-SUMIF($C$19:$C4205,$C4205,$G$19:$G4205),"")</f>
        <v>81211.819999998</v>
      </c>
      <c r="I4205" s="147"/>
      <c r="J4205" s="147"/>
      <c r="K4205" s="147" t="str">
        <f t="shared" si="65"/>
        <v/>
      </c>
      <c r="L4205" s="40"/>
      <c r="M4205"/>
      <c r="N4205"/>
      <c r="O4205"/>
      <c r="P4205"/>
      <c r="Q4205"/>
      <c r="R4205"/>
      <c r="S4205"/>
      <c r="T4205"/>
      <c r="U4205"/>
      <c r="V4205"/>
      <c r="W4205" s="41"/>
      <c r="X4205" s="41"/>
      <c r="Y4205" s="41"/>
    </row>
    <row r="4206" s="27" customFormat="1" ht="23" hidden="1" customHeight="1" spans="1:25">
      <c r="A4206" s="133" t="str">
        <f>IF(B4206="","",COUNTA($B$5:B4206))</f>
        <v/>
      </c>
      <c r="B4206" s="148"/>
      <c r="C4206" s="22" t="s">
        <v>49</v>
      </c>
      <c r="D4206" s="149"/>
      <c r="E4206" s="150"/>
      <c r="F4206" s="151"/>
      <c r="G4206" s="151"/>
      <c r="H4206" s="142">
        <f>IFERROR(VLOOKUP($C4206,$C$5:$H$18,6,0)+SUMIF($C$19:$C4206,$C4206,$F$19:$F4206)-SUMIF($C$19:$C4206,$C4206,$G$19:$G4206),"")</f>
        <v>81211.819999998</v>
      </c>
      <c r="I4206" s="147"/>
      <c r="J4206" s="147"/>
      <c r="K4206" s="147" t="str">
        <f t="shared" si="65"/>
        <v/>
      </c>
      <c r="L4206" s="40"/>
      <c r="M4206"/>
      <c r="N4206"/>
      <c r="O4206"/>
      <c r="P4206"/>
      <c r="Q4206"/>
      <c r="R4206"/>
      <c r="S4206"/>
      <c r="T4206"/>
      <c r="U4206"/>
      <c r="V4206"/>
      <c r="W4206" s="41"/>
      <c r="X4206" s="41"/>
      <c r="Y4206" s="41"/>
    </row>
    <row r="4207" s="27" customFormat="1" ht="23" hidden="1" customHeight="1" spans="1:25">
      <c r="A4207" s="133" t="str">
        <f>IF(B4207="","",COUNTA($B$5:B4207))</f>
        <v/>
      </c>
      <c r="B4207" s="148"/>
      <c r="C4207" s="22" t="s">
        <v>49</v>
      </c>
      <c r="D4207" s="149"/>
      <c r="E4207" s="150"/>
      <c r="F4207" s="151"/>
      <c r="G4207" s="151"/>
      <c r="H4207" s="142">
        <f>IFERROR(VLOOKUP($C4207,$C$5:$H$18,6,0)+SUMIF($C$19:$C4207,$C4207,$F$19:$F4207)-SUMIF($C$19:$C4207,$C4207,$G$19:$G4207),"")</f>
        <v>81211.819999998</v>
      </c>
      <c r="I4207" s="147"/>
      <c r="J4207" s="147"/>
      <c r="K4207" s="147" t="str">
        <f t="shared" si="65"/>
        <v/>
      </c>
      <c r="L4207" s="40"/>
      <c r="M4207"/>
      <c r="N4207"/>
      <c r="O4207"/>
      <c r="P4207"/>
      <c r="Q4207"/>
      <c r="R4207"/>
      <c r="S4207"/>
      <c r="T4207"/>
      <c r="U4207"/>
      <c r="V4207"/>
      <c r="W4207" s="41"/>
      <c r="X4207" s="41"/>
      <c r="Y4207" s="41"/>
    </row>
    <row r="4208" s="27" customFormat="1" ht="23" hidden="1" customHeight="1" spans="1:25">
      <c r="A4208" s="133" t="str">
        <f>IF(B4208="","",COUNTA($B$5:B4208))</f>
        <v/>
      </c>
      <c r="B4208" s="148"/>
      <c r="C4208" s="22" t="s">
        <v>49</v>
      </c>
      <c r="D4208" s="149"/>
      <c r="E4208" s="150"/>
      <c r="F4208" s="151"/>
      <c r="G4208" s="151"/>
      <c r="H4208" s="142">
        <f>IFERROR(VLOOKUP($C4208,$C$5:$H$18,6,0)+SUMIF($C$19:$C4208,$C4208,$F$19:$F4208)-SUMIF($C$19:$C4208,$C4208,$G$19:$G4208),"")</f>
        <v>81211.819999998</v>
      </c>
      <c r="I4208" s="147"/>
      <c r="J4208" s="147"/>
      <c r="K4208" s="147" t="str">
        <f t="shared" si="65"/>
        <v/>
      </c>
      <c r="L4208" s="40"/>
      <c r="M4208"/>
      <c r="N4208"/>
      <c r="O4208"/>
      <c r="P4208"/>
      <c r="Q4208"/>
      <c r="R4208"/>
      <c r="S4208"/>
      <c r="T4208"/>
      <c r="U4208"/>
      <c r="V4208"/>
      <c r="W4208" s="41"/>
      <c r="X4208" s="41"/>
      <c r="Y4208" s="41"/>
    </row>
    <row r="4209" s="27" customFormat="1" ht="23" hidden="1" customHeight="1" spans="1:25">
      <c r="A4209" s="133" t="str">
        <f>IF(B4209="","",COUNTA($B$5:B4209))</f>
        <v/>
      </c>
      <c r="B4209" s="148"/>
      <c r="C4209" s="22" t="s">
        <v>49</v>
      </c>
      <c r="D4209" s="149"/>
      <c r="E4209" s="150"/>
      <c r="F4209" s="151"/>
      <c r="G4209" s="151"/>
      <c r="H4209" s="142">
        <f>IFERROR(VLOOKUP($C4209,$C$5:$H$18,6,0)+SUMIF($C$19:$C4209,$C4209,$F$19:$F4209)-SUMIF($C$19:$C4209,$C4209,$G$19:$G4209),"")</f>
        <v>81211.819999998</v>
      </c>
      <c r="I4209" s="147"/>
      <c r="J4209" s="147"/>
      <c r="K4209" s="147" t="str">
        <f t="shared" si="65"/>
        <v/>
      </c>
      <c r="L4209" s="40"/>
      <c r="M4209"/>
      <c r="N4209"/>
      <c r="O4209"/>
      <c r="P4209"/>
      <c r="Q4209"/>
      <c r="R4209"/>
      <c r="S4209"/>
      <c r="T4209"/>
      <c r="U4209"/>
      <c r="V4209"/>
      <c r="W4209" s="41"/>
      <c r="X4209" s="41"/>
      <c r="Y4209" s="41"/>
    </row>
    <row r="4210" s="27" customFormat="1" ht="23" hidden="1" customHeight="1" spans="1:25">
      <c r="A4210" s="133" t="str">
        <f>IF(B4210="","",COUNTA($B$5:B4210))</f>
        <v/>
      </c>
      <c r="B4210" s="148"/>
      <c r="C4210" s="22" t="s">
        <v>49</v>
      </c>
      <c r="D4210" s="149"/>
      <c r="E4210" s="150"/>
      <c r="F4210" s="151"/>
      <c r="G4210" s="151"/>
      <c r="H4210" s="142">
        <f>IFERROR(VLOOKUP($C4210,$C$5:$H$18,6,0)+SUMIF($C$19:$C4210,$C4210,$F$19:$F4210)-SUMIF($C$19:$C4210,$C4210,$G$19:$G4210),"")</f>
        <v>81211.819999998</v>
      </c>
      <c r="I4210" s="147"/>
      <c r="J4210" s="147"/>
      <c r="K4210" s="147" t="str">
        <f t="shared" si="65"/>
        <v/>
      </c>
      <c r="L4210" s="40"/>
      <c r="M4210"/>
      <c r="N4210"/>
      <c r="O4210"/>
      <c r="P4210"/>
      <c r="Q4210"/>
      <c r="R4210"/>
      <c r="S4210"/>
      <c r="T4210"/>
      <c r="U4210"/>
      <c r="V4210"/>
      <c r="W4210" s="41"/>
      <c r="X4210" s="41"/>
      <c r="Y4210" s="41"/>
    </row>
    <row r="4211" s="27" customFormat="1" ht="23" hidden="1" customHeight="1" spans="1:25">
      <c r="A4211" s="133" t="str">
        <f>IF(B4211="","",COUNTA($B$5:B4211))</f>
        <v/>
      </c>
      <c r="B4211" s="148"/>
      <c r="C4211" s="22" t="s">
        <v>49</v>
      </c>
      <c r="D4211" s="149"/>
      <c r="E4211" s="150"/>
      <c r="F4211" s="151"/>
      <c r="G4211" s="151"/>
      <c r="H4211" s="142">
        <f>IFERROR(VLOOKUP($C4211,$C$5:$H$18,6,0)+SUMIF($C$19:$C4211,$C4211,$F$19:$F4211)-SUMIF($C$19:$C4211,$C4211,$G$19:$G4211),"")</f>
        <v>81211.819999998</v>
      </c>
      <c r="I4211" s="147"/>
      <c r="J4211" s="147"/>
      <c r="K4211" s="147" t="str">
        <f t="shared" si="65"/>
        <v/>
      </c>
      <c r="L4211" s="40"/>
      <c r="M4211"/>
      <c r="N4211"/>
      <c r="O4211"/>
      <c r="P4211"/>
      <c r="Q4211"/>
      <c r="R4211"/>
      <c r="S4211"/>
      <c r="T4211"/>
      <c r="U4211"/>
      <c r="V4211"/>
      <c r="W4211" s="41"/>
      <c r="X4211" s="41"/>
      <c r="Y4211" s="41"/>
    </row>
    <row r="4212" s="27" customFormat="1" ht="23" hidden="1" customHeight="1" spans="1:25">
      <c r="A4212" s="133" t="str">
        <f>IF(B4212="","",COUNTA($B$5:B4212))</f>
        <v/>
      </c>
      <c r="B4212" s="148"/>
      <c r="C4212" s="22" t="s">
        <v>49</v>
      </c>
      <c r="D4212" s="149"/>
      <c r="E4212" s="150"/>
      <c r="F4212" s="151"/>
      <c r="G4212" s="151"/>
      <c r="H4212" s="142">
        <f>IFERROR(VLOOKUP($C4212,$C$5:$H$18,6,0)+SUMIF($C$19:$C4212,$C4212,$F$19:$F4212)-SUMIF($C$19:$C4212,$C4212,$G$19:$G4212),"")</f>
        <v>81211.819999998</v>
      </c>
      <c r="I4212" s="147"/>
      <c r="J4212" s="147"/>
      <c r="K4212" s="147" t="str">
        <f t="shared" si="65"/>
        <v/>
      </c>
      <c r="L4212" s="40"/>
      <c r="M4212"/>
      <c r="N4212"/>
      <c r="O4212"/>
      <c r="P4212"/>
      <c r="Q4212"/>
      <c r="R4212"/>
      <c r="S4212"/>
      <c r="T4212"/>
      <c r="U4212"/>
      <c r="V4212"/>
      <c r="W4212" s="41"/>
      <c r="X4212" s="41"/>
      <c r="Y4212" s="41"/>
    </row>
    <row r="4213" s="27" customFormat="1" ht="23" hidden="1" customHeight="1" spans="1:25">
      <c r="A4213" s="133" t="str">
        <f>IF(B4213="","",COUNTA($B$5:B4213))</f>
        <v/>
      </c>
      <c r="B4213" s="148"/>
      <c r="C4213" s="22" t="s">
        <v>49</v>
      </c>
      <c r="D4213" s="149"/>
      <c r="E4213" s="150"/>
      <c r="F4213" s="151"/>
      <c r="G4213" s="151"/>
      <c r="H4213" s="142">
        <f>IFERROR(VLOOKUP($C4213,$C$5:$H$18,6,0)+SUMIF($C$19:$C4213,$C4213,$F$19:$F4213)-SUMIF($C$19:$C4213,$C4213,$G$19:$G4213),"")</f>
        <v>81211.819999998</v>
      </c>
      <c r="I4213" s="147"/>
      <c r="J4213" s="147"/>
      <c r="K4213" s="147" t="str">
        <f t="shared" si="65"/>
        <v/>
      </c>
      <c r="L4213" s="40"/>
      <c r="M4213"/>
      <c r="N4213"/>
      <c r="O4213"/>
      <c r="P4213"/>
      <c r="Q4213"/>
      <c r="R4213"/>
      <c r="S4213"/>
      <c r="T4213"/>
      <c r="U4213"/>
      <c r="V4213"/>
      <c r="W4213" s="41"/>
      <c r="X4213" s="41"/>
      <c r="Y4213" s="41"/>
    </row>
    <row r="4214" s="27" customFormat="1" ht="23" hidden="1" customHeight="1" spans="1:25">
      <c r="A4214" s="133" t="str">
        <f>IF(B4214="","",COUNTA($B$5:B4214))</f>
        <v/>
      </c>
      <c r="B4214" s="148"/>
      <c r="C4214" s="22" t="s">
        <v>49</v>
      </c>
      <c r="D4214" s="149"/>
      <c r="E4214" s="150"/>
      <c r="F4214" s="151"/>
      <c r="G4214" s="151"/>
      <c r="H4214" s="142">
        <f>IFERROR(VLOOKUP($C4214,$C$5:$H$18,6,0)+SUMIF($C$19:$C4214,$C4214,$F$19:$F4214)-SUMIF($C$19:$C4214,$C4214,$G$19:$G4214),"")</f>
        <v>81211.819999998</v>
      </c>
      <c r="I4214" s="147"/>
      <c r="J4214" s="147"/>
      <c r="K4214" s="147" t="str">
        <f t="shared" si="65"/>
        <v/>
      </c>
      <c r="L4214" s="40"/>
      <c r="M4214"/>
      <c r="N4214"/>
      <c r="O4214"/>
      <c r="P4214"/>
      <c r="Q4214"/>
      <c r="R4214"/>
      <c r="S4214"/>
      <c r="T4214"/>
      <c r="U4214"/>
      <c r="V4214"/>
      <c r="W4214" s="41"/>
      <c r="X4214" s="41"/>
      <c r="Y4214" s="41"/>
    </row>
    <row r="4215" s="27" customFormat="1" ht="23" hidden="1" customHeight="1" spans="1:25">
      <c r="A4215" s="133" t="str">
        <f>IF(B4215="","",COUNTA($B$5:B4215))</f>
        <v/>
      </c>
      <c r="B4215" s="148"/>
      <c r="C4215" s="22" t="s">
        <v>49</v>
      </c>
      <c r="D4215" s="149"/>
      <c r="E4215" s="150"/>
      <c r="F4215" s="151"/>
      <c r="G4215" s="151"/>
      <c r="H4215" s="142">
        <f>IFERROR(VLOOKUP($C4215,$C$5:$H$18,6,0)+SUMIF($C$19:$C4215,$C4215,$F$19:$F4215)-SUMIF($C$19:$C4215,$C4215,$G$19:$G4215),"")</f>
        <v>81211.819999998</v>
      </c>
      <c r="I4215" s="147"/>
      <c r="J4215" s="147"/>
      <c r="K4215" s="147" t="str">
        <f t="shared" si="65"/>
        <v/>
      </c>
      <c r="L4215" s="40"/>
      <c r="M4215"/>
      <c r="N4215"/>
      <c r="O4215"/>
      <c r="P4215"/>
      <c r="Q4215"/>
      <c r="R4215"/>
      <c r="S4215"/>
      <c r="T4215"/>
      <c r="U4215"/>
      <c r="V4215"/>
      <c r="W4215" s="41"/>
      <c r="X4215" s="41"/>
      <c r="Y4215" s="41"/>
    </row>
    <row r="4216" s="27" customFormat="1" ht="23" hidden="1" customHeight="1" spans="1:25">
      <c r="A4216" s="133" t="str">
        <f>IF(B4216="","",COUNTA($B$5:B4216))</f>
        <v/>
      </c>
      <c r="B4216" s="148"/>
      <c r="C4216" s="22" t="s">
        <v>49</v>
      </c>
      <c r="D4216" s="149"/>
      <c r="E4216" s="150"/>
      <c r="F4216" s="151"/>
      <c r="G4216" s="151"/>
      <c r="H4216" s="142">
        <f>IFERROR(VLOOKUP($C4216,$C$5:$H$18,6,0)+SUMIF($C$19:$C4216,$C4216,$F$19:$F4216)-SUMIF($C$19:$C4216,$C4216,$G$19:$G4216),"")</f>
        <v>81211.819999998</v>
      </c>
      <c r="I4216" s="147"/>
      <c r="J4216" s="147"/>
      <c r="K4216" s="147" t="str">
        <f t="shared" si="65"/>
        <v/>
      </c>
      <c r="L4216" s="40"/>
      <c r="M4216"/>
      <c r="N4216"/>
      <c r="O4216"/>
      <c r="P4216"/>
      <c r="Q4216"/>
      <c r="R4216"/>
      <c r="S4216"/>
      <c r="T4216"/>
      <c r="U4216"/>
      <c r="V4216"/>
      <c r="W4216" s="41"/>
      <c r="X4216" s="41"/>
      <c r="Y4216" s="41"/>
    </row>
    <row r="4217" s="27" customFormat="1" ht="23" hidden="1" customHeight="1" spans="1:25">
      <c r="A4217" s="133" t="str">
        <f>IF(B4217="","",COUNTA($B$5:B4217))</f>
        <v/>
      </c>
      <c r="B4217" s="148"/>
      <c r="C4217" s="22" t="s">
        <v>49</v>
      </c>
      <c r="D4217" s="149"/>
      <c r="E4217" s="150"/>
      <c r="F4217" s="151"/>
      <c r="G4217" s="151"/>
      <c r="H4217" s="142">
        <f>IFERROR(VLOOKUP($C4217,$C$5:$H$18,6,0)+SUMIF($C$19:$C4217,$C4217,$F$19:$F4217)-SUMIF($C$19:$C4217,$C4217,$G$19:$G4217),"")</f>
        <v>81211.819999998</v>
      </c>
      <c r="I4217" s="147"/>
      <c r="J4217" s="147"/>
      <c r="K4217" s="147" t="str">
        <f t="shared" si="65"/>
        <v/>
      </c>
      <c r="L4217" s="40"/>
      <c r="M4217"/>
      <c r="N4217"/>
      <c r="O4217"/>
      <c r="P4217"/>
      <c r="Q4217"/>
      <c r="R4217"/>
      <c r="S4217"/>
      <c r="T4217"/>
      <c r="U4217"/>
      <c r="V4217"/>
      <c r="W4217" s="41"/>
      <c r="X4217" s="41"/>
      <c r="Y4217" s="41"/>
    </row>
    <row r="4218" s="27" customFormat="1" ht="23" hidden="1" customHeight="1" spans="1:25">
      <c r="A4218" s="133" t="str">
        <f>IF(B4218="","",COUNTA($B$5:B4218))</f>
        <v/>
      </c>
      <c r="B4218" s="148"/>
      <c r="C4218" s="22" t="s">
        <v>49</v>
      </c>
      <c r="D4218" s="149"/>
      <c r="E4218" s="150"/>
      <c r="F4218" s="151"/>
      <c r="G4218" s="151"/>
      <c r="H4218" s="142">
        <f>IFERROR(VLOOKUP($C4218,$C$5:$H$18,6,0)+SUMIF($C$19:$C4218,$C4218,$F$19:$F4218)-SUMIF($C$19:$C4218,$C4218,$G$19:$G4218),"")</f>
        <v>81211.819999998</v>
      </c>
      <c r="I4218" s="147"/>
      <c r="J4218" s="147"/>
      <c r="K4218" s="147" t="str">
        <f t="shared" si="65"/>
        <v/>
      </c>
      <c r="L4218" s="40"/>
      <c r="M4218"/>
      <c r="N4218"/>
      <c r="O4218"/>
      <c r="P4218"/>
      <c r="Q4218"/>
      <c r="R4218"/>
      <c r="S4218"/>
      <c r="T4218"/>
      <c r="U4218"/>
      <c r="V4218"/>
      <c r="W4218" s="41"/>
      <c r="X4218" s="41"/>
      <c r="Y4218" s="41"/>
    </row>
    <row r="4219" s="27" customFormat="1" ht="23" hidden="1" customHeight="1" spans="1:25">
      <c r="A4219" s="133" t="str">
        <f>IF(B4219="","",COUNTA($B$5:B4219))</f>
        <v/>
      </c>
      <c r="B4219" s="148"/>
      <c r="C4219" s="22" t="s">
        <v>49</v>
      </c>
      <c r="D4219" s="149"/>
      <c r="E4219" s="150"/>
      <c r="F4219" s="151"/>
      <c r="G4219" s="151"/>
      <c r="H4219" s="142">
        <f>IFERROR(VLOOKUP($C4219,$C$5:$H$18,6,0)+SUMIF($C$19:$C4219,$C4219,$F$19:$F4219)-SUMIF($C$19:$C4219,$C4219,$G$19:$G4219),"")</f>
        <v>81211.819999998</v>
      </c>
      <c r="I4219" s="147"/>
      <c r="J4219" s="147"/>
      <c r="K4219" s="147" t="str">
        <f t="shared" si="65"/>
        <v/>
      </c>
      <c r="L4219" s="40"/>
      <c r="M4219"/>
      <c r="N4219"/>
      <c r="O4219"/>
      <c r="P4219"/>
      <c r="Q4219"/>
      <c r="R4219"/>
      <c r="S4219"/>
      <c r="T4219"/>
      <c r="U4219"/>
      <c r="V4219"/>
      <c r="W4219" s="41"/>
      <c r="X4219" s="41"/>
      <c r="Y4219" s="41"/>
    </row>
    <row r="4220" s="27" customFormat="1" ht="23" hidden="1" customHeight="1" spans="1:25">
      <c r="A4220" s="133" t="str">
        <f>IF(B4220="","",COUNTA($B$5:B4220))</f>
        <v/>
      </c>
      <c r="B4220" s="148"/>
      <c r="C4220" s="22" t="s">
        <v>49</v>
      </c>
      <c r="D4220" s="149"/>
      <c r="E4220" s="150"/>
      <c r="F4220" s="151"/>
      <c r="G4220" s="151"/>
      <c r="H4220" s="142">
        <f>IFERROR(VLOOKUP($C4220,$C$5:$H$18,6,0)+SUMIF($C$19:$C4220,$C4220,$F$19:$F4220)-SUMIF($C$19:$C4220,$C4220,$G$19:$G4220),"")</f>
        <v>81211.819999998</v>
      </c>
      <c r="I4220" s="147"/>
      <c r="J4220" s="147"/>
      <c r="K4220" s="147" t="str">
        <f t="shared" si="65"/>
        <v/>
      </c>
      <c r="L4220" s="40"/>
      <c r="M4220"/>
      <c r="N4220"/>
      <c r="O4220"/>
      <c r="P4220"/>
      <c r="Q4220"/>
      <c r="R4220"/>
      <c r="S4220"/>
      <c r="T4220"/>
      <c r="U4220"/>
      <c r="V4220"/>
      <c r="W4220" s="41"/>
      <c r="X4220" s="41"/>
      <c r="Y4220" s="41"/>
    </row>
    <row r="4221" s="27" customFormat="1" ht="23" hidden="1" customHeight="1" spans="1:25">
      <c r="A4221" s="133" t="str">
        <f>IF(B4221="","",COUNTA($B$5:B4221))</f>
        <v/>
      </c>
      <c r="B4221" s="148"/>
      <c r="C4221" s="22" t="s">
        <v>49</v>
      </c>
      <c r="D4221" s="149"/>
      <c r="E4221" s="150"/>
      <c r="F4221" s="151"/>
      <c r="G4221" s="151"/>
      <c r="H4221" s="142">
        <f>IFERROR(VLOOKUP($C4221,$C$5:$H$18,6,0)+SUMIF($C$19:$C4221,$C4221,$F$19:$F4221)-SUMIF($C$19:$C4221,$C4221,$G$19:$G4221),"")</f>
        <v>81211.819999998</v>
      </c>
      <c r="I4221" s="147"/>
      <c r="J4221" s="147"/>
      <c r="K4221" s="147" t="str">
        <f t="shared" si="65"/>
        <v/>
      </c>
      <c r="L4221" s="40"/>
      <c r="M4221"/>
      <c r="N4221"/>
      <c r="O4221"/>
      <c r="P4221"/>
      <c r="Q4221"/>
      <c r="R4221"/>
      <c r="S4221"/>
      <c r="T4221"/>
      <c r="U4221"/>
      <c r="V4221"/>
      <c r="W4221" s="41"/>
      <c r="X4221" s="41"/>
      <c r="Y4221" s="41"/>
    </row>
    <row r="4222" s="27" customFormat="1" ht="23" hidden="1" customHeight="1" spans="1:25">
      <c r="A4222" s="133" t="str">
        <f>IF(B4222="","",COUNTA($B$5:B4222))</f>
        <v/>
      </c>
      <c r="B4222" s="148"/>
      <c r="C4222" s="22" t="s">
        <v>49</v>
      </c>
      <c r="D4222" s="149"/>
      <c r="E4222" s="150"/>
      <c r="F4222" s="151"/>
      <c r="G4222" s="151"/>
      <c r="H4222" s="142">
        <f>IFERROR(VLOOKUP($C4222,$C$5:$H$18,6,0)+SUMIF($C$19:$C4222,$C4222,$F$19:$F4222)-SUMIF($C$19:$C4222,$C4222,$G$19:$G4222),"")</f>
        <v>81211.819999998</v>
      </c>
      <c r="I4222" s="147"/>
      <c r="J4222" s="147"/>
      <c r="K4222" s="147" t="str">
        <f t="shared" si="65"/>
        <v/>
      </c>
      <c r="L4222" s="40"/>
      <c r="M4222"/>
      <c r="N4222"/>
      <c r="O4222"/>
      <c r="P4222"/>
      <c r="Q4222"/>
      <c r="R4222"/>
      <c r="S4222"/>
      <c r="T4222"/>
      <c r="U4222"/>
      <c r="V4222"/>
      <c r="W4222" s="41"/>
      <c r="X4222" s="41"/>
      <c r="Y4222" s="41"/>
    </row>
    <row r="4223" s="27" customFormat="1" ht="23" hidden="1" customHeight="1" spans="1:25">
      <c r="A4223" s="133" t="str">
        <f>IF(B4223="","",COUNTA($B$5:B4223))</f>
        <v/>
      </c>
      <c r="B4223" s="148"/>
      <c r="C4223" s="22" t="s">
        <v>49</v>
      </c>
      <c r="D4223" s="149"/>
      <c r="E4223" s="150"/>
      <c r="F4223" s="151"/>
      <c r="G4223" s="151"/>
      <c r="H4223" s="142">
        <f>IFERROR(VLOOKUP($C4223,$C$5:$H$18,6,0)+SUMIF($C$19:$C4223,$C4223,$F$19:$F4223)-SUMIF($C$19:$C4223,$C4223,$G$19:$G4223),"")</f>
        <v>81211.819999998</v>
      </c>
      <c r="I4223" s="147"/>
      <c r="J4223" s="147"/>
      <c r="K4223" s="147" t="str">
        <f t="shared" si="65"/>
        <v/>
      </c>
      <c r="L4223" s="40"/>
      <c r="M4223"/>
      <c r="N4223"/>
      <c r="O4223"/>
      <c r="P4223"/>
      <c r="Q4223"/>
      <c r="R4223"/>
      <c r="S4223"/>
      <c r="T4223"/>
      <c r="U4223"/>
      <c r="V4223"/>
      <c r="W4223" s="41"/>
      <c r="X4223" s="41"/>
      <c r="Y4223" s="41"/>
    </row>
    <row r="4224" s="27" customFormat="1" ht="23" hidden="1" customHeight="1" spans="1:25">
      <c r="A4224" s="133" t="str">
        <f>IF(B4224="","",COUNTA($B$5:B4224))</f>
        <v/>
      </c>
      <c r="B4224" s="148"/>
      <c r="C4224" s="22" t="s">
        <v>49</v>
      </c>
      <c r="D4224" s="149"/>
      <c r="E4224" s="150"/>
      <c r="F4224" s="151"/>
      <c r="G4224" s="151"/>
      <c r="H4224" s="142">
        <f>IFERROR(VLOOKUP($C4224,$C$5:$H$18,6,0)+SUMIF($C$19:$C4224,$C4224,$F$19:$F4224)-SUMIF($C$19:$C4224,$C4224,$G$19:$G4224),"")</f>
        <v>81211.819999998</v>
      </c>
      <c r="I4224" s="147"/>
      <c r="J4224" s="147"/>
      <c r="K4224" s="147" t="str">
        <f t="shared" si="65"/>
        <v/>
      </c>
      <c r="L4224" s="40"/>
      <c r="M4224"/>
      <c r="N4224"/>
      <c r="O4224"/>
      <c r="P4224"/>
      <c r="Q4224"/>
      <c r="R4224"/>
      <c r="S4224"/>
      <c r="T4224"/>
      <c r="U4224"/>
      <c r="V4224"/>
      <c r="W4224" s="41"/>
      <c r="X4224" s="41"/>
      <c r="Y4224" s="41"/>
    </row>
    <row r="4225" s="27" customFormat="1" ht="23" hidden="1" customHeight="1" spans="1:25">
      <c r="A4225" s="133" t="str">
        <f>IF(B4225="","",COUNTA($B$5:B4225))</f>
        <v/>
      </c>
      <c r="B4225" s="148"/>
      <c r="C4225" s="22" t="s">
        <v>49</v>
      </c>
      <c r="D4225" s="149"/>
      <c r="E4225" s="150"/>
      <c r="F4225" s="151"/>
      <c r="G4225" s="151"/>
      <c r="H4225" s="142">
        <f>IFERROR(VLOOKUP($C4225,$C$5:$H$18,6,0)+SUMIF($C$19:$C4225,$C4225,$F$19:$F4225)-SUMIF($C$19:$C4225,$C4225,$G$19:$G4225),"")</f>
        <v>81211.819999998</v>
      </c>
      <c r="I4225" s="147"/>
      <c r="J4225" s="147"/>
      <c r="K4225" s="147" t="str">
        <f t="shared" si="65"/>
        <v/>
      </c>
      <c r="L4225" s="40"/>
      <c r="M4225"/>
      <c r="N4225"/>
      <c r="O4225"/>
      <c r="P4225"/>
      <c r="Q4225"/>
      <c r="R4225"/>
      <c r="S4225"/>
      <c r="T4225"/>
      <c r="U4225"/>
      <c r="V4225"/>
      <c r="W4225" s="41"/>
      <c r="X4225" s="41"/>
      <c r="Y4225" s="41"/>
    </row>
    <row r="4226" s="27" customFormat="1" ht="23" hidden="1" customHeight="1" spans="1:25">
      <c r="A4226" s="133" t="str">
        <f>IF(B4226="","",COUNTA($B$5:B4226))</f>
        <v/>
      </c>
      <c r="B4226" s="148"/>
      <c r="C4226" s="22" t="s">
        <v>49</v>
      </c>
      <c r="D4226" s="149"/>
      <c r="E4226" s="150"/>
      <c r="F4226" s="151"/>
      <c r="G4226" s="151"/>
      <c r="H4226" s="142">
        <f>IFERROR(VLOOKUP($C4226,$C$5:$H$18,6,0)+SUMIF($C$19:$C4226,$C4226,$F$19:$F4226)-SUMIF($C$19:$C4226,$C4226,$G$19:$G4226),"")</f>
        <v>81211.819999998</v>
      </c>
      <c r="I4226" s="147"/>
      <c r="J4226" s="147"/>
      <c r="K4226" s="147" t="str">
        <f t="shared" si="65"/>
        <v/>
      </c>
      <c r="L4226" s="40"/>
      <c r="M4226"/>
      <c r="N4226"/>
      <c r="O4226"/>
      <c r="P4226"/>
      <c r="Q4226"/>
      <c r="R4226"/>
      <c r="S4226"/>
      <c r="T4226"/>
      <c r="U4226"/>
      <c r="V4226"/>
      <c r="W4226" s="41"/>
      <c r="X4226" s="41"/>
      <c r="Y4226" s="41"/>
    </row>
    <row r="4227" s="27" customFormat="1" ht="23" hidden="1" customHeight="1" spans="1:25">
      <c r="A4227" s="133" t="str">
        <f>IF(B4227="","",COUNTA($B$5:B4227))</f>
        <v/>
      </c>
      <c r="B4227" s="148"/>
      <c r="C4227" s="22" t="s">
        <v>49</v>
      </c>
      <c r="D4227" s="149"/>
      <c r="E4227" s="150"/>
      <c r="F4227" s="151"/>
      <c r="G4227" s="151"/>
      <c r="H4227" s="142">
        <f>IFERROR(VLOOKUP($C4227,$C$5:$H$18,6,0)+SUMIF($C$19:$C4227,$C4227,$F$19:$F4227)-SUMIF($C$19:$C4227,$C4227,$G$19:$G4227),"")</f>
        <v>81211.819999998</v>
      </c>
      <c r="I4227" s="147"/>
      <c r="J4227" s="147"/>
      <c r="K4227" s="147" t="str">
        <f t="shared" si="65"/>
        <v/>
      </c>
      <c r="L4227" s="40"/>
      <c r="M4227"/>
      <c r="N4227"/>
      <c r="O4227"/>
      <c r="P4227"/>
      <c r="Q4227"/>
      <c r="R4227"/>
      <c r="S4227"/>
      <c r="T4227"/>
      <c r="U4227"/>
      <c r="V4227"/>
      <c r="W4227" s="41"/>
      <c r="X4227" s="41"/>
      <c r="Y4227" s="41"/>
    </row>
    <row r="4228" s="27" customFormat="1" ht="23" hidden="1" customHeight="1" spans="1:25">
      <c r="A4228" s="133" t="str">
        <f>IF(B4228="","",COUNTA($B$5:B4228))</f>
        <v/>
      </c>
      <c r="B4228" s="148"/>
      <c r="C4228" s="22" t="s">
        <v>49</v>
      </c>
      <c r="D4228" s="149"/>
      <c r="E4228" s="150"/>
      <c r="F4228" s="151"/>
      <c r="G4228" s="151"/>
      <c r="H4228" s="142">
        <f>IFERROR(VLOOKUP($C4228,$C$5:$H$18,6,0)+SUMIF($C$19:$C4228,$C4228,$F$19:$F4228)-SUMIF($C$19:$C4228,$C4228,$G$19:$G4228),"")</f>
        <v>81211.819999998</v>
      </c>
      <c r="I4228" s="147"/>
      <c r="J4228" s="147"/>
      <c r="K4228" s="147" t="str">
        <f t="shared" si="65"/>
        <v/>
      </c>
      <c r="L4228" s="40"/>
      <c r="M4228"/>
      <c r="N4228"/>
      <c r="O4228"/>
      <c r="P4228"/>
      <c r="Q4228"/>
      <c r="R4228"/>
      <c r="S4228"/>
      <c r="T4228"/>
      <c r="U4228"/>
      <c r="V4228"/>
      <c r="W4228" s="41"/>
      <c r="X4228" s="41"/>
      <c r="Y4228" s="41"/>
    </row>
    <row r="4229" s="27" customFormat="1" ht="23" hidden="1" customHeight="1" spans="1:25">
      <c r="A4229" s="133" t="str">
        <f>IF(B4229="","",COUNTA($B$5:B4229))</f>
        <v/>
      </c>
      <c r="B4229" s="148"/>
      <c r="C4229" s="22" t="s">
        <v>49</v>
      </c>
      <c r="D4229" s="149"/>
      <c r="E4229" s="150"/>
      <c r="F4229" s="151"/>
      <c r="G4229" s="151"/>
      <c r="H4229" s="142">
        <f>IFERROR(VLOOKUP($C4229,$C$5:$H$18,6,0)+SUMIF($C$19:$C4229,$C4229,$F$19:$F4229)-SUMIF($C$19:$C4229,$C4229,$G$19:$G4229),"")</f>
        <v>81211.819999998</v>
      </c>
      <c r="I4229" s="147"/>
      <c r="J4229" s="147"/>
      <c r="K4229" s="147" t="str">
        <f t="shared" ref="K4229:K4292" si="66">IF($B4229="","",--TEXT($B4229,"yyyymm"))</f>
        <v/>
      </c>
      <c r="L4229" s="40"/>
      <c r="M4229"/>
      <c r="N4229"/>
      <c r="O4229"/>
      <c r="P4229"/>
      <c r="Q4229"/>
      <c r="R4229"/>
      <c r="S4229"/>
      <c r="T4229"/>
      <c r="U4229"/>
      <c r="V4229"/>
      <c r="W4229" s="41"/>
      <c r="X4229" s="41"/>
      <c r="Y4229" s="41"/>
    </row>
    <row r="4230" s="27" customFormat="1" ht="23" hidden="1" customHeight="1" spans="1:25">
      <c r="A4230" s="133" t="str">
        <f>IF(B4230="","",COUNTA($B$5:B4230))</f>
        <v/>
      </c>
      <c r="B4230" s="148"/>
      <c r="C4230" s="22" t="s">
        <v>49</v>
      </c>
      <c r="D4230" s="149"/>
      <c r="E4230" s="150"/>
      <c r="F4230" s="151"/>
      <c r="G4230" s="151"/>
      <c r="H4230" s="142">
        <f>IFERROR(VLOOKUP($C4230,$C$5:$H$18,6,0)+SUMIF($C$19:$C4230,$C4230,$F$19:$F4230)-SUMIF($C$19:$C4230,$C4230,$G$19:$G4230),"")</f>
        <v>81211.819999998</v>
      </c>
      <c r="I4230" s="147"/>
      <c r="J4230" s="147"/>
      <c r="K4230" s="147" t="str">
        <f t="shared" si="66"/>
        <v/>
      </c>
      <c r="L4230" s="40"/>
      <c r="M4230"/>
      <c r="N4230"/>
      <c r="O4230"/>
      <c r="P4230"/>
      <c r="Q4230"/>
      <c r="R4230"/>
      <c r="S4230"/>
      <c r="T4230"/>
      <c r="U4230"/>
      <c r="V4230"/>
      <c r="W4230" s="41"/>
      <c r="X4230" s="41"/>
      <c r="Y4230" s="41"/>
    </row>
    <row r="4231" s="27" customFormat="1" ht="23" hidden="1" customHeight="1" spans="1:25">
      <c r="A4231" s="133" t="str">
        <f>IF(B4231="","",COUNTA($B$5:B4231))</f>
        <v/>
      </c>
      <c r="B4231" s="148"/>
      <c r="C4231" s="22" t="s">
        <v>49</v>
      </c>
      <c r="D4231" s="149"/>
      <c r="E4231" s="150"/>
      <c r="F4231" s="151"/>
      <c r="G4231" s="151"/>
      <c r="H4231" s="142">
        <f>IFERROR(VLOOKUP($C4231,$C$5:$H$18,6,0)+SUMIF($C$19:$C4231,$C4231,$F$19:$F4231)-SUMIF($C$19:$C4231,$C4231,$G$19:$G4231),"")</f>
        <v>81211.819999998</v>
      </c>
      <c r="I4231" s="147"/>
      <c r="J4231" s="147"/>
      <c r="K4231" s="147" t="str">
        <f t="shared" si="66"/>
        <v/>
      </c>
      <c r="L4231" s="40"/>
      <c r="M4231"/>
      <c r="N4231"/>
      <c r="O4231"/>
      <c r="P4231"/>
      <c r="Q4231"/>
      <c r="R4231"/>
      <c r="S4231"/>
      <c r="T4231"/>
      <c r="U4231"/>
      <c r="V4231"/>
      <c r="W4231" s="41"/>
      <c r="X4231" s="41"/>
      <c r="Y4231" s="41"/>
    </row>
    <row r="4232" s="27" customFormat="1" ht="23" hidden="1" customHeight="1" spans="1:25">
      <c r="A4232" s="133" t="str">
        <f>IF(B4232="","",COUNTA($B$5:B4232))</f>
        <v/>
      </c>
      <c r="B4232" s="148"/>
      <c r="C4232" s="22" t="s">
        <v>49</v>
      </c>
      <c r="D4232" s="149"/>
      <c r="E4232" s="150"/>
      <c r="F4232" s="151"/>
      <c r="G4232" s="151"/>
      <c r="H4232" s="142">
        <f>IFERROR(VLOOKUP($C4232,$C$5:$H$18,6,0)+SUMIF($C$19:$C4232,$C4232,$F$19:$F4232)-SUMIF($C$19:$C4232,$C4232,$G$19:$G4232),"")</f>
        <v>81211.819999998</v>
      </c>
      <c r="I4232" s="147"/>
      <c r="J4232" s="147"/>
      <c r="K4232" s="147" t="str">
        <f t="shared" si="66"/>
        <v/>
      </c>
      <c r="L4232" s="40"/>
      <c r="M4232"/>
      <c r="N4232"/>
      <c r="O4232"/>
      <c r="P4232"/>
      <c r="Q4232"/>
      <c r="R4232"/>
      <c r="S4232"/>
      <c r="T4232"/>
      <c r="U4232"/>
      <c r="V4232"/>
      <c r="W4232" s="41"/>
      <c r="X4232" s="41"/>
      <c r="Y4232" s="41"/>
    </row>
    <row r="4233" s="27" customFormat="1" ht="23" hidden="1" customHeight="1" spans="1:25">
      <c r="A4233" s="133" t="str">
        <f>IF(B4233="","",COUNTA($B$5:B4233))</f>
        <v/>
      </c>
      <c r="B4233" s="148"/>
      <c r="C4233" s="22" t="s">
        <v>49</v>
      </c>
      <c r="D4233" s="149"/>
      <c r="E4233" s="150"/>
      <c r="F4233" s="151"/>
      <c r="G4233" s="151"/>
      <c r="H4233" s="142">
        <f>IFERROR(VLOOKUP($C4233,$C$5:$H$18,6,0)+SUMIF($C$19:$C4233,$C4233,$F$19:$F4233)-SUMIF($C$19:$C4233,$C4233,$G$19:$G4233),"")</f>
        <v>81211.819999998</v>
      </c>
      <c r="I4233" s="147"/>
      <c r="J4233" s="147"/>
      <c r="K4233" s="147" t="str">
        <f t="shared" si="66"/>
        <v/>
      </c>
      <c r="L4233" s="40"/>
      <c r="M4233"/>
      <c r="N4233"/>
      <c r="O4233"/>
      <c r="P4233"/>
      <c r="Q4233"/>
      <c r="R4233"/>
      <c r="S4233"/>
      <c r="T4233"/>
      <c r="U4233"/>
      <c r="V4233"/>
      <c r="W4233" s="41"/>
      <c r="X4233" s="41"/>
      <c r="Y4233" s="41"/>
    </row>
    <row r="4234" s="27" customFormat="1" ht="23" hidden="1" customHeight="1" spans="1:25">
      <c r="A4234" s="133" t="str">
        <f>IF(B4234="","",COUNTA($B$5:B4234))</f>
        <v/>
      </c>
      <c r="B4234" s="148"/>
      <c r="C4234" s="22" t="s">
        <v>49</v>
      </c>
      <c r="D4234" s="149"/>
      <c r="E4234" s="150"/>
      <c r="F4234" s="151"/>
      <c r="G4234" s="151"/>
      <c r="H4234" s="142">
        <f>IFERROR(VLOOKUP($C4234,$C$5:$H$18,6,0)+SUMIF($C$19:$C4234,$C4234,$F$19:$F4234)-SUMIF($C$19:$C4234,$C4234,$G$19:$G4234),"")</f>
        <v>81211.819999998</v>
      </c>
      <c r="I4234" s="147"/>
      <c r="J4234" s="147"/>
      <c r="K4234" s="147" t="str">
        <f t="shared" si="66"/>
        <v/>
      </c>
      <c r="L4234" s="40"/>
      <c r="M4234"/>
      <c r="N4234"/>
      <c r="O4234"/>
      <c r="P4234"/>
      <c r="Q4234"/>
      <c r="R4234"/>
      <c r="S4234"/>
      <c r="T4234"/>
      <c r="U4234"/>
      <c r="V4234"/>
      <c r="W4234" s="41"/>
      <c r="X4234" s="41"/>
      <c r="Y4234" s="41"/>
    </row>
    <row r="4235" s="27" customFormat="1" ht="23" hidden="1" customHeight="1" spans="1:25">
      <c r="A4235" s="133" t="str">
        <f>IF(B4235="","",COUNTA($B$5:B4235))</f>
        <v/>
      </c>
      <c r="B4235" s="148"/>
      <c r="C4235" s="22" t="s">
        <v>49</v>
      </c>
      <c r="D4235" s="149"/>
      <c r="E4235" s="150"/>
      <c r="F4235" s="151"/>
      <c r="G4235" s="151"/>
      <c r="H4235" s="142">
        <f>IFERROR(VLOOKUP($C4235,$C$5:$H$18,6,0)+SUMIF($C$19:$C4235,$C4235,$F$19:$F4235)-SUMIF($C$19:$C4235,$C4235,$G$19:$G4235),"")</f>
        <v>81211.819999998</v>
      </c>
      <c r="I4235" s="147"/>
      <c r="J4235" s="147"/>
      <c r="K4235" s="147" t="str">
        <f t="shared" si="66"/>
        <v/>
      </c>
      <c r="L4235" s="40"/>
      <c r="M4235"/>
      <c r="N4235"/>
      <c r="O4235"/>
      <c r="P4235"/>
      <c r="Q4235"/>
      <c r="R4235"/>
      <c r="S4235"/>
      <c r="T4235"/>
      <c r="U4235"/>
      <c r="V4235"/>
      <c r="W4235" s="41"/>
      <c r="X4235" s="41"/>
      <c r="Y4235" s="41"/>
    </row>
    <row r="4236" s="27" customFormat="1" ht="23" hidden="1" customHeight="1" spans="1:25">
      <c r="A4236" s="133" t="str">
        <f>IF(B4236="","",COUNTA($B$5:B4236))</f>
        <v/>
      </c>
      <c r="B4236" s="148"/>
      <c r="C4236" s="22" t="s">
        <v>49</v>
      </c>
      <c r="D4236" s="149"/>
      <c r="E4236" s="150"/>
      <c r="F4236" s="151"/>
      <c r="G4236" s="151"/>
      <c r="H4236" s="142">
        <f>IFERROR(VLOOKUP($C4236,$C$5:$H$18,6,0)+SUMIF($C$19:$C4236,$C4236,$F$19:$F4236)-SUMIF($C$19:$C4236,$C4236,$G$19:$G4236),"")</f>
        <v>81211.819999998</v>
      </c>
      <c r="I4236" s="147"/>
      <c r="J4236" s="147"/>
      <c r="K4236" s="147" t="str">
        <f t="shared" si="66"/>
        <v/>
      </c>
      <c r="L4236" s="40"/>
      <c r="M4236"/>
      <c r="N4236"/>
      <c r="O4236"/>
      <c r="P4236"/>
      <c r="Q4236"/>
      <c r="R4236"/>
      <c r="S4236"/>
      <c r="T4236"/>
      <c r="U4236"/>
      <c r="V4236"/>
      <c r="W4236" s="41"/>
      <c r="X4236" s="41"/>
      <c r="Y4236" s="41"/>
    </row>
    <row r="4237" s="27" customFormat="1" ht="23" hidden="1" customHeight="1" spans="1:25">
      <c r="A4237" s="133" t="str">
        <f>IF(B4237="","",COUNTA($B$5:B4237))</f>
        <v/>
      </c>
      <c r="B4237" s="148"/>
      <c r="C4237" s="22" t="s">
        <v>49</v>
      </c>
      <c r="D4237" s="149"/>
      <c r="E4237" s="150"/>
      <c r="F4237" s="151"/>
      <c r="G4237" s="151"/>
      <c r="H4237" s="142">
        <f>IFERROR(VLOOKUP($C4237,$C$5:$H$18,6,0)+SUMIF($C$19:$C4237,$C4237,$F$19:$F4237)-SUMIF($C$19:$C4237,$C4237,$G$19:$G4237),"")</f>
        <v>81211.819999998</v>
      </c>
      <c r="I4237" s="147"/>
      <c r="J4237" s="147"/>
      <c r="K4237" s="147" t="str">
        <f t="shared" si="66"/>
        <v/>
      </c>
      <c r="L4237" s="40"/>
      <c r="M4237"/>
      <c r="N4237"/>
      <c r="O4237"/>
      <c r="P4237"/>
      <c r="Q4237"/>
      <c r="R4237"/>
      <c r="S4237"/>
      <c r="T4237"/>
      <c r="U4237"/>
      <c r="V4237"/>
      <c r="W4237" s="41"/>
      <c r="X4237" s="41"/>
      <c r="Y4237" s="41"/>
    </row>
    <row r="4238" s="27" customFormat="1" ht="23" hidden="1" customHeight="1" spans="1:25">
      <c r="A4238" s="133" t="str">
        <f>IF(B4238="","",COUNTA($B$5:B4238))</f>
        <v/>
      </c>
      <c r="B4238" s="148"/>
      <c r="C4238" s="22" t="s">
        <v>49</v>
      </c>
      <c r="D4238" s="149"/>
      <c r="E4238" s="150"/>
      <c r="F4238" s="151"/>
      <c r="G4238" s="151"/>
      <c r="H4238" s="142">
        <f>IFERROR(VLOOKUP($C4238,$C$5:$H$18,6,0)+SUMIF($C$19:$C4238,$C4238,$F$19:$F4238)-SUMIF($C$19:$C4238,$C4238,$G$19:$G4238),"")</f>
        <v>81211.819999998</v>
      </c>
      <c r="I4238" s="147"/>
      <c r="J4238" s="147"/>
      <c r="K4238" s="147" t="str">
        <f t="shared" si="66"/>
        <v/>
      </c>
      <c r="L4238" s="40"/>
      <c r="M4238"/>
      <c r="N4238"/>
      <c r="O4238"/>
      <c r="P4238"/>
      <c r="Q4238"/>
      <c r="R4238"/>
      <c r="S4238"/>
      <c r="T4238"/>
      <c r="U4238"/>
      <c r="V4238"/>
      <c r="W4238" s="41"/>
      <c r="X4238" s="41"/>
      <c r="Y4238" s="41"/>
    </row>
    <row r="4239" s="27" customFormat="1" ht="23" hidden="1" customHeight="1" spans="1:25">
      <c r="A4239" s="133" t="str">
        <f>IF(B4239="","",COUNTA($B$5:B4239))</f>
        <v/>
      </c>
      <c r="B4239" s="148"/>
      <c r="C4239" s="22" t="s">
        <v>49</v>
      </c>
      <c r="D4239" s="149"/>
      <c r="E4239" s="150"/>
      <c r="F4239" s="151"/>
      <c r="G4239" s="151"/>
      <c r="H4239" s="142">
        <f>IFERROR(VLOOKUP($C4239,$C$5:$H$18,6,0)+SUMIF($C$19:$C4239,$C4239,$F$19:$F4239)-SUMIF($C$19:$C4239,$C4239,$G$19:$G4239),"")</f>
        <v>81211.819999998</v>
      </c>
      <c r="I4239" s="147"/>
      <c r="J4239" s="147"/>
      <c r="K4239" s="147" t="str">
        <f t="shared" si="66"/>
        <v/>
      </c>
      <c r="L4239" s="40"/>
      <c r="M4239"/>
      <c r="N4239"/>
      <c r="O4239"/>
      <c r="P4239"/>
      <c r="Q4239"/>
      <c r="R4239"/>
      <c r="S4239"/>
      <c r="T4239"/>
      <c r="U4239"/>
      <c r="V4239"/>
      <c r="W4239" s="41"/>
      <c r="X4239" s="41"/>
      <c r="Y4239" s="41"/>
    </row>
    <row r="4240" s="27" customFormat="1" ht="23" hidden="1" customHeight="1" spans="1:25">
      <c r="A4240" s="133" t="str">
        <f>IF(B4240="","",COUNTA($B$5:B4240))</f>
        <v/>
      </c>
      <c r="B4240" s="148"/>
      <c r="C4240" s="22" t="s">
        <v>49</v>
      </c>
      <c r="D4240" s="149"/>
      <c r="E4240" s="150"/>
      <c r="F4240" s="151"/>
      <c r="G4240" s="151"/>
      <c r="H4240" s="142">
        <f>IFERROR(VLOOKUP($C4240,$C$5:$H$18,6,0)+SUMIF($C$19:$C4240,$C4240,$F$19:$F4240)-SUMIF($C$19:$C4240,$C4240,$G$19:$G4240),"")</f>
        <v>81211.819999998</v>
      </c>
      <c r="I4240" s="147"/>
      <c r="J4240" s="147"/>
      <c r="K4240" s="147" t="str">
        <f t="shared" si="66"/>
        <v/>
      </c>
      <c r="L4240" s="40"/>
      <c r="M4240"/>
      <c r="N4240"/>
      <c r="O4240"/>
      <c r="P4240"/>
      <c r="Q4240"/>
      <c r="R4240"/>
      <c r="S4240"/>
      <c r="T4240"/>
      <c r="U4240"/>
      <c r="V4240"/>
      <c r="W4240" s="41"/>
      <c r="X4240" s="41"/>
      <c r="Y4240" s="41"/>
    </row>
    <row r="4241" s="27" customFormat="1" ht="23" hidden="1" customHeight="1" spans="1:25">
      <c r="A4241" s="133" t="str">
        <f>IF(B4241="","",COUNTA($B$5:B4241))</f>
        <v/>
      </c>
      <c r="B4241" s="148"/>
      <c r="C4241" s="22" t="s">
        <v>49</v>
      </c>
      <c r="D4241" s="149"/>
      <c r="E4241" s="150"/>
      <c r="F4241" s="151"/>
      <c r="G4241" s="151"/>
      <c r="H4241" s="142">
        <f>IFERROR(VLOOKUP($C4241,$C$5:$H$18,6,0)+SUMIF($C$19:$C4241,$C4241,$F$19:$F4241)-SUMIF($C$19:$C4241,$C4241,$G$19:$G4241),"")</f>
        <v>81211.819999998</v>
      </c>
      <c r="I4241" s="147"/>
      <c r="J4241" s="147"/>
      <c r="K4241" s="147" t="str">
        <f t="shared" si="66"/>
        <v/>
      </c>
      <c r="L4241" s="40"/>
      <c r="M4241"/>
      <c r="N4241"/>
      <c r="O4241"/>
      <c r="P4241"/>
      <c r="Q4241"/>
      <c r="R4241"/>
      <c r="S4241"/>
      <c r="T4241"/>
      <c r="U4241"/>
      <c r="V4241"/>
      <c r="W4241" s="41"/>
      <c r="X4241" s="41"/>
      <c r="Y4241" s="41"/>
    </row>
    <row r="4242" s="27" customFormat="1" ht="23" hidden="1" customHeight="1" spans="1:25">
      <c r="A4242" s="133" t="str">
        <f>IF(B4242="","",COUNTA($B$5:B4242))</f>
        <v/>
      </c>
      <c r="B4242" s="148"/>
      <c r="C4242" s="22" t="s">
        <v>49</v>
      </c>
      <c r="D4242" s="149"/>
      <c r="E4242" s="150"/>
      <c r="F4242" s="151"/>
      <c r="G4242" s="151"/>
      <c r="H4242" s="142">
        <f>IFERROR(VLOOKUP($C4242,$C$5:$H$18,6,0)+SUMIF($C$19:$C4242,$C4242,$F$19:$F4242)-SUMIF($C$19:$C4242,$C4242,$G$19:$G4242),"")</f>
        <v>81211.819999998</v>
      </c>
      <c r="I4242" s="147"/>
      <c r="J4242" s="147"/>
      <c r="K4242" s="147" t="str">
        <f t="shared" si="66"/>
        <v/>
      </c>
      <c r="L4242" s="40"/>
      <c r="M4242"/>
      <c r="N4242"/>
      <c r="O4242"/>
      <c r="P4242"/>
      <c r="Q4242"/>
      <c r="R4242"/>
      <c r="S4242"/>
      <c r="T4242"/>
      <c r="U4242"/>
      <c r="V4242"/>
      <c r="W4242" s="41"/>
      <c r="X4242" s="41"/>
      <c r="Y4242" s="41"/>
    </row>
    <row r="4243" s="27" customFormat="1" ht="23" hidden="1" customHeight="1" spans="1:25">
      <c r="A4243" s="133" t="str">
        <f>IF(B4243="","",COUNTA($B$5:B4243))</f>
        <v/>
      </c>
      <c r="B4243" s="148"/>
      <c r="C4243" s="22" t="s">
        <v>49</v>
      </c>
      <c r="D4243" s="149"/>
      <c r="E4243" s="150"/>
      <c r="F4243" s="151"/>
      <c r="G4243" s="151"/>
      <c r="H4243" s="142">
        <f>IFERROR(VLOOKUP($C4243,$C$5:$H$18,6,0)+SUMIF($C$19:$C4243,$C4243,$F$19:$F4243)-SUMIF($C$19:$C4243,$C4243,$G$19:$G4243),"")</f>
        <v>81211.819999998</v>
      </c>
      <c r="I4243" s="147"/>
      <c r="J4243" s="147"/>
      <c r="K4243" s="147" t="str">
        <f t="shared" si="66"/>
        <v/>
      </c>
      <c r="L4243" s="40"/>
      <c r="M4243"/>
      <c r="N4243"/>
      <c r="O4243"/>
      <c r="P4243"/>
      <c r="Q4243"/>
      <c r="R4243"/>
      <c r="S4243"/>
      <c r="T4243"/>
      <c r="U4243"/>
      <c r="V4243"/>
      <c r="W4243" s="41"/>
      <c r="X4243" s="41"/>
      <c r="Y4243" s="41"/>
    </row>
    <row r="4244" s="27" customFormat="1" ht="23" hidden="1" customHeight="1" spans="1:25">
      <c r="A4244" s="133" t="str">
        <f>IF(B4244="","",COUNTA($B$5:B4244))</f>
        <v/>
      </c>
      <c r="B4244" s="148"/>
      <c r="C4244" s="22" t="s">
        <v>49</v>
      </c>
      <c r="D4244" s="149"/>
      <c r="E4244" s="150"/>
      <c r="F4244" s="151"/>
      <c r="G4244" s="151"/>
      <c r="H4244" s="142">
        <f>IFERROR(VLOOKUP($C4244,$C$5:$H$18,6,0)+SUMIF($C$19:$C4244,$C4244,$F$19:$F4244)-SUMIF($C$19:$C4244,$C4244,$G$19:$G4244),"")</f>
        <v>81211.819999998</v>
      </c>
      <c r="I4244" s="147"/>
      <c r="J4244" s="147"/>
      <c r="K4244" s="147" t="str">
        <f t="shared" si="66"/>
        <v/>
      </c>
      <c r="L4244" s="40"/>
      <c r="M4244"/>
      <c r="N4244"/>
      <c r="O4244"/>
      <c r="P4244"/>
      <c r="Q4244"/>
      <c r="R4244"/>
      <c r="S4244"/>
      <c r="T4244"/>
      <c r="U4244"/>
      <c r="V4244"/>
      <c r="W4244" s="41"/>
      <c r="X4244" s="41"/>
      <c r="Y4244" s="41"/>
    </row>
    <row r="4245" s="27" customFormat="1" ht="23" hidden="1" customHeight="1" spans="1:25">
      <c r="A4245" s="133" t="str">
        <f>IF(B4245="","",COUNTA($B$5:B4245))</f>
        <v/>
      </c>
      <c r="B4245" s="148"/>
      <c r="C4245" s="22" t="s">
        <v>49</v>
      </c>
      <c r="D4245" s="149"/>
      <c r="E4245" s="150"/>
      <c r="F4245" s="151"/>
      <c r="G4245" s="151"/>
      <c r="H4245" s="142">
        <f>IFERROR(VLOOKUP($C4245,$C$5:$H$18,6,0)+SUMIF($C$19:$C4245,$C4245,$F$19:$F4245)-SUMIF($C$19:$C4245,$C4245,$G$19:$G4245),"")</f>
        <v>81211.819999998</v>
      </c>
      <c r="I4245" s="147"/>
      <c r="J4245" s="147"/>
      <c r="K4245" s="147" t="str">
        <f t="shared" si="66"/>
        <v/>
      </c>
      <c r="L4245" s="40"/>
      <c r="M4245"/>
      <c r="N4245"/>
      <c r="O4245"/>
      <c r="P4245"/>
      <c r="Q4245"/>
      <c r="R4245"/>
      <c r="S4245"/>
      <c r="T4245"/>
      <c r="U4245"/>
      <c r="V4245"/>
      <c r="W4245" s="41"/>
      <c r="X4245" s="41"/>
      <c r="Y4245" s="41"/>
    </row>
    <row r="4246" s="27" customFormat="1" ht="23" hidden="1" customHeight="1" spans="1:25">
      <c r="A4246" s="133" t="str">
        <f>IF(B4246="","",COUNTA($B$5:B4246))</f>
        <v/>
      </c>
      <c r="B4246" s="148"/>
      <c r="C4246" s="22" t="s">
        <v>49</v>
      </c>
      <c r="D4246" s="149"/>
      <c r="E4246" s="150"/>
      <c r="F4246" s="151"/>
      <c r="G4246" s="151"/>
      <c r="H4246" s="142">
        <f>IFERROR(VLOOKUP($C4246,$C$5:$H$18,6,0)+SUMIF($C$19:$C4246,$C4246,$F$19:$F4246)-SUMIF($C$19:$C4246,$C4246,$G$19:$G4246),"")</f>
        <v>81211.819999998</v>
      </c>
      <c r="I4246" s="147"/>
      <c r="J4246" s="147"/>
      <c r="K4246" s="147" t="str">
        <f t="shared" si="66"/>
        <v/>
      </c>
      <c r="L4246" s="40"/>
      <c r="M4246"/>
      <c r="N4246"/>
      <c r="O4246"/>
      <c r="P4246"/>
      <c r="Q4246"/>
      <c r="R4246"/>
      <c r="S4246"/>
      <c r="T4246"/>
      <c r="U4246"/>
      <c r="V4246"/>
      <c r="W4246" s="41"/>
      <c r="X4246" s="41"/>
      <c r="Y4246" s="41"/>
    </row>
    <row r="4247" s="27" customFormat="1" ht="23" hidden="1" customHeight="1" spans="1:25">
      <c r="A4247" s="133" t="str">
        <f>IF(B4247="","",COUNTA($B$5:B4247))</f>
        <v/>
      </c>
      <c r="B4247" s="148"/>
      <c r="C4247" s="22" t="s">
        <v>49</v>
      </c>
      <c r="D4247" s="149"/>
      <c r="E4247" s="150"/>
      <c r="F4247" s="151"/>
      <c r="G4247" s="151"/>
      <c r="H4247" s="142">
        <f>IFERROR(VLOOKUP($C4247,$C$5:$H$18,6,0)+SUMIF($C$19:$C4247,$C4247,$F$19:$F4247)-SUMIF($C$19:$C4247,$C4247,$G$19:$G4247),"")</f>
        <v>81211.819999998</v>
      </c>
      <c r="I4247" s="147"/>
      <c r="J4247" s="147"/>
      <c r="K4247" s="147" t="str">
        <f t="shared" si="66"/>
        <v/>
      </c>
      <c r="L4247" s="40"/>
      <c r="M4247"/>
      <c r="N4247"/>
      <c r="O4247"/>
      <c r="P4247"/>
      <c r="Q4247"/>
      <c r="R4247"/>
      <c r="S4247"/>
      <c r="T4247"/>
      <c r="U4247"/>
      <c r="V4247"/>
      <c r="W4247" s="41"/>
      <c r="X4247" s="41"/>
      <c r="Y4247" s="41"/>
    </row>
    <row r="4248" s="27" customFormat="1" ht="23" hidden="1" customHeight="1" spans="1:25">
      <c r="A4248" s="133" t="str">
        <f>IF(B4248="","",COUNTA($B$5:B4248))</f>
        <v/>
      </c>
      <c r="B4248" s="148"/>
      <c r="C4248" s="22" t="s">
        <v>49</v>
      </c>
      <c r="D4248" s="149"/>
      <c r="E4248" s="150"/>
      <c r="F4248" s="151"/>
      <c r="G4248" s="151"/>
      <c r="H4248" s="142">
        <f>IFERROR(VLOOKUP($C4248,$C$5:$H$18,6,0)+SUMIF($C$19:$C4248,$C4248,$F$19:$F4248)-SUMIF($C$19:$C4248,$C4248,$G$19:$G4248),"")</f>
        <v>81211.819999998</v>
      </c>
      <c r="I4248" s="147"/>
      <c r="J4248" s="147"/>
      <c r="K4248" s="147" t="str">
        <f t="shared" si="66"/>
        <v/>
      </c>
      <c r="L4248" s="40"/>
      <c r="M4248"/>
      <c r="N4248"/>
      <c r="O4248"/>
      <c r="P4248"/>
      <c r="Q4248"/>
      <c r="R4248"/>
      <c r="S4248"/>
      <c r="T4248"/>
      <c r="U4248"/>
      <c r="V4248"/>
      <c r="W4248" s="41"/>
      <c r="X4248" s="41"/>
      <c r="Y4248" s="41"/>
    </row>
    <row r="4249" s="27" customFormat="1" ht="23" hidden="1" customHeight="1" spans="1:25">
      <c r="A4249" s="133" t="str">
        <f>IF(B4249="","",COUNTA($B$5:B4249))</f>
        <v/>
      </c>
      <c r="B4249" s="148"/>
      <c r="C4249" s="22" t="s">
        <v>49</v>
      </c>
      <c r="D4249" s="149"/>
      <c r="E4249" s="150"/>
      <c r="F4249" s="151"/>
      <c r="G4249" s="151"/>
      <c r="H4249" s="142">
        <f>IFERROR(VLOOKUP($C4249,$C$5:$H$18,6,0)+SUMIF($C$19:$C4249,$C4249,$F$19:$F4249)-SUMIF($C$19:$C4249,$C4249,$G$19:$G4249),"")</f>
        <v>81211.819999998</v>
      </c>
      <c r="I4249" s="147"/>
      <c r="J4249" s="147"/>
      <c r="K4249" s="147" t="str">
        <f t="shared" si="66"/>
        <v/>
      </c>
      <c r="L4249" s="40"/>
      <c r="M4249"/>
      <c r="N4249"/>
      <c r="O4249"/>
      <c r="P4249"/>
      <c r="Q4249"/>
      <c r="R4249"/>
      <c r="S4249"/>
      <c r="T4249"/>
      <c r="U4249"/>
      <c r="V4249"/>
      <c r="W4249" s="41"/>
      <c r="X4249" s="41"/>
      <c r="Y4249" s="41"/>
    </row>
    <row r="4250" s="27" customFormat="1" ht="23" hidden="1" customHeight="1" spans="1:25">
      <c r="A4250" s="133" t="str">
        <f>IF(B4250="","",COUNTA($B$5:B4250))</f>
        <v/>
      </c>
      <c r="B4250" s="148"/>
      <c r="C4250" s="22" t="s">
        <v>49</v>
      </c>
      <c r="D4250" s="149"/>
      <c r="E4250" s="150"/>
      <c r="F4250" s="151"/>
      <c r="G4250" s="151"/>
      <c r="H4250" s="142">
        <f>IFERROR(VLOOKUP($C4250,$C$5:$H$18,6,0)+SUMIF($C$19:$C4250,$C4250,$F$19:$F4250)-SUMIF($C$19:$C4250,$C4250,$G$19:$G4250),"")</f>
        <v>81211.819999998</v>
      </c>
      <c r="I4250" s="147"/>
      <c r="J4250" s="147"/>
      <c r="K4250" s="147" t="str">
        <f t="shared" si="66"/>
        <v/>
      </c>
      <c r="L4250" s="40"/>
      <c r="M4250"/>
      <c r="N4250"/>
      <c r="O4250"/>
      <c r="P4250"/>
      <c r="Q4250"/>
      <c r="R4250"/>
      <c r="S4250"/>
      <c r="T4250"/>
      <c r="U4250"/>
      <c r="V4250"/>
      <c r="W4250" s="41"/>
      <c r="X4250" s="41"/>
      <c r="Y4250" s="41"/>
    </row>
    <row r="4251" s="27" customFormat="1" ht="23" hidden="1" customHeight="1" spans="1:25">
      <c r="A4251" s="133" t="str">
        <f>IF(B4251="","",COUNTA($B$5:B4251))</f>
        <v/>
      </c>
      <c r="B4251" s="148"/>
      <c r="C4251" s="22" t="s">
        <v>49</v>
      </c>
      <c r="D4251" s="149"/>
      <c r="E4251" s="150"/>
      <c r="F4251" s="151"/>
      <c r="G4251" s="151"/>
      <c r="H4251" s="142">
        <f>IFERROR(VLOOKUP($C4251,$C$5:$H$18,6,0)+SUMIF($C$19:$C4251,$C4251,$F$19:$F4251)-SUMIF($C$19:$C4251,$C4251,$G$19:$G4251),"")</f>
        <v>81211.819999998</v>
      </c>
      <c r="I4251" s="147"/>
      <c r="J4251" s="147"/>
      <c r="K4251" s="147" t="str">
        <f t="shared" si="66"/>
        <v/>
      </c>
      <c r="L4251" s="40"/>
      <c r="M4251"/>
      <c r="N4251"/>
      <c r="O4251"/>
      <c r="P4251"/>
      <c r="Q4251"/>
      <c r="R4251"/>
      <c r="S4251"/>
      <c r="T4251"/>
      <c r="U4251"/>
      <c r="V4251"/>
      <c r="W4251" s="41"/>
      <c r="X4251" s="41"/>
      <c r="Y4251" s="41"/>
    </row>
    <row r="4252" s="27" customFormat="1" ht="23" hidden="1" customHeight="1" spans="1:25">
      <c r="A4252" s="133" t="str">
        <f>IF(B4252="","",COUNTA($B$5:B4252))</f>
        <v/>
      </c>
      <c r="B4252" s="148"/>
      <c r="C4252" s="22" t="s">
        <v>49</v>
      </c>
      <c r="D4252" s="149"/>
      <c r="E4252" s="150"/>
      <c r="F4252" s="151"/>
      <c r="G4252" s="151"/>
      <c r="H4252" s="142">
        <f>IFERROR(VLOOKUP($C4252,$C$5:$H$18,6,0)+SUMIF($C$19:$C4252,$C4252,$F$19:$F4252)-SUMIF($C$19:$C4252,$C4252,$G$19:$G4252),"")</f>
        <v>81211.819999998</v>
      </c>
      <c r="I4252" s="147"/>
      <c r="J4252" s="147"/>
      <c r="K4252" s="147" t="str">
        <f t="shared" si="66"/>
        <v/>
      </c>
      <c r="L4252" s="40"/>
      <c r="M4252"/>
      <c r="N4252"/>
      <c r="O4252"/>
      <c r="P4252"/>
      <c r="Q4252"/>
      <c r="R4252"/>
      <c r="S4252"/>
      <c r="T4252"/>
      <c r="U4252"/>
      <c r="V4252"/>
      <c r="W4252" s="41"/>
      <c r="X4252" s="41"/>
      <c r="Y4252" s="41"/>
    </row>
    <row r="4253" s="27" customFormat="1" ht="23" hidden="1" customHeight="1" spans="1:25">
      <c r="A4253" s="133" t="str">
        <f>IF(B4253="","",COUNTA($B$5:B4253))</f>
        <v/>
      </c>
      <c r="B4253" s="148"/>
      <c r="C4253" s="22" t="s">
        <v>49</v>
      </c>
      <c r="D4253" s="149"/>
      <c r="E4253" s="150"/>
      <c r="F4253" s="151"/>
      <c r="G4253" s="151"/>
      <c r="H4253" s="142">
        <f>IFERROR(VLOOKUP($C4253,$C$5:$H$18,6,0)+SUMIF($C$19:$C4253,$C4253,$F$19:$F4253)-SUMIF($C$19:$C4253,$C4253,$G$19:$G4253),"")</f>
        <v>81211.819999998</v>
      </c>
      <c r="I4253" s="147"/>
      <c r="J4253" s="147"/>
      <c r="K4253" s="147" t="str">
        <f t="shared" si="66"/>
        <v/>
      </c>
      <c r="L4253" s="40"/>
      <c r="M4253"/>
      <c r="N4253"/>
      <c r="O4253"/>
      <c r="P4253"/>
      <c r="Q4253"/>
      <c r="R4253"/>
      <c r="S4253"/>
      <c r="T4253"/>
      <c r="U4253"/>
      <c r="V4253"/>
      <c r="W4253" s="41"/>
      <c r="X4253" s="41"/>
      <c r="Y4253" s="41"/>
    </row>
    <row r="4254" s="27" customFormat="1" ht="23" hidden="1" customHeight="1" spans="1:25">
      <c r="A4254" s="133" t="str">
        <f>IF(B4254="","",COUNTA($B$5:B4254))</f>
        <v/>
      </c>
      <c r="B4254" s="148"/>
      <c r="C4254" s="22" t="s">
        <v>49</v>
      </c>
      <c r="D4254" s="149"/>
      <c r="E4254" s="150"/>
      <c r="F4254" s="151"/>
      <c r="G4254" s="151"/>
      <c r="H4254" s="142">
        <f>IFERROR(VLOOKUP($C4254,$C$5:$H$18,6,0)+SUMIF($C$19:$C4254,$C4254,$F$19:$F4254)-SUMIF($C$19:$C4254,$C4254,$G$19:$G4254),"")</f>
        <v>81211.819999998</v>
      </c>
      <c r="I4254" s="147"/>
      <c r="J4254" s="147"/>
      <c r="K4254" s="147" t="str">
        <f t="shared" si="66"/>
        <v/>
      </c>
      <c r="L4254" s="40"/>
      <c r="M4254"/>
      <c r="N4254"/>
      <c r="O4254"/>
      <c r="P4254"/>
      <c r="Q4254"/>
      <c r="R4254"/>
      <c r="S4254"/>
      <c r="T4254"/>
      <c r="U4254"/>
      <c r="V4254"/>
      <c r="W4254" s="41"/>
      <c r="X4254" s="41"/>
      <c r="Y4254" s="41"/>
    </row>
    <row r="4255" s="27" customFormat="1" ht="23" hidden="1" customHeight="1" spans="1:25">
      <c r="A4255" s="133" t="str">
        <f>IF(B4255="","",COUNTA($B$5:B4255))</f>
        <v/>
      </c>
      <c r="B4255" s="148"/>
      <c r="C4255" s="22" t="s">
        <v>49</v>
      </c>
      <c r="D4255" s="149"/>
      <c r="E4255" s="150"/>
      <c r="F4255" s="151"/>
      <c r="G4255" s="151"/>
      <c r="H4255" s="142">
        <f>IFERROR(VLOOKUP($C4255,$C$5:$H$18,6,0)+SUMIF($C$19:$C4255,$C4255,$F$19:$F4255)-SUMIF($C$19:$C4255,$C4255,$G$19:$G4255),"")</f>
        <v>81211.819999998</v>
      </c>
      <c r="I4255" s="147"/>
      <c r="J4255" s="147"/>
      <c r="K4255" s="147" t="str">
        <f t="shared" si="66"/>
        <v/>
      </c>
      <c r="L4255" s="40"/>
      <c r="M4255"/>
      <c r="N4255"/>
      <c r="O4255"/>
      <c r="P4255"/>
      <c r="Q4255"/>
      <c r="R4255"/>
      <c r="S4255"/>
      <c r="T4255"/>
      <c r="U4255"/>
      <c r="V4255"/>
      <c r="W4255" s="41"/>
      <c r="X4255" s="41"/>
      <c r="Y4255" s="41"/>
    </row>
    <row r="4256" s="27" customFormat="1" ht="23" hidden="1" customHeight="1" spans="1:25">
      <c r="A4256" s="133" t="str">
        <f>IF(B4256="","",COUNTA($B$5:B4256))</f>
        <v/>
      </c>
      <c r="B4256" s="148"/>
      <c r="C4256" s="22" t="s">
        <v>49</v>
      </c>
      <c r="D4256" s="149"/>
      <c r="E4256" s="150"/>
      <c r="F4256" s="151"/>
      <c r="G4256" s="151"/>
      <c r="H4256" s="142">
        <f>IFERROR(VLOOKUP($C4256,$C$5:$H$18,6,0)+SUMIF($C$19:$C4256,$C4256,$F$19:$F4256)-SUMIF($C$19:$C4256,$C4256,$G$19:$G4256),"")</f>
        <v>81211.819999998</v>
      </c>
      <c r="I4256" s="147"/>
      <c r="J4256" s="147"/>
      <c r="K4256" s="147" t="str">
        <f t="shared" si="66"/>
        <v/>
      </c>
      <c r="L4256" s="40"/>
      <c r="M4256"/>
      <c r="N4256"/>
      <c r="O4256"/>
      <c r="P4256"/>
      <c r="Q4256"/>
      <c r="R4256"/>
      <c r="S4256"/>
      <c r="T4256"/>
      <c r="U4256"/>
      <c r="V4256"/>
      <c r="W4256" s="41"/>
      <c r="X4256" s="41"/>
      <c r="Y4256" s="41"/>
    </row>
    <row r="4257" s="27" customFormat="1" ht="23" hidden="1" customHeight="1" spans="1:25">
      <c r="A4257" s="133" t="str">
        <f>IF(B4257="","",COUNTA($B$5:B4257))</f>
        <v/>
      </c>
      <c r="B4257" s="148"/>
      <c r="C4257" s="22" t="s">
        <v>49</v>
      </c>
      <c r="D4257" s="149"/>
      <c r="E4257" s="150"/>
      <c r="F4257" s="151"/>
      <c r="G4257" s="151"/>
      <c r="H4257" s="142">
        <f>IFERROR(VLOOKUP($C4257,$C$5:$H$18,6,0)+SUMIF($C$19:$C4257,$C4257,$F$19:$F4257)-SUMIF($C$19:$C4257,$C4257,$G$19:$G4257),"")</f>
        <v>81211.819999998</v>
      </c>
      <c r="I4257" s="147"/>
      <c r="J4257" s="147"/>
      <c r="K4257" s="147" t="str">
        <f t="shared" si="66"/>
        <v/>
      </c>
      <c r="L4257" s="40"/>
      <c r="M4257"/>
      <c r="N4257"/>
      <c r="O4257"/>
      <c r="P4257"/>
      <c r="Q4257"/>
      <c r="R4257"/>
      <c r="S4257"/>
      <c r="T4257"/>
      <c r="U4257"/>
      <c r="V4257"/>
      <c r="W4257" s="41"/>
      <c r="X4257" s="41"/>
      <c r="Y4257" s="41"/>
    </row>
    <row r="4258" s="27" customFormat="1" ht="23" hidden="1" customHeight="1" spans="1:25">
      <c r="A4258" s="133" t="str">
        <f>IF(B4258="","",COUNTA($B$5:B4258))</f>
        <v/>
      </c>
      <c r="B4258" s="148"/>
      <c r="C4258" s="22" t="s">
        <v>49</v>
      </c>
      <c r="D4258" s="149"/>
      <c r="E4258" s="150"/>
      <c r="F4258" s="151"/>
      <c r="G4258" s="151"/>
      <c r="H4258" s="142">
        <f>IFERROR(VLOOKUP($C4258,$C$5:$H$18,6,0)+SUMIF($C$19:$C4258,$C4258,$F$19:$F4258)-SUMIF($C$19:$C4258,$C4258,$G$19:$G4258),"")</f>
        <v>81211.819999998</v>
      </c>
      <c r="I4258" s="147"/>
      <c r="J4258" s="147"/>
      <c r="K4258" s="147" t="str">
        <f t="shared" si="66"/>
        <v/>
      </c>
      <c r="L4258" s="40"/>
      <c r="M4258"/>
      <c r="N4258"/>
      <c r="O4258"/>
      <c r="P4258"/>
      <c r="Q4258"/>
      <c r="R4258"/>
      <c r="S4258"/>
      <c r="T4258"/>
      <c r="U4258"/>
      <c r="V4258"/>
      <c r="W4258" s="41"/>
      <c r="X4258" s="41"/>
      <c r="Y4258" s="41"/>
    </row>
    <row r="4259" s="27" customFormat="1" ht="23" hidden="1" customHeight="1" spans="1:25">
      <c r="A4259" s="133" t="str">
        <f>IF(B4259="","",COUNTA($B$5:B4259))</f>
        <v/>
      </c>
      <c r="B4259" s="148"/>
      <c r="C4259" s="22" t="s">
        <v>49</v>
      </c>
      <c r="D4259" s="149"/>
      <c r="E4259" s="150"/>
      <c r="F4259" s="151"/>
      <c r="G4259" s="151"/>
      <c r="H4259" s="142">
        <f>IFERROR(VLOOKUP($C4259,$C$5:$H$18,6,0)+SUMIF($C$19:$C4259,$C4259,$F$19:$F4259)-SUMIF($C$19:$C4259,$C4259,$G$19:$G4259),"")</f>
        <v>81211.819999998</v>
      </c>
      <c r="I4259" s="147"/>
      <c r="J4259" s="147"/>
      <c r="K4259" s="147" t="str">
        <f t="shared" si="66"/>
        <v/>
      </c>
      <c r="L4259" s="40"/>
      <c r="M4259"/>
      <c r="N4259"/>
      <c r="O4259"/>
      <c r="P4259"/>
      <c r="Q4259"/>
      <c r="R4259"/>
      <c r="S4259"/>
      <c r="T4259"/>
      <c r="U4259"/>
      <c r="V4259"/>
      <c r="W4259" s="41"/>
      <c r="X4259" s="41"/>
      <c r="Y4259" s="41"/>
    </row>
    <row r="4260" s="27" customFormat="1" ht="23" hidden="1" customHeight="1" spans="1:25">
      <c r="A4260" s="133" t="str">
        <f>IF(B4260="","",COUNTA($B$5:B4260))</f>
        <v/>
      </c>
      <c r="B4260" s="148"/>
      <c r="C4260" s="22" t="s">
        <v>49</v>
      </c>
      <c r="D4260" s="149"/>
      <c r="E4260" s="150"/>
      <c r="F4260" s="151"/>
      <c r="G4260" s="151"/>
      <c r="H4260" s="142">
        <f>IFERROR(VLOOKUP($C4260,$C$5:$H$18,6,0)+SUMIF($C$19:$C4260,$C4260,$F$19:$F4260)-SUMIF($C$19:$C4260,$C4260,$G$19:$G4260),"")</f>
        <v>81211.819999998</v>
      </c>
      <c r="I4260" s="147"/>
      <c r="J4260" s="147"/>
      <c r="K4260" s="147" t="str">
        <f t="shared" si="66"/>
        <v/>
      </c>
      <c r="L4260" s="40"/>
      <c r="M4260"/>
      <c r="N4260"/>
      <c r="O4260"/>
      <c r="P4260"/>
      <c r="Q4260"/>
      <c r="R4260"/>
      <c r="S4260"/>
      <c r="T4260"/>
      <c r="U4260"/>
      <c r="V4260"/>
      <c r="W4260" s="41"/>
      <c r="X4260" s="41"/>
      <c r="Y4260" s="41"/>
    </row>
    <row r="4261" s="27" customFormat="1" ht="23" hidden="1" customHeight="1" spans="1:25">
      <c r="A4261" s="133" t="str">
        <f>IF(B4261="","",COUNTA($B$5:B4261))</f>
        <v/>
      </c>
      <c r="B4261" s="148"/>
      <c r="C4261" s="22" t="s">
        <v>49</v>
      </c>
      <c r="D4261" s="149"/>
      <c r="E4261" s="150"/>
      <c r="F4261" s="151"/>
      <c r="G4261" s="151"/>
      <c r="H4261" s="142">
        <f>IFERROR(VLOOKUP($C4261,$C$5:$H$18,6,0)+SUMIF($C$19:$C4261,$C4261,$F$19:$F4261)-SUMIF($C$19:$C4261,$C4261,$G$19:$G4261),"")</f>
        <v>81211.819999998</v>
      </c>
      <c r="I4261" s="147"/>
      <c r="J4261" s="147"/>
      <c r="K4261" s="147" t="str">
        <f t="shared" si="66"/>
        <v/>
      </c>
      <c r="L4261" s="40"/>
      <c r="M4261"/>
      <c r="N4261"/>
      <c r="O4261"/>
      <c r="P4261"/>
      <c r="Q4261"/>
      <c r="R4261"/>
      <c r="S4261"/>
      <c r="T4261"/>
      <c r="U4261"/>
      <c r="V4261"/>
      <c r="W4261" s="41"/>
      <c r="X4261" s="41"/>
      <c r="Y4261" s="41"/>
    </row>
    <row r="4262" s="27" customFormat="1" ht="23" hidden="1" customHeight="1" spans="1:25">
      <c r="A4262" s="133" t="str">
        <f>IF(B4262="","",COUNTA($B$5:B4262))</f>
        <v/>
      </c>
      <c r="B4262" s="148"/>
      <c r="C4262" s="22" t="s">
        <v>49</v>
      </c>
      <c r="D4262" s="149"/>
      <c r="E4262" s="150"/>
      <c r="F4262" s="151"/>
      <c r="G4262" s="151"/>
      <c r="H4262" s="142">
        <f>IFERROR(VLOOKUP($C4262,$C$5:$H$18,6,0)+SUMIF($C$19:$C4262,$C4262,$F$19:$F4262)-SUMIF($C$19:$C4262,$C4262,$G$19:$G4262),"")</f>
        <v>81211.819999998</v>
      </c>
      <c r="I4262" s="147"/>
      <c r="J4262" s="147"/>
      <c r="K4262" s="147" t="str">
        <f t="shared" si="66"/>
        <v/>
      </c>
      <c r="L4262" s="40"/>
      <c r="M4262"/>
      <c r="N4262"/>
      <c r="O4262"/>
      <c r="P4262"/>
      <c r="Q4262"/>
      <c r="R4262"/>
      <c r="S4262"/>
      <c r="T4262"/>
      <c r="U4262"/>
      <c r="V4262"/>
      <c r="W4262" s="41"/>
      <c r="X4262" s="41"/>
      <c r="Y4262" s="41"/>
    </row>
    <row r="4263" s="27" customFormat="1" ht="23" hidden="1" customHeight="1" spans="1:25">
      <c r="A4263" s="133" t="str">
        <f>IF(B4263="","",COUNTA($B$5:B4263))</f>
        <v/>
      </c>
      <c r="B4263" s="148"/>
      <c r="C4263" s="22" t="s">
        <v>49</v>
      </c>
      <c r="D4263" s="149"/>
      <c r="E4263" s="150"/>
      <c r="F4263" s="151"/>
      <c r="G4263" s="151"/>
      <c r="H4263" s="142">
        <f>IFERROR(VLOOKUP($C4263,$C$5:$H$18,6,0)+SUMIF($C$19:$C4263,$C4263,$F$19:$F4263)-SUMIF($C$19:$C4263,$C4263,$G$19:$G4263),"")</f>
        <v>81211.819999998</v>
      </c>
      <c r="I4263" s="147"/>
      <c r="J4263" s="147"/>
      <c r="K4263" s="147" t="str">
        <f t="shared" si="66"/>
        <v/>
      </c>
      <c r="L4263" s="40"/>
      <c r="M4263"/>
      <c r="N4263"/>
      <c r="O4263"/>
      <c r="P4263"/>
      <c r="Q4263"/>
      <c r="R4263"/>
      <c r="S4263"/>
      <c r="T4263"/>
      <c r="U4263"/>
      <c r="V4263"/>
      <c r="W4263" s="41"/>
      <c r="X4263" s="41"/>
      <c r="Y4263" s="41"/>
    </row>
    <row r="4264" s="27" customFormat="1" ht="23" hidden="1" customHeight="1" spans="1:25">
      <c r="A4264" s="133" t="str">
        <f>IF(B4264="","",COUNTA($B$5:B4264))</f>
        <v/>
      </c>
      <c r="B4264" s="148"/>
      <c r="C4264" s="22" t="s">
        <v>49</v>
      </c>
      <c r="D4264" s="149"/>
      <c r="E4264" s="150"/>
      <c r="F4264" s="151"/>
      <c r="G4264" s="151"/>
      <c r="H4264" s="142">
        <f>IFERROR(VLOOKUP($C4264,$C$5:$H$18,6,0)+SUMIF($C$19:$C4264,$C4264,$F$19:$F4264)-SUMIF($C$19:$C4264,$C4264,$G$19:$G4264),"")</f>
        <v>81211.819999998</v>
      </c>
      <c r="I4264" s="147"/>
      <c r="J4264" s="147"/>
      <c r="K4264" s="147" t="str">
        <f t="shared" si="66"/>
        <v/>
      </c>
      <c r="L4264" s="40"/>
      <c r="M4264"/>
      <c r="N4264"/>
      <c r="O4264"/>
      <c r="P4264"/>
      <c r="Q4264"/>
      <c r="R4264"/>
      <c r="S4264"/>
      <c r="T4264"/>
      <c r="U4264"/>
      <c r="V4264"/>
      <c r="W4264" s="41"/>
      <c r="X4264" s="41"/>
      <c r="Y4264" s="41"/>
    </row>
    <row r="4265" s="27" customFormat="1" ht="23" hidden="1" customHeight="1" spans="1:25">
      <c r="A4265" s="133" t="str">
        <f>IF(B4265="","",COUNTA($B$5:B4265))</f>
        <v/>
      </c>
      <c r="B4265" s="148"/>
      <c r="C4265" s="22" t="s">
        <v>49</v>
      </c>
      <c r="D4265" s="149"/>
      <c r="E4265" s="150"/>
      <c r="F4265" s="151"/>
      <c r="G4265" s="151"/>
      <c r="H4265" s="142">
        <f>IFERROR(VLOOKUP($C4265,$C$5:$H$18,6,0)+SUMIF($C$19:$C4265,$C4265,$F$19:$F4265)-SUMIF($C$19:$C4265,$C4265,$G$19:$G4265),"")</f>
        <v>81211.819999998</v>
      </c>
      <c r="I4265" s="147"/>
      <c r="J4265" s="147"/>
      <c r="K4265" s="147" t="str">
        <f t="shared" si="66"/>
        <v/>
      </c>
      <c r="L4265" s="40"/>
      <c r="M4265"/>
      <c r="N4265"/>
      <c r="O4265"/>
      <c r="P4265"/>
      <c r="Q4265"/>
      <c r="R4265"/>
      <c r="S4265"/>
      <c r="T4265"/>
      <c r="U4265"/>
      <c r="V4265"/>
      <c r="W4265" s="41"/>
      <c r="X4265" s="41"/>
      <c r="Y4265" s="41"/>
    </row>
    <row r="4266" s="27" customFormat="1" ht="23" hidden="1" customHeight="1" spans="1:25">
      <c r="A4266" s="133" t="str">
        <f>IF(B4266="","",COUNTA($B$5:B4266))</f>
        <v/>
      </c>
      <c r="B4266" s="148"/>
      <c r="C4266" s="22" t="s">
        <v>49</v>
      </c>
      <c r="D4266" s="149"/>
      <c r="E4266" s="150"/>
      <c r="F4266" s="151"/>
      <c r="G4266" s="151"/>
      <c r="H4266" s="142">
        <f>IFERROR(VLOOKUP($C4266,$C$5:$H$18,6,0)+SUMIF($C$19:$C4266,$C4266,$F$19:$F4266)-SUMIF($C$19:$C4266,$C4266,$G$19:$G4266),"")</f>
        <v>81211.819999998</v>
      </c>
      <c r="I4266" s="147"/>
      <c r="J4266" s="147"/>
      <c r="K4266" s="147" t="str">
        <f t="shared" si="66"/>
        <v/>
      </c>
      <c r="L4266" s="40"/>
      <c r="M4266"/>
      <c r="N4266"/>
      <c r="O4266"/>
      <c r="P4266"/>
      <c r="Q4266"/>
      <c r="R4266"/>
      <c r="S4266"/>
      <c r="T4266"/>
      <c r="U4266"/>
      <c r="V4266"/>
      <c r="W4266" s="41"/>
      <c r="X4266" s="41"/>
      <c r="Y4266" s="41"/>
    </row>
    <row r="4267" s="27" customFormat="1" ht="23" hidden="1" customHeight="1" spans="1:25">
      <c r="A4267" s="133" t="str">
        <f>IF(B4267="","",COUNTA($B$5:B4267))</f>
        <v/>
      </c>
      <c r="B4267" s="148"/>
      <c r="C4267" s="22" t="s">
        <v>49</v>
      </c>
      <c r="D4267" s="149"/>
      <c r="E4267" s="150"/>
      <c r="F4267" s="151"/>
      <c r="G4267" s="151"/>
      <c r="H4267" s="142">
        <f>IFERROR(VLOOKUP($C4267,$C$5:$H$18,6,0)+SUMIF($C$19:$C4267,$C4267,$F$19:$F4267)-SUMIF($C$19:$C4267,$C4267,$G$19:$G4267),"")</f>
        <v>81211.819999998</v>
      </c>
      <c r="I4267" s="147"/>
      <c r="J4267" s="147"/>
      <c r="K4267" s="147" t="str">
        <f t="shared" si="66"/>
        <v/>
      </c>
      <c r="L4267" s="40"/>
      <c r="M4267"/>
      <c r="N4267"/>
      <c r="O4267"/>
      <c r="P4267"/>
      <c r="Q4267"/>
      <c r="R4267"/>
      <c r="S4267"/>
      <c r="T4267"/>
      <c r="U4267"/>
      <c r="V4267"/>
      <c r="W4267" s="41"/>
      <c r="X4267" s="41"/>
      <c r="Y4267" s="41"/>
    </row>
    <row r="4268" s="27" customFormat="1" ht="23" hidden="1" customHeight="1" spans="1:25">
      <c r="A4268" s="133" t="str">
        <f>IF(B4268="","",COUNTA($B$5:B4268))</f>
        <v/>
      </c>
      <c r="B4268" s="148"/>
      <c r="C4268" s="22" t="s">
        <v>49</v>
      </c>
      <c r="D4268" s="149"/>
      <c r="E4268" s="150"/>
      <c r="F4268" s="151"/>
      <c r="G4268" s="151"/>
      <c r="H4268" s="142">
        <f>IFERROR(VLOOKUP($C4268,$C$5:$H$18,6,0)+SUMIF($C$19:$C4268,$C4268,$F$19:$F4268)-SUMIF($C$19:$C4268,$C4268,$G$19:$G4268),"")</f>
        <v>81211.819999998</v>
      </c>
      <c r="I4268" s="147"/>
      <c r="J4268" s="147"/>
      <c r="K4268" s="147" t="str">
        <f t="shared" si="66"/>
        <v/>
      </c>
      <c r="L4268" s="40"/>
      <c r="M4268"/>
      <c r="N4268"/>
      <c r="O4268"/>
      <c r="P4268"/>
      <c r="Q4268"/>
      <c r="R4268"/>
      <c r="S4268"/>
      <c r="T4268"/>
      <c r="U4268"/>
      <c r="V4268"/>
      <c r="W4268" s="41"/>
      <c r="X4268" s="41"/>
      <c r="Y4268" s="41"/>
    </row>
    <row r="4269" s="27" customFormat="1" ht="23" hidden="1" customHeight="1" spans="1:25">
      <c r="A4269" s="133" t="str">
        <f>IF(B4269="","",COUNTA($B$5:B4269))</f>
        <v/>
      </c>
      <c r="B4269" s="148"/>
      <c r="C4269" s="22" t="s">
        <v>49</v>
      </c>
      <c r="D4269" s="149"/>
      <c r="E4269" s="150"/>
      <c r="F4269" s="151"/>
      <c r="G4269" s="151"/>
      <c r="H4269" s="142">
        <f>IFERROR(VLOOKUP($C4269,$C$5:$H$18,6,0)+SUMIF($C$19:$C4269,$C4269,$F$19:$F4269)-SUMIF($C$19:$C4269,$C4269,$G$19:$G4269),"")</f>
        <v>81211.819999998</v>
      </c>
      <c r="I4269" s="147"/>
      <c r="J4269" s="147"/>
      <c r="K4269" s="147" t="str">
        <f t="shared" si="66"/>
        <v/>
      </c>
      <c r="L4269" s="40"/>
      <c r="M4269"/>
      <c r="N4269"/>
      <c r="O4269"/>
      <c r="P4269"/>
      <c r="Q4269"/>
      <c r="R4269"/>
      <c r="S4269"/>
      <c r="T4269"/>
      <c r="U4269"/>
      <c r="V4269"/>
      <c r="W4269" s="41"/>
      <c r="X4269" s="41"/>
      <c r="Y4269" s="41"/>
    </row>
    <row r="4270" s="27" customFormat="1" ht="23" hidden="1" customHeight="1" spans="1:25">
      <c r="A4270" s="133" t="str">
        <f>IF(B4270="","",COUNTA($B$5:B4270))</f>
        <v/>
      </c>
      <c r="B4270" s="148"/>
      <c r="C4270" s="22" t="s">
        <v>49</v>
      </c>
      <c r="D4270" s="149"/>
      <c r="E4270" s="150"/>
      <c r="F4270" s="151"/>
      <c r="G4270" s="151"/>
      <c r="H4270" s="142">
        <f>IFERROR(VLOOKUP($C4270,$C$5:$H$18,6,0)+SUMIF($C$19:$C4270,$C4270,$F$19:$F4270)-SUMIF($C$19:$C4270,$C4270,$G$19:$G4270),"")</f>
        <v>81211.819999998</v>
      </c>
      <c r="I4270" s="147"/>
      <c r="J4270" s="147"/>
      <c r="K4270" s="147" t="str">
        <f t="shared" si="66"/>
        <v/>
      </c>
      <c r="L4270" s="40"/>
      <c r="M4270"/>
      <c r="N4270"/>
      <c r="O4270"/>
      <c r="P4270"/>
      <c r="Q4270"/>
      <c r="R4270"/>
      <c r="S4270"/>
      <c r="T4270"/>
      <c r="U4270"/>
      <c r="V4270"/>
      <c r="W4270" s="41"/>
      <c r="X4270" s="41"/>
      <c r="Y4270" s="41"/>
    </row>
    <row r="4271" s="27" customFormat="1" ht="23" hidden="1" customHeight="1" spans="1:25">
      <c r="A4271" s="133" t="str">
        <f>IF(B4271="","",COUNTA($B$5:B4271))</f>
        <v/>
      </c>
      <c r="B4271" s="148"/>
      <c r="C4271" s="22" t="s">
        <v>49</v>
      </c>
      <c r="D4271" s="149"/>
      <c r="E4271" s="150"/>
      <c r="F4271" s="151"/>
      <c r="G4271" s="151"/>
      <c r="H4271" s="142">
        <f>IFERROR(VLOOKUP($C4271,$C$5:$H$18,6,0)+SUMIF($C$19:$C4271,$C4271,$F$19:$F4271)-SUMIF($C$19:$C4271,$C4271,$G$19:$G4271),"")</f>
        <v>81211.819999998</v>
      </c>
      <c r="I4271" s="147"/>
      <c r="J4271" s="147"/>
      <c r="K4271" s="147" t="str">
        <f t="shared" si="66"/>
        <v/>
      </c>
      <c r="L4271" s="40"/>
      <c r="M4271"/>
      <c r="N4271"/>
      <c r="O4271"/>
      <c r="P4271"/>
      <c r="Q4271"/>
      <c r="R4271"/>
      <c r="S4271"/>
      <c r="T4271"/>
      <c r="U4271"/>
      <c r="V4271"/>
      <c r="W4271" s="41"/>
      <c r="X4271" s="41"/>
      <c r="Y4271" s="41"/>
    </row>
    <row r="4272" s="27" customFormat="1" ht="23" hidden="1" customHeight="1" spans="1:25">
      <c r="A4272" s="133" t="str">
        <f>IF(B4272="","",COUNTA($B$5:B4272))</f>
        <v/>
      </c>
      <c r="B4272" s="148"/>
      <c r="C4272" s="22" t="s">
        <v>49</v>
      </c>
      <c r="D4272" s="149"/>
      <c r="E4272" s="150"/>
      <c r="F4272" s="151"/>
      <c r="G4272" s="151"/>
      <c r="H4272" s="142">
        <f>IFERROR(VLOOKUP($C4272,$C$5:$H$18,6,0)+SUMIF($C$19:$C4272,$C4272,$F$19:$F4272)-SUMIF($C$19:$C4272,$C4272,$G$19:$G4272),"")</f>
        <v>81211.819999998</v>
      </c>
      <c r="I4272" s="147"/>
      <c r="J4272" s="147"/>
      <c r="K4272" s="147" t="str">
        <f t="shared" si="66"/>
        <v/>
      </c>
      <c r="L4272" s="40"/>
      <c r="M4272"/>
      <c r="N4272"/>
      <c r="O4272"/>
      <c r="P4272"/>
      <c r="Q4272"/>
      <c r="R4272"/>
      <c r="S4272"/>
      <c r="T4272"/>
      <c r="U4272"/>
      <c r="V4272"/>
      <c r="W4272" s="41"/>
      <c r="X4272" s="41"/>
      <c r="Y4272" s="41"/>
    </row>
    <row r="4273" s="27" customFormat="1" ht="23" hidden="1" customHeight="1" spans="1:25">
      <c r="A4273" s="133" t="str">
        <f>IF(B4273="","",COUNTA($B$5:B4273))</f>
        <v/>
      </c>
      <c r="B4273" s="148"/>
      <c r="C4273" s="22" t="s">
        <v>49</v>
      </c>
      <c r="D4273" s="149"/>
      <c r="E4273" s="150"/>
      <c r="F4273" s="151"/>
      <c r="G4273" s="151"/>
      <c r="H4273" s="142">
        <f>IFERROR(VLOOKUP($C4273,$C$5:$H$18,6,0)+SUMIF($C$19:$C4273,$C4273,$F$19:$F4273)-SUMIF($C$19:$C4273,$C4273,$G$19:$G4273),"")</f>
        <v>81211.819999998</v>
      </c>
      <c r="I4273" s="147"/>
      <c r="J4273" s="147"/>
      <c r="K4273" s="147" t="str">
        <f t="shared" si="66"/>
        <v/>
      </c>
      <c r="L4273" s="40"/>
      <c r="M4273"/>
      <c r="N4273"/>
      <c r="O4273"/>
      <c r="P4273"/>
      <c r="Q4273"/>
      <c r="R4273"/>
      <c r="S4273"/>
      <c r="T4273"/>
      <c r="U4273"/>
      <c r="V4273"/>
      <c r="W4273" s="41"/>
      <c r="X4273" s="41"/>
      <c r="Y4273" s="41"/>
    </row>
    <row r="4274" s="27" customFormat="1" ht="23" hidden="1" customHeight="1" spans="1:25">
      <c r="A4274" s="133" t="str">
        <f>IF(B4274="","",COUNTA($B$5:B4274))</f>
        <v/>
      </c>
      <c r="B4274" s="148"/>
      <c r="C4274" s="22" t="s">
        <v>49</v>
      </c>
      <c r="D4274" s="149"/>
      <c r="E4274" s="150"/>
      <c r="F4274" s="151"/>
      <c r="G4274" s="151"/>
      <c r="H4274" s="142">
        <f>IFERROR(VLOOKUP($C4274,$C$5:$H$18,6,0)+SUMIF($C$19:$C4274,$C4274,$F$19:$F4274)-SUMIF($C$19:$C4274,$C4274,$G$19:$G4274),"")</f>
        <v>81211.819999998</v>
      </c>
      <c r="I4274" s="147"/>
      <c r="J4274" s="147"/>
      <c r="K4274" s="147" t="str">
        <f t="shared" si="66"/>
        <v/>
      </c>
      <c r="L4274" s="40"/>
      <c r="M4274"/>
      <c r="N4274"/>
      <c r="O4274"/>
      <c r="P4274"/>
      <c r="Q4274"/>
      <c r="R4274"/>
      <c r="S4274"/>
      <c r="T4274"/>
      <c r="U4274"/>
      <c r="V4274"/>
      <c r="W4274" s="41"/>
      <c r="X4274" s="41"/>
      <c r="Y4274" s="41"/>
    </row>
    <row r="4275" s="27" customFormat="1" ht="23" hidden="1" customHeight="1" spans="1:25">
      <c r="A4275" s="133" t="str">
        <f>IF(B4275="","",COUNTA($B$5:B4275))</f>
        <v/>
      </c>
      <c r="B4275" s="148"/>
      <c r="C4275" s="22" t="s">
        <v>49</v>
      </c>
      <c r="D4275" s="149"/>
      <c r="E4275" s="150"/>
      <c r="F4275" s="151"/>
      <c r="G4275" s="151"/>
      <c r="H4275" s="142">
        <f>IFERROR(VLOOKUP($C4275,$C$5:$H$18,6,0)+SUMIF($C$19:$C4275,$C4275,$F$19:$F4275)-SUMIF($C$19:$C4275,$C4275,$G$19:$G4275),"")</f>
        <v>81211.819999998</v>
      </c>
      <c r="I4275" s="147"/>
      <c r="J4275" s="147"/>
      <c r="K4275" s="147" t="str">
        <f t="shared" si="66"/>
        <v/>
      </c>
      <c r="L4275" s="40"/>
      <c r="M4275"/>
      <c r="N4275"/>
      <c r="O4275"/>
      <c r="P4275"/>
      <c r="Q4275"/>
      <c r="R4275"/>
      <c r="S4275"/>
      <c r="T4275"/>
      <c r="U4275"/>
      <c r="V4275"/>
      <c r="W4275" s="41"/>
      <c r="X4275" s="41"/>
      <c r="Y4275" s="41"/>
    </row>
    <row r="4276" s="27" customFormat="1" ht="23" hidden="1" customHeight="1" spans="1:25">
      <c r="A4276" s="133" t="str">
        <f>IF(B4276="","",COUNTA($B$5:B4276))</f>
        <v/>
      </c>
      <c r="B4276" s="148"/>
      <c r="C4276" s="22" t="s">
        <v>49</v>
      </c>
      <c r="D4276" s="149"/>
      <c r="E4276" s="150"/>
      <c r="F4276" s="151"/>
      <c r="G4276" s="151"/>
      <c r="H4276" s="142">
        <f>IFERROR(VLOOKUP($C4276,$C$5:$H$18,6,0)+SUMIF($C$19:$C4276,$C4276,$F$19:$F4276)-SUMIF($C$19:$C4276,$C4276,$G$19:$G4276),"")</f>
        <v>81211.819999998</v>
      </c>
      <c r="I4276" s="147"/>
      <c r="J4276" s="147"/>
      <c r="K4276" s="147" t="str">
        <f t="shared" si="66"/>
        <v/>
      </c>
      <c r="L4276" s="40"/>
      <c r="M4276"/>
      <c r="N4276"/>
      <c r="O4276"/>
      <c r="P4276"/>
      <c r="Q4276"/>
      <c r="R4276"/>
      <c r="S4276"/>
      <c r="T4276"/>
      <c r="U4276"/>
      <c r="V4276"/>
      <c r="W4276" s="41"/>
      <c r="X4276" s="41"/>
      <c r="Y4276" s="41"/>
    </row>
    <row r="4277" s="27" customFormat="1" ht="23" hidden="1" customHeight="1" spans="1:25">
      <c r="A4277" s="133" t="str">
        <f>IF(B4277="","",COUNTA($B$5:B4277))</f>
        <v/>
      </c>
      <c r="B4277" s="148"/>
      <c r="C4277" s="22" t="s">
        <v>49</v>
      </c>
      <c r="D4277" s="149"/>
      <c r="E4277" s="150"/>
      <c r="F4277" s="151"/>
      <c r="G4277" s="151"/>
      <c r="H4277" s="142">
        <f>IFERROR(VLOOKUP($C4277,$C$5:$H$18,6,0)+SUMIF($C$19:$C4277,$C4277,$F$19:$F4277)-SUMIF($C$19:$C4277,$C4277,$G$19:$G4277),"")</f>
        <v>81211.819999998</v>
      </c>
      <c r="I4277" s="147"/>
      <c r="J4277" s="147"/>
      <c r="K4277" s="147" t="str">
        <f t="shared" si="66"/>
        <v/>
      </c>
      <c r="L4277" s="40"/>
      <c r="M4277"/>
      <c r="N4277"/>
      <c r="O4277"/>
      <c r="P4277"/>
      <c r="Q4277"/>
      <c r="R4277"/>
      <c r="S4277"/>
      <c r="T4277"/>
      <c r="U4277"/>
      <c r="V4277"/>
      <c r="W4277" s="41"/>
      <c r="X4277" s="41"/>
      <c r="Y4277" s="41"/>
    </row>
    <row r="4278" s="27" customFormat="1" ht="23" hidden="1" customHeight="1" spans="1:25">
      <c r="A4278" s="133" t="str">
        <f>IF(B4278="","",COUNTA($B$5:B4278))</f>
        <v/>
      </c>
      <c r="B4278" s="148"/>
      <c r="C4278" s="22" t="s">
        <v>49</v>
      </c>
      <c r="D4278" s="149"/>
      <c r="E4278" s="150"/>
      <c r="F4278" s="151"/>
      <c r="G4278" s="151"/>
      <c r="H4278" s="142">
        <f>IFERROR(VLOOKUP($C4278,$C$5:$H$18,6,0)+SUMIF($C$19:$C4278,$C4278,$F$19:$F4278)-SUMIF($C$19:$C4278,$C4278,$G$19:$G4278),"")</f>
        <v>81211.819999998</v>
      </c>
      <c r="I4278" s="147"/>
      <c r="J4278" s="147"/>
      <c r="K4278" s="147" t="str">
        <f t="shared" si="66"/>
        <v/>
      </c>
      <c r="L4278" s="40"/>
      <c r="M4278"/>
      <c r="N4278"/>
      <c r="O4278"/>
      <c r="P4278"/>
      <c r="Q4278"/>
      <c r="R4278"/>
      <c r="S4278"/>
      <c r="T4278"/>
      <c r="U4278"/>
      <c r="V4278"/>
      <c r="W4278" s="41"/>
      <c r="X4278" s="41"/>
      <c r="Y4278" s="41"/>
    </row>
    <row r="4279" s="27" customFormat="1" ht="23" hidden="1" customHeight="1" spans="1:25">
      <c r="A4279" s="133" t="str">
        <f>IF(B4279="","",COUNTA($B$5:B4279))</f>
        <v/>
      </c>
      <c r="B4279" s="148"/>
      <c r="C4279" s="22" t="s">
        <v>49</v>
      </c>
      <c r="D4279" s="149"/>
      <c r="E4279" s="150"/>
      <c r="F4279" s="151"/>
      <c r="G4279" s="151"/>
      <c r="H4279" s="142">
        <f>IFERROR(VLOOKUP($C4279,$C$5:$H$18,6,0)+SUMIF($C$19:$C4279,$C4279,$F$19:$F4279)-SUMIF($C$19:$C4279,$C4279,$G$19:$G4279),"")</f>
        <v>81211.819999998</v>
      </c>
      <c r="I4279" s="147"/>
      <c r="J4279" s="147"/>
      <c r="K4279" s="147" t="str">
        <f t="shared" si="66"/>
        <v/>
      </c>
      <c r="L4279" s="40"/>
      <c r="M4279"/>
      <c r="N4279"/>
      <c r="O4279"/>
      <c r="P4279"/>
      <c r="Q4279"/>
      <c r="R4279"/>
      <c r="S4279"/>
      <c r="T4279"/>
      <c r="U4279"/>
      <c r="V4279"/>
      <c r="W4279" s="41"/>
      <c r="X4279" s="41"/>
      <c r="Y4279" s="41"/>
    </row>
    <row r="4280" s="27" customFormat="1" ht="23" hidden="1" customHeight="1" spans="1:25">
      <c r="A4280" s="133" t="str">
        <f>IF(B4280="","",COUNTA($B$5:B4280))</f>
        <v/>
      </c>
      <c r="B4280" s="148"/>
      <c r="C4280" s="22" t="s">
        <v>49</v>
      </c>
      <c r="D4280" s="149"/>
      <c r="E4280" s="150"/>
      <c r="F4280" s="151"/>
      <c r="G4280" s="151"/>
      <c r="H4280" s="142">
        <f>IFERROR(VLOOKUP($C4280,$C$5:$H$18,6,0)+SUMIF($C$19:$C4280,$C4280,$F$19:$F4280)-SUMIF($C$19:$C4280,$C4280,$G$19:$G4280),"")</f>
        <v>81211.819999998</v>
      </c>
      <c r="I4280" s="147"/>
      <c r="J4280" s="147"/>
      <c r="K4280" s="147" t="str">
        <f t="shared" si="66"/>
        <v/>
      </c>
      <c r="L4280" s="40"/>
      <c r="M4280"/>
      <c r="N4280"/>
      <c r="O4280"/>
      <c r="P4280"/>
      <c r="Q4280"/>
      <c r="R4280"/>
      <c r="S4280"/>
      <c r="T4280"/>
      <c r="U4280"/>
      <c r="V4280"/>
      <c r="W4280" s="41"/>
      <c r="X4280" s="41"/>
      <c r="Y4280" s="41"/>
    </row>
    <row r="4281" s="27" customFormat="1" ht="23" hidden="1" customHeight="1" spans="1:25">
      <c r="A4281" s="133" t="str">
        <f>IF(B4281="","",COUNTA($B$5:B4281))</f>
        <v/>
      </c>
      <c r="B4281" s="148"/>
      <c r="C4281" s="22" t="s">
        <v>49</v>
      </c>
      <c r="D4281" s="149"/>
      <c r="E4281" s="150"/>
      <c r="F4281" s="151"/>
      <c r="G4281" s="151"/>
      <c r="H4281" s="142">
        <f>IFERROR(VLOOKUP($C4281,$C$5:$H$18,6,0)+SUMIF($C$19:$C4281,$C4281,$F$19:$F4281)-SUMIF($C$19:$C4281,$C4281,$G$19:$G4281),"")</f>
        <v>81211.819999998</v>
      </c>
      <c r="I4281" s="147"/>
      <c r="J4281" s="147"/>
      <c r="K4281" s="147" t="str">
        <f t="shared" si="66"/>
        <v/>
      </c>
      <c r="L4281" s="40"/>
      <c r="M4281"/>
      <c r="N4281"/>
      <c r="O4281"/>
      <c r="P4281"/>
      <c r="Q4281"/>
      <c r="R4281"/>
      <c r="S4281"/>
      <c r="T4281"/>
      <c r="U4281"/>
      <c r="V4281"/>
      <c r="W4281" s="41"/>
      <c r="X4281" s="41"/>
      <c r="Y4281" s="41"/>
    </row>
    <row r="4282" s="27" customFormat="1" ht="23" hidden="1" customHeight="1" spans="1:25">
      <c r="A4282" s="133" t="str">
        <f>IF(B4282="","",COUNTA($B$5:B4282))</f>
        <v/>
      </c>
      <c r="B4282" s="148"/>
      <c r="C4282" s="22" t="s">
        <v>49</v>
      </c>
      <c r="D4282" s="149"/>
      <c r="E4282" s="150"/>
      <c r="F4282" s="151"/>
      <c r="G4282" s="151"/>
      <c r="H4282" s="142">
        <f>IFERROR(VLOOKUP($C4282,$C$5:$H$18,6,0)+SUMIF($C$19:$C4282,$C4282,$F$19:$F4282)-SUMIF($C$19:$C4282,$C4282,$G$19:$G4282),"")</f>
        <v>81211.819999998</v>
      </c>
      <c r="I4282" s="147"/>
      <c r="J4282" s="147"/>
      <c r="K4282" s="147" t="str">
        <f t="shared" si="66"/>
        <v/>
      </c>
      <c r="L4282" s="40"/>
      <c r="M4282"/>
      <c r="N4282"/>
      <c r="O4282"/>
      <c r="P4282"/>
      <c r="Q4282"/>
      <c r="R4282"/>
      <c r="S4282"/>
      <c r="T4282"/>
      <c r="U4282"/>
      <c r="V4282"/>
      <c r="W4282" s="41"/>
      <c r="X4282" s="41"/>
      <c r="Y4282" s="41"/>
    </row>
    <row r="4283" s="27" customFormat="1" ht="23" hidden="1" customHeight="1" spans="1:25">
      <c r="A4283" s="133" t="str">
        <f>IF(B4283="","",COUNTA($B$5:B4283))</f>
        <v/>
      </c>
      <c r="B4283" s="148"/>
      <c r="C4283" s="22" t="s">
        <v>49</v>
      </c>
      <c r="D4283" s="149"/>
      <c r="E4283" s="150"/>
      <c r="F4283" s="151"/>
      <c r="G4283" s="151"/>
      <c r="H4283" s="142">
        <f>IFERROR(VLOOKUP($C4283,$C$5:$H$18,6,0)+SUMIF($C$19:$C4283,$C4283,$F$19:$F4283)-SUMIF($C$19:$C4283,$C4283,$G$19:$G4283),"")</f>
        <v>81211.819999998</v>
      </c>
      <c r="I4283" s="147"/>
      <c r="J4283" s="147"/>
      <c r="K4283" s="147" t="str">
        <f t="shared" si="66"/>
        <v/>
      </c>
      <c r="L4283" s="40"/>
      <c r="M4283"/>
      <c r="N4283"/>
      <c r="O4283"/>
      <c r="P4283"/>
      <c r="Q4283"/>
      <c r="R4283"/>
      <c r="S4283"/>
      <c r="T4283"/>
      <c r="U4283"/>
      <c r="V4283"/>
      <c r="W4283" s="41"/>
      <c r="X4283" s="41"/>
      <c r="Y4283" s="41"/>
    </row>
    <row r="4284" s="27" customFormat="1" ht="23" hidden="1" customHeight="1" spans="1:25">
      <c r="A4284" s="133" t="str">
        <f>IF(B4284="","",COUNTA($B$5:B4284))</f>
        <v/>
      </c>
      <c r="B4284" s="148"/>
      <c r="C4284" s="22" t="s">
        <v>49</v>
      </c>
      <c r="D4284" s="149"/>
      <c r="E4284" s="150"/>
      <c r="F4284" s="151"/>
      <c r="G4284" s="151"/>
      <c r="H4284" s="142">
        <f>IFERROR(VLOOKUP($C4284,$C$5:$H$18,6,0)+SUMIF($C$19:$C4284,$C4284,$F$19:$F4284)-SUMIF($C$19:$C4284,$C4284,$G$19:$G4284),"")</f>
        <v>81211.819999998</v>
      </c>
      <c r="I4284" s="147"/>
      <c r="J4284" s="147"/>
      <c r="K4284" s="147" t="str">
        <f t="shared" si="66"/>
        <v/>
      </c>
      <c r="L4284" s="40"/>
      <c r="M4284"/>
      <c r="N4284"/>
      <c r="O4284"/>
      <c r="P4284"/>
      <c r="Q4284"/>
      <c r="R4284"/>
      <c r="S4284"/>
      <c r="T4284"/>
      <c r="U4284"/>
      <c r="V4284"/>
      <c r="W4284" s="41"/>
      <c r="X4284" s="41"/>
      <c r="Y4284" s="41"/>
    </row>
    <row r="4285" s="27" customFormat="1" ht="23" hidden="1" customHeight="1" spans="1:25">
      <c r="A4285" s="133" t="str">
        <f>IF(B4285="","",COUNTA($B$5:B4285))</f>
        <v/>
      </c>
      <c r="B4285" s="148"/>
      <c r="C4285" s="22" t="s">
        <v>49</v>
      </c>
      <c r="D4285" s="149"/>
      <c r="E4285" s="150"/>
      <c r="F4285" s="151"/>
      <c r="G4285" s="151"/>
      <c r="H4285" s="142">
        <f>IFERROR(VLOOKUP($C4285,$C$5:$H$18,6,0)+SUMIF($C$19:$C4285,$C4285,$F$19:$F4285)-SUMIF($C$19:$C4285,$C4285,$G$19:$G4285),"")</f>
        <v>81211.819999998</v>
      </c>
      <c r="I4285" s="147"/>
      <c r="J4285" s="147"/>
      <c r="K4285" s="147" t="str">
        <f t="shared" si="66"/>
        <v/>
      </c>
      <c r="L4285" s="40"/>
      <c r="M4285"/>
      <c r="N4285"/>
      <c r="O4285"/>
      <c r="P4285"/>
      <c r="Q4285"/>
      <c r="R4285"/>
      <c r="S4285"/>
      <c r="T4285"/>
      <c r="U4285"/>
      <c r="V4285"/>
      <c r="W4285" s="41"/>
      <c r="X4285" s="41"/>
      <c r="Y4285" s="41"/>
    </row>
    <row r="4286" s="27" customFormat="1" ht="23" hidden="1" customHeight="1" spans="1:25">
      <c r="A4286" s="133" t="str">
        <f>IF(B4286="","",COUNTA($B$5:B4286))</f>
        <v/>
      </c>
      <c r="B4286" s="148"/>
      <c r="C4286" s="22" t="s">
        <v>49</v>
      </c>
      <c r="D4286" s="149"/>
      <c r="E4286" s="150"/>
      <c r="F4286" s="151"/>
      <c r="G4286" s="151"/>
      <c r="H4286" s="142">
        <f>IFERROR(VLOOKUP($C4286,$C$5:$H$18,6,0)+SUMIF($C$19:$C4286,$C4286,$F$19:$F4286)-SUMIF($C$19:$C4286,$C4286,$G$19:$G4286),"")</f>
        <v>81211.819999998</v>
      </c>
      <c r="I4286" s="147"/>
      <c r="J4286" s="147"/>
      <c r="K4286" s="147" t="str">
        <f t="shared" si="66"/>
        <v/>
      </c>
      <c r="L4286" s="40"/>
      <c r="M4286"/>
      <c r="N4286"/>
      <c r="O4286"/>
      <c r="P4286"/>
      <c r="Q4286"/>
      <c r="R4286"/>
      <c r="S4286"/>
      <c r="T4286"/>
      <c r="U4286"/>
      <c r="V4286"/>
      <c r="W4286" s="41"/>
      <c r="X4286" s="41"/>
      <c r="Y4286" s="41"/>
    </row>
    <row r="4287" s="27" customFormat="1" ht="23" hidden="1" customHeight="1" spans="1:25">
      <c r="A4287" s="133" t="str">
        <f>IF(B4287="","",COUNTA($B$5:B4287))</f>
        <v/>
      </c>
      <c r="B4287" s="148"/>
      <c r="C4287" s="22" t="s">
        <v>49</v>
      </c>
      <c r="D4287" s="149"/>
      <c r="E4287" s="150"/>
      <c r="F4287" s="151"/>
      <c r="G4287" s="151"/>
      <c r="H4287" s="142">
        <f>IFERROR(VLOOKUP($C4287,$C$5:$H$18,6,0)+SUMIF($C$19:$C4287,$C4287,$F$19:$F4287)-SUMIF($C$19:$C4287,$C4287,$G$19:$G4287),"")</f>
        <v>81211.819999998</v>
      </c>
      <c r="I4287" s="147"/>
      <c r="J4287" s="147"/>
      <c r="K4287" s="147" t="str">
        <f t="shared" si="66"/>
        <v/>
      </c>
      <c r="L4287" s="40"/>
      <c r="M4287"/>
      <c r="N4287"/>
      <c r="O4287"/>
      <c r="P4287"/>
      <c r="Q4287"/>
      <c r="R4287"/>
      <c r="S4287"/>
      <c r="T4287"/>
      <c r="U4287"/>
      <c r="V4287"/>
      <c r="W4287" s="41"/>
      <c r="X4287" s="41"/>
      <c r="Y4287" s="41"/>
    </row>
    <row r="4288" s="27" customFormat="1" ht="23" hidden="1" customHeight="1" spans="1:25">
      <c r="A4288" s="133" t="str">
        <f>IF(B4288="","",COUNTA($B$5:B4288))</f>
        <v/>
      </c>
      <c r="B4288" s="148"/>
      <c r="C4288" s="22" t="s">
        <v>49</v>
      </c>
      <c r="D4288" s="149"/>
      <c r="E4288" s="150"/>
      <c r="F4288" s="151"/>
      <c r="G4288" s="151"/>
      <c r="H4288" s="142">
        <f>IFERROR(VLOOKUP($C4288,$C$5:$H$18,6,0)+SUMIF($C$19:$C4288,$C4288,$F$19:$F4288)-SUMIF($C$19:$C4288,$C4288,$G$19:$G4288),"")</f>
        <v>81211.819999998</v>
      </c>
      <c r="I4288" s="147"/>
      <c r="J4288" s="147"/>
      <c r="K4288" s="147" t="str">
        <f t="shared" si="66"/>
        <v/>
      </c>
      <c r="L4288" s="40"/>
      <c r="M4288"/>
      <c r="N4288"/>
      <c r="O4288"/>
      <c r="P4288"/>
      <c r="Q4288"/>
      <c r="R4288"/>
      <c r="S4288"/>
      <c r="T4288"/>
      <c r="U4288"/>
      <c r="V4288"/>
      <c r="W4288" s="41"/>
      <c r="X4288" s="41"/>
      <c r="Y4288" s="41"/>
    </row>
    <row r="4289" s="27" customFormat="1" ht="23" hidden="1" customHeight="1" spans="1:25">
      <c r="A4289" s="133" t="str">
        <f>IF(B4289="","",COUNTA($B$5:B4289))</f>
        <v/>
      </c>
      <c r="B4289" s="148"/>
      <c r="C4289" s="22" t="s">
        <v>49</v>
      </c>
      <c r="D4289" s="149"/>
      <c r="E4289" s="150"/>
      <c r="F4289" s="151"/>
      <c r="G4289" s="151"/>
      <c r="H4289" s="142">
        <f>IFERROR(VLOOKUP($C4289,$C$5:$H$18,6,0)+SUMIF($C$19:$C4289,$C4289,$F$19:$F4289)-SUMIF($C$19:$C4289,$C4289,$G$19:$G4289),"")</f>
        <v>81211.819999998</v>
      </c>
      <c r="I4289" s="147"/>
      <c r="J4289" s="147"/>
      <c r="K4289" s="147" t="str">
        <f t="shared" si="66"/>
        <v/>
      </c>
      <c r="L4289" s="40"/>
      <c r="M4289"/>
      <c r="N4289"/>
      <c r="O4289"/>
      <c r="P4289"/>
      <c r="Q4289"/>
      <c r="R4289"/>
      <c r="S4289"/>
      <c r="T4289"/>
      <c r="U4289"/>
      <c r="V4289"/>
      <c r="W4289" s="41"/>
      <c r="X4289" s="41"/>
      <c r="Y4289" s="41"/>
    </row>
    <row r="4290" s="27" customFormat="1" ht="23" hidden="1" customHeight="1" spans="1:25">
      <c r="A4290" s="133" t="str">
        <f>IF(B4290="","",COUNTA($B$5:B4290))</f>
        <v/>
      </c>
      <c r="B4290" s="148"/>
      <c r="C4290" s="22" t="s">
        <v>49</v>
      </c>
      <c r="D4290" s="149"/>
      <c r="E4290" s="150"/>
      <c r="F4290" s="151"/>
      <c r="G4290" s="151"/>
      <c r="H4290" s="142">
        <f>IFERROR(VLOOKUP($C4290,$C$5:$H$18,6,0)+SUMIF($C$19:$C4290,$C4290,$F$19:$F4290)-SUMIF($C$19:$C4290,$C4290,$G$19:$G4290),"")</f>
        <v>81211.819999998</v>
      </c>
      <c r="I4290" s="147"/>
      <c r="J4290" s="147"/>
      <c r="K4290" s="147" t="str">
        <f t="shared" si="66"/>
        <v/>
      </c>
      <c r="L4290" s="40"/>
      <c r="M4290"/>
      <c r="N4290"/>
      <c r="O4290"/>
      <c r="P4290"/>
      <c r="Q4290"/>
      <c r="R4290"/>
      <c r="S4290"/>
      <c r="T4290"/>
      <c r="U4290"/>
      <c r="V4290"/>
      <c r="W4290" s="41"/>
      <c r="X4290" s="41"/>
      <c r="Y4290" s="41"/>
    </row>
    <row r="4291" s="27" customFormat="1" ht="23" hidden="1" customHeight="1" spans="1:25">
      <c r="A4291" s="133" t="str">
        <f>IF(B4291="","",COUNTA($B$5:B4291))</f>
        <v/>
      </c>
      <c r="B4291" s="148"/>
      <c r="C4291" s="22" t="s">
        <v>49</v>
      </c>
      <c r="D4291" s="149"/>
      <c r="E4291" s="150"/>
      <c r="F4291" s="151"/>
      <c r="G4291" s="151"/>
      <c r="H4291" s="142">
        <f>IFERROR(VLOOKUP($C4291,$C$5:$H$18,6,0)+SUMIF($C$19:$C4291,$C4291,$F$19:$F4291)-SUMIF($C$19:$C4291,$C4291,$G$19:$G4291),"")</f>
        <v>81211.819999998</v>
      </c>
      <c r="I4291" s="147"/>
      <c r="J4291" s="147"/>
      <c r="K4291" s="147" t="str">
        <f t="shared" si="66"/>
        <v/>
      </c>
      <c r="L4291" s="40"/>
      <c r="M4291"/>
      <c r="N4291"/>
      <c r="O4291"/>
      <c r="P4291"/>
      <c r="Q4291"/>
      <c r="R4291"/>
      <c r="S4291"/>
      <c r="T4291"/>
      <c r="U4291"/>
      <c r="V4291"/>
      <c r="W4291" s="41"/>
      <c r="X4291" s="41"/>
      <c r="Y4291" s="41"/>
    </row>
    <row r="4292" s="27" customFormat="1" ht="23" hidden="1" customHeight="1" spans="1:25">
      <c r="A4292" s="133" t="str">
        <f>IF(B4292="","",COUNTA($B$5:B4292))</f>
        <v/>
      </c>
      <c r="B4292" s="148"/>
      <c r="C4292" s="22" t="s">
        <v>49</v>
      </c>
      <c r="D4292" s="149"/>
      <c r="E4292" s="150"/>
      <c r="F4292" s="151"/>
      <c r="G4292" s="151"/>
      <c r="H4292" s="142">
        <f>IFERROR(VLOOKUP($C4292,$C$5:$H$18,6,0)+SUMIF($C$19:$C4292,$C4292,$F$19:$F4292)-SUMIF($C$19:$C4292,$C4292,$G$19:$G4292),"")</f>
        <v>81211.819999998</v>
      </c>
      <c r="I4292" s="147"/>
      <c r="J4292" s="147"/>
      <c r="K4292" s="147" t="str">
        <f t="shared" si="66"/>
        <v/>
      </c>
      <c r="L4292" s="40"/>
      <c r="M4292"/>
      <c r="N4292"/>
      <c r="O4292"/>
      <c r="P4292"/>
      <c r="Q4292"/>
      <c r="R4292"/>
      <c r="S4292"/>
      <c r="T4292"/>
      <c r="U4292"/>
      <c r="V4292"/>
      <c r="W4292" s="41"/>
      <c r="X4292" s="41"/>
      <c r="Y4292" s="41"/>
    </row>
    <row r="4293" s="27" customFormat="1" ht="23" hidden="1" customHeight="1" spans="1:25">
      <c r="A4293" s="133" t="str">
        <f>IF(B4293="","",COUNTA($B$5:B4293))</f>
        <v/>
      </c>
      <c r="B4293" s="148"/>
      <c r="C4293" s="22" t="s">
        <v>49</v>
      </c>
      <c r="D4293" s="149"/>
      <c r="E4293" s="150"/>
      <c r="F4293" s="151"/>
      <c r="G4293" s="151"/>
      <c r="H4293" s="142">
        <f>IFERROR(VLOOKUP($C4293,$C$5:$H$18,6,0)+SUMIF($C$19:$C4293,$C4293,$F$19:$F4293)-SUMIF($C$19:$C4293,$C4293,$G$19:$G4293),"")</f>
        <v>81211.819999998</v>
      </c>
      <c r="I4293" s="147"/>
      <c r="J4293" s="147"/>
      <c r="K4293" s="147" t="str">
        <f t="shared" ref="K4293:K4356" si="67">IF($B4293="","",--TEXT($B4293,"yyyymm"))</f>
        <v/>
      </c>
      <c r="L4293" s="40"/>
      <c r="M4293"/>
      <c r="N4293"/>
      <c r="O4293"/>
      <c r="P4293"/>
      <c r="Q4293"/>
      <c r="R4293"/>
      <c r="S4293"/>
      <c r="T4293"/>
      <c r="U4293"/>
      <c r="V4293"/>
      <c r="W4293" s="41"/>
      <c r="X4293" s="41"/>
      <c r="Y4293" s="41"/>
    </row>
    <row r="4294" s="27" customFormat="1" ht="23" hidden="1" customHeight="1" spans="1:25">
      <c r="A4294" s="133" t="str">
        <f>IF(B4294="","",COUNTA($B$5:B4294))</f>
        <v/>
      </c>
      <c r="B4294" s="148"/>
      <c r="C4294" s="22" t="s">
        <v>49</v>
      </c>
      <c r="D4294" s="149"/>
      <c r="E4294" s="150"/>
      <c r="F4294" s="151"/>
      <c r="G4294" s="151"/>
      <c r="H4294" s="142">
        <f>IFERROR(VLOOKUP($C4294,$C$5:$H$18,6,0)+SUMIF($C$19:$C4294,$C4294,$F$19:$F4294)-SUMIF($C$19:$C4294,$C4294,$G$19:$G4294),"")</f>
        <v>81211.819999998</v>
      </c>
      <c r="I4294" s="147"/>
      <c r="J4294" s="147"/>
      <c r="K4294" s="147" t="str">
        <f t="shared" si="67"/>
        <v/>
      </c>
      <c r="L4294" s="40"/>
      <c r="M4294"/>
      <c r="N4294"/>
      <c r="O4294"/>
      <c r="P4294"/>
      <c r="Q4294"/>
      <c r="R4294"/>
      <c r="S4294"/>
      <c r="T4294"/>
      <c r="U4294"/>
      <c r="V4294"/>
      <c r="W4294" s="41"/>
      <c r="X4294" s="41"/>
      <c r="Y4294" s="41"/>
    </row>
    <row r="4295" s="27" customFormat="1" ht="23" hidden="1" customHeight="1" spans="1:25">
      <c r="A4295" s="133" t="str">
        <f>IF(B4295="","",COUNTA($B$5:B4295))</f>
        <v/>
      </c>
      <c r="B4295" s="148"/>
      <c r="C4295" s="22" t="s">
        <v>49</v>
      </c>
      <c r="D4295" s="149"/>
      <c r="E4295" s="150"/>
      <c r="F4295" s="151"/>
      <c r="G4295" s="151"/>
      <c r="H4295" s="142">
        <f>IFERROR(VLOOKUP($C4295,$C$5:$H$18,6,0)+SUMIF($C$19:$C4295,$C4295,$F$19:$F4295)-SUMIF($C$19:$C4295,$C4295,$G$19:$G4295),"")</f>
        <v>81211.819999998</v>
      </c>
      <c r="I4295" s="147"/>
      <c r="J4295" s="147"/>
      <c r="K4295" s="147" t="str">
        <f t="shared" si="67"/>
        <v/>
      </c>
      <c r="L4295" s="40"/>
      <c r="M4295"/>
      <c r="N4295"/>
      <c r="O4295"/>
      <c r="P4295"/>
      <c r="Q4295"/>
      <c r="R4295"/>
      <c r="S4295"/>
      <c r="T4295"/>
      <c r="U4295"/>
      <c r="V4295"/>
      <c r="W4295" s="41"/>
      <c r="X4295" s="41"/>
      <c r="Y4295" s="41"/>
    </row>
    <row r="4296" s="27" customFormat="1" ht="23" hidden="1" customHeight="1" spans="1:25">
      <c r="A4296" s="133" t="str">
        <f>IF(B4296="","",COUNTA($B$5:B4296))</f>
        <v/>
      </c>
      <c r="B4296" s="148"/>
      <c r="C4296" s="22" t="s">
        <v>49</v>
      </c>
      <c r="D4296" s="149"/>
      <c r="E4296" s="150"/>
      <c r="F4296" s="151"/>
      <c r="G4296" s="151"/>
      <c r="H4296" s="142">
        <f>IFERROR(VLOOKUP($C4296,$C$5:$H$18,6,0)+SUMIF($C$19:$C4296,$C4296,$F$19:$F4296)-SUMIF($C$19:$C4296,$C4296,$G$19:$G4296),"")</f>
        <v>81211.819999998</v>
      </c>
      <c r="I4296" s="147"/>
      <c r="J4296" s="147"/>
      <c r="K4296" s="147" t="str">
        <f t="shared" si="67"/>
        <v/>
      </c>
      <c r="L4296" s="40"/>
      <c r="M4296"/>
      <c r="N4296"/>
      <c r="O4296"/>
      <c r="P4296"/>
      <c r="Q4296"/>
      <c r="R4296"/>
      <c r="S4296"/>
      <c r="T4296"/>
      <c r="U4296"/>
      <c r="V4296"/>
      <c r="W4296" s="41"/>
      <c r="X4296" s="41"/>
      <c r="Y4296" s="41"/>
    </row>
    <row r="4297" s="27" customFormat="1" ht="23" hidden="1" customHeight="1" spans="1:25">
      <c r="A4297" s="133" t="str">
        <f>IF(B4297="","",COUNTA($B$5:B4297))</f>
        <v/>
      </c>
      <c r="B4297" s="148"/>
      <c r="C4297" s="22" t="s">
        <v>49</v>
      </c>
      <c r="D4297" s="149"/>
      <c r="E4297" s="150"/>
      <c r="F4297" s="151"/>
      <c r="G4297" s="151"/>
      <c r="H4297" s="142">
        <f>IFERROR(VLOOKUP($C4297,$C$5:$H$18,6,0)+SUMIF($C$19:$C4297,$C4297,$F$19:$F4297)-SUMIF($C$19:$C4297,$C4297,$G$19:$G4297),"")</f>
        <v>81211.819999998</v>
      </c>
      <c r="I4297" s="147"/>
      <c r="J4297" s="147"/>
      <c r="K4297" s="147" t="str">
        <f t="shared" si="67"/>
        <v/>
      </c>
      <c r="L4297" s="40"/>
      <c r="M4297"/>
      <c r="N4297"/>
      <c r="O4297"/>
      <c r="P4297"/>
      <c r="Q4297"/>
      <c r="R4297"/>
      <c r="S4297"/>
      <c r="T4297"/>
      <c r="U4297"/>
      <c r="V4297"/>
      <c r="W4297" s="41"/>
      <c r="X4297" s="41"/>
      <c r="Y4297" s="41"/>
    </row>
    <row r="4298" s="27" customFormat="1" ht="23" hidden="1" customHeight="1" spans="1:25">
      <c r="A4298" s="133" t="str">
        <f>IF(B4298="","",COUNTA($B$5:B4298))</f>
        <v/>
      </c>
      <c r="B4298" s="148"/>
      <c r="C4298" s="22" t="s">
        <v>49</v>
      </c>
      <c r="D4298" s="149"/>
      <c r="E4298" s="150"/>
      <c r="F4298" s="151"/>
      <c r="G4298" s="151"/>
      <c r="H4298" s="142">
        <f>IFERROR(VLOOKUP($C4298,$C$5:$H$18,6,0)+SUMIF($C$19:$C4298,$C4298,$F$19:$F4298)-SUMIF($C$19:$C4298,$C4298,$G$19:$G4298),"")</f>
        <v>81211.819999998</v>
      </c>
      <c r="I4298" s="147"/>
      <c r="J4298" s="147"/>
      <c r="K4298" s="147" t="str">
        <f t="shared" si="67"/>
        <v/>
      </c>
      <c r="L4298" s="40"/>
      <c r="M4298"/>
      <c r="N4298"/>
      <c r="O4298"/>
      <c r="P4298"/>
      <c r="Q4298"/>
      <c r="R4298"/>
      <c r="S4298"/>
      <c r="T4298"/>
      <c r="U4298"/>
      <c r="V4298"/>
      <c r="W4298" s="41"/>
      <c r="X4298" s="41"/>
      <c r="Y4298" s="41"/>
    </row>
    <row r="4299" s="27" customFormat="1" ht="23" hidden="1" customHeight="1" spans="1:25">
      <c r="A4299" s="133" t="str">
        <f>IF(B4299="","",COUNTA($B$5:B4299))</f>
        <v/>
      </c>
      <c r="B4299" s="148"/>
      <c r="C4299" s="22" t="s">
        <v>49</v>
      </c>
      <c r="D4299" s="149"/>
      <c r="E4299" s="150"/>
      <c r="F4299" s="151"/>
      <c r="G4299" s="151"/>
      <c r="H4299" s="142">
        <f>IFERROR(VLOOKUP($C4299,$C$5:$H$18,6,0)+SUMIF($C$19:$C4299,$C4299,$F$19:$F4299)-SUMIF($C$19:$C4299,$C4299,$G$19:$G4299),"")</f>
        <v>81211.819999998</v>
      </c>
      <c r="I4299" s="147"/>
      <c r="J4299" s="147"/>
      <c r="K4299" s="147" t="str">
        <f t="shared" si="67"/>
        <v/>
      </c>
      <c r="L4299" s="40"/>
      <c r="M4299"/>
      <c r="N4299"/>
      <c r="O4299"/>
      <c r="P4299"/>
      <c r="Q4299"/>
      <c r="R4299"/>
      <c r="S4299"/>
      <c r="T4299"/>
      <c r="U4299"/>
      <c r="V4299"/>
      <c r="W4299" s="41"/>
      <c r="X4299" s="41"/>
      <c r="Y4299" s="41"/>
    </row>
    <row r="4300" s="27" customFormat="1" ht="23" hidden="1" customHeight="1" spans="1:25">
      <c r="A4300" s="133" t="str">
        <f>IF(B4300="","",COUNTA($B$5:B4300))</f>
        <v/>
      </c>
      <c r="B4300" s="148"/>
      <c r="C4300" s="22" t="s">
        <v>49</v>
      </c>
      <c r="D4300" s="149"/>
      <c r="E4300" s="150"/>
      <c r="F4300" s="151"/>
      <c r="G4300" s="151"/>
      <c r="H4300" s="142">
        <f>IFERROR(VLOOKUP($C4300,$C$5:$H$18,6,0)+SUMIF($C$19:$C4300,$C4300,$F$19:$F4300)-SUMIF($C$19:$C4300,$C4300,$G$19:$G4300),"")</f>
        <v>81211.819999998</v>
      </c>
      <c r="I4300" s="147"/>
      <c r="J4300" s="147"/>
      <c r="K4300" s="147" t="str">
        <f t="shared" si="67"/>
        <v/>
      </c>
      <c r="L4300" s="40"/>
      <c r="M4300"/>
      <c r="N4300"/>
      <c r="O4300"/>
      <c r="P4300"/>
      <c r="Q4300"/>
      <c r="R4300"/>
      <c r="S4300"/>
      <c r="T4300"/>
      <c r="U4300"/>
      <c r="V4300"/>
      <c r="W4300" s="41"/>
      <c r="X4300" s="41"/>
      <c r="Y4300" s="41"/>
    </row>
    <row r="4301" s="27" customFormat="1" ht="23" hidden="1" customHeight="1" spans="1:25">
      <c r="A4301" s="133" t="str">
        <f>IF(B4301="","",COUNTA($B$5:B4301))</f>
        <v/>
      </c>
      <c r="B4301" s="148"/>
      <c r="C4301" s="22" t="s">
        <v>49</v>
      </c>
      <c r="D4301" s="149"/>
      <c r="E4301" s="150"/>
      <c r="F4301" s="151"/>
      <c r="G4301" s="151"/>
      <c r="H4301" s="142">
        <f>IFERROR(VLOOKUP($C4301,$C$5:$H$18,6,0)+SUMIF($C$19:$C4301,$C4301,$F$19:$F4301)-SUMIF($C$19:$C4301,$C4301,$G$19:$G4301),"")</f>
        <v>81211.819999998</v>
      </c>
      <c r="I4301" s="147"/>
      <c r="J4301" s="147"/>
      <c r="K4301" s="147" t="str">
        <f t="shared" si="67"/>
        <v/>
      </c>
      <c r="L4301" s="40"/>
      <c r="M4301"/>
      <c r="N4301"/>
      <c r="O4301"/>
      <c r="P4301"/>
      <c r="Q4301"/>
      <c r="R4301"/>
      <c r="S4301"/>
      <c r="T4301"/>
      <c r="U4301"/>
      <c r="V4301"/>
      <c r="W4301" s="41"/>
      <c r="X4301" s="41"/>
      <c r="Y4301" s="41"/>
    </row>
    <row r="4302" s="27" customFormat="1" ht="23" hidden="1" customHeight="1" spans="1:25">
      <c r="A4302" s="133" t="str">
        <f>IF(B4302="","",COUNTA($B$5:B4302))</f>
        <v/>
      </c>
      <c r="B4302" s="148"/>
      <c r="C4302" s="22" t="s">
        <v>49</v>
      </c>
      <c r="D4302" s="149"/>
      <c r="E4302" s="150"/>
      <c r="F4302" s="151"/>
      <c r="G4302" s="151"/>
      <c r="H4302" s="142">
        <f>IFERROR(VLOOKUP($C4302,$C$5:$H$18,6,0)+SUMIF($C$19:$C4302,$C4302,$F$19:$F4302)-SUMIF($C$19:$C4302,$C4302,$G$19:$G4302),"")</f>
        <v>81211.819999998</v>
      </c>
      <c r="I4302" s="147"/>
      <c r="J4302" s="147"/>
      <c r="K4302" s="147" t="str">
        <f t="shared" si="67"/>
        <v/>
      </c>
      <c r="L4302" s="40"/>
      <c r="M4302"/>
      <c r="N4302"/>
      <c r="O4302"/>
      <c r="P4302"/>
      <c r="Q4302"/>
      <c r="R4302"/>
      <c r="S4302"/>
      <c r="T4302"/>
      <c r="U4302"/>
      <c r="V4302"/>
      <c r="W4302" s="41"/>
      <c r="X4302" s="41"/>
      <c r="Y4302" s="41"/>
    </row>
    <row r="4303" s="27" customFormat="1" ht="23" hidden="1" customHeight="1" spans="1:25">
      <c r="A4303" s="133" t="str">
        <f>IF(B4303="","",COUNTA($B$5:B4303))</f>
        <v/>
      </c>
      <c r="B4303" s="148"/>
      <c r="C4303" s="22" t="s">
        <v>49</v>
      </c>
      <c r="D4303" s="149"/>
      <c r="E4303" s="150"/>
      <c r="F4303" s="151"/>
      <c r="G4303" s="151"/>
      <c r="H4303" s="142">
        <f>IFERROR(VLOOKUP($C4303,$C$5:$H$18,6,0)+SUMIF($C$19:$C4303,$C4303,$F$19:$F4303)-SUMIF($C$19:$C4303,$C4303,$G$19:$G4303),"")</f>
        <v>81211.819999998</v>
      </c>
      <c r="I4303" s="147"/>
      <c r="J4303" s="147"/>
      <c r="K4303" s="147" t="str">
        <f t="shared" si="67"/>
        <v/>
      </c>
      <c r="L4303" s="40"/>
      <c r="M4303"/>
      <c r="N4303"/>
      <c r="O4303"/>
      <c r="P4303"/>
      <c r="Q4303"/>
      <c r="R4303"/>
      <c r="S4303"/>
      <c r="T4303"/>
      <c r="U4303"/>
      <c r="V4303"/>
      <c r="W4303" s="41"/>
      <c r="X4303" s="41"/>
      <c r="Y4303" s="41"/>
    </row>
    <row r="4304" s="27" customFormat="1" ht="23" hidden="1" customHeight="1" spans="1:25">
      <c r="A4304" s="133" t="str">
        <f>IF(B4304="","",COUNTA($B$5:B4304))</f>
        <v/>
      </c>
      <c r="B4304" s="148"/>
      <c r="C4304" s="22" t="s">
        <v>49</v>
      </c>
      <c r="D4304" s="149"/>
      <c r="E4304" s="150"/>
      <c r="F4304" s="151"/>
      <c r="G4304" s="151"/>
      <c r="H4304" s="142">
        <f>IFERROR(VLOOKUP($C4304,$C$5:$H$18,6,0)+SUMIF($C$19:$C4304,$C4304,$F$19:$F4304)-SUMIF($C$19:$C4304,$C4304,$G$19:$G4304),"")</f>
        <v>81211.819999998</v>
      </c>
      <c r="I4304" s="147"/>
      <c r="J4304" s="147"/>
      <c r="K4304" s="147" t="str">
        <f t="shared" si="67"/>
        <v/>
      </c>
      <c r="L4304" s="40"/>
      <c r="M4304"/>
      <c r="N4304"/>
      <c r="O4304"/>
      <c r="P4304"/>
      <c r="Q4304"/>
      <c r="R4304"/>
      <c r="S4304"/>
      <c r="T4304"/>
      <c r="U4304"/>
      <c r="V4304"/>
      <c r="W4304" s="41"/>
      <c r="X4304" s="41"/>
      <c r="Y4304" s="41"/>
    </row>
    <row r="4305" s="27" customFormat="1" ht="23" hidden="1" customHeight="1" spans="1:25">
      <c r="A4305" s="133" t="str">
        <f>IF(B4305="","",COUNTA($B$5:B4305))</f>
        <v/>
      </c>
      <c r="B4305" s="148"/>
      <c r="C4305" s="22" t="s">
        <v>49</v>
      </c>
      <c r="D4305" s="149"/>
      <c r="E4305" s="150"/>
      <c r="F4305" s="151"/>
      <c r="G4305" s="151"/>
      <c r="H4305" s="142">
        <f>IFERROR(VLOOKUP($C4305,$C$5:$H$18,6,0)+SUMIF($C$19:$C4305,$C4305,$F$19:$F4305)-SUMIF($C$19:$C4305,$C4305,$G$19:$G4305),"")</f>
        <v>81211.819999998</v>
      </c>
      <c r="I4305" s="147"/>
      <c r="J4305" s="147"/>
      <c r="K4305" s="147" t="str">
        <f t="shared" si="67"/>
        <v/>
      </c>
      <c r="L4305" s="40"/>
      <c r="M4305"/>
      <c r="N4305"/>
      <c r="O4305"/>
      <c r="P4305"/>
      <c r="Q4305"/>
      <c r="R4305"/>
      <c r="S4305"/>
      <c r="T4305"/>
      <c r="U4305"/>
      <c r="V4305"/>
      <c r="W4305" s="41"/>
      <c r="X4305" s="41"/>
      <c r="Y4305" s="41"/>
    </row>
    <row r="4306" s="27" customFormat="1" ht="23" hidden="1" customHeight="1" spans="1:25">
      <c r="A4306" s="133" t="str">
        <f>IF(B4306="","",COUNTA($B$5:B4306))</f>
        <v/>
      </c>
      <c r="B4306" s="148"/>
      <c r="C4306" s="22" t="s">
        <v>49</v>
      </c>
      <c r="D4306" s="149"/>
      <c r="E4306" s="150"/>
      <c r="F4306" s="151"/>
      <c r="G4306" s="151"/>
      <c r="H4306" s="142">
        <f>IFERROR(VLOOKUP($C4306,$C$5:$H$18,6,0)+SUMIF($C$19:$C4306,$C4306,$F$19:$F4306)-SUMIF($C$19:$C4306,$C4306,$G$19:$G4306),"")</f>
        <v>81211.819999998</v>
      </c>
      <c r="I4306" s="147"/>
      <c r="J4306" s="147"/>
      <c r="K4306" s="147" t="str">
        <f t="shared" si="67"/>
        <v/>
      </c>
      <c r="L4306" s="40"/>
      <c r="M4306"/>
      <c r="N4306"/>
      <c r="O4306"/>
      <c r="P4306"/>
      <c r="Q4306"/>
      <c r="R4306"/>
      <c r="S4306"/>
      <c r="T4306"/>
      <c r="U4306"/>
      <c r="V4306"/>
      <c r="W4306" s="41"/>
      <c r="X4306" s="41"/>
      <c r="Y4306" s="41"/>
    </row>
    <row r="4307" s="27" customFormat="1" ht="23" hidden="1" customHeight="1" spans="1:25">
      <c r="A4307" s="133" t="str">
        <f>IF(B4307="","",COUNTA($B$5:B4307))</f>
        <v/>
      </c>
      <c r="B4307" s="148"/>
      <c r="C4307" s="22" t="s">
        <v>49</v>
      </c>
      <c r="D4307" s="149"/>
      <c r="E4307" s="150"/>
      <c r="F4307" s="151"/>
      <c r="G4307" s="151"/>
      <c r="H4307" s="142">
        <f>IFERROR(VLOOKUP($C4307,$C$5:$H$18,6,0)+SUMIF($C$19:$C4307,$C4307,$F$19:$F4307)-SUMIF($C$19:$C4307,$C4307,$G$19:$G4307),"")</f>
        <v>81211.819999998</v>
      </c>
      <c r="I4307" s="147"/>
      <c r="J4307" s="147"/>
      <c r="K4307" s="147" t="str">
        <f t="shared" si="67"/>
        <v/>
      </c>
      <c r="L4307" s="40"/>
      <c r="M4307"/>
      <c r="N4307"/>
      <c r="O4307"/>
      <c r="P4307"/>
      <c r="Q4307"/>
      <c r="R4307"/>
      <c r="S4307"/>
      <c r="T4307"/>
      <c r="U4307"/>
      <c r="V4307"/>
      <c r="W4307" s="41"/>
      <c r="X4307" s="41"/>
      <c r="Y4307" s="41"/>
    </row>
    <row r="4308" s="27" customFormat="1" ht="23" hidden="1" customHeight="1" spans="1:25">
      <c r="A4308" s="133" t="str">
        <f>IF(B4308="","",COUNTA($B$5:B4308))</f>
        <v/>
      </c>
      <c r="B4308" s="148"/>
      <c r="C4308" s="22" t="s">
        <v>49</v>
      </c>
      <c r="D4308" s="149"/>
      <c r="E4308" s="150"/>
      <c r="F4308" s="151"/>
      <c r="G4308" s="151"/>
      <c r="H4308" s="142">
        <f>IFERROR(VLOOKUP($C4308,$C$5:$H$18,6,0)+SUMIF($C$19:$C4308,$C4308,$F$19:$F4308)-SUMIF($C$19:$C4308,$C4308,$G$19:$G4308),"")</f>
        <v>81211.819999998</v>
      </c>
      <c r="I4308" s="147"/>
      <c r="J4308" s="147"/>
      <c r="K4308" s="147" t="str">
        <f t="shared" si="67"/>
        <v/>
      </c>
      <c r="L4308" s="40"/>
      <c r="M4308"/>
      <c r="N4308"/>
      <c r="O4308"/>
      <c r="P4308"/>
      <c r="Q4308"/>
      <c r="R4308"/>
      <c r="S4308"/>
      <c r="T4308"/>
      <c r="U4308"/>
      <c r="V4308"/>
      <c r="W4308" s="41"/>
      <c r="X4308" s="41"/>
      <c r="Y4308" s="41"/>
    </row>
    <row r="4309" s="27" customFormat="1" ht="23" hidden="1" customHeight="1" spans="1:25">
      <c r="A4309" s="133" t="str">
        <f>IF(B4309="","",COUNTA($B$5:B4309))</f>
        <v/>
      </c>
      <c r="B4309" s="148"/>
      <c r="C4309" s="22" t="s">
        <v>49</v>
      </c>
      <c r="D4309" s="149"/>
      <c r="E4309" s="150"/>
      <c r="F4309" s="151"/>
      <c r="G4309" s="151"/>
      <c r="H4309" s="142">
        <f>IFERROR(VLOOKUP($C4309,$C$5:$H$18,6,0)+SUMIF($C$19:$C4309,$C4309,$F$19:$F4309)-SUMIF($C$19:$C4309,$C4309,$G$19:$G4309),"")</f>
        <v>81211.819999998</v>
      </c>
      <c r="I4309" s="147"/>
      <c r="J4309" s="147"/>
      <c r="K4309" s="147" t="str">
        <f t="shared" si="67"/>
        <v/>
      </c>
      <c r="L4309" s="40"/>
      <c r="M4309"/>
      <c r="N4309"/>
      <c r="O4309"/>
      <c r="P4309"/>
      <c r="Q4309"/>
      <c r="R4309"/>
      <c r="S4309"/>
      <c r="T4309"/>
      <c r="U4309"/>
      <c r="V4309"/>
      <c r="W4309" s="41"/>
      <c r="X4309" s="41"/>
      <c r="Y4309" s="41"/>
    </row>
    <row r="4310" s="27" customFormat="1" ht="23" hidden="1" customHeight="1" spans="1:25">
      <c r="A4310" s="133" t="str">
        <f>IF(B4310="","",COUNTA($B$5:B4310))</f>
        <v/>
      </c>
      <c r="B4310" s="148"/>
      <c r="C4310" s="22" t="s">
        <v>49</v>
      </c>
      <c r="D4310" s="149"/>
      <c r="E4310" s="150"/>
      <c r="F4310" s="151"/>
      <c r="G4310" s="151"/>
      <c r="H4310" s="142">
        <f>IFERROR(VLOOKUP($C4310,$C$5:$H$18,6,0)+SUMIF($C$19:$C4310,$C4310,$F$19:$F4310)-SUMIF($C$19:$C4310,$C4310,$G$19:$G4310),"")</f>
        <v>81211.819999998</v>
      </c>
      <c r="I4310" s="147"/>
      <c r="J4310" s="147"/>
      <c r="K4310" s="147" t="str">
        <f t="shared" si="67"/>
        <v/>
      </c>
      <c r="L4310" s="40"/>
      <c r="M4310"/>
      <c r="N4310"/>
      <c r="O4310"/>
      <c r="P4310"/>
      <c r="Q4310"/>
      <c r="R4310"/>
      <c r="S4310"/>
      <c r="T4310"/>
      <c r="U4310"/>
      <c r="V4310"/>
      <c r="W4310" s="41"/>
      <c r="X4310" s="41"/>
      <c r="Y4310" s="41"/>
    </row>
    <row r="4311" s="27" customFormat="1" ht="23" hidden="1" customHeight="1" spans="1:25">
      <c r="A4311" s="133" t="str">
        <f>IF(B4311="","",COUNTA($B$5:B4311))</f>
        <v/>
      </c>
      <c r="B4311" s="148"/>
      <c r="C4311" s="22" t="s">
        <v>49</v>
      </c>
      <c r="D4311" s="149"/>
      <c r="E4311" s="150"/>
      <c r="F4311" s="151"/>
      <c r="G4311" s="151"/>
      <c r="H4311" s="142">
        <f>IFERROR(VLOOKUP($C4311,$C$5:$H$18,6,0)+SUMIF($C$19:$C4311,$C4311,$F$19:$F4311)-SUMIF($C$19:$C4311,$C4311,$G$19:$G4311),"")</f>
        <v>81211.819999998</v>
      </c>
      <c r="I4311" s="147"/>
      <c r="J4311" s="147"/>
      <c r="K4311" s="147" t="str">
        <f t="shared" si="67"/>
        <v/>
      </c>
      <c r="L4311" s="40"/>
      <c r="M4311"/>
      <c r="N4311"/>
      <c r="O4311"/>
      <c r="P4311"/>
      <c r="Q4311"/>
      <c r="R4311"/>
      <c r="S4311"/>
      <c r="T4311"/>
      <c r="U4311"/>
      <c r="V4311"/>
      <c r="W4311" s="41"/>
      <c r="X4311" s="41"/>
      <c r="Y4311" s="41"/>
    </row>
    <row r="4312" s="27" customFormat="1" ht="23" hidden="1" customHeight="1" spans="1:25">
      <c r="A4312" s="133" t="str">
        <f>IF(B4312="","",COUNTA($B$5:B4312))</f>
        <v/>
      </c>
      <c r="B4312" s="148"/>
      <c r="C4312" s="22" t="s">
        <v>49</v>
      </c>
      <c r="D4312" s="149"/>
      <c r="E4312" s="150"/>
      <c r="F4312" s="151"/>
      <c r="G4312" s="151"/>
      <c r="H4312" s="142">
        <f>IFERROR(VLOOKUP($C4312,$C$5:$H$18,6,0)+SUMIF($C$19:$C4312,$C4312,$F$19:$F4312)-SUMIF($C$19:$C4312,$C4312,$G$19:$G4312),"")</f>
        <v>81211.819999998</v>
      </c>
      <c r="I4312" s="147"/>
      <c r="J4312" s="147"/>
      <c r="K4312" s="147" t="str">
        <f t="shared" si="67"/>
        <v/>
      </c>
      <c r="L4312" s="40"/>
      <c r="M4312"/>
      <c r="N4312"/>
      <c r="O4312"/>
      <c r="P4312"/>
      <c r="Q4312"/>
      <c r="R4312"/>
      <c r="S4312"/>
      <c r="T4312"/>
      <c r="U4312"/>
      <c r="V4312"/>
      <c r="W4312" s="41"/>
      <c r="X4312" s="41"/>
      <c r="Y4312" s="41"/>
    </row>
    <row r="4313" s="27" customFormat="1" ht="23" hidden="1" customHeight="1" spans="1:25">
      <c r="A4313" s="133" t="str">
        <f>IF(B4313="","",COUNTA($B$5:B4313))</f>
        <v/>
      </c>
      <c r="B4313" s="148"/>
      <c r="C4313" s="22" t="s">
        <v>49</v>
      </c>
      <c r="D4313" s="149"/>
      <c r="E4313" s="150"/>
      <c r="F4313" s="151"/>
      <c r="G4313" s="151"/>
      <c r="H4313" s="142">
        <f>IFERROR(VLOOKUP($C4313,$C$5:$H$18,6,0)+SUMIF($C$19:$C4313,$C4313,$F$19:$F4313)-SUMIF($C$19:$C4313,$C4313,$G$19:$G4313),"")</f>
        <v>81211.819999998</v>
      </c>
      <c r="I4313" s="147"/>
      <c r="J4313" s="147"/>
      <c r="K4313" s="147" t="str">
        <f t="shared" si="67"/>
        <v/>
      </c>
      <c r="L4313" s="40"/>
      <c r="M4313"/>
      <c r="N4313"/>
      <c r="O4313"/>
      <c r="P4313"/>
      <c r="Q4313"/>
      <c r="R4313"/>
      <c r="S4313"/>
      <c r="T4313"/>
      <c r="U4313"/>
      <c r="V4313"/>
      <c r="W4313" s="41"/>
      <c r="X4313" s="41"/>
      <c r="Y4313" s="41"/>
    </row>
    <row r="4314" s="27" customFormat="1" ht="23" hidden="1" customHeight="1" spans="1:25">
      <c r="A4314" s="133" t="str">
        <f>IF(B4314="","",COUNTA($B$5:B4314))</f>
        <v/>
      </c>
      <c r="B4314" s="148"/>
      <c r="C4314" s="22" t="s">
        <v>49</v>
      </c>
      <c r="D4314" s="149"/>
      <c r="E4314" s="150"/>
      <c r="F4314" s="151"/>
      <c r="G4314" s="151"/>
      <c r="H4314" s="142">
        <f>IFERROR(VLOOKUP($C4314,$C$5:$H$18,6,0)+SUMIF($C$19:$C4314,$C4314,$F$19:$F4314)-SUMIF($C$19:$C4314,$C4314,$G$19:$G4314),"")</f>
        <v>81211.819999998</v>
      </c>
      <c r="I4314" s="147"/>
      <c r="J4314" s="147"/>
      <c r="K4314" s="147" t="str">
        <f t="shared" si="67"/>
        <v/>
      </c>
      <c r="L4314" s="40"/>
      <c r="M4314"/>
      <c r="N4314"/>
      <c r="O4314"/>
      <c r="P4314"/>
      <c r="Q4314"/>
      <c r="R4314"/>
      <c r="S4314"/>
      <c r="T4314"/>
      <c r="U4314"/>
      <c r="V4314"/>
      <c r="W4314" s="41"/>
      <c r="X4314" s="41"/>
      <c r="Y4314" s="41"/>
    </row>
    <row r="4315" s="27" customFormat="1" ht="23" hidden="1" customHeight="1" spans="1:25">
      <c r="A4315" s="133" t="str">
        <f>IF(B4315="","",COUNTA($B$5:B4315))</f>
        <v/>
      </c>
      <c r="B4315" s="148"/>
      <c r="C4315" s="22" t="s">
        <v>49</v>
      </c>
      <c r="D4315" s="149"/>
      <c r="E4315" s="150"/>
      <c r="F4315" s="151"/>
      <c r="G4315" s="151"/>
      <c r="H4315" s="142">
        <f>IFERROR(VLOOKUP($C4315,$C$5:$H$18,6,0)+SUMIF($C$19:$C4315,$C4315,$F$19:$F4315)-SUMIF($C$19:$C4315,$C4315,$G$19:$G4315),"")</f>
        <v>81211.819999998</v>
      </c>
      <c r="I4315" s="147"/>
      <c r="J4315" s="147"/>
      <c r="K4315" s="147" t="str">
        <f t="shared" si="67"/>
        <v/>
      </c>
      <c r="L4315" s="40"/>
      <c r="M4315"/>
      <c r="N4315"/>
      <c r="O4315"/>
      <c r="P4315"/>
      <c r="Q4315"/>
      <c r="R4315"/>
      <c r="S4315"/>
      <c r="T4315"/>
      <c r="U4315"/>
      <c r="V4315"/>
      <c r="W4315" s="41"/>
      <c r="X4315" s="41"/>
      <c r="Y4315" s="41"/>
    </row>
    <row r="4316" s="27" customFormat="1" ht="23" hidden="1" customHeight="1" spans="1:25">
      <c r="A4316" s="133" t="str">
        <f>IF(B4316="","",COUNTA($B$5:B4316))</f>
        <v/>
      </c>
      <c r="B4316" s="148"/>
      <c r="C4316" s="22" t="s">
        <v>49</v>
      </c>
      <c r="D4316" s="149"/>
      <c r="E4316" s="150"/>
      <c r="F4316" s="151"/>
      <c r="G4316" s="151"/>
      <c r="H4316" s="142">
        <f>IFERROR(VLOOKUP($C4316,$C$5:$H$18,6,0)+SUMIF($C$19:$C4316,$C4316,$F$19:$F4316)-SUMIF($C$19:$C4316,$C4316,$G$19:$G4316),"")</f>
        <v>81211.819999998</v>
      </c>
      <c r="I4316" s="147"/>
      <c r="J4316" s="147"/>
      <c r="K4316" s="147" t="str">
        <f t="shared" si="67"/>
        <v/>
      </c>
      <c r="L4316" s="40"/>
      <c r="M4316"/>
      <c r="N4316"/>
      <c r="O4316"/>
      <c r="P4316"/>
      <c r="Q4316"/>
      <c r="R4316"/>
      <c r="S4316"/>
      <c r="T4316"/>
      <c r="U4316"/>
      <c r="V4316"/>
      <c r="W4316" s="41"/>
      <c r="X4316" s="41"/>
      <c r="Y4316" s="41"/>
    </row>
    <row r="4317" s="27" customFormat="1" ht="23" hidden="1" customHeight="1" spans="1:25">
      <c r="A4317" s="133" t="str">
        <f>IF(B4317="","",COUNTA($B$5:B4317))</f>
        <v/>
      </c>
      <c r="B4317" s="148"/>
      <c r="C4317" s="22" t="s">
        <v>49</v>
      </c>
      <c r="D4317" s="149"/>
      <c r="E4317" s="150"/>
      <c r="F4317" s="151"/>
      <c r="G4317" s="151"/>
      <c r="H4317" s="142">
        <f>IFERROR(VLOOKUP($C4317,$C$5:$H$18,6,0)+SUMIF($C$19:$C4317,$C4317,$F$19:$F4317)-SUMIF($C$19:$C4317,$C4317,$G$19:$G4317),"")</f>
        <v>81211.819999998</v>
      </c>
      <c r="I4317" s="147"/>
      <c r="J4317" s="147"/>
      <c r="K4317" s="147" t="str">
        <f t="shared" si="67"/>
        <v/>
      </c>
      <c r="L4317" s="40"/>
      <c r="M4317"/>
      <c r="N4317"/>
      <c r="O4317"/>
      <c r="P4317"/>
      <c r="Q4317"/>
      <c r="R4317"/>
      <c r="S4317"/>
      <c r="T4317"/>
      <c r="U4317"/>
      <c r="V4317"/>
      <c r="W4317" s="41"/>
      <c r="X4317" s="41"/>
      <c r="Y4317" s="41"/>
    </row>
    <row r="4318" s="27" customFormat="1" ht="23" hidden="1" customHeight="1" spans="1:25">
      <c r="A4318" s="133" t="str">
        <f>IF(B4318="","",COUNTA($B$5:B4318))</f>
        <v/>
      </c>
      <c r="B4318" s="148"/>
      <c r="C4318" s="22" t="s">
        <v>49</v>
      </c>
      <c r="D4318" s="149"/>
      <c r="E4318" s="150"/>
      <c r="F4318" s="151"/>
      <c r="G4318" s="151"/>
      <c r="H4318" s="142">
        <f>IFERROR(VLOOKUP($C4318,$C$5:$H$18,6,0)+SUMIF($C$19:$C4318,$C4318,$F$19:$F4318)-SUMIF($C$19:$C4318,$C4318,$G$19:$G4318),"")</f>
        <v>81211.819999998</v>
      </c>
      <c r="I4318" s="147"/>
      <c r="J4318" s="147"/>
      <c r="K4318" s="147" t="str">
        <f t="shared" si="67"/>
        <v/>
      </c>
      <c r="L4318" s="40"/>
      <c r="M4318"/>
      <c r="N4318"/>
      <c r="O4318"/>
      <c r="P4318"/>
      <c r="Q4318"/>
      <c r="R4318"/>
      <c r="S4318"/>
      <c r="T4318"/>
      <c r="U4318"/>
      <c r="V4318"/>
      <c r="W4318" s="41"/>
      <c r="X4318" s="41"/>
      <c r="Y4318" s="41"/>
    </row>
    <row r="4319" s="27" customFormat="1" ht="23" hidden="1" customHeight="1" spans="1:25">
      <c r="A4319" s="133" t="str">
        <f>IF(B4319="","",COUNTA($B$5:B4319))</f>
        <v/>
      </c>
      <c r="B4319" s="148"/>
      <c r="C4319" s="22" t="s">
        <v>49</v>
      </c>
      <c r="D4319" s="149"/>
      <c r="E4319" s="150"/>
      <c r="F4319" s="151"/>
      <c r="G4319" s="151"/>
      <c r="H4319" s="142">
        <f>IFERROR(VLOOKUP($C4319,$C$5:$H$18,6,0)+SUMIF($C$19:$C4319,$C4319,$F$19:$F4319)-SUMIF($C$19:$C4319,$C4319,$G$19:$G4319),"")</f>
        <v>81211.819999998</v>
      </c>
      <c r="I4319" s="147"/>
      <c r="J4319" s="147"/>
      <c r="K4319" s="147" t="str">
        <f t="shared" si="67"/>
        <v/>
      </c>
      <c r="L4319" s="40"/>
      <c r="M4319"/>
      <c r="N4319"/>
      <c r="O4319"/>
      <c r="P4319"/>
      <c r="Q4319"/>
      <c r="R4319"/>
      <c r="S4319"/>
      <c r="T4319"/>
      <c r="U4319"/>
      <c r="V4319"/>
      <c r="W4319" s="41"/>
      <c r="X4319" s="41"/>
      <c r="Y4319" s="41"/>
    </row>
    <row r="4320" s="27" customFormat="1" ht="23" hidden="1" customHeight="1" spans="1:25">
      <c r="A4320" s="133" t="str">
        <f>IF(B4320="","",COUNTA($B$5:B4320))</f>
        <v/>
      </c>
      <c r="B4320" s="148"/>
      <c r="C4320" s="22" t="s">
        <v>49</v>
      </c>
      <c r="D4320" s="149"/>
      <c r="E4320" s="150"/>
      <c r="F4320" s="151"/>
      <c r="G4320" s="151"/>
      <c r="H4320" s="142">
        <f>IFERROR(VLOOKUP($C4320,$C$5:$H$18,6,0)+SUMIF($C$19:$C4320,$C4320,$F$19:$F4320)-SUMIF($C$19:$C4320,$C4320,$G$19:$G4320),"")</f>
        <v>81211.819999998</v>
      </c>
      <c r="I4320" s="147"/>
      <c r="J4320" s="147"/>
      <c r="K4320" s="147" t="str">
        <f t="shared" si="67"/>
        <v/>
      </c>
      <c r="L4320" s="40"/>
      <c r="M4320"/>
      <c r="N4320"/>
      <c r="O4320"/>
      <c r="P4320"/>
      <c r="Q4320"/>
      <c r="R4320"/>
      <c r="S4320"/>
      <c r="T4320"/>
      <c r="U4320"/>
      <c r="V4320"/>
      <c r="W4320" s="41"/>
      <c r="X4320" s="41"/>
      <c r="Y4320" s="41"/>
    </row>
    <row r="4321" s="27" customFormat="1" ht="23" hidden="1" customHeight="1" spans="1:25">
      <c r="A4321" s="133" t="str">
        <f>IF(B4321="","",COUNTA($B$5:B4321))</f>
        <v/>
      </c>
      <c r="B4321" s="148"/>
      <c r="C4321" s="22" t="s">
        <v>49</v>
      </c>
      <c r="D4321" s="149"/>
      <c r="E4321" s="150"/>
      <c r="F4321" s="151"/>
      <c r="G4321" s="151"/>
      <c r="H4321" s="142">
        <f>IFERROR(VLOOKUP($C4321,$C$5:$H$18,6,0)+SUMIF($C$19:$C4321,$C4321,$F$19:$F4321)-SUMIF($C$19:$C4321,$C4321,$G$19:$G4321),"")</f>
        <v>81211.819999998</v>
      </c>
      <c r="I4321" s="147"/>
      <c r="J4321" s="147"/>
      <c r="K4321" s="147" t="str">
        <f t="shared" si="67"/>
        <v/>
      </c>
      <c r="L4321" s="40"/>
      <c r="M4321"/>
      <c r="N4321"/>
      <c r="O4321"/>
      <c r="P4321"/>
      <c r="Q4321"/>
      <c r="R4321"/>
      <c r="S4321"/>
      <c r="T4321"/>
      <c r="U4321"/>
      <c r="V4321"/>
      <c r="W4321" s="41"/>
      <c r="X4321" s="41"/>
      <c r="Y4321" s="41"/>
    </row>
    <row r="4322" s="27" customFormat="1" ht="23" hidden="1" customHeight="1" spans="1:25">
      <c r="A4322" s="133" t="str">
        <f>IF(B4322="","",COUNTA($B$5:B4322))</f>
        <v/>
      </c>
      <c r="B4322" s="148"/>
      <c r="C4322" s="22" t="s">
        <v>49</v>
      </c>
      <c r="D4322" s="149"/>
      <c r="E4322" s="150"/>
      <c r="F4322" s="151"/>
      <c r="G4322" s="151"/>
      <c r="H4322" s="142">
        <f>IFERROR(VLOOKUP($C4322,$C$5:$H$18,6,0)+SUMIF($C$19:$C4322,$C4322,$F$19:$F4322)-SUMIF($C$19:$C4322,$C4322,$G$19:$G4322),"")</f>
        <v>81211.819999998</v>
      </c>
      <c r="I4322" s="147"/>
      <c r="J4322" s="147"/>
      <c r="K4322" s="147" t="str">
        <f t="shared" si="67"/>
        <v/>
      </c>
      <c r="L4322" s="40"/>
      <c r="M4322"/>
      <c r="N4322"/>
      <c r="O4322"/>
      <c r="P4322"/>
      <c r="Q4322"/>
      <c r="R4322"/>
      <c r="S4322"/>
      <c r="T4322"/>
      <c r="U4322"/>
      <c r="V4322"/>
      <c r="W4322" s="41"/>
      <c r="X4322" s="41"/>
      <c r="Y4322" s="41"/>
    </row>
    <row r="4323" s="27" customFormat="1" ht="23" hidden="1" customHeight="1" spans="1:25">
      <c r="A4323" s="133" t="str">
        <f>IF(B4323="","",COUNTA($B$5:B4323))</f>
        <v/>
      </c>
      <c r="B4323" s="148"/>
      <c r="C4323" s="22" t="s">
        <v>49</v>
      </c>
      <c r="D4323" s="149"/>
      <c r="E4323" s="150"/>
      <c r="F4323" s="151"/>
      <c r="G4323" s="151"/>
      <c r="H4323" s="142">
        <f>IFERROR(VLOOKUP($C4323,$C$5:$H$18,6,0)+SUMIF($C$19:$C4323,$C4323,$F$19:$F4323)-SUMIF($C$19:$C4323,$C4323,$G$19:$G4323),"")</f>
        <v>81211.819999998</v>
      </c>
      <c r="I4323" s="147"/>
      <c r="J4323" s="147"/>
      <c r="K4323" s="147" t="str">
        <f t="shared" si="67"/>
        <v/>
      </c>
      <c r="L4323" s="40"/>
      <c r="M4323"/>
      <c r="N4323"/>
      <c r="O4323"/>
      <c r="P4323"/>
      <c r="Q4323"/>
      <c r="R4323"/>
      <c r="S4323"/>
      <c r="T4323"/>
      <c r="U4323"/>
      <c r="V4323"/>
      <c r="W4323" s="41"/>
      <c r="X4323" s="41"/>
      <c r="Y4323" s="41"/>
    </row>
    <row r="4324" s="27" customFormat="1" ht="23" hidden="1" customHeight="1" spans="1:25">
      <c r="A4324" s="133" t="str">
        <f>IF(B4324="","",COUNTA($B$5:B4324))</f>
        <v/>
      </c>
      <c r="B4324" s="148"/>
      <c r="C4324" s="22" t="s">
        <v>49</v>
      </c>
      <c r="D4324" s="149"/>
      <c r="E4324" s="150"/>
      <c r="F4324" s="151"/>
      <c r="G4324" s="151"/>
      <c r="H4324" s="142">
        <f>IFERROR(VLOOKUP($C4324,$C$5:$H$18,6,0)+SUMIF($C$19:$C4324,$C4324,$F$19:$F4324)-SUMIF($C$19:$C4324,$C4324,$G$19:$G4324),"")</f>
        <v>81211.819999998</v>
      </c>
      <c r="I4324" s="147"/>
      <c r="J4324" s="147"/>
      <c r="K4324" s="147" t="str">
        <f t="shared" si="67"/>
        <v/>
      </c>
      <c r="L4324" s="40"/>
      <c r="M4324"/>
      <c r="N4324"/>
      <c r="O4324"/>
      <c r="P4324"/>
      <c r="Q4324"/>
      <c r="R4324"/>
      <c r="S4324"/>
      <c r="T4324"/>
      <c r="U4324"/>
      <c r="V4324"/>
      <c r="W4324" s="41"/>
      <c r="X4324" s="41"/>
      <c r="Y4324" s="41"/>
    </row>
    <row r="4325" s="27" customFormat="1" ht="23" hidden="1" customHeight="1" spans="1:25">
      <c r="A4325" s="133" t="str">
        <f>IF(B4325="","",COUNTA($B$5:B4325))</f>
        <v/>
      </c>
      <c r="B4325" s="148"/>
      <c r="C4325" s="22" t="s">
        <v>49</v>
      </c>
      <c r="D4325" s="149"/>
      <c r="E4325" s="150"/>
      <c r="F4325" s="151"/>
      <c r="G4325" s="151"/>
      <c r="H4325" s="142">
        <f>IFERROR(VLOOKUP($C4325,$C$5:$H$18,6,0)+SUMIF($C$19:$C4325,$C4325,$F$19:$F4325)-SUMIF($C$19:$C4325,$C4325,$G$19:$G4325),"")</f>
        <v>81211.819999998</v>
      </c>
      <c r="I4325" s="147"/>
      <c r="J4325" s="147"/>
      <c r="K4325" s="147" t="str">
        <f t="shared" si="67"/>
        <v/>
      </c>
      <c r="L4325" s="40"/>
      <c r="M4325"/>
      <c r="N4325"/>
      <c r="O4325"/>
      <c r="P4325"/>
      <c r="Q4325"/>
      <c r="R4325"/>
      <c r="S4325"/>
      <c r="T4325"/>
      <c r="U4325"/>
      <c r="V4325"/>
      <c r="W4325" s="41"/>
      <c r="X4325" s="41"/>
      <c r="Y4325" s="41"/>
    </row>
    <row r="4326" s="27" customFormat="1" ht="23" hidden="1" customHeight="1" spans="1:25">
      <c r="A4326" s="133" t="str">
        <f>IF(B4326="","",COUNTA($B$5:B4326))</f>
        <v/>
      </c>
      <c r="B4326" s="148"/>
      <c r="C4326" s="22" t="s">
        <v>49</v>
      </c>
      <c r="D4326" s="149"/>
      <c r="E4326" s="150"/>
      <c r="F4326" s="151"/>
      <c r="G4326" s="151"/>
      <c r="H4326" s="142">
        <f>IFERROR(VLOOKUP($C4326,$C$5:$H$18,6,0)+SUMIF($C$19:$C4326,$C4326,$F$19:$F4326)-SUMIF($C$19:$C4326,$C4326,$G$19:$G4326),"")</f>
        <v>81211.819999998</v>
      </c>
      <c r="I4326" s="147"/>
      <c r="J4326" s="147"/>
      <c r="K4326" s="147" t="str">
        <f t="shared" si="67"/>
        <v/>
      </c>
      <c r="L4326" s="40"/>
      <c r="M4326"/>
      <c r="N4326"/>
      <c r="O4326"/>
      <c r="P4326"/>
      <c r="Q4326"/>
      <c r="R4326"/>
      <c r="S4326"/>
      <c r="T4326"/>
      <c r="U4326"/>
      <c r="V4326"/>
      <c r="W4326" s="41"/>
      <c r="X4326" s="41"/>
      <c r="Y4326" s="41"/>
    </row>
    <row r="4327" s="27" customFormat="1" ht="23" hidden="1" customHeight="1" spans="1:25">
      <c r="A4327" s="133" t="str">
        <f>IF(B4327="","",COUNTA($B$5:B4327))</f>
        <v/>
      </c>
      <c r="B4327" s="148"/>
      <c r="C4327" s="22" t="s">
        <v>49</v>
      </c>
      <c r="D4327" s="149"/>
      <c r="E4327" s="150"/>
      <c r="F4327" s="151"/>
      <c r="G4327" s="151"/>
      <c r="H4327" s="142">
        <f>IFERROR(VLOOKUP($C4327,$C$5:$H$18,6,0)+SUMIF($C$19:$C4327,$C4327,$F$19:$F4327)-SUMIF($C$19:$C4327,$C4327,$G$19:$G4327),"")</f>
        <v>81211.819999998</v>
      </c>
      <c r="I4327" s="147"/>
      <c r="J4327" s="147"/>
      <c r="K4327" s="147" t="str">
        <f t="shared" si="67"/>
        <v/>
      </c>
      <c r="L4327" s="40"/>
      <c r="M4327"/>
      <c r="N4327"/>
      <c r="O4327"/>
      <c r="P4327"/>
      <c r="Q4327"/>
      <c r="R4327"/>
      <c r="S4327"/>
      <c r="T4327"/>
      <c r="U4327"/>
      <c r="V4327"/>
      <c r="W4327" s="41"/>
      <c r="X4327" s="41"/>
      <c r="Y4327" s="41"/>
    </row>
    <row r="4328" s="27" customFormat="1" ht="23" hidden="1" customHeight="1" spans="1:25">
      <c r="A4328" s="133" t="str">
        <f>IF(B4328="","",COUNTA($B$5:B4328))</f>
        <v/>
      </c>
      <c r="B4328" s="148"/>
      <c r="C4328" s="22" t="s">
        <v>49</v>
      </c>
      <c r="D4328" s="149"/>
      <c r="E4328" s="150"/>
      <c r="F4328" s="151"/>
      <c r="G4328" s="151"/>
      <c r="H4328" s="142">
        <f>IFERROR(VLOOKUP($C4328,$C$5:$H$18,6,0)+SUMIF($C$19:$C4328,$C4328,$F$19:$F4328)-SUMIF($C$19:$C4328,$C4328,$G$19:$G4328),"")</f>
        <v>81211.819999998</v>
      </c>
      <c r="I4328" s="147"/>
      <c r="J4328" s="147"/>
      <c r="K4328" s="147" t="str">
        <f t="shared" si="67"/>
        <v/>
      </c>
      <c r="L4328" s="40"/>
      <c r="M4328"/>
      <c r="N4328"/>
      <c r="O4328"/>
      <c r="P4328"/>
      <c r="Q4328"/>
      <c r="R4328"/>
      <c r="S4328"/>
      <c r="T4328"/>
      <c r="U4328"/>
      <c r="V4328"/>
      <c r="W4328" s="41"/>
      <c r="X4328" s="41"/>
      <c r="Y4328" s="41"/>
    </row>
    <row r="4329" s="27" customFormat="1" ht="23" hidden="1" customHeight="1" spans="1:25">
      <c r="A4329" s="133" t="str">
        <f>IF(B4329="","",COUNTA($B$5:B4329))</f>
        <v/>
      </c>
      <c r="B4329" s="148"/>
      <c r="C4329" s="22" t="s">
        <v>49</v>
      </c>
      <c r="D4329" s="149"/>
      <c r="E4329" s="150"/>
      <c r="F4329" s="151"/>
      <c r="G4329" s="151"/>
      <c r="H4329" s="142">
        <f>IFERROR(VLOOKUP($C4329,$C$5:$H$18,6,0)+SUMIF($C$19:$C4329,$C4329,$F$19:$F4329)-SUMIF($C$19:$C4329,$C4329,$G$19:$G4329),"")</f>
        <v>81211.819999998</v>
      </c>
      <c r="I4329" s="147"/>
      <c r="J4329" s="147"/>
      <c r="K4329" s="147" t="str">
        <f t="shared" si="67"/>
        <v/>
      </c>
      <c r="L4329" s="40"/>
      <c r="M4329"/>
      <c r="N4329"/>
      <c r="O4329"/>
      <c r="P4329"/>
      <c r="Q4329"/>
      <c r="R4329"/>
      <c r="S4329"/>
      <c r="T4329"/>
      <c r="U4329"/>
      <c r="V4329"/>
      <c r="W4329" s="41"/>
      <c r="X4329" s="41"/>
      <c r="Y4329" s="41"/>
    </row>
    <row r="4330" s="27" customFormat="1" ht="23" hidden="1" customHeight="1" spans="1:25">
      <c r="A4330" s="133" t="str">
        <f>IF(B4330="","",COUNTA($B$5:B4330))</f>
        <v/>
      </c>
      <c r="B4330" s="148"/>
      <c r="C4330" s="22" t="s">
        <v>49</v>
      </c>
      <c r="D4330" s="149"/>
      <c r="E4330" s="150"/>
      <c r="F4330" s="151"/>
      <c r="G4330" s="151"/>
      <c r="H4330" s="142">
        <f>IFERROR(VLOOKUP($C4330,$C$5:$H$18,6,0)+SUMIF($C$19:$C4330,$C4330,$F$19:$F4330)-SUMIF($C$19:$C4330,$C4330,$G$19:$G4330),"")</f>
        <v>81211.819999998</v>
      </c>
      <c r="I4330" s="147"/>
      <c r="J4330" s="147"/>
      <c r="K4330" s="147" t="str">
        <f t="shared" si="67"/>
        <v/>
      </c>
      <c r="L4330" s="40"/>
      <c r="M4330"/>
      <c r="N4330"/>
      <c r="O4330"/>
      <c r="P4330"/>
      <c r="Q4330"/>
      <c r="R4330"/>
      <c r="S4330"/>
      <c r="T4330"/>
      <c r="U4330"/>
      <c r="V4330"/>
      <c r="W4330" s="41"/>
      <c r="X4330" s="41"/>
      <c r="Y4330" s="41"/>
    </row>
    <row r="4331" s="27" customFormat="1" ht="23" hidden="1" customHeight="1" spans="1:25">
      <c r="A4331" s="133" t="str">
        <f>IF(B4331="","",COUNTA($B$5:B4331))</f>
        <v/>
      </c>
      <c r="B4331" s="148"/>
      <c r="C4331" s="22" t="s">
        <v>49</v>
      </c>
      <c r="D4331" s="149"/>
      <c r="E4331" s="150"/>
      <c r="F4331" s="151"/>
      <c r="G4331" s="151"/>
      <c r="H4331" s="142">
        <f>IFERROR(VLOOKUP($C4331,$C$5:$H$18,6,0)+SUMIF($C$19:$C4331,$C4331,$F$19:$F4331)-SUMIF($C$19:$C4331,$C4331,$G$19:$G4331),"")</f>
        <v>81211.819999998</v>
      </c>
      <c r="I4331" s="147"/>
      <c r="J4331" s="147"/>
      <c r="K4331" s="147" t="str">
        <f t="shared" si="67"/>
        <v/>
      </c>
      <c r="L4331" s="40"/>
      <c r="M4331"/>
      <c r="N4331"/>
      <c r="O4331"/>
      <c r="P4331"/>
      <c r="Q4331"/>
      <c r="R4331"/>
      <c r="S4331"/>
      <c r="T4331"/>
      <c r="U4331"/>
      <c r="V4331"/>
      <c r="W4331" s="41"/>
      <c r="X4331" s="41"/>
      <c r="Y4331" s="41"/>
    </row>
    <row r="4332" s="27" customFormat="1" ht="23" hidden="1" customHeight="1" spans="1:25">
      <c r="A4332" s="133" t="str">
        <f>IF(B4332="","",COUNTA($B$5:B4332))</f>
        <v/>
      </c>
      <c r="B4332" s="148"/>
      <c r="C4332" s="22" t="s">
        <v>49</v>
      </c>
      <c r="D4332" s="149"/>
      <c r="E4332" s="150"/>
      <c r="F4332" s="151"/>
      <c r="G4332" s="151"/>
      <c r="H4332" s="142">
        <f>IFERROR(VLOOKUP($C4332,$C$5:$H$18,6,0)+SUMIF($C$19:$C4332,$C4332,$F$19:$F4332)-SUMIF($C$19:$C4332,$C4332,$G$19:$G4332),"")</f>
        <v>81211.819999998</v>
      </c>
      <c r="I4332" s="147"/>
      <c r="J4332" s="147"/>
      <c r="K4332" s="147" t="str">
        <f t="shared" si="67"/>
        <v/>
      </c>
      <c r="L4332" s="40"/>
      <c r="M4332"/>
      <c r="N4332"/>
      <c r="O4332"/>
      <c r="P4332"/>
      <c r="Q4332"/>
      <c r="R4332"/>
      <c r="S4332"/>
      <c r="T4332"/>
      <c r="U4332"/>
      <c r="V4332"/>
      <c r="W4332" s="41"/>
      <c r="X4332" s="41"/>
      <c r="Y4332" s="41"/>
    </row>
    <row r="4333" s="27" customFormat="1" ht="23" hidden="1" customHeight="1" spans="1:25">
      <c r="A4333" s="133" t="str">
        <f>IF(B4333="","",COUNTA($B$5:B4333))</f>
        <v/>
      </c>
      <c r="B4333" s="148"/>
      <c r="C4333" s="22" t="s">
        <v>49</v>
      </c>
      <c r="D4333" s="149"/>
      <c r="E4333" s="150"/>
      <c r="F4333" s="151"/>
      <c r="G4333" s="151"/>
      <c r="H4333" s="142">
        <f>IFERROR(VLOOKUP($C4333,$C$5:$H$18,6,0)+SUMIF($C$19:$C4333,$C4333,$F$19:$F4333)-SUMIF($C$19:$C4333,$C4333,$G$19:$G4333),"")</f>
        <v>81211.819999998</v>
      </c>
      <c r="I4333" s="147"/>
      <c r="J4333" s="147"/>
      <c r="K4333" s="147" t="str">
        <f t="shared" si="67"/>
        <v/>
      </c>
      <c r="L4333" s="40"/>
      <c r="M4333"/>
      <c r="N4333"/>
      <c r="O4333"/>
      <c r="P4333"/>
      <c r="Q4333"/>
      <c r="R4333"/>
      <c r="S4333"/>
      <c r="T4333"/>
      <c r="U4333"/>
      <c r="V4333"/>
      <c r="W4333" s="41"/>
      <c r="X4333" s="41"/>
      <c r="Y4333" s="41"/>
    </row>
    <row r="4334" s="27" customFormat="1" ht="23" hidden="1" customHeight="1" spans="1:25">
      <c r="A4334" s="133" t="str">
        <f>IF(B4334="","",COUNTA($B$5:B4334))</f>
        <v/>
      </c>
      <c r="B4334" s="148"/>
      <c r="C4334" s="22" t="s">
        <v>49</v>
      </c>
      <c r="D4334" s="149"/>
      <c r="E4334" s="150"/>
      <c r="F4334" s="151"/>
      <c r="G4334" s="151"/>
      <c r="H4334" s="142">
        <f>IFERROR(VLOOKUP($C4334,$C$5:$H$18,6,0)+SUMIF($C$19:$C4334,$C4334,$F$19:$F4334)-SUMIF($C$19:$C4334,$C4334,$G$19:$G4334),"")</f>
        <v>81211.819999998</v>
      </c>
      <c r="I4334" s="147"/>
      <c r="J4334" s="147"/>
      <c r="K4334" s="147" t="str">
        <f t="shared" si="67"/>
        <v/>
      </c>
      <c r="L4334" s="40"/>
      <c r="M4334"/>
      <c r="N4334"/>
      <c r="O4334"/>
      <c r="P4334"/>
      <c r="Q4334"/>
      <c r="R4334"/>
      <c r="S4334"/>
      <c r="T4334"/>
      <c r="U4334"/>
      <c r="V4334"/>
      <c r="W4334" s="41"/>
      <c r="X4334" s="41"/>
      <c r="Y4334" s="41"/>
    </row>
    <row r="4335" s="27" customFormat="1" ht="23" hidden="1" customHeight="1" spans="1:25">
      <c r="A4335" s="133" t="str">
        <f>IF(B4335="","",COUNTA($B$5:B4335))</f>
        <v/>
      </c>
      <c r="B4335" s="148"/>
      <c r="C4335" s="22" t="s">
        <v>49</v>
      </c>
      <c r="D4335" s="149"/>
      <c r="E4335" s="150"/>
      <c r="F4335" s="151"/>
      <c r="G4335" s="151"/>
      <c r="H4335" s="142">
        <f>IFERROR(VLOOKUP($C4335,$C$5:$H$18,6,0)+SUMIF($C$19:$C4335,$C4335,$F$19:$F4335)-SUMIF($C$19:$C4335,$C4335,$G$19:$G4335),"")</f>
        <v>81211.819999998</v>
      </c>
      <c r="I4335" s="147"/>
      <c r="J4335" s="147"/>
      <c r="K4335" s="147" t="str">
        <f t="shared" si="67"/>
        <v/>
      </c>
      <c r="L4335" s="40"/>
      <c r="M4335"/>
      <c r="N4335"/>
      <c r="O4335"/>
      <c r="P4335"/>
      <c r="Q4335"/>
      <c r="R4335"/>
      <c r="S4335"/>
      <c r="T4335"/>
      <c r="U4335"/>
      <c r="V4335"/>
      <c r="W4335" s="41"/>
      <c r="X4335" s="41"/>
      <c r="Y4335" s="41"/>
    </row>
    <row r="4336" s="27" customFormat="1" ht="23" hidden="1" customHeight="1" spans="1:25">
      <c r="A4336" s="133" t="str">
        <f>IF(B4336="","",COUNTA($B$5:B4336))</f>
        <v/>
      </c>
      <c r="B4336" s="148"/>
      <c r="C4336" s="22" t="s">
        <v>49</v>
      </c>
      <c r="D4336" s="149"/>
      <c r="E4336" s="150"/>
      <c r="F4336" s="151"/>
      <c r="G4336" s="151"/>
      <c r="H4336" s="142">
        <f>IFERROR(VLOOKUP($C4336,$C$5:$H$18,6,0)+SUMIF($C$19:$C4336,$C4336,$F$19:$F4336)-SUMIF($C$19:$C4336,$C4336,$G$19:$G4336),"")</f>
        <v>81211.819999998</v>
      </c>
      <c r="I4336" s="147"/>
      <c r="J4336" s="147"/>
      <c r="K4336" s="147" t="str">
        <f t="shared" si="67"/>
        <v/>
      </c>
      <c r="L4336" s="40"/>
      <c r="M4336"/>
      <c r="N4336"/>
      <c r="O4336"/>
      <c r="P4336"/>
      <c r="Q4336"/>
      <c r="R4336"/>
      <c r="S4336"/>
      <c r="T4336"/>
      <c r="U4336"/>
      <c r="V4336"/>
      <c r="W4336" s="41"/>
      <c r="X4336" s="41"/>
      <c r="Y4336" s="41"/>
    </row>
    <row r="4337" s="27" customFormat="1" ht="23" hidden="1" customHeight="1" spans="1:25">
      <c r="A4337" s="133" t="str">
        <f>IF(B4337="","",COUNTA($B$5:B4337))</f>
        <v/>
      </c>
      <c r="B4337" s="148"/>
      <c r="C4337" s="22" t="s">
        <v>49</v>
      </c>
      <c r="D4337" s="149"/>
      <c r="E4337" s="150"/>
      <c r="F4337" s="151"/>
      <c r="G4337" s="151"/>
      <c r="H4337" s="142">
        <f>IFERROR(VLOOKUP($C4337,$C$5:$H$18,6,0)+SUMIF($C$19:$C4337,$C4337,$F$19:$F4337)-SUMIF($C$19:$C4337,$C4337,$G$19:$G4337),"")</f>
        <v>81211.819999998</v>
      </c>
      <c r="I4337" s="147"/>
      <c r="J4337" s="147"/>
      <c r="K4337" s="147" t="str">
        <f t="shared" si="67"/>
        <v/>
      </c>
      <c r="L4337" s="40"/>
      <c r="M4337"/>
      <c r="N4337"/>
      <c r="O4337"/>
      <c r="P4337"/>
      <c r="Q4337"/>
      <c r="R4337"/>
      <c r="S4337"/>
      <c r="T4337"/>
      <c r="U4337"/>
      <c r="V4337"/>
      <c r="W4337" s="41"/>
      <c r="X4337" s="41"/>
      <c r="Y4337" s="41"/>
    </row>
    <row r="4338" s="27" customFormat="1" ht="23" hidden="1" customHeight="1" spans="1:25">
      <c r="A4338" s="133" t="str">
        <f>IF(B4338="","",COUNTA($B$5:B4338))</f>
        <v/>
      </c>
      <c r="B4338" s="148"/>
      <c r="C4338" s="22" t="s">
        <v>49</v>
      </c>
      <c r="D4338" s="149"/>
      <c r="E4338" s="150"/>
      <c r="F4338" s="151"/>
      <c r="G4338" s="151"/>
      <c r="H4338" s="142">
        <f>IFERROR(VLOOKUP($C4338,$C$5:$H$18,6,0)+SUMIF($C$19:$C4338,$C4338,$F$19:$F4338)-SUMIF($C$19:$C4338,$C4338,$G$19:$G4338),"")</f>
        <v>81211.819999998</v>
      </c>
      <c r="I4338" s="147"/>
      <c r="J4338" s="147"/>
      <c r="K4338" s="147" t="str">
        <f t="shared" si="67"/>
        <v/>
      </c>
      <c r="L4338" s="40"/>
      <c r="M4338"/>
      <c r="N4338"/>
      <c r="O4338"/>
      <c r="P4338"/>
      <c r="Q4338"/>
      <c r="R4338"/>
      <c r="S4338"/>
      <c r="T4338"/>
      <c r="U4338"/>
      <c r="V4338"/>
      <c r="W4338" s="41"/>
      <c r="X4338" s="41"/>
      <c r="Y4338" s="41"/>
    </row>
    <row r="4339" s="27" customFormat="1" ht="23" hidden="1" customHeight="1" spans="1:25">
      <c r="A4339" s="133" t="str">
        <f>IF(B4339="","",COUNTA($B$5:B4339))</f>
        <v/>
      </c>
      <c r="B4339" s="148"/>
      <c r="C4339" s="22" t="s">
        <v>49</v>
      </c>
      <c r="D4339" s="149"/>
      <c r="E4339" s="150"/>
      <c r="F4339" s="151"/>
      <c r="G4339" s="151"/>
      <c r="H4339" s="142">
        <f>IFERROR(VLOOKUP($C4339,$C$5:$H$18,6,0)+SUMIF($C$19:$C4339,$C4339,$F$19:$F4339)-SUMIF($C$19:$C4339,$C4339,$G$19:$G4339),"")</f>
        <v>81211.819999998</v>
      </c>
      <c r="I4339" s="147"/>
      <c r="J4339" s="147"/>
      <c r="K4339" s="147" t="str">
        <f t="shared" si="67"/>
        <v/>
      </c>
      <c r="L4339" s="40"/>
      <c r="M4339"/>
      <c r="N4339"/>
      <c r="O4339"/>
      <c r="P4339"/>
      <c r="Q4339"/>
      <c r="R4339"/>
      <c r="S4339"/>
      <c r="T4339"/>
      <c r="U4339"/>
      <c r="V4339"/>
      <c r="W4339" s="41"/>
      <c r="X4339" s="41"/>
      <c r="Y4339" s="41"/>
    </row>
    <row r="4340" s="27" customFormat="1" ht="23" hidden="1" customHeight="1" spans="1:25">
      <c r="A4340" s="133" t="str">
        <f>IF(B4340="","",COUNTA($B$5:B4340))</f>
        <v/>
      </c>
      <c r="B4340" s="148"/>
      <c r="C4340" s="22" t="s">
        <v>49</v>
      </c>
      <c r="D4340" s="149"/>
      <c r="E4340" s="150"/>
      <c r="F4340" s="151"/>
      <c r="G4340" s="151"/>
      <c r="H4340" s="142">
        <f>IFERROR(VLOOKUP($C4340,$C$5:$H$18,6,0)+SUMIF($C$19:$C4340,$C4340,$F$19:$F4340)-SUMIF($C$19:$C4340,$C4340,$G$19:$G4340),"")</f>
        <v>81211.819999998</v>
      </c>
      <c r="I4340" s="147"/>
      <c r="J4340" s="147"/>
      <c r="K4340" s="147" t="str">
        <f t="shared" si="67"/>
        <v/>
      </c>
      <c r="L4340" s="40"/>
      <c r="M4340"/>
      <c r="N4340"/>
      <c r="O4340"/>
      <c r="P4340"/>
      <c r="Q4340"/>
      <c r="R4340"/>
      <c r="S4340"/>
      <c r="T4340"/>
      <c r="U4340"/>
      <c r="V4340"/>
      <c r="W4340" s="41"/>
      <c r="X4340" s="41"/>
      <c r="Y4340" s="41"/>
    </row>
    <row r="4341" s="27" customFormat="1" ht="23" hidden="1" customHeight="1" spans="1:25">
      <c r="A4341" s="133" t="str">
        <f>IF(B4341="","",COUNTA($B$5:B4341))</f>
        <v/>
      </c>
      <c r="B4341" s="148"/>
      <c r="C4341" s="22" t="s">
        <v>49</v>
      </c>
      <c r="D4341" s="149"/>
      <c r="E4341" s="150"/>
      <c r="F4341" s="151"/>
      <c r="G4341" s="151"/>
      <c r="H4341" s="142">
        <f>IFERROR(VLOOKUP($C4341,$C$5:$H$18,6,0)+SUMIF($C$19:$C4341,$C4341,$F$19:$F4341)-SUMIF($C$19:$C4341,$C4341,$G$19:$G4341),"")</f>
        <v>81211.819999998</v>
      </c>
      <c r="I4341" s="147"/>
      <c r="J4341" s="147"/>
      <c r="K4341" s="147" t="str">
        <f t="shared" si="67"/>
        <v/>
      </c>
      <c r="L4341" s="40"/>
      <c r="M4341"/>
      <c r="N4341"/>
      <c r="O4341"/>
      <c r="P4341"/>
      <c r="Q4341"/>
      <c r="R4341"/>
      <c r="S4341"/>
      <c r="T4341"/>
      <c r="U4341"/>
      <c r="V4341"/>
      <c r="W4341" s="41"/>
      <c r="X4341" s="41"/>
      <c r="Y4341" s="41"/>
    </row>
    <row r="4342" s="27" customFormat="1" ht="23" hidden="1" customHeight="1" spans="1:25">
      <c r="A4342" s="133" t="str">
        <f>IF(B4342="","",COUNTA($B$5:B4342))</f>
        <v/>
      </c>
      <c r="B4342" s="148"/>
      <c r="C4342" s="22" t="s">
        <v>49</v>
      </c>
      <c r="D4342" s="149"/>
      <c r="E4342" s="150"/>
      <c r="F4342" s="151"/>
      <c r="G4342" s="151"/>
      <c r="H4342" s="142">
        <f>IFERROR(VLOOKUP($C4342,$C$5:$H$18,6,0)+SUMIF($C$19:$C4342,$C4342,$F$19:$F4342)-SUMIF($C$19:$C4342,$C4342,$G$19:$G4342),"")</f>
        <v>81211.819999998</v>
      </c>
      <c r="I4342" s="147"/>
      <c r="J4342" s="147"/>
      <c r="K4342" s="147" t="str">
        <f t="shared" si="67"/>
        <v/>
      </c>
      <c r="L4342" s="40"/>
      <c r="M4342"/>
      <c r="N4342"/>
      <c r="O4342"/>
      <c r="P4342"/>
      <c r="Q4342"/>
      <c r="R4342"/>
      <c r="S4342"/>
      <c r="T4342"/>
      <c r="U4342"/>
      <c r="V4342"/>
      <c r="W4342" s="41"/>
      <c r="X4342" s="41"/>
      <c r="Y4342" s="41"/>
    </row>
    <row r="4343" s="27" customFormat="1" ht="23" hidden="1" customHeight="1" spans="1:25">
      <c r="A4343" s="133" t="str">
        <f>IF(B4343="","",COUNTA($B$5:B4343))</f>
        <v/>
      </c>
      <c r="B4343" s="148"/>
      <c r="C4343" s="22" t="s">
        <v>49</v>
      </c>
      <c r="D4343" s="149"/>
      <c r="E4343" s="150"/>
      <c r="F4343" s="151"/>
      <c r="G4343" s="151"/>
      <c r="H4343" s="142">
        <f>IFERROR(VLOOKUP($C4343,$C$5:$H$18,6,0)+SUMIF($C$19:$C4343,$C4343,$F$19:$F4343)-SUMIF($C$19:$C4343,$C4343,$G$19:$G4343),"")</f>
        <v>81211.819999998</v>
      </c>
      <c r="I4343" s="147"/>
      <c r="J4343" s="147"/>
      <c r="K4343" s="147" t="str">
        <f t="shared" si="67"/>
        <v/>
      </c>
      <c r="L4343" s="40"/>
      <c r="M4343"/>
      <c r="N4343"/>
      <c r="O4343"/>
      <c r="P4343"/>
      <c r="Q4343"/>
      <c r="R4343"/>
      <c r="S4343"/>
      <c r="T4343"/>
      <c r="U4343"/>
      <c r="V4343"/>
      <c r="W4343" s="41"/>
      <c r="X4343" s="41"/>
      <c r="Y4343" s="41"/>
    </row>
    <row r="4344" s="27" customFormat="1" ht="23" hidden="1" customHeight="1" spans="1:25">
      <c r="A4344" s="133" t="str">
        <f>IF(B4344="","",COUNTA($B$5:B4344))</f>
        <v/>
      </c>
      <c r="B4344" s="148"/>
      <c r="C4344" s="22" t="s">
        <v>49</v>
      </c>
      <c r="D4344" s="149"/>
      <c r="E4344" s="150"/>
      <c r="F4344" s="151"/>
      <c r="G4344" s="151"/>
      <c r="H4344" s="142">
        <f>IFERROR(VLOOKUP($C4344,$C$5:$H$18,6,0)+SUMIF($C$19:$C4344,$C4344,$F$19:$F4344)-SUMIF($C$19:$C4344,$C4344,$G$19:$G4344),"")</f>
        <v>81211.819999998</v>
      </c>
      <c r="I4344" s="147"/>
      <c r="J4344" s="147"/>
      <c r="K4344" s="147" t="str">
        <f t="shared" si="67"/>
        <v/>
      </c>
      <c r="L4344" s="40"/>
      <c r="M4344"/>
      <c r="N4344"/>
      <c r="O4344"/>
      <c r="P4344"/>
      <c r="Q4344"/>
      <c r="R4344"/>
      <c r="S4344"/>
      <c r="T4344"/>
      <c r="U4344"/>
      <c r="V4344"/>
      <c r="W4344" s="41"/>
      <c r="X4344" s="41"/>
      <c r="Y4344" s="41"/>
    </row>
    <row r="4345" s="27" customFormat="1" ht="23" hidden="1" customHeight="1" spans="1:25">
      <c r="A4345" s="133" t="str">
        <f>IF(B4345="","",COUNTA($B$5:B4345))</f>
        <v/>
      </c>
      <c r="B4345" s="148"/>
      <c r="C4345" s="22" t="s">
        <v>49</v>
      </c>
      <c r="D4345" s="149"/>
      <c r="E4345" s="150"/>
      <c r="F4345" s="151"/>
      <c r="G4345" s="151"/>
      <c r="H4345" s="142">
        <f>IFERROR(VLOOKUP($C4345,$C$5:$H$18,6,0)+SUMIF($C$19:$C4345,$C4345,$F$19:$F4345)-SUMIF($C$19:$C4345,$C4345,$G$19:$G4345),"")</f>
        <v>81211.819999998</v>
      </c>
      <c r="I4345" s="147"/>
      <c r="J4345" s="147"/>
      <c r="K4345" s="147" t="str">
        <f t="shared" si="67"/>
        <v/>
      </c>
      <c r="L4345" s="40"/>
      <c r="M4345"/>
      <c r="N4345"/>
      <c r="O4345"/>
      <c r="P4345"/>
      <c r="Q4345"/>
      <c r="R4345"/>
      <c r="S4345"/>
      <c r="T4345"/>
      <c r="U4345"/>
      <c r="V4345"/>
      <c r="W4345" s="41"/>
      <c r="X4345" s="41"/>
      <c r="Y4345" s="41"/>
    </row>
    <row r="4346" s="27" customFormat="1" ht="23" hidden="1" customHeight="1" spans="1:25">
      <c r="A4346" s="133" t="str">
        <f>IF(B4346="","",COUNTA($B$5:B4346))</f>
        <v/>
      </c>
      <c r="B4346" s="148"/>
      <c r="C4346" s="22" t="s">
        <v>49</v>
      </c>
      <c r="D4346" s="149"/>
      <c r="E4346" s="150"/>
      <c r="F4346" s="151"/>
      <c r="G4346" s="151"/>
      <c r="H4346" s="142">
        <f>IFERROR(VLOOKUP($C4346,$C$5:$H$18,6,0)+SUMIF($C$19:$C4346,$C4346,$F$19:$F4346)-SUMIF($C$19:$C4346,$C4346,$G$19:$G4346),"")</f>
        <v>81211.819999998</v>
      </c>
      <c r="I4346" s="147"/>
      <c r="J4346" s="147"/>
      <c r="K4346" s="147" t="str">
        <f t="shared" si="67"/>
        <v/>
      </c>
      <c r="L4346" s="40"/>
      <c r="M4346"/>
      <c r="N4346"/>
      <c r="O4346"/>
      <c r="P4346"/>
      <c r="Q4346"/>
      <c r="R4346"/>
      <c r="S4346"/>
      <c r="T4346"/>
      <c r="U4346"/>
      <c r="V4346"/>
      <c r="W4346" s="41"/>
      <c r="X4346" s="41"/>
      <c r="Y4346" s="41"/>
    </row>
    <row r="4347" s="27" customFormat="1" ht="23" hidden="1" customHeight="1" spans="1:25">
      <c r="A4347" s="133" t="str">
        <f>IF(B4347="","",COUNTA($B$5:B4347))</f>
        <v/>
      </c>
      <c r="B4347" s="148"/>
      <c r="C4347" s="22" t="s">
        <v>49</v>
      </c>
      <c r="D4347" s="149"/>
      <c r="E4347" s="150"/>
      <c r="F4347" s="151"/>
      <c r="G4347" s="151"/>
      <c r="H4347" s="142">
        <f>IFERROR(VLOOKUP($C4347,$C$5:$H$18,6,0)+SUMIF($C$19:$C4347,$C4347,$F$19:$F4347)-SUMIF($C$19:$C4347,$C4347,$G$19:$G4347),"")</f>
        <v>81211.819999998</v>
      </c>
      <c r="I4347" s="147"/>
      <c r="J4347" s="147"/>
      <c r="K4347" s="147" t="str">
        <f t="shared" si="67"/>
        <v/>
      </c>
      <c r="L4347" s="40"/>
      <c r="M4347"/>
      <c r="N4347"/>
      <c r="O4347"/>
      <c r="P4347"/>
      <c r="Q4347"/>
      <c r="R4347"/>
      <c r="S4347"/>
      <c r="T4347"/>
      <c r="U4347"/>
      <c r="V4347"/>
      <c r="W4347" s="41"/>
      <c r="X4347" s="41"/>
      <c r="Y4347" s="41"/>
    </row>
    <row r="4348" s="27" customFormat="1" ht="23" hidden="1" customHeight="1" spans="1:25">
      <c r="A4348" s="133" t="str">
        <f>IF(B4348="","",COUNTA($B$5:B4348))</f>
        <v/>
      </c>
      <c r="B4348" s="148"/>
      <c r="C4348" s="22" t="s">
        <v>49</v>
      </c>
      <c r="D4348" s="149"/>
      <c r="E4348" s="150"/>
      <c r="F4348" s="151"/>
      <c r="G4348" s="151"/>
      <c r="H4348" s="142">
        <f>IFERROR(VLOOKUP($C4348,$C$5:$H$18,6,0)+SUMIF($C$19:$C4348,$C4348,$F$19:$F4348)-SUMIF($C$19:$C4348,$C4348,$G$19:$G4348),"")</f>
        <v>81211.819999998</v>
      </c>
      <c r="I4348" s="147"/>
      <c r="J4348" s="147"/>
      <c r="K4348" s="147" t="str">
        <f t="shared" si="67"/>
        <v/>
      </c>
      <c r="L4348" s="40"/>
      <c r="M4348"/>
      <c r="N4348"/>
      <c r="O4348"/>
      <c r="P4348"/>
      <c r="Q4348"/>
      <c r="R4348"/>
      <c r="S4348"/>
      <c r="T4348"/>
      <c r="U4348"/>
      <c r="V4348"/>
      <c r="W4348" s="41"/>
      <c r="X4348" s="41"/>
      <c r="Y4348" s="41"/>
    </row>
    <row r="4349" s="27" customFormat="1" ht="23" hidden="1" customHeight="1" spans="1:25">
      <c r="A4349" s="133" t="str">
        <f>IF(B4349="","",COUNTA($B$5:B4349))</f>
        <v/>
      </c>
      <c r="B4349" s="148"/>
      <c r="C4349" s="22" t="s">
        <v>49</v>
      </c>
      <c r="D4349" s="149"/>
      <c r="E4349" s="150"/>
      <c r="F4349" s="151"/>
      <c r="G4349" s="151"/>
      <c r="H4349" s="142">
        <f>IFERROR(VLOOKUP($C4349,$C$5:$H$18,6,0)+SUMIF($C$19:$C4349,$C4349,$F$19:$F4349)-SUMIF($C$19:$C4349,$C4349,$G$19:$G4349),"")</f>
        <v>81211.819999998</v>
      </c>
      <c r="I4349" s="147"/>
      <c r="J4349" s="147"/>
      <c r="K4349" s="147" t="str">
        <f t="shared" si="67"/>
        <v/>
      </c>
      <c r="L4349" s="40"/>
      <c r="M4349"/>
      <c r="N4349"/>
      <c r="O4349"/>
      <c r="P4349"/>
      <c r="Q4349"/>
      <c r="R4349"/>
      <c r="S4349"/>
      <c r="T4349"/>
      <c r="U4349"/>
      <c r="V4349"/>
      <c r="W4349" s="41"/>
      <c r="X4349" s="41"/>
      <c r="Y4349" s="41"/>
    </row>
    <row r="4350" s="27" customFormat="1" ht="23" hidden="1" customHeight="1" spans="1:25">
      <c r="A4350" s="133" t="str">
        <f>IF(B4350="","",COUNTA($B$5:B4350))</f>
        <v/>
      </c>
      <c r="B4350" s="148"/>
      <c r="C4350" s="22" t="s">
        <v>49</v>
      </c>
      <c r="D4350" s="149"/>
      <c r="E4350" s="150"/>
      <c r="F4350" s="151"/>
      <c r="G4350" s="151"/>
      <c r="H4350" s="142">
        <f>IFERROR(VLOOKUP($C4350,$C$5:$H$18,6,0)+SUMIF($C$19:$C4350,$C4350,$F$19:$F4350)-SUMIF($C$19:$C4350,$C4350,$G$19:$G4350),"")</f>
        <v>81211.819999998</v>
      </c>
      <c r="I4350" s="147"/>
      <c r="J4350" s="147"/>
      <c r="K4350" s="147" t="str">
        <f t="shared" si="67"/>
        <v/>
      </c>
      <c r="L4350" s="40"/>
      <c r="M4350"/>
      <c r="N4350"/>
      <c r="O4350"/>
      <c r="P4350"/>
      <c r="Q4350"/>
      <c r="R4350"/>
      <c r="S4350"/>
      <c r="T4350"/>
      <c r="U4350"/>
      <c r="V4350"/>
      <c r="W4350" s="41"/>
      <c r="X4350" s="41"/>
      <c r="Y4350" s="41"/>
    </row>
    <row r="4351" s="27" customFormat="1" ht="23" hidden="1" customHeight="1" spans="1:25">
      <c r="A4351" s="133" t="str">
        <f>IF(B4351="","",COUNTA($B$5:B4351))</f>
        <v/>
      </c>
      <c r="B4351" s="148"/>
      <c r="C4351" s="22" t="s">
        <v>49</v>
      </c>
      <c r="D4351" s="149"/>
      <c r="E4351" s="150"/>
      <c r="F4351" s="151"/>
      <c r="G4351" s="151"/>
      <c r="H4351" s="142">
        <f>IFERROR(VLOOKUP($C4351,$C$5:$H$18,6,0)+SUMIF($C$19:$C4351,$C4351,$F$19:$F4351)-SUMIF($C$19:$C4351,$C4351,$G$19:$G4351),"")</f>
        <v>81211.819999998</v>
      </c>
      <c r="I4351" s="147"/>
      <c r="J4351" s="147"/>
      <c r="K4351" s="147" t="str">
        <f t="shared" si="67"/>
        <v/>
      </c>
      <c r="L4351" s="40"/>
      <c r="M4351"/>
      <c r="N4351"/>
      <c r="O4351"/>
      <c r="P4351"/>
      <c r="Q4351"/>
      <c r="R4351"/>
      <c r="S4351"/>
      <c r="T4351"/>
      <c r="U4351"/>
      <c r="V4351"/>
      <c r="W4351" s="41"/>
      <c r="X4351" s="41"/>
      <c r="Y4351" s="41"/>
    </row>
    <row r="4352" s="27" customFormat="1" ht="23" hidden="1" customHeight="1" spans="1:25">
      <c r="A4352" s="133" t="str">
        <f>IF(B4352="","",COUNTA($B$5:B4352))</f>
        <v/>
      </c>
      <c r="B4352" s="148"/>
      <c r="C4352" s="22" t="s">
        <v>49</v>
      </c>
      <c r="D4352" s="149"/>
      <c r="E4352" s="150"/>
      <c r="F4352" s="151"/>
      <c r="G4352" s="151"/>
      <c r="H4352" s="142">
        <f>IFERROR(VLOOKUP($C4352,$C$5:$H$18,6,0)+SUMIF($C$19:$C4352,$C4352,$F$19:$F4352)-SUMIF($C$19:$C4352,$C4352,$G$19:$G4352),"")</f>
        <v>81211.819999998</v>
      </c>
      <c r="I4352" s="147"/>
      <c r="J4352" s="147"/>
      <c r="K4352" s="147" t="str">
        <f t="shared" si="67"/>
        <v/>
      </c>
      <c r="L4352" s="40"/>
      <c r="M4352"/>
      <c r="N4352"/>
      <c r="O4352"/>
      <c r="P4352"/>
      <c r="Q4352"/>
      <c r="R4352"/>
      <c r="S4352"/>
      <c r="T4352"/>
      <c r="U4352"/>
      <c r="V4352"/>
      <c r="W4352" s="41"/>
      <c r="X4352" s="41"/>
      <c r="Y4352" s="41"/>
    </row>
    <row r="4353" s="27" customFormat="1" ht="23" hidden="1" customHeight="1" spans="1:25">
      <c r="A4353" s="133" t="str">
        <f>IF(B4353="","",COUNTA($B$5:B4353))</f>
        <v/>
      </c>
      <c r="B4353" s="148"/>
      <c r="C4353" s="22" t="s">
        <v>49</v>
      </c>
      <c r="D4353" s="149"/>
      <c r="E4353" s="150"/>
      <c r="F4353" s="151"/>
      <c r="G4353" s="151"/>
      <c r="H4353" s="142">
        <f>IFERROR(VLOOKUP($C4353,$C$5:$H$18,6,0)+SUMIF($C$19:$C4353,$C4353,$F$19:$F4353)-SUMIF($C$19:$C4353,$C4353,$G$19:$G4353),"")</f>
        <v>81211.819999998</v>
      </c>
      <c r="I4353" s="147"/>
      <c r="J4353" s="147"/>
      <c r="K4353" s="147" t="str">
        <f t="shared" si="67"/>
        <v/>
      </c>
      <c r="L4353" s="40"/>
      <c r="M4353"/>
      <c r="N4353"/>
      <c r="O4353"/>
      <c r="P4353"/>
      <c r="Q4353"/>
      <c r="R4353"/>
      <c r="S4353"/>
      <c r="T4353"/>
      <c r="U4353"/>
      <c r="V4353"/>
      <c r="W4353" s="41"/>
      <c r="X4353" s="41"/>
      <c r="Y4353" s="41"/>
    </row>
    <row r="4354" s="27" customFormat="1" ht="23" hidden="1" customHeight="1" spans="1:25">
      <c r="A4354" s="133" t="str">
        <f>IF(B4354="","",COUNTA($B$5:B4354))</f>
        <v/>
      </c>
      <c r="B4354" s="148"/>
      <c r="C4354" s="22" t="s">
        <v>49</v>
      </c>
      <c r="D4354" s="149"/>
      <c r="E4354" s="150"/>
      <c r="F4354" s="151"/>
      <c r="G4354" s="151"/>
      <c r="H4354" s="142">
        <f>IFERROR(VLOOKUP($C4354,$C$5:$H$18,6,0)+SUMIF($C$19:$C4354,$C4354,$F$19:$F4354)-SUMIF($C$19:$C4354,$C4354,$G$19:$G4354),"")</f>
        <v>81211.819999998</v>
      </c>
      <c r="I4354" s="147"/>
      <c r="J4354" s="147"/>
      <c r="K4354" s="147" t="str">
        <f t="shared" si="67"/>
        <v/>
      </c>
      <c r="L4354" s="40"/>
      <c r="M4354"/>
      <c r="N4354"/>
      <c r="O4354"/>
      <c r="P4354"/>
      <c r="Q4354"/>
      <c r="R4354"/>
      <c r="S4354"/>
      <c r="T4354"/>
      <c r="U4354"/>
      <c r="V4354"/>
      <c r="W4354" s="41"/>
      <c r="X4354" s="41"/>
      <c r="Y4354" s="41"/>
    </row>
    <row r="4355" s="27" customFormat="1" ht="23" hidden="1" customHeight="1" spans="1:25">
      <c r="A4355" s="133" t="str">
        <f>IF(B4355="","",COUNTA($B$5:B4355))</f>
        <v/>
      </c>
      <c r="B4355" s="148"/>
      <c r="C4355" s="22" t="s">
        <v>49</v>
      </c>
      <c r="D4355" s="149"/>
      <c r="E4355" s="150"/>
      <c r="F4355" s="151"/>
      <c r="G4355" s="151"/>
      <c r="H4355" s="142">
        <f>IFERROR(VLOOKUP($C4355,$C$5:$H$18,6,0)+SUMIF($C$19:$C4355,$C4355,$F$19:$F4355)-SUMIF($C$19:$C4355,$C4355,$G$19:$G4355),"")</f>
        <v>81211.819999998</v>
      </c>
      <c r="I4355" s="147"/>
      <c r="J4355" s="147"/>
      <c r="K4355" s="147" t="str">
        <f t="shared" si="67"/>
        <v/>
      </c>
      <c r="L4355" s="40"/>
      <c r="M4355"/>
      <c r="N4355"/>
      <c r="O4355"/>
      <c r="P4355"/>
      <c r="Q4355"/>
      <c r="R4355"/>
      <c r="S4355"/>
      <c r="T4355"/>
      <c r="U4355"/>
      <c r="V4355"/>
      <c r="W4355" s="41"/>
      <c r="X4355" s="41"/>
      <c r="Y4355" s="41"/>
    </row>
    <row r="4356" s="27" customFormat="1" ht="23" hidden="1" customHeight="1" spans="1:25">
      <c r="A4356" s="133" t="str">
        <f>IF(B4356="","",COUNTA($B$5:B4356))</f>
        <v/>
      </c>
      <c r="B4356" s="148"/>
      <c r="C4356" s="22" t="s">
        <v>49</v>
      </c>
      <c r="D4356" s="149"/>
      <c r="E4356" s="150"/>
      <c r="F4356" s="151"/>
      <c r="G4356" s="151"/>
      <c r="H4356" s="142">
        <f>IFERROR(VLOOKUP($C4356,$C$5:$H$18,6,0)+SUMIF($C$19:$C4356,$C4356,$F$19:$F4356)-SUMIF($C$19:$C4356,$C4356,$G$19:$G4356),"")</f>
        <v>81211.819999998</v>
      </c>
      <c r="I4356" s="147"/>
      <c r="J4356" s="147"/>
      <c r="K4356" s="147" t="str">
        <f t="shared" si="67"/>
        <v/>
      </c>
      <c r="L4356" s="40"/>
      <c r="M4356"/>
      <c r="N4356"/>
      <c r="O4356"/>
      <c r="P4356"/>
      <c r="Q4356"/>
      <c r="R4356"/>
      <c r="S4356"/>
      <c r="T4356"/>
      <c r="U4356"/>
      <c r="V4356"/>
      <c r="W4356" s="41"/>
      <c r="X4356" s="41"/>
      <c r="Y4356" s="41"/>
    </row>
    <row r="4357" s="27" customFormat="1" ht="23" hidden="1" customHeight="1" spans="1:25">
      <c r="A4357" s="133" t="str">
        <f>IF(B4357="","",COUNTA($B$5:B4357))</f>
        <v/>
      </c>
      <c r="B4357" s="148"/>
      <c r="C4357" s="22" t="s">
        <v>49</v>
      </c>
      <c r="D4357" s="149"/>
      <c r="E4357" s="150"/>
      <c r="F4357" s="151"/>
      <c r="G4357" s="151"/>
      <c r="H4357" s="142">
        <f>IFERROR(VLOOKUP($C4357,$C$5:$H$18,6,0)+SUMIF($C$19:$C4357,$C4357,$F$19:$F4357)-SUMIF($C$19:$C4357,$C4357,$G$19:$G4357),"")</f>
        <v>81211.819999998</v>
      </c>
      <c r="I4357" s="147"/>
      <c r="J4357" s="147"/>
      <c r="K4357" s="147" t="str">
        <f t="shared" ref="K4357:K4420" si="68">IF($B4357="","",--TEXT($B4357,"yyyymm"))</f>
        <v/>
      </c>
      <c r="L4357" s="40"/>
      <c r="M4357"/>
      <c r="N4357"/>
      <c r="O4357"/>
      <c r="P4357"/>
      <c r="Q4357"/>
      <c r="R4357"/>
      <c r="S4357"/>
      <c r="T4357"/>
      <c r="U4357"/>
      <c r="V4357"/>
      <c r="W4357" s="41"/>
      <c r="X4357" s="41"/>
      <c r="Y4357" s="41"/>
    </row>
    <row r="4358" s="27" customFormat="1" ht="23" hidden="1" customHeight="1" spans="1:25">
      <c r="A4358" s="133" t="str">
        <f>IF(B4358="","",COUNTA($B$5:B4358))</f>
        <v/>
      </c>
      <c r="B4358" s="148"/>
      <c r="C4358" s="22" t="s">
        <v>49</v>
      </c>
      <c r="D4358" s="149"/>
      <c r="E4358" s="150"/>
      <c r="F4358" s="151"/>
      <c r="G4358" s="151"/>
      <c r="H4358" s="142">
        <f>IFERROR(VLOOKUP($C4358,$C$5:$H$18,6,0)+SUMIF($C$19:$C4358,$C4358,$F$19:$F4358)-SUMIF($C$19:$C4358,$C4358,$G$19:$G4358),"")</f>
        <v>81211.819999998</v>
      </c>
      <c r="I4358" s="147"/>
      <c r="J4358" s="147"/>
      <c r="K4358" s="147" t="str">
        <f t="shared" si="68"/>
        <v/>
      </c>
      <c r="L4358" s="40"/>
      <c r="M4358"/>
      <c r="N4358"/>
      <c r="O4358"/>
      <c r="P4358"/>
      <c r="Q4358"/>
      <c r="R4358"/>
      <c r="S4358"/>
      <c r="T4358"/>
      <c r="U4358"/>
      <c r="V4358"/>
      <c r="W4358" s="41"/>
      <c r="X4358" s="41"/>
      <c r="Y4358" s="41"/>
    </row>
    <row r="4359" s="27" customFormat="1" ht="23" hidden="1" customHeight="1" spans="1:25">
      <c r="A4359" s="133" t="str">
        <f>IF(B4359="","",COUNTA($B$5:B4359))</f>
        <v/>
      </c>
      <c r="B4359" s="148"/>
      <c r="C4359" s="22" t="s">
        <v>49</v>
      </c>
      <c r="D4359" s="149"/>
      <c r="E4359" s="150"/>
      <c r="F4359" s="151"/>
      <c r="G4359" s="151"/>
      <c r="H4359" s="142">
        <f>IFERROR(VLOOKUP($C4359,$C$5:$H$18,6,0)+SUMIF($C$19:$C4359,$C4359,$F$19:$F4359)-SUMIF($C$19:$C4359,$C4359,$G$19:$G4359),"")</f>
        <v>81211.819999998</v>
      </c>
      <c r="I4359" s="147"/>
      <c r="J4359" s="147"/>
      <c r="K4359" s="147" t="str">
        <f t="shared" si="68"/>
        <v/>
      </c>
      <c r="L4359" s="40"/>
      <c r="M4359"/>
      <c r="N4359"/>
      <c r="O4359"/>
      <c r="P4359"/>
      <c r="Q4359"/>
      <c r="R4359"/>
      <c r="S4359"/>
      <c r="T4359"/>
      <c r="U4359"/>
      <c r="V4359"/>
      <c r="W4359" s="41"/>
      <c r="X4359" s="41"/>
      <c r="Y4359" s="41"/>
    </row>
    <row r="4360" s="27" customFormat="1" ht="23" hidden="1" customHeight="1" spans="1:25">
      <c r="A4360" s="133" t="str">
        <f>IF(B4360="","",COUNTA($B$5:B4360))</f>
        <v/>
      </c>
      <c r="B4360" s="148"/>
      <c r="C4360" s="22" t="s">
        <v>49</v>
      </c>
      <c r="D4360" s="149"/>
      <c r="E4360" s="150"/>
      <c r="F4360" s="151"/>
      <c r="G4360" s="151"/>
      <c r="H4360" s="142">
        <f>IFERROR(VLOOKUP($C4360,$C$5:$H$18,6,0)+SUMIF($C$19:$C4360,$C4360,$F$19:$F4360)-SUMIF($C$19:$C4360,$C4360,$G$19:$G4360),"")</f>
        <v>81211.819999998</v>
      </c>
      <c r="I4360" s="147"/>
      <c r="J4360" s="147"/>
      <c r="K4360" s="147" t="str">
        <f t="shared" si="68"/>
        <v/>
      </c>
      <c r="L4360" s="40"/>
      <c r="M4360"/>
      <c r="N4360"/>
      <c r="O4360"/>
      <c r="P4360"/>
      <c r="Q4360"/>
      <c r="R4360"/>
      <c r="S4360"/>
      <c r="T4360"/>
      <c r="U4360"/>
      <c r="V4360"/>
      <c r="W4360" s="41"/>
      <c r="X4360" s="41"/>
      <c r="Y4360" s="41"/>
    </row>
    <row r="4361" s="27" customFormat="1" ht="23" hidden="1" customHeight="1" spans="1:25">
      <c r="A4361" s="133" t="str">
        <f>IF(B4361="","",COUNTA($B$5:B4361))</f>
        <v/>
      </c>
      <c r="B4361" s="148"/>
      <c r="C4361" s="22" t="s">
        <v>49</v>
      </c>
      <c r="D4361" s="149"/>
      <c r="E4361" s="150"/>
      <c r="F4361" s="151"/>
      <c r="G4361" s="151"/>
      <c r="H4361" s="142">
        <f>IFERROR(VLOOKUP($C4361,$C$5:$H$18,6,0)+SUMIF($C$19:$C4361,$C4361,$F$19:$F4361)-SUMIF($C$19:$C4361,$C4361,$G$19:$G4361),"")</f>
        <v>81211.819999998</v>
      </c>
      <c r="I4361" s="147"/>
      <c r="J4361" s="147"/>
      <c r="K4361" s="147" t="str">
        <f t="shared" si="68"/>
        <v/>
      </c>
      <c r="L4361" s="40"/>
      <c r="M4361"/>
      <c r="N4361"/>
      <c r="O4361"/>
      <c r="P4361"/>
      <c r="Q4361"/>
      <c r="R4361"/>
      <c r="S4361"/>
      <c r="T4361"/>
      <c r="U4361"/>
      <c r="V4361"/>
      <c r="W4361" s="41"/>
      <c r="X4361" s="41"/>
      <c r="Y4361" s="41"/>
    </row>
    <row r="4362" s="27" customFormat="1" ht="23" hidden="1" customHeight="1" spans="1:25">
      <c r="A4362" s="133" t="str">
        <f>IF(B4362="","",COUNTA($B$5:B4362))</f>
        <v/>
      </c>
      <c r="B4362" s="148"/>
      <c r="C4362" s="22" t="s">
        <v>49</v>
      </c>
      <c r="D4362" s="149"/>
      <c r="E4362" s="150"/>
      <c r="F4362" s="151"/>
      <c r="G4362" s="151"/>
      <c r="H4362" s="142">
        <f>IFERROR(VLOOKUP($C4362,$C$5:$H$18,6,0)+SUMIF($C$19:$C4362,$C4362,$F$19:$F4362)-SUMIF($C$19:$C4362,$C4362,$G$19:$G4362),"")</f>
        <v>81211.819999998</v>
      </c>
      <c r="I4362" s="147"/>
      <c r="J4362" s="147"/>
      <c r="K4362" s="147" t="str">
        <f t="shared" si="68"/>
        <v/>
      </c>
      <c r="L4362" s="40"/>
      <c r="M4362"/>
      <c r="N4362"/>
      <c r="O4362"/>
      <c r="P4362"/>
      <c r="Q4362"/>
      <c r="R4362"/>
      <c r="S4362"/>
      <c r="T4362"/>
      <c r="U4362"/>
      <c r="V4362"/>
      <c r="W4362" s="41"/>
      <c r="X4362" s="41"/>
      <c r="Y4362" s="41"/>
    </row>
    <row r="4363" s="27" customFormat="1" ht="23" hidden="1" customHeight="1" spans="1:25">
      <c r="A4363" s="133" t="str">
        <f>IF(B4363="","",COUNTA($B$5:B4363))</f>
        <v/>
      </c>
      <c r="B4363" s="148"/>
      <c r="C4363" s="22" t="s">
        <v>49</v>
      </c>
      <c r="D4363" s="149"/>
      <c r="E4363" s="150"/>
      <c r="F4363" s="151"/>
      <c r="G4363" s="151"/>
      <c r="H4363" s="142">
        <f>IFERROR(VLOOKUP($C4363,$C$5:$H$18,6,0)+SUMIF($C$19:$C4363,$C4363,$F$19:$F4363)-SUMIF($C$19:$C4363,$C4363,$G$19:$G4363),"")</f>
        <v>81211.819999998</v>
      </c>
      <c r="I4363" s="147"/>
      <c r="J4363" s="147"/>
      <c r="K4363" s="147" t="str">
        <f t="shared" si="68"/>
        <v/>
      </c>
      <c r="L4363" s="40"/>
      <c r="M4363"/>
      <c r="N4363"/>
      <c r="O4363"/>
      <c r="P4363"/>
      <c r="Q4363"/>
      <c r="R4363"/>
      <c r="S4363"/>
      <c r="T4363"/>
      <c r="U4363"/>
      <c r="V4363"/>
      <c r="W4363" s="41"/>
      <c r="X4363" s="41"/>
      <c r="Y4363" s="41"/>
    </row>
    <row r="4364" s="27" customFormat="1" ht="23" hidden="1" customHeight="1" spans="1:25">
      <c r="A4364" s="133" t="str">
        <f>IF(B4364="","",COUNTA($B$5:B4364))</f>
        <v/>
      </c>
      <c r="B4364" s="148"/>
      <c r="C4364" s="22" t="s">
        <v>49</v>
      </c>
      <c r="D4364" s="149"/>
      <c r="E4364" s="150"/>
      <c r="F4364" s="151"/>
      <c r="G4364" s="151"/>
      <c r="H4364" s="142">
        <f>IFERROR(VLOOKUP($C4364,$C$5:$H$18,6,0)+SUMIF($C$19:$C4364,$C4364,$F$19:$F4364)-SUMIF($C$19:$C4364,$C4364,$G$19:$G4364),"")</f>
        <v>81211.819999998</v>
      </c>
      <c r="I4364" s="147"/>
      <c r="J4364" s="147"/>
      <c r="K4364" s="147" t="str">
        <f t="shared" si="68"/>
        <v/>
      </c>
      <c r="L4364" s="40"/>
      <c r="M4364"/>
      <c r="N4364"/>
      <c r="O4364"/>
      <c r="P4364"/>
      <c r="Q4364"/>
      <c r="R4364"/>
      <c r="S4364"/>
      <c r="T4364"/>
      <c r="U4364"/>
      <c r="V4364"/>
      <c r="W4364" s="41"/>
      <c r="X4364" s="41"/>
      <c r="Y4364" s="41"/>
    </row>
    <row r="4365" s="27" customFormat="1" ht="23" hidden="1" customHeight="1" spans="1:25">
      <c r="A4365" s="133" t="str">
        <f>IF(B4365="","",COUNTA($B$5:B4365))</f>
        <v/>
      </c>
      <c r="B4365" s="148"/>
      <c r="C4365" s="22" t="s">
        <v>49</v>
      </c>
      <c r="D4365" s="149"/>
      <c r="E4365" s="150"/>
      <c r="F4365" s="151"/>
      <c r="G4365" s="151"/>
      <c r="H4365" s="142">
        <f>IFERROR(VLOOKUP($C4365,$C$5:$H$18,6,0)+SUMIF($C$19:$C4365,$C4365,$F$19:$F4365)-SUMIF($C$19:$C4365,$C4365,$G$19:$G4365),"")</f>
        <v>81211.819999998</v>
      </c>
      <c r="I4365" s="147"/>
      <c r="J4365" s="147"/>
      <c r="K4365" s="147" t="str">
        <f t="shared" si="68"/>
        <v/>
      </c>
      <c r="L4365" s="40"/>
      <c r="M4365"/>
      <c r="N4365"/>
      <c r="O4365"/>
      <c r="P4365"/>
      <c r="Q4365"/>
      <c r="R4365"/>
      <c r="S4365"/>
      <c r="T4365"/>
      <c r="U4365"/>
      <c r="V4365"/>
      <c r="W4365" s="41"/>
      <c r="X4365" s="41"/>
      <c r="Y4365" s="41"/>
    </row>
    <row r="4366" s="27" customFormat="1" ht="23" hidden="1" customHeight="1" spans="1:25">
      <c r="A4366" s="133" t="str">
        <f>IF(B4366="","",COUNTA($B$5:B4366))</f>
        <v/>
      </c>
      <c r="B4366" s="148"/>
      <c r="C4366" s="22" t="s">
        <v>49</v>
      </c>
      <c r="D4366" s="149"/>
      <c r="E4366" s="150"/>
      <c r="F4366" s="151"/>
      <c r="G4366" s="151"/>
      <c r="H4366" s="142">
        <f>IFERROR(VLOOKUP($C4366,$C$5:$H$18,6,0)+SUMIF($C$19:$C4366,$C4366,$F$19:$F4366)-SUMIF($C$19:$C4366,$C4366,$G$19:$G4366),"")</f>
        <v>81211.819999998</v>
      </c>
      <c r="I4366" s="147"/>
      <c r="J4366" s="147"/>
      <c r="K4366" s="147" t="str">
        <f t="shared" si="68"/>
        <v/>
      </c>
      <c r="L4366" s="40"/>
      <c r="M4366"/>
      <c r="N4366"/>
      <c r="O4366"/>
      <c r="P4366"/>
      <c r="Q4366"/>
      <c r="R4366"/>
      <c r="S4366"/>
      <c r="T4366"/>
      <c r="U4366"/>
      <c r="V4366"/>
      <c r="W4366" s="41"/>
      <c r="X4366" s="41"/>
      <c r="Y4366" s="41"/>
    </row>
    <row r="4367" s="27" customFormat="1" ht="23" hidden="1" customHeight="1" spans="1:25">
      <c r="A4367" s="133" t="str">
        <f>IF(B4367="","",COUNTA($B$5:B4367))</f>
        <v/>
      </c>
      <c r="B4367" s="148"/>
      <c r="C4367" s="22" t="s">
        <v>49</v>
      </c>
      <c r="D4367" s="149"/>
      <c r="E4367" s="150"/>
      <c r="F4367" s="151"/>
      <c r="G4367" s="151"/>
      <c r="H4367" s="142">
        <f>IFERROR(VLOOKUP($C4367,$C$5:$H$18,6,0)+SUMIF($C$19:$C4367,$C4367,$F$19:$F4367)-SUMIF($C$19:$C4367,$C4367,$G$19:$G4367),"")</f>
        <v>81211.819999998</v>
      </c>
      <c r="I4367" s="147"/>
      <c r="J4367" s="147"/>
      <c r="K4367" s="147" t="str">
        <f t="shared" si="68"/>
        <v/>
      </c>
      <c r="L4367" s="40"/>
      <c r="M4367"/>
      <c r="N4367"/>
      <c r="O4367"/>
      <c r="P4367"/>
      <c r="Q4367"/>
      <c r="R4367"/>
      <c r="S4367"/>
      <c r="T4367"/>
      <c r="U4367"/>
      <c r="V4367"/>
      <c r="W4367" s="41"/>
      <c r="X4367" s="41"/>
      <c r="Y4367" s="41"/>
    </row>
    <row r="4368" s="27" customFormat="1" ht="23" hidden="1" customHeight="1" spans="1:25">
      <c r="A4368" s="133" t="str">
        <f>IF(B4368="","",COUNTA($B$5:B4368))</f>
        <v/>
      </c>
      <c r="B4368" s="148"/>
      <c r="C4368" s="22" t="s">
        <v>49</v>
      </c>
      <c r="D4368" s="149"/>
      <c r="E4368" s="150"/>
      <c r="F4368" s="151"/>
      <c r="G4368" s="151"/>
      <c r="H4368" s="142">
        <f>IFERROR(VLOOKUP($C4368,$C$5:$H$18,6,0)+SUMIF($C$19:$C4368,$C4368,$F$19:$F4368)-SUMIF($C$19:$C4368,$C4368,$G$19:$G4368),"")</f>
        <v>81211.819999998</v>
      </c>
      <c r="I4368" s="147"/>
      <c r="J4368" s="147"/>
      <c r="K4368" s="147" t="str">
        <f t="shared" si="68"/>
        <v/>
      </c>
      <c r="L4368" s="40"/>
      <c r="M4368"/>
      <c r="N4368"/>
      <c r="O4368"/>
      <c r="P4368"/>
      <c r="Q4368"/>
      <c r="R4368"/>
      <c r="S4368"/>
      <c r="T4368"/>
      <c r="U4368"/>
      <c r="V4368"/>
      <c r="W4368" s="41"/>
      <c r="X4368" s="41"/>
      <c r="Y4368" s="41"/>
    </row>
    <row r="4369" s="27" customFormat="1" ht="23" hidden="1" customHeight="1" spans="1:25">
      <c r="A4369" s="133" t="str">
        <f>IF(B4369="","",COUNTA($B$5:B4369))</f>
        <v/>
      </c>
      <c r="B4369" s="148"/>
      <c r="C4369" s="22" t="s">
        <v>49</v>
      </c>
      <c r="D4369" s="149"/>
      <c r="E4369" s="150"/>
      <c r="F4369" s="151"/>
      <c r="G4369" s="151"/>
      <c r="H4369" s="142">
        <f>IFERROR(VLOOKUP($C4369,$C$5:$H$18,6,0)+SUMIF($C$19:$C4369,$C4369,$F$19:$F4369)-SUMIF($C$19:$C4369,$C4369,$G$19:$G4369),"")</f>
        <v>81211.819999998</v>
      </c>
      <c r="I4369" s="147"/>
      <c r="J4369" s="147"/>
      <c r="K4369" s="147" t="str">
        <f t="shared" si="68"/>
        <v/>
      </c>
      <c r="L4369" s="40"/>
      <c r="M4369"/>
      <c r="N4369"/>
      <c r="O4369"/>
      <c r="P4369"/>
      <c r="Q4369"/>
      <c r="R4369"/>
      <c r="S4369"/>
      <c r="T4369"/>
      <c r="U4369"/>
      <c r="V4369"/>
      <c r="W4369" s="41"/>
      <c r="X4369" s="41"/>
      <c r="Y4369" s="41"/>
    </row>
    <row r="4370" s="27" customFormat="1" ht="23" hidden="1" customHeight="1" spans="1:25">
      <c r="A4370" s="133" t="str">
        <f>IF(B4370="","",COUNTA($B$5:B4370))</f>
        <v/>
      </c>
      <c r="B4370" s="148"/>
      <c r="C4370" s="22" t="s">
        <v>49</v>
      </c>
      <c r="D4370" s="149"/>
      <c r="E4370" s="150"/>
      <c r="F4370" s="151"/>
      <c r="G4370" s="151"/>
      <c r="H4370" s="142">
        <f>IFERROR(VLOOKUP($C4370,$C$5:$H$18,6,0)+SUMIF($C$19:$C4370,$C4370,$F$19:$F4370)-SUMIF($C$19:$C4370,$C4370,$G$19:$G4370),"")</f>
        <v>81211.819999998</v>
      </c>
      <c r="I4370" s="147"/>
      <c r="J4370" s="147"/>
      <c r="K4370" s="147" t="str">
        <f t="shared" si="68"/>
        <v/>
      </c>
      <c r="L4370" s="40"/>
      <c r="M4370"/>
      <c r="N4370"/>
      <c r="O4370"/>
      <c r="P4370"/>
      <c r="Q4370"/>
      <c r="R4370"/>
      <c r="S4370"/>
      <c r="T4370"/>
      <c r="U4370"/>
      <c r="V4370"/>
      <c r="W4370" s="41"/>
      <c r="X4370" s="41"/>
      <c r="Y4370" s="41"/>
    </row>
    <row r="4371" s="27" customFormat="1" ht="23" hidden="1" customHeight="1" spans="1:25">
      <c r="A4371" s="133" t="str">
        <f>IF(B4371="","",COUNTA($B$5:B4371))</f>
        <v/>
      </c>
      <c r="B4371" s="148"/>
      <c r="C4371" s="22" t="s">
        <v>49</v>
      </c>
      <c r="D4371" s="149"/>
      <c r="E4371" s="150"/>
      <c r="F4371" s="151"/>
      <c r="G4371" s="151"/>
      <c r="H4371" s="142">
        <f>IFERROR(VLOOKUP($C4371,$C$5:$H$18,6,0)+SUMIF($C$19:$C4371,$C4371,$F$19:$F4371)-SUMIF($C$19:$C4371,$C4371,$G$19:$G4371),"")</f>
        <v>81211.819999998</v>
      </c>
      <c r="I4371" s="147"/>
      <c r="J4371" s="147"/>
      <c r="K4371" s="147" t="str">
        <f t="shared" si="68"/>
        <v/>
      </c>
      <c r="L4371" s="40"/>
      <c r="M4371"/>
      <c r="N4371"/>
      <c r="O4371"/>
      <c r="P4371"/>
      <c r="Q4371"/>
      <c r="R4371"/>
      <c r="S4371"/>
      <c r="T4371"/>
      <c r="U4371"/>
      <c r="V4371"/>
      <c r="W4371" s="41"/>
      <c r="X4371" s="41"/>
      <c r="Y4371" s="41"/>
    </row>
    <row r="4372" s="27" customFormat="1" ht="23" hidden="1" customHeight="1" spans="1:25">
      <c r="A4372" s="133" t="str">
        <f>IF(B4372="","",COUNTA($B$5:B4372))</f>
        <v/>
      </c>
      <c r="B4372" s="148"/>
      <c r="C4372" s="22" t="s">
        <v>49</v>
      </c>
      <c r="D4372" s="149"/>
      <c r="E4372" s="150"/>
      <c r="F4372" s="151"/>
      <c r="G4372" s="151"/>
      <c r="H4372" s="142">
        <f>IFERROR(VLOOKUP($C4372,$C$5:$H$18,6,0)+SUMIF($C$19:$C4372,$C4372,$F$19:$F4372)-SUMIF($C$19:$C4372,$C4372,$G$19:$G4372),"")</f>
        <v>81211.819999998</v>
      </c>
      <c r="I4372" s="147"/>
      <c r="J4372" s="147"/>
      <c r="K4372" s="147" t="str">
        <f t="shared" si="68"/>
        <v/>
      </c>
      <c r="L4372" s="40"/>
      <c r="M4372"/>
      <c r="N4372"/>
      <c r="O4372"/>
      <c r="P4372"/>
      <c r="Q4372"/>
      <c r="R4372"/>
      <c r="S4372"/>
      <c r="T4372"/>
      <c r="U4372"/>
      <c r="V4372"/>
      <c r="W4372" s="41"/>
      <c r="X4372" s="41"/>
      <c r="Y4372" s="41"/>
    </row>
    <row r="4373" s="27" customFormat="1" ht="23" hidden="1" customHeight="1" spans="1:25">
      <c r="A4373" s="133" t="str">
        <f>IF(B4373="","",COUNTA($B$5:B4373))</f>
        <v/>
      </c>
      <c r="B4373" s="148"/>
      <c r="C4373" s="22" t="s">
        <v>49</v>
      </c>
      <c r="D4373" s="149"/>
      <c r="E4373" s="150"/>
      <c r="F4373" s="151"/>
      <c r="G4373" s="151"/>
      <c r="H4373" s="142">
        <f>IFERROR(VLOOKUP($C4373,$C$5:$H$18,6,0)+SUMIF($C$19:$C4373,$C4373,$F$19:$F4373)-SUMIF($C$19:$C4373,$C4373,$G$19:$G4373),"")</f>
        <v>81211.819999998</v>
      </c>
      <c r="I4373" s="147"/>
      <c r="J4373" s="147"/>
      <c r="K4373" s="147" t="str">
        <f t="shared" si="68"/>
        <v/>
      </c>
      <c r="L4373" s="40"/>
      <c r="M4373"/>
      <c r="N4373"/>
      <c r="O4373"/>
      <c r="P4373"/>
      <c r="Q4373"/>
      <c r="R4373"/>
      <c r="S4373"/>
      <c r="T4373"/>
      <c r="U4373"/>
      <c r="V4373"/>
      <c r="W4373" s="41"/>
      <c r="X4373" s="41"/>
      <c r="Y4373" s="41"/>
    </row>
    <row r="4374" s="27" customFormat="1" ht="23" hidden="1" customHeight="1" spans="1:25">
      <c r="A4374" s="133" t="str">
        <f>IF(B4374="","",COUNTA($B$5:B4374))</f>
        <v/>
      </c>
      <c r="B4374" s="148"/>
      <c r="C4374" s="22" t="s">
        <v>49</v>
      </c>
      <c r="D4374" s="149"/>
      <c r="E4374" s="150"/>
      <c r="F4374" s="151"/>
      <c r="G4374" s="151"/>
      <c r="H4374" s="142">
        <f>IFERROR(VLOOKUP($C4374,$C$5:$H$18,6,0)+SUMIF($C$19:$C4374,$C4374,$F$19:$F4374)-SUMIF($C$19:$C4374,$C4374,$G$19:$G4374),"")</f>
        <v>81211.819999998</v>
      </c>
      <c r="I4374" s="147"/>
      <c r="J4374" s="147"/>
      <c r="K4374" s="147" t="str">
        <f t="shared" si="68"/>
        <v/>
      </c>
      <c r="L4374" s="40"/>
      <c r="M4374"/>
      <c r="N4374"/>
      <c r="O4374"/>
      <c r="P4374"/>
      <c r="Q4374"/>
      <c r="R4374"/>
      <c r="S4374"/>
      <c r="T4374"/>
      <c r="U4374"/>
      <c r="V4374"/>
      <c r="W4374" s="41"/>
      <c r="X4374" s="41"/>
      <c r="Y4374" s="41"/>
    </row>
    <row r="4375" s="27" customFormat="1" ht="23" hidden="1" customHeight="1" spans="1:25">
      <c r="A4375" s="133" t="str">
        <f>IF(B4375="","",COUNTA($B$5:B4375))</f>
        <v/>
      </c>
      <c r="B4375" s="148"/>
      <c r="C4375" s="22" t="s">
        <v>49</v>
      </c>
      <c r="D4375" s="149"/>
      <c r="E4375" s="150"/>
      <c r="F4375" s="151"/>
      <c r="G4375" s="151"/>
      <c r="H4375" s="142">
        <f>IFERROR(VLOOKUP($C4375,$C$5:$H$18,6,0)+SUMIF($C$19:$C4375,$C4375,$F$19:$F4375)-SUMIF($C$19:$C4375,$C4375,$G$19:$G4375),"")</f>
        <v>81211.819999998</v>
      </c>
      <c r="I4375" s="147"/>
      <c r="J4375" s="147"/>
      <c r="K4375" s="147" t="str">
        <f t="shared" si="68"/>
        <v/>
      </c>
      <c r="L4375" s="40"/>
      <c r="M4375"/>
      <c r="N4375"/>
      <c r="O4375"/>
      <c r="P4375"/>
      <c r="Q4375"/>
      <c r="R4375"/>
      <c r="S4375"/>
      <c r="T4375"/>
      <c r="U4375"/>
      <c r="V4375"/>
      <c r="W4375" s="41"/>
      <c r="X4375" s="41"/>
      <c r="Y4375" s="41"/>
    </row>
    <row r="4376" s="27" customFormat="1" ht="23" hidden="1" customHeight="1" spans="1:25">
      <c r="A4376" s="133" t="str">
        <f>IF(B4376="","",COUNTA($B$5:B4376))</f>
        <v/>
      </c>
      <c r="B4376" s="148"/>
      <c r="C4376" s="22" t="s">
        <v>49</v>
      </c>
      <c r="D4376" s="149"/>
      <c r="E4376" s="150"/>
      <c r="F4376" s="151"/>
      <c r="G4376" s="151"/>
      <c r="H4376" s="142">
        <f>IFERROR(VLOOKUP($C4376,$C$5:$H$18,6,0)+SUMIF($C$19:$C4376,$C4376,$F$19:$F4376)-SUMIF($C$19:$C4376,$C4376,$G$19:$G4376),"")</f>
        <v>81211.819999998</v>
      </c>
      <c r="I4376" s="147"/>
      <c r="J4376" s="147"/>
      <c r="K4376" s="147" t="str">
        <f t="shared" si="68"/>
        <v/>
      </c>
      <c r="L4376" s="40"/>
      <c r="M4376"/>
      <c r="N4376"/>
      <c r="O4376"/>
      <c r="P4376"/>
      <c r="Q4376"/>
      <c r="R4376"/>
      <c r="S4376"/>
      <c r="T4376"/>
      <c r="U4376"/>
      <c r="V4376"/>
      <c r="W4376" s="41"/>
      <c r="X4376" s="41"/>
      <c r="Y4376" s="41"/>
    </row>
    <row r="4377" s="27" customFormat="1" ht="23" hidden="1" customHeight="1" spans="1:25">
      <c r="A4377" s="133" t="str">
        <f>IF(B4377="","",COUNTA($B$5:B4377))</f>
        <v/>
      </c>
      <c r="B4377" s="148"/>
      <c r="C4377" s="22" t="s">
        <v>49</v>
      </c>
      <c r="D4377" s="149"/>
      <c r="E4377" s="150"/>
      <c r="F4377" s="151"/>
      <c r="G4377" s="151"/>
      <c r="H4377" s="142">
        <f>IFERROR(VLOOKUP($C4377,$C$5:$H$18,6,0)+SUMIF($C$19:$C4377,$C4377,$F$19:$F4377)-SUMIF($C$19:$C4377,$C4377,$G$19:$G4377),"")</f>
        <v>81211.819999998</v>
      </c>
      <c r="I4377" s="147"/>
      <c r="J4377" s="147"/>
      <c r="K4377" s="147" t="str">
        <f t="shared" si="68"/>
        <v/>
      </c>
      <c r="L4377" s="40"/>
      <c r="M4377"/>
      <c r="N4377"/>
      <c r="O4377"/>
      <c r="P4377"/>
      <c r="Q4377"/>
      <c r="R4377"/>
      <c r="S4377"/>
      <c r="T4377"/>
      <c r="U4377"/>
      <c r="V4377"/>
      <c r="W4377" s="41"/>
      <c r="X4377" s="41"/>
      <c r="Y4377" s="41"/>
    </row>
    <row r="4378" s="27" customFormat="1" ht="23" hidden="1" customHeight="1" spans="1:25">
      <c r="A4378" s="133" t="str">
        <f>IF(B4378="","",COUNTA($B$5:B4378))</f>
        <v/>
      </c>
      <c r="B4378" s="148"/>
      <c r="C4378" s="22" t="s">
        <v>49</v>
      </c>
      <c r="D4378" s="149"/>
      <c r="E4378" s="150"/>
      <c r="F4378" s="151"/>
      <c r="G4378" s="151"/>
      <c r="H4378" s="142">
        <f>IFERROR(VLOOKUP($C4378,$C$5:$H$18,6,0)+SUMIF($C$19:$C4378,$C4378,$F$19:$F4378)-SUMIF($C$19:$C4378,$C4378,$G$19:$G4378),"")</f>
        <v>81211.819999998</v>
      </c>
      <c r="I4378" s="147"/>
      <c r="J4378" s="147"/>
      <c r="K4378" s="147" t="str">
        <f t="shared" si="68"/>
        <v/>
      </c>
      <c r="L4378" s="40"/>
      <c r="M4378"/>
      <c r="N4378"/>
      <c r="O4378"/>
      <c r="P4378"/>
      <c r="Q4378"/>
      <c r="R4378"/>
      <c r="S4378"/>
      <c r="T4378"/>
      <c r="U4378"/>
      <c r="V4378"/>
      <c r="W4378" s="41"/>
      <c r="X4378" s="41"/>
      <c r="Y4378" s="41"/>
    </row>
    <row r="4379" s="27" customFormat="1" ht="23" hidden="1" customHeight="1" spans="1:25">
      <c r="A4379" s="133" t="str">
        <f>IF(B4379="","",COUNTA($B$5:B4379))</f>
        <v/>
      </c>
      <c r="B4379" s="148"/>
      <c r="C4379" s="22" t="s">
        <v>49</v>
      </c>
      <c r="D4379" s="149"/>
      <c r="E4379" s="150"/>
      <c r="F4379" s="151"/>
      <c r="G4379" s="151"/>
      <c r="H4379" s="142">
        <f>IFERROR(VLOOKUP($C4379,$C$5:$H$18,6,0)+SUMIF($C$19:$C4379,$C4379,$F$19:$F4379)-SUMIF($C$19:$C4379,$C4379,$G$19:$G4379),"")</f>
        <v>81211.819999998</v>
      </c>
      <c r="I4379" s="147"/>
      <c r="J4379" s="147"/>
      <c r="K4379" s="147" t="str">
        <f t="shared" si="68"/>
        <v/>
      </c>
      <c r="L4379" s="40"/>
      <c r="M4379"/>
      <c r="N4379"/>
      <c r="O4379"/>
      <c r="P4379"/>
      <c r="Q4379"/>
      <c r="R4379"/>
      <c r="S4379"/>
      <c r="T4379"/>
      <c r="U4379"/>
      <c r="V4379"/>
      <c r="W4379" s="41"/>
      <c r="X4379" s="41"/>
      <c r="Y4379" s="41"/>
    </row>
    <row r="4380" s="27" customFormat="1" ht="23" hidden="1" customHeight="1" spans="1:25">
      <c r="A4380" s="133" t="str">
        <f>IF(B4380="","",COUNTA($B$5:B4380))</f>
        <v/>
      </c>
      <c r="B4380" s="148"/>
      <c r="C4380" s="22" t="s">
        <v>49</v>
      </c>
      <c r="D4380" s="149"/>
      <c r="E4380" s="150"/>
      <c r="F4380" s="151"/>
      <c r="G4380" s="151"/>
      <c r="H4380" s="142">
        <f>IFERROR(VLOOKUP($C4380,$C$5:$H$18,6,0)+SUMIF($C$19:$C4380,$C4380,$F$19:$F4380)-SUMIF($C$19:$C4380,$C4380,$G$19:$G4380),"")</f>
        <v>81211.819999998</v>
      </c>
      <c r="I4380" s="147"/>
      <c r="J4380" s="147"/>
      <c r="K4380" s="147" t="str">
        <f t="shared" si="68"/>
        <v/>
      </c>
      <c r="L4380" s="40"/>
      <c r="M4380"/>
      <c r="N4380"/>
      <c r="O4380"/>
      <c r="P4380"/>
      <c r="Q4380"/>
      <c r="R4380"/>
      <c r="S4380"/>
      <c r="T4380"/>
      <c r="U4380"/>
      <c r="V4380"/>
      <c r="W4380" s="41"/>
      <c r="X4380" s="41"/>
      <c r="Y4380" s="41"/>
    </row>
    <row r="4381" s="27" customFormat="1" ht="23" hidden="1" customHeight="1" spans="1:25">
      <c r="A4381" s="133" t="str">
        <f>IF(B4381="","",COUNTA($B$5:B4381))</f>
        <v/>
      </c>
      <c r="B4381" s="148"/>
      <c r="C4381" s="22" t="s">
        <v>49</v>
      </c>
      <c r="D4381" s="149"/>
      <c r="E4381" s="150"/>
      <c r="F4381" s="151"/>
      <c r="G4381" s="151"/>
      <c r="H4381" s="142">
        <f>IFERROR(VLOOKUP($C4381,$C$5:$H$18,6,0)+SUMIF($C$19:$C4381,$C4381,$F$19:$F4381)-SUMIF($C$19:$C4381,$C4381,$G$19:$G4381),"")</f>
        <v>81211.819999998</v>
      </c>
      <c r="I4381" s="147"/>
      <c r="J4381" s="147"/>
      <c r="K4381" s="147" t="str">
        <f t="shared" si="68"/>
        <v/>
      </c>
      <c r="L4381" s="40"/>
      <c r="M4381"/>
      <c r="N4381"/>
      <c r="O4381"/>
      <c r="P4381"/>
      <c r="Q4381"/>
      <c r="R4381"/>
      <c r="S4381"/>
      <c r="T4381"/>
      <c r="U4381"/>
      <c r="V4381"/>
      <c r="W4381" s="41"/>
      <c r="X4381" s="41"/>
      <c r="Y4381" s="41"/>
    </row>
    <row r="4382" s="27" customFormat="1" ht="23" hidden="1" customHeight="1" spans="1:25">
      <c r="A4382" s="133" t="str">
        <f>IF(B4382="","",COUNTA($B$5:B4382))</f>
        <v/>
      </c>
      <c r="B4382" s="148"/>
      <c r="C4382" s="22" t="s">
        <v>49</v>
      </c>
      <c r="D4382" s="149"/>
      <c r="E4382" s="150"/>
      <c r="F4382" s="151"/>
      <c r="G4382" s="151"/>
      <c r="H4382" s="142">
        <f>IFERROR(VLOOKUP($C4382,$C$5:$H$18,6,0)+SUMIF($C$19:$C4382,$C4382,$F$19:$F4382)-SUMIF($C$19:$C4382,$C4382,$G$19:$G4382),"")</f>
        <v>81211.819999998</v>
      </c>
      <c r="I4382" s="147"/>
      <c r="J4382" s="147"/>
      <c r="K4382" s="147" t="str">
        <f t="shared" si="68"/>
        <v/>
      </c>
      <c r="L4382" s="40"/>
      <c r="M4382"/>
      <c r="N4382"/>
      <c r="O4382"/>
      <c r="P4382"/>
      <c r="Q4382"/>
      <c r="R4382"/>
      <c r="S4382"/>
      <c r="T4382"/>
      <c r="U4382"/>
      <c r="V4382"/>
      <c r="W4382" s="41"/>
      <c r="X4382" s="41"/>
      <c r="Y4382" s="41"/>
    </row>
    <row r="4383" s="27" customFormat="1" ht="23" hidden="1" customHeight="1" spans="1:25">
      <c r="A4383" s="133" t="str">
        <f>IF(B4383="","",COUNTA($B$5:B4383))</f>
        <v/>
      </c>
      <c r="B4383" s="148"/>
      <c r="C4383" s="22" t="s">
        <v>49</v>
      </c>
      <c r="D4383" s="149"/>
      <c r="E4383" s="150"/>
      <c r="F4383" s="151"/>
      <c r="G4383" s="151"/>
      <c r="H4383" s="142">
        <f>IFERROR(VLOOKUP($C4383,$C$5:$H$18,6,0)+SUMIF($C$19:$C4383,$C4383,$F$19:$F4383)-SUMIF($C$19:$C4383,$C4383,$G$19:$G4383),"")</f>
        <v>81211.819999998</v>
      </c>
      <c r="I4383" s="147"/>
      <c r="J4383" s="147"/>
      <c r="K4383" s="147" t="str">
        <f t="shared" si="68"/>
        <v/>
      </c>
      <c r="L4383" s="40"/>
      <c r="M4383"/>
      <c r="N4383"/>
      <c r="O4383"/>
      <c r="P4383"/>
      <c r="Q4383"/>
      <c r="R4383"/>
      <c r="S4383"/>
      <c r="T4383"/>
      <c r="U4383"/>
      <c r="V4383"/>
      <c r="W4383" s="41"/>
      <c r="X4383" s="41"/>
      <c r="Y4383" s="41"/>
    </row>
    <row r="4384" s="27" customFormat="1" ht="23" hidden="1" customHeight="1" spans="1:25">
      <c r="A4384" s="133" t="str">
        <f>IF(B4384="","",COUNTA($B$5:B4384))</f>
        <v/>
      </c>
      <c r="B4384" s="148"/>
      <c r="C4384" s="22" t="s">
        <v>49</v>
      </c>
      <c r="D4384" s="149"/>
      <c r="E4384" s="150"/>
      <c r="F4384" s="151"/>
      <c r="G4384" s="151"/>
      <c r="H4384" s="142">
        <f>IFERROR(VLOOKUP($C4384,$C$5:$H$18,6,0)+SUMIF($C$19:$C4384,$C4384,$F$19:$F4384)-SUMIF($C$19:$C4384,$C4384,$G$19:$G4384),"")</f>
        <v>81211.819999998</v>
      </c>
      <c r="I4384" s="147"/>
      <c r="J4384" s="147"/>
      <c r="K4384" s="147" t="str">
        <f t="shared" si="68"/>
        <v/>
      </c>
      <c r="L4384" s="40"/>
      <c r="M4384"/>
      <c r="N4384"/>
      <c r="O4384"/>
      <c r="P4384"/>
      <c r="Q4384"/>
      <c r="R4384"/>
      <c r="S4384"/>
      <c r="T4384"/>
      <c r="U4384"/>
      <c r="V4384"/>
      <c r="W4384" s="41"/>
      <c r="X4384" s="41"/>
      <c r="Y4384" s="41"/>
    </row>
    <row r="4385" s="27" customFormat="1" ht="23" hidden="1" customHeight="1" spans="1:25">
      <c r="A4385" s="133" t="str">
        <f>IF(B4385="","",COUNTA($B$5:B4385))</f>
        <v/>
      </c>
      <c r="B4385" s="148"/>
      <c r="C4385" s="22" t="s">
        <v>49</v>
      </c>
      <c r="D4385" s="149"/>
      <c r="E4385" s="150"/>
      <c r="F4385" s="151"/>
      <c r="G4385" s="151"/>
      <c r="H4385" s="142">
        <f>IFERROR(VLOOKUP($C4385,$C$5:$H$18,6,0)+SUMIF($C$19:$C4385,$C4385,$F$19:$F4385)-SUMIF($C$19:$C4385,$C4385,$G$19:$G4385),"")</f>
        <v>81211.819999998</v>
      </c>
      <c r="I4385" s="147"/>
      <c r="J4385" s="147"/>
      <c r="K4385" s="147" t="str">
        <f t="shared" si="68"/>
        <v/>
      </c>
      <c r="L4385" s="40"/>
      <c r="M4385"/>
      <c r="N4385"/>
      <c r="O4385"/>
      <c r="P4385"/>
      <c r="Q4385"/>
      <c r="R4385"/>
      <c r="S4385"/>
      <c r="T4385"/>
      <c r="U4385"/>
      <c r="V4385"/>
      <c r="W4385" s="41"/>
      <c r="X4385" s="41"/>
      <c r="Y4385" s="41"/>
    </row>
    <row r="4386" s="27" customFormat="1" ht="23" hidden="1" customHeight="1" spans="1:25">
      <c r="A4386" s="133" t="str">
        <f>IF(B4386="","",COUNTA($B$5:B4386))</f>
        <v/>
      </c>
      <c r="B4386" s="148"/>
      <c r="C4386" s="22" t="s">
        <v>49</v>
      </c>
      <c r="D4386" s="149"/>
      <c r="E4386" s="150"/>
      <c r="F4386" s="151"/>
      <c r="G4386" s="151"/>
      <c r="H4386" s="142">
        <f>IFERROR(VLOOKUP($C4386,$C$5:$H$18,6,0)+SUMIF($C$19:$C4386,$C4386,$F$19:$F4386)-SUMIF($C$19:$C4386,$C4386,$G$19:$G4386),"")</f>
        <v>81211.819999998</v>
      </c>
      <c r="I4386" s="147"/>
      <c r="J4386" s="147"/>
      <c r="K4386" s="147" t="str">
        <f t="shared" si="68"/>
        <v/>
      </c>
      <c r="L4386" s="40"/>
      <c r="M4386"/>
      <c r="N4386"/>
      <c r="O4386"/>
      <c r="P4386"/>
      <c r="Q4386"/>
      <c r="R4386"/>
      <c r="S4386"/>
      <c r="T4386"/>
      <c r="U4386"/>
      <c r="V4386"/>
      <c r="W4386" s="41"/>
      <c r="X4386" s="41"/>
      <c r="Y4386" s="41"/>
    </row>
    <row r="4387" s="27" customFormat="1" ht="23" hidden="1" customHeight="1" spans="1:25">
      <c r="A4387" s="133" t="str">
        <f>IF(B4387="","",COUNTA($B$5:B4387))</f>
        <v/>
      </c>
      <c r="B4387" s="148"/>
      <c r="C4387" s="22" t="s">
        <v>49</v>
      </c>
      <c r="D4387" s="149"/>
      <c r="E4387" s="150"/>
      <c r="F4387" s="151"/>
      <c r="G4387" s="151"/>
      <c r="H4387" s="142">
        <f>IFERROR(VLOOKUP($C4387,$C$5:$H$18,6,0)+SUMIF($C$19:$C4387,$C4387,$F$19:$F4387)-SUMIF($C$19:$C4387,$C4387,$G$19:$G4387),"")</f>
        <v>81211.819999998</v>
      </c>
      <c r="I4387" s="147"/>
      <c r="J4387" s="147"/>
      <c r="K4387" s="147" t="str">
        <f t="shared" si="68"/>
        <v/>
      </c>
      <c r="L4387" s="40"/>
      <c r="M4387"/>
      <c r="N4387"/>
      <c r="O4387"/>
      <c r="P4387"/>
      <c r="Q4387"/>
      <c r="R4387"/>
      <c r="S4387"/>
      <c r="T4387"/>
      <c r="U4387"/>
      <c r="V4387"/>
      <c r="W4387" s="41"/>
      <c r="X4387" s="41"/>
      <c r="Y4387" s="41"/>
    </row>
    <row r="4388" s="27" customFormat="1" ht="23" hidden="1" customHeight="1" spans="1:25">
      <c r="A4388" s="133" t="str">
        <f>IF(B4388="","",COUNTA($B$5:B4388))</f>
        <v/>
      </c>
      <c r="B4388" s="148"/>
      <c r="C4388" s="22" t="s">
        <v>49</v>
      </c>
      <c r="D4388" s="149"/>
      <c r="E4388" s="150"/>
      <c r="F4388" s="151"/>
      <c r="G4388" s="151"/>
      <c r="H4388" s="142">
        <f>IFERROR(VLOOKUP($C4388,$C$5:$H$18,6,0)+SUMIF($C$19:$C4388,$C4388,$F$19:$F4388)-SUMIF($C$19:$C4388,$C4388,$G$19:$G4388),"")</f>
        <v>81211.819999998</v>
      </c>
      <c r="I4388" s="147"/>
      <c r="J4388" s="147"/>
      <c r="K4388" s="147" t="str">
        <f t="shared" si="68"/>
        <v/>
      </c>
      <c r="L4388" s="40"/>
      <c r="M4388"/>
      <c r="N4388"/>
      <c r="O4388"/>
      <c r="P4388"/>
      <c r="Q4388"/>
      <c r="R4388"/>
      <c r="S4388"/>
      <c r="T4388"/>
      <c r="U4388"/>
      <c r="V4388"/>
      <c r="W4388" s="41"/>
      <c r="X4388" s="41"/>
      <c r="Y4388" s="41"/>
    </row>
    <row r="4389" s="27" customFormat="1" ht="23" hidden="1" customHeight="1" spans="1:25">
      <c r="A4389" s="133" t="str">
        <f>IF(B4389="","",COUNTA($B$5:B4389))</f>
        <v/>
      </c>
      <c r="B4389" s="148"/>
      <c r="C4389" s="22" t="s">
        <v>49</v>
      </c>
      <c r="D4389" s="149"/>
      <c r="E4389" s="150"/>
      <c r="F4389" s="151"/>
      <c r="G4389" s="151"/>
      <c r="H4389" s="142">
        <f>IFERROR(VLOOKUP($C4389,$C$5:$H$18,6,0)+SUMIF($C$19:$C4389,$C4389,$F$19:$F4389)-SUMIF($C$19:$C4389,$C4389,$G$19:$G4389),"")</f>
        <v>81211.819999998</v>
      </c>
      <c r="I4389" s="147"/>
      <c r="J4389" s="147"/>
      <c r="K4389" s="147" t="str">
        <f t="shared" si="68"/>
        <v/>
      </c>
      <c r="L4389" s="40"/>
      <c r="M4389"/>
      <c r="N4389"/>
      <c r="O4389"/>
      <c r="P4389"/>
      <c r="Q4389"/>
      <c r="R4389"/>
      <c r="S4389"/>
      <c r="T4389"/>
      <c r="U4389"/>
      <c r="V4389"/>
      <c r="W4389" s="41"/>
      <c r="X4389" s="41"/>
      <c r="Y4389" s="41"/>
    </row>
    <row r="4390" s="27" customFormat="1" ht="23" hidden="1" customHeight="1" spans="1:25">
      <c r="A4390" s="133" t="str">
        <f>IF(B4390="","",COUNTA($B$5:B4390))</f>
        <v/>
      </c>
      <c r="B4390" s="148"/>
      <c r="C4390" s="22" t="s">
        <v>49</v>
      </c>
      <c r="D4390" s="149"/>
      <c r="E4390" s="150"/>
      <c r="F4390" s="151"/>
      <c r="G4390" s="151"/>
      <c r="H4390" s="142">
        <f>IFERROR(VLOOKUP($C4390,$C$5:$H$18,6,0)+SUMIF($C$19:$C4390,$C4390,$F$19:$F4390)-SUMIF($C$19:$C4390,$C4390,$G$19:$G4390),"")</f>
        <v>81211.819999998</v>
      </c>
      <c r="I4390" s="147"/>
      <c r="J4390" s="147"/>
      <c r="K4390" s="147" t="str">
        <f t="shared" si="68"/>
        <v/>
      </c>
      <c r="L4390" s="40"/>
      <c r="M4390"/>
      <c r="N4390"/>
      <c r="O4390"/>
      <c r="P4390"/>
      <c r="Q4390"/>
      <c r="R4390"/>
      <c r="S4390"/>
      <c r="T4390"/>
      <c r="U4390"/>
      <c r="V4390"/>
      <c r="W4390" s="41"/>
      <c r="X4390" s="41"/>
      <c r="Y4390" s="41"/>
    </row>
    <row r="4391" s="27" customFormat="1" ht="23" hidden="1" customHeight="1" spans="1:25">
      <c r="A4391" s="133" t="str">
        <f>IF(B4391="","",COUNTA($B$5:B4391))</f>
        <v/>
      </c>
      <c r="B4391" s="148"/>
      <c r="C4391" s="22" t="s">
        <v>49</v>
      </c>
      <c r="D4391" s="149"/>
      <c r="E4391" s="150"/>
      <c r="F4391" s="151"/>
      <c r="G4391" s="151"/>
      <c r="H4391" s="142">
        <f>IFERROR(VLOOKUP($C4391,$C$5:$H$18,6,0)+SUMIF($C$19:$C4391,$C4391,$F$19:$F4391)-SUMIF($C$19:$C4391,$C4391,$G$19:$G4391),"")</f>
        <v>81211.819999998</v>
      </c>
      <c r="I4391" s="147"/>
      <c r="J4391" s="147"/>
      <c r="K4391" s="147" t="str">
        <f t="shared" si="68"/>
        <v/>
      </c>
      <c r="L4391" s="40"/>
      <c r="M4391"/>
      <c r="N4391"/>
      <c r="O4391"/>
      <c r="P4391"/>
      <c r="Q4391"/>
      <c r="R4391"/>
      <c r="S4391"/>
      <c r="T4391"/>
      <c r="U4391"/>
      <c r="V4391"/>
      <c r="W4391" s="41"/>
      <c r="X4391" s="41"/>
      <c r="Y4391" s="41"/>
    </row>
    <row r="4392" s="27" customFormat="1" ht="23" hidden="1" customHeight="1" spans="1:25">
      <c r="A4392" s="133" t="str">
        <f>IF(B4392="","",COUNTA($B$5:B4392))</f>
        <v/>
      </c>
      <c r="B4392" s="148"/>
      <c r="C4392" s="22" t="s">
        <v>49</v>
      </c>
      <c r="D4392" s="149"/>
      <c r="E4392" s="150"/>
      <c r="F4392" s="151"/>
      <c r="G4392" s="151"/>
      <c r="H4392" s="142">
        <f>IFERROR(VLOOKUP($C4392,$C$5:$H$18,6,0)+SUMIF($C$19:$C4392,$C4392,$F$19:$F4392)-SUMIF($C$19:$C4392,$C4392,$G$19:$G4392),"")</f>
        <v>81211.819999998</v>
      </c>
      <c r="I4392" s="147"/>
      <c r="J4392" s="147"/>
      <c r="K4392" s="147" t="str">
        <f t="shared" si="68"/>
        <v/>
      </c>
      <c r="L4392" s="40"/>
      <c r="M4392"/>
      <c r="N4392"/>
      <c r="O4392"/>
      <c r="P4392"/>
      <c r="Q4392"/>
      <c r="R4392"/>
      <c r="S4392"/>
      <c r="T4392"/>
      <c r="U4392"/>
      <c r="V4392"/>
      <c r="W4392" s="41"/>
      <c r="X4392" s="41"/>
      <c r="Y4392" s="41"/>
    </row>
    <row r="4393" s="27" customFormat="1" ht="23" hidden="1" customHeight="1" spans="1:25">
      <c r="A4393" s="133" t="str">
        <f>IF(B4393="","",COUNTA($B$5:B4393))</f>
        <v/>
      </c>
      <c r="B4393" s="148"/>
      <c r="C4393" s="22" t="s">
        <v>49</v>
      </c>
      <c r="D4393" s="149"/>
      <c r="E4393" s="150"/>
      <c r="F4393" s="151"/>
      <c r="G4393" s="151"/>
      <c r="H4393" s="142">
        <f>IFERROR(VLOOKUP($C4393,$C$5:$H$18,6,0)+SUMIF($C$19:$C4393,$C4393,$F$19:$F4393)-SUMIF($C$19:$C4393,$C4393,$G$19:$G4393),"")</f>
        <v>81211.819999998</v>
      </c>
      <c r="I4393" s="147"/>
      <c r="J4393" s="147"/>
      <c r="K4393" s="147" t="str">
        <f t="shared" si="68"/>
        <v/>
      </c>
      <c r="L4393" s="40"/>
      <c r="M4393"/>
      <c r="N4393"/>
      <c r="O4393"/>
      <c r="P4393"/>
      <c r="Q4393"/>
      <c r="R4393"/>
      <c r="S4393"/>
      <c r="T4393"/>
      <c r="U4393"/>
      <c r="V4393"/>
      <c r="W4393" s="41"/>
      <c r="X4393" s="41"/>
      <c r="Y4393" s="41"/>
    </row>
    <row r="4394" s="27" customFormat="1" ht="23" hidden="1" customHeight="1" spans="1:25">
      <c r="A4394" s="133" t="str">
        <f>IF(B4394="","",COUNTA($B$5:B4394))</f>
        <v/>
      </c>
      <c r="B4394" s="148"/>
      <c r="C4394" s="22" t="s">
        <v>49</v>
      </c>
      <c r="D4394" s="149"/>
      <c r="E4394" s="150"/>
      <c r="F4394" s="151"/>
      <c r="G4394" s="151"/>
      <c r="H4394" s="142">
        <f>IFERROR(VLOOKUP($C4394,$C$5:$H$18,6,0)+SUMIF($C$19:$C4394,$C4394,$F$19:$F4394)-SUMIF($C$19:$C4394,$C4394,$G$19:$G4394),"")</f>
        <v>81211.819999998</v>
      </c>
      <c r="I4394" s="147"/>
      <c r="J4394" s="147"/>
      <c r="K4394" s="147" t="str">
        <f t="shared" si="68"/>
        <v/>
      </c>
      <c r="L4394" s="40"/>
      <c r="M4394"/>
      <c r="N4394"/>
      <c r="O4394"/>
      <c r="P4394"/>
      <c r="Q4394"/>
      <c r="R4394"/>
      <c r="S4394"/>
      <c r="T4394"/>
      <c r="U4394"/>
      <c r="V4394"/>
      <c r="W4394" s="41"/>
      <c r="X4394" s="41"/>
      <c r="Y4394" s="41"/>
    </row>
    <row r="4395" s="27" customFormat="1" ht="23" hidden="1" customHeight="1" spans="1:25">
      <c r="A4395" s="133" t="str">
        <f>IF(B4395="","",COUNTA($B$5:B4395))</f>
        <v/>
      </c>
      <c r="B4395" s="148"/>
      <c r="C4395" s="22" t="s">
        <v>49</v>
      </c>
      <c r="D4395" s="149"/>
      <c r="E4395" s="150"/>
      <c r="F4395" s="151"/>
      <c r="G4395" s="151"/>
      <c r="H4395" s="142">
        <f>IFERROR(VLOOKUP($C4395,$C$5:$H$18,6,0)+SUMIF($C$19:$C4395,$C4395,$F$19:$F4395)-SUMIF($C$19:$C4395,$C4395,$G$19:$G4395),"")</f>
        <v>81211.819999998</v>
      </c>
      <c r="I4395" s="147"/>
      <c r="J4395" s="147"/>
      <c r="K4395" s="147" t="str">
        <f t="shared" si="68"/>
        <v/>
      </c>
      <c r="L4395" s="40"/>
      <c r="M4395"/>
      <c r="N4395"/>
      <c r="O4395"/>
      <c r="P4395"/>
      <c r="Q4395"/>
      <c r="R4395"/>
      <c r="S4395"/>
      <c r="T4395"/>
      <c r="U4395"/>
      <c r="V4395"/>
      <c r="W4395" s="41"/>
      <c r="X4395" s="41"/>
      <c r="Y4395" s="41"/>
    </row>
    <row r="4396" s="27" customFormat="1" ht="23" hidden="1" customHeight="1" spans="1:25">
      <c r="A4396" s="133" t="str">
        <f>IF(B4396="","",COUNTA($B$5:B4396))</f>
        <v/>
      </c>
      <c r="B4396" s="148"/>
      <c r="C4396" s="22" t="s">
        <v>49</v>
      </c>
      <c r="D4396" s="149"/>
      <c r="E4396" s="150"/>
      <c r="F4396" s="151"/>
      <c r="G4396" s="151"/>
      <c r="H4396" s="142">
        <f>IFERROR(VLOOKUP($C4396,$C$5:$H$18,6,0)+SUMIF($C$19:$C4396,$C4396,$F$19:$F4396)-SUMIF($C$19:$C4396,$C4396,$G$19:$G4396),"")</f>
        <v>81211.819999998</v>
      </c>
      <c r="I4396" s="147"/>
      <c r="J4396" s="147"/>
      <c r="K4396" s="147" t="str">
        <f t="shared" si="68"/>
        <v/>
      </c>
      <c r="L4396" s="40"/>
      <c r="M4396"/>
      <c r="N4396"/>
      <c r="O4396"/>
      <c r="P4396"/>
      <c r="Q4396"/>
      <c r="R4396"/>
      <c r="S4396"/>
      <c r="T4396"/>
      <c r="U4396"/>
      <c r="V4396"/>
      <c r="W4396" s="41"/>
      <c r="X4396" s="41"/>
      <c r="Y4396" s="41"/>
    </row>
    <row r="4397" s="27" customFormat="1" ht="23" hidden="1" customHeight="1" spans="1:25">
      <c r="A4397" s="133" t="str">
        <f>IF(B4397="","",COUNTA($B$5:B4397))</f>
        <v/>
      </c>
      <c r="B4397" s="148"/>
      <c r="C4397" s="22" t="s">
        <v>49</v>
      </c>
      <c r="D4397" s="149"/>
      <c r="E4397" s="150"/>
      <c r="F4397" s="151"/>
      <c r="G4397" s="151"/>
      <c r="H4397" s="142">
        <f>IFERROR(VLOOKUP($C4397,$C$5:$H$18,6,0)+SUMIF($C$19:$C4397,$C4397,$F$19:$F4397)-SUMIF($C$19:$C4397,$C4397,$G$19:$G4397),"")</f>
        <v>81211.819999998</v>
      </c>
      <c r="I4397" s="147"/>
      <c r="J4397" s="147"/>
      <c r="K4397" s="147" t="str">
        <f t="shared" si="68"/>
        <v/>
      </c>
      <c r="L4397" s="40"/>
      <c r="M4397"/>
      <c r="N4397"/>
      <c r="O4397"/>
      <c r="P4397"/>
      <c r="Q4397"/>
      <c r="R4397"/>
      <c r="S4397"/>
      <c r="T4397"/>
      <c r="U4397"/>
      <c r="V4397"/>
      <c r="W4397" s="41"/>
      <c r="X4397" s="41"/>
      <c r="Y4397" s="41"/>
    </row>
    <row r="4398" s="27" customFormat="1" ht="23" hidden="1" customHeight="1" spans="1:25">
      <c r="A4398" s="133" t="str">
        <f>IF(B4398="","",COUNTA($B$5:B4398))</f>
        <v/>
      </c>
      <c r="B4398" s="148"/>
      <c r="C4398" s="22" t="s">
        <v>49</v>
      </c>
      <c r="D4398" s="149"/>
      <c r="E4398" s="150"/>
      <c r="F4398" s="151"/>
      <c r="G4398" s="151"/>
      <c r="H4398" s="142">
        <f>IFERROR(VLOOKUP($C4398,$C$5:$H$18,6,0)+SUMIF($C$19:$C4398,$C4398,$F$19:$F4398)-SUMIF($C$19:$C4398,$C4398,$G$19:$G4398),"")</f>
        <v>81211.819999998</v>
      </c>
      <c r="I4398" s="147"/>
      <c r="J4398" s="147"/>
      <c r="K4398" s="147" t="str">
        <f t="shared" si="68"/>
        <v/>
      </c>
      <c r="L4398" s="40"/>
      <c r="M4398"/>
      <c r="N4398"/>
      <c r="O4398"/>
      <c r="P4398"/>
      <c r="Q4398"/>
      <c r="R4398"/>
      <c r="S4398"/>
      <c r="T4398"/>
      <c r="U4398"/>
      <c r="V4398"/>
      <c r="W4398" s="41"/>
      <c r="X4398" s="41"/>
      <c r="Y4398" s="41"/>
    </row>
    <row r="4399" s="27" customFormat="1" ht="23" hidden="1" customHeight="1" spans="1:25">
      <c r="A4399" s="133" t="str">
        <f>IF(B4399="","",COUNTA($B$5:B4399))</f>
        <v/>
      </c>
      <c r="B4399" s="148"/>
      <c r="C4399" s="22" t="s">
        <v>49</v>
      </c>
      <c r="D4399" s="149"/>
      <c r="E4399" s="150"/>
      <c r="F4399" s="151"/>
      <c r="G4399" s="151"/>
      <c r="H4399" s="142">
        <f>IFERROR(VLOOKUP($C4399,$C$5:$H$18,6,0)+SUMIF($C$19:$C4399,$C4399,$F$19:$F4399)-SUMIF($C$19:$C4399,$C4399,$G$19:$G4399),"")</f>
        <v>81211.819999998</v>
      </c>
      <c r="I4399" s="147"/>
      <c r="J4399" s="147"/>
      <c r="K4399" s="147" t="str">
        <f t="shared" si="68"/>
        <v/>
      </c>
      <c r="L4399" s="40"/>
      <c r="M4399"/>
      <c r="N4399"/>
      <c r="O4399"/>
      <c r="P4399"/>
      <c r="Q4399"/>
      <c r="R4399"/>
      <c r="S4399"/>
      <c r="T4399"/>
      <c r="U4399"/>
      <c r="V4399"/>
      <c r="W4399" s="41"/>
      <c r="X4399" s="41"/>
      <c r="Y4399" s="41"/>
    </row>
    <row r="4400" s="27" customFormat="1" ht="23" hidden="1" customHeight="1" spans="1:25">
      <c r="A4400" s="133" t="str">
        <f>IF(B4400="","",COUNTA($B$5:B4400))</f>
        <v/>
      </c>
      <c r="B4400" s="148"/>
      <c r="C4400" s="22" t="s">
        <v>49</v>
      </c>
      <c r="D4400" s="149"/>
      <c r="E4400" s="150"/>
      <c r="F4400" s="151"/>
      <c r="G4400" s="151"/>
      <c r="H4400" s="142">
        <f>IFERROR(VLOOKUP($C4400,$C$5:$H$18,6,0)+SUMIF($C$19:$C4400,$C4400,$F$19:$F4400)-SUMIF($C$19:$C4400,$C4400,$G$19:$G4400),"")</f>
        <v>81211.819999998</v>
      </c>
      <c r="I4400" s="147"/>
      <c r="J4400" s="147"/>
      <c r="K4400" s="147" t="str">
        <f t="shared" si="68"/>
        <v/>
      </c>
      <c r="L4400" s="40"/>
      <c r="M4400"/>
      <c r="N4400"/>
      <c r="O4400"/>
      <c r="P4400"/>
      <c r="Q4400"/>
      <c r="R4400"/>
      <c r="S4400"/>
      <c r="T4400"/>
      <c r="U4400"/>
      <c r="V4400"/>
      <c r="W4400" s="41"/>
      <c r="X4400" s="41"/>
      <c r="Y4400" s="41"/>
    </row>
    <row r="4401" s="27" customFormat="1" ht="23" hidden="1" customHeight="1" spans="1:25">
      <c r="A4401" s="133" t="str">
        <f>IF(B4401="","",COUNTA($B$5:B4401))</f>
        <v/>
      </c>
      <c r="B4401" s="148"/>
      <c r="C4401" s="22" t="s">
        <v>49</v>
      </c>
      <c r="D4401" s="149"/>
      <c r="E4401" s="150"/>
      <c r="F4401" s="151"/>
      <c r="G4401" s="151"/>
      <c r="H4401" s="142">
        <f>IFERROR(VLOOKUP($C4401,$C$5:$H$18,6,0)+SUMIF($C$19:$C4401,$C4401,$F$19:$F4401)-SUMIF($C$19:$C4401,$C4401,$G$19:$G4401),"")</f>
        <v>81211.819999998</v>
      </c>
      <c r="I4401" s="147"/>
      <c r="J4401" s="147"/>
      <c r="K4401" s="147" t="str">
        <f t="shared" si="68"/>
        <v/>
      </c>
      <c r="L4401" s="40"/>
      <c r="M4401"/>
      <c r="N4401"/>
      <c r="O4401"/>
      <c r="P4401"/>
      <c r="Q4401"/>
      <c r="R4401"/>
      <c r="S4401"/>
      <c r="T4401"/>
      <c r="U4401"/>
      <c r="V4401"/>
      <c r="W4401" s="41"/>
      <c r="X4401" s="41"/>
      <c r="Y4401" s="41"/>
    </row>
    <row r="4402" s="27" customFormat="1" ht="23" hidden="1" customHeight="1" spans="1:25">
      <c r="A4402" s="133" t="str">
        <f>IF(B4402="","",COUNTA($B$5:B4402))</f>
        <v/>
      </c>
      <c r="B4402" s="148"/>
      <c r="C4402" s="22" t="s">
        <v>49</v>
      </c>
      <c r="D4402" s="149"/>
      <c r="E4402" s="150"/>
      <c r="F4402" s="151"/>
      <c r="G4402" s="151"/>
      <c r="H4402" s="142">
        <f>IFERROR(VLOOKUP($C4402,$C$5:$H$18,6,0)+SUMIF($C$19:$C4402,$C4402,$F$19:$F4402)-SUMIF($C$19:$C4402,$C4402,$G$19:$G4402),"")</f>
        <v>81211.819999998</v>
      </c>
      <c r="I4402" s="147"/>
      <c r="J4402" s="147"/>
      <c r="K4402" s="147" t="str">
        <f t="shared" si="68"/>
        <v/>
      </c>
      <c r="L4402" s="40"/>
      <c r="M4402"/>
      <c r="N4402"/>
      <c r="O4402"/>
      <c r="P4402"/>
      <c r="Q4402"/>
      <c r="R4402"/>
      <c r="S4402"/>
      <c r="T4402"/>
      <c r="U4402"/>
      <c r="V4402"/>
      <c r="W4402" s="41"/>
      <c r="X4402" s="41"/>
      <c r="Y4402" s="41"/>
    </row>
    <row r="4403" s="27" customFormat="1" ht="23" hidden="1" customHeight="1" spans="1:25">
      <c r="A4403" s="133" t="str">
        <f>IF(B4403="","",COUNTA($B$5:B4403))</f>
        <v/>
      </c>
      <c r="B4403" s="148"/>
      <c r="C4403" s="22" t="s">
        <v>49</v>
      </c>
      <c r="D4403" s="149"/>
      <c r="E4403" s="150"/>
      <c r="F4403" s="151"/>
      <c r="G4403" s="151"/>
      <c r="H4403" s="142">
        <f>IFERROR(VLOOKUP($C4403,$C$5:$H$18,6,0)+SUMIF($C$19:$C4403,$C4403,$F$19:$F4403)-SUMIF($C$19:$C4403,$C4403,$G$19:$G4403),"")</f>
        <v>81211.819999998</v>
      </c>
      <c r="I4403" s="147"/>
      <c r="J4403" s="147"/>
      <c r="K4403" s="147" t="str">
        <f t="shared" si="68"/>
        <v/>
      </c>
      <c r="L4403" s="40"/>
      <c r="M4403"/>
      <c r="N4403"/>
      <c r="O4403"/>
      <c r="P4403"/>
      <c r="Q4403"/>
      <c r="R4403"/>
      <c r="S4403"/>
      <c r="T4403"/>
      <c r="U4403"/>
      <c r="V4403"/>
      <c r="W4403" s="41"/>
      <c r="X4403" s="41"/>
      <c r="Y4403" s="41"/>
    </row>
    <row r="4404" s="27" customFormat="1" ht="23" hidden="1" customHeight="1" spans="1:25">
      <c r="A4404" s="133" t="str">
        <f>IF(B4404="","",COUNTA($B$5:B4404))</f>
        <v/>
      </c>
      <c r="B4404" s="148"/>
      <c r="C4404" s="22" t="s">
        <v>49</v>
      </c>
      <c r="D4404" s="149"/>
      <c r="E4404" s="150"/>
      <c r="F4404" s="151"/>
      <c r="G4404" s="151"/>
      <c r="H4404" s="142">
        <f>IFERROR(VLOOKUP($C4404,$C$5:$H$18,6,0)+SUMIF($C$19:$C4404,$C4404,$F$19:$F4404)-SUMIF($C$19:$C4404,$C4404,$G$19:$G4404),"")</f>
        <v>81211.819999998</v>
      </c>
      <c r="I4404" s="147"/>
      <c r="J4404" s="147"/>
      <c r="K4404" s="147" t="str">
        <f t="shared" si="68"/>
        <v/>
      </c>
      <c r="L4404" s="40"/>
      <c r="M4404"/>
      <c r="N4404"/>
      <c r="O4404"/>
      <c r="P4404"/>
      <c r="Q4404"/>
      <c r="R4404"/>
      <c r="S4404"/>
      <c r="T4404"/>
      <c r="U4404"/>
      <c r="V4404"/>
      <c r="W4404" s="41"/>
      <c r="X4404" s="41"/>
      <c r="Y4404" s="41"/>
    </row>
    <row r="4405" s="27" customFormat="1" ht="23" hidden="1" customHeight="1" spans="1:25">
      <c r="A4405" s="133" t="str">
        <f>IF(B4405="","",COUNTA($B$5:B4405))</f>
        <v/>
      </c>
      <c r="B4405" s="148"/>
      <c r="C4405" s="22" t="s">
        <v>49</v>
      </c>
      <c r="D4405" s="149"/>
      <c r="E4405" s="150"/>
      <c r="F4405" s="151"/>
      <c r="G4405" s="151"/>
      <c r="H4405" s="142">
        <f>IFERROR(VLOOKUP($C4405,$C$5:$H$18,6,0)+SUMIF($C$19:$C4405,$C4405,$F$19:$F4405)-SUMIF($C$19:$C4405,$C4405,$G$19:$G4405),"")</f>
        <v>81211.819999998</v>
      </c>
      <c r="I4405" s="147"/>
      <c r="J4405" s="147"/>
      <c r="K4405" s="147" t="str">
        <f t="shared" si="68"/>
        <v/>
      </c>
      <c r="L4405" s="40"/>
      <c r="M4405"/>
      <c r="N4405"/>
      <c r="O4405"/>
      <c r="P4405"/>
      <c r="Q4405"/>
      <c r="R4405"/>
      <c r="S4405"/>
      <c r="T4405"/>
      <c r="U4405"/>
      <c r="V4405"/>
      <c r="W4405" s="41"/>
      <c r="X4405" s="41"/>
      <c r="Y4405" s="41"/>
    </row>
    <row r="4406" s="27" customFormat="1" ht="23" hidden="1" customHeight="1" spans="1:25">
      <c r="A4406" s="133" t="str">
        <f>IF(B4406="","",COUNTA($B$5:B4406))</f>
        <v/>
      </c>
      <c r="B4406" s="148"/>
      <c r="C4406" s="22" t="s">
        <v>49</v>
      </c>
      <c r="D4406" s="149"/>
      <c r="E4406" s="150"/>
      <c r="F4406" s="151"/>
      <c r="G4406" s="151"/>
      <c r="H4406" s="142">
        <f>IFERROR(VLOOKUP($C4406,$C$5:$H$18,6,0)+SUMIF($C$19:$C4406,$C4406,$F$19:$F4406)-SUMIF($C$19:$C4406,$C4406,$G$19:$G4406),"")</f>
        <v>81211.819999998</v>
      </c>
      <c r="I4406" s="147"/>
      <c r="J4406" s="147"/>
      <c r="K4406" s="147" t="str">
        <f t="shared" si="68"/>
        <v/>
      </c>
      <c r="L4406" s="40"/>
      <c r="M4406"/>
      <c r="N4406"/>
      <c r="O4406"/>
      <c r="P4406"/>
      <c r="Q4406"/>
      <c r="R4406"/>
      <c r="S4406"/>
      <c r="T4406"/>
      <c r="U4406"/>
      <c r="V4406"/>
      <c r="W4406" s="41"/>
      <c r="X4406" s="41"/>
      <c r="Y4406" s="41"/>
    </row>
    <row r="4407" s="27" customFormat="1" ht="23" hidden="1" customHeight="1" spans="1:25">
      <c r="A4407" s="133" t="str">
        <f>IF(B4407="","",COUNTA($B$5:B4407))</f>
        <v/>
      </c>
      <c r="B4407" s="148"/>
      <c r="C4407" s="22" t="s">
        <v>49</v>
      </c>
      <c r="D4407" s="149"/>
      <c r="E4407" s="150"/>
      <c r="F4407" s="151"/>
      <c r="G4407" s="151"/>
      <c r="H4407" s="142">
        <f>IFERROR(VLOOKUP($C4407,$C$5:$H$18,6,0)+SUMIF($C$19:$C4407,$C4407,$F$19:$F4407)-SUMIF($C$19:$C4407,$C4407,$G$19:$G4407),"")</f>
        <v>81211.819999998</v>
      </c>
      <c r="I4407" s="147"/>
      <c r="J4407" s="147"/>
      <c r="K4407" s="147" t="str">
        <f t="shared" si="68"/>
        <v/>
      </c>
      <c r="L4407" s="40"/>
      <c r="M4407"/>
      <c r="N4407"/>
      <c r="O4407"/>
      <c r="P4407"/>
      <c r="Q4407"/>
      <c r="R4407"/>
      <c r="S4407"/>
      <c r="T4407"/>
      <c r="U4407"/>
      <c r="V4407"/>
      <c r="W4407" s="41"/>
      <c r="X4407" s="41"/>
      <c r="Y4407" s="41"/>
    </row>
    <row r="4408" s="27" customFormat="1" ht="23" hidden="1" customHeight="1" spans="1:25">
      <c r="A4408" s="133" t="str">
        <f>IF(B4408="","",COUNTA($B$5:B4408))</f>
        <v/>
      </c>
      <c r="B4408" s="148"/>
      <c r="C4408" s="22" t="s">
        <v>49</v>
      </c>
      <c r="D4408" s="149"/>
      <c r="E4408" s="150"/>
      <c r="F4408" s="151"/>
      <c r="G4408" s="151"/>
      <c r="H4408" s="142">
        <f>IFERROR(VLOOKUP($C4408,$C$5:$H$18,6,0)+SUMIF($C$19:$C4408,$C4408,$F$19:$F4408)-SUMIF($C$19:$C4408,$C4408,$G$19:$G4408),"")</f>
        <v>81211.819999998</v>
      </c>
      <c r="I4408" s="147"/>
      <c r="J4408" s="147"/>
      <c r="K4408" s="147" t="str">
        <f t="shared" si="68"/>
        <v/>
      </c>
      <c r="L4408" s="40"/>
      <c r="M4408"/>
      <c r="N4408"/>
      <c r="O4408"/>
      <c r="P4408"/>
      <c r="Q4408"/>
      <c r="R4408"/>
      <c r="S4408"/>
      <c r="T4408"/>
      <c r="U4408"/>
      <c r="V4408"/>
      <c r="W4408" s="41"/>
      <c r="X4408" s="41"/>
      <c r="Y4408" s="41"/>
    </row>
    <row r="4409" s="27" customFormat="1" ht="23" hidden="1" customHeight="1" spans="1:25">
      <c r="A4409" s="133" t="str">
        <f>IF(B4409="","",COUNTA($B$5:B4409))</f>
        <v/>
      </c>
      <c r="B4409" s="148"/>
      <c r="C4409" s="22" t="s">
        <v>49</v>
      </c>
      <c r="D4409" s="149"/>
      <c r="E4409" s="150"/>
      <c r="F4409" s="151"/>
      <c r="G4409" s="151"/>
      <c r="H4409" s="142">
        <f>IFERROR(VLOOKUP($C4409,$C$5:$H$18,6,0)+SUMIF($C$19:$C4409,$C4409,$F$19:$F4409)-SUMIF($C$19:$C4409,$C4409,$G$19:$G4409),"")</f>
        <v>81211.819999998</v>
      </c>
      <c r="I4409" s="147"/>
      <c r="J4409" s="147"/>
      <c r="K4409" s="147" t="str">
        <f t="shared" si="68"/>
        <v/>
      </c>
      <c r="L4409" s="40"/>
      <c r="M4409"/>
      <c r="N4409"/>
      <c r="O4409"/>
      <c r="P4409"/>
      <c r="Q4409"/>
      <c r="R4409"/>
      <c r="S4409"/>
      <c r="T4409"/>
      <c r="U4409"/>
      <c r="V4409"/>
      <c r="W4409" s="41"/>
      <c r="X4409" s="41"/>
      <c r="Y4409" s="41"/>
    </row>
    <row r="4410" s="27" customFormat="1" ht="23" hidden="1" customHeight="1" spans="1:25">
      <c r="A4410" s="133" t="str">
        <f>IF(B4410="","",COUNTA($B$5:B4410))</f>
        <v/>
      </c>
      <c r="B4410" s="148"/>
      <c r="C4410" s="22" t="s">
        <v>49</v>
      </c>
      <c r="D4410" s="149"/>
      <c r="E4410" s="150"/>
      <c r="F4410" s="151"/>
      <c r="G4410" s="151"/>
      <c r="H4410" s="142">
        <f>IFERROR(VLOOKUP($C4410,$C$5:$H$18,6,0)+SUMIF($C$19:$C4410,$C4410,$F$19:$F4410)-SUMIF($C$19:$C4410,$C4410,$G$19:$G4410),"")</f>
        <v>81211.819999998</v>
      </c>
      <c r="I4410" s="147"/>
      <c r="J4410" s="147"/>
      <c r="K4410" s="147" t="str">
        <f t="shared" si="68"/>
        <v/>
      </c>
      <c r="L4410" s="40"/>
      <c r="M4410"/>
      <c r="N4410"/>
      <c r="O4410"/>
      <c r="P4410"/>
      <c r="Q4410"/>
      <c r="R4410"/>
      <c r="S4410"/>
      <c r="T4410"/>
      <c r="U4410"/>
      <c r="V4410"/>
      <c r="W4410" s="41"/>
      <c r="X4410" s="41"/>
      <c r="Y4410" s="41"/>
    </row>
    <row r="4411" s="27" customFormat="1" ht="23" hidden="1" customHeight="1" spans="1:25">
      <c r="A4411" s="133" t="str">
        <f>IF(B4411="","",COUNTA($B$5:B4411))</f>
        <v/>
      </c>
      <c r="B4411" s="148"/>
      <c r="C4411" s="22" t="s">
        <v>49</v>
      </c>
      <c r="D4411" s="149"/>
      <c r="E4411" s="150"/>
      <c r="F4411" s="151"/>
      <c r="G4411" s="151"/>
      <c r="H4411" s="142">
        <f>IFERROR(VLOOKUP($C4411,$C$5:$H$18,6,0)+SUMIF($C$19:$C4411,$C4411,$F$19:$F4411)-SUMIF($C$19:$C4411,$C4411,$G$19:$G4411),"")</f>
        <v>81211.819999998</v>
      </c>
      <c r="I4411" s="147"/>
      <c r="J4411" s="147"/>
      <c r="K4411" s="147" t="str">
        <f t="shared" si="68"/>
        <v/>
      </c>
      <c r="L4411" s="40"/>
      <c r="M4411"/>
      <c r="N4411"/>
      <c r="O4411"/>
      <c r="P4411"/>
      <c r="Q4411"/>
      <c r="R4411"/>
      <c r="S4411"/>
      <c r="T4411"/>
      <c r="U4411"/>
      <c r="V4411"/>
      <c r="W4411" s="41"/>
      <c r="X4411" s="41"/>
      <c r="Y4411" s="41"/>
    </row>
    <row r="4412" s="27" customFormat="1" ht="23" hidden="1" customHeight="1" spans="1:25">
      <c r="A4412" s="133" t="str">
        <f>IF(B4412="","",COUNTA($B$5:B4412))</f>
        <v/>
      </c>
      <c r="B4412" s="148"/>
      <c r="C4412" s="22" t="s">
        <v>49</v>
      </c>
      <c r="D4412" s="149"/>
      <c r="E4412" s="150"/>
      <c r="F4412" s="151"/>
      <c r="G4412" s="151"/>
      <c r="H4412" s="142">
        <f>IFERROR(VLOOKUP($C4412,$C$5:$H$18,6,0)+SUMIF($C$19:$C4412,$C4412,$F$19:$F4412)-SUMIF($C$19:$C4412,$C4412,$G$19:$G4412),"")</f>
        <v>81211.819999998</v>
      </c>
      <c r="I4412" s="147"/>
      <c r="J4412" s="147"/>
      <c r="K4412" s="147" t="str">
        <f t="shared" si="68"/>
        <v/>
      </c>
      <c r="L4412" s="40"/>
      <c r="M4412"/>
      <c r="N4412"/>
      <c r="O4412"/>
      <c r="P4412"/>
      <c r="Q4412"/>
      <c r="R4412"/>
      <c r="S4412"/>
      <c r="T4412"/>
      <c r="U4412"/>
      <c r="V4412"/>
      <c r="W4412" s="41"/>
      <c r="X4412" s="41"/>
      <c r="Y4412" s="41"/>
    </row>
    <row r="4413" s="27" customFormat="1" ht="23" hidden="1" customHeight="1" spans="1:25">
      <c r="A4413" s="133" t="str">
        <f>IF(B4413="","",COUNTA($B$5:B4413))</f>
        <v/>
      </c>
      <c r="B4413" s="148"/>
      <c r="C4413" s="22" t="s">
        <v>49</v>
      </c>
      <c r="D4413" s="149"/>
      <c r="E4413" s="150"/>
      <c r="F4413" s="151"/>
      <c r="G4413" s="151"/>
      <c r="H4413" s="142">
        <f>IFERROR(VLOOKUP($C4413,$C$5:$H$18,6,0)+SUMIF($C$19:$C4413,$C4413,$F$19:$F4413)-SUMIF($C$19:$C4413,$C4413,$G$19:$G4413),"")</f>
        <v>81211.819999998</v>
      </c>
      <c r="I4413" s="147"/>
      <c r="J4413" s="147"/>
      <c r="K4413" s="147" t="str">
        <f t="shared" si="68"/>
        <v/>
      </c>
      <c r="L4413" s="40"/>
      <c r="M4413"/>
      <c r="N4413"/>
      <c r="O4413"/>
      <c r="P4413"/>
      <c r="Q4413"/>
      <c r="R4413"/>
      <c r="S4413"/>
      <c r="T4413"/>
      <c r="U4413"/>
      <c r="V4413"/>
      <c r="W4413" s="41"/>
      <c r="X4413" s="41"/>
      <c r="Y4413" s="41"/>
    </row>
    <row r="4414" s="27" customFormat="1" ht="23" hidden="1" customHeight="1" spans="1:25">
      <c r="A4414" s="133" t="str">
        <f>IF(B4414="","",COUNTA($B$5:B4414))</f>
        <v/>
      </c>
      <c r="B4414" s="148"/>
      <c r="C4414" s="22" t="s">
        <v>49</v>
      </c>
      <c r="D4414" s="149"/>
      <c r="E4414" s="150"/>
      <c r="F4414" s="151"/>
      <c r="G4414" s="151"/>
      <c r="H4414" s="142">
        <f>IFERROR(VLOOKUP($C4414,$C$5:$H$18,6,0)+SUMIF($C$19:$C4414,$C4414,$F$19:$F4414)-SUMIF($C$19:$C4414,$C4414,$G$19:$G4414),"")</f>
        <v>81211.819999998</v>
      </c>
      <c r="I4414" s="147"/>
      <c r="J4414" s="147"/>
      <c r="K4414" s="147" t="str">
        <f t="shared" si="68"/>
        <v/>
      </c>
      <c r="L4414" s="40"/>
      <c r="M4414"/>
      <c r="N4414"/>
      <c r="O4414"/>
      <c r="P4414"/>
      <c r="Q4414"/>
      <c r="R4414"/>
      <c r="S4414"/>
      <c r="T4414"/>
      <c r="U4414"/>
      <c r="V4414"/>
      <c r="W4414" s="41"/>
      <c r="X4414" s="41"/>
      <c r="Y4414" s="41"/>
    </row>
    <row r="4415" s="27" customFormat="1" ht="23" hidden="1" customHeight="1" spans="1:25">
      <c r="A4415" s="133" t="str">
        <f>IF(B4415="","",COUNTA($B$5:B4415))</f>
        <v/>
      </c>
      <c r="B4415" s="148"/>
      <c r="C4415" s="22" t="s">
        <v>49</v>
      </c>
      <c r="D4415" s="149"/>
      <c r="E4415" s="150"/>
      <c r="F4415" s="151"/>
      <c r="G4415" s="151"/>
      <c r="H4415" s="142">
        <f>IFERROR(VLOOKUP($C4415,$C$5:$H$18,6,0)+SUMIF($C$19:$C4415,$C4415,$F$19:$F4415)-SUMIF($C$19:$C4415,$C4415,$G$19:$G4415),"")</f>
        <v>81211.819999998</v>
      </c>
      <c r="I4415" s="147"/>
      <c r="J4415" s="147"/>
      <c r="K4415" s="147" t="str">
        <f t="shared" si="68"/>
        <v/>
      </c>
      <c r="L4415" s="40"/>
      <c r="M4415"/>
      <c r="N4415"/>
      <c r="O4415"/>
      <c r="P4415"/>
      <c r="Q4415"/>
      <c r="R4415"/>
      <c r="S4415"/>
      <c r="T4415"/>
      <c r="U4415"/>
      <c r="V4415"/>
      <c r="W4415" s="41"/>
      <c r="X4415" s="41"/>
      <c r="Y4415" s="41"/>
    </row>
    <row r="4416" s="27" customFormat="1" ht="23" hidden="1" customHeight="1" spans="1:25">
      <c r="A4416" s="133" t="str">
        <f>IF(B4416="","",COUNTA($B$5:B4416))</f>
        <v/>
      </c>
      <c r="B4416" s="148"/>
      <c r="C4416" s="22" t="s">
        <v>49</v>
      </c>
      <c r="D4416" s="149"/>
      <c r="E4416" s="150"/>
      <c r="F4416" s="151"/>
      <c r="G4416" s="151"/>
      <c r="H4416" s="142">
        <f>IFERROR(VLOOKUP($C4416,$C$5:$H$18,6,0)+SUMIF($C$19:$C4416,$C4416,$F$19:$F4416)-SUMIF($C$19:$C4416,$C4416,$G$19:$G4416),"")</f>
        <v>81211.819999998</v>
      </c>
      <c r="I4416" s="147"/>
      <c r="J4416" s="147"/>
      <c r="K4416" s="147" t="str">
        <f t="shared" si="68"/>
        <v/>
      </c>
      <c r="L4416" s="40"/>
      <c r="M4416"/>
      <c r="N4416"/>
      <c r="O4416"/>
      <c r="P4416"/>
      <c r="Q4416"/>
      <c r="R4416"/>
      <c r="S4416"/>
      <c r="T4416"/>
      <c r="U4416"/>
      <c r="V4416"/>
      <c r="W4416" s="41"/>
      <c r="X4416" s="41"/>
      <c r="Y4416" s="41"/>
    </row>
    <row r="4417" s="27" customFormat="1" ht="23" hidden="1" customHeight="1" spans="1:25">
      <c r="A4417" s="133" t="str">
        <f>IF(B4417="","",COUNTA($B$5:B4417))</f>
        <v/>
      </c>
      <c r="B4417" s="148"/>
      <c r="C4417" s="22" t="s">
        <v>49</v>
      </c>
      <c r="D4417" s="149"/>
      <c r="E4417" s="150"/>
      <c r="F4417" s="151"/>
      <c r="G4417" s="151"/>
      <c r="H4417" s="142">
        <f>IFERROR(VLOOKUP($C4417,$C$5:$H$18,6,0)+SUMIF($C$19:$C4417,$C4417,$F$19:$F4417)-SUMIF($C$19:$C4417,$C4417,$G$19:$G4417),"")</f>
        <v>81211.819999998</v>
      </c>
      <c r="I4417" s="147"/>
      <c r="J4417" s="147"/>
      <c r="K4417" s="147" t="str">
        <f t="shared" si="68"/>
        <v/>
      </c>
      <c r="L4417" s="40"/>
      <c r="M4417"/>
      <c r="N4417"/>
      <c r="O4417"/>
      <c r="P4417"/>
      <c r="Q4417"/>
      <c r="R4417"/>
      <c r="S4417"/>
      <c r="T4417"/>
      <c r="U4417"/>
      <c r="V4417"/>
      <c r="W4417" s="41"/>
      <c r="X4417" s="41"/>
      <c r="Y4417" s="41"/>
    </row>
    <row r="4418" s="27" customFormat="1" ht="23" hidden="1" customHeight="1" spans="1:25">
      <c r="A4418" s="133" t="str">
        <f>IF(B4418="","",COUNTA($B$5:B4418))</f>
        <v/>
      </c>
      <c r="B4418" s="148"/>
      <c r="C4418" s="22" t="s">
        <v>49</v>
      </c>
      <c r="D4418" s="149"/>
      <c r="E4418" s="150"/>
      <c r="F4418" s="151"/>
      <c r="G4418" s="151"/>
      <c r="H4418" s="142">
        <f>IFERROR(VLOOKUP($C4418,$C$5:$H$18,6,0)+SUMIF($C$19:$C4418,$C4418,$F$19:$F4418)-SUMIF($C$19:$C4418,$C4418,$G$19:$G4418),"")</f>
        <v>81211.819999998</v>
      </c>
      <c r="I4418" s="147"/>
      <c r="J4418" s="147"/>
      <c r="K4418" s="147" t="str">
        <f t="shared" si="68"/>
        <v/>
      </c>
      <c r="L4418" s="40"/>
      <c r="M4418"/>
      <c r="N4418"/>
      <c r="O4418"/>
      <c r="P4418"/>
      <c r="Q4418"/>
      <c r="R4418"/>
      <c r="S4418"/>
      <c r="T4418"/>
      <c r="U4418"/>
      <c r="V4418"/>
      <c r="W4418" s="41"/>
      <c r="X4418" s="41"/>
      <c r="Y4418" s="41"/>
    </row>
    <row r="4419" s="27" customFormat="1" ht="23" hidden="1" customHeight="1" spans="1:25">
      <c r="A4419" s="133" t="str">
        <f>IF(B4419="","",COUNTA($B$5:B4419))</f>
        <v/>
      </c>
      <c r="B4419" s="148"/>
      <c r="C4419" s="22" t="s">
        <v>49</v>
      </c>
      <c r="D4419" s="149"/>
      <c r="E4419" s="150"/>
      <c r="F4419" s="151"/>
      <c r="G4419" s="151"/>
      <c r="H4419" s="142">
        <f>IFERROR(VLOOKUP($C4419,$C$5:$H$18,6,0)+SUMIF($C$19:$C4419,$C4419,$F$19:$F4419)-SUMIF($C$19:$C4419,$C4419,$G$19:$G4419),"")</f>
        <v>81211.819999998</v>
      </c>
      <c r="I4419" s="147"/>
      <c r="J4419" s="147"/>
      <c r="K4419" s="147" t="str">
        <f t="shared" si="68"/>
        <v/>
      </c>
      <c r="L4419" s="40"/>
      <c r="M4419"/>
      <c r="N4419"/>
      <c r="O4419"/>
      <c r="P4419"/>
      <c r="Q4419"/>
      <c r="R4419"/>
      <c r="S4419"/>
      <c r="T4419"/>
      <c r="U4419"/>
      <c r="V4419"/>
      <c r="W4419" s="41"/>
      <c r="X4419" s="41"/>
      <c r="Y4419" s="41"/>
    </row>
    <row r="4420" s="27" customFormat="1" ht="23" hidden="1" customHeight="1" spans="1:25">
      <c r="A4420" s="133" t="str">
        <f>IF(B4420="","",COUNTA($B$5:B4420))</f>
        <v/>
      </c>
      <c r="B4420" s="148"/>
      <c r="C4420" s="22" t="s">
        <v>49</v>
      </c>
      <c r="D4420" s="149"/>
      <c r="E4420" s="150"/>
      <c r="F4420" s="151"/>
      <c r="G4420" s="151"/>
      <c r="H4420" s="142">
        <f>IFERROR(VLOOKUP($C4420,$C$5:$H$18,6,0)+SUMIF($C$19:$C4420,$C4420,$F$19:$F4420)-SUMIF($C$19:$C4420,$C4420,$G$19:$G4420),"")</f>
        <v>81211.819999998</v>
      </c>
      <c r="I4420" s="147"/>
      <c r="J4420" s="147"/>
      <c r="K4420" s="147" t="str">
        <f t="shared" si="68"/>
        <v/>
      </c>
      <c r="L4420" s="40"/>
      <c r="M4420"/>
      <c r="N4420"/>
      <c r="O4420"/>
      <c r="P4420"/>
      <c r="Q4420"/>
      <c r="R4420"/>
      <c r="S4420"/>
      <c r="T4420"/>
      <c r="U4420"/>
      <c r="V4420"/>
      <c r="W4420" s="41"/>
      <c r="X4420" s="41"/>
      <c r="Y4420" s="41"/>
    </row>
    <row r="4421" s="27" customFormat="1" ht="23" hidden="1" customHeight="1" spans="1:25">
      <c r="A4421" s="133" t="str">
        <f>IF(B4421="","",COUNTA($B$5:B4421))</f>
        <v/>
      </c>
      <c r="B4421" s="148"/>
      <c r="C4421" s="22" t="s">
        <v>49</v>
      </c>
      <c r="D4421" s="149"/>
      <c r="E4421" s="150"/>
      <c r="F4421" s="151"/>
      <c r="G4421" s="151"/>
      <c r="H4421" s="142">
        <f>IFERROR(VLOOKUP($C4421,$C$5:$H$18,6,0)+SUMIF($C$19:$C4421,$C4421,$F$19:$F4421)-SUMIF($C$19:$C4421,$C4421,$G$19:$G4421),"")</f>
        <v>81211.819999998</v>
      </c>
      <c r="I4421" s="147"/>
      <c r="J4421" s="147"/>
      <c r="K4421" s="147" t="str">
        <f t="shared" ref="K4421:K4484" si="69">IF($B4421="","",--TEXT($B4421,"yyyymm"))</f>
        <v/>
      </c>
      <c r="L4421" s="40"/>
      <c r="M4421"/>
      <c r="N4421"/>
      <c r="O4421"/>
      <c r="P4421"/>
      <c r="Q4421"/>
      <c r="R4421"/>
      <c r="S4421"/>
      <c r="T4421"/>
      <c r="U4421"/>
      <c r="V4421"/>
      <c r="W4421" s="41"/>
      <c r="X4421" s="41"/>
      <c r="Y4421" s="41"/>
    </row>
    <row r="4422" s="27" customFormat="1" ht="23" hidden="1" customHeight="1" spans="1:25">
      <c r="A4422" s="133" t="str">
        <f>IF(B4422="","",COUNTA($B$5:B4422))</f>
        <v/>
      </c>
      <c r="B4422" s="148"/>
      <c r="C4422" s="22" t="s">
        <v>49</v>
      </c>
      <c r="D4422" s="149"/>
      <c r="E4422" s="150"/>
      <c r="F4422" s="151"/>
      <c r="G4422" s="151"/>
      <c r="H4422" s="142">
        <f>IFERROR(VLOOKUP($C4422,$C$5:$H$18,6,0)+SUMIF($C$19:$C4422,$C4422,$F$19:$F4422)-SUMIF($C$19:$C4422,$C4422,$G$19:$G4422),"")</f>
        <v>81211.819999998</v>
      </c>
      <c r="I4422" s="147"/>
      <c r="J4422" s="147"/>
      <c r="K4422" s="147" t="str">
        <f t="shared" si="69"/>
        <v/>
      </c>
      <c r="L4422" s="40"/>
      <c r="M4422"/>
      <c r="N4422"/>
      <c r="O4422"/>
      <c r="P4422"/>
      <c r="Q4422"/>
      <c r="R4422"/>
      <c r="S4422"/>
      <c r="T4422"/>
      <c r="U4422"/>
      <c r="V4422"/>
      <c r="W4422" s="41"/>
      <c r="X4422" s="41"/>
      <c r="Y4422" s="41"/>
    </row>
    <row r="4423" s="27" customFormat="1" ht="23" hidden="1" customHeight="1" spans="1:25">
      <c r="A4423" s="133" t="str">
        <f>IF(B4423="","",COUNTA($B$5:B4423))</f>
        <v/>
      </c>
      <c r="B4423" s="148"/>
      <c r="C4423" s="22" t="s">
        <v>49</v>
      </c>
      <c r="D4423" s="149"/>
      <c r="E4423" s="150"/>
      <c r="F4423" s="151"/>
      <c r="G4423" s="151"/>
      <c r="H4423" s="142">
        <f>IFERROR(VLOOKUP($C4423,$C$5:$H$18,6,0)+SUMIF($C$19:$C4423,$C4423,$F$19:$F4423)-SUMIF($C$19:$C4423,$C4423,$G$19:$G4423),"")</f>
        <v>81211.819999998</v>
      </c>
      <c r="I4423" s="147"/>
      <c r="J4423" s="147"/>
      <c r="K4423" s="147" t="str">
        <f t="shared" si="69"/>
        <v/>
      </c>
      <c r="L4423" s="40"/>
      <c r="M4423"/>
      <c r="N4423"/>
      <c r="O4423"/>
      <c r="P4423"/>
      <c r="Q4423"/>
      <c r="R4423"/>
      <c r="S4423"/>
      <c r="T4423"/>
      <c r="U4423"/>
      <c r="V4423"/>
      <c r="W4423" s="41"/>
      <c r="X4423" s="41"/>
      <c r="Y4423" s="41"/>
    </row>
    <row r="4424" s="27" customFormat="1" ht="23" hidden="1" customHeight="1" spans="1:25">
      <c r="A4424" s="133" t="str">
        <f>IF(B4424="","",COUNTA($B$5:B4424))</f>
        <v/>
      </c>
      <c r="B4424" s="148"/>
      <c r="C4424" s="22" t="s">
        <v>49</v>
      </c>
      <c r="D4424" s="149"/>
      <c r="E4424" s="150"/>
      <c r="F4424" s="151"/>
      <c r="G4424" s="151"/>
      <c r="H4424" s="142">
        <f>IFERROR(VLOOKUP($C4424,$C$5:$H$18,6,0)+SUMIF($C$19:$C4424,$C4424,$F$19:$F4424)-SUMIF($C$19:$C4424,$C4424,$G$19:$G4424),"")</f>
        <v>81211.819999998</v>
      </c>
      <c r="I4424" s="147"/>
      <c r="J4424" s="147"/>
      <c r="K4424" s="147" t="str">
        <f t="shared" si="69"/>
        <v/>
      </c>
      <c r="L4424" s="40"/>
      <c r="M4424"/>
      <c r="N4424"/>
      <c r="O4424"/>
      <c r="P4424"/>
      <c r="Q4424"/>
      <c r="R4424"/>
      <c r="S4424"/>
      <c r="T4424"/>
      <c r="U4424"/>
      <c r="V4424"/>
      <c r="W4424" s="41"/>
      <c r="X4424" s="41"/>
      <c r="Y4424" s="41"/>
    </row>
    <row r="4425" s="27" customFormat="1" ht="23" hidden="1" customHeight="1" spans="1:25">
      <c r="A4425" s="133" t="str">
        <f>IF(B4425="","",COUNTA($B$5:B4425))</f>
        <v/>
      </c>
      <c r="B4425" s="148"/>
      <c r="C4425" s="22" t="s">
        <v>49</v>
      </c>
      <c r="D4425" s="149"/>
      <c r="E4425" s="150"/>
      <c r="F4425" s="151"/>
      <c r="G4425" s="151"/>
      <c r="H4425" s="142">
        <f>IFERROR(VLOOKUP($C4425,$C$5:$H$18,6,0)+SUMIF($C$19:$C4425,$C4425,$F$19:$F4425)-SUMIF($C$19:$C4425,$C4425,$G$19:$G4425),"")</f>
        <v>81211.819999998</v>
      </c>
      <c r="I4425" s="147"/>
      <c r="J4425" s="147"/>
      <c r="K4425" s="147" t="str">
        <f t="shared" si="69"/>
        <v/>
      </c>
      <c r="L4425" s="40"/>
      <c r="M4425"/>
      <c r="N4425"/>
      <c r="O4425"/>
      <c r="P4425"/>
      <c r="Q4425"/>
      <c r="R4425"/>
      <c r="S4425"/>
      <c r="T4425"/>
      <c r="U4425"/>
      <c r="V4425"/>
      <c r="W4425" s="41"/>
      <c r="X4425" s="41"/>
      <c r="Y4425" s="41"/>
    </row>
    <row r="4426" s="27" customFormat="1" ht="23" hidden="1" customHeight="1" spans="1:25">
      <c r="A4426" s="133" t="str">
        <f>IF(B4426="","",COUNTA($B$5:B4426))</f>
        <v/>
      </c>
      <c r="B4426" s="148"/>
      <c r="C4426" s="22" t="s">
        <v>49</v>
      </c>
      <c r="D4426" s="149"/>
      <c r="E4426" s="150"/>
      <c r="F4426" s="151"/>
      <c r="G4426" s="151"/>
      <c r="H4426" s="142">
        <f>IFERROR(VLOOKUP($C4426,$C$5:$H$18,6,0)+SUMIF($C$19:$C4426,$C4426,$F$19:$F4426)-SUMIF($C$19:$C4426,$C4426,$G$19:$G4426),"")</f>
        <v>81211.819999998</v>
      </c>
      <c r="I4426" s="147"/>
      <c r="J4426" s="147"/>
      <c r="K4426" s="147" t="str">
        <f t="shared" si="69"/>
        <v/>
      </c>
      <c r="L4426" s="40"/>
      <c r="M4426"/>
      <c r="N4426"/>
      <c r="O4426"/>
      <c r="P4426"/>
      <c r="Q4426"/>
      <c r="R4426"/>
      <c r="S4426"/>
      <c r="T4426"/>
      <c r="U4426"/>
      <c r="V4426"/>
      <c r="W4426" s="41"/>
      <c r="X4426" s="41"/>
      <c r="Y4426" s="41"/>
    </row>
    <row r="4427" s="27" customFormat="1" ht="23" hidden="1" customHeight="1" spans="1:25">
      <c r="A4427" s="133" t="str">
        <f>IF(B4427="","",COUNTA($B$5:B4427))</f>
        <v/>
      </c>
      <c r="B4427" s="148"/>
      <c r="C4427" s="22" t="s">
        <v>49</v>
      </c>
      <c r="D4427" s="149"/>
      <c r="E4427" s="150"/>
      <c r="F4427" s="151"/>
      <c r="G4427" s="151"/>
      <c r="H4427" s="142">
        <f>IFERROR(VLOOKUP($C4427,$C$5:$H$18,6,0)+SUMIF($C$19:$C4427,$C4427,$F$19:$F4427)-SUMIF($C$19:$C4427,$C4427,$G$19:$G4427),"")</f>
        <v>81211.819999998</v>
      </c>
      <c r="I4427" s="147"/>
      <c r="J4427" s="147"/>
      <c r="K4427" s="147" t="str">
        <f t="shared" si="69"/>
        <v/>
      </c>
      <c r="L4427" s="40"/>
      <c r="M4427"/>
      <c r="N4427"/>
      <c r="O4427"/>
      <c r="P4427"/>
      <c r="Q4427"/>
      <c r="R4427"/>
      <c r="S4427"/>
      <c r="T4427"/>
      <c r="U4427"/>
      <c r="V4427"/>
      <c r="W4427" s="41"/>
      <c r="X4427" s="41"/>
      <c r="Y4427" s="41"/>
    </row>
    <row r="4428" s="27" customFormat="1" ht="23" hidden="1" customHeight="1" spans="1:25">
      <c r="A4428" s="133" t="str">
        <f>IF(B4428="","",COUNTA($B$5:B4428))</f>
        <v/>
      </c>
      <c r="B4428" s="148"/>
      <c r="C4428" s="22" t="s">
        <v>49</v>
      </c>
      <c r="D4428" s="149"/>
      <c r="E4428" s="150"/>
      <c r="F4428" s="151"/>
      <c r="G4428" s="151"/>
      <c r="H4428" s="142">
        <f>IFERROR(VLOOKUP($C4428,$C$5:$H$18,6,0)+SUMIF($C$19:$C4428,$C4428,$F$19:$F4428)-SUMIF($C$19:$C4428,$C4428,$G$19:$G4428),"")</f>
        <v>81211.819999998</v>
      </c>
      <c r="I4428" s="147"/>
      <c r="J4428" s="147"/>
      <c r="K4428" s="147" t="str">
        <f t="shared" si="69"/>
        <v/>
      </c>
      <c r="L4428" s="40"/>
      <c r="M4428"/>
      <c r="N4428"/>
      <c r="O4428"/>
      <c r="P4428"/>
      <c r="Q4428"/>
      <c r="R4428"/>
      <c r="S4428"/>
      <c r="T4428"/>
      <c r="U4428"/>
      <c r="V4428"/>
      <c r="W4428" s="41"/>
      <c r="X4428" s="41"/>
      <c r="Y4428" s="41"/>
    </row>
    <row r="4429" s="27" customFormat="1" ht="23" hidden="1" customHeight="1" spans="1:25">
      <c r="A4429" s="133" t="str">
        <f>IF(B4429="","",COUNTA($B$5:B4429))</f>
        <v/>
      </c>
      <c r="B4429" s="148"/>
      <c r="C4429" s="22" t="s">
        <v>49</v>
      </c>
      <c r="D4429" s="149"/>
      <c r="E4429" s="150"/>
      <c r="F4429" s="151"/>
      <c r="G4429" s="151"/>
      <c r="H4429" s="142">
        <f>IFERROR(VLOOKUP($C4429,$C$5:$H$18,6,0)+SUMIF($C$19:$C4429,$C4429,$F$19:$F4429)-SUMIF($C$19:$C4429,$C4429,$G$19:$G4429),"")</f>
        <v>81211.819999998</v>
      </c>
      <c r="I4429" s="147"/>
      <c r="J4429" s="147"/>
      <c r="K4429" s="147" t="str">
        <f t="shared" si="69"/>
        <v/>
      </c>
      <c r="L4429" s="40"/>
      <c r="M4429"/>
      <c r="N4429"/>
      <c r="O4429"/>
      <c r="P4429"/>
      <c r="Q4429"/>
      <c r="R4429"/>
      <c r="S4429"/>
      <c r="T4429"/>
      <c r="U4429"/>
      <c r="V4429"/>
      <c r="W4429" s="41"/>
      <c r="X4429" s="41"/>
      <c r="Y4429" s="41"/>
    </row>
    <row r="4430" s="27" customFormat="1" ht="23" hidden="1" customHeight="1" spans="1:25">
      <c r="A4430" s="133" t="str">
        <f>IF(B4430="","",COUNTA($B$5:B4430))</f>
        <v/>
      </c>
      <c r="B4430" s="148"/>
      <c r="C4430" s="22" t="s">
        <v>49</v>
      </c>
      <c r="D4430" s="149"/>
      <c r="E4430" s="150"/>
      <c r="F4430" s="151"/>
      <c r="G4430" s="151"/>
      <c r="H4430" s="142">
        <f>IFERROR(VLOOKUP($C4430,$C$5:$H$18,6,0)+SUMIF($C$19:$C4430,$C4430,$F$19:$F4430)-SUMIF($C$19:$C4430,$C4430,$G$19:$G4430),"")</f>
        <v>81211.819999998</v>
      </c>
      <c r="I4430" s="147"/>
      <c r="J4430" s="147"/>
      <c r="K4430" s="147" t="str">
        <f t="shared" si="69"/>
        <v/>
      </c>
      <c r="L4430" s="40"/>
      <c r="M4430"/>
      <c r="N4430"/>
      <c r="O4430"/>
      <c r="P4430"/>
      <c r="Q4430"/>
      <c r="R4430"/>
      <c r="S4430"/>
      <c r="T4430"/>
      <c r="U4430"/>
      <c r="V4430"/>
      <c r="W4430" s="41"/>
      <c r="X4430" s="41"/>
      <c r="Y4430" s="41"/>
    </row>
    <row r="4431" s="27" customFormat="1" ht="23" hidden="1" customHeight="1" spans="1:25">
      <c r="A4431" s="133" t="str">
        <f>IF(B4431="","",COUNTA($B$5:B4431))</f>
        <v/>
      </c>
      <c r="B4431" s="148"/>
      <c r="C4431" s="22" t="s">
        <v>49</v>
      </c>
      <c r="D4431" s="149"/>
      <c r="E4431" s="150"/>
      <c r="F4431" s="151"/>
      <c r="G4431" s="151"/>
      <c r="H4431" s="142">
        <f>IFERROR(VLOOKUP($C4431,$C$5:$H$18,6,0)+SUMIF($C$19:$C4431,$C4431,$F$19:$F4431)-SUMIF($C$19:$C4431,$C4431,$G$19:$G4431),"")</f>
        <v>81211.819999998</v>
      </c>
      <c r="I4431" s="147"/>
      <c r="J4431" s="147"/>
      <c r="K4431" s="147" t="str">
        <f t="shared" si="69"/>
        <v/>
      </c>
      <c r="L4431" s="40"/>
      <c r="M4431"/>
      <c r="N4431"/>
      <c r="O4431"/>
      <c r="P4431"/>
      <c r="Q4431"/>
      <c r="R4431"/>
      <c r="S4431"/>
      <c r="T4431"/>
      <c r="U4431"/>
      <c r="V4431"/>
      <c r="W4431" s="41"/>
      <c r="X4431" s="41"/>
      <c r="Y4431" s="41"/>
    </row>
    <row r="4432" s="27" customFormat="1" ht="23" hidden="1" customHeight="1" spans="1:25">
      <c r="A4432" s="133" t="str">
        <f>IF(B4432="","",COUNTA($B$5:B4432))</f>
        <v/>
      </c>
      <c r="B4432" s="148"/>
      <c r="C4432" s="22" t="s">
        <v>49</v>
      </c>
      <c r="D4432" s="149"/>
      <c r="E4432" s="150"/>
      <c r="F4432" s="151"/>
      <c r="G4432" s="151"/>
      <c r="H4432" s="142">
        <f>IFERROR(VLOOKUP($C4432,$C$5:$H$18,6,0)+SUMIF($C$19:$C4432,$C4432,$F$19:$F4432)-SUMIF($C$19:$C4432,$C4432,$G$19:$G4432),"")</f>
        <v>81211.819999998</v>
      </c>
      <c r="I4432" s="147"/>
      <c r="J4432" s="147"/>
      <c r="K4432" s="147" t="str">
        <f t="shared" si="69"/>
        <v/>
      </c>
      <c r="L4432" s="40"/>
      <c r="M4432"/>
      <c r="N4432"/>
      <c r="O4432"/>
      <c r="P4432"/>
      <c r="Q4432"/>
      <c r="R4432"/>
      <c r="S4432"/>
      <c r="T4432"/>
      <c r="U4432"/>
      <c r="V4432"/>
      <c r="W4432" s="41"/>
      <c r="X4432" s="41"/>
      <c r="Y4432" s="41"/>
    </row>
    <row r="4433" s="27" customFormat="1" ht="23" hidden="1" customHeight="1" spans="1:25">
      <c r="A4433" s="133" t="str">
        <f>IF(B4433="","",COUNTA($B$5:B4433))</f>
        <v/>
      </c>
      <c r="B4433" s="148"/>
      <c r="C4433" s="22" t="s">
        <v>49</v>
      </c>
      <c r="D4433" s="149"/>
      <c r="E4433" s="150"/>
      <c r="F4433" s="151"/>
      <c r="G4433" s="151"/>
      <c r="H4433" s="142">
        <f>IFERROR(VLOOKUP($C4433,$C$5:$H$18,6,0)+SUMIF($C$19:$C4433,$C4433,$F$19:$F4433)-SUMIF($C$19:$C4433,$C4433,$G$19:$G4433),"")</f>
        <v>81211.819999998</v>
      </c>
      <c r="I4433" s="147"/>
      <c r="J4433" s="147"/>
      <c r="K4433" s="147" t="str">
        <f t="shared" si="69"/>
        <v/>
      </c>
      <c r="L4433" s="40"/>
      <c r="M4433"/>
      <c r="N4433"/>
      <c r="O4433"/>
      <c r="P4433"/>
      <c r="Q4433"/>
      <c r="R4433"/>
      <c r="S4433"/>
      <c r="T4433"/>
      <c r="U4433"/>
      <c r="V4433"/>
      <c r="W4433" s="41"/>
      <c r="X4433" s="41"/>
      <c r="Y4433" s="41"/>
    </row>
    <row r="4434" s="27" customFormat="1" ht="23" hidden="1" customHeight="1" spans="1:25">
      <c r="A4434" s="133" t="str">
        <f>IF(B4434="","",COUNTA($B$5:B4434))</f>
        <v/>
      </c>
      <c r="B4434" s="148"/>
      <c r="C4434" s="22" t="s">
        <v>49</v>
      </c>
      <c r="D4434" s="149"/>
      <c r="E4434" s="150"/>
      <c r="F4434" s="151"/>
      <c r="G4434" s="151"/>
      <c r="H4434" s="142">
        <f>IFERROR(VLOOKUP($C4434,$C$5:$H$18,6,0)+SUMIF($C$19:$C4434,$C4434,$F$19:$F4434)-SUMIF($C$19:$C4434,$C4434,$G$19:$G4434),"")</f>
        <v>81211.819999998</v>
      </c>
      <c r="I4434" s="147"/>
      <c r="J4434" s="147"/>
      <c r="K4434" s="147" t="str">
        <f t="shared" si="69"/>
        <v/>
      </c>
      <c r="L4434" s="40"/>
      <c r="M4434"/>
      <c r="N4434"/>
      <c r="O4434"/>
      <c r="P4434"/>
      <c r="Q4434"/>
      <c r="R4434"/>
      <c r="S4434"/>
      <c r="T4434"/>
      <c r="U4434"/>
      <c r="V4434"/>
      <c r="W4434" s="41"/>
      <c r="X4434" s="41"/>
      <c r="Y4434" s="41"/>
    </row>
    <row r="4435" s="27" customFormat="1" ht="23" hidden="1" customHeight="1" spans="1:25">
      <c r="A4435" s="133" t="str">
        <f>IF(B4435="","",COUNTA($B$5:B4435))</f>
        <v/>
      </c>
      <c r="B4435" s="148"/>
      <c r="C4435" s="22" t="s">
        <v>49</v>
      </c>
      <c r="D4435" s="149"/>
      <c r="E4435" s="150"/>
      <c r="F4435" s="151"/>
      <c r="G4435" s="151"/>
      <c r="H4435" s="142">
        <f>IFERROR(VLOOKUP($C4435,$C$5:$H$18,6,0)+SUMIF($C$19:$C4435,$C4435,$F$19:$F4435)-SUMIF($C$19:$C4435,$C4435,$G$19:$G4435),"")</f>
        <v>81211.819999998</v>
      </c>
      <c r="I4435" s="147"/>
      <c r="J4435" s="147"/>
      <c r="K4435" s="147" t="str">
        <f t="shared" si="69"/>
        <v/>
      </c>
      <c r="L4435" s="40"/>
      <c r="M4435"/>
      <c r="N4435"/>
      <c r="O4435"/>
      <c r="P4435"/>
      <c r="Q4435"/>
      <c r="R4435"/>
      <c r="S4435"/>
      <c r="T4435"/>
      <c r="U4435"/>
      <c r="V4435"/>
      <c r="W4435" s="41"/>
      <c r="X4435" s="41"/>
      <c r="Y4435" s="41"/>
    </row>
    <row r="4436" s="27" customFormat="1" ht="23" hidden="1" customHeight="1" spans="1:25">
      <c r="A4436" s="133" t="str">
        <f>IF(B4436="","",COUNTA($B$5:B4436))</f>
        <v/>
      </c>
      <c r="B4436" s="148"/>
      <c r="C4436" s="22" t="s">
        <v>49</v>
      </c>
      <c r="D4436" s="149"/>
      <c r="E4436" s="150"/>
      <c r="F4436" s="151"/>
      <c r="G4436" s="151"/>
      <c r="H4436" s="142">
        <f>IFERROR(VLOOKUP($C4436,$C$5:$H$18,6,0)+SUMIF($C$19:$C4436,$C4436,$F$19:$F4436)-SUMIF($C$19:$C4436,$C4436,$G$19:$G4436),"")</f>
        <v>81211.819999998</v>
      </c>
      <c r="I4436" s="147"/>
      <c r="J4436" s="147"/>
      <c r="K4436" s="147" t="str">
        <f t="shared" si="69"/>
        <v/>
      </c>
      <c r="L4436" s="40"/>
      <c r="M4436"/>
      <c r="N4436"/>
      <c r="O4436"/>
      <c r="P4436"/>
      <c r="Q4436"/>
      <c r="R4436"/>
      <c r="S4436"/>
      <c r="T4436"/>
      <c r="U4436"/>
      <c r="V4436"/>
      <c r="W4436" s="41"/>
      <c r="X4436" s="41"/>
      <c r="Y4436" s="41"/>
    </row>
    <row r="4437" s="27" customFormat="1" ht="23" hidden="1" customHeight="1" spans="1:25">
      <c r="A4437" s="133" t="str">
        <f>IF(B4437="","",COUNTA($B$5:B4437))</f>
        <v/>
      </c>
      <c r="B4437" s="148"/>
      <c r="C4437" s="22" t="s">
        <v>49</v>
      </c>
      <c r="D4437" s="149"/>
      <c r="E4437" s="150"/>
      <c r="F4437" s="151"/>
      <c r="G4437" s="151"/>
      <c r="H4437" s="142">
        <f>IFERROR(VLOOKUP($C4437,$C$5:$H$18,6,0)+SUMIF($C$19:$C4437,$C4437,$F$19:$F4437)-SUMIF($C$19:$C4437,$C4437,$G$19:$G4437),"")</f>
        <v>81211.819999998</v>
      </c>
      <c r="I4437" s="147"/>
      <c r="J4437" s="147"/>
      <c r="K4437" s="147" t="str">
        <f t="shared" si="69"/>
        <v/>
      </c>
      <c r="L4437" s="40"/>
      <c r="M4437"/>
      <c r="N4437"/>
      <c r="O4437"/>
      <c r="P4437"/>
      <c r="Q4437"/>
      <c r="R4437"/>
      <c r="S4437"/>
      <c r="T4437"/>
      <c r="U4437"/>
      <c r="V4437"/>
      <c r="W4437" s="41"/>
      <c r="X4437" s="41"/>
      <c r="Y4437" s="41"/>
    </row>
    <row r="4438" s="27" customFormat="1" ht="23" hidden="1" customHeight="1" spans="1:25">
      <c r="A4438" s="133" t="str">
        <f>IF(B4438="","",COUNTA($B$5:B4438))</f>
        <v/>
      </c>
      <c r="B4438" s="148"/>
      <c r="C4438" s="22" t="s">
        <v>49</v>
      </c>
      <c r="D4438" s="149"/>
      <c r="E4438" s="150"/>
      <c r="F4438" s="151"/>
      <c r="G4438" s="151"/>
      <c r="H4438" s="142">
        <f>IFERROR(VLOOKUP($C4438,$C$5:$H$18,6,0)+SUMIF($C$19:$C4438,$C4438,$F$19:$F4438)-SUMIF($C$19:$C4438,$C4438,$G$19:$G4438),"")</f>
        <v>81211.819999998</v>
      </c>
      <c r="I4438" s="147"/>
      <c r="J4438" s="147"/>
      <c r="K4438" s="147" t="str">
        <f t="shared" si="69"/>
        <v/>
      </c>
      <c r="L4438" s="40"/>
      <c r="M4438"/>
      <c r="N4438"/>
      <c r="O4438"/>
      <c r="P4438"/>
      <c r="Q4438"/>
      <c r="R4438"/>
      <c r="S4438"/>
      <c r="T4438"/>
      <c r="U4438"/>
      <c r="V4438"/>
      <c r="W4438" s="41"/>
      <c r="X4438" s="41"/>
      <c r="Y4438" s="41"/>
    </row>
    <row r="4439" s="27" customFormat="1" ht="23" hidden="1" customHeight="1" spans="1:25">
      <c r="A4439" s="133" t="str">
        <f>IF(B4439="","",COUNTA($B$5:B4439))</f>
        <v/>
      </c>
      <c r="B4439" s="148"/>
      <c r="C4439" s="22" t="s">
        <v>49</v>
      </c>
      <c r="D4439" s="149"/>
      <c r="E4439" s="150"/>
      <c r="F4439" s="151"/>
      <c r="G4439" s="151"/>
      <c r="H4439" s="142">
        <f>IFERROR(VLOOKUP($C4439,$C$5:$H$18,6,0)+SUMIF($C$19:$C4439,$C4439,$F$19:$F4439)-SUMIF($C$19:$C4439,$C4439,$G$19:$G4439),"")</f>
        <v>81211.819999998</v>
      </c>
      <c r="I4439" s="147"/>
      <c r="J4439" s="147"/>
      <c r="K4439" s="147" t="str">
        <f t="shared" si="69"/>
        <v/>
      </c>
      <c r="L4439" s="40"/>
      <c r="M4439"/>
      <c r="N4439"/>
      <c r="O4439"/>
      <c r="P4439"/>
      <c r="Q4439"/>
      <c r="R4439"/>
      <c r="S4439"/>
      <c r="T4439"/>
      <c r="U4439"/>
      <c r="V4439"/>
      <c r="W4439" s="41"/>
      <c r="X4439" s="41"/>
      <c r="Y4439" s="41"/>
    </row>
    <row r="4440" s="27" customFormat="1" ht="23" hidden="1" customHeight="1" spans="1:25">
      <c r="A4440" s="133" t="str">
        <f>IF(B4440="","",COUNTA($B$5:B4440))</f>
        <v/>
      </c>
      <c r="B4440" s="148"/>
      <c r="C4440" s="22" t="s">
        <v>49</v>
      </c>
      <c r="D4440" s="149"/>
      <c r="E4440" s="150"/>
      <c r="F4440" s="151"/>
      <c r="G4440" s="151"/>
      <c r="H4440" s="142">
        <f>IFERROR(VLOOKUP($C4440,$C$5:$H$18,6,0)+SUMIF($C$19:$C4440,$C4440,$F$19:$F4440)-SUMIF($C$19:$C4440,$C4440,$G$19:$G4440),"")</f>
        <v>81211.819999998</v>
      </c>
      <c r="I4440" s="147"/>
      <c r="J4440" s="147"/>
      <c r="K4440" s="147" t="str">
        <f t="shared" si="69"/>
        <v/>
      </c>
      <c r="L4440" s="40"/>
      <c r="M4440"/>
      <c r="N4440"/>
      <c r="O4440"/>
      <c r="P4440"/>
      <c r="Q4440"/>
      <c r="R4440"/>
      <c r="S4440"/>
      <c r="T4440"/>
      <c r="U4440"/>
      <c r="V4440"/>
      <c r="W4440" s="41"/>
      <c r="X4440" s="41"/>
      <c r="Y4440" s="41"/>
    </row>
    <row r="4441" s="27" customFormat="1" ht="23" hidden="1" customHeight="1" spans="1:25">
      <c r="A4441" s="133" t="str">
        <f>IF(B4441="","",COUNTA($B$5:B4441))</f>
        <v/>
      </c>
      <c r="B4441" s="148"/>
      <c r="C4441" s="22" t="s">
        <v>49</v>
      </c>
      <c r="D4441" s="149"/>
      <c r="E4441" s="150"/>
      <c r="F4441" s="151"/>
      <c r="G4441" s="151"/>
      <c r="H4441" s="142">
        <f>IFERROR(VLOOKUP($C4441,$C$5:$H$18,6,0)+SUMIF($C$19:$C4441,$C4441,$F$19:$F4441)-SUMIF($C$19:$C4441,$C4441,$G$19:$G4441),"")</f>
        <v>81211.819999998</v>
      </c>
      <c r="I4441" s="147"/>
      <c r="J4441" s="147"/>
      <c r="K4441" s="147" t="str">
        <f t="shared" si="69"/>
        <v/>
      </c>
      <c r="L4441" s="40"/>
      <c r="M4441"/>
      <c r="N4441"/>
      <c r="O4441"/>
      <c r="P4441"/>
      <c r="Q4441"/>
      <c r="R4441"/>
      <c r="S4441"/>
      <c r="T4441"/>
      <c r="U4441"/>
      <c r="V4441"/>
      <c r="W4441" s="41"/>
      <c r="X4441" s="41"/>
      <c r="Y4441" s="41"/>
    </row>
    <row r="4442" s="27" customFormat="1" ht="23" hidden="1" customHeight="1" spans="1:25">
      <c r="A4442" s="133" t="str">
        <f>IF(B4442="","",COUNTA($B$5:B4442))</f>
        <v/>
      </c>
      <c r="B4442" s="148"/>
      <c r="C4442" s="22" t="s">
        <v>49</v>
      </c>
      <c r="D4442" s="149"/>
      <c r="E4442" s="150"/>
      <c r="F4442" s="151"/>
      <c r="G4442" s="151"/>
      <c r="H4442" s="142">
        <f>IFERROR(VLOOKUP($C4442,$C$5:$H$18,6,0)+SUMIF($C$19:$C4442,$C4442,$F$19:$F4442)-SUMIF($C$19:$C4442,$C4442,$G$19:$G4442),"")</f>
        <v>81211.819999998</v>
      </c>
      <c r="I4442" s="147"/>
      <c r="J4442" s="147"/>
      <c r="K4442" s="147" t="str">
        <f t="shared" si="69"/>
        <v/>
      </c>
      <c r="L4442" s="40"/>
      <c r="M4442"/>
      <c r="N4442"/>
      <c r="O4442"/>
      <c r="P4442"/>
      <c r="Q4442"/>
      <c r="R4442"/>
      <c r="S4442"/>
      <c r="T4442"/>
      <c r="U4442"/>
      <c r="V4442"/>
      <c r="W4442" s="41"/>
      <c r="X4442" s="41"/>
      <c r="Y4442" s="41"/>
    </row>
    <row r="4443" s="27" customFormat="1" ht="23" hidden="1" customHeight="1" spans="1:25">
      <c r="A4443" s="133" t="str">
        <f>IF(B4443="","",COUNTA($B$5:B4443))</f>
        <v/>
      </c>
      <c r="B4443" s="148"/>
      <c r="C4443" s="22" t="s">
        <v>49</v>
      </c>
      <c r="D4443" s="149"/>
      <c r="E4443" s="150"/>
      <c r="F4443" s="151"/>
      <c r="G4443" s="151"/>
      <c r="H4443" s="142">
        <f>IFERROR(VLOOKUP($C4443,$C$5:$H$18,6,0)+SUMIF($C$19:$C4443,$C4443,$F$19:$F4443)-SUMIF($C$19:$C4443,$C4443,$G$19:$G4443),"")</f>
        <v>81211.819999998</v>
      </c>
      <c r="I4443" s="147"/>
      <c r="J4443" s="147"/>
      <c r="K4443" s="147" t="str">
        <f t="shared" si="69"/>
        <v/>
      </c>
      <c r="L4443" s="40"/>
      <c r="M4443"/>
      <c r="N4443"/>
      <c r="O4443"/>
      <c r="P4443"/>
      <c r="Q4443"/>
      <c r="R4443"/>
      <c r="S4443"/>
      <c r="T4443"/>
      <c r="U4443"/>
      <c r="V4443"/>
      <c r="W4443" s="41"/>
      <c r="X4443" s="41"/>
      <c r="Y4443" s="41"/>
    </row>
    <row r="4444" s="27" customFormat="1" ht="23" hidden="1" customHeight="1" spans="1:25">
      <c r="A4444" s="133" t="str">
        <f>IF(B4444="","",COUNTA($B$5:B4444))</f>
        <v/>
      </c>
      <c r="B4444" s="148"/>
      <c r="C4444" s="22" t="s">
        <v>49</v>
      </c>
      <c r="D4444" s="149"/>
      <c r="E4444" s="150"/>
      <c r="F4444" s="151"/>
      <c r="G4444" s="151"/>
      <c r="H4444" s="142">
        <f>IFERROR(VLOOKUP($C4444,$C$5:$H$18,6,0)+SUMIF($C$19:$C4444,$C4444,$F$19:$F4444)-SUMIF($C$19:$C4444,$C4444,$G$19:$G4444),"")</f>
        <v>81211.819999998</v>
      </c>
      <c r="I4444" s="147"/>
      <c r="J4444" s="147"/>
      <c r="K4444" s="147" t="str">
        <f t="shared" si="69"/>
        <v/>
      </c>
      <c r="L4444" s="40"/>
      <c r="M4444"/>
      <c r="N4444"/>
      <c r="O4444"/>
      <c r="P4444"/>
      <c r="Q4444"/>
      <c r="R4444"/>
      <c r="S4444"/>
      <c r="T4444"/>
      <c r="U4444"/>
      <c r="V4444"/>
      <c r="W4444" s="41"/>
      <c r="X4444" s="41"/>
      <c r="Y4444" s="41"/>
    </row>
    <row r="4445" s="27" customFormat="1" ht="23" hidden="1" customHeight="1" spans="1:25">
      <c r="A4445" s="133" t="str">
        <f>IF(B4445="","",COUNTA($B$5:B4445))</f>
        <v/>
      </c>
      <c r="B4445" s="148"/>
      <c r="C4445" s="22" t="s">
        <v>49</v>
      </c>
      <c r="D4445" s="149"/>
      <c r="E4445" s="150"/>
      <c r="F4445" s="151"/>
      <c r="G4445" s="151"/>
      <c r="H4445" s="142">
        <f>IFERROR(VLOOKUP($C4445,$C$5:$H$18,6,0)+SUMIF($C$19:$C4445,$C4445,$F$19:$F4445)-SUMIF($C$19:$C4445,$C4445,$G$19:$G4445),"")</f>
        <v>81211.819999998</v>
      </c>
      <c r="I4445" s="147"/>
      <c r="J4445" s="147"/>
      <c r="K4445" s="147" t="str">
        <f t="shared" si="69"/>
        <v/>
      </c>
      <c r="L4445" s="40"/>
      <c r="M4445"/>
      <c r="N4445"/>
      <c r="O4445"/>
      <c r="P4445"/>
      <c r="Q4445"/>
      <c r="R4445"/>
      <c r="S4445"/>
      <c r="T4445"/>
      <c r="U4445"/>
      <c r="V4445"/>
      <c r="W4445" s="41"/>
      <c r="X4445" s="41"/>
      <c r="Y4445" s="41"/>
    </row>
    <row r="4446" s="27" customFormat="1" ht="23" hidden="1" customHeight="1" spans="1:25">
      <c r="A4446" s="133" t="str">
        <f>IF(B4446="","",COUNTA($B$5:B4446))</f>
        <v/>
      </c>
      <c r="B4446" s="148"/>
      <c r="C4446" s="22" t="s">
        <v>49</v>
      </c>
      <c r="D4446" s="149"/>
      <c r="E4446" s="150"/>
      <c r="F4446" s="151"/>
      <c r="G4446" s="151"/>
      <c r="H4446" s="142">
        <f>IFERROR(VLOOKUP($C4446,$C$5:$H$18,6,0)+SUMIF($C$19:$C4446,$C4446,$F$19:$F4446)-SUMIF($C$19:$C4446,$C4446,$G$19:$G4446),"")</f>
        <v>81211.819999998</v>
      </c>
      <c r="I4446" s="147"/>
      <c r="J4446" s="147"/>
      <c r="K4446" s="147" t="str">
        <f t="shared" si="69"/>
        <v/>
      </c>
      <c r="L4446" s="40"/>
      <c r="M4446"/>
      <c r="N4446"/>
      <c r="O4446"/>
      <c r="P4446"/>
      <c r="Q4446"/>
      <c r="R4446"/>
      <c r="S4446"/>
      <c r="T4446"/>
      <c r="U4446"/>
      <c r="V4446"/>
      <c r="W4446" s="41"/>
      <c r="X4446" s="41"/>
      <c r="Y4446" s="41"/>
    </row>
    <row r="4447" s="27" customFormat="1" ht="23" hidden="1" customHeight="1" spans="1:25">
      <c r="A4447" s="133" t="str">
        <f>IF(B4447="","",COUNTA($B$5:B4447))</f>
        <v/>
      </c>
      <c r="B4447" s="148"/>
      <c r="C4447" s="22" t="s">
        <v>49</v>
      </c>
      <c r="D4447" s="149"/>
      <c r="E4447" s="150"/>
      <c r="F4447" s="151"/>
      <c r="G4447" s="151"/>
      <c r="H4447" s="142">
        <f>IFERROR(VLOOKUP($C4447,$C$5:$H$18,6,0)+SUMIF($C$19:$C4447,$C4447,$F$19:$F4447)-SUMIF($C$19:$C4447,$C4447,$G$19:$G4447),"")</f>
        <v>81211.819999998</v>
      </c>
      <c r="I4447" s="147"/>
      <c r="J4447" s="147"/>
      <c r="K4447" s="147" t="str">
        <f t="shared" si="69"/>
        <v/>
      </c>
      <c r="L4447" s="40"/>
      <c r="M4447"/>
      <c r="N4447"/>
      <c r="O4447"/>
      <c r="P4447"/>
      <c r="Q4447"/>
      <c r="R4447"/>
      <c r="S4447"/>
      <c r="T4447"/>
      <c r="U4447"/>
      <c r="V4447"/>
      <c r="W4447" s="41"/>
      <c r="X4447" s="41"/>
      <c r="Y4447" s="41"/>
    </row>
    <row r="4448" s="27" customFormat="1" ht="23" hidden="1" customHeight="1" spans="1:25">
      <c r="A4448" s="133" t="str">
        <f>IF(B4448="","",COUNTA($B$5:B4448))</f>
        <v/>
      </c>
      <c r="B4448" s="148"/>
      <c r="C4448" s="22" t="s">
        <v>49</v>
      </c>
      <c r="D4448" s="149"/>
      <c r="E4448" s="150"/>
      <c r="F4448" s="151"/>
      <c r="G4448" s="151"/>
      <c r="H4448" s="142">
        <f>IFERROR(VLOOKUP($C4448,$C$5:$H$18,6,0)+SUMIF($C$19:$C4448,$C4448,$F$19:$F4448)-SUMIF($C$19:$C4448,$C4448,$G$19:$G4448),"")</f>
        <v>81211.819999998</v>
      </c>
      <c r="I4448" s="147"/>
      <c r="J4448" s="147"/>
      <c r="K4448" s="147" t="str">
        <f t="shared" si="69"/>
        <v/>
      </c>
      <c r="L4448" s="40"/>
      <c r="M4448"/>
      <c r="N4448"/>
      <c r="O4448"/>
      <c r="P4448"/>
      <c r="Q4448"/>
      <c r="R4448"/>
      <c r="S4448"/>
      <c r="T4448"/>
      <c r="U4448"/>
      <c r="V4448"/>
      <c r="W4448" s="41"/>
      <c r="X4448" s="41"/>
      <c r="Y4448" s="41"/>
    </row>
    <row r="4449" s="27" customFormat="1" ht="23" hidden="1" customHeight="1" spans="1:25">
      <c r="A4449" s="133" t="str">
        <f>IF(B4449="","",COUNTA($B$5:B4449))</f>
        <v/>
      </c>
      <c r="B4449" s="148"/>
      <c r="C4449" s="22" t="s">
        <v>49</v>
      </c>
      <c r="D4449" s="149"/>
      <c r="E4449" s="150"/>
      <c r="F4449" s="151"/>
      <c r="G4449" s="151"/>
      <c r="H4449" s="142">
        <f>IFERROR(VLOOKUP($C4449,$C$5:$H$18,6,0)+SUMIF($C$19:$C4449,$C4449,$F$19:$F4449)-SUMIF($C$19:$C4449,$C4449,$G$19:$G4449),"")</f>
        <v>81211.819999998</v>
      </c>
      <c r="I4449" s="147"/>
      <c r="J4449" s="147"/>
      <c r="K4449" s="147" t="str">
        <f t="shared" si="69"/>
        <v/>
      </c>
      <c r="L4449" s="40"/>
      <c r="M4449"/>
      <c r="N4449"/>
      <c r="O4449"/>
      <c r="P4449"/>
      <c r="Q4449"/>
      <c r="R4449"/>
      <c r="S4449"/>
      <c r="T4449"/>
      <c r="U4449"/>
      <c r="V4449"/>
      <c r="W4449" s="41"/>
      <c r="X4449" s="41"/>
      <c r="Y4449" s="41"/>
    </row>
    <row r="4450" s="27" customFormat="1" ht="23" hidden="1" customHeight="1" spans="1:25">
      <c r="A4450" s="133" t="str">
        <f>IF(B4450="","",COUNTA($B$5:B4450))</f>
        <v/>
      </c>
      <c r="B4450" s="148"/>
      <c r="C4450" s="22" t="s">
        <v>49</v>
      </c>
      <c r="D4450" s="149"/>
      <c r="E4450" s="150"/>
      <c r="F4450" s="151"/>
      <c r="G4450" s="151"/>
      <c r="H4450" s="142">
        <f>IFERROR(VLOOKUP($C4450,$C$5:$H$18,6,0)+SUMIF($C$19:$C4450,$C4450,$F$19:$F4450)-SUMIF($C$19:$C4450,$C4450,$G$19:$G4450),"")</f>
        <v>81211.819999998</v>
      </c>
      <c r="I4450" s="147"/>
      <c r="J4450" s="147"/>
      <c r="K4450" s="147" t="str">
        <f t="shared" si="69"/>
        <v/>
      </c>
      <c r="L4450" s="40"/>
      <c r="M4450"/>
      <c r="N4450"/>
      <c r="O4450"/>
      <c r="P4450"/>
      <c r="Q4450"/>
      <c r="R4450"/>
      <c r="S4450"/>
      <c r="T4450"/>
      <c r="U4450"/>
      <c r="V4450"/>
      <c r="W4450" s="41"/>
      <c r="X4450" s="41"/>
      <c r="Y4450" s="41"/>
    </row>
    <row r="4451" s="27" customFormat="1" ht="23" hidden="1" customHeight="1" spans="1:25">
      <c r="A4451" s="133" t="str">
        <f>IF(B4451="","",COUNTA($B$5:B4451))</f>
        <v/>
      </c>
      <c r="B4451" s="148"/>
      <c r="C4451" s="22" t="s">
        <v>49</v>
      </c>
      <c r="D4451" s="149"/>
      <c r="E4451" s="150"/>
      <c r="F4451" s="151"/>
      <c r="G4451" s="151"/>
      <c r="H4451" s="142">
        <f>IFERROR(VLOOKUP($C4451,$C$5:$H$18,6,0)+SUMIF($C$19:$C4451,$C4451,$F$19:$F4451)-SUMIF($C$19:$C4451,$C4451,$G$19:$G4451),"")</f>
        <v>81211.819999998</v>
      </c>
      <c r="I4451" s="147"/>
      <c r="J4451" s="147"/>
      <c r="K4451" s="147" t="str">
        <f t="shared" si="69"/>
        <v/>
      </c>
      <c r="L4451" s="40"/>
      <c r="M4451"/>
      <c r="N4451"/>
      <c r="O4451"/>
      <c r="P4451"/>
      <c r="Q4451"/>
      <c r="R4451"/>
      <c r="S4451"/>
      <c r="T4451"/>
      <c r="U4451"/>
      <c r="V4451"/>
      <c r="W4451" s="41"/>
      <c r="X4451" s="41"/>
      <c r="Y4451" s="41"/>
    </row>
    <row r="4452" s="27" customFormat="1" ht="23" hidden="1" customHeight="1" spans="1:25">
      <c r="A4452" s="133" t="str">
        <f>IF(B4452="","",COUNTA($B$5:B4452))</f>
        <v/>
      </c>
      <c r="B4452" s="148"/>
      <c r="C4452" s="22" t="s">
        <v>49</v>
      </c>
      <c r="D4452" s="149"/>
      <c r="E4452" s="150"/>
      <c r="F4452" s="151"/>
      <c r="G4452" s="151"/>
      <c r="H4452" s="142">
        <f>IFERROR(VLOOKUP($C4452,$C$5:$H$18,6,0)+SUMIF($C$19:$C4452,$C4452,$F$19:$F4452)-SUMIF($C$19:$C4452,$C4452,$G$19:$G4452),"")</f>
        <v>81211.819999998</v>
      </c>
      <c r="I4452" s="147"/>
      <c r="J4452" s="147"/>
      <c r="K4452" s="147" t="str">
        <f t="shared" si="69"/>
        <v/>
      </c>
      <c r="L4452" s="40"/>
      <c r="M4452"/>
      <c r="N4452"/>
      <c r="O4452"/>
      <c r="P4452"/>
      <c r="Q4452"/>
      <c r="R4452"/>
      <c r="S4452"/>
      <c r="T4452"/>
      <c r="U4452"/>
      <c r="V4452"/>
      <c r="W4452" s="41"/>
      <c r="X4452" s="41"/>
      <c r="Y4452" s="41"/>
    </row>
    <row r="4453" s="27" customFormat="1" ht="23" hidden="1" customHeight="1" spans="1:25">
      <c r="A4453" s="133" t="str">
        <f>IF(B4453="","",COUNTA($B$5:B4453))</f>
        <v/>
      </c>
      <c r="B4453" s="148"/>
      <c r="C4453" s="22" t="s">
        <v>49</v>
      </c>
      <c r="D4453" s="149"/>
      <c r="E4453" s="150"/>
      <c r="F4453" s="151"/>
      <c r="G4453" s="151"/>
      <c r="H4453" s="142">
        <f>IFERROR(VLOOKUP($C4453,$C$5:$H$18,6,0)+SUMIF($C$19:$C4453,$C4453,$F$19:$F4453)-SUMIF($C$19:$C4453,$C4453,$G$19:$G4453),"")</f>
        <v>81211.819999998</v>
      </c>
      <c r="I4453" s="147"/>
      <c r="J4453" s="147"/>
      <c r="K4453" s="147" t="str">
        <f t="shared" si="69"/>
        <v/>
      </c>
      <c r="L4453" s="40"/>
      <c r="M4453"/>
      <c r="N4453"/>
      <c r="O4453"/>
      <c r="P4453"/>
      <c r="Q4453"/>
      <c r="R4453"/>
      <c r="S4453"/>
      <c r="T4453"/>
      <c r="U4453"/>
      <c r="V4453"/>
      <c r="W4453" s="41"/>
      <c r="X4453" s="41"/>
      <c r="Y4453" s="41"/>
    </row>
    <row r="4454" s="27" customFormat="1" ht="23" hidden="1" customHeight="1" spans="1:25">
      <c r="A4454" s="133" t="str">
        <f>IF(B4454="","",COUNTA($B$5:B4454))</f>
        <v/>
      </c>
      <c r="B4454" s="148"/>
      <c r="C4454" s="22" t="s">
        <v>49</v>
      </c>
      <c r="D4454" s="149"/>
      <c r="E4454" s="150"/>
      <c r="F4454" s="151"/>
      <c r="G4454" s="151"/>
      <c r="H4454" s="142">
        <f>IFERROR(VLOOKUP($C4454,$C$5:$H$18,6,0)+SUMIF($C$19:$C4454,$C4454,$F$19:$F4454)-SUMIF($C$19:$C4454,$C4454,$G$19:$G4454),"")</f>
        <v>81211.819999998</v>
      </c>
      <c r="I4454" s="147"/>
      <c r="J4454" s="147"/>
      <c r="K4454" s="147" t="str">
        <f t="shared" si="69"/>
        <v/>
      </c>
      <c r="L4454" s="40"/>
      <c r="M4454"/>
      <c r="N4454"/>
      <c r="O4454"/>
      <c r="P4454"/>
      <c r="Q4454"/>
      <c r="R4454"/>
      <c r="S4454"/>
      <c r="T4454"/>
      <c r="U4454"/>
      <c r="V4454"/>
      <c r="W4454" s="41"/>
      <c r="X4454" s="41"/>
      <c r="Y4454" s="41"/>
    </row>
    <row r="4455" s="27" customFormat="1" ht="23" hidden="1" customHeight="1" spans="1:25">
      <c r="A4455" s="133" t="str">
        <f>IF(B4455="","",COUNTA($B$5:B4455))</f>
        <v/>
      </c>
      <c r="B4455" s="148"/>
      <c r="C4455" s="22" t="s">
        <v>49</v>
      </c>
      <c r="D4455" s="149"/>
      <c r="E4455" s="150"/>
      <c r="F4455" s="151"/>
      <c r="G4455" s="151"/>
      <c r="H4455" s="142">
        <f>IFERROR(VLOOKUP($C4455,$C$5:$H$18,6,0)+SUMIF($C$19:$C4455,$C4455,$F$19:$F4455)-SUMIF($C$19:$C4455,$C4455,$G$19:$G4455),"")</f>
        <v>81211.819999998</v>
      </c>
      <c r="I4455" s="147"/>
      <c r="J4455" s="147"/>
      <c r="K4455" s="147" t="str">
        <f t="shared" si="69"/>
        <v/>
      </c>
      <c r="L4455" s="40"/>
      <c r="M4455"/>
      <c r="N4455"/>
      <c r="O4455"/>
      <c r="P4455"/>
      <c r="Q4455"/>
      <c r="R4455"/>
      <c r="S4455"/>
      <c r="T4455"/>
      <c r="U4455"/>
      <c r="V4455"/>
      <c r="W4455" s="41"/>
      <c r="X4455" s="41"/>
      <c r="Y4455" s="41"/>
    </row>
    <row r="4456" s="27" customFormat="1" ht="23" hidden="1" customHeight="1" spans="1:25">
      <c r="A4456" s="133" t="str">
        <f>IF(B4456="","",COUNTA($B$5:B4456))</f>
        <v/>
      </c>
      <c r="B4456" s="148"/>
      <c r="C4456" s="22" t="s">
        <v>49</v>
      </c>
      <c r="D4456" s="149"/>
      <c r="E4456" s="150"/>
      <c r="F4456" s="151"/>
      <c r="G4456" s="151"/>
      <c r="H4456" s="142">
        <f>IFERROR(VLOOKUP($C4456,$C$5:$H$18,6,0)+SUMIF($C$19:$C4456,$C4456,$F$19:$F4456)-SUMIF($C$19:$C4456,$C4456,$G$19:$G4456),"")</f>
        <v>81211.819999998</v>
      </c>
      <c r="I4456" s="147"/>
      <c r="J4456" s="147"/>
      <c r="K4456" s="147" t="str">
        <f t="shared" si="69"/>
        <v/>
      </c>
      <c r="L4456" s="40"/>
      <c r="M4456"/>
      <c r="N4456"/>
      <c r="O4456"/>
      <c r="P4456"/>
      <c r="Q4456"/>
      <c r="R4456"/>
      <c r="S4456"/>
      <c r="T4456"/>
      <c r="U4456"/>
      <c r="V4456"/>
      <c r="W4456" s="41"/>
      <c r="X4456" s="41"/>
      <c r="Y4456" s="41"/>
    </row>
    <row r="4457" s="27" customFormat="1" ht="23" hidden="1" customHeight="1" spans="1:25">
      <c r="A4457" s="133" t="str">
        <f>IF(B4457="","",COUNTA($B$5:B4457))</f>
        <v/>
      </c>
      <c r="B4457" s="148"/>
      <c r="C4457" s="22" t="s">
        <v>49</v>
      </c>
      <c r="D4457" s="149"/>
      <c r="E4457" s="150"/>
      <c r="F4457" s="151"/>
      <c r="G4457" s="151"/>
      <c r="H4457" s="142">
        <f>IFERROR(VLOOKUP($C4457,$C$5:$H$18,6,0)+SUMIF($C$19:$C4457,$C4457,$F$19:$F4457)-SUMIF($C$19:$C4457,$C4457,$G$19:$G4457),"")</f>
        <v>81211.819999998</v>
      </c>
      <c r="I4457" s="147"/>
      <c r="J4457" s="147"/>
      <c r="K4457" s="147" t="str">
        <f t="shared" si="69"/>
        <v/>
      </c>
      <c r="L4457" s="40"/>
      <c r="M4457"/>
      <c r="N4457"/>
      <c r="O4457"/>
      <c r="P4457"/>
      <c r="Q4457"/>
      <c r="R4457"/>
      <c r="S4457"/>
      <c r="T4457"/>
      <c r="U4457"/>
      <c r="V4457"/>
      <c r="W4457" s="41"/>
      <c r="X4457" s="41"/>
      <c r="Y4457" s="41"/>
    </row>
    <row r="4458" s="27" customFormat="1" ht="23" hidden="1" customHeight="1" spans="1:25">
      <c r="A4458" s="133" t="str">
        <f>IF(B4458="","",COUNTA($B$5:B4458))</f>
        <v/>
      </c>
      <c r="B4458" s="148"/>
      <c r="C4458" s="22" t="s">
        <v>49</v>
      </c>
      <c r="D4458" s="149"/>
      <c r="E4458" s="150"/>
      <c r="F4458" s="151"/>
      <c r="G4458" s="151"/>
      <c r="H4458" s="142">
        <f>IFERROR(VLOOKUP($C4458,$C$5:$H$18,6,0)+SUMIF($C$19:$C4458,$C4458,$F$19:$F4458)-SUMIF($C$19:$C4458,$C4458,$G$19:$G4458),"")</f>
        <v>81211.819999998</v>
      </c>
      <c r="I4458" s="147"/>
      <c r="J4458" s="147"/>
      <c r="K4458" s="147" t="str">
        <f t="shared" si="69"/>
        <v/>
      </c>
      <c r="L4458" s="40"/>
      <c r="M4458"/>
      <c r="N4458"/>
      <c r="O4458"/>
      <c r="P4458"/>
      <c r="Q4458"/>
      <c r="R4458"/>
      <c r="S4458"/>
      <c r="T4458"/>
      <c r="U4458"/>
      <c r="V4458"/>
      <c r="W4458" s="41"/>
      <c r="X4458" s="41"/>
      <c r="Y4458" s="41"/>
    </row>
    <row r="4459" s="27" customFormat="1" ht="23" hidden="1" customHeight="1" spans="1:25">
      <c r="A4459" s="133" t="str">
        <f>IF(B4459="","",COUNTA($B$5:B4459))</f>
        <v/>
      </c>
      <c r="B4459" s="148"/>
      <c r="C4459" s="22" t="s">
        <v>49</v>
      </c>
      <c r="D4459" s="149"/>
      <c r="E4459" s="150"/>
      <c r="F4459" s="151"/>
      <c r="G4459" s="151"/>
      <c r="H4459" s="142">
        <f>IFERROR(VLOOKUP($C4459,$C$5:$H$18,6,0)+SUMIF($C$19:$C4459,$C4459,$F$19:$F4459)-SUMIF($C$19:$C4459,$C4459,$G$19:$G4459),"")</f>
        <v>81211.819999998</v>
      </c>
      <c r="I4459" s="147"/>
      <c r="J4459" s="147"/>
      <c r="K4459" s="147" t="str">
        <f t="shared" si="69"/>
        <v/>
      </c>
      <c r="L4459" s="40"/>
      <c r="M4459"/>
      <c r="N4459"/>
      <c r="O4459"/>
      <c r="P4459"/>
      <c r="Q4459"/>
      <c r="R4459"/>
      <c r="S4459"/>
      <c r="T4459"/>
      <c r="U4459"/>
      <c r="V4459"/>
      <c r="W4459" s="41"/>
      <c r="X4459" s="41"/>
      <c r="Y4459" s="41"/>
    </row>
    <row r="4460" s="27" customFormat="1" ht="23" hidden="1" customHeight="1" spans="1:25">
      <c r="A4460" s="133" t="str">
        <f>IF(B4460="","",COUNTA($B$5:B4460))</f>
        <v/>
      </c>
      <c r="B4460" s="148"/>
      <c r="C4460" s="22" t="s">
        <v>49</v>
      </c>
      <c r="D4460" s="149"/>
      <c r="E4460" s="150"/>
      <c r="F4460" s="151"/>
      <c r="G4460" s="151"/>
      <c r="H4460" s="142">
        <f>IFERROR(VLOOKUP($C4460,$C$5:$H$18,6,0)+SUMIF($C$19:$C4460,$C4460,$F$19:$F4460)-SUMIF($C$19:$C4460,$C4460,$G$19:$G4460),"")</f>
        <v>81211.819999998</v>
      </c>
      <c r="I4460" s="147"/>
      <c r="J4460" s="147"/>
      <c r="K4460" s="147" t="str">
        <f t="shared" si="69"/>
        <v/>
      </c>
      <c r="L4460" s="40"/>
      <c r="M4460"/>
      <c r="N4460"/>
      <c r="O4460"/>
      <c r="P4460"/>
      <c r="Q4460"/>
      <c r="R4460"/>
      <c r="S4460"/>
      <c r="T4460"/>
      <c r="U4460"/>
      <c r="V4460"/>
      <c r="W4460" s="41"/>
      <c r="X4460" s="41"/>
      <c r="Y4460" s="41"/>
    </row>
    <row r="4461" s="27" customFormat="1" ht="23" hidden="1" customHeight="1" spans="1:25">
      <c r="A4461" s="133" t="str">
        <f>IF(B4461="","",COUNTA($B$5:B4461))</f>
        <v/>
      </c>
      <c r="B4461" s="148"/>
      <c r="C4461" s="22" t="s">
        <v>49</v>
      </c>
      <c r="D4461" s="149"/>
      <c r="E4461" s="150"/>
      <c r="F4461" s="151"/>
      <c r="G4461" s="151"/>
      <c r="H4461" s="142">
        <f>IFERROR(VLOOKUP($C4461,$C$5:$H$18,6,0)+SUMIF($C$19:$C4461,$C4461,$F$19:$F4461)-SUMIF($C$19:$C4461,$C4461,$G$19:$G4461),"")</f>
        <v>81211.819999998</v>
      </c>
      <c r="I4461" s="147"/>
      <c r="J4461" s="147"/>
      <c r="K4461" s="147" t="str">
        <f t="shared" si="69"/>
        <v/>
      </c>
      <c r="L4461" s="40"/>
      <c r="M4461"/>
      <c r="N4461"/>
      <c r="O4461"/>
      <c r="P4461"/>
      <c r="Q4461"/>
      <c r="R4461"/>
      <c r="S4461"/>
      <c r="T4461"/>
      <c r="U4461"/>
      <c r="V4461"/>
      <c r="W4461" s="41"/>
      <c r="X4461" s="41"/>
      <c r="Y4461" s="41"/>
    </row>
    <row r="4462" s="27" customFormat="1" ht="23" hidden="1" customHeight="1" spans="1:25">
      <c r="A4462" s="133" t="str">
        <f>IF(B4462="","",COUNTA($B$5:B4462))</f>
        <v/>
      </c>
      <c r="B4462" s="148"/>
      <c r="C4462" s="22" t="s">
        <v>49</v>
      </c>
      <c r="D4462" s="149"/>
      <c r="E4462" s="150"/>
      <c r="F4462" s="151"/>
      <c r="G4462" s="151"/>
      <c r="H4462" s="142">
        <f>IFERROR(VLOOKUP($C4462,$C$5:$H$18,6,0)+SUMIF($C$19:$C4462,$C4462,$F$19:$F4462)-SUMIF($C$19:$C4462,$C4462,$G$19:$G4462),"")</f>
        <v>81211.819999998</v>
      </c>
      <c r="I4462" s="147"/>
      <c r="J4462" s="147"/>
      <c r="K4462" s="147" t="str">
        <f t="shared" si="69"/>
        <v/>
      </c>
      <c r="L4462" s="40"/>
      <c r="M4462"/>
      <c r="N4462"/>
      <c r="O4462"/>
      <c r="P4462"/>
      <c r="Q4462"/>
      <c r="R4462"/>
      <c r="S4462"/>
      <c r="T4462"/>
      <c r="U4462"/>
      <c r="V4462"/>
      <c r="W4462" s="41"/>
      <c r="X4462" s="41"/>
      <c r="Y4462" s="41"/>
    </row>
    <row r="4463" s="27" customFormat="1" ht="23" hidden="1" customHeight="1" spans="1:25">
      <c r="A4463" s="133" t="str">
        <f>IF(B4463="","",COUNTA($B$5:B4463))</f>
        <v/>
      </c>
      <c r="B4463" s="148"/>
      <c r="C4463" s="22" t="s">
        <v>49</v>
      </c>
      <c r="D4463" s="149"/>
      <c r="E4463" s="150"/>
      <c r="F4463" s="151"/>
      <c r="G4463" s="151"/>
      <c r="H4463" s="142">
        <f>IFERROR(VLOOKUP($C4463,$C$5:$H$18,6,0)+SUMIF($C$19:$C4463,$C4463,$F$19:$F4463)-SUMIF($C$19:$C4463,$C4463,$G$19:$G4463),"")</f>
        <v>81211.819999998</v>
      </c>
      <c r="I4463" s="147"/>
      <c r="J4463" s="147"/>
      <c r="K4463" s="147" t="str">
        <f t="shared" si="69"/>
        <v/>
      </c>
      <c r="L4463" s="40"/>
      <c r="M4463"/>
      <c r="N4463"/>
      <c r="O4463"/>
      <c r="P4463"/>
      <c r="Q4463"/>
      <c r="R4463"/>
      <c r="S4463"/>
      <c r="T4463"/>
      <c r="U4463"/>
      <c r="V4463"/>
      <c r="W4463" s="41"/>
      <c r="X4463" s="41"/>
      <c r="Y4463" s="41"/>
    </row>
    <row r="4464" s="27" customFormat="1" ht="23" hidden="1" customHeight="1" spans="1:25">
      <c r="A4464" s="133" t="str">
        <f>IF(B4464="","",COUNTA($B$5:B4464))</f>
        <v/>
      </c>
      <c r="B4464" s="148"/>
      <c r="C4464" s="22" t="s">
        <v>49</v>
      </c>
      <c r="D4464" s="149"/>
      <c r="E4464" s="150"/>
      <c r="F4464" s="151"/>
      <c r="G4464" s="151"/>
      <c r="H4464" s="142">
        <f>IFERROR(VLOOKUP($C4464,$C$5:$H$18,6,0)+SUMIF($C$19:$C4464,$C4464,$F$19:$F4464)-SUMIF($C$19:$C4464,$C4464,$G$19:$G4464),"")</f>
        <v>81211.819999998</v>
      </c>
      <c r="I4464" s="147"/>
      <c r="J4464" s="147"/>
      <c r="K4464" s="147" t="str">
        <f t="shared" si="69"/>
        <v/>
      </c>
      <c r="L4464" s="40"/>
      <c r="M4464"/>
      <c r="N4464"/>
      <c r="O4464"/>
      <c r="P4464"/>
      <c r="Q4464"/>
      <c r="R4464"/>
      <c r="S4464"/>
      <c r="T4464"/>
      <c r="U4464"/>
      <c r="V4464"/>
      <c r="W4464" s="41"/>
      <c r="X4464" s="41"/>
      <c r="Y4464" s="41"/>
    </row>
    <row r="4465" s="27" customFormat="1" ht="23" hidden="1" customHeight="1" spans="1:25">
      <c r="A4465" s="133" t="str">
        <f>IF(B4465="","",COUNTA($B$5:B4465))</f>
        <v/>
      </c>
      <c r="B4465" s="148"/>
      <c r="C4465" s="22" t="s">
        <v>49</v>
      </c>
      <c r="D4465" s="149"/>
      <c r="E4465" s="150"/>
      <c r="F4465" s="151"/>
      <c r="G4465" s="151"/>
      <c r="H4465" s="142">
        <f>IFERROR(VLOOKUP($C4465,$C$5:$H$18,6,0)+SUMIF($C$19:$C4465,$C4465,$F$19:$F4465)-SUMIF($C$19:$C4465,$C4465,$G$19:$G4465),"")</f>
        <v>81211.819999998</v>
      </c>
      <c r="I4465" s="147"/>
      <c r="J4465" s="147"/>
      <c r="K4465" s="147" t="str">
        <f t="shared" si="69"/>
        <v/>
      </c>
      <c r="L4465" s="40"/>
      <c r="M4465"/>
      <c r="N4465"/>
      <c r="O4465"/>
      <c r="P4465"/>
      <c r="Q4465"/>
      <c r="R4465"/>
      <c r="S4465"/>
      <c r="T4465"/>
      <c r="U4465"/>
      <c r="V4465"/>
      <c r="W4465" s="41"/>
      <c r="X4465" s="41"/>
      <c r="Y4465" s="41"/>
    </row>
    <row r="4466" s="27" customFormat="1" ht="23" hidden="1" customHeight="1" spans="1:25">
      <c r="A4466" s="133" t="str">
        <f>IF(B4466="","",COUNTA($B$5:B4466))</f>
        <v/>
      </c>
      <c r="B4466" s="148"/>
      <c r="C4466" s="22" t="s">
        <v>49</v>
      </c>
      <c r="D4466" s="149"/>
      <c r="E4466" s="150"/>
      <c r="F4466" s="151"/>
      <c r="G4466" s="151"/>
      <c r="H4466" s="142">
        <f>IFERROR(VLOOKUP($C4466,$C$5:$H$18,6,0)+SUMIF($C$19:$C4466,$C4466,$F$19:$F4466)-SUMIF($C$19:$C4466,$C4466,$G$19:$G4466),"")</f>
        <v>81211.819999998</v>
      </c>
      <c r="I4466" s="147"/>
      <c r="J4466" s="147"/>
      <c r="K4466" s="147" t="str">
        <f t="shared" si="69"/>
        <v/>
      </c>
      <c r="L4466" s="40"/>
      <c r="M4466"/>
      <c r="N4466"/>
      <c r="O4466"/>
      <c r="P4466"/>
      <c r="Q4466"/>
      <c r="R4466"/>
      <c r="S4466"/>
      <c r="T4466"/>
      <c r="U4466"/>
      <c r="V4466"/>
      <c r="W4466" s="41"/>
      <c r="X4466" s="41"/>
      <c r="Y4466" s="41"/>
    </row>
    <row r="4467" s="27" customFormat="1" ht="23" hidden="1" customHeight="1" spans="1:25">
      <c r="A4467" s="133" t="str">
        <f>IF(B4467="","",COUNTA($B$5:B4467))</f>
        <v/>
      </c>
      <c r="B4467" s="148"/>
      <c r="C4467" s="22" t="s">
        <v>49</v>
      </c>
      <c r="D4467" s="149"/>
      <c r="E4467" s="150"/>
      <c r="F4467" s="151"/>
      <c r="G4467" s="151"/>
      <c r="H4467" s="142">
        <f>IFERROR(VLOOKUP($C4467,$C$5:$H$18,6,0)+SUMIF($C$19:$C4467,$C4467,$F$19:$F4467)-SUMIF($C$19:$C4467,$C4467,$G$19:$G4467),"")</f>
        <v>81211.819999998</v>
      </c>
      <c r="I4467" s="147"/>
      <c r="J4467" s="147"/>
      <c r="K4467" s="147" t="str">
        <f t="shared" si="69"/>
        <v/>
      </c>
      <c r="L4467" s="40"/>
      <c r="M4467"/>
      <c r="N4467"/>
      <c r="O4467"/>
      <c r="P4467"/>
      <c r="Q4467"/>
      <c r="R4467"/>
      <c r="S4467"/>
      <c r="T4467"/>
      <c r="U4467"/>
      <c r="V4467"/>
      <c r="W4467" s="41"/>
      <c r="X4467" s="41"/>
      <c r="Y4467" s="41"/>
    </row>
    <row r="4468" s="27" customFormat="1" ht="23" hidden="1" customHeight="1" spans="1:25">
      <c r="A4468" s="133" t="str">
        <f>IF(B4468="","",COUNTA($B$5:B4468))</f>
        <v/>
      </c>
      <c r="B4468" s="148"/>
      <c r="C4468" s="22" t="s">
        <v>49</v>
      </c>
      <c r="D4468" s="149"/>
      <c r="E4468" s="150"/>
      <c r="F4468" s="151"/>
      <c r="G4468" s="151"/>
      <c r="H4468" s="142">
        <f>IFERROR(VLOOKUP($C4468,$C$5:$H$18,6,0)+SUMIF($C$19:$C4468,$C4468,$F$19:$F4468)-SUMIF($C$19:$C4468,$C4468,$G$19:$G4468),"")</f>
        <v>81211.819999998</v>
      </c>
      <c r="I4468" s="147"/>
      <c r="J4468" s="147"/>
      <c r="K4468" s="147" t="str">
        <f t="shared" si="69"/>
        <v/>
      </c>
      <c r="L4468" s="40"/>
      <c r="M4468"/>
      <c r="N4468"/>
      <c r="O4468"/>
      <c r="P4468"/>
      <c r="Q4468"/>
      <c r="R4468"/>
      <c r="S4468"/>
      <c r="T4468"/>
      <c r="U4468"/>
      <c r="V4468"/>
      <c r="W4468" s="41"/>
      <c r="X4468" s="41"/>
      <c r="Y4468" s="41"/>
    </row>
    <row r="4469" s="27" customFormat="1" ht="23" hidden="1" customHeight="1" spans="1:25">
      <c r="A4469" s="133" t="str">
        <f>IF(B4469="","",COUNTA($B$5:B4469))</f>
        <v/>
      </c>
      <c r="B4469" s="148"/>
      <c r="C4469" s="22" t="s">
        <v>49</v>
      </c>
      <c r="D4469" s="149"/>
      <c r="E4469" s="150"/>
      <c r="F4469" s="151"/>
      <c r="G4469" s="151"/>
      <c r="H4469" s="142">
        <f>IFERROR(VLOOKUP($C4469,$C$5:$H$18,6,0)+SUMIF($C$19:$C4469,$C4469,$F$19:$F4469)-SUMIF($C$19:$C4469,$C4469,$G$19:$G4469),"")</f>
        <v>81211.819999998</v>
      </c>
      <c r="I4469" s="147"/>
      <c r="J4469" s="147"/>
      <c r="K4469" s="147" t="str">
        <f t="shared" si="69"/>
        <v/>
      </c>
      <c r="L4469" s="40"/>
      <c r="M4469"/>
      <c r="N4469"/>
      <c r="O4469"/>
      <c r="P4469"/>
      <c r="Q4469"/>
      <c r="R4469"/>
      <c r="S4469"/>
      <c r="T4469"/>
      <c r="U4469"/>
      <c r="V4469"/>
      <c r="W4469" s="41"/>
      <c r="X4469" s="41"/>
      <c r="Y4469" s="41"/>
    </row>
    <row r="4470" s="27" customFormat="1" ht="23" hidden="1" customHeight="1" spans="1:25">
      <c r="A4470" s="133" t="str">
        <f>IF(B4470="","",COUNTA($B$5:B4470))</f>
        <v/>
      </c>
      <c r="B4470" s="148"/>
      <c r="C4470" s="22" t="s">
        <v>49</v>
      </c>
      <c r="D4470" s="149"/>
      <c r="E4470" s="150"/>
      <c r="F4470" s="151"/>
      <c r="G4470" s="151"/>
      <c r="H4470" s="142">
        <f>IFERROR(VLOOKUP($C4470,$C$5:$H$18,6,0)+SUMIF($C$19:$C4470,$C4470,$F$19:$F4470)-SUMIF($C$19:$C4470,$C4470,$G$19:$G4470),"")</f>
        <v>81211.819999998</v>
      </c>
      <c r="I4470" s="147"/>
      <c r="J4470" s="147"/>
      <c r="K4470" s="147" t="str">
        <f t="shared" si="69"/>
        <v/>
      </c>
      <c r="L4470" s="40"/>
      <c r="M4470"/>
      <c r="N4470"/>
      <c r="O4470"/>
      <c r="P4470"/>
      <c r="Q4470"/>
      <c r="R4470"/>
      <c r="S4470"/>
      <c r="T4470"/>
      <c r="U4470"/>
      <c r="V4470"/>
      <c r="W4470" s="41"/>
      <c r="X4470" s="41"/>
      <c r="Y4470" s="41"/>
    </row>
    <row r="4471" s="27" customFormat="1" ht="23" hidden="1" customHeight="1" spans="1:25">
      <c r="A4471" s="133" t="str">
        <f>IF(B4471="","",COUNTA($B$5:B4471))</f>
        <v/>
      </c>
      <c r="B4471" s="148"/>
      <c r="C4471" s="22" t="s">
        <v>49</v>
      </c>
      <c r="D4471" s="149"/>
      <c r="E4471" s="150"/>
      <c r="F4471" s="151"/>
      <c r="G4471" s="151"/>
      <c r="H4471" s="142">
        <f>IFERROR(VLOOKUP($C4471,$C$5:$H$18,6,0)+SUMIF($C$19:$C4471,$C4471,$F$19:$F4471)-SUMIF($C$19:$C4471,$C4471,$G$19:$G4471),"")</f>
        <v>81211.819999998</v>
      </c>
      <c r="I4471" s="147"/>
      <c r="J4471" s="147"/>
      <c r="K4471" s="147" t="str">
        <f t="shared" si="69"/>
        <v/>
      </c>
      <c r="L4471" s="40"/>
      <c r="M4471"/>
      <c r="N4471"/>
      <c r="O4471"/>
      <c r="P4471"/>
      <c r="Q4471"/>
      <c r="R4471"/>
      <c r="S4471"/>
      <c r="T4471"/>
      <c r="U4471"/>
      <c r="V4471"/>
      <c r="W4471" s="41"/>
      <c r="X4471" s="41"/>
      <c r="Y4471" s="41"/>
    </row>
    <row r="4472" s="27" customFormat="1" ht="23" hidden="1" customHeight="1" spans="1:25">
      <c r="A4472" s="133" t="str">
        <f>IF(B4472="","",COUNTA($B$5:B4472))</f>
        <v/>
      </c>
      <c r="B4472" s="148"/>
      <c r="C4472" s="22" t="s">
        <v>49</v>
      </c>
      <c r="D4472" s="149"/>
      <c r="E4472" s="150"/>
      <c r="F4472" s="151"/>
      <c r="G4472" s="151"/>
      <c r="H4472" s="142">
        <f>IFERROR(VLOOKUP($C4472,$C$5:$H$18,6,0)+SUMIF($C$19:$C4472,$C4472,$F$19:$F4472)-SUMIF($C$19:$C4472,$C4472,$G$19:$G4472),"")</f>
        <v>81211.819999998</v>
      </c>
      <c r="I4472" s="147"/>
      <c r="J4472" s="147"/>
      <c r="K4472" s="147" t="str">
        <f t="shared" si="69"/>
        <v/>
      </c>
      <c r="L4472" s="40"/>
      <c r="M4472"/>
      <c r="N4472"/>
      <c r="O4472"/>
      <c r="P4472"/>
      <c r="Q4472"/>
      <c r="R4472"/>
      <c r="S4472"/>
      <c r="T4472"/>
      <c r="U4472"/>
      <c r="V4472"/>
      <c r="W4472" s="41"/>
      <c r="X4472" s="41"/>
      <c r="Y4472" s="41"/>
    </row>
    <row r="4473" s="27" customFormat="1" ht="23" hidden="1" customHeight="1" spans="1:25">
      <c r="A4473" s="133" t="str">
        <f>IF(B4473="","",COUNTA($B$5:B4473))</f>
        <v/>
      </c>
      <c r="B4473" s="148"/>
      <c r="C4473" s="22" t="s">
        <v>49</v>
      </c>
      <c r="D4473" s="149"/>
      <c r="E4473" s="150"/>
      <c r="F4473" s="151"/>
      <c r="G4473" s="151"/>
      <c r="H4473" s="142">
        <f>IFERROR(VLOOKUP($C4473,$C$5:$H$18,6,0)+SUMIF($C$19:$C4473,$C4473,$F$19:$F4473)-SUMIF($C$19:$C4473,$C4473,$G$19:$G4473),"")</f>
        <v>81211.819999998</v>
      </c>
      <c r="I4473" s="147"/>
      <c r="J4473" s="147"/>
      <c r="K4473" s="147" t="str">
        <f t="shared" si="69"/>
        <v/>
      </c>
      <c r="L4473" s="40"/>
      <c r="M4473"/>
      <c r="N4473"/>
      <c r="O4473"/>
      <c r="P4473"/>
      <c r="Q4473"/>
      <c r="R4473"/>
      <c r="S4473"/>
      <c r="T4473"/>
      <c r="U4473"/>
      <c r="V4473"/>
      <c r="W4473" s="41"/>
      <c r="X4473" s="41"/>
      <c r="Y4473" s="41"/>
    </row>
    <row r="4474" s="27" customFormat="1" ht="23" hidden="1" customHeight="1" spans="1:25">
      <c r="A4474" s="133" t="str">
        <f>IF(B4474="","",COUNTA($B$5:B4474))</f>
        <v/>
      </c>
      <c r="B4474" s="148"/>
      <c r="C4474" s="22" t="s">
        <v>49</v>
      </c>
      <c r="D4474" s="149"/>
      <c r="E4474" s="150"/>
      <c r="F4474" s="151"/>
      <c r="G4474" s="151"/>
      <c r="H4474" s="142">
        <f>IFERROR(VLOOKUP($C4474,$C$5:$H$18,6,0)+SUMIF($C$19:$C4474,$C4474,$F$19:$F4474)-SUMIF($C$19:$C4474,$C4474,$G$19:$G4474),"")</f>
        <v>81211.819999998</v>
      </c>
      <c r="I4474" s="147"/>
      <c r="J4474" s="147"/>
      <c r="K4474" s="147" t="str">
        <f t="shared" si="69"/>
        <v/>
      </c>
      <c r="L4474" s="40"/>
      <c r="M4474"/>
      <c r="N4474"/>
      <c r="O4474"/>
      <c r="P4474"/>
      <c r="Q4474"/>
      <c r="R4474"/>
      <c r="S4474"/>
      <c r="T4474"/>
      <c r="U4474"/>
      <c r="V4474"/>
      <c r="W4474" s="41"/>
      <c r="X4474" s="41"/>
      <c r="Y4474" s="41"/>
    </row>
    <row r="4475" s="27" customFormat="1" ht="23" hidden="1" customHeight="1" spans="1:25">
      <c r="A4475" s="133" t="str">
        <f>IF(B4475="","",COUNTA($B$5:B4475))</f>
        <v/>
      </c>
      <c r="B4475" s="148"/>
      <c r="C4475" s="22" t="s">
        <v>49</v>
      </c>
      <c r="D4475" s="149"/>
      <c r="E4475" s="150"/>
      <c r="F4475" s="151"/>
      <c r="G4475" s="151"/>
      <c r="H4475" s="142">
        <f>IFERROR(VLOOKUP($C4475,$C$5:$H$18,6,0)+SUMIF($C$19:$C4475,$C4475,$F$19:$F4475)-SUMIF($C$19:$C4475,$C4475,$G$19:$G4475),"")</f>
        <v>81211.819999998</v>
      </c>
      <c r="I4475" s="147"/>
      <c r="J4475" s="147"/>
      <c r="K4475" s="147" t="str">
        <f t="shared" si="69"/>
        <v/>
      </c>
      <c r="L4475" s="40"/>
      <c r="M4475"/>
      <c r="N4475"/>
      <c r="O4475"/>
      <c r="P4475"/>
      <c r="Q4475"/>
      <c r="R4475"/>
      <c r="S4475"/>
      <c r="T4475"/>
      <c r="U4475"/>
      <c r="V4475"/>
      <c r="W4475" s="41"/>
      <c r="X4475" s="41"/>
      <c r="Y4475" s="41"/>
    </row>
    <row r="4476" s="27" customFormat="1" ht="23" hidden="1" customHeight="1" spans="1:25">
      <c r="A4476" s="133" t="str">
        <f>IF(B4476="","",COUNTA($B$5:B4476))</f>
        <v/>
      </c>
      <c r="B4476" s="148"/>
      <c r="C4476" s="22" t="s">
        <v>49</v>
      </c>
      <c r="D4476" s="149"/>
      <c r="E4476" s="150"/>
      <c r="F4476" s="151"/>
      <c r="G4476" s="151"/>
      <c r="H4476" s="142">
        <f>IFERROR(VLOOKUP($C4476,$C$5:$H$18,6,0)+SUMIF($C$19:$C4476,$C4476,$F$19:$F4476)-SUMIF($C$19:$C4476,$C4476,$G$19:$G4476),"")</f>
        <v>81211.819999998</v>
      </c>
      <c r="I4476" s="147"/>
      <c r="J4476" s="147"/>
      <c r="K4476" s="147" t="str">
        <f t="shared" si="69"/>
        <v/>
      </c>
      <c r="L4476" s="40"/>
      <c r="M4476"/>
      <c r="N4476"/>
      <c r="O4476"/>
      <c r="P4476"/>
      <c r="Q4476"/>
      <c r="R4476"/>
      <c r="S4476"/>
      <c r="T4476"/>
      <c r="U4476"/>
      <c r="V4476"/>
      <c r="W4476" s="41"/>
      <c r="X4476" s="41"/>
      <c r="Y4476" s="41"/>
    </row>
    <row r="4477" s="27" customFormat="1" ht="23" hidden="1" customHeight="1" spans="1:25">
      <c r="A4477" s="133" t="str">
        <f>IF(B4477="","",COUNTA($B$5:B4477))</f>
        <v/>
      </c>
      <c r="B4477" s="148"/>
      <c r="C4477" s="22" t="s">
        <v>49</v>
      </c>
      <c r="D4477" s="149"/>
      <c r="E4477" s="150"/>
      <c r="F4477" s="151"/>
      <c r="G4477" s="151"/>
      <c r="H4477" s="142">
        <f>IFERROR(VLOOKUP($C4477,$C$5:$H$18,6,0)+SUMIF($C$19:$C4477,$C4477,$F$19:$F4477)-SUMIF($C$19:$C4477,$C4477,$G$19:$G4477),"")</f>
        <v>81211.819999998</v>
      </c>
      <c r="I4477" s="147"/>
      <c r="J4477" s="147"/>
      <c r="K4477" s="147" t="str">
        <f t="shared" si="69"/>
        <v/>
      </c>
      <c r="L4477" s="40"/>
      <c r="M4477"/>
      <c r="N4477"/>
      <c r="O4477"/>
      <c r="P4477"/>
      <c r="Q4477"/>
      <c r="R4477"/>
      <c r="S4477"/>
      <c r="T4477"/>
      <c r="U4477"/>
      <c r="V4477"/>
      <c r="W4477" s="41"/>
      <c r="X4477" s="41"/>
      <c r="Y4477" s="41"/>
    </row>
    <row r="4478" s="27" customFormat="1" ht="23" hidden="1" customHeight="1" spans="1:25">
      <c r="A4478" s="133" t="str">
        <f>IF(B4478="","",COUNTA($B$5:B4478))</f>
        <v/>
      </c>
      <c r="B4478" s="148"/>
      <c r="C4478" s="22" t="s">
        <v>49</v>
      </c>
      <c r="D4478" s="149"/>
      <c r="E4478" s="150"/>
      <c r="F4478" s="151"/>
      <c r="G4478" s="151"/>
      <c r="H4478" s="142">
        <f>IFERROR(VLOOKUP($C4478,$C$5:$H$18,6,0)+SUMIF($C$19:$C4478,$C4478,$F$19:$F4478)-SUMIF($C$19:$C4478,$C4478,$G$19:$G4478),"")</f>
        <v>81211.819999998</v>
      </c>
      <c r="I4478" s="147"/>
      <c r="J4478" s="147"/>
      <c r="K4478" s="147" t="str">
        <f t="shared" si="69"/>
        <v/>
      </c>
      <c r="L4478" s="40"/>
      <c r="M4478"/>
      <c r="N4478"/>
      <c r="O4478"/>
      <c r="P4478"/>
      <c r="Q4478"/>
      <c r="R4478"/>
      <c r="S4478"/>
      <c r="T4478"/>
      <c r="U4478"/>
      <c r="V4478"/>
      <c r="W4478" s="41"/>
      <c r="X4478" s="41"/>
      <c r="Y4478" s="41"/>
    </row>
    <row r="4479" s="27" customFormat="1" ht="23" hidden="1" customHeight="1" spans="1:25">
      <c r="A4479" s="133" t="str">
        <f>IF(B4479="","",COUNTA($B$5:B4479))</f>
        <v/>
      </c>
      <c r="B4479" s="148"/>
      <c r="C4479" s="22" t="s">
        <v>49</v>
      </c>
      <c r="D4479" s="149"/>
      <c r="E4479" s="150"/>
      <c r="F4479" s="151"/>
      <c r="G4479" s="151"/>
      <c r="H4479" s="142">
        <f>IFERROR(VLOOKUP($C4479,$C$5:$H$18,6,0)+SUMIF($C$19:$C4479,$C4479,$F$19:$F4479)-SUMIF($C$19:$C4479,$C4479,$G$19:$G4479),"")</f>
        <v>81211.819999998</v>
      </c>
      <c r="I4479" s="147"/>
      <c r="J4479" s="147"/>
      <c r="K4479" s="147" t="str">
        <f t="shared" si="69"/>
        <v/>
      </c>
      <c r="L4479" s="40"/>
      <c r="M4479"/>
      <c r="N4479"/>
      <c r="O4479"/>
      <c r="P4479"/>
      <c r="Q4479"/>
      <c r="R4479"/>
      <c r="S4479"/>
      <c r="T4479"/>
      <c r="U4479"/>
      <c r="V4479"/>
      <c r="W4479" s="41"/>
      <c r="X4479" s="41"/>
      <c r="Y4479" s="41"/>
    </row>
    <row r="4480" s="27" customFormat="1" ht="23" hidden="1" customHeight="1" spans="1:25">
      <c r="A4480" s="133" t="str">
        <f>IF(B4480="","",COUNTA($B$5:B4480))</f>
        <v/>
      </c>
      <c r="B4480" s="148"/>
      <c r="C4480" s="22" t="s">
        <v>49</v>
      </c>
      <c r="D4480" s="149"/>
      <c r="E4480" s="150"/>
      <c r="F4480" s="151"/>
      <c r="G4480" s="151"/>
      <c r="H4480" s="142">
        <f>IFERROR(VLOOKUP($C4480,$C$5:$H$18,6,0)+SUMIF($C$19:$C4480,$C4480,$F$19:$F4480)-SUMIF($C$19:$C4480,$C4480,$G$19:$G4480),"")</f>
        <v>81211.819999998</v>
      </c>
      <c r="I4480" s="147"/>
      <c r="J4480" s="147"/>
      <c r="K4480" s="147" t="str">
        <f t="shared" si="69"/>
        <v/>
      </c>
      <c r="L4480" s="40"/>
      <c r="M4480"/>
      <c r="N4480"/>
      <c r="O4480"/>
      <c r="P4480"/>
      <c r="Q4480"/>
      <c r="R4480"/>
      <c r="S4480"/>
      <c r="T4480"/>
      <c r="U4480"/>
      <c r="V4480"/>
      <c r="W4480" s="41"/>
      <c r="X4480" s="41"/>
      <c r="Y4480" s="41"/>
    </row>
    <row r="4481" s="27" customFormat="1" ht="23" hidden="1" customHeight="1" spans="1:25">
      <c r="A4481" s="133" t="str">
        <f>IF(B4481="","",COUNTA($B$5:B4481))</f>
        <v/>
      </c>
      <c r="B4481" s="148"/>
      <c r="C4481" s="22" t="s">
        <v>49</v>
      </c>
      <c r="D4481" s="149"/>
      <c r="E4481" s="150"/>
      <c r="F4481" s="151"/>
      <c r="G4481" s="151"/>
      <c r="H4481" s="142">
        <f>IFERROR(VLOOKUP($C4481,$C$5:$H$18,6,0)+SUMIF($C$19:$C4481,$C4481,$F$19:$F4481)-SUMIF($C$19:$C4481,$C4481,$G$19:$G4481),"")</f>
        <v>81211.819999998</v>
      </c>
      <c r="I4481" s="147"/>
      <c r="J4481" s="147"/>
      <c r="K4481" s="147" t="str">
        <f t="shared" si="69"/>
        <v/>
      </c>
      <c r="L4481" s="40"/>
      <c r="M4481"/>
      <c r="N4481"/>
      <c r="O4481"/>
      <c r="P4481"/>
      <c r="Q4481"/>
      <c r="R4481"/>
      <c r="S4481"/>
      <c r="T4481"/>
      <c r="U4481"/>
      <c r="V4481"/>
      <c r="W4481" s="41"/>
      <c r="X4481" s="41"/>
      <c r="Y4481" s="41"/>
    </row>
    <row r="4482" s="27" customFormat="1" ht="23" hidden="1" customHeight="1" spans="1:25">
      <c r="A4482" s="133" t="str">
        <f>IF(B4482="","",COUNTA($B$5:B4482))</f>
        <v/>
      </c>
      <c r="B4482" s="148"/>
      <c r="C4482" s="22" t="s">
        <v>49</v>
      </c>
      <c r="D4482" s="149"/>
      <c r="E4482" s="150"/>
      <c r="F4482" s="151"/>
      <c r="G4482" s="151"/>
      <c r="H4482" s="142">
        <f>IFERROR(VLOOKUP($C4482,$C$5:$H$18,6,0)+SUMIF($C$19:$C4482,$C4482,$F$19:$F4482)-SUMIF($C$19:$C4482,$C4482,$G$19:$G4482),"")</f>
        <v>81211.819999998</v>
      </c>
      <c r="I4482" s="147"/>
      <c r="J4482" s="147"/>
      <c r="K4482" s="147" t="str">
        <f t="shared" si="69"/>
        <v/>
      </c>
      <c r="L4482" s="40"/>
      <c r="M4482"/>
      <c r="N4482"/>
      <c r="O4482"/>
      <c r="P4482"/>
      <c r="Q4482"/>
      <c r="R4482"/>
      <c r="S4482"/>
      <c r="T4482"/>
      <c r="U4482"/>
      <c r="V4482"/>
      <c r="W4482" s="41"/>
      <c r="X4482" s="41"/>
      <c r="Y4482" s="41"/>
    </row>
    <row r="4483" s="27" customFormat="1" ht="23" hidden="1" customHeight="1" spans="1:25">
      <c r="A4483" s="133" t="str">
        <f>IF(B4483="","",COUNTA($B$5:B4483))</f>
        <v/>
      </c>
      <c r="B4483" s="148"/>
      <c r="C4483" s="22" t="s">
        <v>49</v>
      </c>
      <c r="D4483" s="149"/>
      <c r="E4483" s="150"/>
      <c r="F4483" s="151"/>
      <c r="G4483" s="151"/>
      <c r="H4483" s="142">
        <f>IFERROR(VLOOKUP($C4483,$C$5:$H$18,6,0)+SUMIF($C$19:$C4483,$C4483,$F$19:$F4483)-SUMIF($C$19:$C4483,$C4483,$G$19:$G4483),"")</f>
        <v>81211.819999998</v>
      </c>
      <c r="I4483" s="147"/>
      <c r="J4483" s="147"/>
      <c r="K4483" s="147" t="str">
        <f t="shared" si="69"/>
        <v/>
      </c>
      <c r="L4483" s="40"/>
      <c r="M4483"/>
      <c r="N4483"/>
      <c r="O4483"/>
      <c r="P4483"/>
      <c r="Q4483"/>
      <c r="R4483"/>
      <c r="S4483"/>
      <c r="T4483"/>
      <c r="U4483"/>
      <c r="V4483"/>
      <c r="W4483" s="41"/>
      <c r="X4483" s="41"/>
      <c r="Y4483" s="41"/>
    </row>
    <row r="4484" s="27" customFormat="1" ht="23" hidden="1" customHeight="1" spans="1:25">
      <c r="A4484" s="133" t="str">
        <f>IF(B4484="","",COUNTA($B$5:B4484))</f>
        <v/>
      </c>
      <c r="B4484" s="148"/>
      <c r="C4484" s="22" t="s">
        <v>49</v>
      </c>
      <c r="D4484" s="149"/>
      <c r="E4484" s="150"/>
      <c r="F4484" s="151"/>
      <c r="G4484" s="151"/>
      <c r="H4484" s="142">
        <f>IFERROR(VLOOKUP($C4484,$C$5:$H$18,6,0)+SUMIF($C$19:$C4484,$C4484,$F$19:$F4484)-SUMIF($C$19:$C4484,$C4484,$G$19:$G4484),"")</f>
        <v>81211.819999998</v>
      </c>
      <c r="I4484" s="147"/>
      <c r="J4484" s="147"/>
      <c r="K4484" s="147" t="str">
        <f t="shared" si="69"/>
        <v/>
      </c>
      <c r="L4484" s="40"/>
      <c r="M4484"/>
      <c r="N4484"/>
      <c r="O4484"/>
      <c r="P4484"/>
      <c r="Q4484"/>
      <c r="R4484"/>
      <c r="S4484"/>
      <c r="T4484"/>
      <c r="U4484"/>
      <c r="V4484"/>
      <c r="W4484" s="41"/>
      <c r="X4484" s="41"/>
      <c r="Y4484" s="41"/>
    </row>
    <row r="4485" s="27" customFormat="1" ht="23" hidden="1" customHeight="1" spans="1:25">
      <c r="A4485" s="133" t="str">
        <f>IF(B4485="","",COUNTA($B$5:B4485))</f>
        <v/>
      </c>
      <c r="B4485" s="148"/>
      <c r="C4485" s="22" t="s">
        <v>49</v>
      </c>
      <c r="D4485" s="149"/>
      <c r="E4485" s="150"/>
      <c r="F4485" s="151"/>
      <c r="G4485" s="151"/>
      <c r="H4485" s="142">
        <f>IFERROR(VLOOKUP($C4485,$C$5:$H$18,6,0)+SUMIF($C$19:$C4485,$C4485,$F$19:$F4485)-SUMIF($C$19:$C4485,$C4485,$G$19:$G4485),"")</f>
        <v>81211.819999998</v>
      </c>
      <c r="I4485" s="147"/>
      <c r="J4485" s="147"/>
      <c r="K4485" s="147" t="str">
        <f t="shared" ref="K4485:K4548" si="70">IF($B4485="","",--TEXT($B4485,"yyyymm"))</f>
        <v/>
      </c>
      <c r="L4485" s="40"/>
      <c r="M4485"/>
      <c r="N4485"/>
      <c r="O4485"/>
      <c r="P4485"/>
      <c r="Q4485"/>
      <c r="R4485"/>
      <c r="S4485"/>
      <c r="T4485"/>
      <c r="U4485"/>
      <c r="V4485"/>
      <c r="W4485" s="41"/>
      <c r="X4485" s="41"/>
      <c r="Y4485" s="41"/>
    </row>
    <row r="4486" s="27" customFormat="1" ht="23" hidden="1" customHeight="1" spans="1:25">
      <c r="A4486" s="133" t="str">
        <f>IF(B4486="","",COUNTA($B$5:B4486))</f>
        <v/>
      </c>
      <c r="B4486" s="148"/>
      <c r="C4486" s="22" t="s">
        <v>49</v>
      </c>
      <c r="D4486" s="149"/>
      <c r="E4486" s="150"/>
      <c r="F4486" s="151"/>
      <c r="G4486" s="151"/>
      <c r="H4486" s="142">
        <f>IFERROR(VLOOKUP($C4486,$C$5:$H$18,6,0)+SUMIF($C$19:$C4486,$C4486,$F$19:$F4486)-SUMIF($C$19:$C4486,$C4486,$G$19:$G4486),"")</f>
        <v>81211.819999998</v>
      </c>
      <c r="I4486" s="147"/>
      <c r="J4486" s="147"/>
      <c r="K4486" s="147" t="str">
        <f t="shared" si="70"/>
        <v/>
      </c>
      <c r="L4486" s="40"/>
      <c r="M4486"/>
      <c r="N4486"/>
      <c r="O4486"/>
      <c r="P4486"/>
      <c r="Q4486"/>
      <c r="R4486"/>
      <c r="S4486"/>
      <c r="T4486"/>
      <c r="U4486"/>
      <c r="V4486"/>
      <c r="W4486" s="41"/>
      <c r="X4486" s="41"/>
      <c r="Y4486" s="41"/>
    </row>
    <row r="4487" s="27" customFormat="1" ht="23" hidden="1" customHeight="1" spans="1:25">
      <c r="A4487" s="133" t="str">
        <f>IF(B4487="","",COUNTA($B$5:B4487))</f>
        <v/>
      </c>
      <c r="B4487" s="148"/>
      <c r="C4487" s="22" t="s">
        <v>49</v>
      </c>
      <c r="D4487" s="149"/>
      <c r="E4487" s="150"/>
      <c r="F4487" s="151"/>
      <c r="G4487" s="151"/>
      <c r="H4487" s="142">
        <f>IFERROR(VLOOKUP($C4487,$C$5:$H$18,6,0)+SUMIF($C$19:$C4487,$C4487,$F$19:$F4487)-SUMIF($C$19:$C4487,$C4487,$G$19:$G4487),"")</f>
        <v>81211.819999998</v>
      </c>
      <c r="I4487" s="147"/>
      <c r="J4487" s="147"/>
      <c r="K4487" s="147" t="str">
        <f t="shared" si="70"/>
        <v/>
      </c>
      <c r="L4487" s="40"/>
      <c r="M4487"/>
      <c r="N4487"/>
      <c r="O4487"/>
      <c r="P4487"/>
      <c r="Q4487"/>
      <c r="R4487"/>
      <c r="S4487"/>
      <c r="T4487"/>
      <c r="U4487"/>
      <c r="V4487"/>
      <c r="W4487" s="41"/>
      <c r="X4487" s="41"/>
      <c r="Y4487" s="41"/>
    </row>
    <row r="4488" s="27" customFormat="1" ht="23" hidden="1" customHeight="1" spans="1:25">
      <c r="A4488" s="133" t="str">
        <f>IF(B4488="","",COUNTA($B$5:B4488))</f>
        <v/>
      </c>
      <c r="B4488" s="148"/>
      <c r="C4488" s="22" t="s">
        <v>49</v>
      </c>
      <c r="D4488" s="149"/>
      <c r="E4488" s="150"/>
      <c r="F4488" s="151"/>
      <c r="G4488" s="151"/>
      <c r="H4488" s="142">
        <f>IFERROR(VLOOKUP($C4488,$C$5:$H$18,6,0)+SUMIF($C$19:$C4488,$C4488,$F$19:$F4488)-SUMIF($C$19:$C4488,$C4488,$G$19:$G4488),"")</f>
        <v>81211.819999998</v>
      </c>
      <c r="I4488" s="147"/>
      <c r="J4488" s="147"/>
      <c r="K4488" s="147" t="str">
        <f t="shared" si="70"/>
        <v/>
      </c>
      <c r="L4488" s="40"/>
      <c r="M4488"/>
      <c r="N4488"/>
      <c r="O4488"/>
      <c r="P4488"/>
      <c r="Q4488"/>
      <c r="R4488"/>
      <c r="S4488"/>
      <c r="T4488"/>
      <c r="U4488"/>
      <c r="V4488"/>
      <c r="W4488" s="41"/>
      <c r="X4488" s="41"/>
      <c r="Y4488" s="41"/>
    </row>
    <row r="4489" s="27" customFormat="1" ht="23" hidden="1" customHeight="1" spans="1:25">
      <c r="A4489" s="133" t="str">
        <f>IF(B4489="","",COUNTA($B$5:B4489))</f>
        <v/>
      </c>
      <c r="B4489" s="148"/>
      <c r="C4489" s="22" t="s">
        <v>49</v>
      </c>
      <c r="D4489" s="149"/>
      <c r="E4489" s="150"/>
      <c r="F4489" s="151"/>
      <c r="G4489" s="151"/>
      <c r="H4489" s="142">
        <f>IFERROR(VLOOKUP($C4489,$C$5:$H$18,6,0)+SUMIF($C$19:$C4489,$C4489,$F$19:$F4489)-SUMIF($C$19:$C4489,$C4489,$G$19:$G4489),"")</f>
        <v>81211.819999998</v>
      </c>
      <c r="I4489" s="147"/>
      <c r="J4489" s="147"/>
      <c r="K4489" s="147" t="str">
        <f t="shared" si="70"/>
        <v/>
      </c>
      <c r="L4489" s="40"/>
      <c r="M4489"/>
      <c r="N4489"/>
      <c r="O4489"/>
      <c r="P4489"/>
      <c r="Q4489"/>
      <c r="R4489"/>
      <c r="S4489"/>
      <c r="T4489"/>
      <c r="U4489"/>
      <c r="V4489"/>
      <c r="W4489" s="41"/>
      <c r="X4489" s="41"/>
      <c r="Y4489" s="41"/>
    </row>
    <row r="4490" s="27" customFormat="1" ht="23" hidden="1" customHeight="1" spans="1:25">
      <c r="A4490" s="133" t="str">
        <f>IF(B4490="","",COUNTA($B$5:B4490))</f>
        <v/>
      </c>
      <c r="B4490" s="148"/>
      <c r="C4490" s="22" t="s">
        <v>49</v>
      </c>
      <c r="D4490" s="149"/>
      <c r="E4490" s="150"/>
      <c r="F4490" s="151"/>
      <c r="G4490" s="151"/>
      <c r="H4490" s="142">
        <f>IFERROR(VLOOKUP($C4490,$C$5:$H$18,6,0)+SUMIF($C$19:$C4490,$C4490,$F$19:$F4490)-SUMIF($C$19:$C4490,$C4490,$G$19:$G4490),"")</f>
        <v>81211.819999998</v>
      </c>
      <c r="I4490" s="147"/>
      <c r="J4490" s="147"/>
      <c r="K4490" s="147" t="str">
        <f t="shared" si="70"/>
        <v/>
      </c>
      <c r="L4490" s="40"/>
      <c r="M4490"/>
      <c r="N4490"/>
      <c r="O4490"/>
      <c r="P4490"/>
      <c r="Q4490"/>
      <c r="R4490"/>
      <c r="S4490"/>
      <c r="T4490"/>
      <c r="U4490"/>
      <c r="V4490"/>
      <c r="W4490" s="41"/>
      <c r="X4490" s="41"/>
      <c r="Y4490" s="41"/>
    </row>
    <row r="4491" s="27" customFormat="1" ht="23" hidden="1" customHeight="1" spans="1:25">
      <c r="A4491" s="133" t="str">
        <f>IF(B4491="","",COUNTA($B$5:B4491))</f>
        <v/>
      </c>
      <c r="B4491" s="148"/>
      <c r="C4491" s="22" t="s">
        <v>49</v>
      </c>
      <c r="D4491" s="149"/>
      <c r="E4491" s="150"/>
      <c r="F4491" s="151"/>
      <c r="G4491" s="151"/>
      <c r="H4491" s="142">
        <f>IFERROR(VLOOKUP($C4491,$C$5:$H$18,6,0)+SUMIF($C$19:$C4491,$C4491,$F$19:$F4491)-SUMIF($C$19:$C4491,$C4491,$G$19:$G4491),"")</f>
        <v>81211.819999998</v>
      </c>
      <c r="I4491" s="147"/>
      <c r="J4491" s="147"/>
      <c r="K4491" s="147" t="str">
        <f t="shared" si="70"/>
        <v/>
      </c>
      <c r="L4491" s="40"/>
      <c r="M4491"/>
      <c r="N4491"/>
      <c r="O4491"/>
      <c r="P4491"/>
      <c r="Q4491"/>
      <c r="R4491"/>
      <c r="S4491"/>
      <c r="T4491"/>
      <c r="U4491"/>
      <c r="V4491"/>
      <c r="W4491" s="41"/>
      <c r="X4491" s="41"/>
      <c r="Y4491" s="41"/>
    </row>
    <row r="4492" s="27" customFormat="1" ht="23" hidden="1" customHeight="1" spans="1:25">
      <c r="A4492" s="133" t="str">
        <f>IF(B4492="","",COUNTA($B$5:B4492))</f>
        <v/>
      </c>
      <c r="B4492" s="148"/>
      <c r="C4492" s="22" t="s">
        <v>49</v>
      </c>
      <c r="D4492" s="149"/>
      <c r="E4492" s="150"/>
      <c r="F4492" s="151"/>
      <c r="G4492" s="151"/>
      <c r="H4492" s="142">
        <f>IFERROR(VLOOKUP($C4492,$C$5:$H$18,6,0)+SUMIF($C$19:$C4492,$C4492,$F$19:$F4492)-SUMIF($C$19:$C4492,$C4492,$G$19:$G4492),"")</f>
        <v>81211.819999998</v>
      </c>
      <c r="I4492" s="147"/>
      <c r="J4492" s="147"/>
      <c r="K4492" s="147" t="str">
        <f t="shared" si="70"/>
        <v/>
      </c>
      <c r="L4492" s="40"/>
      <c r="M4492"/>
      <c r="N4492"/>
      <c r="O4492"/>
      <c r="P4492"/>
      <c r="Q4492"/>
      <c r="R4492"/>
      <c r="S4492"/>
      <c r="T4492"/>
      <c r="U4492"/>
      <c r="V4492"/>
      <c r="W4492" s="41"/>
      <c r="X4492" s="41"/>
      <c r="Y4492" s="41"/>
    </row>
    <row r="4493" s="27" customFormat="1" ht="23" hidden="1" customHeight="1" spans="1:25">
      <c r="A4493" s="133" t="str">
        <f>IF(B4493="","",COUNTA($B$5:B4493))</f>
        <v/>
      </c>
      <c r="B4493" s="148"/>
      <c r="C4493" s="22" t="s">
        <v>49</v>
      </c>
      <c r="D4493" s="149"/>
      <c r="E4493" s="150"/>
      <c r="F4493" s="151"/>
      <c r="G4493" s="151"/>
      <c r="H4493" s="142">
        <f>IFERROR(VLOOKUP($C4493,$C$5:$H$18,6,0)+SUMIF($C$19:$C4493,$C4493,$F$19:$F4493)-SUMIF($C$19:$C4493,$C4493,$G$19:$G4493),"")</f>
        <v>81211.819999998</v>
      </c>
      <c r="I4493" s="147"/>
      <c r="J4493" s="147"/>
      <c r="K4493" s="147" t="str">
        <f t="shared" si="70"/>
        <v/>
      </c>
      <c r="L4493" s="40"/>
      <c r="M4493"/>
      <c r="N4493"/>
      <c r="O4493"/>
      <c r="P4493"/>
      <c r="Q4493"/>
      <c r="R4493"/>
      <c r="S4493"/>
      <c r="T4493"/>
      <c r="U4493"/>
      <c r="V4493"/>
      <c r="W4493" s="41"/>
      <c r="X4493" s="41"/>
      <c r="Y4493" s="41"/>
    </row>
    <row r="4494" s="27" customFormat="1" ht="23" hidden="1" customHeight="1" spans="1:25">
      <c r="A4494" s="133" t="str">
        <f>IF(B4494="","",COUNTA($B$5:B4494))</f>
        <v/>
      </c>
      <c r="B4494" s="148"/>
      <c r="C4494" s="22" t="s">
        <v>49</v>
      </c>
      <c r="D4494" s="149"/>
      <c r="E4494" s="150"/>
      <c r="F4494" s="151"/>
      <c r="G4494" s="151"/>
      <c r="H4494" s="142">
        <f>IFERROR(VLOOKUP($C4494,$C$5:$H$18,6,0)+SUMIF($C$19:$C4494,$C4494,$F$19:$F4494)-SUMIF($C$19:$C4494,$C4494,$G$19:$G4494),"")</f>
        <v>81211.819999998</v>
      </c>
      <c r="I4494" s="147"/>
      <c r="J4494" s="147"/>
      <c r="K4494" s="147" t="str">
        <f t="shared" si="70"/>
        <v/>
      </c>
      <c r="L4494" s="40"/>
      <c r="M4494"/>
      <c r="N4494"/>
      <c r="O4494"/>
      <c r="P4494"/>
      <c r="Q4494"/>
      <c r="R4494"/>
      <c r="S4494"/>
      <c r="T4494"/>
      <c r="U4494"/>
      <c r="V4494"/>
      <c r="W4494" s="41"/>
      <c r="X4494" s="41"/>
      <c r="Y4494" s="41"/>
    </row>
    <row r="4495" s="27" customFormat="1" ht="23" hidden="1" customHeight="1" spans="1:25">
      <c r="A4495" s="133" t="str">
        <f>IF(B4495="","",COUNTA($B$5:B4495))</f>
        <v/>
      </c>
      <c r="B4495" s="148"/>
      <c r="C4495" s="22" t="s">
        <v>49</v>
      </c>
      <c r="D4495" s="149"/>
      <c r="E4495" s="150"/>
      <c r="F4495" s="151"/>
      <c r="G4495" s="151"/>
      <c r="H4495" s="142">
        <f>IFERROR(VLOOKUP($C4495,$C$5:$H$18,6,0)+SUMIF($C$19:$C4495,$C4495,$F$19:$F4495)-SUMIF($C$19:$C4495,$C4495,$G$19:$G4495),"")</f>
        <v>81211.819999998</v>
      </c>
      <c r="I4495" s="147"/>
      <c r="J4495" s="147"/>
      <c r="K4495" s="147" t="str">
        <f t="shared" si="70"/>
        <v/>
      </c>
      <c r="L4495" s="40"/>
      <c r="M4495"/>
      <c r="N4495"/>
      <c r="O4495"/>
      <c r="P4495"/>
      <c r="Q4495"/>
      <c r="R4495"/>
      <c r="S4495"/>
      <c r="T4495"/>
      <c r="U4495"/>
      <c r="V4495"/>
      <c r="W4495" s="41"/>
      <c r="X4495" s="41"/>
      <c r="Y4495" s="41"/>
    </row>
    <row r="4496" s="27" customFormat="1" ht="23" hidden="1" customHeight="1" spans="1:25">
      <c r="A4496" s="133" t="str">
        <f>IF(B4496="","",COUNTA($B$5:B4496))</f>
        <v/>
      </c>
      <c r="B4496" s="148"/>
      <c r="C4496" s="22" t="s">
        <v>49</v>
      </c>
      <c r="D4496" s="149"/>
      <c r="E4496" s="150"/>
      <c r="F4496" s="151"/>
      <c r="G4496" s="151"/>
      <c r="H4496" s="142">
        <f>IFERROR(VLOOKUP($C4496,$C$5:$H$18,6,0)+SUMIF($C$19:$C4496,$C4496,$F$19:$F4496)-SUMIF($C$19:$C4496,$C4496,$G$19:$G4496),"")</f>
        <v>81211.819999998</v>
      </c>
      <c r="I4496" s="147"/>
      <c r="J4496" s="147"/>
      <c r="K4496" s="147" t="str">
        <f t="shared" si="70"/>
        <v/>
      </c>
      <c r="L4496" s="40"/>
      <c r="M4496"/>
      <c r="N4496"/>
      <c r="O4496"/>
      <c r="P4496"/>
      <c r="Q4496"/>
      <c r="R4496"/>
      <c r="S4496"/>
      <c r="T4496"/>
      <c r="U4496"/>
      <c r="V4496"/>
      <c r="W4496" s="41"/>
      <c r="X4496" s="41"/>
      <c r="Y4496" s="41"/>
    </row>
    <row r="4497" s="27" customFormat="1" ht="23" hidden="1" customHeight="1" spans="1:25">
      <c r="A4497" s="133" t="str">
        <f>IF(B4497="","",COUNTA($B$5:B4497))</f>
        <v/>
      </c>
      <c r="B4497" s="148"/>
      <c r="C4497" s="22" t="s">
        <v>49</v>
      </c>
      <c r="D4497" s="149"/>
      <c r="E4497" s="150"/>
      <c r="F4497" s="151"/>
      <c r="G4497" s="151"/>
      <c r="H4497" s="142">
        <f>IFERROR(VLOOKUP($C4497,$C$5:$H$18,6,0)+SUMIF($C$19:$C4497,$C4497,$F$19:$F4497)-SUMIF($C$19:$C4497,$C4497,$G$19:$G4497),"")</f>
        <v>81211.819999998</v>
      </c>
      <c r="I4497" s="147"/>
      <c r="J4497" s="147"/>
      <c r="K4497" s="147" t="str">
        <f t="shared" si="70"/>
        <v/>
      </c>
      <c r="L4497" s="40"/>
      <c r="M4497"/>
      <c r="N4497"/>
      <c r="O4497"/>
      <c r="P4497"/>
      <c r="Q4497"/>
      <c r="R4497"/>
      <c r="S4497"/>
      <c r="T4497"/>
      <c r="U4497"/>
      <c r="V4497"/>
      <c r="W4497" s="41"/>
      <c r="X4497" s="41"/>
      <c r="Y4497" s="41"/>
    </row>
    <row r="4498" s="27" customFormat="1" ht="23" hidden="1" customHeight="1" spans="1:25">
      <c r="A4498" s="133" t="str">
        <f>IF(B4498="","",COUNTA($B$5:B4498))</f>
        <v/>
      </c>
      <c r="B4498" s="148"/>
      <c r="C4498" s="22" t="s">
        <v>49</v>
      </c>
      <c r="D4498" s="149"/>
      <c r="E4498" s="150"/>
      <c r="F4498" s="151"/>
      <c r="G4498" s="151"/>
      <c r="H4498" s="142">
        <f>IFERROR(VLOOKUP($C4498,$C$5:$H$18,6,0)+SUMIF($C$19:$C4498,$C4498,$F$19:$F4498)-SUMIF($C$19:$C4498,$C4498,$G$19:$G4498),"")</f>
        <v>81211.819999998</v>
      </c>
      <c r="I4498" s="147"/>
      <c r="J4498" s="147"/>
      <c r="K4498" s="147" t="str">
        <f t="shared" si="70"/>
        <v/>
      </c>
      <c r="L4498" s="40"/>
      <c r="M4498"/>
      <c r="N4498"/>
      <c r="O4498"/>
      <c r="P4498"/>
      <c r="Q4498"/>
      <c r="R4498"/>
      <c r="S4498"/>
      <c r="T4498"/>
      <c r="U4498"/>
      <c r="V4498"/>
      <c r="W4498" s="41"/>
      <c r="X4498" s="41"/>
      <c r="Y4498" s="41"/>
    </row>
    <row r="4499" s="27" customFormat="1" ht="23" hidden="1" customHeight="1" spans="1:25">
      <c r="A4499" s="133" t="str">
        <f>IF(B4499="","",COUNTA($B$5:B4499))</f>
        <v/>
      </c>
      <c r="B4499" s="148"/>
      <c r="C4499" s="22" t="s">
        <v>49</v>
      </c>
      <c r="D4499" s="149"/>
      <c r="E4499" s="150"/>
      <c r="F4499" s="151"/>
      <c r="G4499" s="151"/>
      <c r="H4499" s="142">
        <f>IFERROR(VLOOKUP($C4499,$C$5:$H$18,6,0)+SUMIF($C$19:$C4499,$C4499,$F$19:$F4499)-SUMIF($C$19:$C4499,$C4499,$G$19:$G4499),"")</f>
        <v>81211.819999998</v>
      </c>
      <c r="I4499" s="147"/>
      <c r="J4499" s="147"/>
      <c r="K4499" s="147" t="str">
        <f t="shared" si="70"/>
        <v/>
      </c>
      <c r="L4499" s="40"/>
      <c r="M4499"/>
      <c r="N4499"/>
      <c r="O4499"/>
      <c r="P4499"/>
      <c r="Q4499"/>
      <c r="R4499"/>
      <c r="S4499"/>
      <c r="T4499"/>
      <c r="U4499"/>
      <c r="V4499"/>
      <c r="W4499" s="41"/>
      <c r="X4499" s="41"/>
      <c r="Y4499" s="41"/>
    </row>
    <row r="4500" s="27" customFormat="1" ht="23" hidden="1" customHeight="1" spans="1:25">
      <c r="A4500" s="133" t="str">
        <f>IF(B4500="","",COUNTA($B$5:B4500))</f>
        <v/>
      </c>
      <c r="B4500" s="148"/>
      <c r="C4500" s="22" t="s">
        <v>49</v>
      </c>
      <c r="D4500" s="149"/>
      <c r="E4500" s="150"/>
      <c r="F4500" s="151"/>
      <c r="G4500" s="151"/>
      <c r="H4500" s="142">
        <f>IFERROR(VLOOKUP($C4500,$C$5:$H$18,6,0)+SUMIF($C$19:$C4500,$C4500,$F$19:$F4500)-SUMIF($C$19:$C4500,$C4500,$G$19:$G4500),"")</f>
        <v>81211.819999998</v>
      </c>
      <c r="I4500" s="147"/>
      <c r="J4500" s="147"/>
      <c r="K4500" s="147" t="str">
        <f t="shared" si="70"/>
        <v/>
      </c>
      <c r="L4500" s="40"/>
      <c r="M4500"/>
      <c r="N4500"/>
      <c r="O4500"/>
      <c r="P4500"/>
      <c r="Q4500"/>
      <c r="R4500"/>
      <c r="S4500"/>
      <c r="T4500"/>
      <c r="U4500"/>
      <c r="V4500"/>
      <c r="W4500" s="41"/>
      <c r="X4500" s="41"/>
      <c r="Y4500" s="41"/>
    </row>
    <row r="4501" s="27" customFormat="1" ht="23" hidden="1" customHeight="1" spans="1:25">
      <c r="A4501" s="133" t="str">
        <f>IF(B4501="","",COUNTA($B$5:B4501))</f>
        <v/>
      </c>
      <c r="B4501" s="148"/>
      <c r="C4501" s="22" t="s">
        <v>49</v>
      </c>
      <c r="D4501" s="149"/>
      <c r="E4501" s="150"/>
      <c r="F4501" s="151"/>
      <c r="G4501" s="151"/>
      <c r="H4501" s="142">
        <f>IFERROR(VLOOKUP($C4501,$C$5:$H$18,6,0)+SUMIF($C$19:$C4501,$C4501,$F$19:$F4501)-SUMIF($C$19:$C4501,$C4501,$G$19:$G4501),"")</f>
        <v>81211.819999998</v>
      </c>
      <c r="I4501" s="147"/>
      <c r="J4501" s="147"/>
      <c r="K4501" s="147" t="str">
        <f t="shared" si="70"/>
        <v/>
      </c>
      <c r="L4501" s="40"/>
      <c r="M4501"/>
      <c r="N4501"/>
      <c r="O4501"/>
      <c r="P4501"/>
      <c r="Q4501"/>
      <c r="R4501"/>
      <c r="S4501"/>
      <c r="T4501"/>
      <c r="U4501"/>
      <c r="V4501"/>
      <c r="W4501" s="41"/>
      <c r="X4501" s="41"/>
      <c r="Y4501" s="41"/>
    </row>
    <row r="4502" s="27" customFormat="1" ht="23" hidden="1" customHeight="1" spans="1:25">
      <c r="A4502" s="133" t="str">
        <f>IF(B4502="","",COUNTA($B$5:B4502))</f>
        <v/>
      </c>
      <c r="B4502" s="148"/>
      <c r="C4502" s="22" t="s">
        <v>49</v>
      </c>
      <c r="D4502" s="149"/>
      <c r="E4502" s="150"/>
      <c r="F4502" s="151"/>
      <c r="G4502" s="151"/>
      <c r="H4502" s="142">
        <f>IFERROR(VLOOKUP($C4502,$C$5:$H$18,6,0)+SUMIF($C$19:$C4502,$C4502,$F$19:$F4502)-SUMIF($C$19:$C4502,$C4502,$G$19:$G4502),"")</f>
        <v>81211.819999998</v>
      </c>
      <c r="I4502" s="147"/>
      <c r="J4502" s="147"/>
      <c r="K4502" s="147" t="str">
        <f t="shared" si="70"/>
        <v/>
      </c>
      <c r="L4502" s="40"/>
      <c r="M4502"/>
      <c r="N4502"/>
      <c r="O4502"/>
      <c r="P4502"/>
      <c r="Q4502"/>
      <c r="R4502"/>
      <c r="S4502"/>
      <c r="T4502"/>
      <c r="U4502"/>
      <c r="V4502"/>
      <c r="W4502" s="41"/>
      <c r="X4502" s="41"/>
      <c r="Y4502" s="41"/>
    </row>
    <row r="4503" s="27" customFormat="1" ht="23" hidden="1" customHeight="1" spans="1:25">
      <c r="A4503" s="133" t="str">
        <f>IF(B4503="","",COUNTA($B$5:B4503))</f>
        <v/>
      </c>
      <c r="B4503" s="148"/>
      <c r="C4503" s="22" t="s">
        <v>49</v>
      </c>
      <c r="D4503" s="149"/>
      <c r="E4503" s="150"/>
      <c r="F4503" s="151"/>
      <c r="G4503" s="151"/>
      <c r="H4503" s="142">
        <f>IFERROR(VLOOKUP($C4503,$C$5:$H$18,6,0)+SUMIF($C$19:$C4503,$C4503,$F$19:$F4503)-SUMIF($C$19:$C4503,$C4503,$G$19:$G4503),"")</f>
        <v>81211.819999998</v>
      </c>
      <c r="I4503" s="147"/>
      <c r="J4503" s="147"/>
      <c r="K4503" s="147" t="str">
        <f t="shared" si="70"/>
        <v/>
      </c>
      <c r="L4503" s="40"/>
      <c r="M4503"/>
      <c r="N4503"/>
      <c r="O4503"/>
      <c r="P4503"/>
      <c r="Q4503"/>
      <c r="R4503"/>
      <c r="S4503"/>
      <c r="T4503"/>
      <c r="U4503"/>
      <c r="V4503"/>
      <c r="W4503" s="41"/>
      <c r="X4503" s="41"/>
      <c r="Y4503" s="41"/>
    </row>
    <row r="4504" s="27" customFormat="1" ht="23" hidden="1" customHeight="1" spans="1:25">
      <c r="A4504" s="133" t="str">
        <f>IF(B4504="","",COUNTA($B$5:B4504))</f>
        <v/>
      </c>
      <c r="B4504" s="148"/>
      <c r="C4504" s="22" t="s">
        <v>49</v>
      </c>
      <c r="D4504" s="149"/>
      <c r="E4504" s="150"/>
      <c r="F4504" s="151"/>
      <c r="G4504" s="151"/>
      <c r="H4504" s="142">
        <f>IFERROR(VLOOKUP($C4504,$C$5:$H$18,6,0)+SUMIF($C$19:$C4504,$C4504,$F$19:$F4504)-SUMIF($C$19:$C4504,$C4504,$G$19:$G4504),"")</f>
        <v>81211.819999998</v>
      </c>
      <c r="I4504" s="147"/>
      <c r="J4504" s="147"/>
      <c r="K4504" s="147" t="str">
        <f t="shared" si="70"/>
        <v/>
      </c>
      <c r="L4504" s="40"/>
      <c r="M4504"/>
      <c r="N4504"/>
      <c r="O4504"/>
      <c r="P4504"/>
      <c r="Q4504"/>
      <c r="R4504"/>
      <c r="S4504"/>
      <c r="T4504"/>
      <c r="U4504"/>
      <c r="V4504"/>
      <c r="W4504" s="41"/>
      <c r="X4504" s="41"/>
      <c r="Y4504" s="41"/>
    </row>
    <row r="4505" s="27" customFormat="1" ht="23" hidden="1" customHeight="1" spans="1:25">
      <c r="A4505" s="133" t="str">
        <f>IF(B4505="","",COUNTA($B$5:B4505))</f>
        <v/>
      </c>
      <c r="B4505" s="148"/>
      <c r="C4505" s="22" t="s">
        <v>49</v>
      </c>
      <c r="D4505" s="149"/>
      <c r="E4505" s="150"/>
      <c r="F4505" s="151"/>
      <c r="G4505" s="151"/>
      <c r="H4505" s="142">
        <f>IFERROR(VLOOKUP($C4505,$C$5:$H$18,6,0)+SUMIF($C$19:$C4505,$C4505,$F$19:$F4505)-SUMIF($C$19:$C4505,$C4505,$G$19:$G4505),"")</f>
        <v>81211.819999998</v>
      </c>
      <c r="I4505" s="147"/>
      <c r="J4505" s="147"/>
      <c r="K4505" s="147" t="str">
        <f t="shared" si="70"/>
        <v/>
      </c>
      <c r="L4505" s="40"/>
      <c r="M4505"/>
      <c r="N4505"/>
      <c r="O4505"/>
      <c r="P4505"/>
      <c r="Q4505"/>
      <c r="R4505"/>
      <c r="S4505"/>
      <c r="T4505"/>
      <c r="U4505"/>
      <c r="V4505"/>
      <c r="W4505" s="41"/>
      <c r="X4505" s="41"/>
      <c r="Y4505" s="41"/>
    </row>
    <row r="4506" s="27" customFormat="1" ht="23" hidden="1" customHeight="1" spans="1:25">
      <c r="A4506" s="133" t="str">
        <f>IF(B4506="","",COUNTA($B$5:B4506))</f>
        <v/>
      </c>
      <c r="B4506" s="148"/>
      <c r="C4506" s="22" t="s">
        <v>49</v>
      </c>
      <c r="D4506" s="149"/>
      <c r="E4506" s="150"/>
      <c r="F4506" s="151"/>
      <c r="G4506" s="151"/>
      <c r="H4506" s="142">
        <f>IFERROR(VLOOKUP($C4506,$C$5:$H$18,6,0)+SUMIF($C$19:$C4506,$C4506,$F$19:$F4506)-SUMIF($C$19:$C4506,$C4506,$G$19:$G4506),"")</f>
        <v>81211.819999998</v>
      </c>
      <c r="I4506" s="147"/>
      <c r="J4506" s="147"/>
      <c r="K4506" s="147" t="str">
        <f t="shared" si="70"/>
        <v/>
      </c>
      <c r="L4506" s="40"/>
      <c r="M4506"/>
      <c r="N4506"/>
      <c r="O4506"/>
      <c r="P4506"/>
      <c r="Q4506"/>
      <c r="R4506"/>
      <c r="S4506"/>
      <c r="T4506"/>
      <c r="U4506"/>
      <c r="V4506"/>
      <c r="W4506" s="41"/>
      <c r="X4506" s="41"/>
      <c r="Y4506" s="41"/>
    </row>
    <row r="4507" s="27" customFormat="1" ht="23" hidden="1" customHeight="1" spans="1:25">
      <c r="A4507" s="133" t="str">
        <f>IF(B4507="","",COUNTA($B$5:B4507))</f>
        <v/>
      </c>
      <c r="B4507" s="148"/>
      <c r="C4507" s="22" t="s">
        <v>49</v>
      </c>
      <c r="D4507" s="149"/>
      <c r="E4507" s="150"/>
      <c r="F4507" s="151"/>
      <c r="G4507" s="151"/>
      <c r="H4507" s="142">
        <f>IFERROR(VLOOKUP($C4507,$C$5:$H$18,6,0)+SUMIF($C$19:$C4507,$C4507,$F$19:$F4507)-SUMIF($C$19:$C4507,$C4507,$G$19:$G4507),"")</f>
        <v>81211.819999998</v>
      </c>
      <c r="I4507" s="147"/>
      <c r="J4507" s="147"/>
      <c r="K4507" s="147" t="str">
        <f t="shared" si="70"/>
        <v/>
      </c>
      <c r="L4507" s="40"/>
      <c r="M4507"/>
      <c r="N4507"/>
      <c r="O4507"/>
      <c r="P4507"/>
      <c r="Q4507"/>
      <c r="R4507"/>
      <c r="S4507"/>
      <c r="T4507"/>
      <c r="U4507"/>
      <c r="V4507"/>
      <c r="W4507" s="41"/>
      <c r="X4507" s="41"/>
      <c r="Y4507" s="41"/>
    </row>
    <row r="4508" s="27" customFormat="1" ht="23" hidden="1" customHeight="1" spans="1:25">
      <c r="A4508" s="133" t="str">
        <f>IF(B4508="","",COUNTA($B$5:B4508))</f>
        <v/>
      </c>
      <c r="B4508" s="148"/>
      <c r="C4508" s="22" t="s">
        <v>49</v>
      </c>
      <c r="D4508" s="149"/>
      <c r="E4508" s="150"/>
      <c r="F4508" s="151"/>
      <c r="G4508" s="151"/>
      <c r="H4508" s="142">
        <f>IFERROR(VLOOKUP($C4508,$C$5:$H$18,6,0)+SUMIF($C$19:$C4508,$C4508,$F$19:$F4508)-SUMIF($C$19:$C4508,$C4508,$G$19:$G4508),"")</f>
        <v>81211.819999998</v>
      </c>
      <c r="I4508" s="147"/>
      <c r="J4508" s="147"/>
      <c r="K4508" s="147" t="str">
        <f t="shared" si="70"/>
        <v/>
      </c>
      <c r="L4508" s="40"/>
      <c r="M4508"/>
      <c r="N4508"/>
      <c r="O4508"/>
      <c r="P4508"/>
      <c r="Q4508"/>
      <c r="R4508"/>
      <c r="S4508"/>
      <c r="T4508"/>
      <c r="U4508"/>
      <c r="V4508"/>
      <c r="W4508" s="41"/>
      <c r="X4508" s="41"/>
      <c r="Y4508" s="41"/>
    </row>
    <row r="4509" s="27" customFormat="1" ht="23" hidden="1" customHeight="1" spans="1:25">
      <c r="A4509" s="133" t="str">
        <f>IF(B4509="","",COUNTA($B$5:B4509))</f>
        <v/>
      </c>
      <c r="B4509" s="148"/>
      <c r="C4509" s="22" t="s">
        <v>49</v>
      </c>
      <c r="D4509" s="149"/>
      <c r="E4509" s="150"/>
      <c r="F4509" s="151"/>
      <c r="G4509" s="151"/>
      <c r="H4509" s="142">
        <f>IFERROR(VLOOKUP($C4509,$C$5:$H$18,6,0)+SUMIF($C$19:$C4509,$C4509,$F$19:$F4509)-SUMIF($C$19:$C4509,$C4509,$G$19:$G4509),"")</f>
        <v>81211.819999998</v>
      </c>
      <c r="I4509" s="147"/>
      <c r="J4509" s="147"/>
      <c r="K4509" s="147" t="str">
        <f t="shared" si="70"/>
        <v/>
      </c>
      <c r="L4509" s="40"/>
      <c r="M4509"/>
      <c r="N4509"/>
      <c r="O4509"/>
      <c r="P4509"/>
      <c r="Q4509"/>
      <c r="R4509"/>
      <c r="S4509"/>
      <c r="T4509"/>
      <c r="U4509"/>
      <c r="V4509"/>
      <c r="W4509" s="41"/>
      <c r="X4509" s="41"/>
      <c r="Y4509" s="41"/>
    </row>
    <row r="4510" s="27" customFormat="1" ht="23" hidden="1" customHeight="1" spans="1:25">
      <c r="A4510" s="133" t="str">
        <f>IF(B4510="","",COUNTA($B$5:B4510))</f>
        <v/>
      </c>
      <c r="B4510" s="148"/>
      <c r="C4510" s="22" t="s">
        <v>49</v>
      </c>
      <c r="D4510" s="149"/>
      <c r="E4510" s="150"/>
      <c r="F4510" s="151"/>
      <c r="G4510" s="151"/>
      <c r="H4510" s="142">
        <f>IFERROR(VLOOKUP($C4510,$C$5:$H$18,6,0)+SUMIF($C$19:$C4510,$C4510,$F$19:$F4510)-SUMIF($C$19:$C4510,$C4510,$G$19:$G4510),"")</f>
        <v>81211.819999998</v>
      </c>
      <c r="I4510" s="147"/>
      <c r="J4510" s="147"/>
      <c r="K4510" s="147" t="str">
        <f t="shared" si="70"/>
        <v/>
      </c>
      <c r="L4510" s="40"/>
      <c r="M4510"/>
      <c r="N4510"/>
      <c r="O4510"/>
      <c r="P4510"/>
      <c r="Q4510"/>
      <c r="R4510"/>
      <c r="S4510"/>
      <c r="T4510"/>
      <c r="U4510"/>
      <c r="V4510"/>
      <c r="W4510" s="41"/>
      <c r="X4510" s="41"/>
      <c r="Y4510" s="41"/>
    </row>
    <row r="4511" s="27" customFormat="1" ht="23" hidden="1" customHeight="1" spans="1:25">
      <c r="A4511" s="133" t="str">
        <f>IF(B4511="","",COUNTA($B$5:B4511))</f>
        <v/>
      </c>
      <c r="B4511" s="148"/>
      <c r="C4511" s="22" t="s">
        <v>49</v>
      </c>
      <c r="D4511" s="149"/>
      <c r="E4511" s="150"/>
      <c r="F4511" s="151"/>
      <c r="G4511" s="151"/>
      <c r="H4511" s="142">
        <f>IFERROR(VLOOKUP($C4511,$C$5:$H$18,6,0)+SUMIF($C$19:$C4511,$C4511,$F$19:$F4511)-SUMIF($C$19:$C4511,$C4511,$G$19:$G4511),"")</f>
        <v>81211.819999998</v>
      </c>
      <c r="I4511" s="147"/>
      <c r="J4511" s="147"/>
      <c r="K4511" s="147" t="str">
        <f t="shared" si="70"/>
        <v/>
      </c>
      <c r="L4511" s="40"/>
      <c r="M4511"/>
      <c r="N4511"/>
      <c r="O4511"/>
      <c r="P4511"/>
      <c r="Q4511"/>
      <c r="R4511"/>
      <c r="S4511"/>
      <c r="T4511"/>
      <c r="U4511"/>
      <c r="V4511"/>
      <c r="W4511" s="41"/>
      <c r="X4511" s="41"/>
      <c r="Y4511" s="41"/>
    </row>
    <row r="4512" s="27" customFormat="1" ht="23" hidden="1" customHeight="1" spans="1:25">
      <c r="A4512" s="133" t="str">
        <f>IF(B4512="","",COUNTA($B$5:B4512))</f>
        <v/>
      </c>
      <c r="B4512" s="148"/>
      <c r="C4512" s="22" t="s">
        <v>49</v>
      </c>
      <c r="D4512" s="149"/>
      <c r="E4512" s="150"/>
      <c r="F4512" s="151"/>
      <c r="G4512" s="151"/>
      <c r="H4512" s="142">
        <f>IFERROR(VLOOKUP($C4512,$C$5:$H$18,6,0)+SUMIF($C$19:$C4512,$C4512,$F$19:$F4512)-SUMIF($C$19:$C4512,$C4512,$G$19:$G4512),"")</f>
        <v>81211.819999998</v>
      </c>
      <c r="I4512" s="147"/>
      <c r="J4512" s="147"/>
      <c r="K4512" s="147" t="str">
        <f t="shared" si="70"/>
        <v/>
      </c>
      <c r="L4512" s="40"/>
      <c r="M4512"/>
      <c r="N4512"/>
      <c r="O4512"/>
      <c r="P4512"/>
      <c r="Q4512"/>
      <c r="R4512"/>
      <c r="S4512"/>
      <c r="T4512"/>
      <c r="U4512"/>
      <c r="V4512"/>
      <c r="W4512" s="41"/>
      <c r="X4512" s="41"/>
      <c r="Y4512" s="41"/>
    </row>
    <row r="4513" s="27" customFormat="1" ht="23" hidden="1" customHeight="1" spans="1:25">
      <c r="A4513" s="133" t="str">
        <f>IF(B4513="","",COUNTA($B$5:B4513))</f>
        <v/>
      </c>
      <c r="B4513" s="148"/>
      <c r="C4513" s="22" t="s">
        <v>49</v>
      </c>
      <c r="D4513" s="149"/>
      <c r="E4513" s="150"/>
      <c r="F4513" s="151"/>
      <c r="G4513" s="151"/>
      <c r="H4513" s="142">
        <f>IFERROR(VLOOKUP($C4513,$C$5:$H$18,6,0)+SUMIF($C$19:$C4513,$C4513,$F$19:$F4513)-SUMIF($C$19:$C4513,$C4513,$G$19:$G4513),"")</f>
        <v>81211.819999998</v>
      </c>
      <c r="I4513" s="147"/>
      <c r="J4513" s="147"/>
      <c r="K4513" s="147" t="str">
        <f t="shared" si="70"/>
        <v/>
      </c>
      <c r="L4513" s="40"/>
      <c r="M4513"/>
      <c r="N4513"/>
      <c r="O4513"/>
      <c r="P4513"/>
      <c r="Q4513"/>
      <c r="R4513"/>
      <c r="S4513"/>
      <c r="T4513"/>
      <c r="U4513"/>
      <c r="V4513"/>
      <c r="W4513" s="41"/>
      <c r="X4513" s="41"/>
      <c r="Y4513" s="41"/>
    </row>
    <row r="4514" s="27" customFormat="1" ht="23" hidden="1" customHeight="1" spans="1:25">
      <c r="A4514" s="133" t="str">
        <f>IF(B4514="","",COUNTA($B$5:B4514))</f>
        <v/>
      </c>
      <c r="B4514" s="148"/>
      <c r="C4514" s="22" t="s">
        <v>49</v>
      </c>
      <c r="D4514" s="149"/>
      <c r="E4514" s="150"/>
      <c r="F4514" s="151"/>
      <c r="G4514" s="151"/>
      <c r="H4514" s="142">
        <f>IFERROR(VLOOKUP($C4514,$C$5:$H$18,6,0)+SUMIF($C$19:$C4514,$C4514,$F$19:$F4514)-SUMIF($C$19:$C4514,$C4514,$G$19:$G4514),"")</f>
        <v>81211.819999998</v>
      </c>
      <c r="I4514" s="147"/>
      <c r="J4514" s="147"/>
      <c r="K4514" s="147" t="str">
        <f t="shared" si="70"/>
        <v/>
      </c>
      <c r="L4514" s="40"/>
      <c r="M4514"/>
      <c r="N4514"/>
      <c r="O4514"/>
      <c r="P4514"/>
      <c r="Q4514"/>
      <c r="R4514"/>
      <c r="S4514"/>
      <c r="T4514"/>
      <c r="U4514"/>
      <c r="V4514"/>
      <c r="W4514" s="41"/>
      <c r="X4514" s="41"/>
      <c r="Y4514" s="41"/>
    </row>
    <row r="4515" s="27" customFormat="1" ht="23" hidden="1" customHeight="1" spans="1:25">
      <c r="A4515" s="133" t="str">
        <f>IF(B4515="","",COUNTA($B$5:B4515))</f>
        <v/>
      </c>
      <c r="B4515" s="148"/>
      <c r="C4515" s="22" t="s">
        <v>49</v>
      </c>
      <c r="D4515" s="149"/>
      <c r="E4515" s="150"/>
      <c r="F4515" s="151"/>
      <c r="G4515" s="151"/>
      <c r="H4515" s="142">
        <f>IFERROR(VLOOKUP($C4515,$C$5:$H$18,6,0)+SUMIF($C$19:$C4515,$C4515,$F$19:$F4515)-SUMIF($C$19:$C4515,$C4515,$G$19:$G4515),"")</f>
        <v>81211.819999998</v>
      </c>
      <c r="I4515" s="147"/>
      <c r="J4515" s="147"/>
      <c r="K4515" s="147" t="str">
        <f t="shared" si="70"/>
        <v/>
      </c>
      <c r="L4515" s="40"/>
      <c r="M4515"/>
      <c r="N4515"/>
      <c r="O4515"/>
      <c r="P4515"/>
      <c r="Q4515"/>
      <c r="R4515"/>
      <c r="S4515"/>
      <c r="T4515"/>
      <c r="U4515"/>
      <c r="V4515"/>
      <c r="W4515" s="41"/>
      <c r="X4515" s="41"/>
      <c r="Y4515" s="41"/>
    </row>
    <row r="4516" s="27" customFormat="1" ht="23" hidden="1" customHeight="1" spans="1:25">
      <c r="A4516" s="133" t="str">
        <f>IF(B4516="","",COUNTA($B$5:B4516))</f>
        <v/>
      </c>
      <c r="B4516" s="148"/>
      <c r="C4516" s="22" t="s">
        <v>49</v>
      </c>
      <c r="D4516" s="149"/>
      <c r="E4516" s="150"/>
      <c r="F4516" s="151"/>
      <c r="G4516" s="151"/>
      <c r="H4516" s="142">
        <f>IFERROR(VLOOKUP($C4516,$C$5:$H$18,6,0)+SUMIF($C$19:$C4516,$C4516,$F$19:$F4516)-SUMIF($C$19:$C4516,$C4516,$G$19:$G4516),"")</f>
        <v>81211.819999998</v>
      </c>
      <c r="I4516" s="147"/>
      <c r="J4516" s="147"/>
      <c r="K4516" s="147" t="str">
        <f t="shared" si="70"/>
        <v/>
      </c>
      <c r="L4516" s="40"/>
      <c r="M4516"/>
      <c r="N4516"/>
      <c r="O4516"/>
      <c r="P4516"/>
      <c r="Q4516"/>
      <c r="R4516"/>
      <c r="S4516"/>
      <c r="T4516"/>
      <c r="U4516"/>
      <c r="V4516"/>
      <c r="W4516" s="41"/>
      <c r="X4516" s="41"/>
      <c r="Y4516" s="41"/>
    </row>
    <row r="4517" s="27" customFormat="1" ht="23" hidden="1" customHeight="1" spans="1:25">
      <c r="A4517" s="133" t="str">
        <f>IF(B4517="","",COUNTA($B$5:B4517))</f>
        <v/>
      </c>
      <c r="B4517" s="148"/>
      <c r="C4517" s="22" t="s">
        <v>49</v>
      </c>
      <c r="D4517" s="149"/>
      <c r="E4517" s="150"/>
      <c r="F4517" s="151"/>
      <c r="G4517" s="151"/>
      <c r="H4517" s="142">
        <f>IFERROR(VLOOKUP($C4517,$C$5:$H$18,6,0)+SUMIF($C$19:$C4517,$C4517,$F$19:$F4517)-SUMIF($C$19:$C4517,$C4517,$G$19:$G4517),"")</f>
        <v>81211.819999998</v>
      </c>
      <c r="I4517" s="147"/>
      <c r="J4517" s="147"/>
      <c r="K4517" s="147" t="str">
        <f t="shared" si="70"/>
        <v/>
      </c>
      <c r="L4517" s="40"/>
      <c r="M4517"/>
      <c r="N4517"/>
      <c r="O4517"/>
      <c r="P4517"/>
      <c r="Q4517"/>
      <c r="R4517"/>
      <c r="S4517"/>
      <c r="T4517"/>
      <c r="U4517"/>
      <c r="V4517"/>
      <c r="W4517" s="41"/>
      <c r="X4517" s="41"/>
      <c r="Y4517" s="41"/>
    </row>
    <row r="4518" s="27" customFormat="1" ht="23" hidden="1" customHeight="1" spans="1:25">
      <c r="A4518" s="133" t="str">
        <f>IF(B4518="","",COUNTA($B$5:B4518))</f>
        <v/>
      </c>
      <c r="B4518" s="148"/>
      <c r="C4518" s="22" t="s">
        <v>49</v>
      </c>
      <c r="D4518" s="149"/>
      <c r="E4518" s="150"/>
      <c r="F4518" s="151"/>
      <c r="G4518" s="151"/>
      <c r="H4518" s="142">
        <f>IFERROR(VLOOKUP($C4518,$C$5:$H$18,6,0)+SUMIF($C$19:$C4518,$C4518,$F$19:$F4518)-SUMIF($C$19:$C4518,$C4518,$G$19:$G4518),"")</f>
        <v>81211.819999998</v>
      </c>
      <c r="I4518" s="147"/>
      <c r="J4518" s="147"/>
      <c r="K4518" s="147" t="str">
        <f t="shared" si="70"/>
        <v/>
      </c>
      <c r="L4518" s="40"/>
      <c r="M4518"/>
      <c r="N4518"/>
      <c r="O4518"/>
      <c r="P4518"/>
      <c r="Q4518"/>
      <c r="R4518"/>
      <c r="S4518"/>
      <c r="T4518"/>
      <c r="U4518"/>
      <c r="V4518"/>
      <c r="W4518" s="41"/>
      <c r="X4518" s="41"/>
      <c r="Y4518" s="41"/>
    </row>
    <row r="4519" s="27" customFormat="1" ht="23" hidden="1" customHeight="1" spans="1:25">
      <c r="A4519" s="133" t="str">
        <f>IF(B4519="","",COUNTA($B$5:B4519))</f>
        <v/>
      </c>
      <c r="B4519" s="148"/>
      <c r="C4519" s="22" t="s">
        <v>49</v>
      </c>
      <c r="D4519" s="149"/>
      <c r="E4519" s="150"/>
      <c r="F4519" s="151"/>
      <c r="G4519" s="151"/>
      <c r="H4519" s="142">
        <f>IFERROR(VLOOKUP($C4519,$C$5:$H$18,6,0)+SUMIF($C$19:$C4519,$C4519,$F$19:$F4519)-SUMIF($C$19:$C4519,$C4519,$G$19:$G4519),"")</f>
        <v>81211.819999998</v>
      </c>
      <c r="I4519" s="147"/>
      <c r="J4519" s="147"/>
      <c r="K4519" s="147" t="str">
        <f t="shared" si="70"/>
        <v/>
      </c>
      <c r="L4519" s="40"/>
      <c r="M4519"/>
      <c r="N4519"/>
      <c r="O4519"/>
      <c r="P4519"/>
      <c r="Q4519"/>
      <c r="R4519"/>
      <c r="S4519"/>
      <c r="T4519"/>
      <c r="U4519"/>
      <c r="V4519"/>
      <c r="W4519" s="41"/>
      <c r="X4519" s="41"/>
      <c r="Y4519" s="41"/>
    </row>
    <row r="4520" s="27" customFormat="1" ht="23" hidden="1" customHeight="1" spans="1:25">
      <c r="A4520" s="133" t="str">
        <f>IF(B4520="","",COUNTA($B$5:B4520))</f>
        <v/>
      </c>
      <c r="B4520" s="148"/>
      <c r="C4520" s="22" t="s">
        <v>49</v>
      </c>
      <c r="D4520" s="149"/>
      <c r="E4520" s="150"/>
      <c r="F4520" s="151"/>
      <c r="G4520" s="151"/>
      <c r="H4520" s="142">
        <f>IFERROR(VLOOKUP($C4520,$C$5:$H$18,6,0)+SUMIF($C$19:$C4520,$C4520,$F$19:$F4520)-SUMIF($C$19:$C4520,$C4520,$G$19:$G4520),"")</f>
        <v>81211.819999998</v>
      </c>
      <c r="I4520" s="147"/>
      <c r="J4520" s="147"/>
      <c r="K4520" s="147" t="str">
        <f t="shared" si="70"/>
        <v/>
      </c>
      <c r="L4520" s="40"/>
      <c r="M4520"/>
      <c r="N4520"/>
      <c r="O4520"/>
      <c r="P4520"/>
      <c r="Q4520"/>
      <c r="R4520"/>
      <c r="S4520"/>
      <c r="T4520"/>
      <c r="U4520"/>
      <c r="V4520"/>
      <c r="W4520" s="41"/>
      <c r="X4520" s="41"/>
      <c r="Y4520" s="41"/>
    </row>
    <row r="4521" s="27" customFormat="1" ht="23" hidden="1" customHeight="1" spans="1:25">
      <c r="A4521" s="133" t="str">
        <f>IF(B4521="","",COUNTA($B$5:B4521))</f>
        <v/>
      </c>
      <c r="B4521" s="148"/>
      <c r="C4521" s="22" t="s">
        <v>49</v>
      </c>
      <c r="D4521" s="149"/>
      <c r="E4521" s="150"/>
      <c r="F4521" s="151"/>
      <c r="G4521" s="151"/>
      <c r="H4521" s="142">
        <f>IFERROR(VLOOKUP($C4521,$C$5:$H$18,6,0)+SUMIF($C$19:$C4521,$C4521,$F$19:$F4521)-SUMIF($C$19:$C4521,$C4521,$G$19:$G4521),"")</f>
        <v>81211.819999998</v>
      </c>
      <c r="I4521" s="147"/>
      <c r="J4521" s="147"/>
      <c r="K4521" s="147" t="str">
        <f t="shared" si="70"/>
        <v/>
      </c>
      <c r="L4521" s="40"/>
      <c r="M4521"/>
      <c r="N4521"/>
      <c r="O4521"/>
      <c r="P4521"/>
      <c r="Q4521"/>
      <c r="R4521"/>
      <c r="S4521"/>
      <c r="T4521"/>
      <c r="U4521"/>
      <c r="V4521"/>
      <c r="W4521" s="41"/>
      <c r="X4521" s="41"/>
      <c r="Y4521" s="41"/>
    </row>
    <row r="4522" s="27" customFormat="1" ht="23" hidden="1" customHeight="1" spans="1:25">
      <c r="A4522" s="133" t="str">
        <f>IF(B4522="","",COUNTA($B$5:B4522))</f>
        <v/>
      </c>
      <c r="B4522" s="148"/>
      <c r="C4522" s="22" t="s">
        <v>49</v>
      </c>
      <c r="D4522" s="149"/>
      <c r="E4522" s="150"/>
      <c r="F4522" s="151"/>
      <c r="G4522" s="151"/>
      <c r="H4522" s="142">
        <f>IFERROR(VLOOKUP($C4522,$C$5:$H$18,6,0)+SUMIF($C$19:$C4522,$C4522,$F$19:$F4522)-SUMIF($C$19:$C4522,$C4522,$G$19:$G4522),"")</f>
        <v>81211.819999998</v>
      </c>
      <c r="I4522" s="147"/>
      <c r="J4522" s="147"/>
      <c r="K4522" s="147" t="str">
        <f t="shared" si="70"/>
        <v/>
      </c>
      <c r="L4522" s="40"/>
      <c r="M4522"/>
      <c r="N4522"/>
      <c r="O4522"/>
      <c r="P4522"/>
      <c r="Q4522"/>
      <c r="R4522"/>
      <c r="S4522"/>
      <c r="T4522"/>
      <c r="U4522"/>
      <c r="V4522"/>
      <c r="W4522" s="41"/>
      <c r="X4522" s="41"/>
      <c r="Y4522" s="41"/>
    </row>
    <row r="4523" s="27" customFormat="1" ht="23" hidden="1" customHeight="1" spans="1:25">
      <c r="A4523" s="133" t="str">
        <f>IF(B4523="","",COUNTA($B$5:B4523))</f>
        <v/>
      </c>
      <c r="B4523" s="148"/>
      <c r="C4523" s="22" t="s">
        <v>49</v>
      </c>
      <c r="D4523" s="149"/>
      <c r="E4523" s="150"/>
      <c r="F4523" s="151"/>
      <c r="G4523" s="151"/>
      <c r="H4523" s="142">
        <f>IFERROR(VLOOKUP($C4523,$C$5:$H$18,6,0)+SUMIF($C$19:$C4523,$C4523,$F$19:$F4523)-SUMIF($C$19:$C4523,$C4523,$G$19:$G4523),"")</f>
        <v>81211.819999998</v>
      </c>
      <c r="I4523" s="147"/>
      <c r="J4523" s="147"/>
      <c r="K4523" s="147" t="str">
        <f t="shared" si="70"/>
        <v/>
      </c>
      <c r="L4523" s="40"/>
      <c r="M4523"/>
      <c r="N4523"/>
      <c r="O4523"/>
      <c r="P4523"/>
      <c r="Q4523"/>
      <c r="R4523"/>
      <c r="S4523"/>
      <c r="T4523"/>
      <c r="U4523"/>
      <c r="V4523"/>
      <c r="W4523" s="41"/>
      <c r="X4523" s="41"/>
      <c r="Y4523" s="41"/>
    </row>
    <row r="4524" s="27" customFormat="1" ht="23" hidden="1" customHeight="1" spans="1:25">
      <c r="A4524" s="133" t="str">
        <f>IF(B4524="","",COUNTA($B$5:B4524))</f>
        <v/>
      </c>
      <c r="B4524" s="148"/>
      <c r="C4524" s="22" t="s">
        <v>49</v>
      </c>
      <c r="D4524" s="149"/>
      <c r="E4524" s="150"/>
      <c r="F4524" s="151"/>
      <c r="G4524" s="151"/>
      <c r="H4524" s="142">
        <f>IFERROR(VLOOKUP($C4524,$C$5:$H$18,6,0)+SUMIF($C$19:$C4524,$C4524,$F$19:$F4524)-SUMIF($C$19:$C4524,$C4524,$G$19:$G4524),"")</f>
        <v>81211.819999998</v>
      </c>
      <c r="I4524" s="147"/>
      <c r="J4524" s="147"/>
      <c r="K4524" s="147" t="str">
        <f t="shared" si="70"/>
        <v/>
      </c>
      <c r="L4524" s="40"/>
      <c r="M4524"/>
      <c r="N4524"/>
      <c r="O4524"/>
      <c r="P4524"/>
      <c r="Q4524"/>
      <c r="R4524"/>
      <c r="S4524"/>
      <c r="T4524"/>
      <c r="U4524"/>
      <c r="V4524"/>
      <c r="W4524" s="41"/>
      <c r="X4524" s="41"/>
      <c r="Y4524" s="41"/>
    </row>
    <row r="4525" s="27" customFormat="1" ht="23" hidden="1" customHeight="1" spans="1:25">
      <c r="A4525" s="133" t="str">
        <f>IF(B4525="","",COUNTA($B$5:B4525))</f>
        <v/>
      </c>
      <c r="B4525" s="148"/>
      <c r="C4525" s="22" t="s">
        <v>49</v>
      </c>
      <c r="D4525" s="149"/>
      <c r="E4525" s="150"/>
      <c r="F4525" s="151"/>
      <c r="G4525" s="151"/>
      <c r="H4525" s="142">
        <f>IFERROR(VLOOKUP($C4525,$C$5:$H$18,6,0)+SUMIF($C$19:$C4525,$C4525,$F$19:$F4525)-SUMIF($C$19:$C4525,$C4525,$G$19:$G4525),"")</f>
        <v>81211.819999998</v>
      </c>
      <c r="I4525" s="147"/>
      <c r="J4525" s="147"/>
      <c r="K4525" s="147" t="str">
        <f t="shared" si="70"/>
        <v/>
      </c>
      <c r="L4525" s="40"/>
      <c r="M4525"/>
      <c r="N4525"/>
      <c r="O4525"/>
      <c r="P4525"/>
      <c r="Q4525"/>
      <c r="R4525"/>
      <c r="S4525"/>
      <c r="T4525"/>
      <c r="U4525"/>
      <c r="V4525"/>
      <c r="W4525" s="41"/>
      <c r="X4525" s="41"/>
      <c r="Y4525" s="41"/>
    </row>
    <row r="4526" s="27" customFormat="1" ht="23" hidden="1" customHeight="1" spans="1:25">
      <c r="A4526" s="133" t="str">
        <f>IF(B4526="","",COUNTA($B$5:B4526))</f>
        <v/>
      </c>
      <c r="B4526" s="148"/>
      <c r="C4526" s="22" t="s">
        <v>49</v>
      </c>
      <c r="D4526" s="149"/>
      <c r="E4526" s="150"/>
      <c r="F4526" s="151"/>
      <c r="G4526" s="151"/>
      <c r="H4526" s="142">
        <f>IFERROR(VLOOKUP($C4526,$C$5:$H$18,6,0)+SUMIF($C$19:$C4526,$C4526,$F$19:$F4526)-SUMIF($C$19:$C4526,$C4526,$G$19:$G4526),"")</f>
        <v>81211.819999998</v>
      </c>
      <c r="I4526" s="147"/>
      <c r="J4526" s="147"/>
      <c r="K4526" s="147" t="str">
        <f t="shared" si="70"/>
        <v/>
      </c>
      <c r="L4526" s="40"/>
      <c r="M4526"/>
      <c r="N4526"/>
      <c r="O4526"/>
      <c r="P4526"/>
      <c r="Q4526"/>
      <c r="R4526"/>
      <c r="S4526"/>
      <c r="T4526"/>
      <c r="U4526"/>
      <c r="V4526"/>
      <c r="W4526" s="41"/>
      <c r="X4526" s="41"/>
      <c r="Y4526" s="41"/>
    </row>
    <row r="4527" s="27" customFormat="1" ht="23" hidden="1" customHeight="1" spans="1:25">
      <c r="A4527" s="133" t="str">
        <f>IF(B4527="","",COUNTA($B$5:B4527))</f>
        <v/>
      </c>
      <c r="B4527" s="148"/>
      <c r="C4527" s="22" t="s">
        <v>49</v>
      </c>
      <c r="D4527" s="149"/>
      <c r="E4527" s="150"/>
      <c r="F4527" s="151"/>
      <c r="G4527" s="151"/>
      <c r="H4527" s="142">
        <f>IFERROR(VLOOKUP($C4527,$C$5:$H$18,6,0)+SUMIF($C$19:$C4527,$C4527,$F$19:$F4527)-SUMIF($C$19:$C4527,$C4527,$G$19:$G4527),"")</f>
        <v>81211.819999998</v>
      </c>
      <c r="I4527" s="147"/>
      <c r="J4527" s="147"/>
      <c r="K4527" s="147" t="str">
        <f t="shared" si="70"/>
        <v/>
      </c>
      <c r="L4527" s="40"/>
      <c r="M4527"/>
      <c r="N4527"/>
      <c r="O4527"/>
      <c r="P4527"/>
      <c r="Q4527"/>
      <c r="R4527"/>
      <c r="S4527"/>
      <c r="T4527"/>
      <c r="U4527"/>
      <c r="V4527"/>
      <c r="W4527" s="41"/>
      <c r="X4527" s="41"/>
      <c r="Y4527" s="41"/>
    </row>
    <row r="4528" s="27" customFormat="1" ht="23" hidden="1" customHeight="1" spans="1:25">
      <c r="A4528" s="133" t="str">
        <f>IF(B4528="","",COUNTA($B$5:B4528))</f>
        <v/>
      </c>
      <c r="B4528" s="148"/>
      <c r="C4528" s="22" t="s">
        <v>49</v>
      </c>
      <c r="D4528" s="149"/>
      <c r="E4528" s="150"/>
      <c r="F4528" s="151"/>
      <c r="G4528" s="151"/>
      <c r="H4528" s="142">
        <f>IFERROR(VLOOKUP($C4528,$C$5:$H$18,6,0)+SUMIF($C$19:$C4528,$C4528,$F$19:$F4528)-SUMIF($C$19:$C4528,$C4528,$G$19:$G4528),"")</f>
        <v>81211.819999998</v>
      </c>
      <c r="I4528" s="147"/>
      <c r="J4528" s="147"/>
      <c r="K4528" s="147" t="str">
        <f t="shared" si="70"/>
        <v/>
      </c>
      <c r="L4528" s="40"/>
      <c r="M4528"/>
      <c r="N4528"/>
      <c r="O4528"/>
      <c r="P4528"/>
      <c r="Q4528"/>
      <c r="R4528"/>
      <c r="S4528"/>
      <c r="T4528"/>
      <c r="U4528"/>
      <c r="V4528"/>
      <c r="W4528" s="41"/>
      <c r="X4528" s="41"/>
      <c r="Y4528" s="41"/>
    </row>
    <row r="4529" s="27" customFormat="1" ht="23" hidden="1" customHeight="1" spans="1:25">
      <c r="A4529" s="133" t="str">
        <f>IF(B4529="","",COUNTA($B$5:B4529))</f>
        <v/>
      </c>
      <c r="B4529" s="148"/>
      <c r="C4529" s="22" t="s">
        <v>49</v>
      </c>
      <c r="D4529" s="149"/>
      <c r="E4529" s="150"/>
      <c r="F4529" s="151"/>
      <c r="G4529" s="151"/>
      <c r="H4529" s="142">
        <f>IFERROR(VLOOKUP($C4529,$C$5:$H$18,6,0)+SUMIF($C$19:$C4529,$C4529,$F$19:$F4529)-SUMIF($C$19:$C4529,$C4529,$G$19:$G4529),"")</f>
        <v>81211.819999998</v>
      </c>
      <c r="I4529" s="147"/>
      <c r="J4529" s="147"/>
      <c r="K4529" s="147" t="str">
        <f t="shared" si="70"/>
        <v/>
      </c>
      <c r="L4529" s="40"/>
      <c r="M4529"/>
      <c r="N4529"/>
      <c r="O4529"/>
      <c r="P4529"/>
      <c r="Q4529"/>
      <c r="R4529"/>
      <c r="S4529"/>
      <c r="T4529"/>
      <c r="U4529"/>
      <c r="V4529"/>
      <c r="W4529" s="41"/>
      <c r="X4529" s="41"/>
      <c r="Y4529" s="41"/>
    </row>
    <row r="4530" s="27" customFormat="1" ht="23" hidden="1" customHeight="1" spans="1:25">
      <c r="A4530" s="133" t="str">
        <f>IF(B4530="","",COUNTA($B$5:B4530))</f>
        <v/>
      </c>
      <c r="B4530" s="148"/>
      <c r="C4530" s="22" t="s">
        <v>49</v>
      </c>
      <c r="D4530" s="149"/>
      <c r="E4530" s="150"/>
      <c r="F4530" s="151"/>
      <c r="G4530" s="151"/>
      <c r="H4530" s="142">
        <f>IFERROR(VLOOKUP($C4530,$C$5:$H$18,6,0)+SUMIF($C$19:$C4530,$C4530,$F$19:$F4530)-SUMIF($C$19:$C4530,$C4530,$G$19:$G4530),"")</f>
        <v>81211.819999998</v>
      </c>
      <c r="I4530" s="147"/>
      <c r="J4530" s="147"/>
      <c r="K4530" s="147" t="str">
        <f t="shared" si="70"/>
        <v/>
      </c>
      <c r="L4530" s="40"/>
      <c r="M4530"/>
      <c r="N4530"/>
      <c r="O4530"/>
      <c r="P4530"/>
      <c r="Q4530"/>
      <c r="R4530"/>
      <c r="S4530"/>
      <c r="T4530"/>
      <c r="U4530"/>
      <c r="V4530"/>
      <c r="W4530" s="41"/>
      <c r="X4530" s="41"/>
      <c r="Y4530" s="41"/>
    </row>
    <row r="4531" s="27" customFormat="1" ht="23" hidden="1" customHeight="1" spans="1:25">
      <c r="A4531" s="133" t="str">
        <f>IF(B4531="","",COUNTA($B$5:B4531))</f>
        <v/>
      </c>
      <c r="B4531" s="148"/>
      <c r="C4531" s="22" t="s">
        <v>49</v>
      </c>
      <c r="D4531" s="149"/>
      <c r="E4531" s="150"/>
      <c r="F4531" s="151"/>
      <c r="G4531" s="151"/>
      <c r="H4531" s="142">
        <f>IFERROR(VLOOKUP($C4531,$C$5:$H$18,6,0)+SUMIF($C$19:$C4531,$C4531,$F$19:$F4531)-SUMIF($C$19:$C4531,$C4531,$G$19:$G4531),"")</f>
        <v>81211.819999998</v>
      </c>
      <c r="I4531" s="147"/>
      <c r="J4531" s="147"/>
      <c r="K4531" s="147" t="str">
        <f t="shared" si="70"/>
        <v/>
      </c>
      <c r="L4531" s="40"/>
      <c r="M4531"/>
      <c r="N4531"/>
      <c r="O4531"/>
      <c r="P4531"/>
      <c r="Q4531"/>
      <c r="R4531"/>
      <c r="S4531"/>
      <c r="T4531"/>
      <c r="U4531"/>
      <c r="V4531"/>
      <c r="W4531" s="41"/>
      <c r="X4531" s="41"/>
      <c r="Y4531" s="41"/>
    </row>
    <row r="4532" s="27" customFormat="1" ht="23" hidden="1" customHeight="1" spans="1:25">
      <c r="A4532" s="133" t="str">
        <f>IF(B4532="","",COUNTA($B$5:B4532))</f>
        <v/>
      </c>
      <c r="B4532" s="148"/>
      <c r="C4532" s="22" t="s">
        <v>49</v>
      </c>
      <c r="D4532" s="149"/>
      <c r="E4532" s="150"/>
      <c r="F4532" s="151"/>
      <c r="G4532" s="151"/>
      <c r="H4532" s="142">
        <f>IFERROR(VLOOKUP($C4532,$C$5:$H$18,6,0)+SUMIF($C$19:$C4532,$C4532,$F$19:$F4532)-SUMIF($C$19:$C4532,$C4532,$G$19:$G4532),"")</f>
        <v>81211.819999998</v>
      </c>
      <c r="I4532" s="147"/>
      <c r="J4532" s="147"/>
      <c r="K4532" s="147" t="str">
        <f t="shared" si="70"/>
        <v/>
      </c>
      <c r="L4532" s="40"/>
      <c r="M4532"/>
      <c r="N4532"/>
      <c r="O4532"/>
      <c r="P4532"/>
      <c r="Q4532"/>
      <c r="R4532"/>
      <c r="S4532"/>
      <c r="T4532"/>
      <c r="U4532"/>
      <c r="V4532"/>
      <c r="W4532" s="41"/>
      <c r="X4532" s="41"/>
      <c r="Y4532" s="41"/>
    </row>
    <row r="4533" s="27" customFormat="1" ht="23" hidden="1" customHeight="1" spans="1:25">
      <c r="A4533" s="133" t="str">
        <f>IF(B4533="","",COUNTA($B$5:B4533))</f>
        <v/>
      </c>
      <c r="B4533" s="148"/>
      <c r="C4533" s="22" t="s">
        <v>49</v>
      </c>
      <c r="D4533" s="149"/>
      <c r="E4533" s="150"/>
      <c r="F4533" s="151"/>
      <c r="G4533" s="151"/>
      <c r="H4533" s="142">
        <f>IFERROR(VLOOKUP($C4533,$C$5:$H$18,6,0)+SUMIF($C$19:$C4533,$C4533,$F$19:$F4533)-SUMIF($C$19:$C4533,$C4533,$G$19:$G4533),"")</f>
        <v>81211.819999998</v>
      </c>
      <c r="I4533" s="147"/>
      <c r="J4533" s="147"/>
      <c r="K4533" s="147" t="str">
        <f t="shared" si="70"/>
        <v/>
      </c>
      <c r="L4533" s="40"/>
      <c r="M4533"/>
      <c r="N4533"/>
      <c r="O4533"/>
      <c r="P4533"/>
      <c r="Q4533"/>
      <c r="R4533"/>
      <c r="S4533"/>
      <c r="T4533"/>
      <c r="U4533"/>
      <c r="V4533"/>
      <c r="W4533" s="41"/>
      <c r="X4533" s="41"/>
      <c r="Y4533" s="41"/>
    </row>
    <row r="4534" s="27" customFormat="1" ht="23" hidden="1" customHeight="1" spans="1:25">
      <c r="A4534" s="133" t="str">
        <f>IF(B4534="","",COUNTA($B$5:B4534))</f>
        <v/>
      </c>
      <c r="B4534" s="148"/>
      <c r="C4534" s="22" t="s">
        <v>49</v>
      </c>
      <c r="D4534" s="149"/>
      <c r="E4534" s="150"/>
      <c r="F4534" s="151"/>
      <c r="G4534" s="151"/>
      <c r="H4534" s="142">
        <f>IFERROR(VLOOKUP($C4534,$C$5:$H$18,6,0)+SUMIF($C$19:$C4534,$C4534,$F$19:$F4534)-SUMIF($C$19:$C4534,$C4534,$G$19:$G4534),"")</f>
        <v>81211.819999998</v>
      </c>
      <c r="I4534" s="147"/>
      <c r="J4534" s="147"/>
      <c r="K4534" s="147" t="str">
        <f t="shared" si="70"/>
        <v/>
      </c>
      <c r="L4534" s="40"/>
      <c r="M4534"/>
      <c r="N4534"/>
      <c r="O4534"/>
      <c r="P4534"/>
      <c r="Q4534"/>
      <c r="R4534"/>
      <c r="S4534"/>
      <c r="T4534"/>
      <c r="U4534"/>
      <c r="V4534"/>
      <c r="W4534" s="41"/>
      <c r="X4534" s="41"/>
      <c r="Y4534" s="41"/>
    </row>
    <row r="4535" s="27" customFormat="1" ht="23" hidden="1" customHeight="1" spans="1:25">
      <c r="A4535" s="133" t="str">
        <f>IF(B4535="","",COUNTA($B$5:B4535))</f>
        <v/>
      </c>
      <c r="B4535" s="148"/>
      <c r="C4535" s="22" t="s">
        <v>49</v>
      </c>
      <c r="D4535" s="149"/>
      <c r="E4535" s="150"/>
      <c r="F4535" s="151"/>
      <c r="G4535" s="151"/>
      <c r="H4535" s="142">
        <f>IFERROR(VLOOKUP($C4535,$C$5:$H$18,6,0)+SUMIF($C$19:$C4535,$C4535,$F$19:$F4535)-SUMIF($C$19:$C4535,$C4535,$G$19:$G4535),"")</f>
        <v>81211.819999998</v>
      </c>
      <c r="I4535" s="147"/>
      <c r="J4535" s="147"/>
      <c r="K4535" s="147" t="str">
        <f t="shared" si="70"/>
        <v/>
      </c>
      <c r="L4535" s="40"/>
      <c r="M4535"/>
      <c r="N4535"/>
      <c r="O4535"/>
      <c r="P4535"/>
      <c r="Q4535"/>
      <c r="R4535"/>
      <c r="S4535"/>
      <c r="T4535"/>
      <c r="U4535"/>
      <c r="V4535"/>
      <c r="W4535" s="41"/>
      <c r="X4535" s="41"/>
      <c r="Y4535" s="41"/>
    </row>
    <row r="4536" s="27" customFormat="1" ht="23" hidden="1" customHeight="1" spans="1:25">
      <c r="A4536" s="133" t="str">
        <f>IF(B4536="","",COUNTA($B$5:B4536))</f>
        <v/>
      </c>
      <c r="B4536" s="148"/>
      <c r="C4536" s="22" t="s">
        <v>49</v>
      </c>
      <c r="D4536" s="149"/>
      <c r="E4536" s="150"/>
      <c r="F4536" s="151"/>
      <c r="G4536" s="151"/>
      <c r="H4536" s="142">
        <f>IFERROR(VLOOKUP($C4536,$C$5:$H$18,6,0)+SUMIF($C$19:$C4536,$C4536,$F$19:$F4536)-SUMIF($C$19:$C4536,$C4536,$G$19:$G4536),"")</f>
        <v>81211.819999998</v>
      </c>
      <c r="I4536" s="147"/>
      <c r="J4536" s="147"/>
      <c r="K4536" s="147" t="str">
        <f t="shared" si="70"/>
        <v/>
      </c>
      <c r="L4536" s="40"/>
      <c r="M4536"/>
      <c r="N4536"/>
      <c r="O4536"/>
      <c r="P4536"/>
      <c r="Q4536"/>
      <c r="R4536"/>
      <c r="S4536"/>
      <c r="T4536"/>
      <c r="U4536"/>
      <c r="V4536"/>
      <c r="W4536" s="41"/>
      <c r="X4536" s="41"/>
      <c r="Y4536" s="41"/>
    </row>
    <row r="4537" s="27" customFormat="1" ht="23" hidden="1" customHeight="1" spans="1:25">
      <c r="A4537" s="133" t="str">
        <f>IF(B4537="","",COUNTA($B$5:B4537))</f>
        <v/>
      </c>
      <c r="B4537" s="148"/>
      <c r="C4537" s="22" t="s">
        <v>49</v>
      </c>
      <c r="D4537" s="149"/>
      <c r="E4537" s="150"/>
      <c r="F4537" s="151"/>
      <c r="G4537" s="151"/>
      <c r="H4537" s="142">
        <f>IFERROR(VLOOKUP($C4537,$C$5:$H$18,6,0)+SUMIF($C$19:$C4537,$C4537,$F$19:$F4537)-SUMIF($C$19:$C4537,$C4537,$G$19:$G4537),"")</f>
        <v>81211.819999998</v>
      </c>
      <c r="I4537" s="147"/>
      <c r="J4537" s="147"/>
      <c r="K4537" s="147" t="str">
        <f t="shared" si="70"/>
        <v/>
      </c>
      <c r="L4537" s="40"/>
      <c r="M4537"/>
      <c r="N4537"/>
      <c r="O4537"/>
      <c r="P4537"/>
      <c r="Q4537"/>
      <c r="R4537"/>
      <c r="S4537"/>
      <c r="T4537"/>
      <c r="U4537"/>
      <c r="V4537"/>
      <c r="W4537" s="41"/>
      <c r="X4537" s="41"/>
      <c r="Y4537" s="41"/>
    </row>
    <row r="4538" s="27" customFormat="1" ht="23" hidden="1" customHeight="1" spans="1:25">
      <c r="A4538" s="133" t="str">
        <f>IF(B4538="","",COUNTA($B$5:B4538))</f>
        <v/>
      </c>
      <c r="B4538" s="148"/>
      <c r="C4538" s="22" t="s">
        <v>49</v>
      </c>
      <c r="D4538" s="149"/>
      <c r="E4538" s="150"/>
      <c r="F4538" s="151"/>
      <c r="G4538" s="151"/>
      <c r="H4538" s="142">
        <f>IFERROR(VLOOKUP($C4538,$C$5:$H$18,6,0)+SUMIF($C$19:$C4538,$C4538,$F$19:$F4538)-SUMIF($C$19:$C4538,$C4538,$G$19:$G4538),"")</f>
        <v>81211.819999998</v>
      </c>
      <c r="I4538" s="147"/>
      <c r="J4538" s="147"/>
      <c r="K4538" s="147" t="str">
        <f t="shared" si="70"/>
        <v/>
      </c>
      <c r="L4538" s="40"/>
      <c r="M4538"/>
      <c r="N4538"/>
      <c r="O4538"/>
      <c r="P4538"/>
      <c r="Q4538"/>
      <c r="R4538"/>
      <c r="S4538"/>
      <c r="T4538"/>
      <c r="U4538"/>
      <c r="V4538"/>
      <c r="W4538" s="41"/>
      <c r="X4538" s="41"/>
      <c r="Y4538" s="41"/>
    </row>
    <row r="4539" s="27" customFormat="1" ht="23" hidden="1" customHeight="1" spans="1:25">
      <c r="A4539" s="133" t="str">
        <f>IF(B4539="","",COUNTA($B$5:B4539))</f>
        <v/>
      </c>
      <c r="B4539" s="148"/>
      <c r="C4539" s="22" t="s">
        <v>49</v>
      </c>
      <c r="D4539" s="149"/>
      <c r="E4539" s="150"/>
      <c r="F4539" s="151"/>
      <c r="G4539" s="151"/>
      <c r="H4539" s="142">
        <f>IFERROR(VLOOKUP($C4539,$C$5:$H$18,6,0)+SUMIF($C$19:$C4539,$C4539,$F$19:$F4539)-SUMIF($C$19:$C4539,$C4539,$G$19:$G4539),"")</f>
        <v>81211.819999998</v>
      </c>
      <c r="I4539" s="147"/>
      <c r="J4539" s="147"/>
      <c r="K4539" s="147" t="str">
        <f t="shared" si="70"/>
        <v/>
      </c>
      <c r="L4539" s="40"/>
      <c r="M4539"/>
      <c r="N4539"/>
      <c r="O4539"/>
      <c r="P4539"/>
      <c r="Q4539"/>
      <c r="R4539"/>
      <c r="S4539"/>
      <c r="T4539"/>
      <c r="U4539"/>
      <c r="V4539"/>
      <c r="W4539" s="41"/>
      <c r="X4539" s="41"/>
      <c r="Y4539" s="41"/>
    </row>
    <row r="4540" s="27" customFormat="1" ht="23" hidden="1" customHeight="1" spans="1:25">
      <c r="A4540" s="133" t="str">
        <f>IF(B4540="","",COUNTA($B$5:B4540))</f>
        <v/>
      </c>
      <c r="B4540" s="148"/>
      <c r="C4540" s="22" t="s">
        <v>49</v>
      </c>
      <c r="D4540" s="149"/>
      <c r="E4540" s="150"/>
      <c r="F4540" s="151"/>
      <c r="G4540" s="151"/>
      <c r="H4540" s="142">
        <f>IFERROR(VLOOKUP($C4540,$C$5:$H$18,6,0)+SUMIF($C$19:$C4540,$C4540,$F$19:$F4540)-SUMIF($C$19:$C4540,$C4540,$G$19:$G4540),"")</f>
        <v>81211.819999998</v>
      </c>
      <c r="I4540" s="147"/>
      <c r="J4540" s="147"/>
      <c r="K4540" s="147" t="str">
        <f t="shared" si="70"/>
        <v/>
      </c>
      <c r="L4540" s="40"/>
      <c r="M4540"/>
      <c r="N4540"/>
      <c r="O4540"/>
      <c r="P4540"/>
      <c r="Q4540"/>
      <c r="R4540"/>
      <c r="S4540"/>
      <c r="T4540"/>
      <c r="U4540"/>
      <c r="V4540"/>
      <c r="W4540" s="41"/>
      <c r="X4540" s="41"/>
      <c r="Y4540" s="41"/>
    </row>
    <row r="4541" s="27" customFormat="1" ht="23" hidden="1" customHeight="1" spans="1:25">
      <c r="A4541" s="133" t="str">
        <f>IF(B4541="","",COUNTA($B$5:B4541))</f>
        <v/>
      </c>
      <c r="B4541" s="148"/>
      <c r="C4541" s="22" t="s">
        <v>49</v>
      </c>
      <c r="D4541" s="149"/>
      <c r="E4541" s="150"/>
      <c r="F4541" s="151"/>
      <c r="G4541" s="151"/>
      <c r="H4541" s="142">
        <f>IFERROR(VLOOKUP($C4541,$C$5:$H$18,6,0)+SUMIF($C$19:$C4541,$C4541,$F$19:$F4541)-SUMIF($C$19:$C4541,$C4541,$G$19:$G4541),"")</f>
        <v>81211.819999998</v>
      </c>
      <c r="I4541" s="147"/>
      <c r="J4541" s="147"/>
      <c r="K4541" s="147" t="str">
        <f t="shared" si="70"/>
        <v/>
      </c>
      <c r="L4541" s="40"/>
      <c r="M4541"/>
      <c r="N4541"/>
      <c r="O4541"/>
      <c r="P4541"/>
      <c r="Q4541"/>
      <c r="R4541"/>
      <c r="S4541"/>
      <c r="T4541"/>
      <c r="U4541"/>
      <c r="V4541"/>
      <c r="W4541" s="41"/>
      <c r="X4541" s="41"/>
      <c r="Y4541" s="41"/>
    </row>
    <row r="4542" s="27" customFormat="1" ht="23" hidden="1" customHeight="1" spans="1:25">
      <c r="A4542" s="133" t="str">
        <f>IF(B4542="","",COUNTA($B$5:B4542))</f>
        <v/>
      </c>
      <c r="B4542" s="148"/>
      <c r="C4542" s="22" t="s">
        <v>49</v>
      </c>
      <c r="D4542" s="149"/>
      <c r="E4542" s="150"/>
      <c r="F4542" s="151"/>
      <c r="G4542" s="151"/>
      <c r="H4542" s="142">
        <f>IFERROR(VLOOKUP($C4542,$C$5:$H$18,6,0)+SUMIF($C$19:$C4542,$C4542,$F$19:$F4542)-SUMIF($C$19:$C4542,$C4542,$G$19:$G4542),"")</f>
        <v>81211.819999998</v>
      </c>
      <c r="I4542" s="147"/>
      <c r="J4542" s="147"/>
      <c r="K4542" s="147" t="str">
        <f t="shared" si="70"/>
        <v/>
      </c>
      <c r="L4542" s="40"/>
      <c r="M4542"/>
      <c r="N4542"/>
      <c r="O4542"/>
      <c r="P4542"/>
      <c r="Q4542"/>
      <c r="R4542"/>
      <c r="S4542"/>
      <c r="T4542"/>
      <c r="U4542"/>
      <c r="V4542"/>
      <c r="W4542" s="41"/>
      <c r="X4542" s="41"/>
      <c r="Y4542" s="41"/>
    </row>
    <row r="4543" s="27" customFormat="1" ht="23" hidden="1" customHeight="1" spans="1:25">
      <c r="A4543" s="133" t="str">
        <f>IF(B4543="","",COUNTA($B$5:B4543))</f>
        <v/>
      </c>
      <c r="B4543" s="148"/>
      <c r="C4543" s="22" t="s">
        <v>49</v>
      </c>
      <c r="D4543" s="149"/>
      <c r="E4543" s="150"/>
      <c r="F4543" s="151"/>
      <c r="G4543" s="151"/>
      <c r="H4543" s="142">
        <f>IFERROR(VLOOKUP($C4543,$C$5:$H$18,6,0)+SUMIF($C$19:$C4543,$C4543,$F$19:$F4543)-SUMIF($C$19:$C4543,$C4543,$G$19:$G4543),"")</f>
        <v>81211.819999998</v>
      </c>
      <c r="I4543" s="147"/>
      <c r="J4543" s="147"/>
      <c r="K4543" s="147" t="str">
        <f t="shared" si="70"/>
        <v/>
      </c>
      <c r="L4543" s="40"/>
      <c r="M4543"/>
      <c r="N4543"/>
      <c r="O4543"/>
      <c r="P4543"/>
      <c r="Q4543"/>
      <c r="R4543"/>
      <c r="S4543"/>
      <c r="T4543"/>
      <c r="U4543"/>
      <c r="V4543"/>
      <c r="W4543" s="41"/>
      <c r="X4543" s="41"/>
      <c r="Y4543" s="41"/>
    </row>
    <row r="4544" s="27" customFormat="1" ht="23" hidden="1" customHeight="1" spans="1:25">
      <c r="A4544" s="133" t="str">
        <f>IF(B4544="","",COUNTA($B$5:B4544))</f>
        <v/>
      </c>
      <c r="B4544" s="148"/>
      <c r="C4544" s="22" t="s">
        <v>49</v>
      </c>
      <c r="D4544" s="149"/>
      <c r="E4544" s="150"/>
      <c r="F4544" s="151"/>
      <c r="G4544" s="151"/>
      <c r="H4544" s="142">
        <f>IFERROR(VLOOKUP($C4544,$C$5:$H$18,6,0)+SUMIF($C$19:$C4544,$C4544,$F$19:$F4544)-SUMIF($C$19:$C4544,$C4544,$G$19:$G4544),"")</f>
        <v>81211.819999998</v>
      </c>
      <c r="I4544" s="147"/>
      <c r="J4544" s="147"/>
      <c r="K4544" s="147" t="str">
        <f t="shared" si="70"/>
        <v/>
      </c>
      <c r="L4544" s="40"/>
      <c r="M4544"/>
      <c r="N4544"/>
      <c r="O4544"/>
      <c r="P4544"/>
      <c r="Q4544"/>
      <c r="R4544"/>
      <c r="S4544"/>
      <c r="T4544"/>
      <c r="U4544"/>
      <c r="V4544"/>
      <c r="W4544" s="41"/>
      <c r="X4544" s="41"/>
      <c r="Y4544" s="41"/>
    </row>
    <row r="4545" s="27" customFormat="1" ht="23" hidden="1" customHeight="1" spans="1:25">
      <c r="A4545" s="133" t="str">
        <f>IF(B4545="","",COUNTA($B$5:B4545))</f>
        <v/>
      </c>
      <c r="B4545" s="148"/>
      <c r="C4545" s="22" t="s">
        <v>49</v>
      </c>
      <c r="D4545" s="149"/>
      <c r="E4545" s="150"/>
      <c r="F4545" s="151"/>
      <c r="G4545" s="151"/>
      <c r="H4545" s="142">
        <f>IFERROR(VLOOKUP($C4545,$C$5:$H$18,6,0)+SUMIF($C$19:$C4545,$C4545,$F$19:$F4545)-SUMIF($C$19:$C4545,$C4545,$G$19:$G4545),"")</f>
        <v>81211.819999998</v>
      </c>
      <c r="I4545" s="147"/>
      <c r="J4545" s="147"/>
      <c r="K4545" s="147" t="str">
        <f t="shared" si="70"/>
        <v/>
      </c>
      <c r="L4545" s="40"/>
      <c r="M4545"/>
      <c r="N4545"/>
      <c r="O4545"/>
      <c r="P4545"/>
      <c r="Q4545"/>
      <c r="R4545"/>
      <c r="S4545"/>
      <c r="T4545"/>
      <c r="U4545"/>
      <c r="V4545"/>
      <c r="W4545" s="41"/>
      <c r="X4545" s="41"/>
      <c r="Y4545" s="41"/>
    </row>
    <row r="4546" s="27" customFormat="1" ht="23" hidden="1" customHeight="1" spans="1:25">
      <c r="A4546" s="133" t="str">
        <f>IF(B4546="","",COUNTA($B$5:B4546))</f>
        <v/>
      </c>
      <c r="B4546" s="148"/>
      <c r="C4546" s="22" t="s">
        <v>49</v>
      </c>
      <c r="D4546" s="149"/>
      <c r="E4546" s="150"/>
      <c r="F4546" s="151"/>
      <c r="G4546" s="151"/>
      <c r="H4546" s="142">
        <f>IFERROR(VLOOKUP($C4546,$C$5:$H$18,6,0)+SUMIF($C$19:$C4546,$C4546,$F$19:$F4546)-SUMIF($C$19:$C4546,$C4546,$G$19:$G4546),"")</f>
        <v>81211.819999998</v>
      </c>
      <c r="I4546" s="147"/>
      <c r="J4546" s="147"/>
      <c r="K4546" s="147" t="str">
        <f t="shared" si="70"/>
        <v/>
      </c>
      <c r="L4546" s="40"/>
      <c r="M4546"/>
      <c r="N4546"/>
      <c r="O4546"/>
      <c r="P4546"/>
      <c r="Q4546"/>
      <c r="R4546"/>
      <c r="S4546"/>
      <c r="T4546"/>
      <c r="U4546"/>
      <c r="V4546"/>
      <c r="W4546" s="41"/>
      <c r="X4546" s="41"/>
      <c r="Y4546" s="41"/>
    </row>
    <row r="4547" s="27" customFormat="1" ht="23" hidden="1" customHeight="1" spans="1:25">
      <c r="A4547" s="133" t="str">
        <f>IF(B4547="","",COUNTA($B$5:B4547))</f>
        <v/>
      </c>
      <c r="B4547" s="148"/>
      <c r="C4547" s="22" t="s">
        <v>49</v>
      </c>
      <c r="D4547" s="149"/>
      <c r="E4547" s="150"/>
      <c r="F4547" s="151"/>
      <c r="G4547" s="151"/>
      <c r="H4547" s="142">
        <f>IFERROR(VLOOKUP($C4547,$C$5:$H$18,6,0)+SUMIF($C$19:$C4547,$C4547,$F$19:$F4547)-SUMIF($C$19:$C4547,$C4547,$G$19:$G4547),"")</f>
        <v>81211.819999998</v>
      </c>
      <c r="I4547" s="147"/>
      <c r="J4547" s="147"/>
      <c r="K4547" s="147" t="str">
        <f t="shared" si="70"/>
        <v/>
      </c>
      <c r="L4547" s="40"/>
      <c r="M4547"/>
      <c r="N4547"/>
      <c r="O4547"/>
      <c r="P4547"/>
      <c r="Q4547"/>
      <c r="R4547"/>
      <c r="S4547"/>
      <c r="T4547"/>
      <c r="U4547"/>
      <c r="V4547"/>
      <c r="W4547" s="41"/>
      <c r="X4547" s="41"/>
      <c r="Y4547" s="41"/>
    </row>
    <row r="4548" s="27" customFormat="1" ht="23" hidden="1" customHeight="1" spans="1:25">
      <c r="A4548" s="133" t="str">
        <f>IF(B4548="","",COUNTA($B$5:B4548))</f>
        <v/>
      </c>
      <c r="B4548" s="148"/>
      <c r="C4548" s="22" t="s">
        <v>49</v>
      </c>
      <c r="D4548" s="149"/>
      <c r="E4548" s="150"/>
      <c r="F4548" s="151"/>
      <c r="G4548" s="151"/>
      <c r="H4548" s="142">
        <f>IFERROR(VLOOKUP($C4548,$C$5:$H$18,6,0)+SUMIF($C$19:$C4548,$C4548,$F$19:$F4548)-SUMIF($C$19:$C4548,$C4548,$G$19:$G4548),"")</f>
        <v>81211.819999998</v>
      </c>
      <c r="I4548" s="147"/>
      <c r="J4548" s="147"/>
      <c r="K4548" s="147" t="str">
        <f t="shared" si="70"/>
        <v/>
      </c>
      <c r="L4548" s="40"/>
      <c r="M4548"/>
      <c r="N4548"/>
      <c r="O4548"/>
      <c r="P4548"/>
      <c r="Q4548"/>
      <c r="R4548"/>
      <c r="S4548"/>
      <c r="T4548"/>
      <c r="U4548"/>
      <c r="V4548"/>
      <c r="W4548" s="41"/>
      <c r="X4548" s="41"/>
      <c r="Y4548" s="41"/>
    </row>
    <row r="4549" s="27" customFormat="1" ht="23" hidden="1" customHeight="1" spans="1:25">
      <c r="A4549" s="133" t="str">
        <f>IF(B4549="","",COUNTA($B$5:B4549))</f>
        <v/>
      </c>
      <c r="B4549" s="148"/>
      <c r="C4549" s="22" t="s">
        <v>49</v>
      </c>
      <c r="D4549" s="149"/>
      <c r="E4549" s="150"/>
      <c r="F4549" s="151"/>
      <c r="G4549" s="151"/>
      <c r="H4549" s="142">
        <f>IFERROR(VLOOKUP($C4549,$C$5:$H$18,6,0)+SUMIF($C$19:$C4549,$C4549,$F$19:$F4549)-SUMIF($C$19:$C4549,$C4549,$G$19:$G4549),"")</f>
        <v>81211.819999998</v>
      </c>
      <c r="I4549" s="147"/>
      <c r="J4549" s="147"/>
      <c r="K4549" s="147" t="str">
        <f t="shared" ref="K4549:K4612" si="71">IF($B4549="","",--TEXT($B4549,"yyyymm"))</f>
        <v/>
      </c>
      <c r="L4549" s="40"/>
      <c r="M4549"/>
      <c r="N4549"/>
      <c r="O4549"/>
      <c r="P4549"/>
      <c r="Q4549"/>
      <c r="R4549"/>
      <c r="S4549"/>
      <c r="T4549"/>
      <c r="U4549"/>
      <c r="V4549"/>
      <c r="W4549" s="41"/>
      <c r="X4549" s="41"/>
      <c r="Y4549" s="41"/>
    </row>
    <row r="4550" s="27" customFormat="1" ht="23" hidden="1" customHeight="1" spans="1:25">
      <c r="A4550" s="133" t="str">
        <f>IF(B4550="","",COUNTA($B$5:B4550))</f>
        <v/>
      </c>
      <c r="B4550" s="148"/>
      <c r="C4550" s="22" t="s">
        <v>49</v>
      </c>
      <c r="D4550" s="149"/>
      <c r="E4550" s="150"/>
      <c r="F4550" s="151"/>
      <c r="G4550" s="151"/>
      <c r="H4550" s="142">
        <f>IFERROR(VLOOKUP($C4550,$C$5:$H$18,6,0)+SUMIF($C$19:$C4550,$C4550,$F$19:$F4550)-SUMIF($C$19:$C4550,$C4550,$G$19:$G4550),"")</f>
        <v>81211.819999998</v>
      </c>
      <c r="I4550" s="147"/>
      <c r="J4550" s="147"/>
      <c r="K4550" s="147" t="str">
        <f t="shared" si="71"/>
        <v/>
      </c>
      <c r="L4550" s="40"/>
      <c r="M4550"/>
      <c r="N4550"/>
      <c r="O4550"/>
      <c r="P4550"/>
      <c r="Q4550"/>
      <c r="R4550"/>
      <c r="S4550"/>
      <c r="T4550"/>
      <c r="U4550"/>
      <c r="V4550"/>
      <c r="W4550" s="41"/>
      <c r="X4550" s="41"/>
      <c r="Y4550" s="41"/>
    </row>
    <row r="4551" s="27" customFormat="1" ht="23" hidden="1" customHeight="1" spans="1:25">
      <c r="A4551" s="133" t="str">
        <f>IF(B4551="","",COUNTA($B$5:B4551))</f>
        <v/>
      </c>
      <c r="B4551" s="148"/>
      <c r="C4551" s="22" t="s">
        <v>49</v>
      </c>
      <c r="D4551" s="149"/>
      <c r="E4551" s="150"/>
      <c r="F4551" s="151"/>
      <c r="G4551" s="151"/>
      <c r="H4551" s="142">
        <f>IFERROR(VLOOKUP($C4551,$C$5:$H$18,6,0)+SUMIF($C$19:$C4551,$C4551,$F$19:$F4551)-SUMIF($C$19:$C4551,$C4551,$G$19:$G4551),"")</f>
        <v>81211.819999998</v>
      </c>
      <c r="I4551" s="147"/>
      <c r="J4551" s="147"/>
      <c r="K4551" s="147" t="str">
        <f t="shared" si="71"/>
        <v/>
      </c>
      <c r="L4551" s="40"/>
      <c r="M4551"/>
      <c r="N4551"/>
      <c r="O4551"/>
      <c r="P4551"/>
      <c r="Q4551"/>
      <c r="R4551"/>
      <c r="S4551"/>
      <c r="T4551"/>
      <c r="U4551"/>
      <c r="V4551"/>
      <c r="W4551" s="41"/>
      <c r="X4551" s="41"/>
      <c r="Y4551" s="41"/>
    </row>
    <row r="4552" s="27" customFormat="1" ht="23" hidden="1" customHeight="1" spans="1:25">
      <c r="A4552" s="133" t="str">
        <f>IF(B4552="","",COUNTA($B$5:B4552))</f>
        <v/>
      </c>
      <c r="B4552" s="148"/>
      <c r="C4552" s="22" t="s">
        <v>49</v>
      </c>
      <c r="D4552" s="149"/>
      <c r="E4552" s="150"/>
      <c r="F4552" s="151"/>
      <c r="G4552" s="151"/>
      <c r="H4552" s="142">
        <f>IFERROR(VLOOKUP($C4552,$C$5:$H$18,6,0)+SUMIF($C$19:$C4552,$C4552,$F$19:$F4552)-SUMIF($C$19:$C4552,$C4552,$G$19:$G4552),"")</f>
        <v>81211.819999998</v>
      </c>
      <c r="I4552" s="147"/>
      <c r="J4552" s="147"/>
      <c r="K4552" s="147" t="str">
        <f t="shared" si="71"/>
        <v/>
      </c>
      <c r="L4552" s="40"/>
      <c r="M4552"/>
      <c r="N4552"/>
      <c r="O4552"/>
      <c r="P4552"/>
      <c r="Q4552"/>
      <c r="R4552"/>
      <c r="S4552"/>
      <c r="T4552"/>
      <c r="U4552"/>
      <c r="V4552"/>
      <c r="W4552" s="41"/>
      <c r="X4552" s="41"/>
      <c r="Y4552" s="41"/>
    </row>
    <row r="4553" s="27" customFormat="1" ht="23" hidden="1" customHeight="1" spans="1:25">
      <c r="A4553" s="133" t="str">
        <f>IF(B4553="","",COUNTA($B$5:B4553))</f>
        <v/>
      </c>
      <c r="B4553" s="148"/>
      <c r="C4553" s="22" t="s">
        <v>49</v>
      </c>
      <c r="D4553" s="149"/>
      <c r="E4553" s="150"/>
      <c r="F4553" s="151"/>
      <c r="G4553" s="151"/>
      <c r="H4553" s="142">
        <f>IFERROR(VLOOKUP($C4553,$C$5:$H$18,6,0)+SUMIF($C$19:$C4553,$C4553,$F$19:$F4553)-SUMIF($C$19:$C4553,$C4553,$G$19:$G4553),"")</f>
        <v>81211.819999998</v>
      </c>
      <c r="I4553" s="147"/>
      <c r="J4553" s="147"/>
      <c r="K4553" s="147" t="str">
        <f t="shared" si="71"/>
        <v/>
      </c>
      <c r="L4553" s="40"/>
      <c r="M4553"/>
      <c r="N4553"/>
      <c r="O4553"/>
      <c r="P4553"/>
      <c r="Q4553"/>
      <c r="R4553"/>
      <c r="S4553"/>
      <c r="T4553"/>
      <c r="U4553"/>
      <c r="V4553"/>
      <c r="W4553" s="41"/>
      <c r="X4553" s="41"/>
      <c r="Y4553" s="41"/>
    </row>
    <row r="4554" s="27" customFormat="1" ht="23" hidden="1" customHeight="1" spans="1:25">
      <c r="A4554" s="133" t="str">
        <f>IF(B4554="","",COUNTA($B$5:B4554))</f>
        <v/>
      </c>
      <c r="B4554" s="148"/>
      <c r="C4554" s="22" t="s">
        <v>49</v>
      </c>
      <c r="D4554" s="149"/>
      <c r="E4554" s="150"/>
      <c r="F4554" s="151"/>
      <c r="G4554" s="151"/>
      <c r="H4554" s="142">
        <f>IFERROR(VLOOKUP($C4554,$C$5:$H$18,6,0)+SUMIF($C$19:$C4554,$C4554,$F$19:$F4554)-SUMIF($C$19:$C4554,$C4554,$G$19:$G4554),"")</f>
        <v>81211.819999998</v>
      </c>
      <c r="I4554" s="147"/>
      <c r="J4554" s="147"/>
      <c r="K4554" s="147" t="str">
        <f t="shared" si="71"/>
        <v/>
      </c>
      <c r="L4554" s="40"/>
      <c r="M4554"/>
      <c r="N4554"/>
      <c r="O4554"/>
      <c r="P4554"/>
      <c r="Q4554"/>
      <c r="R4554"/>
      <c r="S4554"/>
      <c r="T4554"/>
      <c r="U4554"/>
      <c r="V4554"/>
      <c r="W4554" s="41"/>
      <c r="X4554" s="41"/>
      <c r="Y4554" s="41"/>
    </row>
    <row r="4555" s="27" customFormat="1" ht="23" hidden="1" customHeight="1" spans="1:25">
      <c r="A4555" s="133" t="str">
        <f>IF(B4555="","",COUNTA($B$5:B4555))</f>
        <v/>
      </c>
      <c r="B4555" s="148"/>
      <c r="C4555" s="22" t="s">
        <v>49</v>
      </c>
      <c r="D4555" s="149"/>
      <c r="E4555" s="150"/>
      <c r="F4555" s="151"/>
      <c r="G4555" s="151"/>
      <c r="H4555" s="142">
        <f>IFERROR(VLOOKUP($C4555,$C$5:$H$18,6,0)+SUMIF($C$19:$C4555,$C4555,$F$19:$F4555)-SUMIF($C$19:$C4555,$C4555,$G$19:$G4555),"")</f>
        <v>81211.819999998</v>
      </c>
      <c r="I4555" s="147"/>
      <c r="J4555" s="147"/>
      <c r="K4555" s="147" t="str">
        <f t="shared" si="71"/>
        <v/>
      </c>
      <c r="L4555" s="40"/>
      <c r="M4555"/>
      <c r="N4555"/>
      <c r="O4555"/>
      <c r="P4555"/>
      <c r="Q4555"/>
      <c r="R4555"/>
      <c r="S4555"/>
      <c r="T4555"/>
      <c r="U4555"/>
      <c r="V4555"/>
      <c r="W4555" s="41"/>
      <c r="X4555" s="41"/>
      <c r="Y4555" s="41"/>
    </row>
    <row r="4556" s="27" customFormat="1" ht="23" hidden="1" customHeight="1" spans="1:25">
      <c r="A4556" s="133" t="str">
        <f>IF(B4556="","",COUNTA($B$5:B4556))</f>
        <v/>
      </c>
      <c r="B4556" s="148"/>
      <c r="C4556" s="22" t="s">
        <v>49</v>
      </c>
      <c r="D4556" s="149"/>
      <c r="E4556" s="150"/>
      <c r="F4556" s="151"/>
      <c r="G4556" s="151"/>
      <c r="H4556" s="142">
        <f>IFERROR(VLOOKUP($C4556,$C$5:$H$18,6,0)+SUMIF($C$19:$C4556,$C4556,$F$19:$F4556)-SUMIF($C$19:$C4556,$C4556,$G$19:$G4556),"")</f>
        <v>81211.819999998</v>
      </c>
      <c r="I4556" s="147"/>
      <c r="J4556" s="147"/>
      <c r="K4556" s="147" t="str">
        <f t="shared" si="71"/>
        <v/>
      </c>
      <c r="L4556" s="40"/>
      <c r="M4556"/>
      <c r="N4556"/>
      <c r="O4556"/>
      <c r="P4556"/>
      <c r="Q4556"/>
      <c r="R4556"/>
      <c r="S4556"/>
      <c r="T4556"/>
      <c r="U4556"/>
      <c r="V4556"/>
      <c r="W4556" s="41"/>
      <c r="X4556" s="41"/>
      <c r="Y4556" s="41"/>
    </row>
    <row r="4557" s="27" customFormat="1" ht="23" hidden="1" customHeight="1" spans="1:25">
      <c r="A4557" s="133" t="str">
        <f>IF(B4557="","",COUNTA($B$5:B4557))</f>
        <v/>
      </c>
      <c r="B4557" s="148"/>
      <c r="C4557" s="22" t="s">
        <v>49</v>
      </c>
      <c r="D4557" s="149"/>
      <c r="E4557" s="150"/>
      <c r="F4557" s="151"/>
      <c r="G4557" s="151"/>
      <c r="H4557" s="142">
        <f>IFERROR(VLOOKUP($C4557,$C$5:$H$18,6,0)+SUMIF($C$19:$C4557,$C4557,$F$19:$F4557)-SUMIF($C$19:$C4557,$C4557,$G$19:$G4557),"")</f>
        <v>81211.819999998</v>
      </c>
      <c r="I4557" s="147"/>
      <c r="J4557" s="147"/>
      <c r="K4557" s="147" t="str">
        <f t="shared" si="71"/>
        <v/>
      </c>
      <c r="L4557" s="40"/>
      <c r="M4557"/>
      <c r="N4557"/>
      <c r="O4557"/>
      <c r="P4557"/>
      <c r="Q4557"/>
      <c r="R4557"/>
      <c r="S4557"/>
      <c r="T4557"/>
      <c r="U4557"/>
      <c r="V4557"/>
      <c r="W4557" s="41"/>
      <c r="X4557" s="41"/>
      <c r="Y4557" s="41"/>
    </row>
    <row r="4558" s="27" customFormat="1" ht="23" hidden="1" customHeight="1" spans="1:25">
      <c r="A4558" s="133" t="str">
        <f>IF(B4558="","",COUNTA($B$5:B4558))</f>
        <v/>
      </c>
      <c r="B4558" s="148"/>
      <c r="C4558" s="22" t="s">
        <v>49</v>
      </c>
      <c r="D4558" s="149"/>
      <c r="E4558" s="150"/>
      <c r="F4558" s="151"/>
      <c r="G4558" s="151"/>
      <c r="H4558" s="142">
        <f>IFERROR(VLOOKUP($C4558,$C$5:$H$18,6,0)+SUMIF($C$19:$C4558,$C4558,$F$19:$F4558)-SUMIF($C$19:$C4558,$C4558,$G$19:$G4558),"")</f>
        <v>81211.819999998</v>
      </c>
      <c r="I4558" s="147"/>
      <c r="J4558" s="147"/>
      <c r="K4558" s="147" t="str">
        <f t="shared" si="71"/>
        <v/>
      </c>
      <c r="L4558" s="40"/>
      <c r="M4558"/>
      <c r="N4558"/>
      <c r="O4558"/>
      <c r="P4558"/>
      <c r="Q4558"/>
      <c r="R4558"/>
      <c r="S4558"/>
      <c r="T4558"/>
      <c r="U4558"/>
      <c r="V4558"/>
      <c r="W4558" s="41"/>
      <c r="X4558" s="41"/>
      <c r="Y4558" s="41"/>
    </row>
    <row r="4559" s="27" customFormat="1" ht="23" hidden="1" customHeight="1" spans="1:25">
      <c r="A4559" s="133" t="str">
        <f>IF(B4559="","",COUNTA($B$5:B4559))</f>
        <v/>
      </c>
      <c r="B4559" s="148"/>
      <c r="C4559" s="22" t="s">
        <v>49</v>
      </c>
      <c r="D4559" s="149"/>
      <c r="E4559" s="150"/>
      <c r="F4559" s="151"/>
      <c r="G4559" s="151"/>
      <c r="H4559" s="142">
        <f>IFERROR(VLOOKUP($C4559,$C$5:$H$18,6,0)+SUMIF($C$19:$C4559,$C4559,$F$19:$F4559)-SUMIF($C$19:$C4559,$C4559,$G$19:$G4559),"")</f>
        <v>81211.819999998</v>
      </c>
      <c r="I4559" s="147"/>
      <c r="J4559" s="147"/>
      <c r="K4559" s="147" t="str">
        <f t="shared" si="71"/>
        <v/>
      </c>
      <c r="L4559" s="40"/>
      <c r="M4559"/>
      <c r="N4559"/>
      <c r="O4559"/>
      <c r="P4559"/>
      <c r="Q4559"/>
      <c r="R4559"/>
      <c r="S4559"/>
      <c r="T4559"/>
      <c r="U4559"/>
      <c r="V4559"/>
      <c r="W4559" s="41"/>
      <c r="X4559" s="41"/>
      <c r="Y4559" s="41"/>
    </row>
    <row r="4560" s="27" customFormat="1" ht="23" hidden="1" customHeight="1" spans="1:25">
      <c r="A4560" s="133" t="str">
        <f>IF(B4560="","",COUNTA($B$5:B4560))</f>
        <v/>
      </c>
      <c r="B4560" s="148"/>
      <c r="C4560" s="22" t="s">
        <v>49</v>
      </c>
      <c r="D4560" s="149"/>
      <c r="E4560" s="150"/>
      <c r="F4560" s="151"/>
      <c r="G4560" s="151"/>
      <c r="H4560" s="142">
        <f>IFERROR(VLOOKUP($C4560,$C$5:$H$18,6,0)+SUMIF($C$19:$C4560,$C4560,$F$19:$F4560)-SUMIF($C$19:$C4560,$C4560,$G$19:$G4560),"")</f>
        <v>81211.819999998</v>
      </c>
      <c r="I4560" s="147"/>
      <c r="J4560" s="147"/>
      <c r="K4560" s="147" t="str">
        <f t="shared" si="71"/>
        <v/>
      </c>
      <c r="L4560" s="40"/>
      <c r="M4560"/>
      <c r="N4560"/>
      <c r="O4560"/>
      <c r="P4560"/>
      <c r="Q4560"/>
      <c r="R4560"/>
      <c r="S4560"/>
      <c r="T4560"/>
      <c r="U4560"/>
      <c r="V4560"/>
      <c r="W4560" s="41"/>
      <c r="X4560" s="41"/>
      <c r="Y4560" s="41"/>
    </row>
    <row r="4561" s="27" customFormat="1" ht="23" hidden="1" customHeight="1" spans="1:25">
      <c r="A4561" s="133" t="str">
        <f>IF(B4561="","",COUNTA($B$5:B4561))</f>
        <v/>
      </c>
      <c r="B4561" s="148"/>
      <c r="C4561" s="22" t="s">
        <v>49</v>
      </c>
      <c r="D4561" s="149"/>
      <c r="E4561" s="150"/>
      <c r="F4561" s="151"/>
      <c r="G4561" s="151"/>
      <c r="H4561" s="142">
        <f>IFERROR(VLOOKUP($C4561,$C$5:$H$18,6,0)+SUMIF($C$19:$C4561,$C4561,$F$19:$F4561)-SUMIF($C$19:$C4561,$C4561,$G$19:$G4561),"")</f>
        <v>81211.819999998</v>
      </c>
      <c r="I4561" s="147"/>
      <c r="J4561" s="147"/>
      <c r="K4561" s="147" t="str">
        <f t="shared" si="71"/>
        <v/>
      </c>
      <c r="L4561" s="40"/>
      <c r="M4561"/>
      <c r="N4561"/>
      <c r="O4561"/>
      <c r="P4561"/>
      <c r="Q4561"/>
      <c r="R4561"/>
      <c r="S4561"/>
      <c r="T4561"/>
      <c r="U4561"/>
      <c r="V4561"/>
      <c r="W4561" s="41"/>
      <c r="X4561" s="41"/>
      <c r="Y4561" s="41"/>
    </row>
    <row r="4562" s="27" customFormat="1" ht="23" hidden="1" customHeight="1" spans="1:25">
      <c r="A4562" s="133" t="str">
        <f>IF(B4562="","",COUNTA($B$5:B4562))</f>
        <v/>
      </c>
      <c r="B4562" s="148"/>
      <c r="C4562" s="22" t="s">
        <v>49</v>
      </c>
      <c r="D4562" s="149"/>
      <c r="E4562" s="150"/>
      <c r="F4562" s="151"/>
      <c r="G4562" s="151"/>
      <c r="H4562" s="142">
        <f>IFERROR(VLOOKUP($C4562,$C$5:$H$18,6,0)+SUMIF($C$19:$C4562,$C4562,$F$19:$F4562)-SUMIF($C$19:$C4562,$C4562,$G$19:$G4562),"")</f>
        <v>81211.819999998</v>
      </c>
      <c r="I4562" s="147"/>
      <c r="J4562" s="147"/>
      <c r="K4562" s="147" t="str">
        <f t="shared" si="71"/>
        <v/>
      </c>
      <c r="L4562" s="40"/>
      <c r="M4562"/>
      <c r="N4562"/>
      <c r="O4562"/>
      <c r="P4562"/>
      <c r="Q4562"/>
      <c r="R4562"/>
      <c r="S4562"/>
      <c r="T4562"/>
      <c r="U4562"/>
      <c r="V4562"/>
      <c r="W4562" s="41"/>
      <c r="X4562" s="41"/>
      <c r="Y4562" s="41"/>
    </row>
    <row r="4563" s="27" customFormat="1" ht="23" hidden="1" customHeight="1" spans="1:25">
      <c r="A4563" s="133" t="str">
        <f>IF(B4563="","",COUNTA($B$5:B4563))</f>
        <v/>
      </c>
      <c r="B4563" s="148"/>
      <c r="C4563" s="22" t="s">
        <v>49</v>
      </c>
      <c r="D4563" s="149"/>
      <c r="E4563" s="150"/>
      <c r="F4563" s="151"/>
      <c r="G4563" s="151"/>
      <c r="H4563" s="142">
        <f>IFERROR(VLOOKUP($C4563,$C$5:$H$18,6,0)+SUMIF($C$19:$C4563,$C4563,$F$19:$F4563)-SUMIF($C$19:$C4563,$C4563,$G$19:$G4563),"")</f>
        <v>81211.819999998</v>
      </c>
      <c r="I4563" s="147"/>
      <c r="J4563" s="147"/>
      <c r="K4563" s="147" t="str">
        <f t="shared" si="71"/>
        <v/>
      </c>
      <c r="L4563" s="40"/>
      <c r="M4563"/>
      <c r="N4563"/>
      <c r="O4563"/>
      <c r="P4563"/>
      <c r="Q4563"/>
      <c r="R4563"/>
      <c r="S4563"/>
      <c r="T4563"/>
      <c r="U4563"/>
      <c r="V4563"/>
      <c r="W4563" s="41"/>
      <c r="X4563" s="41"/>
      <c r="Y4563" s="41"/>
    </row>
    <row r="4564" s="27" customFormat="1" ht="23" hidden="1" customHeight="1" spans="1:25">
      <c r="A4564" s="133" t="str">
        <f>IF(B4564="","",COUNTA($B$5:B4564))</f>
        <v/>
      </c>
      <c r="B4564" s="148"/>
      <c r="C4564" s="22" t="s">
        <v>49</v>
      </c>
      <c r="D4564" s="149"/>
      <c r="E4564" s="150"/>
      <c r="F4564" s="151"/>
      <c r="G4564" s="151"/>
      <c r="H4564" s="142">
        <f>IFERROR(VLOOKUP($C4564,$C$5:$H$18,6,0)+SUMIF($C$19:$C4564,$C4564,$F$19:$F4564)-SUMIF($C$19:$C4564,$C4564,$G$19:$G4564),"")</f>
        <v>81211.819999998</v>
      </c>
      <c r="I4564" s="147"/>
      <c r="J4564" s="147"/>
      <c r="K4564" s="147" t="str">
        <f t="shared" si="71"/>
        <v/>
      </c>
      <c r="L4564" s="40"/>
      <c r="M4564"/>
      <c r="N4564"/>
      <c r="O4564"/>
      <c r="P4564"/>
      <c r="Q4564"/>
      <c r="R4564"/>
      <c r="S4564"/>
      <c r="T4564"/>
      <c r="U4564"/>
      <c r="V4564"/>
      <c r="W4564" s="41"/>
      <c r="X4564" s="41"/>
      <c r="Y4564" s="41"/>
    </row>
    <row r="4565" s="27" customFormat="1" ht="23" hidden="1" customHeight="1" spans="1:25">
      <c r="A4565" s="133" t="str">
        <f>IF(B4565="","",COUNTA($B$5:B4565))</f>
        <v/>
      </c>
      <c r="B4565" s="148"/>
      <c r="C4565" s="22" t="s">
        <v>49</v>
      </c>
      <c r="D4565" s="149"/>
      <c r="E4565" s="150"/>
      <c r="F4565" s="151"/>
      <c r="G4565" s="151"/>
      <c r="H4565" s="142">
        <f>IFERROR(VLOOKUP($C4565,$C$5:$H$18,6,0)+SUMIF($C$19:$C4565,$C4565,$F$19:$F4565)-SUMIF($C$19:$C4565,$C4565,$G$19:$G4565),"")</f>
        <v>81211.819999998</v>
      </c>
      <c r="I4565" s="147"/>
      <c r="J4565" s="147"/>
      <c r="K4565" s="147" t="str">
        <f t="shared" si="71"/>
        <v/>
      </c>
      <c r="L4565" s="40"/>
      <c r="M4565"/>
      <c r="N4565"/>
      <c r="O4565"/>
      <c r="P4565"/>
      <c r="Q4565"/>
      <c r="R4565"/>
      <c r="S4565"/>
      <c r="T4565"/>
      <c r="U4565"/>
      <c r="V4565"/>
      <c r="W4565" s="41"/>
      <c r="X4565" s="41"/>
      <c r="Y4565" s="41"/>
    </row>
    <row r="4566" s="27" customFormat="1" ht="23" hidden="1" customHeight="1" spans="1:25">
      <c r="A4566" s="133" t="str">
        <f>IF(B4566="","",COUNTA($B$5:B4566))</f>
        <v/>
      </c>
      <c r="B4566" s="148"/>
      <c r="C4566" s="22" t="s">
        <v>49</v>
      </c>
      <c r="D4566" s="149"/>
      <c r="E4566" s="150"/>
      <c r="F4566" s="151"/>
      <c r="G4566" s="151"/>
      <c r="H4566" s="142">
        <f>IFERROR(VLOOKUP($C4566,$C$5:$H$18,6,0)+SUMIF($C$19:$C4566,$C4566,$F$19:$F4566)-SUMIF($C$19:$C4566,$C4566,$G$19:$G4566),"")</f>
        <v>81211.819999998</v>
      </c>
      <c r="I4566" s="147"/>
      <c r="J4566" s="147"/>
      <c r="K4566" s="147" t="str">
        <f t="shared" si="71"/>
        <v/>
      </c>
      <c r="L4566" s="40"/>
      <c r="M4566"/>
      <c r="N4566"/>
      <c r="O4566"/>
      <c r="P4566"/>
      <c r="Q4566"/>
      <c r="R4566"/>
      <c r="S4566"/>
      <c r="T4566"/>
      <c r="U4566"/>
      <c r="V4566"/>
      <c r="W4566" s="41"/>
      <c r="X4566" s="41"/>
      <c r="Y4566" s="41"/>
    </row>
    <row r="4567" s="27" customFormat="1" ht="23" hidden="1" customHeight="1" spans="1:25">
      <c r="A4567" s="133" t="str">
        <f>IF(B4567="","",COUNTA($B$5:B4567))</f>
        <v/>
      </c>
      <c r="B4567" s="148"/>
      <c r="C4567" s="22" t="s">
        <v>49</v>
      </c>
      <c r="D4567" s="149"/>
      <c r="E4567" s="150"/>
      <c r="F4567" s="151"/>
      <c r="G4567" s="151"/>
      <c r="H4567" s="142">
        <f>IFERROR(VLOOKUP($C4567,$C$5:$H$18,6,0)+SUMIF($C$19:$C4567,$C4567,$F$19:$F4567)-SUMIF($C$19:$C4567,$C4567,$G$19:$G4567),"")</f>
        <v>81211.819999998</v>
      </c>
      <c r="I4567" s="147"/>
      <c r="J4567" s="147"/>
      <c r="K4567" s="147" t="str">
        <f t="shared" si="71"/>
        <v/>
      </c>
      <c r="L4567" s="40"/>
      <c r="M4567"/>
      <c r="N4567"/>
      <c r="O4567"/>
      <c r="P4567"/>
      <c r="Q4567"/>
      <c r="R4567"/>
      <c r="S4567"/>
      <c r="T4567"/>
      <c r="U4567"/>
      <c r="V4567"/>
      <c r="W4567" s="41"/>
      <c r="X4567" s="41"/>
      <c r="Y4567" s="41"/>
    </row>
    <row r="4568" s="27" customFormat="1" ht="23" hidden="1" customHeight="1" spans="1:25">
      <c r="A4568" s="133" t="str">
        <f>IF(B4568="","",COUNTA($B$5:B4568))</f>
        <v/>
      </c>
      <c r="B4568" s="148"/>
      <c r="C4568" s="22" t="s">
        <v>49</v>
      </c>
      <c r="D4568" s="149"/>
      <c r="E4568" s="150"/>
      <c r="F4568" s="151"/>
      <c r="G4568" s="151"/>
      <c r="H4568" s="142">
        <f>IFERROR(VLOOKUP($C4568,$C$5:$H$18,6,0)+SUMIF($C$19:$C4568,$C4568,$F$19:$F4568)-SUMIF($C$19:$C4568,$C4568,$G$19:$G4568),"")</f>
        <v>81211.819999998</v>
      </c>
      <c r="I4568" s="147"/>
      <c r="J4568" s="147"/>
      <c r="K4568" s="147" t="str">
        <f t="shared" si="71"/>
        <v/>
      </c>
      <c r="L4568" s="40"/>
      <c r="M4568"/>
      <c r="N4568"/>
      <c r="O4568"/>
      <c r="P4568"/>
      <c r="Q4568"/>
      <c r="R4568"/>
      <c r="S4568"/>
      <c r="T4568"/>
      <c r="U4568"/>
      <c r="V4568"/>
      <c r="W4568" s="41"/>
      <c r="X4568" s="41"/>
      <c r="Y4568" s="41"/>
    </row>
    <row r="4569" s="27" customFormat="1" ht="23" hidden="1" customHeight="1" spans="1:25">
      <c r="A4569" s="133" t="str">
        <f>IF(B4569="","",COUNTA($B$5:B4569))</f>
        <v/>
      </c>
      <c r="B4569" s="148"/>
      <c r="C4569" s="22" t="s">
        <v>49</v>
      </c>
      <c r="D4569" s="149"/>
      <c r="E4569" s="150"/>
      <c r="F4569" s="151"/>
      <c r="G4569" s="151"/>
      <c r="H4569" s="142">
        <f>IFERROR(VLOOKUP($C4569,$C$5:$H$18,6,0)+SUMIF($C$19:$C4569,$C4569,$F$19:$F4569)-SUMIF($C$19:$C4569,$C4569,$G$19:$G4569),"")</f>
        <v>81211.819999998</v>
      </c>
      <c r="I4569" s="147"/>
      <c r="J4569" s="147"/>
      <c r="K4569" s="147" t="str">
        <f t="shared" si="71"/>
        <v/>
      </c>
      <c r="L4569" s="40"/>
      <c r="M4569"/>
      <c r="N4569"/>
      <c r="O4569"/>
      <c r="P4569"/>
      <c r="Q4569"/>
      <c r="R4569"/>
      <c r="S4569"/>
      <c r="T4569"/>
      <c r="U4569"/>
      <c r="V4569"/>
      <c r="W4569" s="41"/>
      <c r="X4569" s="41"/>
      <c r="Y4569" s="41"/>
    </row>
    <row r="4570" s="27" customFormat="1" ht="23" hidden="1" customHeight="1" spans="1:25">
      <c r="A4570" s="133" t="str">
        <f>IF(B4570="","",COUNTA($B$5:B4570))</f>
        <v/>
      </c>
      <c r="B4570" s="148"/>
      <c r="C4570" s="22" t="s">
        <v>49</v>
      </c>
      <c r="D4570" s="149"/>
      <c r="E4570" s="150"/>
      <c r="F4570" s="151"/>
      <c r="G4570" s="151"/>
      <c r="H4570" s="142">
        <f>IFERROR(VLOOKUP($C4570,$C$5:$H$18,6,0)+SUMIF($C$19:$C4570,$C4570,$F$19:$F4570)-SUMIF($C$19:$C4570,$C4570,$G$19:$G4570),"")</f>
        <v>81211.819999998</v>
      </c>
      <c r="I4570" s="147"/>
      <c r="J4570" s="147"/>
      <c r="K4570" s="147" t="str">
        <f t="shared" si="71"/>
        <v/>
      </c>
      <c r="L4570" s="40"/>
      <c r="M4570"/>
      <c r="N4570"/>
      <c r="O4570"/>
      <c r="P4570"/>
      <c r="Q4570"/>
      <c r="R4570"/>
      <c r="S4570"/>
      <c r="T4570"/>
      <c r="U4570"/>
      <c r="V4570"/>
      <c r="W4570" s="41"/>
      <c r="X4570" s="41"/>
      <c r="Y4570" s="41"/>
    </row>
    <row r="4571" s="27" customFormat="1" ht="23" hidden="1" customHeight="1" spans="1:25">
      <c r="A4571" s="133" t="str">
        <f>IF(B4571="","",COUNTA($B$5:B4571))</f>
        <v/>
      </c>
      <c r="B4571" s="148"/>
      <c r="C4571" s="22" t="s">
        <v>49</v>
      </c>
      <c r="D4571" s="149"/>
      <c r="E4571" s="150"/>
      <c r="F4571" s="151"/>
      <c r="G4571" s="151"/>
      <c r="H4571" s="142">
        <f>IFERROR(VLOOKUP($C4571,$C$5:$H$18,6,0)+SUMIF($C$19:$C4571,$C4571,$F$19:$F4571)-SUMIF($C$19:$C4571,$C4571,$G$19:$G4571),"")</f>
        <v>81211.819999998</v>
      </c>
      <c r="I4571" s="147"/>
      <c r="J4571" s="147"/>
      <c r="K4571" s="147" t="str">
        <f t="shared" si="71"/>
        <v/>
      </c>
      <c r="L4571" s="40"/>
      <c r="M4571"/>
      <c r="N4571"/>
      <c r="O4571"/>
      <c r="P4571"/>
      <c r="Q4571"/>
      <c r="R4571"/>
      <c r="S4571"/>
      <c r="T4571"/>
      <c r="U4571"/>
      <c r="V4571"/>
      <c r="W4571" s="41"/>
      <c r="X4571" s="41"/>
      <c r="Y4571" s="41"/>
    </row>
    <row r="4572" s="27" customFormat="1" ht="23" hidden="1" customHeight="1" spans="1:25">
      <c r="A4572" s="133" t="str">
        <f>IF(B4572="","",COUNTA($B$5:B4572))</f>
        <v/>
      </c>
      <c r="B4572" s="148"/>
      <c r="C4572" s="22" t="s">
        <v>49</v>
      </c>
      <c r="D4572" s="149"/>
      <c r="E4572" s="150"/>
      <c r="F4572" s="151"/>
      <c r="G4572" s="151"/>
      <c r="H4572" s="142">
        <f>IFERROR(VLOOKUP($C4572,$C$5:$H$18,6,0)+SUMIF($C$19:$C4572,$C4572,$F$19:$F4572)-SUMIF($C$19:$C4572,$C4572,$G$19:$G4572),"")</f>
        <v>81211.819999998</v>
      </c>
      <c r="I4572" s="147"/>
      <c r="J4572" s="147"/>
      <c r="K4572" s="147" t="str">
        <f t="shared" si="71"/>
        <v/>
      </c>
      <c r="L4572" s="40"/>
      <c r="M4572"/>
      <c r="N4572"/>
      <c r="O4572"/>
      <c r="P4572"/>
      <c r="Q4572"/>
      <c r="R4572"/>
      <c r="S4572"/>
      <c r="T4572"/>
      <c r="U4572"/>
      <c r="V4572"/>
      <c r="W4572" s="41"/>
      <c r="X4572" s="41"/>
      <c r="Y4572" s="41"/>
    </row>
    <row r="4573" s="27" customFormat="1" ht="23" hidden="1" customHeight="1" spans="1:25">
      <c r="A4573" s="133" t="str">
        <f>IF(B4573="","",COUNTA($B$5:B4573))</f>
        <v/>
      </c>
      <c r="B4573" s="148"/>
      <c r="C4573" s="22" t="s">
        <v>49</v>
      </c>
      <c r="D4573" s="149"/>
      <c r="E4573" s="150"/>
      <c r="F4573" s="151"/>
      <c r="G4573" s="151"/>
      <c r="H4573" s="142">
        <f>IFERROR(VLOOKUP($C4573,$C$5:$H$18,6,0)+SUMIF($C$19:$C4573,$C4573,$F$19:$F4573)-SUMIF($C$19:$C4573,$C4573,$G$19:$G4573),"")</f>
        <v>81211.819999998</v>
      </c>
      <c r="I4573" s="147"/>
      <c r="J4573" s="147"/>
      <c r="K4573" s="147" t="str">
        <f t="shared" si="71"/>
        <v/>
      </c>
      <c r="L4573" s="40"/>
      <c r="M4573"/>
      <c r="N4573"/>
      <c r="O4573"/>
      <c r="P4573"/>
      <c r="Q4573"/>
      <c r="R4573"/>
      <c r="S4573"/>
      <c r="T4573"/>
      <c r="U4573"/>
      <c r="V4573"/>
      <c r="W4573" s="41"/>
      <c r="X4573" s="41"/>
      <c r="Y4573" s="41"/>
    </row>
    <row r="4574" s="27" customFormat="1" ht="23" hidden="1" customHeight="1" spans="1:25">
      <c r="A4574" s="133" t="str">
        <f>IF(B4574="","",COUNTA($B$5:B4574))</f>
        <v/>
      </c>
      <c r="B4574" s="148"/>
      <c r="C4574" s="22" t="s">
        <v>49</v>
      </c>
      <c r="D4574" s="149"/>
      <c r="E4574" s="150"/>
      <c r="F4574" s="151"/>
      <c r="G4574" s="151"/>
      <c r="H4574" s="142">
        <f>IFERROR(VLOOKUP($C4574,$C$5:$H$18,6,0)+SUMIF($C$19:$C4574,$C4574,$F$19:$F4574)-SUMIF($C$19:$C4574,$C4574,$G$19:$G4574),"")</f>
        <v>81211.819999998</v>
      </c>
      <c r="I4574" s="147"/>
      <c r="J4574" s="147"/>
      <c r="K4574" s="147" t="str">
        <f t="shared" si="71"/>
        <v/>
      </c>
      <c r="L4574" s="40"/>
      <c r="M4574"/>
      <c r="N4574"/>
      <c r="O4574"/>
      <c r="P4574"/>
      <c r="Q4574"/>
      <c r="R4574"/>
      <c r="S4574"/>
      <c r="T4574"/>
      <c r="U4574"/>
      <c r="V4574"/>
      <c r="W4574" s="41"/>
      <c r="X4574" s="41"/>
      <c r="Y4574" s="41"/>
    </row>
    <row r="4575" s="27" customFormat="1" ht="23" hidden="1" customHeight="1" spans="1:25">
      <c r="A4575" s="133" t="str">
        <f>IF(B4575="","",COUNTA($B$5:B4575))</f>
        <v/>
      </c>
      <c r="B4575" s="148"/>
      <c r="C4575" s="22" t="s">
        <v>49</v>
      </c>
      <c r="D4575" s="149"/>
      <c r="E4575" s="150"/>
      <c r="F4575" s="151"/>
      <c r="G4575" s="151"/>
      <c r="H4575" s="142">
        <f>IFERROR(VLOOKUP($C4575,$C$5:$H$18,6,0)+SUMIF($C$19:$C4575,$C4575,$F$19:$F4575)-SUMIF($C$19:$C4575,$C4575,$G$19:$G4575),"")</f>
        <v>81211.819999998</v>
      </c>
      <c r="I4575" s="147"/>
      <c r="J4575" s="147"/>
      <c r="K4575" s="147" t="str">
        <f t="shared" si="71"/>
        <v/>
      </c>
      <c r="L4575" s="40"/>
      <c r="M4575"/>
      <c r="N4575"/>
      <c r="O4575"/>
      <c r="P4575"/>
      <c r="Q4575"/>
      <c r="R4575"/>
      <c r="S4575"/>
      <c r="T4575"/>
      <c r="U4575"/>
      <c r="V4575"/>
      <c r="W4575" s="41"/>
      <c r="X4575" s="41"/>
      <c r="Y4575" s="41"/>
    </row>
    <row r="4576" s="27" customFormat="1" ht="23" hidden="1" customHeight="1" spans="1:25">
      <c r="A4576" s="133" t="str">
        <f>IF(B4576="","",COUNTA($B$5:B4576))</f>
        <v/>
      </c>
      <c r="B4576" s="148"/>
      <c r="C4576" s="22" t="s">
        <v>49</v>
      </c>
      <c r="D4576" s="149"/>
      <c r="E4576" s="150"/>
      <c r="F4576" s="151"/>
      <c r="G4576" s="151"/>
      <c r="H4576" s="142">
        <f>IFERROR(VLOOKUP($C4576,$C$5:$H$18,6,0)+SUMIF($C$19:$C4576,$C4576,$F$19:$F4576)-SUMIF($C$19:$C4576,$C4576,$G$19:$G4576),"")</f>
        <v>81211.819999998</v>
      </c>
      <c r="I4576" s="147"/>
      <c r="J4576" s="147"/>
      <c r="K4576" s="147" t="str">
        <f t="shared" si="71"/>
        <v/>
      </c>
      <c r="L4576" s="40"/>
      <c r="M4576"/>
      <c r="N4576"/>
      <c r="O4576"/>
      <c r="P4576"/>
      <c r="Q4576"/>
      <c r="R4576"/>
      <c r="S4576"/>
      <c r="T4576"/>
      <c r="U4576"/>
      <c r="V4576"/>
      <c r="W4576" s="41"/>
      <c r="X4576" s="41"/>
      <c r="Y4576" s="41"/>
    </row>
    <row r="4577" s="27" customFormat="1" ht="23" hidden="1" customHeight="1" spans="1:25">
      <c r="A4577" s="133" t="str">
        <f>IF(B4577="","",COUNTA($B$5:B4577))</f>
        <v/>
      </c>
      <c r="B4577" s="148"/>
      <c r="C4577" s="22" t="s">
        <v>49</v>
      </c>
      <c r="D4577" s="149"/>
      <c r="E4577" s="150"/>
      <c r="F4577" s="151"/>
      <c r="G4577" s="151"/>
      <c r="H4577" s="142">
        <f>IFERROR(VLOOKUP($C4577,$C$5:$H$18,6,0)+SUMIF($C$19:$C4577,$C4577,$F$19:$F4577)-SUMIF($C$19:$C4577,$C4577,$G$19:$G4577),"")</f>
        <v>81211.819999998</v>
      </c>
      <c r="I4577" s="147"/>
      <c r="J4577" s="147"/>
      <c r="K4577" s="147" t="str">
        <f t="shared" si="71"/>
        <v/>
      </c>
      <c r="L4577" s="40"/>
      <c r="M4577"/>
      <c r="N4577"/>
      <c r="O4577"/>
      <c r="P4577"/>
      <c r="Q4577"/>
      <c r="R4577"/>
      <c r="S4577"/>
      <c r="T4577"/>
      <c r="U4577"/>
      <c r="V4577"/>
      <c r="W4577" s="41"/>
      <c r="X4577" s="41"/>
      <c r="Y4577" s="41"/>
    </row>
    <row r="4578" s="27" customFormat="1" ht="23" hidden="1" customHeight="1" spans="1:25">
      <c r="A4578" s="133" t="str">
        <f>IF(B4578="","",COUNTA($B$5:B4578))</f>
        <v/>
      </c>
      <c r="B4578" s="148"/>
      <c r="C4578" s="22" t="s">
        <v>49</v>
      </c>
      <c r="D4578" s="149"/>
      <c r="E4578" s="150"/>
      <c r="F4578" s="151"/>
      <c r="G4578" s="151"/>
      <c r="H4578" s="142">
        <f>IFERROR(VLOOKUP($C4578,$C$5:$H$18,6,0)+SUMIF($C$19:$C4578,$C4578,$F$19:$F4578)-SUMIF($C$19:$C4578,$C4578,$G$19:$G4578),"")</f>
        <v>81211.819999998</v>
      </c>
      <c r="I4578" s="147"/>
      <c r="J4578" s="147"/>
      <c r="K4578" s="147" t="str">
        <f t="shared" si="71"/>
        <v/>
      </c>
      <c r="L4578" s="40"/>
      <c r="M4578"/>
      <c r="N4578"/>
      <c r="O4578"/>
      <c r="P4578"/>
      <c r="Q4578"/>
      <c r="R4578"/>
      <c r="S4578"/>
      <c r="T4578"/>
      <c r="U4578"/>
      <c r="V4578"/>
      <c r="W4578" s="41"/>
      <c r="X4578" s="41"/>
      <c r="Y4578" s="41"/>
    </row>
    <row r="4579" s="27" customFormat="1" ht="23" hidden="1" customHeight="1" spans="1:25">
      <c r="A4579" s="133" t="str">
        <f>IF(B4579="","",COUNTA($B$5:B4579))</f>
        <v/>
      </c>
      <c r="B4579" s="148"/>
      <c r="C4579" s="22" t="s">
        <v>49</v>
      </c>
      <c r="D4579" s="149"/>
      <c r="E4579" s="150"/>
      <c r="F4579" s="151"/>
      <c r="G4579" s="151"/>
      <c r="H4579" s="142">
        <f>IFERROR(VLOOKUP($C4579,$C$5:$H$18,6,0)+SUMIF($C$19:$C4579,$C4579,$F$19:$F4579)-SUMIF($C$19:$C4579,$C4579,$G$19:$G4579),"")</f>
        <v>81211.819999998</v>
      </c>
      <c r="I4579" s="147"/>
      <c r="J4579" s="147"/>
      <c r="K4579" s="147" t="str">
        <f t="shared" si="71"/>
        <v/>
      </c>
      <c r="L4579" s="40"/>
      <c r="M4579"/>
      <c r="N4579"/>
      <c r="O4579"/>
      <c r="P4579"/>
      <c r="Q4579"/>
      <c r="R4579"/>
      <c r="S4579"/>
      <c r="T4579"/>
      <c r="U4579"/>
      <c r="V4579"/>
      <c r="W4579" s="41"/>
      <c r="X4579" s="41"/>
      <c r="Y4579" s="41"/>
    </row>
    <row r="4580" s="27" customFormat="1" ht="23" hidden="1" customHeight="1" spans="1:25">
      <c r="A4580" s="133" t="str">
        <f>IF(B4580="","",COUNTA($B$5:B4580))</f>
        <v/>
      </c>
      <c r="B4580" s="148"/>
      <c r="C4580" s="22" t="s">
        <v>49</v>
      </c>
      <c r="D4580" s="149"/>
      <c r="E4580" s="150"/>
      <c r="F4580" s="151"/>
      <c r="G4580" s="151"/>
      <c r="H4580" s="142">
        <f>IFERROR(VLOOKUP($C4580,$C$5:$H$18,6,0)+SUMIF($C$19:$C4580,$C4580,$F$19:$F4580)-SUMIF($C$19:$C4580,$C4580,$G$19:$G4580),"")</f>
        <v>81211.819999998</v>
      </c>
      <c r="I4580" s="147"/>
      <c r="J4580" s="147"/>
      <c r="K4580" s="147" t="str">
        <f t="shared" si="71"/>
        <v/>
      </c>
      <c r="L4580" s="40"/>
      <c r="M4580"/>
      <c r="N4580"/>
      <c r="O4580"/>
      <c r="P4580"/>
      <c r="Q4580"/>
      <c r="R4580"/>
      <c r="S4580"/>
      <c r="T4580"/>
      <c r="U4580"/>
      <c r="V4580"/>
      <c r="W4580" s="41"/>
      <c r="X4580" s="41"/>
      <c r="Y4580" s="41"/>
    </row>
    <row r="4581" s="27" customFormat="1" ht="23" hidden="1" customHeight="1" spans="1:25">
      <c r="A4581" s="133" t="str">
        <f>IF(B4581="","",COUNTA($B$5:B4581))</f>
        <v/>
      </c>
      <c r="B4581" s="148"/>
      <c r="C4581" s="22" t="s">
        <v>49</v>
      </c>
      <c r="D4581" s="149"/>
      <c r="E4581" s="150"/>
      <c r="F4581" s="151"/>
      <c r="G4581" s="151"/>
      <c r="H4581" s="142">
        <f>IFERROR(VLOOKUP($C4581,$C$5:$H$18,6,0)+SUMIF($C$19:$C4581,$C4581,$F$19:$F4581)-SUMIF($C$19:$C4581,$C4581,$G$19:$G4581),"")</f>
        <v>81211.819999998</v>
      </c>
      <c r="I4581" s="147"/>
      <c r="J4581" s="147"/>
      <c r="K4581" s="147" t="str">
        <f t="shared" si="71"/>
        <v/>
      </c>
      <c r="L4581" s="40"/>
      <c r="M4581"/>
      <c r="N4581"/>
      <c r="O4581"/>
      <c r="P4581"/>
      <c r="Q4581"/>
      <c r="R4581"/>
      <c r="S4581"/>
      <c r="T4581"/>
      <c r="U4581"/>
      <c r="V4581"/>
      <c r="W4581" s="41"/>
      <c r="X4581" s="41"/>
      <c r="Y4581" s="41"/>
    </row>
    <row r="4582" s="27" customFormat="1" ht="23" hidden="1" customHeight="1" spans="1:25">
      <c r="A4582" s="133" t="str">
        <f>IF(B4582="","",COUNTA($B$5:B4582))</f>
        <v/>
      </c>
      <c r="B4582" s="148"/>
      <c r="C4582" s="22" t="s">
        <v>49</v>
      </c>
      <c r="D4582" s="149"/>
      <c r="E4582" s="150"/>
      <c r="F4582" s="151"/>
      <c r="G4582" s="151"/>
      <c r="H4582" s="142">
        <f>IFERROR(VLOOKUP($C4582,$C$5:$H$18,6,0)+SUMIF($C$19:$C4582,$C4582,$F$19:$F4582)-SUMIF($C$19:$C4582,$C4582,$G$19:$G4582),"")</f>
        <v>81211.819999998</v>
      </c>
      <c r="I4582" s="147"/>
      <c r="J4582" s="147"/>
      <c r="K4582" s="147" t="str">
        <f t="shared" si="71"/>
        <v/>
      </c>
      <c r="L4582" s="40"/>
      <c r="M4582"/>
      <c r="N4582"/>
      <c r="O4582"/>
      <c r="P4582"/>
      <c r="Q4582"/>
      <c r="R4582"/>
      <c r="S4582"/>
      <c r="T4582"/>
      <c r="U4582"/>
      <c r="V4582"/>
      <c r="W4582" s="41"/>
      <c r="X4582" s="41"/>
      <c r="Y4582" s="41"/>
    </row>
    <row r="4583" s="27" customFormat="1" ht="23" hidden="1" customHeight="1" spans="1:25">
      <c r="A4583" s="133" t="str">
        <f>IF(B4583="","",COUNTA($B$5:B4583))</f>
        <v/>
      </c>
      <c r="B4583" s="148"/>
      <c r="C4583" s="22" t="s">
        <v>49</v>
      </c>
      <c r="D4583" s="149"/>
      <c r="E4583" s="150"/>
      <c r="F4583" s="151"/>
      <c r="G4583" s="151"/>
      <c r="H4583" s="142">
        <f>IFERROR(VLOOKUP($C4583,$C$5:$H$18,6,0)+SUMIF($C$19:$C4583,$C4583,$F$19:$F4583)-SUMIF($C$19:$C4583,$C4583,$G$19:$G4583),"")</f>
        <v>81211.819999998</v>
      </c>
      <c r="I4583" s="147"/>
      <c r="J4583" s="147"/>
      <c r="K4583" s="147" t="str">
        <f t="shared" si="71"/>
        <v/>
      </c>
      <c r="L4583" s="40"/>
      <c r="M4583"/>
      <c r="N4583"/>
      <c r="O4583"/>
      <c r="P4583"/>
      <c r="Q4583"/>
      <c r="R4583"/>
      <c r="S4583"/>
      <c r="T4583"/>
      <c r="U4583"/>
      <c r="V4583"/>
      <c r="W4583" s="41"/>
      <c r="X4583" s="41"/>
      <c r="Y4583" s="41"/>
    </row>
    <row r="4584" s="27" customFormat="1" ht="23" hidden="1" customHeight="1" spans="1:25">
      <c r="A4584" s="133" t="str">
        <f>IF(B4584="","",COUNTA($B$5:B4584))</f>
        <v/>
      </c>
      <c r="B4584" s="148"/>
      <c r="C4584" s="22" t="s">
        <v>49</v>
      </c>
      <c r="D4584" s="149"/>
      <c r="E4584" s="150"/>
      <c r="F4584" s="151"/>
      <c r="G4584" s="151"/>
      <c r="H4584" s="142">
        <f>IFERROR(VLOOKUP($C4584,$C$5:$H$18,6,0)+SUMIF($C$19:$C4584,$C4584,$F$19:$F4584)-SUMIF($C$19:$C4584,$C4584,$G$19:$G4584),"")</f>
        <v>81211.819999998</v>
      </c>
      <c r="I4584" s="147"/>
      <c r="J4584" s="147"/>
      <c r="K4584" s="147" t="str">
        <f t="shared" si="71"/>
        <v/>
      </c>
      <c r="L4584" s="40"/>
      <c r="M4584"/>
      <c r="N4584"/>
      <c r="O4584"/>
      <c r="P4584"/>
      <c r="Q4584"/>
      <c r="R4584"/>
      <c r="S4584"/>
      <c r="T4584"/>
      <c r="U4584"/>
      <c r="V4584"/>
      <c r="W4584" s="41"/>
      <c r="X4584" s="41"/>
      <c r="Y4584" s="41"/>
    </row>
    <row r="4585" s="27" customFormat="1" ht="23" hidden="1" customHeight="1" spans="1:25">
      <c r="A4585" s="133" t="str">
        <f>IF(B4585="","",COUNTA($B$5:B4585))</f>
        <v/>
      </c>
      <c r="B4585" s="148"/>
      <c r="C4585" s="22" t="s">
        <v>49</v>
      </c>
      <c r="D4585" s="149"/>
      <c r="E4585" s="150"/>
      <c r="F4585" s="151"/>
      <c r="G4585" s="151"/>
      <c r="H4585" s="142">
        <f>IFERROR(VLOOKUP($C4585,$C$5:$H$18,6,0)+SUMIF($C$19:$C4585,$C4585,$F$19:$F4585)-SUMIF($C$19:$C4585,$C4585,$G$19:$G4585),"")</f>
        <v>81211.819999998</v>
      </c>
      <c r="I4585" s="147"/>
      <c r="J4585" s="147"/>
      <c r="K4585" s="147" t="str">
        <f t="shared" si="71"/>
        <v/>
      </c>
      <c r="L4585" s="40"/>
      <c r="M4585"/>
      <c r="N4585"/>
      <c r="O4585"/>
      <c r="P4585"/>
      <c r="Q4585"/>
      <c r="R4585"/>
      <c r="S4585"/>
      <c r="T4585"/>
      <c r="U4585"/>
      <c r="V4585"/>
      <c r="W4585" s="41"/>
      <c r="X4585" s="41"/>
      <c r="Y4585" s="41"/>
    </row>
    <row r="4586" s="27" customFormat="1" ht="23" hidden="1" customHeight="1" spans="1:25">
      <c r="A4586" s="133" t="str">
        <f>IF(B4586="","",COUNTA($B$5:B4586))</f>
        <v/>
      </c>
      <c r="B4586" s="148"/>
      <c r="C4586" s="22" t="s">
        <v>49</v>
      </c>
      <c r="D4586" s="149"/>
      <c r="E4586" s="150"/>
      <c r="F4586" s="151"/>
      <c r="G4586" s="151"/>
      <c r="H4586" s="142">
        <f>IFERROR(VLOOKUP($C4586,$C$5:$H$18,6,0)+SUMIF($C$19:$C4586,$C4586,$F$19:$F4586)-SUMIF($C$19:$C4586,$C4586,$G$19:$G4586),"")</f>
        <v>81211.819999998</v>
      </c>
      <c r="I4586" s="147"/>
      <c r="J4586" s="147"/>
      <c r="K4586" s="147" t="str">
        <f t="shared" si="71"/>
        <v/>
      </c>
      <c r="L4586" s="40"/>
      <c r="M4586"/>
      <c r="N4586"/>
      <c r="O4586"/>
      <c r="P4586"/>
      <c r="Q4586"/>
      <c r="R4586"/>
      <c r="S4586"/>
      <c r="T4586"/>
      <c r="U4586"/>
      <c r="V4586"/>
      <c r="W4586" s="41"/>
      <c r="X4586" s="41"/>
      <c r="Y4586" s="41"/>
    </row>
    <row r="4587" s="27" customFormat="1" ht="23" hidden="1" customHeight="1" spans="1:25">
      <c r="A4587" s="133" t="str">
        <f>IF(B4587="","",COUNTA($B$5:B4587))</f>
        <v/>
      </c>
      <c r="B4587" s="148"/>
      <c r="C4587" s="22" t="s">
        <v>49</v>
      </c>
      <c r="D4587" s="149"/>
      <c r="E4587" s="150"/>
      <c r="F4587" s="151"/>
      <c r="G4587" s="151"/>
      <c r="H4587" s="142">
        <f>IFERROR(VLOOKUP($C4587,$C$5:$H$18,6,0)+SUMIF($C$19:$C4587,$C4587,$F$19:$F4587)-SUMIF($C$19:$C4587,$C4587,$G$19:$G4587),"")</f>
        <v>81211.819999998</v>
      </c>
      <c r="I4587" s="147"/>
      <c r="J4587" s="147"/>
      <c r="K4587" s="147" t="str">
        <f t="shared" si="71"/>
        <v/>
      </c>
      <c r="L4587" s="40"/>
      <c r="M4587"/>
      <c r="N4587"/>
      <c r="O4587"/>
      <c r="P4587"/>
      <c r="Q4587"/>
      <c r="R4587"/>
      <c r="S4587"/>
      <c r="T4587"/>
      <c r="U4587"/>
      <c r="V4587"/>
      <c r="W4587" s="41"/>
      <c r="X4587" s="41"/>
      <c r="Y4587" s="41"/>
    </row>
    <row r="4588" s="27" customFormat="1" ht="23" hidden="1" customHeight="1" spans="1:25">
      <c r="A4588" s="133" t="str">
        <f>IF(B4588="","",COUNTA($B$5:B4588))</f>
        <v/>
      </c>
      <c r="B4588" s="148"/>
      <c r="C4588" s="22" t="s">
        <v>49</v>
      </c>
      <c r="D4588" s="149"/>
      <c r="E4588" s="150"/>
      <c r="F4588" s="151"/>
      <c r="G4588" s="151"/>
      <c r="H4588" s="142">
        <f>IFERROR(VLOOKUP($C4588,$C$5:$H$18,6,0)+SUMIF($C$19:$C4588,$C4588,$F$19:$F4588)-SUMIF($C$19:$C4588,$C4588,$G$19:$G4588),"")</f>
        <v>81211.819999998</v>
      </c>
      <c r="I4588" s="147"/>
      <c r="J4588" s="147"/>
      <c r="K4588" s="147" t="str">
        <f t="shared" si="71"/>
        <v/>
      </c>
      <c r="L4588" s="40"/>
      <c r="M4588"/>
      <c r="N4588"/>
      <c r="O4588"/>
      <c r="P4588"/>
      <c r="Q4588"/>
      <c r="R4588"/>
      <c r="S4588"/>
      <c r="T4588"/>
      <c r="U4588"/>
      <c r="V4588"/>
      <c r="W4588" s="41"/>
      <c r="X4588" s="41"/>
      <c r="Y4588" s="41"/>
    </row>
    <row r="4589" s="27" customFormat="1" ht="23" hidden="1" customHeight="1" spans="1:25">
      <c r="A4589" s="133" t="str">
        <f>IF(B4589="","",COUNTA($B$5:B4589))</f>
        <v/>
      </c>
      <c r="B4589" s="148"/>
      <c r="C4589" s="22" t="s">
        <v>49</v>
      </c>
      <c r="D4589" s="149"/>
      <c r="E4589" s="150"/>
      <c r="F4589" s="151"/>
      <c r="G4589" s="151"/>
      <c r="H4589" s="142">
        <f>IFERROR(VLOOKUP($C4589,$C$5:$H$18,6,0)+SUMIF($C$19:$C4589,$C4589,$F$19:$F4589)-SUMIF($C$19:$C4589,$C4589,$G$19:$G4589),"")</f>
        <v>81211.819999998</v>
      </c>
      <c r="I4589" s="147"/>
      <c r="J4589" s="147"/>
      <c r="K4589" s="147" t="str">
        <f t="shared" si="71"/>
        <v/>
      </c>
      <c r="L4589" s="40"/>
      <c r="M4589"/>
      <c r="N4589"/>
      <c r="O4589"/>
      <c r="P4589"/>
      <c r="Q4589"/>
      <c r="R4589"/>
      <c r="S4589"/>
      <c r="T4589"/>
      <c r="U4589"/>
      <c r="V4589"/>
      <c r="W4589" s="41"/>
      <c r="X4589" s="41"/>
      <c r="Y4589" s="41"/>
    </row>
    <row r="4590" s="27" customFormat="1" ht="23" hidden="1" customHeight="1" spans="1:25">
      <c r="A4590" s="133" t="str">
        <f>IF(B4590="","",COUNTA($B$5:B4590))</f>
        <v/>
      </c>
      <c r="B4590" s="148"/>
      <c r="C4590" s="22" t="s">
        <v>49</v>
      </c>
      <c r="D4590" s="149"/>
      <c r="E4590" s="150"/>
      <c r="F4590" s="151"/>
      <c r="G4590" s="151"/>
      <c r="H4590" s="142">
        <f>IFERROR(VLOOKUP($C4590,$C$5:$H$18,6,0)+SUMIF($C$19:$C4590,$C4590,$F$19:$F4590)-SUMIF($C$19:$C4590,$C4590,$G$19:$G4590),"")</f>
        <v>81211.819999998</v>
      </c>
      <c r="I4590" s="147"/>
      <c r="J4590" s="147"/>
      <c r="K4590" s="147" t="str">
        <f t="shared" si="71"/>
        <v/>
      </c>
      <c r="L4590" s="40"/>
      <c r="M4590"/>
      <c r="N4590"/>
      <c r="O4590"/>
      <c r="P4590"/>
      <c r="Q4590"/>
      <c r="R4590"/>
      <c r="S4590"/>
      <c r="T4590"/>
      <c r="U4590"/>
      <c r="V4590"/>
      <c r="W4590" s="41"/>
      <c r="X4590" s="41"/>
      <c r="Y4590" s="41"/>
    </row>
    <row r="4591" s="27" customFormat="1" ht="23" hidden="1" customHeight="1" spans="1:25">
      <c r="A4591" s="133" t="str">
        <f>IF(B4591="","",COUNTA($B$5:B4591))</f>
        <v/>
      </c>
      <c r="B4591" s="148"/>
      <c r="C4591" s="22" t="s">
        <v>49</v>
      </c>
      <c r="D4591" s="149"/>
      <c r="E4591" s="150"/>
      <c r="F4591" s="151"/>
      <c r="G4591" s="151"/>
      <c r="H4591" s="142">
        <f>IFERROR(VLOOKUP($C4591,$C$5:$H$18,6,0)+SUMIF($C$19:$C4591,$C4591,$F$19:$F4591)-SUMIF($C$19:$C4591,$C4591,$G$19:$G4591),"")</f>
        <v>81211.819999998</v>
      </c>
      <c r="I4591" s="147"/>
      <c r="J4591" s="147"/>
      <c r="K4591" s="147" t="str">
        <f t="shared" si="71"/>
        <v/>
      </c>
      <c r="L4591" s="40"/>
      <c r="M4591"/>
      <c r="N4591"/>
      <c r="O4591"/>
      <c r="P4591"/>
      <c r="Q4591"/>
      <c r="R4591"/>
      <c r="S4591"/>
      <c r="T4591"/>
      <c r="U4591"/>
      <c r="V4591"/>
      <c r="W4591" s="41"/>
      <c r="X4591" s="41"/>
      <c r="Y4591" s="41"/>
    </row>
    <row r="4592" s="27" customFormat="1" ht="23" hidden="1" customHeight="1" spans="1:25">
      <c r="A4592" s="133" t="str">
        <f>IF(B4592="","",COUNTA($B$5:B4592))</f>
        <v/>
      </c>
      <c r="B4592" s="148"/>
      <c r="C4592" s="22" t="s">
        <v>49</v>
      </c>
      <c r="D4592" s="149"/>
      <c r="E4592" s="150"/>
      <c r="F4592" s="151"/>
      <c r="G4592" s="151"/>
      <c r="H4592" s="142">
        <f>IFERROR(VLOOKUP($C4592,$C$5:$H$18,6,0)+SUMIF($C$19:$C4592,$C4592,$F$19:$F4592)-SUMIF($C$19:$C4592,$C4592,$G$19:$G4592),"")</f>
        <v>81211.819999998</v>
      </c>
      <c r="I4592" s="147"/>
      <c r="J4592" s="147"/>
      <c r="K4592" s="147" t="str">
        <f t="shared" si="71"/>
        <v/>
      </c>
      <c r="L4592" s="40"/>
      <c r="M4592"/>
      <c r="N4592"/>
      <c r="O4592"/>
      <c r="P4592"/>
      <c r="Q4592"/>
      <c r="R4592"/>
      <c r="S4592"/>
      <c r="T4592"/>
      <c r="U4592"/>
      <c r="V4592"/>
      <c r="W4592" s="41"/>
      <c r="X4592" s="41"/>
      <c r="Y4592" s="41"/>
    </row>
    <row r="4593" s="27" customFormat="1" ht="23" hidden="1" customHeight="1" spans="1:25">
      <c r="A4593" s="133" t="str">
        <f>IF(B4593="","",COUNTA($B$5:B4593))</f>
        <v/>
      </c>
      <c r="B4593" s="148"/>
      <c r="C4593" s="22" t="s">
        <v>49</v>
      </c>
      <c r="D4593" s="149"/>
      <c r="E4593" s="150"/>
      <c r="F4593" s="151"/>
      <c r="G4593" s="151"/>
      <c r="H4593" s="142">
        <f>IFERROR(VLOOKUP($C4593,$C$5:$H$18,6,0)+SUMIF($C$19:$C4593,$C4593,$F$19:$F4593)-SUMIF($C$19:$C4593,$C4593,$G$19:$G4593),"")</f>
        <v>81211.819999998</v>
      </c>
      <c r="I4593" s="147"/>
      <c r="J4593" s="147"/>
      <c r="K4593" s="147" t="str">
        <f t="shared" si="71"/>
        <v/>
      </c>
      <c r="L4593" s="40"/>
      <c r="M4593"/>
      <c r="N4593"/>
      <c r="O4593"/>
      <c r="P4593"/>
      <c r="Q4593"/>
      <c r="R4593"/>
      <c r="S4593"/>
      <c r="T4593"/>
      <c r="U4593"/>
      <c r="V4593"/>
      <c r="W4593" s="41"/>
      <c r="X4593" s="41"/>
      <c r="Y4593" s="41"/>
    </row>
    <row r="4594" s="27" customFormat="1" ht="23" hidden="1" customHeight="1" spans="1:25">
      <c r="A4594" s="133" t="str">
        <f>IF(B4594="","",COUNTA($B$5:B4594))</f>
        <v/>
      </c>
      <c r="B4594" s="148"/>
      <c r="C4594" s="22" t="s">
        <v>49</v>
      </c>
      <c r="D4594" s="149"/>
      <c r="E4594" s="150"/>
      <c r="F4594" s="151"/>
      <c r="G4594" s="151"/>
      <c r="H4594" s="142">
        <f>IFERROR(VLOOKUP($C4594,$C$5:$H$18,6,0)+SUMIF($C$19:$C4594,$C4594,$F$19:$F4594)-SUMIF($C$19:$C4594,$C4594,$G$19:$G4594),"")</f>
        <v>81211.819999998</v>
      </c>
      <c r="I4594" s="147"/>
      <c r="J4594" s="147"/>
      <c r="K4594" s="147" t="str">
        <f t="shared" si="71"/>
        <v/>
      </c>
      <c r="L4594" s="40"/>
      <c r="M4594"/>
      <c r="N4594"/>
      <c r="O4594"/>
      <c r="P4594"/>
      <c r="Q4594"/>
      <c r="R4594"/>
      <c r="S4594"/>
      <c r="T4594"/>
      <c r="U4594"/>
      <c r="V4594"/>
      <c r="W4594" s="41"/>
      <c r="X4594" s="41"/>
      <c r="Y4594" s="41"/>
    </row>
    <row r="4595" s="27" customFormat="1" ht="23" hidden="1" customHeight="1" spans="1:25">
      <c r="A4595" s="133" t="str">
        <f>IF(B4595="","",COUNTA($B$5:B4595))</f>
        <v/>
      </c>
      <c r="B4595" s="148"/>
      <c r="C4595" s="22" t="s">
        <v>49</v>
      </c>
      <c r="D4595" s="149"/>
      <c r="E4595" s="150"/>
      <c r="F4595" s="151"/>
      <c r="G4595" s="151"/>
      <c r="H4595" s="142">
        <f>IFERROR(VLOOKUP($C4595,$C$5:$H$18,6,0)+SUMIF($C$19:$C4595,$C4595,$F$19:$F4595)-SUMIF($C$19:$C4595,$C4595,$G$19:$G4595),"")</f>
        <v>81211.819999998</v>
      </c>
      <c r="I4595" s="147"/>
      <c r="J4595" s="147"/>
      <c r="K4595" s="147" t="str">
        <f t="shared" si="71"/>
        <v/>
      </c>
      <c r="L4595" s="40"/>
      <c r="M4595"/>
      <c r="N4595"/>
      <c r="O4595"/>
      <c r="P4595"/>
      <c r="Q4595"/>
      <c r="R4595"/>
      <c r="S4595"/>
      <c r="T4595"/>
      <c r="U4595"/>
      <c r="V4595"/>
      <c r="W4595" s="41"/>
      <c r="X4595" s="41"/>
      <c r="Y4595" s="41"/>
    </row>
    <row r="4596" s="27" customFormat="1" ht="23" hidden="1" customHeight="1" spans="1:25">
      <c r="A4596" s="133" t="str">
        <f>IF(B4596="","",COUNTA($B$5:B4596))</f>
        <v/>
      </c>
      <c r="B4596" s="148"/>
      <c r="C4596" s="22" t="s">
        <v>49</v>
      </c>
      <c r="D4596" s="149"/>
      <c r="E4596" s="150"/>
      <c r="F4596" s="151"/>
      <c r="G4596" s="151"/>
      <c r="H4596" s="142">
        <f>IFERROR(VLOOKUP($C4596,$C$5:$H$18,6,0)+SUMIF($C$19:$C4596,$C4596,$F$19:$F4596)-SUMIF($C$19:$C4596,$C4596,$G$19:$G4596),"")</f>
        <v>81211.819999998</v>
      </c>
      <c r="I4596" s="147"/>
      <c r="J4596" s="147"/>
      <c r="K4596" s="147" t="str">
        <f t="shared" si="71"/>
        <v/>
      </c>
      <c r="L4596" s="40"/>
      <c r="M4596"/>
      <c r="N4596"/>
      <c r="O4596"/>
      <c r="P4596"/>
      <c r="Q4596"/>
      <c r="R4596"/>
      <c r="S4596"/>
      <c r="T4596"/>
      <c r="U4596"/>
      <c r="V4596"/>
      <c r="W4596" s="41"/>
      <c r="X4596" s="41"/>
      <c r="Y4596" s="41"/>
    </row>
    <row r="4597" s="27" customFormat="1" ht="23" hidden="1" customHeight="1" spans="1:25">
      <c r="A4597" s="133" t="str">
        <f>IF(B4597="","",COUNTA($B$5:B4597))</f>
        <v/>
      </c>
      <c r="B4597" s="148"/>
      <c r="C4597" s="22" t="s">
        <v>49</v>
      </c>
      <c r="D4597" s="149"/>
      <c r="E4597" s="150"/>
      <c r="F4597" s="151"/>
      <c r="G4597" s="151"/>
      <c r="H4597" s="142">
        <f>IFERROR(VLOOKUP($C4597,$C$5:$H$18,6,0)+SUMIF($C$19:$C4597,$C4597,$F$19:$F4597)-SUMIF($C$19:$C4597,$C4597,$G$19:$G4597),"")</f>
        <v>81211.819999998</v>
      </c>
      <c r="I4597" s="147"/>
      <c r="J4597" s="147"/>
      <c r="K4597" s="147" t="str">
        <f t="shared" si="71"/>
        <v/>
      </c>
      <c r="L4597" s="40"/>
      <c r="M4597"/>
      <c r="N4597"/>
      <c r="O4597"/>
      <c r="P4597"/>
      <c r="Q4597"/>
      <c r="R4597"/>
      <c r="S4597"/>
      <c r="T4597"/>
      <c r="U4597"/>
      <c r="V4597"/>
      <c r="W4597" s="41"/>
      <c r="X4597" s="41"/>
      <c r="Y4597" s="41"/>
    </row>
    <row r="4598" s="27" customFormat="1" ht="23" hidden="1" customHeight="1" spans="1:25">
      <c r="A4598" s="133" t="str">
        <f>IF(B4598="","",COUNTA($B$5:B4598))</f>
        <v/>
      </c>
      <c r="B4598" s="148"/>
      <c r="C4598" s="22" t="s">
        <v>49</v>
      </c>
      <c r="D4598" s="149"/>
      <c r="E4598" s="150"/>
      <c r="F4598" s="151"/>
      <c r="G4598" s="151"/>
      <c r="H4598" s="142">
        <f>IFERROR(VLOOKUP($C4598,$C$5:$H$18,6,0)+SUMIF($C$19:$C4598,$C4598,$F$19:$F4598)-SUMIF($C$19:$C4598,$C4598,$G$19:$G4598),"")</f>
        <v>81211.819999998</v>
      </c>
      <c r="I4598" s="147"/>
      <c r="J4598" s="147"/>
      <c r="K4598" s="147" t="str">
        <f t="shared" si="71"/>
        <v/>
      </c>
      <c r="L4598" s="40"/>
      <c r="M4598"/>
      <c r="N4598"/>
      <c r="O4598"/>
      <c r="P4598"/>
      <c r="Q4598"/>
      <c r="R4598"/>
      <c r="S4598"/>
      <c r="T4598"/>
      <c r="U4598"/>
      <c r="V4598"/>
      <c r="W4598" s="41"/>
      <c r="X4598" s="41"/>
      <c r="Y4598" s="41"/>
    </row>
    <row r="4599" s="27" customFormat="1" ht="23" hidden="1" customHeight="1" spans="1:25">
      <c r="A4599" s="133" t="str">
        <f>IF(B4599="","",COUNTA($B$5:B4599))</f>
        <v/>
      </c>
      <c r="B4599" s="148"/>
      <c r="C4599" s="22" t="s">
        <v>49</v>
      </c>
      <c r="D4599" s="149"/>
      <c r="E4599" s="150"/>
      <c r="F4599" s="151"/>
      <c r="G4599" s="151"/>
      <c r="H4599" s="142">
        <f>IFERROR(VLOOKUP($C4599,$C$5:$H$18,6,0)+SUMIF($C$19:$C4599,$C4599,$F$19:$F4599)-SUMIF($C$19:$C4599,$C4599,$G$19:$G4599),"")</f>
        <v>81211.819999998</v>
      </c>
      <c r="I4599" s="147"/>
      <c r="J4599" s="147"/>
      <c r="K4599" s="147" t="str">
        <f t="shared" si="71"/>
        <v/>
      </c>
      <c r="L4599" s="40"/>
      <c r="M4599"/>
      <c r="N4599"/>
      <c r="O4599"/>
      <c r="P4599"/>
      <c r="Q4599"/>
      <c r="R4599"/>
      <c r="S4599"/>
      <c r="T4599"/>
      <c r="U4599"/>
      <c r="V4599"/>
      <c r="W4599" s="41"/>
      <c r="X4599" s="41"/>
      <c r="Y4599" s="41"/>
    </row>
    <row r="4600" s="27" customFormat="1" ht="23" hidden="1" customHeight="1" spans="1:25">
      <c r="A4600" s="133" t="str">
        <f>IF(B4600="","",COUNTA($B$5:B4600))</f>
        <v/>
      </c>
      <c r="B4600" s="148"/>
      <c r="C4600" s="22" t="s">
        <v>49</v>
      </c>
      <c r="D4600" s="149"/>
      <c r="E4600" s="150"/>
      <c r="F4600" s="151"/>
      <c r="G4600" s="151"/>
      <c r="H4600" s="142">
        <f>IFERROR(VLOOKUP($C4600,$C$5:$H$18,6,0)+SUMIF($C$19:$C4600,$C4600,$F$19:$F4600)-SUMIF($C$19:$C4600,$C4600,$G$19:$G4600),"")</f>
        <v>81211.819999998</v>
      </c>
      <c r="I4600" s="147"/>
      <c r="J4600" s="147"/>
      <c r="K4600" s="147" t="str">
        <f t="shared" si="71"/>
        <v/>
      </c>
      <c r="L4600" s="40"/>
      <c r="M4600"/>
      <c r="N4600"/>
      <c r="O4600"/>
      <c r="P4600"/>
      <c r="Q4600"/>
      <c r="R4600"/>
      <c r="S4600"/>
      <c r="T4600"/>
      <c r="U4600"/>
      <c r="V4600"/>
      <c r="W4600" s="41"/>
      <c r="X4600" s="41"/>
      <c r="Y4600" s="41"/>
    </row>
    <row r="4601" s="27" customFormat="1" ht="23" hidden="1" customHeight="1" spans="1:25">
      <c r="A4601" s="133" t="str">
        <f>IF(B4601="","",COUNTA($B$5:B4601))</f>
        <v/>
      </c>
      <c r="B4601" s="148"/>
      <c r="C4601" s="22" t="s">
        <v>49</v>
      </c>
      <c r="D4601" s="149"/>
      <c r="E4601" s="150"/>
      <c r="F4601" s="151"/>
      <c r="G4601" s="151"/>
      <c r="H4601" s="142">
        <f>IFERROR(VLOOKUP($C4601,$C$5:$H$18,6,0)+SUMIF($C$19:$C4601,$C4601,$F$19:$F4601)-SUMIF($C$19:$C4601,$C4601,$G$19:$G4601),"")</f>
        <v>81211.819999998</v>
      </c>
      <c r="I4601" s="147"/>
      <c r="J4601" s="147"/>
      <c r="K4601" s="147" t="str">
        <f t="shared" si="71"/>
        <v/>
      </c>
      <c r="L4601" s="40"/>
      <c r="M4601"/>
      <c r="N4601"/>
      <c r="O4601"/>
      <c r="P4601"/>
      <c r="Q4601"/>
      <c r="R4601"/>
      <c r="S4601"/>
      <c r="T4601"/>
      <c r="U4601"/>
      <c r="V4601"/>
      <c r="W4601" s="41"/>
      <c r="X4601" s="41"/>
      <c r="Y4601" s="41"/>
    </row>
    <row r="4602" s="27" customFormat="1" ht="23" hidden="1" customHeight="1" spans="1:25">
      <c r="A4602" s="133" t="str">
        <f>IF(B4602="","",COUNTA($B$5:B4602))</f>
        <v/>
      </c>
      <c r="B4602" s="148"/>
      <c r="C4602" s="22" t="s">
        <v>49</v>
      </c>
      <c r="D4602" s="149"/>
      <c r="E4602" s="150"/>
      <c r="F4602" s="151"/>
      <c r="G4602" s="151"/>
      <c r="H4602" s="142">
        <f>IFERROR(VLOOKUP($C4602,$C$5:$H$18,6,0)+SUMIF($C$19:$C4602,$C4602,$F$19:$F4602)-SUMIF($C$19:$C4602,$C4602,$G$19:$G4602),"")</f>
        <v>81211.819999998</v>
      </c>
      <c r="I4602" s="147"/>
      <c r="J4602" s="147"/>
      <c r="K4602" s="147" t="str">
        <f t="shared" si="71"/>
        <v/>
      </c>
      <c r="L4602" s="40"/>
      <c r="M4602"/>
      <c r="N4602"/>
      <c r="O4602"/>
      <c r="P4602"/>
      <c r="Q4602"/>
      <c r="R4602"/>
      <c r="S4602"/>
      <c r="T4602"/>
      <c r="U4602"/>
      <c r="V4602"/>
      <c r="W4602" s="41"/>
      <c r="X4602" s="41"/>
      <c r="Y4602" s="41"/>
    </row>
    <row r="4603" s="27" customFormat="1" ht="23" hidden="1" customHeight="1" spans="1:25">
      <c r="A4603" s="133" t="str">
        <f>IF(B4603="","",COUNTA($B$5:B4603))</f>
        <v/>
      </c>
      <c r="B4603" s="148"/>
      <c r="C4603" s="22" t="s">
        <v>49</v>
      </c>
      <c r="D4603" s="149"/>
      <c r="E4603" s="150"/>
      <c r="F4603" s="151"/>
      <c r="G4603" s="151"/>
      <c r="H4603" s="142">
        <f>IFERROR(VLOOKUP($C4603,$C$5:$H$18,6,0)+SUMIF($C$19:$C4603,$C4603,$F$19:$F4603)-SUMIF($C$19:$C4603,$C4603,$G$19:$G4603),"")</f>
        <v>81211.819999998</v>
      </c>
      <c r="I4603" s="147"/>
      <c r="J4603" s="147"/>
      <c r="K4603" s="147" t="str">
        <f t="shared" si="71"/>
        <v/>
      </c>
      <c r="L4603" s="40"/>
      <c r="M4603"/>
      <c r="N4603"/>
      <c r="O4603"/>
      <c r="P4603"/>
      <c r="Q4603"/>
      <c r="R4603"/>
      <c r="S4603"/>
      <c r="T4603"/>
      <c r="U4603"/>
      <c r="V4603"/>
      <c r="W4603" s="41"/>
      <c r="X4603" s="41"/>
      <c r="Y4603" s="41"/>
    </row>
    <row r="4604" s="27" customFormat="1" ht="23" hidden="1" customHeight="1" spans="1:25">
      <c r="A4604" s="133" t="str">
        <f>IF(B4604="","",COUNTA($B$5:B4604))</f>
        <v/>
      </c>
      <c r="B4604" s="148"/>
      <c r="C4604" s="22" t="s">
        <v>49</v>
      </c>
      <c r="D4604" s="149"/>
      <c r="E4604" s="150"/>
      <c r="F4604" s="151"/>
      <c r="G4604" s="151"/>
      <c r="H4604" s="142">
        <f>IFERROR(VLOOKUP($C4604,$C$5:$H$18,6,0)+SUMIF($C$19:$C4604,$C4604,$F$19:$F4604)-SUMIF($C$19:$C4604,$C4604,$G$19:$G4604),"")</f>
        <v>81211.819999998</v>
      </c>
      <c r="I4604" s="147"/>
      <c r="J4604" s="147"/>
      <c r="K4604" s="147" t="str">
        <f t="shared" si="71"/>
        <v/>
      </c>
      <c r="L4604" s="40"/>
      <c r="M4604"/>
      <c r="N4604"/>
      <c r="O4604"/>
      <c r="P4604"/>
      <c r="Q4604"/>
      <c r="R4604"/>
      <c r="S4604"/>
      <c r="T4604"/>
      <c r="U4604"/>
      <c r="V4604"/>
      <c r="W4604" s="41"/>
      <c r="X4604" s="41"/>
      <c r="Y4604" s="41"/>
    </row>
    <row r="4605" s="27" customFormat="1" ht="23" hidden="1" customHeight="1" spans="1:25">
      <c r="A4605" s="133" t="str">
        <f>IF(B4605="","",COUNTA($B$5:B4605))</f>
        <v/>
      </c>
      <c r="B4605" s="148"/>
      <c r="C4605" s="22" t="s">
        <v>49</v>
      </c>
      <c r="D4605" s="149"/>
      <c r="E4605" s="150"/>
      <c r="F4605" s="151"/>
      <c r="G4605" s="151"/>
      <c r="H4605" s="142">
        <f>IFERROR(VLOOKUP($C4605,$C$5:$H$18,6,0)+SUMIF($C$19:$C4605,$C4605,$F$19:$F4605)-SUMIF($C$19:$C4605,$C4605,$G$19:$G4605),"")</f>
        <v>81211.819999998</v>
      </c>
      <c r="I4605" s="147"/>
      <c r="J4605" s="147"/>
      <c r="K4605" s="147" t="str">
        <f t="shared" si="71"/>
        <v/>
      </c>
      <c r="L4605" s="40"/>
      <c r="M4605"/>
      <c r="N4605"/>
      <c r="O4605"/>
      <c r="P4605"/>
      <c r="Q4605"/>
      <c r="R4605"/>
      <c r="S4605"/>
      <c r="T4605"/>
      <c r="U4605"/>
      <c r="V4605"/>
      <c r="W4605" s="41"/>
      <c r="X4605" s="41"/>
      <c r="Y4605" s="41"/>
    </row>
    <row r="4606" s="27" customFormat="1" ht="23" hidden="1" customHeight="1" spans="1:25">
      <c r="A4606" s="133" t="str">
        <f>IF(B4606="","",COUNTA($B$5:B4606))</f>
        <v/>
      </c>
      <c r="B4606" s="148"/>
      <c r="C4606" s="22" t="s">
        <v>49</v>
      </c>
      <c r="D4606" s="149"/>
      <c r="E4606" s="150"/>
      <c r="F4606" s="151"/>
      <c r="G4606" s="151"/>
      <c r="H4606" s="142">
        <f>IFERROR(VLOOKUP($C4606,$C$5:$H$18,6,0)+SUMIF($C$19:$C4606,$C4606,$F$19:$F4606)-SUMIF($C$19:$C4606,$C4606,$G$19:$G4606),"")</f>
        <v>81211.819999998</v>
      </c>
      <c r="I4606" s="147"/>
      <c r="J4606" s="147"/>
      <c r="K4606" s="147" t="str">
        <f t="shared" si="71"/>
        <v/>
      </c>
      <c r="L4606" s="40"/>
      <c r="M4606"/>
      <c r="N4606"/>
      <c r="O4606"/>
      <c r="P4606"/>
      <c r="Q4606"/>
      <c r="R4606"/>
      <c r="S4606"/>
      <c r="T4606"/>
      <c r="U4606"/>
      <c r="V4606"/>
      <c r="W4606" s="41"/>
      <c r="X4606" s="41"/>
      <c r="Y4606" s="41"/>
    </row>
    <row r="4607" s="27" customFormat="1" ht="23" hidden="1" customHeight="1" spans="1:25">
      <c r="A4607" s="133" t="str">
        <f>IF(B4607="","",COUNTA($B$5:B4607))</f>
        <v/>
      </c>
      <c r="B4607" s="148"/>
      <c r="C4607" s="22" t="s">
        <v>49</v>
      </c>
      <c r="D4607" s="149"/>
      <c r="E4607" s="150"/>
      <c r="F4607" s="151"/>
      <c r="G4607" s="151"/>
      <c r="H4607" s="142">
        <f>IFERROR(VLOOKUP($C4607,$C$5:$H$18,6,0)+SUMIF($C$19:$C4607,$C4607,$F$19:$F4607)-SUMIF($C$19:$C4607,$C4607,$G$19:$G4607),"")</f>
        <v>81211.819999998</v>
      </c>
      <c r="I4607" s="147"/>
      <c r="J4607" s="147"/>
      <c r="K4607" s="147" t="str">
        <f t="shared" si="71"/>
        <v/>
      </c>
      <c r="L4607" s="40"/>
      <c r="M4607"/>
      <c r="N4607"/>
      <c r="O4607"/>
      <c r="P4607"/>
      <c r="Q4607"/>
      <c r="R4607"/>
      <c r="S4607"/>
      <c r="T4607"/>
      <c r="U4607"/>
      <c r="V4607"/>
      <c r="W4607" s="41"/>
      <c r="X4607" s="41"/>
      <c r="Y4607" s="41"/>
    </row>
    <row r="4608" s="27" customFormat="1" ht="23" hidden="1" customHeight="1" spans="1:25">
      <c r="A4608" s="133" t="str">
        <f>IF(B4608="","",COUNTA($B$5:B4608))</f>
        <v/>
      </c>
      <c r="B4608" s="148"/>
      <c r="C4608" s="22" t="s">
        <v>49</v>
      </c>
      <c r="D4608" s="149"/>
      <c r="E4608" s="150"/>
      <c r="F4608" s="151"/>
      <c r="G4608" s="151"/>
      <c r="H4608" s="142">
        <f>IFERROR(VLOOKUP($C4608,$C$5:$H$18,6,0)+SUMIF($C$19:$C4608,$C4608,$F$19:$F4608)-SUMIF($C$19:$C4608,$C4608,$G$19:$G4608),"")</f>
        <v>81211.819999998</v>
      </c>
      <c r="I4608" s="147"/>
      <c r="J4608" s="147"/>
      <c r="K4608" s="147" t="str">
        <f t="shared" si="71"/>
        <v/>
      </c>
      <c r="L4608" s="40"/>
      <c r="M4608"/>
      <c r="N4608"/>
      <c r="O4608"/>
      <c r="P4608"/>
      <c r="Q4608"/>
      <c r="R4608"/>
      <c r="S4608"/>
      <c r="T4608"/>
      <c r="U4608"/>
      <c r="V4608"/>
      <c r="W4608" s="41"/>
      <c r="X4608" s="41"/>
      <c r="Y4608" s="41"/>
    </row>
    <row r="4609" s="27" customFormat="1" ht="23" hidden="1" customHeight="1" spans="1:25">
      <c r="A4609" s="133" t="str">
        <f>IF(B4609="","",COUNTA($B$5:B4609))</f>
        <v/>
      </c>
      <c r="B4609" s="148"/>
      <c r="C4609" s="22" t="s">
        <v>49</v>
      </c>
      <c r="D4609" s="149"/>
      <c r="E4609" s="150"/>
      <c r="F4609" s="151"/>
      <c r="G4609" s="151"/>
      <c r="H4609" s="142">
        <f>IFERROR(VLOOKUP($C4609,$C$5:$H$18,6,0)+SUMIF($C$19:$C4609,$C4609,$F$19:$F4609)-SUMIF($C$19:$C4609,$C4609,$G$19:$G4609),"")</f>
        <v>81211.819999998</v>
      </c>
      <c r="I4609" s="147"/>
      <c r="J4609" s="147"/>
      <c r="K4609" s="147" t="str">
        <f t="shared" si="71"/>
        <v/>
      </c>
      <c r="L4609" s="40"/>
      <c r="M4609"/>
      <c r="N4609"/>
      <c r="O4609"/>
      <c r="P4609"/>
      <c r="Q4609"/>
      <c r="R4609"/>
      <c r="S4609"/>
      <c r="T4609"/>
      <c r="U4609"/>
      <c r="V4609"/>
      <c r="W4609" s="41"/>
      <c r="X4609" s="41"/>
      <c r="Y4609" s="41"/>
    </row>
    <row r="4610" s="27" customFormat="1" ht="23" hidden="1" customHeight="1" spans="1:25">
      <c r="A4610" s="133" t="str">
        <f>IF(B4610="","",COUNTA($B$5:B4610))</f>
        <v/>
      </c>
      <c r="B4610" s="148"/>
      <c r="C4610" s="22" t="s">
        <v>49</v>
      </c>
      <c r="D4610" s="149"/>
      <c r="E4610" s="150"/>
      <c r="F4610" s="151"/>
      <c r="G4610" s="151"/>
      <c r="H4610" s="142">
        <f>IFERROR(VLOOKUP($C4610,$C$5:$H$18,6,0)+SUMIF($C$19:$C4610,$C4610,$F$19:$F4610)-SUMIF($C$19:$C4610,$C4610,$G$19:$G4610),"")</f>
        <v>81211.819999998</v>
      </c>
      <c r="I4610" s="147"/>
      <c r="J4610" s="147"/>
      <c r="K4610" s="147" t="str">
        <f t="shared" si="71"/>
        <v/>
      </c>
      <c r="L4610" s="40"/>
      <c r="M4610"/>
      <c r="N4610"/>
      <c r="O4610"/>
      <c r="P4610"/>
      <c r="Q4610"/>
      <c r="R4610"/>
      <c r="S4610"/>
      <c r="T4610"/>
      <c r="U4610"/>
      <c r="V4610"/>
      <c r="W4610" s="41"/>
      <c r="X4610" s="41"/>
      <c r="Y4610" s="41"/>
    </row>
    <row r="4611" s="27" customFormat="1" ht="23" hidden="1" customHeight="1" spans="1:25">
      <c r="A4611" s="133" t="str">
        <f>IF(B4611="","",COUNTA($B$5:B4611))</f>
        <v/>
      </c>
      <c r="B4611" s="148"/>
      <c r="C4611" s="22" t="s">
        <v>49</v>
      </c>
      <c r="D4611" s="149"/>
      <c r="E4611" s="150"/>
      <c r="F4611" s="151"/>
      <c r="G4611" s="151"/>
      <c r="H4611" s="142">
        <f>IFERROR(VLOOKUP($C4611,$C$5:$H$18,6,0)+SUMIF($C$19:$C4611,$C4611,$F$19:$F4611)-SUMIF($C$19:$C4611,$C4611,$G$19:$G4611),"")</f>
        <v>81211.819999998</v>
      </c>
      <c r="I4611" s="147"/>
      <c r="J4611" s="147"/>
      <c r="K4611" s="147" t="str">
        <f t="shared" si="71"/>
        <v/>
      </c>
      <c r="L4611" s="40"/>
      <c r="M4611"/>
      <c r="N4611"/>
      <c r="O4611"/>
      <c r="P4611"/>
      <c r="Q4611"/>
      <c r="R4611"/>
      <c r="S4611"/>
      <c r="T4611"/>
      <c r="U4611"/>
      <c r="V4611"/>
      <c r="W4611" s="41"/>
      <c r="X4611" s="41"/>
      <c r="Y4611" s="41"/>
    </row>
    <row r="4612" s="27" customFormat="1" ht="23" hidden="1" customHeight="1" spans="1:25">
      <c r="A4612" s="133" t="str">
        <f>IF(B4612="","",COUNTA($B$5:B4612))</f>
        <v/>
      </c>
      <c r="B4612" s="148"/>
      <c r="C4612" s="22" t="s">
        <v>49</v>
      </c>
      <c r="D4612" s="149"/>
      <c r="E4612" s="150"/>
      <c r="F4612" s="151"/>
      <c r="G4612" s="151"/>
      <c r="H4612" s="142">
        <f>IFERROR(VLOOKUP($C4612,$C$5:$H$18,6,0)+SUMIF($C$19:$C4612,$C4612,$F$19:$F4612)-SUMIF($C$19:$C4612,$C4612,$G$19:$G4612),"")</f>
        <v>81211.819999998</v>
      </c>
      <c r="I4612" s="147"/>
      <c r="J4612" s="147"/>
      <c r="K4612" s="147" t="str">
        <f t="shared" si="71"/>
        <v/>
      </c>
      <c r="L4612" s="40"/>
      <c r="M4612"/>
      <c r="N4612"/>
      <c r="O4612"/>
      <c r="P4612"/>
      <c r="Q4612"/>
      <c r="R4612"/>
      <c r="S4612"/>
      <c r="T4612"/>
      <c r="U4612"/>
      <c r="V4612"/>
      <c r="W4612" s="41"/>
      <c r="X4612" s="41"/>
      <c r="Y4612" s="41"/>
    </row>
    <row r="4613" s="27" customFormat="1" ht="23" hidden="1" customHeight="1" spans="1:25">
      <c r="A4613" s="133" t="str">
        <f>IF(B4613="","",COUNTA($B$5:B4613))</f>
        <v/>
      </c>
      <c r="B4613" s="148"/>
      <c r="C4613" s="22" t="s">
        <v>49</v>
      </c>
      <c r="D4613" s="149"/>
      <c r="E4613" s="150"/>
      <c r="F4613" s="151"/>
      <c r="G4613" s="151"/>
      <c r="H4613" s="142">
        <f>IFERROR(VLOOKUP($C4613,$C$5:$H$18,6,0)+SUMIF($C$19:$C4613,$C4613,$F$19:$F4613)-SUMIF($C$19:$C4613,$C4613,$G$19:$G4613),"")</f>
        <v>81211.819999998</v>
      </c>
      <c r="I4613" s="147"/>
      <c r="J4613" s="147"/>
      <c r="K4613" s="147" t="str">
        <f t="shared" ref="K4613:K4676" si="72">IF($B4613="","",--TEXT($B4613,"yyyymm"))</f>
        <v/>
      </c>
      <c r="L4613" s="40"/>
      <c r="M4613"/>
      <c r="N4613"/>
      <c r="O4613"/>
      <c r="P4613"/>
      <c r="Q4613"/>
      <c r="R4613"/>
      <c r="S4613"/>
      <c r="T4613"/>
      <c r="U4613"/>
      <c r="V4613"/>
      <c r="W4613" s="41"/>
      <c r="X4613" s="41"/>
      <c r="Y4613" s="41"/>
    </row>
    <row r="4614" s="27" customFormat="1" ht="23" hidden="1" customHeight="1" spans="1:25">
      <c r="A4614" s="133" t="str">
        <f>IF(B4614="","",COUNTA($B$5:B4614))</f>
        <v/>
      </c>
      <c r="B4614" s="148"/>
      <c r="C4614" s="22" t="s">
        <v>49</v>
      </c>
      <c r="D4614" s="149"/>
      <c r="E4614" s="150"/>
      <c r="F4614" s="151"/>
      <c r="G4614" s="151"/>
      <c r="H4614" s="142">
        <f>IFERROR(VLOOKUP($C4614,$C$5:$H$18,6,0)+SUMIF($C$19:$C4614,$C4614,$F$19:$F4614)-SUMIF($C$19:$C4614,$C4614,$G$19:$G4614),"")</f>
        <v>81211.819999998</v>
      </c>
      <c r="I4614" s="147"/>
      <c r="J4614" s="147"/>
      <c r="K4614" s="147" t="str">
        <f t="shared" si="72"/>
        <v/>
      </c>
      <c r="L4614" s="40"/>
      <c r="M4614"/>
      <c r="N4614"/>
      <c r="O4614"/>
      <c r="P4614"/>
      <c r="Q4614"/>
      <c r="R4614"/>
      <c r="S4614"/>
      <c r="T4614"/>
      <c r="U4614"/>
      <c r="V4614"/>
      <c r="W4614" s="41"/>
      <c r="X4614" s="41"/>
      <c r="Y4614" s="41"/>
    </row>
    <row r="4615" s="27" customFormat="1" ht="23" hidden="1" customHeight="1" spans="1:25">
      <c r="A4615" s="133" t="str">
        <f>IF(B4615="","",COUNTA($B$5:B4615))</f>
        <v/>
      </c>
      <c r="B4615" s="148"/>
      <c r="C4615" s="22" t="s">
        <v>49</v>
      </c>
      <c r="D4615" s="149"/>
      <c r="E4615" s="150"/>
      <c r="F4615" s="151"/>
      <c r="G4615" s="151"/>
      <c r="H4615" s="142">
        <f>IFERROR(VLOOKUP($C4615,$C$5:$H$18,6,0)+SUMIF($C$19:$C4615,$C4615,$F$19:$F4615)-SUMIF($C$19:$C4615,$C4615,$G$19:$G4615),"")</f>
        <v>81211.819999998</v>
      </c>
      <c r="I4615" s="147"/>
      <c r="J4615" s="147"/>
      <c r="K4615" s="147" t="str">
        <f t="shared" si="72"/>
        <v/>
      </c>
      <c r="L4615" s="40"/>
      <c r="M4615"/>
      <c r="N4615"/>
      <c r="O4615"/>
      <c r="P4615"/>
      <c r="Q4615"/>
      <c r="R4615"/>
      <c r="S4615"/>
      <c r="T4615"/>
      <c r="U4615"/>
      <c r="V4615"/>
      <c r="W4615" s="41"/>
      <c r="X4615" s="41"/>
      <c r="Y4615" s="41"/>
    </row>
    <row r="4616" s="27" customFormat="1" ht="23" hidden="1" customHeight="1" spans="1:25">
      <c r="A4616" s="133" t="str">
        <f>IF(B4616="","",COUNTA($B$5:B4616))</f>
        <v/>
      </c>
      <c r="B4616" s="148"/>
      <c r="C4616" s="22" t="s">
        <v>49</v>
      </c>
      <c r="D4616" s="149"/>
      <c r="E4616" s="150"/>
      <c r="F4616" s="151"/>
      <c r="G4616" s="151"/>
      <c r="H4616" s="142">
        <f>IFERROR(VLOOKUP($C4616,$C$5:$H$18,6,0)+SUMIF($C$19:$C4616,$C4616,$F$19:$F4616)-SUMIF($C$19:$C4616,$C4616,$G$19:$G4616),"")</f>
        <v>81211.819999998</v>
      </c>
      <c r="I4616" s="147"/>
      <c r="J4616" s="147"/>
      <c r="K4616" s="147" t="str">
        <f t="shared" si="72"/>
        <v/>
      </c>
      <c r="L4616" s="40"/>
      <c r="M4616"/>
      <c r="N4616"/>
      <c r="O4616"/>
      <c r="P4616"/>
      <c r="Q4616"/>
      <c r="R4616"/>
      <c r="S4616"/>
      <c r="T4616"/>
      <c r="U4616"/>
      <c r="V4616"/>
      <c r="W4616" s="41"/>
      <c r="X4616" s="41"/>
      <c r="Y4616" s="41"/>
    </row>
    <row r="4617" s="27" customFormat="1" ht="23" hidden="1" customHeight="1" spans="1:25">
      <c r="A4617" s="133" t="str">
        <f>IF(B4617="","",COUNTA($B$5:B4617))</f>
        <v/>
      </c>
      <c r="B4617" s="148"/>
      <c r="C4617" s="22" t="s">
        <v>49</v>
      </c>
      <c r="D4617" s="149"/>
      <c r="E4617" s="150"/>
      <c r="F4617" s="151"/>
      <c r="G4617" s="151"/>
      <c r="H4617" s="142">
        <f>IFERROR(VLOOKUP($C4617,$C$5:$H$18,6,0)+SUMIF($C$19:$C4617,$C4617,$F$19:$F4617)-SUMIF($C$19:$C4617,$C4617,$G$19:$G4617),"")</f>
        <v>81211.819999998</v>
      </c>
      <c r="I4617" s="147"/>
      <c r="J4617" s="147"/>
      <c r="K4617" s="147" t="str">
        <f t="shared" si="72"/>
        <v/>
      </c>
      <c r="L4617" s="40"/>
      <c r="M4617"/>
      <c r="N4617"/>
      <c r="O4617"/>
      <c r="P4617"/>
      <c r="Q4617"/>
      <c r="R4617"/>
      <c r="S4617"/>
      <c r="T4617"/>
      <c r="U4617"/>
      <c r="V4617"/>
      <c r="W4617" s="41"/>
      <c r="X4617" s="41"/>
      <c r="Y4617" s="41"/>
    </row>
    <row r="4618" s="27" customFormat="1" ht="23" hidden="1" customHeight="1" spans="1:25">
      <c r="A4618" s="133" t="str">
        <f>IF(B4618="","",COUNTA($B$5:B4618))</f>
        <v/>
      </c>
      <c r="B4618" s="148"/>
      <c r="C4618" s="22" t="s">
        <v>49</v>
      </c>
      <c r="D4618" s="149"/>
      <c r="E4618" s="150"/>
      <c r="F4618" s="151"/>
      <c r="G4618" s="151"/>
      <c r="H4618" s="142">
        <f>IFERROR(VLOOKUP($C4618,$C$5:$H$18,6,0)+SUMIF($C$19:$C4618,$C4618,$F$19:$F4618)-SUMIF($C$19:$C4618,$C4618,$G$19:$G4618),"")</f>
        <v>81211.819999998</v>
      </c>
      <c r="I4618" s="147"/>
      <c r="J4618" s="147"/>
      <c r="K4618" s="147" t="str">
        <f t="shared" si="72"/>
        <v/>
      </c>
      <c r="L4618" s="40"/>
      <c r="M4618"/>
      <c r="N4618"/>
      <c r="O4618"/>
      <c r="P4618"/>
      <c r="Q4618"/>
      <c r="R4618"/>
      <c r="S4618"/>
      <c r="T4618"/>
      <c r="U4618"/>
      <c r="V4618"/>
      <c r="W4618" s="41"/>
      <c r="X4618" s="41"/>
      <c r="Y4618" s="41"/>
    </row>
    <row r="4619" s="27" customFormat="1" ht="23" hidden="1" customHeight="1" spans="1:25">
      <c r="A4619" s="133" t="str">
        <f>IF(B4619="","",COUNTA($B$5:B4619))</f>
        <v/>
      </c>
      <c r="B4619" s="148"/>
      <c r="C4619" s="22" t="s">
        <v>49</v>
      </c>
      <c r="D4619" s="149"/>
      <c r="E4619" s="150"/>
      <c r="F4619" s="151"/>
      <c r="G4619" s="151"/>
      <c r="H4619" s="142">
        <f>IFERROR(VLOOKUP($C4619,$C$5:$H$18,6,0)+SUMIF($C$19:$C4619,$C4619,$F$19:$F4619)-SUMIF($C$19:$C4619,$C4619,$G$19:$G4619),"")</f>
        <v>81211.819999998</v>
      </c>
      <c r="I4619" s="147"/>
      <c r="J4619" s="147"/>
      <c r="K4619" s="147" t="str">
        <f t="shared" si="72"/>
        <v/>
      </c>
      <c r="L4619" s="40"/>
      <c r="M4619"/>
      <c r="N4619"/>
      <c r="O4619"/>
      <c r="P4619"/>
      <c r="Q4619"/>
      <c r="R4619"/>
      <c r="S4619"/>
      <c r="T4619"/>
      <c r="U4619"/>
      <c r="V4619"/>
      <c r="W4619" s="41"/>
      <c r="X4619" s="41"/>
      <c r="Y4619" s="41"/>
    </row>
    <row r="4620" s="27" customFormat="1" ht="23" hidden="1" customHeight="1" spans="1:25">
      <c r="A4620" s="133" t="str">
        <f>IF(B4620="","",COUNTA($B$5:B4620))</f>
        <v/>
      </c>
      <c r="B4620" s="148"/>
      <c r="C4620" s="22" t="s">
        <v>49</v>
      </c>
      <c r="D4620" s="149"/>
      <c r="E4620" s="150"/>
      <c r="F4620" s="151"/>
      <c r="G4620" s="151"/>
      <c r="H4620" s="142">
        <f>IFERROR(VLOOKUP($C4620,$C$5:$H$18,6,0)+SUMIF($C$19:$C4620,$C4620,$F$19:$F4620)-SUMIF($C$19:$C4620,$C4620,$G$19:$G4620),"")</f>
        <v>81211.819999998</v>
      </c>
      <c r="I4620" s="147"/>
      <c r="J4620" s="147"/>
      <c r="K4620" s="147" t="str">
        <f t="shared" si="72"/>
        <v/>
      </c>
      <c r="L4620" s="40"/>
      <c r="M4620"/>
      <c r="N4620"/>
      <c r="O4620"/>
      <c r="P4620"/>
      <c r="Q4620"/>
      <c r="R4620"/>
      <c r="S4620"/>
      <c r="T4620"/>
      <c r="U4620"/>
      <c r="V4620"/>
      <c r="W4620" s="41"/>
      <c r="X4620" s="41"/>
      <c r="Y4620" s="41"/>
    </row>
    <row r="4621" s="27" customFormat="1" ht="23" hidden="1" customHeight="1" spans="1:25">
      <c r="A4621" s="133" t="str">
        <f>IF(B4621="","",COUNTA($B$5:B4621))</f>
        <v/>
      </c>
      <c r="B4621" s="148"/>
      <c r="C4621" s="22" t="s">
        <v>49</v>
      </c>
      <c r="D4621" s="149"/>
      <c r="E4621" s="150"/>
      <c r="F4621" s="151"/>
      <c r="G4621" s="151"/>
      <c r="H4621" s="142">
        <f>IFERROR(VLOOKUP($C4621,$C$5:$H$18,6,0)+SUMIF($C$19:$C4621,$C4621,$F$19:$F4621)-SUMIF($C$19:$C4621,$C4621,$G$19:$G4621),"")</f>
        <v>81211.819999998</v>
      </c>
      <c r="I4621" s="147"/>
      <c r="J4621" s="147"/>
      <c r="K4621" s="147" t="str">
        <f t="shared" si="72"/>
        <v/>
      </c>
      <c r="L4621" s="40"/>
      <c r="M4621"/>
      <c r="N4621"/>
      <c r="O4621"/>
      <c r="P4621"/>
      <c r="Q4621"/>
      <c r="R4621"/>
      <c r="S4621"/>
      <c r="T4621"/>
      <c r="U4621"/>
      <c r="V4621"/>
      <c r="W4621" s="41"/>
      <c r="X4621" s="41"/>
      <c r="Y4621" s="41"/>
    </row>
    <row r="4622" s="27" customFormat="1" ht="23" hidden="1" customHeight="1" spans="1:25">
      <c r="A4622" s="133" t="str">
        <f>IF(B4622="","",COUNTA($B$5:B4622))</f>
        <v/>
      </c>
      <c r="B4622" s="148"/>
      <c r="C4622" s="22" t="s">
        <v>49</v>
      </c>
      <c r="D4622" s="149"/>
      <c r="E4622" s="150"/>
      <c r="F4622" s="151"/>
      <c r="G4622" s="151"/>
      <c r="H4622" s="142">
        <f>IFERROR(VLOOKUP($C4622,$C$5:$H$18,6,0)+SUMIF($C$19:$C4622,$C4622,$F$19:$F4622)-SUMIF($C$19:$C4622,$C4622,$G$19:$G4622),"")</f>
        <v>81211.819999998</v>
      </c>
      <c r="I4622" s="147"/>
      <c r="J4622" s="147"/>
      <c r="K4622" s="147" t="str">
        <f t="shared" si="72"/>
        <v/>
      </c>
      <c r="L4622" s="40"/>
      <c r="M4622"/>
      <c r="N4622"/>
      <c r="O4622"/>
      <c r="P4622"/>
      <c r="Q4622"/>
      <c r="R4622"/>
      <c r="S4622"/>
      <c r="T4622"/>
      <c r="U4622"/>
      <c r="V4622"/>
      <c r="W4622" s="41"/>
      <c r="X4622" s="41"/>
      <c r="Y4622" s="41"/>
    </row>
    <row r="4623" s="27" customFormat="1" ht="23" hidden="1" customHeight="1" spans="1:25">
      <c r="A4623" s="133" t="str">
        <f>IF(B4623="","",COUNTA($B$5:B4623))</f>
        <v/>
      </c>
      <c r="B4623" s="148"/>
      <c r="C4623" s="22" t="s">
        <v>49</v>
      </c>
      <c r="D4623" s="149"/>
      <c r="E4623" s="150"/>
      <c r="F4623" s="151"/>
      <c r="G4623" s="151"/>
      <c r="H4623" s="142">
        <f>IFERROR(VLOOKUP($C4623,$C$5:$H$18,6,0)+SUMIF($C$19:$C4623,$C4623,$F$19:$F4623)-SUMIF($C$19:$C4623,$C4623,$G$19:$G4623),"")</f>
        <v>81211.819999998</v>
      </c>
      <c r="I4623" s="147"/>
      <c r="J4623" s="147"/>
      <c r="K4623" s="147" t="str">
        <f t="shared" si="72"/>
        <v/>
      </c>
      <c r="L4623" s="40"/>
      <c r="M4623"/>
      <c r="N4623"/>
      <c r="O4623"/>
      <c r="P4623"/>
      <c r="Q4623"/>
      <c r="R4623"/>
      <c r="S4623"/>
      <c r="T4623"/>
      <c r="U4623"/>
      <c r="V4623"/>
      <c r="W4623" s="41"/>
      <c r="X4623" s="41"/>
      <c r="Y4623" s="41"/>
    </row>
    <row r="4624" s="27" customFormat="1" ht="23" hidden="1" customHeight="1" spans="1:25">
      <c r="A4624" s="133" t="str">
        <f>IF(B4624="","",COUNTA($B$5:B4624))</f>
        <v/>
      </c>
      <c r="B4624" s="148"/>
      <c r="C4624" s="22" t="s">
        <v>49</v>
      </c>
      <c r="D4624" s="149"/>
      <c r="E4624" s="150"/>
      <c r="F4624" s="151"/>
      <c r="G4624" s="151"/>
      <c r="H4624" s="142">
        <f>IFERROR(VLOOKUP($C4624,$C$5:$H$18,6,0)+SUMIF($C$19:$C4624,$C4624,$F$19:$F4624)-SUMIF($C$19:$C4624,$C4624,$G$19:$G4624),"")</f>
        <v>81211.819999998</v>
      </c>
      <c r="I4624" s="147"/>
      <c r="J4624" s="147"/>
      <c r="K4624" s="147" t="str">
        <f t="shared" si="72"/>
        <v/>
      </c>
      <c r="L4624" s="40"/>
      <c r="M4624"/>
      <c r="N4624"/>
      <c r="O4624"/>
      <c r="P4624"/>
      <c r="Q4624"/>
      <c r="R4624"/>
      <c r="S4624"/>
      <c r="T4624"/>
      <c r="U4624"/>
      <c r="V4624"/>
      <c r="W4624" s="41"/>
      <c r="X4624" s="41"/>
      <c r="Y4624" s="41"/>
    </row>
    <row r="4625" s="27" customFormat="1" ht="23" hidden="1" customHeight="1" spans="1:25">
      <c r="A4625" s="133" t="str">
        <f>IF(B4625="","",COUNTA($B$5:B4625))</f>
        <v/>
      </c>
      <c r="B4625" s="148"/>
      <c r="C4625" s="22" t="s">
        <v>49</v>
      </c>
      <c r="D4625" s="149"/>
      <c r="E4625" s="150"/>
      <c r="F4625" s="151"/>
      <c r="G4625" s="151"/>
      <c r="H4625" s="142">
        <f>IFERROR(VLOOKUP($C4625,$C$5:$H$18,6,0)+SUMIF($C$19:$C4625,$C4625,$F$19:$F4625)-SUMIF($C$19:$C4625,$C4625,$G$19:$G4625),"")</f>
        <v>81211.819999998</v>
      </c>
      <c r="I4625" s="147"/>
      <c r="J4625" s="147"/>
      <c r="K4625" s="147" t="str">
        <f t="shared" si="72"/>
        <v/>
      </c>
      <c r="L4625" s="40"/>
      <c r="M4625"/>
      <c r="N4625"/>
      <c r="O4625"/>
      <c r="P4625"/>
      <c r="Q4625"/>
      <c r="R4625"/>
      <c r="S4625"/>
      <c r="T4625"/>
      <c r="U4625"/>
      <c r="V4625"/>
      <c r="W4625" s="41"/>
      <c r="X4625" s="41"/>
      <c r="Y4625" s="41"/>
    </row>
    <row r="4626" s="27" customFormat="1" ht="23" hidden="1" customHeight="1" spans="1:25">
      <c r="A4626" s="133" t="str">
        <f>IF(B4626="","",COUNTA($B$5:B4626))</f>
        <v/>
      </c>
      <c r="B4626" s="148"/>
      <c r="C4626" s="22" t="s">
        <v>49</v>
      </c>
      <c r="D4626" s="149"/>
      <c r="E4626" s="150"/>
      <c r="F4626" s="151"/>
      <c r="G4626" s="151"/>
      <c r="H4626" s="142">
        <f>IFERROR(VLOOKUP($C4626,$C$5:$H$18,6,0)+SUMIF($C$19:$C4626,$C4626,$F$19:$F4626)-SUMIF($C$19:$C4626,$C4626,$G$19:$G4626),"")</f>
        <v>81211.819999998</v>
      </c>
      <c r="I4626" s="147"/>
      <c r="J4626" s="147"/>
      <c r="K4626" s="147" t="str">
        <f t="shared" si="72"/>
        <v/>
      </c>
      <c r="L4626" s="40"/>
      <c r="M4626"/>
      <c r="N4626"/>
      <c r="O4626"/>
      <c r="P4626"/>
      <c r="Q4626"/>
      <c r="R4626"/>
      <c r="S4626"/>
      <c r="T4626"/>
      <c r="U4626"/>
      <c r="V4626"/>
      <c r="W4626" s="41"/>
      <c r="X4626" s="41"/>
      <c r="Y4626" s="41"/>
    </row>
    <row r="4627" s="27" customFormat="1" ht="23" hidden="1" customHeight="1" spans="1:25">
      <c r="A4627" s="133" t="str">
        <f>IF(B4627="","",COUNTA($B$5:B4627))</f>
        <v/>
      </c>
      <c r="B4627" s="148"/>
      <c r="C4627" s="22" t="s">
        <v>49</v>
      </c>
      <c r="D4627" s="149"/>
      <c r="E4627" s="150"/>
      <c r="F4627" s="151"/>
      <c r="G4627" s="151"/>
      <c r="H4627" s="142">
        <f>IFERROR(VLOOKUP($C4627,$C$5:$H$18,6,0)+SUMIF($C$19:$C4627,$C4627,$F$19:$F4627)-SUMIF($C$19:$C4627,$C4627,$G$19:$G4627),"")</f>
        <v>81211.819999998</v>
      </c>
      <c r="I4627" s="147"/>
      <c r="J4627" s="147"/>
      <c r="K4627" s="147" t="str">
        <f t="shared" si="72"/>
        <v/>
      </c>
      <c r="L4627" s="40"/>
      <c r="M4627"/>
      <c r="N4627"/>
      <c r="O4627"/>
      <c r="P4627"/>
      <c r="Q4627"/>
      <c r="R4627"/>
      <c r="S4627"/>
      <c r="T4627"/>
      <c r="U4627"/>
      <c r="V4627"/>
      <c r="W4627" s="41"/>
      <c r="X4627" s="41"/>
      <c r="Y4627" s="41"/>
    </row>
    <row r="4628" s="27" customFormat="1" ht="23" hidden="1" customHeight="1" spans="1:25">
      <c r="A4628" s="133" t="str">
        <f>IF(B4628="","",COUNTA($B$5:B4628))</f>
        <v/>
      </c>
      <c r="B4628" s="148"/>
      <c r="C4628" s="22" t="s">
        <v>49</v>
      </c>
      <c r="D4628" s="149"/>
      <c r="E4628" s="150"/>
      <c r="F4628" s="151"/>
      <c r="G4628" s="151"/>
      <c r="H4628" s="142">
        <f>IFERROR(VLOOKUP($C4628,$C$5:$H$18,6,0)+SUMIF($C$19:$C4628,$C4628,$F$19:$F4628)-SUMIF($C$19:$C4628,$C4628,$G$19:$G4628),"")</f>
        <v>81211.819999998</v>
      </c>
      <c r="I4628" s="147"/>
      <c r="J4628" s="147"/>
      <c r="K4628" s="147" t="str">
        <f t="shared" si="72"/>
        <v/>
      </c>
      <c r="L4628" s="40"/>
      <c r="M4628"/>
      <c r="N4628"/>
      <c r="O4628"/>
      <c r="P4628"/>
      <c r="Q4628"/>
      <c r="R4628"/>
      <c r="S4628"/>
      <c r="T4628"/>
      <c r="U4628"/>
      <c r="V4628"/>
      <c r="W4628" s="41"/>
      <c r="X4628" s="41"/>
      <c r="Y4628" s="41"/>
    </row>
    <row r="4629" s="27" customFormat="1" ht="23" hidden="1" customHeight="1" spans="1:25">
      <c r="A4629" s="133" t="str">
        <f>IF(B4629="","",COUNTA($B$5:B4629))</f>
        <v/>
      </c>
      <c r="B4629" s="148"/>
      <c r="C4629" s="22" t="s">
        <v>49</v>
      </c>
      <c r="D4629" s="149"/>
      <c r="E4629" s="150"/>
      <c r="F4629" s="151"/>
      <c r="G4629" s="151"/>
      <c r="H4629" s="142">
        <f>IFERROR(VLOOKUP($C4629,$C$5:$H$18,6,0)+SUMIF($C$19:$C4629,$C4629,$F$19:$F4629)-SUMIF($C$19:$C4629,$C4629,$G$19:$G4629),"")</f>
        <v>81211.819999998</v>
      </c>
      <c r="I4629" s="147"/>
      <c r="J4629" s="147"/>
      <c r="K4629" s="147" t="str">
        <f t="shared" si="72"/>
        <v/>
      </c>
      <c r="L4629" s="40"/>
      <c r="M4629"/>
      <c r="N4629"/>
      <c r="O4629"/>
      <c r="P4629"/>
      <c r="Q4629"/>
      <c r="R4629"/>
      <c r="S4629"/>
      <c r="T4629"/>
      <c r="U4629"/>
      <c r="V4629"/>
      <c r="W4629" s="41"/>
      <c r="X4629" s="41"/>
      <c r="Y4629" s="41"/>
    </row>
    <row r="4630" s="27" customFormat="1" ht="23" hidden="1" customHeight="1" spans="1:25">
      <c r="A4630" s="133" t="str">
        <f>IF(B4630="","",COUNTA($B$5:B4630))</f>
        <v/>
      </c>
      <c r="B4630" s="148"/>
      <c r="C4630" s="22" t="s">
        <v>49</v>
      </c>
      <c r="D4630" s="149"/>
      <c r="E4630" s="150"/>
      <c r="F4630" s="151"/>
      <c r="G4630" s="151"/>
      <c r="H4630" s="142">
        <f>IFERROR(VLOOKUP($C4630,$C$5:$H$18,6,0)+SUMIF($C$19:$C4630,$C4630,$F$19:$F4630)-SUMIF($C$19:$C4630,$C4630,$G$19:$G4630),"")</f>
        <v>81211.819999998</v>
      </c>
      <c r="I4630" s="147"/>
      <c r="J4630" s="147"/>
      <c r="K4630" s="147" t="str">
        <f t="shared" si="72"/>
        <v/>
      </c>
      <c r="L4630" s="40"/>
      <c r="M4630"/>
      <c r="N4630"/>
      <c r="O4630"/>
      <c r="P4630"/>
      <c r="Q4630"/>
      <c r="R4630"/>
      <c r="S4630"/>
      <c r="T4630"/>
      <c r="U4630"/>
      <c r="V4630"/>
      <c r="W4630" s="41"/>
      <c r="X4630" s="41"/>
      <c r="Y4630" s="41"/>
    </row>
    <row r="4631" s="27" customFormat="1" ht="23" hidden="1" customHeight="1" spans="1:25">
      <c r="A4631" s="133" t="str">
        <f>IF(B4631="","",COUNTA($B$5:B4631))</f>
        <v/>
      </c>
      <c r="B4631" s="148"/>
      <c r="C4631" s="22" t="s">
        <v>49</v>
      </c>
      <c r="D4631" s="149"/>
      <c r="E4631" s="150"/>
      <c r="F4631" s="151"/>
      <c r="G4631" s="151"/>
      <c r="H4631" s="142">
        <f>IFERROR(VLOOKUP($C4631,$C$5:$H$18,6,0)+SUMIF($C$19:$C4631,$C4631,$F$19:$F4631)-SUMIF($C$19:$C4631,$C4631,$G$19:$G4631),"")</f>
        <v>81211.819999998</v>
      </c>
      <c r="I4631" s="147"/>
      <c r="J4631" s="147"/>
      <c r="K4631" s="147" t="str">
        <f t="shared" si="72"/>
        <v/>
      </c>
      <c r="L4631" s="40"/>
      <c r="M4631"/>
      <c r="N4631"/>
      <c r="O4631"/>
      <c r="P4631"/>
      <c r="Q4631"/>
      <c r="R4631"/>
      <c r="S4631"/>
      <c r="T4631"/>
      <c r="U4631"/>
      <c r="V4631"/>
      <c r="W4631" s="41"/>
      <c r="X4631" s="41"/>
      <c r="Y4631" s="41"/>
    </row>
    <row r="4632" s="27" customFormat="1" ht="23" hidden="1" customHeight="1" spans="1:25">
      <c r="A4632" s="133" t="str">
        <f>IF(B4632="","",COUNTA($B$5:B4632))</f>
        <v/>
      </c>
      <c r="B4632" s="148"/>
      <c r="C4632" s="22" t="s">
        <v>49</v>
      </c>
      <c r="D4632" s="149"/>
      <c r="E4632" s="150"/>
      <c r="F4632" s="151"/>
      <c r="G4632" s="151"/>
      <c r="H4632" s="142">
        <f>IFERROR(VLOOKUP($C4632,$C$5:$H$18,6,0)+SUMIF($C$19:$C4632,$C4632,$F$19:$F4632)-SUMIF($C$19:$C4632,$C4632,$G$19:$G4632),"")</f>
        <v>81211.819999998</v>
      </c>
      <c r="I4632" s="147"/>
      <c r="J4632" s="147"/>
      <c r="K4632" s="147" t="str">
        <f t="shared" si="72"/>
        <v/>
      </c>
      <c r="L4632" s="40"/>
      <c r="M4632"/>
      <c r="N4632"/>
      <c r="O4632"/>
      <c r="P4632"/>
      <c r="Q4632"/>
      <c r="R4632"/>
      <c r="S4632"/>
      <c r="T4632"/>
      <c r="U4632"/>
      <c r="V4632"/>
      <c r="W4632" s="41"/>
      <c r="X4632" s="41"/>
      <c r="Y4632" s="41"/>
    </row>
    <row r="4633" s="27" customFormat="1" ht="23" hidden="1" customHeight="1" spans="1:25">
      <c r="A4633" s="133" t="str">
        <f>IF(B4633="","",COUNTA($B$5:B4633))</f>
        <v/>
      </c>
      <c r="B4633" s="148"/>
      <c r="C4633" s="22" t="s">
        <v>49</v>
      </c>
      <c r="D4633" s="149"/>
      <c r="E4633" s="150"/>
      <c r="F4633" s="151"/>
      <c r="G4633" s="151"/>
      <c r="H4633" s="142">
        <f>IFERROR(VLOOKUP($C4633,$C$5:$H$18,6,0)+SUMIF($C$19:$C4633,$C4633,$F$19:$F4633)-SUMIF($C$19:$C4633,$C4633,$G$19:$G4633),"")</f>
        <v>81211.819999998</v>
      </c>
      <c r="I4633" s="147"/>
      <c r="J4633" s="147"/>
      <c r="K4633" s="147" t="str">
        <f t="shared" si="72"/>
        <v/>
      </c>
      <c r="L4633" s="40"/>
      <c r="M4633"/>
      <c r="N4633"/>
      <c r="O4633"/>
      <c r="P4633"/>
      <c r="Q4633"/>
      <c r="R4633"/>
      <c r="S4633"/>
      <c r="T4633"/>
      <c r="U4633"/>
      <c r="V4633"/>
      <c r="W4633" s="41"/>
      <c r="X4633" s="41"/>
      <c r="Y4633" s="41"/>
    </row>
    <row r="4634" s="27" customFormat="1" ht="23" hidden="1" customHeight="1" spans="1:25">
      <c r="A4634" s="133" t="str">
        <f>IF(B4634="","",COUNTA($B$5:B4634))</f>
        <v/>
      </c>
      <c r="B4634" s="148"/>
      <c r="C4634" s="22" t="s">
        <v>49</v>
      </c>
      <c r="D4634" s="149"/>
      <c r="E4634" s="150"/>
      <c r="F4634" s="151"/>
      <c r="G4634" s="151"/>
      <c r="H4634" s="142">
        <f>IFERROR(VLOOKUP($C4634,$C$5:$H$18,6,0)+SUMIF($C$19:$C4634,$C4634,$F$19:$F4634)-SUMIF($C$19:$C4634,$C4634,$G$19:$G4634),"")</f>
        <v>81211.819999998</v>
      </c>
      <c r="I4634" s="147"/>
      <c r="J4634" s="147"/>
      <c r="K4634" s="147" t="str">
        <f t="shared" si="72"/>
        <v/>
      </c>
      <c r="L4634" s="40"/>
      <c r="M4634"/>
      <c r="N4634"/>
      <c r="O4634"/>
      <c r="P4634"/>
      <c r="Q4634"/>
      <c r="R4634"/>
      <c r="S4634"/>
      <c r="T4634"/>
      <c r="U4634"/>
      <c r="V4634"/>
      <c r="W4634" s="41"/>
      <c r="X4634" s="41"/>
      <c r="Y4634" s="41"/>
    </row>
    <row r="4635" s="27" customFormat="1" ht="23" hidden="1" customHeight="1" spans="1:25">
      <c r="A4635" s="133" t="str">
        <f>IF(B4635="","",COUNTA($B$5:B4635))</f>
        <v/>
      </c>
      <c r="B4635" s="148"/>
      <c r="C4635" s="22" t="s">
        <v>49</v>
      </c>
      <c r="D4635" s="149"/>
      <c r="E4635" s="150"/>
      <c r="F4635" s="151"/>
      <c r="G4635" s="151"/>
      <c r="H4635" s="142">
        <f>IFERROR(VLOOKUP($C4635,$C$5:$H$18,6,0)+SUMIF($C$19:$C4635,$C4635,$F$19:$F4635)-SUMIF($C$19:$C4635,$C4635,$G$19:$G4635),"")</f>
        <v>81211.819999998</v>
      </c>
      <c r="I4635" s="147"/>
      <c r="J4635" s="147"/>
      <c r="K4635" s="147" t="str">
        <f t="shared" si="72"/>
        <v/>
      </c>
      <c r="L4635" s="40"/>
      <c r="M4635"/>
      <c r="N4635"/>
      <c r="O4635"/>
      <c r="P4635"/>
      <c r="Q4635"/>
      <c r="R4635"/>
      <c r="S4635"/>
      <c r="T4635"/>
      <c r="U4635"/>
      <c r="V4635"/>
      <c r="W4635" s="41"/>
      <c r="X4635" s="41"/>
      <c r="Y4635" s="41"/>
    </row>
    <row r="4636" s="27" customFormat="1" ht="23" hidden="1" customHeight="1" spans="1:25">
      <c r="A4636" s="133" t="str">
        <f>IF(B4636="","",COUNTA($B$5:B4636))</f>
        <v/>
      </c>
      <c r="B4636" s="148"/>
      <c r="C4636" s="22" t="s">
        <v>49</v>
      </c>
      <c r="D4636" s="149"/>
      <c r="E4636" s="150"/>
      <c r="F4636" s="151"/>
      <c r="G4636" s="151"/>
      <c r="H4636" s="142">
        <f>IFERROR(VLOOKUP($C4636,$C$5:$H$18,6,0)+SUMIF($C$19:$C4636,$C4636,$F$19:$F4636)-SUMIF($C$19:$C4636,$C4636,$G$19:$G4636),"")</f>
        <v>81211.819999998</v>
      </c>
      <c r="I4636" s="147"/>
      <c r="J4636" s="147"/>
      <c r="K4636" s="147" t="str">
        <f t="shared" si="72"/>
        <v/>
      </c>
      <c r="L4636" s="40"/>
      <c r="M4636"/>
      <c r="N4636"/>
      <c r="O4636"/>
      <c r="P4636"/>
      <c r="Q4636"/>
      <c r="R4636"/>
      <c r="S4636"/>
      <c r="T4636"/>
      <c r="U4636"/>
      <c r="V4636"/>
      <c r="W4636" s="41"/>
      <c r="X4636" s="41"/>
      <c r="Y4636" s="41"/>
    </row>
    <row r="4637" s="27" customFormat="1" ht="23" hidden="1" customHeight="1" spans="1:25">
      <c r="A4637" s="133" t="str">
        <f>IF(B4637="","",COUNTA($B$5:B4637))</f>
        <v/>
      </c>
      <c r="B4637" s="148"/>
      <c r="C4637" s="22" t="s">
        <v>49</v>
      </c>
      <c r="D4637" s="149"/>
      <c r="E4637" s="150"/>
      <c r="F4637" s="151"/>
      <c r="G4637" s="151"/>
      <c r="H4637" s="142">
        <f>IFERROR(VLOOKUP($C4637,$C$5:$H$18,6,0)+SUMIF($C$19:$C4637,$C4637,$F$19:$F4637)-SUMIF($C$19:$C4637,$C4637,$G$19:$G4637),"")</f>
        <v>81211.819999998</v>
      </c>
      <c r="I4637" s="147"/>
      <c r="J4637" s="147"/>
      <c r="K4637" s="147" t="str">
        <f t="shared" si="72"/>
        <v/>
      </c>
      <c r="L4637" s="40"/>
      <c r="M4637"/>
      <c r="N4637"/>
      <c r="O4637"/>
      <c r="P4637"/>
      <c r="Q4637"/>
      <c r="R4637"/>
      <c r="S4637"/>
      <c r="T4637"/>
      <c r="U4637"/>
      <c r="V4637"/>
      <c r="W4637" s="41"/>
      <c r="X4637" s="41"/>
      <c r="Y4637" s="41"/>
    </row>
    <row r="4638" s="27" customFormat="1" ht="23" hidden="1" customHeight="1" spans="1:25">
      <c r="A4638" s="133" t="str">
        <f>IF(B4638="","",COUNTA($B$5:B4638))</f>
        <v/>
      </c>
      <c r="B4638" s="148"/>
      <c r="C4638" s="22" t="s">
        <v>49</v>
      </c>
      <c r="D4638" s="149"/>
      <c r="E4638" s="150"/>
      <c r="F4638" s="151"/>
      <c r="G4638" s="151"/>
      <c r="H4638" s="142">
        <f>IFERROR(VLOOKUP($C4638,$C$5:$H$18,6,0)+SUMIF($C$19:$C4638,$C4638,$F$19:$F4638)-SUMIF($C$19:$C4638,$C4638,$G$19:$G4638),"")</f>
        <v>81211.819999998</v>
      </c>
      <c r="I4638" s="147"/>
      <c r="J4638" s="147"/>
      <c r="K4638" s="147" t="str">
        <f t="shared" si="72"/>
        <v/>
      </c>
      <c r="L4638" s="40"/>
      <c r="M4638"/>
      <c r="N4638"/>
      <c r="O4638"/>
      <c r="P4638"/>
      <c r="Q4638"/>
      <c r="R4638"/>
      <c r="S4638"/>
      <c r="T4638"/>
      <c r="U4638"/>
      <c r="V4638"/>
      <c r="W4638" s="41"/>
      <c r="X4638" s="41"/>
      <c r="Y4638" s="41"/>
    </row>
    <row r="4639" s="27" customFormat="1" ht="23" hidden="1" customHeight="1" spans="1:25">
      <c r="A4639" s="133" t="str">
        <f>IF(B4639="","",COUNTA($B$5:B4639))</f>
        <v/>
      </c>
      <c r="B4639" s="148"/>
      <c r="C4639" s="22" t="s">
        <v>49</v>
      </c>
      <c r="D4639" s="149"/>
      <c r="E4639" s="150"/>
      <c r="F4639" s="151"/>
      <c r="G4639" s="151"/>
      <c r="H4639" s="142">
        <f>IFERROR(VLOOKUP($C4639,$C$5:$H$18,6,0)+SUMIF($C$19:$C4639,$C4639,$F$19:$F4639)-SUMIF($C$19:$C4639,$C4639,$G$19:$G4639),"")</f>
        <v>81211.819999998</v>
      </c>
      <c r="I4639" s="147"/>
      <c r="J4639" s="147"/>
      <c r="K4639" s="147" t="str">
        <f t="shared" si="72"/>
        <v/>
      </c>
      <c r="L4639" s="40"/>
      <c r="M4639"/>
      <c r="N4639"/>
      <c r="O4639"/>
      <c r="P4639"/>
      <c r="Q4639"/>
      <c r="R4639"/>
      <c r="S4639"/>
      <c r="T4639"/>
      <c r="U4639"/>
      <c r="V4639"/>
      <c r="W4639" s="41"/>
      <c r="X4639" s="41"/>
      <c r="Y4639" s="41"/>
    </row>
    <row r="4640" s="27" customFormat="1" ht="23" hidden="1" customHeight="1" spans="1:25">
      <c r="A4640" s="133" t="str">
        <f>IF(B4640="","",COUNTA($B$5:B4640))</f>
        <v/>
      </c>
      <c r="B4640" s="148"/>
      <c r="C4640" s="22" t="s">
        <v>49</v>
      </c>
      <c r="D4640" s="149"/>
      <c r="E4640" s="150"/>
      <c r="F4640" s="151"/>
      <c r="G4640" s="151"/>
      <c r="H4640" s="142">
        <f>IFERROR(VLOOKUP($C4640,$C$5:$H$18,6,0)+SUMIF($C$19:$C4640,$C4640,$F$19:$F4640)-SUMIF($C$19:$C4640,$C4640,$G$19:$G4640),"")</f>
        <v>81211.819999998</v>
      </c>
      <c r="I4640" s="147"/>
      <c r="J4640" s="147"/>
      <c r="K4640" s="147" t="str">
        <f t="shared" si="72"/>
        <v/>
      </c>
      <c r="L4640" s="40"/>
      <c r="M4640"/>
      <c r="N4640"/>
      <c r="O4640"/>
      <c r="P4640"/>
      <c r="Q4640"/>
      <c r="R4640"/>
      <c r="S4640"/>
      <c r="T4640"/>
      <c r="U4640"/>
      <c r="V4640"/>
      <c r="W4640" s="41"/>
      <c r="X4640" s="41"/>
      <c r="Y4640" s="41"/>
    </row>
    <row r="4641" s="27" customFormat="1" ht="23" hidden="1" customHeight="1" spans="1:25">
      <c r="A4641" s="133" t="str">
        <f>IF(B4641="","",COUNTA($B$5:B4641))</f>
        <v/>
      </c>
      <c r="B4641" s="148"/>
      <c r="C4641" s="22" t="s">
        <v>49</v>
      </c>
      <c r="D4641" s="149"/>
      <c r="E4641" s="150"/>
      <c r="F4641" s="151"/>
      <c r="G4641" s="151"/>
      <c r="H4641" s="142">
        <f>IFERROR(VLOOKUP($C4641,$C$5:$H$18,6,0)+SUMIF($C$19:$C4641,$C4641,$F$19:$F4641)-SUMIF($C$19:$C4641,$C4641,$G$19:$G4641),"")</f>
        <v>81211.819999998</v>
      </c>
      <c r="I4641" s="147"/>
      <c r="J4641" s="147"/>
      <c r="K4641" s="147" t="str">
        <f t="shared" si="72"/>
        <v/>
      </c>
      <c r="L4641" s="40"/>
      <c r="M4641"/>
      <c r="N4641"/>
      <c r="O4641"/>
      <c r="P4641"/>
      <c r="Q4641"/>
      <c r="R4641"/>
      <c r="S4641"/>
      <c r="T4641"/>
      <c r="U4641"/>
      <c r="V4641"/>
      <c r="W4641" s="41"/>
      <c r="X4641" s="41"/>
      <c r="Y4641" s="41"/>
    </row>
    <row r="4642" s="27" customFormat="1" ht="23" hidden="1" customHeight="1" spans="1:25">
      <c r="A4642" s="133" t="str">
        <f>IF(B4642="","",COUNTA($B$5:B4642))</f>
        <v/>
      </c>
      <c r="B4642" s="148"/>
      <c r="C4642" s="22" t="s">
        <v>49</v>
      </c>
      <c r="D4642" s="149"/>
      <c r="E4642" s="150"/>
      <c r="F4642" s="151"/>
      <c r="G4642" s="151"/>
      <c r="H4642" s="142">
        <f>IFERROR(VLOOKUP($C4642,$C$5:$H$18,6,0)+SUMIF($C$19:$C4642,$C4642,$F$19:$F4642)-SUMIF($C$19:$C4642,$C4642,$G$19:$G4642),"")</f>
        <v>81211.819999998</v>
      </c>
      <c r="I4642" s="147"/>
      <c r="J4642" s="147"/>
      <c r="K4642" s="147" t="str">
        <f t="shared" si="72"/>
        <v/>
      </c>
      <c r="L4642" s="40"/>
      <c r="M4642"/>
      <c r="N4642"/>
      <c r="O4642"/>
      <c r="P4642"/>
      <c r="Q4642"/>
      <c r="R4642"/>
      <c r="S4642"/>
      <c r="T4642"/>
      <c r="U4642"/>
      <c r="V4642"/>
      <c r="W4642" s="41"/>
      <c r="X4642" s="41"/>
      <c r="Y4642" s="41"/>
    </row>
    <row r="4643" s="27" customFormat="1" ht="23" hidden="1" customHeight="1" spans="1:25">
      <c r="A4643" s="133" t="str">
        <f>IF(B4643="","",COUNTA($B$5:B4643))</f>
        <v/>
      </c>
      <c r="B4643" s="148"/>
      <c r="C4643" s="22" t="s">
        <v>49</v>
      </c>
      <c r="D4643" s="149"/>
      <c r="E4643" s="150"/>
      <c r="F4643" s="151"/>
      <c r="G4643" s="151"/>
      <c r="H4643" s="142">
        <f>IFERROR(VLOOKUP($C4643,$C$5:$H$18,6,0)+SUMIF($C$19:$C4643,$C4643,$F$19:$F4643)-SUMIF($C$19:$C4643,$C4643,$G$19:$G4643),"")</f>
        <v>81211.819999998</v>
      </c>
      <c r="I4643" s="147"/>
      <c r="J4643" s="147"/>
      <c r="K4643" s="147" t="str">
        <f t="shared" si="72"/>
        <v/>
      </c>
      <c r="L4643" s="40"/>
      <c r="M4643"/>
      <c r="N4643"/>
      <c r="O4643"/>
      <c r="P4643"/>
      <c r="Q4643"/>
      <c r="R4643"/>
      <c r="S4643"/>
      <c r="T4643"/>
      <c r="U4643"/>
      <c r="V4643"/>
      <c r="W4643" s="41"/>
      <c r="X4643" s="41"/>
      <c r="Y4643" s="41"/>
    </row>
    <row r="4644" s="27" customFormat="1" ht="23" hidden="1" customHeight="1" spans="1:25">
      <c r="A4644" s="133" t="str">
        <f>IF(B4644="","",COUNTA($B$5:B4644))</f>
        <v/>
      </c>
      <c r="B4644" s="148"/>
      <c r="C4644" s="22" t="s">
        <v>49</v>
      </c>
      <c r="D4644" s="149"/>
      <c r="E4644" s="150"/>
      <c r="F4644" s="151"/>
      <c r="G4644" s="151"/>
      <c r="H4644" s="142">
        <f>IFERROR(VLOOKUP($C4644,$C$5:$H$18,6,0)+SUMIF($C$19:$C4644,$C4644,$F$19:$F4644)-SUMIF($C$19:$C4644,$C4644,$G$19:$G4644),"")</f>
        <v>81211.819999998</v>
      </c>
      <c r="I4644" s="147"/>
      <c r="J4644" s="147"/>
      <c r="K4644" s="147" t="str">
        <f t="shared" si="72"/>
        <v/>
      </c>
      <c r="L4644" s="40"/>
      <c r="M4644"/>
      <c r="N4644"/>
      <c r="O4644"/>
      <c r="P4644"/>
      <c r="Q4644"/>
      <c r="R4644"/>
      <c r="S4644"/>
      <c r="T4644"/>
      <c r="U4644"/>
      <c r="V4644"/>
      <c r="W4644" s="41"/>
      <c r="X4644" s="41"/>
      <c r="Y4644" s="41"/>
    </row>
    <row r="4645" s="27" customFormat="1" ht="23" hidden="1" customHeight="1" spans="1:25">
      <c r="A4645" s="133" t="str">
        <f>IF(B4645="","",COUNTA($B$5:B4645))</f>
        <v/>
      </c>
      <c r="B4645" s="148"/>
      <c r="C4645" s="22" t="s">
        <v>49</v>
      </c>
      <c r="D4645" s="149"/>
      <c r="E4645" s="150"/>
      <c r="F4645" s="151"/>
      <c r="G4645" s="151"/>
      <c r="H4645" s="142">
        <f>IFERROR(VLOOKUP($C4645,$C$5:$H$18,6,0)+SUMIF($C$19:$C4645,$C4645,$F$19:$F4645)-SUMIF($C$19:$C4645,$C4645,$G$19:$G4645),"")</f>
        <v>81211.819999998</v>
      </c>
      <c r="I4645" s="147"/>
      <c r="J4645" s="147"/>
      <c r="K4645" s="147" t="str">
        <f t="shared" si="72"/>
        <v/>
      </c>
      <c r="L4645" s="40"/>
      <c r="M4645"/>
      <c r="N4645"/>
      <c r="O4645"/>
      <c r="P4645"/>
      <c r="Q4645"/>
      <c r="R4645"/>
      <c r="S4645"/>
      <c r="T4645"/>
      <c r="U4645"/>
      <c r="V4645"/>
      <c r="W4645" s="41"/>
      <c r="X4645" s="41"/>
      <c r="Y4645" s="41"/>
    </row>
    <row r="4646" s="27" customFormat="1" ht="23" hidden="1" customHeight="1" spans="1:25">
      <c r="A4646" s="133" t="str">
        <f>IF(B4646="","",COUNTA($B$5:B4646))</f>
        <v/>
      </c>
      <c r="B4646" s="148"/>
      <c r="C4646" s="22" t="s">
        <v>49</v>
      </c>
      <c r="D4646" s="149"/>
      <c r="E4646" s="150"/>
      <c r="F4646" s="151"/>
      <c r="G4646" s="151"/>
      <c r="H4646" s="142">
        <f>IFERROR(VLOOKUP($C4646,$C$5:$H$18,6,0)+SUMIF($C$19:$C4646,$C4646,$F$19:$F4646)-SUMIF($C$19:$C4646,$C4646,$G$19:$G4646),"")</f>
        <v>81211.819999998</v>
      </c>
      <c r="I4646" s="147"/>
      <c r="J4646" s="147"/>
      <c r="K4646" s="147" t="str">
        <f t="shared" si="72"/>
        <v/>
      </c>
      <c r="L4646" s="40"/>
      <c r="M4646"/>
      <c r="N4646"/>
      <c r="O4646"/>
      <c r="P4646"/>
      <c r="Q4646"/>
      <c r="R4646"/>
      <c r="S4646"/>
      <c r="T4646"/>
      <c r="U4646"/>
      <c r="V4646"/>
      <c r="W4646" s="41"/>
      <c r="X4646" s="41"/>
      <c r="Y4646" s="41"/>
    </row>
    <row r="4647" s="27" customFormat="1" ht="23" hidden="1" customHeight="1" spans="1:25">
      <c r="A4647" s="133" t="str">
        <f>IF(B4647="","",COUNTA($B$5:B4647))</f>
        <v/>
      </c>
      <c r="B4647" s="148"/>
      <c r="C4647" s="22" t="s">
        <v>49</v>
      </c>
      <c r="D4647" s="149"/>
      <c r="E4647" s="150"/>
      <c r="F4647" s="151"/>
      <c r="G4647" s="151"/>
      <c r="H4647" s="142">
        <f>IFERROR(VLOOKUP($C4647,$C$5:$H$18,6,0)+SUMIF($C$19:$C4647,$C4647,$F$19:$F4647)-SUMIF($C$19:$C4647,$C4647,$G$19:$G4647),"")</f>
        <v>81211.819999998</v>
      </c>
      <c r="I4647" s="147"/>
      <c r="J4647" s="147"/>
      <c r="K4647" s="147" t="str">
        <f t="shared" si="72"/>
        <v/>
      </c>
      <c r="L4647" s="40"/>
      <c r="M4647"/>
      <c r="N4647"/>
      <c r="O4647"/>
      <c r="P4647"/>
      <c r="Q4647"/>
      <c r="R4647"/>
      <c r="S4647"/>
      <c r="T4647"/>
      <c r="U4647"/>
      <c r="V4647"/>
      <c r="W4647" s="41"/>
      <c r="X4647" s="41"/>
      <c r="Y4647" s="41"/>
    </row>
    <row r="4648" s="27" customFormat="1" ht="23" hidden="1" customHeight="1" spans="1:25">
      <c r="A4648" s="133" t="str">
        <f>IF(B4648="","",COUNTA($B$5:B4648))</f>
        <v/>
      </c>
      <c r="B4648" s="148"/>
      <c r="C4648" s="22" t="s">
        <v>49</v>
      </c>
      <c r="D4648" s="149"/>
      <c r="E4648" s="150"/>
      <c r="F4648" s="151"/>
      <c r="G4648" s="151"/>
      <c r="H4648" s="142">
        <f>IFERROR(VLOOKUP($C4648,$C$5:$H$18,6,0)+SUMIF($C$19:$C4648,$C4648,$F$19:$F4648)-SUMIF($C$19:$C4648,$C4648,$G$19:$G4648),"")</f>
        <v>81211.819999998</v>
      </c>
      <c r="I4648" s="147"/>
      <c r="J4648" s="147"/>
      <c r="K4648" s="147" t="str">
        <f t="shared" si="72"/>
        <v/>
      </c>
      <c r="L4648" s="40"/>
      <c r="M4648"/>
      <c r="N4648"/>
      <c r="O4648"/>
      <c r="P4648"/>
      <c r="Q4648"/>
      <c r="R4648"/>
      <c r="S4648"/>
      <c r="T4648"/>
      <c r="U4648"/>
      <c r="V4648"/>
      <c r="W4648" s="41"/>
      <c r="X4648" s="41"/>
      <c r="Y4648" s="41"/>
    </row>
    <row r="4649" s="27" customFormat="1" ht="23" hidden="1" customHeight="1" spans="1:25">
      <c r="A4649" s="133" t="str">
        <f>IF(B4649="","",COUNTA($B$5:B4649))</f>
        <v/>
      </c>
      <c r="B4649" s="148"/>
      <c r="C4649" s="22" t="s">
        <v>49</v>
      </c>
      <c r="D4649" s="149"/>
      <c r="E4649" s="150"/>
      <c r="F4649" s="151"/>
      <c r="G4649" s="151"/>
      <c r="H4649" s="142">
        <f>IFERROR(VLOOKUP($C4649,$C$5:$H$18,6,0)+SUMIF($C$19:$C4649,$C4649,$F$19:$F4649)-SUMIF($C$19:$C4649,$C4649,$G$19:$G4649),"")</f>
        <v>81211.819999998</v>
      </c>
      <c r="I4649" s="147"/>
      <c r="J4649" s="147"/>
      <c r="K4649" s="147" t="str">
        <f t="shared" si="72"/>
        <v/>
      </c>
      <c r="L4649" s="40"/>
      <c r="M4649"/>
      <c r="N4649"/>
      <c r="O4649"/>
      <c r="P4649"/>
      <c r="Q4649"/>
      <c r="R4649"/>
      <c r="S4649"/>
      <c r="T4649"/>
      <c r="U4649"/>
      <c r="V4649"/>
      <c r="W4649" s="41"/>
      <c r="X4649" s="41"/>
      <c r="Y4649" s="41"/>
    </row>
    <row r="4650" s="27" customFormat="1" ht="23" hidden="1" customHeight="1" spans="1:25">
      <c r="A4650" s="133" t="str">
        <f>IF(B4650="","",COUNTA($B$5:B4650))</f>
        <v/>
      </c>
      <c r="B4650" s="148"/>
      <c r="C4650" s="22" t="s">
        <v>49</v>
      </c>
      <c r="D4650" s="149"/>
      <c r="E4650" s="150"/>
      <c r="F4650" s="151"/>
      <c r="G4650" s="151"/>
      <c r="H4650" s="142">
        <f>IFERROR(VLOOKUP($C4650,$C$5:$H$18,6,0)+SUMIF($C$19:$C4650,$C4650,$F$19:$F4650)-SUMIF($C$19:$C4650,$C4650,$G$19:$G4650),"")</f>
        <v>81211.819999998</v>
      </c>
      <c r="I4650" s="147"/>
      <c r="J4650" s="147"/>
      <c r="K4650" s="147" t="str">
        <f t="shared" si="72"/>
        <v/>
      </c>
      <c r="L4650" s="40"/>
      <c r="M4650"/>
      <c r="N4650"/>
      <c r="O4650"/>
      <c r="P4650"/>
      <c r="Q4650"/>
      <c r="R4650"/>
      <c r="S4650"/>
      <c r="T4650"/>
      <c r="U4650"/>
      <c r="V4650"/>
      <c r="W4650" s="41"/>
      <c r="X4650" s="41"/>
      <c r="Y4650" s="41"/>
    </row>
    <row r="4651" s="27" customFormat="1" ht="23" hidden="1" customHeight="1" spans="1:25">
      <c r="A4651" s="133" t="str">
        <f>IF(B4651="","",COUNTA($B$5:B4651))</f>
        <v/>
      </c>
      <c r="B4651" s="148"/>
      <c r="C4651" s="22" t="s">
        <v>49</v>
      </c>
      <c r="D4651" s="149"/>
      <c r="E4651" s="150"/>
      <c r="F4651" s="151"/>
      <c r="G4651" s="151"/>
      <c r="H4651" s="142">
        <f>IFERROR(VLOOKUP($C4651,$C$5:$H$18,6,0)+SUMIF($C$19:$C4651,$C4651,$F$19:$F4651)-SUMIF($C$19:$C4651,$C4651,$G$19:$G4651),"")</f>
        <v>81211.819999998</v>
      </c>
      <c r="I4651" s="147"/>
      <c r="J4651" s="147"/>
      <c r="K4651" s="147" t="str">
        <f t="shared" si="72"/>
        <v/>
      </c>
      <c r="L4651" s="40"/>
      <c r="M4651"/>
      <c r="N4651"/>
      <c r="O4651"/>
      <c r="P4651"/>
      <c r="Q4651"/>
      <c r="R4651"/>
      <c r="S4651"/>
      <c r="T4651"/>
      <c r="U4651"/>
      <c r="V4651"/>
      <c r="W4651" s="41"/>
      <c r="X4651" s="41"/>
      <c r="Y4651" s="41"/>
    </row>
    <row r="4652" s="27" customFormat="1" ht="23" hidden="1" customHeight="1" spans="1:25">
      <c r="A4652" s="133" t="str">
        <f>IF(B4652="","",COUNTA($B$5:B4652))</f>
        <v/>
      </c>
      <c r="B4652" s="148"/>
      <c r="C4652" s="22" t="s">
        <v>49</v>
      </c>
      <c r="D4652" s="149"/>
      <c r="E4652" s="150"/>
      <c r="F4652" s="151"/>
      <c r="G4652" s="151"/>
      <c r="H4652" s="142">
        <f>IFERROR(VLOOKUP($C4652,$C$5:$H$18,6,0)+SUMIF($C$19:$C4652,$C4652,$F$19:$F4652)-SUMIF($C$19:$C4652,$C4652,$G$19:$G4652),"")</f>
        <v>81211.819999998</v>
      </c>
      <c r="I4652" s="147"/>
      <c r="J4652" s="147"/>
      <c r="K4652" s="147" t="str">
        <f t="shared" si="72"/>
        <v/>
      </c>
      <c r="L4652" s="40"/>
      <c r="M4652"/>
      <c r="N4652"/>
      <c r="O4652"/>
      <c r="P4652"/>
      <c r="Q4652"/>
      <c r="R4652"/>
      <c r="S4652"/>
      <c r="T4652"/>
      <c r="U4652"/>
      <c r="V4652"/>
      <c r="W4652" s="41"/>
      <c r="X4652" s="41"/>
      <c r="Y4652" s="41"/>
    </row>
    <row r="4653" s="27" customFormat="1" ht="23" hidden="1" customHeight="1" spans="1:25">
      <c r="A4653" s="133" t="str">
        <f>IF(B4653="","",COUNTA($B$5:B4653))</f>
        <v/>
      </c>
      <c r="B4653" s="148"/>
      <c r="C4653" s="22" t="s">
        <v>49</v>
      </c>
      <c r="D4653" s="149"/>
      <c r="E4653" s="150"/>
      <c r="F4653" s="151"/>
      <c r="G4653" s="151"/>
      <c r="H4653" s="142">
        <f>IFERROR(VLOOKUP($C4653,$C$5:$H$18,6,0)+SUMIF($C$19:$C4653,$C4653,$F$19:$F4653)-SUMIF($C$19:$C4653,$C4653,$G$19:$G4653),"")</f>
        <v>81211.819999998</v>
      </c>
      <c r="I4653" s="147"/>
      <c r="J4653" s="147"/>
      <c r="K4653" s="147" t="str">
        <f t="shared" si="72"/>
        <v/>
      </c>
      <c r="L4653" s="40"/>
      <c r="M4653"/>
      <c r="N4653"/>
      <c r="O4653"/>
      <c r="P4653"/>
      <c r="Q4653"/>
      <c r="R4653"/>
      <c r="S4653"/>
      <c r="T4653"/>
      <c r="U4653"/>
      <c r="V4653"/>
      <c r="W4653" s="41"/>
      <c r="X4653" s="41"/>
      <c r="Y4653" s="41"/>
    </row>
    <row r="4654" s="27" customFormat="1" ht="23" hidden="1" customHeight="1" spans="1:25">
      <c r="A4654" s="133" t="str">
        <f>IF(B4654="","",COUNTA($B$5:B4654))</f>
        <v/>
      </c>
      <c r="B4654" s="148"/>
      <c r="C4654" s="22" t="s">
        <v>49</v>
      </c>
      <c r="D4654" s="149"/>
      <c r="E4654" s="150"/>
      <c r="F4654" s="151"/>
      <c r="G4654" s="151"/>
      <c r="H4654" s="142">
        <f>IFERROR(VLOOKUP($C4654,$C$5:$H$18,6,0)+SUMIF($C$19:$C4654,$C4654,$F$19:$F4654)-SUMIF($C$19:$C4654,$C4654,$G$19:$G4654),"")</f>
        <v>81211.819999998</v>
      </c>
      <c r="I4654" s="147"/>
      <c r="J4654" s="147"/>
      <c r="K4654" s="147" t="str">
        <f t="shared" si="72"/>
        <v/>
      </c>
      <c r="L4654" s="40"/>
      <c r="M4654"/>
      <c r="N4654"/>
      <c r="O4654"/>
      <c r="P4654"/>
      <c r="Q4654"/>
      <c r="R4654"/>
      <c r="S4654"/>
      <c r="T4654"/>
      <c r="U4654"/>
      <c r="V4654"/>
      <c r="W4654" s="41"/>
      <c r="X4654" s="41"/>
      <c r="Y4654" s="41"/>
    </row>
    <row r="4655" s="27" customFormat="1" ht="23" hidden="1" customHeight="1" spans="1:25">
      <c r="A4655" s="133" t="str">
        <f>IF(B4655="","",COUNTA($B$5:B4655))</f>
        <v/>
      </c>
      <c r="B4655" s="148"/>
      <c r="C4655" s="22" t="s">
        <v>49</v>
      </c>
      <c r="D4655" s="149"/>
      <c r="E4655" s="150"/>
      <c r="F4655" s="151"/>
      <c r="G4655" s="151"/>
      <c r="H4655" s="142">
        <f>IFERROR(VLOOKUP($C4655,$C$5:$H$18,6,0)+SUMIF($C$19:$C4655,$C4655,$F$19:$F4655)-SUMIF($C$19:$C4655,$C4655,$G$19:$G4655),"")</f>
        <v>81211.819999998</v>
      </c>
      <c r="I4655" s="147"/>
      <c r="J4655" s="147"/>
      <c r="K4655" s="147" t="str">
        <f t="shared" si="72"/>
        <v/>
      </c>
      <c r="L4655" s="40"/>
      <c r="M4655"/>
      <c r="N4655"/>
      <c r="O4655"/>
      <c r="P4655"/>
      <c r="Q4655"/>
      <c r="R4655"/>
      <c r="S4655"/>
      <c r="T4655"/>
      <c r="U4655"/>
      <c r="V4655"/>
      <c r="W4655" s="41"/>
      <c r="X4655" s="41"/>
      <c r="Y4655" s="41"/>
    </row>
    <row r="4656" s="27" customFormat="1" ht="23" hidden="1" customHeight="1" spans="1:25">
      <c r="A4656" s="133" t="str">
        <f>IF(B4656="","",COUNTA($B$5:B4656))</f>
        <v/>
      </c>
      <c r="B4656" s="148"/>
      <c r="C4656" s="22" t="s">
        <v>49</v>
      </c>
      <c r="D4656" s="149"/>
      <c r="E4656" s="150"/>
      <c r="F4656" s="151"/>
      <c r="G4656" s="151"/>
      <c r="H4656" s="142">
        <f>IFERROR(VLOOKUP($C4656,$C$5:$H$18,6,0)+SUMIF($C$19:$C4656,$C4656,$F$19:$F4656)-SUMIF($C$19:$C4656,$C4656,$G$19:$G4656),"")</f>
        <v>81211.819999998</v>
      </c>
      <c r="I4656" s="147"/>
      <c r="J4656" s="147"/>
      <c r="K4656" s="147" t="str">
        <f t="shared" si="72"/>
        <v/>
      </c>
      <c r="L4656" s="40"/>
      <c r="M4656"/>
      <c r="N4656"/>
      <c r="O4656"/>
      <c r="P4656"/>
      <c r="Q4656"/>
      <c r="R4656"/>
      <c r="S4656"/>
      <c r="T4656"/>
      <c r="U4656"/>
      <c r="V4656"/>
      <c r="W4656" s="41"/>
      <c r="X4656" s="41"/>
      <c r="Y4656" s="41"/>
    </row>
    <row r="4657" s="27" customFormat="1" ht="23" hidden="1" customHeight="1" spans="1:25">
      <c r="A4657" s="133" t="str">
        <f>IF(B4657="","",COUNTA($B$5:B4657))</f>
        <v/>
      </c>
      <c r="B4657" s="148"/>
      <c r="C4657" s="22" t="s">
        <v>49</v>
      </c>
      <c r="D4657" s="149"/>
      <c r="E4657" s="150"/>
      <c r="F4657" s="151"/>
      <c r="G4657" s="151"/>
      <c r="H4657" s="142">
        <f>IFERROR(VLOOKUP($C4657,$C$5:$H$18,6,0)+SUMIF($C$19:$C4657,$C4657,$F$19:$F4657)-SUMIF($C$19:$C4657,$C4657,$G$19:$G4657),"")</f>
        <v>81211.819999998</v>
      </c>
      <c r="I4657" s="147"/>
      <c r="J4657" s="147"/>
      <c r="K4657" s="147" t="str">
        <f t="shared" si="72"/>
        <v/>
      </c>
      <c r="L4657" s="40"/>
      <c r="M4657"/>
      <c r="N4657"/>
      <c r="O4657"/>
      <c r="P4657"/>
      <c r="Q4657"/>
      <c r="R4657"/>
      <c r="S4657"/>
      <c r="T4657"/>
      <c r="U4657"/>
      <c r="V4657"/>
      <c r="W4657" s="41"/>
      <c r="X4657" s="41"/>
      <c r="Y4657" s="41"/>
    </row>
    <row r="4658" s="27" customFormat="1" ht="23" hidden="1" customHeight="1" spans="1:25">
      <c r="A4658" s="133" t="str">
        <f>IF(B4658="","",COUNTA($B$5:B4658))</f>
        <v/>
      </c>
      <c r="B4658" s="148"/>
      <c r="C4658" s="22" t="s">
        <v>49</v>
      </c>
      <c r="D4658" s="149"/>
      <c r="E4658" s="150"/>
      <c r="F4658" s="151"/>
      <c r="G4658" s="151"/>
      <c r="H4658" s="142">
        <f>IFERROR(VLOOKUP($C4658,$C$5:$H$18,6,0)+SUMIF($C$19:$C4658,$C4658,$F$19:$F4658)-SUMIF($C$19:$C4658,$C4658,$G$19:$G4658),"")</f>
        <v>81211.819999998</v>
      </c>
      <c r="I4658" s="147"/>
      <c r="J4658" s="147"/>
      <c r="K4658" s="147" t="str">
        <f t="shared" si="72"/>
        <v/>
      </c>
      <c r="L4658" s="40"/>
      <c r="M4658"/>
      <c r="N4658"/>
      <c r="O4658"/>
      <c r="P4658"/>
      <c r="Q4658"/>
      <c r="R4658"/>
      <c r="S4658"/>
      <c r="T4658"/>
      <c r="U4658"/>
      <c r="V4658"/>
      <c r="W4658" s="41"/>
      <c r="X4658" s="41"/>
      <c r="Y4658" s="41"/>
    </row>
    <row r="4659" s="27" customFormat="1" ht="23" hidden="1" customHeight="1" spans="1:25">
      <c r="A4659" s="133" t="str">
        <f>IF(B4659="","",COUNTA($B$5:B4659))</f>
        <v/>
      </c>
      <c r="B4659" s="148"/>
      <c r="C4659" s="22" t="s">
        <v>49</v>
      </c>
      <c r="D4659" s="149"/>
      <c r="E4659" s="150"/>
      <c r="F4659" s="151"/>
      <c r="G4659" s="151"/>
      <c r="H4659" s="142">
        <f>IFERROR(VLOOKUP($C4659,$C$5:$H$18,6,0)+SUMIF($C$19:$C4659,$C4659,$F$19:$F4659)-SUMIF($C$19:$C4659,$C4659,$G$19:$G4659),"")</f>
        <v>81211.819999998</v>
      </c>
      <c r="I4659" s="147"/>
      <c r="J4659" s="147"/>
      <c r="K4659" s="147" t="str">
        <f t="shared" si="72"/>
        <v/>
      </c>
      <c r="L4659" s="40"/>
      <c r="M4659"/>
      <c r="N4659"/>
      <c r="O4659"/>
      <c r="P4659"/>
      <c r="Q4659"/>
      <c r="R4659"/>
      <c r="S4659"/>
      <c r="T4659"/>
      <c r="U4659"/>
      <c r="V4659"/>
      <c r="W4659" s="41"/>
      <c r="X4659" s="41"/>
      <c r="Y4659" s="41"/>
    </row>
    <row r="4660" s="27" customFormat="1" ht="23" hidden="1" customHeight="1" spans="1:25">
      <c r="A4660" s="133" t="str">
        <f>IF(B4660="","",COUNTA($B$5:B4660))</f>
        <v/>
      </c>
      <c r="B4660" s="148"/>
      <c r="C4660" s="22" t="s">
        <v>49</v>
      </c>
      <c r="D4660" s="149"/>
      <c r="E4660" s="150"/>
      <c r="F4660" s="151"/>
      <c r="G4660" s="151"/>
      <c r="H4660" s="142">
        <f>IFERROR(VLOOKUP($C4660,$C$5:$H$18,6,0)+SUMIF($C$19:$C4660,$C4660,$F$19:$F4660)-SUMIF($C$19:$C4660,$C4660,$G$19:$G4660),"")</f>
        <v>81211.819999998</v>
      </c>
      <c r="I4660" s="147"/>
      <c r="J4660" s="147"/>
      <c r="K4660" s="147" t="str">
        <f t="shared" si="72"/>
        <v/>
      </c>
      <c r="L4660" s="40"/>
      <c r="M4660"/>
      <c r="N4660"/>
      <c r="O4660"/>
      <c r="P4660"/>
      <c r="Q4660"/>
      <c r="R4660"/>
      <c r="S4660"/>
      <c r="T4660"/>
      <c r="U4660"/>
      <c r="V4660"/>
      <c r="W4660" s="41"/>
      <c r="X4660" s="41"/>
      <c r="Y4660" s="41"/>
    </row>
    <row r="4661" s="27" customFormat="1" ht="23" hidden="1" customHeight="1" spans="1:25">
      <c r="A4661" s="133" t="str">
        <f>IF(B4661="","",COUNTA($B$5:B4661))</f>
        <v/>
      </c>
      <c r="B4661" s="148"/>
      <c r="C4661" s="22" t="s">
        <v>49</v>
      </c>
      <c r="D4661" s="149"/>
      <c r="E4661" s="150"/>
      <c r="F4661" s="151"/>
      <c r="G4661" s="151"/>
      <c r="H4661" s="142">
        <f>IFERROR(VLOOKUP($C4661,$C$5:$H$18,6,0)+SUMIF($C$19:$C4661,$C4661,$F$19:$F4661)-SUMIF($C$19:$C4661,$C4661,$G$19:$G4661),"")</f>
        <v>81211.819999998</v>
      </c>
      <c r="I4661" s="147"/>
      <c r="J4661" s="147"/>
      <c r="K4661" s="147" t="str">
        <f t="shared" si="72"/>
        <v/>
      </c>
      <c r="L4661" s="40"/>
      <c r="M4661"/>
      <c r="N4661"/>
      <c r="O4661"/>
      <c r="P4661"/>
      <c r="Q4661"/>
      <c r="R4661"/>
      <c r="S4661"/>
      <c r="T4661"/>
      <c r="U4661"/>
      <c r="V4661"/>
      <c r="W4661" s="41"/>
      <c r="X4661" s="41"/>
      <c r="Y4661" s="41"/>
    </row>
    <row r="4662" s="27" customFormat="1" ht="23" hidden="1" customHeight="1" spans="1:25">
      <c r="A4662" s="133" t="str">
        <f>IF(B4662="","",COUNTA($B$5:B4662))</f>
        <v/>
      </c>
      <c r="B4662" s="148"/>
      <c r="C4662" s="22" t="s">
        <v>49</v>
      </c>
      <c r="D4662" s="149"/>
      <c r="E4662" s="150"/>
      <c r="F4662" s="151"/>
      <c r="G4662" s="151"/>
      <c r="H4662" s="142">
        <f>IFERROR(VLOOKUP($C4662,$C$5:$H$18,6,0)+SUMIF($C$19:$C4662,$C4662,$F$19:$F4662)-SUMIF($C$19:$C4662,$C4662,$G$19:$G4662),"")</f>
        <v>81211.819999998</v>
      </c>
      <c r="I4662" s="147"/>
      <c r="J4662" s="147"/>
      <c r="K4662" s="147" t="str">
        <f t="shared" si="72"/>
        <v/>
      </c>
      <c r="L4662" s="40"/>
      <c r="M4662"/>
      <c r="N4662"/>
      <c r="O4662"/>
      <c r="P4662"/>
      <c r="Q4662"/>
      <c r="R4662"/>
      <c r="S4662"/>
      <c r="T4662"/>
      <c r="U4662"/>
      <c r="V4662"/>
      <c r="W4662" s="41"/>
      <c r="X4662" s="41"/>
      <c r="Y4662" s="41"/>
    </row>
    <row r="4663" s="27" customFormat="1" ht="23" hidden="1" customHeight="1" spans="1:25">
      <c r="A4663" s="133" t="str">
        <f>IF(B4663="","",COUNTA($B$5:B4663))</f>
        <v/>
      </c>
      <c r="B4663" s="148"/>
      <c r="C4663" s="22" t="s">
        <v>49</v>
      </c>
      <c r="D4663" s="149"/>
      <c r="E4663" s="150"/>
      <c r="F4663" s="151"/>
      <c r="G4663" s="151"/>
      <c r="H4663" s="142">
        <f>IFERROR(VLOOKUP($C4663,$C$5:$H$18,6,0)+SUMIF($C$19:$C4663,$C4663,$F$19:$F4663)-SUMIF($C$19:$C4663,$C4663,$G$19:$G4663),"")</f>
        <v>81211.819999998</v>
      </c>
      <c r="I4663" s="147"/>
      <c r="J4663" s="147"/>
      <c r="K4663" s="147" t="str">
        <f t="shared" si="72"/>
        <v/>
      </c>
      <c r="L4663" s="40"/>
      <c r="M4663"/>
      <c r="N4663"/>
      <c r="O4663"/>
      <c r="P4663"/>
      <c r="Q4663"/>
      <c r="R4663"/>
      <c r="S4663"/>
      <c r="T4663"/>
      <c r="U4663"/>
      <c r="V4663"/>
      <c r="W4663" s="41"/>
      <c r="X4663" s="41"/>
      <c r="Y4663" s="41"/>
    </row>
    <row r="4664" s="27" customFormat="1" ht="23" hidden="1" customHeight="1" spans="1:25">
      <c r="A4664" s="133" t="str">
        <f>IF(B4664="","",COUNTA($B$5:B4664))</f>
        <v/>
      </c>
      <c r="B4664" s="148"/>
      <c r="C4664" s="22" t="s">
        <v>49</v>
      </c>
      <c r="D4664" s="149"/>
      <c r="E4664" s="150"/>
      <c r="F4664" s="151"/>
      <c r="G4664" s="151"/>
      <c r="H4664" s="142">
        <f>IFERROR(VLOOKUP($C4664,$C$5:$H$18,6,0)+SUMIF($C$19:$C4664,$C4664,$F$19:$F4664)-SUMIF($C$19:$C4664,$C4664,$G$19:$G4664),"")</f>
        <v>81211.819999998</v>
      </c>
      <c r="I4664" s="147"/>
      <c r="J4664" s="147"/>
      <c r="K4664" s="147" t="str">
        <f t="shared" si="72"/>
        <v/>
      </c>
      <c r="L4664" s="40"/>
      <c r="M4664"/>
      <c r="N4664"/>
      <c r="O4664"/>
      <c r="P4664"/>
      <c r="Q4664"/>
      <c r="R4664"/>
      <c r="S4664"/>
      <c r="T4664"/>
      <c r="U4664"/>
      <c r="V4664"/>
      <c r="W4664" s="41"/>
      <c r="X4664" s="41"/>
      <c r="Y4664" s="41"/>
    </row>
    <row r="4665" s="27" customFormat="1" ht="23" hidden="1" customHeight="1" spans="1:25">
      <c r="A4665" s="133" t="str">
        <f>IF(B4665="","",COUNTA($B$5:B4665))</f>
        <v/>
      </c>
      <c r="B4665" s="148"/>
      <c r="C4665" s="22" t="s">
        <v>49</v>
      </c>
      <c r="D4665" s="149"/>
      <c r="E4665" s="150"/>
      <c r="F4665" s="151"/>
      <c r="G4665" s="151"/>
      <c r="H4665" s="142">
        <f>IFERROR(VLOOKUP($C4665,$C$5:$H$18,6,0)+SUMIF($C$19:$C4665,$C4665,$F$19:$F4665)-SUMIF($C$19:$C4665,$C4665,$G$19:$G4665),"")</f>
        <v>81211.819999998</v>
      </c>
      <c r="I4665" s="147"/>
      <c r="J4665" s="147"/>
      <c r="K4665" s="147" t="str">
        <f t="shared" si="72"/>
        <v/>
      </c>
      <c r="L4665" s="40"/>
      <c r="M4665"/>
      <c r="N4665"/>
      <c r="O4665"/>
      <c r="P4665"/>
      <c r="Q4665"/>
      <c r="R4665"/>
      <c r="S4665"/>
      <c r="T4665"/>
      <c r="U4665"/>
      <c r="V4665"/>
      <c r="W4665" s="41"/>
      <c r="X4665" s="41"/>
      <c r="Y4665" s="41"/>
    </row>
    <row r="4666" s="27" customFormat="1" ht="23" hidden="1" customHeight="1" spans="1:25">
      <c r="A4666" s="133" t="str">
        <f>IF(B4666="","",COUNTA($B$5:B4666))</f>
        <v/>
      </c>
      <c r="B4666" s="148"/>
      <c r="C4666" s="22" t="s">
        <v>49</v>
      </c>
      <c r="D4666" s="149"/>
      <c r="E4666" s="150"/>
      <c r="F4666" s="151"/>
      <c r="G4666" s="151"/>
      <c r="H4666" s="142">
        <f>IFERROR(VLOOKUP($C4666,$C$5:$H$18,6,0)+SUMIF($C$19:$C4666,$C4666,$F$19:$F4666)-SUMIF($C$19:$C4666,$C4666,$G$19:$G4666),"")</f>
        <v>81211.819999998</v>
      </c>
      <c r="I4666" s="147"/>
      <c r="J4666" s="147"/>
      <c r="K4666" s="147" t="str">
        <f t="shared" si="72"/>
        <v/>
      </c>
      <c r="L4666" s="40"/>
      <c r="M4666"/>
      <c r="N4666"/>
      <c r="O4666"/>
      <c r="P4666"/>
      <c r="Q4666"/>
      <c r="R4666"/>
      <c r="S4666"/>
      <c r="T4666"/>
      <c r="U4666"/>
      <c r="V4666"/>
      <c r="W4666" s="41"/>
      <c r="X4666" s="41"/>
      <c r="Y4666" s="41"/>
    </row>
    <row r="4667" s="27" customFormat="1" ht="23" hidden="1" customHeight="1" spans="1:25">
      <c r="A4667" s="133" t="str">
        <f>IF(B4667="","",COUNTA($B$5:B4667))</f>
        <v/>
      </c>
      <c r="B4667" s="148"/>
      <c r="C4667" s="22" t="s">
        <v>49</v>
      </c>
      <c r="D4667" s="149"/>
      <c r="E4667" s="150"/>
      <c r="F4667" s="151"/>
      <c r="G4667" s="151"/>
      <c r="H4667" s="142">
        <f>IFERROR(VLOOKUP($C4667,$C$5:$H$18,6,0)+SUMIF($C$19:$C4667,$C4667,$F$19:$F4667)-SUMIF($C$19:$C4667,$C4667,$G$19:$G4667),"")</f>
        <v>81211.819999998</v>
      </c>
      <c r="I4667" s="147"/>
      <c r="J4667" s="147"/>
      <c r="K4667" s="147" t="str">
        <f t="shared" si="72"/>
        <v/>
      </c>
      <c r="L4667" s="40"/>
      <c r="M4667"/>
      <c r="N4667"/>
      <c r="O4667"/>
      <c r="P4667"/>
      <c r="Q4667"/>
      <c r="R4667"/>
      <c r="S4667"/>
      <c r="T4667"/>
      <c r="U4667"/>
      <c r="V4667"/>
      <c r="W4667" s="41"/>
      <c r="X4667" s="41"/>
      <c r="Y4667" s="41"/>
    </row>
    <row r="4668" s="27" customFormat="1" ht="23" hidden="1" customHeight="1" spans="1:25">
      <c r="A4668" s="133" t="str">
        <f>IF(B4668="","",COUNTA($B$5:B4668))</f>
        <v/>
      </c>
      <c r="B4668" s="148"/>
      <c r="C4668" s="22" t="s">
        <v>49</v>
      </c>
      <c r="D4668" s="149"/>
      <c r="E4668" s="150"/>
      <c r="F4668" s="151"/>
      <c r="G4668" s="151"/>
      <c r="H4668" s="142">
        <f>IFERROR(VLOOKUP($C4668,$C$5:$H$18,6,0)+SUMIF($C$19:$C4668,$C4668,$F$19:$F4668)-SUMIF($C$19:$C4668,$C4668,$G$19:$G4668),"")</f>
        <v>81211.819999998</v>
      </c>
      <c r="I4668" s="147"/>
      <c r="J4668" s="147"/>
      <c r="K4668" s="147" t="str">
        <f t="shared" si="72"/>
        <v/>
      </c>
      <c r="L4668" s="40"/>
      <c r="M4668"/>
      <c r="N4668"/>
      <c r="O4668"/>
      <c r="P4668"/>
      <c r="Q4668"/>
      <c r="R4668"/>
      <c r="S4668"/>
      <c r="T4668"/>
      <c r="U4668"/>
      <c r="V4668"/>
      <c r="W4668" s="41"/>
      <c r="X4668" s="41"/>
      <c r="Y4668" s="41"/>
    </row>
    <row r="4669" s="27" customFormat="1" ht="23" hidden="1" customHeight="1" spans="1:25">
      <c r="A4669" s="133" t="str">
        <f>IF(B4669="","",COUNTA($B$5:B4669))</f>
        <v/>
      </c>
      <c r="B4669" s="148"/>
      <c r="C4669" s="22" t="s">
        <v>49</v>
      </c>
      <c r="D4669" s="149"/>
      <c r="E4669" s="150"/>
      <c r="F4669" s="151"/>
      <c r="G4669" s="151"/>
      <c r="H4669" s="142">
        <f>IFERROR(VLOOKUP($C4669,$C$5:$H$18,6,0)+SUMIF($C$19:$C4669,$C4669,$F$19:$F4669)-SUMIF($C$19:$C4669,$C4669,$G$19:$G4669),"")</f>
        <v>81211.819999998</v>
      </c>
      <c r="I4669" s="147"/>
      <c r="J4669" s="147"/>
      <c r="K4669" s="147" t="str">
        <f t="shared" si="72"/>
        <v/>
      </c>
      <c r="L4669" s="40"/>
      <c r="M4669"/>
      <c r="N4669"/>
      <c r="O4669"/>
      <c r="P4669"/>
      <c r="Q4669"/>
      <c r="R4669"/>
      <c r="S4669"/>
      <c r="T4669"/>
      <c r="U4669"/>
      <c r="V4669"/>
      <c r="W4669" s="41"/>
      <c r="X4669" s="41"/>
      <c r="Y4669" s="41"/>
    </row>
    <row r="4670" s="27" customFormat="1" ht="23" hidden="1" customHeight="1" spans="1:25">
      <c r="A4670" s="133" t="str">
        <f>IF(B4670="","",COUNTA($B$5:B4670))</f>
        <v/>
      </c>
      <c r="B4670" s="148"/>
      <c r="C4670" s="22" t="s">
        <v>49</v>
      </c>
      <c r="D4670" s="149"/>
      <c r="E4670" s="150"/>
      <c r="F4670" s="151"/>
      <c r="G4670" s="151"/>
      <c r="H4670" s="142">
        <f>IFERROR(VLOOKUP($C4670,$C$5:$H$18,6,0)+SUMIF($C$19:$C4670,$C4670,$F$19:$F4670)-SUMIF($C$19:$C4670,$C4670,$G$19:$G4670),"")</f>
        <v>81211.819999998</v>
      </c>
      <c r="I4670" s="147"/>
      <c r="J4670" s="147"/>
      <c r="K4670" s="147" t="str">
        <f t="shared" si="72"/>
        <v/>
      </c>
      <c r="L4670" s="40"/>
      <c r="M4670"/>
      <c r="N4670"/>
      <c r="O4670"/>
      <c r="P4670"/>
      <c r="Q4670"/>
      <c r="R4670"/>
      <c r="S4670"/>
      <c r="T4670"/>
      <c r="U4670"/>
      <c r="V4670"/>
      <c r="W4670" s="41"/>
      <c r="X4670" s="41"/>
      <c r="Y4670" s="41"/>
    </row>
    <row r="4671" s="27" customFormat="1" ht="23" hidden="1" customHeight="1" spans="1:25">
      <c r="A4671" s="133" t="str">
        <f>IF(B4671="","",COUNTA($B$5:B4671))</f>
        <v/>
      </c>
      <c r="B4671" s="148"/>
      <c r="C4671" s="22" t="s">
        <v>49</v>
      </c>
      <c r="D4671" s="149"/>
      <c r="E4671" s="150"/>
      <c r="F4671" s="151"/>
      <c r="G4671" s="151"/>
      <c r="H4671" s="142">
        <f>IFERROR(VLOOKUP($C4671,$C$5:$H$18,6,0)+SUMIF($C$19:$C4671,$C4671,$F$19:$F4671)-SUMIF($C$19:$C4671,$C4671,$G$19:$G4671),"")</f>
        <v>81211.819999998</v>
      </c>
      <c r="I4671" s="147"/>
      <c r="J4671" s="147"/>
      <c r="K4671" s="147" t="str">
        <f t="shared" si="72"/>
        <v/>
      </c>
      <c r="L4671" s="40"/>
      <c r="M4671"/>
      <c r="N4671"/>
      <c r="O4671"/>
      <c r="P4671"/>
      <c r="Q4671"/>
      <c r="R4671"/>
      <c r="S4671"/>
      <c r="T4671"/>
      <c r="U4671"/>
      <c r="V4671"/>
      <c r="W4671" s="41"/>
      <c r="X4671" s="41"/>
      <c r="Y4671" s="41"/>
    </row>
    <row r="4672" s="27" customFormat="1" ht="23" hidden="1" customHeight="1" spans="1:25">
      <c r="A4672" s="133" t="str">
        <f>IF(B4672="","",COUNTA($B$5:B4672))</f>
        <v/>
      </c>
      <c r="B4672" s="148"/>
      <c r="C4672" s="22" t="s">
        <v>49</v>
      </c>
      <c r="D4672" s="149"/>
      <c r="E4672" s="150"/>
      <c r="F4672" s="151"/>
      <c r="G4672" s="151"/>
      <c r="H4672" s="142">
        <f>IFERROR(VLOOKUP($C4672,$C$5:$H$18,6,0)+SUMIF($C$19:$C4672,$C4672,$F$19:$F4672)-SUMIF($C$19:$C4672,$C4672,$G$19:$G4672),"")</f>
        <v>81211.819999998</v>
      </c>
      <c r="I4672" s="147"/>
      <c r="J4672" s="147"/>
      <c r="K4672" s="147" t="str">
        <f t="shared" si="72"/>
        <v/>
      </c>
      <c r="L4672" s="40"/>
      <c r="M4672"/>
      <c r="N4672"/>
      <c r="O4672"/>
      <c r="P4672"/>
      <c r="Q4672"/>
      <c r="R4672"/>
      <c r="S4672"/>
      <c r="T4672"/>
      <c r="U4672"/>
      <c r="V4672"/>
      <c r="W4672" s="41"/>
      <c r="X4672" s="41"/>
      <c r="Y4672" s="41"/>
    </row>
    <row r="4673" s="27" customFormat="1" ht="23" hidden="1" customHeight="1" spans="1:25">
      <c r="A4673" s="133" t="str">
        <f>IF(B4673="","",COUNTA($B$5:B4673))</f>
        <v/>
      </c>
      <c r="B4673" s="148"/>
      <c r="C4673" s="22" t="s">
        <v>49</v>
      </c>
      <c r="D4673" s="149"/>
      <c r="E4673" s="150"/>
      <c r="F4673" s="151"/>
      <c r="G4673" s="151"/>
      <c r="H4673" s="142">
        <f>IFERROR(VLOOKUP($C4673,$C$5:$H$18,6,0)+SUMIF($C$19:$C4673,$C4673,$F$19:$F4673)-SUMIF($C$19:$C4673,$C4673,$G$19:$G4673),"")</f>
        <v>81211.819999998</v>
      </c>
      <c r="I4673" s="147"/>
      <c r="J4673" s="147"/>
      <c r="K4673" s="147" t="str">
        <f t="shared" si="72"/>
        <v/>
      </c>
      <c r="L4673" s="40"/>
      <c r="M4673"/>
      <c r="N4673"/>
      <c r="O4673"/>
      <c r="P4673"/>
      <c r="Q4673"/>
      <c r="R4673"/>
      <c r="S4673"/>
      <c r="T4673"/>
      <c r="U4673"/>
      <c r="V4673"/>
      <c r="W4673" s="41"/>
      <c r="X4673" s="41"/>
      <c r="Y4673" s="41"/>
    </row>
    <row r="4674" s="27" customFormat="1" ht="23" hidden="1" customHeight="1" spans="1:25">
      <c r="A4674" s="133" t="str">
        <f>IF(B4674="","",COUNTA($B$5:B4674))</f>
        <v/>
      </c>
      <c r="B4674" s="148"/>
      <c r="C4674" s="22" t="s">
        <v>49</v>
      </c>
      <c r="D4674" s="149"/>
      <c r="E4674" s="150"/>
      <c r="F4674" s="151"/>
      <c r="G4674" s="151"/>
      <c r="H4674" s="142">
        <f>IFERROR(VLOOKUP($C4674,$C$5:$H$18,6,0)+SUMIF($C$19:$C4674,$C4674,$F$19:$F4674)-SUMIF($C$19:$C4674,$C4674,$G$19:$G4674),"")</f>
        <v>81211.819999998</v>
      </c>
      <c r="I4674" s="147"/>
      <c r="J4674" s="147"/>
      <c r="K4674" s="147" t="str">
        <f t="shared" si="72"/>
        <v/>
      </c>
      <c r="L4674" s="40"/>
      <c r="M4674"/>
      <c r="N4674"/>
      <c r="O4674"/>
      <c r="P4674"/>
      <c r="Q4674"/>
      <c r="R4674"/>
      <c r="S4674"/>
      <c r="T4674"/>
      <c r="U4674"/>
      <c r="V4674"/>
      <c r="W4674" s="41"/>
      <c r="X4674" s="41"/>
      <c r="Y4674" s="41"/>
    </row>
    <row r="4675" s="27" customFormat="1" ht="23" hidden="1" customHeight="1" spans="1:25">
      <c r="A4675" s="133" t="str">
        <f>IF(B4675="","",COUNTA($B$5:B4675))</f>
        <v/>
      </c>
      <c r="B4675" s="148"/>
      <c r="C4675" s="22" t="s">
        <v>49</v>
      </c>
      <c r="D4675" s="149"/>
      <c r="E4675" s="150"/>
      <c r="F4675" s="151"/>
      <c r="G4675" s="151"/>
      <c r="H4675" s="142">
        <f>IFERROR(VLOOKUP($C4675,$C$5:$H$18,6,0)+SUMIF($C$19:$C4675,$C4675,$F$19:$F4675)-SUMIF($C$19:$C4675,$C4675,$G$19:$G4675),"")</f>
        <v>81211.819999998</v>
      </c>
      <c r="I4675" s="147"/>
      <c r="J4675" s="147"/>
      <c r="K4675" s="147" t="str">
        <f t="shared" si="72"/>
        <v/>
      </c>
      <c r="L4675" s="40"/>
      <c r="M4675"/>
      <c r="N4675"/>
      <c r="O4675"/>
      <c r="P4675"/>
      <c r="Q4675"/>
      <c r="R4675"/>
      <c r="S4675"/>
      <c r="T4675"/>
      <c r="U4675"/>
      <c r="V4675"/>
      <c r="W4675" s="41"/>
      <c r="X4675" s="41"/>
      <c r="Y4675" s="41"/>
    </row>
    <row r="4676" s="27" customFormat="1" ht="23" hidden="1" customHeight="1" spans="1:25">
      <c r="A4676" s="133" t="str">
        <f>IF(B4676="","",COUNTA($B$5:B4676))</f>
        <v/>
      </c>
      <c r="B4676" s="148"/>
      <c r="C4676" s="22" t="s">
        <v>49</v>
      </c>
      <c r="D4676" s="149"/>
      <c r="E4676" s="150"/>
      <c r="F4676" s="151"/>
      <c r="G4676" s="151"/>
      <c r="H4676" s="142">
        <f>IFERROR(VLOOKUP($C4676,$C$5:$H$18,6,0)+SUMIF($C$19:$C4676,$C4676,$F$19:$F4676)-SUMIF($C$19:$C4676,$C4676,$G$19:$G4676),"")</f>
        <v>81211.819999998</v>
      </c>
      <c r="I4676" s="147"/>
      <c r="J4676" s="147"/>
      <c r="K4676" s="147" t="str">
        <f t="shared" si="72"/>
        <v/>
      </c>
      <c r="L4676" s="40"/>
      <c r="M4676"/>
      <c r="N4676"/>
      <c r="O4676"/>
      <c r="P4676"/>
      <c r="Q4676"/>
      <c r="R4676"/>
      <c r="S4676"/>
      <c r="T4676"/>
      <c r="U4676"/>
      <c r="V4676"/>
      <c r="W4676" s="41"/>
      <c r="X4676" s="41"/>
      <c r="Y4676" s="41"/>
    </row>
    <row r="4677" s="27" customFormat="1" ht="23" hidden="1" customHeight="1" spans="1:25">
      <c r="A4677" s="133" t="str">
        <f>IF(B4677="","",COUNTA($B$5:B4677))</f>
        <v/>
      </c>
      <c r="B4677" s="148"/>
      <c r="C4677" s="22" t="s">
        <v>49</v>
      </c>
      <c r="D4677" s="149"/>
      <c r="E4677" s="150"/>
      <c r="F4677" s="151"/>
      <c r="G4677" s="151"/>
      <c r="H4677" s="142">
        <f>IFERROR(VLOOKUP($C4677,$C$5:$H$18,6,0)+SUMIF($C$19:$C4677,$C4677,$F$19:$F4677)-SUMIF($C$19:$C4677,$C4677,$G$19:$G4677),"")</f>
        <v>81211.819999998</v>
      </c>
      <c r="I4677" s="147"/>
      <c r="J4677" s="147"/>
      <c r="K4677" s="147" t="str">
        <f t="shared" ref="K4677:K4740" si="73">IF($B4677="","",--TEXT($B4677,"yyyymm"))</f>
        <v/>
      </c>
      <c r="L4677" s="40"/>
      <c r="M4677"/>
      <c r="N4677"/>
      <c r="O4677"/>
      <c r="P4677"/>
      <c r="Q4677"/>
      <c r="R4677"/>
      <c r="S4677"/>
      <c r="T4677"/>
      <c r="U4677"/>
      <c r="V4677"/>
      <c r="W4677" s="41"/>
      <c r="X4677" s="41"/>
      <c r="Y4677" s="41"/>
    </row>
    <row r="4678" s="27" customFormat="1" ht="23" hidden="1" customHeight="1" spans="1:25">
      <c r="A4678" s="133" t="str">
        <f>IF(B4678="","",COUNTA($B$5:B4678))</f>
        <v/>
      </c>
      <c r="B4678" s="148"/>
      <c r="C4678" s="22" t="s">
        <v>49</v>
      </c>
      <c r="D4678" s="149"/>
      <c r="E4678" s="150"/>
      <c r="F4678" s="151"/>
      <c r="G4678" s="151"/>
      <c r="H4678" s="142">
        <f>IFERROR(VLOOKUP($C4678,$C$5:$H$18,6,0)+SUMIF($C$19:$C4678,$C4678,$F$19:$F4678)-SUMIF($C$19:$C4678,$C4678,$G$19:$G4678),"")</f>
        <v>81211.819999998</v>
      </c>
      <c r="I4678" s="147"/>
      <c r="J4678" s="147"/>
      <c r="K4678" s="147" t="str">
        <f t="shared" si="73"/>
        <v/>
      </c>
      <c r="L4678" s="40"/>
      <c r="M4678"/>
      <c r="N4678"/>
      <c r="O4678"/>
      <c r="P4678"/>
      <c r="Q4678"/>
      <c r="R4678"/>
      <c r="S4678"/>
      <c r="T4678"/>
      <c r="U4678"/>
      <c r="V4678"/>
      <c r="W4678" s="41"/>
      <c r="X4678" s="41"/>
      <c r="Y4678" s="41"/>
    </row>
    <row r="4679" s="27" customFormat="1" ht="23" hidden="1" customHeight="1" spans="1:25">
      <c r="A4679" s="133" t="str">
        <f>IF(B4679="","",COUNTA($B$5:B4679))</f>
        <v/>
      </c>
      <c r="B4679" s="148"/>
      <c r="C4679" s="22" t="s">
        <v>49</v>
      </c>
      <c r="D4679" s="149"/>
      <c r="E4679" s="150"/>
      <c r="F4679" s="151"/>
      <c r="G4679" s="151"/>
      <c r="H4679" s="142">
        <f>IFERROR(VLOOKUP($C4679,$C$5:$H$18,6,0)+SUMIF($C$19:$C4679,$C4679,$F$19:$F4679)-SUMIF($C$19:$C4679,$C4679,$G$19:$G4679),"")</f>
        <v>81211.819999998</v>
      </c>
      <c r="I4679" s="147"/>
      <c r="J4679" s="147"/>
      <c r="K4679" s="147" t="str">
        <f t="shared" si="73"/>
        <v/>
      </c>
      <c r="L4679" s="40"/>
      <c r="M4679"/>
      <c r="N4679"/>
      <c r="O4679"/>
      <c r="P4679"/>
      <c r="Q4679"/>
      <c r="R4679"/>
      <c r="S4679"/>
      <c r="T4679"/>
      <c r="U4679"/>
      <c r="V4679"/>
      <c r="W4679" s="41"/>
      <c r="X4679" s="41"/>
      <c r="Y4679" s="41"/>
    </row>
    <row r="4680" s="27" customFormat="1" ht="23" hidden="1" customHeight="1" spans="1:25">
      <c r="A4680" s="133" t="str">
        <f>IF(B4680="","",COUNTA($B$5:B4680))</f>
        <v/>
      </c>
      <c r="B4680" s="148"/>
      <c r="C4680" s="22" t="s">
        <v>49</v>
      </c>
      <c r="D4680" s="149"/>
      <c r="E4680" s="150"/>
      <c r="F4680" s="151"/>
      <c r="G4680" s="151"/>
      <c r="H4680" s="142">
        <f>IFERROR(VLOOKUP($C4680,$C$5:$H$18,6,0)+SUMIF($C$19:$C4680,$C4680,$F$19:$F4680)-SUMIF($C$19:$C4680,$C4680,$G$19:$G4680),"")</f>
        <v>81211.819999998</v>
      </c>
      <c r="I4680" s="147"/>
      <c r="J4680" s="147"/>
      <c r="K4680" s="147" t="str">
        <f t="shared" si="73"/>
        <v/>
      </c>
      <c r="L4680" s="40"/>
      <c r="M4680"/>
      <c r="N4680"/>
      <c r="O4680"/>
      <c r="P4680"/>
      <c r="Q4680"/>
      <c r="R4680"/>
      <c r="S4680"/>
      <c r="T4680"/>
      <c r="U4680"/>
      <c r="V4680"/>
      <c r="W4680" s="41"/>
      <c r="X4680" s="41"/>
      <c r="Y4680" s="41"/>
    </row>
    <row r="4681" s="27" customFormat="1" ht="23" hidden="1" customHeight="1" spans="1:25">
      <c r="A4681" s="133" t="str">
        <f>IF(B4681="","",COUNTA($B$5:B4681))</f>
        <v/>
      </c>
      <c r="B4681" s="148"/>
      <c r="C4681" s="22" t="s">
        <v>49</v>
      </c>
      <c r="D4681" s="149"/>
      <c r="E4681" s="150"/>
      <c r="F4681" s="151"/>
      <c r="G4681" s="151"/>
      <c r="H4681" s="142">
        <f>IFERROR(VLOOKUP($C4681,$C$5:$H$18,6,0)+SUMIF($C$19:$C4681,$C4681,$F$19:$F4681)-SUMIF($C$19:$C4681,$C4681,$G$19:$G4681),"")</f>
        <v>81211.819999998</v>
      </c>
      <c r="I4681" s="147"/>
      <c r="J4681" s="147"/>
      <c r="K4681" s="147" t="str">
        <f t="shared" si="73"/>
        <v/>
      </c>
      <c r="L4681" s="40"/>
      <c r="M4681"/>
      <c r="N4681"/>
      <c r="O4681"/>
      <c r="P4681"/>
      <c r="Q4681"/>
      <c r="R4681"/>
      <c r="S4681"/>
      <c r="T4681"/>
      <c r="U4681"/>
      <c r="V4681"/>
      <c r="W4681" s="41"/>
      <c r="X4681" s="41"/>
      <c r="Y4681" s="41"/>
    </row>
    <row r="4682" s="27" customFormat="1" ht="23" hidden="1" customHeight="1" spans="1:25">
      <c r="A4682" s="133" t="str">
        <f>IF(B4682="","",COUNTA($B$5:B4682))</f>
        <v/>
      </c>
      <c r="B4682" s="148"/>
      <c r="C4682" s="22" t="s">
        <v>49</v>
      </c>
      <c r="D4682" s="149"/>
      <c r="E4682" s="150"/>
      <c r="F4682" s="151"/>
      <c r="G4682" s="151"/>
      <c r="H4682" s="142">
        <f>IFERROR(VLOOKUP($C4682,$C$5:$H$18,6,0)+SUMIF($C$19:$C4682,$C4682,$F$19:$F4682)-SUMIF($C$19:$C4682,$C4682,$G$19:$G4682),"")</f>
        <v>81211.819999998</v>
      </c>
      <c r="I4682" s="147"/>
      <c r="J4682" s="147"/>
      <c r="K4682" s="147" t="str">
        <f t="shared" si="73"/>
        <v/>
      </c>
      <c r="L4682" s="40"/>
      <c r="M4682"/>
      <c r="N4682"/>
      <c r="O4682"/>
      <c r="P4682"/>
      <c r="Q4682"/>
      <c r="R4682"/>
      <c r="S4682"/>
      <c r="T4682"/>
      <c r="U4682"/>
      <c r="V4682"/>
      <c r="W4682" s="41"/>
      <c r="X4682" s="41"/>
      <c r="Y4682" s="41"/>
    </row>
    <row r="4683" s="27" customFormat="1" ht="23" hidden="1" customHeight="1" spans="1:25">
      <c r="A4683" s="133" t="str">
        <f>IF(B4683="","",COUNTA($B$5:B4683))</f>
        <v/>
      </c>
      <c r="B4683" s="148"/>
      <c r="C4683" s="22" t="s">
        <v>49</v>
      </c>
      <c r="D4683" s="149"/>
      <c r="E4683" s="150"/>
      <c r="F4683" s="151"/>
      <c r="G4683" s="151"/>
      <c r="H4683" s="142">
        <f>IFERROR(VLOOKUP($C4683,$C$5:$H$18,6,0)+SUMIF($C$19:$C4683,$C4683,$F$19:$F4683)-SUMIF($C$19:$C4683,$C4683,$G$19:$G4683),"")</f>
        <v>81211.819999998</v>
      </c>
      <c r="I4683" s="147"/>
      <c r="J4683" s="147"/>
      <c r="K4683" s="147" t="str">
        <f t="shared" si="73"/>
        <v/>
      </c>
      <c r="L4683" s="40"/>
      <c r="M4683"/>
      <c r="N4683"/>
      <c r="O4683"/>
      <c r="P4683"/>
      <c r="Q4683"/>
      <c r="R4683"/>
      <c r="S4683"/>
      <c r="T4683"/>
      <c r="U4683"/>
      <c r="V4683"/>
      <c r="W4683" s="41"/>
      <c r="X4683" s="41"/>
      <c r="Y4683" s="41"/>
    </row>
    <row r="4684" s="27" customFormat="1" ht="23" hidden="1" customHeight="1" spans="1:25">
      <c r="A4684" s="133" t="str">
        <f>IF(B4684="","",COUNTA($B$5:B4684))</f>
        <v/>
      </c>
      <c r="B4684" s="148"/>
      <c r="C4684" s="22" t="s">
        <v>49</v>
      </c>
      <c r="D4684" s="149"/>
      <c r="E4684" s="150"/>
      <c r="F4684" s="151"/>
      <c r="G4684" s="151"/>
      <c r="H4684" s="142">
        <f>IFERROR(VLOOKUP($C4684,$C$5:$H$18,6,0)+SUMIF($C$19:$C4684,$C4684,$F$19:$F4684)-SUMIF($C$19:$C4684,$C4684,$G$19:$G4684),"")</f>
        <v>81211.819999998</v>
      </c>
      <c r="I4684" s="147"/>
      <c r="J4684" s="147"/>
      <c r="K4684" s="147" t="str">
        <f t="shared" si="73"/>
        <v/>
      </c>
      <c r="L4684" s="40"/>
      <c r="M4684"/>
      <c r="N4684"/>
      <c r="O4684"/>
      <c r="P4684"/>
      <c r="Q4684"/>
      <c r="R4684"/>
      <c r="S4684"/>
      <c r="T4684"/>
      <c r="U4684"/>
      <c r="V4684"/>
      <c r="W4684" s="41"/>
      <c r="X4684" s="41"/>
      <c r="Y4684" s="41"/>
    </row>
    <row r="4685" s="27" customFormat="1" ht="23" hidden="1" customHeight="1" spans="1:25">
      <c r="A4685" s="133" t="str">
        <f>IF(B4685="","",COUNTA($B$5:B4685))</f>
        <v/>
      </c>
      <c r="B4685" s="148"/>
      <c r="C4685" s="22" t="s">
        <v>49</v>
      </c>
      <c r="D4685" s="149"/>
      <c r="E4685" s="150"/>
      <c r="F4685" s="151"/>
      <c r="G4685" s="151"/>
      <c r="H4685" s="142">
        <f>IFERROR(VLOOKUP($C4685,$C$5:$H$18,6,0)+SUMIF($C$19:$C4685,$C4685,$F$19:$F4685)-SUMIF($C$19:$C4685,$C4685,$G$19:$G4685),"")</f>
        <v>81211.819999998</v>
      </c>
      <c r="I4685" s="147"/>
      <c r="J4685" s="147"/>
      <c r="K4685" s="147" t="str">
        <f t="shared" si="73"/>
        <v/>
      </c>
      <c r="L4685" s="40"/>
      <c r="M4685"/>
      <c r="N4685"/>
      <c r="O4685"/>
      <c r="P4685"/>
      <c r="Q4685"/>
      <c r="R4685"/>
      <c r="S4685"/>
      <c r="T4685"/>
      <c r="U4685"/>
      <c r="V4685"/>
      <c r="W4685" s="41"/>
      <c r="X4685" s="41"/>
      <c r="Y4685" s="41"/>
    </row>
    <row r="4686" s="27" customFormat="1" ht="23" hidden="1" customHeight="1" spans="1:25">
      <c r="A4686" s="133" t="str">
        <f>IF(B4686="","",COUNTA($B$5:B4686))</f>
        <v/>
      </c>
      <c r="B4686" s="148"/>
      <c r="C4686" s="22" t="s">
        <v>49</v>
      </c>
      <c r="D4686" s="149"/>
      <c r="E4686" s="150"/>
      <c r="F4686" s="151"/>
      <c r="G4686" s="151"/>
      <c r="H4686" s="142">
        <f>IFERROR(VLOOKUP($C4686,$C$5:$H$18,6,0)+SUMIF($C$19:$C4686,$C4686,$F$19:$F4686)-SUMIF($C$19:$C4686,$C4686,$G$19:$G4686),"")</f>
        <v>81211.819999998</v>
      </c>
      <c r="I4686" s="147"/>
      <c r="J4686" s="147"/>
      <c r="K4686" s="147" t="str">
        <f t="shared" si="73"/>
        <v/>
      </c>
      <c r="L4686" s="40"/>
      <c r="M4686"/>
      <c r="N4686"/>
      <c r="O4686"/>
      <c r="P4686"/>
      <c r="Q4686"/>
      <c r="R4686"/>
      <c r="S4686"/>
      <c r="T4686"/>
      <c r="U4686"/>
      <c r="V4686"/>
      <c r="W4686" s="41"/>
      <c r="X4686" s="41"/>
      <c r="Y4686" s="41"/>
    </row>
    <row r="4687" s="27" customFormat="1" ht="23" hidden="1" customHeight="1" spans="1:25">
      <c r="A4687" s="133" t="str">
        <f>IF(B4687="","",COUNTA($B$5:B4687))</f>
        <v/>
      </c>
      <c r="B4687" s="148"/>
      <c r="C4687" s="22" t="s">
        <v>49</v>
      </c>
      <c r="D4687" s="149"/>
      <c r="E4687" s="150"/>
      <c r="F4687" s="151"/>
      <c r="G4687" s="151"/>
      <c r="H4687" s="142">
        <f>IFERROR(VLOOKUP($C4687,$C$5:$H$18,6,0)+SUMIF($C$19:$C4687,$C4687,$F$19:$F4687)-SUMIF($C$19:$C4687,$C4687,$G$19:$G4687),"")</f>
        <v>81211.819999998</v>
      </c>
      <c r="I4687" s="147"/>
      <c r="J4687" s="147"/>
      <c r="K4687" s="147" t="str">
        <f t="shared" si="73"/>
        <v/>
      </c>
      <c r="L4687" s="40"/>
      <c r="M4687"/>
      <c r="N4687"/>
      <c r="O4687"/>
      <c r="P4687"/>
      <c r="Q4687"/>
      <c r="R4687"/>
      <c r="S4687"/>
      <c r="T4687"/>
      <c r="U4687"/>
      <c r="V4687"/>
      <c r="W4687" s="41"/>
      <c r="X4687" s="41"/>
      <c r="Y4687" s="41"/>
    </row>
    <row r="4688" s="27" customFormat="1" ht="23" hidden="1" customHeight="1" spans="1:25">
      <c r="A4688" s="133" t="str">
        <f>IF(B4688="","",COUNTA($B$5:B4688))</f>
        <v/>
      </c>
      <c r="B4688" s="148"/>
      <c r="C4688" s="22" t="s">
        <v>49</v>
      </c>
      <c r="D4688" s="149"/>
      <c r="E4688" s="150"/>
      <c r="F4688" s="151"/>
      <c r="G4688" s="151"/>
      <c r="H4688" s="142">
        <f>IFERROR(VLOOKUP($C4688,$C$5:$H$18,6,0)+SUMIF($C$19:$C4688,$C4688,$F$19:$F4688)-SUMIF($C$19:$C4688,$C4688,$G$19:$G4688),"")</f>
        <v>81211.819999998</v>
      </c>
      <c r="I4688" s="147"/>
      <c r="J4688" s="147"/>
      <c r="K4688" s="147" t="str">
        <f t="shared" si="73"/>
        <v/>
      </c>
      <c r="L4688" s="40"/>
      <c r="M4688"/>
      <c r="N4688"/>
      <c r="O4688"/>
      <c r="P4688"/>
      <c r="Q4688"/>
      <c r="R4688"/>
      <c r="S4688"/>
      <c r="T4688"/>
      <c r="U4688"/>
      <c r="V4688"/>
      <c r="W4688" s="41"/>
      <c r="X4688" s="41"/>
      <c r="Y4688" s="41"/>
    </row>
    <row r="4689" s="27" customFormat="1" ht="23" hidden="1" customHeight="1" spans="1:25">
      <c r="A4689" s="133" t="str">
        <f>IF(B4689="","",COUNTA($B$5:B4689))</f>
        <v/>
      </c>
      <c r="B4689" s="148"/>
      <c r="C4689" s="22" t="s">
        <v>49</v>
      </c>
      <c r="D4689" s="149"/>
      <c r="E4689" s="150"/>
      <c r="F4689" s="151"/>
      <c r="G4689" s="151"/>
      <c r="H4689" s="142">
        <f>IFERROR(VLOOKUP($C4689,$C$5:$H$18,6,0)+SUMIF($C$19:$C4689,$C4689,$F$19:$F4689)-SUMIF($C$19:$C4689,$C4689,$G$19:$G4689),"")</f>
        <v>81211.819999998</v>
      </c>
      <c r="I4689" s="147"/>
      <c r="J4689" s="147"/>
      <c r="K4689" s="147" t="str">
        <f t="shared" si="73"/>
        <v/>
      </c>
      <c r="L4689" s="40"/>
      <c r="M4689"/>
      <c r="N4689"/>
      <c r="O4689"/>
      <c r="P4689"/>
      <c r="Q4689"/>
      <c r="R4689"/>
      <c r="S4689"/>
      <c r="T4689"/>
      <c r="U4689"/>
      <c r="V4689"/>
      <c r="W4689" s="41"/>
      <c r="X4689" s="41"/>
      <c r="Y4689" s="41"/>
    </row>
    <row r="4690" s="27" customFormat="1" ht="23" hidden="1" customHeight="1" spans="1:25">
      <c r="A4690" s="133" t="str">
        <f>IF(B4690="","",COUNTA($B$5:B4690))</f>
        <v/>
      </c>
      <c r="B4690" s="148"/>
      <c r="C4690" s="22" t="s">
        <v>49</v>
      </c>
      <c r="D4690" s="149"/>
      <c r="E4690" s="150"/>
      <c r="F4690" s="151"/>
      <c r="G4690" s="151"/>
      <c r="H4690" s="142">
        <f>IFERROR(VLOOKUP($C4690,$C$5:$H$18,6,0)+SUMIF($C$19:$C4690,$C4690,$F$19:$F4690)-SUMIF($C$19:$C4690,$C4690,$G$19:$G4690),"")</f>
        <v>81211.819999998</v>
      </c>
      <c r="I4690" s="147"/>
      <c r="J4690" s="147"/>
      <c r="K4690" s="147" t="str">
        <f t="shared" si="73"/>
        <v/>
      </c>
      <c r="L4690" s="40"/>
      <c r="M4690"/>
      <c r="N4690"/>
      <c r="O4690"/>
      <c r="P4690"/>
      <c r="Q4690"/>
      <c r="R4690"/>
      <c r="S4690"/>
      <c r="T4690"/>
      <c r="U4690"/>
      <c r="V4690"/>
      <c r="W4690" s="41"/>
      <c r="X4690" s="41"/>
      <c r="Y4690" s="41"/>
    </row>
    <row r="4691" s="27" customFormat="1" ht="23" hidden="1" customHeight="1" spans="1:25">
      <c r="A4691" s="133" t="str">
        <f>IF(B4691="","",COUNTA($B$5:B4691))</f>
        <v/>
      </c>
      <c r="B4691" s="148"/>
      <c r="C4691" s="22" t="s">
        <v>49</v>
      </c>
      <c r="D4691" s="149"/>
      <c r="E4691" s="150"/>
      <c r="F4691" s="151"/>
      <c r="G4691" s="151"/>
      <c r="H4691" s="142">
        <f>IFERROR(VLOOKUP($C4691,$C$5:$H$18,6,0)+SUMIF($C$19:$C4691,$C4691,$F$19:$F4691)-SUMIF($C$19:$C4691,$C4691,$G$19:$G4691),"")</f>
        <v>81211.819999998</v>
      </c>
      <c r="I4691" s="147"/>
      <c r="J4691" s="147"/>
      <c r="K4691" s="147" t="str">
        <f t="shared" si="73"/>
        <v/>
      </c>
      <c r="L4691" s="40"/>
      <c r="M4691"/>
      <c r="N4691"/>
      <c r="O4691"/>
      <c r="P4691"/>
      <c r="Q4691"/>
      <c r="R4691"/>
      <c r="S4691"/>
      <c r="T4691"/>
      <c r="U4691"/>
      <c r="V4691"/>
      <c r="W4691" s="41"/>
      <c r="X4691" s="41"/>
      <c r="Y4691" s="41"/>
    </row>
    <row r="4692" s="27" customFormat="1" ht="23" hidden="1" customHeight="1" spans="1:25">
      <c r="A4692" s="133" t="str">
        <f>IF(B4692="","",COUNTA($B$5:B4692))</f>
        <v/>
      </c>
      <c r="B4692" s="148"/>
      <c r="C4692" s="22" t="s">
        <v>49</v>
      </c>
      <c r="D4692" s="149"/>
      <c r="E4692" s="150"/>
      <c r="F4692" s="151"/>
      <c r="G4692" s="151"/>
      <c r="H4692" s="142">
        <f>IFERROR(VLOOKUP($C4692,$C$5:$H$18,6,0)+SUMIF($C$19:$C4692,$C4692,$F$19:$F4692)-SUMIF($C$19:$C4692,$C4692,$G$19:$G4692),"")</f>
        <v>81211.819999998</v>
      </c>
      <c r="I4692" s="147"/>
      <c r="J4692" s="147"/>
      <c r="K4692" s="147" t="str">
        <f t="shared" si="73"/>
        <v/>
      </c>
      <c r="L4692" s="40"/>
      <c r="M4692"/>
      <c r="N4692"/>
      <c r="O4692"/>
      <c r="P4692"/>
      <c r="Q4692"/>
      <c r="R4692"/>
      <c r="S4692"/>
      <c r="T4692"/>
      <c r="U4692"/>
      <c r="V4692"/>
      <c r="W4692" s="41"/>
      <c r="X4692" s="41"/>
      <c r="Y4692" s="41"/>
    </row>
    <row r="4693" s="27" customFormat="1" ht="23" hidden="1" customHeight="1" spans="1:25">
      <c r="A4693" s="133" t="str">
        <f>IF(B4693="","",COUNTA($B$5:B4693))</f>
        <v/>
      </c>
      <c r="B4693" s="148"/>
      <c r="C4693" s="22" t="s">
        <v>49</v>
      </c>
      <c r="D4693" s="149"/>
      <c r="E4693" s="150"/>
      <c r="F4693" s="151"/>
      <c r="G4693" s="151"/>
      <c r="H4693" s="142">
        <f>IFERROR(VLOOKUP($C4693,$C$5:$H$18,6,0)+SUMIF($C$19:$C4693,$C4693,$F$19:$F4693)-SUMIF($C$19:$C4693,$C4693,$G$19:$G4693),"")</f>
        <v>81211.819999998</v>
      </c>
      <c r="I4693" s="147"/>
      <c r="J4693" s="147"/>
      <c r="K4693" s="147" t="str">
        <f t="shared" si="73"/>
        <v/>
      </c>
      <c r="L4693" s="40"/>
      <c r="M4693"/>
      <c r="N4693"/>
      <c r="O4693"/>
      <c r="P4693"/>
      <c r="Q4693"/>
      <c r="R4693"/>
      <c r="S4693"/>
      <c r="T4693"/>
      <c r="U4693"/>
      <c r="V4693"/>
      <c r="W4693" s="41"/>
      <c r="X4693" s="41"/>
      <c r="Y4693" s="41"/>
    </row>
    <row r="4694" s="27" customFormat="1" ht="23" hidden="1" customHeight="1" spans="1:25">
      <c r="A4694" s="133" t="str">
        <f>IF(B4694="","",COUNTA($B$5:B4694))</f>
        <v/>
      </c>
      <c r="B4694" s="148"/>
      <c r="C4694" s="22" t="s">
        <v>49</v>
      </c>
      <c r="D4694" s="149"/>
      <c r="E4694" s="150"/>
      <c r="F4694" s="151"/>
      <c r="G4694" s="151"/>
      <c r="H4694" s="142">
        <f>IFERROR(VLOOKUP($C4694,$C$5:$H$18,6,0)+SUMIF($C$19:$C4694,$C4694,$F$19:$F4694)-SUMIF($C$19:$C4694,$C4694,$G$19:$G4694),"")</f>
        <v>81211.819999998</v>
      </c>
      <c r="I4694" s="147"/>
      <c r="J4694" s="147"/>
      <c r="K4694" s="147" t="str">
        <f t="shared" si="73"/>
        <v/>
      </c>
      <c r="L4694" s="40"/>
      <c r="M4694"/>
      <c r="N4694"/>
      <c r="O4694"/>
      <c r="P4694"/>
      <c r="Q4694"/>
      <c r="R4694"/>
      <c r="S4694"/>
      <c r="T4694"/>
      <c r="U4694"/>
      <c r="V4694"/>
      <c r="W4694" s="41"/>
      <c r="X4694" s="41"/>
      <c r="Y4694" s="41"/>
    </row>
    <row r="4695" s="27" customFormat="1" ht="23" hidden="1" customHeight="1" spans="1:25">
      <c r="A4695" s="133" t="str">
        <f>IF(B4695="","",COUNTA($B$5:B4695))</f>
        <v/>
      </c>
      <c r="B4695" s="148"/>
      <c r="C4695" s="22" t="s">
        <v>49</v>
      </c>
      <c r="D4695" s="149"/>
      <c r="E4695" s="150"/>
      <c r="F4695" s="151"/>
      <c r="G4695" s="151"/>
      <c r="H4695" s="142">
        <f>IFERROR(VLOOKUP($C4695,$C$5:$H$18,6,0)+SUMIF($C$19:$C4695,$C4695,$F$19:$F4695)-SUMIF($C$19:$C4695,$C4695,$G$19:$G4695),"")</f>
        <v>81211.819999998</v>
      </c>
      <c r="I4695" s="147"/>
      <c r="J4695" s="147"/>
      <c r="K4695" s="147" t="str">
        <f t="shared" si="73"/>
        <v/>
      </c>
      <c r="L4695" s="40"/>
      <c r="M4695"/>
      <c r="N4695"/>
      <c r="O4695"/>
      <c r="P4695"/>
      <c r="Q4695"/>
      <c r="R4695"/>
      <c r="S4695"/>
      <c r="T4695"/>
      <c r="U4695"/>
      <c r="V4695"/>
      <c r="W4695" s="41"/>
      <c r="X4695" s="41"/>
      <c r="Y4695" s="41"/>
    </row>
    <row r="4696" s="27" customFormat="1" ht="23" hidden="1" customHeight="1" spans="1:25">
      <c r="A4696" s="133" t="str">
        <f>IF(B4696="","",COUNTA($B$5:B4696))</f>
        <v/>
      </c>
      <c r="B4696" s="148"/>
      <c r="C4696" s="22" t="s">
        <v>49</v>
      </c>
      <c r="D4696" s="149"/>
      <c r="E4696" s="150"/>
      <c r="F4696" s="151"/>
      <c r="G4696" s="151"/>
      <c r="H4696" s="142">
        <f>IFERROR(VLOOKUP($C4696,$C$5:$H$18,6,0)+SUMIF($C$19:$C4696,$C4696,$F$19:$F4696)-SUMIF($C$19:$C4696,$C4696,$G$19:$G4696),"")</f>
        <v>81211.819999998</v>
      </c>
      <c r="I4696" s="147"/>
      <c r="J4696" s="147"/>
      <c r="K4696" s="147" t="str">
        <f t="shared" si="73"/>
        <v/>
      </c>
      <c r="L4696" s="40"/>
      <c r="M4696"/>
      <c r="N4696"/>
      <c r="O4696"/>
      <c r="P4696"/>
      <c r="Q4696"/>
      <c r="R4696"/>
      <c r="S4696"/>
      <c r="T4696"/>
      <c r="U4696"/>
      <c r="V4696"/>
      <c r="W4696" s="41"/>
      <c r="X4696" s="41"/>
      <c r="Y4696" s="41"/>
    </row>
    <row r="4697" s="27" customFormat="1" ht="23" hidden="1" customHeight="1" spans="1:25">
      <c r="A4697" s="133" t="str">
        <f>IF(B4697="","",COUNTA($B$5:B4697))</f>
        <v/>
      </c>
      <c r="B4697" s="148"/>
      <c r="C4697" s="22" t="s">
        <v>49</v>
      </c>
      <c r="D4697" s="149"/>
      <c r="E4697" s="150"/>
      <c r="F4697" s="151"/>
      <c r="G4697" s="151"/>
      <c r="H4697" s="142">
        <f>IFERROR(VLOOKUP($C4697,$C$5:$H$18,6,0)+SUMIF($C$19:$C4697,$C4697,$F$19:$F4697)-SUMIF($C$19:$C4697,$C4697,$G$19:$G4697),"")</f>
        <v>81211.819999998</v>
      </c>
      <c r="I4697" s="147"/>
      <c r="J4697" s="147"/>
      <c r="K4697" s="147" t="str">
        <f t="shared" si="73"/>
        <v/>
      </c>
      <c r="L4697" s="40"/>
      <c r="M4697"/>
      <c r="N4697"/>
      <c r="O4697"/>
      <c r="P4697"/>
      <c r="Q4697"/>
      <c r="R4697"/>
      <c r="S4697"/>
      <c r="T4697"/>
      <c r="U4697"/>
      <c r="V4697"/>
      <c r="W4697" s="41"/>
      <c r="X4697" s="41"/>
      <c r="Y4697" s="41"/>
    </row>
    <row r="4698" s="27" customFormat="1" ht="23" hidden="1" customHeight="1" spans="1:25">
      <c r="A4698" s="133" t="str">
        <f>IF(B4698="","",COUNTA($B$5:B4698))</f>
        <v/>
      </c>
      <c r="B4698" s="148"/>
      <c r="C4698" s="22" t="s">
        <v>49</v>
      </c>
      <c r="D4698" s="149"/>
      <c r="E4698" s="150"/>
      <c r="F4698" s="151"/>
      <c r="G4698" s="151"/>
      <c r="H4698" s="142">
        <f>IFERROR(VLOOKUP($C4698,$C$5:$H$18,6,0)+SUMIF($C$19:$C4698,$C4698,$F$19:$F4698)-SUMIF($C$19:$C4698,$C4698,$G$19:$G4698),"")</f>
        <v>81211.819999998</v>
      </c>
      <c r="I4698" s="147"/>
      <c r="J4698" s="147"/>
      <c r="K4698" s="147" t="str">
        <f t="shared" si="73"/>
        <v/>
      </c>
      <c r="L4698" s="40"/>
      <c r="M4698"/>
      <c r="N4698"/>
      <c r="O4698"/>
      <c r="P4698"/>
      <c r="Q4698"/>
      <c r="R4698"/>
      <c r="S4698"/>
      <c r="T4698"/>
      <c r="U4698"/>
      <c r="V4698"/>
      <c r="W4698" s="41"/>
      <c r="X4698" s="41"/>
      <c r="Y4698" s="41"/>
    </row>
    <row r="4699" s="27" customFormat="1" ht="23" hidden="1" customHeight="1" spans="1:25">
      <c r="A4699" s="133" t="str">
        <f>IF(B4699="","",COUNTA($B$5:B4699))</f>
        <v/>
      </c>
      <c r="B4699" s="148"/>
      <c r="C4699" s="22" t="s">
        <v>49</v>
      </c>
      <c r="D4699" s="149"/>
      <c r="E4699" s="150"/>
      <c r="F4699" s="151"/>
      <c r="G4699" s="151"/>
      <c r="H4699" s="142">
        <f>IFERROR(VLOOKUP($C4699,$C$5:$H$18,6,0)+SUMIF($C$19:$C4699,$C4699,$F$19:$F4699)-SUMIF($C$19:$C4699,$C4699,$G$19:$G4699),"")</f>
        <v>81211.819999998</v>
      </c>
      <c r="I4699" s="147"/>
      <c r="J4699" s="147"/>
      <c r="K4699" s="147" t="str">
        <f t="shared" si="73"/>
        <v/>
      </c>
      <c r="L4699" s="40"/>
      <c r="M4699"/>
      <c r="N4699"/>
      <c r="O4699"/>
      <c r="P4699"/>
      <c r="Q4699"/>
      <c r="R4699"/>
      <c r="S4699"/>
      <c r="T4699"/>
      <c r="U4699"/>
      <c r="V4699"/>
      <c r="W4699" s="41"/>
      <c r="X4699" s="41"/>
      <c r="Y4699" s="41"/>
    </row>
    <row r="4700" s="27" customFormat="1" ht="23" hidden="1" customHeight="1" spans="1:25">
      <c r="A4700" s="133" t="str">
        <f>IF(B4700="","",COUNTA($B$5:B4700))</f>
        <v/>
      </c>
      <c r="B4700" s="148"/>
      <c r="C4700" s="22" t="s">
        <v>49</v>
      </c>
      <c r="D4700" s="149"/>
      <c r="E4700" s="150"/>
      <c r="F4700" s="151"/>
      <c r="G4700" s="151"/>
      <c r="H4700" s="142">
        <f>IFERROR(VLOOKUP($C4700,$C$5:$H$18,6,0)+SUMIF($C$19:$C4700,$C4700,$F$19:$F4700)-SUMIF($C$19:$C4700,$C4700,$G$19:$G4700),"")</f>
        <v>81211.819999998</v>
      </c>
      <c r="I4700" s="147"/>
      <c r="J4700" s="147"/>
      <c r="K4700" s="147" t="str">
        <f t="shared" si="73"/>
        <v/>
      </c>
      <c r="L4700" s="40"/>
      <c r="M4700"/>
      <c r="N4700"/>
      <c r="O4700"/>
      <c r="P4700"/>
      <c r="Q4700"/>
      <c r="R4700"/>
      <c r="S4700"/>
      <c r="T4700"/>
      <c r="U4700"/>
      <c r="V4700"/>
      <c r="W4700" s="41"/>
      <c r="X4700" s="41"/>
      <c r="Y4700" s="41"/>
    </row>
    <row r="4701" s="27" customFormat="1" ht="23" hidden="1" customHeight="1" spans="1:25">
      <c r="A4701" s="133" t="str">
        <f>IF(B4701="","",COUNTA($B$5:B4701))</f>
        <v/>
      </c>
      <c r="B4701" s="148"/>
      <c r="C4701" s="22" t="s">
        <v>49</v>
      </c>
      <c r="D4701" s="149"/>
      <c r="E4701" s="150"/>
      <c r="F4701" s="151"/>
      <c r="G4701" s="151"/>
      <c r="H4701" s="142">
        <f>IFERROR(VLOOKUP($C4701,$C$5:$H$18,6,0)+SUMIF($C$19:$C4701,$C4701,$F$19:$F4701)-SUMIF($C$19:$C4701,$C4701,$G$19:$G4701),"")</f>
        <v>81211.819999998</v>
      </c>
      <c r="I4701" s="147"/>
      <c r="J4701" s="147"/>
      <c r="K4701" s="147" t="str">
        <f t="shared" si="73"/>
        <v/>
      </c>
      <c r="L4701" s="40"/>
      <c r="M4701"/>
      <c r="N4701"/>
      <c r="O4701"/>
      <c r="P4701"/>
      <c r="Q4701"/>
      <c r="R4701"/>
      <c r="S4701"/>
      <c r="T4701"/>
      <c r="U4701"/>
      <c r="V4701"/>
      <c r="W4701" s="41"/>
      <c r="X4701" s="41"/>
      <c r="Y4701" s="41"/>
    </row>
    <row r="4702" s="27" customFormat="1" ht="23" hidden="1" customHeight="1" spans="1:25">
      <c r="A4702" s="133" t="str">
        <f>IF(B4702="","",COUNTA($B$5:B4702))</f>
        <v/>
      </c>
      <c r="B4702" s="148"/>
      <c r="C4702" s="22" t="s">
        <v>49</v>
      </c>
      <c r="D4702" s="149"/>
      <c r="E4702" s="150"/>
      <c r="F4702" s="151"/>
      <c r="G4702" s="151"/>
      <c r="H4702" s="142">
        <f>IFERROR(VLOOKUP($C4702,$C$5:$H$18,6,0)+SUMIF($C$19:$C4702,$C4702,$F$19:$F4702)-SUMIF($C$19:$C4702,$C4702,$G$19:$G4702),"")</f>
        <v>81211.819999998</v>
      </c>
      <c r="I4702" s="147"/>
      <c r="J4702" s="147"/>
      <c r="K4702" s="147" t="str">
        <f t="shared" si="73"/>
        <v/>
      </c>
      <c r="L4702" s="40"/>
      <c r="M4702"/>
      <c r="N4702"/>
      <c r="O4702"/>
      <c r="P4702"/>
      <c r="Q4702"/>
      <c r="R4702"/>
      <c r="S4702"/>
      <c r="T4702"/>
      <c r="U4702"/>
      <c r="V4702"/>
      <c r="W4702" s="41"/>
      <c r="X4702" s="41"/>
      <c r="Y4702" s="41"/>
    </row>
    <row r="4703" s="27" customFormat="1" ht="23" hidden="1" customHeight="1" spans="1:25">
      <c r="A4703" s="133" t="str">
        <f>IF(B4703="","",COUNTA($B$5:B4703))</f>
        <v/>
      </c>
      <c r="B4703" s="148"/>
      <c r="C4703" s="22" t="s">
        <v>49</v>
      </c>
      <c r="D4703" s="149"/>
      <c r="E4703" s="150"/>
      <c r="F4703" s="151"/>
      <c r="G4703" s="151"/>
      <c r="H4703" s="142">
        <f>IFERROR(VLOOKUP($C4703,$C$5:$H$18,6,0)+SUMIF($C$19:$C4703,$C4703,$F$19:$F4703)-SUMIF($C$19:$C4703,$C4703,$G$19:$G4703),"")</f>
        <v>81211.819999998</v>
      </c>
      <c r="I4703" s="147"/>
      <c r="J4703" s="147"/>
      <c r="K4703" s="147" t="str">
        <f t="shared" si="73"/>
        <v/>
      </c>
      <c r="L4703" s="40"/>
      <c r="M4703"/>
      <c r="N4703"/>
      <c r="O4703"/>
      <c r="P4703"/>
      <c r="Q4703"/>
      <c r="R4703"/>
      <c r="S4703"/>
      <c r="T4703"/>
      <c r="U4703"/>
      <c r="V4703"/>
      <c r="W4703" s="41"/>
      <c r="X4703" s="41"/>
      <c r="Y4703" s="41"/>
    </row>
    <row r="4704" s="27" customFormat="1" ht="23" hidden="1" customHeight="1" spans="1:25">
      <c r="A4704" s="133" t="str">
        <f>IF(B4704="","",COUNTA($B$5:B4704))</f>
        <v/>
      </c>
      <c r="B4704" s="148"/>
      <c r="C4704" s="22" t="s">
        <v>49</v>
      </c>
      <c r="D4704" s="149"/>
      <c r="E4704" s="150"/>
      <c r="F4704" s="151"/>
      <c r="G4704" s="151"/>
      <c r="H4704" s="142">
        <f>IFERROR(VLOOKUP($C4704,$C$5:$H$18,6,0)+SUMIF($C$19:$C4704,$C4704,$F$19:$F4704)-SUMIF($C$19:$C4704,$C4704,$G$19:$G4704),"")</f>
        <v>81211.819999998</v>
      </c>
      <c r="I4704" s="147"/>
      <c r="J4704" s="147"/>
      <c r="K4704" s="147" t="str">
        <f t="shared" si="73"/>
        <v/>
      </c>
      <c r="L4704" s="40"/>
      <c r="M4704"/>
      <c r="N4704"/>
      <c r="O4704"/>
      <c r="P4704"/>
      <c r="Q4704"/>
      <c r="R4704"/>
      <c r="S4704"/>
      <c r="T4704"/>
      <c r="U4704"/>
      <c r="V4704"/>
      <c r="W4704" s="41"/>
      <c r="X4704" s="41"/>
      <c r="Y4704" s="41"/>
    </row>
    <row r="4705" s="27" customFormat="1" ht="23" hidden="1" customHeight="1" spans="1:25">
      <c r="A4705" s="133" t="str">
        <f>IF(B4705="","",COUNTA($B$5:B4705))</f>
        <v/>
      </c>
      <c r="B4705" s="148"/>
      <c r="C4705" s="22" t="s">
        <v>49</v>
      </c>
      <c r="D4705" s="149"/>
      <c r="E4705" s="150"/>
      <c r="F4705" s="151"/>
      <c r="G4705" s="151"/>
      <c r="H4705" s="142">
        <f>IFERROR(VLOOKUP($C4705,$C$5:$H$18,6,0)+SUMIF($C$19:$C4705,$C4705,$F$19:$F4705)-SUMIF($C$19:$C4705,$C4705,$G$19:$G4705),"")</f>
        <v>81211.819999998</v>
      </c>
      <c r="I4705" s="147"/>
      <c r="J4705" s="147"/>
      <c r="K4705" s="147" t="str">
        <f t="shared" si="73"/>
        <v/>
      </c>
      <c r="L4705" s="40"/>
      <c r="M4705"/>
      <c r="N4705"/>
      <c r="O4705"/>
      <c r="P4705"/>
      <c r="Q4705"/>
      <c r="R4705"/>
      <c r="S4705"/>
      <c r="T4705"/>
      <c r="U4705"/>
      <c r="V4705"/>
      <c r="W4705" s="41"/>
      <c r="X4705" s="41"/>
      <c r="Y4705" s="41"/>
    </row>
    <row r="4706" s="27" customFormat="1" ht="23" hidden="1" customHeight="1" spans="1:25">
      <c r="A4706" s="133" t="str">
        <f>IF(B4706="","",COUNTA($B$5:B4706))</f>
        <v/>
      </c>
      <c r="B4706" s="148"/>
      <c r="C4706" s="22" t="s">
        <v>49</v>
      </c>
      <c r="D4706" s="149"/>
      <c r="E4706" s="150"/>
      <c r="F4706" s="151"/>
      <c r="G4706" s="151"/>
      <c r="H4706" s="142">
        <f>IFERROR(VLOOKUP($C4706,$C$5:$H$18,6,0)+SUMIF($C$19:$C4706,$C4706,$F$19:$F4706)-SUMIF($C$19:$C4706,$C4706,$G$19:$G4706),"")</f>
        <v>81211.819999998</v>
      </c>
      <c r="I4706" s="147"/>
      <c r="J4706" s="147"/>
      <c r="K4706" s="147" t="str">
        <f t="shared" si="73"/>
        <v/>
      </c>
      <c r="L4706" s="40"/>
      <c r="M4706"/>
      <c r="N4706"/>
      <c r="O4706"/>
      <c r="P4706"/>
      <c r="Q4706"/>
      <c r="R4706"/>
      <c r="S4706"/>
      <c r="T4706"/>
      <c r="U4706"/>
      <c r="V4706"/>
      <c r="W4706" s="41"/>
      <c r="X4706" s="41"/>
      <c r="Y4706" s="41"/>
    </row>
    <row r="4707" s="27" customFormat="1" ht="23" hidden="1" customHeight="1" spans="1:25">
      <c r="A4707" s="133" t="str">
        <f>IF(B4707="","",COUNTA($B$5:B4707))</f>
        <v/>
      </c>
      <c r="B4707" s="148"/>
      <c r="C4707" s="22" t="s">
        <v>49</v>
      </c>
      <c r="D4707" s="149"/>
      <c r="E4707" s="150"/>
      <c r="F4707" s="151"/>
      <c r="G4707" s="151"/>
      <c r="H4707" s="142">
        <f>IFERROR(VLOOKUP($C4707,$C$5:$H$18,6,0)+SUMIF($C$19:$C4707,$C4707,$F$19:$F4707)-SUMIF($C$19:$C4707,$C4707,$G$19:$G4707),"")</f>
        <v>81211.819999998</v>
      </c>
      <c r="I4707" s="147"/>
      <c r="J4707" s="147"/>
      <c r="K4707" s="147" t="str">
        <f t="shared" si="73"/>
        <v/>
      </c>
      <c r="L4707" s="40"/>
      <c r="M4707"/>
      <c r="N4707"/>
      <c r="O4707"/>
      <c r="P4707"/>
      <c r="Q4707"/>
      <c r="R4707"/>
      <c r="S4707"/>
      <c r="T4707"/>
      <c r="U4707"/>
      <c r="V4707"/>
      <c r="W4707" s="41"/>
      <c r="X4707" s="41"/>
      <c r="Y4707" s="41"/>
    </row>
    <row r="4708" s="27" customFormat="1" ht="23" hidden="1" customHeight="1" spans="1:25">
      <c r="A4708" s="133" t="str">
        <f>IF(B4708="","",COUNTA($B$5:B4708))</f>
        <v/>
      </c>
      <c r="B4708" s="148"/>
      <c r="C4708" s="22" t="s">
        <v>49</v>
      </c>
      <c r="D4708" s="149"/>
      <c r="E4708" s="150"/>
      <c r="F4708" s="151"/>
      <c r="G4708" s="151"/>
      <c r="H4708" s="142">
        <f>IFERROR(VLOOKUP($C4708,$C$5:$H$18,6,0)+SUMIF($C$19:$C4708,$C4708,$F$19:$F4708)-SUMIF($C$19:$C4708,$C4708,$G$19:$G4708),"")</f>
        <v>81211.819999998</v>
      </c>
      <c r="I4708" s="147"/>
      <c r="J4708" s="147"/>
      <c r="K4708" s="147" t="str">
        <f t="shared" si="73"/>
        <v/>
      </c>
      <c r="L4708" s="40"/>
      <c r="M4708"/>
      <c r="N4708"/>
      <c r="O4708"/>
      <c r="P4708"/>
      <c r="Q4708"/>
      <c r="R4708"/>
      <c r="S4708"/>
      <c r="T4708"/>
      <c r="U4708"/>
      <c r="V4708"/>
      <c r="W4708" s="41"/>
      <c r="X4708" s="41"/>
      <c r="Y4708" s="41"/>
    </row>
    <row r="4709" s="27" customFormat="1" ht="23" hidden="1" customHeight="1" spans="1:25">
      <c r="A4709" s="133" t="str">
        <f>IF(B4709="","",COUNTA($B$5:B4709))</f>
        <v/>
      </c>
      <c r="B4709" s="148"/>
      <c r="C4709" s="22" t="s">
        <v>49</v>
      </c>
      <c r="D4709" s="149"/>
      <c r="E4709" s="150"/>
      <c r="F4709" s="151"/>
      <c r="G4709" s="151"/>
      <c r="H4709" s="142">
        <f>IFERROR(VLOOKUP($C4709,$C$5:$H$18,6,0)+SUMIF($C$19:$C4709,$C4709,$F$19:$F4709)-SUMIF($C$19:$C4709,$C4709,$G$19:$G4709),"")</f>
        <v>81211.819999998</v>
      </c>
      <c r="I4709" s="147"/>
      <c r="J4709" s="147"/>
      <c r="K4709" s="147" t="str">
        <f t="shared" si="73"/>
        <v/>
      </c>
      <c r="L4709" s="40"/>
      <c r="M4709"/>
      <c r="N4709"/>
      <c r="O4709"/>
      <c r="P4709"/>
      <c r="Q4709"/>
      <c r="R4709"/>
      <c r="S4709"/>
      <c r="T4709"/>
      <c r="U4709"/>
      <c r="V4709"/>
      <c r="W4709" s="41"/>
      <c r="X4709" s="41"/>
      <c r="Y4709" s="41"/>
    </row>
    <row r="4710" s="27" customFormat="1" ht="23" hidden="1" customHeight="1" spans="1:25">
      <c r="A4710" s="133" t="str">
        <f>IF(B4710="","",COUNTA($B$5:B4710))</f>
        <v/>
      </c>
      <c r="B4710" s="148"/>
      <c r="C4710" s="22" t="s">
        <v>49</v>
      </c>
      <c r="D4710" s="149"/>
      <c r="E4710" s="150"/>
      <c r="F4710" s="151"/>
      <c r="G4710" s="151"/>
      <c r="H4710" s="142">
        <f>IFERROR(VLOOKUP($C4710,$C$5:$H$18,6,0)+SUMIF($C$19:$C4710,$C4710,$F$19:$F4710)-SUMIF($C$19:$C4710,$C4710,$G$19:$G4710),"")</f>
        <v>81211.819999998</v>
      </c>
      <c r="I4710" s="147"/>
      <c r="J4710" s="147"/>
      <c r="K4710" s="147" t="str">
        <f t="shared" si="73"/>
        <v/>
      </c>
      <c r="L4710" s="40"/>
      <c r="M4710"/>
      <c r="N4710"/>
      <c r="O4710"/>
      <c r="P4710"/>
      <c r="Q4710"/>
      <c r="R4710"/>
      <c r="S4710"/>
      <c r="T4710"/>
      <c r="U4710"/>
      <c r="V4710"/>
      <c r="W4710" s="41"/>
      <c r="X4710" s="41"/>
      <c r="Y4710" s="41"/>
    </row>
    <row r="4711" s="27" customFormat="1" ht="23" hidden="1" customHeight="1" spans="1:25">
      <c r="A4711" s="133" t="str">
        <f>IF(B4711="","",COUNTA($B$5:B4711))</f>
        <v/>
      </c>
      <c r="B4711" s="148"/>
      <c r="C4711" s="22" t="s">
        <v>49</v>
      </c>
      <c r="D4711" s="149"/>
      <c r="E4711" s="150"/>
      <c r="F4711" s="151"/>
      <c r="G4711" s="151"/>
      <c r="H4711" s="142">
        <f>IFERROR(VLOOKUP($C4711,$C$5:$H$18,6,0)+SUMIF($C$19:$C4711,$C4711,$F$19:$F4711)-SUMIF($C$19:$C4711,$C4711,$G$19:$G4711),"")</f>
        <v>81211.819999998</v>
      </c>
      <c r="I4711" s="147"/>
      <c r="J4711" s="147"/>
      <c r="K4711" s="147" t="str">
        <f t="shared" si="73"/>
        <v/>
      </c>
      <c r="L4711" s="40"/>
      <c r="M4711"/>
      <c r="N4711"/>
      <c r="O4711"/>
      <c r="P4711"/>
      <c r="Q4711"/>
      <c r="R4711"/>
      <c r="S4711"/>
      <c r="T4711"/>
      <c r="U4711"/>
      <c r="V4711"/>
      <c r="W4711" s="41"/>
      <c r="X4711" s="41"/>
      <c r="Y4711" s="41"/>
    </row>
    <row r="4712" s="27" customFormat="1" ht="23" hidden="1" customHeight="1" spans="1:25">
      <c r="A4712" s="133" t="str">
        <f>IF(B4712="","",COUNTA($B$5:B4712))</f>
        <v/>
      </c>
      <c r="B4712" s="148"/>
      <c r="C4712" s="22" t="s">
        <v>49</v>
      </c>
      <c r="D4712" s="149"/>
      <c r="E4712" s="150"/>
      <c r="F4712" s="151"/>
      <c r="G4712" s="151"/>
      <c r="H4712" s="142">
        <f>IFERROR(VLOOKUP($C4712,$C$5:$H$18,6,0)+SUMIF($C$19:$C4712,$C4712,$F$19:$F4712)-SUMIF($C$19:$C4712,$C4712,$G$19:$G4712),"")</f>
        <v>81211.819999998</v>
      </c>
      <c r="I4712" s="147"/>
      <c r="J4712" s="147"/>
      <c r="K4712" s="147" t="str">
        <f t="shared" si="73"/>
        <v/>
      </c>
      <c r="L4712" s="40"/>
      <c r="M4712"/>
      <c r="N4712"/>
      <c r="O4712"/>
      <c r="P4712"/>
      <c r="Q4712"/>
      <c r="R4712"/>
      <c r="S4712"/>
      <c r="T4712"/>
      <c r="U4712"/>
      <c r="V4712"/>
      <c r="W4712" s="41"/>
      <c r="X4712" s="41"/>
      <c r="Y4712" s="41"/>
    </row>
    <row r="4713" s="27" customFormat="1" ht="23" hidden="1" customHeight="1" spans="1:25">
      <c r="A4713" s="133" t="str">
        <f>IF(B4713="","",COUNTA($B$5:B4713))</f>
        <v/>
      </c>
      <c r="B4713" s="148"/>
      <c r="C4713" s="22" t="s">
        <v>49</v>
      </c>
      <c r="D4713" s="149"/>
      <c r="E4713" s="150"/>
      <c r="F4713" s="151"/>
      <c r="G4713" s="151"/>
      <c r="H4713" s="142">
        <f>IFERROR(VLOOKUP($C4713,$C$5:$H$18,6,0)+SUMIF($C$19:$C4713,$C4713,$F$19:$F4713)-SUMIF($C$19:$C4713,$C4713,$G$19:$G4713),"")</f>
        <v>81211.819999998</v>
      </c>
      <c r="I4713" s="147"/>
      <c r="J4713" s="147"/>
      <c r="K4713" s="147" t="str">
        <f t="shared" si="73"/>
        <v/>
      </c>
      <c r="L4713" s="40"/>
      <c r="M4713"/>
      <c r="N4713"/>
      <c r="O4713"/>
      <c r="P4713"/>
      <c r="Q4713"/>
      <c r="R4713"/>
      <c r="S4713"/>
      <c r="T4713"/>
      <c r="U4713"/>
      <c r="V4713"/>
      <c r="W4713" s="41"/>
      <c r="X4713" s="41"/>
      <c r="Y4713" s="41"/>
    </row>
    <row r="4714" s="27" customFormat="1" ht="23" hidden="1" customHeight="1" spans="1:25">
      <c r="A4714" s="133" t="str">
        <f>IF(B4714="","",COUNTA($B$5:B4714))</f>
        <v/>
      </c>
      <c r="B4714" s="148"/>
      <c r="C4714" s="22" t="s">
        <v>49</v>
      </c>
      <c r="D4714" s="149"/>
      <c r="E4714" s="150"/>
      <c r="F4714" s="151"/>
      <c r="G4714" s="151"/>
      <c r="H4714" s="142">
        <f>IFERROR(VLOOKUP($C4714,$C$5:$H$18,6,0)+SUMIF($C$19:$C4714,$C4714,$F$19:$F4714)-SUMIF($C$19:$C4714,$C4714,$G$19:$G4714),"")</f>
        <v>81211.819999998</v>
      </c>
      <c r="I4714" s="147"/>
      <c r="J4714" s="147"/>
      <c r="K4714" s="147" t="str">
        <f t="shared" si="73"/>
        <v/>
      </c>
      <c r="L4714" s="40"/>
      <c r="M4714"/>
      <c r="N4714"/>
      <c r="O4714"/>
      <c r="P4714"/>
      <c r="Q4714"/>
      <c r="R4714"/>
      <c r="S4714"/>
      <c r="T4714"/>
      <c r="U4714"/>
      <c r="V4714"/>
      <c r="W4714" s="41"/>
      <c r="X4714" s="41"/>
      <c r="Y4714" s="41"/>
    </row>
    <row r="4715" s="27" customFormat="1" ht="23" hidden="1" customHeight="1" spans="1:25">
      <c r="A4715" s="133" t="str">
        <f>IF(B4715="","",COUNTA($B$5:B4715))</f>
        <v/>
      </c>
      <c r="B4715" s="148"/>
      <c r="C4715" s="22" t="s">
        <v>49</v>
      </c>
      <c r="D4715" s="149"/>
      <c r="E4715" s="150"/>
      <c r="F4715" s="151"/>
      <c r="G4715" s="151"/>
      <c r="H4715" s="142">
        <f>IFERROR(VLOOKUP($C4715,$C$5:$H$18,6,0)+SUMIF($C$19:$C4715,$C4715,$F$19:$F4715)-SUMIF($C$19:$C4715,$C4715,$G$19:$G4715),"")</f>
        <v>81211.819999998</v>
      </c>
      <c r="I4715" s="147"/>
      <c r="J4715" s="147"/>
      <c r="K4715" s="147" t="str">
        <f t="shared" si="73"/>
        <v/>
      </c>
      <c r="L4715" s="40"/>
      <c r="M4715"/>
      <c r="N4715"/>
      <c r="O4715"/>
      <c r="P4715"/>
      <c r="Q4715"/>
      <c r="R4715"/>
      <c r="S4715"/>
      <c r="T4715"/>
      <c r="U4715"/>
      <c r="V4715"/>
      <c r="W4715" s="41"/>
      <c r="X4715" s="41"/>
      <c r="Y4715" s="41"/>
    </row>
    <row r="4716" s="27" customFormat="1" ht="23" hidden="1" customHeight="1" spans="1:25">
      <c r="A4716" s="133" t="str">
        <f>IF(B4716="","",COUNTA($B$5:B4716))</f>
        <v/>
      </c>
      <c r="B4716" s="148"/>
      <c r="C4716" s="22" t="s">
        <v>49</v>
      </c>
      <c r="D4716" s="149"/>
      <c r="E4716" s="150"/>
      <c r="F4716" s="151"/>
      <c r="G4716" s="151"/>
      <c r="H4716" s="142">
        <f>IFERROR(VLOOKUP($C4716,$C$5:$H$18,6,0)+SUMIF($C$19:$C4716,$C4716,$F$19:$F4716)-SUMIF($C$19:$C4716,$C4716,$G$19:$G4716),"")</f>
        <v>81211.819999998</v>
      </c>
      <c r="I4716" s="147"/>
      <c r="J4716" s="147"/>
      <c r="K4716" s="147" t="str">
        <f t="shared" si="73"/>
        <v/>
      </c>
      <c r="L4716" s="40"/>
      <c r="M4716"/>
      <c r="N4716"/>
      <c r="O4716"/>
      <c r="P4716"/>
      <c r="Q4716"/>
      <c r="R4716"/>
      <c r="S4716"/>
      <c r="T4716"/>
      <c r="U4716"/>
      <c r="V4716"/>
      <c r="W4716" s="41"/>
      <c r="X4716" s="41"/>
      <c r="Y4716" s="41"/>
    </row>
    <row r="4717" s="27" customFormat="1" ht="23" hidden="1" customHeight="1" spans="1:25">
      <c r="A4717" s="133" t="str">
        <f>IF(B4717="","",COUNTA($B$5:B4717))</f>
        <v/>
      </c>
      <c r="B4717" s="148"/>
      <c r="C4717" s="22" t="s">
        <v>49</v>
      </c>
      <c r="D4717" s="149"/>
      <c r="E4717" s="150"/>
      <c r="F4717" s="151"/>
      <c r="G4717" s="151"/>
      <c r="H4717" s="142">
        <f>IFERROR(VLOOKUP($C4717,$C$5:$H$18,6,0)+SUMIF($C$19:$C4717,$C4717,$F$19:$F4717)-SUMIF($C$19:$C4717,$C4717,$G$19:$G4717),"")</f>
        <v>81211.819999998</v>
      </c>
      <c r="I4717" s="147"/>
      <c r="J4717" s="147"/>
      <c r="K4717" s="147" t="str">
        <f t="shared" si="73"/>
        <v/>
      </c>
      <c r="L4717" s="40"/>
      <c r="M4717"/>
      <c r="N4717"/>
      <c r="O4717"/>
      <c r="P4717"/>
      <c r="Q4717"/>
      <c r="R4717"/>
      <c r="S4717"/>
      <c r="T4717"/>
      <c r="U4717"/>
      <c r="V4717"/>
      <c r="W4717" s="41"/>
      <c r="X4717" s="41"/>
      <c r="Y4717" s="41"/>
    </row>
    <row r="4718" s="27" customFormat="1" ht="23" hidden="1" customHeight="1" spans="1:25">
      <c r="A4718" s="133" t="str">
        <f>IF(B4718="","",COUNTA($B$5:B4718))</f>
        <v/>
      </c>
      <c r="B4718" s="148"/>
      <c r="C4718" s="22" t="s">
        <v>49</v>
      </c>
      <c r="D4718" s="149"/>
      <c r="E4718" s="150"/>
      <c r="F4718" s="151"/>
      <c r="G4718" s="151"/>
      <c r="H4718" s="142">
        <f>IFERROR(VLOOKUP($C4718,$C$5:$H$18,6,0)+SUMIF($C$19:$C4718,$C4718,$F$19:$F4718)-SUMIF($C$19:$C4718,$C4718,$G$19:$G4718),"")</f>
        <v>81211.819999998</v>
      </c>
      <c r="I4718" s="147"/>
      <c r="J4718" s="147"/>
      <c r="K4718" s="147" t="str">
        <f t="shared" si="73"/>
        <v/>
      </c>
      <c r="L4718" s="40"/>
      <c r="M4718"/>
      <c r="N4718"/>
      <c r="O4718"/>
      <c r="P4718"/>
      <c r="Q4718"/>
      <c r="R4718"/>
      <c r="S4718"/>
      <c r="T4718"/>
      <c r="U4718"/>
      <c r="V4718"/>
      <c r="W4718" s="41"/>
      <c r="X4718" s="41"/>
      <c r="Y4718" s="41"/>
    </row>
    <row r="4719" s="27" customFormat="1" ht="23" hidden="1" customHeight="1" spans="1:25">
      <c r="A4719" s="133" t="str">
        <f>IF(B4719="","",COUNTA($B$5:B4719))</f>
        <v/>
      </c>
      <c r="B4719" s="148"/>
      <c r="C4719" s="22" t="s">
        <v>49</v>
      </c>
      <c r="D4719" s="149"/>
      <c r="E4719" s="150"/>
      <c r="F4719" s="151"/>
      <c r="G4719" s="151"/>
      <c r="H4719" s="142">
        <f>IFERROR(VLOOKUP($C4719,$C$5:$H$18,6,0)+SUMIF($C$19:$C4719,$C4719,$F$19:$F4719)-SUMIF($C$19:$C4719,$C4719,$G$19:$G4719),"")</f>
        <v>81211.819999998</v>
      </c>
      <c r="I4719" s="147"/>
      <c r="J4719" s="147"/>
      <c r="K4719" s="147" t="str">
        <f t="shared" si="73"/>
        <v/>
      </c>
      <c r="L4719" s="40"/>
      <c r="M4719"/>
      <c r="N4719"/>
      <c r="O4719"/>
      <c r="P4719"/>
      <c r="Q4719"/>
      <c r="R4719"/>
      <c r="S4719"/>
      <c r="T4719"/>
      <c r="U4719"/>
      <c r="V4719"/>
      <c r="W4719" s="41"/>
      <c r="X4719" s="41"/>
      <c r="Y4719" s="41"/>
    </row>
    <row r="4720" s="27" customFormat="1" ht="23" hidden="1" customHeight="1" spans="1:25">
      <c r="A4720" s="133" t="str">
        <f>IF(B4720="","",COUNTA($B$5:B4720))</f>
        <v/>
      </c>
      <c r="B4720" s="148"/>
      <c r="C4720" s="22" t="s">
        <v>49</v>
      </c>
      <c r="D4720" s="149"/>
      <c r="E4720" s="150"/>
      <c r="F4720" s="151"/>
      <c r="G4720" s="151"/>
      <c r="H4720" s="142">
        <f>IFERROR(VLOOKUP($C4720,$C$5:$H$18,6,0)+SUMIF($C$19:$C4720,$C4720,$F$19:$F4720)-SUMIF($C$19:$C4720,$C4720,$G$19:$G4720),"")</f>
        <v>81211.819999998</v>
      </c>
      <c r="I4720" s="147"/>
      <c r="J4720" s="147"/>
      <c r="K4720" s="147" t="str">
        <f t="shared" si="73"/>
        <v/>
      </c>
      <c r="L4720" s="40"/>
      <c r="M4720"/>
      <c r="N4720"/>
      <c r="O4720"/>
      <c r="P4720"/>
      <c r="Q4720"/>
      <c r="R4720"/>
      <c r="S4720"/>
      <c r="T4720"/>
      <c r="U4720"/>
      <c r="V4720"/>
      <c r="W4720" s="41"/>
      <c r="X4720" s="41"/>
      <c r="Y4720" s="41"/>
    </row>
    <row r="4721" s="27" customFormat="1" ht="23" hidden="1" customHeight="1" spans="1:25">
      <c r="A4721" s="133" t="str">
        <f>IF(B4721="","",COUNTA($B$5:B4721))</f>
        <v/>
      </c>
      <c r="B4721" s="148"/>
      <c r="C4721" s="22" t="s">
        <v>49</v>
      </c>
      <c r="D4721" s="149"/>
      <c r="E4721" s="150"/>
      <c r="F4721" s="151"/>
      <c r="G4721" s="151"/>
      <c r="H4721" s="142">
        <f>IFERROR(VLOOKUP($C4721,$C$5:$H$18,6,0)+SUMIF($C$19:$C4721,$C4721,$F$19:$F4721)-SUMIF($C$19:$C4721,$C4721,$G$19:$G4721),"")</f>
        <v>81211.819999998</v>
      </c>
      <c r="I4721" s="147"/>
      <c r="J4721" s="147"/>
      <c r="K4721" s="147" t="str">
        <f t="shared" si="73"/>
        <v/>
      </c>
      <c r="L4721" s="40"/>
      <c r="M4721"/>
      <c r="N4721"/>
      <c r="O4721"/>
      <c r="P4721"/>
      <c r="Q4721"/>
      <c r="R4721"/>
      <c r="S4721"/>
      <c r="T4721"/>
      <c r="U4721"/>
      <c r="V4721"/>
      <c r="W4721" s="41"/>
      <c r="X4721" s="41"/>
      <c r="Y4721" s="41"/>
    </row>
    <row r="4722" s="27" customFormat="1" ht="23" hidden="1" customHeight="1" spans="1:25">
      <c r="A4722" s="133" t="str">
        <f>IF(B4722="","",COUNTA($B$5:B4722))</f>
        <v/>
      </c>
      <c r="B4722" s="148"/>
      <c r="C4722" s="22" t="s">
        <v>49</v>
      </c>
      <c r="D4722" s="149"/>
      <c r="E4722" s="150"/>
      <c r="F4722" s="151"/>
      <c r="G4722" s="151"/>
      <c r="H4722" s="142">
        <f>IFERROR(VLOOKUP($C4722,$C$5:$H$18,6,0)+SUMIF($C$19:$C4722,$C4722,$F$19:$F4722)-SUMIF($C$19:$C4722,$C4722,$G$19:$G4722),"")</f>
        <v>81211.819999998</v>
      </c>
      <c r="I4722" s="147"/>
      <c r="J4722" s="147"/>
      <c r="K4722" s="147" t="str">
        <f t="shared" si="73"/>
        <v/>
      </c>
      <c r="L4722" s="40"/>
      <c r="M4722"/>
      <c r="N4722"/>
      <c r="O4722"/>
      <c r="P4722"/>
      <c r="Q4722"/>
      <c r="R4722"/>
      <c r="S4722"/>
      <c r="T4722"/>
      <c r="U4722"/>
      <c r="V4722"/>
      <c r="W4722" s="41"/>
      <c r="X4722" s="41"/>
      <c r="Y4722" s="41"/>
    </row>
    <row r="4723" s="27" customFormat="1" ht="23" hidden="1" customHeight="1" spans="1:25">
      <c r="A4723" s="133" t="str">
        <f>IF(B4723="","",COUNTA($B$5:B4723))</f>
        <v/>
      </c>
      <c r="B4723" s="148"/>
      <c r="C4723" s="22" t="s">
        <v>49</v>
      </c>
      <c r="D4723" s="149"/>
      <c r="E4723" s="150"/>
      <c r="F4723" s="151"/>
      <c r="G4723" s="151"/>
      <c r="H4723" s="142">
        <f>IFERROR(VLOOKUP($C4723,$C$5:$H$18,6,0)+SUMIF($C$19:$C4723,$C4723,$F$19:$F4723)-SUMIF($C$19:$C4723,$C4723,$G$19:$G4723),"")</f>
        <v>81211.819999998</v>
      </c>
      <c r="I4723" s="147"/>
      <c r="J4723" s="147"/>
      <c r="K4723" s="147" t="str">
        <f t="shared" si="73"/>
        <v/>
      </c>
      <c r="L4723" s="40"/>
      <c r="M4723"/>
      <c r="N4723"/>
      <c r="O4723"/>
      <c r="P4723"/>
      <c r="Q4723"/>
      <c r="R4723"/>
      <c r="S4723"/>
      <c r="T4723"/>
      <c r="U4723"/>
      <c r="V4723"/>
      <c r="W4723" s="41"/>
      <c r="X4723" s="41"/>
      <c r="Y4723" s="41"/>
    </row>
    <row r="4724" s="27" customFormat="1" ht="23" hidden="1" customHeight="1" spans="1:25">
      <c r="A4724" s="133" t="str">
        <f>IF(B4724="","",COUNTA($B$5:B4724))</f>
        <v/>
      </c>
      <c r="B4724" s="148"/>
      <c r="C4724" s="22" t="s">
        <v>49</v>
      </c>
      <c r="D4724" s="149"/>
      <c r="E4724" s="150"/>
      <c r="F4724" s="151"/>
      <c r="G4724" s="151"/>
      <c r="H4724" s="142">
        <f>IFERROR(VLOOKUP($C4724,$C$5:$H$18,6,0)+SUMIF($C$19:$C4724,$C4724,$F$19:$F4724)-SUMIF($C$19:$C4724,$C4724,$G$19:$G4724),"")</f>
        <v>81211.819999998</v>
      </c>
      <c r="I4724" s="147"/>
      <c r="J4724" s="147"/>
      <c r="K4724" s="147" t="str">
        <f t="shared" si="73"/>
        <v/>
      </c>
      <c r="L4724" s="40"/>
      <c r="M4724"/>
      <c r="N4724"/>
      <c r="O4724"/>
      <c r="P4724"/>
      <c r="Q4724"/>
      <c r="R4724"/>
      <c r="S4724"/>
      <c r="T4724"/>
      <c r="U4724"/>
      <c r="V4724"/>
      <c r="W4724" s="41"/>
      <c r="X4724" s="41"/>
      <c r="Y4724" s="41"/>
    </row>
    <row r="4725" s="27" customFormat="1" ht="23" hidden="1" customHeight="1" spans="1:25">
      <c r="A4725" s="133" t="str">
        <f>IF(B4725="","",COUNTA($B$5:B4725))</f>
        <v/>
      </c>
      <c r="B4725" s="148"/>
      <c r="C4725" s="22" t="s">
        <v>49</v>
      </c>
      <c r="D4725" s="149"/>
      <c r="E4725" s="150"/>
      <c r="F4725" s="151"/>
      <c r="G4725" s="151"/>
      <c r="H4725" s="142">
        <f>IFERROR(VLOOKUP($C4725,$C$5:$H$18,6,0)+SUMIF($C$19:$C4725,$C4725,$F$19:$F4725)-SUMIF($C$19:$C4725,$C4725,$G$19:$G4725),"")</f>
        <v>81211.819999998</v>
      </c>
      <c r="I4725" s="147"/>
      <c r="J4725" s="147"/>
      <c r="K4725" s="147" t="str">
        <f t="shared" si="73"/>
        <v/>
      </c>
      <c r="L4725" s="40"/>
      <c r="M4725"/>
      <c r="N4725"/>
      <c r="O4725"/>
      <c r="P4725"/>
      <c r="Q4725"/>
      <c r="R4725"/>
      <c r="S4725"/>
      <c r="T4725"/>
      <c r="U4725"/>
      <c r="V4725"/>
      <c r="W4725" s="41"/>
      <c r="X4725" s="41"/>
      <c r="Y4725" s="41"/>
    </row>
    <row r="4726" s="27" customFormat="1" ht="23" hidden="1" customHeight="1" spans="1:25">
      <c r="A4726" s="133" t="str">
        <f>IF(B4726="","",COUNTA($B$5:B4726))</f>
        <v/>
      </c>
      <c r="B4726" s="148"/>
      <c r="C4726" s="22" t="s">
        <v>49</v>
      </c>
      <c r="D4726" s="149"/>
      <c r="E4726" s="150"/>
      <c r="F4726" s="151"/>
      <c r="G4726" s="151"/>
      <c r="H4726" s="142">
        <f>IFERROR(VLOOKUP($C4726,$C$5:$H$18,6,0)+SUMIF($C$19:$C4726,$C4726,$F$19:$F4726)-SUMIF($C$19:$C4726,$C4726,$G$19:$G4726),"")</f>
        <v>81211.819999998</v>
      </c>
      <c r="I4726" s="147"/>
      <c r="J4726" s="147"/>
      <c r="K4726" s="147" t="str">
        <f t="shared" si="73"/>
        <v/>
      </c>
      <c r="L4726" s="40"/>
      <c r="M4726"/>
      <c r="N4726"/>
      <c r="O4726"/>
      <c r="P4726"/>
      <c r="Q4726"/>
      <c r="R4726"/>
      <c r="S4726"/>
      <c r="T4726"/>
      <c r="U4726"/>
      <c r="V4726"/>
      <c r="W4726" s="41"/>
      <c r="X4726" s="41"/>
      <c r="Y4726" s="41"/>
    </row>
    <row r="4727" s="27" customFormat="1" ht="23" hidden="1" customHeight="1" spans="1:25">
      <c r="A4727" s="133" t="str">
        <f>IF(B4727="","",COUNTA($B$5:B4727))</f>
        <v/>
      </c>
      <c r="B4727" s="148"/>
      <c r="C4727" s="22" t="s">
        <v>49</v>
      </c>
      <c r="D4727" s="149"/>
      <c r="E4727" s="150"/>
      <c r="F4727" s="151"/>
      <c r="G4727" s="151"/>
      <c r="H4727" s="142">
        <f>IFERROR(VLOOKUP($C4727,$C$5:$H$18,6,0)+SUMIF($C$19:$C4727,$C4727,$F$19:$F4727)-SUMIF($C$19:$C4727,$C4727,$G$19:$G4727),"")</f>
        <v>81211.819999998</v>
      </c>
      <c r="I4727" s="147"/>
      <c r="J4727" s="147"/>
      <c r="K4727" s="147" t="str">
        <f t="shared" si="73"/>
        <v/>
      </c>
      <c r="L4727" s="40"/>
      <c r="M4727"/>
      <c r="N4727"/>
      <c r="O4727"/>
      <c r="P4727"/>
      <c r="Q4727"/>
      <c r="R4727"/>
      <c r="S4727"/>
      <c r="T4727"/>
      <c r="U4727"/>
      <c r="V4727"/>
      <c r="W4727" s="41"/>
      <c r="X4727" s="41"/>
      <c r="Y4727" s="41"/>
    </row>
    <row r="4728" s="27" customFormat="1" ht="23" hidden="1" customHeight="1" spans="1:25">
      <c r="A4728" s="133" t="str">
        <f>IF(B4728="","",COUNTA($B$5:B4728))</f>
        <v/>
      </c>
      <c r="B4728" s="148"/>
      <c r="C4728" s="22" t="s">
        <v>49</v>
      </c>
      <c r="D4728" s="149"/>
      <c r="E4728" s="150"/>
      <c r="F4728" s="151"/>
      <c r="G4728" s="151"/>
      <c r="H4728" s="142">
        <f>IFERROR(VLOOKUP($C4728,$C$5:$H$18,6,0)+SUMIF($C$19:$C4728,$C4728,$F$19:$F4728)-SUMIF($C$19:$C4728,$C4728,$G$19:$G4728),"")</f>
        <v>81211.819999998</v>
      </c>
      <c r="I4728" s="147"/>
      <c r="J4728" s="147"/>
      <c r="K4728" s="147" t="str">
        <f t="shared" si="73"/>
        <v/>
      </c>
      <c r="L4728" s="40"/>
      <c r="M4728"/>
      <c r="N4728"/>
      <c r="O4728"/>
      <c r="P4728"/>
      <c r="Q4728"/>
      <c r="R4728"/>
      <c r="S4728"/>
      <c r="T4728"/>
      <c r="U4728"/>
      <c r="V4728"/>
      <c r="W4728" s="41"/>
      <c r="X4728" s="41"/>
      <c r="Y4728" s="41"/>
    </row>
    <row r="4729" s="27" customFormat="1" ht="23" hidden="1" customHeight="1" spans="1:25">
      <c r="A4729" s="133" t="str">
        <f>IF(B4729="","",COUNTA($B$5:B4729))</f>
        <v/>
      </c>
      <c r="B4729" s="148"/>
      <c r="C4729" s="22" t="s">
        <v>49</v>
      </c>
      <c r="D4729" s="149"/>
      <c r="E4729" s="150"/>
      <c r="F4729" s="151"/>
      <c r="G4729" s="151"/>
      <c r="H4729" s="142">
        <f>IFERROR(VLOOKUP($C4729,$C$5:$H$18,6,0)+SUMIF($C$19:$C4729,$C4729,$F$19:$F4729)-SUMIF($C$19:$C4729,$C4729,$G$19:$G4729),"")</f>
        <v>81211.819999998</v>
      </c>
      <c r="I4729" s="147"/>
      <c r="J4729" s="147"/>
      <c r="K4729" s="147" t="str">
        <f t="shared" si="73"/>
        <v/>
      </c>
      <c r="L4729" s="40"/>
      <c r="M4729"/>
      <c r="N4729"/>
      <c r="O4729"/>
      <c r="P4729"/>
      <c r="Q4729"/>
      <c r="R4729"/>
      <c r="S4729"/>
      <c r="T4729"/>
      <c r="U4729"/>
      <c r="V4729"/>
      <c r="W4729" s="41"/>
      <c r="X4729" s="41"/>
      <c r="Y4729" s="41"/>
    </row>
    <row r="4730" s="27" customFormat="1" ht="23" hidden="1" customHeight="1" spans="1:25">
      <c r="A4730" s="133" t="str">
        <f>IF(B4730="","",COUNTA($B$5:B4730))</f>
        <v/>
      </c>
      <c r="B4730" s="148"/>
      <c r="C4730" s="22" t="s">
        <v>49</v>
      </c>
      <c r="D4730" s="149"/>
      <c r="E4730" s="150"/>
      <c r="F4730" s="151"/>
      <c r="G4730" s="151"/>
      <c r="H4730" s="142">
        <f>IFERROR(VLOOKUP($C4730,$C$5:$H$18,6,0)+SUMIF($C$19:$C4730,$C4730,$F$19:$F4730)-SUMIF($C$19:$C4730,$C4730,$G$19:$G4730),"")</f>
        <v>81211.819999998</v>
      </c>
      <c r="I4730" s="147"/>
      <c r="J4730" s="147"/>
      <c r="K4730" s="147" t="str">
        <f t="shared" si="73"/>
        <v/>
      </c>
      <c r="L4730" s="40"/>
      <c r="M4730"/>
      <c r="N4730"/>
      <c r="O4730"/>
      <c r="P4730"/>
      <c r="Q4730"/>
      <c r="R4730"/>
      <c r="S4730"/>
      <c r="T4730"/>
      <c r="U4730"/>
      <c r="V4730"/>
      <c r="W4730" s="41"/>
      <c r="X4730" s="41"/>
      <c r="Y4730" s="41"/>
    </row>
    <row r="4731" s="27" customFormat="1" ht="23" hidden="1" customHeight="1" spans="1:25">
      <c r="A4731" s="133" t="str">
        <f>IF(B4731="","",COUNTA($B$5:B4731))</f>
        <v/>
      </c>
      <c r="B4731" s="148"/>
      <c r="C4731" s="22" t="s">
        <v>49</v>
      </c>
      <c r="D4731" s="149"/>
      <c r="E4731" s="150"/>
      <c r="F4731" s="151"/>
      <c r="G4731" s="151"/>
      <c r="H4731" s="142">
        <f>IFERROR(VLOOKUP($C4731,$C$5:$H$18,6,0)+SUMIF($C$19:$C4731,$C4731,$F$19:$F4731)-SUMIF($C$19:$C4731,$C4731,$G$19:$G4731),"")</f>
        <v>81211.819999998</v>
      </c>
      <c r="I4731" s="147"/>
      <c r="J4731" s="147"/>
      <c r="K4731" s="147" t="str">
        <f t="shared" si="73"/>
        <v/>
      </c>
      <c r="L4731" s="40"/>
      <c r="M4731"/>
      <c r="N4731"/>
      <c r="O4731"/>
      <c r="P4731"/>
      <c r="Q4731"/>
      <c r="R4731"/>
      <c r="S4731"/>
      <c r="T4731"/>
      <c r="U4731"/>
      <c r="V4731"/>
      <c r="W4731" s="41"/>
      <c r="X4731" s="41"/>
      <c r="Y4731" s="41"/>
    </row>
    <row r="4732" s="27" customFormat="1" ht="23" hidden="1" customHeight="1" spans="1:25">
      <c r="A4732" s="133" t="str">
        <f>IF(B4732="","",COUNTA($B$5:B4732))</f>
        <v/>
      </c>
      <c r="B4732" s="148"/>
      <c r="C4732" s="22" t="s">
        <v>49</v>
      </c>
      <c r="D4732" s="149"/>
      <c r="E4732" s="150"/>
      <c r="F4732" s="151"/>
      <c r="G4732" s="151"/>
      <c r="H4732" s="142">
        <f>IFERROR(VLOOKUP($C4732,$C$5:$H$18,6,0)+SUMIF($C$19:$C4732,$C4732,$F$19:$F4732)-SUMIF($C$19:$C4732,$C4732,$G$19:$G4732),"")</f>
        <v>81211.819999998</v>
      </c>
      <c r="I4732" s="147"/>
      <c r="J4732" s="147"/>
      <c r="K4732" s="147" t="str">
        <f t="shared" si="73"/>
        <v/>
      </c>
      <c r="L4732" s="40"/>
      <c r="M4732"/>
      <c r="N4732"/>
      <c r="O4732"/>
      <c r="P4732"/>
      <c r="Q4732"/>
      <c r="R4732"/>
      <c r="S4732"/>
      <c r="T4732"/>
      <c r="U4732"/>
      <c r="V4732"/>
      <c r="W4732" s="41"/>
      <c r="X4732" s="41"/>
      <c r="Y4732" s="41"/>
    </row>
    <row r="4733" s="27" customFormat="1" ht="23" hidden="1" customHeight="1" spans="1:25">
      <c r="A4733" s="133" t="str">
        <f>IF(B4733="","",COUNTA($B$5:B4733))</f>
        <v/>
      </c>
      <c r="B4733" s="148"/>
      <c r="C4733" s="22" t="s">
        <v>49</v>
      </c>
      <c r="D4733" s="149"/>
      <c r="E4733" s="150"/>
      <c r="F4733" s="151"/>
      <c r="G4733" s="151"/>
      <c r="H4733" s="142">
        <f>IFERROR(VLOOKUP($C4733,$C$5:$H$18,6,0)+SUMIF($C$19:$C4733,$C4733,$F$19:$F4733)-SUMIF($C$19:$C4733,$C4733,$G$19:$G4733),"")</f>
        <v>81211.819999998</v>
      </c>
      <c r="I4733" s="147"/>
      <c r="J4733" s="147"/>
      <c r="K4733" s="147" t="str">
        <f t="shared" si="73"/>
        <v/>
      </c>
      <c r="L4733" s="40"/>
      <c r="M4733"/>
      <c r="N4733"/>
      <c r="O4733"/>
      <c r="P4733"/>
      <c r="Q4733"/>
      <c r="R4733"/>
      <c r="S4733"/>
      <c r="T4733"/>
      <c r="U4733"/>
      <c r="V4733"/>
      <c r="W4733" s="41"/>
      <c r="X4733" s="41"/>
      <c r="Y4733" s="41"/>
    </row>
    <row r="4734" s="27" customFormat="1" ht="23" hidden="1" customHeight="1" spans="1:25">
      <c r="A4734" s="133" t="str">
        <f>IF(B4734="","",COUNTA($B$5:B4734))</f>
        <v/>
      </c>
      <c r="B4734" s="148"/>
      <c r="C4734" s="22" t="s">
        <v>49</v>
      </c>
      <c r="D4734" s="149"/>
      <c r="E4734" s="150"/>
      <c r="F4734" s="151"/>
      <c r="G4734" s="151"/>
      <c r="H4734" s="142">
        <f>IFERROR(VLOOKUP($C4734,$C$5:$H$18,6,0)+SUMIF($C$19:$C4734,$C4734,$F$19:$F4734)-SUMIF($C$19:$C4734,$C4734,$G$19:$G4734),"")</f>
        <v>81211.819999998</v>
      </c>
      <c r="I4734" s="147"/>
      <c r="J4734" s="147"/>
      <c r="K4734" s="147" t="str">
        <f t="shared" si="73"/>
        <v/>
      </c>
      <c r="L4734" s="40"/>
      <c r="M4734"/>
      <c r="N4734"/>
      <c r="O4734"/>
      <c r="P4734"/>
      <c r="Q4734"/>
      <c r="R4734"/>
      <c r="S4734"/>
      <c r="T4734"/>
      <c r="U4734"/>
      <c r="V4734"/>
      <c r="W4734" s="41"/>
      <c r="X4734" s="41"/>
      <c r="Y4734" s="41"/>
    </row>
    <row r="4735" s="27" customFormat="1" ht="23" hidden="1" customHeight="1" spans="1:25">
      <c r="A4735" s="133" t="str">
        <f>IF(B4735="","",COUNTA($B$5:B4735))</f>
        <v/>
      </c>
      <c r="B4735" s="148"/>
      <c r="C4735" s="22" t="s">
        <v>49</v>
      </c>
      <c r="D4735" s="149"/>
      <c r="E4735" s="150"/>
      <c r="F4735" s="151"/>
      <c r="G4735" s="151"/>
      <c r="H4735" s="142">
        <f>IFERROR(VLOOKUP($C4735,$C$5:$H$18,6,0)+SUMIF($C$19:$C4735,$C4735,$F$19:$F4735)-SUMIF($C$19:$C4735,$C4735,$G$19:$G4735),"")</f>
        <v>81211.819999998</v>
      </c>
      <c r="I4735" s="147"/>
      <c r="J4735" s="147"/>
      <c r="K4735" s="147" t="str">
        <f t="shared" si="73"/>
        <v/>
      </c>
      <c r="L4735" s="40"/>
      <c r="M4735"/>
      <c r="N4735"/>
      <c r="O4735"/>
      <c r="P4735"/>
      <c r="Q4735"/>
      <c r="R4735"/>
      <c r="S4735"/>
      <c r="T4735"/>
      <c r="U4735"/>
      <c r="V4735"/>
      <c r="W4735" s="41"/>
      <c r="X4735" s="41"/>
      <c r="Y4735" s="41"/>
    </row>
    <row r="4736" s="27" customFormat="1" ht="23" hidden="1" customHeight="1" spans="1:25">
      <c r="A4736" s="133" t="str">
        <f>IF(B4736="","",COUNTA($B$5:B4736))</f>
        <v/>
      </c>
      <c r="B4736" s="148"/>
      <c r="C4736" s="22" t="s">
        <v>49</v>
      </c>
      <c r="D4736" s="149"/>
      <c r="E4736" s="150"/>
      <c r="F4736" s="151"/>
      <c r="G4736" s="151"/>
      <c r="H4736" s="142">
        <f>IFERROR(VLOOKUP($C4736,$C$5:$H$18,6,0)+SUMIF($C$19:$C4736,$C4736,$F$19:$F4736)-SUMIF($C$19:$C4736,$C4736,$G$19:$G4736),"")</f>
        <v>81211.819999998</v>
      </c>
      <c r="I4736" s="147"/>
      <c r="J4736" s="147"/>
      <c r="K4736" s="147" t="str">
        <f t="shared" si="73"/>
        <v/>
      </c>
      <c r="L4736" s="40"/>
      <c r="M4736"/>
      <c r="N4736"/>
      <c r="O4736"/>
      <c r="P4736"/>
      <c r="Q4736"/>
      <c r="R4736"/>
      <c r="S4736"/>
      <c r="T4736"/>
      <c r="U4736"/>
      <c r="V4736"/>
      <c r="W4736" s="41"/>
      <c r="X4736" s="41"/>
      <c r="Y4736" s="41"/>
    </row>
    <row r="4737" s="27" customFormat="1" ht="23" hidden="1" customHeight="1" spans="1:25">
      <c r="A4737" s="133" t="str">
        <f>IF(B4737="","",COUNTA($B$5:B4737))</f>
        <v/>
      </c>
      <c r="B4737" s="148"/>
      <c r="C4737" s="22" t="s">
        <v>49</v>
      </c>
      <c r="D4737" s="149"/>
      <c r="E4737" s="150"/>
      <c r="F4737" s="151"/>
      <c r="G4737" s="151"/>
      <c r="H4737" s="142">
        <f>IFERROR(VLOOKUP($C4737,$C$5:$H$18,6,0)+SUMIF($C$19:$C4737,$C4737,$F$19:$F4737)-SUMIF($C$19:$C4737,$C4737,$G$19:$G4737),"")</f>
        <v>81211.819999998</v>
      </c>
      <c r="I4737" s="147"/>
      <c r="J4737" s="147"/>
      <c r="K4737" s="147" t="str">
        <f t="shared" si="73"/>
        <v/>
      </c>
      <c r="L4737" s="40"/>
      <c r="M4737"/>
      <c r="N4737"/>
      <c r="O4737"/>
      <c r="P4737"/>
      <c r="Q4737"/>
      <c r="R4737"/>
      <c r="S4737"/>
      <c r="T4737"/>
      <c r="U4737"/>
      <c r="V4737"/>
      <c r="W4737" s="41"/>
      <c r="X4737" s="41"/>
      <c r="Y4737" s="41"/>
    </row>
    <row r="4738" s="27" customFormat="1" ht="23" hidden="1" customHeight="1" spans="1:25">
      <c r="A4738" s="133" t="str">
        <f>IF(B4738="","",COUNTA($B$5:B4738))</f>
        <v/>
      </c>
      <c r="B4738" s="148"/>
      <c r="C4738" s="22" t="s">
        <v>49</v>
      </c>
      <c r="D4738" s="149"/>
      <c r="E4738" s="150"/>
      <c r="F4738" s="151"/>
      <c r="G4738" s="151"/>
      <c r="H4738" s="142">
        <f>IFERROR(VLOOKUP($C4738,$C$5:$H$18,6,0)+SUMIF($C$19:$C4738,$C4738,$F$19:$F4738)-SUMIF($C$19:$C4738,$C4738,$G$19:$G4738),"")</f>
        <v>81211.819999998</v>
      </c>
      <c r="I4738" s="147"/>
      <c r="J4738" s="147"/>
      <c r="K4738" s="147" t="str">
        <f t="shared" si="73"/>
        <v/>
      </c>
      <c r="L4738" s="40"/>
      <c r="M4738"/>
      <c r="N4738"/>
      <c r="O4738"/>
      <c r="P4738"/>
      <c r="Q4738"/>
      <c r="R4738"/>
      <c r="S4738"/>
      <c r="T4738"/>
      <c r="U4738"/>
      <c r="V4738"/>
      <c r="W4738" s="41"/>
      <c r="X4738" s="41"/>
      <c r="Y4738" s="41"/>
    </row>
    <row r="4739" s="27" customFormat="1" ht="23" hidden="1" customHeight="1" spans="1:25">
      <c r="A4739" s="133" t="str">
        <f>IF(B4739="","",COUNTA($B$5:B4739))</f>
        <v/>
      </c>
      <c r="B4739" s="148"/>
      <c r="C4739" s="22" t="s">
        <v>49</v>
      </c>
      <c r="D4739" s="149"/>
      <c r="E4739" s="150"/>
      <c r="F4739" s="151"/>
      <c r="G4739" s="151"/>
      <c r="H4739" s="142">
        <f>IFERROR(VLOOKUP($C4739,$C$5:$H$18,6,0)+SUMIF($C$19:$C4739,$C4739,$F$19:$F4739)-SUMIF($C$19:$C4739,$C4739,$G$19:$G4739),"")</f>
        <v>81211.819999998</v>
      </c>
      <c r="I4739" s="147"/>
      <c r="J4739" s="147"/>
      <c r="K4739" s="147" t="str">
        <f t="shared" si="73"/>
        <v/>
      </c>
      <c r="L4739" s="40"/>
      <c r="M4739"/>
      <c r="N4739"/>
      <c r="O4739"/>
      <c r="P4739"/>
      <c r="Q4739"/>
      <c r="R4739"/>
      <c r="S4739"/>
      <c r="T4739"/>
      <c r="U4739"/>
      <c r="V4739"/>
      <c r="W4739" s="41"/>
      <c r="X4739" s="41"/>
      <c r="Y4739" s="41"/>
    </row>
    <row r="4740" s="27" customFormat="1" ht="23" hidden="1" customHeight="1" spans="1:25">
      <c r="A4740" s="133" t="str">
        <f>IF(B4740="","",COUNTA($B$5:B4740))</f>
        <v/>
      </c>
      <c r="B4740" s="148"/>
      <c r="C4740" s="22" t="s">
        <v>49</v>
      </c>
      <c r="D4740" s="149"/>
      <c r="E4740" s="150"/>
      <c r="F4740" s="151"/>
      <c r="G4740" s="151"/>
      <c r="H4740" s="142">
        <f>IFERROR(VLOOKUP($C4740,$C$5:$H$18,6,0)+SUMIF($C$19:$C4740,$C4740,$F$19:$F4740)-SUMIF($C$19:$C4740,$C4740,$G$19:$G4740),"")</f>
        <v>81211.819999998</v>
      </c>
      <c r="I4740" s="147"/>
      <c r="J4740" s="147"/>
      <c r="K4740" s="147" t="str">
        <f t="shared" si="73"/>
        <v/>
      </c>
      <c r="L4740" s="40"/>
      <c r="M4740"/>
      <c r="N4740"/>
      <c r="O4740"/>
      <c r="P4740"/>
      <c r="Q4740"/>
      <c r="R4740"/>
      <c r="S4740"/>
      <c r="T4740"/>
      <c r="U4740"/>
      <c r="V4740"/>
      <c r="W4740" s="41"/>
      <c r="X4740" s="41"/>
      <c r="Y4740" s="41"/>
    </row>
    <row r="4741" s="27" customFormat="1" ht="23" hidden="1" customHeight="1" spans="1:25">
      <c r="A4741" s="133" t="str">
        <f>IF(B4741="","",COUNTA($B$5:B4741))</f>
        <v/>
      </c>
      <c r="B4741" s="148"/>
      <c r="C4741" s="22" t="s">
        <v>49</v>
      </c>
      <c r="D4741" s="149"/>
      <c r="E4741" s="150"/>
      <c r="F4741" s="151"/>
      <c r="G4741" s="151"/>
      <c r="H4741" s="142">
        <f>IFERROR(VLOOKUP($C4741,$C$5:$H$18,6,0)+SUMIF($C$19:$C4741,$C4741,$F$19:$F4741)-SUMIF($C$19:$C4741,$C4741,$G$19:$G4741),"")</f>
        <v>81211.819999998</v>
      </c>
      <c r="I4741" s="147"/>
      <c r="J4741" s="147"/>
      <c r="K4741" s="147" t="str">
        <f t="shared" ref="K4741:K4804" si="74">IF($B4741="","",--TEXT($B4741,"yyyymm"))</f>
        <v/>
      </c>
      <c r="L4741" s="40"/>
      <c r="M4741"/>
      <c r="N4741"/>
      <c r="O4741"/>
      <c r="P4741"/>
      <c r="Q4741"/>
      <c r="R4741"/>
      <c r="S4741"/>
      <c r="T4741"/>
      <c r="U4741"/>
      <c r="V4741"/>
      <c r="W4741" s="41"/>
      <c r="X4741" s="41"/>
      <c r="Y4741" s="41"/>
    </row>
    <row r="4742" s="27" customFormat="1" ht="23" hidden="1" customHeight="1" spans="1:25">
      <c r="A4742" s="133" t="str">
        <f>IF(B4742="","",COUNTA($B$5:B4742))</f>
        <v/>
      </c>
      <c r="B4742" s="148"/>
      <c r="C4742" s="22" t="s">
        <v>49</v>
      </c>
      <c r="D4742" s="149"/>
      <c r="E4742" s="150"/>
      <c r="F4742" s="151"/>
      <c r="G4742" s="151"/>
      <c r="H4742" s="142">
        <f>IFERROR(VLOOKUP($C4742,$C$5:$H$18,6,0)+SUMIF($C$19:$C4742,$C4742,$F$19:$F4742)-SUMIF($C$19:$C4742,$C4742,$G$19:$G4742),"")</f>
        <v>81211.819999998</v>
      </c>
      <c r="I4742" s="147"/>
      <c r="J4742" s="147"/>
      <c r="K4742" s="147" t="str">
        <f t="shared" si="74"/>
        <v/>
      </c>
      <c r="L4742" s="40"/>
      <c r="M4742"/>
      <c r="N4742"/>
      <c r="O4742"/>
      <c r="P4742"/>
      <c r="Q4742"/>
      <c r="R4742"/>
      <c r="S4742"/>
      <c r="T4742"/>
      <c r="U4742"/>
      <c r="V4742"/>
      <c r="W4742" s="41"/>
      <c r="X4742" s="41"/>
      <c r="Y4742" s="41"/>
    </row>
    <row r="4743" s="27" customFormat="1" ht="23" hidden="1" customHeight="1" spans="1:25">
      <c r="A4743" s="133" t="str">
        <f>IF(B4743="","",COUNTA($B$5:B4743))</f>
        <v/>
      </c>
      <c r="B4743" s="148"/>
      <c r="C4743" s="22" t="s">
        <v>49</v>
      </c>
      <c r="D4743" s="149"/>
      <c r="E4743" s="150"/>
      <c r="F4743" s="151"/>
      <c r="G4743" s="151"/>
      <c r="H4743" s="142">
        <f>IFERROR(VLOOKUP($C4743,$C$5:$H$18,6,0)+SUMIF($C$19:$C4743,$C4743,$F$19:$F4743)-SUMIF($C$19:$C4743,$C4743,$G$19:$G4743),"")</f>
        <v>81211.819999998</v>
      </c>
      <c r="I4743" s="147"/>
      <c r="J4743" s="147"/>
      <c r="K4743" s="147" t="str">
        <f t="shared" si="74"/>
        <v/>
      </c>
      <c r="L4743" s="40"/>
      <c r="M4743"/>
      <c r="N4743"/>
      <c r="O4743"/>
      <c r="P4743"/>
      <c r="Q4743"/>
      <c r="R4743"/>
      <c r="S4743"/>
      <c r="T4743"/>
      <c r="U4743"/>
      <c r="V4743"/>
      <c r="W4743" s="41"/>
      <c r="X4743" s="41"/>
      <c r="Y4743" s="41"/>
    </row>
    <row r="4744" s="27" customFormat="1" ht="23" hidden="1" customHeight="1" spans="1:25">
      <c r="A4744" s="133" t="str">
        <f>IF(B4744="","",COUNTA($B$5:B4744))</f>
        <v/>
      </c>
      <c r="B4744" s="148"/>
      <c r="C4744" s="22" t="s">
        <v>49</v>
      </c>
      <c r="D4744" s="149"/>
      <c r="E4744" s="150"/>
      <c r="F4744" s="151"/>
      <c r="G4744" s="151"/>
      <c r="H4744" s="142">
        <f>IFERROR(VLOOKUP($C4744,$C$5:$H$18,6,0)+SUMIF($C$19:$C4744,$C4744,$F$19:$F4744)-SUMIF($C$19:$C4744,$C4744,$G$19:$G4744),"")</f>
        <v>81211.819999998</v>
      </c>
      <c r="I4744" s="147"/>
      <c r="J4744" s="147"/>
      <c r="K4744" s="147" t="str">
        <f t="shared" si="74"/>
        <v/>
      </c>
      <c r="L4744" s="40"/>
      <c r="M4744"/>
      <c r="N4744"/>
      <c r="O4744"/>
      <c r="P4744"/>
      <c r="Q4744"/>
      <c r="R4744"/>
      <c r="S4744"/>
      <c r="T4744"/>
      <c r="U4744"/>
      <c r="V4744"/>
      <c r="W4744" s="41"/>
      <c r="X4744" s="41"/>
      <c r="Y4744" s="41"/>
    </row>
    <row r="4745" s="27" customFormat="1" ht="23" hidden="1" customHeight="1" spans="1:25">
      <c r="A4745" s="133" t="str">
        <f>IF(B4745="","",COUNTA($B$5:B4745))</f>
        <v/>
      </c>
      <c r="B4745" s="148"/>
      <c r="C4745" s="22" t="s">
        <v>49</v>
      </c>
      <c r="D4745" s="149"/>
      <c r="E4745" s="150"/>
      <c r="F4745" s="151"/>
      <c r="G4745" s="151"/>
      <c r="H4745" s="142">
        <f>IFERROR(VLOOKUP($C4745,$C$5:$H$18,6,0)+SUMIF($C$19:$C4745,$C4745,$F$19:$F4745)-SUMIF($C$19:$C4745,$C4745,$G$19:$G4745),"")</f>
        <v>81211.819999998</v>
      </c>
      <c r="I4745" s="147"/>
      <c r="J4745" s="147"/>
      <c r="K4745" s="147" t="str">
        <f t="shared" si="74"/>
        <v/>
      </c>
      <c r="L4745" s="40"/>
      <c r="M4745"/>
      <c r="N4745"/>
      <c r="O4745"/>
      <c r="P4745"/>
      <c r="Q4745"/>
      <c r="R4745"/>
      <c r="S4745"/>
      <c r="T4745"/>
      <c r="U4745"/>
      <c r="V4745"/>
      <c r="W4745" s="41"/>
      <c r="X4745" s="41"/>
      <c r="Y4745" s="41"/>
    </row>
    <row r="4746" s="27" customFormat="1" ht="23" hidden="1" customHeight="1" spans="1:25">
      <c r="A4746" s="133" t="str">
        <f>IF(B4746="","",COUNTA($B$5:B4746))</f>
        <v/>
      </c>
      <c r="B4746" s="148"/>
      <c r="C4746" s="22" t="s">
        <v>49</v>
      </c>
      <c r="D4746" s="149"/>
      <c r="E4746" s="150"/>
      <c r="F4746" s="151"/>
      <c r="G4746" s="151"/>
      <c r="H4746" s="142">
        <f>IFERROR(VLOOKUP($C4746,$C$5:$H$18,6,0)+SUMIF($C$19:$C4746,$C4746,$F$19:$F4746)-SUMIF($C$19:$C4746,$C4746,$G$19:$G4746),"")</f>
        <v>81211.819999998</v>
      </c>
      <c r="I4746" s="147"/>
      <c r="J4746" s="147"/>
      <c r="K4746" s="147" t="str">
        <f t="shared" si="74"/>
        <v/>
      </c>
      <c r="L4746" s="40"/>
      <c r="M4746"/>
      <c r="N4746"/>
      <c r="O4746"/>
      <c r="P4746"/>
      <c r="Q4746"/>
      <c r="R4746"/>
      <c r="S4746"/>
      <c r="T4746"/>
      <c r="U4746"/>
      <c r="V4746"/>
      <c r="W4746" s="41"/>
      <c r="X4746" s="41"/>
      <c r="Y4746" s="41"/>
    </row>
    <row r="4747" s="27" customFormat="1" ht="23" hidden="1" customHeight="1" spans="1:25">
      <c r="A4747" s="133" t="str">
        <f>IF(B4747="","",COUNTA($B$5:B4747))</f>
        <v/>
      </c>
      <c r="B4747" s="148"/>
      <c r="C4747" s="22" t="s">
        <v>49</v>
      </c>
      <c r="D4747" s="149"/>
      <c r="E4747" s="150"/>
      <c r="F4747" s="151"/>
      <c r="G4747" s="151"/>
      <c r="H4747" s="142">
        <f>IFERROR(VLOOKUP($C4747,$C$5:$H$18,6,0)+SUMIF($C$19:$C4747,$C4747,$F$19:$F4747)-SUMIF($C$19:$C4747,$C4747,$G$19:$G4747),"")</f>
        <v>81211.819999998</v>
      </c>
      <c r="I4747" s="147"/>
      <c r="J4747" s="147"/>
      <c r="K4747" s="147" t="str">
        <f t="shared" si="74"/>
        <v/>
      </c>
      <c r="L4747" s="40"/>
      <c r="M4747"/>
      <c r="N4747"/>
      <c r="O4747"/>
      <c r="P4747"/>
      <c r="Q4747"/>
      <c r="R4747"/>
      <c r="S4747"/>
      <c r="T4747"/>
      <c r="U4747"/>
      <c r="V4747"/>
      <c r="W4747" s="41"/>
      <c r="X4747" s="41"/>
      <c r="Y4747" s="41"/>
    </row>
    <row r="4748" s="27" customFormat="1" ht="23" hidden="1" customHeight="1" spans="1:25">
      <c r="A4748" s="133" t="str">
        <f>IF(B4748="","",COUNTA($B$5:B4748))</f>
        <v/>
      </c>
      <c r="B4748" s="148"/>
      <c r="C4748" s="22" t="s">
        <v>49</v>
      </c>
      <c r="D4748" s="149"/>
      <c r="E4748" s="150"/>
      <c r="F4748" s="151"/>
      <c r="G4748" s="151"/>
      <c r="H4748" s="142">
        <f>IFERROR(VLOOKUP($C4748,$C$5:$H$18,6,0)+SUMIF($C$19:$C4748,$C4748,$F$19:$F4748)-SUMIF($C$19:$C4748,$C4748,$G$19:$G4748),"")</f>
        <v>81211.819999998</v>
      </c>
      <c r="I4748" s="147"/>
      <c r="J4748" s="147"/>
      <c r="K4748" s="147" t="str">
        <f t="shared" si="74"/>
        <v/>
      </c>
      <c r="L4748" s="40"/>
      <c r="M4748"/>
      <c r="N4748"/>
      <c r="O4748"/>
      <c r="P4748"/>
      <c r="Q4748"/>
      <c r="R4748"/>
      <c r="S4748"/>
      <c r="T4748"/>
      <c r="U4748"/>
      <c r="V4748"/>
      <c r="W4748" s="41"/>
      <c r="X4748" s="41"/>
      <c r="Y4748" s="41"/>
    </row>
    <row r="4749" s="27" customFormat="1" ht="23" hidden="1" customHeight="1" spans="1:25">
      <c r="A4749" s="133" t="str">
        <f>IF(B4749="","",COUNTA($B$5:B4749))</f>
        <v/>
      </c>
      <c r="B4749" s="148"/>
      <c r="C4749" s="22" t="s">
        <v>49</v>
      </c>
      <c r="D4749" s="149"/>
      <c r="E4749" s="150"/>
      <c r="F4749" s="151"/>
      <c r="G4749" s="151"/>
      <c r="H4749" s="142">
        <f>IFERROR(VLOOKUP($C4749,$C$5:$H$18,6,0)+SUMIF($C$19:$C4749,$C4749,$F$19:$F4749)-SUMIF($C$19:$C4749,$C4749,$G$19:$G4749),"")</f>
        <v>81211.819999998</v>
      </c>
      <c r="I4749" s="147"/>
      <c r="J4749" s="147"/>
      <c r="K4749" s="147" t="str">
        <f t="shared" si="74"/>
        <v/>
      </c>
      <c r="L4749" s="40"/>
      <c r="M4749"/>
      <c r="N4749"/>
      <c r="O4749"/>
      <c r="P4749"/>
      <c r="Q4749"/>
      <c r="R4749"/>
      <c r="S4749"/>
      <c r="T4749"/>
      <c r="U4749"/>
      <c r="V4749"/>
      <c r="W4749" s="41"/>
      <c r="X4749" s="41"/>
      <c r="Y4749" s="41"/>
    </row>
    <row r="4750" s="27" customFormat="1" ht="23" hidden="1" customHeight="1" spans="1:25">
      <c r="A4750" s="133" t="str">
        <f>IF(B4750="","",COUNTA($B$5:B4750))</f>
        <v/>
      </c>
      <c r="B4750" s="148"/>
      <c r="C4750" s="22" t="s">
        <v>49</v>
      </c>
      <c r="D4750" s="149"/>
      <c r="E4750" s="150"/>
      <c r="F4750" s="151"/>
      <c r="G4750" s="151"/>
      <c r="H4750" s="142">
        <f>IFERROR(VLOOKUP($C4750,$C$5:$H$18,6,0)+SUMIF($C$19:$C4750,$C4750,$F$19:$F4750)-SUMIF($C$19:$C4750,$C4750,$G$19:$G4750),"")</f>
        <v>81211.819999998</v>
      </c>
      <c r="I4750" s="147"/>
      <c r="J4750" s="147"/>
      <c r="K4750" s="147" t="str">
        <f t="shared" si="74"/>
        <v/>
      </c>
      <c r="L4750" s="40"/>
      <c r="M4750"/>
      <c r="N4750"/>
      <c r="O4750"/>
      <c r="P4750"/>
      <c r="Q4750"/>
      <c r="R4750"/>
      <c r="S4750"/>
      <c r="T4750"/>
      <c r="U4750"/>
      <c r="V4750"/>
      <c r="W4750" s="41"/>
      <c r="X4750" s="41"/>
      <c r="Y4750" s="41"/>
    </row>
    <row r="4751" s="27" customFormat="1" ht="23" hidden="1" customHeight="1" spans="1:25">
      <c r="A4751" s="133" t="str">
        <f>IF(B4751="","",COUNTA($B$5:B4751))</f>
        <v/>
      </c>
      <c r="B4751" s="148"/>
      <c r="C4751" s="22" t="s">
        <v>49</v>
      </c>
      <c r="D4751" s="149"/>
      <c r="E4751" s="150"/>
      <c r="F4751" s="151"/>
      <c r="G4751" s="151"/>
      <c r="H4751" s="142">
        <f>IFERROR(VLOOKUP($C4751,$C$5:$H$18,6,0)+SUMIF($C$19:$C4751,$C4751,$F$19:$F4751)-SUMIF($C$19:$C4751,$C4751,$G$19:$G4751),"")</f>
        <v>81211.819999998</v>
      </c>
      <c r="I4751" s="147"/>
      <c r="J4751" s="147"/>
      <c r="K4751" s="147" t="str">
        <f t="shared" si="74"/>
        <v/>
      </c>
      <c r="L4751" s="40"/>
      <c r="M4751"/>
      <c r="N4751"/>
      <c r="O4751"/>
      <c r="P4751"/>
      <c r="Q4751"/>
      <c r="R4751"/>
      <c r="S4751"/>
      <c r="T4751"/>
      <c r="U4751"/>
      <c r="V4751"/>
      <c r="W4751" s="41"/>
      <c r="X4751" s="41"/>
      <c r="Y4751" s="41"/>
    </row>
    <row r="4752" s="27" customFormat="1" ht="23" hidden="1" customHeight="1" spans="1:25">
      <c r="A4752" s="133" t="str">
        <f>IF(B4752="","",COUNTA($B$5:B4752))</f>
        <v/>
      </c>
      <c r="B4752" s="148"/>
      <c r="C4752" s="22" t="s">
        <v>49</v>
      </c>
      <c r="D4752" s="149"/>
      <c r="E4752" s="150"/>
      <c r="F4752" s="151"/>
      <c r="G4752" s="151"/>
      <c r="H4752" s="142">
        <f>IFERROR(VLOOKUP($C4752,$C$5:$H$18,6,0)+SUMIF($C$19:$C4752,$C4752,$F$19:$F4752)-SUMIF($C$19:$C4752,$C4752,$G$19:$G4752),"")</f>
        <v>81211.819999998</v>
      </c>
      <c r="I4752" s="147"/>
      <c r="J4752" s="147"/>
      <c r="K4752" s="147" t="str">
        <f t="shared" si="74"/>
        <v/>
      </c>
      <c r="L4752" s="40"/>
      <c r="M4752"/>
      <c r="N4752"/>
      <c r="O4752"/>
      <c r="P4752"/>
      <c r="Q4752"/>
      <c r="R4752"/>
      <c r="S4752"/>
      <c r="T4752"/>
      <c r="U4752"/>
      <c r="V4752"/>
      <c r="W4752" s="41"/>
      <c r="X4752" s="41"/>
      <c r="Y4752" s="41"/>
    </row>
    <row r="4753" s="27" customFormat="1" ht="23" hidden="1" customHeight="1" spans="1:25">
      <c r="A4753" s="133" t="str">
        <f>IF(B4753="","",COUNTA($B$5:B4753))</f>
        <v/>
      </c>
      <c r="B4753" s="148"/>
      <c r="C4753" s="22" t="s">
        <v>49</v>
      </c>
      <c r="D4753" s="149"/>
      <c r="E4753" s="150"/>
      <c r="F4753" s="151"/>
      <c r="G4753" s="151"/>
      <c r="H4753" s="142">
        <f>IFERROR(VLOOKUP($C4753,$C$5:$H$18,6,0)+SUMIF($C$19:$C4753,$C4753,$F$19:$F4753)-SUMIF($C$19:$C4753,$C4753,$G$19:$G4753),"")</f>
        <v>81211.819999998</v>
      </c>
      <c r="I4753" s="147"/>
      <c r="J4753" s="147"/>
      <c r="K4753" s="147" t="str">
        <f t="shared" si="74"/>
        <v/>
      </c>
      <c r="L4753" s="40"/>
      <c r="M4753"/>
      <c r="N4753"/>
      <c r="O4753"/>
      <c r="P4753"/>
      <c r="Q4753"/>
      <c r="R4753"/>
      <c r="S4753"/>
      <c r="T4753"/>
      <c r="U4753"/>
      <c r="V4753"/>
      <c r="W4753" s="41"/>
      <c r="X4753" s="41"/>
      <c r="Y4753" s="41"/>
    </row>
    <row r="4754" s="27" customFormat="1" ht="23" hidden="1" customHeight="1" spans="1:25">
      <c r="A4754" s="133" t="str">
        <f>IF(B4754="","",COUNTA($B$5:B4754))</f>
        <v/>
      </c>
      <c r="B4754" s="148"/>
      <c r="C4754" s="22" t="s">
        <v>49</v>
      </c>
      <c r="D4754" s="149"/>
      <c r="E4754" s="150"/>
      <c r="F4754" s="151"/>
      <c r="G4754" s="151"/>
      <c r="H4754" s="142">
        <f>IFERROR(VLOOKUP($C4754,$C$5:$H$18,6,0)+SUMIF($C$19:$C4754,$C4754,$F$19:$F4754)-SUMIF($C$19:$C4754,$C4754,$G$19:$G4754),"")</f>
        <v>81211.819999998</v>
      </c>
      <c r="I4754" s="147"/>
      <c r="J4754" s="147"/>
      <c r="K4754" s="147" t="str">
        <f t="shared" si="74"/>
        <v/>
      </c>
      <c r="L4754" s="40"/>
      <c r="M4754"/>
      <c r="N4754"/>
      <c r="O4754"/>
      <c r="P4754"/>
      <c r="Q4754"/>
      <c r="R4754"/>
      <c r="S4754"/>
      <c r="T4754"/>
      <c r="U4754"/>
      <c r="V4754"/>
      <c r="W4754" s="41"/>
      <c r="X4754" s="41"/>
      <c r="Y4754" s="41"/>
    </row>
    <row r="4755" s="27" customFormat="1" ht="23" hidden="1" customHeight="1" spans="1:25">
      <c r="A4755" s="133" t="str">
        <f>IF(B4755="","",COUNTA($B$5:B4755))</f>
        <v/>
      </c>
      <c r="B4755" s="148"/>
      <c r="C4755" s="22" t="s">
        <v>49</v>
      </c>
      <c r="D4755" s="149"/>
      <c r="E4755" s="150"/>
      <c r="F4755" s="151"/>
      <c r="G4755" s="151"/>
      <c r="H4755" s="142">
        <f>IFERROR(VLOOKUP($C4755,$C$5:$H$18,6,0)+SUMIF($C$19:$C4755,$C4755,$F$19:$F4755)-SUMIF($C$19:$C4755,$C4755,$G$19:$G4755),"")</f>
        <v>81211.819999998</v>
      </c>
      <c r="I4755" s="147"/>
      <c r="J4755" s="147"/>
      <c r="K4755" s="147" t="str">
        <f t="shared" si="74"/>
        <v/>
      </c>
      <c r="L4755" s="40"/>
      <c r="M4755"/>
      <c r="N4755"/>
      <c r="O4755"/>
      <c r="P4755"/>
      <c r="Q4755"/>
      <c r="R4755"/>
      <c r="S4755"/>
      <c r="T4755"/>
      <c r="U4755"/>
      <c r="V4755"/>
      <c r="W4755" s="41"/>
      <c r="X4755" s="41"/>
      <c r="Y4755" s="41"/>
    </row>
    <row r="4756" s="27" customFormat="1" ht="23" hidden="1" customHeight="1" spans="1:25">
      <c r="A4756" s="133" t="str">
        <f>IF(B4756="","",COUNTA($B$5:B4756))</f>
        <v/>
      </c>
      <c r="B4756" s="148"/>
      <c r="C4756" s="22" t="s">
        <v>49</v>
      </c>
      <c r="D4756" s="149"/>
      <c r="E4756" s="150"/>
      <c r="F4756" s="151"/>
      <c r="G4756" s="151"/>
      <c r="H4756" s="142">
        <f>IFERROR(VLOOKUP($C4756,$C$5:$H$18,6,0)+SUMIF($C$19:$C4756,$C4756,$F$19:$F4756)-SUMIF($C$19:$C4756,$C4756,$G$19:$G4756),"")</f>
        <v>81211.819999998</v>
      </c>
      <c r="I4756" s="147"/>
      <c r="J4756" s="147"/>
      <c r="K4756" s="147" t="str">
        <f t="shared" si="74"/>
        <v/>
      </c>
      <c r="L4756" s="40"/>
      <c r="M4756"/>
      <c r="N4756"/>
      <c r="O4756"/>
      <c r="P4756"/>
      <c r="Q4756"/>
      <c r="R4756"/>
      <c r="S4756"/>
      <c r="T4756"/>
      <c r="U4756"/>
      <c r="V4756"/>
      <c r="W4756" s="41"/>
      <c r="X4756" s="41"/>
      <c r="Y4756" s="41"/>
    </row>
    <row r="4757" s="27" customFormat="1" ht="23" hidden="1" customHeight="1" spans="1:25">
      <c r="A4757" s="133" t="str">
        <f>IF(B4757="","",COUNTA($B$5:B4757))</f>
        <v/>
      </c>
      <c r="B4757" s="148"/>
      <c r="C4757" s="22" t="s">
        <v>49</v>
      </c>
      <c r="D4757" s="149"/>
      <c r="E4757" s="150"/>
      <c r="F4757" s="151"/>
      <c r="G4757" s="151"/>
      <c r="H4757" s="142">
        <f>IFERROR(VLOOKUP($C4757,$C$5:$H$18,6,0)+SUMIF($C$19:$C4757,$C4757,$F$19:$F4757)-SUMIF($C$19:$C4757,$C4757,$G$19:$G4757),"")</f>
        <v>81211.819999998</v>
      </c>
      <c r="I4757" s="147"/>
      <c r="J4757" s="147"/>
      <c r="K4757" s="147" t="str">
        <f t="shared" si="74"/>
        <v/>
      </c>
      <c r="L4757" s="40"/>
      <c r="M4757"/>
      <c r="N4757"/>
      <c r="O4757"/>
      <c r="P4757"/>
      <c r="Q4757"/>
      <c r="R4757"/>
      <c r="S4757"/>
      <c r="T4757"/>
      <c r="U4757"/>
      <c r="V4757"/>
      <c r="W4757" s="41"/>
      <c r="X4757" s="41"/>
      <c r="Y4757" s="41"/>
    </row>
    <row r="4758" s="27" customFormat="1" ht="23" hidden="1" customHeight="1" spans="1:25">
      <c r="A4758" s="133" t="str">
        <f>IF(B4758="","",COUNTA($B$5:B4758))</f>
        <v/>
      </c>
      <c r="B4758" s="148"/>
      <c r="C4758" s="22" t="s">
        <v>49</v>
      </c>
      <c r="D4758" s="149"/>
      <c r="E4758" s="150"/>
      <c r="F4758" s="151"/>
      <c r="G4758" s="151"/>
      <c r="H4758" s="142">
        <f>IFERROR(VLOOKUP($C4758,$C$5:$H$18,6,0)+SUMIF($C$19:$C4758,$C4758,$F$19:$F4758)-SUMIF($C$19:$C4758,$C4758,$G$19:$G4758),"")</f>
        <v>81211.819999998</v>
      </c>
      <c r="I4758" s="147"/>
      <c r="J4758" s="147"/>
      <c r="K4758" s="147" t="str">
        <f t="shared" si="74"/>
        <v/>
      </c>
      <c r="L4758" s="40"/>
      <c r="M4758"/>
      <c r="N4758"/>
      <c r="O4758"/>
      <c r="P4758"/>
      <c r="Q4758"/>
      <c r="R4758"/>
      <c r="S4758"/>
      <c r="T4758"/>
      <c r="U4758"/>
      <c r="V4758"/>
      <c r="W4758" s="41"/>
      <c r="X4758" s="41"/>
      <c r="Y4758" s="41"/>
    </row>
    <row r="4759" s="27" customFormat="1" ht="23" hidden="1" customHeight="1" spans="1:25">
      <c r="A4759" s="133" t="str">
        <f>IF(B4759="","",COUNTA($B$5:B4759))</f>
        <v/>
      </c>
      <c r="B4759" s="148"/>
      <c r="C4759" s="22" t="s">
        <v>49</v>
      </c>
      <c r="D4759" s="149"/>
      <c r="E4759" s="150"/>
      <c r="F4759" s="151"/>
      <c r="G4759" s="151"/>
      <c r="H4759" s="142">
        <f>IFERROR(VLOOKUP($C4759,$C$5:$H$18,6,0)+SUMIF($C$19:$C4759,$C4759,$F$19:$F4759)-SUMIF($C$19:$C4759,$C4759,$G$19:$G4759),"")</f>
        <v>81211.819999998</v>
      </c>
      <c r="I4759" s="147"/>
      <c r="J4759" s="147"/>
      <c r="K4759" s="147" t="str">
        <f t="shared" si="74"/>
        <v/>
      </c>
      <c r="L4759" s="40"/>
      <c r="M4759"/>
      <c r="N4759"/>
      <c r="O4759"/>
      <c r="P4759"/>
      <c r="Q4759"/>
      <c r="R4759"/>
      <c r="S4759"/>
      <c r="T4759"/>
      <c r="U4759"/>
      <c r="V4759"/>
      <c r="W4759" s="41"/>
      <c r="X4759" s="41"/>
      <c r="Y4759" s="41"/>
    </row>
    <row r="4760" s="27" customFormat="1" ht="23" hidden="1" customHeight="1" spans="1:25">
      <c r="A4760" s="133" t="str">
        <f>IF(B4760="","",COUNTA($B$5:B4760))</f>
        <v/>
      </c>
      <c r="B4760" s="148"/>
      <c r="C4760" s="22" t="s">
        <v>49</v>
      </c>
      <c r="D4760" s="149"/>
      <c r="E4760" s="150"/>
      <c r="F4760" s="151"/>
      <c r="G4760" s="151"/>
      <c r="H4760" s="142">
        <f>IFERROR(VLOOKUP($C4760,$C$5:$H$18,6,0)+SUMIF($C$19:$C4760,$C4760,$F$19:$F4760)-SUMIF($C$19:$C4760,$C4760,$G$19:$G4760),"")</f>
        <v>81211.819999998</v>
      </c>
      <c r="I4760" s="147"/>
      <c r="J4760" s="147"/>
      <c r="K4760" s="147" t="str">
        <f t="shared" si="74"/>
        <v/>
      </c>
      <c r="L4760" s="40"/>
      <c r="M4760"/>
      <c r="N4760"/>
      <c r="O4760"/>
      <c r="P4760"/>
      <c r="Q4760"/>
      <c r="R4760"/>
      <c r="S4760"/>
      <c r="T4760"/>
      <c r="U4760"/>
      <c r="V4760"/>
      <c r="W4760" s="41"/>
      <c r="X4760" s="41"/>
      <c r="Y4760" s="41"/>
    </row>
    <row r="4761" s="27" customFormat="1" ht="23" hidden="1" customHeight="1" spans="1:25">
      <c r="A4761" s="133" t="str">
        <f>IF(B4761="","",COUNTA($B$5:B4761))</f>
        <v/>
      </c>
      <c r="B4761" s="148"/>
      <c r="C4761" s="22" t="s">
        <v>49</v>
      </c>
      <c r="D4761" s="149"/>
      <c r="E4761" s="150"/>
      <c r="F4761" s="151"/>
      <c r="G4761" s="151"/>
      <c r="H4761" s="142">
        <f>IFERROR(VLOOKUP($C4761,$C$5:$H$18,6,0)+SUMIF($C$19:$C4761,$C4761,$F$19:$F4761)-SUMIF($C$19:$C4761,$C4761,$G$19:$G4761),"")</f>
        <v>81211.819999998</v>
      </c>
      <c r="I4761" s="147"/>
      <c r="J4761" s="147"/>
      <c r="K4761" s="147" t="str">
        <f t="shared" si="74"/>
        <v/>
      </c>
      <c r="L4761" s="40"/>
      <c r="M4761"/>
      <c r="N4761"/>
      <c r="O4761"/>
      <c r="P4761"/>
      <c r="Q4761"/>
      <c r="R4761"/>
      <c r="S4761"/>
      <c r="T4761"/>
      <c r="U4761"/>
      <c r="V4761"/>
      <c r="W4761" s="41"/>
      <c r="X4761" s="41"/>
      <c r="Y4761" s="41"/>
    </row>
    <row r="4762" s="27" customFormat="1" ht="23" hidden="1" customHeight="1" spans="1:25">
      <c r="A4762" s="133" t="str">
        <f>IF(B4762="","",COUNTA($B$5:B4762))</f>
        <v/>
      </c>
      <c r="B4762" s="148"/>
      <c r="C4762" s="22" t="s">
        <v>49</v>
      </c>
      <c r="D4762" s="149"/>
      <c r="E4762" s="150"/>
      <c r="F4762" s="151"/>
      <c r="G4762" s="151"/>
      <c r="H4762" s="142">
        <f>IFERROR(VLOOKUP($C4762,$C$5:$H$18,6,0)+SUMIF($C$19:$C4762,$C4762,$F$19:$F4762)-SUMIF($C$19:$C4762,$C4762,$G$19:$G4762),"")</f>
        <v>81211.819999998</v>
      </c>
      <c r="I4762" s="147"/>
      <c r="J4762" s="147"/>
      <c r="K4762" s="147" t="str">
        <f t="shared" si="74"/>
        <v/>
      </c>
      <c r="L4762" s="40"/>
      <c r="M4762"/>
      <c r="N4762"/>
      <c r="O4762"/>
      <c r="P4762"/>
      <c r="Q4762"/>
      <c r="R4762"/>
      <c r="S4762"/>
      <c r="T4762"/>
      <c r="U4762"/>
      <c r="V4762"/>
      <c r="W4762" s="41"/>
      <c r="X4762" s="41"/>
      <c r="Y4762" s="41"/>
    </row>
    <row r="4763" s="27" customFormat="1" ht="23" hidden="1" customHeight="1" spans="1:25">
      <c r="A4763" s="133" t="str">
        <f>IF(B4763="","",COUNTA($B$5:B4763))</f>
        <v/>
      </c>
      <c r="B4763" s="148"/>
      <c r="C4763" s="22" t="s">
        <v>49</v>
      </c>
      <c r="D4763" s="149"/>
      <c r="E4763" s="150"/>
      <c r="F4763" s="151"/>
      <c r="G4763" s="151"/>
      <c r="H4763" s="142">
        <f>IFERROR(VLOOKUP($C4763,$C$5:$H$18,6,0)+SUMIF($C$19:$C4763,$C4763,$F$19:$F4763)-SUMIF($C$19:$C4763,$C4763,$G$19:$G4763),"")</f>
        <v>81211.819999998</v>
      </c>
      <c r="I4763" s="147"/>
      <c r="J4763" s="147"/>
      <c r="K4763" s="147" t="str">
        <f t="shared" si="74"/>
        <v/>
      </c>
      <c r="L4763" s="40"/>
      <c r="M4763"/>
      <c r="N4763"/>
      <c r="O4763"/>
      <c r="P4763"/>
      <c r="Q4763"/>
      <c r="R4763"/>
      <c r="S4763"/>
      <c r="T4763"/>
      <c r="U4763"/>
      <c r="V4763"/>
      <c r="W4763" s="41"/>
      <c r="X4763" s="41"/>
      <c r="Y4763" s="41"/>
    </row>
    <row r="4764" s="27" customFormat="1" ht="23" hidden="1" customHeight="1" spans="1:25">
      <c r="A4764" s="133" t="str">
        <f>IF(B4764="","",COUNTA($B$5:B4764))</f>
        <v/>
      </c>
      <c r="B4764" s="148"/>
      <c r="C4764" s="22" t="s">
        <v>49</v>
      </c>
      <c r="D4764" s="149"/>
      <c r="E4764" s="150"/>
      <c r="F4764" s="151"/>
      <c r="G4764" s="151"/>
      <c r="H4764" s="142">
        <f>IFERROR(VLOOKUP($C4764,$C$5:$H$18,6,0)+SUMIF($C$19:$C4764,$C4764,$F$19:$F4764)-SUMIF($C$19:$C4764,$C4764,$G$19:$G4764),"")</f>
        <v>81211.819999998</v>
      </c>
      <c r="I4764" s="147"/>
      <c r="J4764" s="147"/>
      <c r="K4764" s="147" t="str">
        <f t="shared" si="74"/>
        <v/>
      </c>
      <c r="L4764" s="40"/>
      <c r="M4764"/>
      <c r="N4764"/>
      <c r="O4764"/>
      <c r="P4764"/>
      <c r="Q4764"/>
      <c r="R4764"/>
      <c r="S4764"/>
      <c r="T4764"/>
      <c r="U4764"/>
      <c r="V4764"/>
      <c r="W4764" s="41"/>
      <c r="X4764" s="41"/>
      <c r="Y4764" s="41"/>
    </row>
    <row r="4765" s="27" customFormat="1" ht="23" hidden="1" customHeight="1" spans="1:25">
      <c r="A4765" s="133" t="str">
        <f>IF(B4765="","",COUNTA($B$5:B4765))</f>
        <v/>
      </c>
      <c r="B4765" s="148"/>
      <c r="C4765" s="22" t="s">
        <v>49</v>
      </c>
      <c r="D4765" s="149"/>
      <c r="E4765" s="150"/>
      <c r="F4765" s="151"/>
      <c r="G4765" s="151"/>
      <c r="H4765" s="142">
        <f>IFERROR(VLOOKUP($C4765,$C$5:$H$18,6,0)+SUMIF($C$19:$C4765,$C4765,$F$19:$F4765)-SUMIF($C$19:$C4765,$C4765,$G$19:$G4765),"")</f>
        <v>81211.819999998</v>
      </c>
      <c r="I4765" s="147"/>
      <c r="J4765" s="147"/>
      <c r="K4765" s="147" t="str">
        <f t="shared" si="74"/>
        <v/>
      </c>
      <c r="L4765" s="40"/>
      <c r="M4765"/>
      <c r="N4765"/>
      <c r="O4765"/>
      <c r="P4765"/>
      <c r="Q4765"/>
      <c r="R4765"/>
      <c r="S4765"/>
      <c r="T4765"/>
      <c r="U4765"/>
      <c r="V4765"/>
      <c r="W4765" s="41"/>
      <c r="X4765" s="41"/>
      <c r="Y4765" s="41"/>
    </row>
    <row r="4766" s="27" customFormat="1" ht="23" hidden="1" customHeight="1" spans="1:25">
      <c r="A4766" s="133" t="str">
        <f>IF(B4766="","",COUNTA($B$5:B4766))</f>
        <v/>
      </c>
      <c r="B4766" s="148"/>
      <c r="C4766" s="22" t="s">
        <v>49</v>
      </c>
      <c r="D4766" s="149"/>
      <c r="E4766" s="150"/>
      <c r="F4766" s="151"/>
      <c r="G4766" s="151"/>
      <c r="H4766" s="142">
        <f>IFERROR(VLOOKUP($C4766,$C$5:$H$18,6,0)+SUMIF($C$19:$C4766,$C4766,$F$19:$F4766)-SUMIF($C$19:$C4766,$C4766,$G$19:$G4766),"")</f>
        <v>81211.819999998</v>
      </c>
      <c r="I4766" s="147"/>
      <c r="J4766" s="147"/>
      <c r="K4766" s="147" t="str">
        <f t="shared" si="74"/>
        <v/>
      </c>
      <c r="L4766" s="40"/>
      <c r="M4766"/>
      <c r="N4766"/>
      <c r="O4766"/>
      <c r="P4766"/>
      <c r="Q4766"/>
      <c r="R4766"/>
      <c r="S4766"/>
      <c r="T4766"/>
      <c r="U4766"/>
      <c r="V4766"/>
      <c r="W4766" s="41"/>
      <c r="X4766" s="41"/>
      <c r="Y4766" s="41"/>
    </row>
    <row r="4767" s="27" customFormat="1" ht="23" hidden="1" customHeight="1" spans="1:25">
      <c r="A4767" s="133" t="str">
        <f>IF(B4767="","",COUNTA($B$5:B4767))</f>
        <v/>
      </c>
      <c r="B4767" s="148"/>
      <c r="C4767" s="22" t="s">
        <v>49</v>
      </c>
      <c r="D4767" s="149"/>
      <c r="E4767" s="150"/>
      <c r="F4767" s="151"/>
      <c r="G4767" s="151"/>
      <c r="H4767" s="142">
        <f>IFERROR(VLOOKUP($C4767,$C$5:$H$18,6,0)+SUMIF($C$19:$C4767,$C4767,$F$19:$F4767)-SUMIF($C$19:$C4767,$C4767,$G$19:$G4767),"")</f>
        <v>81211.819999998</v>
      </c>
      <c r="I4767" s="147"/>
      <c r="J4767" s="147"/>
      <c r="K4767" s="147" t="str">
        <f t="shared" si="74"/>
        <v/>
      </c>
      <c r="L4767" s="40"/>
      <c r="M4767"/>
      <c r="N4767"/>
      <c r="O4767"/>
      <c r="P4767"/>
      <c r="Q4767"/>
      <c r="R4767"/>
      <c r="S4767"/>
      <c r="T4767"/>
      <c r="U4767"/>
      <c r="V4767"/>
      <c r="W4767" s="41"/>
      <c r="X4767" s="41"/>
      <c r="Y4767" s="41"/>
    </row>
    <row r="4768" s="27" customFormat="1" ht="23" hidden="1" customHeight="1" spans="1:25">
      <c r="A4768" s="133" t="str">
        <f>IF(B4768="","",COUNTA($B$5:B4768))</f>
        <v/>
      </c>
      <c r="B4768" s="148"/>
      <c r="C4768" s="22" t="s">
        <v>49</v>
      </c>
      <c r="D4768" s="149"/>
      <c r="E4768" s="150"/>
      <c r="F4768" s="151"/>
      <c r="G4768" s="151"/>
      <c r="H4768" s="142">
        <f>IFERROR(VLOOKUP($C4768,$C$5:$H$18,6,0)+SUMIF($C$19:$C4768,$C4768,$F$19:$F4768)-SUMIF($C$19:$C4768,$C4768,$G$19:$G4768),"")</f>
        <v>81211.819999998</v>
      </c>
      <c r="I4768" s="147"/>
      <c r="J4768" s="147"/>
      <c r="K4768" s="147" t="str">
        <f t="shared" si="74"/>
        <v/>
      </c>
      <c r="L4768" s="40"/>
      <c r="M4768"/>
      <c r="N4768"/>
      <c r="O4768"/>
      <c r="P4768"/>
      <c r="Q4768"/>
      <c r="R4768"/>
      <c r="S4768"/>
      <c r="T4768"/>
      <c r="U4768"/>
      <c r="V4768"/>
      <c r="W4768" s="41"/>
      <c r="X4768" s="41"/>
      <c r="Y4768" s="41"/>
    </row>
    <row r="4769" s="27" customFormat="1" ht="23" hidden="1" customHeight="1" spans="1:25">
      <c r="A4769" s="133" t="str">
        <f>IF(B4769="","",COUNTA($B$5:B4769))</f>
        <v/>
      </c>
      <c r="B4769" s="148"/>
      <c r="C4769" s="22" t="s">
        <v>49</v>
      </c>
      <c r="D4769" s="149"/>
      <c r="E4769" s="150"/>
      <c r="F4769" s="151"/>
      <c r="G4769" s="151"/>
      <c r="H4769" s="142">
        <f>IFERROR(VLOOKUP($C4769,$C$5:$H$18,6,0)+SUMIF($C$19:$C4769,$C4769,$F$19:$F4769)-SUMIF($C$19:$C4769,$C4769,$G$19:$G4769),"")</f>
        <v>81211.819999998</v>
      </c>
      <c r="I4769" s="147"/>
      <c r="J4769" s="147"/>
      <c r="K4769" s="147" t="str">
        <f t="shared" si="74"/>
        <v/>
      </c>
      <c r="L4769" s="40"/>
      <c r="M4769"/>
      <c r="N4769"/>
      <c r="O4769"/>
      <c r="P4769"/>
      <c r="Q4769"/>
      <c r="R4769"/>
      <c r="S4769"/>
      <c r="T4769"/>
      <c r="U4769"/>
      <c r="V4769"/>
      <c r="W4769" s="41"/>
      <c r="X4769" s="41"/>
      <c r="Y4769" s="41"/>
    </row>
    <row r="4770" s="27" customFormat="1" ht="23" hidden="1" customHeight="1" spans="1:25">
      <c r="A4770" s="133" t="str">
        <f>IF(B4770="","",COUNTA($B$5:B4770))</f>
        <v/>
      </c>
      <c r="B4770" s="148"/>
      <c r="C4770" s="22" t="s">
        <v>49</v>
      </c>
      <c r="D4770" s="149"/>
      <c r="E4770" s="150"/>
      <c r="F4770" s="151"/>
      <c r="G4770" s="151"/>
      <c r="H4770" s="142">
        <f>IFERROR(VLOOKUP($C4770,$C$5:$H$18,6,0)+SUMIF($C$19:$C4770,$C4770,$F$19:$F4770)-SUMIF($C$19:$C4770,$C4770,$G$19:$G4770),"")</f>
        <v>81211.819999998</v>
      </c>
      <c r="I4770" s="147"/>
      <c r="J4770" s="147"/>
      <c r="K4770" s="147" t="str">
        <f t="shared" si="74"/>
        <v/>
      </c>
      <c r="L4770" s="40"/>
      <c r="M4770"/>
      <c r="N4770"/>
      <c r="O4770"/>
      <c r="P4770"/>
      <c r="Q4770"/>
      <c r="R4770"/>
      <c r="S4770"/>
      <c r="T4770"/>
      <c r="U4770"/>
      <c r="V4770"/>
      <c r="W4770" s="41"/>
      <c r="X4770" s="41"/>
      <c r="Y4770" s="41"/>
    </row>
    <row r="4771" s="27" customFormat="1" ht="23" hidden="1" customHeight="1" spans="1:25">
      <c r="A4771" s="133" t="str">
        <f>IF(B4771="","",COUNTA($B$5:B4771))</f>
        <v/>
      </c>
      <c r="B4771" s="148"/>
      <c r="C4771" s="22" t="s">
        <v>49</v>
      </c>
      <c r="D4771" s="149"/>
      <c r="E4771" s="150"/>
      <c r="F4771" s="151"/>
      <c r="G4771" s="151"/>
      <c r="H4771" s="142">
        <f>IFERROR(VLOOKUP($C4771,$C$5:$H$18,6,0)+SUMIF($C$19:$C4771,$C4771,$F$19:$F4771)-SUMIF($C$19:$C4771,$C4771,$G$19:$G4771),"")</f>
        <v>81211.819999998</v>
      </c>
      <c r="I4771" s="147"/>
      <c r="J4771" s="147"/>
      <c r="K4771" s="147" t="str">
        <f t="shared" si="74"/>
        <v/>
      </c>
      <c r="L4771" s="40"/>
      <c r="M4771"/>
      <c r="N4771"/>
      <c r="O4771"/>
      <c r="P4771"/>
      <c r="Q4771"/>
      <c r="R4771"/>
      <c r="S4771"/>
      <c r="T4771"/>
      <c r="U4771"/>
      <c r="V4771"/>
      <c r="W4771" s="41"/>
      <c r="X4771" s="41"/>
      <c r="Y4771" s="41"/>
    </row>
    <row r="4772" s="27" customFormat="1" ht="23" hidden="1" customHeight="1" spans="1:25">
      <c r="A4772" s="133" t="str">
        <f>IF(B4772="","",COUNTA($B$5:B4772))</f>
        <v/>
      </c>
      <c r="B4772" s="148"/>
      <c r="C4772" s="22" t="s">
        <v>49</v>
      </c>
      <c r="D4772" s="149"/>
      <c r="E4772" s="150"/>
      <c r="F4772" s="151"/>
      <c r="G4772" s="151"/>
      <c r="H4772" s="142">
        <f>IFERROR(VLOOKUP($C4772,$C$5:$H$18,6,0)+SUMIF($C$19:$C4772,$C4772,$F$19:$F4772)-SUMIF($C$19:$C4772,$C4772,$G$19:$G4772),"")</f>
        <v>81211.819999998</v>
      </c>
      <c r="I4772" s="147"/>
      <c r="J4772" s="147"/>
      <c r="K4772" s="147" t="str">
        <f t="shared" si="74"/>
        <v/>
      </c>
      <c r="L4772" s="40"/>
      <c r="M4772"/>
      <c r="N4772"/>
      <c r="O4772"/>
      <c r="P4772"/>
      <c r="Q4772"/>
      <c r="R4772"/>
      <c r="S4772"/>
      <c r="T4772"/>
      <c r="U4772"/>
      <c r="V4772"/>
      <c r="W4772" s="41"/>
      <c r="X4772" s="41"/>
      <c r="Y4772" s="41"/>
    </row>
    <row r="4773" s="27" customFormat="1" ht="23" hidden="1" customHeight="1" spans="1:25">
      <c r="A4773" s="133" t="str">
        <f>IF(B4773="","",COUNTA($B$5:B4773))</f>
        <v/>
      </c>
      <c r="B4773" s="148"/>
      <c r="C4773" s="22" t="s">
        <v>49</v>
      </c>
      <c r="D4773" s="149"/>
      <c r="E4773" s="150"/>
      <c r="F4773" s="151"/>
      <c r="G4773" s="151"/>
      <c r="H4773" s="142">
        <f>IFERROR(VLOOKUP($C4773,$C$5:$H$18,6,0)+SUMIF($C$19:$C4773,$C4773,$F$19:$F4773)-SUMIF($C$19:$C4773,$C4773,$G$19:$G4773),"")</f>
        <v>81211.819999998</v>
      </c>
      <c r="I4773" s="147"/>
      <c r="J4773" s="147"/>
      <c r="K4773" s="147" t="str">
        <f t="shared" si="74"/>
        <v/>
      </c>
      <c r="L4773" s="40"/>
      <c r="M4773"/>
      <c r="N4773"/>
      <c r="O4773"/>
      <c r="P4773"/>
      <c r="Q4773"/>
      <c r="R4773"/>
      <c r="S4773"/>
      <c r="T4773"/>
      <c r="U4773"/>
      <c r="V4773"/>
      <c r="W4773" s="41"/>
      <c r="X4773" s="41"/>
      <c r="Y4773" s="41"/>
    </row>
    <row r="4774" s="27" customFormat="1" ht="23" hidden="1" customHeight="1" spans="1:25">
      <c r="A4774" s="133" t="str">
        <f>IF(B4774="","",COUNTA($B$5:B4774))</f>
        <v/>
      </c>
      <c r="B4774" s="148"/>
      <c r="C4774" s="22" t="s">
        <v>49</v>
      </c>
      <c r="D4774" s="149"/>
      <c r="E4774" s="150"/>
      <c r="F4774" s="151"/>
      <c r="G4774" s="151"/>
      <c r="H4774" s="142">
        <f>IFERROR(VLOOKUP($C4774,$C$5:$H$18,6,0)+SUMIF($C$19:$C4774,$C4774,$F$19:$F4774)-SUMIF($C$19:$C4774,$C4774,$G$19:$G4774),"")</f>
        <v>81211.819999998</v>
      </c>
      <c r="I4774" s="147"/>
      <c r="J4774" s="147"/>
      <c r="K4774" s="147" t="str">
        <f t="shared" si="74"/>
        <v/>
      </c>
      <c r="L4774" s="40"/>
      <c r="M4774"/>
      <c r="N4774"/>
      <c r="O4774"/>
      <c r="P4774"/>
      <c r="Q4774"/>
      <c r="R4774"/>
      <c r="S4774"/>
      <c r="T4774"/>
      <c r="U4774"/>
      <c r="V4774"/>
      <c r="W4774" s="41"/>
      <c r="X4774" s="41"/>
      <c r="Y4774" s="41"/>
    </row>
    <row r="4775" s="27" customFormat="1" ht="23" hidden="1" customHeight="1" spans="1:25">
      <c r="A4775" s="133" t="str">
        <f>IF(B4775="","",COUNTA($B$5:B4775))</f>
        <v/>
      </c>
      <c r="B4775" s="148"/>
      <c r="C4775" s="22" t="s">
        <v>49</v>
      </c>
      <c r="D4775" s="149"/>
      <c r="E4775" s="150"/>
      <c r="F4775" s="151"/>
      <c r="G4775" s="151"/>
      <c r="H4775" s="142">
        <f>IFERROR(VLOOKUP($C4775,$C$5:$H$18,6,0)+SUMIF($C$19:$C4775,$C4775,$F$19:$F4775)-SUMIF($C$19:$C4775,$C4775,$G$19:$G4775),"")</f>
        <v>81211.819999998</v>
      </c>
      <c r="I4775" s="147"/>
      <c r="J4775" s="147"/>
      <c r="K4775" s="147" t="str">
        <f t="shared" si="74"/>
        <v/>
      </c>
      <c r="L4775" s="40"/>
      <c r="M4775"/>
      <c r="N4775"/>
      <c r="O4775"/>
      <c r="P4775"/>
      <c r="Q4775"/>
      <c r="R4775"/>
      <c r="S4775"/>
      <c r="T4775"/>
      <c r="U4775"/>
      <c r="V4775"/>
      <c r="W4775" s="41"/>
      <c r="X4775" s="41"/>
      <c r="Y4775" s="41"/>
    </row>
    <row r="4776" s="27" customFormat="1" ht="23" hidden="1" customHeight="1" spans="1:25">
      <c r="A4776" s="133" t="str">
        <f>IF(B4776="","",COUNTA($B$5:B4776))</f>
        <v/>
      </c>
      <c r="B4776" s="148"/>
      <c r="C4776" s="22" t="s">
        <v>49</v>
      </c>
      <c r="D4776" s="149"/>
      <c r="E4776" s="150"/>
      <c r="F4776" s="151"/>
      <c r="G4776" s="151"/>
      <c r="H4776" s="142">
        <f>IFERROR(VLOOKUP($C4776,$C$5:$H$18,6,0)+SUMIF($C$19:$C4776,$C4776,$F$19:$F4776)-SUMIF($C$19:$C4776,$C4776,$G$19:$G4776),"")</f>
        <v>81211.819999998</v>
      </c>
      <c r="I4776" s="147"/>
      <c r="J4776" s="147"/>
      <c r="K4776" s="147" t="str">
        <f t="shared" si="74"/>
        <v/>
      </c>
      <c r="L4776" s="40"/>
      <c r="M4776"/>
      <c r="N4776"/>
      <c r="O4776"/>
      <c r="P4776"/>
      <c r="Q4776"/>
      <c r="R4776"/>
      <c r="S4776"/>
      <c r="T4776"/>
      <c r="U4776"/>
      <c r="V4776"/>
      <c r="W4776" s="41"/>
      <c r="X4776" s="41"/>
      <c r="Y4776" s="41"/>
    </row>
    <row r="4777" s="27" customFormat="1" ht="23" hidden="1" customHeight="1" spans="1:25">
      <c r="A4777" s="133" t="str">
        <f>IF(B4777="","",COUNTA($B$5:B4777))</f>
        <v/>
      </c>
      <c r="B4777" s="148"/>
      <c r="C4777" s="22" t="s">
        <v>49</v>
      </c>
      <c r="D4777" s="149"/>
      <c r="E4777" s="150"/>
      <c r="F4777" s="151"/>
      <c r="G4777" s="151"/>
      <c r="H4777" s="142">
        <f>IFERROR(VLOOKUP($C4777,$C$5:$H$18,6,0)+SUMIF($C$19:$C4777,$C4777,$F$19:$F4777)-SUMIF($C$19:$C4777,$C4777,$G$19:$G4777),"")</f>
        <v>81211.819999998</v>
      </c>
      <c r="I4777" s="147"/>
      <c r="J4777" s="147"/>
      <c r="K4777" s="147" t="str">
        <f t="shared" si="74"/>
        <v/>
      </c>
      <c r="L4777" s="40"/>
      <c r="M4777"/>
      <c r="N4777"/>
      <c r="O4777"/>
      <c r="P4777"/>
      <c r="Q4777"/>
      <c r="R4777"/>
      <c r="S4777"/>
      <c r="T4777"/>
      <c r="U4777"/>
      <c r="V4777"/>
      <c r="W4777" s="41"/>
      <c r="X4777" s="41"/>
      <c r="Y4777" s="41"/>
    </row>
    <row r="4778" s="27" customFormat="1" ht="23" hidden="1" customHeight="1" spans="1:25">
      <c r="A4778" s="133" t="str">
        <f>IF(B4778="","",COUNTA($B$5:B4778))</f>
        <v/>
      </c>
      <c r="B4778" s="148"/>
      <c r="C4778" s="22" t="s">
        <v>49</v>
      </c>
      <c r="D4778" s="149"/>
      <c r="E4778" s="150"/>
      <c r="F4778" s="151"/>
      <c r="G4778" s="151"/>
      <c r="H4778" s="142">
        <f>IFERROR(VLOOKUP($C4778,$C$5:$H$18,6,0)+SUMIF($C$19:$C4778,$C4778,$F$19:$F4778)-SUMIF($C$19:$C4778,$C4778,$G$19:$G4778),"")</f>
        <v>81211.819999998</v>
      </c>
      <c r="I4778" s="147"/>
      <c r="J4778" s="147"/>
      <c r="K4778" s="147" t="str">
        <f t="shared" si="74"/>
        <v/>
      </c>
      <c r="L4778" s="40"/>
      <c r="M4778"/>
      <c r="N4778"/>
      <c r="O4778"/>
      <c r="P4778"/>
      <c r="Q4778"/>
      <c r="R4778"/>
      <c r="S4778"/>
      <c r="T4778"/>
      <c r="U4778"/>
      <c r="V4778"/>
      <c r="W4778" s="41"/>
      <c r="X4778" s="41"/>
      <c r="Y4778" s="41"/>
    </row>
    <row r="4779" s="27" customFormat="1" ht="23" hidden="1" customHeight="1" spans="1:25">
      <c r="A4779" s="133" t="str">
        <f>IF(B4779="","",COUNTA($B$5:B4779))</f>
        <v/>
      </c>
      <c r="B4779" s="148"/>
      <c r="C4779" s="22" t="s">
        <v>49</v>
      </c>
      <c r="D4779" s="149"/>
      <c r="E4779" s="150"/>
      <c r="F4779" s="151"/>
      <c r="G4779" s="151"/>
      <c r="H4779" s="142">
        <f>IFERROR(VLOOKUP($C4779,$C$5:$H$18,6,0)+SUMIF($C$19:$C4779,$C4779,$F$19:$F4779)-SUMIF($C$19:$C4779,$C4779,$G$19:$G4779),"")</f>
        <v>81211.819999998</v>
      </c>
      <c r="I4779" s="147"/>
      <c r="J4779" s="147"/>
      <c r="K4779" s="147" t="str">
        <f t="shared" si="74"/>
        <v/>
      </c>
      <c r="L4779" s="40"/>
      <c r="M4779"/>
      <c r="N4779"/>
      <c r="O4779"/>
      <c r="P4779"/>
      <c r="Q4779"/>
      <c r="R4779"/>
      <c r="S4779"/>
      <c r="T4779"/>
      <c r="U4779"/>
      <c r="V4779"/>
      <c r="W4779" s="41"/>
      <c r="X4779" s="41"/>
      <c r="Y4779" s="41"/>
    </row>
    <row r="4780" s="27" customFormat="1" ht="23" hidden="1" customHeight="1" spans="1:25">
      <c r="A4780" s="133" t="str">
        <f>IF(B4780="","",COUNTA($B$5:B4780))</f>
        <v/>
      </c>
      <c r="B4780" s="148"/>
      <c r="C4780" s="22" t="s">
        <v>49</v>
      </c>
      <c r="D4780" s="149"/>
      <c r="E4780" s="150"/>
      <c r="F4780" s="151"/>
      <c r="G4780" s="151"/>
      <c r="H4780" s="142">
        <f>IFERROR(VLOOKUP($C4780,$C$5:$H$18,6,0)+SUMIF($C$19:$C4780,$C4780,$F$19:$F4780)-SUMIF($C$19:$C4780,$C4780,$G$19:$G4780),"")</f>
        <v>81211.819999998</v>
      </c>
      <c r="I4780" s="147"/>
      <c r="J4780" s="147"/>
      <c r="K4780" s="147" t="str">
        <f t="shared" si="74"/>
        <v/>
      </c>
      <c r="L4780" s="40"/>
      <c r="M4780"/>
      <c r="N4780"/>
      <c r="O4780"/>
      <c r="P4780"/>
      <c r="Q4780"/>
      <c r="R4780"/>
      <c r="S4780"/>
      <c r="T4780"/>
      <c r="U4780"/>
      <c r="V4780"/>
      <c r="W4780" s="41"/>
      <c r="X4780" s="41"/>
      <c r="Y4780" s="41"/>
    </row>
    <row r="4781" s="27" customFormat="1" ht="23" hidden="1" customHeight="1" spans="1:25">
      <c r="A4781" s="133" t="str">
        <f>IF(B4781="","",COUNTA($B$5:B4781))</f>
        <v/>
      </c>
      <c r="B4781" s="148"/>
      <c r="C4781" s="22" t="s">
        <v>49</v>
      </c>
      <c r="D4781" s="149"/>
      <c r="E4781" s="150"/>
      <c r="F4781" s="151"/>
      <c r="G4781" s="151"/>
      <c r="H4781" s="142">
        <f>IFERROR(VLOOKUP($C4781,$C$5:$H$18,6,0)+SUMIF($C$19:$C4781,$C4781,$F$19:$F4781)-SUMIF($C$19:$C4781,$C4781,$G$19:$G4781),"")</f>
        <v>81211.819999998</v>
      </c>
      <c r="I4781" s="147"/>
      <c r="J4781" s="147"/>
      <c r="K4781" s="147" t="str">
        <f t="shared" si="74"/>
        <v/>
      </c>
      <c r="L4781" s="40"/>
      <c r="M4781"/>
      <c r="N4781"/>
      <c r="O4781"/>
      <c r="P4781"/>
      <c r="Q4781"/>
      <c r="R4781"/>
      <c r="S4781"/>
      <c r="T4781"/>
      <c r="U4781"/>
      <c r="V4781"/>
      <c r="W4781" s="41"/>
      <c r="X4781" s="41"/>
      <c r="Y4781" s="41"/>
    </row>
    <row r="4782" s="27" customFormat="1" ht="23" hidden="1" customHeight="1" spans="1:25">
      <c r="A4782" s="133" t="str">
        <f>IF(B4782="","",COUNTA($B$5:B4782))</f>
        <v/>
      </c>
      <c r="B4782" s="148"/>
      <c r="C4782" s="22" t="s">
        <v>49</v>
      </c>
      <c r="D4782" s="149"/>
      <c r="E4782" s="150"/>
      <c r="F4782" s="151"/>
      <c r="G4782" s="151"/>
      <c r="H4782" s="142">
        <f>IFERROR(VLOOKUP($C4782,$C$5:$H$18,6,0)+SUMIF($C$19:$C4782,$C4782,$F$19:$F4782)-SUMIF($C$19:$C4782,$C4782,$G$19:$G4782),"")</f>
        <v>81211.819999998</v>
      </c>
      <c r="I4782" s="147"/>
      <c r="J4782" s="147"/>
      <c r="K4782" s="147" t="str">
        <f t="shared" si="74"/>
        <v/>
      </c>
      <c r="L4782" s="40"/>
      <c r="M4782"/>
      <c r="N4782"/>
      <c r="O4782"/>
      <c r="P4782"/>
      <c r="Q4782"/>
      <c r="R4782"/>
      <c r="S4782"/>
      <c r="T4782"/>
      <c r="U4782"/>
      <c r="V4782"/>
      <c r="W4782" s="41"/>
      <c r="X4782" s="41"/>
      <c r="Y4782" s="41"/>
    </row>
    <row r="4783" s="27" customFormat="1" ht="23" hidden="1" customHeight="1" spans="1:25">
      <c r="A4783" s="133" t="str">
        <f>IF(B4783="","",COUNTA($B$5:B4783))</f>
        <v/>
      </c>
      <c r="B4783" s="148"/>
      <c r="C4783" s="22" t="s">
        <v>49</v>
      </c>
      <c r="D4783" s="149"/>
      <c r="E4783" s="150"/>
      <c r="F4783" s="151"/>
      <c r="G4783" s="151"/>
      <c r="H4783" s="142">
        <f>IFERROR(VLOOKUP($C4783,$C$5:$H$18,6,0)+SUMIF($C$19:$C4783,$C4783,$F$19:$F4783)-SUMIF($C$19:$C4783,$C4783,$G$19:$G4783),"")</f>
        <v>81211.819999998</v>
      </c>
      <c r="I4783" s="147"/>
      <c r="J4783" s="147"/>
      <c r="K4783" s="147" t="str">
        <f t="shared" si="74"/>
        <v/>
      </c>
      <c r="L4783" s="40"/>
      <c r="M4783"/>
      <c r="N4783"/>
      <c r="O4783"/>
      <c r="P4783"/>
      <c r="Q4783"/>
      <c r="R4783"/>
      <c r="S4783"/>
      <c r="T4783"/>
      <c r="U4783"/>
      <c r="V4783"/>
      <c r="W4783" s="41"/>
      <c r="X4783" s="41"/>
      <c r="Y4783" s="41"/>
    </row>
    <row r="4784" s="27" customFormat="1" ht="23" hidden="1" customHeight="1" spans="1:25">
      <c r="A4784" s="133" t="str">
        <f>IF(B4784="","",COUNTA($B$5:B4784))</f>
        <v/>
      </c>
      <c r="B4784" s="148"/>
      <c r="C4784" s="22" t="s">
        <v>49</v>
      </c>
      <c r="D4784" s="149"/>
      <c r="E4784" s="150"/>
      <c r="F4784" s="151"/>
      <c r="G4784" s="151"/>
      <c r="H4784" s="142">
        <f>IFERROR(VLOOKUP($C4784,$C$5:$H$18,6,0)+SUMIF($C$19:$C4784,$C4784,$F$19:$F4784)-SUMIF($C$19:$C4784,$C4784,$G$19:$G4784),"")</f>
        <v>81211.819999998</v>
      </c>
      <c r="I4784" s="147"/>
      <c r="J4784" s="147"/>
      <c r="K4784" s="147" t="str">
        <f t="shared" si="74"/>
        <v/>
      </c>
      <c r="L4784" s="40"/>
      <c r="M4784"/>
      <c r="N4784"/>
      <c r="O4784"/>
      <c r="P4784"/>
      <c r="Q4784"/>
      <c r="R4784"/>
      <c r="S4784"/>
      <c r="T4784"/>
      <c r="U4784"/>
      <c r="V4784"/>
      <c r="W4784" s="41"/>
      <c r="X4784" s="41"/>
      <c r="Y4784" s="41"/>
    </row>
    <row r="4785" s="27" customFormat="1" ht="23" hidden="1" customHeight="1" spans="1:25">
      <c r="A4785" s="133" t="str">
        <f>IF(B4785="","",COUNTA($B$5:B4785))</f>
        <v/>
      </c>
      <c r="B4785" s="148"/>
      <c r="C4785" s="22" t="s">
        <v>49</v>
      </c>
      <c r="D4785" s="149"/>
      <c r="E4785" s="150"/>
      <c r="F4785" s="151"/>
      <c r="G4785" s="151"/>
      <c r="H4785" s="142">
        <f>IFERROR(VLOOKUP($C4785,$C$5:$H$18,6,0)+SUMIF($C$19:$C4785,$C4785,$F$19:$F4785)-SUMIF($C$19:$C4785,$C4785,$G$19:$G4785),"")</f>
        <v>81211.819999998</v>
      </c>
      <c r="I4785" s="147"/>
      <c r="J4785" s="147"/>
      <c r="K4785" s="147" t="str">
        <f t="shared" si="74"/>
        <v/>
      </c>
      <c r="L4785" s="40"/>
      <c r="M4785"/>
      <c r="N4785"/>
      <c r="O4785"/>
      <c r="P4785"/>
      <c r="Q4785"/>
      <c r="R4785"/>
      <c r="S4785"/>
      <c r="T4785"/>
      <c r="U4785"/>
      <c r="V4785"/>
      <c r="W4785" s="41"/>
      <c r="X4785" s="41"/>
      <c r="Y4785" s="41"/>
    </row>
    <row r="4786" s="27" customFormat="1" ht="23" hidden="1" customHeight="1" spans="1:25">
      <c r="A4786" s="133" t="str">
        <f>IF(B4786="","",COUNTA($B$5:B4786))</f>
        <v/>
      </c>
      <c r="B4786" s="148"/>
      <c r="C4786" s="22" t="s">
        <v>49</v>
      </c>
      <c r="D4786" s="149"/>
      <c r="E4786" s="150"/>
      <c r="F4786" s="151"/>
      <c r="G4786" s="151"/>
      <c r="H4786" s="142">
        <f>IFERROR(VLOOKUP($C4786,$C$5:$H$18,6,0)+SUMIF($C$19:$C4786,$C4786,$F$19:$F4786)-SUMIF($C$19:$C4786,$C4786,$G$19:$G4786),"")</f>
        <v>81211.819999998</v>
      </c>
      <c r="I4786" s="147"/>
      <c r="J4786" s="147"/>
      <c r="K4786" s="147" t="str">
        <f t="shared" si="74"/>
        <v/>
      </c>
      <c r="L4786" s="40"/>
      <c r="M4786"/>
      <c r="N4786"/>
      <c r="O4786"/>
      <c r="P4786"/>
      <c r="Q4786"/>
      <c r="R4786"/>
      <c r="S4786"/>
      <c r="T4786"/>
      <c r="U4786"/>
      <c r="V4786"/>
      <c r="W4786" s="41"/>
      <c r="X4786" s="41"/>
      <c r="Y4786" s="41"/>
    </row>
    <row r="4787" s="27" customFormat="1" ht="23" hidden="1" customHeight="1" spans="1:25">
      <c r="A4787" s="133" t="str">
        <f>IF(B4787="","",COUNTA($B$5:B4787))</f>
        <v/>
      </c>
      <c r="B4787" s="148"/>
      <c r="C4787" s="22" t="s">
        <v>49</v>
      </c>
      <c r="D4787" s="149"/>
      <c r="E4787" s="150"/>
      <c r="F4787" s="151"/>
      <c r="G4787" s="151"/>
      <c r="H4787" s="142">
        <f>IFERROR(VLOOKUP($C4787,$C$5:$H$18,6,0)+SUMIF($C$19:$C4787,$C4787,$F$19:$F4787)-SUMIF($C$19:$C4787,$C4787,$G$19:$G4787),"")</f>
        <v>81211.819999998</v>
      </c>
      <c r="I4787" s="147"/>
      <c r="J4787" s="147"/>
      <c r="K4787" s="147" t="str">
        <f t="shared" si="74"/>
        <v/>
      </c>
      <c r="L4787" s="40"/>
      <c r="M4787"/>
      <c r="N4787"/>
      <c r="O4787"/>
      <c r="P4787"/>
      <c r="Q4787"/>
      <c r="R4787"/>
      <c r="S4787"/>
      <c r="T4787"/>
      <c r="U4787"/>
      <c r="V4787"/>
      <c r="W4787" s="41"/>
      <c r="X4787" s="41"/>
      <c r="Y4787" s="41"/>
    </row>
    <row r="4788" s="27" customFormat="1" ht="23" hidden="1" customHeight="1" spans="1:25">
      <c r="A4788" s="133" t="str">
        <f>IF(B4788="","",COUNTA($B$5:B4788))</f>
        <v/>
      </c>
      <c r="B4788" s="148"/>
      <c r="C4788" s="22" t="s">
        <v>49</v>
      </c>
      <c r="D4788" s="149"/>
      <c r="E4788" s="150"/>
      <c r="F4788" s="151"/>
      <c r="G4788" s="151"/>
      <c r="H4788" s="142">
        <f>IFERROR(VLOOKUP($C4788,$C$5:$H$18,6,0)+SUMIF($C$19:$C4788,$C4788,$F$19:$F4788)-SUMIF($C$19:$C4788,$C4788,$G$19:$G4788),"")</f>
        <v>81211.819999998</v>
      </c>
      <c r="I4788" s="147"/>
      <c r="J4788" s="147"/>
      <c r="K4788" s="147" t="str">
        <f t="shared" si="74"/>
        <v/>
      </c>
      <c r="L4788" s="40"/>
      <c r="M4788"/>
      <c r="N4788"/>
      <c r="O4788"/>
      <c r="P4788"/>
      <c r="Q4788"/>
      <c r="R4788"/>
      <c r="S4788"/>
      <c r="T4788"/>
      <c r="U4788"/>
      <c r="V4788"/>
      <c r="W4788" s="41"/>
      <c r="X4788" s="41"/>
      <c r="Y4788" s="41"/>
    </row>
    <row r="4789" s="27" customFormat="1" ht="23" hidden="1" customHeight="1" spans="1:25">
      <c r="A4789" s="133" t="str">
        <f>IF(B4789="","",COUNTA($B$5:B4789))</f>
        <v/>
      </c>
      <c r="B4789" s="148"/>
      <c r="C4789" s="22" t="s">
        <v>49</v>
      </c>
      <c r="D4789" s="149"/>
      <c r="E4789" s="150"/>
      <c r="F4789" s="151"/>
      <c r="G4789" s="151"/>
      <c r="H4789" s="142">
        <f>IFERROR(VLOOKUP($C4789,$C$5:$H$18,6,0)+SUMIF($C$19:$C4789,$C4789,$F$19:$F4789)-SUMIF($C$19:$C4789,$C4789,$G$19:$G4789),"")</f>
        <v>81211.819999998</v>
      </c>
      <c r="I4789" s="147"/>
      <c r="J4789" s="147"/>
      <c r="K4789" s="147" t="str">
        <f t="shared" si="74"/>
        <v/>
      </c>
      <c r="L4789" s="40"/>
      <c r="M4789"/>
      <c r="N4789"/>
      <c r="O4789"/>
      <c r="P4789"/>
      <c r="Q4789"/>
      <c r="R4789"/>
      <c r="S4789"/>
      <c r="T4789"/>
      <c r="U4789"/>
      <c r="V4789"/>
      <c r="W4789" s="41"/>
      <c r="X4789" s="41"/>
      <c r="Y4789" s="41"/>
    </row>
    <row r="4790" s="27" customFormat="1" ht="23" hidden="1" customHeight="1" spans="1:25">
      <c r="A4790" s="133" t="str">
        <f>IF(B4790="","",COUNTA($B$5:B4790))</f>
        <v/>
      </c>
      <c r="B4790" s="148"/>
      <c r="C4790" s="22" t="s">
        <v>49</v>
      </c>
      <c r="D4790" s="149"/>
      <c r="E4790" s="150"/>
      <c r="F4790" s="151"/>
      <c r="G4790" s="151"/>
      <c r="H4790" s="142">
        <f>IFERROR(VLOOKUP($C4790,$C$5:$H$18,6,0)+SUMIF($C$19:$C4790,$C4790,$F$19:$F4790)-SUMIF($C$19:$C4790,$C4790,$G$19:$G4790),"")</f>
        <v>81211.819999998</v>
      </c>
      <c r="I4790" s="147"/>
      <c r="J4790" s="147"/>
      <c r="K4790" s="147" t="str">
        <f t="shared" si="74"/>
        <v/>
      </c>
      <c r="L4790" s="40"/>
      <c r="M4790"/>
      <c r="N4790"/>
      <c r="O4790"/>
      <c r="P4790"/>
      <c r="Q4790"/>
      <c r="R4790"/>
      <c r="S4790"/>
      <c r="T4790"/>
      <c r="U4790"/>
      <c r="V4790"/>
      <c r="W4790" s="41"/>
      <c r="X4790" s="41"/>
      <c r="Y4790" s="41"/>
    </row>
    <row r="4791" s="27" customFormat="1" ht="23" hidden="1" customHeight="1" spans="1:25">
      <c r="A4791" s="133" t="str">
        <f>IF(B4791="","",COUNTA($B$5:B4791))</f>
        <v/>
      </c>
      <c r="B4791" s="148"/>
      <c r="C4791" s="22" t="s">
        <v>49</v>
      </c>
      <c r="D4791" s="149"/>
      <c r="E4791" s="150"/>
      <c r="F4791" s="151"/>
      <c r="G4791" s="151"/>
      <c r="H4791" s="142">
        <f>IFERROR(VLOOKUP($C4791,$C$5:$H$18,6,0)+SUMIF($C$19:$C4791,$C4791,$F$19:$F4791)-SUMIF($C$19:$C4791,$C4791,$G$19:$G4791),"")</f>
        <v>81211.819999998</v>
      </c>
      <c r="I4791" s="147"/>
      <c r="J4791" s="147"/>
      <c r="K4791" s="147" t="str">
        <f t="shared" si="74"/>
        <v/>
      </c>
      <c r="L4791" s="40"/>
      <c r="M4791"/>
      <c r="N4791"/>
      <c r="O4791"/>
      <c r="P4791"/>
      <c r="Q4791"/>
      <c r="R4791"/>
      <c r="S4791"/>
      <c r="T4791"/>
      <c r="U4791"/>
      <c r="V4791"/>
      <c r="W4791" s="41"/>
      <c r="X4791" s="41"/>
      <c r="Y4791" s="41"/>
    </row>
    <row r="4792" s="27" customFormat="1" ht="23" hidden="1" customHeight="1" spans="1:25">
      <c r="A4792" s="133" t="str">
        <f>IF(B4792="","",COUNTA($B$5:B4792))</f>
        <v/>
      </c>
      <c r="B4792" s="148"/>
      <c r="C4792" s="22" t="s">
        <v>49</v>
      </c>
      <c r="D4792" s="149"/>
      <c r="E4792" s="150"/>
      <c r="F4792" s="151"/>
      <c r="G4792" s="151"/>
      <c r="H4792" s="142">
        <f>IFERROR(VLOOKUP($C4792,$C$5:$H$18,6,0)+SUMIF($C$19:$C4792,$C4792,$F$19:$F4792)-SUMIF($C$19:$C4792,$C4792,$G$19:$G4792),"")</f>
        <v>81211.819999998</v>
      </c>
      <c r="I4792" s="147"/>
      <c r="J4792" s="147"/>
      <c r="K4792" s="147" t="str">
        <f t="shared" si="74"/>
        <v/>
      </c>
      <c r="L4792" s="40"/>
      <c r="M4792"/>
      <c r="N4792"/>
      <c r="O4792"/>
      <c r="P4792"/>
      <c r="Q4792"/>
      <c r="R4792"/>
      <c r="S4792"/>
      <c r="T4792"/>
      <c r="U4792"/>
      <c r="V4792"/>
      <c r="W4792" s="41"/>
      <c r="X4792" s="41"/>
      <c r="Y4792" s="41"/>
    </row>
    <row r="4793" s="27" customFormat="1" ht="23" hidden="1" customHeight="1" spans="1:25">
      <c r="A4793" s="133" t="str">
        <f>IF(B4793="","",COUNTA($B$5:B4793))</f>
        <v/>
      </c>
      <c r="B4793" s="148"/>
      <c r="C4793" s="22" t="s">
        <v>49</v>
      </c>
      <c r="D4793" s="149"/>
      <c r="E4793" s="150"/>
      <c r="F4793" s="151"/>
      <c r="G4793" s="151"/>
      <c r="H4793" s="142">
        <f>IFERROR(VLOOKUP($C4793,$C$5:$H$18,6,0)+SUMIF($C$19:$C4793,$C4793,$F$19:$F4793)-SUMIF($C$19:$C4793,$C4793,$G$19:$G4793),"")</f>
        <v>81211.819999998</v>
      </c>
      <c r="I4793" s="147"/>
      <c r="J4793" s="147"/>
      <c r="K4793" s="147" t="str">
        <f t="shared" si="74"/>
        <v/>
      </c>
      <c r="L4793" s="40"/>
      <c r="M4793"/>
      <c r="N4793"/>
      <c r="O4793"/>
      <c r="P4793"/>
      <c r="Q4793"/>
      <c r="R4793"/>
      <c r="S4793"/>
      <c r="T4793"/>
      <c r="U4793"/>
      <c r="V4793"/>
      <c r="W4793" s="41"/>
      <c r="X4793" s="41"/>
      <c r="Y4793" s="41"/>
    </row>
    <row r="4794" s="27" customFormat="1" ht="23" hidden="1" customHeight="1" spans="1:25">
      <c r="A4794" s="133" t="str">
        <f>IF(B4794="","",COUNTA($B$5:B4794))</f>
        <v/>
      </c>
      <c r="B4794" s="148"/>
      <c r="C4794" s="22" t="s">
        <v>49</v>
      </c>
      <c r="D4794" s="149"/>
      <c r="E4794" s="150"/>
      <c r="F4794" s="151"/>
      <c r="G4794" s="151"/>
      <c r="H4794" s="142">
        <f>IFERROR(VLOOKUP($C4794,$C$5:$H$18,6,0)+SUMIF($C$19:$C4794,$C4794,$F$19:$F4794)-SUMIF($C$19:$C4794,$C4794,$G$19:$G4794),"")</f>
        <v>81211.819999998</v>
      </c>
      <c r="I4794" s="147"/>
      <c r="J4794" s="147"/>
      <c r="K4794" s="147" t="str">
        <f t="shared" si="74"/>
        <v/>
      </c>
      <c r="L4794" s="40"/>
      <c r="M4794"/>
      <c r="N4794"/>
      <c r="O4794"/>
      <c r="P4794"/>
      <c r="Q4794"/>
      <c r="R4794"/>
      <c r="S4794"/>
      <c r="T4794"/>
      <c r="U4794"/>
      <c r="V4794"/>
      <c r="W4794" s="41"/>
      <c r="X4794" s="41"/>
      <c r="Y4794" s="41"/>
    </row>
    <row r="4795" s="27" customFormat="1" ht="23" hidden="1" customHeight="1" spans="1:25">
      <c r="A4795" s="133" t="str">
        <f>IF(B4795="","",COUNTA($B$5:B4795))</f>
        <v/>
      </c>
      <c r="B4795" s="148"/>
      <c r="C4795" s="22" t="s">
        <v>49</v>
      </c>
      <c r="D4795" s="149"/>
      <c r="E4795" s="150"/>
      <c r="F4795" s="151"/>
      <c r="G4795" s="151"/>
      <c r="H4795" s="142">
        <f>IFERROR(VLOOKUP($C4795,$C$5:$H$18,6,0)+SUMIF($C$19:$C4795,$C4795,$F$19:$F4795)-SUMIF($C$19:$C4795,$C4795,$G$19:$G4795),"")</f>
        <v>81211.819999998</v>
      </c>
      <c r="I4795" s="147"/>
      <c r="J4795" s="147"/>
      <c r="K4795" s="147" t="str">
        <f t="shared" si="74"/>
        <v/>
      </c>
      <c r="L4795" s="40"/>
      <c r="M4795"/>
      <c r="N4795"/>
      <c r="O4795"/>
      <c r="P4795"/>
      <c r="Q4795"/>
      <c r="R4795"/>
      <c r="S4795"/>
      <c r="T4795"/>
      <c r="U4795"/>
      <c r="V4795"/>
      <c r="W4795" s="41"/>
      <c r="X4795" s="41"/>
      <c r="Y4795" s="41"/>
    </row>
    <row r="4796" s="27" customFormat="1" ht="23" hidden="1" customHeight="1" spans="1:25">
      <c r="A4796" s="133" t="str">
        <f>IF(B4796="","",COUNTA($B$5:B4796))</f>
        <v/>
      </c>
      <c r="B4796" s="148"/>
      <c r="C4796" s="22" t="s">
        <v>49</v>
      </c>
      <c r="D4796" s="149"/>
      <c r="E4796" s="150"/>
      <c r="F4796" s="151"/>
      <c r="G4796" s="151"/>
      <c r="H4796" s="142">
        <f>IFERROR(VLOOKUP($C4796,$C$5:$H$18,6,0)+SUMIF($C$19:$C4796,$C4796,$F$19:$F4796)-SUMIF($C$19:$C4796,$C4796,$G$19:$G4796),"")</f>
        <v>81211.819999998</v>
      </c>
      <c r="I4796" s="147"/>
      <c r="J4796" s="147"/>
      <c r="K4796" s="147" t="str">
        <f t="shared" si="74"/>
        <v/>
      </c>
      <c r="L4796" s="40"/>
      <c r="M4796"/>
      <c r="N4796"/>
      <c r="O4796"/>
      <c r="P4796"/>
      <c r="Q4796"/>
      <c r="R4796"/>
      <c r="S4796"/>
      <c r="T4796"/>
      <c r="U4796"/>
      <c r="V4796"/>
      <c r="W4796" s="41"/>
      <c r="X4796" s="41"/>
      <c r="Y4796" s="41"/>
    </row>
    <row r="4797" s="27" customFormat="1" ht="23" hidden="1" customHeight="1" spans="1:25">
      <c r="A4797" s="133" t="str">
        <f>IF(B4797="","",COUNTA($B$5:B4797))</f>
        <v/>
      </c>
      <c r="B4797" s="148"/>
      <c r="C4797" s="22" t="s">
        <v>49</v>
      </c>
      <c r="D4797" s="149"/>
      <c r="E4797" s="150"/>
      <c r="F4797" s="151"/>
      <c r="G4797" s="151"/>
      <c r="H4797" s="142">
        <f>IFERROR(VLOOKUP($C4797,$C$5:$H$18,6,0)+SUMIF($C$19:$C4797,$C4797,$F$19:$F4797)-SUMIF($C$19:$C4797,$C4797,$G$19:$G4797),"")</f>
        <v>81211.819999998</v>
      </c>
      <c r="I4797" s="147"/>
      <c r="J4797" s="147"/>
      <c r="K4797" s="147" t="str">
        <f t="shared" si="74"/>
        <v/>
      </c>
      <c r="L4797" s="40"/>
      <c r="M4797"/>
      <c r="N4797"/>
      <c r="O4797"/>
      <c r="P4797"/>
      <c r="Q4797"/>
      <c r="R4797"/>
      <c r="S4797"/>
      <c r="T4797"/>
      <c r="U4797"/>
      <c r="V4797"/>
      <c r="W4797" s="41"/>
      <c r="X4797" s="41"/>
      <c r="Y4797" s="41"/>
    </row>
    <row r="4798" s="27" customFormat="1" ht="23" hidden="1" customHeight="1" spans="1:25">
      <c r="A4798" s="133" t="str">
        <f>IF(B4798="","",COUNTA($B$5:B4798))</f>
        <v/>
      </c>
      <c r="B4798" s="148"/>
      <c r="C4798" s="22" t="s">
        <v>49</v>
      </c>
      <c r="D4798" s="149"/>
      <c r="E4798" s="150"/>
      <c r="F4798" s="151"/>
      <c r="G4798" s="151"/>
      <c r="H4798" s="142">
        <f>IFERROR(VLOOKUP($C4798,$C$5:$H$18,6,0)+SUMIF($C$19:$C4798,$C4798,$F$19:$F4798)-SUMIF($C$19:$C4798,$C4798,$G$19:$G4798),"")</f>
        <v>81211.819999998</v>
      </c>
      <c r="I4798" s="147"/>
      <c r="J4798" s="147"/>
      <c r="K4798" s="147" t="str">
        <f t="shared" si="74"/>
        <v/>
      </c>
      <c r="L4798" s="40"/>
      <c r="M4798"/>
      <c r="N4798"/>
      <c r="O4798"/>
      <c r="P4798"/>
      <c r="Q4798"/>
      <c r="R4798"/>
      <c r="S4798"/>
      <c r="T4798"/>
      <c r="U4798"/>
      <c r="V4798"/>
      <c r="W4798" s="41"/>
      <c r="X4798" s="41"/>
      <c r="Y4798" s="41"/>
    </row>
    <row r="4799" s="27" customFormat="1" ht="23" hidden="1" customHeight="1" spans="1:25">
      <c r="A4799" s="133" t="str">
        <f>IF(B4799="","",COUNTA($B$5:B4799))</f>
        <v/>
      </c>
      <c r="B4799" s="148"/>
      <c r="C4799" s="22" t="s">
        <v>49</v>
      </c>
      <c r="D4799" s="149"/>
      <c r="E4799" s="150"/>
      <c r="F4799" s="151"/>
      <c r="G4799" s="151"/>
      <c r="H4799" s="142">
        <f>IFERROR(VLOOKUP($C4799,$C$5:$H$18,6,0)+SUMIF($C$19:$C4799,$C4799,$F$19:$F4799)-SUMIF($C$19:$C4799,$C4799,$G$19:$G4799),"")</f>
        <v>81211.819999998</v>
      </c>
      <c r="I4799" s="147"/>
      <c r="J4799" s="147"/>
      <c r="K4799" s="147" t="str">
        <f t="shared" si="74"/>
        <v/>
      </c>
      <c r="L4799" s="40"/>
      <c r="M4799"/>
      <c r="N4799"/>
      <c r="O4799"/>
      <c r="P4799"/>
      <c r="Q4799"/>
      <c r="R4799"/>
      <c r="S4799"/>
      <c r="T4799"/>
      <c r="U4799"/>
      <c r="V4799"/>
      <c r="W4799" s="41"/>
      <c r="X4799" s="41"/>
      <c r="Y4799" s="41"/>
    </row>
    <row r="4800" s="27" customFormat="1" ht="23" hidden="1" customHeight="1" spans="1:25">
      <c r="A4800" s="133" t="str">
        <f>IF(B4800="","",COUNTA($B$5:B4800))</f>
        <v/>
      </c>
      <c r="B4800" s="148"/>
      <c r="C4800" s="22" t="s">
        <v>49</v>
      </c>
      <c r="D4800" s="149"/>
      <c r="E4800" s="150"/>
      <c r="F4800" s="151"/>
      <c r="G4800" s="151"/>
      <c r="H4800" s="142">
        <f>IFERROR(VLOOKUP($C4800,$C$5:$H$18,6,0)+SUMIF($C$19:$C4800,$C4800,$F$19:$F4800)-SUMIF($C$19:$C4800,$C4800,$G$19:$G4800),"")</f>
        <v>81211.819999998</v>
      </c>
      <c r="I4800" s="147"/>
      <c r="J4800" s="147"/>
      <c r="K4800" s="147" t="str">
        <f t="shared" si="74"/>
        <v/>
      </c>
      <c r="L4800" s="40"/>
      <c r="M4800"/>
      <c r="N4800"/>
      <c r="O4800"/>
      <c r="P4800"/>
      <c r="Q4800"/>
      <c r="R4800"/>
      <c r="S4800"/>
      <c r="T4800"/>
      <c r="U4800"/>
      <c r="V4800"/>
      <c r="W4800" s="41"/>
      <c r="X4800" s="41"/>
      <c r="Y4800" s="41"/>
    </row>
    <row r="4801" s="27" customFormat="1" ht="23" hidden="1" customHeight="1" spans="1:25">
      <c r="A4801" s="133" t="str">
        <f>IF(B4801="","",COUNTA($B$5:B4801))</f>
        <v/>
      </c>
      <c r="B4801" s="148"/>
      <c r="C4801" s="22" t="s">
        <v>49</v>
      </c>
      <c r="D4801" s="149"/>
      <c r="E4801" s="150"/>
      <c r="F4801" s="151"/>
      <c r="G4801" s="151"/>
      <c r="H4801" s="142">
        <f>IFERROR(VLOOKUP($C4801,$C$5:$H$18,6,0)+SUMIF($C$19:$C4801,$C4801,$F$19:$F4801)-SUMIF($C$19:$C4801,$C4801,$G$19:$G4801),"")</f>
        <v>81211.819999998</v>
      </c>
      <c r="I4801" s="147"/>
      <c r="J4801" s="147"/>
      <c r="K4801" s="147" t="str">
        <f t="shared" si="74"/>
        <v/>
      </c>
      <c r="L4801" s="40"/>
      <c r="M4801"/>
      <c r="N4801"/>
      <c r="O4801"/>
      <c r="P4801"/>
      <c r="Q4801"/>
      <c r="R4801"/>
      <c r="S4801"/>
      <c r="T4801"/>
      <c r="U4801"/>
      <c r="V4801"/>
      <c r="W4801" s="41"/>
      <c r="X4801" s="41"/>
      <c r="Y4801" s="41"/>
    </row>
    <row r="4802" s="27" customFormat="1" ht="23" hidden="1" customHeight="1" spans="1:25">
      <c r="A4802" s="133" t="str">
        <f>IF(B4802="","",COUNTA($B$5:B4802))</f>
        <v/>
      </c>
      <c r="B4802" s="148"/>
      <c r="C4802" s="22" t="s">
        <v>49</v>
      </c>
      <c r="D4802" s="149"/>
      <c r="E4802" s="150"/>
      <c r="F4802" s="151"/>
      <c r="G4802" s="151"/>
      <c r="H4802" s="142">
        <f>IFERROR(VLOOKUP($C4802,$C$5:$H$18,6,0)+SUMIF($C$19:$C4802,$C4802,$F$19:$F4802)-SUMIF($C$19:$C4802,$C4802,$G$19:$G4802),"")</f>
        <v>81211.819999998</v>
      </c>
      <c r="I4802" s="147"/>
      <c r="J4802" s="147"/>
      <c r="K4802" s="147" t="str">
        <f t="shared" si="74"/>
        <v/>
      </c>
      <c r="L4802" s="40"/>
      <c r="M4802"/>
      <c r="N4802"/>
      <c r="O4802"/>
      <c r="P4802"/>
      <c r="Q4802"/>
      <c r="R4802"/>
      <c r="S4802"/>
      <c r="T4802"/>
      <c r="U4802"/>
      <c r="V4802"/>
      <c r="W4802" s="41"/>
      <c r="X4802" s="41"/>
      <c r="Y4802" s="41"/>
    </row>
    <row r="4803" s="27" customFormat="1" ht="23" hidden="1" customHeight="1" spans="1:25">
      <c r="A4803" s="133" t="str">
        <f>IF(B4803="","",COUNTA($B$5:B4803))</f>
        <v/>
      </c>
      <c r="B4803" s="148"/>
      <c r="C4803" s="22" t="s">
        <v>49</v>
      </c>
      <c r="D4803" s="149"/>
      <c r="E4803" s="150"/>
      <c r="F4803" s="151"/>
      <c r="G4803" s="151"/>
      <c r="H4803" s="142">
        <f>IFERROR(VLOOKUP($C4803,$C$5:$H$18,6,0)+SUMIF($C$19:$C4803,$C4803,$F$19:$F4803)-SUMIF($C$19:$C4803,$C4803,$G$19:$G4803),"")</f>
        <v>81211.819999998</v>
      </c>
      <c r="I4803" s="147"/>
      <c r="J4803" s="147"/>
      <c r="K4803" s="147" t="str">
        <f t="shared" si="74"/>
        <v/>
      </c>
      <c r="L4803" s="40"/>
      <c r="M4803"/>
      <c r="N4803"/>
      <c r="O4803"/>
      <c r="P4803"/>
      <c r="Q4803"/>
      <c r="R4803"/>
      <c r="S4803"/>
      <c r="T4803"/>
      <c r="U4803"/>
      <c r="V4803"/>
      <c r="W4803" s="41"/>
      <c r="X4803" s="41"/>
      <c r="Y4803" s="41"/>
    </row>
    <row r="4804" s="27" customFormat="1" ht="23" hidden="1" customHeight="1" spans="1:25">
      <c r="A4804" s="133" t="str">
        <f>IF(B4804="","",COUNTA($B$5:B4804))</f>
        <v/>
      </c>
      <c r="B4804" s="148"/>
      <c r="C4804" s="22" t="s">
        <v>49</v>
      </c>
      <c r="D4804" s="149"/>
      <c r="E4804" s="150"/>
      <c r="F4804" s="151"/>
      <c r="G4804" s="151"/>
      <c r="H4804" s="142">
        <f>IFERROR(VLOOKUP($C4804,$C$5:$H$18,6,0)+SUMIF($C$19:$C4804,$C4804,$F$19:$F4804)-SUMIF($C$19:$C4804,$C4804,$G$19:$G4804),"")</f>
        <v>81211.819999998</v>
      </c>
      <c r="I4804" s="147"/>
      <c r="J4804" s="147"/>
      <c r="K4804" s="147" t="str">
        <f t="shared" si="74"/>
        <v/>
      </c>
      <c r="L4804" s="40"/>
      <c r="M4804"/>
      <c r="N4804"/>
      <c r="O4804"/>
      <c r="P4804"/>
      <c r="Q4804"/>
      <c r="R4804"/>
      <c r="S4804"/>
      <c r="T4804"/>
      <c r="U4804"/>
      <c r="V4804"/>
      <c r="W4804" s="41"/>
      <c r="X4804" s="41"/>
      <c r="Y4804" s="41"/>
    </row>
    <row r="4805" s="27" customFormat="1" ht="23" hidden="1" customHeight="1" spans="1:25">
      <c r="A4805" s="133" t="str">
        <f>IF(B4805="","",COUNTA($B$5:B4805))</f>
        <v/>
      </c>
      <c r="B4805" s="148"/>
      <c r="C4805" s="22" t="s">
        <v>49</v>
      </c>
      <c r="D4805" s="149"/>
      <c r="E4805" s="150"/>
      <c r="F4805" s="151"/>
      <c r="G4805" s="151"/>
      <c r="H4805" s="142">
        <f>IFERROR(VLOOKUP($C4805,$C$5:$H$18,6,0)+SUMIF($C$19:$C4805,$C4805,$F$19:$F4805)-SUMIF($C$19:$C4805,$C4805,$G$19:$G4805),"")</f>
        <v>81211.819999998</v>
      </c>
      <c r="I4805" s="147"/>
      <c r="J4805" s="147"/>
      <c r="K4805" s="147" t="str">
        <f t="shared" ref="K4805:K4868" si="75">IF($B4805="","",--TEXT($B4805,"yyyymm"))</f>
        <v/>
      </c>
      <c r="L4805" s="40"/>
      <c r="M4805"/>
      <c r="N4805"/>
      <c r="O4805"/>
      <c r="P4805"/>
      <c r="Q4805"/>
      <c r="R4805"/>
      <c r="S4805"/>
      <c r="T4805"/>
      <c r="U4805"/>
      <c r="V4805"/>
      <c r="W4805" s="41"/>
      <c r="X4805" s="41"/>
      <c r="Y4805" s="41"/>
    </row>
    <row r="4806" s="27" customFormat="1" ht="23" hidden="1" customHeight="1" spans="1:25">
      <c r="A4806" s="133" t="str">
        <f>IF(B4806="","",COUNTA($B$5:B4806))</f>
        <v/>
      </c>
      <c r="B4806" s="148"/>
      <c r="C4806" s="22" t="s">
        <v>49</v>
      </c>
      <c r="D4806" s="149"/>
      <c r="E4806" s="150"/>
      <c r="F4806" s="151"/>
      <c r="G4806" s="151"/>
      <c r="H4806" s="142">
        <f>IFERROR(VLOOKUP($C4806,$C$5:$H$18,6,0)+SUMIF($C$19:$C4806,$C4806,$F$19:$F4806)-SUMIF($C$19:$C4806,$C4806,$G$19:$G4806),"")</f>
        <v>81211.819999998</v>
      </c>
      <c r="I4806" s="147"/>
      <c r="J4806" s="147"/>
      <c r="K4806" s="147" t="str">
        <f t="shared" si="75"/>
        <v/>
      </c>
      <c r="L4806" s="40"/>
      <c r="M4806"/>
      <c r="N4806"/>
      <c r="O4806"/>
      <c r="P4806"/>
      <c r="Q4806"/>
      <c r="R4806"/>
      <c r="S4806"/>
      <c r="T4806"/>
      <c r="U4806"/>
      <c r="V4806"/>
      <c r="W4806" s="41"/>
      <c r="X4806" s="41"/>
      <c r="Y4806" s="41"/>
    </row>
    <row r="4807" s="27" customFormat="1" ht="23" hidden="1" customHeight="1" spans="1:25">
      <c r="A4807" s="133" t="str">
        <f>IF(B4807="","",COUNTA($B$5:B4807))</f>
        <v/>
      </c>
      <c r="B4807" s="148"/>
      <c r="C4807" s="22" t="s">
        <v>49</v>
      </c>
      <c r="D4807" s="149"/>
      <c r="E4807" s="150"/>
      <c r="F4807" s="151"/>
      <c r="G4807" s="151"/>
      <c r="H4807" s="142">
        <f>IFERROR(VLOOKUP($C4807,$C$5:$H$18,6,0)+SUMIF($C$19:$C4807,$C4807,$F$19:$F4807)-SUMIF($C$19:$C4807,$C4807,$G$19:$G4807),"")</f>
        <v>81211.819999998</v>
      </c>
      <c r="I4807" s="147"/>
      <c r="J4807" s="147"/>
      <c r="K4807" s="147" t="str">
        <f t="shared" si="75"/>
        <v/>
      </c>
      <c r="L4807" s="40"/>
      <c r="M4807"/>
      <c r="N4807"/>
      <c r="O4807"/>
      <c r="P4807"/>
      <c r="Q4807"/>
      <c r="R4807"/>
      <c r="S4807"/>
      <c r="T4807"/>
      <c r="U4807"/>
      <c r="V4807"/>
      <c r="W4807" s="41"/>
      <c r="X4807" s="41"/>
      <c r="Y4807" s="41"/>
    </row>
    <row r="4808" s="27" customFormat="1" ht="23" hidden="1" customHeight="1" spans="1:25">
      <c r="A4808" s="133" t="str">
        <f>IF(B4808="","",COUNTA($B$5:B4808))</f>
        <v/>
      </c>
      <c r="B4808" s="148"/>
      <c r="C4808" s="22" t="s">
        <v>49</v>
      </c>
      <c r="D4808" s="149"/>
      <c r="E4808" s="150"/>
      <c r="F4808" s="151"/>
      <c r="G4808" s="151"/>
      <c r="H4808" s="142">
        <f>IFERROR(VLOOKUP($C4808,$C$5:$H$18,6,0)+SUMIF($C$19:$C4808,$C4808,$F$19:$F4808)-SUMIF($C$19:$C4808,$C4808,$G$19:$G4808),"")</f>
        <v>81211.819999998</v>
      </c>
      <c r="I4808" s="147"/>
      <c r="J4808" s="147"/>
      <c r="K4808" s="147" t="str">
        <f t="shared" si="75"/>
        <v/>
      </c>
      <c r="L4808" s="40"/>
      <c r="M4808"/>
      <c r="N4808"/>
      <c r="O4808"/>
      <c r="P4808"/>
      <c r="Q4808"/>
      <c r="R4808"/>
      <c r="S4808"/>
      <c r="T4808"/>
      <c r="U4808"/>
      <c r="V4808"/>
      <c r="W4808" s="41"/>
      <c r="X4808" s="41"/>
      <c r="Y4808" s="41"/>
    </row>
    <row r="4809" s="27" customFormat="1" ht="23" hidden="1" customHeight="1" spans="1:25">
      <c r="A4809" s="133" t="str">
        <f>IF(B4809="","",COUNTA($B$5:B4809))</f>
        <v/>
      </c>
      <c r="B4809" s="148"/>
      <c r="C4809" s="22" t="s">
        <v>49</v>
      </c>
      <c r="D4809" s="149"/>
      <c r="E4809" s="150"/>
      <c r="F4809" s="151"/>
      <c r="G4809" s="151"/>
      <c r="H4809" s="142">
        <f>IFERROR(VLOOKUP($C4809,$C$5:$H$18,6,0)+SUMIF($C$19:$C4809,$C4809,$F$19:$F4809)-SUMIF($C$19:$C4809,$C4809,$G$19:$G4809),"")</f>
        <v>81211.819999998</v>
      </c>
      <c r="I4809" s="147"/>
      <c r="J4809" s="147"/>
      <c r="K4809" s="147" t="str">
        <f t="shared" si="75"/>
        <v/>
      </c>
      <c r="L4809" s="40"/>
      <c r="M4809"/>
      <c r="N4809"/>
      <c r="O4809"/>
      <c r="P4809"/>
      <c r="Q4809"/>
      <c r="R4809"/>
      <c r="S4809"/>
      <c r="T4809"/>
      <c r="U4809"/>
      <c r="V4809"/>
      <c r="W4809" s="41"/>
      <c r="X4809" s="41"/>
      <c r="Y4809" s="41"/>
    </row>
    <row r="4810" s="27" customFormat="1" ht="23" hidden="1" customHeight="1" spans="1:25">
      <c r="A4810" s="133" t="str">
        <f>IF(B4810="","",COUNTA($B$5:B4810))</f>
        <v/>
      </c>
      <c r="B4810" s="148"/>
      <c r="C4810" s="22" t="s">
        <v>49</v>
      </c>
      <c r="D4810" s="149"/>
      <c r="E4810" s="150"/>
      <c r="F4810" s="151"/>
      <c r="G4810" s="151"/>
      <c r="H4810" s="142">
        <f>IFERROR(VLOOKUP($C4810,$C$5:$H$18,6,0)+SUMIF($C$19:$C4810,$C4810,$F$19:$F4810)-SUMIF($C$19:$C4810,$C4810,$G$19:$G4810),"")</f>
        <v>81211.819999998</v>
      </c>
      <c r="I4810" s="147"/>
      <c r="J4810" s="147"/>
      <c r="K4810" s="147" t="str">
        <f t="shared" si="75"/>
        <v/>
      </c>
      <c r="L4810" s="40"/>
      <c r="M4810"/>
      <c r="N4810"/>
      <c r="O4810"/>
      <c r="P4810"/>
      <c r="Q4810"/>
      <c r="R4810"/>
      <c r="S4810"/>
      <c r="T4810"/>
      <c r="U4810"/>
      <c r="V4810"/>
      <c r="W4810" s="41"/>
      <c r="X4810" s="41"/>
      <c r="Y4810" s="41"/>
    </row>
    <row r="4811" s="27" customFormat="1" ht="23" hidden="1" customHeight="1" spans="1:25">
      <c r="A4811" s="133" t="str">
        <f>IF(B4811="","",COUNTA($B$5:B4811))</f>
        <v/>
      </c>
      <c r="B4811" s="148"/>
      <c r="C4811" s="22" t="s">
        <v>49</v>
      </c>
      <c r="D4811" s="149"/>
      <c r="E4811" s="150"/>
      <c r="F4811" s="151"/>
      <c r="G4811" s="151"/>
      <c r="H4811" s="142">
        <f>IFERROR(VLOOKUP($C4811,$C$5:$H$18,6,0)+SUMIF($C$19:$C4811,$C4811,$F$19:$F4811)-SUMIF($C$19:$C4811,$C4811,$G$19:$G4811),"")</f>
        <v>81211.819999998</v>
      </c>
      <c r="I4811" s="147"/>
      <c r="J4811" s="147"/>
      <c r="K4811" s="147" t="str">
        <f t="shared" si="75"/>
        <v/>
      </c>
      <c r="L4811" s="40"/>
      <c r="M4811"/>
      <c r="N4811"/>
      <c r="O4811"/>
      <c r="P4811"/>
      <c r="Q4811"/>
      <c r="R4811"/>
      <c r="S4811"/>
      <c r="T4811"/>
      <c r="U4811"/>
      <c r="V4811"/>
      <c r="W4811" s="41"/>
      <c r="X4811" s="41"/>
      <c r="Y4811" s="41"/>
    </row>
    <row r="4812" s="27" customFormat="1" ht="23" hidden="1" customHeight="1" spans="1:25">
      <c r="A4812" s="133" t="str">
        <f>IF(B4812="","",COUNTA($B$5:B4812))</f>
        <v/>
      </c>
      <c r="B4812" s="148"/>
      <c r="C4812" s="22" t="s">
        <v>49</v>
      </c>
      <c r="D4812" s="149"/>
      <c r="E4812" s="150"/>
      <c r="F4812" s="151"/>
      <c r="G4812" s="151"/>
      <c r="H4812" s="142">
        <f>IFERROR(VLOOKUP($C4812,$C$5:$H$18,6,0)+SUMIF($C$19:$C4812,$C4812,$F$19:$F4812)-SUMIF($C$19:$C4812,$C4812,$G$19:$G4812),"")</f>
        <v>81211.819999998</v>
      </c>
      <c r="I4812" s="147"/>
      <c r="J4812" s="147"/>
      <c r="K4812" s="147" t="str">
        <f t="shared" si="75"/>
        <v/>
      </c>
      <c r="L4812" s="40"/>
      <c r="M4812"/>
      <c r="N4812"/>
      <c r="O4812"/>
      <c r="P4812"/>
      <c r="Q4812"/>
      <c r="R4812"/>
      <c r="S4812"/>
      <c r="T4812"/>
      <c r="U4812"/>
      <c r="V4812"/>
      <c r="W4812" s="41"/>
      <c r="X4812" s="41"/>
      <c r="Y4812" s="41"/>
    </row>
    <row r="4813" s="27" customFormat="1" ht="23" hidden="1" customHeight="1" spans="1:25">
      <c r="A4813" s="133" t="str">
        <f>IF(B4813="","",COUNTA($B$5:B4813))</f>
        <v/>
      </c>
      <c r="B4813" s="148"/>
      <c r="C4813" s="22" t="s">
        <v>49</v>
      </c>
      <c r="D4813" s="149"/>
      <c r="E4813" s="150"/>
      <c r="F4813" s="151"/>
      <c r="G4813" s="151"/>
      <c r="H4813" s="142">
        <f>IFERROR(VLOOKUP($C4813,$C$5:$H$18,6,0)+SUMIF($C$19:$C4813,$C4813,$F$19:$F4813)-SUMIF($C$19:$C4813,$C4813,$G$19:$G4813),"")</f>
        <v>81211.819999998</v>
      </c>
      <c r="I4813" s="147"/>
      <c r="J4813" s="147"/>
      <c r="K4813" s="147" t="str">
        <f t="shared" si="75"/>
        <v/>
      </c>
      <c r="L4813" s="40"/>
      <c r="M4813"/>
      <c r="N4813"/>
      <c r="O4813"/>
      <c r="P4813"/>
      <c r="Q4813"/>
      <c r="R4813"/>
      <c r="S4813"/>
      <c r="T4813"/>
      <c r="U4813"/>
      <c r="V4813"/>
      <c r="W4813" s="41"/>
      <c r="X4813" s="41"/>
      <c r="Y4813" s="41"/>
    </row>
    <row r="4814" s="27" customFormat="1" ht="23" hidden="1" customHeight="1" spans="1:25">
      <c r="A4814" s="133" t="str">
        <f>IF(B4814="","",COUNTA($B$5:B4814))</f>
        <v/>
      </c>
      <c r="B4814" s="148"/>
      <c r="C4814" s="22" t="s">
        <v>49</v>
      </c>
      <c r="D4814" s="149"/>
      <c r="E4814" s="150"/>
      <c r="F4814" s="151"/>
      <c r="G4814" s="151"/>
      <c r="H4814" s="142">
        <f>IFERROR(VLOOKUP($C4814,$C$5:$H$18,6,0)+SUMIF($C$19:$C4814,$C4814,$F$19:$F4814)-SUMIF($C$19:$C4814,$C4814,$G$19:$G4814),"")</f>
        <v>81211.819999998</v>
      </c>
      <c r="I4814" s="147"/>
      <c r="J4814" s="147"/>
      <c r="K4814" s="147" t="str">
        <f t="shared" si="75"/>
        <v/>
      </c>
      <c r="L4814" s="40"/>
      <c r="M4814"/>
      <c r="N4814"/>
      <c r="O4814"/>
      <c r="P4814"/>
      <c r="Q4814"/>
      <c r="R4814"/>
      <c r="S4814"/>
      <c r="T4814"/>
      <c r="U4814"/>
      <c r="V4814"/>
      <c r="W4814" s="41"/>
      <c r="X4814" s="41"/>
      <c r="Y4814" s="41"/>
    </row>
    <row r="4815" s="27" customFormat="1" ht="23" hidden="1" customHeight="1" spans="1:25">
      <c r="A4815" s="133" t="str">
        <f>IF(B4815="","",COUNTA($B$5:B4815))</f>
        <v/>
      </c>
      <c r="B4815" s="148"/>
      <c r="C4815" s="22" t="s">
        <v>49</v>
      </c>
      <c r="D4815" s="149"/>
      <c r="E4815" s="150"/>
      <c r="F4815" s="151"/>
      <c r="G4815" s="151"/>
      <c r="H4815" s="142">
        <f>IFERROR(VLOOKUP($C4815,$C$5:$H$18,6,0)+SUMIF($C$19:$C4815,$C4815,$F$19:$F4815)-SUMIF($C$19:$C4815,$C4815,$G$19:$G4815),"")</f>
        <v>81211.819999998</v>
      </c>
      <c r="I4815" s="147"/>
      <c r="J4815" s="147"/>
      <c r="K4815" s="147" t="str">
        <f t="shared" si="75"/>
        <v/>
      </c>
      <c r="L4815" s="40"/>
      <c r="M4815"/>
      <c r="N4815"/>
      <c r="O4815"/>
      <c r="P4815"/>
      <c r="Q4815"/>
      <c r="R4815"/>
      <c r="S4815"/>
      <c r="T4815"/>
      <c r="U4815"/>
      <c r="V4815"/>
      <c r="W4815" s="41"/>
      <c r="X4815" s="41"/>
      <c r="Y4815" s="41"/>
    </row>
    <row r="4816" s="27" customFormat="1" ht="23" hidden="1" customHeight="1" spans="1:25">
      <c r="A4816" s="133" t="str">
        <f>IF(B4816="","",COUNTA($B$5:B4816))</f>
        <v/>
      </c>
      <c r="B4816" s="148"/>
      <c r="C4816" s="22" t="s">
        <v>49</v>
      </c>
      <c r="D4816" s="149"/>
      <c r="E4816" s="150"/>
      <c r="F4816" s="151"/>
      <c r="G4816" s="151"/>
      <c r="H4816" s="142">
        <f>IFERROR(VLOOKUP($C4816,$C$5:$H$18,6,0)+SUMIF($C$19:$C4816,$C4816,$F$19:$F4816)-SUMIF($C$19:$C4816,$C4816,$G$19:$G4816),"")</f>
        <v>81211.819999998</v>
      </c>
      <c r="I4816" s="147"/>
      <c r="J4816" s="147"/>
      <c r="K4816" s="147" t="str">
        <f t="shared" si="75"/>
        <v/>
      </c>
      <c r="L4816" s="40"/>
      <c r="M4816"/>
      <c r="N4816"/>
      <c r="O4816"/>
      <c r="P4816"/>
      <c r="Q4816"/>
      <c r="R4816"/>
      <c r="S4816"/>
      <c r="T4816"/>
      <c r="U4816"/>
      <c r="V4816"/>
      <c r="W4816" s="41"/>
      <c r="X4816" s="41"/>
      <c r="Y4816" s="41"/>
    </row>
    <row r="4817" s="27" customFormat="1" ht="23" hidden="1" customHeight="1" spans="1:25">
      <c r="A4817" s="133" t="str">
        <f>IF(B4817="","",COUNTA($B$5:B4817))</f>
        <v/>
      </c>
      <c r="B4817" s="148"/>
      <c r="C4817" s="22" t="s">
        <v>49</v>
      </c>
      <c r="D4817" s="149"/>
      <c r="E4817" s="150"/>
      <c r="F4817" s="151"/>
      <c r="G4817" s="151"/>
      <c r="H4817" s="142">
        <f>IFERROR(VLOOKUP($C4817,$C$5:$H$18,6,0)+SUMIF($C$19:$C4817,$C4817,$F$19:$F4817)-SUMIF($C$19:$C4817,$C4817,$G$19:$G4817),"")</f>
        <v>81211.819999998</v>
      </c>
      <c r="I4817" s="147"/>
      <c r="J4817" s="147"/>
      <c r="K4817" s="147" t="str">
        <f t="shared" si="75"/>
        <v/>
      </c>
      <c r="L4817" s="40"/>
      <c r="M4817"/>
      <c r="N4817"/>
      <c r="O4817"/>
      <c r="P4817"/>
      <c r="Q4817"/>
      <c r="R4817"/>
      <c r="S4817"/>
      <c r="T4817"/>
      <c r="U4817"/>
      <c r="V4817"/>
      <c r="W4817" s="41"/>
      <c r="X4817" s="41"/>
      <c r="Y4817" s="41"/>
    </row>
    <row r="4818" s="27" customFormat="1" ht="23" hidden="1" customHeight="1" spans="1:25">
      <c r="A4818" s="133" t="str">
        <f>IF(B4818="","",COUNTA($B$5:B4818))</f>
        <v/>
      </c>
      <c r="B4818" s="148"/>
      <c r="C4818" s="22" t="s">
        <v>49</v>
      </c>
      <c r="D4818" s="149"/>
      <c r="E4818" s="150"/>
      <c r="F4818" s="151"/>
      <c r="G4818" s="151"/>
      <c r="H4818" s="142">
        <f>IFERROR(VLOOKUP($C4818,$C$5:$H$18,6,0)+SUMIF($C$19:$C4818,$C4818,$F$19:$F4818)-SUMIF($C$19:$C4818,$C4818,$G$19:$G4818),"")</f>
        <v>81211.819999998</v>
      </c>
      <c r="I4818" s="147"/>
      <c r="J4818" s="147"/>
      <c r="K4818" s="147" t="str">
        <f t="shared" si="75"/>
        <v/>
      </c>
      <c r="L4818" s="40"/>
      <c r="M4818"/>
      <c r="N4818"/>
      <c r="O4818"/>
      <c r="P4818"/>
      <c r="Q4818"/>
      <c r="R4818"/>
      <c r="S4818"/>
      <c r="T4818"/>
      <c r="U4818"/>
      <c r="V4818"/>
      <c r="W4818" s="41"/>
      <c r="X4818" s="41"/>
      <c r="Y4818" s="41"/>
    </row>
    <row r="4819" s="27" customFormat="1" ht="23" hidden="1" customHeight="1" spans="1:25">
      <c r="A4819" s="133" t="str">
        <f>IF(B4819="","",COUNTA($B$5:B4819))</f>
        <v/>
      </c>
      <c r="B4819" s="148"/>
      <c r="C4819" s="22" t="s">
        <v>49</v>
      </c>
      <c r="D4819" s="149"/>
      <c r="E4819" s="150"/>
      <c r="F4819" s="151"/>
      <c r="G4819" s="151"/>
      <c r="H4819" s="142">
        <f>IFERROR(VLOOKUP($C4819,$C$5:$H$18,6,0)+SUMIF($C$19:$C4819,$C4819,$F$19:$F4819)-SUMIF($C$19:$C4819,$C4819,$G$19:$G4819),"")</f>
        <v>81211.819999998</v>
      </c>
      <c r="I4819" s="147"/>
      <c r="J4819" s="147"/>
      <c r="K4819" s="147" t="str">
        <f t="shared" si="75"/>
        <v/>
      </c>
      <c r="L4819" s="40"/>
      <c r="M4819"/>
      <c r="N4819"/>
      <c r="O4819"/>
      <c r="P4819"/>
      <c r="Q4819"/>
      <c r="R4819"/>
      <c r="S4819"/>
      <c r="T4819"/>
      <c r="U4819"/>
      <c r="V4819"/>
      <c r="W4819" s="41"/>
      <c r="X4819" s="41"/>
      <c r="Y4819" s="41"/>
    </row>
    <row r="4820" s="27" customFormat="1" ht="23" hidden="1" customHeight="1" spans="1:25">
      <c r="A4820" s="133" t="str">
        <f>IF(B4820="","",COUNTA($B$5:B4820))</f>
        <v/>
      </c>
      <c r="B4820" s="148"/>
      <c r="C4820" s="22" t="s">
        <v>49</v>
      </c>
      <c r="D4820" s="149"/>
      <c r="E4820" s="150"/>
      <c r="F4820" s="151"/>
      <c r="G4820" s="151"/>
      <c r="H4820" s="142">
        <f>IFERROR(VLOOKUP($C4820,$C$5:$H$18,6,0)+SUMIF($C$19:$C4820,$C4820,$F$19:$F4820)-SUMIF($C$19:$C4820,$C4820,$G$19:$G4820),"")</f>
        <v>81211.819999998</v>
      </c>
      <c r="I4820" s="147"/>
      <c r="J4820" s="147"/>
      <c r="K4820" s="147" t="str">
        <f t="shared" si="75"/>
        <v/>
      </c>
      <c r="L4820" s="40"/>
      <c r="M4820"/>
      <c r="N4820"/>
      <c r="O4820"/>
      <c r="P4820"/>
      <c r="Q4820"/>
      <c r="R4820"/>
      <c r="S4820"/>
      <c r="T4820"/>
      <c r="U4820"/>
      <c r="V4820"/>
      <c r="W4820" s="41"/>
      <c r="X4820" s="41"/>
      <c r="Y4820" s="41"/>
    </row>
    <row r="4821" s="27" customFormat="1" ht="23" hidden="1" customHeight="1" spans="1:25">
      <c r="A4821" s="133" t="str">
        <f>IF(B4821="","",COUNTA($B$5:B4821))</f>
        <v/>
      </c>
      <c r="B4821" s="148"/>
      <c r="C4821" s="22" t="s">
        <v>49</v>
      </c>
      <c r="D4821" s="149"/>
      <c r="E4821" s="150"/>
      <c r="F4821" s="151"/>
      <c r="G4821" s="151"/>
      <c r="H4821" s="142">
        <f>IFERROR(VLOOKUP($C4821,$C$5:$H$18,6,0)+SUMIF($C$19:$C4821,$C4821,$F$19:$F4821)-SUMIF($C$19:$C4821,$C4821,$G$19:$G4821),"")</f>
        <v>81211.819999998</v>
      </c>
      <c r="I4821" s="147"/>
      <c r="J4821" s="147"/>
      <c r="K4821" s="147" t="str">
        <f t="shared" si="75"/>
        <v/>
      </c>
      <c r="L4821" s="40"/>
      <c r="M4821"/>
      <c r="N4821"/>
      <c r="O4821"/>
      <c r="P4821"/>
      <c r="Q4821"/>
      <c r="R4821"/>
      <c r="S4821"/>
      <c r="T4821"/>
      <c r="U4821"/>
      <c r="V4821"/>
      <c r="W4821" s="41"/>
      <c r="X4821" s="41"/>
      <c r="Y4821" s="41"/>
    </row>
    <row r="4822" s="27" customFormat="1" ht="23" hidden="1" customHeight="1" spans="1:25">
      <c r="A4822" s="133" t="str">
        <f>IF(B4822="","",COUNTA($B$5:B4822))</f>
        <v/>
      </c>
      <c r="B4822" s="148"/>
      <c r="C4822" s="22" t="s">
        <v>49</v>
      </c>
      <c r="D4822" s="149"/>
      <c r="E4822" s="150"/>
      <c r="F4822" s="151"/>
      <c r="G4822" s="151"/>
      <c r="H4822" s="142">
        <f>IFERROR(VLOOKUP($C4822,$C$5:$H$18,6,0)+SUMIF($C$19:$C4822,$C4822,$F$19:$F4822)-SUMIF($C$19:$C4822,$C4822,$G$19:$G4822),"")</f>
        <v>81211.819999998</v>
      </c>
      <c r="I4822" s="147"/>
      <c r="J4822" s="147"/>
      <c r="K4822" s="147" t="str">
        <f t="shared" si="75"/>
        <v/>
      </c>
      <c r="L4822" s="40"/>
      <c r="M4822"/>
      <c r="N4822"/>
      <c r="O4822"/>
      <c r="P4822"/>
      <c r="Q4822"/>
      <c r="R4822"/>
      <c r="S4822"/>
      <c r="T4822"/>
      <c r="U4822"/>
      <c r="V4822"/>
      <c r="W4822" s="41"/>
      <c r="X4822" s="41"/>
      <c r="Y4822" s="41"/>
    </row>
    <row r="4823" s="27" customFormat="1" ht="23" hidden="1" customHeight="1" spans="1:25">
      <c r="A4823" s="133" t="str">
        <f>IF(B4823="","",COUNTA($B$5:B4823))</f>
        <v/>
      </c>
      <c r="B4823" s="148"/>
      <c r="C4823" s="22" t="s">
        <v>49</v>
      </c>
      <c r="D4823" s="149"/>
      <c r="E4823" s="150"/>
      <c r="F4823" s="151"/>
      <c r="G4823" s="151"/>
      <c r="H4823" s="142">
        <f>IFERROR(VLOOKUP($C4823,$C$5:$H$18,6,0)+SUMIF($C$19:$C4823,$C4823,$F$19:$F4823)-SUMIF($C$19:$C4823,$C4823,$G$19:$G4823),"")</f>
        <v>81211.819999998</v>
      </c>
      <c r="I4823" s="147"/>
      <c r="J4823" s="147"/>
      <c r="K4823" s="147" t="str">
        <f t="shared" si="75"/>
        <v/>
      </c>
      <c r="L4823" s="40"/>
      <c r="M4823"/>
      <c r="N4823"/>
      <c r="O4823"/>
      <c r="P4823"/>
      <c r="Q4823"/>
      <c r="R4823"/>
      <c r="S4823"/>
      <c r="T4823"/>
      <c r="U4823"/>
      <c r="V4823"/>
      <c r="W4823" s="41"/>
      <c r="X4823" s="41"/>
      <c r="Y4823" s="41"/>
    </row>
    <row r="4824" s="27" customFormat="1" ht="23" hidden="1" customHeight="1" spans="1:25">
      <c r="A4824" s="133" t="str">
        <f>IF(B4824="","",COUNTA($B$5:B4824))</f>
        <v/>
      </c>
      <c r="B4824" s="148"/>
      <c r="C4824" s="22" t="s">
        <v>49</v>
      </c>
      <c r="D4824" s="149"/>
      <c r="E4824" s="150"/>
      <c r="F4824" s="151"/>
      <c r="G4824" s="151"/>
      <c r="H4824" s="142">
        <f>IFERROR(VLOOKUP($C4824,$C$5:$H$18,6,0)+SUMIF($C$19:$C4824,$C4824,$F$19:$F4824)-SUMIF($C$19:$C4824,$C4824,$G$19:$G4824),"")</f>
        <v>81211.819999998</v>
      </c>
      <c r="I4824" s="147"/>
      <c r="J4824" s="147"/>
      <c r="K4824" s="147" t="str">
        <f t="shared" si="75"/>
        <v/>
      </c>
      <c r="L4824" s="40"/>
      <c r="M4824"/>
      <c r="N4824"/>
      <c r="O4824"/>
      <c r="P4824"/>
      <c r="Q4824"/>
      <c r="R4824"/>
      <c r="S4824"/>
      <c r="T4824"/>
      <c r="U4824"/>
      <c r="V4824"/>
      <c r="W4824" s="41"/>
      <c r="X4824" s="41"/>
      <c r="Y4824" s="41"/>
    </row>
    <row r="4825" s="27" customFormat="1" ht="23" hidden="1" customHeight="1" spans="1:25">
      <c r="A4825" s="133" t="str">
        <f>IF(B4825="","",COUNTA($B$5:B4825))</f>
        <v/>
      </c>
      <c r="B4825" s="148"/>
      <c r="C4825" s="22" t="s">
        <v>49</v>
      </c>
      <c r="D4825" s="149"/>
      <c r="E4825" s="150"/>
      <c r="F4825" s="151"/>
      <c r="G4825" s="151"/>
      <c r="H4825" s="142">
        <f>IFERROR(VLOOKUP($C4825,$C$5:$H$18,6,0)+SUMIF($C$19:$C4825,$C4825,$F$19:$F4825)-SUMIF($C$19:$C4825,$C4825,$G$19:$G4825),"")</f>
        <v>81211.819999998</v>
      </c>
      <c r="I4825" s="147"/>
      <c r="J4825" s="147"/>
      <c r="K4825" s="147" t="str">
        <f t="shared" si="75"/>
        <v/>
      </c>
      <c r="L4825" s="40"/>
      <c r="M4825"/>
      <c r="N4825"/>
      <c r="O4825"/>
      <c r="P4825"/>
      <c r="Q4825"/>
      <c r="R4825"/>
      <c r="S4825"/>
      <c r="T4825"/>
      <c r="U4825"/>
      <c r="V4825"/>
      <c r="W4825" s="41"/>
      <c r="X4825" s="41"/>
      <c r="Y4825" s="41"/>
    </row>
    <row r="4826" s="27" customFormat="1" ht="23" hidden="1" customHeight="1" spans="1:25">
      <c r="A4826" s="133" t="str">
        <f>IF(B4826="","",COUNTA($B$5:B4826))</f>
        <v/>
      </c>
      <c r="B4826" s="148"/>
      <c r="C4826" s="22" t="s">
        <v>49</v>
      </c>
      <c r="D4826" s="149"/>
      <c r="E4826" s="150"/>
      <c r="F4826" s="151"/>
      <c r="G4826" s="151"/>
      <c r="H4826" s="142">
        <f>IFERROR(VLOOKUP($C4826,$C$5:$H$18,6,0)+SUMIF($C$19:$C4826,$C4826,$F$19:$F4826)-SUMIF($C$19:$C4826,$C4826,$G$19:$G4826),"")</f>
        <v>81211.819999998</v>
      </c>
      <c r="I4826" s="147"/>
      <c r="J4826" s="147"/>
      <c r="K4826" s="147" t="str">
        <f t="shared" si="75"/>
        <v/>
      </c>
      <c r="L4826" s="40"/>
      <c r="M4826"/>
      <c r="N4826"/>
      <c r="O4826"/>
      <c r="P4826"/>
      <c r="Q4826"/>
      <c r="R4826"/>
      <c r="S4826"/>
      <c r="T4826"/>
      <c r="U4826"/>
      <c r="V4826"/>
      <c r="W4826" s="41"/>
      <c r="X4826" s="41"/>
      <c r="Y4826" s="41"/>
    </row>
    <row r="4827" s="27" customFormat="1" ht="23" hidden="1" customHeight="1" spans="1:25">
      <c r="A4827" s="133" t="str">
        <f>IF(B4827="","",COUNTA($B$5:B4827))</f>
        <v/>
      </c>
      <c r="B4827" s="148"/>
      <c r="C4827" s="22" t="s">
        <v>49</v>
      </c>
      <c r="D4827" s="149"/>
      <c r="E4827" s="150"/>
      <c r="F4827" s="151"/>
      <c r="G4827" s="151"/>
      <c r="H4827" s="142">
        <f>IFERROR(VLOOKUP($C4827,$C$5:$H$18,6,0)+SUMIF($C$19:$C4827,$C4827,$F$19:$F4827)-SUMIF($C$19:$C4827,$C4827,$G$19:$G4827),"")</f>
        <v>81211.819999998</v>
      </c>
      <c r="I4827" s="147"/>
      <c r="J4827" s="147"/>
      <c r="K4827" s="147" t="str">
        <f t="shared" si="75"/>
        <v/>
      </c>
      <c r="L4827" s="40"/>
      <c r="M4827"/>
      <c r="N4827"/>
      <c r="O4827"/>
      <c r="P4827"/>
      <c r="Q4827"/>
      <c r="R4827"/>
      <c r="S4827"/>
      <c r="T4827"/>
      <c r="U4827"/>
      <c r="V4827"/>
      <c r="W4827" s="41"/>
      <c r="X4827" s="41"/>
      <c r="Y4827" s="41"/>
    </row>
    <row r="4828" s="27" customFormat="1" ht="23" hidden="1" customHeight="1" spans="1:25">
      <c r="A4828" s="133" t="str">
        <f>IF(B4828="","",COUNTA($B$5:B4828))</f>
        <v/>
      </c>
      <c r="B4828" s="148"/>
      <c r="C4828" s="22" t="s">
        <v>49</v>
      </c>
      <c r="D4828" s="149"/>
      <c r="E4828" s="150"/>
      <c r="F4828" s="151"/>
      <c r="G4828" s="151"/>
      <c r="H4828" s="142">
        <f>IFERROR(VLOOKUP($C4828,$C$5:$H$18,6,0)+SUMIF($C$19:$C4828,$C4828,$F$19:$F4828)-SUMIF($C$19:$C4828,$C4828,$G$19:$G4828),"")</f>
        <v>81211.819999998</v>
      </c>
      <c r="I4828" s="147"/>
      <c r="J4828" s="147"/>
      <c r="K4828" s="147" t="str">
        <f t="shared" si="75"/>
        <v/>
      </c>
      <c r="L4828" s="40"/>
      <c r="M4828"/>
      <c r="N4828"/>
      <c r="O4828"/>
      <c r="P4828"/>
      <c r="Q4828"/>
      <c r="R4828"/>
      <c r="S4828"/>
      <c r="T4828"/>
      <c r="U4828"/>
      <c r="V4828"/>
      <c r="W4828" s="41"/>
      <c r="X4828" s="41"/>
      <c r="Y4828" s="41"/>
    </row>
    <row r="4829" s="27" customFormat="1" ht="23" hidden="1" customHeight="1" spans="1:25">
      <c r="A4829" s="133" t="str">
        <f>IF(B4829="","",COUNTA($B$5:B4829))</f>
        <v/>
      </c>
      <c r="B4829" s="148"/>
      <c r="C4829" s="22" t="s">
        <v>49</v>
      </c>
      <c r="D4829" s="149"/>
      <c r="E4829" s="150"/>
      <c r="F4829" s="151"/>
      <c r="G4829" s="151"/>
      <c r="H4829" s="142">
        <f>IFERROR(VLOOKUP($C4829,$C$5:$H$18,6,0)+SUMIF($C$19:$C4829,$C4829,$F$19:$F4829)-SUMIF($C$19:$C4829,$C4829,$G$19:$G4829),"")</f>
        <v>81211.819999998</v>
      </c>
      <c r="I4829" s="147"/>
      <c r="J4829" s="147"/>
      <c r="K4829" s="147" t="str">
        <f t="shared" si="75"/>
        <v/>
      </c>
      <c r="L4829" s="40"/>
      <c r="M4829"/>
      <c r="N4829"/>
      <c r="O4829"/>
      <c r="P4829"/>
      <c r="Q4829"/>
      <c r="R4829"/>
      <c r="S4829"/>
      <c r="T4829"/>
      <c r="U4829"/>
      <c r="V4829"/>
      <c r="W4829" s="41"/>
      <c r="X4829" s="41"/>
      <c r="Y4829" s="41"/>
    </row>
    <row r="4830" s="27" customFormat="1" ht="23" hidden="1" customHeight="1" spans="1:25">
      <c r="A4830" s="133" t="str">
        <f>IF(B4830="","",COUNTA($B$5:B4830))</f>
        <v/>
      </c>
      <c r="B4830" s="148"/>
      <c r="C4830" s="22" t="s">
        <v>49</v>
      </c>
      <c r="D4830" s="149"/>
      <c r="E4830" s="150"/>
      <c r="F4830" s="151"/>
      <c r="G4830" s="151"/>
      <c r="H4830" s="142">
        <f>IFERROR(VLOOKUP($C4830,$C$5:$H$18,6,0)+SUMIF($C$19:$C4830,$C4830,$F$19:$F4830)-SUMIF($C$19:$C4830,$C4830,$G$19:$G4830),"")</f>
        <v>81211.819999998</v>
      </c>
      <c r="I4830" s="147"/>
      <c r="J4830" s="147"/>
      <c r="K4830" s="147" t="str">
        <f t="shared" si="75"/>
        <v/>
      </c>
      <c r="L4830" s="40"/>
      <c r="M4830"/>
      <c r="N4830"/>
      <c r="O4830"/>
      <c r="P4830"/>
      <c r="Q4830"/>
      <c r="R4830"/>
      <c r="S4830"/>
      <c r="T4830"/>
      <c r="U4830"/>
      <c r="V4830"/>
      <c r="W4830" s="41"/>
      <c r="X4830" s="41"/>
      <c r="Y4830" s="41"/>
    </row>
    <row r="4831" s="27" customFormat="1" ht="23" hidden="1" customHeight="1" spans="1:25">
      <c r="A4831" s="133" t="str">
        <f>IF(B4831="","",COUNTA($B$5:B4831))</f>
        <v/>
      </c>
      <c r="B4831" s="148"/>
      <c r="C4831" s="22" t="s">
        <v>49</v>
      </c>
      <c r="D4831" s="149"/>
      <c r="E4831" s="150"/>
      <c r="F4831" s="151"/>
      <c r="G4831" s="151"/>
      <c r="H4831" s="142">
        <f>IFERROR(VLOOKUP($C4831,$C$5:$H$18,6,0)+SUMIF($C$19:$C4831,$C4831,$F$19:$F4831)-SUMIF($C$19:$C4831,$C4831,$G$19:$G4831),"")</f>
        <v>81211.819999998</v>
      </c>
      <c r="I4831" s="147"/>
      <c r="J4831" s="147"/>
      <c r="K4831" s="147" t="str">
        <f t="shared" si="75"/>
        <v/>
      </c>
      <c r="L4831" s="40"/>
      <c r="M4831"/>
      <c r="N4831"/>
      <c r="O4831"/>
      <c r="P4831"/>
      <c r="Q4831"/>
      <c r="R4831"/>
      <c r="S4831"/>
      <c r="T4831"/>
      <c r="U4831"/>
      <c r="V4831"/>
      <c r="W4831" s="41"/>
      <c r="X4831" s="41"/>
      <c r="Y4831" s="41"/>
    </row>
    <row r="4832" s="27" customFormat="1" ht="23" hidden="1" customHeight="1" spans="1:25">
      <c r="A4832" s="133" t="str">
        <f>IF(B4832="","",COUNTA($B$5:B4832))</f>
        <v/>
      </c>
      <c r="B4832" s="148"/>
      <c r="C4832" s="22" t="s">
        <v>49</v>
      </c>
      <c r="D4832" s="149"/>
      <c r="E4832" s="150"/>
      <c r="F4832" s="151"/>
      <c r="G4832" s="151"/>
      <c r="H4832" s="142">
        <f>IFERROR(VLOOKUP($C4832,$C$5:$H$18,6,0)+SUMIF($C$19:$C4832,$C4832,$F$19:$F4832)-SUMIF($C$19:$C4832,$C4832,$G$19:$G4832),"")</f>
        <v>81211.819999998</v>
      </c>
      <c r="I4832" s="147"/>
      <c r="J4832" s="147"/>
      <c r="K4832" s="147" t="str">
        <f t="shared" si="75"/>
        <v/>
      </c>
      <c r="L4832" s="40"/>
      <c r="M4832"/>
      <c r="N4832"/>
      <c r="O4832"/>
      <c r="P4832"/>
      <c r="Q4832"/>
      <c r="R4832"/>
      <c r="S4832"/>
      <c r="T4832"/>
      <c r="U4832"/>
      <c r="V4832"/>
      <c r="W4832" s="41"/>
      <c r="X4832" s="41"/>
      <c r="Y4832" s="41"/>
    </row>
    <row r="4833" s="27" customFormat="1" ht="23" hidden="1" customHeight="1" spans="1:25">
      <c r="A4833" s="133" t="str">
        <f>IF(B4833="","",COUNTA($B$5:B4833))</f>
        <v/>
      </c>
      <c r="B4833" s="148"/>
      <c r="C4833" s="22" t="s">
        <v>49</v>
      </c>
      <c r="D4833" s="149"/>
      <c r="E4833" s="150"/>
      <c r="F4833" s="151"/>
      <c r="G4833" s="151"/>
      <c r="H4833" s="142">
        <f>IFERROR(VLOOKUP($C4833,$C$5:$H$18,6,0)+SUMIF($C$19:$C4833,$C4833,$F$19:$F4833)-SUMIF($C$19:$C4833,$C4833,$G$19:$G4833),"")</f>
        <v>81211.819999998</v>
      </c>
      <c r="I4833" s="147"/>
      <c r="J4833" s="147"/>
      <c r="K4833" s="147" t="str">
        <f t="shared" si="75"/>
        <v/>
      </c>
      <c r="L4833" s="40"/>
      <c r="M4833"/>
      <c r="N4833"/>
      <c r="O4833"/>
      <c r="P4833"/>
      <c r="Q4833"/>
      <c r="R4833"/>
      <c r="S4833"/>
      <c r="T4833"/>
      <c r="U4833"/>
      <c r="V4833"/>
      <c r="W4833" s="41"/>
      <c r="X4833" s="41"/>
      <c r="Y4833" s="41"/>
    </row>
    <row r="4834" s="27" customFormat="1" ht="23" hidden="1" customHeight="1" spans="1:25">
      <c r="A4834" s="133" t="str">
        <f>IF(B4834="","",COUNTA($B$5:B4834))</f>
        <v/>
      </c>
      <c r="B4834" s="148"/>
      <c r="C4834" s="22" t="s">
        <v>49</v>
      </c>
      <c r="D4834" s="149"/>
      <c r="E4834" s="150"/>
      <c r="F4834" s="151"/>
      <c r="G4834" s="151"/>
      <c r="H4834" s="142">
        <f>IFERROR(VLOOKUP($C4834,$C$5:$H$18,6,0)+SUMIF($C$19:$C4834,$C4834,$F$19:$F4834)-SUMIF($C$19:$C4834,$C4834,$G$19:$G4834),"")</f>
        <v>81211.819999998</v>
      </c>
      <c r="I4834" s="147"/>
      <c r="J4834" s="147"/>
      <c r="K4834" s="147" t="str">
        <f t="shared" si="75"/>
        <v/>
      </c>
      <c r="L4834" s="40"/>
      <c r="M4834"/>
      <c r="N4834"/>
      <c r="O4834"/>
      <c r="P4834"/>
      <c r="Q4834"/>
      <c r="R4834"/>
      <c r="S4834"/>
      <c r="T4834"/>
      <c r="U4834"/>
      <c r="V4834"/>
      <c r="W4834" s="41"/>
      <c r="X4834" s="41"/>
      <c r="Y4834" s="41"/>
    </row>
    <row r="4835" s="27" customFormat="1" ht="23" hidden="1" customHeight="1" spans="1:25">
      <c r="A4835" s="133" t="str">
        <f>IF(B4835="","",COUNTA($B$5:B4835))</f>
        <v/>
      </c>
      <c r="B4835" s="148"/>
      <c r="C4835" s="22" t="s">
        <v>49</v>
      </c>
      <c r="D4835" s="149"/>
      <c r="E4835" s="150"/>
      <c r="F4835" s="151"/>
      <c r="G4835" s="151"/>
      <c r="H4835" s="142">
        <f>IFERROR(VLOOKUP($C4835,$C$5:$H$18,6,0)+SUMIF($C$19:$C4835,$C4835,$F$19:$F4835)-SUMIF($C$19:$C4835,$C4835,$G$19:$G4835),"")</f>
        <v>81211.819999998</v>
      </c>
      <c r="I4835" s="147"/>
      <c r="J4835" s="147"/>
      <c r="K4835" s="147" t="str">
        <f t="shared" si="75"/>
        <v/>
      </c>
      <c r="L4835" s="40"/>
      <c r="M4835"/>
      <c r="N4835"/>
      <c r="O4835"/>
      <c r="P4835"/>
      <c r="Q4835"/>
      <c r="R4835"/>
      <c r="S4835"/>
      <c r="T4835"/>
      <c r="U4835"/>
      <c r="V4835"/>
      <c r="W4835" s="41"/>
      <c r="X4835" s="41"/>
      <c r="Y4835" s="41"/>
    </row>
    <row r="4836" s="27" customFormat="1" ht="23" hidden="1" customHeight="1" spans="1:25">
      <c r="A4836" s="133" t="str">
        <f>IF(B4836="","",COUNTA($B$5:B4836))</f>
        <v/>
      </c>
      <c r="B4836" s="148"/>
      <c r="C4836" s="22" t="s">
        <v>49</v>
      </c>
      <c r="D4836" s="149"/>
      <c r="E4836" s="150"/>
      <c r="F4836" s="151"/>
      <c r="G4836" s="151"/>
      <c r="H4836" s="142">
        <f>IFERROR(VLOOKUP($C4836,$C$5:$H$18,6,0)+SUMIF($C$19:$C4836,$C4836,$F$19:$F4836)-SUMIF($C$19:$C4836,$C4836,$G$19:$G4836),"")</f>
        <v>81211.819999998</v>
      </c>
      <c r="I4836" s="147"/>
      <c r="J4836" s="147"/>
      <c r="K4836" s="147" t="str">
        <f t="shared" si="75"/>
        <v/>
      </c>
      <c r="L4836" s="40"/>
      <c r="M4836"/>
      <c r="N4836"/>
      <c r="O4836"/>
      <c r="P4836"/>
      <c r="Q4836"/>
      <c r="R4836"/>
      <c r="S4836"/>
      <c r="T4836"/>
      <c r="U4836"/>
      <c r="V4836"/>
      <c r="W4836" s="41"/>
      <c r="X4836" s="41"/>
      <c r="Y4836" s="41"/>
    </row>
    <row r="4837" s="27" customFormat="1" ht="23" hidden="1" customHeight="1" spans="1:25">
      <c r="A4837" s="133" t="str">
        <f>IF(B4837="","",COUNTA($B$5:B4837))</f>
        <v/>
      </c>
      <c r="B4837" s="148"/>
      <c r="C4837" s="22" t="s">
        <v>49</v>
      </c>
      <c r="D4837" s="149"/>
      <c r="E4837" s="150"/>
      <c r="F4837" s="151"/>
      <c r="G4837" s="151"/>
      <c r="H4837" s="142">
        <f>IFERROR(VLOOKUP($C4837,$C$5:$H$18,6,0)+SUMIF($C$19:$C4837,$C4837,$F$19:$F4837)-SUMIF($C$19:$C4837,$C4837,$G$19:$G4837),"")</f>
        <v>81211.819999998</v>
      </c>
      <c r="I4837" s="147"/>
      <c r="J4837" s="147"/>
      <c r="K4837" s="147" t="str">
        <f t="shared" si="75"/>
        <v/>
      </c>
      <c r="L4837" s="40"/>
      <c r="M4837"/>
      <c r="N4837"/>
      <c r="O4837"/>
      <c r="P4837"/>
      <c r="Q4837"/>
      <c r="R4837"/>
      <c r="S4837"/>
      <c r="T4837"/>
      <c r="U4837"/>
      <c r="V4837"/>
      <c r="W4837" s="41"/>
      <c r="X4837" s="41"/>
      <c r="Y4837" s="41"/>
    </row>
    <row r="4838" s="27" customFormat="1" ht="23" hidden="1" customHeight="1" spans="1:25">
      <c r="A4838" s="133" t="str">
        <f>IF(B4838="","",COUNTA($B$5:B4838))</f>
        <v/>
      </c>
      <c r="B4838" s="148"/>
      <c r="C4838" s="22" t="s">
        <v>49</v>
      </c>
      <c r="D4838" s="149"/>
      <c r="E4838" s="150"/>
      <c r="F4838" s="151"/>
      <c r="G4838" s="151"/>
      <c r="H4838" s="142">
        <f>IFERROR(VLOOKUP($C4838,$C$5:$H$18,6,0)+SUMIF($C$19:$C4838,$C4838,$F$19:$F4838)-SUMIF($C$19:$C4838,$C4838,$G$19:$G4838),"")</f>
        <v>81211.819999998</v>
      </c>
      <c r="I4838" s="147"/>
      <c r="J4838" s="147"/>
      <c r="K4838" s="147" t="str">
        <f t="shared" si="75"/>
        <v/>
      </c>
      <c r="L4838" s="40"/>
      <c r="M4838"/>
      <c r="N4838"/>
      <c r="O4838"/>
      <c r="P4838"/>
      <c r="Q4838"/>
      <c r="R4838"/>
      <c r="S4838"/>
      <c r="T4838"/>
      <c r="U4838"/>
      <c r="V4838"/>
      <c r="W4838" s="41"/>
      <c r="X4838" s="41"/>
      <c r="Y4838" s="41"/>
    </row>
    <row r="4839" s="27" customFormat="1" ht="23" hidden="1" customHeight="1" spans="1:25">
      <c r="A4839" s="133" t="str">
        <f>IF(B4839="","",COUNTA($B$5:B4839))</f>
        <v/>
      </c>
      <c r="B4839" s="148"/>
      <c r="C4839" s="22" t="s">
        <v>49</v>
      </c>
      <c r="D4839" s="149"/>
      <c r="E4839" s="150"/>
      <c r="F4839" s="151"/>
      <c r="G4839" s="151"/>
      <c r="H4839" s="142">
        <f>IFERROR(VLOOKUP($C4839,$C$5:$H$18,6,0)+SUMIF($C$19:$C4839,$C4839,$F$19:$F4839)-SUMIF($C$19:$C4839,$C4839,$G$19:$G4839),"")</f>
        <v>81211.819999998</v>
      </c>
      <c r="I4839" s="147"/>
      <c r="J4839" s="147"/>
      <c r="K4839" s="147" t="str">
        <f t="shared" si="75"/>
        <v/>
      </c>
      <c r="L4839" s="40"/>
      <c r="M4839"/>
      <c r="N4839"/>
      <c r="O4839"/>
      <c r="P4839"/>
      <c r="Q4839"/>
      <c r="R4839"/>
      <c r="S4839"/>
      <c r="T4839"/>
      <c r="U4839"/>
      <c r="V4839"/>
      <c r="W4839" s="41"/>
      <c r="X4839" s="41"/>
      <c r="Y4839" s="41"/>
    </row>
    <row r="4840" s="27" customFormat="1" ht="23" hidden="1" customHeight="1" spans="1:25">
      <c r="A4840" s="133" t="str">
        <f>IF(B4840="","",COUNTA($B$5:B4840))</f>
        <v/>
      </c>
      <c r="B4840" s="148"/>
      <c r="C4840" s="22" t="s">
        <v>49</v>
      </c>
      <c r="D4840" s="149"/>
      <c r="E4840" s="150"/>
      <c r="F4840" s="151"/>
      <c r="G4840" s="151"/>
      <c r="H4840" s="142">
        <f>IFERROR(VLOOKUP($C4840,$C$5:$H$18,6,0)+SUMIF($C$19:$C4840,$C4840,$F$19:$F4840)-SUMIF($C$19:$C4840,$C4840,$G$19:$G4840),"")</f>
        <v>81211.819999998</v>
      </c>
      <c r="I4840" s="147"/>
      <c r="J4840" s="147"/>
      <c r="K4840" s="147" t="str">
        <f t="shared" si="75"/>
        <v/>
      </c>
      <c r="L4840" s="40"/>
      <c r="M4840"/>
      <c r="N4840"/>
      <c r="O4840"/>
      <c r="P4840"/>
      <c r="Q4840"/>
      <c r="R4840"/>
      <c r="S4840"/>
      <c r="T4840"/>
      <c r="U4840"/>
      <c r="V4840"/>
      <c r="W4840" s="41"/>
      <c r="X4840" s="41"/>
      <c r="Y4840" s="41"/>
    </row>
    <row r="4841" s="27" customFormat="1" ht="23" hidden="1" customHeight="1" spans="1:25">
      <c r="A4841" s="133" t="str">
        <f>IF(B4841="","",COUNTA($B$5:B4841))</f>
        <v/>
      </c>
      <c r="B4841" s="148"/>
      <c r="C4841" s="22" t="s">
        <v>49</v>
      </c>
      <c r="D4841" s="149"/>
      <c r="E4841" s="150"/>
      <c r="F4841" s="151"/>
      <c r="G4841" s="151"/>
      <c r="H4841" s="142">
        <f>IFERROR(VLOOKUP($C4841,$C$5:$H$18,6,0)+SUMIF($C$19:$C4841,$C4841,$F$19:$F4841)-SUMIF($C$19:$C4841,$C4841,$G$19:$G4841),"")</f>
        <v>81211.819999998</v>
      </c>
      <c r="I4841" s="147"/>
      <c r="J4841" s="147"/>
      <c r="K4841" s="147" t="str">
        <f t="shared" si="75"/>
        <v/>
      </c>
      <c r="L4841" s="40"/>
      <c r="M4841"/>
      <c r="N4841"/>
      <c r="O4841"/>
      <c r="P4841"/>
      <c r="Q4841"/>
      <c r="R4841"/>
      <c r="S4841"/>
      <c r="T4841"/>
      <c r="U4841"/>
      <c r="V4841"/>
      <c r="W4841" s="41"/>
      <c r="X4841" s="41"/>
      <c r="Y4841" s="41"/>
    </row>
    <row r="4842" s="27" customFormat="1" ht="23" hidden="1" customHeight="1" spans="1:25">
      <c r="A4842" s="133" t="str">
        <f>IF(B4842="","",COUNTA($B$5:B4842))</f>
        <v/>
      </c>
      <c r="B4842" s="148"/>
      <c r="C4842" s="22" t="s">
        <v>49</v>
      </c>
      <c r="D4842" s="149"/>
      <c r="E4842" s="150"/>
      <c r="F4842" s="151"/>
      <c r="G4842" s="151"/>
      <c r="H4842" s="142">
        <f>IFERROR(VLOOKUP($C4842,$C$5:$H$18,6,0)+SUMIF($C$19:$C4842,$C4842,$F$19:$F4842)-SUMIF($C$19:$C4842,$C4842,$G$19:$G4842),"")</f>
        <v>81211.819999998</v>
      </c>
      <c r="I4842" s="147"/>
      <c r="J4842" s="147"/>
      <c r="K4842" s="147" t="str">
        <f t="shared" si="75"/>
        <v/>
      </c>
      <c r="L4842" s="40"/>
      <c r="M4842"/>
      <c r="N4842"/>
      <c r="O4842"/>
      <c r="P4842"/>
      <c r="Q4842"/>
      <c r="R4842"/>
      <c r="S4842"/>
      <c r="T4842"/>
      <c r="U4842"/>
      <c r="V4842"/>
      <c r="W4842" s="41"/>
      <c r="X4842" s="41"/>
      <c r="Y4842" s="41"/>
    </row>
    <row r="4843" s="27" customFormat="1" ht="23" hidden="1" customHeight="1" spans="1:25">
      <c r="A4843" s="133" t="str">
        <f>IF(B4843="","",COUNTA($B$5:B4843))</f>
        <v/>
      </c>
      <c r="B4843" s="148"/>
      <c r="C4843" s="22" t="s">
        <v>49</v>
      </c>
      <c r="D4843" s="149"/>
      <c r="E4843" s="150"/>
      <c r="F4843" s="151"/>
      <c r="G4843" s="151"/>
      <c r="H4843" s="142">
        <f>IFERROR(VLOOKUP($C4843,$C$5:$H$18,6,0)+SUMIF($C$19:$C4843,$C4843,$F$19:$F4843)-SUMIF($C$19:$C4843,$C4843,$G$19:$G4843),"")</f>
        <v>81211.819999998</v>
      </c>
      <c r="I4843" s="147"/>
      <c r="J4843" s="147"/>
      <c r="K4843" s="147" t="str">
        <f t="shared" si="75"/>
        <v/>
      </c>
      <c r="L4843" s="40"/>
      <c r="M4843"/>
      <c r="N4843"/>
      <c r="O4843"/>
      <c r="P4843"/>
      <c r="Q4843"/>
      <c r="R4843"/>
      <c r="S4843"/>
      <c r="T4843"/>
      <c r="U4843"/>
      <c r="V4843"/>
      <c r="W4843" s="41"/>
      <c r="X4843" s="41"/>
      <c r="Y4843" s="41"/>
    </row>
    <row r="4844" s="27" customFormat="1" ht="23" hidden="1" customHeight="1" spans="1:25">
      <c r="A4844" s="133" t="str">
        <f>IF(B4844="","",COUNTA($B$5:B4844))</f>
        <v/>
      </c>
      <c r="B4844" s="148"/>
      <c r="C4844" s="22" t="s">
        <v>49</v>
      </c>
      <c r="D4844" s="149"/>
      <c r="E4844" s="150"/>
      <c r="F4844" s="151"/>
      <c r="G4844" s="151"/>
      <c r="H4844" s="142">
        <f>IFERROR(VLOOKUP($C4844,$C$5:$H$18,6,0)+SUMIF($C$19:$C4844,$C4844,$F$19:$F4844)-SUMIF($C$19:$C4844,$C4844,$G$19:$G4844),"")</f>
        <v>81211.819999998</v>
      </c>
      <c r="I4844" s="147"/>
      <c r="J4844" s="147"/>
      <c r="K4844" s="147" t="str">
        <f t="shared" si="75"/>
        <v/>
      </c>
      <c r="L4844" s="40"/>
      <c r="M4844"/>
      <c r="N4844"/>
      <c r="O4844"/>
      <c r="P4844"/>
      <c r="Q4844"/>
      <c r="R4844"/>
      <c r="S4844"/>
      <c r="T4844"/>
      <c r="U4844"/>
      <c r="V4844"/>
      <c r="W4844" s="41"/>
      <c r="X4844" s="41"/>
      <c r="Y4844" s="41"/>
    </row>
    <row r="4845" s="27" customFormat="1" ht="23" hidden="1" customHeight="1" spans="1:25">
      <c r="A4845" s="133" t="str">
        <f>IF(B4845="","",COUNTA($B$5:B4845))</f>
        <v/>
      </c>
      <c r="B4845" s="148"/>
      <c r="C4845" s="22" t="s">
        <v>49</v>
      </c>
      <c r="D4845" s="149"/>
      <c r="E4845" s="150"/>
      <c r="F4845" s="151"/>
      <c r="G4845" s="151"/>
      <c r="H4845" s="142">
        <f>IFERROR(VLOOKUP($C4845,$C$5:$H$18,6,0)+SUMIF($C$19:$C4845,$C4845,$F$19:$F4845)-SUMIF($C$19:$C4845,$C4845,$G$19:$G4845),"")</f>
        <v>81211.819999998</v>
      </c>
      <c r="I4845" s="147"/>
      <c r="J4845" s="147"/>
      <c r="K4845" s="147" t="str">
        <f t="shared" si="75"/>
        <v/>
      </c>
      <c r="L4845" s="40"/>
      <c r="M4845"/>
      <c r="N4845"/>
      <c r="O4845"/>
      <c r="P4845"/>
      <c r="Q4845"/>
      <c r="R4845"/>
      <c r="S4845"/>
      <c r="T4845"/>
      <c r="U4845"/>
      <c r="V4845"/>
      <c r="W4845" s="41"/>
      <c r="X4845" s="41"/>
      <c r="Y4845" s="41"/>
    </row>
    <row r="4846" s="27" customFormat="1" ht="23" hidden="1" customHeight="1" spans="1:25">
      <c r="A4846" s="133" t="str">
        <f>IF(B4846="","",COUNTA($B$5:B4846))</f>
        <v/>
      </c>
      <c r="B4846" s="148"/>
      <c r="C4846" s="22" t="s">
        <v>49</v>
      </c>
      <c r="D4846" s="149"/>
      <c r="E4846" s="150"/>
      <c r="F4846" s="151"/>
      <c r="G4846" s="151"/>
      <c r="H4846" s="142">
        <f>IFERROR(VLOOKUP($C4846,$C$5:$H$18,6,0)+SUMIF($C$19:$C4846,$C4846,$F$19:$F4846)-SUMIF($C$19:$C4846,$C4846,$G$19:$G4846),"")</f>
        <v>81211.819999998</v>
      </c>
      <c r="I4846" s="147"/>
      <c r="J4846" s="147"/>
      <c r="K4846" s="147" t="str">
        <f t="shared" si="75"/>
        <v/>
      </c>
      <c r="L4846" s="40"/>
      <c r="M4846"/>
      <c r="N4846"/>
      <c r="O4846"/>
      <c r="P4846"/>
      <c r="Q4846"/>
      <c r="R4846"/>
      <c r="S4846"/>
      <c r="T4846"/>
      <c r="U4846"/>
      <c r="V4846"/>
      <c r="W4846" s="41"/>
      <c r="X4846" s="41"/>
      <c r="Y4846" s="41"/>
    </row>
    <row r="4847" s="27" customFormat="1" ht="23" hidden="1" customHeight="1" spans="1:25">
      <c r="A4847" s="133" t="str">
        <f>IF(B4847="","",COUNTA($B$5:B4847))</f>
        <v/>
      </c>
      <c r="B4847" s="148"/>
      <c r="C4847" s="22" t="s">
        <v>49</v>
      </c>
      <c r="D4847" s="149"/>
      <c r="E4847" s="150"/>
      <c r="F4847" s="151"/>
      <c r="G4847" s="151"/>
      <c r="H4847" s="142">
        <f>IFERROR(VLOOKUP($C4847,$C$5:$H$18,6,0)+SUMIF($C$19:$C4847,$C4847,$F$19:$F4847)-SUMIF($C$19:$C4847,$C4847,$G$19:$G4847),"")</f>
        <v>81211.819999998</v>
      </c>
      <c r="I4847" s="147"/>
      <c r="J4847" s="147"/>
      <c r="K4847" s="147" t="str">
        <f t="shared" si="75"/>
        <v/>
      </c>
      <c r="L4847" s="40"/>
      <c r="M4847"/>
      <c r="N4847"/>
      <c r="O4847"/>
      <c r="P4847"/>
      <c r="Q4847"/>
      <c r="R4847"/>
      <c r="S4847"/>
      <c r="T4847"/>
      <c r="U4847"/>
      <c r="V4847"/>
      <c r="W4847" s="41"/>
      <c r="X4847" s="41"/>
      <c r="Y4847" s="41"/>
    </row>
    <row r="4848" s="27" customFormat="1" ht="23" hidden="1" customHeight="1" spans="1:25">
      <c r="A4848" s="133" t="str">
        <f>IF(B4848="","",COUNTA($B$5:B4848))</f>
        <v/>
      </c>
      <c r="B4848" s="148"/>
      <c r="C4848" s="22" t="s">
        <v>49</v>
      </c>
      <c r="D4848" s="149"/>
      <c r="E4848" s="150"/>
      <c r="F4848" s="151"/>
      <c r="G4848" s="151"/>
      <c r="H4848" s="142">
        <f>IFERROR(VLOOKUP($C4848,$C$5:$H$18,6,0)+SUMIF($C$19:$C4848,$C4848,$F$19:$F4848)-SUMIF($C$19:$C4848,$C4848,$G$19:$G4848),"")</f>
        <v>81211.819999998</v>
      </c>
      <c r="I4848" s="147"/>
      <c r="J4848" s="147"/>
      <c r="K4848" s="147" t="str">
        <f t="shared" si="75"/>
        <v/>
      </c>
      <c r="L4848" s="40"/>
      <c r="M4848"/>
      <c r="N4848"/>
      <c r="O4848"/>
      <c r="P4848"/>
      <c r="Q4848"/>
      <c r="R4848"/>
      <c r="S4848"/>
      <c r="T4848"/>
      <c r="U4848"/>
      <c r="V4848"/>
      <c r="W4848" s="41"/>
      <c r="X4848" s="41"/>
      <c r="Y4848" s="41"/>
    </row>
    <row r="4849" s="27" customFormat="1" ht="23" hidden="1" customHeight="1" spans="1:25">
      <c r="A4849" s="133" t="str">
        <f>IF(B4849="","",COUNTA($B$5:B4849))</f>
        <v/>
      </c>
      <c r="B4849" s="148"/>
      <c r="C4849" s="22" t="s">
        <v>49</v>
      </c>
      <c r="D4849" s="149"/>
      <c r="E4849" s="150"/>
      <c r="F4849" s="151"/>
      <c r="G4849" s="151"/>
      <c r="H4849" s="142">
        <f>IFERROR(VLOOKUP($C4849,$C$5:$H$18,6,0)+SUMIF($C$19:$C4849,$C4849,$F$19:$F4849)-SUMIF($C$19:$C4849,$C4849,$G$19:$G4849),"")</f>
        <v>81211.819999998</v>
      </c>
      <c r="I4849" s="147"/>
      <c r="J4849" s="147"/>
      <c r="K4849" s="147" t="str">
        <f t="shared" si="75"/>
        <v/>
      </c>
      <c r="L4849" s="40"/>
      <c r="M4849"/>
      <c r="N4849"/>
      <c r="O4849"/>
      <c r="P4849"/>
      <c r="Q4849"/>
      <c r="R4849"/>
      <c r="S4849"/>
      <c r="T4849"/>
      <c r="U4849"/>
      <c r="V4849"/>
      <c r="W4849" s="41"/>
      <c r="X4849" s="41"/>
      <c r="Y4849" s="41"/>
    </row>
    <row r="4850" s="27" customFormat="1" ht="23" hidden="1" customHeight="1" spans="1:25">
      <c r="A4850" s="133" t="str">
        <f>IF(B4850="","",COUNTA($B$5:B4850))</f>
        <v/>
      </c>
      <c r="B4850" s="148"/>
      <c r="C4850" s="22" t="s">
        <v>49</v>
      </c>
      <c r="D4850" s="149"/>
      <c r="E4850" s="150"/>
      <c r="F4850" s="151"/>
      <c r="G4850" s="151"/>
      <c r="H4850" s="142">
        <f>IFERROR(VLOOKUP($C4850,$C$5:$H$18,6,0)+SUMIF($C$19:$C4850,$C4850,$F$19:$F4850)-SUMIF($C$19:$C4850,$C4850,$G$19:$G4850),"")</f>
        <v>81211.819999998</v>
      </c>
      <c r="I4850" s="147"/>
      <c r="J4850" s="147"/>
      <c r="K4850" s="147" t="str">
        <f t="shared" si="75"/>
        <v/>
      </c>
      <c r="L4850" s="40"/>
      <c r="M4850"/>
      <c r="N4850"/>
      <c r="O4850"/>
      <c r="P4850"/>
      <c r="Q4850"/>
      <c r="R4850"/>
      <c r="S4850"/>
      <c r="T4850"/>
      <c r="U4850"/>
      <c r="V4850"/>
      <c r="W4850" s="41"/>
      <c r="X4850" s="41"/>
      <c r="Y4850" s="41"/>
    </row>
    <row r="4851" s="27" customFormat="1" ht="23" hidden="1" customHeight="1" spans="1:25">
      <c r="A4851" s="133" t="str">
        <f>IF(B4851="","",COUNTA($B$5:B4851))</f>
        <v/>
      </c>
      <c r="B4851" s="148"/>
      <c r="C4851" s="22" t="s">
        <v>49</v>
      </c>
      <c r="D4851" s="149"/>
      <c r="E4851" s="150"/>
      <c r="F4851" s="151"/>
      <c r="G4851" s="151"/>
      <c r="H4851" s="142">
        <f>IFERROR(VLOOKUP($C4851,$C$5:$H$18,6,0)+SUMIF($C$19:$C4851,$C4851,$F$19:$F4851)-SUMIF($C$19:$C4851,$C4851,$G$19:$G4851),"")</f>
        <v>81211.819999998</v>
      </c>
      <c r="I4851" s="147"/>
      <c r="J4851" s="147"/>
      <c r="K4851" s="147" t="str">
        <f t="shared" si="75"/>
        <v/>
      </c>
      <c r="L4851" s="40"/>
      <c r="M4851"/>
      <c r="N4851"/>
      <c r="O4851"/>
      <c r="P4851"/>
      <c r="Q4851"/>
      <c r="R4851"/>
      <c r="S4851"/>
      <c r="T4851"/>
      <c r="U4851"/>
      <c r="V4851"/>
      <c r="W4851" s="41"/>
      <c r="X4851" s="41"/>
      <c r="Y4851" s="41"/>
    </row>
    <row r="4852" s="27" customFormat="1" ht="23" hidden="1" customHeight="1" spans="1:25">
      <c r="A4852" s="133" t="str">
        <f>IF(B4852="","",COUNTA($B$5:B4852))</f>
        <v/>
      </c>
      <c r="B4852" s="148"/>
      <c r="C4852" s="22" t="s">
        <v>49</v>
      </c>
      <c r="D4852" s="149"/>
      <c r="E4852" s="150"/>
      <c r="F4852" s="151"/>
      <c r="G4852" s="151"/>
      <c r="H4852" s="142">
        <f>IFERROR(VLOOKUP($C4852,$C$5:$H$18,6,0)+SUMIF($C$19:$C4852,$C4852,$F$19:$F4852)-SUMIF($C$19:$C4852,$C4852,$G$19:$G4852),"")</f>
        <v>81211.819999998</v>
      </c>
      <c r="I4852" s="147"/>
      <c r="J4852" s="147"/>
      <c r="K4852" s="147" t="str">
        <f t="shared" si="75"/>
        <v/>
      </c>
      <c r="L4852" s="40"/>
      <c r="M4852"/>
      <c r="N4852"/>
      <c r="O4852"/>
      <c r="P4852"/>
      <c r="Q4852"/>
      <c r="R4852"/>
      <c r="S4852"/>
      <c r="T4852"/>
      <c r="U4852"/>
      <c r="V4852"/>
      <c r="W4852" s="41"/>
      <c r="X4852" s="41"/>
      <c r="Y4852" s="41"/>
    </row>
    <row r="4853" s="27" customFormat="1" ht="23" hidden="1" customHeight="1" spans="1:25">
      <c r="A4853" s="133" t="str">
        <f>IF(B4853="","",COUNTA($B$5:B4853))</f>
        <v/>
      </c>
      <c r="B4853" s="148"/>
      <c r="C4853" s="22" t="s">
        <v>49</v>
      </c>
      <c r="D4853" s="149"/>
      <c r="E4853" s="150"/>
      <c r="F4853" s="151"/>
      <c r="G4853" s="151"/>
      <c r="H4853" s="142">
        <f>IFERROR(VLOOKUP($C4853,$C$5:$H$18,6,0)+SUMIF($C$19:$C4853,$C4853,$F$19:$F4853)-SUMIF($C$19:$C4853,$C4853,$G$19:$G4853),"")</f>
        <v>81211.819999998</v>
      </c>
      <c r="I4853" s="147"/>
      <c r="J4853" s="147"/>
      <c r="K4853" s="147" t="str">
        <f t="shared" si="75"/>
        <v/>
      </c>
      <c r="L4853" s="40"/>
      <c r="M4853"/>
      <c r="N4853"/>
      <c r="O4853"/>
      <c r="P4853"/>
      <c r="Q4853"/>
      <c r="R4853"/>
      <c r="S4853"/>
      <c r="T4853"/>
      <c r="U4853"/>
      <c r="V4853"/>
      <c r="W4853" s="41"/>
      <c r="X4853" s="41"/>
      <c r="Y4853" s="41"/>
    </row>
    <row r="4854" s="27" customFormat="1" ht="23" hidden="1" customHeight="1" spans="1:25">
      <c r="A4854" s="133" t="str">
        <f>IF(B4854="","",COUNTA($B$5:B4854))</f>
        <v/>
      </c>
      <c r="B4854" s="148"/>
      <c r="C4854" s="22" t="s">
        <v>49</v>
      </c>
      <c r="D4854" s="149"/>
      <c r="E4854" s="150"/>
      <c r="F4854" s="151"/>
      <c r="G4854" s="151"/>
      <c r="H4854" s="142">
        <f>IFERROR(VLOOKUP($C4854,$C$5:$H$18,6,0)+SUMIF($C$19:$C4854,$C4854,$F$19:$F4854)-SUMIF($C$19:$C4854,$C4854,$G$19:$G4854),"")</f>
        <v>81211.819999998</v>
      </c>
      <c r="I4854" s="147"/>
      <c r="J4854" s="147"/>
      <c r="K4854" s="147" t="str">
        <f t="shared" si="75"/>
        <v/>
      </c>
      <c r="L4854" s="40"/>
      <c r="M4854"/>
      <c r="N4854"/>
      <c r="O4854"/>
      <c r="P4854"/>
      <c r="Q4854"/>
      <c r="R4854"/>
      <c r="S4854"/>
      <c r="T4854"/>
      <c r="U4854"/>
      <c r="V4854"/>
      <c r="W4854" s="41"/>
      <c r="X4854" s="41"/>
      <c r="Y4854" s="41"/>
    </row>
    <row r="4855" s="27" customFormat="1" ht="23" hidden="1" customHeight="1" spans="1:25">
      <c r="A4855" s="133" t="str">
        <f>IF(B4855="","",COUNTA($B$5:B4855))</f>
        <v/>
      </c>
      <c r="B4855" s="148"/>
      <c r="C4855" s="22" t="s">
        <v>49</v>
      </c>
      <c r="D4855" s="149"/>
      <c r="E4855" s="150"/>
      <c r="F4855" s="151"/>
      <c r="G4855" s="151"/>
      <c r="H4855" s="142">
        <f>IFERROR(VLOOKUP($C4855,$C$5:$H$18,6,0)+SUMIF($C$19:$C4855,$C4855,$F$19:$F4855)-SUMIF($C$19:$C4855,$C4855,$G$19:$G4855),"")</f>
        <v>81211.819999998</v>
      </c>
      <c r="I4855" s="147"/>
      <c r="J4855" s="147"/>
      <c r="K4855" s="147" t="str">
        <f t="shared" si="75"/>
        <v/>
      </c>
      <c r="L4855" s="40"/>
      <c r="M4855"/>
      <c r="N4855"/>
      <c r="O4855"/>
      <c r="P4855"/>
      <c r="Q4855"/>
      <c r="R4855"/>
      <c r="S4855"/>
      <c r="T4855"/>
      <c r="U4855"/>
      <c r="V4855"/>
      <c r="W4855" s="41"/>
      <c r="X4855" s="41"/>
      <c r="Y4855" s="41"/>
    </row>
    <row r="4856" s="27" customFormat="1" ht="23" hidden="1" customHeight="1" spans="1:25">
      <c r="A4856" s="133" t="str">
        <f>IF(B4856="","",COUNTA($B$5:B4856))</f>
        <v/>
      </c>
      <c r="B4856" s="148"/>
      <c r="C4856" s="22" t="s">
        <v>49</v>
      </c>
      <c r="D4856" s="149"/>
      <c r="E4856" s="150"/>
      <c r="F4856" s="151"/>
      <c r="G4856" s="151"/>
      <c r="H4856" s="142">
        <f>IFERROR(VLOOKUP($C4856,$C$5:$H$18,6,0)+SUMIF($C$19:$C4856,$C4856,$F$19:$F4856)-SUMIF($C$19:$C4856,$C4856,$G$19:$G4856),"")</f>
        <v>81211.819999998</v>
      </c>
      <c r="I4856" s="147"/>
      <c r="J4856" s="147"/>
      <c r="K4856" s="147" t="str">
        <f t="shared" si="75"/>
        <v/>
      </c>
      <c r="L4856" s="40"/>
      <c r="M4856"/>
      <c r="N4856"/>
      <c r="O4856"/>
      <c r="P4856"/>
      <c r="Q4856"/>
      <c r="R4856"/>
      <c r="S4856"/>
      <c r="T4856"/>
      <c r="U4856"/>
      <c r="V4856"/>
      <c r="W4856" s="41"/>
      <c r="X4856" s="41"/>
      <c r="Y4856" s="41"/>
    </row>
    <row r="4857" s="27" customFormat="1" ht="23" hidden="1" customHeight="1" spans="1:25">
      <c r="A4857" s="133" t="str">
        <f>IF(B4857="","",COUNTA($B$5:B4857))</f>
        <v/>
      </c>
      <c r="B4857" s="148"/>
      <c r="C4857" s="22" t="s">
        <v>49</v>
      </c>
      <c r="D4857" s="149"/>
      <c r="E4857" s="150"/>
      <c r="F4857" s="151"/>
      <c r="G4857" s="151"/>
      <c r="H4857" s="142">
        <f>IFERROR(VLOOKUP($C4857,$C$5:$H$18,6,0)+SUMIF($C$19:$C4857,$C4857,$F$19:$F4857)-SUMIF($C$19:$C4857,$C4857,$G$19:$G4857),"")</f>
        <v>81211.819999998</v>
      </c>
      <c r="I4857" s="147"/>
      <c r="J4857" s="147"/>
      <c r="K4857" s="147" t="str">
        <f t="shared" si="75"/>
        <v/>
      </c>
      <c r="L4857" s="40"/>
      <c r="M4857"/>
      <c r="N4857"/>
      <c r="O4857"/>
      <c r="P4857"/>
      <c r="Q4857"/>
      <c r="R4857"/>
      <c r="S4857"/>
      <c r="T4857"/>
      <c r="U4857"/>
      <c r="V4857"/>
      <c r="W4857" s="41"/>
      <c r="X4857" s="41"/>
      <c r="Y4857" s="41"/>
    </row>
    <row r="4858" s="27" customFormat="1" ht="23" hidden="1" customHeight="1" spans="1:25">
      <c r="A4858" s="133" t="str">
        <f>IF(B4858="","",COUNTA($B$5:B4858))</f>
        <v/>
      </c>
      <c r="B4858" s="148"/>
      <c r="C4858" s="22" t="s">
        <v>49</v>
      </c>
      <c r="D4858" s="149"/>
      <c r="E4858" s="150"/>
      <c r="F4858" s="151"/>
      <c r="G4858" s="151"/>
      <c r="H4858" s="142">
        <f>IFERROR(VLOOKUP($C4858,$C$5:$H$18,6,0)+SUMIF($C$19:$C4858,$C4858,$F$19:$F4858)-SUMIF($C$19:$C4858,$C4858,$G$19:$G4858),"")</f>
        <v>81211.819999998</v>
      </c>
      <c r="I4858" s="147"/>
      <c r="J4858" s="147"/>
      <c r="K4858" s="147" t="str">
        <f t="shared" si="75"/>
        <v/>
      </c>
      <c r="L4858" s="40"/>
      <c r="M4858"/>
      <c r="N4858"/>
      <c r="O4858"/>
      <c r="P4858"/>
      <c r="Q4858"/>
      <c r="R4858"/>
      <c r="S4858"/>
      <c r="T4858"/>
      <c r="U4858"/>
      <c r="V4858"/>
      <c r="W4858" s="41"/>
      <c r="X4858" s="41"/>
      <c r="Y4858" s="41"/>
    </row>
    <row r="4859" s="27" customFormat="1" ht="23" hidden="1" customHeight="1" spans="1:25">
      <c r="A4859" s="133" t="str">
        <f>IF(B4859="","",COUNTA($B$5:B4859))</f>
        <v/>
      </c>
      <c r="B4859" s="148"/>
      <c r="C4859" s="22" t="s">
        <v>49</v>
      </c>
      <c r="D4859" s="149"/>
      <c r="E4859" s="150"/>
      <c r="F4859" s="151"/>
      <c r="G4859" s="151"/>
      <c r="H4859" s="142">
        <f>IFERROR(VLOOKUP($C4859,$C$5:$H$18,6,0)+SUMIF($C$19:$C4859,$C4859,$F$19:$F4859)-SUMIF($C$19:$C4859,$C4859,$G$19:$G4859),"")</f>
        <v>81211.819999998</v>
      </c>
      <c r="I4859" s="147"/>
      <c r="J4859" s="147"/>
      <c r="K4859" s="147" t="str">
        <f t="shared" si="75"/>
        <v/>
      </c>
      <c r="L4859" s="40"/>
      <c r="M4859"/>
      <c r="N4859"/>
      <c r="O4859"/>
      <c r="P4859"/>
      <c r="Q4859"/>
      <c r="R4859"/>
      <c r="S4859"/>
      <c r="T4859"/>
      <c r="U4859"/>
      <c r="V4859"/>
      <c r="W4859" s="41"/>
      <c r="X4859" s="41"/>
      <c r="Y4859" s="41"/>
    </row>
    <row r="4860" s="27" customFormat="1" ht="23" hidden="1" customHeight="1" spans="1:25">
      <c r="A4860" s="133" t="str">
        <f>IF(B4860="","",COUNTA($B$5:B4860))</f>
        <v/>
      </c>
      <c r="B4860" s="148"/>
      <c r="C4860" s="22" t="s">
        <v>49</v>
      </c>
      <c r="D4860" s="149"/>
      <c r="E4860" s="150"/>
      <c r="F4860" s="151"/>
      <c r="G4860" s="151"/>
      <c r="H4860" s="142">
        <f>IFERROR(VLOOKUP($C4860,$C$5:$H$18,6,0)+SUMIF($C$19:$C4860,$C4860,$F$19:$F4860)-SUMIF($C$19:$C4860,$C4860,$G$19:$G4860),"")</f>
        <v>81211.819999998</v>
      </c>
      <c r="I4860" s="147"/>
      <c r="J4860" s="147"/>
      <c r="K4860" s="147" t="str">
        <f t="shared" si="75"/>
        <v/>
      </c>
      <c r="L4860" s="40"/>
      <c r="M4860"/>
      <c r="N4860"/>
      <c r="O4860"/>
      <c r="P4860"/>
      <c r="Q4860"/>
      <c r="R4860"/>
      <c r="S4860"/>
      <c r="T4860"/>
      <c r="U4860"/>
      <c r="V4860"/>
      <c r="W4860" s="41"/>
      <c r="X4860" s="41"/>
      <c r="Y4860" s="41"/>
    </row>
    <row r="4861" s="27" customFormat="1" ht="23" hidden="1" customHeight="1" spans="1:25">
      <c r="A4861" s="133" t="str">
        <f>IF(B4861="","",COUNTA($B$5:B4861))</f>
        <v/>
      </c>
      <c r="B4861" s="148"/>
      <c r="C4861" s="22" t="s">
        <v>49</v>
      </c>
      <c r="D4861" s="149"/>
      <c r="E4861" s="150"/>
      <c r="F4861" s="151"/>
      <c r="G4861" s="151"/>
      <c r="H4861" s="142">
        <f>IFERROR(VLOOKUP($C4861,$C$5:$H$18,6,0)+SUMIF($C$19:$C4861,$C4861,$F$19:$F4861)-SUMIF($C$19:$C4861,$C4861,$G$19:$G4861),"")</f>
        <v>81211.819999998</v>
      </c>
      <c r="I4861" s="147"/>
      <c r="J4861" s="147"/>
      <c r="K4861" s="147" t="str">
        <f t="shared" si="75"/>
        <v/>
      </c>
      <c r="L4861" s="40"/>
      <c r="M4861"/>
      <c r="N4861"/>
      <c r="O4861"/>
      <c r="P4861"/>
      <c r="Q4861"/>
      <c r="R4861"/>
      <c r="S4861"/>
      <c r="T4861"/>
      <c r="U4861"/>
      <c r="V4861"/>
      <c r="W4861" s="41"/>
      <c r="X4861" s="41"/>
      <c r="Y4861" s="41"/>
    </row>
    <row r="4862" s="27" customFormat="1" ht="23" hidden="1" customHeight="1" spans="1:25">
      <c r="A4862" s="133" t="str">
        <f>IF(B4862="","",COUNTA($B$5:B4862))</f>
        <v/>
      </c>
      <c r="B4862" s="148"/>
      <c r="C4862" s="22" t="s">
        <v>49</v>
      </c>
      <c r="D4862" s="149"/>
      <c r="E4862" s="150"/>
      <c r="F4862" s="151"/>
      <c r="G4862" s="151"/>
      <c r="H4862" s="142">
        <f>IFERROR(VLOOKUP($C4862,$C$5:$H$18,6,0)+SUMIF($C$19:$C4862,$C4862,$F$19:$F4862)-SUMIF($C$19:$C4862,$C4862,$G$19:$G4862),"")</f>
        <v>81211.819999998</v>
      </c>
      <c r="I4862" s="147"/>
      <c r="J4862" s="147"/>
      <c r="K4862" s="147" t="str">
        <f t="shared" si="75"/>
        <v/>
      </c>
      <c r="L4862" s="40"/>
      <c r="M4862"/>
      <c r="N4862"/>
      <c r="O4862"/>
      <c r="P4862"/>
      <c r="Q4862"/>
      <c r="R4862"/>
      <c r="S4862"/>
      <c r="T4862"/>
      <c r="U4862"/>
      <c r="V4862"/>
      <c r="W4862" s="41"/>
      <c r="X4862" s="41"/>
      <c r="Y4862" s="41"/>
    </row>
    <row r="4863" s="27" customFormat="1" ht="23" hidden="1" customHeight="1" spans="1:25">
      <c r="A4863" s="133" t="str">
        <f>IF(B4863="","",COUNTA($B$5:B4863))</f>
        <v/>
      </c>
      <c r="B4863" s="148"/>
      <c r="C4863" s="22" t="s">
        <v>49</v>
      </c>
      <c r="D4863" s="149"/>
      <c r="E4863" s="150"/>
      <c r="F4863" s="151"/>
      <c r="G4863" s="151"/>
      <c r="H4863" s="142">
        <f>IFERROR(VLOOKUP($C4863,$C$5:$H$18,6,0)+SUMIF($C$19:$C4863,$C4863,$F$19:$F4863)-SUMIF($C$19:$C4863,$C4863,$G$19:$G4863),"")</f>
        <v>81211.819999998</v>
      </c>
      <c r="I4863" s="147"/>
      <c r="J4863" s="147"/>
      <c r="K4863" s="147" t="str">
        <f t="shared" si="75"/>
        <v/>
      </c>
      <c r="L4863" s="40"/>
      <c r="M4863"/>
      <c r="N4863"/>
      <c r="O4863"/>
      <c r="P4863"/>
      <c r="Q4863"/>
      <c r="R4863"/>
      <c r="S4863"/>
      <c r="T4863"/>
      <c r="U4863"/>
      <c r="V4863"/>
      <c r="W4863" s="41"/>
      <c r="X4863" s="41"/>
      <c r="Y4863" s="41"/>
    </row>
    <row r="4864" s="27" customFormat="1" ht="23" hidden="1" customHeight="1" spans="1:25">
      <c r="A4864" s="133" t="str">
        <f>IF(B4864="","",COUNTA($B$5:B4864))</f>
        <v/>
      </c>
      <c r="B4864" s="148"/>
      <c r="C4864" s="22" t="s">
        <v>49</v>
      </c>
      <c r="D4864" s="149"/>
      <c r="E4864" s="150"/>
      <c r="F4864" s="151"/>
      <c r="G4864" s="151"/>
      <c r="H4864" s="142">
        <f>IFERROR(VLOOKUP($C4864,$C$5:$H$18,6,0)+SUMIF($C$19:$C4864,$C4864,$F$19:$F4864)-SUMIF($C$19:$C4864,$C4864,$G$19:$G4864),"")</f>
        <v>81211.819999998</v>
      </c>
      <c r="I4864" s="147"/>
      <c r="J4864" s="147"/>
      <c r="K4864" s="147" t="str">
        <f t="shared" si="75"/>
        <v/>
      </c>
      <c r="L4864" s="40"/>
      <c r="M4864"/>
      <c r="N4864"/>
      <c r="O4864"/>
      <c r="P4864"/>
      <c r="Q4864"/>
      <c r="R4864"/>
      <c r="S4864"/>
      <c r="T4864"/>
      <c r="U4864"/>
      <c r="V4864"/>
      <c r="W4864" s="41"/>
      <c r="X4864" s="41"/>
      <c r="Y4864" s="41"/>
    </row>
    <row r="4865" s="27" customFormat="1" ht="23" hidden="1" customHeight="1" spans="1:25">
      <c r="A4865" s="133" t="str">
        <f>IF(B4865="","",COUNTA($B$5:B4865))</f>
        <v/>
      </c>
      <c r="B4865" s="148"/>
      <c r="C4865" s="22" t="s">
        <v>49</v>
      </c>
      <c r="D4865" s="149"/>
      <c r="E4865" s="150"/>
      <c r="F4865" s="151"/>
      <c r="G4865" s="151"/>
      <c r="H4865" s="142">
        <f>IFERROR(VLOOKUP($C4865,$C$5:$H$18,6,0)+SUMIF($C$19:$C4865,$C4865,$F$19:$F4865)-SUMIF($C$19:$C4865,$C4865,$G$19:$G4865),"")</f>
        <v>81211.819999998</v>
      </c>
      <c r="I4865" s="147"/>
      <c r="J4865" s="147"/>
      <c r="K4865" s="147" t="str">
        <f t="shared" si="75"/>
        <v/>
      </c>
      <c r="L4865" s="40"/>
      <c r="M4865"/>
      <c r="N4865"/>
      <c r="O4865"/>
      <c r="P4865"/>
      <c r="Q4865"/>
      <c r="R4865"/>
      <c r="S4865"/>
      <c r="T4865"/>
      <c r="U4865"/>
      <c r="V4865"/>
      <c r="W4865" s="41"/>
      <c r="X4865" s="41"/>
      <c r="Y4865" s="41"/>
    </row>
    <row r="4866" s="27" customFormat="1" ht="23" hidden="1" customHeight="1" spans="1:25">
      <c r="A4866" s="133" t="str">
        <f>IF(B4866="","",COUNTA($B$5:B4866))</f>
        <v/>
      </c>
      <c r="B4866" s="148"/>
      <c r="C4866" s="22" t="s">
        <v>49</v>
      </c>
      <c r="D4866" s="149"/>
      <c r="E4866" s="150"/>
      <c r="F4866" s="151"/>
      <c r="G4866" s="151"/>
      <c r="H4866" s="142">
        <f>IFERROR(VLOOKUP($C4866,$C$5:$H$18,6,0)+SUMIF($C$19:$C4866,$C4866,$F$19:$F4866)-SUMIF($C$19:$C4866,$C4866,$G$19:$G4866),"")</f>
        <v>81211.819999998</v>
      </c>
      <c r="I4866" s="147"/>
      <c r="J4866" s="147"/>
      <c r="K4866" s="147" t="str">
        <f t="shared" si="75"/>
        <v/>
      </c>
      <c r="L4866" s="40"/>
      <c r="M4866"/>
      <c r="N4866"/>
      <c r="O4866"/>
      <c r="P4866"/>
      <c r="Q4866"/>
      <c r="R4866"/>
      <c r="S4866"/>
      <c r="T4866"/>
      <c r="U4866"/>
      <c r="V4866"/>
      <c r="W4866" s="41"/>
      <c r="X4866" s="41"/>
      <c r="Y4866" s="41"/>
    </row>
    <row r="4867" s="27" customFormat="1" ht="23" hidden="1" customHeight="1" spans="1:25">
      <c r="A4867" s="133" t="str">
        <f>IF(B4867="","",COUNTA($B$5:B4867))</f>
        <v/>
      </c>
      <c r="B4867" s="148"/>
      <c r="C4867" s="22" t="s">
        <v>49</v>
      </c>
      <c r="D4867" s="149"/>
      <c r="E4867" s="150"/>
      <c r="F4867" s="151"/>
      <c r="G4867" s="151"/>
      <c r="H4867" s="142">
        <f>IFERROR(VLOOKUP($C4867,$C$5:$H$18,6,0)+SUMIF($C$19:$C4867,$C4867,$F$19:$F4867)-SUMIF($C$19:$C4867,$C4867,$G$19:$G4867),"")</f>
        <v>81211.819999998</v>
      </c>
      <c r="I4867" s="147"/>
      <c r="J4867" s="147"/>
      <c r="K4867" s="147" t="str">
        <f t="shared" si="75"/>
        <v/>
      </c>
      <c r="L4867" s="40"/>
      <c r="M4867"/>
      <c r="N4867"/>
      <c r="O4867"/>
      <c r="P4867"/>
      <c r="Q4867"/>
      <c r="R4867"/>
      <c r="S4867"/>
      <c r="T4867"/>
      <c r="U4867"/>
      <c r="V4867"/>
      <c r="W4867" s="41"/>
      <c r="X4867" s="41"/>
      <c r="Y4867" s="41"/>
    </row>
    <row r="4868" s="27" customFormat="1" ht="23" hidden="1" customHeight="1" spans="1:25">
      <c r="A4868" s="133" t="str">
        <f>IF(B4868="","",COUNTA($B$5:B4868))</f>
        <v/>
      </c>
      <c r="B4868" s="148"/>
      <c r="C4868" s="22" t="s">
        <v>49</v>
      </c>
      <c r="D4868" s="149"/>
      <c r="E4868" s="150"/>
      <c r="F4868" s="151"/>
      <c r="G4868" s="151"/>
      <c r="H4868" s="142">
        <f>IFERROR(VLOOKUP($C4868,$C$5:$H$18,6,0)+SUMIF($C$19:$C4868,$C4868,$F$19:$F4868)-SUMIF($C$19:$C4868,$C4868,$G$19:$G4868),"")</f>
        <v>81211.819999998</v>
      </c>
      <c r="I4868" s="147"/>
      <c r="J4868" s="147"/>
      <c r="K4868" s="147" t="str">
        <f t="shared" si="75"/>
        <v/>
      </c>
      <c r="L4868" s="40"/>
      <c r="M4868"/>
      <c r="N4868"/>
      <c r="O4868"/>
      <c r="P4868"/>
      <c r="Q4868"/>
      <c r="R4868"/>
      <c r="S4868"/>
      <c r="T4868"/>
      <c r="U4868"/>
      <c r="V4868"/>
      <c r="W4868" s="41"/>
      <c r="X4868" s="41"/>
      <c r="Y4868" s="41"/>
    </row>
    <row r="4869" s="27" customFormat="1" ht="23" hidden="1" customHeight="1" spans="1:25">
      <c r="A4869" s="133" t="str">
        <f>IF(B4869="","",COUNTA($B$5:B4869))</f>
        <v/>
      </c>
      <c r="B4869" s="148"/>
      <c r="C4869" s="22" t="s">
        <v>49</v>
      </c>
      <c r="D4869" s="149"/>
      <c r="E4869" s="150"/>
      <c r="F4869" s="151"/>
      <c r="G4869" s="151"/>
      <c r="H4869" s="142">
        <f>IFERROR(VLOOKUP($C4869,$C$5:$H$18,6,0)+SUMIF($C$19:$C4869,$C4869,$F$19:$F4869)-SUMIF($C$19:$C4869,$C4869,$G$19:$G4869),"")</f>
        <v>81211.819999998</v>
      </c>
      <c r="I4869" s="147"/>
      <c r="J4869" s="147"/>
      <c r="K4869" s="147" t="str">
        <f t="shared" ref="K4869:K4932" si="76">IF($B4869="","",--TEXT($B4869,"yyyymm"))</f>
        <v/>
      </c>
      <c r="L4869" s="40"/>
      <c r="M4869"/>
      <c r="N4869"/>
      <c r="O4869"/>
      <c r="P4869"/>
      <c r="Q4869"/>
      <c r="R4869"/>
      <c r="S4869"/>
      <c r="T4869"/>
      <c r="U4869"/>
      <c r="V4869"/>
      <c r="W4869" s="41"/>
      <c r="X4869" s="41"/>
      <c r="Y4869" s="41"/>
    </row>
    <row r="4870" s="27" customFormat="1" ht="23" hidden="1" customHeight="1" spans="1:25">
      <c r="A4870" s="133" t="str">
        <f>IF(B4870="","",COUNTA($B$5:B4870))</f>
        <v/>
      </c>
      <c r="B4870" s="148"/>
      <c r="C4870" s="22" t="s">
        <v>49</v>
      </c>
      <c r="D4870" s="149"/>
      <c r="E4870" s="150"/>
      <c r="F4870" s="151"/>
      <c r="G4870" s="151"/>
      <c r="H4870" s="142">
        <f>IFERROR(VLOOKUP($C4870,$C$5:$H$18,6,0)+SUMIF($C$19:$C4870,$C4870,$F$19:$F4870)-SUMIF($C$19:$C4870,$C4870,$G$19:$G4870),"")</f>
        <v>81211.819999998</v>
      </c>
      <c r="I4870" s="147"/>
      <c r="J4870" s="147"/>
      <c r="K4870" s="147" t="str">
        <f t="shared" si="76"/>
        <v/>
      </c>
      <c r="L4870" s="40"/>
      <c r="M4870"/>
      <c r="N4870"/>
      <c r="O4870"/>
      <c r="P4870"/>
      <c r="Q4870"/>
      <c r="R4870"/>
      <c r="S4870"/>
      <c r="T4870"/>
      <c r="U4870"/>
      <c r="V4870"/>
      <c r="W4870" s="41"/>
      <c r="X4870" s="41"/>
      <c r="Y4870" s="41"/>
    </row>
    <row r="4871" s="27" customFormat="1" ht="23" hidden="1" customHeight="1" spans="1:25">
      <c r="A4871" s="133" t="str">
        <f>IF(B4871="","",COUNTA($B$5:B4871))</f>
        <v/>
      </c>
      <c r="B4871" s="148"/>
      <c r="C4871" s="22" t="s">
        <v>49</v>
      </c>
      <c r="D4871" s="149"/>
      <c r="E4871" s="150"/>
      <c r="F4871" s="151"/>
      <c r="G4871" s="151"/>
      <c r="H4871" s="142">
        <f>IFERROR(VLOOKUP($C4871,$C$5:$H$18,6,0)+SUMIF($C$19:$C4871,$C4871,$F$19:$F4871)-SUMIF($C$19:$C4871,$C4871,$G$19:$G4871),"")</f>
        <v>81211.819999998</v>
      </c>
      <c r="I4871" s="147"/>
      <c r="J4871" s="147"/>
      <c r="K4871" s="147" t="str">
        <f t="shared" si="76"/>
        <v/>
      </c>
      <c r="L4871" s="40"/>
      <c r="M4871"/>
      <c r="N4871"/>
      <c r="O4871"/>
      <c r="P4871"/>
      <c r="Q4871"/>
      <c r="R4871"/>
      <c r="S4871"/>
      <c r="T4871"/>
      <c r="U4871"/>
      <c r="V4871"/>
      <c r="W4871" s="41"/>
      <c r="X4871" s="41"/>
      <c r="Y4871" s="41"/>
    </row>
    <row r="4872" s="27" customFormat="1" ht="23" hidden="1" customHeight="1" spans="1:25">
      <c r="A4872" s="133" t="str">
        <f>IF(B4872="","",COUNTA($B$5:B4872))</f>
        <v/>
      </c>
      <c r="B4872" s="148"/>
      <c r="C4872" s="22" t="s">
        <v>49</v>
      </c>
      <c r="D4872" s="149"/>
      <c r="E4872" s="150"/>
      <c r="F4872" s="151"/>
      <c r="G4872" s="151"/>
      <c r="H4872" s="142">
        <f>IFERROR(VLOOKUP($C4872,$C$5:$H$18,6,0)+SUMIF($C$19:$C4872,$C4872,$F$19:$F4872)-SUMIF($C$19:$C4872,$C4872,$G$19:$G4872),"")</f>
        <v>81211.819999998</v>
      </c>
      <c r="I4872" s="147"/>
      <c r="J4872" s="147"/>
      <c r="K4872" s="147" t="str">
        <f t="shared" si="76"/>
        <v/>
      </c>
      <c r="L4872" s="40"/>
      <c r="M4872"/>
      <c r="N4872"/>
      <c r="O4872"/>
      <c r="P4872"/>
      <c r="Q4872"/>
      <c r="R4872"/>
      <c r="S4872"/>
      <c r="T4872"/>
      <c r="U4872"/>
      <c r="V4872"/>
      <c r="W4872" s="41"/>
      <c r="X4872" s="41"/>
      <c r="Y4872" s="41"/>
    </row>
    <row r="4873" s="27" customFormat="1" ht="23" hidden="1" customHeight="1" spans="1:25">
      <c r="A4873" s="133" t="str">
        <f>IF(B4873="","",COUNTA($B$5:B4873))</f>
        <v/>
      </c>
      <c r="B4873" s="148"/>
      <c r="C4873" s="22" t="s">
        <v>49</v>
      </c>
      <c r="D4873" s="149"/>
      <c r="E4873" s="150"/>
      <c r="F4873" s="151"/>
      <c r="G4873" s="151"/>
      <c r="H4873" s="142">
        <f>IFERROR(VLOOKUP($C4873,$C$5:$H$18,6,0)+SUMIF($C$19:$C4873,$C4873,$F$19:$F4873)-SUMIF($C$19:$C4873,$C4873,$G$19:$G4873),"")</f>
        <v>81211.819999998</v>
      </c>
      <c r="I4873" s="147"/>
      <c r="J4873" s="147"/>
      <c r="K4873" s="147" t="str">
        <f t="shared" si="76"/>
        <v/>
      </c>
      <c r="L4873" s="40"/>
      <c r="M4873"/>
      <c r="N4873"/>
      <c r="O4873"/>
      <c r="P4873"/>
      <c r="Q4873"/>
      <c r="R4873"/>
      <c r="S4873"/>
      <c r="T4873"/>
      <c r="U4873"/>
      <c r="V4873"/>
      <c r="W4873" s="41"/>
      <c r="X4873" s="41"/>
      <c r="Y4873" s="41"/>
    </row>
    <row r="4874" s="27" customFormat="1" ht="23" hidden="1" customHeight="1" spans="1:25">
      <c r="A4874" s="133" t="str">
        <f>IF(B4874="","",COUNTA($B$5:B4874))</f>
        <v/>
      </c>
      <c r="B4874" s="148"/>
      <c r="C4874" s="22" t="s">
        <v>49</v>
      </c>
      <c r="D4874" s="149"/>
      <c r="E4874" s="150"/>
      <c r="F4874" s="151"/>
      <c r="G4874" s="151"/>
      <c r="H4874" s="142">
        <f>IFERROR(VLOOKUP($C4874,$C$5:$H$18,6,0)+SUMIF($C$19:$C4874,$C4874,$F$19:$F4874)-SUMIF($C$19:$C4874,$C4874,$G$19:$G4874),"")</f>
        <v>81211.819999998</v>
      </c>
      <c r="I4874" s="147"/>
      <c r="J4874" s="147"/>
      <c r="K4874" s="147" t="str">
        <f t="shared" si="76"/>
        <v/>
      </c>
      <c r="L4874" s="40"/>
      <c r="M4874"/>
      <c r="N4874"/>
      <c r="O4874"/>
      <c r="P4874"/>
      <c r="Q4874"/>
      <c r="R4874"/>
      <c r="S4874"/>
      <c r="T4874"/>
      <c r="U4874"/>
      <c r="V4874"/>
      <c r="W4874" s="41"/>
      <c r="X4874" s="41"/>
      <c r="Y4874" s="41"/>
    </row>
    <row r="4875" s="27" customFormat="1" ht="23" hidden="1" customHeight="1" spans="1:25">
      <c r="A4875" s="133" t="str">
        <f>IF(B4875="","",COUNTA($B$5:B4875))</f>
        <v/>
      </c>
      <c r="B4875" s="148"/>
      <c r="C4875" s="22" t="s">
        <v>49</v>
      </c>
      <c r="D4875" s="149"/>
      <c r="E4875" s="150"/>
      <c r="F4875" s="151"/>
      <c r="G4875" s="151"/>
      <c r="H4875" s="142">
        <f>IFERROR(VLOOKUP($C4875,$C$5:$H$18,6,0)+SUMIF($C$19:$C4875,$C4875,$F$19:$F4875)-SUMIF($C$19:$C4875,$C4875,$G$19:$G4875),"")</f>
        <v>81211.819999998</v>
      </c>
      <c r="I4875" s="147"/>
      <c r="J4875" s="147"/>
      <c r="K4875" s="147" t="str">
        <f t="shared" si="76"/>
        <v/>
      </c>
      <c r="L4875" s="40"/>
      <c r="M4875"/>
      <c r="N4875"/>
      <c r="O4875"/>
      <c r="P4875"/>
      <c r="Q4875"/>
      <c r="R4875"/>
      <c r="S4875"/>
      <c r="T4875"/>
      <c r="U4875"/>
      <c r="V4875"/>
      <c r="W4875" s="41"/>
      <c r="X4875" s="41"/>
      <c r="Y4875" s="41"/>
    </row>
    <row r="4876" s="27" customFormat="1" ht="23" hidden="1" customHeight="1" spans="1:25">
      <c r="A4876" s="133" t="str">
        <f>IF(B4876="","",COUNTA($B$5:B4876))</f>
        <v/>
      </c>
      <c r="B4876" s="148"/>
      <c r="C4876" s="22" t="s">
        <v>49</v>
      </c>
      <c r="D4876" s="149"/>
      <c r="E4876" s="150"/>
      <c r="F4876" s="151"/>
      <c r="G4876" s="151"/>
      <c r="H4876" s="142">
        <f>IFERROR(VLOOKUP($C4876,$C$5:$H$18,6,0)+SUMIF($C$19:$C4876,$C4876,$F$19:$F4876)-SUMIF($C$19:$C4876,$C4876,$G$19:$G4876),"")</f>
        <v>81211.819999998</v>
      </c>
      <c r="I4876" s="147"/>
      <c r="J4876" s="147"/>
      <c r="K4876" s="147" t="str">
        <f t="shared" si="76"/>
        <v/>
      </c>
      <c r="L4876" s="40"/>
      <c r="M4876"/>
      <c r="N4876"/>
      <c r="O4876"/>
      <c r="P4876"/>
      <c r="Q4876"/>
      <c r="R4876"/>
      <c r="S4876"/>
      <c r="T4876"/>
      <c r="U4876"/>
      <c r="V4876"/>
      <c r="W4876" s="41"/>
      <c r="X4876" s="41"/>
      <c r="Y4876" s="41"/>
    </row>
    <row r="4877" s="27" customFormat="1" ht="23" hidden="1" customHeight="1" spans="1:25">
      <c r="A4877" s="133" t="str">
        <f>IF(B4877="","",COUNTA($B$5:B4877))</f>
        <v/>
      </c>
      <c r="B4877" s="148"/>
      <c r="C4877" s="22" t="s">
        <v>49</v>
      </c>
      <c r="D4877" s="149"/>
      <c r="E4877" s="150"/>
      <c r="F4877" s="151"/>
      <c r="G4877" s="151"/>
      <c r="H4877" s="142">
        <f>IFERROR(VLOOKUP($C4877,$C$5:$H$18,6,0)+SUMIF($C$19:$C4877,$C4877,$F$19:$F4877)-SUMIF($C$19:$C4877,$C4877,$G$19:$G4877),"")</f>
        <v>81211.819999998</v>
      </c>
      <c r="I4877" s="147"/>
      <c r="J4877" s="147"/>
      <c r="K4877" s="147" t="str">
        <f t="shared" si="76"/>
        <v/>
      </c>
      <c r="L4877" s="40"/>
      <c r="M4877"/>
      <c r="N4877"/>
      <c r="O4877"/>
      <c r="P4877"/>
      <c r="Q4877"/>
      <c r="R4877"/>
      <c r="S4877"/>
      <c r="T4877"/>
      <c r="U4877"/>
      <c r="V4877"/>
      <c r="W4877" s="41"/>
      <c r="X4877" s="41"/>
      <c r="Y4877" s="41"/>
    </row>
    <row r="4878" s="27" customFormat="1" ht="23" hidden="1" customHeight="1" spans="1:25">
      <c r="A4878" s="133" t="str">
        <f>IF(B4878="","",COUNTA($B$5:B4878))</f>
        <v/>
      </c>
      <c r="B4878" s="148"/>
      <c r="C4878" s="22" t="s">
        <v>49</v>
      </c>
      <c r="D4878" s="149"/>
      <c r="E4878" s="150"/>
      <c r="F4878" s="151"/>
      <c r="G4878" s="151"/>
      <c r="H4878" s="142">
        <f>IFERROR(VLOOKUP($C4878,$C$5:$H$18,6,0)+SUMIF($C$19:$C4878,$C4878,$F$19:$F4878)-SUMIF($C$19:$C4878,$C4878,$G$19:$G4878),"")</f>
        <v>81211.819999998</v>
      </c>
      <c r="I4878" s="147"/>
      <c r="J4878" s="147"/>
      <c r="K4878" s="147" t="str">
        <f t="shared" si="76"/>
        <v/>
      </c>
      <c r="L4878" s="40"/>
      <c r="M4878"/>
      <c r="N4878"/>
      <c r="O4878"/>
      <c r="P4878"/>
      <c r="Q4878"/>
      <c r="R4878"/>
      <c r="S4878"/>
      <c r="T4878"/>
      <c r="U4878"/>
      <c r="V4878"/>
      <c r="W4878" s="41"/>
      <c r="X4878" s="41"/>
      <c r="Y4878" s="41"/>
    </row>
    <row r="4879" s="27" customFormat="1" ht="23" hidden="1" customHeight="1" spans="1:25">
      <c r="A4879" s="133" t="str">
        <f>IF(B4879="","",COUNTA($B$5:B4879))</f>
        <v/>
      </c>
      <c r="B4879" s="148"/>
      <c r="C4879" s="22" t="s">
        <v>49</v>
      </c>
      <c r="D4879" s="149"/>
      <c r="E4879" s="150"/>
      <c r="F4879" s="151"/>
      <c r="G4879" s="151"/>
      <c r="H4879" s="142">
        <f>IFERROR(VLOOKUP($C4879,$C$5:$H$18,6,0)+SUMIF($C$19:$C4879,$C4879,$F$19:$F4879)-SUMIF($C$19:$C4879,$C4879,$G$19:$G4879),"")</f>
        <v>81211.819999998</v>
      </c>
      <c r="I4879" s="147"/>
      <c r="J4879" s="147"/>
      <c r="K4879" s="147" t="str">
        <f t="shared" si="76"/>
        <v/>
      </c>
      <c r="L4879" s="40"/>
      <c r="M4879"/>
      <c r="N4879"/>
      <c r="O4879"/>
      <c r="P4879"/>
      <c r="Q4879"/>
      <c r="R4879"/>
      <c r="S4879"/>
      <c r="T4879"/>
      <c r="U4879"/>
      <c r="V4879"/>
      <c r="W4879" s="41"/>
      <c r="X4879" s="41"/>
      <c r="Y4879" s="41"/>
    </row>
    <row r="4880" s="27" customFormat="1" ht="23" hidden="1" customHeight="1" spans="1:25">
      <c r="A4880" s="133" t="str">
        <f>IF(B4880="","",COUNTA($B$5:B4880))</f>
        <v/>
      </c>
      <c r="B4880" s="148"/>
      <c r="C4880" s="22" t="s">
        <v>49</v>
      </c>
      <c r="D4880" s="149"/>
      <c r="E4880" s="150"/>
      <c r="F4880" s="151"/>
      <c r="G4880" s="151"/>
      <c r="H4880" s="142">
        <f>IFERROR(VLOOKUP($C4880,$C$5:$H$18,6,0)+SUMIF($C$19:$C4880,$C4880,$F$19:$F4880)-SUMIF($C$19:$C4880,$C4880,$G$19:$G4880),"")</f>
        <v>81211.819999998</v>
      </c>
      <c r="I4880" s="147"/>
      <c r="J4880" s="147"/>
      <c r="K4880" s="147" t="str">
        <f t="shared" si="76"/>
        <v/>
      </c>
      <c r="L4880" s="40"/>
      <c r="M4880"/>
      <c r="N4880"/>
      <c r="O4880"/>
      <c r="P4880"/>
      <c r="Q4880"/>
      <c r="R4880"/>
      <c r="S4880"/>
      <c r="T4880"/>
      <c r="U4880"/>
      <c r="V4880"/>
      <c r="W4880" s="41"/>
      <c r="X4880" s="41"/>
      <c r="Y4880" s="41"/>
    </row>
    <row r="4881" s="27" customFormat="1" ht="23" hidden="1" customHeight="1" spans="1:25">
      <c r="A4881" s="133" t="str">
        <f>IF(B4881="","",COUNTA($B$5:B4881))</f>
        <v/>
      </c>
      <c r="B4881" s="148"/>
      <c r="C4881" s="22" t="s">
        <v>49</v>
      </c>
      <c r="D4881" s="149"/>
      <c r="E4881" s="150"/>
      <c r="F4881" s="151"/>
      <c r="G4881" s="151"/>
      <c r="H4881" s="142">
        <f>IFERROR(VLOOKUP($C4881,$C$5:$H$18,6,0)+SUMIF($C$19:$C4881,$C4881,$F$19:$F4881)-SUMIF($C$19:$C4881,$C4881,$G$19:$G4881),"")</f>
        <v>81211.819999998</v>
      </c>
      <c r="I4881" s="147"/>
      <c r="J4881" s="147"/>
      <c r="K4881" s="147" t="str">
        <f t="shared" si="76"/>
        <v/>
      </c>
      <c r="L4881" s="40"/>
      <c r="M4881"/>
      <c r="N4881"/>
      <c r="O4881"/>
      <c r="P4881"/>
      <c r="Q4881"/>
      <c r="R4881"/>
      <c r="S4881"/>
      <c r="T4881"/>
      <c r="U4881"/>
      <c r="V4881"/>
      <c r="W4881" s="41"/>
      <c r="X4881" s="41"/>
      <c r="Y4881" s="41"/>
    </row>
    <row r="4882" s="27" customFormat="1" ht="23" hidden="1" customHeight="1" spans="1:25">
      <c r="A4882" s="133" t="str">
        <f>IF(B4882="","",COUNTA($B$5:B4882))</f>
        <v/>
      </c>
      <c r="B4882" s="148"/>
      <c r="C4882" s="22" t="s">
        <v>49</v>
      </c>
      <c r="D4882" s="149"/>
      <c r="E4882" s="150"/>
      <c r="F4882" s="151"/>
      <c r="G4882" s="151"/>
      <c r="H4882" s="142">
        <f>IFERROR(VLOOKUP($C4882,$C$5:$H$18,6,0)+SUMIF($C$19:$C4882,$C4882,$F$19:$F4882)-SUMIF($C$19:$C4882,$C4882,$G$19:$G4882),"")</f>
        <v>81211.819999998</v>
      </c>
      <c r="I4882" s="147"/>
      <c r="J4882" s="147"/>
      <c r="K4882" s="147" t="str">
        <f t="shared" si="76"/>
        <v/>
      </c>
      <c r="L4882" s="40"/>
      <c r="M4882"/>
      <c r="N4882"/>
      <c r="O4882"/>
      <c r="P4882"/>
      <c r="Q4882"/>
      <c r="R4882"/>
      <c r="S4882"/>
      <c r="T4882"/>
      <c r="U4882"/>
      <c r="V4882"/>
      <c r="W4882" s="41"/>
      <c r="X4882" s="41"/>
      <c r="Y4882" s="41"/>
    </row>
    <row r="4883" s="27" customFormat="1" ht="23" hidden="1" customHeight="1" spans="1:25">
      <c r="A4883" s="133" t="str">
        <f>IF(B4883="","",COUNTA($B$5:B4883))</f>
        <v/>
      </c>
      <c r="B4883" s="148"/>
      <c r="C4883" s="22" t="s">
        <v>49</v>
      </c>
      <c r="D4883" s="149"/>
      <c r="E4883" s="150"/>
      <c r="F4883" s="151"/>
      <c r="G4883" s="151"/>
      <c r="H4883" s="142">
        <f>IFERROR(VLOOKUP($C4883,$C$5:$H$18,6,0)+SUMIF($C$19:$C4883,$C4883,$F$19:$F4883)-SUMIF($C$19:$C4883,$C4883,$G$19:$G4883),"")</f>
        <v>81211.819999998</v>
      </c>
      <c r="I4883" s="147"/>
      <c r="J4883" s="147"/>
      <c r="K4883" s="147" t="str">
        <f t="shared" si="76"/>
        <v/>
      </c>
      <c r="L4883" s="40"/>
      <c r="M4883"/>
      <c r="N4883"/>
      <c r="O4883"/>
      <c r="P4883"/>
      <c r="Q4883"/>
      <c r="R4883"/>
      <c r="S4883"/>
      <c r="T4883"/>
      <c r="U4883"/>
      <c r="V4883"/>
      <c r="W4883" s="41"/>
      <c r="X4883" s="41"/>
      <c r="Y4883" s="41"/>
    </row>
    <row r="4884" s="27" customFormat="1" ht="23" hidden="1" customHeight="1" spans="1:25">
      <c r="A4884" s="133" t="str">
        <f>IF(B4884="","",COUNTA($B$5:B4884))</f>
        <v/>
      </c>
      <c r="B4884" s="148"/>
      <c r="C4884" s="22" t="s">
        <v>49</v>
      </c>
      <c r="D4884" s="149"/>
      <c r="E4884" s="150"/>
      <c r="F4884" s="151"/>
      <c r="G4884" s="151"/>
      <c r="H4884" s="142">
        <f>IFERROR(VLOOKUP($C4884,$C$5:$H$18,6,0)+SUMIF($C$19:$C4884,$C4884,$F$19:$F4884)-SUMIF($C$19:$C4884,$C4884,$G$19:$G4884),"")</f>
        <v>81211.819999998</v>
      </c>
      <c r="I4884" s="147"/>
      <c r="J4884" s="147"/>
      <c r="K4884" s="147" t="str">
        <f t="shared" si="76"/>
        <v/>
      </c>
      <c r="L4884" s="40"/>
      <c r="M4884"/>
      <c r="N4884"/>
      <c r="O4884"/>
      <c r="P4884"/>
      <c r="Q4884"/>
      <c r="R4884"/>
      <c r="S4884"/>
      <c r="T4884"/>
      <c r="U4884"/>
      <c r="V4884"/>
      <c r="W4884" s="41"/>
      <c r="X4884" s="41"/>
      <c r="Y4884" s="41"/>
    </row>
    <row r="4885" s="27" customFormat="1" ht="23" hidden="1" customHeight="1" spans="1:25">
      <c r="A4885" s="133" t="str">
        <f>IF(B4885="","",COUNTA($B$5:B4885))</f>
        <v/>
      </c>
      <c r="B4885" s="148"/>
      <c r="C4885" s="22" t="s">
        <v>49</v>
      </c>
      <c r="D4885" s="149"/>
      <c r="E4885" s="150"/>
      <c r="F4885" s="151"/>
      <c r="G4885" s="151"/>
      <c r="H4885" s="142">
        <f>IFERROR(VLOOKUP($C4885,$C$5:$H$18,6,0)+SUMIF($C$19:$C4885,$C4885,$F$19:$F4885)-SUMIF($C$19:$C4885,$C4885,$G$19:$G4885),"")</f>
        <v>81211.819999998</v>
      </c>
      <c r="I4885" s="147"/>
      <c r="J4885" s="147"/>
      <c r="K4885" s="147" t="str">
        <f t="shared" si="76"/>
        <v/>
      </c>
      <c r="L4885" s="40"/>
      <c r="M4885"/>
      <c r="N4885"/>
      <c r="O4885"/>
      <c r="P4885"/>
      <c r="Q4885"/>
      <c r="R4885"/>
      <c r="S4885"/>
      <c r="T4885"/>
      <c r="U4885"/>
      <c r="V4885"/>
      <c r="W4885" s="41"/>
      <c r="X4885" s="41"/>
      <c r="Y4885" s="41"/>
    </row>
    <row r="4886" s="27" customFormat="1" ht="23" hidden="1" customHeight="1" spans="1:25">
      <c r="A4886" s="133" t="str">
        <f>IF(B4886="","",COUNTA($B$5:B4886))</f>
        <v/>
      </c>
      <c r="B4886" s="148"/>
      <c r="C4886" s="22" t="s">
        <v>49</v>
      </c>
      <c r="D4886" s="149"/>
      <c r="E4886" s="150"/>
      <c r="F4886" s="151"/>
      <c r="G4886" s="151"/>
      <c r="H4886" s="142">
        <f>IFERROR(VLOOKUP($C4886,$C$5:$H$18,6,0)+SUMIF($C$19:$C4886,$C4886,$F$19:$F4886)-SUMIF($C$19:$C4886,$C4886,$G$19:$G4886),"")</f>
        <v>81211.819999998</v>
      </c>
      <c r="I4886" s="147"/>
      <c r="J4886" s="147"/>
      <c r="K4886" s="147" t="str">
        <f t="shared" si="76"/>
        <v/>
      </c>
      <c r="L4886" s="40"/>
      <c r="M4886"/>
      <c r="N4886"/>
      <c r="O4886"/>
      <c r="P4886"/>
      <c r="Q4886"/>
      <c r="R4886"/>
      <c r="S4886"/>
      <c r="T4886"/>
      <c r="U4886"/>
      <c r="V4886"/>
      <c r="W4886" s="41"/>
      <c r="X4886" s="41"/>
      <c r="Y4886" s="41"/>
    </row>
    <row r="4887" s="27" customFormat="1" ht="23" hidden="1" customHeight="1" spans="1:25">
      <c r="A4887" s="133" t="str">
        <f>IF(B4887="","",COUNTA($B$5:B4887))</f>
        <v/>
      </c>
      <c r="B4887" s="148"/>
      <c r="C4887" s="22" t="s">
        <v>49</v>
      </c>
      <c r="D4887" s="149"/>
      <c r="E4887" s="150"/>
      <c r="F4887" s="151"/>
      <c r="G4887" s="151"/>
      <c r="H4887" s="142">
        <f>IFERROR(VLOOKUP($C4887,$C$5:$H$18,6,0)+SUMIF($C$19:$C4887,$C4887,$F$19:$F4887)-SUMIF($C$19:$C4887,$C4887,$G$19:$G4887),"")</f>
        <v>81211.819999998</v>
      </c>
      <c r="I4887" s="147"/>
      <c r="J4887" s="147"/>
      <c r="K4887" s="147" t="str">
        <f t="shared" si="76"/>
        <v/>
      </c>
      <c r="L4887" s="40"/>
      <c r="M4887"/>
      <c r="N4887"/>
      <c r="O4887"/>
      <c r="P4887"/>
      <c r="Q4887"/>
      <c r="R4887"/>
      <c r="S4887"/>
      <c r="T4887"/>
      <c r="U4887"/>
      <c r="V4887"/>
      <c r="W4887" s="41"/>
      <c r="X4887" s="41"/>
      <c r="Y4887" s="41"/>
    </row>
    <row r="4888" s="27" customFormat="1" ht="23" hidden="1" customHeight="1" spans="1:25">
      <c r="A4888" s="133" t="str">
        <f>IF(B4888="","",COUNTA($B$5:B4888))</f>
        <v/>
      </c>
      <c r="B4888" s="148"/>
      <c r="C4888" s="22" t="s">
        <v>49</v>
      </c>
      <c r="D4888" s="149"/>
      <c r="E4888" s="150"/>
      <c r="F4888" s="151"/>
      <c r="G4888" s="151"/>
      <c r="H4888" s="142">
        <f>IFERROR(VLOOKUP($C4888,$C$5:$H$18,6,0)+SUMIF($C$19:$C4888,$C4888,$F$19:$F4888)-SUMIF($C$19:$C4888,$C4888,$G$19:$G4888),"")</f>
        <v>81211.819999998</v>
      </c>
      <c r="I4888" s="147"/>
      <c r="J4888" s="147"/>
      <c r="K4888" s="147" t="str">
        <f t="shared" si="76"/>
        <v/>
      </c>
      <c r="L4888" s="40"/>
      <c r="M4888"/>
      <c r="N4888"/>
      <c r="O4888"/>
      <c r="P4888"/>
      <c r="Q4888"/>
      <c r="R4888"/>
      <c r="S4888"/>
      <c r="T4888"/>
      <c r="U4888"/>
      <c r="V4888"/>
      <c r="W4888" s="41"/>
      <c r="X4888" s="41"/>
      <c r="Y4888" s="41"/>
    </row>
    <row r="4889" s="27" customFormat="1" ht="23" hidden="1" customHeight="1" spans="1:25">
      <c r="A4889" s="133" t="str">
        <f>IF(B4889="","",COUNTA($B$5:B4889))</f>
        <v/>
      </c>
      <c r="B4889" s="148"/>
      <c r="C4889" s="22" t="s">
        <v>49</v>
      </c>
      <c r="D4889" s="149"/>
      <c r="E4889" s="150"/>
      <c r="F4889" s="151"/>
      <c r="G4889" s="151"/>
      <c r="H4889" s="142">
        <f>IFERROR(VLOOKUP($C4889,$C$5:$H$18,6,0)+SUMIF($C$19:$C4889,$C4889,$F$19:$F4889)-SUMIF($C$19:$C4889,$C4889,$G$19:$G4889),"")</f>
        <v>81211.819999998</v>
      </c>
      <c r="I4889" s="147"/>
      <c r="J4889" s="147"/>
      <c r="K4889" s="147" t="str">
        <f t="shared" si="76"/>
        <v/>
      </c>
      <c r="L4889" s="40"/>
      <c r="M4889"/>
      <c r="N4889"/>
      <c r="O4889"/>
      <c r="P4889"/>
      <c r="Q4889"/>
      <c r="R4889"/>
      <c r="S4889"/>
      <c r="T4889"/>
      <c r="U4889"/>
      <c r="V4889"/>
      <c r="W4889" s="41"/>
      <c r="X4889" s="41"/>
      <c r="Y4889" s="41"/>
    </row>
    <row r="4890" s="27" customFormat="1" ht="23" hidden="1" customHeight="1" spans="1:25">
      <c r="A4890" s="133" t="str">
        <f>IF(B4890="","",COUNTA($B$5:B4890))</f>
        <v/>
      </c>
      <c r="B4890" s="148"/>
      <c r="C4890" s="22" t="s">
        <v>49</v>
      </c>
      <c r="D4890" s="149"/>
      <c r="E4890" s="150"/>
      <c r="F4890" s="151"/>
      <c r="G4890" s="151"/>
      <c r="H4890" s="142">
        <f>IFERROR(VLOOKUP($C4890,$C$5:$H$18,6,0)+SUMIF($C$19:$C4890,$C4890,$F$19:$F4890)-SUMIF($C$19:$C4890,$C4890,$G$19:$G4890),"")</f>
        <v>81211.819999998</v>
      </c>
      <c r="I4890" s="147"/>
      <c r="J4890" s="147"/>
      <c r="K4890" s="147" t="str">
        <f t="shared" si="76"/>
        <v/>
      </c>
      <c r="L4890" s="40"/>
      <c r="M4890"/>
      <c r="N4890"/>
      <c r="O4890"/>
      <c r="P4890"/>
      <c r="Q4890"/>
      <c r="R4890"/>
      <c r="S4890"/>
      <c r="T4890"/>
      <c r="U4890"/>
      <c r="V4890"/>
      <c r="W4890" s="41"/>
      <c r="X4890" s="41"/>
      <c r="Y4890" s="41"/>
    </row>
    <row r="4891" s="27" customFormat="1" ht="23" hidden="1" customHeight="1" spans="1:25">
      <c r="A4891" s="133" t="str">
        <f>IF(B4891="","",COUNTA($B$5:B4891))</f>
        <v/>
      </c>
      <c r="B4891" s="148"/>
      <c r="C4891" s="22" t="s">
        <v>49</v>
      </c>
      <c r="D4891" s="149"/>
      <c r="E4891" s="150"/>
      <c r="F4891" s="151"/>
      <c r="G4891" s="151"/>
      <c r="H4891" s="142">
        <f>IFERROR(VLOOKUP($C4891,$C$5:$H$18,6,0)+SUMIF($C$19:$C4891,$C4891,$F$19:$F4891)-SUMIF($C$19:$C4891,$C4891,$G$19:$G4891),"")</f>
        <v>81211.819999998</v>
      </c>
      <c r="I4891" s="147"/>
      <c r="J4891" s="147"/>
      <c r="K4891" s="147" t="str">
        <f t="shared" si="76"/>
        <v/>
      </c>
      <c r="L4891" s="40"/>
      <c r="M4891"/>
      <c r="N4891"/>
      <c r="O4891"/>
      <c r="P4891"/>
      <c r="Q4891"/>
      <c r="R4891"/>
      <c r="S4891"/>
      <c r="T4891"/>
      <c r="U4891"/>
      <c r="V4891"/>
      <c r="W4891" s="41"/>
      <c r="X4891" s="41"/>
      <c r="Y4891" s="41"/>
    </row>
    <row r="4892" s="27" customFormat="1" ht="23" hidden="1" customHeight="1" spans="1:25">
      <c r="A4892" s="133" t="str">
        <f>IF(B4892="","",COUNTA($B$5:B4892))</f>
        <v/>
      </c>
      <c r="B4892" s="148"/>
      <c r="C4892" s="22" t="s">
        <v>49</v>
      </c>
      <c r="D4892" s="149"/>
      <c r="E4892" s="150"/>
      <c r="F4892" s="151"/>
      <c r="G4892" s="151"/>
      <c r="H4892" s="142">
        <f>IFERROR(VLOOKUP($C4892,$C$5:$H$18,6,0)+SUMIF($C$19:$C4892,$C4892,$F$19:$F4892)-SUMIF($C$19:$C4892,$C4892,$G$19:$G4892),"")</f>
        <v>81211.819999998</v>
      </c>
      <c r="I4892" s="147"/>
      <c r="J4892" s="147"/>
      <c r="K4892" s="147" t="str">
        <f t="shared" si="76"/>
        <v/>
      </c>
      <c r="L4892" s="40"/>
      <c r="M4892"/>
      <c r="N4892"/>
      <c r="O4892"/>
      <c r="P4892"/>
      <c r="Q4892"/>
      <c r="R4892"/>
      <c r="S4892"/>
      <c r="T4892"/>
      <c r="U4892"/>
      <c r="V4892"/>
      <c r="W4892" s="41"/>
      <c r="X4892" s="41"/>
      <c r="Y4892" s="41"/>
    </row>
    <row r="4893" s="27" customFormat="1" ht="23" hidden="1" customHeight="1" spans="1:25">
      <c r="A4893" s="133" t="str">
        <f>IF(B4893="","",COUNTA($B$5:B4893))</f>
        <v/>
      </c>
      <c r="B4893" s="148"/>
      <c r="C4893" s="22" t="s">
        <v>49</v>
      </c>
      <c r="D4893" s="149"/>
      <c r="E4893" s="150"/>
      <c r="F4893" s="151"/>
      <c r="G4893" s="151"/>
      <c r="H4893" s="142">
        <f>IFERROR(VLOOKUP($C4893,$C$5:$H$18,6,0)+SUMIF($C$19:$C4893,$C4893,$F$19:$F4893)-SUMIF($C$19:$C4893,$C4893,$G$19:$G4893),"")</f>
        <v>81211.819999998</v>
      </c>
      <c r="I4893" s="147"/>
      <c r="J4893" s="147"/>
      <c r="K4893" s="147" t="str">
        <f t="shared" si="76"/>
        <v/>
      </c>
      <c r="L4893" s="40"/>
      <c r="M4893"/>
      <c r="N4893"/>
      <c r="O4893"/>
      <c r="P4893"/>
      <c r="Q4893"/>
      <c r="R4893"/>
      <c r="S4893"/>
      <c r="T4893"/>
      <c r="U4893"/>
      <c r="V4893"/>
      <c r="W4893" s="41"/>
      <c r="X4893" s="41"/>
      <c r="Y4893" s="41"/>
    </row>
    <row r="4894" s="27" customFormat="1" ht="23" hidden="1" customHeight="1" spans="1:25">
      <c r="A4894" s="133" t="str">
        <f>IF(B4894="","",COUNTA($B$5:B4894))</f>
        <v/>
      </c>
      <c r="B4894" s="148"/>
      <c r="C4894" s="22" t="s">
        <v>49</v>
      </c>
      <c r="D4894" s="149"/>
      <c r="E4894" s="150"/>
      <c r="F4894" s="151"/>
      <c r="G4894" s="151"/>
      <c r="H4894" s="142">
        <f>IFERROR(VLOOKUP($C4894,$C$5:$H$18,6,0)+SUMIF($C$19:$C4894,$C4894,$F$19:$F4894)-SUMIF($C$19:$C4894,$C4894,$G$19:$G4894),"")</f>
        <v>81211.819999998</v>
      </c>
      <c r="I4894" s="147"/>
      <c r="J4894" s="147"/>
      <c r="K4894" s="147" t="str">
        <f t="shared" si="76"/>
        <v/>
      </c>
      <c r="L4894" s="40"/>
      <c r="M4894"/>
      <c r="N4894"/>
      <c r="O4894"/>
      <c r="P4894"/>
      <c r="Q4894"/>
      <c r="R4894"/>
      <c r="S4894"/>
      <c r="T4894"/>
      <c r="U4894"/>
      <c r="V4894"/>
      <c r="W4894" s="41"/>
      <c r="X4894" s="41"/>
      <c r="Y4894" s="41"/>
    </row>
    <row r="4895" s="27" customFormat="1" ht="23" hidden="1" customHeight="1" spans="1:25">
      <c r="A4895" s="133" t="str">
        <f>IF(B4895="","",COUNTA($B$5:B4895))</f>
        <v/>
      </c>
      <c r="B4895" s="148"/>
      <c r="C4895" s="22" t="s">
        <v>49</v>
      </c>
      <c r="D4895" s="149"/>
      <c r="E4895" s="150"/>
      <c r="F4895" s="151"/>
      <c r="G4895" s="151"/>
      <c r="H4895" s="142">
        <f>IFERROR(VLOOKUP($C4895,$C$5:$H$18,6,0)+SUMIF($C$19:$C4895,$C4895,$F$19:$F4895)-SUMIF($C$19:$C4895,$C4895,$G$19:$G4895),"")</f>
        <v>81211.819999998</v>
      </c>
      <c r="I4895" s="147"/>
      <c r="J4895" s="147"/>
      <c r="K4895" s="147" t="str">
        <f t="shared" si="76"/>
        <v/>
      </c>
      <c r="L4895" s="40"/>
      <c r="M4895"/>
      <c r="N4895"/>
      <c r="O4895"/>
      <c r="P4895"/>
      <c r="Q4895"/>
      <c r="R4895"/>
      <c r="S4895"/>
      <c r="T4895"/>
      <c r="U4895"/>
      <c r="V4895"/>
      <c r="W4895" s="41"/>
      <c r="X4895" s="41"/>
      <c r="Y4895" s="41"/>
    </row>
    <row r="4896" s="27" customFormat="1" ht="23" hidden="1" customHeight="1" spans="1:25">
      <c r="A4896" s="133" t="str">
        <f>IF(B4896="","",COUNTA($B$5:B4896))</f>
        <v/>
      </c>
      <c r="B4896" s="148"/>
      <c r="C4896" s="22" t="s">
        <v>49</v>
      </c>
      <c r="D4896" s="149"/>
      <c r="E4896" s="150"/>
      <c r="F4896" s="151"/>
      <c r="G4896" s="151"/>
      <c r="H4896" s="142">
        <f>IFERROR(VLOOKUP($C4896,$C$5:$H$18,6,0)+SUMIF($C$19:$C4896,$C4896,$F$19:$F4896)-SUMIF($C$19:$C4896,$C4896,$G$19:$G4896),"")</f>
        <v>81211.819999998</v>
      </c>
      <c r="I4896" s="147"/>
      <c r="J4896" s="147"/>
      <c r="K4896" s="147" t="str">
        <f t="shared" si="76"/>
        <v/>
      </c>
      <c r="L4896" s="40"/>
      <c r="M4896"/>
      <c r="N4896"/>
      <c r="O4896"/>
      <c r="P4896"/>
      <c r="Q4896"/>
      <c r="R4896"/>
      <c r="S4896"/>
      <c r="T4896"/>
      <c r="U4896"/>
      <c r="V4896"/>
      <c r="W4896" s="41"/>
      <c r="X4896" s="41"/>
      <c r="Y4896" s="41"/>
    </row>
    <row r="4897" s="27" customFormat="1" ht="23" hidden="1" customHeight="1" spans="1:25">
      <c r="A4897" s="133" t="str">
        <f>IF(B4897="","",COUNTA($B$5:B4897))</f>
        <v/>
      </c>
      <c r="B4897" s="148"/>
      <c r="C4897" s="22" t="s">
        <v>49</v>
      </c>
      <c r="D4897" s="149"/>
      <c r="E4897" s="150"/>
      <c r="F4897" s="151"/>
      <c r="G4897" s="151"/>
      <c r="H4897" s="142">
        <f>IFERROR(VLOOKUP($C4897,$C$5:$H$18,6,0)+SUMIF($C$19:$C4897,$C4897,$F$19:$F4897)-SUMIF($C$19:$C4897,$C4897,$G$19:$G4897),"")</f>
        <v>81211.819999998</v>
      </c>
      <c r="I4897" s="147"/>
      <c r="J4897" s="147"/>
      <c r="K4897" s="147" t="str">
        <f t="shared" si="76"/>
        <v/>
      </c>
      <c r="L4897" s="40"/>
      <c r="M4897"/>
      <c r="N4897"/>
      <c r="O4897"/>
      <c r="P4897"/>
      <c r="Q4897"/>
      <c r="R4897"/>
      <c r="S4897"/>
      <c r="T4897"/>
      <c r="U4897"/>
      <c r="V4897"/>
      <c r="W4897" s="41"/>
      <c r="X4897" s="41"/>
      <c r="Y4897" s="41"/>
    </row>
    <row r="4898" s="27" customFormat="1" ht="23" hidden="1" customHeight="1" spans="1:25">
      <c r="A4898" s="133" t="str">
        <f>IF(B4898="","",COUNTA($B$5:B4898))</f>
        <v/>
      </c>
      <c r="B4898" s="148"/>
      <c r="C4898" s="22" t="s">
        <v>49</v>
      </c>
      <c r="D4898" s="149"/>
      <c r="E4898" s="150"/>
      <c r="F4898" s="151"/>
      <c r="G4898" s="151"/>
      <c r="H4898" s="142">
        <f>IFERROR(VLOOKUP($C4898,$C$5:$H$18,6,0)+SUMIF($C$19:$C4898,$C4898,$F$19:$F4898)-SUMIF($C$19:$C4898,$C4898,$G$19:$G4898),"")</f>
        <v>81211.819999998</v>
      </c>
      <c r="I4898" s="147"/>
      <c r="J4898" s="147"/>
      <c r="K4898" s="147" t="str">
        <f t="shared" si="76"/>
        <v/>
      </c>
      <c r="L4898" s="40"/>
      <c r="M4898"/>
      <c r="N4898"/>
      <c r="O4898"/>
      <c r="P4898"/>
      <c r="Q4898"/>
      <c r="R4898"/>
      <c r="S4898"/>
      <c r="T4898"/>
      <c r="U4898"/>
      <c r="V4898"/>
      <c r="W4898" s="41"/>
      <c r="X4898" s="41"/>
      <c r="Y4898" s="41"/>
    </row>
    <row r="4899" s="27" customFormat="1" ht="23" hidden="1" customHeight="1" spans="1:25">
      <c r="A4899" s="133" t="str">
        <f>IF(B4899="","",COUNTA($B$5:B4899))</f>
        <v/>
      </c>
      <c r="B4899" s="148"/>
      <c r="C4899" s="22" t="s">
        <v>49</v>
      </c>
      <c r="D4899" s="149"/>
      <c r="E4899" s="150"/>
      <c r="F4899" s="151"/>
      <c r="G4899" s="151"/>
      <c r="H4899" s="142">
        <f>IFERROR(VLOOKUP($C4899,$C$5:$H$18,6,0)+SUMIF($C$19:$C4899,$C4899,$F$19:$F4899)-SUMIF($C$19:$C4899,$C4899,$G$19:$G4899),"")</f>
        <v>81211.819999998</v>
      </c>
      <c r="I4899" s="147"/>
      <c r="J4899" s="147"/>
      <c r="K4899" s="147" t="str">
        <f t="shared" si="76"/>
        <v/>
      </c>
      <c r="L4899" s="40"/>
      <c r="M4899"/>
      <c r="N4899"/>
      <c r="O4899"/>
      <c r="P4899"/>
      <c r="Q4899"/>
      <c r="R4899"/>
      <c r="S4899"/>
      <c r="T4899"/>
      <c r="U4899"/>
      <c r="V4899"/>
      <c r="W4899" s="41"/>
      <c r="X4899" s="41"/>
      <c r="Y4899" s="41"/>
    </row>
    <row r="4900" s="27" customFormat="1" ht="23" hidden="1" customHeight="1" spans="1:25">
      <c r="A4900" s="133" t="str">
        <f>IF(B4900="","",COUNTA($B$5:B4900))</f>
        <v/>
      </c>
      <c r="B4900" s="148"/>
      <c r="C4900" s="22" t="s">
        <v>49</v>
      </c>
      <c r="D4900" s="149"/>
      <c r="E4900" s="150"/>
      <c r="F4900" s="151"/>
      <c r="G4900" s="151"/>
      <c r="H4900" s="142">
        <f>IFERROR(VLOOKUP($C4900,$C$5:$H$18,6,0)+SUMIF($C$19:$C4900,$C4900,$F$19:$F4900)-SUMIF($C$19:$C4900,$C4900,$G$19:$G4900),"")</f>
        <v>81211.819999998</v>
      </c>
      <c r="I4900" s="147"/>
      <c r="J4900" s="147"/>
      <c r="K4900" s="147" t="str">
        <f t="shared" si="76"/>
        <v/>
      </c>
      <c r="L4900" s="40"/>
      <c r="M4900"/>
      <c r="N4900"/>
      <c r="O4900"/>
      <c r="P4900"/>
      <c r="Q4900"/>
      <c r="R4900"/>
      <c r="S4900"/>
      <c r="T4900"/>
      <c r="U4900"/>
      <c r="V4900"/>
      <c r="W4900" s="41"/>
      <c r="X4900" s="41"/>
      <c r="Y4900" s="41"/>
    </row>
    <row r="4901" s="27" customFormat="1" ht="23" hidden="1" customHeight="1" spans="1:25">
      <c r="A4901" s="133" t="str">
        <f>IF(B4901="","",COUNTA($B$5:B4901))</f>
        <v/>
      </c>
      <c r="B4901" s="148"/>
      <c r="C4901" s="22" t="s">
        <v>49</v>
      </c>
      <c r="D4901" s="149"/>
      <c r="E4901" s="150"/>
      <c r="F4901" s="151"/>
      <c r="G4901" s="151"/>
      <c r="H4901" s="142">
        <f>IFERROR(VLOOKUP($C4901,$C$5:$H$18,6,0)+SUMIF($C$19:$C4901,$C4901,$F$19:$F4901)-SUMIF($C$19:$C4901,$C4901,$G$19:$G4901),"")</f>
        <v>81211.819999998</v>
      </c>
      <c r="I4901" s="147"/>
      <c r="J4901" s="147"/>
      <c r="K4901" s="147" t="str">
        <f t="shared" si="76"/>
        <v/>
      </c>
      <c r="L4901" s="40"/>
      <c r="M4901"/>
      <c r="N4901"/>
      <c r="O4901"/>
      <c r="P4901"/>
      <c r="Q4901"/>
      <c r="R4901"/>
      <c r="S4901"/>
      <c r="T4901"/>
      <c r="U4901"/>
      <c r="V4901"/>
      <c r="W4901" s="41"/>
      <c r="X4901" s="41"/>
      <c r="Y4901" s="41"/>
    </row>
    <row r="4902" s="27" customFormat="1" ht="23" hidden="1" customHeight="1" spans="1:25">
      <c r="A4902" s="133" t="str">
        <f>IF(B4902="","",COUNTA($B$5:B4902))</f>
        <v/>
      </c>
      <c r="B4902" s="148"/>
      <c r="C4902" s="22" t="s">
        <v>49</v>
      </c>
      <c r="D4902" s="149"/>
      <c r="E4902" s="150"/>
      <c r="F4902" s="151"/>
      <c r="G4902" s="151"/>
      <c r="H4902" s="142">
        <f>IFERROR(VLOOKUP($C4902,$C$5:$H$18,6,0)+SUMIF($C$19:$C4902,$C4902,$F$19:$F4902)-SUMIF($C$19:$C4902,$C4902,$G$19:$G4902),"")</f>
        <v>81211.819999998</v>
      </c>
      <c r="I4902" s="147"/>
      <c r="J4902" s="147"/>
      <c r="K4902" s="147" t="str">
        <f t="shared" si="76"/>
        <v/>
      </c>
      <c r="L4902" s="40"/>
      <c r="M4902"/>
      <c r="N4902"/>
      <c r="O4902"/>
      <c r="P4902"/>
      <c r="Q4902"/>
      <c r="R4902"/>
      <c r="S4902"/>
      <c r="T4902"/>
      <c r="U4902"/>
      <c r="V4902"/>
      <c r="W4902" s="41"/>
      <c r="X4902" s="41"/>
      <c r="Y4902" s="41"/>
    </row>
    <row r="4903" s="27" customFormat="1" ht="23" hidden="1" customHeight="1" spans="1:25">
      <c r="A4903" s="133" t="str">
        <f>IF(B4903="","",COUNTA($B$5:B4903))</f>
        <v/>
      </c>
      <c r="B4903" s="148"/>
      <c r="C4903" s="22" t="s">
        <v>49</v>
      </c>
      <c r="D4903" s="149"/>
      <c r="E4903" s="150"/>
      <c r="F4903" s="151"/>
      <c r="G4903" s="151"/>
      <c r="H4903" s="142">
        <f>IFERROR(VLOOKUP($C4903,$C$5:$H$18,6,0)+SUMIF($C$19:$C4903,$C4903,$F$19:$F4903)-SUMIF($C$19:$C4903,$C4903,$G$19:$G4903),"")</f>
        <v>81211.819999998</v>
      </c>
      <c r="I4903" s="147"/>
      <c r="J4903" s="147"/>
      <c r="K4903" s="147" t="str">
        <f t="shared" si="76"/>
        <v/>
      </c>
      <c r="L4903" s="40"/>
      <c r="M4903"/>
      <c r="N4903"/>
      <c r="O4903"/>
      <c r="P4903"/>
      <c r="Q4903"/>
      <c r="R4903"/>
      <c r="S4903"/>
      <c r="T4903"/>
      <c r="U4903"/>
      <c r="V4903"/>
      <c r="W4903" s="41"/>
      <c r="X4903" s="41"/>
      <c r="Y4903" s="41"/>
    </row>
    <row r="4904" s="27" customFormat="1" ht="23" hidden="1" customHeight="1" spans="1:25">
      <c r="A4904" s="133" t="str">
        <f>IF(B4904="","",COUNTA($B$5:B4904))</f>
        <v/>
      </c>
      <c r="B4904" s="148"/>
      <c r="C4904" s="22" t="s">
        <v>49</v>
      </c>
      <c r="D4904" s="149"/>
      <c r="E4904" s="150"/>
      <c r="F4904" s="151"/>
      <c r="G4904" s="151"/>
      <c r="H4904" s="142">
        <f>IFERROR(VLOOKUP($C4904,$C$5:$H$18,6,0)+SUMIF($C$19:$C4904,$C4904,$F$19:$F4904)-SUMIF($C$19:$C4904,$C4904,$G$19:$G4904),"")</f>
        <v>81211.819999998</v>
      </c>
      <c r="I4904" s="147"/>
      <c r="J4904" s="147"/>
      <c r="K4904" s="147" t="str">
        <f t="shared" si="76"/>
        <v/>
      </c>
      <c r="L4904" s="40"/>
      <c r="M4904"/>
      <c r="N4904"/>
      <c r="O4904"/>
      <c r="P4904"/>
      <c r="Q4904"/>
      <c r="R4904"/>
      <c r="S4904"/>
      <c r="T4904"/>
      <c r="U4904"/>
      <c r="V4904"/>
      <c r="W4904" s="41"/>
      <c r="X4904" s="41"/>
      <c r="Y4904" s="41"/>
    </row>
    <row r="4905" s="27" customFormat="1" ht="23" hidden="1" customHeight="1" spans="1:25">
      <c r="A4905" s="133" t="str">
        <f>IF(B4905="","",COUNTA($B$5:B4905))</f>
        <v/>
      </c>
      <c r="B4905" s="148"/>
      <c r="C4905" s="22" t="s">
        <v>49</v>
      </c>
      <c r="D4905" s="149"/>
      <c r="E4905" s="150"/>
      <c r="F4905" s="151"/>
      <c r="G4905" s="151"/>
      <c r="H4905" s="142">
        <f>IFERROR(VLOOKUP($C4905,$C$5:$H$18,6,0)+SUMIF($C$19:$C4905,$C4905,$F$19:$F4905)-SUMIF($C$19:$C4905,$C4905,$G$19:$G4905),"")</f>
        <v>81211.819999998</v>
      </c>
      <c r="I4905" s="147"/>
      <c r="J4905" s="147"/>
      <c r="K4905" s="147" t="str">
        <f t="shared" si="76"/>
        <v/>
      </c>
      <c r="L4905" s="40"/>
      <c r="M4905"/>
      <c r="N4905"/>
      <c r="O4905"/>
      <c r="P4905"/>
      <c r="Q4905"/>
      <c r="R4905"/>
      <c r="S4905"/>
      <c r="T4905"/>
      <c r="U4905"/>
      <c r="V4905"/>
      <c r="W4905" s="41"/>
      <c r="X4905" s="41"/>
      <c r="Y4905" s="41"/>
    </row>
    <row r="4906" s="27" customFormat="1" ht="23" hidden="1" customHeight="1" spans="1:25">
      <c r="A4906" s="133" t="str">
        <f>IF(B4906="","",COUNTA($B$5:B4906))</f>
        <v/>
      </c>
      <c r="B4906" s="148"/>
      <c r="C4906" s="22" t="s">
        <v>49</v>
      </c>
      <c r="D4906" s="149"/>
      <c r="E4906" s="150"/>
      <c r="F4906" s="151"/>
      <c r="G4906" s="151"/>
      <c r="H4906" s="142">
        <f>IFERROR(VLOOKUP($C4906,$C$5:$H$18,6,0)+SUMIF($C$19:$C4906,$C4906,$F$19:$F4906)-SUMIF($C$19:$C4906,$C4906,$G$19:$G4906),"")</f>
        <v>81211.819999998</v>
      </c>
      <c r="I4906" s="147"/>
      <c r="J4906" s="147"/>
      <c r="K4906" s="147" t="str">
        <f t="shared" si="76"/>
        <v/>
      </c>
      <c r="L4906" s="40"/>
      <c r="M4906"/>
      <c r="N4906"/>
      <c r="O4906"/>
      <c r="P4906"/>
      <c r="Q4906"/>
      <c r="R4906"/>
      <c r="S4906"/>
      <c r="T4906"/>
      <c r="U4906"/>
      <c r="V4906"/>
      <c r="W4906" s="41"/>
      <c r="X4906" s="41"/>
      <c r="Y4906" s="41"/>
    </row>
    <row r="4907" s="27" customFormat="1" ht="23" hidden="1" customHeight="1" spans="1:25">
      <c r="A4907" s="133" t="str">
        <f>IF(B4907="","",COUNTA($B$5:B4907))</f>
        <v/>
      </c>
      <c r="B4907" s="148"/>
      <c r="C4907" s="22" t="s">
        <v>49</v>
      </c>
      <c r="D4907" s="149"/>
      <c r="E4907" s="150"/>
      <c r="F4907" s="151"/>
      <c r="G4907" s="151"/>
      <c r="H4907" s="142">
        <f>IFERROR(VLOOKUP($C4907,$C$5:$H$18,6,0)+SUMIF($C$19:$C4907,$C4907,$F$19:$F4907)-SUMIF($C$19:$C4907,$C4907,$G$19:$G4907),"")</f>
        <v>81211.819999998</v>
      </c>
      <c r="I4907" s="147"/>
      <c r="J4907" s="147"/>
      <c r="K4907" s="147" t="str">
        <f t="shared" si="76"/>
        <v/>
      </c>
      <c r="L4907" s="40"/>
      <c r="M4907"/>
      <c r="N4907"/>
      <c r="O4907"/>
      <c r="P4907"/>
      <c r="Q4907"/>
      <c r="R4907"/>
      <c r="S4907"/>
      <c r="T4907"/>
      <c r="U4907"/>
      <c r="V4907"/>
      <c r="W4907" s="41"/>
      <c r="X4907" s="41"/>
      <c r="Y4907" s="41"/>
    </row>
    <row r="4908" s="27" customFormat="1" ht="23" hidden="1" customHeight="1" spans="1:25">
      <c r="A4908" s="133" t="str">
        <f>IF(B4908="","",COUNTA($B$5:B4908))</f>
        <v/>
      </c>
      <c r="B4908" s="148"/>
      <c r="C4908" s="22" t="s">
        <v>49</v>
      </c>
      <c r="D4908" s="149"/>
      <c r="E4908" s="150"/>
      <c r="F4908" s="151"/>
      <c r="G4908" s="151"/>
      <c r="H4908" s="142">
        <f>IFERROR(VLOOKUP($C4908,$C$5:$H$18,6,0)+SUMIF($C$19:$C4908,$C4908,$F$19:$F4908)-SUMIF($C$19:$C4908,$C4908,$G$19:$G4908),"")</f>
        <v>81211.819999998</v>
      </c>
      <c r="I4908" s="147"/>
      <c r="J4908" s="147"/>
      <c r="K4908" s="147" t="str">
        <f t="shared" si="76"/>
        <v/>
      </c>
      <c r="L4908" s="40"/>
      <c r="M4908"/>
      <c r="N4908"/>
      <c r="O4908"/>
      <c r="P4908"/>
      <c r="Q4908"/>
      <c r="R4908"/>
      <c r="S4908"/>
      <c r="T4908"/>
      <c r="U4908"/>
      <c r="V4908"/>
      <c r="W4908" s="41"/>
      <c r="X4908" s="41"/>
      <c r="Y4908" s="41"/>
    </row>
    <row r="4909" s="27" customFormat="1" ht="23" hidden="1" customHeight="1" spans="1:25">
      <c r="A4909" s="133" t="str">
        <f>IF(B4909="","",COUNTA($B$5:B4909))</f>
        <v/>
      </c>
      <c r="B4909" s="148"/>
      <c r="C4909" s="22" t="s">
        <v>49</v>
      </c>
      <c r="D4909" s="149"/>
      <c r="E4909" s="150"/>
      <c r="F4909" s="151"/>
      <c r="G4909" s="151"/>
      <c r="H4909" s="142">
        <f>IFERROR(VLOOKUP($C4909,$C$5:$H$18,6,0)+SUMIF($C$19:$C4909,$C4909,$F$19:$F4909)-SUMIF($C$19:$C4909,$C4909,$G$19:$G4909),"")</f>
        <v>81211.819999998</v>
      </c>
      <c r="I4909" s="147"/>
      <c r="J4909" s="147"/>
      <c r="K4909" s="147" t="str">
        <f t="shared" si="76"/>
        <v/>
      </c>
      <c r="L4909" s="40"/>
      <c r="M4909"/>
      <c r="N4909"/>
      <c r="O4909"/>
      <c r="P4909"/>
      <c r="Q4909"/>
      <c r="R4909"/>
      <c r="S4909"/>
      <c r="T4909"/>
      <c r="U4909"/>
      <c r="V4909"/>
      <c r="W4909" s="41"/>
      <c r="X4909" s="41"/>
      <c r="Y4909" s="41"/>
    </row>
    <row r="4910" s="27" customFormat="1" ht="23" hidden="1" customHeight="1" spans="1:25">
      <c r="A4910" s="133" t="str">
        <f>IF(B4910="","",COUNTA($B$5:B4910))</f>
        <v/>
      </c>
      <c r="B4910" s="148"/>
      <c r="C4910" s="22" t="s">
        <v>49</v>
      </c>
      <c r="D4910" s="149"/>
      <c r="E4910" s="150"/>
      <c r="F4910" s="151"/>
      <c r="G4910" s="151"/>
      <c r="H4910" s="142">
        <f>IFERROR(VLOOKUP($C4910,$C$5:$H$18,6,0)+SUMIF($C$19:$C4910,$C4910,$F$19:$F4910)-SUMIF($C$19:$C4910,$C4910,$G$19:$G4910),"")</f>
        <v>81211.819999998</v>
      </c>
      <c r="I4910" s="147"/>
      <c r="J4910" s="147"/>
      <c r="K4910" s="147" t="str">
        <f t="shared" si="76"/>
        <v/>
      </c>
      <c r="L4910" s="40"/>
      <c r="M4910"/>
      <c r="N4910"/>
      <c r="O4910"/>
      <c r="P4910"/>
      <c r="Q4910"/>
      <c r="R4910"/>
      <c r="S4910"/>
      <c r="T4910"/>
      <c r="U4910"/>
      <c r="V4910"/>
      <c r="W4910" s="41"/>
      <c r="X4910" s="41"/>
      <c r="Y4910" s="41"/>
    </row>
    <row r="4911" s="27" customFormat="1" ht="23" hidden="1" customHeight="1" spans="1:25">
      <c r="A4911" s="133" t="str">
        <f>IF(B4911="","",COUNTA($B$5:B4911))</f>
        <v/>
      </c>
      <c r="B4911" s="148"/>
      <c r="C4911" s="22" t="s">
        <v>49</v>
      </c>
      <c r="D4911" s="149"/>
      <c r="E4911" s="150"/>
      <c r="F4911" s="151"/>
      <c r="G4911" s="151"/>
      <c r="H4911" s="142">
        <f>IFERROR(VLOOKUP($C4911,$C$5:$H$18,6,0)+SUMIF($C$19:$C4911,$C4911,$F$19:$F4911)-SUMIF($C$19:$C4911,$C4911,$G$19:$G4911),"")</f>
        <v>81211.819999998</v>
      </c>
      <c r="I4911" s="147"/>
      <c r="J4911" s="147"/>
      <c r="K4911" s="147" t="str">
        <f t="shared" si="76"/>
        <v/>
      </c>
      <c r="L4911" s="40"/>
      <c r="M4911"/>
      <c r="N4911"/>
      <c r="O4911"/>
      <c r="P4911"/>
      <c r="Q4911"/>
      <c r="R4911"/>
      <c r="S4911"/>
      <c r="T4911"/>
      <c r="U4911"/>
      <c r="V4911"/>
      <c r="W4911" s="41"/>
      <c r="X4911" s="41"/>
      <c r="Y4911" s="41"/>
    </row>
    <row r="4912" s="27" customFormat="1" ht="23" hidden="1" customHeight="1" spans="1:25">
      <c r="A4912" s="133" t="str">
        <f>IF(B4912="","",COUNTA($B$5:B4912))</f>
        <v/>
      </c>
      <c r="B4912" s="148"/>
      <c r="C4912" s="22" t="s">
        <v>49</v>
      </c>
      <c r="D4912" s="149"/>
      <c r="E4912" s="150"/>
      <c r="F4912" s="151"/>
      <c r="G4912" s="151"/>
      <c r="H4912" s="142">
        <f>IFERROR(VLOOKUP($C4912,$C$5:$H$18,6,0)+SUMIF($C$19:$C4912,$C4912,$F$19:$F4912)-SUMIF($C$19:$C4912,$C4912,$G$19:$G4912),"")</f>
        <v>81211.819999998</v>
      </c>
      <c r="I4912" s="147"/>
      <c r="J4912" s="147"/>
      <c r="K4912" s="147" t="str">
        <f t="shared" si="76"/>
        <v/>
      </c>
      <c r="L4912" s="40"/>
      <c r="M4912"/>
      <c r="N4912"/>
      <c r="O4912"/>
      <c r="P4912"/>
      <c r="Q4912"/>
      <c r="R4912"/>
      <c r="S4912"/>
      <c r="T4912"/>
      <c r="U4912"/>
      <c r="V4912"/>
      <c r="W4912" s="41"/>
      <c r="X4912" s="41"/>
      <c r="Y4912" s="41"/>
    </row>
    <row r="4913" s="27" customFormat="1" ht="23" hidden="1" customHeight="1" spans="1:25">
      <c r="A4913" s="133" t="str">
        <f>IF(B4913="","",COUNTA($B$5:B4913))</f>
        <v/>
      </c>
      <c r="B4913" s="148"/>
      <c r="C4913" s="22" t="s">
        <v>49</v>
      </c>
      <c r="D4913" s="149"/>
      <c r="E4913" s="150"/>
      <c r="F4913" s="151"/>
      <c r="G4913" s="151"/>
      <c r="H4913" s="142">
        <f>IFERROR(VLOOKUP($C4913,$C$5:$H$18,6,0)+SUMIF($C$19:$C4913,$C4913,$F$19:$F4913)-SUMIF($C$19:$C4913,$C4913,$G$19:$G4913),"")</f>
        <v>81211.819999998</v>
      </c>
      <c r="I4913" s="147"/>
      <c r="J4913" s="147"/>
      <c r="K4913" s="147" t="str">
        <f t="shared" si="76"/>
        <v/>
      </c>
      <c r="L4913" s="40"/>
      <c r="M4913"/>
      <c r="N4913"/>
      <c r="O4913"/>
      <c r="P4913"/>
      <c r="Q4913"/>
      <c r="R4913"/>
      <c r="S4913"/>
      <c r="T4913"/>
      <c r="U4913"/>
      <c r="V4913"/>
      <c r="W4913" s="41"/>
      <c r="X4913" s="41"/>
      <c r="Y4913" s="41"/>
    </row>
    <row r="4914" s="27" customFormat="1" ht="23" hidden="1" customHeight="1" spans="1:25">
      <c r="A4914" s="133" t="str">
        <f>IF(B4914="","",COUNTA($B$5:B4914))</f>
        <v/>
      </c>
      <c r="B4914" s="148"/>
      <c r="C4914" s="22" t="s">
        <v>49</v>
      </c>
      <c r="D4914" s="149"/>
      <c r="E4914" s="150"/>
      <c r="F4914" s="151"/>
      <c r="G4914" s="151"/>
      <c r="H4914" s="142">
        <f>IFERROR(VLOOKUP($C4914,$C$5:$H$18,6,0)+SUMIF($C$19:$C4914,$C4914,$F$19:$F4914)-SUMIF($C$19:$C4914,$C4914,$G$19:$G4914),"")</f>
        <v>81211.819999998</v>
      </c>
      <c r="I4914" s="147"/>
      <c r="J4914" s="147"/>
      <c r="K4914" s="147" t="str">
        <f t="shared" si="76"/>
        <v/>
      </c>
      <c r="L4914" s="40"/>
      <c r="M4914"/>
      <c r="N4914"/>
      <c r="O4914"/>
      <c r="P4914"/>
      <c r="Q4914"/>
      <c r="R4914"/>
      <c r="S4914"/>
      <c r="T4914"/>
      <c r="U4914"/>
      <c r="V4914"/>
      <c r="W4914" s="41"/>
      <c r="X4914" s="41"/>
      <c r="Y4914" s="41"/>
    </row>
    <row r="4915" s="27" customFormat="1" ht="23" hidden="1" customHeight="1" spans="1:25">
      <c r="A4915" s="133" t="str">
        <f>IF(B4915="","",COUNTA($B$5:B4915))</f>
        <v/>
      </c>
      <c r="B4915" s="148"/>
      <c r="C4915" s="22" t="s">
        <v>49</v>
      </c>
      <c r="D4915" s="149"/>
      <c r="E4915" s="150"/>
      <c r="F4915" s="151"/>
      <c r="G4915" s="151"/>
      <c r="H4915" s="142">
        <f>IFERROR(VLOOKUP($C4915,$C$5:$H$18,6,0)+SUMIF($C$19:$C4915,$C4915,$F$19:$F4915)-SUMIF($C$19:$C4915,$C4915,$G$19:$G4915),"")</f>
        <v>81211.819999998</v>
      </c>
      <c r="I4915" s="147"/>
      <c r="J4915" s="147"/>
      <c r="K4915" s="147" t="str">
        <f t="shared" si="76"/>
        <v/>
      </c>
      <c r="L4915" s="40"/>
      <c r="M4915"/>
      <c r="N4915"/>
      <c r="O4915"/>
      <c r="P4915"/>
      <c r="Q4915"/>
      <c r="R4915"/>
      <c r="S4915"/>
      <c r="T4915"/>
      <c r="U4915"/>
      <c r="V4915"/>
      <c r="W4915" s="41"/>
      <c r="X4915" s="41"/>
      <c r="Y4915" s="41"/>
    </row>
    <row r="4916" s="27" customFormat="1" ht="23" hidden="1" customHeight="1" spans="1:25">
      <c r="A4916" s="133" t="str">
        <f>IF(B4916="","",COUNTA($B$5:B4916))</f>
        <v/>
      </c>
      <c r="B4916" s="148"/>
      <c r="C4916" s="22" t="s">
        <v>49</v>
      </c>
      <c r="D4916" s="149"/>
      <c r="E4916" s="150"/>
      <c r="F4916" s="151"/>
      <c r="G4916" s="151"/>
      <c r="H4916" s="142">
        <f>IFERROR(VLOOKUP($C4916,$C$5:$H$18,6,0)+SUMIF($C$19:$C4916,$C4916,$F$19:$F4916)-SUMIF($C$19:$C4916,$C4916,$G$19:$G4916),"")</f>
        <v>81211.819999998</v>
      </c>
      <c r="I4916" s="147"/>
      <c r="J4916" s="147"/>
      <c r="K4916" s="147" t="str">
        <f t="shared" si="76"/>
        <v/>
      </c>
      <c r="L4916" s="40"/>
      <c r="M4916"/>
      <c r="N4916"/>
      <c r="O4916"/>
      <c r="P4916"/>
      <c r="Q4916"/>
      <c r="R4916"/>
      <c r="S4916"/>
      <c r="T4916"/>
      <c r="U4916"/>
      <c r="V4916"/>
      <c r="W4916" s="41"/>
      <c r="X4916" s="41"/>
      <c r="Y4916" s="41"/>
    </row>
    <row r="4917" s="27" customFormat="1" ht="23" hidden="1" customHeight="1" spans="1:25">
      <c r="A4917" s="133" t="str">
        <f>IF(B4917="","",COUNTA($B$5:B4917))</f>
        <v/>
      </c>
      <c r="B4917" s="148"/>
      <c r="C4917" s="22" t="s">
        <v>49</v>
      </c>
      <c r="D4917" s="149"/>
      <c r="E4917" s="150"/>
      <c r="F4917" s="151"/>
      <c r="G4917" s="151"/>
      <c r="H4917" s="142">
        <f>IFERROR(VLOOKUP($C4917,$C$5:$H$18,6,0)+SUMIF($C$19:$C4917,$C4917,$F$19:$F4917)-SUMIF($C$19:$C4917,$C4917,$G$19:$G4917),"")</f>
        <v>81211.819999998</v>
      </c>
      <c r="I4917" s="147"/>
      <c r="J4917" s="147"/>
      <c r="K4917" s="147" t="str">
        <f t="shared" si="76"/>
        <v/>
      </c>
      <c r="L4917" s="40"/>
      <c r="M4917"/>
      <c r="N4917"/>
      <c r="O4917"/>
      <c r="P4917"/>
      <c r="Q4917"/>
      <c r="R4917"/>
      <c r="S4917"/>
      <c r="T4917"/>
      <c r="U4917"/>
      <c r="V4917"/>
      <c r="W4917" s="41"/>
      <c r="X4917" s="41"/>
      <c r="Y4917" s="41"/>
    </row>
    <row r="4918" s="27" customFormat="1" ht="23" hidden="1" customHeight="1" spans="1:25">
      <c r="A4918" s="133" t="str">
        <f>IF(B4918="","",COUNTA($B$5:B4918))</f>
        <v/>
      </c>
      <c r="B4918" s="148"/>
      <c r="C4918" s="22" t="s">
        <v>49</v>
      </c>
      <c r="D4918" s="149"/>
      <c r="E4918" s="150"/>
      <c r="F4918" s="151"/>
      <c r="G4918" s="151"/>
      <c r="H4918" s="142">
        <f>IFERROR(VLOOKUP($C4918,$C$5:$H$18,6,0)+SUMIF($C$19:$C4918,$C4918,$F$19:$F4918)-SUMIF($C$19:$C4918,$C4918,$G$19:$G4918),"")</f>
        <v>81211.819999998</v>
      </c>
      <c r="I4918" s="147"/>
      <c r="J4918" s="147"/>
      <c r="K4918" s="147" t="str">
        <f t="shared" si="76"/>
        <v/>
      </c>
      <c r="L4918" s="40"/>
      <c r="M4918"/>
      <c r="N4918"/>
      <c r="O4918"/>
      <c r="P4918"/>
      <c r="Q4918"/>
      <c r="R4918"/>
      <c r="S4918"/>
      <c r="T4918"/>
      <c r="U4918"/>
      <c r="V4918"/>
      <c r="W4918" s="41"/>
      <c r="X4918" s="41"/>
      <c r="Y4918" s="41"/>
    </row>
    <row r="4919" s="27" customFormat="1" ht="23" hidden="1" customHeight="1" spans="1:25">
      <c r="A4919" s="133" t="str">
        <f>IF(B4919="","",COUNTA($B$5:B4919))</f>
        <v/>
      </c>
      <c r="B4919" s="148"/>
      <c r="C4919" s="22" t="s">
        <v>49</v>
      </c>
      <c r="D4919" s="149"/>
      <c r="E4919" s="150"/>
      <c r="F4919" s="151"/>
      <c r="G4919" s="151"/>
      <c r="H4919" s="142">
        <f>IFERROR(VLOOKUP($C4919,$C$5:$H$18,6,0)+SUMIF($C$19:$C4919,$C4919,$F$19:$F4919)-SUMIF($C$19:$C4919,$C4919,$G$19:$G4919),"")</f>
        <v>81211.819999998</v>
      </c>
      <c r="I4919" s="147"/>
      <c r="J4919" s="147"/>
      <c r="K4919" s="147" t="str">
        <f t="shared" si="76"/>
        <v/>
      </c>
      <c r="L4919" s="40"/>
      <c r="M4919"/>
      <c r="N4919"/>
      <c r="O4919"/>
      <c r="P4919"/>
      <c r="Q4919"/>
      <c r="R4919"/>
      <c r="S4919"/>
      <c r="T4919"/>
      <c r="U4919"/>
      <c r="V4919"/>
      <c r="W4919" s="41"/>
      <c r="X4919" s="41"/>
      <c r="Y4919" s="41"/>
    </row>
    <row r="4920" s="27" customFormat="1" ht="23" hidden="1" customHeight="1" spans="1:25">
      <c r="A4920" s="133" t="str">
        <f>IF(B4920="","",COUNTA($B$5:B4920))</f>
        <v/>
      </c>
      <c r="B4920" s="148"/>
      <c r="C4920" s="22" t="s">
        <v>49</v>
      </c>
      <c r="D4920" s="149"/>
      <c r="E4920" s="150"/>
      <c r="F4920" s="151"/>
      <c r="G4920" s="151"/>
      <c r="H4920" s="142">
        <f>IFERROR(VLOOKUP($C4920,$C$5:$H$18,6,0)+SUMIF($C$19:$C4920,$C4920,$F$19:$F4920)-SUMIF($C$19:$C4920,$C4920,$G$19:$G4920),"")</f>
        <v>81211.819999998</v>
      </c>
      <c r="I4920" s="147"/>
      <c r="J4920" s="147"/>
      <c r="K4920" s="147" t="str">
        <f t="shared" si="76"/>
        <v/>
      </c>
      <c r="L4920" s="40"/>
      <c r="M4920"/>
      <c r="N4920"/>
      <c r="O4920"/>
      <c r="P4920"/>
      <c r="Q4920"/>
      <c r="R4920"/>
      <c r="S4920"/>
      <c r="T4920"/>
      <c r="U4920"/>
      <c r="V4920"/>
      <c r="W4920" s="41"/>
      <c r="X4920" s="41"/>
      <c r="Y4920" s="41"/>
    </row>
    <row r="4921" s="27" customFormat="1" ht="23" hidden="1" customHeight="1" spans="1:25">
      <c r="A4921" s="133" t="str">
        <f>IF(B4921="","",COUNTA($B$5:B4921))</f>
        <v/>
      </c>
      <c r="B4921" s="148"/>
      <c r="C4921" s="22" t="s">
        <v>49</v>
      </c>
      <c r="D4921" s="149"/>
      <c r="E4921" s="150"/>
      <c r="F4921" s="151"/>
      <c r="G4921" s="151"/>
      <c r="H4921" s="142">
        <f>IFERROR(VLOOKUP($C4921,$C$5:$H$18,6,0)+SUMIF($C$19:$C4921,$C4921,$F$19:$F4921)-SUMIF($C$19:$C4921,$C4921,$G$19:$G4921),"")</f>
        <v>81211.819999998</v>
      </c>
      <c r="I4921" s="147"/>
      <c r="J4921" s="147"/>
      <c r="K4921" s="147" t="str">
        <f t="shared" si="76"/>
        <v/>
      </c>
      <c r="L4921" s="40"/>
      <c r="M4921"/>
      <c r="N4921"/>
      <c r="O4921"/>
      <c r="P4921"/>
      <c r="Q4921"/>
      <c r="R4921"/>
      <c r="S4921"/>
      <c r="T4921"/>
      <c r="U4921"/>
      <c r="V4921"/>
      <c r="W4921" s="41"/>
      <c r="X4921" s="41"/>
      <c r="Y4921" s="41"/>
    </row>
    <row r="4922" s="27" customFormat="1" ht="23" hidden="1" customHeight="1" spans="1:25">
      <c r="A4922" s="133" t="str">
        <f>IF(B4922="","",COUNTA($B$5:B4922))</f>
        <v/>
      </c>
      <c r="B4922" s="148"/>
      <c r="C4922" s="22" t="s">
        <v>49</v>
      </c>
      <c r="D4922" s="149"/>
      <c r="E4922" s="150"/>
      <c r="F4922" s="151"/>
      <c r="G4922" s="151"/>
      <c r="H4922" s="142">
        <f>IFERROR(VLOOKUP($C4922,$C$5:$H$18,6,0)+SUMIF($C$19:$C4922,$C4922,$F$19:$F4922)-SUMIF($C$19:$C4922,$C4922,$G$19:$G4922),"")</f>
        <v>81211.819999998</v>
      </c>
      <c r="I4922" s="147"/>
      <c r="J4922" s="147"/>
      <c r="K4922" s="147" t="str">
        <f t="shared" si="76"/>
        <v/>
      </c>
      <c r="L4922" s="40"/>
      <c r="M4922"/>
      <c r="N4922"/>
      <c r="O4922"/>
      <c r="P4922"/>
      <c r="Q4922"/>
      <c r="R4922"/>
      <c r="S4922"/>
      <c r="T4922"/>
      <c r="U4922"/>
      <c r="V4922"/>
      <c r="W4922" s="41"/>
      <c r="X4922" s="41"/>
      <c r="Y4922" s="41"/>
    </row>
    <row r="4923" s="27" customFormat="1" ht="23" hidden="1" customHeight="1" spans="1:25">
      <c r="A4923" s="133" t="str">
        <f>IF(B4923="","",COUNTA($B$5:B4923))</f>
        <v/>
      </c>
      <c r="B4923" s="148"/>
      <c r="C4923" s="22" t="s">
        <v>49</v>
      </c>
      <c r="D4923" s="149"/>
      <c r="E4923" s="150"/>
      <c r="F4923" s="151"/>
      <c r="G4923" s="151"/>
      <c r="H4923" s="142">
        <f>IFERROR(VLOOKUP($C4923,$C$5:$H$18,6,0)+SUMIF($C$19:$C4923,$C4923,$F$19:$F4923)-SUMIF($C$19:$C4923,$C4923,$G$19:$G4923),"")</f>
        <v>81211.819999998</v>
      </c>
      <c r="I4923" s="147"/>
      <c r="J4923" s="147"/>
      <c r="K4923" s="147" t="str">
        <f t="shared" si="76"/>
        <v/>
      </c>
      <c r="L4923" s="40"/>
      <c r="M4923"/>
      <c r="N4923"/>
      <c r="O4923"/>
      <c r="P4923"/>
      <c r="Q4923"/>
      <c r="R4923"/>
      <c r="S4923"/>
      <c r="T4923"/>
      <c r="U4923"/>
      <c r="V4923"/>
      <c r="W4923" s="41"/>
      <c r="X4923" s="41"/>
      <c r="Y4923" s="41"/>
    </row>
    <row r="4924" s="27" customFormat="1" ht="23" hidden="1" customHeight="1" spans="1:25">
      <c r="A4924" s="133" t="str">
        <f>IF(B4924="","",COUNTA($B$5:B4924))</f>
        <v/>
      </c>
      <c r="B4924" s="148"/>
      <c r="C4924" s="22" t="s">
        <v>49</v>
      </c>
      <c r="D4924" s="149"/>
      <c r="E4924" s="150"/>
      <c r="F4924" s="151"/>
      <c r="G4924" s="151"/>
      <c r="H4924" s="142">
        <f>IFERROR(VLOOKUP($C4924,$C$5:$H$18,6,0)+SUMIF($C$19:$C4924,$C4924,$F$19:$F4924)-SUMIF($C$19:$C4924,$C4924,$G$19:$G4924),"")</f>
        <v>81211.819999998</v>
      </c>
      <c r="I4924" s="147"/>
      <c r="J4924" s="147"/>
      <c r="K4924" s="147" t="str">
        <f t="shared" si="76"/>
        <v/>
      </c>
      <c r="L4924" s="40"/>
      <c r="M4924"/>
      <c r="N4924"/>
      <c r="O4924"/>
      <c r="P4924"/>
      <c r="Q4924"/>
      <c r="R4924"/>
      <c r="S4924"/>
      <c r="T4924"/>
      <c r="U4924"/>
      <c r="V4924"/>
      <c r="W4924" s="41"/>
      <c r="X4924" s="41"/>
      <c r="Y4924" s="41"/>
    </row>
    <row r="4925" s="27" customFormat="1" ht="23" hidden="1" customHeight="1" spans="1:25">
      <c r="A4925" s="133" t="str">
        <f>IF(B4925="","",COUNTA($B$5:B4925))</f>
        <v/>
      </c>
      <c r="B4925" s="148"/>
      <c r="C4925" s="22" t="s">
        <v>49</v>
      </c>
      <c r="D4925" s="149"/>
      <c r="E4925" s="150"/>
      <c r="F4925" s="151"/>
      <c r="G4925" s="151"/>
      <c r="H4925" s="142">
        <f>IFERROR(VLOOKUP($C4925,$C$5:$H$18,6,0)+SUMIF($C$19:$C4925,$C4925,$F$19:$F4925)-SUMIF($C$19:$C4925,$C4925,$G$19:$G4925),"")</f>
        <v>81211.819999998</v>
      </c>
      <c r="I4925" s="147"/>
      <c r="J4925" s="147"/>
      <c r="K4925" s="147" t="str">
        <f t="shared" si="76"/>
        <v/>
      </c>
      <c r="L4925" s="40"/>
      <c r="M4925"/>
      <c r="N4925"/>
      <c r="O4925"/>
      <c r="P4925"/>
      <c r="Q4925"/>
      <c r="R4925"/>
      <c r="S4925"/>
      <c r="T4925"/>
      <c r="U4925"/>
      <c r="V4925"/>
      <c r="W4925" s="41"/>
      <c r="X4925" s="41"/>
      <c r="Y4925" s="41"/>
    </row>
    <row r="4926" s="27" customFormat="1" ht="23" hidden="1" customHeight="1" spans="1:25">
      <c r="A4926" s="133" t="str">
        <f>IF(B4926="","",COUNTA($B$5:B4926))</f>
        <v/>
      </c>
      <c r="B4926" s="148"/>
      <c r="C4926" s="22" t="s">
        <v>49</v>
      </c>
      <c r="D4926" s="149"/>
      <c r="E4926" s="150"/>
      <c r="F4926" s="151"/>
      <c r="G4926" s="151"/>
      <c r="H4926" s="142">
        <f>IFERROR(VLOOKUP($C4926,$C$5:$H$18,6,0)+SUMIF($C$19:$C4926,$C4926,$F$19:$F4926)-SUMIF($C$19:$C4926,$C4926,$G$19:$G4926),"")</f>
        <v>81211.819999998</v>
      </c>
      <c r="I4926" s="147"/>
      <c r="J4926" s="147"/>
      <c r="K4926" s="147" t="str">
        <f t="shared" si="76"/>
        <v/>
      </c>
      <c r="L4926" s="40"/>
      <c r="M4926"/>
      <c r="N4926"/>
      <c r="O4926"/>
      <c r="P4926"/>
      <c r="Q4926"/>
      <c r="R4926"/>
      <c r="S4926"/>
      <c r="T4926"/>
      <c r="U4926"/>
      <c r="V4926"/>
      <c r="W4926" s="41"/>
      <c r="X4926" s="41"/>
      <c r="Y4926" s="41"/>
    </row>
    <row r="4927" s="27" customFormat="1" ht="23" hidden="1" customHeight="1" spans="1:25">
      <c r="A4927" s="133" t="str">
        <f>IF(B4927="","",COUNTA($B$5:B4927))</f>
        <v/>
      </c>
      <c r="B4927" s="148"/>
      <c r="C4927" s="22" t="s">
        <v>49</v>
      </c>
      <c r="D4927" s="149"/>
      <c r="E4927" s="150"/>
      <c r="F4927" s="151"/>
      <c r="G4927" s="151"/>
      <c r="H4927" s="142">
        <f>IFERROR(VLOOKUP($C4927,$C$5:$H$18,6,0)+SUMIF($C$19:$C4927,$C4927,$F$19:$F4927)-SUMIF($C$19:$C4927,$C4927,$G$19:$G4927),"")</f>
        <v>81211.819999998</v>
      </c>
      <c r="I4927" s="147"/>
      <c r="J4927" s="147"/>
      <c r="K4927" s="147" t="str">
        <f t="shared" si="76"/>
        <v/>
      </c>
      <c r="L4927" s="40"/>
      <c r="M4927"/>
      <c r="N4927"/>
      <c r="O4927"/>
      <c r="P4927"/>
      <c r="Q4927"/>
      <c r="R4927"/>
      <c r="S4927"/>
      <c r="T4927"/>
      <c r="U4927"/>
      <c r="V4927"/>
      <c r="W4927" s="41"/>
      <c r="X4927" s="41"/>
      <c r="Y4927" s="41"/>
    </row>
    <row r="4928" s="27" customFormat="1" ht="23" hidden="1" customHeight="1" spans="1:25">
      <c r="A4928" s="133" t="str">
        <f>IF(B4928="","",COUNTA($B$5:B4928))</f>
        <v/>
      </c>
      <c r="B4928" s="148"/>
      <c r="C4928" s="22" t="s">
        <v>49</v>
      </c>
      <c r="D4928" s="149"/>
      <c r="E4928" s="150"/>
      <c r="F4928" s="151"/>
      <c r="G4928" s="151"/>
      <c r="H4928" s="142">
        <f>IFERROR(VLOOKUP($C4928,$C$5:$H$18,6,0)+SUMIF($C$19:$C4928,$C4928,$F$19:$F4928)-SUMIF($C$19:$C4928,$C4928,$G$19:$G4928),"")</f>
        <v>81211.819999998</v>
      </c>
      <c r="I4928" s="147"/>
      <c r="J4928" s="147"/>
      <c r="K4928" s="147" t="str">
        <f t="shared" si="76"/>
        <v/>
      </c>
      <c r="L4928" s="40"/>
      <c r="M4928"/>
      <c r="N4928"/>
      <c r="O4928"/>
      <c r="P4928"/>
      <c r="Q4928"/>
      <c r="R4928"/>
      <c r="S4928"/>
      <c r="T4928"/>
      <c r="U4928"/>
      <c r="V4928"/>
      <c r="W4928" s="41"/>
      <c r="X4928" s="41"/>
      <c r="Y4928" s="41"/>
    </row>
    <row r="4929" s="27" customFormat="1" ht="23" hidden="1" customHeight="1" spans="1:25">
      <c r="A4929" s="133" t="str">
        <f>IF(B4929="","",COUNTA($B$5:B4929))</f>
        <v/>
      </c>
      <c r="B4929" s="148"/>
      <c r="C4929" s="22" t="s">
        <v>49</v>
      </c>
      <c r="D4929" s="149"/>
      <c r="E4929" s="150"/>
      <c r="F4929" s="151"/>
      <c r="G4929" s="151"/>
      <c r="H4929" s="142">
        <f>IFERROR(VLOOKUP($C4929,$C$5:$H$18,6,0)+SUMIF($C$19:$C4929,$C4929,$F$19:$F4929)-SUMIF($C$19:$C4929,$C4929,$G$19:$G4929),"")</f>
        <v>81211.819999998</v>
      </c>
      <c r="I4929" s="147"/>
      <c r="J4929" s="147"/>
      <c r="K4929" s="147" t="str">
        <f t="shared" si="76"/>
        <v/>
      </c>
      <c r="L4929" s="40"/>
      <c r="M4929"/>
      <c r="N4929"/>
      <c r="O4929"/>
      <c r="P4929"/>
      <c r="Q4929"/>
      <c r="R4929"/>
      <c r="S4929"/>
      <c r="T4929"/>
      <c r="U4929"/>
      <c r="V4929"/>
      <c r="W4929" s="41"/>
      <c r="X4929" s="41"/>
      <c r="Y4929" s="41"/>
    </row>
    <row r="4930" s="27" customFormat="1" ht="23" hidden="1" customHeight="1" spans="1:25">
      <c r="A4930" s="133" t="str">
        <f>IF(B4930="","",COUNTA($B$5:B4930))</f>
        <v/>
      </c>
      <c r="B4930" s="148"/>
      <c r="C4930" s="22" t="s">
        <v>49</v>
      </c>
      <c r="D4930" s="149"/>
      <c r="E4930" s="150"/>
      <c r="F4930" s="151"/>
      <c r="G4930" s="151"/>
      <c r="H4930" s="142">
        <f>IFERROR(VLOOKUP($C4930,$C$5:$H$18,6,0)+SUMIF($C$19:$C4930,$C4930,$F$19:$F4930)-SUMIF($C$19:$C4930,$C4930,$G$19:$G4930),"")</f>
        <v>81211.819999998</v>
      </c>
      <c r="I4930" s="147"/>
      <c r="J4930" s="147"/>
      <c r="K4930" s="147" t="str">
        <f t="shared" si="76"/>
        <v/>
      </c>
      <c r="L4930" s="40"/>
      <c r="M4930"/>
      <c r="N4930"/>
      <c r="O4930"/>
      <c r="P4930"/>
      <c r="Q4930"/>
      <c r="R4930"/>
      <c r="S4930"/>
      <c r="T4930"/>
      <c r="U4930"/>
      <c r="V4930"/>
      <c r="W4930" s="41"/>
      <c r="X4930" s="41"/>
      <c r="Y4930" s="41"/>
    </row>
    <row r="4931" s="27" customFormat="1" ht="23" hidden="1" customHeight="1" spans="1:25">
      <c r="A4931" s="133" t="str">
        <f>IF(B4931="","",COUNTA($B$5:B4931))</f>
        <v/>
      </c>
      <c r="B4931" s="148"/>
      <c r="C4931" s="22" t="s">
        <v>49</v>
      </c>
      <c r="D4931" s="149"/>
      <c r="E4931" s="150"/>
      <c r="F4931" s="151"/>
      <c r="G4931" s="151"/>
      <c r="H4931" s="142">
        <f>IFERROR(VLOOKUP($C4931,$C$5:$H$18,6,0)+SUMIF($C$19:$C4931,$C4931,$F$19:$F4931)-SUMIF($C$19:$C4931,$C4931,$G$19:$G4931),"")</f>
        <v>81211.819999998</v>
      </c>
      <c r="I4931" s="147"/>
      <c r="J4931" s="147"/>
      <c r="K4931" s="147" t="str">
        <f t="shared" si="76"/>
        <v/>
      </c>
      <c r="L4931" s="40"/>
      <c r="M4931"/>
      <c r="N4931"/>
      <c r="O4931"/>
      <c r="P4931"/>
      <c r="Q4931"/>
      <c r="R4931"/>
      <c r="S4931"/>
      <c r="T4931"/>
      <c r="U4931"/>
      <c r="V4931"/>
      <c r="W4931" s="41"/>
      <c r="X4931" s="41"/>
      <c r="Y4931" s="41"/>
    </row>
    <row r="4932" s="27" customFormat="1" ht="23" hidden="1" customHeight="1" spans="1:25">
      <c r="A4932" s="133" t="str">
        <f>IF(B4932="","",COUNTA($B$5:B4932))</f>
        <v/>
      </c>
      <c r="B4932" s="148"/>
      <c r="C4932" s="22" t="s">
        <v>49</v>
      </c>
      <c r="D4932" s="149"/>
      <c r="E4932" s="150"/>
      <c r="F4932" s="151"/>
      <c r="G4932" s="151"/>
      <c r="H4932" s="142">
        <f>IFERROR(VLOOKUP($C4932,$C$5:$H$18,6,0)+SUMIF($C$19:$C4932,$C4932,$F$19:$F4932)-SUMIF($C$19:$C4932,$C4932,$G$19:$G4932),"")</f>
        <v>81211.819999998</v>
      </c>
      <c r="I4932" s="147"/>
      <c r="J4932" s="147"/>
      <c r="K4932" s="147" t="str">
        <f t="shared" si="76"/>
        <v/>
      </c>
      <c r="L4932" s="40"/>
      <c r="M4932"/>
      <c r="N4932"/>
      <c r="O4932"/>
      <c r="P4932"/>
      <c r="Q4932"/>
      <c r="R4932"/>
      <c r="S4932"/>
      <c r="T4932"/>
      <c r="U4932"/>
      <c r="V4932"/>
      <c r="W4932" s="41"/>
      <c r="X4932" s="41"/>
      <c r="Y4932" s="41"/>
    </row>
    <row r="4933" s="27" customFormat="1" ht="23" hidden="1" customHeight="1" spans="1:25">
      <c r="A4933" s="133" t="str">
        <f>IF(B4933="","",COUNTA($B$5:B4933))</f>
        <v/>
      </c>
      <c r="B4933" s="148"/>
      <c r="C4933" s="22" t="s">
        <v>49</v>
      </c>
      <c r="D4933" s="149"/>
      <c r="E4933" s="150"/>
      <c r="F4933" s="151"/>
      <c r="G4933" s="151"/>
      <c r="H4933" s="142">
        <f>IFERROR(VLOOKUP($C4933,$C$5:$H$18,6,0)+SUMIF($C$19:$C4933,$C4933,$F$19:$F4933)-SUMIF($C$19:$C4933,$C4933,$G$19:$G4933),"")</f>
        <v>81211.819999998</v>
      </c>
      <c r="I4933" s="147"/>
      <c r="J4933" s="147"/>
      <c r="K4933" s="147" t="str">
        <f t="shared" ref="K4933:K4996" si="77">IF($B4933="","",--TEXT($B4933,"yyyymm"))</f>
        <v/>
      </c>
      <c r="L4933" s="40"/>
      <c r="M4933"/>
      <c r="N4933"/>
      <c r="O4933"/>
      <c r="P4933"/>
      <c r="Q4933"/>
      <c r="R4933"/>
      <c r="S4933"/>
      <c r="T4933"/>
      <c r="U4933"/>
      <c r="V4933"/>
      <c r="W4933" s="41"/>
      <c r="X4933" s="41"/>
      <c r="Y4933" s="41"/>
    </row>
    <row r="4934" s="27" customFormat="1" ht="23" hidden="1" customHeight="1" spans="1:25">
      <c r="A4934" s="133" t="str">
        <f>IF(B4934="","",COUNTA($B$5:B4934))</f>
        <v/>
      </c>
      <c r="B4934" s="148"/>
      <c r="C4934" s="22" t="s">
        <v>49</v>
      </c>
      <c r="D4934" s="149"/>
      <c r="E4934" s="150"/>
      <c r="F4934" s="151"/>
      <c r="G4934" s="151"/>
      <c r="H4934" s="142">
        <f>IFERROR(VLOOKUP($C4934,$C$5:$H$18,6,0)+SUMIF($C$19:$C4934,$C4934,$F$19:$F4934)-SUMIF($C$19:$C4934,$C4934,$G$19:$G4934),"")</f>
        <v>81211.819999998</v>
      </c>
      <c r="I4934" s="147"/>
      <c r="J4934" s="147"/>
      <c r="K4934" s="147" t="str">
        <f t="shared" si="77"/>
        <v/>
      </c>
      <c r="L4934" s="40"/>
      <c r="M4934"/>
      <c r="N4934"/>
      <c r="O4934"/>
      <c r="P4934"/>
      <c r="Q4934"/>
      <c r="R4934"/>
      <c r="S4934"/>
      <c r="T4934"/>
      <c r="U4934"/>
      <c r="V4934"/>
      <c r="W4934" s="41"/>
      <c r="X4934" s="41"/>
      <c r="Y4934" s="41"/>
    </row>
    <row r="4935" s="27" customFormat="1" ht="23" hidden="1" customHeight="1" spans="1:25">
      <c r="A4935" s="133" t="str">
        <f>IF(B4935="","",COUNTA($B$5:B4935))</f>
        <v/>
      </c>
      <c r="B4935" s="148"/>
      <c r="C4935" s="22" t="s">
        <v>49</v>
      </c>
      <c r="D4935" s="149"/>
      <c r="E4935" s="150"/>
      <c r="F4935" s="151"/>
      <c r="G4935" s="151"/>
      <c r="H4935" s="142">
        <f>IFERROR(VLOOKUP($C4935,$C$5:$H$18,6,0)+SUMIF($C$19:$C4935,$C4935,$F$19:$F4935)-SUMIF($C$19:$C4935,$C4935,$G$19:$G4935),"")</f>
        <v>81211.819999998</v>
      </c>
      <c r="I4935" s="147"/>
      <c r="J4935" s="147"/>
      <c r="K4935" s="147" t="str">
        <f t="shared" si="77"/>
        <v/>
      </c>
      <c r="L4935" s="40"/>
      <c r="M4935"/>
      <c r="N4935"/>
      <c r="O4935"/>
      <c r="P4935"/>
      <c r="Q4935"/>
      <c r="R4935"/>
      <c r="S4935"/>
      <c r="T4935"/>
      <c r="U4935"/>
      <c r="V4935"/>
      <c r="W4935" s="41"/>
      <c r="X4935" s="41"/>
      <c r="Y4935" s="41"/>
    </row>
    <row r="4936" s="27" customFormat="1" ht="23" hidden="1" customHeight="1" spans="1:25">
      <c r="A4936" s="133" t="str">
        <f>IF(B4936="","",COUNTA($B$5:B4936))</f>
        <v/>
      </c>
      <c r="B4936" s="148"/>
      <c r="C4936" s="22" t="s">
        <v>49</v>
      </c>
      <c r="D4936" s="149"/>
      <c r="E4936" s="150"/>
      <c r="F4936" s="151"/>
      <c r="G4936" s="151"/>
      <c r="H4936" s="142">
        <f>IFERROR(VLOOKUP($C4936,$C$5:$H$18,6,0)+SUMIF($C$19:$C4936,$C4936,$F$19:$F4936)-SUMIF($C$19:$C4936,$C4936,$G$19:$G4936),"")</f>
        <v>81211.819999998</v>
      </c>
      <c r="I4936" s="147"/>
      <c r="J4936" s="147"/>
      <c r="K4936" s="147" t="str">
        <f t="shared" si="77"/>
        <v/>
      </c>
      <c r="L4936" s="40"/>
      <c r="M4936"/>
      <c r="N4936"/>
      <c r="O4936"/>
      <c r="P4936"/>
      <c r="Q4936"/>
      <c r="R4936"/>
      <c r="S4936"/>
      <c r="T4936"/>
      <c r="U4936"/>
      <c r="V4936"/>
      <c r="W4936" s="41"/>
      <c r="X4936" s="41"/>
      <c r="Y4936" s="41"/>
    </row>
    <row r="4937" s="27" customFormat="1" ht="23" hidden="1" customHeight="1" spans="1:25">
      <c r="A4937" s="133" t="str">
        <f>IF(B4937="","",COUNTA($B$5:B4937))</f>
        <v/>
      </c>
      <c r="B4937" s="148"/>
      <c r="C4937" s="22" t="s">
        <v>49</v>
      </c>
      <c r="D4937" s="149"/>
      <c r="E4937" s="150"/>
      <c r="F4937" s="151"/>
      <c r="G4937" s="151"/>
      <c r="H4937" s="142">
        <f>IFERROR(VLOOKUP($C4937,$C$5:$H$18,6,0)+SUMIF($C$19:$C4937,$C4937,$F$19:$F4937)-SUMIF($C$19:$C4937,$C4937,$G$19:$G4937),"")</f>
        <v>81211.819999998</v>
      </c>
      <c r="I4937" s="147"/>
      <c r="J4937" s="147"/>
      <c r="K4937" s="147" t="str">
        <f t="shared" si="77"/>
        <v/>
      </c>
      <c r="L4937" s="40"/>
      <c r="M4937"/>
      <c r="N4937"/>
      <c r="O4937"/>
      <c r="P4937"/>
      <c r="Q4937"/>
      <c r="R4937"/>
      <c r="S4937"/>
      <c r="T4937"/>
      <c r="U4937"/>
      <c r="V4937"/>
      <c r="W4937" s="41"/>
      <c r="X4937" s="41"/>
      <c r="Y4937" s="41"/>
    </row>
    <row r="4938" s="27" customFormat="1" ht="23" hidden="1" customHeight="1" spans="1:25">
      <c r="A4938" s="133" t="str">
        <f>IF(B4938="","",COUNTA($B$5:B4938))</f>
        <v/>
      </c>
      <c r="B4938" s="148"/>
      <c r="C4938" s="22" t="s">
        <v>49</v>
      </c>
      <c r="D4938" s="149"/>
      <c r="E4938" s="150"/>
      <c r="F4938" s="151"/>
      <c r="G4938" s="151"/>
      <c r="H4938" s="142">
        <f>IFERROR(VLOOKUP($C4938,$C$5:$H$18,6,0)+SUMIF($C$19:$C4938,$C4938,$F$19:$F4938)-SUMIF($C$19:$C4938,$C4938,$G$19:$G4938),"")</f>
        <v>81211.819999998</v>
      </c>
      <c r="I4938" s="147"/>
      <c r="J4938" s="147"/>
      <c r="K4938" s="147" t="str">
        <f t="shared" si="77"/>
        <v/>
      </c>
      <c r="L4938" s="40"/>
      <c r="M4938"/>
      <c r="N4938"/>
      <c r="O4938"/>
      <c r="P4938"/>
      <c r="Q4938"/>
      <c r="R4938"/>
      <c r="S4938"/>
      <c r="T4938"/>
      <c r="U4938"/>
      <c r="V4938"/>
      <c r="W4938" s="41"/>
      <c r="X4938" s="41"/>
      <c r="Y4938" s="41"/>
    </row>
    <row r="4939" s="27" customFormat="1" ht="23" hidden="1" customHeight="1" spans="1:25">
      <c r="A4939" s="133" t="str">
        <f>IF(B4939="","",COUNTA($B$5:B4939))</f>
        <v/>
      </c>
      <c r="B4939" s="148"/>
      <c r="C4939" s="22" t="s">
        <v>49</v>
      </c>
      <c r="D4939" s="149"/>
      <c r="E4939" s="150"/>
      <c r="F4939" s="151"/>
      <c r="G4939" s="151"/>
      <c r="H4939" s="142">
        <f>IFERROR(VLOOKUP($C4939,$C$5:$H$18,6,0)+SUMIF($C$19:$C4939,$C4939,$F$19:$F4939)-SUMIF($C$19:$C4939,$C4939,$G$19:$G4939),"")</f>
        <v>81211.819999998</v>
      </c>
      <c r="I4939" s="147"/>
      <c r="J4939" s="147"/>
      <c r="K4939" s="147" t="str">
        <f t="shared" si="77"/>
        <v/>
      </c>
      <c r="L4939" s="40"/>
      <c r="M4939"/>
      <c r="N4939"/>
      <c r="O4939"/>
      <c r="P4939"/>
      <c r="Q4939"/>
      <c r="R4939"/>
      <c r="S4939"/>
      <c r="T4939"/>
      <c r="U4939"/>
      <c r="V4939"/>
      <c r="W4939" s="41"/>
      <c r="X4939" s="41"/>
      <c r="Y4939" s="41"/>
    </row>
    <row r="4940" s="27" customFormat="1" ht="23" hidden="1" customHeight="1" spans="1:25">
      <c r="A4940" s="133" t="str">
        <f>IF(B4940="","",COUNTA($B$5:B4940))</f>
        <v/>
      </c>
      <c r="B4940" s="148"/>
      <c r="C4940" s="22" t="s">
        <v>49</v>
      </c>
      <c r="D4940" s="149"/>
      <c r="E4940" s="150"/>
      <c r="F4940" s="151"/>
      <c r="G4940" s="151"/>
      <c r="H4940" s="142">
        <f>IFERROR(VLOOKUP($C4940,$C$5:$H$18,6,0)+SUMIF($C$19:$C4940,$C4940,$F$19:$F4940)-SUMIF($C$19:$C4940,$C4940,$G$19:$G4940),"")</f>
        <v>81211.819999998</v>
      </c>
      <c r="I4940" s="147"/>
      <c r="J4940" s="147"/>
      <c r="K4940" s="147" t="str">
        <f t="shared" si="77"/>
        <v/>
      </c>
      <c r="L4940" s="40"/>
      <c r="M4940"/>
      <c r="N4940"/>
      <c r="O4940"/>
      <c r="P4940"/>
      <c r="Q4940"/>
      <c r="R4940"/>
      <c r="S4940"/>
      <c r="T4940"/>
      <c r="U4940"/>
      <c r="V4940"/>
      <c r="W4940" s="41"/>
      <c r="X4940" s="41"/>
      <c r="Y4940" s="41"/>
    </row>
    <row r="4941" s="27" customFormat="1" ht="23" hidden="1" customHeight="1" spans="1:25">
      <c r="A4941" s="133" t="str">
        <f>IF(B4941="","",COUNTA($B$5:B4941))</f>
        <v/>
      </c>
      <c r="B4941" s="148"/>
      <c r="C4941" s="22" t="s">
        <v>49</v>
      </c>
      <c r="D4941" s="149"/>
      <c r="E4941" s="150"/>
      <c r="F4941" s="151"/>
      <c r="G4941" s="151"/>
      <c r="H4941" s="142">
        <f>IFERROR(VLOOKUP($C4941,$C$5:$H$18,6,0)+SUMIF($C$19:$C4941,$C4941,$F$19:$F4941)-SUMIF($C$19:$C4941,$C4941,$G$19:$G4941),"")</f>
        <v>81211.819999998</v>
      </c>
      <c r="I4941" s="147"/>
      <c r="J4941" s="147"/>
      <c r="K4941" s="147" t="str">
        <f t="shared" si="77"/>
        <v/>
      </c>
      <c r="L4941" s="40"/>
      <c r="M4941"/>
      <c r="N4941"/>
      <c r="O4941"/>
      <c r="P4941"/>
      <c r="Q4941"/>
      <c r="R4941"/>
      <c r="S4941"/>
      <c r="T4941"/>
      <c r="U4941"/>
      <c r="V4941"/>
      <c r="W4941" s="41"/>
      <c r="X4941" s="41"/>
      <c r="Y4941" s="41"/>
    </row>
    <row r="4942" s="27" customFormat="1" ht="23" hidden="1" customHeight="1" spans="1:25">
      <c r="A4942" s="133" t="str">
        <f>IF(B4942="","",COUNTA($B$5:B4942))</f>
        <v/>
      </c>
      <c r="B4942" s="148"/>
      <c r="C4942" s="22" t="s">
        <v>49</v>
      </c>
      <c r="D4942" s="149"/>
      <c r="E4942" s="150"/>
      <c r="F4942" s="151"/>
      <c r="G4942" s="151"/>
      <c r="H4942" s="142">
        <f>IFERROR(VLOOKUP($C4942,$C$5:$H$18,6,0)+SUMIF($C$19:$C4942,$C4942,$F$19:$F4942)-SUMIF($C$19:$C4942,$C4942,$G$19:$G4942),"")</f>
        <v>81211.819999998</v>
      </c>
      <c r="I4942" s="147"/>
      <c r="J4942" s="147"/>
      <c r="K4942" s="147" t="str">
        <f t="shared" si="77"/>
        <v/>
      </c>
      <c r="L4942" s="40"/>
      <c r="M4942"/>
      <c r="N4942"/>
      <c r="O4942"/>
      <c r="P4942"/>
      <c r="Q4942"/>
      <c r="R4942"/>
      <c r="S4942"/>
      <c r="T4942"/>
      <c r="U4942"/>
      <c r="V4942"/>
      <c r="W4942" s="41"/>
      <c r="X4942" s="41"/>
      <c r="Y4942" s="41"/>
    </row>
    <row r="4943" s="27" customFormat="1" ht="23" hidden="1" customHeight="1" spans="1:25">
      <c r="A4943" s="133" t="str">
        <f>IF(B4943="","",COUNTA($B$5:B4943))</f>
        <v/>
      </c>
      <c r="B4943" s="148"/>
      <c r="C4943" s="22" t="s">
        <v>49</v>
      </c>
      <c r="D4943" s="149"/>
      <c r="E4943" s="150"/>
      <c r="F4943" s="151"/>
      <c r="G4943" s="151"/>
      <c r="H4943" s="142">
        <f>IFERROR(VLOOKUP($C4943,$C$5:$H$18,6,0)+SUMIF($C$19:$C4943,$C4943,$F$19:$F4943)-SUMIF($C$19:$C4943,$C4943,$G$19:$G4943),"")</f>
        <v>81211.819999998</v>
      </c>
      <c r="I4943" s="147"/>
      <c r="J4943" s="147"/>
      <c r="K4943" s="147" t="str">
        <f t="shared" si="77"/>
        <v/>
      </c>
      <c r="L4943" s="40"/>
      <c r="M4943"/>
      <c r="N4943"/>
      <c r="O4943"/>
      <c r="P4943"/>
      <c r="Q4943"/>
      <c r="R4943"/>
      <c r="S4943"/>
      <c r="T4943"/>
      <c r="U4943"/>
      <c r="V4943"/>
      <c r="W4943" s="41"/>
      <c r="X4943" s="41"/>
      <c r="Y4943" s="41"/>
    </row>
    <row r="4944" s="27" customFormat="1" ht="23" hidden="1" customHeight="1" spans="1:25">
      <c r="A4944" s="133" t="str">
        <f>IF(B4944="","",COUNTA($B$5:B4944))</f>
        <v/>
      </c>
      <c r="B4944" s="148"/>
      <c r="C4944" s="22" t="s">
        <v>49</v>
      </c>
      <c r="D4944" s="149"/>
      <c r="E4944" s="150"/>
      <c r="F4944" s="151"/>
      <c r="G4944" s="151"/>
      <c r="H4944" s="142">
        <f>IFERROR(VLOOKUP($C4944,$C$5:$H$18,6,0)+SUMIF($C$19:$C4944,$C4944,$F$19:$F4944)-SUMIF($C$19:$C4944,$C4944,$G$19:$G4944),"")</f>
        <v>81211.819999998</v>
      </c>
      <c r="I4944" s="147"/>
      <c r="J4944" s="147"/>
      <c r="K4944" s="147" t="str">
        <f t="shared" si="77"/>
        <v/>
      </c>
      <c r="L4944" s="40"/>
      <c r="M4944"/>
      <c r="N4944"/>
      <c r="O4944"/>
      <c r="P4944"/>
      <c r="Q4944"/>
      <c r="R4944"/>
      <c r="S4944"/>
      <c r="T4944"/>
      <c r="U4944"/>
      <c r="V4944"/>
      <c r="W4944" s="41"/>
      <c r="X4944" s="41"/>
      <c r="Y4944" s="41"/>
    </row>
    <row r="4945" s="27" customFormat="1" ht="23" hidden="1" customHeight="1" spans="1:25">
      <c r="A4945" s="133" t="str">
        <f>IF(B4945="","",COUNTA($B$5:B4945))</f>
        <v/>
      </c>
      <c r="B4945" s="148"/>
      <c r="C4945" s="22" t="s">
        <v>49</v>
      </c>
      <c r="D4945" s="149"/>
      <c r="E4945" s="150"/>
      <c r="F4945" s="151"/>
      <c r="G4945" s="151"/>
      <c r="H4945" s="142">
        <f>IFERROR(VLOOKUP($C4945,$C$5:$H$18,6,0)+SUMIF($C$19:$C4945,$C4945,$F$19:$F4945)-SUMIF($C$19:$C4945,$C4945,$G$19:$G4945),"")</f>
        <v>81211.819999998</v>
      </c>
      <c r="I4945" s="147"/>
      <c r="J4945" s="147"/>
      <c r="K4945" s="147" t="str">
        <f t="shared" si="77"/>
        <v/>
      </c>
      <c r="L4945" s="40"/>
      <c r="M4945"/>
      <c r="N4945"/>
      <c r="O4945"/>
      <c r="P4945"/>
      <c r="Q4945"/>
      <c r="R4945"/>
      <c r="S4945"/>
      <c r="T4945"/>
      <c r="U4945"/>
      <c r="V4945"/>
      <c r="W4945" s="41"/>
      <c r="X4945" s="41"/>
      <c r="Y4945" s="41"/>
    </row>
    <row r="4946" s="27" customFormat="1" ht="23" hidden="1" customHeight="1" spans="1:25">
      <c r="A4946" s="133" t="str">
        <f>IF(B4946="","",COUNTA($B$5:B4946))</f>
        <v/>
      </c>
      <c r="B4946" s="148"/>
      <c r="C4946" s="22" t="s">
        <v>49</v>
      </c>
      <c r="D4946" s="149"/>
      <c r="E4946" s="150"/>
      <c r="F4946" s="151"/>
      <c r="G4946" s="151"/>
      <c r="H4946" s="142">
        <f>IFERROR(VLOOKUP($C4946,$C$5:$H$18,6,0)+SUMIF($C$19:$C4946,$C4946,$F$19:$F4946)-SUMIF($C$19:$C4946,$C4946,$G$19:$G4946),"")</f>
        <v>81211.819999998</v>
      </c>
      <c r="I4946" s="147"/>
      <c r="J4946" s="147"/>
      <c r="K4946" s="147" t="str">
        <f t="shared" si="77"/>
        <v/>
      </c>
      <c r="L4946" s="40"/>
      <c r="M4946"/>
      <c r="N4946"/>
      <c r="O4946"/>
      <c r="P4946"/>
      <c r="Q4946"/>
      <c r="R4946"/>
      <c r="S4946"/>
      <c r="T4946"/>
      <c r="U4946"/>
      <c r="V4946"/>
      <c r="W4946" s="41"/>
      <c r="X4946" s="41"/>
      <c r="Y4946" s="41"/>
    </row>
    <row r="4947" s="27" customFormat="1" ht="23" hidden="1" customHeight="1" spans="1:25">
      <c r="A4947" s="133" t="str">
        <f>IF(B4947="","",COUNTA($B$5:B4947))</f>
        <v/>
      </c>
      <c r="B4947" s="148"/>
      <c r="C4947" s="22" t="s">
        <v>49</v>
      </c>
      <c r="D4947" s="149"/>
      <c r="E4947" s="150"/>
      <c r="F4947" s="151"/>
      <c r="G4947" s="151"/>
      <c r="H4947" s="142">
        <f>IFERROR(VLOOKUP($C4947,$C$5:$H$18,6,0)+SUMIF($C$19:$C4947,$C4947,$F$19:$F4947)-SUMIF($C$19:$C4947,$C4947,$G$19:$G4947),"")</f>
        <v>81211.819999998</v>
      </c>
      <c r="I4947" s="147"/>
      <c r="J4947" s="147"/>
      <c r="K4947" s="147" t="str">
        <f t="shared" si="77"/>
        <v/>
      </c>
      <c r="L4947" s="40"/>
      <c r="M4947"/>
      <c r="N4947"/>
      <c r="O4947"/>
      <c r="P4947"/>
      <c r="Q4947"/>
      <c r="R4947"/>
      <c r="S4947"/>
      <c r="T4947"/>
      <c r="U4947"/>
      <c r="V4947"/>
      <c r="W4947" s="41"/>
      <c r="X4947" s="41"/>
      <c r="Y4947" s="41"/>
    </row>
    <row r="4948" s="27" customFormat="1" ht="23" hidden="1" customHeight="1" spans="1:25">
      <c r="A4948" s="133" t="str">
        <f>IF(B4948="","",COUNTA($B$5:B4948))</f>
        <v/>
      </c>
      <c r="B4948" s="148"/>
      <c r="C4948" s="22" t="s">
        <v>49</v>
      </c>
      <c r="D4948" s="149"/>
      <c r="E4948" s="150"/>
      <c r="F4948" s="151"/>
      <c r="G4948" s="151"/>
      <c r="H4948" s="142">
        <f>IFERROR(VLOOKUP($C4948,$C$5:$H$18,6,0)+SUMIF($C$19:$C4948,$C4948,$F$19:$F4948)-SUMIF($C$19:$C4948,$C4948,$G$19:$G4948),"")</f>
        <v>81211.819999998</v>
      </c>
      <c r="I4948" s="147"/>
      <c r="J4948" s="147"/>
      <c r="K4948" s="147" t="str">
        <f t="shared" si="77"/>
        <v/>
      </c>
      <c r="L4948" s="40"/>
      <c r="M4948"/>
      <c r="N4948"/>
      <c r="O4948"/>
      <c r="P4948"/>
      <c r="Q4948"/>
      <c r="R4948"/>
      <c r="S4948"/>
      <c r="T4948"/>
      <c r="U4948"/>
      <c r="V4948"/>
      <c r="W4948" s="41"/>
      <c r="X4948" s="41"/>
      <c r="Y4948" s="41"/>
    </row>
    <row r="4949" s="27" customFormat="1" ht="23" hidden="1" customHeight="1" spans="1:25">
      <c r="A4949" s="133" t="str">
        <f>IF(B4949="","",COUNTA($B$5:B4949))</f>
        <v/>
      </c>
      <c r="B4949" s="148"/>
      <c r="C4949" s="22" t="s">
        <v>49</v>
      </c>
      <c r="D4949" s="149"/>
      <c r="E4949" s="150"/>
      <c r="F4949" s="151"/>
      <c r="G4949" s="151"/>
      <c r="H4949" s="142">
        <f>IFERROR(VLOOKUP($C4949,$C$5:$H$18,6,0)+SUMIF($C$19:$C4949,$C4949,$F$19:$F4949)-SUMIF($C$19:$C4949,$C4949,$G$19:$G4949),"")</f>
        <v>81211.819999998</v>
      </c>
      <c r="I4949" s="147"/>
      <c r="J4949" s="147"/>
      <c r="K4949" s="147" t="str">
        <f t="shared" si="77"/>
        <v/>
      </c>
      <c r="L4949" s="40"/>
      <c r="M4949"/>
      <c r="N4949"/>
      <c r="O4949"/>
      <c r="P4949"/>
      <c r="Q4949"/>
      <c r="R4949"/>
      <c r="S4949"/>
      <c r="T4949"/>
      <c r="U4949"/>
      <c r="V4949"/>
      <c r="W4949" s="41"/>
      <c r="X4949" s="41"/>
      <c r="Y4949" s="41"/>
    </row>
    <row r="4950" s="27" customFormat="1" ht="23" hidden="1" customHeight="1" spans="1:25">
      <c r="A4950" s="133" t="str">
        <f>IF(B4950="","",COUNTA($B$5:B4950))</f>
        <v/>
      </c>
      <c r="B4950" s="148"/>
      <c r="C4950" s="22" t="s">
        <v>49</v>
      </c>
      <c r="D4950" s="149"/>
      <c r="E4950" s="150"/>
      <c r="F4950" s="151"/>
      <c r="G4950" s="151"/>
      <c r="H4950" s="142">
        <f>IFERROR(VLOOKUP($C4950,$C$5:$H$18,6,0)+SUMIF($C$19:$C4950,$C4950,$F$19:$F4950)-SUMIF($C$19:$C4950,$C4950,$G$19:$G4950),"")</f>
        <v>81211.819999998</v>
      </c>
      <c r="I4950" s="147"/>
      <c r="J4950" s="147"/>
      <c r="K4950" s="147" t="str">
        <f t="shared" si="77"/>
        <v/>
      </c>
      <c r="L4950" s="40"/>
      <c r="M4950"/>
      <c r="N4950"/>
      <c r="O4950"/>
      <c r="P4950"/>
      <c r="Q4950"/>
      <c r="R4950"/>
      <c r="S4950"/>
      <c r="T4950"/>
      <c r="U4950"/>
      <c r="V4950"/>
      <c r="W4950" s="41"/>
      <c r="X4950" s="41"/>
      <c r="Y4950" s="41"/>
    </row>
    <row r="4951" s="27" customFormat="1" ht="23" hidden="1" customHeight="1" spans="1:25">
      <c r="A4951" s="133" t="str">
        <f>IF(B4951="","",COUNTA($B$5:B4951))</f>
        <v/>
      </c>
      <c r="B4951" s="148"/>
      <c r="C4951" s="22" t="s">
        <v>49</v>
      </c>
      <c r="D4951" s="149"/>
      <c r="E4951" s="150"/>
      <c r="F4951" s="151"/>
      <c r="G4951" s="151"/>
      <c r="H4951" s="142">
        <f>IFERROR(VLOOKUP($C4951,$C$5:$H$18,6,0)+SUMIF($C$19:$C4951,$C4951,$F$19:$F4951)-SUMIF($C$19:$C4951,$C4951,$G$19:$G4951),"")</f>
        <v>81211.819999998</v>
      </c>
      <c r="I4951" s="147"/>
      <c r="J4951" s="147"/>
      <c r="K4951" s="147" t="str">
        <f t="shared" si="77"/>
        <v/>
      </c>
      <c r="L4951" s="40"/>
      <c r="M4951"/>
      <c r="N4951"/>
      <c r="O4951"/>
      <c r="P4951"/>
      <c r="Q4951"/>
      <c r="R4951"/>
      <c r="S4951"/>
      <c r="T4951"/>
      <c r="U4951"/>
      <c r="V4951"/>
      <c r="W4951" s="41"/>
      <c r="X4951" s="41"/>
      <c r="Y4951" s="41"/>
    </row>
    <row r="4952" s="27" customFormat="1" ht="23" hidden="1" customHeight="1" spans="1:25">
      <c r="A4952" s="133" t="str">
        <f>IF(B4952="","",COUNTA($B$5:B4952))</f>
        <v/>
      </c>
      <c r="B4952" s="148"/>
      <c r="C4952" s="22" t="s">
        <v>49</v>
      </c>
      <c r="D4952" s="149"/>
      <c r="E4952" s="150"/>
      <c r="F4952" s="151"/>
      <c r="G4952" s="151"/>
      <c r="H4952" s="142">
        <f>IFERROR(VLOOKUP($C4952,$C$5:$H$18,6,0)+SUMIF($C$19:$C4952,$C4952,$F$19:$F4952)-SUMIF($C$19:$C4952,$C4952,$G$19:$G4952),"")</f>
        <v>81211.819999998</v>
      </c>
      <c r="I4952" s="147"/>
      <c r="J4952" s="147"/>
      <c r="K4952" s="147" t="str">
        <f t="shared" si="77"/>
        <v/>
      </c>
      <c r="L4952" s="40"/>
      <c r="M4952"/>
      <c r="N4952"/>
      <c r="O4952"/>
      <c r="P4952"/>
      <c r="Q4952"/>
      <c r="R4952"/>
      <c r="S4952"/>
      <c r="T4952"/>
      <c r="U4952"/>
      <c r="V4952"/>
      <c r="W4952" s="41"/>
      <c r="X4952" s="41"/>
      <c r="Y4952" s="41"/>
    </row>
    <row r="4953" s="27" customFormat="1" ht="23" hidden="1" customHeight="1" spans="1:25">
      <c r="A4953" s="133" t="str">
        <f>IF(B4953="","",COUNTA($B$5:B4953))</f>
        <v/>
      </c>
      <c r="B4953" s="148"/>
      <c r="C4953" s="22" t="s">
        <v>49</v>
      </c>
      <c r="D4953" s="149"/>
      <c r="E4953" s="150"/>
      <c r="F4953" s="151"/>
      <c r="G4953" s="151"/>
      <c r="H4953" s="142">
        <f>IFERROR(VLOOKUP($C4953,$C$5:$H$18,6,0)+SUMIF($C$19:$C4953,$C4953,$F$19:$F4953)-SUMIF($C$19:$C4953,$C4953,$G$19:$G4953),"")</f>
        <v>81211.819999998</v>
      </c>
      <c r="I4953" s="147"/>
      <c r="J4953" s="147"/>
      <c r="K4953" s="147" t="str">
        <f t="shared" si="77"/>
        <v/>
      </c>
      <c r="L4953" s="40"/>
      <c r="M4953"/>
      <c r="N4953"/>
      <c r="O4953"/>
      <c r="P4953"/>
      <c r="Q4953"/>
      <c r="R4953"/>
      <c r="S4953"/>
      <c r="T4953"/>
      <c r="U4953"/>
      <c r="V4953"/>
      <c r="W4953" s="41"/>
      <c r="X4953" s="41"/>
      <c r="Y4953" s="41"/>
    </row>
    <row r="4954" s="27" customFormat="1" ht="23" hidden="1" customHeight="1" spans="1:25">
      <c r="A4954" s="133" t="str">
        <f>IF(B4954="","",COUNTA($B$5:B4954))</f>
        <v/>
      </c>
      <c r="B4954" s="148"/>
      <c r="C4954" s="22" t="s">
        <v>49</v>
      </c>
      <c r="D4954" s="149"/>
      <c r="E4954" s="150"/>
      <c r="F4954" s="151"/>
      <c r="G4954" s="151"/>
      <c r="H4954" s="142">
        <f>IFERROR(VLOOKUP($C4954,$C$5:$H$18,6,0)+SUMIF($C$19:$C4954,$C4954,$F$19:$F4954)-SUMIF($C$19:$C4954,$C4954,$G$19:$G4954),"")</f>
        <v>81211.819999998</v>
      </c>
      <c r="I4954" s="147"/>
      <c r="J4954" s="147"/>
      <c r="K4954" s="147" t="str">
        <f t="shared" si="77"/>
        <v/>
      </c>
      <c r="L4954" s="40"/>
      <c r="M4954"/>
      <c r="N4954"/>
      <c r="O4954"/>
      <c r="P4954"/>
      <c r="Q4954"/>
      <c r="R4954"/>
      <c r="S4954"/>
      <c r="T4954"/>
      <c r="U4954"/>
      <c r="V4954"/>
      <c r="W4954" s="41"/>
      <c r="X4954" s="41"/>
      <c r="Y4954" s="41"/>
    </row>
    <row r="4955" s="27" customFormat="1" ht="23" hidden="1" customHeight="1" spans="1:25">
      <c r="A4955" s="133" t="str">
        <f>IF(B4955="","",COUNTA($B$5:B4955))</f>
        <v/>
      </c>
      <c r="B4955" s="148"/>
      <c r="C4955" s="22" t="s">
        <v>49</v>
      </c>
      <c r="D4955" s="149"/>
      <c r="E4955" s="150"/>
      <c r="F4955" s="151"/>
      <c r="G4955" s="151"/>
      <c r="H4955" s="142">
        <f>IFERROR(VLOOKUP($C4955,$C$5:$H$18,6,0)+SUMIF($C$19:$C4955,$C4955,$F$19:$F4955)-SUMIF($C$19:$C4955,$C4955,$G$19:$G4955),"")</f>
        <v>81211.819999998</v>
      </c>
      <c r="I4955" s="147"/>
      <c r="J4955" s="147"/>
      <c r="K4955" s="147" t="str">
        <f t="shared" si="77"/>
        <v/>
      </c>
      <c r="L4955" s="40"/>
      <c r="M4955"/>
      <c r="N4955"/>
      <c r="O4955"/>
      <c r="P4955"/>
      <c r="Q4955"/>
      <c r="R4955"/>
      <c r="S4955"/>
      <c r="T4955"/>
      <c r="U4955"/>
      <c r="V4955"/>
      <c r="W4955" s="41"/>
      <c r="X4955" s="41"/>
      <c r="Y4955" s="41"/>
    </row>
    <row r="4956" s="27" customFormat="1" ht="23" hidden="1" customHeight="1" spans="1:25">
      <c r="A4956" s="133" t="str">
        <f>IF(B4956="","",COUNTA($B$5:B4956))</f>
        <v/>
      </c>
      <c r="B4956" s="148"/>
      <c r="C4956" s="22" t="s">
        <v>49</v>
      </c>
      <c r="D4956" s="149"/>
      <c r="E4956" s="150"/>
      <c r="F4956" s="151"/>
      <c r="G4956" s="151"/>
      <c r="H4956" s="142">
        <f>IFERROR(VLOOKUP($C4956,$C$5:$H$18,6,0)+SUMIF($C$19:$C4956,$C4956,$F$19:$F4956)-SUMIF($C$19:$C4956,$C4956,$G$19:$G4956),"")</f>
        <v>81211.819999998</v>
      </c>
      <c r="I4956" s="147"/>
      <c r="J4956" s="147"/>
      <c r="K4956" s="147" t="str">
        <f t="shared" si="77"/>
        <v/>
      </c>
      <c r="L4956" s="40"/>
      <c r="M4956"/>
      <c r="N4956"/>
      <c r="O4956"/>
      <c r="P4956"/>
      <c r="Q4956"/>
      <c r="R4956"/>
      <c r="S4956"/>
      <c r="T4956"/>
      <c r="U4956"/>
      <c r="V4956"/>
      <c r="W4956" s="41"/>
      <c r="X4956" s="41"/>
      <c r="Y4956" s="41"/>
    </row>
    <row r="4957" s="27" customFormat="1" ht="23" hidden="1" customHeight="1" spans="1:25">
      <c r="A4957" s="133" t="str">
        <f>IF(B4957="","",COUNTA($B$5:B4957))</f>
        <v/>
      </c>
      <c r="B4957" s="148"/>
      <c r="C4957" s="22" t="s">
        <v>49</v>
      </c>
      <c r="D4957" s="149"/>
      <c r="E4957" s="150"/>
      <c r="F4957" s="151"/>
      <c r="G4957" s="151"/>
      <c r="H4957" s="142">
        <f>IFERROR(VLOOKUP($C4957,$C$5:$H$18,6,0)+SUMIF($C$19:$C4957,$C4957,$F$19:$F4957)-SUMIF($C$19:$C4957,$C4957,$G$19:$G4957),"")</f>
        <v>81211.819999998</v>
      </c>
      <c r="I4957" s="147"/>
      <c r="J4957" s="147"/>
      <c r="K4957" s="147" t="str">
        <f t="shared" si="77"/>
        <v/>
      </c>
      <c r="L4957" s="40"/>
      <c r="M4957"/>
      <c r="N4957"/>
      <c r="O4957"/>
      <c r="P4957"/>
      <c r="Q4957"/>
      <c r="R4957"/>
      <c r="S4957"/>
      <c r="T4957"/>
      <c r="U4957"/>
      <c r="V4957"/>
      <c r="W4957" s="41"/>
      <c r="X4957" s="41"/>
      <c r="Y4957" s="41"/>
    </row>
    <row r="4958" s="27" customFormat="1" ht="23" hidden="1" customHeight="1" spans="1:25">
      <c r="A4958" s="133" t="str">
        <f>IF(B4958="","",COUNTA($B$5:B4958))</f>
        <v/>
      </c>
      <c r="B4958" s="148"/>
      <c r="C4958" s="22" t="s">
        <v>49</v>
      </c>
      <c r="D4958" s="149"/>
      <c r="E4958" s="150"/>
      <c r="F4958" s="151"/>
      <c r="G4958" s="151"/>
      <c r="H4958" s="142">
        <f>IFERROR(VLOOKUP($C4958,$C$5:$H$18,6,0)+SUMIF($C$19:$C4958,$C4958,$F$19:$F4958)-SUMIF($C$19:$C4958,$C4958,$G$19:$G4958),"")</f>
        <v>81211.819999998</v>
      </c>
      <c r="I4958" s="147"/>
      <c r="J4958" s="147"/>
      <c r="K4958" s="147" t="str">
        <f t="shared" si="77"/>
        <v/>
      </c>
      <c r="L4958" s="40"/>
      <c r="M4958"/>
      <c r="N4958"/>
      <c r="O4958"/>
      <c r="P4958"/>
      <c r="Q4958"/>
      <c r="R4958"/>
      <c r="S4958"/>
      <c r="T4958"/>
      <c r="U4958"/>
      <c r="V4958"/>
      <c r="W4958" s="41"/>
      <c r="X4958" s="41"/>
      <c r="Y4958" s="41"/>
    </row>
    <row r="4959" s="27" customFormat="1" ht="23" hidden="1" customHeight="1" spans="1:25">
      <c r="A4959" s="133" t="str">
        <f>IF(B4959="","",COUNTA($B$5:B4959))</f>
        <v/>
      </c>
      <c r="B4959" s="148"/>
      <c r="C4959" s="22" t="s">
        <v>49</v>
      </c>
      <c r="D4959" s="149"/>
      <c r="E4959" s="150"/>
      <c r="F4959" s="151"/>
      <c r="G4959" s="151"/>
      <c r="H4959" s="142">
        <f>IFERROR(VLOOKUP($C4959,$C$5:$H$18,6,0)+SUMIF($C$19:$C4959,$C4959,$F$19:$F4959)-SUMIF($C$19:$C4959,$C4959,$G$19:$G4959),"")</f>
        <v>81211.819999998</v>
      </c>
      <c r="I4959" s="147"/>
      <c r="J4959" s="147"/>
      <c r="K4959" s="147" t="str">
        <f t="shared" si="77"/>
        <v/>
      </c>
      <c r="L4959" s="40"/>
      <c r="M4959"/>
      <c r="N4959"/>
      <c r="O4959"/>
      <c r="P4959"/>
      <c r="Q4959"/>
      <c r="R4959"/>
      <c r="S4959"/>
      <c r="T4959"/>
      <c r="U4959"/>
      <c r="V4959"/>
      <c r="W4959" s="41"/>
      <c r="X4959" s="41"/>
      <c r="Y4959" s="41"/>
    </row>
    <row r="4960" s="27" customFormat="1" ht="23" hidden="1" customHeight="1" spans="1:25">
      <c r="A4960" s="133" t="str">
        <f>IF(B4960="","",COUNTA($B$5:B4960))</f>
        <v/>
      </c>
      <c r="B4960" s="148"/>
      <c r="C4960" s="22" t="s">
        <v>49</v>
      </c>
      <c r="D4960" s="149"/>
      <c r="E4960" s="150"/>
      <c r="F4960" s="151"/>
      <c r="G4960" s="151"/>
      <c r="H4960" s="142">
        <f>IFERROR(VLOOKUP($C4960,$C$5:$H$18,6,0)+SUMIF($C$19:$C4960,$C4960,$F$19:$F4960)-SUMIF($C$19:$C4960,$C4960,$G$19:$G4960),"")</f>
        <v>81211.819999998</v>
      </c>
      <c r="I4960" s="147"/>
      <c r="J4960" s="147"/>
      <c r="K4960" s="147" t="str">
        <f t="shared" si="77"/>
        <v/>
      </c>
      <c r="L4960" s="40"/>
      <c r="M4960"/>
      <c r="N4960"/>
      <c r="O4960"/>
      <c r="P4960"/>
      <c r="Q4960"/>
      <c r="R4960"/>
      <c r="S4960"/>
      <c r="T4960"/>
      <c r="U4960"/>
      <c r="V4960"/>
      <c r="W4960" s="41"/>
      <c r="X4960" s="41"/>
      <c r="Y4960" s="41"/>
    </row>
    <row r="4961" s="27" customFormat="1" ht="23" hidden="1" customHeight="1" spans="1:25">
      <c r="A4961" s="133" t="str">
        <f>IF(B4961="","",COUNTA($B$5:B4961))</f>
        <v/>
      </c>
      <c r="B4961" s="148"/>
      <c r="C4961" s="22" t="s">
        <v>49</v>
      </c>
      <c r="D4961" s="149"/>
      <c r="E4961" s="150"/>
      <c r="F4961" s="151"/>
      <c r="G4961" s="151"/>
      <c r="H4961" s="142">
        <f>IFERROR(VLOOKUP($C4961,$C$5:$H$18,6,0)+SUMIF($C$19:$C4961,$C4961,$F$19:$F4961)-SUMIF($C$19:$C4961,$C4961,$G$19:$G4961),"")</f>
        <v>81211.819999998</v>
      </c>
      <c r="I4961" s="147"/>
      <c r="J4961" s="147"/>
      <c r="K4961" s="147" t="str">
        <f t="shared" si="77"/>
        <v/>
      </c>
      <c r="L4961" s="40"/>
      <c r="M4961"/>
      <c r="N4961"/>
      <c r="O4961"/>
      <c r="P4961"/>
      <c r="Q4961"/>
      <c r="R4961"/>
      <c r="S4961"/>
      <c r="T4961"/>
      <c r="U4961"/>
      <c r="V4961"/>
      <c r="W4961" s="41"/>
      <c r="X4961" s="41"/>
      <c r="Y4961" s="41"/>
    </row>
    <row r="4962" s="27" customFormat="1" ht="23" hidden="1" customHeight="1" spans="1:25">
      <c r="A4962" s="133" t="str">
        <f>IF(B4962="","",COUNTA($B$5:B4962))</f>
        <v/>
      </c>
      <c r="B4962" s="148"/>
      <c r="C4962" s="22" t="s">
        <v>49</v>
      </c>
      <c r="D4962" s="149"/>
      <c r="E4962" s="150"/>
      <c r="F4962" s="151"/>
      <c r="G4962" s="151"/>
      <c r="H4962" s="142">
        <f>IFERROR(VLOOKUP($C4962,$C$5:$H$18,6,0)+SUMIF($C$19:$C4962,$C4962,$F$19:$F4962)-SUMIF($C$19:$C4962,$C4962,$G$19:$G4962),"")</f>
        <v>81211.819999998</v>
      </c>
      <c r="I4962" s="147"/>
      <c r="J4962" s="147"/>
      <c r="K4962" s="147" t="str">
        <f t="shared" si="77"/>
        <v/>
      </c>
      <c r="L4962" s="40"/>
      <c r="M4962"/>
      <c r="N4962"/>
      <c r="O4962"/>
      <c r="P4962"/>
      <c r="Q4962"/>
      <c r="R4962"/>
      <c r="S4962"/>
      <c r="T4962"/>
      <c r="U4962"/>
      <c r="V4962"/>
      <c r="W4962" s="41"/>
      <c r="X4962" s="41"/>
      <c r="Y4962" s="41"/>
    </row>
    <row r="4963" s="27" customFormat="1" ht="23" hidden="1" customHeight="1" spans="1:25">
      <c r="A4963" s="133" t="str">
        <f>IF(B4963="","",COUNTA($B$5:B4963))</f>
        <v/>
      </c>
      <c r="B4963" s="148"/>
      <c r="C4963" s="22" t="s">
        <v>49</v>
      </c>
      <c r="D4963" s="149"/>
      <c r="E4963" s="150"/>
      <c r="F4963" s="151"/>
      <c r="G4963" s="151"/>
      <c r="H4963" s="142">
        <f>IFERROR(VLOOKUP($C4963,$C$5:$H$18,6,0)+SUMIF($C$19:$C4963,$C4963,$F$19:$F4963)-SUMIF($C$19:$C4963,$C4963,$G$19:$G4963),"")</f>
        <v>81211.819999998</v>
      </c>
      <c r="I4963" s="147"/>
      <c r="J4963" s="147"/>
      <c r="K4963" s="147" t="str">
        <f t="shared" si="77"/>
        <v/>
      </c>
      <c r="L4963" s="40"/>
      <c r="M4963"/>
      <c r="N4963"/>
      <c r="O4963"/>
      <c r="P4963"/>
      <c r="Q4963"/>
      <c r="R4963"/>
      <c r="S4963"/>
      <c r="T4963"/>
      <c r="U4963"/>
      <c r="V4963"/>
      <c r="W4963" s="41"/>
      <c r="X4963" s="41"/>
      <c r="Y4963" s="41"/>
    </row>
    <row r="4964" s="27" customFormat="1" ht="23" hidden="1" customHeight="1" spans="1:25">
      <c r="A4964" s="133" t="str">
        <f>IF(B4964="","",COUNTA($B$5:B4964))</f>
        <v/>
      </c>
      <c r="B4964" s="148"/>
      <c r="C4964" s="22" t="s">
        <v>49</v>
      </c>
      <c r="D4964" s="149"/>
      <c r="E4964" s="150"/>
      <c r="F4964" s="151"/>
      <c r="G4964" s="151"/>
      <c r="H4964" s="142">
        <f>IFERROR(VLOOKUP($C4964,$C$5:$H$18,6,0)+SUMIF($C$19:$C4964,$C4964,$F$19:$F4964)-SUMIF($C$19:$C4964,$C4964,$G$19:$G4964),"")</f>
        <v>81211.819999998</v>
      </c>
      <c r="I4964" s="147"/>
      <c r="J4964" s="147"/>
      <c r="K4964" s="147" t="str">
        <f t="shared" si="77"/>
        <v/>
      </c>
      <c r="L4964" s="40"/>
      <c r="M4964"/>
      <c r="N4964"/>
      <c r="O4964"/>
      <c r="P4964"/>
      <c r="Q4964"/>
      <c r="R4964"/>
      <c r="S4964"/>
      <c r="T4964"/>
      <c r="U4964"/>
      <c r="V4964"/>
      <c r="W4964" s="41"/>
      <c r="X4964" s="41"/>
      <c r="Y4964" s="41"/>
    </row>
    <row r="4965" s="27" customFormat="1" ht="23" hidden="1" customHeight="1" spans="1:25">
      <c r="A4965" s="133" t="str">
        <f>IF(B4965="","",COUNTA($B$5:B4965))</f>
        <v/>
      </c>
      <c r="B4965" s="148"/>
      <c r="C4965" s="22" t="s">
        <v>49</v>
      </c>
      <c r="D4965" s="149"/>
      <c r="E4965" s="150"/>
      <c r="F4965" s="151"/>
      <c r="G4965" s="151"/>
      <c r="H4965" s="142">
        <f>IFERROR(VLOOKUP($C4965,$C$5:$H$18,6,0)+SUMIF($C$19:$C4965,$C4965,$F$19:$F4965)-SUMIF($C$19:$C4965,$C4965,$G$19:$G4965),"")</f>
        <v>81211.819999998</v>
      </c>
      <c r="I4965" s="147"/>
      <c r="J4965" s="147"/>
      <c r="K4965" s="147" t="str">
        <f t="shared" si="77"/>
        <v/>
      </c>
      <c r="L4965" s="40"/>
      <c r="M4965"/>
      <c r="N4965"/>
      <c r="O4965"/>
      <c r="P4965"/>
      <c r="Q4965"/>
      <c r="R4965"/>
      <c r="S4965"/>
      <c r="T4965"/>
      <c r="U4965"/>
      <c r="V4965"/>
      <c r="W4965" s="41"/>
      <c r="X4965" s="41"/>
      <c r="Y4965" s="41"/>
    </row>
    <row r="4966" s="27" customFormat="1" ht="23" hidden="1" customHeight="1" spans="1:25">
      <c r="A4966" s="133" t="str">
        <f>IF(B4966="","",COUNTA($B$5:B4966))</f>
        <v/>
      </c>
      <c r="B4966" s="148"/>
      <c r="C4966" s="22" t="s">
        <v>49</v>
      </c>
      <c r="D4966" s="149"/>
      <c r="E4966" s="150"/>
      <c r="F4966" s="151"/>
      <c r="G4966" s="151"/>
      <c r="H4966" s="142">
        <f>IFERROR(VLOOKUP($C4966,$C$5:$H$18,6,0)+SUMIF($C$19:$C4966,$C4966,$F$19:$F4966)-SUMIF($C$19:$C4966,$C4966,$G$19:$G4966),"")</f>
        <v>81211.819999998</v>
      </c>
      <c r="I4966" s="147"/>
      <c r="J4966" s="147"/>
      <c r="K4966" s="147" t="str">
        <f t="shared" si="77"/>
        <v/>
      </c>
      <c r="L4966" s="40"/>
      <c r="M4966"/>
      <c r="N4966"/>
      <c r="O4966"/>
      <c r="P4966"/>
      <c r="Q4966"/>
      <c r="R4966"/>
      <c r="S4966"/>
      <c r="T4966"/>
      <c r="U4966"/>
      <c r="V4966"/>
      <c r="W4966" s="41"/>
      <c r="X4966" s="41"/>
      <c r="Y4966" s="41"/>
    </row>
    <row r="4967" s="27" customFormat="1" ht="23" hidden="1" customHeight="1" spans="1:25">
      <c r="A4967" s="133" t="str">
        <f>IF(B4967="","",COUNTA($B$5:B4967))</f>
        <v/>
      </c>
      <c r="B4967" s="148"/>
      <c r="C4967" s="22" t="s">
        <v>49</v>
      </c>
      <c r="D4967" s="149"/>
      <c r="E4967" s="150"/>
      <c r="F4967" s="151"/>
      <c r="G4967" s="151"/>
      <c r="H4967" s="142">
        <f>IFERROR(VLOOKUP($C4967,$C$5:$H$18,6,0)+SUMIF($C$19:$C4967,$C4967,$F$19:$F4967)-SUMIF($C$19:$C4967,$C4967,$G$19:$G4967),"")</f>
        <v>81211.819999998</v>
      </c>
      <c r="I4967" s="147"/>
      <c r="J4967" s="147"/>
      <c r="K4967" s="147" t="str">
        <f t="shared" si="77"/>
        <v/>
      </c>
      <c r="L4967" s="40"/>
      <c r="M4967"/>
      <c r="N4967"/>
      <c r="O4967"/>
      <c r="P4967"/>
      <c r="Q4967"/>
      <c r="R4967"/>
      <c r="S4967"/>
      <c r="T4967"/>
      <c r="U4967"/>
      <c r="V4967"/>
      <c r="W4967" s="41"/>
      <c r="X4967" s="41"/>
      <c r="Y4967" s="41"/>
    </row>
    <row r="4968" s="27" customFormat="1" ht="23" hidden="1" customHeight="1" spans="1:25">
      <c r="A4968" s="133" t="str">
        <f>IF(B4968="","",COUNTA($B$5:B4968))</f>
        <v/>
      </c>
      <c r="B4968" s="148"/>
      <c r="C4968" s="22" t="s">
        <v>49</v>
      </c>
      <c r="D4968" s="149"/>
      <c r="E4968" s="150"/>
      <c r="F4968" s="151"/>
      <c r="G4968" s="151"/>
      <c r="H4968" s="142">
        <f>IFERROR(VLOOKUP($C4968,$C$5:$H$18,6,0)+SUMIF($C$19:$C4968,$C4968,$F$19:$F4968)-SUMIF($C$19:$C4968,$C4968,$G$19:$G4968),"")</f>
        <v>81211.819999998</v>
      </c>
      <c r="I4968" s="147"/>
      <c r="J4968" s="147"/>
      <c r="K4968" s="147" t="str">
        <f t="shared" si="77"/>
        <v/>
      </c>
      <c r="L4968" s="40"/>
      <c r="M4968"/>
      <c r="N4968"/>
      <c r="O4968"/>
      <c r="P4968"/>
      <c r="Q4968"/>
      <c r="R4968"/>
      <c r="S4968"/>
      <c r="T4968"/>
      <c r="U4968"/>
      <c r="V4968"/>
      <c r="W4968" s="41"/>
      <c r="X4968" s="41"/>
      <c r="Y4968" s="41"/>
    </row>
    <row r="4969" s="27" customFormat="1" ht="23" hidden="1" customHeight="1" spans="1:25">
      <c r="A4969" s="133" t="str">
        <f>IF(B4969="","",COUNTA($B$5:B4969))</f>
        <v/>
      </c>
      <c r="B4969" s="148"/>
      <c r="C4969" s="22" t="s">
        <v>49</v>
      </c>
      <c r="D4969" s="149"/>
      <c r="E4969" s="150"/>
      <c r="F4969" s="151"/>
      <c r="G4969" s="151"/>
      <c r="H4969" s="142">
        <f>IFERROR(VLOOKUP($C4969,$C$5:$H$18,6,0)+SUMIF($C$19:$C4969,$C4969,$F$19:$F4969)-SUMIF($C$19:$C4969,$C4969,$G$19:$G4969),"")</f>
        <v>81211.819999998</v>
      </c>
      <c r="I4969" s="147"/>
      <c r="J4969" s="147"/>
      <c r="K4969" s="147" t="str">
        <f t="shared" si="77"/>
        <v/>
      </c>
      <c r="L4969" s="40"/>
      <c r="M4969"/>
      <c r="N4969"/>
      <c r="O4969"/>
      <c r="P4969"/>
      <c r="Q4969"/>
      <c r="R4969"/>
      <c r="S4969"/>
      <c r="T4969"/>
      <c r="U4969"/>
      <c r="V4969"/>
      <c r="W4969" s="41"/>
      <c r="X4969" s="41"/>
      <c r="Y4969" s="41"/>
    </row>
    <row r="4970" s="27" customFormat="1" ht="23" hidden="1" customHeight="1" spans="1:25">
      <c r="A4970" s="133" t="str">
        <f>IF(B4970="","",COUNTA($B$5:B4970))</f>
        <v/>
      </c>
      <c r="B4970" s="148"/>
      <c r="C4970" s="22" t="s">
        <v>49</v>
      </c>
      <c r="D4970" s="149"/>
      <c r="E4970" s="150"/>
      <c r="F4970" s="151"/>
      <c r="G4970" s="151"/>
      <c r="H4970" s="142">
        <f>IFERROR(VLOOKUP($C4970,$C$5:$H$18,6,0)+SUMIF($C$19:$C4970,$C4970,$F$19:$F4970)-SUMIF($C$19:$C4970,$C4970,$G$19:$G4970),"")</f>
        <v>81211.819999998</v>
      </c>
      <c r="I4970" s="147"/>
      <c r="J4970" s="147"/>
      <c r="K4970" s="147" t="str">
        <f t="shared" si="77"/>
        <v/>
      </c>
      <c r="L4970" s="40"/>
      <c r="M4970"/>
      <c r="N4970"/>
      <c r="O4970"/>
      <c r="P4970"/>
      <c r="Q4970"/>
      <c r="R4970"/>
      <c r="S4970"/>
      <c r="T4970"/>
      <c r="U4970"/>
      <c r="V4970"/>
      <c r="W4970" s="41"/>
      <c r="X4970" s="41"/>
      <c r="Y4970" s="41"/>
    </row>
    <row r="4971" s="27" customFormat="1" ht="23" hidden="1" customHeight="1" spans="1:25">
      <c r="A4971" s="133" t="str">
        <f>IF(B4971="","",COUNTA($B$5:B4971))</f>
        <v/>
      </c>
      <c r="B4971" s="148"/>
      <c r="C4971" s="22" t="s">
        <v>49</v>
      </c>
      <c r="D4971" s="149"/>
      <c r="E4971" s="150"/>
      <c r="F4971" s="151"/>
      <c r="G4971" s="151"/>
      <c r="H4971" s="142">
        <f>IFERROR(VLOOKUP($C4971,$C$5:$H$18,6,0)+SUMIF($C$19:$C4971,$C4971,$F$19:$F4971)-SUMIF($C$19:$C4971,$C4971,$G$19:$G4971),"")</f>
        <v>81211.819999998</v>
      </c>
      <c r="I4971" s="147"/>
      <c r="J4971" s="147"/>
      <c r="K4971" s="147" t="str">
        <f t="shared" si="77"/>
        <v/>
      </c>
      <c r="L4971" s="40"/>
      <c r="M4971"/>
      <c r="N4971"/>
      <c r="O4971"/>
      <c r="P4971"/>
      <c r="Q4971"/>
      <c r="R4971"/>
      <c r="S4971"/>
      <c r="T4971"/>
      <c r="U4971"/>
      <c r="V4971"/>
      <c r="W4971" s="41"/>
      <c r="X4971" s="41"/>
      <c r="Y4971" s="41"/>
    </row>
    <row r="4972" s="27" customFormat="1" ht="23" hidden="1" customHeight="1" spans="1:25">
      <c r="A4972" s="133" t="str">
        <f>IF(B4972="","",COUNTA($B$5:B4972))</f>
        <v/>
      </c>
      <c r="B4972" s="148"/>
      <c r="C4972" s="22" t="s">
        <v>49</v>
      </c>
      <c r="D4972" s="149"/>
      <c r="E4972" s="150"/>
      <c r="F4972" s="151"/>
      <c r="G4972" s="151"/>
      <c r="H4972" s="142">
        <f>IFERROR(VLOOKUP($C4972,$C$5:$H$18,6,0)+SUMIF($C$19:$C4972,$C4972,$F$19:$F4972)-SUMIF($C$19:$C4972,$C4972,$G$19:$G4972),"")</f>
        <v>81211.819999998</v>
      </c>
      <c r="I4972" s="147"/>
      <c r="J4972" s="147"/>
      <c r="K4972" s="147" t="str">
        <f t="shared" si="77"/>
        <v/>
      </c>
      <c r="L4972" s="40"/>
      <c r="M4972"/>
      <c r="N4972"/>
      <c r="O4972"/>
      <c r="P4972"/>
      <c r="Q4972"/>
      <c r="R4972"/>
      <c r="S4972"/>
      <c r="T4972"/>
      <c r="U4972"/>
      <c r="V4972"/>
      <c r="W4972" s="41"/>
      <c r="X4972" s="41"/>
      <c r="Y4972" s="41"/>
    </row>
    <row r="4973" s="27" customFormat="1" ht="23" hidden="1" customHeight="1" spans="1:25">
      <c r="A4973" s="133" t="str">
        <f>IF(B4973="","",COUNTA($B$5:B4973))</f>
        <v/>
      </c>
      <c r="B4973" s="148"/>
      <c r="C4973" s="22" t="s">
        <v>49</v>
      </c>
      <c r="D4973" s="149"/>
      <c r="E4973" s="150"/>
      <c r="F4973" s="151"/>
      <c r="G4973" s="151"/>
      <c r="H4973" s="142">
        <f>IFERROR(VLOOKUP($C4973,$C$5:$H$18,6,0)+SUMIF($C$19:$C4973,$C4973,$F$19:$F4973)-SUMIF($C$19:$C4973,$C4973,$G$19:$G4973),"")</f>
        <v>81211.819999998</v>
      </c>
      <c r="I4973" s="147"/>
      <c r="J4973" s="147"/>
      <c r="K4973" s="147" t="str">
        <f t="shared" si="77"/>
        <v/>
      </c>
      <c r="L4973" s="40"/>
      <c r="M4973"/>
      <c r="N4973"/>
      <c r="O4973"/>
      <c r="P4973"/>
      <c r="Q4973"/>
      <c r="R4973"/>
      <c r="S4973"/>
      <c r="T4973"/>
      <c r="U4973"/>
      <c r="V4973"/>
      <c r="W4973" s="41"/>
      <c r="X4973" s="41"/>
      <c r="Y4973" s="41"/>
    </row>
    <row r="4974" s="27" customFormat="1" ht="23" hidden="1" customHeight="1" spans="1:25">
      <c r="A4974" s="133" t="str">
        <f>IF(B4974="","",COUNTA($B$5:B4974))</f>
        <v/>
      </c>
      <c r="B4974" s="148"/>
      <c r="C4974" s="22" t="s">
        <v>49</v>
      </c>
      <c r="D4974" s="149"/>
      <c r="E4974" s="150"/>
      <c r="F4974" s="151"/>
      <c r="G4974" s="151"/>
      <c r="H4974" s="142">
        <f>IFERROR(VLOOKUP($C4974,$C$5:$H$18,6,0)+SUMIF($C$19:$C4974,$C4974,$F$19:$F4974)-SUMIF($C$19:$C4974,$C4974,$G$19:$G4974),"")</f>
        <v>81211.819999998</v>
      </c>
      <c r="I4974" s="147"/>
      <c r="J4974" s="147"/>
      <c r="K4974" s="147" t="str">
        <f t="shared" si="77"/>
        <v/>
      </c>
      <c r="L4974" s="40"/>
      <c r="M4974"/>
      <c r="N4974"/>
      <c r="O4974"/>
      <c r="P4974"/>
      <c r="Q4974"/>
      <c r="R4974"/>
      <c r="S4974"/>
      <c r="T4974"/>
      <c r="U4974"/>
      <c r="V4974"/>
      <c r="W4974" s="41"/>
      <c r="X4974" s="41"/>
      <c r="Y4974" s="41"/>
    </row>
    <row r="4975" s="27" customFormat="1" ht="23" hidden="1" customHeight="1" spans="1:25">
      <c r="A4975" s="133" t="str">
        <f>IF(B4975="","",COUNTA($B$5:B4975))</f>
        <v/>
      </c>
      <c r="B4975" s="148"/>
      <c r="C4975" s="22" t="s">
        <v>49</v>
      </c>
      <c r="D4975" s="149"/>
      <c r="E4975" s="150"/>
      <c r="F4975" s="151"/>
      <c r="G4975" s="151"/>
      <c r="H4975" s="142">
        <f>IFERROR(VLOOKUP($C4975,$C$5:$H$18,6,0)+SUMIF($C$19:$C4975,$C4975,$F$19:$F4975)-SUMIF($C$19:$C4975,$C4975,$G$19:$G4975),"")</f>
        <v>81211.819999998</v>
      </c>
      <c r="I4975" s="147"/>
      <c r="J4975" s="147"/>
      <c r="K4975" s="147" t="str">
        <f t="shared" si="77"/>
        <v/>
      </c>
      <c r="L4975" s="40"/>
      <c r="M4975"/>
      <c r="N4975"/>
      <c r="O4975"/>
      <c r="P4975"/>
      <c r="Q4975"/>
      <c r="R4975"/>
      <c r="S4975"/>
      <c r="T4975"/>
      <c r="U4975"/>
      <c r="V4975"/>
      <c r="W4975" s="41"/>
      <c r="X4975" s="41"/>
      <c r="Y4975" s="41"/>
    </row>
    <row r="4976" s="27" customFormat="1" ht="23" hidden="1" customHeight="1" spans="1:25">
      <c r="A4976" s="133" t="str">
        <f>IF(B4976="","",COUNTA($B$5:B4976))</f>
        <v/>
      </c>
      <c r="B4976" s="148"/>
      <c r="C4976" s="22" t="s">
        <v>49</v>
      </c>
      <c r="D4976" s="149"/>
      <c r="E4976" s="150"/>
      <c r="F4976" s="151"/>
      <c r="G4976" s="151"/>
      <c r="H4976" s="142">
        <f>IFERROR(VLOOKUP($C4976,$C$5:$H$18,6,0)+SUMIF($C$19:$C4976,$C4976,$F$19:$F4976)-SUMIF($C$19:$C4976,$C4976,$G$19:$G4976),"")</f>
        <v>81211.819999998</v>
      </c>
      <c r="I4976" s="147"/>
      <c r="J4976" s="147"/>
      <c r="K4976" s="147" t="str">
        <f t="shared" si="77"/>
        <v/>
      </c>
      <c r="L4976" s="40"/>
      <c r="M4976"/>
      <c r="N4976"/>
      <c r="O4976"/>
      <c r="P4976"/>
      <c r="Q4976"/>
      <c r="R4976"/>
      <c r="S4976"/>
      <c r="T4976"/>
      <c r="U4976"/>
      <c r="V4976"/>
      <c r="W4976" s="41"/>
      <c r="X4976" s="41"/>
      <c r="Y4976" s="41"/>
    </row>
    <row r="4977" s="27" customFormat="1" ht="23" hidden="1" customHeight="1" spans="1:25">
      <c r="A4977" s="133" t="str">
        <f>IF(B4977="","",COUNTA($B$5:B4977))</f>
        <v/>
      </c>
      <c r="B4977" s="148"/>
      <c r="C4977" s="22" t="s">
        <v>49</v>
      </c>
      <c r="D4977" s="149"/>
      <c r="E4977" s="150"/>
      <c r="F4977" s="151"/>
      <c r="G4977" s="151"/>
      <c r="H4977" s="142">
        <f>IFERROR(VLOOKUP($C4977,$C$5:$H$18,6,0)+SUMIF($C$19:$C4977,$C4977,$F$19:$F4977)-SUMIF($C$19:$C4977,$C4977,$G$19:$G4977),"")</f>
        <v>81211.819999998</v>
      </c>
      <c r="I4977" s="147"/>
      <c r="J4977" s="147"/>
      <c r="K4977" s="147" t="str">
        <f t="shared" si="77"/>
        <v/>
      </c>
      <c r="L4977" s="40"/>
      <c r="M4977"/>
      <c r="N4977"/>
      <c r="O4977"/>
      <c r="P4977"/>
      <c r="Q4977"/>
      <c r="R4977"/>
      <c r="S4977"/>
      <c r="T4977"/>
      <c r="U4977"/>
      <c r="V4977"/>
      <c r="W4977" s="41"/>
      <c r="X4977" s="41"/>
      <c r="Y4977" s="41"/>
    </row>
    <row r="4978" s="27" customFormat="1" ht="23" hidden="1" customHeight="1" spans="1:25">
      <c r="A4978" s="133" t="str">
        <f>IF(B4978="","",COUNTA($B$5:B4978))</f>
        <v/>
      </c>
      <c r="B4978" s="148"/>
      <c r="C4978" s="22" t="s">
        <v>49</v>
      </c>
      <c r="D4978" s="149"/>
      <c r="E4978" s="150"/>
      <c r="F4978" s="151"/>
      <c r="G4978" s="151"/>
      <c r="H4978" s="142">
        <f>IFERROR(VLOOKUP($C4978,$C$5:$H$18,6,0)+SUMIF($C$19:$C4978,$C4978,$F$19:$F4978)-SUMIF($C$19:$C4978,$C4978,$G$19:$G4978),"")</f>
        <v>81211.819999998</v>
      </c>
      <c r="I4978" s="147"/>
      <c r="J4978" s="147"/>
      <c r="K4978" s="147" t="str">
        <f t="shared" si="77"/>
        <v/>
      </c>
      <c r="L4978" s="40"/>
      <c r="M4978"/>
      <c r="N4978"/>
      <c r="O4978"/>
      <c r="P4978"/>
      <c r="Q4978"/>
      <c r="R4978"/>
      <c r="S4978"/>
      <c r="T4978"/>
      <c r="U4978"/>
      <c r="V4978"/>
      <c r="W4978" s="41"/>
      <c r="X4978" s="41"/>
      <c r="Y4978" s="41"/>
    </row>
    <row r="4979" s="27" customFormat="1" ht="23" hidden="1" customHeight="1" spans="1:25">
      <c r="A4979" s="133" t="str">
        <f>IF(B4979="","",COUNTA($B$5:B4979))</f>
        <v/>
      </c>
      <c r="B4979" s="148"/>
      <c r="C4979" s="22" t="s">
        <v>49</v>
      </c>
      <c r="D4979" s="149"/>
      <c r="E4979" s="150"/>
      <c r="F4979" s="151"/>
      <c r="G4979" s="151"/>
      <c r="H4979" s="142">
        <f>IFERROR(VLOOKUP($C4979,$C$5:$H$18,6,0)+SUMIF($C$19:$C4979,$C4979,$F$19:$F4979)-SUMIF($C$19:$C4979,$C4979,$G$19:$G4979),"")</f>
        <v>81211.819999998</v>
      </c>
      <c r="I4979" s="147"/>
      <c r="J4979" s="147"/>
      <c r="K4979" s="147" t="str">
        <f t="shared" si="77"/>
        <v/>
      </c>
      <c r="L4979" s="40"/>
      <c r="M4979"/>
      <c r="N4979"/>
      <c r="O4979"/>
      <c r="P4979"/>
      <c r="Q4979"/>
      <c r="R4979"/>
      <c r="S4979"/>
      <c r="T4979"/>
      <c r="U4979"/>
      <c r="V4979"/>
      <c r="W4979" s="41"/>
      <c r="X4979" s="41"/>
      <c r="Y4979" s="41"/>
    </row>
    <row r="4980" s="27" customFormat="1" ht="23" hidden="1" customHeight="1" spans="1:25">
      <c r="A4980" s="133" t="str">
        <f>IF(B4980="","",COUNTA($B$5:B4980))</f>
        <v/>
      </c>
      <c r="B4980" s="148"/>
      <c r="C4980" s="22" t="s">
        <v>49</v>
      </c>
      <c r="D4980" s="149"/>
      <c r="E4980" s="150"/>
      <c r="F4980" s="151"/>
      <c r="G4980" s="151"/>
      <c r="H4980" s="142">
        <f>IFERROR(VLOOKUP($C4980,$C$5:$H$18,6,0)+SUMIF($C$19:$C4980,$C4980,$F$19:$F4980)-SUMIF($C$19:$C4980,$C4980,$G$19:$G4980),"")</f>
        <v>81211.819999998</v>
      </c>
      <c r="I4980" s="147"/>
      <c r="J4980" s="147"/>
      <c r="K4980" s="147" t="str">
        <f t="shared" si="77"/>
        <v/>
      </c>
      <c r="L4980" s="40"/>
      <c r="M4980"/>
      <c r="N4980"/>
      <c r="O4980"/>
      <c r="P4980"/>
      <c r="Q4980"/>
      <c r="R4980"/>
      <c r="S4980"/>
      <c r="T4980"/>
      <c r="U4980"/>
      <c r="V4980"/>
      <c r="W4980" s="41"/>
      <c r="X4980" s="41"/>
      <c r="Y4980" s="41"/>
    </row>
    <row r="4981" s="27" customFormat="1" ht="23" hidden="1" customHeight="1" spans="1:25">
      <c r="A4981" s="133" t="str">
        <f>IF(B4981="","",COUNTA($B$5:B4981))</f>
        <v/>
      </c>
      <c r="B4981" s="148"/>
      <c r="C4981" s="22" t="s">
        <v>49</v>
      </c>
      <c r="D4981" s="149"/>
      <c r="E4981" s="150"/>
      <c r="F4981" s="151"/>
      <c r="G4981" s="151"/>
      <c r="H4981" s="142">
        <f>IFERROR(VLOOKUP($C4981,$C$5:$H$18,6,0)+SUMIF($C$19:$C4981,$C4981,$F$19:$F4981)-SUMIF($C$19:$C4981,$C4981,$G$19:$G4981),"")</f>
        <v>81211.819999998</v>
      </c>
      <c r="I4981" s="147"/>
      <c r="J4981" s="147"/>
      <c r="K4981" s="147" t="str">
        <f t="shared" si="77"/>
        <v/>
      </c>
      <c r="L4981" s="40"/>
      <c r="M4981"/>
      <c r="N4981"/>
      <c r="O4981"/>
      <c r="P4981"/>
      <c r="Q4981"/>
      <c r="R4981"/>
      <c r="S4981"/>
      <c r="T4981"/>
      <c r="U4981"/>
      <c r="V4981"/>
      <c r="W4981" s="41"/>
      <c r="X4981" s="41"/>
      <c r="Y4981" s="41"/>
    </row>
    <row r="4982" s="27" customFormat="1" ht="23" hidden="1" customHeight="1" spans="1:25">
      <c r="A4982" s="133" t="str">
        <f>IF(B4982="","",COUNTA($B$5:B4982))</f>
        <v/>
      </c>
      <c r="B4982" s="148"/>
      <c r="C4982" s="22" t="s">
        <v>49</v>
      </c>
      <c r="D4982" s="149"/>
      <c r="E4982" s="150"/>
      <c r="F4982" s="151"/>
      <c r="G4982" s="151"/>
      <c r="H4982" s="142">
        <f>IFERROR(VLOOKUP($C4982,$C$5:$H$18,6,0)+SUMIF($C$19:$C4982,$C4982,$F$19:$F4982)-SUMIF($C$19:$C4982,$C4982,$G$19:$G4982),"")</f>
        <v>81211.819999998</v>
      </c>
      <c r="I4982" s="147"/>
      <c r="J4982" s="147"/>
      <c r="K4982" s="147" t="str">
        <f t="shared" si="77"/>
        <v/>
      </c>
      <c r="L4982" s="40"/>
      <c r="M4982"/>
      <c r="N4982"/>
      <c r="O4982"/>
      <c r="P4982"/>
      <c r="Q4982"/>
      <c r="R4982"/>
      <c r="S4982"/>
      <c r="T4982"/>
      <c r="U4982"/>
      <c r="V4982"/>
      <c r="W4982" s="41"/>
      <c r="X4982" s="41"/>
      <c r="Y4982" s="41"/>
    </row>
    <row r="4983" s="27" customFormat="1" ht="23" hidden="1" customHeight="1" spans="1:25">
      <c r="A4983" s="133" t="str">
        <f>IF(B4983="","",COUNTA($B$5:B4983))</f>
        <v/>
      </c>
      <c r="B4983" s="148"/>
      <c r="C4983" s="22" t="s">
        <v>49</v>
      </c>
      <c r="D4983" s="149"/>
      <c r="E4983" s="150"/>
      <c r="F4983" s="151"/>
      <c r="G4983" s="151"/>
      <c r="H4983" s="142">
        <f>IFERROR(VLOOKUP($C4983,$C$5:$H$18,6,0)+SUMIF($C$19:$C4983,$C4983,$F$19:$F4983)-SUMIF($C$19:$C4983,$C4983,$G$19:$G4983),"")</f>
        <v>81211.819999998</v>
      </c>
      <c r="I4983" s="147"/>
      <c r="J4983" s="147"/>
      <c r="K4983" s="147" t="str">
        <f t="shared" si="77"/>
        <v/>
      </c>
      <c r="L4983" s="40"/>
      <c r="M4983"/>
      <c r="N4983"/>
      <c r="O4983"/>
      <c r="P4983"/>
      <c r="Q4983"/>
      <c r="R4983"/>
      <c r="S4983"/>
      <c r="T4983"/>
      <c r="U4983"/>
      <c r="V4983"/>
      <c r="W4983" s="41"/>
      <c r="X4983" s="41"/>
      <c r="Y4983" s="41"/>
    </row>
    <row r="4984" s="27" customFormat="1" ht="23" hidden="1" customHeight="1" spans="1:25">
      <c r="A4984" s="133" t="str">
        <f>IF(B4984="","",COUNTA($B$5:B4984))</f>
        <v/>
      </c>
      <c r="B4984" s="148"/>
      <c r="C4984" s="22" t="s">
        <v>49</v>
      </c>
      <c r="D4984" s="149"/>
      <c r="E4984" s="150"/>
      <c r="F4984" s="151"/>
      <c r="G4984" s="151"/>
      <c r="H4984" s="142">
        <f>IFERROR(VLOOKUP($C4984,$C$5:$H$18,6,0)+SUMIF($C$19:$C4984,$C4984,$F$19:$F4984)-SUMIF($C$19:$C4984,$C4984,$G$19:$G4984),"")</f>
        <v>81211.819999998</v>
      </c>
      <c r="I4984" s="147"/>
      <c r="J4984" s="147"/>
      <c r="K4984" s="147" t="str">
        <f t="shared" si="77"/>
        <v/>
      </c>
      <c r="L4984" s="40"/>
      <c r="M4984"/>
      <c r="N4984"/>
      <c r="O4984"/>
      <c r="P4984"/>
      <c r="Q4984"/>
      <c r="R4984"/>
      <c r="S4984"/>
      <c r="T4984"/>
      <c r="U4984"/>
      <c r="V4984"/>
      <c r="W4984" s="41"/>
      <c r="X4984" s="41"/>
      <c r="Y4984" s="41"/>
    </row>
    <row r="4985" s="27" customFormat="1" ht="23" hidden="1" customHeight="1" spans="1:25">
      <c r="A4985" s="133" t="str">
        <f>IF(B4985="","",COUNTA($B$5:B4985))</f>
        <v/>
      </c>
      <c r="B4985" s="148"/>
      <c r="C4985" s="22" t="s">
        <v>49</v>
      </c>
      <c r="D4985" s="149"/>
      <c r="E4985" s="150"/>
      <c r="F4985" s="151"/>
      <c r="G4985" s="151"/>
      <c r="H4985" s="142">
        <f>IFERROR(VLOOKUP($C4985,$C$5:$H$18,6,0)+SUMIF($C$19:$C4985,$C4985,$F$19:$F4985)-SUMIF($C$19:$C4985,$C4985,$G$19:$G4985),"")</f>
        <v>81211.819999998</v>
      </c>
      <c r="I4985" s="147"/>
      <c r="J4985" s="147"/>
      <c r="K4985" s="147" t="str">
        <f t="shared" si="77"/>
        <v/>
      </c>
      <c r="L4985" s="40"/>
      <c r="M4985"/>
      <c r="N4985"/>
      <c r="O4985"/>
      <c r="P4985"/>
      <c r="Q4985"/>
      <c r="R4985"/>
      <c r="S4985"/>
      <c r="T4985"/>
      <c r="U4985"/>
      <c r="V4985"/>
      <c r="W4985" s="41"/>
      <c r="X4985" s="41"/>
      <c r="Y4985" s="41"/>
    </row>
    <row r="4986" s="27" customFormat="1" ht="23" hidden="1" customHeight="1" spans="1:25">
      <c r="A4986" s="133" t="str">
        <f>IF(B4986="","",COUNTA($B$5:B4986))</f>
        <v/>
      </c>
      <c r="B4986" s="148"/>
      <c r="C4986" s="22" t="s">
        <v>49</v>
      </c>
      <c r="D4986" s="149"/>
      <c r="E4986" s="150"/>
      <c r="F4986" s="151"/>
      <c r="G4986" s="151"/>
      <c r="H4986" s="142">
        <f>IFERROR(VLOOKUP($C4986,$C$5:$H$18,6,0)+SUMIF($C$19:$C4986,$C4986,$F$19:$F4986)-SUMIF($C$19:$C4986,$C4986,$G$19:$G4986),"")</f>
        <v>81211.819999998</v>
      </c>
      <c r="I4986" s="147"/>
      <c r="J4986" s="147"/>
      <c r="K4986" s="147" t="str">
        <f t="shared" si="77"/>
        <v/>
      </c>
      <c r="L4986" s="40"/>
      <c r="M4986"/>
      <c r="N4986"/>
      <c r="O4986"/>
      <c r="P4986"/>
      <c r="Q4986"/>
      <c r="R4986"/>
      <c r="S4986"/>
      <c r="T4986"/>
      <c r="U4986"/>
      <c r="V4986"/>
      <c r="W4986" s="41"/>
      <c r="X4986" s="41"/>
      <c r="Y4986" s="41"/>
    </row>
    <row r="4987" s="27" customFormat="1" ht="23" hidden="1" customHeight="1" spans="1:25">
      <c r="A4987" s="133" t="str">
        <f>IF(B4987="","",COUNTA($B$5:B4987))</f>
        <v/>
      </c>
      <c r="B4987" s="148"/>
      <c r="C4987" s="22" t="s">
        <v>49</v>
      </c>
      <c r="D4987" s="149"/>
      <c r="E4987" s="150"/>
      <c r="F4987" s="151"/>
      <c r="G4987" s="151"/>
      <c r="H4987" s="142">
        <f>IFERROR(VLOOKUP($C4987,$C$5:$H$18,6,0)+SUMIF($C$19:$C4987,$C4987,$F$19:$F4987)-SUMIF($C$19:$C4987,$C4987,$G$19:$G4987),"")</f>
        <v>81211.819999998</v>
      </c>
      <c r="I4987" s="147"/>
      <c r="J4987" s="147"/>
      <c r="K4987" s="147" t="str">
        <f t="shared" si="77"/>
        <v/>
      </c>
      <c r="L4987" s="40"/>
      <c r="M4987"/>
      <c r="N4987"/>
      <c r="O4987"/>
      <c r="P4987"/>
      <c r="Q4987"/>
      <c r="R4987"/>
      <c r="S4987"/>
      <c r="T4987"/>
      <c r="U4987"/>
      <c r="V4987"/>
      <c r="W4987" s="41"/>
      <c r="X4987" s="41"/>
      <c r="Y4987" s="41"/>
    </row>
    <row r="4988" s="27" customFormat="1" ht="23" hidden="1" customHeight="1" spans="1:25">
      <c r="A4988" s="133" t="str">
        <f>IF(B4988="","",COUNTA($B$5:B4988))</f>
        <v/>
      </c>
      <c r="B4988" s="148"/>
      <c r="C4988" s="22" t="s">
        <v>49</v>
      </c>
      <c r="D4988" s="149"/>
      <c r="E4988" s="150"/>
      <c r="F4988" s="151"/>
      <c r="G4988" s="151"/>
      <c r="H4988" s="142">
        <f>IFERROR(VLOOKUP($C4988,$C$5:$H$18,6,0)+SUMIF($C$19:$C4988,$C4988,$F$19:$F4988)-SUMIF($C$19:$C4988,$C4988,$G$19:$G4988),"")</f>
        <v>81211.819999998</v>
      </c>
      <c r="I4988" s="147"/>
      <c r="J4988" s="147"/>
      <c r="K4988" s="147" t="str">
        <f t="shared" si="77"/>
        <v/>
      </c>
      <c r="L4988" s="40"/>
      <c r="M4988"/>
      <c r="N4988"/>
      <c r="O4988"/>
      <c r="P4988"/>
      <c r="Q4988"/>
      <c r="R4988"/>
      <c r="S4988"/>
      <c r="T4988"/>
      <c r="U4988"/>
      <c r="V4988"/>
      <c r="W4988" s="41"/>
      <c r="X4988" s="41"/>
      <c r="Y4988" s="41"/>
    </row>
    <row r="4989" s="27" customFormat="1" ht="23" hidden="1" customHeight="1" spans="1:25">
      <c r="A4989" s="133" t="str">
        <f>IF(B4989="","",COUNTA($B$5:B4989))</f>
        <v/>
      </c>
      <c r="B4989" s="148"/>
      <c r="C4989" s="22" t="s">
        <v>49</v>
      </c>
      <c r="D4989" s="149"/>
      <c r="E4989" s="150"/>
      <c r="F4989" s="151"/>
      <c r="G4989" s="151"/>
      <c r="H4989" s="142">
        <f>IFERROR(VLOOKUP($C4989,$C$5:$H$18,6,0)+SUMIF($C$19:$C4989,$C4989,$F$19:$F4989)-SUMIF($C$19:$C4989,$C4989,$G$19:$G4989),"")</f>
        <v>81211.819999998</v>
      </c>
      <c r="I4989" s="147"/>
      <c r="J4989" s="147"/>
      <c r="K4989" s="147" t="str">
        <f t="shared" si="77"/>
        <v/>
      </c>
      <c r="L4989" s="40"/>
      <c r="M4989"/>
      <c r="N4989"/>
      <c r="O4989"/>
      <c r="P4989"/>
      <c r="Q4989"/>
      <c r="R4989"/>
      <c r="S4989"/>
      <c r="T4989"/>
      <c r="U4989"/>
      <c r="V4989"/>
      <c r="W4989" s="41"/>
      <c r="X4989" s="41"/>
      <c r="Y4989" s="41"/>
    </row>
    <row r="4990" s="27" customFormat="1" ht="23" hidden="1" customHeight="1" spans="1:25">
      <c r="A4990" s="133" t="str">
        <f>IF(B4990="","",COUNTA($B$5:B4990))</f>
        <v/>
      </c>
      <c r="B4990" s="148"/>
      <c r="C4990" s="22" t="s">
        <v>49</v>
      </c>
      <c r="D4990" s="149"/>
      <c r="E4990" s="150"/>
      <c r="F4990" s="151"/>
      <c r="G4990" s="151"/>
      <c r="H4990" s="142">
        <f>IFERROR(VLOOKUP($C4990,$C$5:$H$18,6,0)+SUMIF($C$19:$C4990,$C4990,$F$19:$F4990)-SUMIF($C$19:$C4990,$C4990,$G$19:$G4990),"")</f>
        <v>81211.819999998</v>
      </c>
      <c r="I4990" s="147"/>
      <c r="J4990" s="147"/>
      <c r="K4990" s="147" t="str">
        <f t="shared" si="77"/>
        <v/>
      </c>
      <c r="L4990" s="40"/>
      <c r="M4990"/>
      <c r="N4990"/>
      <c r="O4990"/>
      <c r="P4990"/>
      <c r="Q4990"/>
      <c r="R4990"/>
      <c r="S4990"/>
      <c r="T4990"/>
      <c r="U4990"/>
      <c r="V4990"/>
      <c r="W4990" s="41"/>
      <c r="X4990" s="41"/>
      <c r="Y4990" s="41"/>
    </row>
    <row r="4991" s="27" customFormat="1" ht="23" hidden="1" customHeight="1" spans="1:25">
      <c r="A4991" s="133" t="str">
        <f>IF(B4991="","",COUNTA($B$5:B4991))</f>
        <v/>
      </c>
      <c r="B4991" s="148"/>
      <c r="C4991" s="22" t="s">
        <v>49</v>
      </c>
      <c r="D4991" s="149"/>
      <c r="E4991" s="150"/>
      <c r="F4991" s="151"/>
      <c r="G4991" s="151"/>
      <c r="H4991" s="142">
        <f>IFERROR(VLOOKUP($C4991,$C$5:$H$18,6,0)+SUMIF($C$19:$C4991,$C4991,$F$19:$F4991)-SUMIF($C$19:$C4991,$C4991,$G$19:$G4991),"")</f>
        <v>81211.819999998</v>
      </c>
      <c r="I4991" s="147"/>
      <c r="J4991" s="147"/>
      <c r="K4991" s="147" t="str">
        <f t="shared" si="77"/>
        <v/>
      </c>
      <c r="L4991" s="40"/>
      <c r="M4991"/>
      <c r="N4991"/>
      <c r="O4991"/>
      <c r="P4991"/>
      <c r="Q4991"/>
      <c r="R4991"/>
      <c r="S4991"/>
      <c r="T4991"/>
      <c r="U4991"/>
      <c r="V4991"/>
      <c r="W4991" s="41"/>
      <c r="X4991" s="41"/>
      <c r="Y4991" s="41"/>
    </row>
    <row r="4992" s="27" customFormat="1" ht="23" hidden="1" customHeight="1" spans="1:25">
      <c r="A4992" s="133" t="str">
        <f>IF(B4992="","",COUNTA($B$5:B4992))</f>
        <v/>
      </c>
      <c r="B4992" s="148"/>
      <c r="C4992" s="22" t="s">
        <v>49</v>
      </c>
      <c r="D4992" s="149"/>
      <c r="E4992" s="150"/>
      <c r="F4992" s="151"/>
      <c r="G4992" s="151"/>
      <c r="H4992" s="142">
        <f>IFERROR(VLOOKUP($C4992,$C$5:$H$18,6,0)+SUMIF($C$19:$C4992,$C4992,$F$19:$F4992)-SUMIF($C$19:$C4992,$C4992,$G$19:$G4992),"")</f>
        <v>81211.819999998</v>
      </c>
      <c r="I4992" s="147"/>
      <c r="J4992" s="147"/>
      <c r="K4992" s="147" t="str">
        <f t="shared" si="77"/>
        <v/>
      </c>
      <c r="L4992" s="40"/>
      <c r="M4992"/>
      <c r="N4992"/>
      <c r="O4992"/>
      <c r="P4992"/>
      <c r="Q4992"/>
      <c r="R4992"/>
      <c r="S4992"/>
      <c r="T4992"/>
      <c r="U4992"/>
      <c r="V4992"/>
      <c r="W4992" s="41"/>
      <c r="X4992" s="41"/>
      <c r="Y4992" s="41"/>
    </row>
    <row r="4993" s="27" customFormat="1" ht="23" hidden="1" customHeight="1" spans="1:25">
      <c r="A4993" s="133" t="str">
        <f>IF(B4993="","",COUNTA($B$5:B4993))</f>
        <v/>
      </c>
      <c r="B4993" s="148"/>
      <c r="C4993" s="22" t="s">
        <v>49</v>
      </c>
      <c r="D4993" s="149"/>
      <c r="E4993" s="150"/>
      <c r="F4993" s="151"/>
      <c r="G4993" s="151"/>
      <c r="H4993" s="142">
        <f>IFERROR(VLOOKUP($C4993,$C$5:$H$18,6,0)+SUMIF($C$19:$C4993,$C4993,$F$19:$F4993)-SUMIF($C$19:$C4993,$C4993,$G$19:$G4993),"")</f>
        <v>81211.819999998</v>
      </c>
      <c r="I4993" s="147"/>
      <c r="J4993" s="147"/>
      <c r="K4993" s="147" t="str">
        <f t="shared" si="77"/>
        <v/>
      </c>
      <c r="L4993" s="40"/>
      <c r="M4993"/>
      <c r="N4993"/>
      <c r="O4993"/>
      <c r="P4993"/>
      <c r="Q4993"/>
      <c r="R4993"/>
      <c r="S4993"/>
      <c r="T4993"/>
      <c r="U4993"/>
      <c r="V4993"/>
      <c r="W4993" s="41"/>
      <c r="X4993" s="41"/>
      <c r="Y4993" s="41"/>
    </row>
    <row r="4994" s="27" customFormat="1" ht="23" hidden="1" customHeight="1" spans="1:25">
      <c r="A4994" s="133" t="str">
        <f>IF(B4994="","",COUNTA($B$5:B4994))</f>
        <v/>
      </c>
      <c r="B4994" s="148"/>
      <c r="C4994" s="22" t="s">
        <v>49</v>
      </c>
      <c r="D4994" s="149"/>
      <c r="E4994" s="150"/>
      <c r="F4994" s="151"/>
      <c r="G4994" s="151"/>
      <c r="H4994" s="142">
        <f>IFERROR(VLOOKUP($C4994,$C$5:$H$18,6,0)+SUMIF($C$19:$C4994,$C4994,$F$19:$F4994)-SUMIF($C$19:$C4994,$C4994,$G$19:$G4994),"")</f>
        <v>81211.819999998</v>
      </c>
      <c r="I4994" s="147"/>
      <c r="J4994" s="147"/>
      <c r="K4994" s="147" t="str">
        <f t="shared" si="77"/>
        <v/>
      </c>
      <c r="L4994" s="40"/>
      <c r="M4994"/>
      <c r="N4994"/>
      <c r="O4994"/>
      <c r="P4994"/>
      <c r="Q4994"/>
      <c r="R4994"/>
      <c r="S4994"/>
      <c r="T4994"/>
      <c r="U4994"/>
      <c r="V4994"/>
      <c r="W4994" s="41"/>
      <c r="X4994" s="41"/>
      <c r="Y4994" s="41"/>
    </row>
    <row r="4995" s="27" customFormat="1" ht="23" hidden="1" customHeight="1" spans="1:25">
      <c r="A4995" s="133" t="str">
        <f>IF(B4995="","",COUNTA($B$5:B4995))</f>
        <v/>
      </c>
      <c r="B4995" s="148"/>
      <c r="C4995" s="22" t="s">
        <v>49</v>
      </c>
      <c r="D4995" s="149"/>
      <c r="E4995" s="150"/>
      <c r="F4995" s="151"/>
      <c r="G4995" s="151"/>
      <c r="H4995" s="142">
        <f>IFERROR(VLOOKUP($C4995,$C$5:$H$18,6,0)+SUMIF($C$19:$C4995,$C4995,$F$19:$F4995)-SUMIF($C$19:$C4995,$C4995,$G$19:$G4995),"")</f>
        <v>81211.819999998</v>
      </c>
      <c r="I4995" s="147"/>
      <c r="J4995" s="147"/>
      <c r="K4995" s="147" t="str">
        <f t="shared" si="77"/>
        <v/>
      </c>
      <c r="L4995" s="40"/>
      <c r="M4995"/>
      <c r="N4995"/>
      <c r="O4995"/>
      <c r="P4995"/>
      <c r="Q4995"/>
      <c r="R4995"/>
      <c r="S4995"/>
      <c r="T4995"/>
      <c r="U4995"/>
      <c r="V4995"/>
      <c r="W4995" s="41"/>
      <c r="X4995" s="41"/>
      <c r="Y4995" s="41"/>
    </row>
    <row r="4996" s="27" customFormat="1" ht="23" hidden="1" customHeight="1" spans="1:25">
      <c r="A4996" s="133" t="str">
        <f>IF(B4996="","",COUNTA($B$5:B4996))</f>
        <v/>
      </c>
      <c r="B4996" s="148"/>
      <c r="C4996" s="22" t="s">
        <v>49</v>
      </c>
      <c r="D4996" s="149"/>
      <c r="E4996" s="150"/>
      <c r="F4996" s="151"/>
      <c r="G4996" s="151"/>
      <c r="H4996" s="142">
        <f>IFERROR(VLOOKUP($C4996,$C$5:$H$18,6,0)+SUMIF($C$19:$C4996,$C4996,$F$19:$F4996)-SUMIF($C$19:$C4996,$C4996,$G$19:$G4996),"")</f>
        <v>81211.819999998</v>
      </c>
      <c r="I4996" s="147"/>
      <c r="J4996" s="147"/>
      <c r="K4996" s="147" t="str">
        <f t="shared" si="77"/>
        <v/>
      </c>
      <c r="L4996" s="40"/>
      <c r="M4996"/>
      <c r="N4996"/>
      <c r="O4996"/>
      <c r="P4996"/>
      <c r="Q4996"/>
      <c r="R4996"/>
      <c r="S4996"/>
      <c r="T4996"/>
      <c r="U4996"/>
      <c r="V4996"/>
      <c r="W4996" s="41"/>
      <c r="X4996" s="41"/>
      <c r="Y4996" s="41"/>
    </row>
    <row r="4997" s="27" customFormat="1" ht="23" hidden="1" customHeight="1" spans="1:25">
      <c r="A4997" s="133" t="str">
        <f>IF(B4997="","",COUNTA($B$5:B4997))</f>
        <v/>
      </c>
      <c r="B4997" s="148"/>
      <c r="C4997" s="22" t="s">
        <v>49</v>
      </c>
      <c r="D4997" s="149"/>
      <c r="E4997" s="150"/>
      <c r="F4997" s="151"/>
      <c r="G4997" s="151"/>
      <c r="H4997" s="142">
        <f>IFERROR(VLOOKUP($C4997,$C$5:$H$18,6,0)+SUMIF($C$19:$C4997,$C4997,$F$19:$F4997)-SUMIF($C$19:$C4997,$C4997,$G$19:$G4997),"")</f>
        <v>81211.819999998</v>
      </c>
      <c r="I4997" s="147"/>
      <c r="J4997" s="147"/>
      <c r="K4997" s="147" t="str">
        <f>IF($B4997="","",--TEXT($B4997,"yyyymm"))</f>
        <v/>
      </c>
      <c r="L4997" s="40"/>
      <c r="M4997"/>
      <c r="N4997"/>
      <c r="O4997"/>
      <c r="P4997"/>
      <c r="Q4997"/>
      <c r="R4997"/>
      <c r="S4997"/>
      <c r="T4997"/>
      <c r="U4997"/>
      <c r="V4997"/>
      <c r="W4997" s="41"/>
      <c r="X4997" s="41"/>
      <c r="Y4997" s="41"/>
    </row>
    <row r="4998" s="27" customFormat="1" ht="23" hidden="1" customHeight="1" spans="1:25">
      <c r="A4998" s="133" t="str">
        <f>IF(B4998="","",COUNTA($B$5:B4998))</f>
        <v/>
      </c>
      <c r="B4998" s="148"/>
      <c r="C4998" s="22" t="s">
        <v>49</v>
      </c>
      <c r="D4998" s="149"/>
      <c r="E4998" s="150"/>
      <c r="F4998" s="151"/>
      <c r="G4998" s="151"/>
      <c r="H4998" s="142">
        <f>IFERROR(VLOOKUP($C4998,$C$5:$H$18,6,0)+SUMIF($C$19:$C4998,$C4998,$F$19:$F4998)-SUMIF($C$19:$C4998,$C4998,$G$19:$G4998),"")</f>
        <v>81211.819999998</v>
      </c>
      <c r="I4998" s="147"/>
      <c r="J4998" s="147"/>
      <c r="K4998" s="147" t="str">
        <f>IF($B4998="","",--TEXT($B4998,"yyyymm"))</f>
        <v/>
      </c>
      <c r="L4998" s="40"/>
      <c r="M4998"/>
      <c r="N4998"/>
      <c r="O4998"/>
      <c r="P4998"/>
      <c r="Q4998"/>
      <c r="R4998"/>
      <c r="S4998"/>
      <c r="T4998"/>
      <c r="U4998"/>
      <c r="V4998"/>
      <c r="W4998" s="41"/>
      <c r="X4998" s="41"/>
      <c r="Y4998" s="41"/>
    </row>
    <row r="4999" s="27" customFormat="1" ht="23" hidden="1" customHeight="1" spans="1:25">
      <c r="A4999" s="133" t="str">
        <f>IF(B4999="","",COUNTA($B$5:B4999))</f>
        <v/>
      </c>
      <c r="B4999" s="148"/>
      <c r="C4999" s="22" t="s">
        <v>49</v>
      </c>
      <c r="D4999" s="149"/>
      <c r="E4999" s="150"/>
      <c r="F4999" s="151"/>
      <c r="G4999" s="151"/>
      <c r="H4999" s="142">
        <f>IFERROR(VLOOKUP($C4999,$C$5:$H$18,6,0)+SUMIF($C$19:$C4999,$C4999,$F$19:$F4999)-SUMIF($C$19:$C4999,$C4999,$G$19:$G4999),"")</f>
        <v>81211.819999998</v>
      </c>
      <c r="I4999" s="147"/>
      <c r="J4999" s="147"/>
      <c r="K4999" s="147" t="str">
        <f>IF($B4999="","",--TEXT($B4999,"yyyymm"))</f>
        <v/>
      </c>
      <c r="L4999" s="40"/>
      <c r="M4999"/>
      <c r="N4999"/>
      <c r="O4999"/>
      <c r="P4999"/>
      <c r="Q4999"/>
      <c r="R4999"/>
      <c r="S4999"/>
      <c r="T4999"/>
      <c r="U4999"/>
      <c r="V4999"/>
      <c r="W4999" s="41"/>
      <c r="X4999" s="41"/>
      <c r="Y4999" s="41"/>
    </row>
    <row r="5000" s="27" customFormat="1" ht="23" hidden="1" customHeight="1" spans="1:25">
      <c r="A5000" s="26"/>
      <c r="B5000" s="152"/>
      <c r="D5000" s="26"/>
      <c r="E5000" s="119"/>
      <c r="F5000" s="153"/>
      <c r="G5000" s="153"/>
      <c r="H5000" s="153"/>
      <c r="L5000" s="40"/>
      <c r="M5000"/>
      <c r="N5000"/>
      <c r="O5000"/>
      <c r="P5000"/>
      <c r="Q5000"/>
      <c r="R5000"/>
      <c r="S5000"/>
      <c r="T5000"/>
      <c r="U5000"/>
      <c r="V5000"/>
      <c r="W5000" s="41"/>
      <c r="X5000" s="41"/>
      <c r="Y5000" s="41"/>
    </row>
    <row r="5001" s="27" customFormat="1" ht="23" hidden="1" customHeight="1" spans="1:25">
      <c r="A5001" s="26"/>
      <c r="B5001" s="152"/>
      <c r="D5001" s="26"/>
      <c r="E5001" s="119"/>
      <c r="F5001" s="153"/>
      <c r="G5001" s="153"/>
      <c r="H5001" s="153"/>
      <c r="L5001" s="40"/>
      <c r="M5001"/>
      <c r="N5001"/>
      <c r="O5001"/>
      <c r="P5001"/>
      <c r="Q5001"/>
      <c r="R5001"/>
      <c r="S5001"/>
      <c r="T5001"/>
      <c r="U5001"/>
      <c r="V5001"/>
      <c r="W5001" s="41"/>
      <c r="X5001" s="41"/>
      <c r="Y5001" s="41"/>
    </row>
    <row r="5002" s="27" customFormat="1" ht="23" hidden="1" customHeight="1" spans="1:25">
      <c r="A5002" s="26"/>
      <c r="B5002" s="152"/>
      <c r="D5002" s="26"/>
      <c r="E5002" s="119"/>
      <c r="F5002" s="153"/>
      <c r="G5002" s="153"/>
      <c r="H5002" s="153"/>
      <c r="L5002" s="40"/>
      <c r="M5002"/>
      <c r="N5002"/>
      <c r="O5002"/>
      <c r="P5002"/>
      <c r="Q5002"/>
      <c r="R5002"/>
      <c r="S5002"/>
      <c r="T5002"/>
      <c r="U5002"/>
      <c r="V5002"/>
      <c r="W5002" s="41"/>
      <c r="X5002" s="41"/>
      <c r="Y5002" s="41"/>
    </row>
    <row r="5003" s="27" customFormat="1" ht="23" hidden="1" customHeight="1" spans="1:25">
      <c r="A5003" s="26"/>
      <c r="B5003" s="152"/>
      <c r="D5003" s="26"/>
      <c r="E5003" s="119"/>
      <c r="F5003" s="153"/>
      <c r="G5003" s="153"/>
      <c r="H5003" s="153"/>
      <c r="L5003" s="40"/>
      <c r="M5003"/>
      <c r="N5003"/>
      <c r="O5003"/>
      <c r="P5003"/>
      <c r="Q5003"/>
      <c r="R5003"/>
      <c r="S5003"/>
      <c r="T5003"/>
      <c r="U5003"/>
      <c r="V5003"/>
      <c r="W5003" s="41"/>
      <c r="X5003" s="41"/>
      <c r="Y5003" s="41"/>
    </row>
    <row r="5004" s="27" customFormat="1" ht="23" hidden="1" customHeight="1" spans="1:25">
      <c r="A5004" s="26"/>
      <c r="B5004" s="152"/>
      <c r="D5004" s="26"/>
      <c r="E5004" s="119"/>
      <c r="F5004" s="153"/>
      <c r="G5004" s="153"/>
      <c r="H5004" s="153"/>
      <c r="L5004" s="40"/>
      <c r="M5004"/>
      <c r="N5004"/>
      <c r="O5004"/>
      <c r="P5004"/>
      <c r="Q5004"/>
      <c r="R5004"/>
      <c r="S5004"/>
      <c r="T5004"/>
      <c r="U5004"/>
      <c r="V5004"/>
      <c r="W5004" s="41"/>
      <c r="X5004" s="41"/>
      <c r="Y5004" s="41"/>
    </row>
    <row r="5005" s="27" customFormat="1" ht="23" hidden="1" customHeight="1" spans="1:25">
      <c r="A5005" s="26"/>
      <c r="B5005" s="152"/>
      <c r="D5005" s="26"/>
      <c r="E5005" s="119"/>
      <c r="F5005" s="153"/>
      <c r="G5005" s="153"/>
      <c r="H5005" s="153"/>
      <c r="L5005" s="40"/>
      <c r="M5005"/>
      <c r="N5005"/>
      <c r="O5005"/>
      <c r="P5005"/>
      <c r="Q5005"/>
      <c r="R5005"/>
      <c r="S5005"/>
      <c r="T5005"/>
      <c r="U5005"/>
      <c r="V5005"/>
      <c r="W5005" s="41"/>
      <c r="X5005" s="41"/>
      <c r="Y5005" s="41"/>
    </row>
    <row r="5006" s="27" customFormat="1" ht="23" hidden="1" customHeight="1" spans="1:25">
      <c r="A5006" s="26"/>
      <c r="B5006" s="152"/>
      <c r="D5006" s="26"/>
      <c r="E5006" s="119"/>
      <c r="F5006" s="153"/>
      <c r="G5006" s="153"/>
      <c r="H5006" s="153"/>
      <c r="L5006" s="40"/>
      <c r="M5006"/>
      <c r="N5006"/>
      <c r="O5006"/>
      <c r="P5006"/>
      <c r="Q5006"/>
      <c r="R5006"/>
      <c r="S5006"/>
      <c r="T5006"/>
      <c r="U5006"/>
      <c r="V5006"/>
      <c r="W5006" s="41"/>
      <c r="X5006" s="41"/>
      <c r="Y5006" s="41"/>
    </row>
    <row r="5007" s="27" customFormat="1" ht="23" hidden="1" customHeight="1" spans="1:25">
      <c r="A5007" s="26"/>
      <c r="B5007" s="152"/>
      <c r="D5007" s="26"/>
      <c r="E5007" s="119"/>
      <c r="F5007" s="153"/>
      <c r="G5007" s="153"/>
      <c r="H5007" s="153"/>
      <c r="L5007" s="40"/>
      <c r="M5007"/>
      <c r="N5007"/>
      <c r="O5007"/>
      <c r="P5007"/>
      <c r="Q5007"/>
      <c r="R5007"/>
      <c r="S5007"/>
      <c r="T5007"/>
      <c r="U5007"/>
      <c r="V5007"/>
      <c r="W5007" s="41"/>
      <c r="X5007" s="41"/>
      <c r="Y5007" s="41"/>
    </row>
    <row r="5008" s="27" customFormat="1" ht="23" hidden="1" customHeight="1" spans="1:25">
      <c r="A5008" s="26"/>
      <c r="B5008" s="152"/>
      <c r="D5008" s="26"/>
      <c r="E5008" s="119"/>
      <c r="F5008" s="153"/>
      <c r="G5008" s="153"/>
      <c r="H5008" s="153"/>
      <c r="L5008" s="40"/>
      <c r="M5008"/>
      <c r="N5008"/>
      <c r="O5008"/>
      <c r="P5008"/>
      <c r="Q5008"/>
      <c r="R5008"/>
      <c r="S5008"/>
      <c r="T5008"/>
      <c r="U5008"/>
      <c r="V5008"/>
      <c r="W5008" s="41"/>
      <c r="X5008" s="41"/>
      <c r="Y5008" s="41"/>
    </row>
    <row r="5009" s="27" customFormat="1" ht="23" hidden="1" customHeight="1" spans="1:25">
      <c r="A5009" s="26"/>
      <c r="B5009" s="152"/>
      <c r="D5009" s="26"/>
      <c r="E5009" s="119"/>
      <c r="F5009" s="153"/>
      <c r="G5009" s="153"/>
      <c r="H5009" s="153"/>
      <c r="L5009" s="40"/>
      <c r="M5009"/>
      <c r="N5009"/>
      <c r="O5009"/>
      <c r="P5009"/>
      <c r="Q5009"/>
      <c r="R5009"/>
      <c r="S5009"/>
      <c r="T5009"/>
      <c r="U5009"/>
      <c r="V5009"/>
      <c r="W5009" s="41"/>
      <c r="X5009" s="41"/>
      <c r="Y5009" s="41"/>
    </row>
    <row r="5010" s="27" customFormat="1" ht="23" hidden="1" customHeight="1" spans="1:25">
      <c r="A5010" s="26"/>
      <c r="B5010" s="152"/>
      <c r="D5010" s="26"/>
      <c r="E5010" s="119"/>
      <c r="F5010" s="153"/>
      <c r="G5010" s="153"/>
      <c r="H5010" s="153"/>
      <c r="L5010" s="40"/>
      <c r="M5010"/>
      <c r="N5010"/>
      <c r="O5010"/>
      <c r="P5010"/>
      <c r="Q5010"/>
      <c r="R5010"/>
      <c r="S5010"/>
      <c r="T5010"/>
      <c r="U5010"/>
      <c r="V5010"/>
      <c r="W5010" s="41"/>
      <c r="X5010" s="41"/>
      <c r="Y5010" s="41"/>
    </row>
    <row r="5011" s="27" customFormat="1" ht="23" hidden="1" customHeight="1" spans="1:25">
      <c r="A5011" s="26"/>
      <c r="B5011" s="152"/>
      <c r="D5011" s="26"/>
      <c r="E5011" s="119"/>
      <c r="F5011" s="153"/>
      <c r="G5011" s="153"/>
      <c r="H5011" s="153"/>
      <c r="L5011" s="40"/>
      <c r="M5011"/>
      <c r="N5011"/>
      <c r="O5011"/>
      <c r="P5011"/>
      <c r="Q5011"/>
      <c r="R5011"/>
      <c r="S5011"/>
      <c r="T5011"/>
      <c r="U5011"/>
      <c r="V5011"/>
      <c r="W5011" s="41"/>
      <c r="X5011" s="41"/>
      <c r="Y5011" s="41"/>
    </row>
    <row r="5012" s="43" customFormat="1" ht="22" hidden="1" customHeight="1" spans="1:25">
      <c r="A5012" s="26"/>
      <c r="B5012" s="152"/>
      <c r="C5012" s="27"/>
      <c r="D5012" s="26"/>
      <c r="E5012" s="119"/>
      <c r="F5012" s="153"/>
      <c r="G5012" s="153"/>
      <c r="H5012" s="153"/>
      <c r="I5012" s="27"/>
      <c r="J5012" s="27"/>
      <c r="K5012" s="27"/>
      <c r="M5012"/>
      <c r="N5012"/>
      <c r="O5012"/>
      <c r="P5012"/>
      <c r="Q5012"/>
      <c r="R5012"/>
      <c r="S5012"/>
      <c r="T5012"/>
      <c r="U5012"/>
      <c r="V5012"/>
    </row>
    <row r="5013" hidden="1"/>
    <row r="5014" hidden="1"/>
    <row r="5015" hidden="1"/>
    <row r="5016" hidden="1"/>
    <row r="5017" hidden="1"/>
    <row r="5018" hidden="1"/>
    <row r="5019" hidden="1"/>
    <row r="5020" hidden="1"/>
    <row r="5021" hidden="1"/>
    <row r="5022" hidden="1"/>
    <row r="5023" hidden="1"/>
    <row r="5024" hidden="1"/>
    <row r="5025" hidden="1"/>
    <row r="5026" hidden="1"/>
    <row r="5027" hidden="1"/>
    <row r="5028" hidden="1"/>
    <row r="5029" hidden="1"/>
    <row r="5030" hidden="1"/>
    <row r="5031" hidden="1"/>
    <row r="5032" hidden="1"/>
    <row r="5033" hidden="1"/>
    <row r="5034" hidden="1"/>
    <row r="5035" hidden="1"/>
    <row r="5036" hidden="1"/>
    <row r="5037" hidden="1"/>
    <row r="5038" hidden="1"/>
    <row r="5039" hidden="1"/>
    <row r="5040" hidden="1"/>
    <row r="5041" hidden="1"/>
    <row r="5042" hidden="1"/>
    <row r="5043" hidden="1"/>
    <row r="5044" hidden="1"/>
    <row r="5045" hidden="1"/>
    <row r="5046" hidden="1"/>
    <row r="5047" hidden="1"/>
    <row r="5048" hidden="1"/>
    <row r="5049" hidden="1"/>
    <row r="5050" hidden="1"/>
    <row r="5051" hidden="1"/>
    <row r="5052" hidden="1"/>
    <row r="5053" hidden="1"/>
    <row r="5054" hidden="1"/>
    <row r="5055" hidden="1"/>
    <row r="5056" hidden="1"/>
    <row r="5057" hidden="1"/>
    <row r="5058" hidden="1"/>
    <row r="5059" hidden="1"/>
    <row r="5060" hidden="1"/>
    <row r="5061" hidden="1"/>
    <row r="5062" hidden="1"/>
    <row r="5063" hidden="1"/>
    <row r="5064" hidden="1"/>
    <row r="5065" hidden="1"/>
    <row r="5066" hidden="1"/>
    <row r="5067" hidden="1"/>
    <row r="5068" hidden="1"/>
    <row r="5069" hidden="1"/>
    <row r="5070" hidden="1"/>
    <row r="5071" hidden="1"/>
    <row r="5072" hidden="1"/>
    <row r="5073" hidden="1"/>
    <row r="5074" hidden="1"/>
    <row r="5075" hidden="1"/>
    <row r="5076" hidden="1"/>
    <row r="5077" hidden="1"/>
    <row r="5078" hidden="1"/>
    <row r="5079" hidden="1"/>
    <row r="5080" hidden="1"/>
    <row r="5081" hidden="1"/>
    <row r="5082" hidden="1"/>
    <row r="5083" hidden="1"/>
    <row r="5084" hidden="1"/>
    <row r="5085" hidden="1"/>
    <row r="5086" hidden="1"/>
    <row r="5087" hidden="1"/>
    <row r="5088" hidden="1"/>
    <row r="5089" hidden="1"/>
    <row r="5090" hidden="1"/>
    <row r="5091" hidden="1"/>
    <row r="5092" hidden="1"/>
    <row r="5093" hidden="1"/>
    <row r="5094" hidden="1"/>
    <row r="5095" hidden="1"/>
    <row r="5096" hidden="1"/>
    <row r="5097" hidden="1"/>
    <row r="5098" hidden="1"/>
    <row r="5099" hidden="1"/>
    <row r="5100" hidden="1"/>
    <row r="5101" hidden="1"/>
    <row r="5102" hidden="1"/>
    <row r="5103" hidden="1"/>
    <row r="5104" hidden="1"/>
    <row r="5105" hidden="1"/>
    <row r="5106" hidden="1"/>
    <row r="5107" hidden="1"/>
    <row r="5108" hidden="1"/>
    <row r="5109" hidden="1"/>
    <row r="5110" hidden="1"/>
    <row r="5111" hidden="1"/>
    <row r="5112" hidden="1"/>
    <row r="5113" hidden="1"/>
    <row r="5114" hidden="1"/>
    <row r="5115" hidden="1"/>
    <row r="5116" hidden="1"/>
    <row r="5117" hidden="1"/>
    <row r="5118" hidden="1"/>
    <row r="5119" hidden="1"/>
    <row r="5120" hidden="1"/>
    <row r="5121" hidden="1"/>
    <row r="5122" hidden="1"/>
    <row r="5123" hidden="1"/>
    <row r="5124" hidden="1"/>
    <row r="5125" hidden="1"/>
    <row r="5126" hidden="1"/>
    <row r="5127" hidden="1"/>
    <row r="5128" hidden="1"/>
    <row r="5129" hidden="1"/>
    <row r="5130" hidden="1"/>
    <row r="5131" hidden="1"/>
    <row r="5132" hidden="1"/>
    <row r="5133" hidden="1"/>
    <row r="5134" hidden="1"/>
    <row r="5135" hidden="1"/>
    <row r="5136" hidden="1"/>
    <row r="5137" hidden="1"/>
    <row r="5138" hidden="1"/>
    <row r="5139" hidden="1"/>
    <row r="5140" hidden="1"/>
    <row r="5141" hidden="1"/>
    <row r="5142" hidden="1"/>
    <row r="5143" hidden="1"/>
    <row r="5144" hidden="1"/>
    <row r="5145" hidden="1"/>
    <row r="5146" hidden="1"/>
    <row r="5147" hidden="1"/>
    <row r="5148" hidden="1"/>
    <row r="5149" hidden="1"/>
    <row r="5150" hidden="1"/>
    <row r="5151" hidden="1"/>
    <row r="5152" hidden="1"/>
    <row r="5153" hidden="1"/>
    <row r="5154" hidden="1"/>
    <row r="5155" hidden="1"/>
    <row r="5156" hidden="1"/>
    <row r="5157" hidden="1"/>
    <row r="5158" hidden="1"/>
    <row r="5159" hidden="1"/>
    <row r="5160" hidden="1"/>
    <row r="5161" hidden="1"/>
    <row r="5162" hidden="1"/>
    <row r="5163" hidden="1"/>
    <row r="5164" hidden="1"/>
    <row r="5165" hidden="1"/>
    <row r="5166" hidden="1"/>
    <row r="5167" hidden="1"/>
    <row r="5168" hidden="1"/>
    <row r="5169" hidden="1"/>
    <row r="5170" hidden="1"/>
    <row r="5171" hidden="1"/>
    <row r="5172" hidden="1"/>
    <row r="5173" hidden="1"/>
    <row r="5174" hidden="1"/>
    <row r="5175" hidden="1"/>
    <row r="5176" hidden="1"/>
    <row r="5177" hidden="1"/>
    <row r="5178" hidden="1"/>
    <row r="5179" hidden="1"/>
    <row r="5180" hidden="1"/>
    <row r="5181" hidden="1"/>
    <row r="5182" hidden="1"/>
    <row r="5183" hidden="1"/>
    <row r="5184" hidden="1"/>
    <row r="5185" hidden="1"/>
    <row r="5186" hidden="1"/>
    <row r="5187" hidden="1"/>
    <row r="5188" hidden="1"/>
    <row r="5189" hidden="1"/>
    <row r="5190" hidden="1"/>
    <row r="5191" hidden="1"/>
    <row r="5192" hidden="1"/>
    <row r="5193" hidden="1"/>
    <row r="5194" hidden="1"/>
    <row r="5195" hidden="1"/>
    <row r="5196" hidden="1"/>
    <row r="5197" hidden="1"/>
    <row r="5198" hidden="1"/>
    <row r="5199" hidden="1"/>
    <row r="5200" hidden="1"/>
    <row r="5201" hidden="1"/>
    <row r="5202" hidden="1"/>
    <row r="5203" hidden="1"/>
    <row r="5204" hidden="1"/>
    <row r="5205" hidden="1"/>
    <row r="5206" hidden="1"/>
    <row r="5207" hidden="1"/>
    <row r="5208" hidden="1"/>
    <row r="5209" hidden="1"/>
    <row r="5210" hidden="1"/>
    <row r="5211" hidden="1"/>
    <row r="5212" hidden="1"/>
    <row r="5213" hidden="1"/>
    <row r="5214" hidden="1"/>
    <row r="5215" hidden="1"/>
    <row r="5216" hidden="1"/>
    <row r="5217" hidden="1"/>
    <row r="5218" hidden="1"/>
    <row r="5219" hidden="1"/>
    <row r="5220" hidden="1"/>
    <row r="5221" hidden="1"/>
    <row r="5222" hidden="1"/>
    <row r="5223" hidden="1"/>
    <row r="5224" hidden="1"/>
    <row r="5225" hidden="1"/>
    <row r="5226" hidden="1"/>
    <row r="5227" hidden="1"/>
    <row r="5228" hidden="1"/>
    <row r="5229" hidden="1"/>
    <row r="5230" hidden="1"/>
    <row r="5231" hidden="1"/>
    <row r="5232" hidden="1"/>
    <row r="5233" hidden="1"/>
    <row r="5234" hidden="1"/>
    <row r="5235" hidden="1"/>
    <row r="5236" hidden="1"/>
    <row r="5237" hidden="1"/>
    <row r="5238" hidden="1"/>
    <row r="5239" hidden="1"/>
    <row r="5240" hidden="1"/>
    <row r="5241" hidden="1"/>
    <row r="5242" hidden="1"/>
    <row r="5243" hidden="1"/>
    <row r="5244" hidden="1"/>
    <row r="5245" hidden="1"/>
    <row r="5246" hidden="1"/>
    <row r="5247" hidden="1"/>
    <row r="5248" hidden="1"/>
    <row r="5249" hidden="1"/>
    <row r="5250" hidden="1"/>
    <row r="5251" hidden="1"/>
    <row r="5252" hidden="1"/>
    <row r="5253" hidden="1"/>
    <row r="5254" hidden="1"/>
    <row r="5255" hidden="1"/>
    <row r="5256" hidden="1"/>
    <row r="5257" hidden="1"/>
    <row r="5258" hidden="1"/>
    <row r="5259" hidden="1"/>
    <row r="5260" hidden="1"/>
    <row r="5261" hidden="1"/>
    <row r="5262" hidden="1"/>
    <row r="5263" hidden="1"/>
    <row r="5264" hidden="1"/>
    <row r="5265" hidden="1"/>
    <row r="5266" hidden="1"/>
    <row r="5267" hidden="1"/>
    <row r="5268" hidden="1"/>
    <row r="5269" hidden="1"/>
    <row r="5270" hidden="1"/>
    <row r="5271" hidden="1"/>
    <row r="5272" hidden="1"/>
    <row r="5273" hidden="1"/>
    <row r="5274" hidden="1"/>
    <row r="5275" hidden="1"/>
    <row r="5276" hidden="1"/>
    <row r="5277" hidden="1"/>
    <row r="5278" hidden="1"/>
    <row r="5279" hidden="1"/>
    <row r="5280" hidden="1"/>
    <row r="5281" hidden="1"/>
    <row r="5282" hidden="1"/>
    <row r="5283" hidden="1"/>
    <row r="5284" hidden="1"/>
    <row r="5285" hidden="1"/>
    <row r="5286" hidden="1"/>
    <row r="5287" hidden="1"/>
    <row r="5288" hidden="1"/>
    <row r="5289" hidden="1"/>
    <row r="5290" hidden="1"/>
    <row r="5291" hidden="1"/>
    <row r="5292" hidden="1"/>
    <row r="5293" hidden="1"/>
    <row r="5294" hidden="1"/>
    <row r="5295" hidden="1"/>
    <row r="5296" hidden="1"/>
    <row r="5297" hidden="1"/>
    <row r="5298" hidden="1"/>
    <row r="5299" hidden="1"/>
    <row r="5300" hidden="1"/>
    <row r="5301" hidden="1"/>
    <row r="5302" hidden="1"/>
    <row r="5303" hidden="1"/>
    <row r="5304" hidden="1"/>
    <row r="5305" hidden="1"/>
    <row r="5306" hidden="1"/>
    <row r="5307" hidden="1"/>
    <row r="5308" hidden="1"/>
    <row r="5309" hidden="1"/>
    <row r="5310" hidden="1"/>
    <row r="5311" hidden="1"/>
    <row r="5312" hidden="1"/>
    <row r="5313" hidden="1"/>
    <row r="5314" hidden="1"/>
    <row r="5315" hidden="1"/>
    <row r="5316" hidden="1"/>
    <row r="5317" hidden="1"/>
    <row r="5318" hidden="1"/>
    <row r="5319" hidden="1"/>
    <row r="5320" hidden="1"/>
    <row r="5321" hidden="1"/>
    <row r="5322" hidden="1"/>
    <row r="5323" hidden="1"/>
    <row r="5324" hidden="1"/>
    <row r="5325" hidden="1"/>
    <row r="5326" hidden="1"/>
    <row r="5327" hidden="1"/>
    <row r="5328" hidden="1"/>
    <row r="5329" hidden="1"/>
    <row r="5330" hidden="1"/>
    <row r="5331" hidden="1"/>
    <row r="5332" hidden="1"/>
    <row r="5333" hidden="1"/>
    <row r="5334" hidden="1"/>
    <row r="5335" hidden="1"/>
    <row r="5336" hidden="1"/>
    <row r="5337" hidden="1"/>
    <row r="5338" hidden="1"/>
    <row r="5339" hidden="1"/>
    <row r="5340" hidden="1"/>
    <row r="5341" hidden="1"/>
    <row r="5342" hidden="1"/>
    <row r="5343" hidden="1"/>
    <row r="5344" hidden="1"/>
    <row r="5345" hidden="1"/>
    <row r="5346" hidden="1"/>
    <row r="5347" hidden="1"/>
    <row r="5348" hidden="1"/>
    <row r="5349" hidden="1"/>
    <row r="5350" hidden="1"/>
    <row r="5351" hidden="1"/>
    <row r="5352" hidden="1"/>
    <row r="5353" hidden="1"/>
    <row r="5354" hidden="1"/>
    <row r="5355" hidden="1"/>
    <row r="5356" hidden="1"/>
    <row r="5357" hidden="1"/>
    <row r="5358" hidden="1"/>
    <row r="5359" hidden="1"/>
    <row r="5360" hidden="1"/>
    <row r="5361" hidden="1"/>
    <row r="5362" hidden="1"/>
    <row r="5363" hidden="1"/>
    <row r="5364" hidden="1"/>
    <row r="5365" hidden="1"/>
    <row r="5366" hidden="1"/>
    <row r="5367" hidden="1"/>
    <row r="5368" hidden="1"/>
    <row r="5369" hidden="1"/>
    <row r="5370" hidden="1"/>
    <row r="5371" hidden="1"/>
    <row r="5372" hidden="1"/>
    <row r="5373" hidden="1"/>
    <row r="5374" hidden="1"/>
    <row r="5375" hidden="1"/>
    <row r="5376" hidden="1"/>
    <row r="5377" hidden="1"/>
    <row r="5378" hidden="1"/>
    <row r="5379" hidden="1"/>
    <row r="5380" hidden="1"/>
    <row r="5381" hidden="1"/>
    <row r="5382" hidden="1"/>
    <row r="5383" hidden="1"/>
    <row r="5384" hidden="1"/>
    <row r="5385" hidden="1"/>
    <row r="5386" hidden="1"/>
    <row r="5387" hidden="1"/>
    <row r="5388" hidden="1"/>
    <row r="5389" hidden="1"/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/>
    <row r="5401" hidden="1"/>
    <row r="5402" hidden="1"/>
    <row r="5403" hidden="1"/>
    <row r="5404" hidden="1"/>
    <row r="5405" hidden="1"/>
    <row r="5406" hidden="1"/>
    <row r="5407" hidden="1"/>
    <row r="5408" hidden="1"/>
    <row r="5409" hidden="1"/>
    <row r="5410" hidden="1"/>
    <row r="5411" hidden="1"/>
    <row r="5412" hidden="1"/>
    <row r="5413" hidden="1"/>
    <row r="5414" hidden="1"/>
    <row r="5415" hidden="1"/>
    <row r="5416" hidden="1"/>
    <row r="5417" hidden="1"/>
    <row r="5418" hidden="1"/>
    <row r="5419" hidden="1"/>
    <row r="5420" hidden="1"/>
    <row r="5421" hidden="1"/>
    <row r="5422" hidden="1"/>
    <row r="5423" hidden="1"/>
    <row r="5424" hidden="1"/>
    <row r="5425" hidden="1"/>
    <row r="5426" hidden="1"/>
    <row r="5427" hidden="1"/>
    <row r="5428" hidden="1"/>
    <row r="5429" hidden="1"/>
    <row r="5430" hidden="1"/>
    <row r="5431" hidden="1"/>
    <row r="5432" hidden="1"/>
    <row r="5433" hidden="1"/>
    <row r="5434" hidden="1"/>
    <row r="5435" hidden="1"/>
    <row r="5436" hidden="1"/>
    <row r="5437" hidden="1"/>
    <row r="5438" hidden="1"/>
    <row r="5439" hidden="1"/>
    <row r="5440" hidden="1"/>
    <row r="5441" hidden="1"/>
    <row r="5442" hidden="1"/>
    <row r="5443" hidden="1"/>
    <row r="5444" hidden="1"/>
    <row r="5445" hidden="1"/>
    <row r="5446" hidden="1"/>
    <row r="5447" hidden="1"/>
    <row r="5448" hidden="1"/>
    <row r="5449" hidden="1"/>
    <row r="5450" hidden="1"/>
    <row r="5451" hidden="1"/>
    <row r="5452" hidden="1"/>
    <row r="5453" hidden="1"/>
    <row r="5454" hidden="1"/>
    <row r="5455" hidden="1"/>
    <row r="5456" hidden="1"/>
    <row r="5457" hidden="1"/>
    <row r="5458" hidden="1"/>
    <row r="5459" hidden="1"/>
    <row r="5460" hidden="1"/>
    <row r="5461" hidden="1"/>
    <row r="5462" hidden="1"/>
    <row r="5463" hidden="1"/>
    <row r="5464" hidden="1"/>
    <row r="5465" hidden="1"/>
    <row r="5466" hidden="1"/>
    <row r="5467" hidden="1"/>
    <row r="5468" hidden="1"/>
    <row r="5469" hidden="1"/>
    <row r="5470" hidden="1"/>
    <row r="5471" hidden="1"/>
    <row r="5472" hidden="1"/>
    <row r="5473" hidden="1"/>
    <row r="5474" hidden="1"/>
    <row r="5475" hidden="1"/>
    <row r="5476" hidden="1"/>
    <row r="5477" hidden="1"/>
    <row r="5478" hidden="1"/>
    <row r="5479" hidden="1"/>
    <row r="5480" hidden="1"/>
    <row r="5481" hidden="1"/>
    <row r="5482" hidden="1"/>
    <row r="5483" hidden="1"/>
    <row r="5484" hidden="1"/>
    <row r="5485" hidden="1"/>
    <row r="5486" hidden="1"/>
    <row r="5487" hidden="1"/>
    <row r="5488" hidden="1"/>
    <row r="5489" hidden="1"/>
    <row r="5490" hidden="1"/>
    <row r="5491" hidden="1"/>
    <row r="5492" hidden="1"/>
    <row r="5493" hidden="1"/>
    <row r="5494" hidden="1"/>
    <row r="5495" hidden="1"/>
    <row r="5496" hidden="1"/>
    <row r="5497" hidden="1"/>
    <row r="5498" hidden="1"/>
    <row r="5499" hidden="1"/>
    <row r="5500" hidden="1"/>
    <row r="5501" hidden="1"/>
    <row r="5502" hidden="1"/>
    <row r="5503" hidden="1"/>
    <row r="5504" hidden="1"/>
    <row r="5505" hidden="1"/>
    <row r="5506" hidden="1"/>
    <row r="5507" hidden="1"/>
    <row r="5508" hidden="1"/>
    <row r="5509" hidden="1"/>
    <row r="5510" hidden="1"/>
    <row r="5511" hidden="1"/>
    <row r="5512" hidden="1"/>
    <row r="5513" hidden="1"/>
    <row r="5514" hidden="1"/>
    <row r="5515" hidden="1"/>
    <row r="5516" hidden="1"/>
    <row r="5517" hidden="1"/>
    <row r="5518" hidden="1"/>
    <row r="5519" hidden="1"/>
    <row r="5520" hidden="1"/>
    <row r="5521" hidden="1"/>
    <row r="5522" hidden="1"/>
    <row r="5523" hidden="1"/>
    <row r="5524" hidden="1"/>
    <row r="5525" hidden="1"/>
    <row r="5526" hidden="1"/>
    <row r="5527" hidden="1"/>
    <row r="5528" hidden="1"/>
    <row r="5529" hidden="1"/>
    <row r="5530" hidden="1"/>
    <row r="5531" hidden="1"/>
    <row r="5532" hidden="1"/>
    <row r="5533" hidden="1"/>
    <row r="5534" hidden="1"/>
    <row r="5535" hidden="1"/>
    <row r="5536" hidden="1"/>
    <row r="5537" hidden="1"/>
    <row r="5538" hidden="1"/>
    <row r="5539" hidden="1"/>
    <row r="5540" hidden="1"/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/>
    <row r="5561" hidden="1"/>
    <row r="5562" hidden="1"/>
    <row r="5563" hidden="1"/>
    <row r="5564" hidden="1"/>
    <row r="5565" hidden="1"/>
    <row r="5566" hidden="1"/>
    <row r="5567" hidden="1"/>
    <row r="5568" hidden="1"/>
    <row r="5569" hidden="1"/>
    <row r="5570" hidden="1"/>
    <row r="5571" hidden="1"/>
    <row r="5572" hidden="1"/>
    <row r="5573" hidden="1"/>
    <row r="5574" hidden="1"/>
    <row r="5575" hidden="1"/>
    <row r="5576" hidden="1"/>
    <row r="5577" hidden="1"/>
    <row r="5578" hidden="1"/>
    <row r="5579" hidden="1"/>
    <row r="5580" hidden="1"/>
    <row r="5581" hidden="1"/>
    <row r="5582" hidden="1"/>
    <row r="5583" hidden="1"/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 hidden="1"/>
    <row r="5596" hidden="1"/>
    <row r="5597" hidden="1"/>
    <row r="5598" hidden="1"/>
    <row r="5599" hidden="1"/>
    <row r="5600" hidden="1"/>
    <row r="5601" hidden="1"/>
    <row r="5602" hidden="1"/>
    <row r="5603" hidden="1"/>
    <row r="5604" hidden="1"/>
    <row r="5605" hidden="1"/>
    <row r="5606" hidden="1"/>
    <row r="5607" hidden="1"/>
    <row r="5608" hidden="1"/>
    <row r="5609" hidden="1"/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/>
    <row r="5621" hidden="1"/>
    <row r="5622" hidden="1"/>
    <row r="5623" hidden="1"/>
    <row r="5624" hidden="1"/>
    <row r="5625" hidden="1"/>
    <row r="5626" hidden="1"/>
    <row r="5627" hidden="1"/>
    <row r="5628" hidden="1"/>
    <row r="5629" hidden="1"/>
    <row r="5630" hidden="1"/>
    <row r="5631" hidden="1"/>
    <row r="5632" hidden="1"/>
    <row r="5633" hidden="1"/>
    <row r="5634" hidden="1"/>
    <row r="5635" hidden="1"/>
    <row r="5636" hidden="1"/>
    <row r="5637" hidden="1"/>
    <row r="5638" hidden="1"/>
    <row r="5639" hidden="1"/>
    <row r="5640" hidden="1"/>
    <row r="5641" hidden="1"/>
    <row r="5642" hidden="1"/>
    <row r="5643" hidden="1"/>
    <row r="5644" hidden="1"/>
    <row r="5645" hidden="1"/>
    <row r="5646" hidden="1"/>
    <row r="5647" hidden="1"/>
    <row r="5648" hidden="1"/>
    <row r="5649" hidden="1"/>
    <row r="5650" hidden="1"/>
    <row r="5651" hidden="1"/>
    <row r="5652" hidden="1"/>
    <row r="5653" hidden="1"/>
    <row r="5654" hidden="1"/>
    <row r="5655" hidden="1"/>
    <row r="5656" hidden="1"/>
    <row r="5657" hidden="1"/>
    <row r="5658" hidden="1"/>
    <row r="5659" hidden="1"/>
    <row r="5660" hidden="1"/>
    <row r="5661" hidden="1"/>
    <row r="5662" hidden="1"/>
    <row r="5663" hidden="1"/>
    <row r="5664" hidden="1"/>
    <row r="5665" hidden="1"/>
    <row r="5666" hidden="1"/>
    <row r="5667" hidden="1"/>
    <row r="5668" hidden="1"/>
    <row r="5669" hidden="1"/>
    <row r="5670" hidden="1"/>
    <row r="5671" hidden="1"/>
    <row r="5672" hidden="1"/>
    <row r="5673" hidden="1"/>
    <row r="5674" hidden="1"/>
    <row r="5675" hidden="1"/>
    <row r="5676" hidden="1"/>
    <row r="5677" hidden="1"/>
    <row r="5678" hidden="1"/>
    <row r="5679" hidden="1"/>
    <row r="5680" hidden="1"/>
    <row r="5681" hidden="1"/>
    <row r="5682" hidden="1"/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 hidden="1"/>
    <row r="5697" hidden="1"/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/>
    <row r="5711" hidden="1"/>
    <row r="5712" hidden="1"/>
    <row r="5713" hidden="1"/>
    <row r="5714" hidden="1"/>
    <row r="5715" hidden="1"/>
    <row r="5716" hidden="1"/>
    <row r="5717" hidden="1"/>
    <row r="5718" hidden="1"/>
    <row r="5719" hidden="1"/>
    <row r="5720" hidden="1"/>
    <row r="5721" hidden="1"/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/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/>
    <row r="5748" hidden="1"/>
    <row r="5749" hidden="1"/>
    <row r="5750" hidden="1"/>
    <row r="5751" hidden="1"/>
    <row r="5752" hidden="1"/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/>
    <row r="5763" hidden="1"/>
    <row r="5764" hidden="1"/>
    <row r="5765" hidden="1"/>
    <row r="5766" hidden="1"/>
    <row r="5767" hidden="1"/>
    <row r="5768" hidden="1"/>
    <row r="5769" hidden="1"/>
    <row r="5770" hidden="1"/>
    <row r="5771" hidden="1"/>
    <row r="5772" hidden="1"/>
    <row r="5773" hidden="1"/>
    <row r="5774" hidden="1"/>
    <row r="5775" hidden="1"/>
    <row r="5776" hidden="1"/>
    <row r="5777" hidden="1"/>
    <row r="5778" hidden="1"/>
    <row r="5779" hidden="1"/>
    <row r="5780" hidden="1"/>
    <row r="5781" hidden="1"/>
    <row r="5782" hidden="1"/>
    <row r="5783" hidden="1"/>
    <row r="5784" hidden="1"/>
    <row r="5785" hidden="1"/>
    <row r="5786" hidden="1"/>
    <row r="5787" hidden="1"/>
    <row r="5788" hidden="1"/>
    <row r="5789" hidden="1"/>
    <row r="5790" hidden="1"/>
    <row r="5791" hidden="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/>
    <row r="5804" hidden="1"/>
    <row r="5805" hidden="1"/>
    <row r="5806" hidden="1"/>
    <row r="5807" hidden="1"/>
    <row r="5808" hidden="1"/>
    <row r="5809" hidden="1"/>
    <row r="5810" hidden="1"/>
    <row r="5811" hidden="1"/>
    <row r="5812" hidden="1"/>
    <row r="5813" hidden="1"/>
    <row r="5814" hidden="1"/>
    <row r="5815" hidden="1"/>
    <row r="5816" hidden="1"/>
    <row r="5817" hidden="1"/>
    <row r="5818" hidden="1"/>
    <row r="5819" hidden="1"/>
    <row r="5820" hidden="1"/>
    <row r="5821" hidden="1"/>
    <row r="5822" hidden="1"/>
    <row r="5823" hidden="1"/>
    <row r="5824" hidden="1"/>
    <row r="5825" hidden="1"/>
    <row r="5826" hidden="1"/>
    <row r="5827" hidden="1"/>
    <row r="5828" hidden="1"/>
    <row r="5829" hidden="1"/>
    <row r="5830" hidden="1"/>
    <row r="5831" hidden="1"/>
    <row r="5832" hidden="1"/>
    <row r="5833" hidden="1"/>
    <row r="5834" hidden="1"/>
    <row r="5835" hidden="1"/>
    <row r="5836" hidden="1"/>
    <row r="5837" hidden="1"/>
    <row r="5838" hidden="1"/>
    <row r="5839" hidden="1"/>
    <row r="5840" hidden="1"/>
    <row r="5841" hidden="1"/>
    <row r="5842" hidden="1"/>
    <row r="5843" hidden="1"/>
    <row r="5844" hidden="1"/>
    <row r="5845" hidden="1"/>
    <row r="5846" hidden="1"/>
    <row r="5847" hidden="1"/>
    <row r="5848" hidden="1"/>
    <row r="5849" hidden="1"/>
    <row r="5850" hidden="1"/>
    <row r="5851" hidden="1"/>
    <row r="5852" hidden="1"/>
    <row r="5853" hidden="1"/>
    <row r="5854" hidden="1"/>
    <row r="5855" hidden="1"/>
    <row r="5856" hidden="1"/>
    <row r="5857" hidden="1"/>
    <row r="5858" hidden="1"/>
    <row r="5859" hidden="1"/>
    <row r="5860" hidden="1"/>
    <row r="5861" hidden="1"/>
    <row r="5862" hidden="1"/>
    <row r="5863" hidden="1"/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/>
    <row r="5884" hidden="1"/>
    <row r="5885" hidden="1"/>
    <row r="5886" hidden="1"/>
    <row r="5887" hidden="1"/>
    <row r="5888" hidden="1"/>
    <row r="5889" hidden="1"/>
    <row r="5890" hidden="1"/>
    <row r="5891" hidden="1"/>
    <row r="5892" hidden="1"/>
    <row r="5893" hidden="1"/>
    <row r="5894" hidden="1"/>
    <row r="5895" hidden="1"/>
    <row r="5896" hidden="1"/>
    <row r="5897" hidden="1"/>
    <row r="5898" hidden="1"/>
    <row r="5899" hidden="1"/>
    <row r="5900" hidden="1"/>
    <row r="5901" hidden="1"/>
    <row r="5902" hidden="1"/>
    <row r="5903" hidden="1"/>
    <row r="5904" hidden="1"/>
    <row r="5905" hidden="1"/>
    <row r="5906" hidden="1"/>
    <row r="5907" hidden="1"/>
    <row r="5908" hidden="1"/>
    <row r="5909" hidden="1"/>
    <row r="5910" hidden="1"/>
    <row r="5911" hidden="1"/>
    <row r="5912" hidden="1"/>
    <row r="5913" hidden="1"/>
    <row r="5914" hidden="1"/>
    <row r="5915" hidden="1"/>
    <row r="5916" hidden="1"/>
    <row r="5917" hidden="1"/>
    <row r="5918" hidden="1"/>
    <row r="5919" hidden="1"/>
    <row r="5920" hidden="1"/>
    <row r="5921" hidden="1"/>
    <row r="5922" hidden="1"/>
    <row r="5923" hidden="1"/>
    <row r="5924" hidden="1"/>
    <row r="5925" hidden="1"/>
    <row r="5926" hidden="1"/>
    <row r="5927" hidden="1"/>
    <row r="5928" hidden="1"/>
    <row r="5929" hidden="1"/>
    <row r="5930" hidden="1"/>
    <row r="5931" hidden="1"/>
    <row r="5932" hidden="1"/>
    <row r="5933" hidden="1"/>
    <row r="5934" hidden="1"/>
    <row r="5935" hidden="1"/>
    <row r="5936" hidden="1"/>
    <row r="5937" hidden="1"/>
    <row r="5938" hidden="1"/>
    <row r="5939" hidden="1"/>
    <row r="5940" hidden="1"/>
    <row r="5941" hidden="1"/>
    <row r="5942" hidden="1"/>
    <row r="5943" hidden="1"/>
    <row r="5944" hidden="1"/>
    <row r="5945" hidden="1"/>
    <row r="5946" hidden="1"/>
    <row r="5947" hidden="1"/>
    <row r="5948" hidden="1"/>
    <row r="5949" hidden="1"/>
    <row r="5950" hidden="1"/>
    <row r="5951" hidden="1"/>
    <row r="5952" hidden="1"/>
    <row r="5953" hidden="1"/>
    <row r="5954" hidden="1"/>
    <row r="5955" hidden="1"/>
    <row r="5956" hidden="1"/>
    <row r="5957" hidden="1"/>
    <row r="5958" hidden="1"/>
    <row r="5959" hidden="1"/>
    <row r="5960" hidden="1"/>
    <row r="5961" hidden="1"/>
    <row r="5962" hidden="1"/>
    <row r="5963" hidden="1"/>
    <row r="5964" hidden="1"/>
    <row r="5965" hidden="1"/>
    <row r="5966" hidden="1"/>
    <row r="5967" hidden="1"/>
    <row r="5968" hidden="1"/>
    <row r="5969" hidden="1"/>
    <row r="5970" hidden="1"/>
    <row r="5971" hidden="1"/>
    <row r="5972" hidden="1"/>
    <row r="5973" hidden="1"/>
    <row r="5974" hidden="1"/>
    <row r="5975" hidden="1"/>
    <row r="5976" hidden="1"/>
    <row r="5977" hidden="1"/>
    <row r="5978" hidden="1"/>
    <row r="5979" hidden="1"/>
    <row r="5980" hidden="1"/>
    <row r="5981" hidden="1"/>
    <row r="5982" hidden="1"/>
    <row r="5983" hidden="1"/>
    <row r="5984" hidden="1"/>
    <row r="5985" hidden="1"/>
    <row r="5986" hidden="1"/>
    <row r="5987" hidden="1"/>
    <row r="5988" hidden="1"/>
    <row r="5989" hidden="1"/>
    <row r="5990" hidden="1"/>
    <row r="5991" hidden="1"/>
    <row r="5992" hidden="1"/>
    <row r="5993" hidden="1"/>
    <row r="5994" hidden="1"/>
    <row r="5995" hidden="1"/>
    <row r="5996" hidden="1"/>
    <row r="5997" hidden="1"/>
    <row r="5998" hidden="1"/>
    <row r="5999" hidden="1"/>
    <row r="6000" hidden="1"/>
    <row r="6001" hidden="1"/>
    <row r="6002" hidden="1"/>
    <row r="6003" hidden="1"/>
    <row r="6004" hidden="1"/>
    <row r="6005" hidden="1"/>
    <row r="6006" hidden="1"/>
    <row r="6007" hidden="1"/>
    <row r="6008" hidden="1"/>
    <row r="6009" hidden="1"/>
    <row r="6010" hidden="1"/>
    <row r="6011" hidden="1"/>
    <row r="6012" hidden="1"/>
    <row r="6013" hidden="1"/>
    <row r="6014" hidden="1"/>
    <row r="6015" hidden="1"/>
    <row r="6016" hidden="1"/>
    <row r="6017" hidden="1"/>
    <row r="6018" hidden="1"/>
    <row r="6019" hidden="1"/>
    <row r="6020" hidden="1"/>
    <row r="6021" hidden="1"/>
    <row r="6022" hidden="1"/>
    <row r="6023" hidden="1"/>
    <row r="6024" hidden="1"/>
    <row r="6025" hidden="1"/>
    <row r="6026" hidden="1"/>
    <row r="6027" hidden="1"/>
    <row r="6028" hidden="1"/>
    <row r="6029" hidden="1"/>
    <row r="6030" hidden="1"/>
    <row r="6031" hidden="1"/>
    <row r="6032" hidden="1"/>
    <row r="6033" hidden="1"/>
    <row r="6034" hidden="1"/>
    <row r="6035" hidden="1"/>
    <row r="6036" hidden="1"/>
    <row r="6037" hidden="1"/>
    <row r="6038" hidden="1"/>
    <row r="6039" hidden="1"/>
    <row r="6040" hidden="1"/>
    <row r="6041" hidden="1"/>
    <row r="6042" hidden="1"/>
    <row r="6043" hidden="1"/>
    <row r="6044" hidden="1"/>
    <row r="6045" hidden="1"/>
    <row r="6046" hidden="1"/>
    <row r="6047" hidden="1"/>
    <row r="6048" hidden="1"/>
    <row r="6049" hidden="1"/>
    <row r="6050" hidden="1"/>
    <row r="6051" hidden="1"/>
    <row r="6052" hidden="1"/>
    <row r="6053" hidden="1"/>
    <row r="6054" hidden="1"/>
    <row r="6055" hidden="1"/>
    <row r="6056" hidden="1"/>
    <row r="6057" hidden="1"/>
    <row r="6058" hidden="1"/>
    <row r="6059" hidden="1"/>
    <row r="6060" hidden="1"/>
    <row r="6061" hidden="1"/>
    <row r="6062" hidden="1"/>
    <row r="6063" hidden="1"/>
    <row r="6064" hidden="1"/>
    <row r="6065" hidden="1"/>
    <row r="6066" hidden="1"/>
    <row r="6067" hidden="1"/>
    <row r="6068" hidden="1"/>
    <row r="6069" hidden="1"/>
    <row r="6070" hidden="1"/>
    <row r="6071" hidden="1"/>
    <row r="6072" hidden="1"/>
    <row r="6073" hidden="1"/>
    <row r="6074" hidden="1"/>
    <row r="6075" hidden="1"/>
    <row r="6076" hidden="1"/>
    <row r="6077" hidden="1"/>
    <row r="6078" hidden="1"/>
    <row r="6079" hidden="1"/>
    <row r="6080" hidden="1"/>
    <row r="6081" hidden="1"/>
    <row r="6082" hidden="1"/>
    <row r="6083" hidden="1"/>
    <row r="6084" hidden="1"/>
    <row r="6085" hidden="1"/>
    <row r="6086" hidden="1"/>
    <row r="6087" hidden="1"/>
    <row r="6088" hidden="1"/>
    <row r="6089" hidden="1"/>
    <row r="6090" hidden="1"/>
    <row r="6091" hidden="1"/>
    <row r="6092" hidden="1"/>
    <row r="6093" hidden="1"/>
    <row r="6094" hidden="1"/>
    <row r="6095" hidden="1"/>
    <row r="6096" hidden="1"/>
    <row r="6097" hidden="1"/>
    <row r="6098" hidden="1"/>
    <row r="6099" hidden="1"/>
    <row r="6100" hidden="1"/>
    <row r="6101" hidden="1"/>
    <row r="6102" hidden="1"/>
    <row r="6103" hidden="1"/>
    <row r="6104" hidden="1"/>
    <row r="6105" hidden="1"/>
    <row r="6106" hidden="1"/>
    <row r="6107" hidden="1"/>
    <row r="6108" hidden="1"/>
    <row r="6109" hidden="1"/>
    <row r="6110" hidden="1"/>
    <row r="6111" hidden="1"/>
    <row r="6112" hidden="1"/>
    <row r="6113" hidden="1"/>
    <row r="6114" hidden="1"/>
    <row r="6115" hidden="1"/>
    <row r="6116" hidden="1"/>
    <row r="6117" hidden="1"/>
    <row r="6118" hidden="1"/>
    <row r="6119" hidden="1"/>
    <row r="6120" hidden="1"/>
    <row r="6121" hidden="1"/>
    <row r="6122" hidden="1"/>
    <row r="6123" hidden="1"/>
    <row r="6124" hidden="1"/>
    <row r="6125" hidden="1"/>
    <row r="6126" hidden="1"/>
    <row r="6127" hidden="1"/>
    <row r="6128" hidden="1"/>
    <row r="6129" hidden="1"/>
    <row r="6130" hidden="1"/>
    <row r="6131" hidden="1"/>
    <row r="6132" hidden="1"/>
    <row r="6133" hidden="1"/>
    <row r="6134" hidden="1"/>
    <row r="6135" hidden="1"/>
    <row r="6136" hidden="1"/>
    <row r="6137" hidden="1"/>
    <row r="6138" hidden="1"/>
    <row r="6139" hidden="1"/>
    <row r="6140" hidden="1"/>
    <row r="6141" hidden="1"/>
    <row r="6142" hidden="1"/>
    <row r="6143" hidden="1"/>
    <row r="6144" hidden="1"/>
    <row r="6145" hidden="1"/>
    <row r="6146" hidden="1"/>
    <row r="6147" hidden="1"/>
    <row r="6148" hidden="1"/>
    <row r="6149" hidden="1"/>
    <row r="6150" hidden="1"/>
    <row r="6151" hidden="1"/>
    <row r="6152" hidden="1"/>
    <row r="6153" hidden="1"/>
    <row r="6154" hidden="1"/>
    <row r="6155" hidden="1"/>
    <row r="6156" hidden="1"/>
    <row r="6157" hidden="1"/>
    <row r="6158" hidden="1"/>
    <row r="6159" hidden="1"/>
    <row r="6160" hidden="1"/>
    <row r="6161" hidden="1"/>
    <row r="6162" hidden="1"/>
    <row r="6163" hidden="1"/>
    <row r="6164" hidden="1"/>
    <row r="6165" hidden="1"/>
    <row r="6166" hidden="1"/>
    <row r="6167" hidden="1"/>
    <row r="6168" hidden="1"/>
    <row r="6169" hidden="1"/>
    <row r="6170" hidden="1"/>
    <row r="6171" hidden="1"/>
    <row r="6172" hidden="1"/>
    <row r="6173" hidden="1"/>
    <row r="6174" hidden="1"/>
    <row r="6175" hidden="1"/>
    <row r="6176" hidden="1"/>
    <row r="6177" hidden="1"/>
    <row r="6178" hidden="1"/>
    <row r="6179" hidden="1"/>
    <row r="6180" hidden="1"/>
    <row r="6181" hidden="1"/>
    <row r="6182" hidden="1"/>
    <row r="6183" hidden="1"/>
    <row r="6184" hidden="1"/>
    <row r="6185" hidden="1"/>
    <row r="6186" hidden="1"/>
    <row r="6187" hidden="1"/>
    <row r="6188" hidden="1"/>
    <row r="6189" hidden="1"/>
    <row r="6190" hidden="1"/>
    <row r="6191" hidden="1"/>
    <row r="6192" hidden="1"/>
    <row r="6193" hidden="1"/>
    <row r="6194" hidden="1"/>
    <row r="6195" hidden="1"/>
    <row r="6196" hidden="1"/>
    <row r="6197" hidden="1"/>
    <row r="6198" hidden="1"/>
    <row r="6199" hidden="1"/>
    <row r="6200" hidden="1"/>
    <row r="6201" hidden="1"/>
    <row r="6202" hidden="1"/>
    <row r="6203" hidden="1"/>
    <row r="6204" hidden="1"/>
    <row r="6205" hidden="1"/>
    <row r="6206" hidden="1"/>
    <row r="6207" hidden="1"/>
    <row r="6208" hidden="1"/>
    <row r="6209" hidden="1"/>
    <row r="6210" hidden="1"/>
    <row r="6211" hidden="1"/>
    <row r="6212" hidden="1"/>
    <row r="6213" hidden="1"/>
    <row r="6214" hidden="1"/>
    <row r="6215" hidden="1"/>
    <row r="6216" hidden="1"/>
    <row r="6217" hidden="1"/>
    <row r="6218" hidden="1"/>
    <row r="6219" hidden="1"/>
    <row r="6220" hidden="1"/>
    <row r="6221" hidden="1"/>
    <row r="6222" hidden="1"/>
    <row r="6223" hidden="1"/>
    <row r="6224" hidden="1"/>
    <row r="6225" hidden="1"/>
    <row r="6226" hidden="1"/>
    <row r="6227" hidden="1"/>
    <row r="6228" hidden="1"/>
    <row r="6229" hidden="1"/>
    <row r="6230" hidden="1"/>
    <row r="6231" hidden="1"/>
    <row r="6232" hidden="1"/>
    <row r="6233" hidden="1"/>
    <row r="6234" hidden="1"/>
    <row r="6235" hidden="1"/>
    <row r="6236" hidden="1"/>
    <row r="6237" hidden="1"/>
    <row r="6238" hidden="1"/>
    <row r="6239" hidden="1"/>
    <row r="6240" hidden="1"/>
    <row r="6241" hidden="1"/>
    <row r="6242" hidden="1"/>
    <row r="6243" hidden="1"/>
    <row r="6244" hidden="1"/>
    <row r="6245" hidden="1"/>
    <row r="6246" hidden="1"/>
    <row r="6247" hidden="1"/>
    <row r="6248" hidden="1"/>
    <row r="6249" hidden="1"/>
    <row r="6250" hidden="1"/>
    <row r="6251" hidden="1"/>
    <row r="6252" hidden="1"/>
    <row r="6253" hidden="1"/>
    <row r="6254" hidden="1"/>
    <row r="6255" hidden="1"/>
    <row r="6256" hidden="1"/>
    <row r="6257" hidden="1"/>
    <row r="6258" hidden="1"/>
    <row r="6259" hidden="1"/>
    <row r="6260" hidden="1"/>
    <row r="6261" hidden="1"/>
    <row r="6262" hidden="1"/>
    <row r="6263" hidden="1"/>
    <row r="6264" hidden="1"/>
    <row r="6265" hidden="1"/>
    <row r="6266" hidden="1"/>
    <row r="6267" hidden="1"/>
    <row r="6268" hidden="1"/>
    <row r="6269" hidden="1"/>
    <row r="6270" hidden="1"/>
    <row r="6271" hidden="1"/>
    <row r="6272" hidden="1"/>
    <row r="6273" hidden="1"/>
    <row r="6274" hidden="1"/>
    <row r="6275" hidden="1"/>
    <row r="6276" hidden="1"/>
    <row r="6277" hidden="1"/>
    <row r="6278" hidden="1"/>
    <row r="6279" hidden="1"/>
    <row r="6280" hidden="1"/>
    <row r="6281" hidden="1"/>
    <row r="6282" hidden="1"/>
    <row r="6283" hidden="1"/>
    <row r="6284" hidden="1"/>
    <row r="6285" hidden="1"/>
    <row r="6286" hidden="1"/>
    <row r="6287" hidden="1"/>
    <row r="6288" hidden="1"/>
    <row r="6289" hidden="1"/>
    <row r="6290" hidden="1"/>
    <row r="6291" hidden="1"/>
    <row r="6292" hidden="1"/>
    <row r="6293" hidden="1"/>
    <row r="6294" hidden="1"/>
    <row r="6295" hidden="1"/>
    <row r="6296" hidden="1"/>
    <row r="6297" hidden="1"/>
    <row r="6298" hidden="1"/>
    <row r="6299" hidden="1"/>
    <row r="6300" hidden="1"/>
    <row r="6301" hidden="1"/>
    <row r="6302" hidden="1"/>
    <row r="6303" hidden="1"/>
    <row r="6304" hidden="1"/>
    <row r="6305" hidden="1"/>
    <row r="6306" hidden="1"/>
    <row r="6307" hidden="1"/>
    <row r="6308" hidden="1"/>
    <row r="6309" hidden="1"/>
    <row r="6310" hidden="1"/>
    <row r="6311" hidden="1"/>
    <row r="6312" hidden="1"/>
    <row r="6313" hidden="1"/>
    <row r="6314" hidden="1"/>
    <row r="6315" hidden="1"/>
    <row r="6316" hidden="1"/>
    <row r="6317" hidden="1"/>
    <row r="6318" hidden="1"/>
    <row r="6319" hidden="1"/>
    <row r="6320" hidden="1"/>
    <row r="6321" hidden="1"/>
    <row r="6322" hidden="1"/>
    <row r="6323" hidden="1"/>
    <row r="6324" hidden="1"/>
    <row r="6325" hidden="1"/>
    <row r="6326" hidden="1"/>
    <row r="6327" hidden="1"/>
    <row r="6328" hidden="1"/>
    <row r="6329" hidden="1"/>
    <row r="6330" hidden="1"/>
    <row r="6331" hidden="1"/>
    <row r="6332" hidden="1"/>
    <row r="6333" hidden="1"/>
    <row r="6334" hidden="1"/>
    <row r="6335" hidden="1"/>
    <row r="6336" hidden="1"/>
    <row r="6337" hidden="1"/>
    <row r="6338" hidden="1"/>
    <row r="6339" hidden="1"/>
    <row r="6340" hidden="1"/>
    <row r="6341" hidden="1"/>
    <row r="6342" hidden="1"/>
    <row r="6343" hidden="1"/>
    <row r="6344" hidden="1"/>
    <row r="6345" hidden="1"/>
    <row r="6346" hidden="1"/>
    <row r="6347" hidden="1"/>
    <row r="6348" hidden="1"/>
    <row r="6349" hidden="1"/>
    <row r="6350" hidden="1"/>
    <row r="6351" hidden="1"/>
    <row r="6352" hidden="1"/>
    <row r="6353" hidden="1"/>
    <row r="6354" hidden="1"/>
    <row r="6355" hidden="1"/>
    <row r="6356" hidden="1"/>
    <row r="6357" hidden="1"/>
    <row r="6358" hidden="1"/>
    <row r="6359" hidden="1"/>
    <row r="6360" hidden="1"/>
    <row r="6361" hidden="1"/>
    <row r="6362" hidden="1"/>
    <row r="6363" hidden="1"/>
    <row r="6364" hidden="1"/>
    <row r="6365" hidden="1"/>
    <row r="6366" hidden="1"/>
    <row r="6367" hidden="1"/>
    <row r="6368" hidden="1"/>
    <row r="6369" hidden="1"/>
    <row r="6370" hidden="1"/>
    <row r="6371" hidden="1"/>
    <row r="6372" hidden="1"/>
    <row r="6373" hidden="1"/>
    <row r="6374" hidden="1"/>
    <row r="6375" hidden="1"/>
    <row r="6376" hidden="1"/>
    <row r="6377" hidden="1"/>
    <row r="6378" hidden="1"/>
    <row r="6379" hidden="1"/>
    <row r="6380" hidden="1"/>
    <row r="6381" hidden="1"/>
    <row r="6382" hidden="1"/>
    <row r="6383" hidden="1"/>
    <row r="6384" hidden="1"/>
    <row r="6385" hidden="1"/>
    <row r="6386" hidden="1"/>
    <row r="6387" hidden="1"/>
    <row r="6388" hidden="1"/>
    <row r="6389" hidden="1"/>
    <row r="6390" hidden="1"/>
    <row r="6391" hidden="1"/>
    <row r="6392" hidden="1"/>
    <row r="6393" hidden="1"/>
    <row r="6394" hidden="1"/>
    <row r="6395" hidden="1"/>
    <row r="6396" hidden="1"/>
    <row r="6397" hidden="1"/>
    <row r="6398" hidden="1"/>
    <row r="6399" hidden="1"/>
    <row r="6400" hidden="1"/>
    <row r="6401" hidden="1"/>
    <row r="6402" hidden="1"/>
    <row r="6403" hidden="1"/>
    <row r="6404" hidden="1"/>
    <row r="6405" hidden="1"/>
    <row r="6406" hidden="1"/>
    <row r="6407" hidden="1"/>
    <row r="6408" hidden="1"/>
    <row r="6409" hidden="1"/>
    <row r="6410" hidden="1"/>
    <row r="6411" hidden="1"/>
    <row r="6412" hidden="1"/>
    <row r="6413" hidden="1"/>
    <row r="6414" hidden="1"/>
    <row r="6415" hidden="1"/>
    <row r="6416" hidden="1"/>
    <row r="6417" hidden="1"/>
    <row r="6418" hidden="1"/>
    <row r="6419" hidden="1"/>
    <row r="6420" hidden="1"/>
    <row r="6421" hidden="1"/>
    <row r="6422" hidden="1"/>
    <row r="6423" hidden="1"/>
    <row r="6424" hidden="1"/>
    <row r="6425" hidden="1"/>
    <row r="6426" hidden="1"/>
    <row r="6427" hidden="1"/>
    <row r="6428" hidden="1"/>
    <row r="6429" hidden="1"/>
    <row r="6430" hidden="1"/>
    <row r="6431" hidden="1"/>
    <row r="6432" hidden="1"/>
    <row r="6433" hidden="1"/>
    <row r="6434" hidden="1"/>
    <row r="6435" hidden="1"/>
    <row r="6436" hidden="1"/>
    <row r="6437" hidden="1"/>
    <row r="6438" hidden="1"/>
    <row r="6439" hidden="1"/>
    <row r="6440" hidden="1"/>
    <row r="6441" hidden="1"/>
    <row r="6442" hidden="1"/>
    <row r="6443" hidden="1"/>
    <row r="6444" hidden="1"/>
    <row r="6445" hidden="1"/>
    <row r="6446" hidden="1"/>
    <row r="6447" hidden="1"/>
    <row r="6448" hidden="1"/>
    <row r="6449" hidden="1"/>
    <row r="6450" hidden="1"/>
    <row r="6451" hidden="1"/>
    <row r="6452" hidden="1"/>
    <row r="6453" hidden="1"/>
    <row r="6454" hidden="1"/>
    <row r="6455" hidden="1"/>
    <row r="6456" hidden="1"/>
    <row r="6457" hidden="1"/>
    <row r="6458" hidden="1"/>
    <row r="6459" hidden="1"/>
    <row r="6460" hidden="1"/>
    <row r="6461" hidden="1"/>
    <row r="6462" hidden="1"/>
    <row r="6463" hidden="1"/>
    <row r="6464" hidden="1"/>
    <row r="6465" hidden="1"/>
    <row r="6466" hidden="1"/>
    <row r="6467" hidden="1"/>
    <row r="6468" hidden="1"/>
    <row r="6469" hidden="1"/>
    <row r="6470" hidden="1"/>
    <row r="6471" hidden="1"/>
    <row r="6472" hidden="1"/>
    <row r="6473" hidden="1"/>
    <row r="6474" hidden="1"/>
    <row r="6475" hidden="1"/>
    <row r="6476" hidden="1"/>
    <row r="6477" hidden="1"/>
    <row r="6478" hidden="1"/>
    <row r="6479" hidden="1"/>
    <row r="6480" hidden="1"/>
    <row r="6481" hidden="1"/>
    <row r="6482" hidden="1"/>
    <row r="6483" hidden="1"/>
    <row r="6484" hidden="1"/>
    <row r="6485" hidden="1"/>
    <row r="6486" hidden="1"/>
    <row r="6487" hidden="1"/>
    <row r="6488" hidden="1"/>
    <row r="6489" hidden="1"/>
    <row r="6490" hidden="1"/>
    <row r="6491" hidden="1"/>
    <row r="6492" hidden="1"/>
    <row r="6493" hidden="1"/>
    <row r="6494" hidden="1"/>
    <row r="6495" hidden="1"/>
    <row r="6496" hidden="1"/>
    <row r="6497" hidden="1"/>
    <row r="6498" hidden="1"/>
    <row r="6499" hidden="1"/>
    <row r="6500" hidden="1"/>
    <row r="6501" hidden="1"/>
    <row r="6502" hidden="1"/>
    <row r="6503" hidden="1"/>
    <row r="6504" hidden="1"/>
    <row r="6505" hidden="1"/>
    <row r="6506" hidden="1"/>
    <row r="6507" hidden="1"/>
    <row r="6508" hidden="1"/>
    <row r="6509" hidden="1"/>
    <row r="6510" hidden="1"/>
    <row r="6511" hidden="1"/>
    <row r="6512" hidden="1"/>
    <row r="6513" hidden="1"/>
    <row r="6514" hidden="1"/>
    <row r="6515" hidden="1"/>
    <row r="6516" hidden="1"/>
    <row r="6517" hidden="1"/>
    <row r="6518" hidden="1"/>
    <row r="6519" hidden="1"/>
    <row r="6520" hidden="1"/>
    <row r="6521" hidden="1"/>
    <row r="6522" hidden="1"/>
    <row r="6523" hidden="1"/>
    <row r="6524" hidden="1"/>
    <row r="6525" hidden="1"/>
    <row r="6526" hidden="1"/>
    <row r="6527" hidden="1"/>
    <row r="6528" hidden="1"/>
    <row r="6529" hidden="1"/>
    <row r="6530" hidden="1"/>
    <row r="6531" hidden="1"/>
    <row r="6532" hidden="1"/>
    <row r="6533" hidden="1"/>
    <row r="6534" hidden="1"/>
    <row r="6535" hidden="1"/>
    <row r="6536" hidden="1"/>
    <row r="6537" hidden="1"/>
    <row r="6538" hidden="1"/>
    <row r="6539" hidden="1"/>
    <row r="6540" hidden="1"/>
    <row r="6541" hidden="1"/>
    <row r="6542" hidden="1"/>
    <row r="6543" hidden="1"/>
    <row r="6544" hidden="1"/>
    <row r="6545" hidden="1"/>
    <row r="6546" hidden="1"/>
    <row r="6547" hidden="1"/>
    <row r="6548" hidden="1"/>
    <row r="6549" hidden="1"/>
    <row r="6550" hidden="1"/>
    <row r="6551" hidden="1"/>
    <row r="6552" hidden="1"/>
    <row r="6553" hidden="1"/>
    <row r="6554" hidden="1"/>
    <row r="6555" hidden="1"/>
    <row r="6556" hidden="1"/>
    <row r="6557" hidden="1"/>
    <row r="6558" hidden="1"/>
    <row r="6559" hidden="1"/>
    <row r="6560" hidden="1"/>
    <row r="6561" hidden="1"/>
    <row r="6562" hidden="1"/>
    <row r="6563" hidden="1"/>
    <row r="6564" hidden="1"/>
    <row r="6565" hidden="1"/>
    <row r="6566" hidden="1"/>
    <row r="6567" hidden="1"/>
    <row r="6568" hidden="1"/>
    <row r="6569" hidden="1"/>
    <row r="6570" hidden="1"/>
    <row r="6571" hidden="1"/>
    <row r="6572" hidden="1"/>
    <row r="6573" hidden="1"/>
    <row r="6574" hidden="1"/>
    <row r="6575" hidden="1"/>
    <row r="6576" hidden="1"/>
    <row r="6577" hidden="1"/>
    <row r="6578" hidden="1"/>
    <row r="6579" hidden="1"/>
    <row r="6580" hidden="1"/>
    <row r="6581" hidden="1"/>
    <row r="6582" hidden="1"/>
    <row r="6583" hidden="1"/>
    <row r="6584" hidden="1"/>
    <row r="6585" hidden="1"/>
    <row r="6586" hidden="1"/>
    <row r="6587" hidden="1"/>
    <row r="6588" hidden="1"/>
    <row r="6589" hidden="1"/>
    <row r="6590" hidden="1"/>
    <row r="6591" hidden="1"/>
    <row r="6592" hidden="1"/>
    <row r="6593" hidden="1"/>
    <row r="6594" hidden="1"/>
    <row r="6595" hidden="1"/>
    <row r="6596" hidden="1"/>
    <row r="6597" hidden="1"/>
    <row r="6598" hidden="1"/>
    <row r="6599" hidden="1"/>
    <row r="6600" hidden="1"/>
    <row r="6601" hidden="1"/>
    <row r="6602" hidden="1"/>
    <row r="6603" hidden="1"/>
    <row r="6604" hidden="1"/>
    <row r="6605" hidden="1"/>
    <row r="6606" hidden="1"/>
    <row r="6607" hidden="1"/>
    <row r="6608" hidden="1"/>
    <row r="6609" hidden="1"/>
    <row r="6610" hidden="1"/>
    <row r="6611" hidden="1"/>
    <row r="6612" hidden="1"/>
    <row r="6613" hidden="1"/>
    <row r="6614" hidden="1"/>
    <row r="6615" hidden="1"/>
    <row r="6616" hidden="1"/>
    <row r="6617" hidden="1"/>
    <row r="6618" hidden="1"/>
    <row r="6619" hidden="1"/>
    <row r="6620" hidden="1"/>
    <row r="6621" hidden="1"/>
    <row r="6622" hidden="1"/>
    <row r="6623" hidden="1"/>
    <row r="6624" hidden="1"/>
    <row r="6625" hidden="1"/>
    <row r="6626" hidden="1"/>
    <row r="6627" hidden="1"/>
    <row r="6628" hidden="1"/>
    <row r="6629" hidden="1"/>
    <row r="6630" hidden="1"/>
    <row r="6631" hidden="1"/>
    <row r="6632" hidden="1"/>
    <row r="6633" hidden="1"/>
    <row r="6634" hidden="1"/>
    <row r="6635" hidden="1"/>
    <row r="6636" hidden="1"/>
    <row r="6637" hidden="1"/>
    <row r="6638" hidden="1"/>
    <row r="6639" hidden="1"/>
    <row r="6640" hidden="1"/>
    <row r="6641" hidden="1"/>
    <row r="6642" hidden="1"/>
    <row r="6643" hidden="1"/>
    <row r="6644" hidden="1"/>
    <row r="6645" hidden="1"/>
    <row r="6646" hidden="1"/>
    <row r="6647" hidden="1"/>
    <row r="6648" hidden="1"/>
    <row r="6649" hidden="1"/>
    <row r="6650" hidden="1"/>
    <row r="6651" hidden="1"/>
    <row r="6652" hidden="1"/>
    <row r="6653" hidden="1"/>
    <row r="6654" hidden="1"/>
    <row r="6655" hidden="1"/>
    <row r="6656" hidden="1"/>
    <row r="6657" hidden="1"/>
    <row r="6658" hidden="1"/>
    <row r="6659" hidden="1"/>
    <row r="6660" hidden="1"/>
    <row r="6661" hidden="1"/>
    <row r="6662" hidden="1"/>
    <row r="6663" hidden="1"/>
    <row r="6664" hidden="1"/>
    <row r="6665" hidden="1"/>
    <row r="6666" hidden="1"/>
    <row r="6667" hidden="1"/>
    <row r="6668" hidden="1"/>
    <row r="6669" hidden="1"/>
    <row r="6670" hidden="1"/>
    <row r="6671" hidden="1"/>
    <row r="6672" hidden="1"/>
    <row r="6673" hidden="1"/>
    <row r="6674" hidden="1"/>
    <row r="6675" hidden="1"/>
    <row r="6676" hidden="1"/>
    <row r="6677" hidden="1"/>
    <row r="6678" hidden="1"/>
    <row r="6679" hidden="1"/>
    <row r="6680" hidden="1"/>
    <row r="6681" hidden="1"/>
    <row r="6682" hidden="1"/>
    <row r="6683" hidden="1"/>
    <row r="6684" hidden="1"/>
    <row r="6685" hidden="1"/>
    <row r="6686" hidden="1"/>
    <row r="6687" hidden="1"/>
    <row r="6688" hidden="1"/>
    <row r="6689" hidden="1"/>
    <row r="6690" hidden="1"/>
    <row r="6691" hidden="1"/>
    <row r="6692" hidden="1"/>
    <row r="6693" hidden="1"/>
    <row r="6694" hidden="1"/>
    <row r="6695" hidden="1"/>
    <row r="6696" hidden="1"/>
    <row r="6697" hidden="1"/>
    <row r="6698" hidden="1"/>
    <row r="6699" hidden="1"/>
    <row r="6700" hidden="1"/>
    <row r="6701" hidden="1"/>
    <row r="6702" hidden="1"/>
    <row r="6703" hidden="1"/>
    <row r="6704" hidden="1"/>
    <row r="6705" hidden="1"/>
    <row r="6706" hidden="1"/>
    <row r="6707" hidden="1"/>
    <row r="6708" hidden="1"/>
    <row r="6709" hidden="1"/>
    <row r="6710" hidden="1"/>
    <row r="6711" hidden="1"/>
    <row r="6712" hidden="1"/>
    <row r="6713" hidden="1"/>
    <row r="6714" hidden="1"/>
    <row r="6715" hidden="1"/>
    <row r="6716" hidden="1"/>
    <row r="6717" hidden="1"/>
    <row r="6718" hidden="1"/>
    <row r="6719" hidden="1"/>
    <row r="6720" hidden="1"/>
    <row r="6721" hidden="1"/>
    <row r="6722" hidden="1"/>
    <row r="6723" hidden="1"/>
    <row r="6724" hidden="1"/>
    <row r="6725" hidden="1"/>
    <row r="6726" hidden="1"/>
    <row r="6727" hidden="1"/>
    <row r="6728" hidden="1"/>
    <row r="6729" hidden="1"/>
    <row r="6730" hidden="1"/>
    <row r="6731" hidden="1"/>
    <row r="6732" hidden="1"/>
    <row r="6733" hidden="1"/>
    <row r="6734" hidden="1"/>
    <row r="6735" hidden="1"/>
    <row r="6736" hidden="1"/>
    <row r="6737" hidden="1"/>
    <row r="6738" hidden="1"/>
    <row r="6739" hidden="1"/>
    <row r="6740" hidden="1"/>
    <row r="6741" hidden="1"/>
    <row r="6742" hidden="1"/>
    <row r="6743" hidden="1"/>
    <row r="6744" hidden="1"/>
    <row r="6745" hidden="1"/>
    <row r="6746" hidden="1"/>
    <row r="6747" hidden="1"/>
    <row r="6748" hidden="1"/>
    <row r="6749" hidden="1"/>
    <row r="6750" hidden="1"/>
    <row r="6751" hidden="1"/>
    <row r="6752" hidden="1"/>
    <row r="6753" hidden="1"/>
    <row r="6754" hidden="1"/>
    <row r="6755" hidden="1"/>
    <row r="6756" hidden="1"/>
    <row r="6757" hidden="1"/>
    <row r="6758" hidden="1"/>
    <row r="6759" hidden="1"/>
    <row r="6760" hidden="1"/>
    <row r="6761" hidden="1"/>
    <row r="6762" hidden="1"/>
    <row r="6763" hidden="1"/>
    <row r="6764" hidden="1"/>
    <row r="6765" hidden="1"/>
    <row r="6766" hidden="1"/>
    <row r="6767" hidden="1"/>
    <row r="6768" hidden="1"/>
    <row r="6769" hidden="1"/>
    <row r="6770" hidden="1"/>
    <row r="6771" hidden="1"/>
    <row r="6772" hidden="1"/>
    <row r="6773" hidden="1"/>
    <row r="6774" hidden="1"/>
    <row r="6775" hidden="1"/>
    <row r="6776" hidden="1"/>
    <row r="6777" hidden="1"/>
    <row r="6778" hidden="1"/>
    <row r="6779" hidden="1"/>
    <row r="6780" hidden="1"/>
    <row r="6781" hidden="1"/>
    <row r="6782" hidden="1"/>
    <row r="6783" hidden="1"/>
    <row r="6784" hidden="1"/>
    <row r="6785" hidden="1"/>
    <row r="6786" hidden="1"/>
    <row r="6787" hidden="1"/>
    <row r="6788" hidden="1"/>
    <row r="6789" hidden="1"/>
    <row r="6790" hidden="1"/>
    <row r="6791" hidden="1"/>
    <row r="6792" hidden="1"/>
    <row r="6793" hidden="1"/>
    <row r="6794" hidden="1"/>
    <row r="6795" hidden="1"/>
    <row r="6796" hidden="1"/>
    <row r="6797" hidden="1"/>
    <row r="6798" hidden="1"/>
    <row r="6799" hidden="1"/>
    <row r="6800" hidden="1"/>
    <row r="6801" hidden="1"/>
    <row r="6802" hidden="1"/>
    <row r="6803" hidden="1"/>
    <row r="6804" hidden="1"/>
    <row r="6805" hidden="1"/>
    <row r="6806" hidden="1"/>
    <row r="6807" hidden="1"/>
    <row r="6808" hidden="1"/>
    <row r="6809" hidden="1"/>
    <row r="6810" hidden="1"/>
    <row r="6811" hidden="1"/>
    <row r="6812" hidden="1"/>
    <row r="6813" hidden="1"/>
    <row r="6814" hidden="1"/>
    <row r="6815" hidden="1"/>
    <row r="6816" hidden="1"/>
    <row r="6817" hidden="1"/>
    <row r="6818" hidden="1"/>
    <row r="6819" hidden="1"/>
    <row r="6820" hidden="1"/>
    <row r="6821" hidden="1"/>
    <row r="6822" hidden="1"/>
    <row r="6823" hidden="1"/>
    <row r="6824" hidden="1"/>
    <row r="6825" hidden="1"/>
    <row r="6826" hidden="1"/>
    <row r="6827" hidden="1"/>
    <row r="6828" hidden="1"/>
    <row r="6829" hidden="1"/>
    <row r="6830" hidden="1"/>
    <row r="6831" hidden="1"/>
    <row r="6832" hidden="1"/>
    <row r="6833" hidden="1"/>
    <row r="6834" hidden="1"/>
    <row r="6835" hidden="1"/>
    <row r="6836" hidden="1"/>
    <row r="6837" hidden="1"/>
    <row r="6838" hidden="1"/>
    <row r="6839" hidden="1"/>
    <row r="6840" hidden="1"/>
    <row r="6841" hidden="1"/>
    <row r="6842" hidden="1"/>
    <row r="6843" hidden="1"/>
    <row r="6844" hidden="1"/>
    <row r="6845" hidden="1"/>
    <row r="6846" hidden="1"/>
    <row r="6847" hidden="1"/>
    <row r="6848" hidden="1"/>
    <row r="6849" hidden="1"/>
    <row r="6850" hidden="1"/>
    <row r="6851" hidden="1"/>
    <row r="6852" hidden="1"/>
    <row r="6853" hidden="1"/>
    <row r="6854" hidden="1"/>
    <row r="6855" hidden="1"/>
    <row r="6856" hidden="1"/>
    <row r="6857" hidden="1"/>
    <row r="6858" hidden="1"/>
    <row r="6859" hidden="1"/>
    <row r="6860" hidden="1"/>
    <row r="6861" hidden="1"/>
    <row r="6862" hidden="1"/>
    <row r="6863" hidden="1"/>
    <row r="6864" hidden="1"/>
    <row r="6865" hidden="1"/>
    <row r="6866" hidden="1"/>
    <row r="6867" hidden="1"/>
    <row r="6868" hidden="1"/>
    <row r="6869" hidden="1"/>
    <row r="6870" hidden="1"/>
    <row r="6871" hidden="1"/>
    <row r="6872" hidden="1"/>
    <row r="6873" hidden="1"/>
    <row r="6874" hidden="1"/>
    <row r="6875" hidden="1"/>
    <row r="6876" hidden="1"/>
    <row r="6877" hidden="1"/>
    <row r="6878" hidden="1"/>
    <row r="6879" hidden="1"/>
    <row r="6880" hidden="1"/>
    <row r="6881" hidden="1"/>
    <row r="6882" hidden="1"/>
    <row r="6883" hidden="1"/>
    <row r="6884" hidden="1"/>
    <row r="6885" hidden="1"/>
    <row r="6886" hidden="1"/>
    <row r="6887" hidden="1"/>
    <row r="6888" hidden="1"/>
    <row r="6889" hidden="1"/>
    <row r="6890" hidden="1"/>
    <row r="6891" hidden="1"/>
    <row r="6892" hidden="1"/>
    <row r="6893" hidden="1"/>
    <row r="6894" hidden="1"/>
    <row r="6895" hidden="1"/>
    <row r="6896" hidden="1"/>
    <row r="6897" hidden="1"/>
    <row r="6898" hidden="1"/>
    <row r="6899" hidden="1"/>
    <row r="6900" hidden="1"/>
    <row r="6901" hidden="1"/>
    <row r="6902" hidden="1"/>
    <row r="6903" hidden="1"/>
    <row r="6904" hidden="1"/>
    <row r="6905" hidden="1"/>
    <row r="6906" hidden="1"/>
    <row r="6907" hidden="1"/>
    <row r="6908" hidden="1"/>
    <row r="6909" hidden="1"/>
    <row r="6910" hidden="1"/>
    <row r="6911" hidden="1"/>
    <row r="6912" hidden="1"/>
    <row r="6913" hidden="1"/>
    <row r="6914" hidden="1"/>
    <row r="6915" hidden="1"/>
    <row r="6916" hidden="1"/>
    <row r="6917" hidden="1"/>
    <row r="6918" hidden="1"/>
    <row r="6919" hidden="1"/>
    <row r="6920" hidden="1"/>
    <row r="6921" hidden="1"/>
    <row r="6922" hidden="1"/>
    <row r="6923" hidden="1"/>
    <row r="6924" hidden="1"/>
    <row r="6925" hidden="1"/>
    <row r="6926" hidden="1"/>
    <row r="6927" hidden="1"/>
    <row r="6928" hidden="1"/>
    <row r="6929" hidden="1"/>
    <row r="6930" hidden="1"/>
    <row r="6931" hidden="1"/>
    <row r="6932" hidden="1"/>
    <row r="6933" hidden="1"/>
    <row r="6934" hidden="1"/>
    <row r="6935" hidden="1"/>
    <row r="6936" hidden="1"/>
    <row r="6937" hidden="1"/>
    <row r="6938" hidden="1"/>
    <row r="6939" hidden="1"/>
    <row r="6940" hidden="1"/>
    <row r="6941" hidden="1"/>
    <row r="6942" hidden="1"/>
    <row r="6943" hidden="1"/>
    <row r="6944" hidden="1"/>
    <row r="6945" hidden="1"/>
    <row r="6946" hidden="1"/>
    <row r="6947" hidden="1"/>
    <row r="6948" hidden="1"/>
    <row r="6949" hidden="1"/>
    <row r="6950" hidden="1"/>
    <row r="6951" hidden="1"/>
    <row r="6952" hidden="1"/>
    <row r="6953" hidden="1"/>
    <row r="6954" hidden="1"/>
    <row r="6955" hidden="1"/>
    <row r="6956" hidden="1"/>
    <row r="6957" hidden="1"/>
    <row r="6958" hidden="1"/>
    <row r="6959" hidden="1"/>
    <row r="6960" hidden="1"/>
    <row r="6961" hidden="1"/>
    <row r="6962" hidden="1"/>
    <row r="6963" hidden="1"/>
    <row r="6964" hidden="1"/>
    <row r="6965" hidden="1"/>
    <row r="6966" hidden="1"/>
    <row r="6967" hidden="1"/>
    <row r="6968" hidden="1"/>
    <row r="6969" hidden="1"/>
    <row r="6970" hidden="1"/>
    <row r="6971" hidden="1"/>
    <row r="6972" hidden="1"/>
    <row r="6973" hidden="1"/>
    <row r="6974" hidden="1"/>
    <row r="6975" hidden="1"/>
    <row r="6976" hidden="1"/>
    <row r="6977" hidden="1"/>
    <row r="6978" hidden="1"/>
    <row r="6979" hidden="1"/>
    <row r="6980" hidden="1"/>
    <row r="6981" hidden="1"/>
    <row r="6982" hidden="1"/>
    <row r="6983" hidden="1"/>
    <row r="6984" hidden="1"/>
    <row r="6985" hidden="1"/>
    <row r="6986" hidden="1"/>
    <row r="6987" hidden="1"/>
    <row r="6988" hidden="1"/>
    <row r="6989" hidden="1"/>
    <row r="6990" hidden="1"/>
    <row r="6991" hidden="1"/>
    <row r="6992" hidden="1"/>
    <row r="6993" hidden="1"/>
    <row r="6994" hidden="1"/>
    <row r="6995" hidden="1"/>
    <row r="6996" hidden="1"/>
    <row r="6997" hidden="1"/>
    <row r="6998" hidden="1"/>
    <row r="6999" hidden="1"/>
    <row r="7000" hidden="1"/>
    <row r="7001" hidden="1"/>
    <row r="7002" hidden="1"/>
    <row r="7003" hidden="1"/>
    <row r="7004" hidden="1"/>
    <row r="7005" hidden="1"/>
    <row r="7006" hidden="1"/>
    <row r="7007" hidden="1"/>
    <row r="7008" hidden="1"/>
    <row r="7009" hidden="1"/>
    <row r="7010" hidden="1"/>
    <row r="7011" hidden="1"/>
    <row r="7012" hidden="1"/>
    <row r="7013" hidden="1"/>
    <row r="7014" hidden="1"/>
    <row r="7015" hidden="1"/>
    <row r="7016" hidden="1"/>
    <row r="7017" hidden="1"/>
    <row r="7018" hidden="1"/>
    <row r="7019" hidden="1"/>
    <row r="7020" hidden="1"/>
    <row r="7021" hidden="1"/>
    <row r="7022" hidden="1"/>
    <row r="7023" hidden="1"/>
    <row r="7024" hidden="1"/>
    <row r="7025" hidden="1"/>
    <row r="7026" hidden="1"/>
    <row r="7027" hidden="1"/>
    <row r="7028" hidden="1"/>
    <row r="7029" hidden="1"/>
    <row r="7030" hidden="1"/>
    <row r="7031" hidden="1"/>
    <row r="7032" hidden="1"/>
    <row r="7033" hidden="1"/>
    <row r="7034" hidden="1"/>
    <row r="7035" hidden="1"/>
    <row r="7036" hidden="1"/>
    <row r="7037" hidden="1"/>
    <row r="7038" hidden="1"/>
    <row r="7039" hidden="1"/>
    <row r="7040" hidden="1"/>
    <row r="7041" hidden="1"/>
    <row r="7042" hidden="1"/>
    <row r="7043" hidden="1"/>
    <row r="7044" hidden="1"/>
    <row r="7045" hidden="1"/>
    <row r="7046" hidden="1"/>
    <row r="7047" hidden="1"/>
    <row r="7048" hidden="1"/>
    <row r="7049" hidden="1"/>
    <row r="7050" hidden="1"/>
    <row r="7051" hidden="1"/>
    <row r="7052" hidden="1"/>
    <row r="7053" hidden="1"/>
    <row r="7054" hidden="1"/>
    <row r="7055" hidden="1"/>
    <row r="7056" hidden="1"/>
    <row r="7057" hidden="1"/>
    <row r="7058" hidden="1"/>
    <row r="7059" hidden="1"/>
    <row r="7060" hidden="1"/>
    <row r="7061" hidden="1"/>
    <row r="7062" hidden="1"/>
    <row r="7063" hidden="1"/>
    <row r="7064" hidden="1"/>
    <row r="7065" hidden="1"/>
    <row r="7066" hidden="1"/>
    <row r="7067" hidden="1"/>
    <row r="7068" hidden="1"/>
    <row r="7069" hidden="1"/>
    <row r="7070" hidden="1"/>
    <row r="7071" hidden="1"/>
    <row r="7072" hidden="1"/>
    <row r="7073" hidden="1"/>
    <row r="7074" hidden="1"/>
    <row r="7075" hidden="1"/>
    <row r="7076" hidden="1"/>
    <row r="7077" hidden="1"/>
    <row r="7078" hidden="1"/>
    <row r="7079" hidden="1"/>
    <row r="7080" hidden="1"/>
    <row r="7081" hidden="1"/>
    <row r="7082" hidden="1"/>
    <row r="7083" hidden="1"/>
    <row r="7084" hidden="1"/>
    <row r="7085" hidden="1"/>
    <row r="7086" hidden="1"/>
    <row r="7087" hidden="1"/>
    <row r="7088" hidden="1"/>
    <row r="7089" hidden="1"/>
    <row r="7090" hidden="1"/>
    <row r="7091" hidden="1"/>
    <row r="7092" hidden="1"/>
    <row r="7093" hidden="1"/>
    <row r="7094" hidden="1"/>
    <row r="7095" hidden="1"/>
    <row r="7096" hidden="1"/>
    <row r="7097" hidden="1"/>
    <row r="7098" hidden="1"/>
    <row r="7099" hidden="1"/>
    <row r="7100" hidden="1"/>
    <row r="7101" hidden="1"/>
    <row r="7102" hidden="1"/>
    <row r="7103" hidden="1"/>
    <row r="7104" hidden="1"/>
    <row r="7105" hidden="1"/>
    <row r="7106" hidden="1"/>
    <row r="7107" hidden="1"/>
    <row r="7108" hidden="1"/>
    <row r="7109" hidden="1"/>
    <row r="7110" hidden="1"/>
    <row r="7111" hidden="1"/>
    <row r="7112" hidden="1"/>
    <row r="7113" hidden="1"/>
    <row r="7114" hidden="1"/>
    <row r="7115" hidden="1"/>
    <row r="7116" hidden="1"/>
    <row r="7117" hidden="1"/>
    <row r="7118" hidden="1"/>
    <row r="7119" hidden="1"/>
    <row r="7120" hidden="1"/>
    <row r="7121" hidden="1"/>
    <row r="7122" hidden="1"/>
    <row r="7123" hidden="1"/>
    <row r="7124" hidden="1"/>
    <row r="7125" hidden="1"/>
    <row r="7126" hidden="1"/>
    <row r="7127" hidden="1"/>
    <row r="7128" hidden="1"/>
    <row r="7129" hidden="1"/>
    <row r="7130" hidden="1"/>
    <row r="7131" hidden="1"/>
    <row r="7132" hidden="1"/>
    <row r="7133" hidden="1"/>
    <row r="7134" hidden="1"/>
    <row r="7135" hidden="1"/>
    <row r="7136" hidden="1"/>
    <row r="7137" hidden="1"/>
    <row r="7138" hidden="1"/>
    <row r="7139" hidden="1"/>
    <row r="7140" hidden="1"/>
    <row r="7141" hidden="1"/>
    <row r="7142" hidden="1"/>
    <row r="7143" hidden="1"/>
    <row r="7144" hidden="1"/>
    <row r="7145" hidden="1"/>
    <row r="7146" hidden="1"/>
    <row r="7147" hidden="1"/>
    <row r="7148" hidden="1"/>
    <row r="7149" hidden="1"/>
    <row r="7150" hidden="1"/>
    <row r="7151" hidden="1"/>
    <row r="7152" hidden="1"/>
    <row r="7153" hidden="1"/>
    <row r="7154" hidden="1"/>
    <row r="7155" hidden="1"/>
    <row r="7156" hidden="1"/>
    <row r="7157" hidden="1"/>
    <row r="7158" hidden="1"/>
    <row r="7159" hidden="1"/>
    <row r="7160" hidden="1"/>
    <row r="7161" hidden="1"/>
    <row r="7162" hidden="1"/>
    <row r="7163" hidden="1"/>
    <row r="7164" hidden="1"/>
    <row r="7165" hidden="1"/>
    <row r="7166" hidden="1"/>
    <row r="7167" hidden="1"/>
    <row r="7168" hidden="1"/>
    <row r="7169" hidden="1"/>
    <row r="7170" hidden="1"/>
    <row r="7171" hidden="1"/>
    <row r="7172" hidden="1"/>
    <row r="7173" hidden="1"/>
    <row r="7174" hidden="1"/>
    <row r="7175" hidden="1"/>
    <row r="7176" hidden="1"/>
    <row r="7177" hidden="1"/>
    <row r="7178" hidden="1"/>
    <row r="7179" hidden="1"/>
    <row r="7180" hidden="1"/>
    <row r="7181" hidden="1"/>
    <row r="7182" hidden="1"/>
    <row r="7183" hidden="1"/>
    <row r="7184" hidden="1"/>
    <row r="7185" hidden="1"/>
    <row r="7186" hidden="1"/>
    <row r="7187" hidden="1"/>
    <row r="7188" hidden="1"/>
    <row r="7189" hidden="1"/>
    <row r="7190" hidden="1"/>
    <row r="7191" hidden="1"/>
    <row r="7192" hidden="1"/>
    <row r="7193" hidden="1"/>
    <row r="7194" hidden="1"/>
    <row r="7195" hidden="1"/>
    <row r="7196" hidden="1"/>
    <row r="7197" hidden="1"/>
    <row r="7198" hidden="1"/>
    <row r="7199" hidden="1"/>
    <row r="7200" hidden="1"/>
    <row r="7201" hidden="1"/>
    <row r="7202" hidden="1"/>
    <row r="7203" hidden="1"/>
    <row r="7204" hidden="1"/>
    <row r="7205" hidden="1"/>
    <row r="7206" hidden="1"/>
    <row r="7207" hidden="1"/>
    <row r="7208" hidden="1"/>
    <row r="7209" hidden="1"/>
    <row r="7210" hidden="1"/>
    <row r="7211" hidden="1"/>
    <row r="7212" hidden="1"/>
    <row r="7213" hidden="1"/>
    <row r="7214" hidden="1"/>
    <row r="7215" hidden="1"/>
    <row r="7216" hidden="1"/>
    <row r="7217" hidden="1"/>
    <row r="7218" hidden="1"/>
    <row r="7219" hidden="1"/>
    <row r="7220" hidden="1"/>
    <row r="7221" hidden="1"/>
    <row r="7222" hidden="1"/>
    <row r="7223" hidden="1"/>
    <row r="7224" hidden="1"/>
    <row r="7225" hidden="1"/>
    <row r="7226" hidden="1"/>
    <row r="7227" hidden="1"/>
    <row r="7228" hidden="1"/>
    <row r="7229" hidden="1"/>
    <row r="7230" hidden="1"/>
    <row r="7231" hidden="1"/>
    <row r="7232" hidden="1"/>
    <row r="7233" hidden="1"/>
    <row r="7234" hidden="1"/>
    <row r="7235" hidden="1"/>
    <row r="7236" hidden="1"/>
    <row r="7237" hidden="1"/>
    <row r="7238" hidden="1"/>
    <row r="7239" hidden="1"/>
    <row r="7240" hidden="1"/>
    <row r="7241" hidden="1"/>
    <row r="7242" hidden="1"/>
    <row r="7243" hidden="1"/>
    <row r="7244" hidden="1"/>
    <row r="7245" hidden="1"/>
    <row r="7246" hidden="1"/>
    <row r="7247" hidden="1"/>
    <row r="7248" hidden="1"/>
    <row r="7249" hidden="1"/>
    <row r="7250" hidden="1"/>
    <row r="7251" hidden="1"/>
    <row r="7252" hidden="1"/>
    <row r="7253" hidden="1"/>
    <row r="7254" hidden="1"/>
    <row r="7255" hidden="1"/>
    <row r="7256" hidden="1"/>
    <row r="7257" hidden="1"/>
    <row r="7258" hidden="1"/>
    <row r="7259" hidden="1"/>
    <row r="7260" hidden="1"/>
    <row r="7261" hidden="1"/>
    <row r="7262" hidden="1"/>
    <row r="7263" hidden="1"/>
    <row r="7264" hidden="1"/>
    <row r="7265" hidden="1"/>
    <row r="7266" hidden="1"/>
    <row r="7267" hidden="1"/>
    <row r="7268" hidden="1"/>
    <row r="7269" hidden="1"/>
    <row r="7270" hidden="1"/>
    <row r="7271" hidden="1"/>
    <row r="7272" hidden="1"/>
    <row r="7273" hidden="1"/>
    <row r="7274" hidden="1"/>
    <row r="7275" hidden="1"/>
    <row r="7276" hidden="1"/>
    <row r="7277" hidden="1"/>
    <row r="7278" hidden="1"/>
    <row r="7279" hidden="1"/>
    <row r="7280" hidden="1"/>
    <row r="7281" hidden="1"/>
    <row r="7282" hidden="1"/>
    <row r="7283" hidden="1"/>
    <row r="7284" hidden="1"/>
    <row r="7285" hidden="1"/>
    <row r="7286" hidden="1"/>
    <row r="7287" hidden="1"/>
    <row r="7288" hidden="1"/>
    <row r="7289" hidden="1"/>
    <row r="7290" hidden="1"/>
    <row r="7291" hidden="1"/>
    <row r="7292" hidden="1"/>
    <row r="7293" hidden="1"/>
    <row r="7294" hidden="1"/>
    <row r="7295" hidden="1"/>
    <row r="7296" hidden="1"/>
    <row r="7297" hidden="1"/>
    <row r="7298" hidden="1"/>
    <row r="7299" hidden="1"/>
    <row r="7300" hidden="1"/>
    <row r="7301" hidden="1"/>
    <row r="7302" hidden="1"/>
    <row r="7303" hidden="1"/>
    <row r="7304" hidden="1"/>
    <row r="7305" hidden="1"/>
    <row r="7306" hidden="1"/>
    <row r="7307" hidden="1"/>
    <row r="7308" hidden="1"/>
    <row r="7309" hidden="1"/>
    <row r="7310" hidden="1"/>
    <row r="7311" hidden="1"/>
    <row r="7312" hidden="1"/>
    <row r="7313" hidden="1"/>
    <row r="7314" hidden="1"/>
    <row r="7315" hidden="1"/>
    <row r="7316" hidden="1"/>
    <row r="7317" hidden="1"/>
    <row r="7318" hidden="1"/>
    <row r="7319" hidden="1"/>
    <row r="7320" hidden="1"/>
    <row r="7321" hidden="1"/>
    <row r="7322" hidden="1"/>
    <row r="7323" hidden="1"/>
    <row r="7324" hidden="1"/>
    <row r="7325" hidden="1"/>
    <row r="7326" hidden="1"/>
    <row r="7327" hidden="1"/>
    <row r="7328" hidden="1"/>
    <row r="7329" hidden="1"/>
    <row r="7330" hidden="1"/>
    <row r="7331" hidden="1"/>
    <row r="7332" hidden="1"/>
    <row r="7333" hidden="1"/>
    <row r="7334" hidden="1"/>
    <row r="7335" hidden="1"/>
    <row r="7336" hidden="1"/>
    <row r="7337" hidden="1"/>
    <row r="7338" hidden="1"/>
    <row r="7339" hidden="1"/>
    <row r="7340" hidden="1"/>
    <row r="7341" hidden="1"/>
    <row r="7342" hidden="1"/>
    <row r="7343" hidden="1"/>
    <row r="7344" hidden="1"/>
    <row r="7345" hidden="1"/>
    <row r="7346" hidden="1"/>
    <row r="7347" hidden="1"/>
    <row r="7348" hidden="1"/>
    <row r="7349" hidden="1"/>
    <row r="7350" hidden="1"/>
    <row r="7351" hidden="1"/>
    <row r="7352" hidden="1"/>
    <row r="7353" hidden="1"/>
    <row r="7354" hidden="1"/>
    <row r="7355" hidden="1"/>
    <row r="7356" hidden="1"/>
    <row r="7357" hidden="1"/>
    <row r="7358" hidden="1"/>
    <row r="7359" hidden="1"/>
    <row r="7360" hidden="1"/>
    <row r="7361" hidden="1"/>
    <row r="7362" hidden="1"/>
    <row r="7363" hidden="1"/>
    <row r="7364" hidden="1"/>
    <row r="7365" hidden="1"/>
    <row r="7366" hidden="1"/>
    <row r="7367" hidden="1"/>
    <row r="7368" hidden="1"/>
    <row r="7369" hidden="1"/>
    <row r="7370" hidden="1"/>
    <row r="7371" hidden="1"/>
    <row r="7372" hidden="1"/>
    <row r="7373" hidden="1"/>
    <row r="7374" hidden="1"/>
    <row r="7375" hidden="1"/>
    <row r="7376" hidden="1"/>
    <row r="7377" hidden="1"/>
    <row r="7378" hidden="1"/>
    <row r="7379" hidden="1"/>
    <row r="7380" hidden="1"/>
    <row r="7381" hidden="1"/>
    <row r="7382" hidden="1"/>
    <row r="7383" hidden="1"/>
    <row r="7384" hidden="1"/>
    <row r="7385" hidden="1"/>
    <row r="7386" hidden="1"/>
    <row r="7387" hidden="1"/>
    <row r="7388" hidden="1"/>
    <row r="7389" hidden="1"/>
    <row r="7390" hidden="1"/>
    <row r="7391" hidden="1"/>
    <row r="7392" hidden="1"/>
    <row r="7393" hidden="1"/>
    <row r="7394" hidden="1"/>
    <row r="7395" hidden="1"/>
    <row r="7396" hidden="1"/>
    <row r="7397" hidden="1"/>
    <row r="7398" hidden="1"/>
    <row r="7399" hidden="1"/>
    <row r="7400" hidden="1"/>
    <row r="7401" hidden="1"/>
    <row r="7402" hidden="1"/>
    <row r="7403" hidden="1"/>
    <row r="7404" hidden="1"/>
    <row r="7405" hidden="1"/>
    <row r="7406" hidden="1"/>
    <row r="7407" hidden="1"/>
    <row r="7408" hidden="1"/>
    <row r="7409" hidden="1"/>
    <row r="7410" hidden="1"/>
    <row r="7411" hidden="1"/>
    <row r="7412" hidden="1"/>
    <row r="7413" hidden="1"/>
    <row r="7414" hidden="1"/>
    <row r="7415" hidden="1"/>
    <row r="7416" hidden="1"/>
    <row r="7417" hidden="1"/>
    <row r="7418" hidden="1"/>
    <row r="7419" hidden="1"/>
    <row r="7420" hidden="1"/>
    <row r="7421" hidden="1"/>
    <row r="7422" hidden="1"/>
    <row r="7423" hidden="1"/>
    <row r="7424" hidden="1"/>
    <row r="7425" hidden="1"/>
    <row r="7426" hidden="1"/>
    <row r="7427" hidden="1"/>
    <row r="7428" hidden="1"/>
    <row r="7429" hidden="1"/>
    <row r="7430" hidden="1"/>
    <row r="7431" hidden="1"/>
    <row r="7432" hidden="1"/>
    <row r="7433" hidden="1"/>
    <row r="7434" hidden="1"/>
    <row r="7435" hidden="1"/>
    <row r="7436" hidden="1"/>
    <row r="7437" hidden="1"/>
    <row r="7438" hidden="1"/>
    <row r="7439" hidden="1"/>
    <row r="7440" hidden="1"/>
    <row r="7441" hidden="1"/>
    <row r="7442" hidden="1"/>
    <row r="7443" hidden="1"/>
    <row r="7444" hidden="1"/>
    <row r="7445" hidden="1"/>
    <row r="7446" hidden="1"/>
    <row r="7447" hidden="1"/>
    <row r="7448" hidden="1"/>
    <row r="7449" hidden="1"/>
    <row r="7450" hidden="1"/>
    <row r="7451" hidden="1"/>
    <row r="7452" hidden="1"/>
    <row r="7453" hidden="1"/>
    <row r="7454" hidden="1"/>
    <row r="7455" hidden="1"/>
    <row r="7456" hidden="1"/>
    <row r="7457" hidden="1"/>
    <row r="7458" hidden="1"/>
    <row r="7459" hidden="1"/>
    <row r="7460" hidden="1"/>
    <row r="7461" hidden="1"/>
    <row r="7462" hidden="1"/>
    <row r="7463" hidden="1"/>
    <row r="7464" hidden="1"/>
    <row r="7465" hidden="1"/>
    <row r="7466" hidden="1"/>
    <row r="7467" hidden="1"/>
    <row r="7468" hidden="1"/>
    <row r="7469" hidden="1"/>
    <row r="7470" hidden="1"/>
    <row r="7471" hidden="1"/>
    <row r="7472" hidden="1"/>
    <row r="7473" hidden="1"/>
    <row r="7474" hidden="1"/>
    <row r="7475" hidden="1"/>
    <row r="7476" hidden="1"/>
    <row r="7477" hidden="1"/>
    <row r="7478" hidden="1"/>
    <row r="7479" hidden="1"/>
    <row r="7480" hidden="1"/>
    <row r="7481" hidden="1"/>
    <row r="7482" hidden="1"/>
    <row r="7483" hidden="1"/>
    <row r="7484" hidden="1"/>
    <row r="7485" hidden="1"/>
    <row r="7486" hidden="1"/>
    <row r="7487" hidden="1"/>
    <row r="7488" hidden="1"/>
    <row r="7489" hidden="1"/>
    <row r="7490" hidden="1"/>
    <row r="7491" hidden="1"/>
    <row r="7492" hidden="1"/>
    <row r="7493" hidden="1"/>
    <row r="7494" hidden="1"/>
    <row r="7495" hidden="1"/>
    <row r="7496" hidden="1"/>
    <row r="7497" hidden="1"/>
    <row r="7498" hidden="1"/>
    <row r="7499" hidden="1"/>
    <row r="7500" hidden="1"/>
    <row r="7501" hidden="1"/>
    <row r="7502" hidden="1"/>
    <row r="7503" hidden="1"/>
    <row r="7504" hidden="1"/>
    <row r="7505" hidden="1"/>
    <row r="7506" hidden="1"/>
    <row r="7507" hidden="1"/>
    <row r="7508" hidden="1"/>
    <row r="7509" hidden="1"/>
    <row r="7510" hidden="1"/>
    <row r="7511" hidden="1"/>
    <row r="7512" hidden="1"/>
    <row r="7513" hidden="1"/>
    <row r="7514" hidden="1"/>
    <row r="7515" hidden="1"/>
    <row r="7516" hidden="1"/>
    <row r="7517" hidden="1"/>
    <row r="7518" hidden="1"/>
    <row r="7519" hidden="1"/>
    <row r="7520" hidden="1"/>
    <row r="7521" hidden="1"/>
    <row r="7522" hidden="1"/>
    <row r="7523" hidden="1"/>
    <row r="7524" hidden="1"/>
    <row r="7525" hidden="1"/>
    <row r="7526" hidden="1"/>
    <row r="7527" hidden="1"/>
    <row r="7528" hidden="1"/>
    <row r="7529" hidden="1"/>
    <row r="7530" hidden="1"/>
    <row r="7531" hidden="1"/>
    <row r="7532" hidden="1"/>
    <row r="7533" hidden="1"/>
    <row r="7534" hidden="1"/>
    <row r="7535" hidden="1"/>
    <row r="7536" hidden="1"/>
    <row r="7537" hidden="1"/>
    <row r="7538" hidden="1"/>
    <row r="7539" hidden="1"/>
    <row r="7540" hidden="1"/>
    <row r="7541" hidden="1"/>
    <row r="7542" hidden="1"/>
    <row r="7543" hidden="1"/>
    <row r="7544" hidden="1"/>
    <row r="7545" hidden="1"/>
    <row r="7546" hidden="1"/>
    <row r="7547" hidden="1"/>
    <row r="7548" hidden="1"/>
    <row r="7549" hidden="1"/>
    <row r="7550" hidden="1"/>
    <row r="7551" hidden="1"/>
    <row r="7552" hidden="1"/>
    <row r="7553" hidden="1"/>
    <row r="7554" hidden="1"/>
    <row r="7555" hidden="1"/>
    <row r="7556" hidden="1"/>
    <row r="7557" hidden="1"/>
    <row r="7558" hidden="1"/>
    <row r="7559" hidden="1"/>
    <row r="7560" hidden="1"/>
    <row r="7561" hidden="1"/>
    <row r="7562" hidden="1"/>
    <row r="7563" hidden="1"/>
    <row r="7564" hidden="1"/>
    <row r="7565" hidden="1"/>
    <row r="7566" hidden="1"/>
    <row r="7567" hidden="1"/>
    <row r="7568" hidden="1"/>
    <row r="7569" hidden="1"/>
    <row r="7570" hidden="1"/>
    <row r="7571" hidden="1"/>
    <row r="7572" hidden="1"/>
    <row r="7573" hidden="1"/>
    <row r="7574" hidden="1"/>
    <row r="7575" hidden="1"/>
    <row r="7576" hidden="1"/>
    <row r="7577" hidden="1"/>
    <row r="7578" hidden="1"/>
    <row r="7579" hidden="1"/>
    <row r="7580" hidden="1"/>
    <row r="7581" hidden="1"/>
    <row r="7582" hidden="1"/>
    <row r="7583" hidden="1"/>
    <row r="7584" hidden="1"/>
    <row r="7585" hidden="1"/>
    <row r="7586" hidden="1"/>
    <row r="7587" hidden="1"/>
    <row r="7588" hidden="1"/>
    <row r="7589" hidden="1"/>
    <row r="7590" hidden="1"/>
    <row r="7591" hidden="1"/>
    <row r="7592" hidden="1"/>
    <row r="7593" hidden="1"/>
    <row r="7594" hidden="1"/>
    <row r="7595" hidden="1"/>
    <row r="7596" hidden="1"/>
    <row r="7597" hidden="1"/>
    <row r="7598" hidden="1"/>
    <row r="7599" hidden="1"/>
    <row r="7600" hidden="1"/>
    <row r="7601" hidden="1"/>
    <row r="7602" hidden="1"/>
    <row r="7603" hidden="1"/>
    <row r="7604" hidden="1"/>
    <row r="7605" hidden="1"/>
    <row r="7606" hidden="1"/>
    <row r="7607" hidden="1"/>
    <row r="7608" hidden="1"/>
    <row r="7609" hidden="1"/>
    <row r="7610" hidden="1"/>
    <row r="7611" hidden="1"/>
    <row r="7612" hidden="1"/>
    <row r="7613" hidden="1"/>
    <row r="7614" hidden="1"/>
    <row r="7615" hidden="1"/>
    <row r="7616" hidden="1"/>
    <row r="7617" hidden="1"/>
    <row r="7618" hidden="1"/>
    <row r="7619" hidden="1"/>
    <row r="7620" hidden="1"/>
    <row r="7621" hidden="1"/>
    <row r="7622" hidden="1"/>
    <row r="7623" hidden="1"/>
    <row r="7624" hidden="1"/>
    <row r="7625" hidden="1"/>
    <row r="7626" hidden="1"/>
    <row r="7627" hidden="1"/>
    <row r="7628" hidden="1"/>
    <row r="7629" hidden="1"/>
    <row r="7630" hidden="1"/>
    <row r="7631" hidden="1"/>
    <row r="7632" hidden="1"/>
    <row r="7633" hidden="1"/>
    <row r="7634" hidden="1"/>
    <row r="7635" hidden="1"/>
    <row r="7636" hidden="1"/>
    <row r="7637" hidden="1"/>
    <row r="7638" hidden="1"/>
    <row r="7639" hidden="1"/>
    <row r="7640" hidden="1"/>
    <row r="7641" hidden="1"/>
    <row r="7642" hidden="1"/>
    <row r="7643" hidden="1"/>
    <row r="7644" hidden="1"/>
    <row r="7645" hidden="1"/>
    <row r="7646" hidden="1"/>
    <row r="7647" hidden="1"/>
    <row r="7648" hidden="1"/>
    <row r="7649" hidden="1"/>
    <row r="7650" hidden="1"/>
    <row r="7651" hidden="1"/>
    <row r="7652" hidden="1"/>
    <row r="7653" hidden="1"/>
    <row r="7654" hidden="1"/>
    <row r="7655" hidden="1"/>
    <row r="7656" hidden="1"/>
    <row r="7657" hidden="1"/>
    <row r="7658" hidden="1"/>
    <row r="7659" hidden="1"/>
    <row r="7660" hidden="1"/>
    <row r="7661" hidden="1"/>
    <row r="7662" hidden="1"/>
    <row r="7663" hidden="1"/>
    <row r="7664" hidden="1"/>
    <row r="7665" hidden="1"/>
    <row r="7666" hidden="1"/>
    <row r="7667" hidden="1"/>
    <row r="7668" hidden="1"/>
    <row r="7669" hidden="1"/>
    <row r="7670" hidden="1"/>
    <row r="7671" hidden="1"/>
    <row r="7672" hidden="1"/>
    <row r="7673" hidden="1"/>
    <row r="7674" hidden="1"/>
    <row r="7675" hidden="1"/>
    <row r="7676" hidden="1"/>
    <row r="7677" hidden="1"/>
    <row r="7678" hidden="1"/>
    <row r="7679" hidden="1"/>
    <row r="7680" hidden="1"/>
    <row r="7681" hidden="1"/>
    <row r="7682" hidden="1"/>
    <row r="7683" hidden="1"/>
    <row r="7684" hidden="1"/>
    <row r="7685" hidden="1"/>
    <row r="7686" hidden="1"/>
    <row r="7687" hidden="1"/>
    <row r="7688" hidden="1"/>
    <row r="7689" hidden="1"/>
    <row r="7690" hidden="1"/>
    <row r="7691" hidden="1"/>
    <row r="7692" hidden="1"/>
    <row r="7693" hidden="1"/>
    <row r="7694" hidden="1"/>
    <row r="7695" hidden="1"/>
    <row r="7696" hidden="1"/>
    <row r="7697" hidden="1"/>
    <row r="7698" hidden="1"/>
    <row r="7699" hidden="1"/>
    <row r="7700" hidden="1"/>
    <row r="7701" hidden="1"/>
    <row r="7702" hidden="1"/>
    <row r="7703" hidden="1"/>
    <row r="7704" hidden="1"/>
    <row r="7705" hidden="1"/>
    <row r="7706" hidden="1"/>
    <row r="7707" hidden="1"/>
    <row r="7708" hidden="1"/>
    <row r="7709" hidden="1"/>
    <row r="7710" hidden="1"/>
    <row r="7711" hidden="1"/>
    <row r="7712" hidden="1"/>
    <row r="7713" hidden="1"/>
    <row r="7714" hidden="1"/>
    <row r="7715" hidden="1"/>
    <row r="7716" hidden="1"/>
    <row r="7717" hidden="1"/>
    <row r="7718" hidden="1"/>
    <row r="7719" hidden="1"/>
    <row r="7720" hidden="1"/>
    <row r="7721" hidden="1"/>
    <row r="7722" hidden="1"/>
    <row r="7723" hidden="1"/>
    <row r="7724" hidden="1"/>
    <row r="7725" hidden="1"/>
    <row r="7726" hidden="1"/>
    <row r="7727" hidden="1"/>
    <row r="7728" hidden="1"/>
    <row r="7729" hidden="1"/>
    <row r="7730" hidden="1"/>
    <row r="7731" hidden="1"/>
    <row r="7732" hidden="1"/>
    <row r="7733" hidden="1"/>
    <row r="7734" hidden="1"/>
    <row r="7735" hidden="1"/>
    <row r="7736" hidden="1"/>
    <row r="7737" hidden="1"/>
    <row r="7738" hidden="1"/>
    <row r="7739" hidden="1"/>
    <row r="7740" hidden="1"/>
    <row r="7741" hidden="1"/>
    <row r="7742" hidden="1"/>
    <row r="7743" hidden="1"/>
    <row r="7744" hidden="1"/>
    <row r="7745" hidden="1"/>
    <row r="7746" hidden="1"/>
    <row r="7747" hidden="1"/>
    <row r="7748" hidden="1"/>
    <row r="7749" hidden="1"/>
    <row r="7750" hidden="1"/>
    <row r="7751" hidden="1"/>
    <row r="7752" hidden="1"/>
    <row r="7753" hidden="1"/>
    <row r="7754" hidden="1"/>
    <row r="7755" hidden="1"/>
    <row r="7756" hidden="1"/>
    <row r="7757" hidden="1"/>
    <row r="7758" hidden="1"/>
    <row r="7759" hidden="1"/>
    <row r="7760" hidden="1"/>
    <row r="7761" hidden="1"/>
    <row r="7762" hidden="1"/>
    <row r="7763" hidden="1"/>
    <row r="7764" hidden="1"/>
    <row r="7765" hidden="1"/>
    <row r="7766" hidden="1"/>
    <row r="7767" hidden="1"/>
    <row r="7768" hidden="1"/>
    <row r="7769" hidden="1"/>
    <row r="7770" hidden="1"/>
    <row r="7771" hidden="1"/>
    <row r="7772" hidden="1"/>
    <row r="7773" hidden="1"/>
    <row r="7774" hidden="1"/>
    <row r="7775" hidden="1"/>
    <row r="7776" hidden="1"/>
    <row r="7777" hidden="1"/>
    <row r="7778" hidden="1"/>
    <row r="7779" hidden="1"/>
    <row r="7780" hidden="1"/>
    <row r="7781" hidden="1"/>
    <row r="7782" hidden="1"/>
    <row r="7783" hidden="1"/>
    <row r="7784" hidden="1"/>
    <row r="7785" hidden="1"/>
    <row r="7786" hidden="1"/>
    <row r="7787" hidden="1"/>
    <row r="7788" hidden="1"/>
    <row r="7789" hidden="1"/>
    <row r="7790" hidden="1"/>
    <row r="7791" hidden="1"/>
    <row r="7792" hidden="1"/>
    <row r="7793" hidden="1"/>
    <row r="7794" hidden="1"/>
    <row r="7795" hidden="1"/>
    <row r="7796" hidden="1"/>
    <row r="7797" hidden="1"/>
    <row r="7798" hidden="1"/>
    <row r="7799" hidden="1"/>
    <row r="7800" hidden="1"/>
    <row r="7801" hidden="1"/>
    <row r="7802" hidden="1"/>
    <row r="7803" hidden="1"/>
    <row r="7804" hidden="1"/>
    <row r="7805" hidden="1"/>
    <row r="7806" hidden="1"/>
    <row r="7807" hidden="1"/>
    <row r="7808" hidden="1"/>
    <row r="7809" hidden="1"/>
    <row r="7810" hidden="1"/>
    <row r="7811" hidden="1"/>
    <row r="7812" hidden="1"/>
    <row r="7813" hidden="1"/>
    <row r="7814" hidden="1"/>
    <row r="7815" hidden="1"/>
    <row r="7816" hidden="1"/>
    <row r="7817" hidden="1"/>
    <row r="7818" hidden="1"/>
    <row r="7819" hidden="1"/>
    <row r="7820" hidden="1"/>
    <row r="7821" hidden="1"/>
    <row r="7822" hidden="1"/>
    <row r="7823" hidden="1"/>
    <row r="7824" hidden="1"/>
    <row r="7825" hidden="1"/>
    <row r="7826" hidden="1"/>
    <row r="7827" hidden="1"/>
    <row r="7828" hidden="1"/>
    <row r="7829" hidden="1"/>
    <row r="7830" hidden="1"/>
    <row r="7831" hidden="1"/>
    <row r="7832" hidden="1"/>
    <row r="7833" hidden="1"/>
    <row r="7834" hidden="1"/>
    <row r="7835" hidden="1"/>
    <row r="7836" hidden="1"/>
    <row r="7837" hidden="1"/>
    <row r="7838" hidden="1"/>
    <row r="7839" hidden="1"/>
    <row r="7840" hidden="1"/>
    <row r="7841" hidden="1"/>
    <row r="7842" hidden="1"/>
    <row r="7843" hidden="1"/>
    <row r="7844" hidden="1"/>
    <row r="7845" hidden="1"/>
    <row r="7846" hidden="1"/>
    <row r="7847" hidden="1"/>
    <row r="7848" hidden="1"/>
    <row r="7849" hidden="1"/>
    <row r="7850" hidden="1"/>
    <row r="7851" hidden="1"/>
    <row r="7852" hidden="1"/>
    <row r="7853" hidden="1"/>
    <row r="7854" hidden="1"/>
    <row r="7855" hidden="1"/>
    <row r="7856" hidden="1"/>
    <row r="7857" hidden="1"/>
    <row r="7858" hidden="1"/>
    <row r="7859" hidden="1"/>
    <row r="7860" hidden="1"/>
    <row r="7861" hidden="1"/>
    <row r="7862" hidden="1"/>
    <row r="7863" hidden="1"/>
    <row r="7864" hidden="1"/>
    <row r="7865" hidden="1"/>
    <row r="7866" hidden="1"/>
    <row r="7867" hidden="1"/>
    <row r="7868" hidden="1"/>
    <row r="7869" hidden="1"/>
    <row r="7870" hidden="1"/>
    <row r="7871" hidden="1"/>
    <row r="7872" hidden="1"/>
    <row r="7873" hidden="1"/>
    <row r="7874" hidden="1"/>
    <row r="7875" hidden="1"/>
    <row r="7876" hidden="1"/>
    <row r="7877" hidden="1"/>
    <row r="7878" hidden="1"/>
    <row r="7879" hidden="1"/>
    <row r="7880" hidden="1"/>
    <row r="7881" hidden="1"/>
    <row r="7882" hidden="1"/>
    <row r="7883" hidden="1"/>
    <row r="7884" hidden="1"/>
    <row r="7885" hidden="1"/>
    <row r="7886" hidden="1"/>
    <row r="7887" hidden="1"/>
    <row r="7888" hidden="1"/>
    <row r="7889" hidden="1"/>
    <row r="7890" hidden="1"/>
    <row r="7891" hidden="1"/>
    <row r="7892" hidden="1"/>
    <row r="7893" hidden="1"/>
    <row r="7894" hidden="1"/>
    <row r="7895" hidden="1"/>
    <row r="7896" hidden="1"/>
    <row r="7897" hidden="1"/>
    <row r="7898" hidden="1"/>
    <row r="7899" hidden="1"/>
    <row r="7900" hidden="1"/>
    <row r="7901" hidden="1"/>
    <row r="7902" hidden="1"/>
    <row r="7903" hidden="1"/>
    <row r="7904" hidden="1"/>
    <row r="7905" hidden="1"/>
    <row r="7906" hidden="1"/>
    <row r="7907" hidden="1"/>
    <row r="7908" hidden="1"/>
    <row r="7909" hidden="1"/>
    <row r="7910" hidden="1"/>
    <row r="7911" hidden="1"/>
    <row r="7912" hidden="1"/>
    <row r="7913" hidden="1"/>
    <row r="7914" hidden="1"/>
    <row r="7915" hidden="1"/>
    <row r="7916" hidden="1"/>
    <row r="7917" hidden="1"/>
    <row r="7918" hidden="1"/>
    <row r="7919" hidden="1"/>
    <row r="7920" hidden="1"/>
    <row r="7921" hidden="1"/>
    <row r="7922" hidden="1"/>
    <row r="7923" hidden="1"/>
    <row r="7924" hidden="1"/>
    <row r="7925" hidden="1"/>
    <row r="7926" hidden="1"/>
    <row r="7927" hidden="1"/>
    <row r="7928" hidden="1"/>
    <row r="7929" hidden="1"/>
    <row r="7930" hidden="1"/>
    <row r="7931" hidden="1"/>
    <row r="7932" hidden="1"/>
    <row r="7933" hidden="1"/>
    <row r="7934" hidden="1"/>
    <row r="7935" hidden="1"/>
    <row r="7936" hidden="1"/>
    <row r="7937" hidden="1"/>
    <row r="7938" hidden="1"/>
    <row r="7939" hidden="1"/>
    <row r="7940" hidden="1"/>
    <row r="7941" hidden="1"/>
    <row r="7942" hidden="1"/>
    <row r="7943" hidden="1"/>
    <row r="7944" hidden="1"/>
    <row r="7945" hidden="1"/>
    <row r="7946" hidden="1"/>
    <row r="7947" hidden="1"/>
    <row r="7948" hidden="1"/>
    <row r="7949" hidden="1"/>
    <row r="7950" hidden="1"/>
    <row r="7951" hidden="1"/>
    <row r="7952" hidden="1"/>
    <row r="7953" hidden="1"/>
    <row r="7954" hidden="1"/>
    <row r="7955" hidden="1"/>
    <row r="7956" hidden="1"/>
    <row r="7957" hidden="1"/>
    <row r="7958" hidden="1"/>
    <row r="7959" hidden="1"/>
    <row r="7960" hidden="1"/>
    <row r="7961" hidden="1"/>
    <row r="7962" hidden="1"/>
    <row r="7963" hidden="1"/>
    <row r="7964" hidden="1"/>
    <row r="7965" hidden="1"/>
    <row r="7966" hidden="1"/>
    <row r="7967" hidden="1"/>
    <row r="7968" hidden="1"/>
    <row r="7969" hidden="1"/>
    <row r="7970" hidden="1"/>
    <row r="7971" hidden="1"/>
    <row r="7972" hidden="1"/>
    <row r="7973" hidden="1"/>
    <row r="7974" hidden="1"/>
    <row r="7975" hidden="1"/>
    <row r="7976" hidden="1"/>
    <row r="7977" hidden="1"/>
    <row r="7978" hidden="1"/>
    <row r="7979" hidden="1"/>
    <row r="7980" hidden="1"/>
    <row r="7981" hidden="1"/>
    <row r="7982" hidden="1"/>
    <row r="7983" hidden="1"/>
    <row r="7984" hidden="1"/>
    <row r="7985" hidden="1"/>
    <row r="7986" hidden="1"/>
    <row r="7987" hidden="1"/>
    <row r="7988" hidden="1"/>
    <row r="7989" hidden="1"/>
    <row r="7990" hidden="1"/>
    <row r="7991" hidden="1"/>
    <row r="7992" hidden="1"/>
    <row r="7993" hidden="1"/>
    <row r="7994" hidden="1"/>
    <row r="7995" hidden="1"/>
    <row r="7996" hidden="1"/>
    <row r="7997" hidden="1"/>
    <row r="7998" hidden="1"/>
    <row r="7999" hidden="1"/>
    <row r="8000" hidden="1"/>
    <row r="8001" hidden="1"/>
    <row r="8002" hidden="1"/>
    <row r="8003" hidden="1"/>
    <row r="8004" hidden="1"/>
    <row r="8005" hidden="1"/>
    <row r="8006" hidden="1"/>
    <row r="8007" hidden="1"/>
    <row r="8008" hidden="1"/>
    <row r="8009" hidden="1"/>
    <row r="8010" hidden="1"/>
    <row r="8011" hidden="1"/>
    <row r="8012" hidden="1"/>
    <row r="8013" hidden="1"/>
    <row r="8014" hidden="1"/>
    <row r="8015" hidden="1"/>
    <row r="8016" hidden="1"/>
    <row r="8017" hidden="1"/>
    <row r="8018" hidden="1"/>
    <row r="8019" hidden="1"/>
    <row r="8020" hidden="1"/>
    <row r="8021" hidden="1"/>
    <row r="8022" hidden="1"/>
    <row r="8023" hidden="1"/>
    <row r="8024" hidden="1"/>
    <row r="8025" hidden="1"/>
    <row r="8026" hidden="1"/>
    <row r="8027" hidden="1"/>
    <row r="8028" hidden="1"/>
    <row r="8029" hidden="1"/>
    <row r="8030" hidden="1"/>
    <row r="8031" hidden="1"/>
    <row r="8032" hidden="1"/>
    <row r="8033" hidden="1"/>
    <row r="8034" hidden="1"/>
    <row r="8035" hidden="1"/>
    <row r="8036" hidden="1"/>
    <row r="8037" hidden="1"/>
    <row r="8038" hidden="1"/>
    <row r="8039" hidden="1"/>
    <row r="8040" hidden="1"/>
    <row r="8041" hidden="1"/>
    <row r="8042" hidden="1"/>
    <row r="8043" hidden="1"/>
    <row r="8044" hidden="1"/>
    <row r="8045" hidden="1"/>
    <row r="8046" hidden="1"/>
    <row r="8047" hidden="1"/>
    <row r="8048" hidden="1"/>
    <row r="8049" hidden="1"/>
    <row r="8050" hidden="1"/>
    <row r="8051" hidden="1"/>
    <row r="8052" hidden="1"/>
    <row r="8053" hidden="1"/>
    <row r="8054" hidden="1"/>
    <row r="8055" hidden="1"/>
    <row r="8056" hidden="1"/>
    <row r="8057" hidden="1"/>
    <row r="8058" hidden="1"/>
    <row r="8059" hidden="1"/>
    <row r="8060" hidden="1"/>
    <row r="8061" hidden="1"/>
    <row r="8062" hidden="1"/>
    <row r="8063" hidden="1"/>
    <row r="8064" hidden="1"/>
    <row r="8065" hidden="1"/>
    <row r="8066" hidden="1"/>
    <row r="8067" hidden="1"/>
    <row r="8068" hidden="1"/>
    <row r="8069" hidden="1"/>
    <row r="8070" hidden="1"/>
    <row r="8071" hidden="1"/>
    <row r="8072" hidden="1"/>
    <row r="8073" hidden="1"/>
    <row r="8074" hidden="1"/>
    <row r="8075" hidden="1"/>
    <row r="8076" hidden="1"/>
    <row r="8077" hidden="1"/>
    <row r="8078" hidden="1"/>
    <row r="8079" hidden="1"/>
    <row r="8080" hidden="1"/>
    <row r="8081" hidden="1"/>
    <row r="8082" hidden="1"/>
    <row r="8083" hidden="1"/>
    <row r="8084" hidden="1"/>
    <row r="8085" hidden="1"/>
    <row r="8086" hidden="1"/>
    <row r="8087" hidden="1"/>
    <row r="8088" hidden="1"/>
    <row r="8089" hidden="1"/>
    <row r="8090" hidden="1"/>
    <row r="8091" hidden="1"/>
    <row r="8092" hidden="1"/>
    <row r="8093" hidden="1"/>
    <row r="8094" hidden="1"/>
    <row r="8095" hidden="1"/>
    <row r="8096" hidden="1"/>
    <row r="8097" hidden="1"/>
    <row r="8098" hidden="1"/>
    <row r="8099" hidden="1"/>
    <row r="8100" hidden="1"/>
    <row r="8101" hidden="1"/>
    <row r="8102" hidden="1"/>
    <row r="8103" hidden="1"/>
    <row r="8104" hidden="1"/>
    <row r="8105" hidden="1"/>
    <row r="8106" hidden="1"/>
    <row r="8107" hidden="1"/>
    <row r="8108" hidden="1"/>
    <row r="8109" hidden="1"/>
    <row r="8110" hidden="1"/>
    <row r="8111" hidden="1"/>
    <row r="8112" hidden="1"/>
    <row r="8113" hidden="1"/>
    <row r="8114" hidden="1"/>
    <row r="8115" hidden="1"/>
    <row r="8116" hidden="1"/>
    <row r="8117" hidden="1"/>
    <row r="8118" hidden="1"/>
    <row r="8119" hidden="1"/>
    <row r="8120" hidden="1"/>
    <row r="8121" hidden="1"/>
    <row r="8122" hidden="1"/>
    <row r="8123" hidden="1"/>
    <row r="8124" hidden="1"/>
    <row r="8125" hidden="1"/>
    <row r="8126" hidden="1"/>
    <row r="8127" hidden="1"/>
    <row r="8128" hidden="1"/>
    <row r="8129" hidden="1"/>
    <row r="8130" hidden="1"/>
    <row r="8131" hidden="1"/>
    <row r="8132" hidden="1"/>
    <row r="8133" hidden="1"/>
    <row r="8134" hidden="1"/>
    <row r="8135" hidden="1"/>
    <row r="8136" hidden="1"/>
    <row r="8137" hidden="1"/>
    <row r="8138" hidden="1"/>
    <row r="8139" hidden="1"/>
    <row r="8140" hidden="1"/>
    <row r="8141" hidden="1"/>
    <row r="8142" hidden="1"/>
    <row r="8143" hidden="1"/>
    <row r="8144" hidden="1"/>
    <row r="8145" hidden="1"/>
    <row r="8146" hidden="1"/>
    <row r="8147" hidden="1"/>
    <row r="8148" hidden="1"/>
    <row r="8149" hidden="1"/>
    <row r="8150" hidden="1"/>
    <row r="8151" hidden="1"/>
    <row r="8152" hidden="1"/>
    <row r="8153" hidden="1"/>
    <row r="8154" hidden="1"/>
    <row r="8155" hidden="1"/>
    <row r="8156" hidden="1"/>
    <row r="8157" hidden="1"/>
    <row r="8158" hidden="1"/>
    <row r="8159" hidden="1"/>
    <row r="8160" hidden="1"/>
    <row r="8161" hidden="1"/>
    <row r="8162" hidden="1"/>
    <row r="8163" hidden="1"/>
    <row r="8164" hidden="1"/>
    <row r="8165" hidden="1"/>
    <row r="8166" hidden="1"/>
    <row r="8167" hidden="1"/>
    <row r="8168" hidden="1"/>
    <row r="8169" hidden="1"/>
    <row r="8170" hidden="1"/>
    <row r="8171" hidden="1"/>
    <row r="8172" hidden="1"/>
    <row r="8173" hidden="1"/>
    <row r="8174" hidden="1"/>
    <row r="8175" hidden="1"/>
    <row r="8176" hidden="1"/>
    <row r="8177" hidden="1"/>
    <row r="8178" hidden="1"/>
    <row r="8179" hidden="1"/>
    <row r="8180" hidden="1"/>
    <row r="8181" hidden="1"/>
    <row r="8182" hidden="1"/>
    <row r="8183" hidden="1"/>
    <row r="8184" hidden="1"/>
    <row r="8185" hidden="1"/>
    <row r="8186" hidden="1"/>
    <row r="8187" hidden="1"/>
    <row r="8188" hidden="1"/>
    <row r="8189" hidden="1"/>
    <row r="8190" hidden="1"/>
    <row r="8191" hidden="1"/>
    <row r="8192" hidden="1"/>
    <row r="8193" hidden="1"/>
    <row r="8194" hidden="1"/>
    <row r="8195" hidden="1"/>
    <row r="8196" hidden="1"/>
    <row r="8197" hidden="1"/>
    <row r="8198" hidden="1"/>
    <row r="8199" hidden="1"/>
    <row r="8200" hidden="1"/>
    <row r="8201" hidden="1"/>
    <row r="8202" hidden="1"/>
    <row r="8203" hidden="1"/>
    <row r="8204" hidden="1"/>
    <row r="8205" hidden="1"/>
    <row r="8206" hidden="1"/>
    <row r="8207" hidden="1"/>
    <row r="8208" hidden="1"/>
    <row r="8209" hidden="1"/>
    <row r="8210" hidden="1"/>
    <row r="8211" hidden="1"/>
    <row r="8212" hidden="1"/>
    <row r="8213" hidden="1"/>
    <row r="8214" hidden="1"/>
    <row r="8215" hidden="1"/>
    <row r="8216" hidden="1"/>
    <row r="8217" hidden="1"/>
    <row r="8218" hidden="1"/>
    <row r="8219" hidden="1"/>
    <row r="8220" hidden="1"/>
    <row r="8221" hidden="1"/>
    <row r="8222" hidden="1"/>
    <row r="8223" hidden="1"/>
    <row r="8224" hidden="1"/>
    <row r="8225" hidden="1"/>
    <row r="8226" hidden="1"/>
    <row r="8227" hidden="1"/>
    <row r="8228" hidden="1"/>
    <row r="8229" hidden="1"/>
    <row r="8230" hidden="1"/>
    <row r="8231" hidden="1"/>
    <row r="8232" hidden="1"/>
    <row r="8233" hidden="1"/>
    <row r="8234" hidden="1"/>
    <row r="8235" hidden="1"/>
    <row r="8236" hidden="1"/>
    <row r="8237" hidden="1"/>
    <row r="8238" hidden="1"/>
    <row r="8239" hidden="1"/>
    <row r="8240" hidden="1"/>
    <row r="8241" hidden="1"/>
    <row r="8242" hidden="1"/>
    <row r="8243" hidden="1"/>
    <row r="8244" hidden="1"/>
    <row r="8245" hidden="1"/>
    <row r="8246" hidden="1"/>
    <row r="8247" hidden="1"/>
    <row r="8248" hidden="1"/>
    <row r="8249" hidden="1"/>
    <row r="8250" hidden="1"/>
    <row r="8251" hidden="1"/>
    <row r="8252" hidden="1"/>
    <row r="8253" hidden="1"/>
    <row r="8254" hidden="1"/>
    <row r="8255" hidden="1"/>
    <row r="8256" hidden="1"/>
    <row r="8257" hidden="1"/>
    <row r="8258" hidden="1"/>
    <row r="8259" hidden="1"/>
    <row r="8260" hidden="1"/>
    <row r="8261" hidden="1"/>
    <row r="8262" hidden="1"/>
    <row r="8263" hidden="1"/>
    <row r="8264" hidden="1"/>
    <row r="8265" hidden="1"/>
    <row r="8266" hidden="1"/>
    <row r="8267" hidden="1"/>
    <row r="8268" hidden="1"/>
    <row r="8269" hidden="1"/>
    <row r="8270" hidden="1"/>
    <row r="8271" hidden="1"/>
    <row r="8272" hidden="1"/>
    <row r="8273" hidden="1"/>
    <row r="8274" hidden="1"/>
    <row r="8275" hidden="1"/>
    <row r="8276" hidden="1"/>
    <row r="8277" hidden="1"/>
    <row r="8278" hidden="1"/>
    <row r="8279" hidden="1"/>
    <row r="8280" hidden="1"/>
    <row r="8281" hidden="1"/>
    <row r="8282" hidden="1"/>
    <row r="8283" hidden="1"/>
    <row r="8284" hidden="1"/>
    <row r="8285" hidden="1"/>
    <row r="8286" hidden="1"/>
    <row r="8287" hidden="1"/>
    <row r="8288" hidden="1"/>
    <row r="8289" hidden="1"/>
    <row r="8290" hidden="1"/>
    <row r="8291" hidden="1"/>
    <row r="8292" hidden="1"/>
    <row r="8293" hidden="1"/>
    <row r="8294" hidden="1"/>
    <row r="8295" hidden="1"/>
    <row r="8296" hidden="1"/>
    <row r="8297" hidden="1"/>
    <row r="8298" hidden="1"/>
    <row r="8299" hidden="1"/>
    <row r="8300" hidden="1"/>
    <row r="8301" hidden="1"/>
    <row r="8302" hidden="1"/>
    <row r="8303" hidden="1"/>
    <row r="8304" hidden="1"/>
    <row r="8305" hidden="1"/>
    <row r="8306" hidden="1"/>
    <row r="8307" hidden="1"/>
    <row r="8308" hidden="1"/>
    <row r="8309" hidden="1"/>
    <row r="8310" hidden="1"/>
    <row r="8311" hidden="1"/>
    <row r="8312" hidden="1"/>
    <row r="8313" hidden="1"/>
    <row r="8314" hidden="1"/>
    <row r="8315" hidden="1"/>
    <row r="8316" hidden="1"/>
    <row r="8317" hidden="1"/>
    <row r="8318" hidden="1"/>
    <row r="8319" hidden="1"/>
    <row r="8320" hidden="1"/>
    <row r="8321" hidden="1"/>
    <row r="8322" hidden="1"/>
    <row r="8323" hidden="1"/>
    <row r="8324" hidden="1"/>
    <row r="8325" hidden="1"/>
    <row r="8326" hidden="1"/>
    <row r="8327" hidden="1"/>
    <row r="8328" hidden="1"/>
    <row r="8329" hidden="1"/>
    <row r="8330" hidden="1"/>
    <row r="8331" hidden="1"/>
    <row r="8332" hidden="1"/>
    <row r="8333" hidden="1"/>
    <row r="8334" hidden="1"/>
    <row r="8335" hidden="1"/>
    <row r="8336" hidden="1"/>
    <row r="8337" hidden="1"/>
    <row r="8338" hidden="1"/>
    <row r="8339" hidden="1"/>
    <row r="8340" hidden="1"/>
    <row r="8341" hidden="1"/>
    <row r="8342" hidden="1"/>
    <row r="8343" hidden="1"/>
    <row r="8344" hidden="1"/>
    <row r="8345" hidden="1"/>
    <row r="8346" hidden="1"/>
    <row r="8347" hidden="1"/>
    <row r="8348" hidden="1"/>
    <row r="8349" hidden="1"/>
    <row r="8350" hidden="1"/>
    <row r="8351" hidden="1"/>
    <row r="8352" hidden="1"/>
    <row r="8353" hidden="1"/>
    <row r="8354" hidden="1"/>
    <row r="8355" hidden="1"/>
    <row r="8356" hidden="1"/>
    <row r="8357" hidden="1"/>
    <row r="8358" hidden="1"/>
    <row r="8359" hidden="1"/>
    <row r="8360" hidden="1"/>
    <row r="8361" hidden="1"/>
    <row r="8362" hidden="1"/>
    <row r="8363" hidden="1"/>
    <row r="8364" hidden="1"/>
    <row r="8365" hidden="1"/>
    <row r="8366" hidden="1"/>
    <row r="8367" hidden="1"/>
    <row r="8368" hidden="1"/>
    <row r="8369" hidden="1"/>
    <row r="8370" hidden="1"/>
    <row r="8371" hidden="1"/>
    <row r="8372" hidden="1"/>
    <row r="8373" hidden="1"/>
    <row r="8374" hidden="1"/>
    <row r="8375" hidden="1"/>
    <row r="8376" hidden="1"/>
    <row r="8377" hidden="1"/>
    <row r="8378" hidden="1"/>
    <row r="8379" hidden="1"/>
    <row r="8380" hidden="1"/>
    <row r="8381" hidden="1"/>
    <row r="8382" hidden="1"/>
    <row r="8383" hidden="1"/>
    <row r="8384" hidden="1"/>
    <row r="8385" hidden="1"/>
    <row r="8386" hidden="1"/>
    <row r="8387" hidden="1"/>
    <row r="8388" hidden="1"/>
    <row r="8389" hidden="1"/>
    <row r="8390" hidden="1"/>
    <row r="8391" hidden="1"/>
    <row r="8392" hidden="1"/>
    <row r="8393" hidden="1"/>
    <row r="8394" hidden="1"/>
    <row r="8395" hidden="1"/>
    <row r="8396" hidden="1"/>
    <row r="8397" hidden="1"/>
    <row r="8398" hidden="1"/>
    <row r="8399" hidden="1"/>
    <row r="8400" hidden="1"/>
    <row r="8401" hidden="1"/>
    <row r="8402" hidden="1"/>
    <row r="8403" hidden="1"/>
    <row r="8404" hidden="1"/>
    <row r="8405" hidden="1"/>
    <row r="8406" hidden="1"/>
    <row r="8407" hidden="1"/>
    <row r="8408" hidden="1"/>
    <row r="8409" hidden="1"/>
    <row r="8410" hidden="1"/>
    <row r="8411" hidden="1"/>
    <row r="8412" hidden="1"/>
    <row r="8413" hidden="1"/>
    <row r="8414" hidden="1"/>
    <row r="8415" hidden="1"/>
    <row r="8416" hidden="1"/>
    <row r="8417" hidden="1"/>
    <row r="8418" hidden="1"/>
    <row r="8419" hidden="1"/>
    <row r="8420" hidden="1"/>
    <row r="8421" hidden="1"/>
    <row r="8422" hidden="1"/>
    <row r="8423" hidden="1"/>
    <row r="8424" hidden="1"/>
    <row r="8425" hidden="1"/>
    <row r="8426" hidden="1"/>
    <row r="8427" hidden="1"/>
    <row r="8428" hidden="1"/>
    <row r="8429" hidden="1"/>
    <row r="8430" hidden="1"/>
    <row r="8431" hidden="1"/>
    <row r="8432" hidden="1"/>
    <row r="8433" hidden="1"/>
    <row r="8434" hidden="1"/>
    <row r="8435" hidden="1"/>
    <row r="8436" hidden="1"/>
    <row r="8437" hidden="1"/>
    <row r="8438" hidden="1"/>
    <row r="8439" hidden="1"/>
    <row r="8440" hidden="1"/>
    <row r="8441" hidden="1"/>
    <row r="8442" hidden="1"/>
    <row r="8443" hidden="1"/>
    <row r="8444" hidden="1"/>
    <row r="8445" hidden="1"/>
    <row r="8446" hidden="1"/>
    <row r="8447" hidden="1"/>
    <row r="8448" hidden="1"/>
    <row r="8449" hidden="1"/>
    <row r="8450" hidden="1"/>
    <row r="8451" hidden="1"/>
    <row r="8452" hidden="1"/>
    <row r="8453" hidden="1"/>
    <row r="8454" hidden="1"/>
    <row r="8455" hidden="1"/>
    <row r="8456" hidden="1"/>
    <row r="8457" hidden="1"/>
    <row r="8458" hidden="1"/>
    <row r="8459" hidden="1"/>
    <row r="8460" hidden="1"/>
    <row r="8461" hidden="1"/>
    <row r="8462" hidden="1"/>
    <row r="8463" hidden="1"/>
    <row r="8464" hidden="1"/>
    <row r="8465" hidden="1"/>
    <row r="8466" hidden="1"/>
    <row r="8467" hidden="1"/>
    <row r="8468" hidden="1"/>
    <row r="8469" hidden="1"/>
    <row r="8470" hidden="1"/>
    <row r="8471" hidden="1"/>
    <row r="8472" hidden="1"/>
    <row r="8473" hidden="1"/>
    <row r="8474" hidden="1"/>
    <row r="8475" hidden="1"/>
    <row r="8476" hidden="1"/>
    <row r="8477" hidden="1"/>
    <row r="8478" hidden="1"/>
    <row r="8479" hidden="1"/>
    <row r="8480" hidden="1"/>
    <row r="8481" hidden="1"/>
    <row r="8482" hidden="1"/>
    <row r="8483" hidden="1"/>
    <row r="8484" hidden="1"/>
    <row r="8485" hidden="1"/>
    <row r="8486" hidden="1"/>
    <row r="8487" hidden="1"/>
    <row r="8488" hidden="1"/>
    <row r="8489" hidden="1"/>
    <row r="8490" hidden="1"/>
    <row r="8491" hidden="1"/>
    <row r="8492" hidden="1"/>
    <row r="8493" hidden="1"/>
    <row r="8494" hidden="1"/>
    <row r="8495" hidden="1"/>
    <row r="8496" hidden="1"/>
    <row r="8497" hidden="1"/>
    <row r="8498" hidden="1"/>
    <row r="8499" hidden="1"/>
    <row r="8500" hidden="1"/>
    <row r="8501" hidden="1"/>
    <row r="8502" hidden="1"/>
    <row r="8503" hidden="1"/>
    <row r="8504" hidden="1"/>
    <row r="8505" hidden="1"/>
    <row r="8506" hidden="1"/>
    <row r="8507" hidden="1"/>
    <row r="8508" hidden="1"/>
    <row r="8509" hidden="1"/>
    <row r="8510" hidden="1"/>
    <row r="8511" hidden="1"/>
    <row r="8512" hidden="1"/>
    <row r="8513" hidden="1"/>
    <row r="8514" hidden="1"/>
    <row r="8515" hidden="1"/>
    <row r="8516" hidden="1"/>
    <row r="8517" hidden="1"/>
    <row r="8518" hidden="1"/>
    <row r="8519" hidden="1"/>
    <row r="8520" hidden="1"/>
    <row r="8521" hidden="1"/>
    <row r="8522" hidden="1"/>
    <row r="8523" hidden="1"/>
    <row r="8524" hidden="1"/>
    <row r="8525" hidden="1"/>
    <row r="8526" hidden="1"/>
    <row r="8527" hidden="1"/>
    <row r="8528" hidden="1"/>
    <row r="8529" hidden="1"/>
    <row r="8530" hidden="1"/>
    <row r="8531" hidden="1"/>
    <row r="8532" hidden="1"/>
    <row r="8533" hidden="1"/>
    <row r="8534" hidden="1"/>
    <row r="8535" hidden="1"/>
    <row r="8536" hidden="1"/>
    <row r="8537" hidden="1"/>
    <row r="8538" hidden="1"/>
    <row r="8539" hidden="1"/>
    <row r="8540" hidden="1"/>
    <row r="8541" hidden="1"/>
    <row r="8542" hidden="1"/>
    <row r="8543" hidden="1"/>
    <row r="8544" hidden="1"/>
    <row r="8545" hidden="1"/>
    <row r="8546" hidden="1"/>
    <row r="8547" hidden="1"/>
    <row r="8548" hidden="1"/>
    <row r="8549" hidden="1"/>
    <row r="8550" hidden="1"/>
    <row r="8551" hidden="1"/>
    <row r="8552" hidden="1"/>
    <row r="8553" hidden="1"/>
    <row r="8554" hidden="1"/>
    <row r="8555" hidden="1"/>
    <row r="8556" hidden="1"/>
    <row r="8557" hidden="1"/>
    <row r="8558" hidden="1"/>
    <row r="8559" hidden="1"/>
    <row r="8560" hidden="1"/>
    <row r="8561" hidden="1"/>
    <row r="8562" hidden="1"/>
    <row r="8563" hidden="1"/>
    <row r="8564" hidden="1"/>
    <row r="8565" hidden="1"/>
    <row r="8566" hidden="1"/>
    <row r="8567" hidden="1"/>
    <row r="8568" hidden="1"/>
    <row r="8569" hidden="1"/>
    <row r="8570" hidden="1"/>
    <row r="8571" hidden="1"/>
    <row r="8572" hidden="1"/>
    <row r="8573" hidden="1"/>
    <row r="8574" hidden="1"/>
    <row r="8575" hidden="1"/>
    <row r="8576" hidden="1"/>
    <row r="8577" hidden="1"/>
    <row r="8578" hidden="1"/>
    <row r="8579" hidden="1"/>
    <row r="8580" hidden="1"/>
    <row r="8581" hidden="1"/>
    <row r="8582" hidden="1"/>
    <row r="8583" hidden="1"/>
    <row r="8584" hidden="1"/>
    <row r="8585" hidden="1"/>
    <row r="8586" hidden="1"/>
    <row r="8587" hidden="1"/>
    <row r="8588" hidden="1"/>
    <row r="8589" hidden="1"/>
    <row r="8590" hidden="1"/>
    <row r="8591" hidden="1"/>
    <row r="8592" hidden="1"/>
    <row r="8593" hidden="1"/>
    <row r="8594" hidden="1"/>
    <row r="8595" hidden="1"/>
    <row r="8596" hidden="1"/>
    <row r="8597" hidden="1"/>
    <row r="8598" hidden="1"/>
    <row r="8599" hidden="1"/>
    <row r="8600" hidden="1"/>
    <row r="8601" hidden="1"/>
    <row r="8602" hidden="1"/>
    <row r="8603" hidden="1"/>
    <row r="8604" hidden="1"/>
    <row r="8605" hidden="1"/>
    <row r="8606" hidden="1"/>
    <row r="8607" hidden="1"/>
    <row r="8608" hidden="1"/>
    <row r="8609" hidden="1"/>
    <row r="8610" hidden="1"/>
    <row r="8611" hidden="1"/>
    <row r="8612" hidden="1"/>
    <row r="8613" hidden="1"/>
    <row r="8614" hidden="1"/>
    <row r="8615" hidden="1"/>
    <row r="8616" hidden="1"/>
    <row r="8617" hidden="1"/>
    <row r="8618" hidden="1"/>
    <row r="8619" hidden="1"/>
    <row r="8620" hidden="1"/>
    <row r="8621" hidden="1"/>
    <row r="8622" hidden="1"/>
    <row r="8623" hidden="1"/>
    <row r="8624" hidden="1"/>
    <row r="8625" hidden="1"/>
    <row r="8626" hidden="1"/>
    <row r="8627" hidden="1"/>
    <row r="8628" hidden="1"/>
    <row r="8629" hidden="1"/>
    <row r="8630" hidden="1"/>
    <row r="8631" hidden="1"/>
    <row r="8632" hidden="1"/>
    <row r="8633" hidden="1"/>
    <row r="8634" hidden="1"/>
    <row r="8635" hidden="1"/>
    <row r="8636" hidden="1"/>
    <row r="8637" hidden="1"/>
    <row r="8638" hidden="1"/>
    <row r="8639" hidden="1"/>
    <row r="8640" hidden="1"/>
    <row r="8641" hidden="1"/>
    <row r="8642" hidden="1"/>
    <row r="8643" hidden="1"/>
    <row r="8644" hidden="1"/>
    <row r="8645" hidden="1"/>
    <row r="8646" hidden="1"/>
    <row r="8647" hidden="1"/>
    <row r="8648" hidden="1"/>
    <row r="8649" hidden="1"/>
    <row r="8650" hidden="1"/>
    <row r="8651" hidden="1"/>
    <row r="8652" hidden="1"/>
    <row r="8653" hidden="1"/>
    <row r="8654" hidden="1"/>
    <row r="8655" hidden="1"/>
    <row r="8656" hidden="1"/>
    <row r="8657" hidden="1"/>
    <row r="8658" hidden="1"/>
    <row r="8659" hidden="1"/>
    <row r="8660" hidden="1"/>
    <row r="8661" hidden="1"/>
    <row r="8662" hidden="1"/>
    <row r="8663" hidden="1"/>
    <row r="8664" hidden="1"/>
    <row r="8665" hidden="1"/>
    <row r="8666" hidden="1"/>
    <row r="8667" hidden="1"/>
    <row r="8668" hidden="1"/>
    <row r="8669" hidden="1"/>
    <row r="8670" hidden="1"/>
    <row r="8671" hidden="1"/>
    <row r="8672" hidden="1"/>
    <row r="8673" hidden="1"/>
    <row r="8674" hidden="1"/>
    <row r="8675" hidden="1"/>
    <row r="8676" hidden="1"/>
    <row r="8677" hidden="1"/>
    <row r="8678" hidden="1"/>
    <row r="8679" hidden="1"/>
    <row r="8680" hidden="1"/>
    <row r="8681" hidden="1"/>
    <row r="8682" hidden="1"/>
    <row r="8683" hidden="1"/>
    <row r="8684" hidden="1"/>
    <row r="8685" hidden="1"/>
    <row r="8686" hidden="1"/>
    <row r="8687" hidden="1"/>
    <row r="8688" hidden="1"/>
    <row r="8689" hidden="1"/>
    <row r="8690" hidden="1"/>
    <row r="8691" hidden="1"/>
    <row r="8692" hidden="1"/>
    <row r="8693" hidden="1"/>
    <row r="8694" hidden="1"/>
    <row r="8695" hidden="1"/>
    <row r="8696" hidden="1"/>
    <row r="8697" hidden="1"/>
    <row r="8698" hidden="1"/>
    <row r="8699" hidden="1"/>
    <row r="8700" hidden="1"/>
    <row r="8701" hidden="1"/>
    <row r="8702" hidden="1"/>
    <row r="8703" hidden="1"/>
    <row r="8704" hidden="1"/>
    <row r="8705" hidden="1"/>
    <row r="8706" hidden="1"/>
    <row r="8707" hidden="1"/>
    <row r="8708" hidden="1"/>
    <row r="8709" hidden="1"/>
    <row r="8710" hidden="1"/>
    <row r="8711" hidden="1"/>
    <row r="8712" hidden="1"/>
    <row r="8713" hidden="1"/>
    <row r="8714" hidden="1"/>
    <row r="8715" hidden="1"/>
    <row r="8716" hidden="1"/>
    <row r="8717" hidden="1"/>
    <row r="8718" hidden="1"/>
    <row r="8719" hidden="1"/>
    <row r="8720" hidden="1"/>
    <row r="8721" hidden="1"/>
    <row r="8722" hidden="1"/>
    <row r="8723" hidden="1"/>
    <row r="8724" hidden="1"/>
    <row r="8725" hidden="1"/>
    <row r="8726" hidden="1"/>
    <row r="8727" hidden="1"/>
    <row r="8728" hidden="1"/>
    <row r="8729" hidden="1"/>
    <row r="8730" hidden="1"/>
    <row r="8731" hidden="1"/>
    <row r="8732" hidden="1"/>
    <row r="8733" hidden="1"/>
    <row r="8734" hidden="1"/>
    <row r="8735" hidden="1"/>
    <row r="8736" hidden="1"/>
    <row r="8737" hidden="1"/>
    <row r="8738" hidden="1"/>
    <row r="8739" hidden="1"/>
    <row r="8740" hidden="1"/>
    <row r="8741" hidden="1"/>
    <row r="8742" hidden="1"/>
    <row r="8743" hidden="1"/>
    <row r="8744" hidden="1"/>
    <row r="8745" hidden="1"/>
    <row r="8746" hidden="1"/>
    <row r="8747" hidden="1"/>
    <row r="8748" hidden="1"/>
    <row r="8749" hidden="1"/>
    <row r="8750" hidden="1"/>
    <row r="8751" hidden="1"/>
    <row r="8752" hidden="1"/>
    <row r="8753" hidden="1"/>
    <row r="8754" hidden="1"/>
    <row r="8755" hidden="1"/>
    <row r="8756" hidden="1"/>
    <row r="8757" hidden="1"/>
    <row r="8758" hidden="1"/>
    <row r="8759" hidden="1"/>
    <row r="8760" hidden="1"/>
    <row r="8761" hidden="1"/>
    <row r="8762" hidden="1"/>
    <row r="8763" hidden="1"/>
    <row r="8764" hidden="1"/>
    <row r="8765" hidden="1"/>
    <row r="8766" hidden="1"/>
    <row r="8767" hidden="1"/>
    <row r="8768" hidden="1"/>
    <row r="8769" hidden="1"/>
    <row r="8770" hidden="1"/>
    <row r="8771" hidden="1"/>
    <row r="8772" hidden="1"/>
    <row r="8773" hidden="1"/>
    <row r="8774" hidden="1"/>
    <row r="8775" hidden="1"/>
    <row r="8776" hidden="1"/>
    <row r="8777" hidden="1"/>
    <row r="8778" hidden="1"/>
    <row r="8779" hidden="1"/>
    <row r="8780" hidden="1"/>
    <row r="8781" hidden="1"/>
    <row r="8782" hidden="1"/>
    <row r="8783" hidden="1"/>
    <row r="8784" hidden="1"/>
    <row r="8785" hidden="1"/>
    <row r="8786" hidden="1"/>
    <row r="8787" hidden="1"/>
    <row r="8788" hidden="1"/>
    <row r="8789" hidden="1"/>
    <row r="8790" hidden="1"/>
    <row r="8791" hidden="1"/>
    <row r="8792" hidden="1"/>
    <row r="8793" hidden="1"/>
    <row r="8794" hidden="1"/>
    <row r="8795" hidden="1"/>
    <row r="8796" hidden="1"/>
    <row r="8797" hidden="1"/>
    <row r="8798" hidden="1"/>
    <row r="8799" hidden="1"/>
    <row r="8800" hidden="1"/>
    <row r="8801" hidden="1"/>
    <row r="8802" hidden="1"/>
    <row r="8803" hidden="1"/>
    <row r="8804" hidden="1"/>
    <row r="8805" hidden="1"/>
    <row r="8806" hidden="1"/>
    <row r="8807" hidden="1"/>
    <row r="8808" hidden="1"/>
    <row r="8809" hidden="1"/>
    <row r="8810" hidden="1"/>
    <row r="8811" hidden="1"/>
    <row r="8812" hidden="1"/>
    <row r="8813" hidden="1"/>
    <row r="8814" hidden="1"/>
    <row r="8815" hidden="1"/>
    <row r="8816" hidden="1"/>
    <row r="8817" hidden="1"/>
    <row r="8818" hidden="1"/>
    <row r="8819" hidden="1"/>
    <row r="8820" hidden="1"/>
    <row r="8821" hidden="1"/>
    <row r="8822" hidden="1"/>
    <row r="8823" hidden="1"/>
    <row r="8824" hidden="1"/>
    <row r="8825" hidden="1"/>
    <row r="8826" hidden="1"/>
    <row r="8827" hidden="1"/>
    <row r="8828" hidden="1"/>
    <row r="8829" hidden="1"/>
    <row r="8830" hidden="1"/>
    <row r="8831" hidden="1"/>
    <row r="8832" hidden="1"/>
    <row r="8833" hidden="1"/>
    <row r="8834" hidden="1"/>
    <row r="8835" hidden="1"/>
    <row r="8836" hidden="1"/>
    <row r="8837" hidden="1"/>
    <row r="8838" hidden="1"/>
    <row r="8839" hidden="1"/>
    <row r="8840" hidden="1"/>
    <row r="8841" hidden="1"/>
    <row r="8842" hidden="1"/>
    <row r="8843" hidden="1"/>
    <row r="8844" hidden="1"/>
    <row r="8845" hidden="1"/>
    <row r="8846" hidden="1"/>
    <row r="8847" hidden="1"/>
    <row r="8848" hidden="1"/>
    <row r="8849" hidden="1"/>
    <row r="8850" hidden="1"/>
    <row r="8851" hidden="1"/>
    <row r="8852" hidden="1"/>
    <row r="8853" hidden="1"/>
    <row r="8854" hidden="1"/>
    <row r="8855" hidden="1"/>
    <row r="8856" hidden="1"/>
    <row r="8857" hidden="1"/>
    <row r="8858" hidden="1"/>
    <row r="8859" hidden="1"/>
    <row r="8860" hidden="1"/>
    <row r="8861" hidden="1"/>
    <row r="8862" hidden="1"/>
    <row r="8863" hidden="1"/>
    <row r="8864" hidden="1"/>
    <row r="8865" hidden="1"/>
    <row r="8866" hidden="1"/>
    <row r="8867" hidden="1"/>
    <row r="8868" hidden="1"/>
    <row r="8869" hidden="1"/>
    <row r="8870" hidden="1"/>
    <row r="8871" hidden="1"/>
    <row r="8872" hidden="1"/>
    <row r="8873" hidden="1"/>
    <row r="8874" hidden="1"/>
    <row r="8875" hidden="1"/>
    <row r="8876" hidden="1"/>
    <row r="8877" hidden="1"/>
    <row r="8878" hidden="1"/>
    <row r="8879" hidden="1"/>
    <row r="8880" hidden="1"/>
    <row r="8881" hidden="1"/>
    <row r="8882" hidden="1"/>
    <row r="8883" hidden="1"/>
    <row r="8884" hidden="1"/>
    <row r="8885" hidden="1"/>
    <row r="8886" hidden="1"/>
    <row r="8887" hidden="1"/>
    <row r="8888" hidden="1"/>
    <row r="8889" hidden="1"/>
    <row r="8890" hidden="1"/>
    <row r="8891" hidden="1"/>
    <row r="8892" hidden="1"/>
    <row r="8893" hidden="1"/>
    <row r="8894" hidden="1"/>
    <row r="8895" hidden="1"/>
    <row r="8896" hidden="1"/>
    <row r="8897" hidden="1"/>
    <row r="8898" hidden="1"/>
    <row r="8899" hidden="1"/>
    <row r="8900" hidden="1"/>
    <row r="8901" hidden="1"/>
    <row r="8902" hidden="1"/>
    <row r="8903" hidden="1"/>
    <row r="8904" hidden="1"/>
    <row r="8905" hidden="1"/>
    <row r="8906" hidden="1"/>
    <row r="8907" hidden="1"/>
    <row r="8908" hidden="1"/>
    <row r="8909" hidden="1"/>
    <row r="8910" hidden="1"/>
    <row r="8911" hidden="1"/>
    <row r="8912" hidden="1"/>
    <row r="8913" hidden="1"/>
    <row r="8914" hidden="1"/>
    <row r="8915" hidden="1"/>
    <row r="8916" hidden="1"/>
    <row r="8917" hidden="1"/>
    <row r="8918" hidden="1"/>
    <row r="8919" hidden="1"/>
    <row r="8920" hidden="1"/>
    <row r="8921" hidden="1"/>
    <row r="8922" hidden="1"/>
    <row r="8923" hidden="1"/>
    <row r="8924" hidden="1"/>
    <row r="8925" hidden="1"/>
    <row r="8926" hidden="1"/>
    <row r="8927" hidden="1"/>
    <row r="8928" hidden="1"/>
    <row r="8929" hidden="1"/>
    <row r="8930" hidden="1"/>
    <row r="8931" hidden="1"/>
    <row r="8932" hidden="1"/>
    <row r="8933" hidden="1"/>
    <row r="8934" hidden="1"/>
    <row r="8935" hidden="1"/>
    <row r="8936" hidden="1"/>
    <row r="8937" hidden="1"/>
    <row r="8938" hidden="1"/>
    <row r="8939" hidden="1"/>
    <row r="8940" hidden="1"/>
    <row r="8941" hidden="1"/>
    <row r="8942" hidden="1"/>
    <row r="8943" hidden="1"/>
    <row r="8944" hidden="1"/>
    <row r="8945" hidden="1"/>
    <row r="8946" hidden="1"/>
    <row r="8947" hidden="1"/>
    <row r="8948" hidden="1"/>
    <row r="8949" hidden="1"/>
    <row r="8950" hidden="1"/>
    <row r="8951" hidden="1"/>
    <row r="8952" hidden="1"/>
    <row r="8953" hidden="1"/>
    <row r="8954" hidden="1"/>
    <row r="8955" hidden="1"/>
    <row r="8956" hidden="1"/>
    <row r="8957" hidden="1"/>
    <row r="8958" hidden="1"/>
    <row r="8959" hidden="1"/>
    <row r="8960" hidden="1"/>
    <row r="8961" hidden="1"/>
    <row r="8962" hidden="1"/>
    <row r="8963" hidden="1"/>
    <row r="8964" hidden="1"/>
    <row r="8965" hidden="1"/>
    <row r="8966" hidden="1"/>
    <row r="8967" hidden="1"/>
    <row r="8968" hidden="1"/>
    <row r="8969" hidden="1"/>
    <row r="8970" hidden="1"/>
    <row r="8971" hidden="1"/>
    <row r="8972" hidden="1"/>
    <row r="8973" hidden="1"/>
    <row r="8974" hidden="1"/>
    <row r="8975" hidden="1"/>
    <row r="8976" hidden="1"/>
    <row r="8977" hidden="1"/>
    <row r="8978" hidden="1"/>
    <row r="8979" hidden="1"/>
    <row r="8980" hidden="1"/>
    <row r="8981" hidden="1"/>
    <row r="8982" hidden="1"/>
    <row r="8983" hidden="1"/>
    <row r="8984" hidden="1"/>
    <row r="8985" hidden="1"/>
    <row r="8986" hidden="1"/>
    <row r="8987" hidden="1"/>
    <row r="8988" hidden="1"/>
    <row r="8989" hidden="1"/>
    <row r="8990" hidden="1"/>
    <row r="8991" hidden="1"/>
    <row r="8992" hidden="1"/>
    <row r="8993" hidden="1"/>
    <row r="8994" hidden="1"/>
    <row r="8995" hidden="1"/>
    <row r="8996" hidden="1"/>
    <row r="8997" hidden="1"/>
    <row r="8998" hidden="1"/>
    <row r="8999" hidden="1"/>
    <row r="9000" hidden="1"/>
    <row r="9001" hidden="1"/>
    <row r="9002" hidden="1"/>
    <row r="9003" hidden="1"/>
    <row r="9004" hidden="1"/>
    <row r="9005" hidden="1"/>
    <row r="9006" hidden="1"/>
    <row r="9007" hidden="1"/>
    <row r="9008" hidden="1"/>
    <row r="9009" hidden="1"/>
    <row r="9010" hidden="1"/>
    <row r="9011" hidden="1"/>
    <row r="9012" hidden="1"/>
    <row r="9013" hidden="1"/>
    <row r="9014" hidden="1"/>
    <row r="9015" hidden="1"/>
    <row r="9016" hidden="1"/>
    <row r="9017" hidden="1"/>
    <row r="9018" hidden="1"/>
    <row r="9019" hidden="1"/>
    <row r="9020" hidden="1"/>
    <row r="9021" hidden="1"/>
    <row r="9022" hidden="1"/>
    <row r="9023" hidden="1"/>
    <row r="9024" hidden="1"/>
    <row r="9025" hidden="1"/>
    <row r="9026" hidden="1"/>
    <row r="9027" hidden="1"/>
    <row r="9028" hidden="1"/>
    <row r="9029" hidden="1"/>
    <row r="9030" hidden="1"/>
    <row r="9031" hidden="1"/>
    <row r="9032" hidden="1"/>
    <row r="9033" hidden="1"/>
    <row r="9034" hidden="1"/>
    <row r="9035" hidden="1"/>
    <row r="9036" hidden="1"/>
    <row r="9037" hidden="1"/>
    <row r="9038" hidden="1"/>
    <row r="9039" hidden="1"/>
    <row r="9040" hidden="1"/>
    <row r="9041" hidden="1"/>
    <row r="9042" hidden="1"/>
    <row r="9043" hidden="1"/>
    <row r="9044" hidden="1"/>
    <row r="9045" hidden="1"/>
    <row r="9046" hidden="1"/>
    <row r="9047" hidden="1"/>
    <row r="9048" hidden="1"/>
    <row r="9049" hidden="1"/>
    <row r="9050" hidden="1"/>
    <row r="9051" hidden="1"/>
    <row r="9052" hidden="1"/>
    <row r="9053" hidden="1"/>
    <row r="9054" hidden="1"/>
    <row r="9055" hidden="1"/>
    <row r="9056" hidden="1"/>
    <row r="9057" hidden="1"/>
    <row r="9058" hidden="1"/>
    <row r="9059" hidden="1"/>
    <row r="9060" hidden="1"/>
    <row r="9061" hidden="1"/>
    <row r="9062" hidden="1"/>
    <row r="9063" hidden="1"/>
    <row r="9064" hidden="1"/>
    <row r="9065" hidden="1"/>
    <row r="9066" hidden="1"/>
    <row r="9067" hidden="1"/>
    <row r="9068" hidden="1"/>
    <row r="9069" hidden="1"/>
    <row r="9070" hidden="1"/>
    <row r="9071" hidden="1"/>
    <row r="9072" hidden="1"/>
    <row r="9073" hidden="1"/>
    <row r="9074" hidden="1"/>
    <row r="9075" hidden="1"/>
    <row r="9076" hidden="1"/>
    <row r="9077" hidden="1"/>
    <row r="9078" hidden="1"/>
    <row r="9079" hidden="1"/>
    <row r="9080" hidden="1"/>
    <row r="9081" hidden="1"/>
    <row r="9082" hidden="1"/>
    <row r="9083" hidden="1"/>
    <row r="9084" hidden="1"/>
    <row r="9085" hidden="1"/>
    <row r="9086" hidden="1"/>
    <row r="9087" hidden="1"/>
    <row r="9088" hidden="1"/>
    <row r="9089" hidden="1"/>
    <row r="9090" hidden="1"/>
    <row r="9091" hidden="1"/>
    <row r="9092" hidden="1"/>
    <row r="9093" hidden="1"/>
    <row r="9094" hidden="1"/>
    <row r="9095" hidden="1"/>
    <row r="9096" hidden="1"/>
    <row r="9097" hidden="1"/>
    <row r="9098" hidden="1"/>
    <row r="9099" hidden="1"/>
    <row r="9100" hidden="1"/>
    <row r="9101" hidden="1"/>
    <row r="9102" hidden="1"/>
    <row r="9103" hidden="1"/>
    <row r="9104" hidden="1"/>
    <row r="9105" hidden="1"/>
    <row r="9106" hidden="1"/>
    <row r="9107" hidden="1"/>
    <row r="9108" hidden="1"/>
    <row r="9109" hidden="1"/>
    <row r="9110" hidden="1"/>
    <row r="9111" hidden="1"/>
    <row r="9112" hidden="1"/>
    <row r="9113" hidden="1"/>
    <row r="9114" hidden="1"/>
    <row r="9115" hidden="1"/>
    <row r="9116" hidden="1"/>
    <row r="9117" hidden="1"/>
    <row r="9118" hidden="1"/>
    <row r="9119" hidden="1"/>
    <row r="9120" hidden="1"/>
    <row r="9121" hidden="1"/>
    <row r="9122" hidden="1"/>
    <row r="9123" hidden="1"/>
    <row r="9124" hidden="1"/>
    <row r="9125" hidden="1"/>
    <row r="9126" hidden="1"/>
    <row r="9127" hidden="1"/>
    <row r="9128" hidden="1"/>
    <row r="9129" hidden="1"/>
    <row r="9130" hidden="1"/>
    <row r="9131" hidden="1"/>
    <row r="9132" hidden="1"/>
    <row r="9133" hidden="1"/>
    <row r="9134" hidden="1"/>
    <row r="9135" hidden="1"/>
    <row r="9136" hidden="1"/>
    <row r="9137" hidden="1"/>
    <row r="9138" hidden="1"/>
    <row r="9139" hidden="1"/>
    <row r="9140" hidden="1"/>
    <row r="9141" hidden="1"/>
    <row r="9142" hidden="1"/>
    <row r="9143" hidden="1"/>
    <row r="9144" hidden="1"/>
    <row r="9145" hidden="1"/>
    <row r="9146" hidden="1"/>
    <row r="9147" hidden="1"/>
    <row r="9148" hidden="1"/>
    <row r="9149" hidden="1"/>
    <row r="9150" hidden="1"/>
    <row r="9151" hidden="1"/>
    <row r="9152" hidden="1"/>
    <row r="9153" hidden="1"/>
    <row r="9154" hidden="1"/>
    <row r="9155" hidden="1"/>
    <row r="9156" hidden="1"/>
    <row r="9157" hidden="1"/>
    <row r="9158" hidden="1"/>
    <row r="9159" hidden="1"/>
    <row r="9160" hidden="1"/>
    <row r="9161" hidden="1"/>
    <row r="9162" hidden="1"/>
    <row r="9163" hidden="1"/>
    <row r="9164" hidden="1"/>
    <row r="9165" hidden="1"/>
    <row r="9166" hidden="1"/>
    <row r="9167" hidden="1"/>
    <row r="9168" hidden="1"/>
    <row r="9169" hidden="1"/>
    <row r="9170" hidden="1"/>
    <row r="9171" hidden="1"/>
    <row r="9172" hidden="1"/>
    <row r="9173" hidden="1"/>
    <row r="9174" hidden="1"/>
    <row r="9175" hidden="1"/>
    <row r="9176" hidden="1"/>
    <row r="9177" hidden="1"/>
    <row r="9178" hidden="1"/>
    <row r="9179" hidden="1"/>
    <row r="9180" hidden="1"/>
    <row r="9181" hidden="1"/>
    <row r="9182" hidden="1"/>
    <row r="9183" hidden="1"/>
    <row r="9184" hidden="1"/>
    <row r="9185" hidden="1"/>
    <row r="9186" hidden="1"/>
    <row r="9187" hidden="1"/>
    <row r="9188" hidden="1"/>
    <row r="9189" hidden="1"/>
    <row r="9190" hidden="1"/>
    <row r="9191" hidden="1"/>
    <row r="9192" hidden="1"/>
    <row r="9193" hidden="1"/>
    <row r="9194" hidden="1"/>
    <row r="9195" hidden="1"/>
    <row r="9196" hidden="1"/>
    <row r="9197" hidden="1"/>
    <row r="9198" hidden="1"/>
    <row r="9199" hidden="1"/>
    <row r="9200" hidden="1"/>
    <row r="9201" hidden="1"/>
    <row r="9202" hidden="1"/>
    <row r="9203" hidden="1"/>
    <row r="9204" hidden="1"/>
    <row r="9205" hidden="1"/>
    <row r="9206" hidden="1"/>
    <row r="9207" hidden="1"/>
    <row r="9208" hidden="1"/>
    <row r="9209" hidden="1"/>
    <row r="9210" hidden="1"/>
    <row r="9211" hidden="1"/>
    <row r="9212" hidden="1"/>
    <row r="9213" hidden="1"/>
    <row r="9214" hidden="1"/>
    <row r="9215" hidden="1"/>
    <row r="9216" hidden="1"/>
    <row r="9217" hidden="1"/>
    <row r="9218" hidden="1"/>
    <row r="9219" hidden="1"/>
    <row r="9220" hidden="1"/>
    <row r="9221" hidden="1"/>
    <row r="9222" hidden="1"/>
    <row r="9223" hidden="1"/>
    <row r="9224" hidden="1"/>
    <row r="9225" hidden="1"/>
    <row r="9226" hidden="1"/>
    <row r="9227" hidden="1"/>
    <row r="9228" hidden="1"/>
    <row r="9229" hidden="1"/>
    <row r="9230" hidden="1"/>
    <row r="9231" hidden="1"/>
    <row r="9232" hidden="1"/>
    <row r="9233" hidden="1"/>
    <row r="9234" hidden="1"/>
    <row r="9235" hidden="1"/>
    <row r="9236" hidden="1"/>
    <row r="9237" hidden="1"/>
    <row r="9238" hidden="1"/>
    <row r="9239" hidden="1"/>
    <row r="9240" hidden="1"/>
    <row r="9241" hidden="1"/>
    <row r="9242" hidden="1"/>
    <row r="9243" hidden="1"/>
    <row r="9244" hidden="1"/>
    <row r="9245" hidden="1"/>
    <row r="9246" hidden="1"/>
    <row r="9247" hidden="1"/>
    <row r="9248" hidden="1"/>
    <row r="9249" hidden="1"/>
    <row r="9250" hidden="1"/>
    <row r="9251" hidden="1"/>
    <row r="9252" hidden="1"/>
    <row r="9253" hidden="1"/>
    <row r="9254" hidden="1"/>
    <row r="9255" hidden="1"/>
    <row r="9256" hidden="1"/>
    <row r="9257" hidden="1"/>
    <row r="9258" hidden="1"/>
    <row r="9259" hidden="1"/>
    <row r="9260" hidden="1"/>
    <row r="9261" hidden="1"/>
    <row r="9262" hidden="1"/>
    <row r="9263" hidden="1"/>
    <row r="9264" hidden="1"/>
    <row r="9265" hidden="1"/>
    <row r="9266" hidden="1"/>
    <row r="9267" hidden="1"/>
    <row r="9268" hidden="1"/>
    <row r="9269" hidden="1"/>
    <row r="9270" hidden="1"/>
    <row r="9271" hidden="1"/>
    <row r="9272" hidden="1"/>
    <row r="9273" hidden="1"/>
    <row r="9274" hidden="1"/>
    <row r="9275" hidden="1"/>
    <row r="9276" hidden="1"/>
    <row r="9277" hidden="1"/>
    <row r="9278" hidden="1"/>
    <row r="9279" hidden="1"/>
    <row r="9280" hidden="1"/>
    <row r="9281" hidden="1"/>
    <row r="9282" hidden="1"/>
    <row r="9283" hidden="1"/>
    <row r="9284" hidden="1"/>
    <row r="9285" hidden="1"/>
    <row r="9286" hidden="1"/>
    <row r="9287" hidden="1"/>
    <row r="9288" hidden="1"/>
    <row r="9289" hidden="1"/>
    <row r="9290" hidden="1"/>
    <row r="9291" hidden="1"/>
    <row r="9292" hidden="1"/>
    <row r="9293" hidden="1"/>
    <row r="9294" hidden="1"/>
    <row r="9295" hidden="1"/>
    <row r="9296" hidden="1"/>
    <row r="9297" hidden="1"/>
    <row r="9298" hidden="1"/>
    <row r="9299" hidden="1"/>
    <row r="9300" hidden="1"/>
    <row r="9301" hidden="1"/>
    <row r="9302" hidden="1"/>
    <row r="9303" hidden="1"/>
    <row r="9304" hidden="1"/>
    <row r="9305" hidden="1"/>
    <row r="9306" hidden="1"/>
    <row r="9307" hidden="1"/>
    <row r="9308" hidden="1"/>
    <row r="9309" hidden="1"/>
    <row r="9310" hidden="1"/>
    <row r="9311" hidden="1"/>
    <row r="9312" hidden="1"/>
    <row r="9313" hidden="1"/>
    <row r="9314" hidden="1"/>
    <row r="9315" hidden="1"/>
    <row r="9316" hidden="1"/>
    <row r="9317" hidden="1"/>
    <row r="9318" hidden="1"/>
    <row r="9319" hidden="1"/>
    <row r="9320" hidden="1"/>
    <row r="9321" hidden="1"/>
    <row r="9322" hidden="1"/>
    <row r="9323" hidden="1"/>
    <row r="9324" hidden="1"/>
    <row r="9325" hidden="1"/>
    <row r="9326" hidden="1"/>
    <row r="9327" hidden="1"/>
    <row r="9328" hidden="1"/>
    <row r="9329" hidden="1"/>
    <row r="9330" hidden="1"/>
    <row r="9331" hidden="1"/>
    <row r="9332" hidden="1"/>
    <row r="9333" hidden="1"/>
    <row r="9334" hidden="1"/>
    <row r="9335" hidden="1"/>
    <row r="9336" hidden="1"/>
    <row r="9337" hidden="1"/>
    <row r="9338" hidden="1"/>
    <row r="9339" hidden="1"/>
    <row r="9340" hidden="1"/>
    <row r="9341" hidden="1"/>
    <row r="9342" hidden="1"/>
    <row r="9343" hidden="1"/>
    <row r="9344" hidden="1"/>
    <row r="9345" hidden="1"/>
    <row r="9346" hidden="1"/>
    <row r="9347" hidden="1"/>
    <row r="9348" hidden="1"/>
    <row r="9349" hidden="1"/>
    <row r="9350" hidden="1"/>
    <row r="9351" hidden="1"/>
    <row r="9352" hidden="1"/>
    <row r="9353" hidden="1"/>
    <row r="9354" hidden="1"/>
    <row r="9355" hidden="1"/>
    <row r="9356" hidden="1"/>
    <row r="9357" hidden="1"/>
    <row r="9358" hidden="1"/>
    <row r="9359" hidden="1"/>
    <row r="9360" hidden="1"/>
    <row r="9361" hidden="1"/>
    <row r="9362" hidden="1"/>
    <row r="9363" hidden="1"/>
    <row r="9364" hidden="1"/>
    <row r="9365" hidden="1"/>
    <row r="9366" hidden="1"/>
    <row r="9367" hidden="1"/>
    <row r="9368" hidden="1"/>
    <row r="9369" hidden="1"/>
    <row r="9370" hidden="1"/>
    <row r="9371" hidden="1"/>
    <row r="9372" hidden="1"/>
    <row r="9373" hidden="1"/>
    <row r="9374" hidden="1"/>
    <row r="9375" hidden="1"/>
    <row r="9376" hidden="1"/>
    <row r="9377" hidden="1"/>
    <row r="9378" hidden="1"/>
    <row r="9379" hidden="1"/>
    <row r="9380" hidden="1"/>
    <row r="9381" hidden="1"/>
    <row r="9382" hidden="1"/>
    <row r="9383" hidden="1"/>
    <row r="9384" hidden="1"/>
    <row r="9385" hidden="1"/>
    <row r="9386" hidden="1"/>
    <row r="9387" hidden="1"/>
    <row r="9388" hidden="1"/>
    <row r="9389" hidden="1"/>
    <row r="9390" hidden="1"/>
    <row r="9391" hidden="1"/>
    <row r="9392" hidden="1"/>
    <row r="9393" hidden="1"/>
    <row r="9394" hidden="1"/>
    <row r="9395" hidden="1"/>
    <row r="9396" hidden="1"/>
    <row r="9397" hidden="1"/>
    <row r="9398" hidden="1"/>
    <row r="9399" hidden="1"/>
    <row r="9400" hidden="1"/>
    <row r="9401" hidden="1"/>
    <row r="9402" hidden="1"/>
    <row r="9403" hidden="1"/>
    <row r="9404" hidden="1"/>
    <row r="9405" hidden="1"/>
    <row r="9406" hidden="1"/>
    <row r="9407" hidden="1"/>
    <row r="9408" hidden="1"/>
    <row r="9409" hidden="1"/>
    <row r="9410" hidden="1"/>
    <row r="9411" hidden="1"/>
    <row r="9412" hidden="1"/>
    <row r="9413" hidden="1"/>
    <row r="9414" hidden="1"/>
    <row r="9415" hidden="1"/>
    <row r="9416" hidden="1"/>
    <row r="9417" hidden="1"/>
    <row r="9418" hidden="1"/>
    <row r="9419" hidden="1"/>
    <row r="9420" hidden="1"/>
    <row r="9421" hidden="1"/>
    <row r="9422" hidden="1"/>
    <row r="9423" hidden="1"/>
    <row r="9424" hidden="1"/>
    <row r="9425" hidden="1"/>
    <row r="9426" hidden="1"/>
    <row r="9427" hidden="1"/>
    <row r="9428" hidden="1"/>
    <row r="9429" hidden="1"/>
    <row r="9430" hidden="1"/>
    <row r="9431" hidden="1"/>
    <row r="9432" hidden="1"/>
    <row r="9433" hidden="1"/>
    <row r="9434" hidden="1"/>
    <row r="9435" hidden="1"/>
    <row r="9436" hidden="1"/>
    <row r="9437" hidden="1"/>
    <row r="9438" hidden="1"/>
    <row r="9439" hidden="1"/>
    <row r="9440" hidden="1"/>
    <row r="9441" hidden="1"/>
    <row r="9442" hidden="1"/>
    <row r="9443" hidden="1"/>
    <row r="9444" hidden="1"/>
    <row r="9445" hidden="1"/>
    <row r="9446" hidden="1"/>
    <row r="9447" hidden="1"/>
    <row r="9448" hidden="1"/>
    <row r="9449" hidden="1"/>
    <row r="9450" hidden="1"/>
    <row r="9451" hidden="1"/>
    <row r="9452" hidden="1"/>
    <row r="9453" hidden="1"/>
    <row r="9454" hidden="1"/>
    <row r="9455" hidden="1"/>
    <row r="9456" hidden="1"/>
    <row r="9457" hidden="1"/>
    <row r="9458" hidden="1"/>
    <row r="9459" hidden="1"/>
    <row r="9460" hidden="1"/>
    <row r="9461" hidden="1"/>
    <row r="9462" hidden="1"/>
    <row r="9463" hidden="1"/>
    <row r="9464" hidden="1"/>
    <row r="9465" hidden="1"/>
    <row r="9466" hidden="1"/>
    <row r="9467" hidden="1"/>
    <row r="9468" hidden="1"/>
    <row r="9469" hidden="1"/>
    <row r="9470" hidden="1"/>
    <row r="9471" hidden="1"/>
    <row r="9472" hidden="1"/>
    <row r="9473" hidden="1"/>
    <row r="9474" hidden="1"/>
    <row r="9475" hidden="1"/>
    <row r="9476" hidden="1"/>
    <row r="9477" hidden="1"/>
    <row r="9478" hidden="1"/>
    <row r="9479" hidden="1"/>
    <row r="9480" hidden="1"/>
    <row r="9481" hidden="1"/>
    <row r="9482" hidden="1"/>
    <row r="9483" hidden="1"/>
    <row r="9484" hidden="1"/>
    <row r="9485" hidden="1"/>
    <row r="9486" hidden="1"/>
    <row r="9487" hidden="1"/>
    <row r="9488" hidden="1"/>
    <row r="9489" hidden="1"/>
    <row r="9490" hidden="1"/>
    <row r="9491" hidden="1"/>
    <row r="9492" hidden="1"/>
    <row r="9493" hidden="1"/>
    <row r="9494" hidden="1"/>
    <row r="9495" hidden="1"/>
    <row r="9496" hidden="1"/>
    <row r="9497" hidden="1"/>
    <row r="9498" hidden="1"/>
    <row r="9499" hidden="1"/>
    <row r="9500" hidden="1"/>
    <row r="9501" hidden="1"/>
    <row r="9502" hidden="1"/>
    <row r="9503" hidden="1"/>
    <row r="9504" hidden="1"/>
    <row r="9505" hidden="1"/>
    <row r="9506" hidden="1"/>
    <row r="9507" hidden="1"/>
    <row r="9508" hidden="1"/>
    <row r="9509" hidden="1"/>
    <row r="9510" hidden="1"/>
    <row r="9511" hidden="1"/>
    <row r="9512" hidden="1"/>
    <row r="9513" hidden="1"/>
    <row r="9514" hidden="1"/>
    <row r="9515" hidden="1"/>
    <row r="9516" hidden="1"/>
    <row r="9517" hidden="1"/>
    <row r="9518" hidden="1"/>
    <row r="9519" hidden="1"/>
    <row r="9520" hidden="1"/>
    <row r="9521" hidden="1"/>
    <row r="9522" hidden="1"/>
    <row r="9523" hidden="1"/>
    <row r="9524" hidden="1"/>
    <row r="9525" hidden="1"/>
    <row r="9526" hidden="1"/>
    <row r="9527" hidden="1"/>
    <row r="9528" hidden="1"/>
    <row r="9529" hidden="1"/>
    <row r="9530" hidden="1"/>
    <row r="9531" hidden="1"/>
    <row r="9532" hidden="1"/>
    <row r="9533" hidden="1"/>
    <row r="9534" hidden="1"/>
    <row r="9535" hidden="1"/>
    <row r="9536" hidden="1"/>
    <row r="9537" hidden="1"/>
    <row r="9538" hidden="1"/>
    <row r="9539" hidden="1"/>
    <row r="9540" hidden="1"/>
    <row r="9541" hidden="1"/>
    <row r="9542" hidden="1"/>
    <row r="9543" hidden="1"/>
    <row r="9544" hidden="1"/>
    <row r="9545" hidden="1"/>
    <row r="9546" hidden="1"/>
    <row r="9547" hidden="1"/>
    <row r="9548" hidden="1"/>
    <row r="9549" hidden="1"/>
    <row r="9550" hidden="1"/>
    <row r="9551" hidden="1"/>
    <row r="9552" hidden="1"/>
    <row r="9553" hidden="1"/>
    <row r="9554" hidden="1"/>
    <row r="9555" hidden="1"/>
    <row r="9556" hidden="1"/>
    <row r="9557" hidden="1"/>
    <row r="9558" hidden="1"/>
    <row r="9559" hidden="1"/>
    <row r="9560" hidden="1"/>
    <row r="9561" hidden="1"/>
    <row r="9562" hidden="1"/>
    <row r="9563" hidden="1"/>
    <row r="9564" hidden="1"/>
    <row r="9565" hidden="1"/>
    <row r="9566" hidden="1"/>
    <row r="9567" hidden="1"/>
    <row r="9568" hidden="1"/>
    <row r="9569" hidden="1"/>
    <row r="9570" hidden="1"/>
    <row r="9571" hidden="1"/>
    <row r="9572" hidden="1"/>
    <row r="9573" hidden="1"/>
    <row r="9574" hidden="1"/>
    <row r="9575" hidden="1"/>
    <row r="9576" hidden="1"/>
    <row r="9577" hidden="1"/>
    <row r="9578" hidden="1"/>
    <row r="9579" hidden="1"/>
    <row r="9580" hidden="1"/>
    <row r="9581" hidden="1"/>
    <row r="9582" hidden="1"/>
    <row r="9583" hidden="1"/>
    <row r="9584" hidden="1"/>
    <row r="9585" hidden="1"/>
    <row r="9586" hidden="1"/>
    <row r="9587" hidden="1"/>
    <row r="9588" hidden="1"/>
    <row r="9589" hidden="1"/>
    <row r="9590" hidden="1"/>
    <row r="9591" hidden="1"/>
    <row r="9592" hidden="1"/>
    <row r="9593" hidden="1"/>
    <row r="9594" hidden="1"/>
    <row r="9595" hidden="1"/>
    <row r="9596" hidden="1"/>
    <row r="9597" hidden="1"/>
    <row r="9598" hidden="1"/>
    <row r="9599" hidden="1"/>
    <row r="9600" hidden="1"/>
    <row r="9601" hidden="1"/>
    <row r="9602" hidden="1"/>
    <row r="9603" hidden="1"/>
    <row r="9604" hidden="1"/>
    <row r="9605" hidden="1"/>
    <row r="9606" hidden="1"/>
    <row r="9607" hidden="1"/>
    <row r="9608" hidden="1"/>
    <row r="9609" hidden="1"/>
    <row r="9610" hidden="1"/>
    <row r="9611" hidden="1"/>
    <row r="9612" hidden="1"/>
    <row r="9613" hidden="1"/>
    <row r="9614" hidden="1"/>
    <row r="9615" hidden="1"/>
    <row r="9616" hidden="1"/>
    <row r="9617" hidden="1"/>
    <row r="9618" hidden="1"/>
    <row r="9619" hidden="1"/>
    <row r="9620" hidden="1"/>
    <row r="9621" hidden="1"/>
    <row r="9622" hidden="1"/>
    <row r="9623" hidden="1"/>
    <row r="9624" hidden="1"/>
    <row r="9625" hidden="1"/>
    <row r="9626" hidden="1"/>
    <row r="9627" hidden="1"/>
    <row r="9628" hidden="1"/>
    <row r="9629" hidden="1"/>
    <row r="9630" hidden="1"/>
    <row r="9631" hidden="1"/>
    <row r="9632" hidden="1"/>
    <row r="9633" hidden="1"/>
    <row r="9634" hidden="1"/>
    <row r="9635" hidden="1"/>
    <row r="9636" hidden="1"/>
    <row r="9637" hidden="1"/>
    <row r="9638" hidden="1"/>
    <row r="9639" hidden="1"/>
    <row r="9640" hidden="1"/>
    <row r="9641" hidden="1"/>
    <row r="9642" hidden="1"/>
    <row r="9643" hidden="1"/>
    <row r="9644" hidden="1"/>
    <row r="9645" hidden="1"/>
    <row r="9646" hidden="1"/>
    <row r="9647" hidden="1"/>
    <row r="9648" hidden="1"/>
    <row r="9649" hidden="1"/>
    <row r="9650" hidden="1"/>
    <row r="9651" hidden="1"/>
    <row r="9652" hidden="1"/>
    <row r="9653" hidden="1"/>
    <row r="9654" hidden="1"/>
    <row r="9655" hidden="1"/>
    <row r="9656" hidden="1"/>
    <row r="9657" hidden="1"/>
    <row r="9658" hidden="1"/>
    <row r="9659" hidden="1"/>
    <row r="9660" hidden="1"/>
    <row r="9661" hidden="1"/>
    <row r="9662" hidden="1"/>
    <row r="9663" hidden="1"/>
    <row r="9664" hidden="1"/>
    <row r="9665" hidden="1"/>
    <row r="9666" hidden="1"/>
    <row r="9667" hidden="1"/>
    <row r="9668" hidden="1"/>
    <row r="9669" hidden="1"/>
    <row r="9670" hidden="1"/>
    <row r="9671" hidden="1"/>
    <row r="9672" hidden="1"/>
    <row r="9673" hidden="1"/>
    <row r="9674" hidden="1"/>
    <row r="9675" hidden="1"/>
    <row r="9676" hidden="1"/>
    <row r="9677" hidden="1"/>
    <row r="9678" hidden="1"/>
    <row r="9679" hidden="1"/>
    <row r="9680" hidden="1"/>
    <row r="9681" hidden="1"/>
    <row r="9682" hidden="1"/>
    <row r="9683" hidden="1"/>
    <row r="9684" hidden="1"/>
    <row r="9685" hidden="1"/>
    <row r="9686" hidden="1"/>
    <row r="9687" hidden="1"/>
    <row r="9688" hidden="1"/>
    <row r="9689" hidden="1"/>
    <row r="9690" hidden="1"/>
    <row r="9691" hidden="1"/>
    <row r="9692" hidden="1"/>
    <row r="9693" hidden="1"/>
    <row r="9694" hidden="1"/>
    <row r="9695" hidden="1"/>
    <row r="9696" hidden="1"/>
    <row r="9697" hidden="1"/>
    <row r="9698" hidden="1"/>
    <row r="9699" hidden="1"/>
    <row r="9700" hidden="1"/>
    <row r="9701" hidden="1"/>
    <row r="9702" hidden="1"/>
    <row r="9703" hidden="1"/>
    <row r="9704" hidden="1"/>
    <row r="9705" hidden="1"/>
    <row r="9706" hidden="1"/>
    <row r="9707" hidden="1"/>
    <row r="9708" hidden="1"/>
    <row r="9709" hidden="1"/>
    <row r="9710" hidden="1"/>
    <row r="9711" hidden="1"/>
    <row r="9712" hidden="1"/>
    <row r="9713" hidden="1"/>
    <row r="9714" hidden="1"/>
    <row r="9715" hidden="1"/>
    <row r="9716" hidden="1"/>
    <row r="9717" hidden="1"/>
    <row r="9718" hidden="1"/>
    <row r="9719" hidden="1"/>
    <row r="9720" hidden="1"/>
    <row r="9721" hidden="1"/>
    <row r="9722" hidden="1"/>
    <row r="9723" hidden="1"/>
    <row r="9724" hidden="1"/>
    <row r="9725" hidden="1"/>
    <row r="9726" hidden="1"/>
    <row r="9727" hidden="1"/>
    <row r="9728" hidden="1"/>
    <row r="9729" hidden="1"/>
    <row r="9730" hidden="1"/>
    <row r="9731" hidden="1"/>
    <row r="9732" hidden="1"/>
    <row r="9733" hidden="1"/>
    <row r="9734" hidden="1"/>
    <row r="9735" hidden="1"/>
    <row r="9736" hidden="1"/>
    <row r="9737" hidden="1"/>
    <row r="9738" hidden="1"/>
    <row r="9739" hidden="1"/>
    <row r="9740" hidden="1"/>
    <row r="9741" hidden="1"/>
    <row r="9742" hidden="1"/>
    <row r="9743" hidden="1"/>
    <row r="9744" hidden="1"/>
    <row r="9745" hidden="1"/>
    <row r="9746" hidden="1"/>
    <row r="9747" hidden="1"/>
    <row r="9748" hidden="1"/>
    <row r="9749" hidden="1"/>
    <row r="9750" hidden="1"/>
    <row r="9751" hidden="1"/>
    <row r="9752" hidden="1"/>
    <row r="9753" hidden="1"/>
    <row r="9754" hidden="1"/>
    <row r="9755" hidden="1"/>
    <row r="9756" hidden="1"/>
    <row r="9757" hidden="1"/>
    <row r="9758" hidden="1"/>
    <row r="9759" hidden="1"/>
    <row r="9760" hidden="1"/>
    <row r="9761" hidden="1"/>
    <row r="9762" hidden="1"/>
    <row r="9763" hidden="1"/>
    <row r="9764" hidden="1"/>
    <row r="9765" hidden="1"/>
    <row r="9766" hidden="1"/>
    <row r="9767" hidden="1"/>
    <row r="9768" hidden="1"/>
    <row r="9769" hidden="1"/>
    <row r="9770" hidden="1"/>
    <row r="9771" hidden="1"/>
    <row r="9772" hidden="1"/>
    <row r="9773" hidden="1"/>
    <row r="9774" hidden="1"/>
    <row r="9775" hidden="1"/>
    <row r="9776" hidden="1"/>
    <row r="9777" hidden="1"/>
    <row r="9778" hidden="1"/>
    <row r="9779" hidden="1"/>
    <row r="9780" hidden="1"/>
    <row r="9781" hidden="1"/>
    <row r="9782" hidden="1"/>
    <row r="9783" hidden="1"/>
    <row r="9784" hidden="1"/>
    <row r="9785" hidden="1"/>
    <row r="9786" hidden="1"/>
    <row r="9787" hidden="1"/>
    <row r="9788" hidden="1"/>
    <row r="9789" hidden="1"/>
    <row r="9790" hidden="1"/>
    <row r="9791" hidden="1"/>
    <row r="9792" hidden="1"/>
    <row r="9793" hidden="1"/>
    <row r="9794" hidden="1"/>
    <row r="9795" hidden="1"/>
    <row r="9796" hidden="1"/>
    <row r="9797" hidden="1"/>
    <row r="9798" hidden="1"/>
    <row r="9799" hidden="1"/>
    <row r="9800" hidden="1"/>
    <row r="9801" hidden="1"/>
    <row r="9802" hidden="1"/>
    <row r="9803" hidden="1"/>
    <row r="9804" hidden="1"/>
    <row r="9805" hidden="1"/>
    <row r="9806" hidden="1"/>
    <row r="9807" hidden="1"/>
    <row r="9808" hidden="1"/>
    <row r="9809" hidden="1"/>
    <row r="9810" hidden="1"/>
    <row r="9811" hidden="1"/>
    <row r="9812" hidden="1"/>
    <row r="9813" hidden="1"/>
    <row r="9814" hidden="1"/>
    <row r="9815" hidden="1"/>
    <row r="9816" hidden="1"/>
    <row r="9817" hidden="1"/>
    <row r="9818" hidden="1"/>
    <row r="9819" hidden="1"/>
    <row r="9820" hidden="1"/>
    <row r="9821" hidden="1"/>
    <row r="9822" hidden="1"/>
    <row r="9823" hidden="1"/>
    <row r="9824" hidden="1"/>
    <row r="9825" hidden="1"/>
    <row r="9826" hidden="1"/>
    <row r="9827" hidden="1"/>
    <row r="9828" hidden="1"/>
    <row r="9829" hidden="1"/>
    <row r="9830" hidden="1"/>
    <row r="9831" hidden="1"/>
    <row r="9832" hidden="1"/>
    <row r="9833" hidden="1"/>
    <row r="9834" hidden="1"/>
    <row r="9835" hidden="1"/>
    <row r="9836" hidden="1"/>
    <row r="9837" hidden="1"/>
    <row r="9838" hidden="1"/>
    <row r="9839" hidden="1"/>
    <row r="9840" hidden="1"/>
    <row r="9841" hidden="1"/>
    <row r="9842" hidden="1"/>
    <row r="9843" hidden="1"/>
    <row r="9844" hidden="1"/>
    <row r="9845" hidden="1"/>
    <row r="9846" hidden="1"/>
    <row r="9847" hidden="1"/>
    <row r="9848" hidden="1"/>
    <row r="9849" hidden="1"/>
    <row r="9850" hidden="1"/>
    <row r="9851" hidden="1"/>
    <row r="9852" hidden="1"/>
    <row r="9853" hidden="1"/>
    <row r="9854" hidden="1"/>
    <row r="9855" hidden="1"/>
    <row r="9856" hidden="1"/>
    <row r="9857" hidden="1"/>
    <row r="9858" hidden="1"/>
    <row r="9859" hidden="1"/>
    <row r="9860" hidden="1"/>
    <row r="9861" hidden="1"/>
    <row r="9862" hidden="1"/>
    <row r="9863" hidden="1"/>
    <row r="9864" hidden="1"/>
    <row r="9865" hidden="1"/>
    <row r="9866" hidden="1"/>
    <row r="9867" hidden="1"/>
    <row r="9868" hidden="1"/>
    <row r="9869" hidden="1"/>
    <row r="9870" hidden="1"/>
    <row r="9871" hidden="1"/>
    <row r="9872" hidden="1"/>
    <row r="9873" hidden="1"/>
    <row r="9874" hidden="1"/>
    <row r="9875" hidden="1"/>
    <row r="9876" hidden="1"/>
    <row r="9877" hidden="1"/>
    <row r="9878" hidden="1"/>
    <row r="9879" hidden="1"/>
    <row r="9880" hidden="1"/>
    <row r="9881" hidden="1"/>
    <row r="9882" hidden="1"/>
    <row r="9883" hidden="1"/>
    <row r="9884" hidden="1"/>
    <row r="9885" hidden="1"/>
    <row r="9886" hidden="1"/>
    <row r="9887" hidden="1"/>
    <row r="9888" hidden="1"/>
    <row r="9889" hidden="1"/>
    <row r="9890" hidden="1"/>
    <row r="9891" hidden="1"/>
    <row r="9892" hidden="1"/>
    <row r="9893" hidden="1"/>
    <row r="9894" hidden="1"/>
    <row r="9895" hidden="1"/>
    <row r="9896" hidden="1"/>
    <row r="9897" hidden="1"/>
    <row r="9898" hidden="1"/>
    <row r="9899" hidden="1"/>
    <row r="9900" hidden="1"/>
    <row r="9901" hidden="1"/>
    <row r="9902" hidden="1"/>
    <row r="9903" hidden="1"/>
    <row r="9904" hidden="1"/>
    <row r="9905" hidden="1"/>
    <row r="9906" hidden="1"/>
    <row r="9907" hidden="1"/>
    <row r="9908" hidden="1"/>
    <row r="9909" hidden="1"/>
    <row r="9910" hidden="1"/>
    <row r="9911" hidden="1"/>
    <row r="9912" hidden="1"/>
    <row r="9913" hidden="1"/>
    <row r="9914" hidden="1"/>
    <row r="9915" hidden="1"/>
    <row r="9916" hidden="1"/>
    <row r="9917" hidden="1"/>
    <row r="9918" hidden="1"/>
    <row r="9919" hidden="1"/>
    <row r="9920" hidden="1"/>
    <row r="9921" hidden="1"/>
    <row r="9922" hidden="1"/>
    <row r="9923" hidden="1"/>
    <row r="9924" hidden="1"/>
    <row r="9925" hidden="1"/>
    <row r="9926" hidden="1"/>
    <row r="9927" hidden="1"/>
    <row r="9928" hidden="1"/>
    <row r="9929" hidden="1"/>
    <row r="9930" hidden="1"/>
    <row r="9931" hidden="1"/>
    <row r="9932" hidden="1"/>
    <row r="9933" hidden="1"/>
    <row r="9934" hidden="1"/>
    <row r="9935" hidden="1"/>
    <row r="9936" hidden="1"/>
    <row r="9937" hidden="1"/>
    <row r="9938" hidden="1"/>
    <row r="9939" hidden="1"/>
    <row r="9940" hidden="1"/>
    <row r="9941" hidden="1"/>
    <row r="9942" hidden="1"/>
    <row r="9943" hidden="1"/>
    <row r="9944" hidden="1"/>
    <row r="9945" hidden="1"/>
    <row r="9946" hidden="1"/>
    <row r="9947" hidden="1"/>
    <row r="9948" hidden="1"/>
    <row r="9949" hidden="1"/>
    <row r="9950" hidden="1"/>
    <row r="9951" hidden="1"/>
    <row r="9952" hidden="1"/>
    <row r="9953" hidden="1"/>
    <row r="9954" hidden="1"/>
    <row r="9955" hidden="1"/>
    <row r="9956" hidden="1"/>
    <row r="9957" hidden="1"/>
    <row r="9958" hidden="1"/>
    <row r="9959" hidden="1"/>
    <row r="9960" hidden="1"/>
    <row r="9961" hidden="1"/>
    <row r="9962" hidden="1"/>
    <row r="9963" hidden="1"/>
    <row r="9964" hidden="1"/>
    <row r="9965" hidden="1"/>
    <row r="9966" hidden="1"/>
    <row r="9967" hidden="1"/>
    <row r="9968" hidden="1"/>
    <row r="9969" hidden="1"/>
    <row r="9970" hidden="1"/>
    <row r="9971" hidden="1"/>
    <row r="9972" hidden="1"/>
    <row r="9973" hidden="1"/>
    <row r="9974" hidden="1"/>
    <row r="9975" hidden="1"/>
    <row r="9976" hidden="1"/>
    <row r="9977" hidden="1"/>
    <row r="9978" hidden="1"/>
    <row r="9979" hidden="1"/>
    <row r="9980" hidden="1"/>
    <row r="9981" hidden="1"/>
    <row r="9982" hidden="1"/>
    <row r="9983" hidden="1"/>
    <row r="9984" hidden="1"/>
    <row r="9985" hidden="1"/>
    <row r="9986" hidden="1"/>
    <row r="9987" hidden="1"/>
    <row r="9988" hidden="1"/>
    <row r="9989" hidden="1"/>
    <row r="9990" hidden="1"/>
    <row r="9991" hidden="1"/>
    <row r="9992" hidden="1"/>
    <row r="9993" hidden="1"/>
    <row r="9994" hidden="1"/>
    <row r="9995" hidden="1"/>
    <row r="9996" hidden="1"/>
    <row r="9997" hidden="1"/>
    <row r="9998" hidden="1"/>
    <row r="9999" hidden="1"/>
    <row r="10000" hidden="1"/>
  </sheetData>
  <autoFilter xmlns:etc="http://www.wps.cn/officeDocument/2017/etCustomData" ref="A4:K10000" etc:filterBottomFollowUsedRange="0">
    <filterColumn colId="3">
      <customFilters>
        <customFilter operator="equal" val="投标保证金"/>
        <customFilter operator="equal" val="合同履约保证金"/>
      </customFilters>
    </filterColumn>
    <extLst/>
  </autoFilter>
  <mergeCells count="1">
    <mergeCell ref="A1:K1"/>
  </mergeCells>
  <dataValidations count="4">
    <dataValidation type="list" allowBlank="1" showInputMessage="1" showErrorMessage="1" sqref="C5:C1048576">
      <formula1>基础资料!$A:$A</formula1>
    </dataValidation>
    <dataValidation type="list" showInputMessage="1" showErrorMessage="1" sqref="D$1:D$1048576">
      <formula1>基础资料!$C:$C</formula1>
    </dataValidation>
    <dataValidation type="list" allowBlank="1" showInputMessage="1" showErrorMessage="1" sqref="I$1:I$1048576">
      <formula1>基础资料!$E:$E</formula1>
    </dataValidation>
    <dataValidation type="list" allowBlank="1" showInputMessage="1" showErrorMessage="1" sqref="J$1:J$1048576">
      <formula1>基础资料!$G:$G</formula1>
    </dataValidation>
  </dataValidations>
  <pageMargins left="0.75" right="0.75" top="1" bottom="1" header="0.5" footer="0.5"/>
  <headerFooter/>
  <ignoredErrors>
    <ignoredError sqref="H49:H99 H20:H4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000"/>
  <sheetViews>
    <sheetView workbookViewId="0">
      <pane ySplit="7" topLeftCell="A8" activePane="bottomLeft" state="frozen"/>
      <selection/>
      <selection pane="bottomLeft" activeCell="A8" sqref="A8"/>
    </sheetView>
  </sheetViews>
  <sheetFormatPr defaultColWidth="9" defaultRowHeight="13.5" outlineLevelCol="7"/>
  <cols>
    <col min="1" max="2" width="12" style="44" customWidth="1"/>
    <col min="3" max="3" width="10" style="44" customWidth="1"/>
    <col min="4" max="4" width="18" style="44" customWidth="1"/>
    <col min="5" max="5" width="30" style="108" customWidth="1"/>
    <col min="6" max="8" width="14" style="44" customWidth="1"/>
    <col min="9" max="9" width="3" style="44" customWidth="1"/>
    <col min="10" max="10" width="5" style="44" customWidth="1"/>
    <col min="11" max="11" width="32" style="44" customWidth="1"/>
    <col min="12" max="15" width="14" style="44" customWidth="1"/>
    <col min="16" max="16" width="3" style="44" customWidth="1"/>
    <col min="17" max="23" width="9" style="44" hidden="1" customWidth="1"/>
    <col min="24" max="16384" width="9" style="44"/>
  </cols>
  <sheetData>
    <row r="1" s="44" customFormat="1" ht="18.75" spans="1:23">
      <c r="A1" s="109" t="s">
        <v>239</v>
      </c>
      <c r="B1" s="109"/>
      <c r="C1" s="109"/>
      <c r="D1" s="109"/>
      <c r="E1" s="110"/>
      <c r="F1" s="109"/>
      <c r="G1" s="109"/>
      <c r="H1" s="109"/>
    </row>
    <row r="2" s="44" customFormat="1" spans="1:23">
      <c r="A2" s="111" t="s">
        <v>240</v>
      </c>
      <c r="B2" s="112">
        <v>46023</v>
      </c>
      <c r="C2" s="113" t="s">
        <v>241</v>
      </c>
      <c r="D2" s="112">
        <v>46387</v>
      </c>
      <c r="E2" s="108"/>
      <c r="F2" s="111" t="s">
        <v>242</v>
      </c>
      <c r="G2" s="114">
        <f>SUMIFS(数据录入!$F$5:$F$4999,$Q$5:$Q$4999,1,数据录入!$B$5:$B$4999,"&lt;"&amp;$B$2)-SUMIFS(数据录入!$G$5:$G$4999,$Q$5:$Q$4999,1,数据录入!$B$5:$B$4999,"&lt;"&amp;$B$2)</f>
      </c>
    </row>
    <row r="3" s="44" customFormat="1" spans="1:23">
      <c r="A3" s="164" t="inlineStr">
        <is>
          <t xml:space="preserve">说明：修改黄色起止日期即可查询。明细自动提取「数据录入」中业务类别为投标保证金 / 合同履约保证金，或摘要含“保证金”的收付记录；往来单位取自客户与供应商（见「基础资料」）。余额＝期初余款＋收款－付款，负数表示保证金已付出、尚未收回。</t>
        </is>
      </c>
      <c r="B3" s="164"/>
      <c r="C3" s="164"/>
      <c r="D3" s="164"/>
      <c r="E3" s="164"/>
      <c r="F3" s="111" t="s">
        <v>243</v>
      </c>
      <c r="G3" s="114">
        <f>SUMIFS(数据录入!$F$5:$F$4999,$Q$5:$Q$4999,1,数据录入!$B$5:$B$4999,"&gt;="&amp;$B$2,数据录入!$B$5:$B$4999,"&lt;="&amp;$D$2)</f>
      </c>
    </row>
    <row r="4" s="44" customFormat="1" spans="1:23">
      <c r="A4" s="164"/>
      <c r="B4" s="164"/>
      <c r="C4" s="164"/>
      <c r="D4" s="164"/>
      <c r="E4" s="164"/>
      <c r="F4" s="111" t="s">
        <v>244</v>
      </c>
      <c r="G4" s="114">
        <f>SUMIFS(数据录入!$G$5:$G$4999,$Q$5:$Q$4999,1,数据录入!$B$5:$B$4999,"&gt;="&amp;$B$2,数据录入!$B$5:$B$4999,"&lt;="&amp;$D$2)</f>
      </c>
      <c r="Q4" s="44" t="inlineStr">
        <is>
          <t xml:space="preserve">保证金标记</t>
        </is>
      </c>
      <c r="R4" s="44" t="inlineStr">
        <is>
          <t xml:space="preserve">期内序号</t>
        </is>
      </c>
    </row>
    <row r="5" s="44" customFormat="1" spans="1:23">
      <c r="A5" s="164"/>
      <c r="B5" s="164"/>
      <c r="C5" s="164"/>
      <c r="D5" s="164"/>
      <c r="E5" s="164"/>
      <c r="F5" s="111" t="s">
        <v>245</v>
      </c>
      <c r="G5" s="114">
        <f>G2+G3-G4</f>
      </c>
      <c r="J5" s="166"/>
      <c r="K5" s="166" t="inlineStr">
        <is>
          <t xml:space="preserve">其他（未指定往来单位）</t>
        </is>
      </c>
      <c r="L5" s="167">
        <f>$G$2-SUM($L$8:$L$107)</f>
      </c>
      <c r="M5" s="167">
        <f>$G$3-SUM($M$8:$M$107)</f>
      </c>
      <c r="N5" s="167">
        <f>$G$4-SUM($N$8:$N$107)</f>
      </c>
      <c r="O5" s="167">
        <f>L5+M5-N5</f>
      </c>
      <c r="Q5" s="44">
        <f>IF(数据录入!$B5="",0,IF(OR(数据录入!$D5="投标保证金",数据录入!$D5="合同履约保证金",ISNUMBER(FIND("保证金",数据录入!$E5))),1,0))</f>
      </c>
      <c r="R5" s="44">
        <f>IF(AND($Q5=1,数据录入!$B5&gt;=$B$2,数据录入!$B5&lt;=$D$2),N(R4)+1,N(R4))</f>
      </c>
    </row>
    <row r="6" s="44" customFormat="1" spans="1:23">
      <c r="A6" s="168">
        <f>IF(MAX($R$5:$R$4999)&gt;500,"※ 期间保证金记录超过 500 条，明细仅显示前 500 条，请缩小查询区间或向下复制明细公式。","")</f>
      </c>
      <c r="J6" s="166"/>
      <c r="K6" s="166" t="inlineStr">
        <is>
          <t xml:space="preserve">合计</t>
        </is>
      </c>
      <c r="L6" s="167">
        <f>L5+SUM($L$8:$L$107)</f>
      </c>
      <c r="M6" s="167">
        <f>M5+SUM($M$8:$M$107)</f>
      </c>
      <c r="N6" s="167">
        <f>N5+SUM($N$8:$N$107)</f>
      </c>
      <c r="O6" s="167">
        <f>L6+M6-N6</f>
      </c>
      <c r="Q6" s="44">
        <f>IF(数据录入!$B6="",0,IF(OR(数据录入!$D6="投标保证金",数据录入!$D6="合同履约保证金",ISNUMBER(FIND("保证金",数据录入!$E6))),1,0))</f>
      </c>
      <c r="R6" s="44">
        <f>IF(AND($Q6=1,数据录入!$B6&gt;=$B$2,数据录入!$B6&lt;=$D$2),N(R5)+1,N(R5))</f>
      </c>
    </row>
    <row r="7" s="44" customFormat="1" spans="1:23">
      <c r="A7" s="111" t="s">
        <v>93</v>
      </c>
      <c r="B7" s="111" t="s">
        <v>37</v>
      </c>
      <c r="C7" s="111" t="s">
        <v>246</v>
      </c>
      <c r="D7" s="111" t="s">
        <v>247</v>
      </c>
      <c r="E7" s="115" t="s">
        <v>248</v>
      </c>
      <c r="F7" s="111" t="s">
        <v>249</v>
      </c>
      <c r="G7" s="111" t="s">
        <v>250</v>
      </c>
      <c r="H7" s="111" t="s">
        <v>251</v>
      </c>
      <c r="J7" s="111" t="inlineStr">
        <is>
          <t xml:space="preserve">序</t>
        </is>
      </c>
      <c r="K7" s="111" t="inlineStr">
        <is>
          <t xml:space="preserve">往来单位</t>
        </is>
      </c>
      <c r="L7" s="111" t="inlineStr">
        <is>
          <t xml:space="preserve">期初余款</t>
        </is>
      </c>
      <c r="M7" s="111" t="inlineStr">
        <is>
          <t xml:space="preserve">期间收款</t>
        </is>
      </c>
      <c r="N7" s="111" t="inlineStr">
        <is>
          <t xml:space="preserve">期间付款</t>
        </is>
      </c>
      <c r="O7" s="111" t="inlineStr">
        <is>
          <t xml:space="preserve">期末余额</t>
        </is>
      </c>
      <c r="Q7" s="44">
        <f>IF(数据录入!$B7="",0,IF(OR(数据录入!$D7="投标保证金",数据录入!$D7="合同履约保证金",ISNUMBER(FIND("保证金",数据录入!$E7))),1,0))</f>
      </c>
      <c r="R7" s="44">
        <f>IF(AND($Q7=1,数据录入!$B7&gt;=$B$2,数据录入!$B7&lt;=$D$2),N(R6)+1,N(R6))</f>
      </c>
      <c r="S7" s="44" t="inlineStr">
        <is>
          <t xml:space="preserve">明细定位</t>
        </is>
      </c>
      <c r="U7" s="44" t="inlineStr">
        <is>
          <t xml:space="preserve">往来单位候选</t>
        </is>
      </c>
      <c r="V7" s="44" t="inlineStr">
        <is>
          <t xml:space="preserve">有效标记</t>
        </is>
      </c>
      <c r="W7" s="44" t="inlineStr">
        <is>
          <t xml:space="preserve">往来单位序号</t>
        </is>
      </c>
    </row>
    <row r="8" s="44" customFormat="1" spans="1:23">
      <c r="A8" s="116">
        <f>IF($S8="","",INDEX(数据录入!$B$5:$B$4999,$S8))</f>
      </c>
      <c r="B8" s="44">
        <f>IF($S8="","",INDEX(数据录入!$C$5:$C$4999,$S8)&amp;"")</f>
      </c>
      <c r="C8" s="165">
        <f>IF($S8="","",IF(N($F8)&gt;0,"收款",IF(N($G8)&gt;0,"付款","")))</f>
      </c>
      <c r="D8" s="44">
        <f>IF($S8="","",IF((INDEX(数据录入!$I$5:$I$4999,$S8)&amp;"")&lt;&gt;"",INDEX(数据录入!$I$5:$I$4999,$S8)&amp;"",INDEX(数据录入!$J$5:$J$4999,$S8)&amp;""))</f>
      </c>
      <c r="E8" s="108">
        <f>IF($S8="","",INDEX(数据录入!$E$5:$E$4999,$S8)&amp;"")</f>
      </c>
      <c r="F8" s="114">
        <f>IF($S8="","",N(INDEX(数据录入!$F$5:$F$4999,$S8)))</f>
      </c>
      <c r="G8" s="114">
        <f>IF($S8="","",N(INDEX(数据录入!$G$5:$G$4999,$S8)))</f>
      </c>
      <c r="H8" s="114">
        <f>IF($S8="","",$G$2+SUM($F$8:$F8)-SUM($G$8:$G8))</f>
      </c>
      <c r="J8" s="165">
        <f>IF($K8="","",1)</f>
      </c>
      <c r="K8" s="44">
        <f>IFERROR(INDEX($U$8:$U$107,MATCH(1,$W$8:$W$107,0)),"")</f>
      </c>
      <c r="L8" s="114">
        <f>IF($K8="","",(SUMIFS(数据录入!$F$5:$F$4999,$Q$5:$Q$4999,1,数据录入!$B$5:$B$4999,"&lt;"&amp;$B$2,数据录入!$I$5:$I$4999,$K8)+SUMIFS(数据录入!$F$5:$F$4999,$Q$5:$Q$4999,1,数据录入!$B$5:$B$4999,"&lt;"&amp;$B$2,数据录入!$J$5:$J$4999,$K8))-(SUMIFS(数据录入!$G$5:$G$4999,$Q$5:$Q$4999,1,数据录入!$B$5:$B$4999,"&lt;"&amp;$B$2,数据录入!$I$5:$I$4999,$K8)+SUMIFS(数据录入!$G$5:$G$4999,$Q$5:$Q$4999,1,数据录入!$B$5:$B$4999,"&lt;"&amp;$B$2,数据录入!$J$5:$J$4999,$K8)))</f>
      </c>
      <c r="M8" s="114">
        <f>IF($K8="","",SUMIFS(数据录入!$F$5:$F$4999,$Q$5:$Q$4999,1,数据录入!$B$5:$B$4999,"&gt;="&amp;$B$2,数据录入!$B$5:$B$4999,"&lt;="&amp;$D$2,数据录入!$I$5:$I$4999,$K8)+SUMIFS(数据录入!$F$5:$F$4999,$Q$5:$Q$4999,1,数据录入!$B$5:$B$4999,"&gt;="&amp;$B$2,数据录入!$B$5:$B$4999,"&lt;="&amp;$D$2,数据录入!$J$5:$J$4999,$K8))</f>
      </c>
      <c r="N8" s="114">
        <f>IF($K8="","",SUMIFS(数据录入!$G$5:$G$4999,$Q$5:$Q$4999,1,数据录入!$B$5:$B$4999,"&gt;="&amp;$B$2,数据录入!$B$5:$B$4999,"&lt;="&amp;$D$2,数据录入!$I$5:$I$4999,$K8)+SUMIFS(数据录入!$G$5:$G$4999,$Q$5:$Q$4999,1,数据录入!$B$5:$B$4999,"&gt;="&amp;$B$2,数据录入!$B$5:$B$4999,"&lt;="&amp;$D$2,数据录入!$J$5:$J$4999,$K8))</f>
      </c>
      <c r="O8" s="114">
        <f>IF($K8="","",L8+M8-N8)</f>
      </c>
      <c r="Q8" s="44">
        <f>IF(数据录入!$B8="",0,IF(OR(数据录入!$D8="投标保证金",数据录入!$D8="合同履约保证金",ISNUMBER(FIND("保证金",数据录入!$E8))),1,0))</f>
      </c>
      <c r="R8" s="44">
        <f>IF(AND($Q8=1,数据录入!$B8&gt;=$B$2,数据录入!$B8&lt;=$D$2),N(R7)+1,N(R7))</f>
      </c>
      <c r="S8" s="44">
        <f>IFERROR(MATCH(1,$R$5:$R$4999,0),"")</f>
      </c>
      <c r="U8" s="44">
        <f>IFERROR(IF(1&lt;=50,INDEX(基础资料!$E$2:$E$51,1)&amp;"",INDEX(基础资料!$G$2:$G$51,1-50)&amp;""),"")</f>
      </c>
      <c r="V8" s="44">
        <f>IF($U8="",0,IF(AND(1&gt;50,COUNTIF(基础资料!$E$2:$E$51,$U8)&gt;0),0,1))</f>
      </c>
      <c r="W8" s="44">
        <f>IF($V8=1,N(W7)+1,N(W7))</f>
      </c>
    </row>
    <row r="9" s="44" customFormat="1" spans="1:23">
      <c r="A9" s="116">
        <f>IF($S9="","",INDEX(数据录入!$B$5:$B$4999,$S9))</f>
      </c>
      <c r="B9" s="44">
        <f>IF($S9="","",INDEX(数据录入!$C$5:$C$4999,$S9)&amp;"")</f>
      </c>
      <c r="C9" s="165">
        <f>IF($S9="","",IF(N($F9)&gt;0,"收款",IF(N($G9)&gt;0,"付款","")))</f>
      </c>
      <c r="D9" s="44">
        <f>IF($S9="","",IF((INDEX(数据录入!$I$5:$I$4999,$S9)&amp;"")&lt;&gt;"",INDEX(数据录入!$I$5:$I$4999,$S9)&amp;"",INDEX(数据录入!$J$5:$J$4999,$S9)&amp;""))</f>
      </c>
      <c r="E9" s="108">
        <f>IF($S9="","",INDEX(数据录入!$E$5:$E$4999,$S9)&amp;"")</f>
      </c>
      <c r="F9" s="114">
        <f>IF($S9="","",N(INDEX(数据录入!$F$5:$F$4999,$S9)))</f>
      </c>
      <c r="G9" s="114">
        <f>IF($S9="","",N(INDEX(数据录入!$G$5:$G$4999,$S9)))</f>
      </c>
      <c r="H9" s="114">
        <f>IF($S9="","",$G$2+SUM($F$8:$F9)-SUM($G$8:$G9))</f>
      </c>
      <c r="J9" s="165">
        <f>IF($K9="","",2)</f>
      </c>
      <c r="K9" s="44">
        <f>IFERROR(INDEX($U$8:$U$107,MATCH(2,$W$8:$W$107,0)),"")</f>
      </c>
      <c r="L9" s="114">
        <f>IF($K9="","",(SUMIFS(数据录入!$F$5:$F$4999,$Q$5:$Q$4999,1,数据录入!$B$5:$B$4999,"&lt;"&amp;$B$2,数据录入!$I$5:$I$4999,$K9)+SUMIFS(数据录入!$F$5:$F$4999,$Q$5:$Q$4999,1,数据录入!$B$5:$B$4999,"&lt;"&amp;$B$2,数据录入!$J$5:$J$4999,$K9))-(SUMIFS(数据录入!$G$5:$G$4999,$Q$5:$Q$4999,1,数据录入!$B$5:$B$4999,"&lt;"&amp;$B$2,数据录入!$I$5:$I$4999,$K9)+SUMIFS(数据录入!$G$5:$G$4999,$Q$5:$Q$4999,1,数据录入!$B$5:$B$4999,"&lt;"&amp;$B$2,数据录入!$J$5:$J$4999,$K9)))</f>
      </c>
      <c r="M9" s="114">
        <f>IF($K9="","",SUMIFS(数据录入!$F$5:$F$4999,$Q$5:$Q$4999,1,数据录入!$B$5:$B$4999,"&gt;="&amp;$B$2,数据录入!$B$5:$B$4999,"&lt;="&amp;$D$2,数据录入!$I$5:$I$4999,$K9)+SUMIFS(数据录入!$F$5:$F$4999,$Q$5:$Q$4999,1,数据录入!$B$5:$B$4999,"&gt;="&amp;$B$2,数据录入!$B$5:$B$4999,"&lt;="&amp;$D$2,数据录入!$J$5:$J$4999,$K9))</f>
      </c>
      <c r="N9" s="114">
        <f>IF($K9="","",SUMIFS(数据录入!$G$5:$G$4999,$Q$5:$Q$4999,1,数据录入!$B$5:$B$4999,"&gt;="&amp;$B$2,数据录入!$B$5:$B$4999,"&lt;="&amp;$D$2,数据录入!$I$5:$I$4999,$K9)+SUMIFS(数据录入!$G$5:$G$4999,$Q$5:$Q$4999,1,数据录入!$B$5:$B$4999,"&gt;="&amp;$B$2,数据录入!$B$5:$B$4999,"&lt;="&amp;$D$2,数据录入!$J$5:$J$4999,$K9))</f>
      </c>
      <c r="O9" s="114">
        <f>IF($K9="","",L9+M9-N9)</f>
      </c>
      <c r="Q9" s="44">
        <f>IF(数据录入!$B9="",0,IF(OR(数据录入!$D9="投标保证金",数据录入!$D9="合同履约保证金",ISNUMBER(FIND("保证金",数据录入!$E9))),1,0))</f>
      </c>
      <c r="R9" s="44">
        <f>IF(AND($Q9=1,数据录入!$B9&gt;=$B$2,数据录入!$B9&lt;=$D$2),N(R8)+1,N(R8))</f>
      </c>
      <c r="S9" s="44">
        <f>IFERROR(MATCH(2,$R$5:$R$4999,0),"")</f>
      </c>
      <c r="U9" s="44">
        <f>IFERROR(IF(2&lt;=50,INDEX(基础资料!$E$2:$E$51,2)&amp;"",INDEX(基础资料!$G$2:$G$51,2-50)&amp;""),"")</f>
      </c>
      <c r="V9" s="44">
        <f>IF($U9="",0,IF(AND(2&gt;50,COUNTIF(基础资料!$E$2:$E$51,$U9)&gt;0),0,1))</f>
      </c>
      <c r="W9" s="44">
        <f>IF($V9=1,N(W8)+1,N(W8))</f>
      </c>
    </row>
    <row r="10" s="44" customFormat="1" spans="1:23">
      <c r="A10" s="116">
        <f>IF($S10="","",INDEX(数据录入!$B$5:$B$4999,$S10))</f>
      </c>
      <c r="B10" s="44">
        <f>IF($S10="","",INDEX(数据录入!$C$5:$C$4999,$S10)&amp;"")</f>
      </c>
      <c r="C10" s="165">
        <f>IF($S10="","",IF(N($F10)&gt;0,"收款",IF(N($G10)&gt;0,"付款","")))</f>
      </c>
      <c r="D10" s="44">
        <f>IF($S10="","",IF((INDEX(数据录入!$I$5:$I$4999,$S10)&amp;"")&lt;&gt;"",INDEX(数据录入!$I$5:$I$4999,$S10)&amp;"",INDEX(数据录入!$J$5:$J$4999,$S10)&amp;""))</f>
      </c>
      <c r="E10" s="108">
        <f>IF($S10="","",INDEX(数据录入!$E$5:$E$4999,$S10)&amp;"")</f>
      </c>
      <c r="F10" s="114">
        <f>IF($S10="","",N(INDEX(数据录入!$F$5:$F$4999,$S10)))</f>
      </c>
      <c r="G10" s="114">
        <f>IF($S10="","",N(INDEX(数据录入!$G$5:$G$4999,$S10)))</f>
      </c>
      <c r="H10" s="114">
        <f>IF($S10="","",$G$2+SUM($F$8:$F10)-SUM($G$8:$G10))</f>
      </c>
      <c r="J10" s="165">
        <f>IF($K10="","",3)</f>
      </c>
      <c r="K10" s="44">
        <f>IFERROR(INDEX($U$8:$U$107,MATCH(3,$W$8:$W$107,0)),"")</f>
      </c>
      <c r="L10" s="114">
        <f>IF($K10="","",(SUMIFS(数据录入!$F$5:$F$4999,$Q$5:$Q$4999,1,数据录入!$B$5:$B$4999,"&lt;"&amp;$B$2,数据录入!$I$5:$I$4999,$K10)+SUMIFS(数据录入!$F$5:$F$4999,$Q$5:$Q$4999,1,数据录入!$B$5:$B$4999,"&lt;"&amp;$B$2,数据录入!$J$5:$J$4999,$K10))-(SUMIFS(数据录入!$G$5:$G$4999,$Q$5:$Q$4999,1,数据录入!$B$5:$B$4999,"&lt;"&amp;$B$2,数据录入!$I$5:$I$4999,$K10)+SUMIFS(数据录入!$G$5:$G$4999,$Q$5:$Q$4999,1,数据录入!$B$5:$B$4999,"&lt;"&amp;$B$2,数据录入!$J$5:$J$4999,$K10)))</f>
      </c>
      <c r="M10" s="114">
        <f>IF($K10="","",SUMIFS(数据录入!$F$5:$F$4999,$Q$5:$Q$4999,1,数据录入!$B$5:$B$4999,"&gt;="&amp;$B$2,数据录入!$B$5:$B$4999,"&lt;="&amp;$D$2,数据录入!$I$5:$I$4999,$K10)+SUMIFS(数据录入!$F$5:$F$4999,$Q$5:$Q$4999,1,数据录入!$B$5:$B$4999,"&gt;="&amp;$B$2,数据录入!$B$5:$B$4999,"&lt;="&amp;$D$2,数据录入!$J$5:$J$4999,$K10))</f>
      </c>
      <c r="N10" s="114">
        <f>IF($K10="","",SUMIFS(数据录入!$G$5:$G$4999,$Q$5:$Q$4999,1,数据录入!$B$5:$B$4999,"&gt;="&amp;$B$2,数据录入!$B$5:$B$4999,"&lt;="&amp;$D$2,数据录入!$I$5:$I$4999,$K10)+SUMIFS(数据录入!$G$5:$G$4999,$Q$5:$Q$4999,1,数据录入!$B$5:$B$4999,"&gt;="&amp;$B$2,数据录入!$B$5:$B$4999,"&lt;="&amp;$D$2,数据录入!$J$5:$J$4999,$K10))</f>
      </c>
      <c r="O10" s="114">
        <f>IF($K10="","",L10+M10-N10)</f>
      </c>
      <c r="Q10" s="44">
        <f>IF(数据录入!$B10="",0,IF(OR(数据录入!$D10="投标保证金",数据录入!$D10="合同履约保证金",ISNUMBER(FIND("保证金",数据录入!$E10))),1,0))</f>
      </c>
      <c r="R10" s="44">
        <f>IF(AND($Q10=1,数据录入!$B10&gt;=$B$2,数据录入!$B10&lt;=$D$2),N(R9)+1,N(R9))</f>
      </c>
      <c r="S10" s="44">
        <f>IFERROR(MATCH(3,$R$5:$R$4999,0),"")</f>
      </c>
      <c r="U10" s="44">
        <f>IFERROR(IF(3&lt;=50,INDEX(基础资料!$E$2:$E$51,3)&amp;"",INDEX(基础资料!$G$2:$G$51,3-50)&amp;""),"")</f>
      </c>
      <c r="V10" s="44">
        <f>IF($U10="",0,IF(AND(3&gt;50,COUNTIF(基础资料!$E$2:$E$51,$U10)&gt;0),0,1))</f>
      </c>
      <c r="W10" s="44">
        <f>IF($V10=1,N(W9)+1,N(W9))</f>
      </c>
    </row>
    <row r="11" s="44" customFormat="1" spans="1:23">
      <c r="A11" s="116">
        <f>IF($S11="","",INDEX(数据录入!$B$5:$B$4999,$S11))</f>
      </c>
      <c r="B11" s="44">
        <f>IF($S11="","",INDEX(数据录入!$C$5:$C$4999,$S11)&amp;"")</f>
      </c>
      <c r="C11" s="165">
        <f>IF($S11="","",IF(N($F11)&gt;0,"收款",IF(N($G11)&gt;0,"付款","")))</f>
      </c>
      <c r="D11" s="44">
        <f>IF($S11="","",IF((INDEX(数据录入!$I$5:$I$4999,$S11)&amp;"")&lt;&gt;"",INDEX(数据录入!$I$5:$I$4999,$S11)&amp;"",INDEX(数据录入!$J$5:$J$4999,$S11)&amp;""))</f>
      </c>
      <c r="E11" s="108">
        <f>IF($S11="","",INDEX(数据录入!$E$5:$E$4999,$S11)&amp;"")</f>
      </c>
      <c r="F11" s="114">
        <f>IF($S11="","",N(INDEX(数据录入!$F$5:$F$4999,$S11)))</f>
      </c>
      <c r="G11" s="114">
        <f>IF($S11="","",N(INDEX(数据录入!$G$5:$G$4999,$S11)))</f>
      </c>
      <c r="H11" s="114">
        <f>IF($S11="","",$G$2+SUM($F$8:$F11)-SUM($G$8:$G11))</f>
      </c>
      <c r="J11" s="165">
        <f>IF($K11="","",4)</f>
      </c>
      <c r="K11" s="44">
        <f>IFERROR(INDEX($U$8:$U$107,MATCH(4,$W$8:$W$107,0)),"")</f>
      </c>
      <c r="L11" s="114">
        <f>IF($K11="","",(SUMIFS(数据录入!$F$5:$F$4999,$Q$5:$Q$4999,1,数据录入!$B$5:$B$4999,"&lt;"&amp;$B$2,数据录入!$I$5:$I$4999,$K11)+SUMIFS(数据录入!$F$5:$F$4999,$Q$5:$Q$4999,1,数据录入!$B$5:$B$4999,"&lt;"&amp;$B$2,数据录入!$J$5:$J$4999,$K11))-(SUMIFS(数据录入!$G$5:$G$4999,$Q$5:$Q$4999,1,数据录入!$B$5:$B$4999,"&lt;"&amp;$B$2,数据录入!$I$5:$I$4999,$K11)+SUMIFS(数据录入!$G$5:$G$4999,$Q$5:$Q$4999,1,数据录入!$B$5:$B$4999,"&lt;"&amp;$B$2,数据录入!$J$5:$J$4999,$K11)))</f>
      </c>
      <c r="M11" s="114">
        <f>IF($K11="","",SUMIFS(数据录入!$F$5:$F$4999,$Q$5:$Q$4999,1,数据录入!$B$5:$B$4999,"&gt;="&amp;$B$2,数据录入!$B$5:$B$4999,"&lt;="&amp;$D$2,数据录入!$I$5:$I$4999,$K11)+SUMIFS(数据录入!$F$5:$F$4999,$Q$5:$Q$4999,1,数据录入!$B$5:$B$4999,"&gt;="&amp;$B$2,数据录入!$B$5:$B$4999,"&lt;="&amp;$D$2,数据录入!$J$5:$J$4999,$K11))</f>
      </c>
      <c r="N11" s="114">
        <f>IF($K11="","",SUMIFS(数据录入!$G$5:$G$4999,$Q$5:$Q$4999,1,数据录入!$B$5:$B$4999,"&gt;="&amp;$B$2,数据录入!$B$5:$B$4999,"&lt;="&amp;$D$2,数据录入!$I$5:$I$4999,$K11)+SUMIFS(数据录入!$G$5:$G$4999,$Q$5:$Q$4999,1,数据录入!$B$5:$B$4999,"&gt;="&amp;$B$2,数据录入!$B$5:$B$4999,"&lt;="&amp;$D$2,数据录入!$J$5:$J$4999,$K11))</f>
      </c>
      <c r="O11" s="114">
        <f>IF($K11="","",L11+M11-N11)</f>
      </c>
      <c r="Q11" s="44">
        <f>IF(数据录入!$B11="",0,IF(OR(数据录入!$D11="投标保证金",数据录入!$D11="合同履约保证金",ISNUMBER(FIND("保证金",数据录入!$E11))),1,0))</f>
      </c>
      <c r="R11" s="44">
        <f>IF(AND($Q11=1,数据录入!$B11&gt;=$B$2,数据录入!$B11&lt;=$D$2),N(R10)+1,N(R10))</f>
      </c>
      <c r="S11" s="44">
        <f>IFERROR(MATCH(4,$R$5:$R$4999,0),"")</f>
      </c>
      <c r="U11" s="44">
        <f>IFERROR(IF(4&lt;=50,INDEX(基础资料!$E$2:$E$51,4)&amp;"",INDEX(基础资料!$G$2:$G$51,4-50)&amp;""),"")</f>
      </c>
      <c r="V11" s="44">
        <f>IF($U11="",0,IF(AND(4&gt;50,COUNTIF(基础资料!$E$2:$E$51,$U11)&gt;0),0,1))</f>
      </c>
      <c r="W11" s="44">
        <f>IF($V11=1,N(W10)+1,N(W10))</f>
      </c>
    </row>
    <row r="12" s="44" customFormat="1" spans="1:23">
      <c r="A12" s="116">
        <f>IF($S12="","",INDEX(数据录入!$B$5:$B$4999,$S12))</f>
      </c>
      <c r="B12" s="44">
        <f>IF($S12="","",INDEX(数据录入!$C$5:$C$4999,$S12)&amp;"")</f>
      </c>
      <c r="C12" s="165">
        <f>IF($S12="","",IF(N($F12)&gt;0,"收款",IF(N($G12)&gt;0,"付款","")))</f>
      </c>
      <c r="D12" s="44">
        <f>IF($S12="","",IF((INDEX(数据录入!$I$5:$I$4999,$S12)&amp;"")&lt;&gt;"",INDEX(数据录入!$I$5:$I$4999,$S12)&amp;"",INDEX(数据录入!$J$5:$J$4999,$S12)&amp;""))</f>
      </c>
      <c r="E12" s="108">
        <f>IF($S12="","",INDEX(数据录入!$E$5:$E$4999,$S12)&amp;"")</f>
      </c>
      <c r="F12" s="114">
        <f>IF($S12="","",N(INDEX(数据录入!$F$5:$F$4999,$S12)))</f>
      </c>
      <c r="G12" s="114">
        <f>IF($S12="","",N(INDEX(数据录入!$G$5:$G$4999,$S12)))</f>
      </c>
      <c r="H12" s="114">
        <f>IF($S12="","",$G$2+SUM($F$8:$F12)-SUM($G$8:$G12))</f>
      </c>
      <c r="J12" s="165">
        <f>IF($K12="","",5)</f>
      </c>
      <c r="K12" s="44">
        <f>IFERROR(INDEX($U$8:$U$107,MATCH(5,$W$8:$W$107,0)),"")</f>
      </c>
      <c r="L12" s="114">
        <f>IF($K12="","",(SUMIFS(数据录入!$F$5:$F$4999,$Q$5:$Q$4999,1,数据录入!$B$5:$B$4999,"&lt;"&amp;$B$2,数据录入!$I$5:$I$4999,$K12)+SUMIFS(数据录入!$F$5:$F$4999,$Q$5:$Q$4999,1,数据录入!$B$5:$B$4999,"&lt;"&amp;$B$2,数据录入!$J$5:$J$4999,$K12))-(SUMIFS(数据录入!$G$5:$G$4999,$Q$5:$Q$4999,1,数据录入!$B$5:$B$4999,"&lt;"&amp;$B$2,数据录入!$I$5:$I$4999,$K12)+SUMIFS(数据录入!$G$5:$G$4999,$Q$5:$Q$4999,1,数据录入!$B$5:$B$4999,"&lt;"&amp;$B$2,数据录入!$J$5:$J$4999,$K12)))</f>
      </c>
      <c r="M12" s="114">
        <f>IF($K12="","",SUMIFS(数据录入!$F$5:$F$4999,$Q$5:$Q$4999,1,数据录入!$B$5:$B$4999,"&gt;="&amp;$B$2,数据录入!$B$5:$B$4999,"&lt;="&amp;$D$2,数据录入!$I$5:$I$4999,$K12)+SUMIFS(数据录入!$F$5:$F$4999,$Q$5:$Q$4999,1,数据录入!$B$5:$B$4999,"&gt;="&amp;$B$2,数据录入!$B$5:$B$4999,"&lt;="&amp;$D$2,数据录入!$J$5:$J$4999,$K12))</f>
      </c>
      <c r="N12" s="114">
        <f>IF($K12="","",SUMIFS(数据录入!$G$5:$G$4999,$Q$5:$Q$4999,1,数据录入!$B$5:$B$4999,"&gt;="&amp;$B$2,数据录入!$B$5:$B$4999,"&lt;="&amp;$D$2,数据录入!$I$5:$I$4999,$K12)+SUMIFS(数据录入!$G$5:$G$4999,$Q$5:$Q$4999,1,数据录入!$B$5:$B$4999,"&gt;="&amp;$B$2,数据录入!$B$5:$B$4999,"&lt;="&amp;$D$2,数据录入!$J$5:$J$4999,$K12))</f>
      </c>
      <c r="O12" s="114">
        <f>IF($K12="","",L12+M12-N12)</f>
      </c>
      <c r="Q12" s="44">
        <f>IF(数据录入!$B12="",0,IF(OR(数据录入!$D12="投标保证金",数据录入!$D12="合同履约保证金",ISNUMBER(FIND("保证金",数据录入!$E12))),1,0))</f>
      </c>
      <c r="R12" s="44">
        <f>IF(AND($Q12=1,数据录入!$B12&gt;=$B$2,数据录入!$B12&lt;=$D$2),N(R11)+1,N(R11))</f>
      </c>
      <c r="S12" s="44">
        <f>IFERROR(MATCH(5,$R$5:$R$4999,0),"")</f>
      </c>
      <c r="U12" s="44">
        <f>IFERROR(IF(5&lt;=50,INDEX(基础资料!$E$2:$E$51,5)&amp;"",INDEX(基础资料!$G$2:$G$51,5-50)&amp;""),"")</f>
      </c>
      <c r="V12" s="44">
        <f>IF($U12="",0,IF(AND(5&gt;50,COUNTIF(基础资料!$E$2:$E$51,$U12)&gt;0),0,1))</f>
      </c>
      <c r="W12" s="44">
        <f>IF($V12=1,N(W11)+1,N(W11))</f>
      </c>
    </row>
    <row r="13" s="44" customFormat="1" spans="1:23">
      <c r="A13" s="116">
        <f>IF($S13="","",INDEX(数据录入!$B$5:$B$4999,$S13))</f>
      </c>
      <c r="B13" s="44">
        <f>IF($S13="","",INDEX(数据录入!$C$5:$C$4999,$S13)&amp;"")</f>
      </c>
      <c r="C13" s="165">
        <f>IF($S13="","",IF(N($F13)&gt;0,"收款",IF(N($G13)&gt;0,"付款","")))</f>
      </c>
      <c r="D13" s="44">
        <f>IF($S13="","",IF((INDEX(数据录入!$I$5:$I$4999,$S13)&amp;"")&lt;&gt;"",INDEX(数据录入!$I$5:$I$4999,$S13)&amp;"",INDEX(数据录入!$J$5:$J$4999,$S13)&amp;""))</f>
      </c>
      <c r="E13" s="108">
        <f>IF($S13="","",INDEX(数据录入!$E$5:$E$4999,$S13)&amp;"")</f>
      </c>
      <c r="F13" s="114">
        <f>IF($S13="","",N(INDEX(数据录入!$F$5:$F$4999,$S13)))</f>
      </c>
      <c r="G13" s="114">
        <f>IF($S13="","",N(INDEX(数据录入!$G$5:$G$4999,$S13)))</f>
      </c>
      <c r="H13" s="114">
        <f>IF($S13="","",$G$2+SUM($F$8:$F13)-SUM($G$8:$G13))</f>
      </c>
      <c r="J13" s="165">
        <f>IF($K13="","",6)</f>
      </c>
      <c r="K13" s="44">
        <f>IFERROR(INDEX($U$8:$U$107,MATCH(6,$W$8:$W$107,0)),"")</f>
      </c>
      <c r="L13" s="114">
        <f>IF($K13="","",(SUMIFS(数据录入!$F$5:$F$4999,$Q$5:$Q$4999,1,数据录入!$B$5:$B$4999,"&lt;"&amp;$B$2,数据录入!$I$5:$I$4999,$K13)+SUMIFS(数据录入!$F$5:$F$4999,$Q$5:$Q$4999,1,数据录入!$B$5:$B$4999,"&lt;"&amp;$B$2,数据录入!$J$5:$J$4999,$K13))-(SUMIFS(数据录入!$G$5:$G$4999,$Q$5:$Q$4999,1,数据录入!$B$5:$B$4999,"&lt;"&amp;$B$2,数据录入!$I$5:$I$4999,$K13)+SUMIFS(数据录入!$G$5:$G$4999,$Q$5:$Q$4999,1,数据录入!$B$5:$B$4999,"&lt;"&amp;$B$2,数据录入!$J$5:$J$4999,$K13)))</f>
      </c>
      <c r="M13" s="114">
        <f>IF($K13="","",SUMIFS(数据录入!$F$5:$F$4999,$Q$5:$Q$4999,1,数据录入!$B$5:$B$4999,"&gt;="&amp;$B$2,数据录入!$B$5:$B$4999,"&lt;="&amp;$D$2,数据录入!$I$5:$I$4999,$K13)+SUMIFS(数据录入!$F$5:$F$4999,$Q$5:$Q$4999,1,数据录入!$B$5:$B$4999,"&gt;="&amp;$B$2,数据录入!$B$5:$B$4999,"&lt;="&amp;$D$2,数据录入!$J$5:$J$4999,$K13))</f>
      </c>
      <c r="N13" s="114">
        <f>IF($K13="","",SUMIFS(数据录入!$G$5:$G$4999,$Q$5:$Q$4999,1,数据录入!$B$5:$B$4999,"&gt;="&amp;$B$2,数据录入!$B$5:$B$4999,"&lt;="&amp;$D$2,数据录入!$I$5:$I$4999,$K13)+SUMIFS(数据录入!$G$5:$G$4999,$Q$5:$Q$4999,1,数据录入!$B$5:$B$4999,"&gt;="&amp;$B$2,数据录入!$B$5:$B$4999,"&lt;="&amp;$D$2,数据录入!$J$5:$J$4999,$K13))</f>
      </c>
      <c r="O13" s="114">
        <f>IF($K13="","",L13+M13-N13)</f>
      </c>
      <c r="Q13" s="44">
        <f>IF(数据录入!$B13="",0,IF(OR(数据录入!$D13="投标保证金",数据录入!$D13="合同履约保证金",ISNUMBER(FIND("保证金",数据录入!$E13))),1,0))</f>
      </c>
      <c r="R13" s="44">
        <f>IF(AND($Q13=1,数据录入!$B13&gt;=$B$2,数据录入!$B13&lt;=$D$2),N(R12)+1,N(R12))</f>
      </c>
      <c r="S13" s="44">
        <f>IFERROR(MATCH(6,$R$5:$R$4999,0),"")</f>
      </c>
      <c r="U13" s="44">
        <f>IFERROR(IF(6&lt;=50,INDEX(基础资料!$E$2:$E$51,6)&amp;"",INDEX(基础资料!$G$2:$G$51,6-50)&amp;""),"")</f>
      </c>
      <c r="V13" s="44">
        <f>IF($U13="",0,IF(AND(6&gt;50,COUNTIF(基础资料!$E$2:$E$51,$U13)&gt;0),0,1))</f>
      </c>
      <c r="W13" s="44">
        <f>IF($V13=1,N(W12)+1,N(W12))</f>
      </c>
    </row>
    <row r="14" s="44" customFormat="1" spans="1:23">
      <c r="A14" s="116">
        <f>IF($S14="","",INDEX(数据录入!$B$5:$B$4999,$S14))</f>
      </c>
      <c r="B14" s="44">
        <f>IF($S14="","",INDEX(数据录入!$C$5:$C$4999,$S14)&amp;"")</f>
      </c>
      <c r="C14" s="165">
        <f>IF($S14="","",IF(N($F14)&gt;0,"收款",IF(N($G14)&gt;0,"付款","")))</f>
      </c>
      <c r="D14" s="44">
        <f>IF($S14="","",IF((INDEX(数据录入!$I$5:$I$4999,$S14)&amp;"")&lt;&gt;"",INDEX(数据录入!$I$5:$I$4999,$S14)&amp;"",INDEX(数据录入!$J$5:$J$4999,$S14)&amp;""))</f>
      </c>
      <c r="E14" s="108">
        <f>IF($S14="","",INDEX(数据录入!$E$5:$E$4999,$S14)&amp;"")</f>
      </c>
      <c r="F14" s="114">
        <f>IF($S14="","",N(INDEX(数据录入!$F$5:$F$4999,$S14)))</f>
      </c>
      <c r="G14" s="114">
        <f>IF($S14="","",N(INDEX(数据录入!$G$5:$G$4999,$S14)))</f>
      </c>
      <c r="H14" s="114">
        <f>IF($S14="","",$G$2+SUM($F$8:$F14)-SUM($G$8:$G14))</f>
      </c>
      <c r="J14" s="165">
        <f>IF($K14="","",7)</f>
      </c>
      <c r="K14" s="44">
        <f>IFERROR(INDEX($U$8:$U$107,MATCH(7,$W$8:$W$107,0)),"")</f>
      </c>
      <c r="L14" s="114">
        <f>IF($K14="","",(SUMIFS(数据录入!$F$5:$F$4999,$Q$5:$Q$4999,1,数据录入!$B$5:$B$4999,"&lt;"&amp;$B$2,数据录入!$I$5:$I$4999,$K14)+SUMIFS(数据录入!$F$5:$F$4999,$Q$5:$Q$4999,1,数据录入!$B$5:$B$4999,"&lt;"&amp;$B$2,数据录入!$J$5:$J$4999,$K14))-(SUMIFS(数据录入!$G$5:$G$4999,$Q$5:$Q$4999,1,数据录入!$B$5:$B$4999,"&lt;"&amp;$B$2,数据录入!$I$5:$I$4999,$K14)+SUMIFS(数据录入!$G$5:$G$4999,$Q$5:$Q$4999,1,数据录入!$B$5:$B$4999,"&lt;"&amp;$B$2,数据录入!$J$5:$J$4999,$K14)))</f>
      </c>
      <c r="M14" s="114">
        <f>IF($K14="","",SUMIFS(数据录入!$F$5:$F$4999,$Q$5:$Q$4999,1,数据录入!$B$5:$B$4999,"&gt;="&amp;$B$2,数据录入!$B$5:$B$4999,"&lt;="&amp;$D$2,数据录入!$I$5:$I$4999,$K14)+SUMIFS(数据录入!$F$5:$F$4999,$Q$5:$Q$4999,1,数据录入!$B$5:$B$4999,"&gt;="&amp;$B$2,数据录入!$B$5:$B$4999,"&lt;="&amp;$D$2,数据录入!$J$5:$J$4999,$K14))</f>
      </c>
      <c r="N14" s="114">
        <f>IF($K14="","",SUMIFS(数据录入!$G$5:$G$4999,$Q$5:$Q$4999,1,数据录入!$B$5:$B$4999,"&gt;="&amp;$B$2,数据录入!$B$5:$B$4999,"&lt;="&amp;$D$2,数据录入!$I$5:$I$4999,$K14)+SUMIFS(数据录入!$G$5:$G$4999,$Q$5:$Q$4999,1,数据录入!$B$5:$B$4999,"&gt;="&amp;$B$2,数据录入!$B$5:$B$4999,"&lt;="&amp;$D$2,数据录入!$J$5:$J$4999,$K14))</f>
      </c>
      <c r="O14" s="114">
        <f>IF($K14="","",L14+M14-N14)</f>
      </c>
      <c r="Q14" s="44">
        <f>IF(数据录入!$B14="",0,IF(OR(数据录入!$D14="投标保证金",数据录入!$D14="合同履约保证金",ISNUMBER(FIND("保证金",数据录入!$E14))),1,0))</f>
      </c>
      <c r="R14" s="44">
        <f>IF(AND($Q14=1,数据录入!$B14&gt;=$B$2,数据录入!$B14&lt;=$D$2),N(R13)+1,N(R13))</f>
      </c>
      <c r="S14" s="44">
        <f>IFERROR(MATCH(7,$R$5:$R$4999,0),"")</f>
      </c>
      <c r="U14" s="44">
        <f>IFERROR(IF(7&lt;=50,INDEX(基础资料!$E$2:$E$51,7)&amp;"",INDEX(基础资料!$G$2:$G$51,7-50)&amp;""),"")</f>
      </c>
      <c r="V14" s="44">
        <f>IF($U14="",0,IF(AND(7&gt;50,COUNTIF(基础资料!$E$2:$E$51,$U14)&gt;0),0,1))</f>
      </c>
      <c r="W14" s="44">
        <f>IF($V14=1,N(W13)+1,N(W13))</f>
      </c>
    </row>
    <row r="15" s="44" customFormat="1" spans="1:23">
      <c r="A15" s="116">
        <f>IF($S15="","",INDEX(数据录入!$B$5:$B$4999,$S15))</f>
      </c>
      <c r="B15" s="44">
        <f>IF($S15="","",INDEX(数据录入!$C$5:$C$4999,$S15)&amp;"")</f>
      </c>
      <c r="C15" s="165">
        <f>IF($S15="","",IF(N($F15)&gt;0,"收款",IF(N($G15)&gt;0,"付款","")))</f>
      </c>
      <c r="D15" s="44">
        <f>IF($S15="","",IF((INDEX(数据录入!$I$5:$I$4999,$S15)&amp;"")&lt;&gt;"",INDEX(数据录入!$I$5:$I$4999,$S15)&amp;"",INDEX(数据录入!$J$5:$J$4999,$S15)&amp;""))</f>
      </c>
      <c r="E15" s="108">
        <f>IF($S15="","",INDEX(数据录入!$E$5:$E$4999,$S15)&amp;"")</f>
      </c>
      <c r="F15" s="114">
        <f>IF($S15="","",N(INDEX(数据录入!$F$5:$F$4999,$S15)))</f>
      </c>
      <c r="G15" s="114">
        <f>IF($S15="","",N(INDEX(数据录入!$G$5:$G$4999,$S15)))</f>
      </c>
      <c r="H15" s="114">
        <f>IF($S15="","",$G$2+SUM($F$8:$F15)-SUM($G$8:$G15))</f>
      </c>
      <c r="J15" s="165">
        <f>IF($K15="","",8)</f>
      </c>
      <c r="K15" s="44">
        <f>IFERROR(INDEX($U$8:$U$107,MATCH(8,$W$8:$W$107,0)),"")</f>
      </c>
      <c r="L15" s="114">
        <f>IF($K15="","",(SUMIFS(数据录入!$F$5:$F$4999,$Q$5:$Q$4999,1,数据录入!$B$5:$B$4999,"&lt;"&amp;$B$2,数据录入!$I$5:$I$4999,$K15)+SUMIFS(数据录入!$F$5:$F$4999,$Q$5:$Q$4999,1,数据录入!$B$5:$B$4999,"&lt;"&amp;$B$2,数据录入!$J$5:$J$4999,$K15))-(SUMIFS(数据录入!$G$5:$G$4999,$Q$5:$Q$4999,1,数据录入!$B$5:$B$4999,"&lt;"&amp;$B$2,数据录入!$I$5:$I$4999,$K15)+SUMIFS(数据录入!$G$5:$G$4999,$Q$5:$Q$4999,1,数据录入!$B$5:$B$4999,"&lt;"&amp;$B$2,数据录入!$J$5:$J$4999,$K15)))</f>
      </c>
      <c r="M15" s="114">
        <f>IF($K15="","",SUMIFS(数据录入!$F$5:$F$4999,$Q$5:$Q$4999,1,数据录入!$B$5:$B$4999,"&gt;="&amp;$B$2,数据录入!$B$5:$B$4999,"&lt;="&amp;$D$2,数据录入!$I$5:$I$4999,$K15)+SUMIFS(数据录入!$F$5:$F$4999,$Q$5:$Q$4999,1,数据录入!$B$5:$B$4999,"&gt;="&amp;$B$2,数据录入!$B$5:$B$4999,"&lt;="&amp;$D$2,数据录入!$J$5:$J$4999,$K15))</f>
      </c>
      <c r="N15" s="114">
        <f>IF($K15="","",SUMIFS(数据录入!$G$5:$G$4999,$Q$5:$Q$4999,1,数据录入!$B$5:$B$4999,"&gt;="&amp;$B$2,数据录入!$B$5:$B$4999,"&lt;="&amp;$D$2,数据录入!$I$5:$I$4999,$K15)+SUMIFS(数据录入!$G$5:$G$4999,$Q$5:$Q$4999,1,数据录入!$B$5:$B$4999,"&gt;="&amp;$B$2,数据录入!$B$5:$B$4999,"&lt;="&amp;$D$2,数据录入!$J$5:$J$4999,$K15))</f>
      </c>
      <c r="O15" s="114">
        <f>IF($K15="","",L15+M15-N15)</f>
      </c>
      <c r="Q15" s="44">
        <f>IF(数据录入!$B15="",0,IF(OR(数据录入!$D15="投标保证金",数据录入!$D15="合同履约保证金",ISNUMBER(FIND("保证金",数据录入!$E15))),1,0))</f>
      </c>
      <c r="R15" s="44">
        <f>IF(AND($Q15=1,数据录入!$B15&gt;=$B$2,数据录入!$B15&lt;=$D$2),N(R14)+1,N(R14))</f>
      </c>
      <c r="S15" s="44">
        <f>IFERROR(MATCH(8,$R$5:$R$4999,0),"")</f>
      </c>
      <c r="U15" s="44">
        <f>IFERROR(IF(8&lt;=50,INDEX(基础资料!$E$2:$E$51,8)&amp;"",INDEX(基础资料!$G$2:$G$51,8-50)&amp;""),"")</f>
      </c>
      <c r="V15" s="44">
        <f>IF($U15="",0,IF(AND(8&gt;50,COUNTIF(基础资料!$E$2:$E$51,$U15)&gt;0),0,1))</f>
      </c>
      <c r="W15" s="44">
        <f>IF($V15=1,N(W14)+1,N(W14))</f>
      </c>
    </row>
    <row r="16" s="44" customFormat="1" spans="1:23">
      <c r="A16" s="116">
        <f>IF($S16="","",INDEX(数据录入!$B$5:$B$4999,$S16))</f>
      </c>
      <c r="B16" s="44">
        <f>IF($S16="","",INDEX(数据录入!$C$5:$C$4999,$S16)&amp;"")</f>
      </c>
      <c r="C16" s="165">
        <f>IF($S16="","",IF(N($F16)&gt;0,"收款",IF(N($G16)&gt;0,"付款","")))</f>
      </c>
      <c r="D16" s="44">
        <f>IF($S16="","",IF((INDEX(数据录入!$I$5:$I$4999,$S16)&amp;"")&lt;&gt;"",INDEX(数据录入!$I$5:$I$4999,$S16)&amp;"",INDEX(数据录入!$J$5:$J$4999,$S16)&amp;""))</f>
      </c>
      <c r="E16" s="108">
        <f>IF($S16="","",INDEX(数据录入!$E$5:$E$4999,$S16)&amp;"")</f>
      </c>
      <c r="F16" s="114">
        <f>IF($S16="","",N(INDEX(数据录入!$F$5:$F$4999,$S16)))</f>
      </c>
      <c r="G16" s="114">
        <f>IF($S16="","",N(INDEX(数据录入!$G$5:$G$4999,$S16)))</f>
      </c>
      <c r="H16" s="114">
        <f>IF($S16="","",$G$2+SUM($F$8:$F16)-SUM($G$8:$G16))</f>
      </c>
      <c r="J16" s="165">
        <f>IF($K16="","",9)</f>
      </c>
      <c r="K16" s="44">
        <f>IFERROR(INDEX($U$8:$U$107,MATCH(9,$W$8:$W$107,0)),"")</f>
      </c>
      <c r="L16" s="114">
        <f>IF($K16="","",(SUMIFS(数据录入!$F$5:$F$4999,$Q$5:$Q$4999,1,数据录入!$B$5:$B$4999,"&lt;"&amp;$B$2,数据录入!$I$5:$I$4999,$K16)+SUMIFS(数据录入!$F$5:$F$4999,$Q$5:$Q$4999,1,数据录入!$B$5:$B$4999,"&lt;"&amp;$B$2,数据录入!$J$5:$J$4999,$K16))-(SUMIFS(数据录入!$G$5:$G$4999,$Q$5:$Q$4999,1,数据录入!$B$5:$B$4999,"&lt;"&amp;$B$2,数据录入!$I$5:$I$4999,$K16)+SUMIFS(数据录入!$G$5:$G$4999,$Q$5:$Q$4999,1,数据录入!$B$5:$B$4999,"&lt;"&amp;$B$2,数据录入!$J$5:$J$4999,$K16)))</f>
      </c>
      <c r="M16" s="114">
        <f>IF($K16="","",SUMIFS(数据录入!$F$5:$F$4999,$Q$5:$Q$4999,1,数据录入!$B$5:$B$4999,"&gt;="&amp;$B$2,数据录入!$B$5:$B$4999,"&lt;="&amp;$D$2,数据录入!$I$5:$I$4999,$K16)+SUMIFS(数据录入!$F$5:$F$4999,$Q$5:$Q$4999,1,数据录入!$B$5:$B$4999,"&gt;="&amp;$B$2,数据录入!$B$5:$B$4999,"&lt;="&amp;$D$2,数据录入!$J$5:$J$4999,$K16))</f>
      </c>
      <c r="N16" s="114">
        <f>IF($K16="","",SUMIFS(数据录入!$G$5:$G$4999,$Q$5:$Q$4999,1,数据录入!$B$5:$B$4999,"&gt;="&amp;$B$2,数据录入!$B$5:$B$4999,"&lt;="&amp;$D$2,数据录入!$I$5:$I$4999,$K16)+SUMIFS(数据录入!$G$5:$G$4999,$Q$5:$Q$4999,1,数据录入!$B$5:$B$4999,"&gt;="&amp;$B$2,数据录入!$B$5:$B$4999,"&lt;="&amp;$D$2,数据录入!$J$5:$J$4999,$K16))</f>
      </c>
      <c r="O16" s="114">
        <f>IF($K16="","",L16+M16-N16)</f>
      </c>
      <c r="Q16" s="44">
        <f>IF(数据录入!$B16="",0,IF(OR(数据录入!$D16="投标保证金",数据录入!$D16="合同履约保证金",ISNUMBER(FIND("保证金",数据录入!$E16))),1,0))</f>
      </c>
      <c r="R16" s="44">
        <f>IF(AND($Q16=1,数据录入!$B16&gt;=$B$2,数据录入!$B16&lt;=$D$2),N(R15)+1,N(R15))</f>
      </c>
      <c r="S16" s="44">
        <f>IFERROR(MATCH(9,$R$5:$R$4999,0),"")</f>
      </c>
      <c r="U16" s="44">
        <f>IFERROR(IF(9&lt;=50,INDEX(基础资料!$E$2:$E$51,9)&amp;"",INDEX(基础资料!$G$2:$G$51,9-50)&amp;""),"")</f>
      </c>
      <c r="V16" s="44">
        <f>IF($U16="",0,IF(AND(9&gt;50,COUNTIF(基础资料!$E$2:$E$51,$U16)&gt;0),0,1))</f>
      </c>
      <c r="W16" s="44">
        <f>IF($V16=1,N(W15)+1,N(W15))</f>
      </c>
    </row>
    <row r="17" s="44" customFormat="1" spans="1:23">
      <c r="A17" s="116">
        <f>IF($S17="","",INDEX(数据录入!$B$5:$B$4999,$S17))</f>
      </c>
      <c r="B17" s="44">
        <f>IF($S17="","",INDEX(数据录入!$C$5:$C$4999,$S17)&amp;"")</f>
      </c>
      <c r="C17" s="165">
        <f>IF($S17="","",IF(N($F17)&gt;0,"收款",IF(N($G17)&gt;0,"付款","")))</f>
      </c>
      <c r="D17" s="44">
        <f>IF($S17="","",IF((INDEX(数据录入!$I$5:$I$4999,$S17)&amp;"")&lt;&gt;"",INDEX(数据录入!$I$5:$I$4999,$S17)&amp;"",INDEX(数据录入!$J$5:$J$4999,$S17)&amp;""))</f>
      </c>
      <c r="E17" s="108">
        <f>IF($S17="","",INDEX(数据录入!$E$5:$E$4999,$S17)&amp;"")</f>
      </c>
      <c r="F17" s="114">
        <f>IF($S17="","",N(INDEX(数据录入!$F$5:$F$4999,$S17)))</f>
      </c>
      <c r="G17" s="114">
        <f>IF($S17="","",N(INDEX(数据录入!$G$5:$G$4999,$S17)))</f>
      </c>
      <c r="H17" s="114">
        <f>IF($S17="","",$G$2+SUM($F$8:$F17)-SUM($G$8:$G17))</f>
      </c>
      <c r="J17" s="165">
        <f>IF($K17="","",10)</f>
      </c>
      <c r="K17" s="44">
        <f>IFERROR(INDEX($U$8:$U$107,MATCH(10,$W$8:$W$107,0)),"")</f>
      </c>
      <c r="L17" s="114">
        <f>IF($K17="","",(SUMIFS(数据录入!$F$5:$F$4999,$Q$5:$Q$4999,1,数据录入!$B$5:$B$4999,"&lt;"&amp;$B$2,数据录入!$I$5:$I$4999,$K17)+SUMIFS(数据录入!$F$5:$F$4999,$Q$5:$Q$4999,1,数据录入!$B$5:$B$4999,"&lt;"&amp;$B$2,数据录入!$J$5:$J$4999,$K17))-(SUMIFS(数据录入!$G$5:$G$4999,$Q$5:$Q$4999,1,数据录入!$B$5:$B$4999,"&lt;"&amp;$B$2,数据录入!$I$5:$I$4999,$K17)+SUMIFS(数据录入!$G$5:$G$4999,$Q$5:$Q$4999,1,数据录入!$B$5:$B$4999,"&lt;"&amp;$B$2,数据录入!$J$5:$J$4999,$K17)))</f>
      </c>
      <c r="M17" s="114">
        <f>IF($K17="","",SUMIFS(数据录入!$F$5:$F$4999,$Q$5:$Q$4999,1,数据录入!$B$5:$B$4999,"&gt;="&amp;$B$2,数据录入!$B$5:$B$4999,"&lt;="&amp;$D$2,数据录入!$I$5:$I$4999,$K17)+SUMIFS(数据录入!$F$5:$F$4999,$Q$5:$Q$4999,1,数据录入!$B$5:$B$4999,"&gt;="&amp;$B$2,数据录入!$B$5:$B$4999,"&lt;="&amp;$D$2,数据录入!$J$5:$J$4999,$K17))</f>
      </c>
      <c r="N17" s="114">
        <f>IF($K17="","",SUMIFS(数据录入!$G$5:$G$4999,$Q$5:$Q$4999,1,数据录入!$B$5:$B$4999,"&gt;="&amp;$B$2,数据录入!$B$5:$B$4999,"&lt;="&amp;$D$2,数据录入!$I$5:$I$4999,$K17)+SUMIFS(数据录入!$G$5:$G$4999,$Q$5:$Q$4999,1,数据录入!$B$5:$B$4999,"&gt;="&amp;$B$2,数据录入!$B$5:$B$4999,"&lt;="&amp;$D$2,数据录入!$J$5:$J$4999,$K17))</f>
      </c>
      <c r="O17" s="114">
        <f>IF($K17="","",L17+M17-N17)</f>
      </c>
      <c r="Q17" s="44">
        <f>IF(数据录入!$B17="",0,IF(OR(数据录入!$D17="投标保证金",数据录入!$D17="合同履约保证金",ISNUMBER(FIND("保证金",数据录入!$E17))),1,0))</f>
      </c>
      <c r="R17" s="44">
        <f>IF(AND($Q17=1,数据录入!$B17&gt;=$B$2,数据录入!$B17&lt;=$D$2),N(R16)+1,N(R16))</f>
      </c>
      <c r="S17" s="44">
        <f>IFERROR(MATCH(10,$R$5:$R$4999,0),"")</f>
      </c>
      <c r="U17" s="44">
        <f>IFERROR(IF(10&lt;=50,INDEX(基础资料!$E$2:$E$51,10)&amp;"",INDEX(基础资料!$G$2:$G$51,10-50)&amp;""),"")</f>
      </c>
      <c r="V17" s="44">
        <f>IF($U17="",0,IF(AND(10&gt;50,COUNTIF(基础资料!$E$2:$E$51,$U17)&gt;0),0,1))</f>
      </c>
      <c r="W17" s="44">
        <f>IF($V17=1,N(W16)+1,N(W16))</f>
      </c>
    </row>
    <row r="18" s="44" customFormat="1" spans="1:23">
      <c r="A18" s="116">
        <f>IF($S18="","",INDEX(数据录入!$B$5:$B$4999,$S18))</f>
      </c>
      <c r="B18" s="44">
        <f>IF($S18="","",INDEX(数据录入!$C$5:$C$4999,$S18)&amp;"")</f>
      </c>
      <c r="C18" s="165">
        <f>IF($S18="","",IF(N($F18)&gt;0,"收款",IF(N($G18)&gt;0,"付款","")))</f>
      </c>
      <c r="D18" s="44">
        <f>IF($S18="","",IF((INDEX(数据录入!$I$5:$I$4999,$S18)&amp;"")&lt;&gt;"",INDEX(数据录入!$I$5:$I$4999,$S18)&amp;"",INDEX(数据录入!$J$5:$J$4999,$S18)&amp;""))</f>
      </c>
      <c r="E18" s="108">
        <f>IF($S18="","",INDEX(数据录入!$E$5:$E$4999,$S18)&amp;"")</f>
      </c>
      <c r="F18" s="114">
        <f>IF($S18="","",N(INDEX(数据录入!$F$5:$F$4999,$S18)))</f>
      </c>
      <c r="G18" s="114">
        <f>IF($S18="","",N(INDEX(数据录入!$G$5:$G$4999,$S18)))</f>
      </c>
      <c r="H18" s="114">
        <f>IF($S18="","",$G$2+SUM($F$8:$F18)-SUM($G$8:$G18))</f>
      </c>
      <c r="J18" s="165">
        <f>IF($K18="","",11)</f>
      </c>
      <c r="K18" s="44">
        <f>IFERROR(INDEX($U$8:$U$107,MATCH(11,$W$8:$W$107,0)),"")</f>
      </c>
      <c r="L18" s="114">
        <f>IF($K18="","",(SUMIFS(数据录入!$F$5:$F$4999,$Q$5:$Q$4999,1,数据录入!$B$5:$B$4999,"&lt;"&amp;$B$2,数据录入!$I$5:$I$4999,$K18)+SUMIFS(数据录入!$F$5:$F$4999,$Q$5:$Q$4999,1,数据录入!$B$5:$B$4999,"&lt;"&amp;$B$2,数据录入!$J$5:$J$4999,$K18))-(SUMIFS(数据录入!$G$5:$G$4999,$Q$5:$Q$4999,1,数据录入!$B$5:$B$4999,"&lt;"&amp;$B$2,数据录入!$I$5:$I$4999,$K18)+SUMIFS(数据录入!$G$5:$G$4999,$Q$5:$Q$4999,1,数据录入!$B$5:$B$4999,"&lt;"&amp;$B$2,数据录入!$J$5:$J$4999,$K18)))</f>
      </c>
      <c r="M18" s="114">
        <f>IF($K18="","",SUMIFS(数据录入!$F$5:$F$4999,$Q$5:$Q$4999,1,数据录入!$B$5:$B$4999,"&gt;="&amp;$B$2,数据录入!$B$5:$B$4999,"&lt;="&amp;$D$2,数据录入!$I$5:$I$4999,$K18)+SUMIFS(数据录入!$F$5:$F$4999,$Q$5:$Q$4999,1,数据录入!$B$5:$B$4999,"&gt;="&amp;$B$2,数据录入!$B$5:$B$4999,"&lt;="&amp;$D$2,数据录入!$J$5:$J$4999,$K18))</f>
      </c>
      <c r="N18" s="114">
        <f>IF($K18="","",SUMIFS(数据录入!$G$5:$G$4999,$Q$5:$Q$4999,1,数据录入!$B$5:$B$4999,"&gt;="&amp;$B$2,数据录入!$B$5:$B$4999,"&lt;="&amp;$D$2,数据录入!$I$5:$I$4999,$K18)+SUMIFS(数据录入!$G$5:$G$4999,$Q$5:$Q$4999,1,数据录入!$B$5:$B$4999,"&gt;="&amp;$B$2,数据录入!$B$5:$B$4999,"&lt;="&amp;$D$2,数据录入!$J$5:$J$4999,$K18))</f>
      </c>
      <c r="O18" s="114">
        <f>IF($K18="","",L18+M18-N18)</f>
      </c>
      <c r="Q18" s="44">
        <f>IF(数据录入!$B18="",0,IF(OR(数据录入!$D18="投标保证金",数据录入!$D18="合同履约保证金",ISNUMBER(FIND("保证金",数据录入!$E18))),1,0))</f>
      </c>
      <c r="R18" s="44">
        <f>IF(AND($Q18=1,数据录入!$B18&gt;=$B$2,数据录入!$B18&lt;=$D$2),N(R17)+1,N(R17))</f>
      </c>
      <c r="S18" s="44">
        <f>IFERROR(MATCH(11,$R$5:$R$4999,0),"")</f>
      </c>
      <c r="U18" s="44">
        <f>IFERROR(IF(11&lt;=50,INDEX(基础资料!$E$2:$E$51,11)&amp;"",INDEX(基础资料!$G$2:$G$51,11-50)&amp;""),"")</f>
      </c>
      <c r="V18" s="44">
        <f>IF($U18="",0,IF(AND(11&gt;50,COUNTIF(基础资料!$E$2:$E$51,$U18)&gt;0),0,1))</f>
      </c>
      <c r="W18" s="44">
        <f>IF($V18=1,N(W17)+1,N(W17))</f>
      </c>
    </row>
    <row r="19" s="44" customFormat="1" spans="1:23">
      <c r="A19" s="116">
        <f>IF($S19="","",INDEX(数据录入!$B$5:$B$4999,$S19))</f>
      </c>
      <c r="B19" s="44">
        <f>IF($S19="","",INDEX(数据录入!$C$5:$C$4999,$S19)&amp;"")</f>
      </c>
      <c r="C19" s="165">
        <f>IF($S19="","",IF(N($F19)&gt;0,"收款",IF(N($G19)&gt;0,"付款","")))</f>
      </c>
      <c r="D19" s="44">
        <f>IF($S19="","",IF((INDEX(数据录入!$I$5:$I$4999,$S19)&amp;"")&lt;&gt;"",INDEX(数据录入!$I$5:$I$4999,$S19)&amp;"",INDEX(数据录入!$J$5:$J$4999,$S19)&amp;""))</f>
      </c>
      <c r="E19" s="108">
        <f>IF($S19="","",INDEX(数据录入!$E$5:$E$4999,$S19)&amp;"")</f>
      </c>
      <c r="F19" s="114">
        <f>IF($S19="","",N(INDEX(数据录入!$F$5:$F$4999,$S19)))</f>
      </c>
      <c r="G19" s="114">
        <f>IF($S19="","",N(INDEX(数据录入!$G$5:$G$4999,$S19)))</f>
      </c>
      <c r="H19" s="114">
        <f>IF($S19="","",$G$2+SUM($F$8:$F19)-SUM($G$8:$G19))</f>
      </c>
      <c r="J19" s="165">
        <f>IF($K19="","",12)</f>
      </c>
      <c r="K19" s="44">
        <f>IFERROR(INDEX($U$8:$U$107,MATCH(12,$W$8:$W$107,0)),"")</f>
      </c>
      <c r="L19" s="114">
        <f>IF($K19="","",(SUMIFS(数据录入!$F$5:$F$4999,$Q$5:$Q$4999,1,数据录入!$B$5:$B$4999,"&lt;"&amp;$B$2,数据录入!$I$5:$I$4999,$K19)+SUMIFS(数据录入!$F$5:$F$4999,$Q$5:$Q$4999,1,数据录入!$B$5:$B$4999,"&lt;"&amp;$B$2,数据录入!$J$5:$J$4999,$K19))-(SUMIFS(数据录入!$G$5:$G$4999,$Q$5:$Q$4999,1,数据录入!$B$5:$B$4999,"&lt;"&amp;$B$2,数据录入!$I$5:$I$4999,$K19)+SUMIFS(数据录入!$G$5:$G$4999,$Q$5:$Q$4999,1,数据录入!$B$5:$B$4999,"&lt;"&amp;$B$2,数据录入!$J$5:$J$4999,$K19)))</f>
      </c>
      <c r="M19" s="114">
        <f>IF($K19="","",SUMIFS(数据录入!$F$5:$F$4999,$Q$5:$Q$4999,1,数据录入!$B$5:$B$4999,"&gt;="&amp;$B$2,数据录入!$B$5:$B$4999,"&lt;="&amp;$D$2,数据录入!$I$5:$I$4999,$K19)+SUMIFS(数据录入!$F$5:$F$4999,$Q$5:$Q$4999,1,数据录入!$B$5:$B$4999,"&gt;="&amp;$B$2,数据录入!$B$5:$B$4999,"&lt;="&amp;$D$2,数据录入!$J$5:$J$4999,$K19))</f>
      </c>
      <c r="N19" s="114">
        <f>IF($K19="","",SUMIFS(数据录入!$G$5:$G$4999,$Q$5:$Q$4999,1,数据录入!$B$5:$B$4999,"&gt;="&amp;$B$2,数据录入!$B$5:$B$4999,"&lt;="&amp;$D$2,数据录入!$I$5:$I$4999,$K19)+SUMIFS(数据录入!$G$5:$G$4999,$Q$5:$Q$4999,1,数据录入!$B$5:$B$4999,"&gt;="&amp;$B$2,数据录入!$B$5:$B$4999,"&lt;="&amp;$D$2,数据录入!$J$5:$J$4999,$K19))</f>
      </c>
      <c r="O19" s="114">
        <f>IF($K19="","",L19+M19-N19)</f>
      </c>
      <c r="Q19" s="44">
        <f>IF(数据录入!$B19="",0,IF(OR(数据录入!$D19="投标保证金",数据录入!$D19="合同履约保证金",ISNUMBER(FIND("保证金",数据录入!$E19))),1,0))</f>
      </c>
      <c r="R19" s="44">
        <f>IF(AND($Q19=1,数据录入!$B19&gt;=$B$2,数据录入!$B19&lt;=$D$2),N(R18)+1,N(R18))</f>
      </c>
      <c r="S19" s="44">
        <f>IFERROR(MATCH(12,$R$5:$R$4999,0),"")</f>
      </c>
      <c r="U19" s="44">
        <f>IFERROR(IF(12&lt;=50,INDEX(基础资料!$E$2:$E$51,12)&amp;"",INDEX(基础资料!$G$2:$G$51,12-50)&amp;""),"")</f>
      </c>
      <c r="V19" s="44">
        <f>IF($U19="",0,IF(AND(12&gt;50,COUNTIF(基础资料!$E$2:$E$51,$U19)&gt;0),0,1))</f>
      </c>
      <c r="W19" s="44">
        <f>IF($V19=1,N(W18)+1,N(W18))</f>
      </c>
    </row>
    <row r="20" s="44" customFormat="1" spans="1:23">
      <c r="A20" s="116">
        <f>IF($S20="","",INDEX(数据录入!$B$5:$B$4999,$S20))</f>
      </c>
      <c r="B20" s="44">
        <f>IF($S20="","",INDEX(数据录入!$C$5:$C$4999,$S20)&amp;"")</f>
      </c>
      <c r="C20" s="165">
        <f>IF($S20="","",IF(N($F20)&gt;0,"收款",IF(N($G20)&gt;0,"付款","")))</f>
      </c>
      <c r="D20" s="44">
        <f>IF($S20="","",IF((INDEX(数据录入!$I$5:$I$4999,$S20)&amp;"")&lt;&gt;"",INDEX(数据录入!$I$5:$I$4999,$S20)&amp;"",INDEX(数据录入!$J$5:$J$4999,$S20)&amp;""))</f>
      </c>
      <c r="E20" s="108">
        <f>IF($S20="","",INDEX(数据录入!$E$5:$E$4999,$S20)&amp;"")</f>
      </c>
      <c r="F20" s="114">
        <f>IF($S20="","",N(INDEX(数据录入!$F$5:$F$4999,$S20)))</f>
      </c>
      <c r="G20" s="114">
        <f>IF($S20="","",N(INDEX(数据录入!$G$5:$G$4999,$S20)))</f>
      </c>
      <c r="H20" s="114">
        <f>IF($S20="","",$G$2+SUM($F$8:$F20)-SUM($G$8:$G20))</f>
      </c>
      <c r="J20" s="165">
        <f>IF($K20="","",13)</f>
      </c>
      <c r="K20" s="44">
        <f>IFERROR(INDEX($U$8:$U$107,MATCH(13,$W$8:$W$107,0)),"")</f>
      </c>
      <c r="L20" s="114">
        <f>IF($K20="","",(SUMIFS(数据录入!$F$5:$F$4999,$Q$5:$Q$4999,1,数据录入!$B$5:$B$4999,"&lt;"&amp;$B$2,数据录入!$I$5:$I$4999,$K20)+SUMIFS(数据录入!$F$5:$F$4999,$Q$5:$Q$4999,1,数据录入!$B$5:$B$4999,"&lt;"&amp;$B$2,数据录入!$J$5:$J$4999,$K20))-(SUMIFS(数据录入!$G$5:$G$4999,$Q$5:$Q$4999,1,数据录入!$B$5:$B$4999,"&lt;"&amp;$B$2,数据录入!$I$5:$I$4999,$K20)+SUMIFS(数据录入!$G$5:$G$4999,$Q$5:$Q$4999,1,数据录入!$B$5:$B$4999,"&lt;"&amp;$B$2,数据录入!$J$5:$J$4999,$K20)))</f>
      </c>
      <c r="M20" s="114">
        <f>IF($K20="","",SUMIFS(数据录入!$F$5:$F$4999,$Q$5:$Q$4999,1,数据录入!$B$5:$B$4999,"&gt;="&amp;$B$2,数据录入!$B$5:$B$4999,"&lt;="&amp;$D$2,数据录入!$I$5:$I$4999,$K20)+SUMIFS(数据录入!$F$5:$F$4999,$Q$5:$Q$4999,1,数据录入!$B$5:$B$4999,"&gt;="&amp;$B$2,数据录入!$B$5:$B$4999,"&lt;="&amp;$D$2,数据录入!$J$5:$J$4999,$K20))</f>
      </c>
      <c r="N20" s="114">
        <f>IF($K20="","",SUMIFS(数据录入!$G$5:$G$4999,$Q$5:$Q$4999,1,数据录入!$B$5:$B$4999,"&gt;="&amp;$B$2,数据录入!$B$5:$B$4999,"&lt;="&amp;$D$2,数据录入!$I$5:$I$4999,$K20)+SUMIFS(数据录入!$G$5:$G$4999,$Q$5:$Q$4999,1,数据录入!$B$5:$B$4999,"&gt;="&amp;$B$2,数据录入!$B$5:$B$4999,"&lt;="&amp;$D$2,数据录入!$J$5:$J$4999,$K20))</f>
      </c>
      <c r="O20" s="114">
        <f>IF($K20="","",L20+M20-N20)</f>
      </c>
      <c r="Q20" s="44">
        <f>IF(数据录入!$B20="",0,IF(OR(数据录入!$D20="投标保证金",数据录入!$D20="合同履约保证金",ISNUMBER(FIND("保证金",数据录入!$E20))),1,0))</f>
      </c>
      <c r="R20" s="44">
        <f>IF(AND($Q20=1,数据录入!$B20&gt;=$B$2,数据录入!$B20&lt;=$D$2),N(R19)+1,N(R19))</f>
      </c>
      <c r="S20" s="44">
        <f>IFERROR(MATCH(13,$R$5:$R$4999,0),"")</f>
      </c>
      <c r="U20" s="44">
        <f>IFERROR(IF(13&lt;=50,INDEX(基础资料!$E$2:$E$51,13)&amp;"",INDEX(基础资料!$G$2:$G$51,13-50)&amp;""),"")</f>
      </c>
      <c r="V20" s="44">
        <f>IF($U20="",0,IF(AND(13&gt;50,COUNTIF(基础资料!$E$2:$E$51,$U20)&gt;0),0,1))</f>
      </c>
      <c r="W20" s="44">
        <f>IF($V20=1,N(W19)+1,N(W19))</f>
      </c>
    </row>
    <row r="21" s="44" customFormat="1" spans="1:23">
      <c r="A21" s="116">
        <f>IF($S21="","",INDEX(数据录入!$B$5:$B$4999,$S21))</f>
      </c>
      <c r="B21" s="44">
        <f>IF($S21="","",INDEX(数据录入!$C$5:$C$4999,$S21)&amp;"")</f>
      </c>
      <c r="C21" s="165">
        <f>IF($S21="","",IF(N($F21)&gt;0,"收款",IF(N($G21)&gt;0,"付款","")))</f>
      </c>
      <c r="D21" s="44">
        <f>IF($S21="","",IF((INDEX(数据录入!$I$5:$I$4999,$S21)&amp;"")&lt;&gt;"",INDEX(数据录入!$I$5:$I$4999,$S21)&amp;"",INDEX(数据录入!$J$5:$J$4999,$S21)&amp;""))</f>
      </c>
      <c r="E21" s="108">
        <f>IF($S21="","",INDEX(数据录入!$E$5:$E$4999,$S21)&amp;"")</f>
      </c>
      <c r="F21" s="114">
        <f>IF($S21="","",N(INDEX(数据录入!$F$5:$F$4999,$S21)))</f>
      </c>
      <c r="G21" s="114">
        <f>IF($S21="","",N(INDEX(数据录入!$G$5:$G$4999,$S21)))</f>
      </c>
      <c r="H21" s="114">
        <f>IF($S21="","",$G$2+SUM($F$8:$F21)-SUM($G$8:$G21))</f>
      </c>
      <c r="J21" s="165">
        <f>IF($K21="","",14)</f>
      </c>
      <c r="K21" s="44">
        <f>IFERROR(INDEX($U$8:$U$107,MATCH(14,$W$8:$W$107,0)),"")</f>
      </c>
      <c r="L21" s="114">
        <f>IF($K21="","",(SUMIFS(数据录入!$F$5:$F$4999,$Q$5:$Q$4999,1,数据录入!$B$5:$B$4999,"&lt;"&amp;$B$2,数据录入!$I$5:$I$4999,$K21)+SUMIFS(数据录入!$F$5:$F$4999,$Q$5:$Q$4999,1,数据录入!$B$5:$B$4999,"&lt;"&amp;$B$2,数据录入!$J$5:$J$4999,$K21))-(SUMIFS(数据录入!$G$5:$G$4999,$Q$5:$Q$4999,1,数据录入!$B$5:$B$4999,"&lt;"&amp;$B$2,数据录入!$I$5:$I$4999,$K21)+SUMIFS(数据录入!$G$5:$G$4999,$Q$5:$Q$4999,1,数据录入!$B$5:$B$4999,"&lt;"&amp;$B$2,数据录入!$J$5:$J$4999,$K21)))</f>
      </c>
      <c r="M21" s="114">
        <f>IF($K21="","",SUMIFS(数据录入!$F$5:$F$4999,$Q$5:$Q$4999,1,数据录入!$B$5:$B$4999,"&gt;="&amp;$B$2,数据录入!$B$5:$B$4999,"&lt;="&amp;$D$2,数据录入!$I$5:$I$4999,$K21)+SUMIFS(数据录入!$F$5:$F$4999,$Q$5:$Q$4999,1,数据录入!$B$5:$B$4999,"&gt;="&amp;$B$2,数据录入!$B$5:$B$4999,"&lt;="&amp;$D$2,数据录入!$J$5:$J$4999,$K21))</f>
      </c>
      <c r="N21" s="114">
        <f>IF($K21="","",SUMIFS(数据录入!$G$5:$G$4999,$Q$5:$Q$4999,1,数据录入!$B$5:$B$4999,"&gt;="&amp;$B$2,数据录入!$B$5:$B$4999,"&lt;="&amp;$D$2,数据录入!$I$5:$I$4999,$K21)+SUMIFS(数据录入!$G$5:$G$4999,$Q$5:$Q$4999,1,数据录入!$B$5:$B$4999,"&gt;="&amp;$B$2,数据录入!$B$5:$B$4999,"&lt;="&amp;$D$2,数据录入!$J$5:$J$4999,$K21))</f>
      </c>
      <c r="O21" s="114">
        <f>IF($K21="","",L21+M21-N21)</f>
      </c>
      <c r="Q21" s="44">
        <f>IF(数据录入!$B21="",0,IF(OR(数据录入!$D21="投标保证金",数据录入!$D21="合同履约保证金",ISNUMBER(FIND("保证金",数据录入!$E21))),1,0))</f>
      </c>
      <c r="R21" s="44">
        <f>IF(AND($Q21=1,数据录入!$B21&gt;=$B$2,数据录入!$B21&lt;=$D$2),N(R20)+1,N(R20))</f>
      </c>
      <c r="S21" s="44">
        <f>IFERROR(MATCH(14,$R$5:$R$4999,0),"")</f>
      </c>
      <c r="U21" s="44">
        <f>IFERROR(IF(14&lt;=50,INDEX(基础资料!$E$2:$E$51,14)&amp;"",INDEX(基础资料!$G$2:$G$51,14-50)&amp;""),"")</f>
      </c>
      <c r="V21" s="44">
        <f>IF($U21="",0,IF(AND(14&gt;50,COUNTIF(基础资料!$E$2:$E$51,$U21)&gt;0),0,1))</f>
      </c>
      <c r="W21" s="44">
        <f>IF($V21=1,N(W20)+1,N(W20))</f>
      </c>
    </row>
    <row r="22" s="44" customFormat="1" spans="1:23">
      <c r="A22" s="116">
        <f>IF($S22="","",INDEX(数据录入!$B$5:$B$4999,$S22))</f>
      </c>
      <c r="B22" s="44">
        <f>IF($S22="","",INDEX(数据录入!$C$5:$C$4999,$S22)&amp;"")</f>
      </c>
      <c r="C22" s="165">
        <f>IF($S22="","",IF(N($F22)&gt;0,"收款",IF(N($G22)&gt;0,"付款","")))</f>
      </c>
      <c r="D22" s="44">
        <f>IF($S22="","",IF((INDEX(数据录入!$I$5:$I$4999,$S22)&amp;"")&lt;&gt;"",INDEX(数据录入!$I$5:$I$4999,$S22)&amp;"",INDEX(数据录入!$J$5:$J$4999,$S22)&amp;""))</f>
      </c>
      <c r="E22" s="108">
        <f>IF($S22="","",INDEX(数据录入!$E$5:$E$4999,$S22)&amp;"")</f>
      </c>
      <c r="F22" s="114">
        <f>IF($S22="","",N(INDEX(数据录入!$F$5:$F$4999,$S22)))</f>
      </c>
      <c r="G22" s="114">
        <f>IF($S22="","",N(INDEX(数据录入!$G$5:$G$4999,$S22)))</f>
      </c>
      <c r="H22" s="114">
        <f>IF($S22="","",$G$2+SUM($F$8:$F22)-SUM($G$8:$G22))</f>
      </c>
      <c r="J22" s="165">
        <f>IF($K22="","",15)</f>
      </c>
      <c r="K22" s="44">
        <f>IFERROR(INDEX($U$8:$U$107,MATCH(15,$W$8:$W$107,0)),"")</f>
      </c>
      <c r="L22" s="114">
        <f>IF($K22="","",(SUMIFS(数据录入!$F$5:$F$4999,$Q$5:$Q$4999,1,数据录入!$B$5:$B$4999,"&lt;"&amp;$B$2,数据录入!$I$5:$I$4999,$K22)+SUMIFS(数据录入!$F$5:$F$4999,$Q$5:$Q$4999,1,数据录入!$B$5:$B$4999,"&lt;"&amp;$B$2,数据录入!$J$5:$J$4999,$K22))-(SUMIFS(数据录入!$G$5:$G$4999,$Q$5:$Q$4999,1,数据录入!$B$5:$B$4999,"&lt;"&amp;$B$2,数据录入!$I$5:$I$4999,$K22)+SUMIFS(数据录入!$G$5:$G$4999,$Q$5:$Q$4999,1,数据录入!$B$5:$B$4999,"&lt;"&amp;$B$2,数据录入!$J$5:$J$4999,$K22)))</f>
      </c>
      <c r="M22" s="114">
        <f>IF($K22="","",SUMIFS(数据录入!$F$5:$F$4999,$Q$5:$Q$4999,1,数据录入!$B$5:$B$4999,"&gt;="&amp;$B$2,数据录入!$B$5:$B$4999,"&lt;="&amp;$D$2,数据录入!$I$5:$I$4999,$K22)+SUMIFS(数据录入!$F$5:$F$4999,$Q$5:$Q$4999,1,数据录入!$B$5:$B$4999,"&gt;="&amp;$B$2,数据录入!$B$5:$B$4999,"&lt;="&amp;$D$2,数据录入!$J$5:$J$4999,$K22))</f>
      </c>
      <c r="N22" s="114">
        <f>IF($K22="","",SUMIFS(数据录入!$G$5:$G$4999,$Q$5:$Q$4999,1,数据录入!$B$5:$B$4999,"&gt;="&amp;$B$2,数据录入!$B$5:$B$4999,"&lt;="&amp;$D$2,数据录入!$I$5:$I$4999,$K22)+SUMIFS(数据录入!$G$5:$G$4999,$Q$5:$Q$4999,1,数据录入!$B$5:$B$4999,"&gt;="&amp;$B$2,数据录入!$B$5:$B$4999,"&lt;="&amp;$D$2,数据录入!$J$5:$J$4999,$K22))</f>
      </c>
      <c r="O22" s="114">
        <f>IF($K22="","",L22+M22-N22)</f>
      </c>
      <c r="Q22" s="44">
        <f>IF(数据录入!$B22="",0,IF(OR(数据录入!$D22="投标保证金",数据录入!$D22="合同履约保证金",ISNUMBER(FIND("保证金",数据录入!$E22))),1,0))</f>
      </c>
      <c r="R22" s="44">
        <f>IF(AND($Q22=1,数据录入!$B22&gt;=$B$2,数据录入!$B22&lt;=$D$2),N(R21)+1,N(R21))</f>
      </c>
      <c r="S22" s="44">
        <f>IFERROR(MATCH(15,$R$5:$R$4999,0),"")</f>
      </c>
      <c r="U22" s="44">
        <f>IFERROR(IF(15&lt;=50,INDEX(基础资料!$E$2:$E$51,15)&amp;"",INDEX(基础资料!$G$2:$G$51,15-50)&amp;""),"")</f>
      </c>
      <c r="V22" s="44">
        <f>IF($U22="",0,IF(AND(15&gt;50,COUNTIF(基础资料!$E$2:$E$51,$U22)&gt;0),0,1))</f>
      </c>
      <c r="W22" s="44">
        <f>IF($V22=1,N(W21)+1,N(W21))</f>
      </c>
    </row>
    <row r="23" s="44" customFormat="1" spans="1:23">
      <c r="A23" s="116">
        <f>IF($S23="","",INDEX(数据录入!$B$5:$B$4999,$S23))</f>
      </c>
      <c r="B23" s="44">
        <f>IF($S23="","",INDEX(数据录入!$C$5:$C$4999,$S23)&amp;"")</f>
      </c>
      <c r="C23" s="165">
        <f>IF($S23="","",IF(N($F23)&gt;0,"收款",IF(N($G23)&gt;0,"付款","")))</f>
      </c>
      <c r="D23" s="44">
        <f>IF($S23="","",IF((INDEX(数据录入!$I$5:$I$4999,$S23)&amp;"")&lt;&gt;"",INDEX(数据录入!$I$5:$I$4999,$S23)&amp;"",INDEX(数据录入!$J$5:$J$4999,$S23)&amp;""))</f>
      </c>
      <c r="E23" s="108">
        <f>IF($S23="","",INDEX(数据录入!$E$5:$E$4999,$S23)&amp;"")</f>
      </c>
      <c r="F23" s="114">
        <f>IF($S23="","",N(INDEX(数据录入!$F$5:$F$4999,$S23)))</f>
      </c>
      <c r="G23" s="114">
        <f>IF($S23="","",N(INDEX(数据录入!$G$5:$G$4999,$S23)))</f>
      </c>
      <c r="H23" s="114">
        <f>IF($S23="","",$G$2+SUM($F$8:$F23)-SUM($G$8:$G23))</f>
      </c>
      <c r="J23" s="165">
        <f>IF($K23="","",16)</f>
      </c>
      <c r="K23" s="44">
        <f>IFERROR(INDEX($U$8:$U$107,MATCH(16,$W$8:$W$107,0)),"")</f>
      </c>
      <c r="L23" s="114">
        <f>IF($K23="","",(SUMIFS(数据录入!$F$5:$F$4999,$Q$5:$Q$4999,1,数据录入!$B$5:$B$4999,"&lt;"&amp;$B$2,数据录入!$I$5:$I$4999,$K23)+SUMIFS(数据录入!$F$5:$F$4999,$Q$5:$Q$4999,1,数据录入!$B$5:$B$4999,"&lt;"&amp;$B$2,数据录入!$J$5:$J$4999,$K23))-(SUMIFS(数据录入!$G$5:$G$4999,$Q$5:$Q$4999,1,数据录入!$B$5:$B$4999,"&lt;"&amp;$B$2,数据录入!$I$5:$I$4999,$K23)+SUMIFS(数据录入!$G$5:$G$4999,$Q$5:$Q$4999,1,数据录入!$B$5:$B$4999,"&lt;"&amp;$B$2,数据录入!$J$5:$J$4999,$K23)))</f>
      </c>
      <c r="M23" s="114">
        <f>IF($K23="","",SUMIFS(数据录入!$F$5:$F$4999,$Q$5:$Q$4999,1,数据录入!$B$5:$B$4999,"&gt;="&amp;$B$2,数据录入!$B$5:$B$4999,"&lt;="&amp;$D$2,数据录入!$I$5:$I$4999,$K23)+SUMIFS(数据录入!$F$5:$F$4999,$Q$5:$Q$4999,1,数据录入!$B$5:$B$4999,"&gt;="&amp;$B$2,数据录入!$B$5:$B$4999,"&lt;="&amp;$D$2,数据录入!$J$5:$J$4999,$K23))</f>
      </c>
      <c r="N23" s="114">
        <f>IF($K23="","",SUMIFS(数据录入!$G$5:$G$4999,$Q$5:$Q$4999,1,数据录入!$B$5:$B$4999,"&gt;="&amp;$B$2,数据录入!$B$5:$B$4999,"&lt;="&amp;$D$2,数据录入!$I$5:$I$4999,$K23)+SUMIFS(数据录入!$G$5:$G$4999,$Q$5:$Q$4999,1,数据录入!$B$5:$B$4999,"&gt;="&amp;$B$2,数据录入!$B$5:$B$4999,"&lt;="&amp;$D$2,数据录入!$J$5:$J$4999,$K23))</f>
      </c>
      <c r="O23" s="114">
        <f>IF($K23="","",L23+M23-N23)</f>
      </c>
      <c r="Q23" s="44">
        <f>IF(数据录入!$B23="",0,IF(OR(数据录入!$D23="投标保证金",数据录入!$D23="合同履约保证金",ISNUMBER(FIND("保证金",数据录入!$E23))),1,0))</f>
      </c>
      <c r="R23" s="44">
        <f>IF(AND($Q23=1,数据录入!$B23&gt;=$B$2,数据录入!$B23&lt;=$D$2),N(R22)+1,N(R22))</f>
      </c>
      <c r="S23" s="44">
        <f>IFERROR(MATCH(16,$R$5:$R$4999,0),"")</f>
      </c>
      <c r="U23" s="44">
        <f>IFERROR(IF(16&lt;=50,INDEX(基础资料!$E$2:$E$51,16)&amp;"",INDEX(基础资料!$G$2:$G$51,16-50)&amp;""),"")</f>
      </c>
      <c r="V23" s="44">
        <f>IF($U23="",0,IF(AND(16&gt;50,COUNTIF(基础资料!$E$2:$E$51,$U23)&gt;0),0,1))</f>
      </c>
      <c r="W23" s="44">
        <f>IF($V23=1,N(W22)+1,N(W22))</f>
      </c>
    </row>
    <row r="24" s="44" customFormat="1" spans="1:23">
      <c r="A24" s="116">
        <f>IF($S24="","",INDEX(数据录入!$B$5:$B$4999,$S24))</f>
      </c>
      <c r="B24" s="44">
        <f>IF($S24="","",INDEX(数据录入!$C$5:$C$4999,$S24)&amp;"")</f>
      </c>
      <c r="C24" s="165">
        <f>IF($S24="","",IF(N($F24)&gt;0,"收款",IF(N($G24)&gt;0,"付款","")))</f>
      </c>
      <c r="D24" s="44">
        <f>IF($S24="","",IF((INDEX(数据录入!$I$5:$I$4999,$S24)&amp;"")&lt;&gt;"",INDEX(数据录入!$I$5:$I$4999,$S24)&amp;"",INDEX(数据录入!$J$5:$J$4999,$S24)&amp;""))</f>
      </c>
      <c r="E24" s="108">
        <f>IF($S24="","",INDEX(数据录入!$E$5:$E$4999,$S24)&amp;"")</f>
      </c>
      <c r="F24" s="114">
        <f>IF($S24="","",N(INDEX(数据录入!$F$5:$F$4999,$S24)))</f>
      </c>
      <c r="G24" s="114">
        <f>IF($S24="","",N(INDEX(数据录入!$G$5:$G$4999,$S24)))</f>
      </c>
      <c r="H24" s="114">
        <f>IF($S24="","",$G$2+SUM($F$8:$F24)-SUM($G$8:$G24))</f>
      </c>
      <c r="J24" s="165">
        <f>IF($K24="","",17)</f>
      </c>
      <c r="K24" s="44">
        <f>IFERROR(INDEX($U$8:$U$107,MATCH(17,$W$8:$W$107,0)),"")</f>
      </c>
      <c r="L24" s="114">
        <f>IF($K24="","",(SUMIFS(数据录入!$F$5:$F$4999,$Q$5:$Q$4999,1,数据录入!$B$5:$B$4999,"&lt;"&amp;$B$2,数据录入!$I$5:$I$4999,$K24)+SUMIFS(数据录入!$F$5:$F$4999,$Q$5:$Q$4999,1,数据录入!$B$5:$B$4999,"&lt;"&amp;$B$2,数据录入!$J$5:$J$4999,$K24))-(SUMIFS(数据录入!$G$5:$G$4999,$Q$5:$Q$4999,1,数据录入!$B$5:$B$4999,"&lt;"&amp;$B$2,数据录入!$I$5:$I$4999,$K24)+SUMIFS(数据录入!$G$5:$G$4999,$Q$5:$Q$4999,1,数据录入!$B$5:$B$4999,"&lt;"&amp;$B$2,数据录入!$J$5:$J$4999,$K24)))</f>
      </c>
      <c r="M24" s="114">
        <f>IF($K24="","",SUMIFS(数据录入!$F$5:$F$4999,$Q$5:$Q$4999,1,数据录入!$B$5:$B$4999,"&gt;="&amp;$B$2,数据录入!$B$5:$B$4999,"&lt;="&amp;$D$2,数据录入!$I$5:$I$4999,$K24)+SUMIFS(数据录入!$F$5:$F$4999,$Q$5:$Q$4999,1,数据录入!$B$5:$B$4999,"&gt;="&amp;$B$2,数据录入!$B$5:$B$4999,"&lt;="&amp;$D$2,数据录入!$J$5:$J$4999,$K24))</f>
      </c>
      <c r="N24" s="114">
        <f>IF($K24="","",SUMIFS(数据录入!$G$5:$G$4999,$Q$5:$Q$4999,1,数据录入!$B$5:$B$4999,"&gt;="&amp;$B$2,数据录入!$B$5:$B$4999,"&lt;="&amp;$D$2,数据录入!$I$5:$I$4999,$K24)+SUMIFS(数据录入!$G$5:$G$4999,$Q$5:$Q$4999,1,数据录入!$B$5:$B$4999,"&gt;="&amp;$B$2,数据录入!$B$5:$B$4999,"&lt;="&amp;$D$2,数据录入!$J$5:$J$4999,$K24))</f>
      </c>
      <c r="O24" s="114">
        <f>IF($K24="","",L24+M24-N24)</f>
      </c>
      <c r="Q24" s="44">
        <f>IF(数据录入!$B24="",0,IF(OR(数据录入!$D24="投标保证金",数据录入!$D24="合同履约保证金",ISNUMBER(FIND("保证金",数据录入!$E24))),1,0))</f>
      </c>
      <c r="R24" s="44">
        <f>IF(AND($Q24=1,数据录入!$B24&gt;=$B$2,数据录入!$B24&lt;=$D$2),N(R23)+1,N(R23))</f>
      </c>
      <c r="S24" s="44">
        <f>IFERROR(MATCH(17,$R$5:$R$4999,0),"")</f>
      </c>
      <c r="U24" s="44">
        <f>IFERROR(IF(17&lt;=50,INDEX(基础资料!$E$2:$E$51,17)&amp;"",INDEX(基础资料!$G$2:$G$51,17-50)&amp;""),"")</f>
      </c>
      <c r="V24" s="44">
        <f>IF($U24="",0,IF(AND(17&gt;50,COUNTIF(基础资料!$E$2:$E$51,$U24)&gt;0),0,1))</f>
      </c>
      <c r="W24" s="44">
        <f>IF($V24=1,N(W23)+1,N(W23))</f>
      </c>
    </row>
    <row r="25" s="44" customFormat="1" spans="1:23">
      <c r="A25" s="116">
        <f>IF($S25="","",INDEX(数据录入!$B$5:$B$4999,$S25))</f>
      </c>
      <c r="B25" s="44">
        <f>IF($S25="","",INDEX(数据录入!$C$5:$C$4999,$S25)&amp;"")</f>
      </c>
      <c r="C25" s="165">
        <f>IF($S25="","",IF(N($F25)&gt;0,"收款",IF(N($G25)&gt;0,"付款","")))</f>
      </c>
      <c r="D25" s="44">
        <f>IF($S25="","",IF((INDEX(数据录入!$I$5:$I$4999,$S25)&amp;"")&lt;&gt;"",INDEX(数据录入!$I$5:$I$4999,$S25)&amp;"",INDEX(数据录入!$J$5:$J$4999,$S25)&amp;""))</f>
      </c>
      <c r="E25" s="108">
        <f>IF($S25="","",INDEX(数据录入!$E$5:$E$4999,$S25)&amp;"")</f>
      </c>
      <c r="F25" s="114">
        <f>IF($S25="","",N(INDEX(数据录入!$F$5:$F$4999,$S25)))</f>
      </c>
      <c r="G25" s="114">
        <f>IF($S25="","",N(INDEX(数据录入!$G$5:$G$4999,$S25)))</f>
      </c>
      <c r="H25" s="114">
        <f>IF($S25="","",$G$2+SUM($F$8:$F25)-SUM($G$8:$G25))</f>
      </c>
      <c r="J25" s="165">
        <f>IF($K25="","",18)</f>
      </c>
      <c r="K25" s="44">
        <f>IFERROR(INDEX($U$8:$U$107,MATCH(18,$W$8:$W$107,0)),"")</f>
      </c>
      <c r="L25" s="114">
        <f>IF($K25="","",(SUMIFS(数据录入!$F$5:$F$4999,$Q$5:$Q$4999,1,数据录入!$B$5:$B$4999,"&lt;"&amp;$B$2,数据录入!$I$5:$I$4999,$K25)+SUMIFS(数据录入!$F$5:$F$4999,$Q$5:$Q$4999,1,数据录入!$B$5:$B$4999,"&lt;"&amp;$B$2,数据录入!$J$5:$J$4999,$K25))-(SUMIFS(数据录入!$G$5:$G$4999,$Q$5:$Q$4999,1,数据录入!$B$5:$B$4999,"&lt;"&amp;$B$2,数据录入!$I$5:$I$4999,$K25)+SUMIFS(数据录入!$G$5:$G$4999,$Q$5:$Q$4999,1,数据录入!$B$5:$B$4999,"&lt;"&amp;$B$2,数据录入!$J$5:$J$4999,$K25)))</f>
      </c>
      <c r="M25" s="114">
        <f>IF($K25="","",SUMIFS(数据录入!$F$5:$F$4999,$Q$5:$Q$4999,1,数据录入!$B$5:$B$4999,"&gt;="&amp;$B$2,数据录入!$B$5:$B$4999,"&lt;="&amp;$D$2,数据录入!$I$5:$I$4999,$K25)+SUMIFS(数据录入!$F$5:$F$4999,$Q$5:$Q$4999,1,数据录入!$B$5:$B$4999,"&gt;="&amp;$B$2,数据录入!$B$5:$B$4999,"&lt;="&amp;$D$2,数据录入!$J$5:$J$4999,$K25))</f>
      </c>
      <c r="N25" s="114">
        <f>IF($K25="","",SUMIFS(数据录入!$G$5:$G$4999,$Q$5:$Q$4999,1,数据录入!$B$5:$B$4999,"&gt;="&amp;$B$2,数据录入!$B$5:$B$4999,"&lt;="&amp;$D$2,数据录入!$I$5:$I$4999,$K25)+SUMIFS(数据录入!$G$5:$G$4999,$Q$5:$Q$4999,1,数据录入!$B$5:$B$4999,"&gt;="&amp;$B$2,数据录入!$B$5:$B$4999,"&lt;="&amp;$D$2,数据录入!$J$5:$J$4999,$K25))</f>
      </c>
      <c r="O25" s="114">
        <f>IF($K25="","",L25+M25-N25)</f>
      </c>
      <c r="Q25" s="44">
        <f>IF(数据录入!$B25="",0,IF(OR(数据录入!$D25="投标保证金",数据录入!$D25="合同履约保证金",ISNUMBER(FIND("保证金",数据录入!$E25))),1,0))</f>
      </c>
      <c r="R25" s="44">
        <f>IF(AND($Q25=1,数据录入!$B25&gt;=$B$2,数据录入!$B25&lt;=$D$2),N(R24)+1,N(R24))</f>
      </c>
      <c r="S25" s="44">
        <f>IFERROR(MATCH(18,$R$5:$R$4999,0),"")</f>
      </c>
      <c r="U25" s="44">
        <f>IFERROR(IF(18&lt;=50,INDEX(基础资料!$E$2:$E$51,18)&amp;"",INDEX(基础资料!$G$2:$G$51,18-50)&amp;""),"")</f>
      </c>
      <c r="V25" s="44">
        <f>IF($U25="",0,IF(AND(18&gt;50,COUNTIF(基础资料!$E$2:$E$51,$U25)&gt;0),0,1))</f>
      </c>
      <c r="W25" s="44">
        <f>IF($V25=1,N(W24)+1,N(W24))</f>
      </c>
    </row>
    <row r="26" s="44" customFormat="1" spans="1:23">
      <c r="A26" s="116">
        <f>IF($S26="","",INDEX(数据录入!$B$5:$B$4999,$S26))</f>
      </c>
      <c r="B26" s="44">
        <f>IF($S26="","",INDEX(数据录入!$C$5:$C$4999,$S26)&amp;"")</f>
      </c>
      <c r="C26" s="165">
        <f>IF($S26="","",IF(N($F26)&gt;0,"收款",IF(N($G26)&gt;0,"付款","")))</f>
      </c>
      <c r="D26" s="44">
        <f>IF($S26="","",IF((INDEX(数据录入!$I$5:$I$4999,$S26)&amp;"")&lt;&gt;"",INDEX(数据录入!$I$5:$I$4999,$S26)&amp;"",INDEX(数据录入!$J$5:$J$4999,$S26)&amp;""))</f>
      </c>
      <c r="E26" s="108">
        <f>IF($S26="","",INDEX(数据录入!$E$5:$E$4999,$S26)&amp;"")</f>
      </c>
      <c r="F26" s="114">
        <f>IF($S26="","",N(INDEX(数据录入!$F$5:$F$4999,$S26)))</f>
      </c>
      <c r="G26" s="114">
        <f>IF($S26="","",N(INDEX(数据录入!$G$5:$G$4999,$S26)))</f>
      </c>
      <c r="H26" s="114">
        <f>IF($S26="","",$G$2+SUM($F$8:$F26)-SUM($G$8:$G26))</f>
      </c>
      <c r="J26" s="165">
        <f>IF($K26="","",19)</f>
      </c>
      <c r="K26" s="44">
        <f>IFERROR(INDEX($U$8:$U$107,MATCH(19,$W$8:$W$107,0)),"")</f>
      </c>
      <c r="L26" s="114">
        <f>IF($K26="","",(SUMIFS(数据录入!$F$5:$F$4999,$Q$5:$Q$4999,1,数据录入!$B$5:$B$4999,"&lt;"&amp;$B$2,数据录入!$I$5:$I$4999,$K26)+SUMIFS(数据录入!$F$5:$F$4999,$Q$5:$Q$4999,1,数据录入!$B$5:$B$4999,"&lt;"&amp;$B$2,数据录入!$J$5:$J$4999,$K26))-(SUMIFS(数据录入!$G$5:$G$4999,$Q$5:$Q$4999,1,数据录入!$B$5:$B$4999,"&lt;"&amp;$B$2,数据录入!$I$5:$I$4999,$K26)+SUMIFS(数据录入!$G$5:$G$4999,$Q$5:$Q$4999,1,数据录入!$B$5:$B$4999,"&lt;"&amp;$B$2,数据录入!$J$5:$J$4999,$K26)))</f>
      </c>
      <c r="M26" s="114">
        <f>IF($K26="","",SUMIFS(数据录入!$F$5:$F$4999,$Q$5:$Q$4999,1,数据录入!$B$5:$B$4999,"&gt;="&amp;$B$2,数据录入!$B$5:$B$4999,"&lt;="&amp;$D$2,数据录入!$I$5:$I$4999,$K26)+SUMIFS(数据录入!$F$5:$F$4999,$Q$5:$Q$4999,1,数据录入!$B$5:$B$4999,"&gt;="&amp;$B$2,数据录入!$B$5:$B$4999,"&lt;="&amp;$D$2,数据录入!$J$5:$J$4999,$K26))</f>
      </c>
      <c r="N26" s="114">
        <f>IF($K26="","",SUMIFS(数据录入!$G$5:$G$4999,$Q$5:$Q$4999,1,数据录入!$B$5:$B$4999,"&gt;="&amp;$B$2,数据录入!$B$5:$B$4999,"&lt;="&amp;$D$2,数据录入!$I$5:$I$4999,$K26)+SUMIFS(数据录入!$G$5:$G$4999,$Q$5:$Q$4999,1,数据录入!$B$5:$B$4999,"&gt;="&amp;$B$2,数据录入!$B$5:$B$4999,"&lt;="&amp;$D$2,数据录入!$J$5:$J$4999,$K26))</f>
      </c>
      <c r="O26" s="114">
        <f>IF($K26="","",L26+M26-N26)</f>
      </c>
      <c r="Q26" s="44">
        <f>IF(数据录入!$B26="",0,IF(OR(数据录入!$D26="投标保证金",数据录入!$D26="合同履约保证金",ISNUMBER(FIND("保证金",数据录入!$E26))),1,0))</f>
      </c>
      <c r="R26" s="44">
        <f>IF(AND($Q26=1,数据录入!$B26&gt;=$B$2,数据录入!$B26&lt;=$D$2),N(R25)+1,N(R25))</f>
      </c>
      <c r="S26" s="44">
        <f>IFERROR(MATCH(19,$R$5:$R$4999,0),"")</f>
      </c>
      <c r="U26" s="44">
        <f>IFERROR(IF(19&lt;=50,INDEX(基础资料!$E$2:$E$51,19)&amp;"",INDEX(基础资料!$G$2:$G$51,19-50)&amp;""),"")</f>
      </c>
      <c r="V26" s="44">
        <f>IF($U26="",0,IF(AND(19&gt;50,COUNTIF(基础资料!$E$2:$E$51,$U26)&gt;0),0,1))</f>
      </c>
      <c r="W26" s="44">
        <f>IF($V26=1,N(W25)+1,N(W25))</f>
      </c>
    </row>
    <row r="27" s="44" customFormat="1" spans="1:23">
      <c r="A27" s="116">
        <f>IF($S27="","",INDEX(数据录入!$B$5:$B$4999,$S27))</f>
      </c>
      <c r="B27" s="44">
        <f>IF($S27="","",INDEX(数据录入!$C$5:$C$4999,$S27)&amp;"")</f>
      </c>
      <c r="C27" s="165">
        <f>IF($S27="","",IF(N($F27)&gt;0,"收款",IF(N($G27)&gt;0,"付款","")))</f>
      </c>
      <c r="D27" s="44">
        <f>IF($S27="","",IF((INDEX(数据录入!$I$5:$I$4999,$S27)&amp;"")&lt;&gt;"",INDEX(数据录入!$I$5:$I$4999,$S27)&amp;"",INDEX(数据录入!$J$5:$J$4999,$S27)&amp;""))</f>
      </c>
      <c r="E27" s="108">
        <f>IF($S27="","",INDEX(数据录入!$E$5:$E$4999,$S27)&amp;"")</f>
      </c>
      <c r="F27" s="114">
        <f>IF($S27="","",N(INDEX(数据录入!$F$5:$F$4999,$S27)))</f>
      </c>
      <c r="G27" s="114">
        <f>IF($S27="","",N(INDEX(数据录入!$G$5:$G$4999,$S27)))</f>
      </c>
      <c r="H27" s="114">
        <f>IF($S27="","",$G$2+SUM($F$8:$F27)-SUM($G$8:$G27))</f>
      </c>
      <c r="J27" s="165">
        <f>IF($K27="","",20)</f>
      </c>
      <c r="K27" s="44">
        <f>IFERROR(INDEX($U$8:$U$107,MATCH(20,$W$8:$W$107,0)),"")</f>
      </c>
      <c r="L27" s="114">
        <f>IF($K27="","",(SUMIFS(数据录入!$F$5:$F$4999,$Q$5:$Q$4999,1,数据录入!$B$5:$B$4999,"&lt;"&amp;$B$2,数据录入!$I$5:$I$4999,$K27)+SUMIFS(数据录入!$F$5:$F$4999,$Q$5:$Q$4999,1,数据录入!$B$5:$B$4999,"&lt;"&amp;$B$2,数据录入!$J$5:$J$4999,$K27))-(SUMIFS(数据录入!$G$5:$G$4999,$Q$5:$Q$4999,1,数据录入!$B$5:$B$4999,"&lt;"&amp;$B$2,数据录入!$I$5:$I$4999,$K27)+SUMIFS(数据录入!$G$5:$G$4999,$Q$5:$Q$4999,1,数据录入!$B$5:$B$4999,"&lt;"&amp;$B$2,数据录入!$J$5:$J$4999,$K27)))</f>
      </c>
      <c r="M27" s="114">
        <f>IF($K27="","",SUMIFS(数据录入!$F$5:$F$4999,$Q$5:$Q$4999,1,数据录入!$B$5:$B$4999,"&gt;="&amp;$B$2,数据录入!$B$5:$B$4999,"&lt;="&amp;$D$2,数据录入!$I$5:$I$4999,$K27)+SUMIFS(数据录入!$F$5:$F$4999,$Q$5:$Q$4999,1,数据录入!$B$5:$B$4999,"&gt;="&amp;$B$2,数据录入!$B$5:$B$4999,"&lt;="&amp;$D$2,数据录入!$J$5:$J$4999,$K27))</f>
      </c>
      <c r="N27" s="114">
        <f>IF($K27="","",SUMIFS(数据录入!$G$5:$G$4999,$Q$5:$Q$4999,1,数据录入!$B$5:$B$4999,"&gt;="&amp;$B$2,数据录入!$B$5:$B$4999,"&lt;="&amp;$D$2,数据录入!$I$5:$I$4999,$K27)+SUMIFS(数据录入!$G$5:$G$4999,$Q$5:$Q$4999,1,数据录入!$B$5:$B$4999,"&gt;="&amp;$B$2,数据录入!$B$5:$B$4999,"&lt;="&amp;$D$2,数据录入!$J$5:$J$4999,$K27))</f>
      </c>
      <c r="O27" s="114">
        <f>IF($K27="","",L27+M27-N27)</f>
      </c>
      <c r="Q27" s="44">
        <f>IF(数据录入!$B27="",0,IF(OR(数据录入!$D27="投标保证金",数据录入!$D27="合同履约保证金",ISNUMBER(FIND("保证金",数据录入!$E27))),1,0))</f>
      </c>
      <c r="R27" s="44">
        <f>IF(AND($Q27=1,数据录入!$B27&gt;=$B$2,数据录入!$B27&lt;=$D$2),N(R26)+1,N(R26))</f>
      </c>
      <c r="S27" s="44">
        <f>IFERROR(MATCH(20,$R$5:$R$4999,0),"")</f>
      </c>
      <c r="U27" s="44">
        <f>IFERROR(IF(20&lt;=50,INDEX(基础资料!$E$2:$E$51,20)&amp;"",INDEX(基础资料!$G$2:$G$51,20-50)&amp;""),"")</f>
      </c>
      <c r="V27" s="44">
        <f>IF($U27="",0,IF(AND(20&gt;50,COUNTIF(基础资料!$E$2:$E$51,$U27)&gt;0),0,1))</f>
      </c>
      <c r="W27" s="44">
        <f>IF($V27=1,N(W26)+1,N(W26))</f>
      </c>
    </row>
    <row r="28" s="44" customFormat="1" spans="1:23">
      <c r="A28" s="116">
        <f>IF($S28="","",INDEX(数据录入!$B$5:$B$4999,$S28))</f>
      </c>
      <c r="B28" s="44">
        <f>IF($S28="","",INDEX(数据录入!$C$5:$C$4999,$S28)&amp;"")</f>
      </c>
      <c r="C28" s="165">
        <f>IF($S28="","",IF(N($F28)&gt;0,"收款",IF(N($G28)&gt;0,"付款","")))</f>
      </c>
      <c r="D28" s="44">
        <f>IF($S28="","",IF((INDEX(数据录入!$I$5:$I$4999,$S28)&amp;"")&lt;&gt;"",INDEX(数据录入!$I$5:$I$4999,$S28)&amp;"",INDEX(数据录入!$J$5:$J$4999,$S28)&amp;""))</f>
      </c>
      <c r="E28" s="108">
        <f>IF($S28="","",INDEX(数据录入!$E$5:$E$4999,$S28)&amp;"")</f>
      </c>
      <c r="F28" s="114">
        <f>IF($S28="","",N(INDEX(数据录入!$F$5:$F$4999,$S28)))</f>
      </c>
      <c r="G28" s="114">
        <f>IF($S28="","",N(INDEX(数据录入!$G$5:$G$4999,$S28)))</f>
      </c>
      <c r="H28" s="114">
        <f>IF($S28="","",$G$2+SUM($F$8:$F28)-SUM($G$8:$G28))</f>
      </c>
      <c r="J28" s="165">
        <f>IF($K28="","",21)</f>
      </c>
      <c r="K28" s="44">
        <f>IFERROR(INDEX($U$8:$U$107,MATCH(21,$W$8:$W$107,0)),"")</f>
      </c>
      <c r="L28" s="114">
        <f>IF($K28="","",(SUMIFS(数据录入!$F$5:$F$4999,$Q$5:$Q$4999,1,数据录入!$B$5:$B$4999,"&lt;"&amp;$B$2,数据录入!$I$5:$I$4999,$K28)+SUMIFS(数据录入!$F$5:$F$4999,$Q$5:$Q$4999,1,数据录入!$B$5:$B$4999,"&lt;"&amp;$B$2,数据录入!$J$5:$J$4999,$K28))-(SUMIFS(数据录入!$G$5:$G$4999,$Q$5:$Q$4999,1,数据录入!$B$5:$B$4999,"&lt;"&amp;$B$2,数据录入!$I$5:$I$4999,$K28)+SUMIFS(数据录入!$G$5:$G$4999,$Q$5:$Q$4999,1,数据录入!$B$5:$B$4999,"&lt;"&amp;$B$2,数据录入!$J$5:$J$4999,$K28)))</f>
      </c>
      <c r="M28" s="114">
        <f>IF($K28="","",SUMIFS(数据录入!$F$5:$F$4999,$Q$5:$Q$4999,1,数据录入!$B$5:$B$4999,"&gt;="&amp;$B$2,数据录入!$B$5:$B$4999,"&lt;="&amp;$D$2,数据录入!$I$5:$I$4999,$K28)+SUMIFS(数据录入!$F$5:$F$4999,$Q$5:$Q$4999,1,数据录入!$B$5:$B$4999,"&gt;="&amp;$B$2,数据录入!$B$5:$B$4999,"&lt;="&amp;$D$2,数据录入!$J$5:$J$4999,$K28))</f>
      </c>
      <c r="N28" s="114">
        <f>IF($K28="","",SUMIFS(数据录入!$G$5:$G$4999,$Q$5:$Q$4999,1,数据录入!$B$5:$B$4999,"&gt;="&amp;$B$2,数据录入!$B$5:$B$4999,"&lt;="&amp;$D$2,数据录入!$I$5:$I$4999,$K28)+SUMIFS(数据录入!$G$5:$G$4999,$Q$5:$Q$4999,1,数据录入!$B$5:$B$4999,"&gt;="&amp;$B$2,数据录入!$B$5:$B$4999,"&lt;="&amp;$D$2,数据录入!$J$5:$J$4999,$K28))</f>
      </c>
      <c r="O28" s="114">
        <f>IF($K28="","",L28+M28-N28)</f>
      </c>
      <c r="Q28" s="44">
        <f>IF(数据录入!$B28="",0,IF(OR(数据录入!$D28="投标保证金",数据录入!$D28="合同履约保证金",ISNUMBER(FIND("保证金",数据录入!$E28))),1,0))</f>
      </c>
      <c r="R28" s="44">
        <f>IF(AND($Q28=1,数据录入!$B28&gt;=$B$2,数据录入!$B28&lt;=$D$2),N(R27)+1,N(R27))</f>
      </c>
      <c r="S28" s="44">
        <f>IFERROR(MATCH(21,$R$5:$R$4999,0),"")</f>
      </c>
      <c r="U28" s="44">
        <f>IFERROR(IF(21&lt;=50,INDEX(基础资料!$E$2:$E$51,21)&amp;"",INDEX(基础资料!$G$2:$G$51,21-50)&amp;""),"")</f>
      </c>
      <c r="V28" s="44">
        <f>IF($U28="",0,IF(AND(21&gt;50,COUNTIF(基础资料!$E$2:$E$51,$U28)&gt;0),0,1))</f>
      </c>
      <c r="W28" s="44">
        <f>IF($V28=1,N(W27)+1,N(W27))</f>
      </c>
    </row>
    <row r="29" s="44" customFormat="1" spans="1:23">
      <c r="A29" s="116">
        <f>IF($S29="","",INDEX(数据录入!$B$5:$B$4999,$S29))</f>
      </c>
      <c r="B29" s="44">
        <f>IF($S29="","",INDEX(数据录入!$C$5:$C$4999,$S29)&amp;"")</f>
      </c>
      <c r="C29" s="165">
        <f>IF($S29="","",IF(N($F29)&gt;0,"收款",IF(N($G29)&gt;0,"付款","")))</f>
      </c>
      <c r="D29" s="44">
        <f>IF($S29="","",IF((INDEX(数据录入!$I$5:$I$4999,$S29)&amp;"")&lt;&gt;"",INDEX(数据录入!$I$5:$I$4999,$S29)&amp;"",INDEX(数据录入!$J$5:$J$4999,$S29)&amp;""))</f>
      </c>
      <c r="E29" s="108">
        <f>IF($S29="","",INDEX(数据录入!$E$5:$E$4999,$S29)&amp;"")</f>
      </c>
      <c r="F29" s="114">
        <f>IF($S29="","",N(INDEX(数据录入!$F$5:$F$4999,$S29)))</f>
      </c>
      <c r="G29" s="114">
        <f>IF($S29="","",N(INDEX(数据录入!$G$5:$G$4999,$S29)))</f>
      </c>
      <c r="H29" s="114">
        <f>IF($S29="","",$G$2+SUM($F$8:$F29)-SUM($G$8:$G29))</f>
      </c>
      <c r="J29" s="165">
        <f>IF($K29="","",22)</f>
      </c>
      <c r="K29" s="44">
        <f>IFERROR(INDEX($U$8:$U$107,MATCH(22,$W$8:$W$107,0)),"")</f>
      </c>
      <c r="L29" s="114">
        <f>IF($K29="","",(SUMIFS(数据录入!$F$5:$F$4999,$Q$5:$Q$4999,1,数据录入!$B$5:$B$4999,"&lt;"&amp;$B$2,数据录入!$I$5:$I$4999,$K29)+SUMIFS(数据录入!$F$5:$F$4999,$Q$5:$Q$4999,1,数据录入!$B$5:$B$4999,"&lt;"&amp;$B$2,数据录入!$J$5:$J$4999,$K29))-(SUMIFS(数据录入!$G$5:$G$4999,$Q$5:$Q$4999,1,数据录入!$B$5:$B$4999,"&lt;"&amp;$B$2,数据录入!$I$5:$I$4999,$K29)+SUMIFS(数据录入!$G$5:$G$4999,$Q$5:$Q$4999,1,数据录入!$B$5:$B$4999,"&lt;"&amp;$B$2,数据录入!$J$5:$J$4999,$K29)))</f>
      </c>
      <c r="M29" s="114">
        <f>IF($K29="","",SUMIFS(数据录入!$F$5:$F$4999,$Q$5:$Q$4999,1,数据录入!$B$5:$B$4999,"&gt;="&amp;$B$2,数据录入!$B$5:$B$4999,"&lt;="&amp;$D$2,数据录入!$I$5:$I$4999,$K29)+SUMIFS(数据录入!$F$5:$F$4999,$Q$5:$Q$4999,1,数据录入!$B$5:$B$4999,"&gt;="&amp;$B$2,数据录入!$B$5:$B$4999,"&lt;="&amp;$D$2,数据录入!$J$5:$J$4999,$K29))</f>
      </c>
      <c r="N29" s="114">
        <f>IF($K29="","",SUMIFS(数据录入!$G$5:$G$4999,$Q$5:$Q$4999,1,数据录入!$B$5:$B$4999,"&gt;="&amp;$B$2,数据录入!$B$5:$B$4999,"&lt;="&amp;$D$2,数据录入!$I$5:$I$4999,$K29)+SUMIFS(数据录入!$G$5:$G$4999,$Q$5:$Q$4999,1,数据录入!$B$5:$B$4999,"&gt;="&amp;$B$2,数据录入!$B$5:$B$4999,"&lt;="&amp;$D$2,数据录入!$J$5:$J$4999,$K29))</f>
      </c>
      <c r="O29" s="114">
        <f>IF($K29="","",L29+M29-N29)</f>
      </c>
      <c r="Q29" s="44">
        <f>IF(数据录入!$B29="",0,IF(OR(数据录入!$D29="投标保证金",数据录入!$D29="合同履约保证金",ISNUMBER(FIND("保证金",数据录入!$E29))),1,0))</f>
      </c>
      <c r="R29" s="44">
        <f>IF(AND($Q29=1,数据录入!$B29&gt;=$B$2,数据录入!$B29&lt;=$D$2),N(R28)+1,N(R28))</f>
      </c>
      <c r="S29" s="44">
        <f>IFERROR(MATCH(22,$R$5:$R$4999,0),"")</f>
      </c>
      <c r="U29" s="44">
        <f>IFERROR(IF(22&lt;=50,INDEX(基础资料!$E$2:$E$51,22)&amp;"",INDEX(基础资料!$G$2:$G$51,22-50)&amp;""),"")</f>
      </c>
      <c r="V29" s="44">
        <f>IF($U29="",0,IF(AND(22&gt;50,COUNTIF(基础资料!$E$2:$E$51,$U29)&gt;0),0,1))</f>
      </c>
      <c r="W29" s="44">
        <f>IF($V29=1,N(W28)+1,N(W28))</f>
      </c>
    </row>
    <row r="30" s="44" customFormat="1" spans="1:23">
      <c r="A30" s="116">
        <f>IF($S30="","",INDEX(数据录入!$B$5:$B$4999,$S30))</f>
      </c>
      <c r="B30" s="44">
        <f>IF($S30="","",INDEX(数据录入!$C$5:$C$4999,$S30)&amp;"")</f>
      </c>
      <c r="C30" s="165">
        <f>IF($S30="","",IF(N($F30)&gt;0,"收款",IF(N($G30)&gt;0,"付款","")))</f>
      </c>
      <c r="D30" s="44">
        <f>IF($S30="","",IF((INDEX(数据录入!$I$5:$I$4999,$S30)&amp;"")&lt;&gt;"",INDEX(数据录入!$I$5:$I$4999,$S30)&amp;"",INDEX(数据录入!$J$5:$J$4999,$S30)&amp;""))</f>
      </c>
      <c r="E30" s="108">
        <f>IF($S30="","",INDEX(数据录入!$E$5:$E$4999,$S30)&amp;"")</f>
      </c>
      <c r="F30" s="114">
        <f>IF($S30="","",N(INDEX(数据录入!$F$5:$F$4999,$S30)))</f>
      </c>
      <c r="G30" s="114">
        <f>IF($S30="","",N(INDEX(数据录入!$G$5:$G$4999,$S30)))</f>
      </c>
      <c r="H30" s="114">
        <f>IF($S30="","",$G$2+SUM($F$8:$F30)-SUM($G$8:$G30))</f>
      </c>
      <c r="J30" s="165">
        <f>IF($K30="","",23)</f>
      </c>
      <c r="K30" s="44">
        <f>IFERROR(INDEX($U$8:$U$107,MATCH(23,$W$8:$W$107,0)),"")</f>
      </c>
      <c r="L30" s="114">
        <f>IF($K30="","",(SUMIFS(数据录入!$F$5:$F$4999,$Q$5:$Q$4999,1,数据录入!$B$5:$B$4999,"&lt;"&amp;$B$2,数据录入!$I$5:$I$4999,$K30)+SUMIFS(数据录入!$F$5:$F$4999,$Q$5:$Q$4999,1,数据录入!$B$5:$B$4999,"&lt;"&amp;$B$2,数据录入!$J$5:$J$4999,$K30))-(SUMIFS(数据录入!$G$5:$G$4999,$Q$5:$Q$4999,1,数据录入!$B$5:$B$4999,"&lt;"&amp;$B$2,数据录入!$I$5:$I$4999,$K30)+SUMIFS(数据录入!$G$5:$G$4999,$Q$5:$Q$4999,1,数据录入!$B$5:$B$4999,"&lt;"&amp;$B$2,数据录入!$J$5:$J$4999,$K30)))</f>
      </c>
      <c r="M30" s="114">
        <f>IF($K30="","",SUMIFS(数据录入!$F$5:$F$4999,$Q$5:$Q$4999,1,数据录入!$B$5:$B$4999,"&gt;="&amp;$B$2,数据录入!$B$5:$B$4999,"&lt;="&amp;$D$2,数据录入!$I$5:$I$4999,$K30)+SUMIFS(数据录入!$F$5:$F$4999,$Q$5:$Q$4999,1,数据录入!$B$5:$B$4999,"&gt;="&amp;$B$2,数据录入!$B$5:$B$4999,"&lt;="&amp;$D$2,数据录入!$J$5:$J$4999,$K30))</f>
      </c>
      <c r="N30" s="114">
        <f>IF($K30="","",SUMIFS(数据录入!$G$5:$G$4999,$Q$5:$Q$4999,1,数据录入!$B$5:$B$4999,"&gt;="&amp;$B$2,数据录入!$B$5:$B$4999,"&lt;="&amp;$D$2,数据录入!$I$5:$I$4999,$K30)+SUMIFS(数据录入!$G$5:$G$4999,$Q$5:$Q$4999,1,数据录入!$B$5:$B$4999,"&gt;="&amp;$B$2,数据录入!$B$5:$B$4999,"&lt;="&amp;$D$2,数据录入!$J$5:$J$4999,$K30))</f>
      </c>
      <c r="O30" s="114">
        <f>IF($K30="","",L30+M30-N30)</f>
      </c>
      <c r="Q30" s="44">
        <f>IF(数据录入!$B30="",0,IF(OR(数据录入!$D30="投标保证金",数据录入!$D30="合同履约保证金",ISNUMBER(FIND("保证金",数据录入!$E30))),1,0))</f>
      </c>
      <c r="R30" s="44">
        <f>IF(AND($Q30=1,数据录入!$B30&gt;=$B$2,数据录入!$B30&lt;=$D$2),N(R29)+1,N(R29))</f>
      </c>
      <c r="S30" s="44">
        <f>IFERROR(MATCH(23,$R$5:$R$4999,0),"")</f>
      </c>
      <c r="U30" s="44">
        <f>IFERROR(IF(23&lt;=50,INDEX(基础资料!$E$2:$E$51,23)&amp;"",INDEX(基础资料!$G$2:$G$51,23-50)&amp;""),"")</f>
      </c>
      <c r="V30" s="44">
        <f>IF($U30="",0,IF(AND(23&gt;50,COUNTIF(基础资料!$E$2:$E$51,$U30)&gt;0),0,1))</f>
      </c>
      <c r="W30" s="44">
        <f>IF($V30=1,N(W29)+1,N(W29))</f>
      </c>
    </row>
    <row r="31" s="44" customFormat="1" spans="1:23">
      <c r="A31" s="116">
        <f>IF($S31="","",INDEX(数据录入!$B$5:$B$4999,$S31))</f>
      </c>
      <c r="B31" s="44">
        <f>IF($S31="","",INDEX(数据录入!$C$5:$C$4999,$S31)&amp;"")</f>
      </c>
      <c r="C31" s="165">
        <f>IF($S31="","",IF(N($F31)&gt;0,"收款",IF(N($G31)&gt;0,"付款","")))</f>
      </c>
      <c r="D31" s="44">
        <f>IF($S31="","",IF((INDEX(数据录入!$I$5:$I$4999,$S31)&amp;"")&lt;&gt;"",INDEX(数据录入!$I$5:$I$4999,$S31)&amp;"",INDEX(数据录入!$J$5:$J$4999,$S31)&amp;""))</f>
      </c>
      <c r="E31" s="108">
        <f>IF($S31="","",INDEX(数据录入!$E$5:$E$4999,$S31)&amp;"")</f>
      </c>
      <c r="F31" s="114">
        <f>IF($S31="","",N(INDEX(数据录入!$F$5:$F$4999,$S31)))</f>
      </c>
      <c r="G31" s="114">
        <f>IF($S31="","",N(INDEX(数据录入!$G$5:$G$4999,$S31)))</f>
      </c>
      <c r="H31" s="114">
        <f>IF($S31="","",$G$2+SUM($F$8:$F31)-SUM($G$8:$G31))</f>
      </c>
      <c r="J31" s="165">
        <f>IF($K31="","",24)</f>
      </c>
      <c r="K31" s="44">
        <f>IFERROR(INDEX($U$8:$U$107,MATCH(24,$W$8:$W$107,0)),"")</f>
      </c>
      <c r="L31" s="114">
        <f>IF($K31="","",(SUMIFS(数据录入!$F$5:$F$4999,$Q$5:$Q$4999,1,数据录入!$B$5:$B$4999,"&lt;"&amp;$B$2,数据录入!$I$5:$I$4999,$K31)+SUMIFS(数据录入!$F$5:$F$4999,$Q$5:$Q$4999,1,数据录入!$B$5:$B$4999,"&lt;"&amp;$B$2,数据录入!$J$5:$J$4999,$K31))-(SUMIFS(数据录入!$G$5:$G$4999,$Q$5:$Q$4999,1,数据录入!$B$5:$B$4999,"&lt;"&amp;$B$2,数据录入!$I$5:$I$4999,$K31)+SUMIFS(数据录入!$G$5:$G$4999,$Q$5:$Q$4999,1,数据录入!$B$5:$B$4999,"&lt;"&amp;$B$2,数据录入!$J$5:$J$4999,$K31)))</f>
      </c>
      <c r="M31" s="114">
        <f>IF($K31="","",SUMIFS(数据录入!$F$5:$F$4999,$Q$5:$Q$4999,1,数据录入!$B$5:$B$4999,"&gt;="&amp;$B$2,数据录入!$B$5:$B$4999,"&lt;="&amp;$D$2,数据录入!$I$5:$I$4999,$K31)+SUMIFS(数据录入!$F$5:$F$4999,$Q$5:$Q$4999,1,数据录入!$B$5:$B$4999,"&gt;="&amp;$B$2,数据录入!$B$5:$B$4999,"&lt;="&amp;$D$2,数据录入!$J$5:$J$4999,$K31))</f>
      </c>
      <c r="N31" s="114">
        <f>IF($K31="","",SUMIFS(数据录入!$G$5:$G$4999,$Q$5:$Q$4999,1,数据录入!$B$5:$B$4999,"&gt;="&amp;$B$2,数据录入!$B$5:$B$4999,"&lt;="&amp;$D$2,数据录入!$I$5:$I$4999,$K31)+SUMIFS(数据录入!$G$5:$G$4999,$Q$5:$Q$4999,1,数据录入!$B$5:$B$4999,"&gt;="&amp;$B$2,数据录入!$B$5:$B$4999,"&lt;="&amp;$D$2,数据录入!$J$5:$J$4999,$K31))</f>
      </c>
      <c r="O31" s="114">
        <f>IF($K31="","",L31+M31-N31)</f>
      </c>
      <c r="Q31" s="44">
        <f>IF(数据录入!$B31="",0,IF(OR(数据录入!$D31="投标保证金",数据录入!$D31="合同履约保证金",ISNUMBER(FIND("保证金",数据录入!$E31))),1,0))</f>
      </c>
      <c r="R31" s="44">
        <f>IF(AND($Q31=1,数据录入!$B31&gt;=$B$2,数据录入!$B31&lt;=$D$2),N(R30)+1,N(R30))</f>
      </c>
      <c r="S31" s="44">
        <f>IFERROR(MATCH(24,$R$5:$R$4999,0),"")</f>
      </c>
      <c r="U31" s="44">
        <f>IFERROR(IF(24&lt;=50,INDEX(基础资料!$E$2:$E$51,24)&amp;"",INDEX(基础资料!$G$2:$G$51,24-50)&amp;""),"")</f>
      </c>
      <c r="V31" s="44">
        <f>IF($U31="",0,IF(AND(24&gt;50,COUNTIF(基础资料!$E$2:$E$51,$U31)&gt;0),0,1))</f>
      </c>
      <c r="W31" s="44">
        <f>IF($V31=1,N(W30)+1,N(W30))</f>
      </c>
    </row>
    <row r="32" s="44" customFormat="1" spans="1:23">
      <c r="A32" s="116">
        <f>IF($S32="","",INDEX(数据录入!$B$5:$B$4999,$S32))</f>
      </c>
      <c r="B32" s="44">
        <f>IF($S32="","",INDEX(数据录入!$C$5:$C$4999,$S32)&amp;"")</f>
      </c>
      <c r="C32" s="165">
        <f>IF($S32="","",IF(N($F32)&gt;0,"收款",IF(N($G32)&gt;0,"付款","")))</f>
      </c>
      <c r="D32" s="44">
        <f>IF($S32="","",IF((INDEX(数据录入!$I$5:$I$4999,$S32)&amp;"")&lt;&gt;"",INDEX(数据录入!$I$5:$I$4999,$S32)&amp;"",INDEX(数据录入!$J$5:$J$4999,$S32)&amp;""))</f>
      </c>
      <c r="E32" s="108">
        <f>IF($S32="","",INDEX(数据录入!$E$5:$E$4999,$S32)&amp;"")</f>
      </c>
      <c r="F32" s="114">
        <f>IF($S32="","",N(INDEX(数据录入!$F$5:$F$4999,$S32)))</f>
      </c>
      <c r="G32" s="114">
        <f>IF($S32="","",N(INDEX(数据录入!$G$5:$G$4999,$S32)))</f>
      </c>
      <c r="H32" s="114">
        <f>IF($S32="","",$G$2+SUM($F$8:$F32)-SUM($G$8:$G32))</f>
      </c>
      <c r="J32" s="165">
        <f>IF($K32="","",25)</f>
      </c>
      <c r="K32" s="44">
        <f>IFERROR(INDEX($U$8:$U$107,MATCH(25,$W$8:$W$107,0)),"")</f>
      </c>
      <c r="L32" s="114">
        <f>IF($K32="","",(SUMIFS(数据录入!$F$5:$F$4999,$Q$5:$Q$4999,1,数据录入!$B$5:$B$4999,"&lt;"&amp;$B$2,数据录入!$I$5:$I$4999,$K32)+SUMIFS(数据录入!$F$5:$F$4999,$Q$5:$Q$4999,1,数据录入!$B$5:$B$4999,"&lt;"&amp;$B$2,数据录入!$J$5:$J$4999,$K32))-(SUMIFS(数据录入!$G$5:$G$4999,$Q$5:$Q$4999,1,数据录入!$B$5:$B$4999,"&lt;"&amp;$B$2,数据录入!$I$5:$I$4999,$K32)+SUMIFS(数据录入!$G$5:$G$4999,$Q$5:$Q$4999,1,数据录入!$B$5:$B$4999,"&lt;"&amp;$B$2,数据录入!$J$5:$J$4999,$K32)))</f>
      </c>
      <c r="M32" s="114">
        <f>IF($K32="","",SUMIFS(数据录入!$F$5:$F$4999,$Q$5:$Q$4999,1,数据录入!$B$5:$B$4999,"&gt;="&amp;$B$2,数据录入!$B$5:$B$4999,"&lt;="&amp;$D$2,数据录入!$I$5:$I$4999,$K32)+SUMIFS(数据录入!$F$5:$F$4999,$Q$5:$Q$4999,1,数据录入!$B$5:$B$4999,"&gt;="&amp;$B$2,数据录入!$B$5:$B$4999,"&lt;="&amp;$D$2,数据录入!$J$5:$J$4999,$K32))</f>
      </c>
      <c r="N32" s="114">
        <f>IF($K32="","",SUMIFS(数据录入!$G$5:$G$4999,$Q$5:$Q$4999,1,数据录入!$B$5:$B$4999,"&gt;="&amp;$B$2,数据录入!$B$5:$B$4999,"&lt;="&amp;$D$2,数据录入!$I$5:$I$4999,$K32)+SUMIFS(数据录入!$G$5:$G$4999,$Q$5:$Q$4999,1,数据录入!$B$5:$B$4999,"&gt;="&amp;$B$2,数据录入!$B$5:$B$4999,"&lt;="&amp;$D$2,数据录入!$J$5:$J$4999,$K32))</f>
      </c>
      <c r="O32" s="114">
        <f>IF($K32="","",L32+M32-N32)</f>
      </c>
      <c r="Q32" s="44">
        <f>IF(数据录入!$B32="",0,IF(OR(数据录入!$D32="投标保证金",数据录入!$D32="合同履约保证金",ISNUMBER(FIND("保证金",数据录入!$E32))),1,0))</f>
      </c>
      <c r="R32" s="44">
        <f>IF(AND($Q32=1,数据录入!$B32&gt;=$B$2,数据录入!$B32&lt;=$D$2),N(R31)+1,N(R31))</f>
      </c>
      <c r="S32" s="44">
        <f>IFERROR(MATCH(25,$R$5:$R$4999,0),"")</f>
      </c>
      <c r="U32" s="44">
        <f>IFERROR(IF(25&lt;=50,INDEX(基础资料!$E$2:$E$51,25)&amp;"",INDEX(基础资料!$G$2:$G$51,25-50)&amp;""),"")</f>
      </c>
      <c r="V32" s="44">
        <f>IF($U32="",0,IF(AND(25&gt;50,COUNTIF(基础资料!$E$2:$E$51,$U32)&gt;0),0,1))</f>
      </c>
      <c r="W32" s="44">
        <f>IF($V32=1,N(W31)+1,N(W31))</f>
      </c>
    </row>
    <row r="33" s="44" customFormat="1" spans="1:23">
      <c r="A33" s="116">
        <f>IF($S33="","",INDEX(数据录入!$B$5:$B$4999,$S33))</f>
      </c>
      <c r="B33" s="44">
        <f>IF($S33="","",INDEX(数据录入!$C$5:$C$4999,$S33)&amp;"")</f>
      </c>
      <c r="C33" s="165">
        <f>IF($S33="","",IF(N($F33)&gt;0,"收款",IF(N($G33)&gt;0,"付款","")))</f>
      </c>
      <c r="D33" s="44">
        <f>IF($S33="","",IF((INDEX(数据录入!$I$5:$I$4999,$S33)&amp;"")&lt;&gt;"",INDEX(数据录入!$I$5:$I$4999,$S33)&amp;"",INDEX(数据录入!$J$5:$J$4999,$S33)&amp;""))</f>
      </c>
      <c r="E33" s="108">
        <f>IF($S33="","",INDEX(数据录入!$E$5:$E$4999,$S33)&amp;"")</f>
      </c>
      <c r="F33" s="114">
        <f>IF($S33="","",N(INDEX(数据录入!$F$5:$F$4999,$S33)))</f>
      </c>
      <c r="G33" s="114">
        <f>IF($S33="","",N(INDEX(数据录入!$G$5:$G$4999,$S33)))</f>
      </c>
      <c r="H33" s="114">
        <f>IF($S33="","",$G$2+SUM($F$8:$F33)-SUM($G$8:$G33))</f>
      </c>
      <c r="J33" s="165">
        <f>IF($K33="","",26)</f>
      </c>
      <c r="K33" s="44">
        <f>IFERROR(INDEX($U$8:$U$107,MATCH(26,$W$8:$W$107,0)),"")</f>
      </c>
      <c r="L33" s="114">
        <f>IF($K33="","",(SUMIFS(数据录入!$F$5:$F$4999,$Q$5:$Q$4999,1,数据录入!$B$5:$B$4999,"&lt;"&amp;$B$2,数据录入!$I$5:$I$4999,$K33)+SUMIFS(数据录入!$F$5:$F$4999,$Q$5:$Q$4999,1,数据录入!$B$5:$B$4999,"&lt;"&amp;$B$2,数据录入!$J$5:$J$4999,$K33))-(SUMIFS(数据录入!$G$5:$G$4999,$Q$5:$Q$4999,1,数据录入!$B$5:$B$4999,"&lt;"&amp;$B$2,数据录入!$I$5:$I$4999,$K33)+SUMIFS(数据录入!$G$5:$G$4999,$Q$5:$Q$4999,1,数据录入!$B$5:$B$4999,"&lt;"&amp;$B$2,数据录入!$J$5:$J$4999,$K33)))</f>
      </c>
      <c r="M33" s="114">
        <f>IF($K33="","",SUMIFS(数据录入!$F$5:$F$4999,$Q$5:$Q$4999,1,数据录入!$B$5:$B$4999,"&gt;="&amp;$B$2,数据录入!$B$5:$B$4999,"&lt;="&amp;$D$2,数据录入!$I$5:$I$4999,$K33)+SUMIFS(数据录入!$F$5:$F$4999,$Q$5:$Q$4999,1,数据录入!$B$5:$B$4999,"&gt;="&amp;$B$2,数据录入!$B$5:$B$4999,"&lt;="&amp;$D$2,数据录入!$J$5:$J$4999,$K33))</f>
      </c>
      <c r="N33" s="114">
        <f>IF($K33="","",SUMIFS(数据录入!$G$5:$G$4999,$Q$5:$Q$4999,1,数据录入!$B$5:$B$4999,"&gt;="&amp;$B$2,数据录入!$B$5:$B$4999,"&lt;="&amp;$D$2,数据录入!$I$5:$I$4999,$K33)+SUMIFS(数据录入!$G$5:$G$4999,$Q$5:$Q$4999,1,数据录入!$B$5:$B$4999,"&gt;="&amp;$B$2,数据录入!$B$5:$B$4999,"&lt;="&amp;$D$2,数据录入!$J$5:$J$4999,$K33))</f>
      </c>
      <c r="O33" s="114">
        <f>IF($K33="","",L33+M33-N33)</f>
      </c>
      <c r="Q33" s="44">
        <f>IF(数据录入!$B33="",0,IF(OR(数据录入!$D33="投标保证金",数据录入!$D33="合同履约保证金",ISNUMBER(FIND("保证金",数据录入!$E33))),1,0))</f>
      </c>
      <c r="R33" s="44">
        <f>IF(AND($Q33=1,数据录入!$B33&gt;=$B$2,数据录入!$B33&lt;=$D$2),N(R32)+1,N(R32))</f>
      </c>
      <c r="S33" s="44">
        <f>IFERROR(MATCH(26,$R$5:$R$4999,0),"")</f>
      </c>
      <c r="U33" s="44">
        <f>IFERROR(IF(26&lt;=50,INDEX(基础资料!$E$2:$E$51,26)&amp;"",INDEX(基础资料!$G$2:$G$51,26-50)&amp;""),"")</f>
      </c>
      <c r="V33" s="44">
        <f>IF($U33="",0,IF(AND(26&gt;50,COUNTIF(基础资料!$E$2:$E$51,$U33)&gt;0),0,1))</f>
      </c>
      <c r="W33" s="44">
        <f>IF($V33=1,N(W32)+1,N(W32))</f>
      </c>
    </row>
    <row r="34" s="44" customFormat="1" spans="1:23">
      <c r="A34" s="116">
        <f>IF($S34="","",INDEX(数据录入!$B$5:$B$4999,$S34))</f>
      </c>
      <c r="B34" s="44">
        <f>IF($S34="","",INDEX(数据录入!$C$5:$C$4999,$S34)&amp;"")</f>
      </c>
      <c r="C34" s="165">
        <f>IF($S34="","",IF(N($F34)&gt;0,"收款",IF(N($G34)&gt;0,"付款","")))</f>
      </c>
      <c r="D34" s="44">
        <f>IF($S34="","",IF((INDEX(数据录入!$I$5:$I$4999,$S34)&amp;"")&lt;&gt;"",INDEX(数据录入!$I$5:$I$4999,$S34)&amp;"",INDEX(数据录入!$J$5:$J$4999,$S34)&amp;""))</f>
      </c>
      <c r="E34" s="108">
        <f>IF($S34="","",INDEX(数据录入!$E$5:$E$4999,$S34)&amp;"")</f>
      </c>
      <c r="F34" s="114">
        <f>IF($S34="","",N(INDEX(数据录入!$F$5:$F$4999,$S34)))</f>
      </c>
      <c r="G34" s="114">
        <f>IF($S34="","",N(INDEX(数据录入!$G$5:$G$4999,$S34)))</f>
      </c>
      <c r="H34" s="114">
        <f>IF($S34="","",$G$2+SUM($F$8:$F34)-SUM($G$8:$G34))</f>
      </c>
      <c r="J34" s="165">
        <f>IF($K34="","",27)</f>
      </c>
      <c r="K34" s="44">
        <f>IFERROR(INDEX($U$8:$U$107,MATCH(27,$W$8:$W$107,0)),"")</f>
      </c>
      <c r="L34" s="114">
        <f>IF($K34="","",(SUMIFS(数据录入!$F$5:$F$4999,$Q$5:$Q$4999,1,数据录入!$B$5:$B$4999,"&lt;"&amp;$B$2,数据录入!$I$5:$I$4999,$K34)+SUMIFS(数据录入!$F$5:$F$4999,$Q$5:$Q$4999,1,数据录入!$B$5:$B$4999,"&lt;"&amp;$B$2,数据录入!$J$5:$J$4999,$K34))-(SUMIFS(数据录入!$G$5:$G$4999,$Q$5:$Q$4999,1,数据录入!$B$5:$B$4999,"&lt;"&amp;$B$2,数据录入!$I$5:$I$4999,$K34)+SUMIFS(数据录入!$G$5:$G$4999,$Q$5:$Q$4999,1,数据录入!$B$5:$B$4999,"&lt;"&amp;$B$2,数据录入!$J$5:$J$4999,$K34)))</f>
      </c>
      <c r="M34" s="114">
        <f>IF($K34="","",SUMIFS(数据录入!$F$5:$F$4999,$Q$5:$Q$4999,1,数据录入!$B$5:$B$4999,"&gt;="&amp;$B$2,数据录入!$B$5:$B$4999,"&lt;="&amp;$D$2,数据录入!$I$5:$I$4999,$K34)+SUMIFS(数据录入!$F$5:$F$4999,$Q$5:$Q$4999,1,数据录入!$B$5:$B$4999,"&gt;="&amp;$B$2,数据录入!$B$5:$B$4999,"&lt;="&amp;$D$2,数据录入!$J$5:$J$4999,$K34))</f>
      </c>
      <c r="N34" s="114">
        <f>IF($K34="","",SUMIFS(数据录入!$G$5:$G$4999,$Q$5:$Q$4999,1,数据录入!$B$5:$B$4999,"&gt;="&amp;$B$2,数据录入!$B$5:$B$4999,"&lt;="&amp;$D$2,数据录入!$I$5:$I$4999,$K34)+SUMIFS(数据录入!$G$5:$G$4999,$Q$5:$Q$4999,1,数据录入!$B$5:$B$4999,"&gt;="&amp;$B$2,数据录入!$B$5:$B$4999,"&lt;="&amp;$D$2,数据录入!$J$5:$J$4999,$K34))</f>
      </c>
      <c r="O34" s="114">
        <f>IF($K34="","",L34+M34-N34)</f>
      </c>
      <c r="Q34" s="44">
        <f>IF(数据录入!$B34="",0,IF(OR(数据录入!$D34="投标保证金",数据录入!$D34="合同履约保证金",ISNUMBER(FIND("保证金",数据录入!$E34))),1,0))</f>
      </c>
      <c r="R34" s="44">
        <f>IF(AND($Q34=1,数据录入!$B34&gt;=$B$2,数据录入!$B34&lt;=$D$2),N(R33)+1,N(R33))</f>
      </c>
      <c r="S34" s="44">
        <f>IFERROR(MATCH(27,$R$5:$R$4999,0),"")</f>
      </c>
      <c r="U34" s="44">
        <f>IFERROR(IF(27&lt;=50,INDEX(基础资料!$E$2:$E$51,27)&amp;"",INDEX(基础资料!$G$2:$G$51,27-50)&amp;""),"")</f>
      </c>
      <c r="V34" s="44">
        <f>IF($U34="",0,IF(AND(27&gt;50,COUNTIF(基础资料!$E$2:$E$51,$U34)&gt;0),0,1))</f>
      </c>
      <c r="W34" s="44">
        <f>IF($V34=1,N(W33)+1,N(W33))</f>
      </c>
    </row>
    <row r="35" s="44" customFormat="1" spans="1:23">
      <c r="A35" s="116">
        <f>IF($S35="","",INDEX(数据录入!$B$5:$B$4999,$S35))</f>
      </c>
      <c r="B35" s="44">
        <f>IF($S35="","",INDEX(数据录入!$C$5:$C$4999,$S35)&amp;"")</f>
      </c>
      <c r="C35" s="165">
        <f>IF($S35="","",IF(N($F35)&gt;0,"收款",IF(N($G35)&gt;0,"付款","")))</f>
      </c>
      <c r="D35" s="44">
        <f>IF($S35="","",IF((INDEX(数据录入!$I$5:$I$4999,$S35)&amp;"")&lt;&gt;"",INDEX(数据录入!$I$5:$I$4999,$S35)&amp;"",INDEX(数据录入!$J$5:$J$4999,$S35)&amp;""))</f>
      </c>
      <c r="E35" s="108">
        <f>IF($S35="","",INDEX(数据录入!$E$5:$E$4999,$S35)&amp;"")</f>
      </c>
      <c r="F35" s="114">
        <f>IF($S35="","",N(INDEX(数据录入!$F$5:$F$4999,$S35)))</f>
      </c>
      <c r="G35" s="114">
        <f>IF($S35="","",N(INDEX(数据录入!$G$5:$G$4999,$S35)))</f>
      </c>
      <c r="H35" s="114">
        <f>IF($S35="","",$G$2+SUM($F$8:$F35)-SUM($G$8:$G35))</f>
      </c>
      <c r="J35" s="165">
        <f>IF($K35="","",28)</f>
      </c>
      <c r="K35" s="44">
        <f>IFERROR(INDEX($U$8:$U$107,MATCH(28,$W$8:$W$107,0)),"")</f>
      </c>
      <c r="L35" s="114">
        <f>IF($K35="","",(SUMIFS(数据录入!$F$5:$F$4999,$Q$5:$Q$4999,1,数据录入!$B$5:$B$4999,"&lt;"&amp;$B$2,数据录入!$I$5:$I$4999,$K35)+SUMIFS(数据录入!$F$5:$F$4999,$Q$5:$Q$4999,1,数据录入!$B$5:$B$4999,"&lt;"&amp;$B$2,数据录入!$J$5:$J$4999,$K35))-(SUMIFS(数据录入!$G$5:$G$4999,$Q$5:$Q$4999,1,数据录入!$B$5:$B$4999,"&lt;"&amp;$B$2,数据录入!$I$5:$I$4999,$K35)+SUMIFS(数据录入!$G$5:$G$4999,$Q$5:$Q$4999,1,数据录入!$B$5:$B$4999,"&lt;"&amp;$B$2,数据录入!$J$5:$J$4999,$K35)))</f>
      </c>
      <c r="M35" s="114">
        <f>IF($K35="","",SUMIFS(数据录入!$F$5:$F$4999,$Q$5:$Q$4999,1,数据录入!$B$5:$B$4999,"&gt;="&amp;$B$2,数据录入!$B$5:$B$4999,"&lt;="&amp;$D$2,数据录入!$I$5:$I$4999,$K35)+SUMIFS(数据录入!$F$5:$F$4999,$Q$5:$Q$4999,1,数据录入!$B$5:$B$4999,"&gt;="&amp;$B$2,数据录入!$B$5:$B$4999,"&lt;="&amp;$D$2,数据录入!$J$5:$J$4999,$K35))</f>
      </c>
      <c r="N35" s="114">
        <f>IF($K35="","",SUMIFS(数据录入!$G$5:$G$4999,$Q$5:$Q$4999,1,数据录入!$B$5:$B$4999,"&gt;="&amp;$B$2,数据录入!$B$5:$B$4999,"&lt;="&amp;$D$2,数据录入!$I$5:$I$4999,$K35)+SUMIFS(数据录入!$G$5:$G$4999,$Q$5:$Q$4999,1,数据录入!$B$5:$B$4999,"&gt;="&amp;$B$2,数据录入!$B$5:$B$4999,"&lt;="&amp;$D$2,数据录入!$J$5:$J$4999,$K35))</f>
      </c>
      <c r="O35" s="114">
        <f>IF($K35="","",L35+M35-N35)</f>
      </c>
      <c r="Q35" s="44">
        <f>IF(数据录入!$B35="",0,IF(OR(数据录入!$D35="投标保证金",数据录入!$D35="合同履约保证金",ISNUMBER(FIND("保证金",数据录入!$E35))),1,0))</f>
      </c>
      <c r="R35" s="44">
        <f>IF(AND($Q35=1,数据录入!$B35&gt;=$B$2,数据录入!$B35&lt;=$D$2),N(R34)+1,N(R34))</f>
      </c>
      <c r="S35" s="44">
        <f>IFERROR(MATCH(28,$R$5:$R$4999,0),"")</f>
      </c>
      <c r="U35" s="44">
        <f>IFERROR(IF(28&lt;=50,INDEX(基础资料!$E$2:$E$51,28)&amp;"",INDEX(基础资料!$G$2:$G$51,28-50)&amp;""),"")</f>
      </c>
      <c r="V35" s="44">
        <f>IF($U35="",0,IF(AND(28&gt;50,COUNTIF(基础资料!$E$2:$E$51,$U35)&gt;0),0,1))</f>
      </c>
      <c r="W35" s="44">
        <f>IF($V35=1,N(W34)+1,N(W34))</f>
      </c>
    </row>
    <row r="36" s="44" customFormat="1" spans="1:23">
      <c r="A36" s="116">
        <f>IF($S36="","",INDEX(数据录入!$B$5:$B$4999,$S36))</f>
      </c>
      <c r="B36" s="44">
        <f>IF($S36="","",INDEX(数据录入!$C$5:$C$4999,$S36)&amp;"")</f>
      </c>
      <c r="C36" s="165">
        <f>IF($S36="","",IF(N($F36)&gt;0,"收款",IF(N($G36)&gt;0,"付款","")))</f>
      </c>
      <c r="D36" s="44">
        <f>IF($S36="","",IF((INDEX(数据录入!$I$5:$I$4999,$S36)&amp;"")&lt;&gt;"",INDEX(数据录入!$I$5:$I$4999,$S36)&amp;"",INDEX(数据录入!$J$5:$J$4999,$S36)&amp;""))</f>
      </c>
      <c r="E36" s="108">
        <f>IF($S36="","",INDEX(数据录入!$E$5:$E$4999,$S36)&amp;"")</f>
      </c>
      <c r="F36" s="114">
        <f>IF($S36="","",N(INDEX(数据录入!$F$5:$F$4999,$S36)))</f>
      </c>
      <c r="G36" s="114">
        <f>IF($S36="","",N(INDEX(数据录入!$G$5:$G$4999,$S36)))</f>
      </c>
      <c r="H36" s="114">
        <f>IF($S36="","",$G$2+SUM($F$8:$F36)-SUM($G$8:$G36))</f>
      </c>
      <c r="J36" s="165">
        <f>IF($K36="","",29)</f>
      </c>
      <c r="K36" s="44">
        <f>IFERROR(INDEX($U$8:$U$107,MATCH(29,$W$8:$W$107,0)),"")</f>
      </c>
      <c r="L36" s="114">
        <f>IF($K36="","",(SUMIFS(数据录入!$F$5:$F$4999,$Q$5:$Q$4999,1,数据录入!$B$5:$B$4999,"&lt;"&amp;$B$2,数据录入!$I$5:$I$4999,$K36)+SUMIFS(数据录入!$F$5:$F$4999,$Q$5:$Q$4999,1,数据录入!$B$5:$B$4999,"&lt;"&amp;$B$2,数据录入!$J$5:$J$4999,$K36))-(SUMIFS(数据录入!$G$5:$G$4999,$Q$5:$Q$4999,1,数据录入!$B$5:$B$4999,"&lt;"&amp;$B$2,数据录入!$I$5:$I$4999,$K36)+SUMIFS(数据录入!$G$5:$G$4999,$Q$5:$Q$4999,1,数据录入!$B$5:$B$4999,"&lt;"&amp;$B$2,数据录入!$J$5:$J$4999,$K36)))</f>
      </c>
      <c r="M36" s="114">
        <f>IF($K36="","",SUMIFS(数据录入!$F$5:$F$4999,$Q$5:$Q$4999,1,数据录入!$B$5:$B$4999,"&gt;="&amp;$B$2,数据录入!$B$5:$B$4999,"&lt;="&amp;$D$2,数据录入!$I$5:$I$4999,$K36)+SUMIFS(数据录入!$F$5:$F$4999,$Q$5:$Q$4999,1,数据录入!$B$5:$B$4999,"&gt;="&amp;$B$2,数据录入!$B$5:$B$4999,"&lt;="&amp;$D$2,数据录入!$J$5:$J$4999,$K36))</f>
      </c>
      <c r="N36" s="114">
        <f>IF($K36="","",SUMIFS(数据录入!$G$5:$G$4999,$Q$5:$Q$4999,1,数据录入!$B$5:$B$4999,"&gt;="&amp;$B$2,数据录入!$B$5:$B$4999,"&lt;="&amp;$D$2,数据录入!$I$5:$I$4999,$K36)+SUMIFS(数据录入!$G$5:$G$4999,$Q$5:$Q$4999,1,数据录入!$B$5:$B$4999,"&gt;="&amp;$B$2,数据录入!$B$5:$B$4999,"&lt;="&amp;$D$2,数据录入!$J$5:$J$4999,$K36))</f>
      </c>
      <c r="O36" s="114">
        <f>IF($K36="","",L36+M36-N36)</f>
      </c>
      <c r="Q36" s="44">
        <f>IF(数据录入!$B36="",0,IF(OR(数据录入!$D36="投标保证金",数据录入!$D36="合同履约保证金",ISNUMBER(FIND("保证金",数据录入!$E36))),1,0))</f>
      </c>
      <c r="R36" s="44">
        <f>IF(AND($Q36=1,数据录入!$B36&gt;=$B$2,数据录入!$B36&lt;=$D$2),N(R35)+1,N(R35))</f>
      </c>
      <c r="S36" s="44">
        <f>IFERROR(MATCH(29,$R$5:$R$4999,0),"")</f>
      </c>
      <c r="U36" s="44">
        <f>IFERROR(IF(29&lt;=50,INDEX(基础资料!$E$2:$E$51,29)&amp;"",INDEX(基础资料!$G$2:$G$51,29-50)&amp;""),"")</f>
      </c>
      <c r="V36" s="44">
        <f>IF($U36="",0,IF(AND(29&gt;50,COUNTIF(基础资料!$E$2:$E$51,$U36)&gt;0),0,1))</f>
      </c>
      <c r="W36" s="44">
        <f>IF($V36=1,N(W35)+1,N(W35))</f>
      </c>
    </row>
    <row r="37" s="44" customFormat="1" spans="1:23">
      <c r="A37" s="116">
        <f>IF($S37="","",INDEX(数据录入!$B$5:$B$4999,$S37))</f>
      </c>
      <c r="B37" s="44">
        <f>IF($S37="","",INDEX(数据录入!$C$5:$C$4999,$S37)&amp;"")</f>
      </c>
      <c r="C37" s="165">
        <f>IF($S37="","",IF(N($F37)&gt;0,"收款",IF(N($G37)&gt;0,"付款","")))</f>
      </c>
      <c r="D37" s="44">
        <f>IF($S37="","",IF((INDEX(数据录入!$I$5:$I$4999,$S37)&amp;"")&lt;&gt;"",INDEX(数据录入!$I$5:$I$4999,$S37)&amp;"",INDEX(数据录入!$J$5:$J$4999,$S37)&amp;""))</f>
      </c>
      <c r="E37" s="108">
        <f>IF($S37="","",INDEX(数据录入!$E$5:$E$4999,$S37)&amp;"")</f>
      </c>
      <c r="F37" s="114">
        <f>IF($S37="","",N(INDEX(数据录入!$F$5:$F$4999,$S37)))</f>
      </c>
      <c r="G37" s="114">
        <f>IF($S37="","",N(INDEX(数据录入!$G$5:$G$4999,$S37)))</f>
      </c>
      <c r="H37" s="114">
        <f>IF($S37="","",$G$2+SUM($F$8:$F37)-SUM($G$8:$G37))</f>
      </c>
      <c r="J37" s="165">
        <f>IF($K37="","",30)</f>
      </c>
      <c r="K37" s="44">
        <f>IFERROR(INDEX($U$8:$U$107,MATCH(30,$W$8:$W$107,0)),"")</f>
      </c>
      <c r="L37" s="114">
        <f>IF($K37="","",(SUMIFS(数据录入!$F$5:$F$4999,$Q$5:$Q$4999,1,数据录入!$B$5:$B$4999,"&lt;"&amp;$B$2,数据录入!$I$5:$I$4999,$K37)+SUMIFS(数据录入!$F$5:$F$4999,$Q$5:$Q$4999,1,数据录入!$B$5:$B$4999,"&lt;"&amp;$B$2,数据录入!$J$5:$J$4999,$K37))-(SUMIFS(数据录入!$G$5:$G$4999,$Q$5:$Q$4999,1,数据录入!$B$5:$B$4999,"&lt;"&amp;$B$2,数据录入!$I$5:$I$4999,$K37)+SUMIFS(数据录入!$G$5:$G$4999,$Q$5:$Q$4999,1,数据录入!$B$5:$B$4999,"&lt;"&amp;$B$2,数据录入!$J$5:$J$4999,$K37)))</f>
      </c>
      <c r="M37" s="114">
        <f>IF($K37="","",SUMIFS(数据录入!$F$5:$F$4999,$Q$5:$Q$4999,1,数据录入!$B$5:$B$4999,"&gt;="&amp;$B$2,数据录入!$B$5:$B$4999,"&lt;="&amp;$D$2,数据录入!$I$5:$I$4999,$K37)+SUMIFS(数据录入!$F$5:$F$4999,$Q$5:$Q$4999,1,数据录入!$B$5:$B$4999,"&gt;="&amp;$B$2,数据录入!$B$5:$B$4999,"&lt;="&amp;$D$2,数据录入!$J$5:$J$4999,$K37))</f>
      </c>
      <c r="N37" s="114">
        <f>IF($K37="","",SUMIFS(数据录入!$G$5:$G$4999,$Q$5:$Q$4999,1,数据录入!$B$5:$B$4999,"&gt;="&amp;$B$2,数据录入!$B$5:$B$4999,"&lt;="&amp;$D$2,数据录入!$I$5:$I$4999,$K37)+SUMIFS(数据录入!$G$5:$G$4999,$Q$5:$Q$4999,1,数据录入!$B$5:$B$4999,"&gt;="&amp;$B$2,数据录入!$B$5:$B$4999,"&lt;="&amp;$D$2,数据录入!$J$5:$J$4999,$K37))</f>
      </c>
      <c r="O37" s="114">
        <f>IF($K37="","",L37+M37-N37)</f>
      </c>
      <c r="Q37" s="44">
        <f>IF(数据录入!$B37="",0,IF(OR(数据录入!$D37="投标保证金",数据录入!$D37="合同履约保证金",ISNUMBER(FIND("保证金",数据录入!$E37))),1,0))</f>
      </c>
      <c r="R37" s="44">
        <f>IF(AND($Q37=1,数据录入!$B37&gt;=$B$2,数据录入!$B37&lt;=$D$2),N(R36)+1,N(R36))</f>
      </c>
      <c r="S37" s="44">
        <f>IFERROR(MATCH(30,$R$5:$R$4999,0),"")</f>
      </c>
      <c r="U37" s="44">
        <f>IFERROR(IF(30&lt;=50,INDEX(基础资料!$E$2:$E$51,30)&amp;"",INDEX(基础资料!$G$2:$G$51,30-50)&amp;""),"")</f>
      </c>
      <c r="V37" s="44">
        <f>IF($U37="",0,IF(AND(30&gt;50,COUNTIF(基础资料!$E$2:$E$51,$U37)&gt;0),0,1))</f>
      </c>
      <c r="W37" s="44">
        <f>IF($V37=1,N(W36)+1,N(W36))</f>
      </c>
    </row>
    <row r="38" s="44" customFormat="1" spans="1:23">
      <c r="A38" s="116">
        <f>IF($S38="","",INDEX(数据录入!$B$5:$B$4999,$S38))</f>
      </c>
      <c r="B38" s="44">
        <f>IF($S38="","",INDEX(数据录入!$C$5:$C$4999,$S38)&amp;"")</f>
      </c>
      <c r="C38" s="165">
        <f>IF($S38="","",IF(N($F38)&gt;0,"收款",IF(N($G38)&gt;0,"付款","")))</f>
      </c>
      <c r="D38" s="44">
        <f>IF($S38="","",IF((INDEX(数据录入!$I$5:$I$4999,$S38)&amp;"")&lt;&gt;"",INDEX(数据录入!$I$5:$I$4999,$S38)&amp;"",INDEX(数据录入!$J$5:$J$4999,$S38)&amp;""))</f>
      </c>
      <c r="E38" s="108">
        <f>IF($S38="","",INDEX(数据录入!$E$5:$E$4999,$S38)&amp;"")</f>
      </c>
      <c r="F38" s="114">
        <f>IF($S38="","",N(INDEX(数据录入!$F$5:$F$4999,$S38)))</f>
      </c>
      <c r="G38" s="114">
        <f>IF($S38="","",N(INDEX(数据录入!$G$5:$G$4999,$S38)))</f>
      </c>
      <c r="H38" s="114">
        <f>IF($S38="","",$G$2+SUM($F$8:$F38)-SUM($G$8:$G38))</f>
      </c>
      <c r="J38" s="165">
        <f>IF($K38="","",31)</f>
      </c>
      <c r="K38" s="44">
        <f>IFERROR(INDEX($U$8:$U$107,MATCH(31,$W$8:$W$107,0)),"")</f>
      </c>
      <c r="L38" s="114">
        <f>IF($K38="","",(SUMIFS(数据录入!$F$5:$F$4999,$Q$5:$Q$4999,1,数据录入!$B$5:$B$4999,"&lt;"&amp;$B$2,数据录入!$I$5:$I$4999,$K38)+SUMIFS(数据录入!$F$5:$F$4999,$Q$5:$Q$4999,1,数据录入!$B$5:$B$4999,"&lt;"&amp;$B$2,数据录入!$J$5:$J$4999,$K38))-(SUMIFS(数据录入!$G$5:$G$4999,$Q$5:$Q$4999,1,数据录入!$B$5:$B$4999,"&lt;"&amp;$B$2,数据录入!$I$5:$I$4999,$K38)+SUMIFS(数据录入!$G$5:$G$4999,$Q$5:$Q$4999,1,数据录入!$B$5:$B$4999,"&lt;"&amp;$B$2,数据录入!$J$5:$J$4999,$K38)))</f>
      </c>
      <c r="M38" s="114">
        <f>IF($K38="","",SUMIFS(数据录入!$F$5:$F$4999,$Q$5:$Q$4999,1,数据录入!$B$5:$B$4999,"&gt;="&amp;$B$2,数据录入!$B$5:$B$4999,"&lt;="&amp;$D$2,数据录入!$I$5:$I$4999,$K38)+SUMIFS(数据录入!$F$5:$F$4999,$Q$5:$Q$4999,1,数据录入!$B$5:$B$4999,"&gt;="&amp;$B$2,数据录入!$B$5:$B$4999,"&lt;="&amp;$D$2,数据录入!$J$5:$J$4999,$K38))</f>
      </c>
      <c r="N38" s="114">
        <f>IF($K38="","",SUMIFS(数据录入!$G$5:$G$4999,$Q$5:$Q$4999,1,数据录入!$B$5:$B$4999,"&gt;="&amp;$B$2,数据录入!$B$5:$B$4999,"&lt;="&amp;$D$2,数据录入!$I$5:$I$4999,$K38)+SUMIFS(数据录入!$G$5:$G$4999,$Q$5:$Q$4999,1,数据录入!$B$5:$B$4999,"&gt;="&amp;$B$2,数据录入!$B$5:$B$4999,"&lt;="&amp;$D$2,数据录入!$J$5:$J$4999,$K38))</f>
      </c>
      <c r="O38" s="114">
        <f>IF($K38="","",L38+M38-N38)</f>
      </c>
      <c r="Q38" s="44">
        <f>IF(数据录入!$B38="",0,IF(OR(数据录入!$D38="投标保证金",数据录入!$D38="合同履约保证金",ISNUMBER(FIND("保证金",数据录入!$E38))),1,0))</f>
      </c>
      <c r="R38" s="44">
        <f>IF(AND($Q38=1,数据录入!$B38&gt;=$B$2,数据录入!$B38&lt;=$D$2),N(R37)+1,N(R37))</f>
      </c>
      <c r="S38" s="44">
        <f>IFERROR(MATCH(31,$R$5:$R$4999,0),"")</f>
      </c>
      <c r="U38" s="44">
        <f>IFERROR(IF(31&lt;=50,INDEX(基础资料!$E$2:$E$51,31)&amp;"",INDEX(基础资料!$G$2:$G$51,31-50)&amp;""),"")</f>
      </c>
      <c r="V38" s="44">
        <f>IF($U38="",0,IF(AND(31&gt;50,COUNTIF(基础资料!$E$2:$E$51,$U38)&gt;0),0,1))</f>
      </c>
      <c r="W38" s="44">
        <f>IF($V38=1,N(W37)+1,N(W37))</f>
      </c>
    </row>
    <row r="39" s="44" customFormat="1" spans="1:23">
      <c r="A39" s="116">
        <f>IF($S39="","",INDEX(数据录入!$B$5:$B$4999,$S39))</f>
      </c>
      <c r="B39" s="44">
        <f>IF($S39="","",INDEX(数据录入!$C$5:$C$4999,$S39)&amp;"")</f>
      </c>
      <c r="C39" s="165">
        <f>IF($S39="","",IF(N($F39)&gt;0,"收款",IF(N($G39)&gt;0,"付款","")))</f>
      </c>
      <c r="D39" s="44">
        <f>IF($S39="","",IF((INDEX(数据录入!$I$5:$I$4999,$S39)&amp;"")&lt;&gt;"",INDEX(数据录入!$I$5:$I$4999,$S39)&amp;"",INDEX(数据录入!$J$5:$J$4999,$S39)&amp;""))</f>
      </c>
      <c r="E39" s="108">
        <f>IF($S39="","",INDEX(数据录入!$E$5:$E$4999,$S39)&amp;"")</f>
      </c>
      <c r="F39" s="114">
        <f>IF($S39="","",N(INDEX(数据录入!$F$5:$F$4999,$S39)))</f>
      </c>
      <c r="G39" s="114">
        <f>IF($S39="","",N(INDEX(数据录入!$G$5:$G$4999,$S39)))</f>
      </c>
      <c r="H39" s="114">
        <f>IF($S39="","",$G$2+SUM($F$8:$F39)-SUM($G$8:$G39))</f>
      </c>
      <c r="J39" s="165">
        <f>IF($K39="","",32)</f>
      </c>
      <c r="K39" s="44">
        <f>IFERROR(INDEX($U$8:$U$107,MATCH(32,$W$8:$W$107,0)),"")</f>
      </c>
      <c r="L39" s="114">
        <f>IF($K39="","",(SUMIFS(数据录入!$F$5:$F$4999,$Q$5:$Q$4999,1,数据录入!$B$5:$B$4999,"&lt;"&amp;$B$2,数据录入!$I$5:$I$4999,$K39)+SUMIFS(数据录入!$F$5:$F$4999,$Q$5:$Q$4999,1,数据录入!$B$5:$B$4999,"&lt;"&amp;$B$2,数据录入!$J$5:$J$4999,$K39))-(SUMIFS(数据录入!$G$5:$G$4999,$Q$5:$Q$4999,1,数据录入!$B$5:$B$4999,"&lt;"&amp;$B$2,数据录入!$I$5:$I$4999,$K39)+SUMIFS(数据录入!$G$5:$G$4999,$Q$5:$Q$4999,1,数据录入!$B$5:$B$4999,"&lt;"&amp;$B$2,数据录入!$J$5:$J$4999,$K39)))</f>
      </c>
      <c r="M39" s="114">
        <f>IF($K39="","",SUMIFS(数据录入!$F$5:$F$4999,$Q$5:$Q$4999,1,数据录入!$B$5:$B$4999,"&gt;="&amp;$B$2,数据录入!$B$5:$B$4999,"&lt;="&amp;$D$2,数据录入!$I$5:$I$4999,$K39)+SUMIFS(数据录入!$F$5:$F$4999,$Q$5:$Q$4999,1,数据录入!$B$5:$B$4999,"&gt;="&amp;$B$2,数据录入!$B$5:$B$4999,"&lt;="&amp;$D$2,数据录入!$J$5:$J$4999,$K39))</f>
      </c>
      <c r="N39" s="114">
        <f>IF($K39="","",SUMIFS(数据录入!$G$5:$G$4999,$Q$5:$Q$4999,1,数据录入!$B$5:$B$4999,"&gt;="&amp;$B$2,数据录入!$B$5:$B$4999,"&lt;="&amp;$D$2,数据录入!$I$5:$I$4999,$K39)+SUMIFS(数据录入!$G$5:$G$4999,$Q$5:$Q$4999,1,数据录入!$B$5:$B$4999,"&gt;="&amp;$B$2,数据录入!$B$5:$B$4999,"&lt;="&amp;$D$2,数据录入!$J$5:$J$4999,$K39))</f>
      </c>
      <c r="O39" s="114">
        <f>IF($K39="","",L39+M39-N39)</f>
      </c>
      <c r="Q39" s="44">
        <f>IF(数据录入!$B39="",0,IF(OR(数据录入!$D39="投标保证金",数据录入!$D39="合同履约保证金",ISNUMBER(FIND("保证金",数据录入!$E39))),1,0))</f>
      </c>
      <c r="R39" s="44">
        <f>IF(AND($Q39=1,数据录入!$B39&gt;=$B$2,数据录入!$B39&lt;=$D$2),N(R38)+1,N(R38))</f>
      </c>
      <c r="S39" s="44">
        <f>IFERROR(MATCH(32,$R$5:$R$4999,0),"")</f>
      </c>
      <c r="U39" s="44">
        <f>IFERROR(IF(32&lt;=50,INDEX(基础资料!$E$2:$E$51,32)&amp;"",INDEX(基础资料!$G$2:$G$51,32-50)&amp;""),"")</f>
      </c>
      <c r="V39" s="44">
        <f>IF($U39="",0,IF(AND(32&gt;50,COUNTIF(基础资料!$E$2:$E$51,$U39)&gt;0),0,1))</f>
      </c>
      <c r="W39" s="44">
        <f>IF($V39=1,N(W38)+1,N(W38))</f>
      </c>
    </row>
    <row r="40" s="44" customFormat="1" spans="1:23">
      <c r="A40" s="116">
        <f>IF($S40="","",INDEX(数据录入!$B$5:$B$4999,$S40))</f>
      </c>
      <c r="B40" s="44">
        <f>IF($S40="","",INDEX(数据录入!$C$5:$C$4999,$S40)&amp;"")</f>
      </c>
      <c r="C40" s="165">
        <f>IF($S40="","",IF(N($F40)&gt;0,"收款",IF(N($G40)&gt;0,"付款","")))</f>
      </c>
      <c r="D40" s="44">
        <f>IF($S40="","",IF((INDEX(数据录入!$I$5:$I$4999,$S40)&amp;"")&lt;&gt;"",INDEX(数据录入!$I$5:$I$4999,$S40)&amp;"",INDEX(数据录入!$J$5:$J$4999,$S40)&amp;""))</f>
      </c>
      <c r="E40" s="108">
        <f>IF($S40="","",INDEX(数据录入!$E$5:$E$4999,$S40)&amp;"")</f>
      </c>
      <c r="F40" s="114">
        <f>IF($S40="","",N(INDEX(数据录入!$F$5:$F$4999,$S40)))</f>
      </c>
      <c r="G40" s="114">
        <f>IF($S40="","",N(INDEX(数据录入!$G$5:$G$4999,$S40)))</f>
      </c>
      <c r="H40" s="114">
        <f>IF($S40="","",$G$2+SUM($F$8:$F40)-SUM($G$8:$G40))</f>
      </c>
      <c r="J40" s="165">
        <f>IF($K40="","",33)</f>
      </c>
      <c r="K40" s="44">
        <f>IFERROR(INDEX($U$8:$U$107,MATCH(33,$W$8:$W$107,0)),"")</f>
      </c>
      <c r="L40" s="114">
        <f>IF($K40="","",(SUMIFS(数据录入!$F$5:$F$4999,$Q$5:$Q$4999,1,数据录入!$B$5:$B$4999,"&lt;"&amp;$B$2,数据录入!$I$5:$I$4999,$K40)+SUMIFS(数据录入!$F$5:$F$4999,$Q$5:$Q$4999,1,数据录入!$B$5:$B$4999,"&lt;"&amp;$B$2,数据录入!$J$5:$J$4999,$K40))-(SUMIFS(数据录入!$G$5:$G$4999,$Q$5:$Q$4999,1,数据录入!$B$5:$B$4999,"&lt;"&amp;$B$2,数据录入!$I$5:$I$4999,$K40)+SUMIFS(数据录入!$G$5:$G$4999,$Q$5:$Q$4999,1,数据录入!$B$5:$B$4999,"&lt;"&amp;$B$2,数据录入!$J$5:$J$4999,$K40)))</f>
      </c>
      <c r="M40" s="114">
        <f>IF($K40="","",SUMIFS(数据录入!$F$5:$F$4999,$Q$5:$Q$4999,1,数据录入!$B$5:$B$4999,"&gt;="&amp;$B$2,数据录入!$B$5:$B$4999,"&lt;="&amp;$D$2,数据录入!$I$5:$I$4999,$K40)+SUMIFS(数据录入!$F$5:$F$4999,$Q$5:$Q$4999,1,数据录入!$B$5:$B$4999,"&gt;="&amp;$B$2,数据录入!$B$5:$B$4999,"&lt;="&amp;$D$2,数据录入!$J$5:$J$4999,$K40))</f>
      </c>
      <c r="N40" s="114">
        <f>IF($K40="","",SUMIFS(数据录入!$G$5:$G$4999,$Q$5:$Q$4999,1,数据录入!$B$5:$B$4999,"&gt;="&amp;$B$2,数据录入!$B$5:$B$4999,"&lt;="&amp;$D$2,数据录入!$I$5:$I$4999,$K40)+SUMIFS(数据录入!$G$5:$G$4999,$Q$5:$Q$4999,1,数据录入!$B$5:$B$4999,"&gt;="&amp;$B$2,数据录入!$B$5:$B$4999,"&lt;="&amp;$D$2,数据录入!$J$5:$J$4999,$K40))</f>
      </c>
      <c r="O40" s="114">
        <f>IF($K40="","",L40+M40-N40)</f>
      </c>
      <c r="Q40" s="44">
        <f>IF(数据录入!$B40="",0,IF(OR(数据录入!$D40="投标保证金",数据录入!$D40="合同履约保证金",ISNUMBER(FIND("保证金",数据录入!$E40))),1,0))</f>
      </c>
      <c r="R40" s="44">
        <f>IF(AND($Q40=1,数据录入!$B40&gt;=$B$2,数据录入!$B40&lt;=$D$2),N(R39)+1,N(R39))</f>
      </c>
      <c r="S40" s="44">
        <f>IFERROR(MATCH(33,$R$5:$R$4999,0),"")</f>
      </c>
      <c r="U40" s="44">
        <f>IFERROR(IF(33&lt;=50,INDEX(基础资料!$E$2:$E$51,33)&amp;"",INDEX(基础资料!$G$2:$G$51,33-50)&amp;""),"")</f>
      </c>
      <c r="V40" s="44">
        <f>IF($U40="",0,IF(AND(33&gt;50,COUNTIF(基础资料!$E$2:$E$51,$U40)&gt;0),0,1))</f>
      </c>
      <c r="W40" s="44">
        <f>IF($V40=1,N(W39)+1,N(W39))</f>
      </c>
    </row>
    <row r="41" s="44" customFormat="1" spans="1:23">
      <c r="A41" s="116">
        <f>IF($S41="","",INDEX(数据录入!$B$5:$B$4999,$S41))</f>
      </c>
      <c r="B41" s="44">
        <f>IF($S41="","",INDEX(数据录入!$C$5:$C$4999,$S41)&amp;"")</f>
      </c>
      <c r="C41" s="165">
        <f>IF($S41="","",IF(N($F41)&gt;0,"收款",IF(N($G41)&gt;0,"付款","")))</f>
      </c>
      <c r="D41" s="44">
        <f>IF($S41="","",IF((INDEX(数据录入!$I$5:$I$4999,$S41)&amp;"")&lt;&gt;"",INDEX(数据录入!$I$5:$I$4999,$S41)&amp;"",INDEX(数据录入!$J$5:$J$4999,$S41)&amp;""))</f>
      </c>
      <c r="E41" s="108">
        <f>IF($S41="","",INDEX(数据录入!$E$5:$E$4999,$S41)&amp;"")</f>
      </c>
      <c r="F41" s="114">
        <f>IF($S41="","",N(INDEX(数据录入!$F$5:$F$4999,$S41)))</f>
      </c>
      <c r="G41" s="114">
        <f>IF($S41="","",N(INDEX(数据录入!$G$5:$G$4999,$S41)))</f>
      </c>
      <c r="H41" s="114">
        <f>IF($S41="","",$G$2+SUM($F$8:$F41)-SUM($G$8:$G41))</f>
      </c>
      <c r="J41" s="165">
        <f>IF($K41="","",34)</f>
      </c>
      <c r="K41" s="44">
        <f>IFERROR(INDEX($U$8:$U$107,MATCH(34,$W$8:$W$107,0)),"")</f>
      </c>
      <c r="L41" s="114">
        <f>IF($K41="","",(SUMIFS(数据录入!$F$5:$F$4999,$Q$5:$Q$4999,1,数据录入!$B$5:$B$4999,"&lt;"&amp;$B$2,数据录入!$I$5:$I$4999,$K41)+SUMIFS(数据录入!$F$5:$F$4999,$Q$5:$Q$4999,1,数据录入!$B$5:$B$4999,"&lt;"&amp;$B$2,数据录入!$J$5:$J$4999,$K41))-(SUMIFS(数据录入!$G$5:$G$4999,$Q$5:$Q$4999,1,数据录入!$B$5:$B$4999,"&lt;"&amp;$B$2,数据录入!$I$5:$I$4999,$K41)+SUMIFS(数据录入!$G$5:$G$4999,$Q$5:$Q$4999,1,数据录入!$B$5:$B$4999,"&lt;"&amp;$B$2,数据录入!$J$5:$J$4999,$K41)))</f>
      </c>
      <c r="M41" s="114">
        <f>IF($K41="","",SUMIFS(数据录入!$F$5:$F$4999,$Q$5:$Q$4999,1,数据录入!$B$5:$B$4999,"&gt;="&amp;$B$2,数据录入!$B$5:$B$4999,"&lt;="&amp;$D$2,数据录入!$I$5:$I$4999,$K41)+SUMIFS(数据录入!$F$5:$F$4999,$Q$5:$Q$4999,1,数据录入!$B$5:$B$4999,"&gt;="&amp;$B$2,数据录入!$B$5:$B$4999,"&lt;="&amp;$D$2,数据录入!$J$5:$J$4999,$K41))</f>
      </c>
      <c r="N41" s="114">
        <f>IF($K41="","",SUMIFS(数据录入!$G$5:$G$4999,$Q$5:$Q$4999,1,数据录入!$B$5:$B$4999,"&gt;="&amp;$B$2,数据录入!$B$5:$B$4999,"&lt;="&amp;$D$2,数据录入!$I$5:$I$4999,$K41)+SUMIFS(数据录入!$G$5:$G$4999,$Q$5:$Q$4999,1,数据录入!$B$5:$B$4999,"&gt;="&amp;$B$2,数据录入!$B$5:$B$4999,"&lt;="&amp;$D$2,数据录入!$J$5:$J$4999,$K41))</f>
      </c>
      <c r="O41" s="114">
        <f>IF($K41="","",L41+M41-N41)</f>
      </c>
      <c r="Q41" s="44">
        <f>IF(数据录入!$B41="",0,IF(OR(数据录入!$D41="投标保证金",数据录入!$D41="合同履约保证金",ISNUMBER(FIND("保证金",数据录入!$E41))),1,0))</f>
      </c>
      <c r="R41" s="44">
        <f>IF(AND($Q41=1,数据录入!$B41&gt;=$B$2,数据录入!$B41&lt;=$D$2),N(R40)+1,N(R40))</f>
      </c>
      <c r="S41" s="44">
        <f>IFERROR(MATCH(34,$R$5:$R$4999,0),"")</f>
      </c>
      <c r="U41" s="44">
        <f>IFERROR(IF(34&lt;=50,INDEX(基础资料!$E$2:$E$51,34)&amp;"",INDEX(基础资料!$G$2:$G$51,34-50)&amp;""),"")</f>
      </c>
      <c r="V41" s="44">
        <f>IF($U41="",0,IF(AND(34&gt;50,COUNTIF(基础资料!$E$2:$E$51,$U41)&gt;0),0,1))</f>
      </c>
      <c r="W41" s="44">
        <f>IF($V41=1,N(W40)+1,N(W40))</f>
      </c>
    </row>
    <row r="42" s="44" customFormat="1" spans="1:23">
      <c r="A42" s="116">
        <f>IF($S42="","",INDEX(数据录入!$B$5:$B$4999,$S42))</f>
      </c>
      <c r="B42" s="44">
        <f>IF($S42="","",INDEX(数据录入!$C$5:$C$4999,$S42)&amp;"")</f>
      </c>
      <c r="C42" s="165">
        <f>IF($S42="","",IF(N($F42)&gt;0,"收款",IF(N($G42)&gt;0,"付款","")))</f>
      </c>
      <c r="D42" s="44">
        <f>IF($S42="","",IF((INDEX(数据录入!$I$5:$I$4999,$S42)&amp;"")&lt;&gt;"",INDEX(数据录入!$I$5:$I$4999,$S42)&amp;"",INDEX(数据录入!$J$5:$J$4999,$S42)&amp;""))</f>
      </c>
      <c r="E42" s="108">
        <f>IF($S42="","",INDEX(数据录入!$E$5:$E$4999,$S42)&amp;"")</f>
      </c>
      <c r="F42" s="114">
        <f>IF($S42="","",N(INDEX(数据录入!$F$5:$F$4999,$S42)))</f>
      </c>
      <c r="G42" s="114">
        <f>IF($S42="","",N(INDEX(数据录入!$G$5:$G$4999,$S42)))</f>
      </c>
      <c r="H42" s="114">
        <f>IF($S42="","",$G$2+SUM($F$8:$F42)-SUM($G$8:$G42))</f>
      </c>
      <c r="J42" s="165">
        <f>IF($K42="","",35)</f>
      </c>
      <c r="K42" s="44">
        <f>IFERROR(INDEX($U$8:$U$107,MATCH(35,$W$8:$W$107,0)),"")</f>
      </c>
      <c r="L42" s="114">
        <f>IF($K42="","",(SUMIFS(数据录入!$F$5:$F$4999,$Q$5:$Q$4999,1,数据录入!$B$5:$B$4999,"&lt;"&amp;$B$2,数据录入!$I$5:$I$4999,$K42)+SUMIFS(数据录入!$F$5:$F$4999,$Q$5:$Q$4999,1,数据录入!$B$5:$B$4999,"&lt;"&amp;$B$2,数据录入!$J$5:$J$4999,$K42))-(SUMIFS(数据录入!$G$5:$G$4999,$Q$5:$Q$4999,1,数据录入!$B$5:$B$4999,"&lt;"&amp;$B$2,数据录入!$I$5:$I$4999,$K42)+SUMIFS(数据录入!$G$5:$G$4999,$Q$5:$Q$4999,1,数据录入!$B$5:$B$4999,"&lt;"&amp;$B$2,数据录入!$J$5:$J$4999,$K42)))</f>
      </c>
      <c r="M42" s="114">
        <f>IF($K42="","",SUMIFS(数据录入!$F$5:$F$4999,$Q$5:$Q$4999,1,数据录入!$B$5:$B$4999,"&gt;="&amp;$B$2,数据录入!$B$5:$B$4999,"&lt;="&amp;$D$2,数据录入!$I$5:$I$4999,$K42)+SUMIFS(数据录入!$F$5:$F$4999,$Q$5:$Q$4999,1,数据录入!$B$5:$B$4999,"&gt;="&amp;$B$2,数据录入!$B$5:$B$4999,"&lt;="&amp;$D$2,数据录入!$J$5:$J$4999,$K42))</f>
      </c>
      <c r="N42" s="114">
        <f>IF($K42="","",SUMIFS(数据录入!$G$5:$G$4999,$Q$5:$Q$4999,1,数据录入!$B$5:$B$4999,"&gt;="&amp;$B$2,数据录入!$B$5:$B$4999,"&lt;="&amp;$D$2,数据录入!$I$5:$I$4999,$K42)+SUMIFS(数据录入!$G$5:$G$4999,$Q$5:$Q$4999,1,数据录入!$B$5:$B$4999,"&gt;="&amp;$B$2,数据录入!$B$5:$B$4999,"&lt;="&amp;$D$2,数据录入!$J$5:$J$4999,$K42))</f>
      </c>
      <c r="O42" s="114">
        <f>IF($K42="","",L42+M42-N42)</f>
      </c>
      <c r="Q42" s="44">
        <f>IF(数据录入!$B42="",0,IF(OR(数据录入!$D42="投标保证金",数据录入!$D42="合同履约保证金",ISNUMBER(FIND("保证金",数据录入!$E42))),1,0))</f>
      </c>
      <c r="R42" s="44">
        <f>IF(AND($Q42=1,数据录入!$B42&gt;=$B$2,数据录入!$B42&lt;=$D$2),N(R41)+1,N(R41))</f>
      </c>
      <c r="S42" s="44">
        <f>IFERROR(MATCH(35,$R$5:$R$4999,0),"")</f>
      </c>
      <c r="U42" s="44">
        <f>IFERROR(IF(35&lt;=50,INDEX(基础资料!$E$2:$E$51,35)&amp;"",INDEX(基础资料!$G$2:$G$51,35-50)&amp;""),"")</f>
      </c>
      <c r="V42" s="44">
        <f>IF($U42="",0,IF(AND(35&gt;50,COUNTIF(基础资料!$E$2:$E$51,$U42)&gt;0),0,1))</f>
      </c>
      <c r="W42" s="44">
        <f>IF($V42=1,N(W41)+1,N(W41))</f>
      </c>
    </row>
    <row r="43" s="44" customFormat="1" spans="1:23">
      <c r="A43" s="116">
        <f>IF($S43="","",INDEX(数据录入!$B$5:$B$4999,$S43))</f>
      </c>
      <c r="B43" s="44">
        <f>IF($S43="","",INDEX(数据录入!$C$5:$C$4999,$S43)&amp;"")</f>
      </c>
      <c r="C43" s="165">
        <f>IF($S43="","",IF(N($F43)&gt;0,"收款",IF(N($G43)&gt;0,"付款","")))</f>
      </c>
      <c r="D43" s="44">
        <f>IF($S43="","",IF((INDEX(数据录入!$I$5:$I$4999,$S43)&amp;"")&lt;&gt;"",INDEX(数据录入!$I$5:$I$4999,$S43)&amp;"",INDEX(数据录入!$J$5:$J$4999,$S43)&amp;""))</f>
      </c>
      <c r="E43" s="108">
        <f>IF($S43="","",INDEX(数据录入!$E$5:$E$4999,$S43)&amp;"")</f>
      </c>
      <c r="F43" s="114">
        <f>IF($S43="","",N(INDEX(数据录入!$F$5:$F$4999,$S43)))</f>
      </c>
      <c r="G43" s="114">
        <f>IF($S43="","",N(INDEX(数据录入!$G$5:$G$4999,$S43)))</f>
      </c>
      <c r="H43" s="114">
        <f>IF($S43="","",$G$2+SUM($F$8:$F43)-SUM($G$8:$G43))</f>
      </c>
      <c r="J43" s="165">
        <f>IF($K43="","",36)</f>
      </c>
      <c r="K43" s="44">
        <f>IFERROR(INDEX($U$8:$U$107,MATCH(36,$W$8:$W$107,0)),"")</f>
      </c>
      <c r="L43" s="114">
        <f>IF($K43="","",(SUMIFS(数据录入!$F$5:$F$4999,$Q$5:$Q$4999,1,数据录入!$B$5:$B$4999,"&lt;"&amp;$B$2,数据录入!$I$5:$I$4999,$K43)+SUMIFS(数据录入!$F$5:$F$4999,$Q$5:$Q$4999,1,数据录入!$B$5:$B$4999,"&lt;"&amp;$B$2,数据录入!$J$5:$J$4999,$K43))-(SUMIFS(数据录入!$G$5:$G$4999,$Q$5:$Q$4999,1,数据录入!$B$5:$B$4999,"&lt;"&amp;$B$2,数据录入!$I$5:$I$4999,$K43)+SUMIFS(数据录入!$G$5:$G$4999,$Q$5:$Q$4999,1,数据录入!$B$5:$B$4999,"&lt;"&amp;$B$2,数据录入!$J$5:$J$4999,$K43)))</f>
      </c>
      <c r="M43" s="114">
        <f>IF($K43="","",SUMIFS(数据录入!$F$5:$F$4999,$Q$5:$Q$4999,1,数据录入!$B$5:$B$4999,"&gt;="&amp;$B$2,数据录入!$B$5:$B$4999,"&lt;="&amp;$D$2,数据录入!$I$5:$I$4999,$K43)+SUMIFS(数据录入!$F$5:$F$4999,$Q$5:$Q$4999,1,数据录入!$B$5:$B$4999,"&gt;="&amp;$B$2,数据录入!$B$5:$B$4999,"&lt;="&amp;$D$2,数据录入!$J$5:$J$4999,$K43))</f>
      </c>
      <c r="N43" s="114">
        <f>IF($K43="","",SUMIFS(数据录入!$G$5:$G$4999,$Q$5:$Q$4999,1,数据录入!$B$5:$B$4999,"&gt;="&amp;$B$2,数据录入!$B$5:$B$4999,"&lt;="&amp;$D$2,数据录入!$I$5:$I$4999,$K43)+SUMIFS(数据录入!$G$5:$G$4999,$Q$5:$Q$4999,1,数据录入!$B$5:$B$4999,"&gt;="&amp;$B$2,数据录入!$B$5:$B$4999,"&lt;="&amp;$D$2,数据录入!$J$5:$J$4999,$K43))</f>
      </c>
      <c r="O43" s="114">
        <f>IF($K43="","",L43+M43-N43)</f>
      </c>
      <c r="Q43" s="44">
        <f>IF(数据录入!$B43="",0,IF(OR(数据录入!$D43="投标保证金",数据录入!$D43="合同履约保证金",ISNUMBER(FIND("保证金",数据录入!$E43))),1,0))</f>
      </c>
      <c r="R43" s="44">
        <f>IF(AND($Q43=1,数据录入!$B43&gt;=$B$2,数据录入!$B43&lt;=$D$2),N(R42)+1,N(R42))</f>
      </c>
      <c r="S43" s="44">
        <f>IFERROR(MATCH(36,$R$5:$R$4999,0),"")</f>
      </c>
      <c r="U43" s="44">
        <f>IFERROR(IF(36&lt;=50,INDEX(基础资料!$E$2:$E$51,36)&amp;"",INDEX(基础资料!$G$2:$G$51,36-50)&amp;""),"")</f>
      </c>
      <c r="V43" s="44">
        <f>IF($U43="",0,IF(AND(36&gt;50,COUNTIF(基础资料!$E$2:$E$51,$U43)&gt;0),0,1))</f>
      </c>
      <c r="W43" s="44">
        <f>IF($V43=1,N(W42)+1,N(W42))</f>
      </c>
    </row>
    <row r="44" s="44" customFormat="1" spans="1:23">
      <c r="A44" s="116">
        <f>IF($S44="","",INDEX(数据录入!$B$5:$B$4999,$S44))</f>
      </c>
      <c r="B44" s="44">
        <f>IF($S44="","",INDEX(数据录入!$C$5:$C$4999,$S44)&amp;"")</f>
      </c>
      <c r="C44" s="165">
        <f>IF($S44="","",IF(N($F44)&gt;0,"收款",IF(N($G44)&gt;0,"付款","")))</f>
      </c>
      <c r="D44" s="44">
        <f>IF($S44="","",IF((INDEX(数据录入!$I$5:$I$4999,$S44)&amp;"")&lt;&gt;"",INDEX(数据录入!$I$5:$I$4999,$S44)&amp;"",INDEX(数据录入!$J$5:$J$4999,$S44)&amp;""))</f>
      </c>
      <c r="E44" s="108">
        <f>IF($S44="","",INDEX(数据录入!$E$5:$E$4999,$S44)&amp;"")</f>
      </c>
      <c r="F44" s="114">
        <f>IF($S44="","",N(INDEX(数据录入!$F$5:$F$4999,$S44)))</f>
      </c>
      <c r="G44" s="114">
        <f>IF($S44="","",N(INDEX(数据录入!$G$5:$G$4999,$S44)))</f>
      </c>
      <c r="H44" s="114">
        <f>IF($S44="","",$G$2+SUM($F$8:$F44)-SUM($G$8:$G44))</f>
      </c>
      <c r="J44" s="165">
        <f>IF($K44="","",37)</f>
      </c>
      <c r="K44" s="44">
        <f>IFERROR(INDEX($U$8:$U$107,MATCH(37,$W$8:$W$107,0)),"")</f>
      </c>
      <c r="L44" s="114">
        <f>IF($K44="","",(SUMIFS(数据录入!$F$5:$F$4999,$Q$5:$Q$4999,1,数据录入!$B$5:$B$4999,"&lt;"&amp;$B$2,数据录入!$I$5:$I$4999,$K44)+SUMIFS(数据录入!$F$5:$F$4999,$Q$5:$Q$4999,1,数据录入!$B$5:$B$4999,"&lt;"&amp;$B$2,数据录入!$J$5:$J$4999,$K44))-(SUMIFS(数据录入!$G$5:$G$4999,$Q$5:$Q$4999,1,数据录入!$B$5:$B$4999,"&lt;"&amp;$B$2,数据录入!$I$5:$I$4999,$K44)+SUMIFS(数据录入!$G$5:$G$4999,$Q$5:$Q$4999,1,数据录入!$B$5:$B$4999,"&lt;"&amp;$B$2,数据录入!$J$5:$J$4999,$K44)))</f>
      </c>
      <c r="M44" s="114">
        <f>IF($K44="","",SUMIFS(数据录入!$F$5:$F$4999,$Q$5:$Q$4999,1,数据录入!$B$5:$B$4999,"&gt;="&amp;$B$2,数据录入!$B$5:$B$4999,"&lt;="&amp;$D$2,数据录入!$I$5:$I$4999,$K44)+SUMIFS(数据录入!$F$5:$F$4999,$Q$5:$Q$4999,1,数据录入!$B$5:$B$4999,"&gt;="&amp;$B$2,数据录入!$B$5:$B$4999,"&lt;="&amp;$D$2,数据录入!$J$5:$J$4999,$K44))</f>
      </c>
      <c r="N44" s="114">
        <f>IF($K44="","",SUMIFS(数据录入!$G$5:$G$4999,$Q$5:$Q$4999,1,数据录入!$B$5:$B$4999,"&gt;="&amp;$B$2,数据录入!$B$5:$B$4999,"&lt;="&amp;$D$2,数据录入!$I$5:$I$4999,$K44)+SUMIFS(数据录入!$G$5:$G$4999,$Q$5:$Q$4999,1,数据录入!$B$5:$B$4999,"&gt;="&amp;$B$2,数据录入!$B$5:$B$4999,"&lt;="&amp;$D$2,数据录入!$J$5:$J$4999,$K44))</f>
      </c>
      <c r="O44" s="114">
        <f>IF($K44="","",L44+M44-N44)</f>
      </c>
      <c r="Q44" s="44">
        <f>IF(数据录入!$B44="",0,IF(OR(数据录入!$D44="投标保证金",数据录入!$D44="合同履约保证金",ISNUMBER(FIND("保证金",数据录入!$E44))),1,0))</f>
      </c>
      <c r="R44" s="44">
        <f>IF(AND($Q44=1,数据录入!$B44&gt;=$B$2,数据录入!$B44&lt;=$D$2),N(R43)+1,N(R43))</f>
      </c>
      <c r="S44" s="44">
        <f>IFERROR(MATCH(37,$R$5:$R$4999,0),"")</f>
      </c>
      <c r="U44" s="44">
        <f>IFERROR(IF(37&lt;=50,INDEX(基础资料!$E$2:$E$51,37)&amp;"",INDEX(基础资料!$G$2:$G$51,37-50)&amp;""),"")</f>
      </c>
      <c r="V44" s="44">
        <f>IF($U44="",0,IF(AND(37&gt;50,COUNTIF(基础资料!$E$2:$E$51,$U44)&gt;0),0,1))</f>
      </c>
      <c r="W44" s="44">
        <f>IF($V44=1,N(W43)+1,N(W43))</f>
      </c>
    </row>
    <row r="45" s="44" customFormat="1" spans="1:23">
      <c r="A45" s="116">
        <f>IF($S45="","",INDEX(数据录入!$B$5:$B$4999,$S45))</f>
      </c>
      <c r="B45" s="44">
        <f>IF($S45="","",INDEX(数据录入!$C$5:$C$4999,$S45)&amp;"")</f>
      </c>
      <c r="C45" s="165">
        <f>IF($S45="","",IF(N($F45)&gt;0,"收款",IF(N($G45)&gt;0,"付款","")))</f>
      </c>
      <c r="D45" s="44">
        <f>IF($S45="","",IF((INDEX(数据录入!$I$5:$I$4999,$S45)&amp;"")&lt;&gt;"",INDEX(数据录入!$I$5:$I$4999,$S45)&amp;"",INDEX(数据录入!$J$5:$J$4999,$S45)&amp;""))</f>
      </c>
      <c r="E45" s="108">
        <f>IF($S45="","",INDEX(数据录入!$E$5:$E$4999,$S45)&amp;"")</f>
      </c>
      <c r="F45" s="114">
        <f>IF($S45="","",N(INDEX(数据录入!$F$5:$F$4999,$S45)))</f>
      </c>
      <c r="G45" s="114">
        <f>IF($S45="","",N(INDEX(数据录入!$G$5:$G$4999,$S45)))</f>
      </c>
      <c r="H45" s="114">
        <f>IF($S45="","",$G$2+SUM($F$8:$F45)-SUM($G$8:$G45))</f>
      </c>
      <c r="J45" s="165">
        <f>IF($K45="","",38)</f>
      </c>
      <c r="K45" s="44">
        <f>IFERROR(INDEX($U$8:$U$107,MATCH(38,$W$8:$W$107,0)),"")</f>
      </c>
      <c r="L45" s="114">
        <f>IF($K45="","",(SUMIFS(数据录入!$F$5:$F$4999,$Q$5:$Q$4999,1,数据录入!$B$5:$B$4999,"&lt;"&amp;$B$2,数据录入!$I$5:$I$4999,$K45)+SUMIFS(数据录入!$F$5:$F$4999,$Q$5:$Q$4999,1,数据录入!$B$5:$B$4999,"&lt;"&amp;$B$2,数据录入!$J$5:$J$4999,$K45))-(SUMIFS(数据录入!$G$5:$G$4999,$Q$5:$Q$4999,1,数据录入!$B$5:$B$4999,"&lt;"&amp;$B$2,数据录入!$I$5:$I$4999,$K45)+SUMIFS(数据录入!$G$5:$G$4999,$Q$5:$Q$4999,1,数据录入!$B$5:$B$4999,"&lt;"&amp;$B$2,数据录入!$J$5:$J$4999,$K45)))</f>
      </c>
      <c r="M45" s="114">
        <f>IF($K45="","",SUMIFS(数据录入!$F$5:$F$4999,$Q$5:$Q$4999,1,数据录入!$B$5:$B$4999,"&gt;="&amp;$B$2,数据录入!$B$5:$B$4999,"&lt;="&amp;$D$2,数据录入!$I$5:$I$4999,$K45)+SUMIFS(数据录入!$F$5:$F$4999,$Q$5:$Q$4999,1,数据录入!$B$5:$B$4999,"&gt;="&amp;$B$2,数据录入!$B$5:$B$4999,"&lt;="&amp;$D$2,数据录入!$J$5:$J$4999,$K45))</f>
      </c>
      <c r="N45" s="114">
        <f>IF($K45="","",SUMIFS(数据录入!$G$5:$G$4999,$Q$5:$Q$4999,1,数据录入!$B$5:$B$4999,"&gt;="&amp;$B$2,数据录入!$B$5:$B$4999,"&lt;="&amp;$D$2,数据录入!$I$5:$I$4999,$K45)+SUMIFS(数据录入!$G$5:$G$4999,$Q$5:$Q$4999,1,数据录入!$B$5:$B$4999,"&gt;="&amp;$B$2,数据录入!$B$5:$B$4999,"&lt;="&amp;$D$2,数据录入!$J$5:$J$4999,$K45))</f>
      </c>
      <c r="O45" s="114">
        <f>IF($K45="","",L45+M45-N45)</f>
      </c>
      <c r="Q45" s="44">
        <f>IF(数据录入!$B45="",0,IF(OR(数据录入!$D45="投标保证金",数据录入!$D45="合同履约保证金",ISNUMBER(FIND("保证金",数据录入!$E45))),1,0))</f>
      </c>
      <c r="R45" s="44">
        <f>IF(AND($Q45=1,数据录入!$B45&gt;=$B$2,数据录入!$B45&lt;=$D$2),N(R44)+1,N(R44))</f>
      </c>
      <c r="S45" s="44">
        <f>IFERROR(MATCH(38,$R$5:$R$4999,0),"")</f>
      </c>
      <c r="U45" s="44">
        <f>IFERROR(IF(38&lt;=50,INDEX(基础资料!$E$2:$E$51,38)&amp;"",INDEX(基础资料!$G$2:$G$51,38-50)&amp;""),"")</f>
      </c>
      <c r="V45" s="44">
        <f>IF($U45="",0,IF(AND(38&gt;50,COUNTIF(基础资料!$E$2:$E$51,$U45)&gt;0),0,1))</f>
      </c>
      <c r="W45" s="44">
        <f>IF($V45=1,N(W44)+1,N(W44))</f>
      </c>
    </row>
    <row r="46" s="44" customFormat="1" spans="1:23">
      <c r="A46" s="116">
        <f>IF($S46="","",INDEX(数据录入!$B$5:$B$4999,$S46))</f>
      </c>
      <c r="B46" s="44">
        <f>IF($S46="","",INDEX(数据录入!$C$5:$C$4999,$S46)&amp;"")</f>
      </c>
      <c r="C46" s="165">
        <f>IF($S46="","",IF(N($F46)&gt;0,"收款",IF(N($G46)&gt;0,"付款","")))</f>
      </c>
      <c r="D46" s="44">
        <f>IF($S46="","",IF((INDEX(数据录入!$I$5:$I$4999,$S46)&amp;"")&lt;&gt;"",INDEX(数据录入!$I$5:$I$4999,$S46)&amp;"",INDEX(数据录入!$J$5:$J$4999,$S46)&amp;""))</f>
      </c>
      <c r="E46" s="108">
        <f>IF($S46="","",INDEX(数据录入!$E$5:$E$4999,$S46)&amp;"")</f>
      </c>
      <c r="F46" s="114">
        <f>IF($S46="","",N(INDEX(数据录入!$F$5:$F$4999,$S46)))</f>
      </c>
      <c r="G46" s="114">
        <f>IF($S46="","",N(INDEX(数据录入!$G$5:$G$4999,$S46)))</f>
      </c>
      <c r="H46" s="114">
        <f>IF($S46="","",$G$2+SUM($F$8:$F46)-SUM($G$8:$G46))</f>
      </c>
      <c r="J46" s="165">
        <f>IF($K46="","",39)</f>
      </c>
      <c r="K46" s="44">
        <f>IFERROR(INDEX($U$8:$U$107,MATCH(39,$W$8:$W$107,0)),"")</f>
      </c>
      <c r="L46" s="114">
        <f>IF($K46="","",(SUMIFS(数据录入!$F$5:$F$4999,$Q$5:$Q$4999,1,数据录入!$B$5:$B$4999,"&lt;"&amp;$B$2,数据录入!$I$5:$I$4999,$K46)+SUMIFS(数据录入!$F$5:$F$4999,$Q$5:$Q$4999,1,数据录入!$B$5:$B$4999,"&lt;"&amp;$B$2,数据录入!$J$5:$J$4999,$K46))-(SUMIFS(数据录入!$G$5:$G$4999,$Q$5:$Q$4999,1,数据录入!$B$5:$B$4999,"&lt;"&amp;$B$2,数据录入!$I$5:$I$4999,$K46)+SUMIFS(数据录入!$G$5:$G$4999,$Q$5:$Q$4999,1,数据录入!$B$5:$B$4999,"&lt;"&amp;$B$2,数据录入!$J$5:$J$4999,$K46)))</f>
      </c>
      <c r="M46" s="114">
        <f>IF($K46="","",SUMIFS(数据录入!$F$5:$F$4999,$Q$5:$Q$4999,1,数据录入!$B$5:$B$4999,"&gt;="&amp;$B$2,数据录入!$B$5:$B$4999,"&lt;="&amp;$D$2,数据录入!$I$5:$I$4999,$K46)+SUMIFS(数据录入!$F$5:$F$4999,$Q$5:$Q$4999,1,数据录入!$B$5:$B$4999,"&gt;="&amp;$B$2,数据录入!$B$5:$B$4999,"&lt;="&amp;$D$2,数据录入!$J$5:$J$4999,$K46))</f>
      </c>
      <c r="N46" s="114">
        <f>IF($K46="","",SUMIFS(数据录入!$G$5:$G$4999,$Q$5:$Q$4999,1,数据录入!$B$5:$B$4999,"&gt;="&amp;$B$2,数据录入!$B$5:$B$4999,"&lt;="&amp;$D$2,数据录入!$I$5:$I$4999,$K46)+SUMIFS(数据录入!$G$5:$G$4999,$Q$5:$Q$4999,1,数据录入!$B$5:$B$4999,"&gt;="&amp;$B$2,数据录入!$B$5:$B$4999,"&lt;="&amp;$D$2,数据录入!$J$5:$J$4999,$K46))</f>
      </c>
      <c r="O46" s="114">
        <f>IF($K46="","",L46+M46-N46)</f>
      </c>
      <c r="Q46" s="44">
        <f>IF(数据录入!$B46="",0,IF(OR(数据录入!$D46="投标保证金",数据录入!$D46="合同履约保证金",ISNUMBER(FIND("保证金",数据录入!$E46))),1,0))</f>
      </c>
      <c r="R46" s="44">
        <f>IF(AND($Q46=1,数据录入!$B46&gt;=$B$2,数据录入!$B46&lt;=$D$2),N(R45)+1,N(R45))</f>
      </c>
      <c r="S46" s="44">
        <f>IFERROR(MATCH(39,$R$5:$R$4999,0),"")</f>
      </c>
      <c r="U46" s="44">
        <f>IFERROR(IF(39&lt;=50,INDEX(基础资料!$E$2:$E$51,39)&amp;"",INDEX(基础资料!$G$2:$G$51,39-50)&amp;""),"")</f>
      </c>
      <c r="V46" s="44">
        <f>IF($U46="",0,IF(AND(39&gt;50,COUNTIF(基础资料!$E$2:$E$51,$U46)&gt;0),0,1))</f>
      </c>
      <c r="W46" s="44">
        <f>IF($V46=1,N(W45)+1,N(W45))</f>
      </c>
    </row>
    <row r="47" s="44" customFormat="1" spans="1:23">
      <c r="A47" s="116">
        <f>IF($S47="","",INDEX(数据录入!$B$5:$B$4999,$S47))</f>
      </c>
      <c r="B47" s="44">
        <f>IF($S47="","",INDEX(数据录入!$C$5:$C$4999,$S47)&amp;"")</f>
      </c>
      <c r="C47" s="165">
        <f>IF($S47="","",IF(N($F47)&gt;0,"收款",IF(N($G47)&gt;0,"付款","")))</f>
      </c>
      <c r="D47" s="44">
        <f>IF($S47="","",IF((INDEX(数据录入!$I$5:$I$4999,$S47)&amp;"")&lt;&gt;"",INDEX(数据录入!$I$5:$I$4999,$S47)&amp;"",INDEX(数据录入!$J$5:$J$4999,$S47)&amp;""))</f>
      </c>
      <c r="E47" s="108">
        <f>IF($S47="","",INDEX(数据录入!$E$5:$E$4999,$S47)&amp;"")</f>
      </c>
      <c r="F47" s="114">
        <f>IF($S47="","",N(INDEX(数据录入!$F$5:$F$4999,$S47)))</f>
      </c>
      <c r="G47" s="114">
        <f>IF($S47="","",N(INDEX(数据录入!$G$5:$G$4999,$S47)))</f>
      </c>
      <c r="H47" s="114">
        <f>IF($S47="","",$G$2+SUM($F$8:$F47)-SUM($G$8:$G47))</f>
      </c>
      <c r="J47" s="165">
        <f>IF($K47="","",40)</f>
      </c>
      <c r="K47" s="44">
        <f>IFERROR(INDEX($U$8:$U$107,MATCH(40,$W$8:$W$107,0)),"")</f>
      </c>
      <c r="L47" s="114">
        <f>IF($K47="","",(SUMIFS(数据录入!$F$5:$F$4999,$Q$5:$Q$4999,1,数据录入!$B$5:$B$4999,"&lt;"&amp;$B$2,数据录入!$I$5:$I$4999,$K47)+SUMIFS(数据录入!$F$5:$F$4999,$Q$5:$Q$4999,1,数据录入!$B$5:$B$4999,"&lt;"&amp;$B$2,数据录入!$J$5:$J$4999,$K47))-(SUMIFS(数据录入!$G$5:$G$4999,$Q$5:$Q$4999,1,数据录入!$B$5:$B$4999,"&lt;"&amp;$B$2,数据录入!$I$5:$I$4999,$K47)+SUMIFS(数据录入!$G$5:$G$4999,$Q$5:$Q$4999,1,数据录入!$B$5:$B$4999,"&lt;"&amp;$B$2,数据录入!$J$5:$J$4999,$K47)))</f>
      </c>
      <c r="M47" s="114">
        <f>IF($K47="","",SUMIFS(数据录入!$F$5:$F$4999,$Q$5:$Q$4999,1,数据录入!$B$5:$B$4999,"&gt;="&amp;$B$2,数据录入!$B$5:$B$4999,"&lt;="&amp;$D$2,数据录入!$I$5:$I$4999,$K47)+SUMIFS(数据录入!$F$5:$F$4999,$Q$5:$Q$4999,1,数据录入!$B$5:$B$4999,"&gt;="&amp;$B$2,数据录入!$B$5:$B$4999,"&lt;="&amp;$D$2,数据录入!$J$5:$J$4999,$K47))</f>
      </c>
      <c r="N47" s="114">
        <f>IF($K47="","",SUMIFS(数据录入!$G$5:$G$4999,$Q$5:$Q$4999,1,数据录入!$B$5:$B$4999,"&gt;="&amp;$B$2,数据录入!$B$5:$B$4999,"&lt;="&amp;$D$2,数据录入!$I$5:$I$4999,$K47)+SUMIFS(数据录入!$G$5:$G$4999,$Q$5:$Q$4999,1,数据录入!$B$5:$B$4999,"&gt;="&amp;$B$2,数据录入!$B$5:$B$4999,"&lt;="&amp;$D$2,数据录入!$J$5:$J$4999,$K47))</f>
      </c>
      <c r="O47" s="114">
        <f>IF($K47="","",L47+M47-N47)</f>
      </c>
      <c r="Q47" s="44">
        <f>IF(数据录入!$B47="",0,IF(OR(数据录入!$D47="投标保证金",数据录入!$D47="合同履约保证金",ISNUMBER(FIND("保证金",数据录入!$E47))),1,0))</f>
      </c>
      <c r="R47" s="44">
        <f>IF(AND($Q47=1,数据录入!$B47&gt;=$B$2,数据录入!$B47&lt;=$D$2),N(R46)+1,N(R46))</f>
      </c>
      <c r="S47" s="44">
        <f>IFERROR(MATCH(40,$R$5:$R$4999,0),"")</f>
      </c>
      <c r="U47" s="44">
        <f>IFERROR(IF(40&lt;=50,INDEX(基础资料!$E$2:$E$51,40)&amp;"",INDEX(基础资料!$G$2:$G$51,40-50)&amp;""),"")</f>
      </c>
      <c r="V47" s="44">
        <f>IF($U47="",0,IF(AND(40&gt;50,COUNTIF(基础资料!$E$2:$E$51,$U47)&gt;0),0,1))</f>
      </c>
      <c r="W47" s="44">
        <f>IF($V47=1,N(W46)+1,N(W46))</f>
      </c>
    </row>
    <row r="48" s="44" customFormat="1" spans="1:23">
      <c r="A48" s="116">
        <f>IF($S48="","",INDEX(数据录入!$B$5:$B$4999,$S48))</f>
      </c>
      <c r="B48" s="44">
        <f>IF($S48="","",INDEX(数据录入!$C$5:$C$4999,$S48)&amp;"")</f>
      </c>
      <c r="C48" s="165">
        <f>IF($S48="","",IF(N($F48)&gt;0,"收款",IF(N($G48)&gt;0,"付款","")))</f>
      </c>
      <c r="D48" s="44">
        <f>IF($S48="","",IF((INDEX(数据录入!$I$5:$I$4999,$S48)&amp;"")&lt;&gt;"",INDEX(数据录入!$I$5:$I$4999,$S48)&amp;"",INDEX(数据录入!$J$5:$J$4999,$S48)&amp;""))</f>
      </c>
      <c r="E48" s="108">
        <f>IF($S48="","",INDEX(数据录入!$E$5:$E$4999,$S48)&amp;"")</f>
      </c>
      <c r="F48" s="114">
        <f>IF($S48="","",N(INDEX(数据录入!$F$5:$F$4999,$S48)))</f>
      </c>
      <c r="G48" s="114">
        <f>IF($S48="","",N(INDEX(数据录入!$G$5:$G$4999,$S48)))</f>
      </c>
      <c r="H48" s="114">
        <f>IF($S48="","",$G$2+SUM($F$8:$F48)-SUM($G$8:$G48))</f>
      </c>
      <c r="J48" s="165">
        <f>IF($K48="","",41)</f>
      </c>
      <c r="K48" s="44">
        <f>IFERROR(INDEX($U$8:$U$107,MATCH(41,$W$8:$W$107,0)),"")</f>
      </c>
      <c r="L48" s="114">
        <f>IF($K48="","",(SUMIFS(数据录入!$F$5:$F$4999,$Q$5:$Q$4999,1,数据录入!$B$5:$B$4999,"&lt;"&amp;$B$2,数据录入!$I$5:$I$4999,$K48)+SUMIFS(数据录入!$F$5:$F$4999,$Q$5:$Q$4999,1,数据录入!$B$5:$B$4999,"&lt;"&amp;$B$2,数据录入!$J$5:$J$4999,$K48))-(SUMIFS(数据录入!$G$5:$G$4999,$Q$5:$Q$4999,1,数据录入!$B$5:$B$4999,"&lt;"&amp;$B$2,数据录入!$I$5:$I$4999,$K48)+SUMIFS(数据录入!$G$5:$G$4999,$Q$5:$Q$4999,1,数据录入!$B$5:$B$4999,"&lt;"&amp;$B$2,数据录入!$J$5:$J$4999,$K48)))</f>
      </c>
      <c r="M48" s="114">
        <f>IF($K48="","",SUMIFS(数据录入!$F$5:$F$4999,$Q$5:$Q$4999,1,数据录入!$B$5:$B$4999,"&gt;="&amp;$B$2,数据录入!$B$5:$B$4999,"&lt;="&amp;$D$2,数据录入!$I$5:$I$4999,$K48)+SUMIFS(数据录入!$F$5:$F$4999,$Q$5:$Q$4999,1,数据录入!$B$5:$B$4999,"&gt;="&amp;$B$2,数据录入!$B$5:$B$4999,"&lt;="&amp;$D$2,数据录入!$J$5:$J$4999,$K48))</f>
      </c>
      <c r="N48" s="114">
        <f>IF($K48="","",SUMIFS(数据录入!$G$5:$G$4999,$Q$5:$Q$4999,1,数据录入!$B$5:$B$4999,"&gt;="&amp;$B$2,数据录入!$B$5:$B$4999,"&lt;="&amp;$D$2,数据录入!$I$5:$I$4999,$K48)+SUMIFS(数据录入!$G$5:$G$4999,$Q$5:$Q$4999,1,数据录入!$B$5:$B$4999,"&gt;="&amp;$B$2,数据录入!$B$5:$B$4999,"&lt;="&amp;$D$2,数据录入!$J$5:$J$4999,$K48))</f>
      </c>
      <c r="O48" s="114">
        <f>IF($K48="","",L48+M48-N48)</f>
      </c>
      <c r="Q48" s="44">
        <f>IF(数据录入!$B48="",0,IF(OR(数据录入!$D48="投标保证金",数据录入!$D48="合同履约保证金",ISNUMBER(FIND("保证金",数据录入!$E48))),1,0))</f>
      </c>
      <c r="R48" s="44">
        <f>IF(AND($Q48=1,数据录入!$B48&gt;=$B$2,数据录入!$B48&lt;=$D$2),N(R47)+1,N(R47))</f>
      </c>
      <c r="S48" s="44">
        <f>IFERROR(MATCH(41,$R$5:$R$4999,0),"")</f>
      </c>
      <c r="U48" s="44">
        <f>IFERROR(IF(41&lt;=50,INDEX(基础资料!$E$2:$E$51,41)&amp;"",INDEX(基础资料!$G$2:$G$51,41-50)&amp;""),"")</f>
      </c>
      <c r="V48" s="44">
        <f>IF($U48="",0,IF(AND(41&gt;50,COUNTIF(基础资料!$E$2:$E$51,$U48)&gt;0),0,1))</f>
      </c>
      <c r="W48" s="44">
        <f>IF($V48=1,N(W47)+1,N(W47))</f>
      </c>
    </row>
    <row r="49" s="44" customFormat="1" spans="1:23">
      <c r="A49" s="116">
        <f>IF($S49="","",INDEX(数据录入!$B$5:$B$4999,$S49))</f>
      </c>
      <c r="B49" s="44">
        <f>IF($S49="","",INDEX(数据录入!$C$5:$C$4999,$S49)&amp;"")</f>
      </c>
      <c r="C49" s="165">
        <f>IF($S49="","",IF(N($F49)&gt;0,"收款",IF(N($G49)&gt;0,"付款","")))</f>
      </c>
      <c r="D49" s="44">
        <f>IF($S49="","",IF((INDEX(数据录入!$I$5:$I$4999,$S49)&amp;"")&lt;&gt;"",INDEX(数据录入!$I$5:$I$4999,$S49)&amp;"",INDEX(数据录入!$J$5:$J$4999,$S49)&amp;""))</f>
      </c>
      <c r="E49" s="108">
        <f>IF($S49="","",INDEX(数据录入!$E$5:$E$4999,$S49)&amp;"")</f>
      </c>
      <c r="F49" s="114">
        <f>IF($S49="","",N(INDEX(数据录入!$F$5:$F$4999,$S49)))</f>
      </c>
      <c r="G49" s="114">
        <f>IF($S49="","",N(INDEX(数据录入!$G$5:$G$4999,$S49)))</f>
      </c>
      <c r="H49" s="114">
        <f>IF($S49="","",$G$2+SUM($F$8:$F49)-SUM($G$8:$G49))</f>
      </c>
      <c r="J49" s="165">
        <f>IF($K49="","",42)</f>
      </c>
      <c r="K49" s="44">
        <f>IFERROR(INDEX($U$8:$U$107,MATCH(42,$W$8:$W$107,0)),"")</f>
      </c>
      <c r="L49" s="114">
        <f>IF($K49="","",(SUMIFS(数据录入!$F$5:$F$4999,$Q$5:$Q$4999,1,数据录入!$B$5:$B$4999,"&lt;"&amp;$B$2,数据录入!$I$5:$I$4999,$K49)+SUMIFS(数据录入!$F$5:$F$4999,$Q$5:$Q$4999,1,数据录入!$B$5:$B$4999,"&lt;"&amp;$B$2,数据录入!$J$5:$J$4999,$K49))-(SUMIFS(数据录入!$G$5:$G$4999,$Q$5:$Q$4999,1,数据录入!$B$5:$B$4999,"&lt;"&amp;$B$2,数据录入!$I$5:$I$4999,$K49)+SUMIFS(数据录入!$G$5:$G$4999,$Q$5:$Q$4999,1,数据录入!$B$5:$B$4999,"&lt;"&amp;$B$2,数据录入!$J$5:$J$4999,$K49)))</f>
      </c>
      <c r="M49" s="114">
        <f>IF($K49="","",SUMIFS(数据录入!$F$5:$F$4999,$Q$5:$Q$4999,1,数据录入!$B$5:$B$4999,"&gt;="&amp;$B$2,数据录入!$B$5:$B$4999,"&lt;="&amp;$D$2,数据录入!$I$5:$I$4999,$K49)+SUMIFS(数据录入!$F$5:$F$4999,$Q$5:$Q$4999,1,数据录入!$B$5:$B$4999,"&gt;="&amp;$B$2,数据录入!$B$5:$B$4999,"&lt;="&amp;$D$2,数据录入!$J$5:$J$4999,$K49))</f>
      </c>
      <c r="N49" s="114">
        <f>IF($K49="","",SUMIFS(数据录入!$G$5:$G$4999,$Q$5:$Q$4999,1,数据录入!$B$5:$B$4999,"&gt;="&amp;$B$2,数据录入!$B$5:$B$4999,"&lt;="&amp;$D$2,数据录入!$I$5:$I$4999,$K49)+SUMIFS(数据录入!$G$5:$G$4999,$Q$5:$Q$4999,1,数据录入!$B$5:$B$4999,"&gt;="&amp;$B$2,数据录入!$B$5:$B$4999,"&lt;="&amp;$D$2,数据录入!$J$5:$J$4999,$K49))</f>
      </c>
      <c r="O49" s="114">
        <f>IF($K49="","",L49+M49-N49)</f>
      </c>
      <c r="Q49" s="44">
        <f>IF(数据录入!$B49="",0,IF(OR(数据录入!$D49="投标保证金",数据录入!$D49="合同履约保证金",ISNUMBER(FIND("保证金",数据录入!$E49))),1,0))</f>
      </c>
      <c r="R49" s="44">
        <f>IF(AND($Q49=1,数据录入!$B49&gt;=$B$2,数据录入!$B49&lt;=$D$2),N(R48)+1,N(R48))</f>
      </c>
      <c r="S49" s="44">
        <f>IFERROR(MATCH(42,$R$5:$R$4999,0),"")</f>
      </c>
      <c r="U49" s="44">
        <f>IFERROR(IF(42&lt;=50,INDEX(基础资料!$E$2:$E$51,42)&amp;"",INDEX(基础资料!$G$2:$G$51,42-50)&amp;""),"")</f>
      </c>
      <c r="V49" s="44">
        <f>IF($U49="",0,IF(AND(42&gt;50,COUNTIF(基础资料!$E$2:$E$51,$U49)&gt;0),0,1))</f>
      </c>
      <c r="W49" s="44">
        <f>IF($V49=1,N(W48)+1,N(W48))</f>
      </c>
    </row>
    <row r="50" s="44" customFormat="1" spans="1:23">
      <c r="A50" s="116">
        <f>IF($S50="","",INDEX(数据录入!$B$5:$B$4999,$S50))</f>
      </c>
      <c r="B50" s="44">
        <f>IF($S50="","",INDEX(数据录入!$C$5:$C$4999,$S50)&amp;"")</f>
      </c>
      <c r="C50" s="165">
        <f>IF($S50="","",IF(N($F50)&gt;0,"收款",IF(N($G50)&gt;0,"付款","")))</f>
      </c>
      <c r="D50" s="44">
        <f>IF($S50="","",IF((INDEX(数据录入!$I$5:$I$4999,$S50)&amp;"")&lt;&gt;"",INDEX(数据录入!$I$5:$I$4999,$S50)&amp;"",INDEX(数据录入!$J$5:$J$4999,$S50)&amp;""))</f>
      </c>
      <c r="E50" s="108">
        <f>IF($S50="","",INDEX(数据录入!$E$5:$E$4999,$S50)&amp;"")</f>
      </c>
      <c r="F50" s="114">
        <f>IF($S50="","",N(INDEX(数据录入!$F$5:$F$4999,$S50)))</f>
      </c>
      <c r="G50" s="114">
        <f>IF($S50="","",N(INDEX(数据录入!$G$5:$G$4999,$S50)))</f>
      </c>
      <c r="H50" s="114">
        <f>IF($S50="","",$G$2+SUM($F$8:$F50)-SUM($G$8:$G50))</f>
      </c>
      <c r="J50" s="165">
        <f>IF($K50="","",43)</f>
      </c>
      <c r="K50" s="44">
        <f>IFERROR(INDEX($U$8:$U$107,MATCH(43,$W$8:$W$107,0)),"")</f>
      </c>
      <c r="L50" s="114">
        <f>IF($K50="","",(SUMIFS(数据录入!$F$5:$F$4999,$Q$5:$Q$4999,1,数据录入!$B$5:$B$4999,"&lt;"&amp;$B$2,数据录入!$I$5:$I$4999,$K50)+SUMIFS(数据录入!$F$5:$F$4999,$Q$5:$Q$4999,1,数据录入!$B$5:$B$4999,"&lt;"&amp;$B$2,数据录入!$J$5:$J$4999,$K50))-(SUMIFS(数据录入!$G$5:$G$4999,$Q$5:$Q$4999,1,数据录入!$B$5:$B$4999,"&lt;"&amp;$B$2,数据录入!$I$5:$I$4999,$K50)+SUMIFS(数据录入!$G$5:$G$4999,$Q$5:$Q$4999,1,数据录入!$B$5:$B$4999,"&lt;"&amp;$B$2,数据录入!$J$5:$J$4999,$K50)))</f>
      </c>
      <c r="M50" s="114">
        <f>IF($K50="","",SUMIFS(数据录入!$F$5:$F$4999,$Q$5:$Q$4999,1,数据录入!$B$5:$B$4999,"&gt;="&amp;$B$2,数据录入!$B$5:$B$4999,"&lt;="&amp;$D$2,数据录入!$I$5:$I$4999,$K50)+SUMIFS(数据录入!$F$5:$F$4999,$Q$5:$Q$4999,1,数据录入!$B$5:$B$4999,"&gt;="&amp;$B$2,数据录入!$B$5:$B$4999,"&lt;="&amp;$D$2,数据录入!$J$5:$J$4999,$K50))</f>
      </c>
      <c r="N50" s="114">
        <f>IF($K50="","",SUMIFS(数据录入!$G$5:$G$4999,$Q$5:$Q$4999,1,数据录入!$B$5:$B$4999,"&gt;="&amp;$B$2,数据录入!$B$5:$B$4999,"&lt;="&amp;$D$2,数据录入!$I$5:$I$4999,$K50)+SUMIFS(数据录入!$G$5:$G$4999,$Q$5:$Q$4999,1,数据录入!$B$5:$B$4999,"&gt;="&amp;$B$2,数据录入!$B$5:$B$4999,"&lt;="&amp;$D$2,数据录入!$J$5:$J$4999,$K50))</f>
      </c>
      <c r="O50" s="114">
        <f>IF($K50="","",L50+M50-N50)</f>
      </c>
      <c r="Q50" s="44">
        <f>IF(数据录入!$B50="",0,IF(OR(数据录入!$D50="投标保证金",数据录入!$D50="合同履约保证金",ISNUMBER(FIND("保证金",数据录入!$E50))),1,0))</f>
      </c>
      <c r="R50" s="44">
        <f>IF(AND($Q50=1,数据录入!$B50&gt;=$B$2,数据录入!$B50&lt;=$D$2),N(R49)+1,N(R49))</f>
      </c>
      <c r="S50" s="44">
        <f>IFERROR(MATCH(43,$R$5:$R$4999,0),"")</f>
      </c>
      <c r="U50" s="44">
        <f>IFERROR(IF(43&lt;=50,INDEX(基础资料!$E$2:$E$51,43)&amp;"",INDEX(基础资料!$G$2:$G$51,43-50)&amp;""),"")</f>
      </c>
      <c r="V50" s="44">
        <f>IF($U50="",0,IF(AND(43&gt;50,COUNTIF(基础资料!$E$2:$E$51,$U50)&gt;0),0,1))</f>
      </c>
      <c r="W50" s="44">
        <f>IF($V50=1,N(W49)+1,N(W49))</f>
      </c>
    </row>
    <row r="51" s="44" customFormat="1" spans="1:23">
      <c r="A51" s="116">
        <f>IF($S51="","",INDEX(数据录入!$B$5:$B$4999,$S51))</f>
      </c>
      <c r="B51" s="44">
        <f>IF($S51="","",INDEX(数据录入!$C$5:$C$4999,$S51)&amp;"")</f>
      </c>
      <c r="C51" s="165">
        <f>IF($S51="","",IF(N($F51)&gt;0,"收款",IF(N($G51)&gt;0,"付款","")))</f>
      </c>
      <c r="D51" s="44">
        <f>IF($S51="","",IF((INDEX(数据录入!$I$5:$I$4999,$S51)&amp;"")&lt;&gt;"",INDEX(数据录入!$I$5:$I$4999,$S51)&amp;"",INDEX(数据录入!$J$5:$J$4999,$S51)&amp;""))</f>
      </c>
      <c r="E51" s="108">
        <f>IF($S51="","",INDEX(数据录入!$E$5:$E$4999,$S51)&amp;"")</f>
      </c>
      <c r="F51" s="114">
        <f>IF($S51="","",N(INDEX(数据录入!$F$5:$F$4999,$S51)))</f>
      </c>
      <c r="G51" s="114">
        <f>IF($S51="","",N(INDEX(数据录入!$G$5:$G$4999,$S51)))</f>
      </c>
      <c r="H51" s="114">
        <f>IF($S51="","",$G$2+SUM($F$8:$F51)-SUM($G$8:$G51))</f>
      </c>
      <c r="J51" s="165">
        <f>IF($K51="","",44)</f>
      </c>
      <c r="K51" s="44">
        <f>IFERROR(INDEX($U$8:$U$107,MATCH(44,$W$8:$W$107,0)),"")</f>
      </c>
      <c r="L51" s="114">
        <f>IF($K51="","",(SUMIFS(数据录入!$F$5:$F$4999,$Q$5:$Q$4999,1,数据录入!$B$5:$B$4999,"&lt;"&amp;$B$2,数据录入!$I$5:$I$4999,$K51)+SUMIFS(数据录入!$F$5:$F$4999,$Q$5:$Q$4999,1,数据录入!$B$5:$B$4999,"&lt;"&amp;$B$2,数据录入!$J$5:$J$4999,$K51))-(SUMIFS(数据录入!$G$5:$G$4999,$Q$5:$Q$4999,1,数据录入!$B$5:$B$4999,"&lt;"&amp;$B$2,数据录入!$I$5:$I$4999,$K51)+SUMIFS(数据录入!$G$5:$G$4999,$Q$5:$Q$4999,1,数据录入!$B$5:$B$4999,"&lt;"&amp;$B$2,数据录入!$J$5:$J$4999,$K51)))</f>
      </c>
      <c r="M51" s="114">
        <f>IF($K51="","",SUMIFS(数据录入!$F$5:$F$4999,$Q$5:$Q$4999,1,数据录入!$B$5:$B$4999,"&gt;="&amp;$B$2,数据录入!$B$5:$B$4999,"&lt;="&amp;$D$2,数据录入!$I$5:$I$4999,$K51)+SUMIFS(数据录入!$F$5:$F$4999,$Q$5:$Q$4999,1,数据录入!$B$5:$B$4999,"&gt;="&amp;$B$2,数据录入!$B$5:$B$4999,"&lt;="&amp;$D$2,数据录入!$J$5:$J$4999,$K51))</f>
      </c>
      <c r="N51" s="114">
        <f>IF($K51="","",SUMIFS(数据录入!$G$5:$G$4999,$Q$5:$Q$4999,1,数据录入!$B$5:$B$4999,"&gt;="&amp;$B$2,数据录入!$B$5:$B$4999,"&lt;="&amp;$D$2,数据录入!$I$5:$I$4999,$K51)+SUMIFS(数据录入!$G$5:$G$4999,$Q$5:$Q$4999,1,数据录入!$B$5:$B$4999,"&gt;="&amp;$B$2,数据录入!$B$5:$B$4999,"&lt;="&amp;$D$2,数据录入!$J$5:$J$4999,$K51))</f>
      </c>
      <c r="O51" s="114">
        <f>IF($K51="","",L51+M51-N51)</f>
      </c>
      <c r="Q51" s="44">
        <f>IF(数据录入!$B51="",0,IF(OR(数据录入!$D51="投标保证金",数据录入!$D51="合同履约保证金",ISNUMBER(FIND("保证金",数据录入!$E51))),1,0))</f>
      </c>
      <c r="R51" s="44">
        <f>IF(AND($Q51=1,数据录入!$B51&gt;=$B$2,数据录入!$B51&lt;=$D$2),N(R50)+1,N(R50))</f>
      </c>
      <c r="S51" s="44">
        <f>IFERROR(MATCH(44,$R$5:$R$4999,0),"")</f>
      </c>
      <c r="U51" s="44">
        <f>IFERROR(IF(44&lt;=50,INDEX(基础资料!$E$2:$E$51,44)&amp;"",INDEX(基础资料!$G$2:$G$51,44-50)&amp;""),"")</f>
      </c>
      <c r="V51" s="44">
        <f>IF($U51="",0,IF(AND(44&gt;50,COUNTIF(基础资料!$E$2:$E$51,$U51)&gt;0),0,1))</f>
      </c>
      <c r="W51" s="44">
        <f>IF($V51=1,N(W50)+1,N(W50))</f>
      </c>
    </row>
    <row r="52" s="44" customFormat="1" spans="1:23">
      <c r="A52" s="116">
        <f>IF($S52="","",INDEX(数据录入!$B$5:$B$4999,$S52))</f>
      </c>
      <c r="B52" s="44">
        <f>IF($S52="","",INDEX(数据录入!$C$5:$C$4999,$S52)&amp;"")</f>
      </c>
      <c r="C52" s="165">
        <f>IF($S52="","",IF(N($F52)&gt;0,"收款",IF(N($G52)&gt;0,"付款","")))</f>
      </c>
      <c r="D52" s="44">
        <f>IF($S52="","",IF((INDEX(数据录入!$I$5:$I$4999,$S52)&amp;"")&lt;&gt;"",INDEX(数据录入!$I$5:$I$4999,$S52)&amp;"",INDEX(数据录入!$J$5:$J$4999,$S52)&amp;""))</f>
      </c>
      <c r="E52" s="108">
        <f>IF($S52="","",INDEX(数据录入!$E$5:$E$4999,$S52)&amp;"")</f>
      </c>
      <c r="F52" s="114">
        <f>IF($S52="","",N(INDEX(数据录入!$F$5:$F$4999,$S52)))</f>
      </c>
      <c r="G52" s="114">
        <f>IF($S52="","",N(INDEX(数据录入!$G$5:$G$4999,$S52)))</f>
      </c>
      <c r="H52" s="114">
        <f>IF($S52="","",$G$2+SUM($F$8:$F52)-SUM($G$8:$G52))</f>
      </c>
      <c r="J52" s="165">
        <f>IF($K52="","",45)</f>
      </c>
      <c r="K52" s="44">
        <f>IFERROR(INDEX($U$8:$U$107,MATCH(45,$W$8:$W$107,0)),"")</f>
      </c>
      <c r="L52" s="114">
        <f>IF($K52="","",(SUMIFS(数据录入!$F$5:$F$4999,$Q$5:$Q$4999,1,数据录入!$B$5:$B$4999,"&lt;"&amp;$B$2,数据录入!$I$5:$I$4999,$K52)+SUMIFS(数据录入!$F$5:$F$4999,$Q$5:$Q$4999,1,数据录入!$B$5:$B$4999,"&lt;"&amp;$B$2,数据录入!$J$5:$J$4999,$K52))-(SUMIFS(数据录入!$G$5:$G$4999,$Q$5:$Q$4999,1,数据录入!$B$5:$B$4999,"&lt;"&amp;$B$2,数据录入!$I$5:$I$4999,$K52)+SUMIFS(数据录入!$G$5:$G$4999,$Q$5:$Q$4999,1,数据录入!$B$5:$B$4999,"&lt;"&amp;$B$2,数据录入!$J$5:$J$4999,$K52)))</f>
      </c>
      <c r="M52" s="114">
        <f>IF($K52="","",SUMIFS(数据录入!$F$5:$F$4999,$Q$5:$Q$4999,1,数据录入!$B$5:$B$4999,"&gt;="&amp;$B$2,数据录入!$B$5:$B$4999,"&lt;="&amp;$D$2,数据录入!$I$5:$I$4999,$K52)+SUMIFS(数据录入!$F$5:$F$4999,$Q$5:$Q$4999,1,数据录入!$B$5:$B$4999,"&gt;="&amp;$B$2,数据录入!$B$5:$B$4999,"&lt;="&amp;$D$2,数据录入!$J$5:$J$4999,$K52))</f>
      </c>
      <c r="N52" s="114">
        <f>IF($K52="","",SUMIFS(数据录入!$G$5:$G$4999,$Q$5:$Q$4999,1,数据录入!$B$5:$B$4999,"&gt;="&amp;$B$2,数据录入!$B$5:$B$4999,"&lt;="&amp;$D$2,数据录入!$I$5:$I$4999,$K52)+SUMIFS(数据录入!$G$5:$G$4999,$Q$5:$Q$4999,1,数据录入!$B$5:$B$4999,"&gt;="&amp;$B$2,数据录入!$B$5:$B$4999,"&lt;="&amp;$D$2,数据录入!$J$5:$J$4999,$K52))</f>
      </c>
      <c r="O52" s="114">
        <f>IF($K52="","",L52+M52-N52)</f>
      </c>
      <c r="Q52" s="44">
        <f>IF(数据录入!$B52="",0,IF(OR(数据录入!$D52="投标保证金",数据录入!$D52="合同履约保证金",ISNUMBER(FIND("保证金",数据录入!$E52))),1,0))</f>
      </c>
      <c r="R52" s="44">
        <f>IF(AND($Q52=1,数据录入!$B52&gt;=$B$2,数据录入!$B52&lt;=$D$2),N(R51)+1,N(R51))</f>
      </c>
      <c r="S52" s="44">
        <f>IFERROR(MATCH(45,$R$5:$R$4999,0),"")</f>
      </c>
      <c r="U52" s="44">
        <f>IFERROR(IF(45&lt;=50,INDEX(基础资料!$E$2:$E$51,45)&amp;"",INDEX(基础资料!$G$2:$G$51,45-50)&amp;""),"")</f>
      </c>
      <c r="V52" s="44">
        <f>IF($U52="",0,IF(AND(45&gt;50,COUNTIF(基础资料!$E$2:$E$51,$U52)&gt;0),0,1))</f>
      </c>
      <c r="W52" s="44">
        <f>IF($V52=1,N(W51)+1,N(W51))</f>
      </c>
    </row>
    <row r="53" s="44" customFormat="1" spans="1:23">
      <c r="A53" s="116">
        <f>IF($S53="","",INDEX(数据录入!$B$5:$B$4999,$S53))</f>
      </c>
      <c r="B53" s="44">
        <f>IF($S53="","",INDEX(数据录入!$C$5:$C$4999,$S53)&amp;"")</f>
      </c>
      <c r="C53" s="165">
        <f>IF($S53="","",IF(N($F53)&gt;0,"收款",IF(N($G53)&gt;0,"付款","")))</f>
      </c>
      <c r="D53" s="44">
        <f>IF($S53="","",IF((INDEX(数据录入!$I$5:$I$4999,$S53)&amp;"")&lt;&gt;"",INDEX(数据录入!$I$5:$I$4999,$S53)&amp;"",INDEX(数据录入!$J$5:$J$4999,$S53)&amp;""))</f>
      </c>
      <c r="E53" s="108">
        <f>IF($S53="","",INDEX(数据录入!$E$5:$E$4999,$S53)&amp;"")</f>
      </c>
      <c r="F53" s="114">
        <f>IF($S53="","",N(INDEX(数据录入!$F$5:$F$4999,$S53)))</f>
      </c>
      <c r="G53" s="114">
        <f>IF($S53="","",N(INDEX(数据录入!$G$5:$G$4999,$S53)))</f>
      </c>
      <c r="H53" s="114">
        <f>IF($S53="","",$G$2+SUM($F$8:$F53)-SUM($G$8:$G53))</f>
      </c>
      <c r="J53" s="165">
        <f>IF($K53="","",46)</f>
      </c>
      <c r="K53" s="44">
        <f>IFERROR(INDEX($U$8:$U$107,MATCH(46,$W$8:$W$107,0)),"")</f>
      </c>
      <c r="L53" s="114">
        <f>IF($K53="","",(SUMIFS(数据录入!$F$5:$F$4999,$Q$5:$Q$4999,1,数据录入!$B$5:$B$4999,"&lt;"&amp;$B$2,数据录入!$I$5:$I$4999,$K53)+SUMIFS(数据录入!$F$5:$F$4999,$Q$5:$Q$4999,1,数据录入!$B$5:$B$4999,"&lt;"&amp;$B$2,数据录入!$J$5:$J$4999,$K53))-(SUMIFS(数据录入!$G$5:$G$4999,$Q$5:$Q$4999,1,数据录入!$B$5:$B$4999,"&lt;"&amp;$B$2,数据录入!$I$5:$I$4999,$K53)+SUMIFS(数据录入!$G$5:$G$4999,$Q$5:$Q$4999,1,数据录入!$B$5:$B$4999,"&lt;"&amp;$B$2,数据录入!$J$5:$J$4999,$K53)))</f>
      </c>
      <c r="M53" s="114">
        <f>IF($K53="","",SUMIFS(数据录入!$F$5:$F$4999,$Q$5:$Q$4999,1,数据录入!$B$5:$B$4999,"&gt;="&amp;$B$2,数据录入!$B$5:$B$4999,"&lt;="&amp;$D$2,数据录入!$I$5:$I$4999,$K53)+SUMIFS(数据录入!$F$5:$F$4999,$Q$5:$Q$4999,1,数据录入!$B$5:$B$4999,"&gt;="&amp;$B$2,数据录入!$B$5:$B$4999,"&lt;="&amp;$D$2,数据录入!$J$5:$J$4999,$K53))</f>
      </c>
      <c r="N53" s="114">
        <f>IF($K53="","",SUMIFS(数据录入!$G$5:$G$4999,$Q$5:$Q$4999,1,数据录入!$B$5:$B$4999,"&gt;="&amp;$B$2,数据录入!$B$5:$B$4999,"&lt;="&amp;$D$2,数据录入!$I$5:$I$4999,$K53)+SUMIFS(数据录入!$G$5:$G$4999,$Q$5:$Q$4999,1,数据录入!$B$5:$B$4999,"&gt;="&amp;$B$2,数据录入!$B$5:$B$4999,"&lt;="&amp;$D$2,数据录入!$J$5:$J$4999,$K53))</f>
      </c>
      <c r="O53" s="114">
        <f>IF($K53="","",L53+M53-N53)</f>
      </c>
      <c r="Q53" s="44">
        <f>IF(数据录入!$B53="",0,IF(OR(数据录入!$D53="投标保证金",数据录入!$D53="合同履约保证金",ISNUMBER(FIND("保证金",数据录入!$E53))),1,0))</f>
      </c>
      <c r="R53" s="44">
        <f>IF(AND($Q53=1,数据录入!$B53&gt;=$B$2,数据录入!$B53&lt;=$D$2),N(R52)+1,N(R52))</f>
      </c>
      <c r="S53" s="44">
        <f>IFERROR(MATCH(46,$R$5:$R$4999,0),"")</f>
      </c>
      <c r="U53" s="44">
        <f>IFERROR(IF(46&lt;=50,INDEX(基础资料!$E$2:$E$51,46)&amp;"",INDEX(基础资料!$G$2:$G$51,46-50)&amp;""),"")</f>
      </c>
      <c r="V53" s="44">
        <f>IF($U53="",0,IF(AND(46&gt;50,COUNTIF(基础资料!$E$2:$E$51,$U53)&gt;0),0,1))</f>
      </c>
      <c r="W53" s="44">
        <f>IF($V53=1,N(W52)+1,N(W52))</f>
      </c>
    </row>
    <row r="54" s="44" customFormat="1" spans="1:23">
      <c r="A54" s="116">
        <f>IF($S54="","",INDEX(数据录入!$B$5:$B$4999,$S54))</f>
      </c>
      <c r="B54" s="44">
        <f>IF($S54="","",INDEX(数据录入!$C$5:$C$4999,$S54)&amp;"")</f>
      </c>
      <c r="C54" s="165">
        <f>IF($S54="","",IF(N($F54)&gt;0,"收款",IF(N($G54)&gt;0,"付款","")))</f>
      </c>
      <c r="D54" s="44">
        <f>IF($S54="","",IF((INDEX(数据录入!$I$5:$I$4999,$S54)&amp;"")&lt;&gt;"",INDEX(数据录入!$I$5:$I$4999,$S54)&amp;"",INDEX(数据录入!$J$5:$J$4999,$S54)&amp;""))</f>
      </c>
      <c r="E54" s="108">
        <f>IF($S54="","",INDEX(数据录入!$E$5:$E$4999,$S54)&amp;"")</f>
      </c>
      <c r="F54" s="114">
        <f>IF($S54="","",N(INDEX(数据录入!$F$5:$F$4999,$S54)))</f>
      </c>
      <c r="G54" s="114">
        <f>IF($S54="","",N(INDEX(数据录入!$G$5:$G$4999,$S54)))</f>
      </c>
      <c r="H54" s="114">
        <f>IF($S54="","",$G$2+SUM($F$8:$F54)-SUM($G$8:$G54))</f>
      </c>
      <c r="J54" s="165">
        <f>IF($K54="","",47)</f>
      </c>
      <c r="K54" s="44">
        <f>IFERROR(INDEX($U$8:$U$107,MATCH(47,$W$8:$W$107,0)),"")</f>
      </c>
      <c r="L54" s="114">
        <f>IF($K54="","",(SUMIFS(数据录入!$F$5:$F$4999,$Q$5:$Q$4999,1,数据录入!$B$5:$B$4999,"&lt;"&amp;$B$2,数据录入!$I$5:$I$4999,$K54)+SUMIFS(数据录入!$F$5:$F$4999,$Q$5:$Q$4999,1,数据录入!$B$5:$B$4999,"&lt;"&amp;$B$2,数据录入!$J$5:$J$4999,$K54))-(SUMIFS(数据录入!$G$5:$G$4999,$Q$5:$Q$4999,1,数据录入!$B$5:$B$4999,"&lt;"&amp;$B$2,数据录入!$I$5:$I$4999,$K54)+SUMIFS(数据录入!$G$5:$G$4999,$Q$5:$Q$4999,1,数据录入!$B$5:$B$4999,"&lt;"&amp;$B$2,数据录入!$J$5:$J$4999,$K54)))</f>
      </c>
      <c r="M54" s="114">
        <f>IF($K54="","",SUMIFS(数据录入!$F$5:$F$4999,$Q$5:$Q$4999,1,数据录入!$B$5:$B$4999,"&gt;="&amp;$B$2,数据录入!$B$5:$B$4999,"&lt;="&amp;$D$2,数据录入!$I$5:$I$4999,$K54)+SUMIFS(数据录入!$F$5:$F$4999,$Q$5:$Q$4999,1,数据录入!$B$5:$B$4999,"&gt;="&amp;$B$2,数据录入!$B$5:$B$4999,"&lt;="&amp;$D$2,数据录入!$J$5:$J$4999,$K54))</f>
      </c>
      <c r="N54" s="114">
        <f>IF($K54="","",SUMIFS(数据录入!$G$5:$G$4999,$Q$5:$Q$4999,1,数据录入!$B$5:$B$4999,"&gt;="&amp;$B$2,数据录入!$B$5:$B$4999,"&lt;="&amp;$D$2,数据录入!$I$5:$I$4999,$K54)+SUMIFS(数据录入!$G$5:$G$4999,$Q$5:$Q$4999,1,数据录入!$B$5:$B$4999,"&gt;="&amp;$B$2,数据录入!$B$5:$B$4999,"&lt;="&amp;$D$2,数据录入!$J$5:$J$4999,$K54))</f>
      </c>
      <c r="O54" s="114">
        <f>IF($K54="","",L54+M54-N54)</f>
      </c>
      <c r="Q54" s="44">
        <f>IF(数据录入!$B54="",0,IF(OR(数据录入!$D54="投标保证金",数据录入!$D54="合同履约保证金",ISNUMBER(FIND("保证金",数据录入!$E54))),1,0))</f>
      </c>
      <c r="R54" s="44">
        <f>IF(AND($Q54=1,数据录入!$B54&gt;=$B$2,数据录入!$B54&lt;=$D$2),N(R53)+1,N(R53))</f>
      </c>
      <c r="S54" s="44">
        <f>IFERROR(MATCH(47,$R$5:$R$4999,0),"")</f>
      </c>
      <c r="U54" s="44">
        <f>IFERROR(IF(47&lt;=50,INDEX(基础资料!$E$2:$E$51,47)&amp;"",INDEX(基础资料!$G$2:$G$51,47-50)&amp;""),"")</f>
      </c>
      <c r="V54" s="44">
        <f>IF($U54="",0,IF(AND(47&gt;50,COUNTIF(基础资料!$E$2:$E$51,$U54)&gt;0),0,1))</f>
      </c>
      <c r="W54" s="44">
        <f>IF($V54=1,N(W53)+1,N(W53))</f>
      </c>
    </row>
    <row r="55" s="44" customFormat="1" spans="1:23">
      <c r="A55" s="116">
        <f>IF($S55="","",INDEX(数据录入!$B$5:$B$4999,$S55))</f>
      </c>
      <c r="B55" s="44">
        <f>IF($S55="","",INDEX(数据录入!$C$5:$C$4999,$S55)&amp;"")</f>
      </c>
      <c r="C55" s="165">
        <f>IF($S55="","",IF(N($F55)&gt;0,"收款",IF(N($G55)&gt;0,"付款","")))</f>
      </c>
      <c r="D55" s="44">
        <f>IF($S55="","",IF((INDEX(数据录入!$I$5:$I$4999,$S55)&amp;"")&lt;&gt;"",INDEX(数据录入!$I$5:$I$4999,$S55)&amp;"",INDEX(数据录入!$J$5:$J$4999,$S55)&amp;""))</f>
      </c>
      <c r="E55" s="108">
        <f>IF($S55="","",INDEX(数据录入!$E$5:$E$4999,$S55)&amp;"")</f>
      </c>
      <c r="F55" s="114">
        <f>IF($S55="","",N(INDEX(数据录入!$F$5:$F$4999,$S55)))</f>
      </c>
      <c r="G55" s="114">
        <f>IF($S55="","",N(INDEX(数据录入!$G$5:$G$4999,$S55)))</f>
      </c>
      <c r="H55" s="114">
        <f>IF($S55="","",$G$2+SUM($F$8:$F55)-SUM($G$8:$G55))</f>
      </c>
      <c r="J55" s="165">
        <f>IF($K55="","",48)</f>
      </c>
      <c r="K55" s="44">
        <f>IFERROR(INDEX($U$8:$U$107,MATCH(48,$W$8:$W$107,0)),"")</f>
      </c>
      <c r="L55" s="114">
        <f>IF($K55="","",(SUMIFS(数据录入!$F$5:$F$4999,$Q$5:$Q$4999,1,数据录入!$B$5:$B$4999,"&lt;"&amp;$B$2,数据录入!$I$5:$I$4999,$K55)+SUMIFS(数据录入!$F$5:$F$4999,$Q$5:$Q$4999,1,数据录入!$B$5:$B$4999,"&lt;"&amp;$B$2,数据录入!$J$5:$J$4999,$K55))-(SUMIFS(数据录入!$G$5:$G$4999,$Q$5:$Q$4999,1,数据录入!$B$5:$B$4999,"&lt;"&amp;$B$2,数据录入!$I$5:$I$4999,$K55)+SUMIFS(数据录入!$G$5:$G$4999,$Q$5:$Q$4999,1,数据录入!$B$5:$B$4999,"&lt;"&amp;$B$2,数据录入!$J$5:$J$4999,$K55)))</f>
      </c>
      <c r="M55" s="114">
        <f>IF($K55="","",SUMIFS(数据录入!$F$5:$F$4999,$Q$5:$Q$4999,1,数据录入!$B$5:$B$4999,"&gt;="&amp;$B$2,数据录入!$B$5:$B$4999,"&lt;="&amp;$D$2,数据录入!$I$5:$I$4999,$K55)+SUMIFS(数据录入!$F$5:$F$4999,$Q$5:$Q$4999,1,数据录入!$B$5:$B$4999,"&gt;="&amp;$B$2,数据录入!$B$5:$B$4999,"&lt;="&amp;$D$2,数据录入!$J$5:$J$4999,$K55))</f>
      </c>
      <c r="N55" s="114">
        <f>IF($K55="","",SUMIFS(数据录入!$G$5:$G$4999,$Q$5:$Q$4999,1,数据录入!$B$5:$B$4999,"&gt;="&amp;$B$2,数据录入!$B$5:$B$4999,"&lt;="&amp;$D$2,数据录入!$I$5:$I$4999,$K55)+SUMIFS(数据录入!$G$5:$G$4999,$Q$5:$Q$4999,1,数据录入!$B$5:$B$4999,"&gt;="&amp;$B$2,数据录入!$B$5:$B$4999,"&lt;="&amp;$D$2,数据录入!$J$5:$J$4999,$K55))</f>
      </c>
      <c r="O55" s="114">
        <f>IF($K55="","",L55+M55-N55)</f>
      </c>
      <c r="Q55" s="44">
        <f>IF(数据录入!$B55="",0,IF(OR(数据录入!$D55="投标保证金",数据录入!$D55="合同履约保证金",ISNUMBER(FIND("保证金",数据录入!$E55))),1,0))</f>
      </c>
      <c r="R55" s="44">
        <f>IF(AND($Q55=1,数据录入!$B55&gt;=$B$2,数据录入!$B55&lt;=$D$2),N(R54)+1,N(R54))</f>
      </c>
      <c r="S55" s="44">
        <f>IFERROR(MATCH(48,$R$5:$R$4999,0),"")</f>
      </c>
      <c r="U55" s="44">
        <f>IFERROR(IF(48&lt;=50,INDEX(基础资料!$E$2:$E$51,48)&amp;"",INDEX(基础资料!$G$2:$G$51,48-50)&amp;""),"")</f>
      </c>
      <c r="V55" s="44">
        <f>IF($U55="",0,IF(AND(48&gt;50,COUNTIF(基础资料!$E$2:$E$51,$U55)&gt;0),0,1))</f>
      </c>
      <c r="W55" s="44">
        <f>IF($V55=1,N(W54)+1,N(W54))</f>
      </c>
    </row>
    <row r="56" s="44" customFormat="1" spans="1:23">
      <c r="A56" s="116">
        <f>IF($S56="","",INDEX(数据录入!$B$5:$B$4999,$S56))</f>
      </c>
      <c r="B56" s="44">
        <f>IF($S56="","",INDEX(数据录入!$C$5:$C$4999,$S56)&amp;"")</f>
      </c>
      <c r="C56" s="165">
        <f>IF($S56="","",IF(N($F56)&gt;0,"收款",IF(N($G56)&gt;0,"付款","")))</f>
      </c>
      <c r="D56" s="44">
        <f>IF($S56="","",IF((INDEX(数据录入!$I$5:$I$4999,$S56)&amp;"")&lt;&gt;"",INDEX(数据录入!$I$5:$I$4999,$S56)&amp;"",INDEX(数据录入!$J$5:$J$4999,$S56)&amp;""))</f>
      </c>
      <c r="E56" s="108">
        <f>IF($S56="","",INDEX(数据录入!$E$5:$E$4999,$S56)&amp;"")</f>
      </c>
      <c r="F56" s="114">
        <f>IF($S56="","",N(INDEX(数据录入!$F$5:$F$4999,$S56)))</f>
      </c>
      <c r="G56" s="114">
        <f>IF($S56="","",N(INDEX(数据录入!$G$5:$G$4999,$S56)))</f>
      </c>
      <c r="H56" s="114">
        <f>IF($S56="","",$G$2+SUM($F$8:$F56)-SUM($G$8:$G56))</f>
      </c>
      <c r="J56" s="165">
        <f>IF($K56="","",49)</f>
      </c>
      <c r="K56" s="44">
        <f>IFERROR(INDEX($U$8:$U$107,MATCH(49,$W$8:$W$107,0)),"")</f>
      </c>
      <c r="L56" s="114">
        <f>IF($K56="","",(SUMIFS(数据录入!$F$5:$F$4999,$Q$5:$Q$4999,1,数据录入!$B$5:$B$4999,"&lt;"&amp;$B$2,数据录入!$I$5:$I$4999,$K56)+SUMIFS(数据录入!$F$5:$F$4999,$Q$5:$Q$4999,1,数据录入!$B$5:$B$4999,"&lt;"&amp;$B$2,数据录入!$J$5:$J$4999,$K56))-(SUMIFS(数据录入!$G$5:$G$4999,$Q$5:$Q$4999,1,数据录入!$B$5:$B$4999,"&lt;"&amp;$B$2,数据录入!$I$5:$I$4999,$K56)+SUMIFS(数据录入!$G$5:$G$4999,$Q$5:$Q$4999,1,数据录入!$B$5:$B$4999,"&lt;"&amp;$B$2,数据录入!$J$5:$J$4999,$K56)))</f>
      </c>
      <c r="M56" s="114">
        <f>IF($K56="","",SUMIFS(数据录入!$F$5:$F$4999,$Q$5:$Q$4999,1,数据录入!$B$5:$B$4999,"&gt;="&amp;$B$2,数据录入!$B$5:$B$4999,"&lt;="&amp;$D$2,数据录入!$I$5:$I$4999,$K56)+SUMIFS(数据录入!$F$5:$F$4999,$Q$5:$Q$4999,1,数据录入!$B$5:$B$4999,"&gt;="&amp;$B$2,数据录入!$B$5:$B$4999,"&lt;="&amp;$D$2,数据录入!$J$5:$J$4999,$K56))</f>
      </c>
      <c r="N56" s="114">
        <f>IF($K56="","",SUMIFS(数据录入!$G$5:$G$4999,$Q$5:$Q$4999,1,数据录入!$B$5:$B$4999,"&gt;="&amp;$B$2,数据录入!$B$5:$B$4999,"&lt;="&amp;$D$2,数据录入!$I$5:$I$4999,$K56)+SUMIFS(数据录入!$G$5:$G$4999,$Q$5:$Q$4999,1,数据录入!$B$5:$B$4999,"&gt;="&amp;$B$2,数据录入!$B$5:$B$4999,"&lt;="&amp;$D$2,数据录入!$J$5:$J$4999,$K56))</f>
      </c>
      <c r="O56" s="114">
        <f>IF($K56="","",L56+M56-N56)</f>
      </c>
      <c r="Q56" s="44">
        <f>IF(数据录入!$B56="",0,IF(OR(数据录入!$D56="投标保证金",数据录入!$D56="合同履约保证金",ISNUMBER(FIND("保证金",数据录入!$E56))),1,0))</f>
      </c>
      <c r="R56" s="44">
        <f>IF(AND($Q56=1,数据录入!$B56&gt;=$B$2,数据录入!$B56&lt;=$D$2),N(R55)+1,N(R55))</f>
      </c>
      <c r="S56" s="44">
        <f>IFERROR(MATCH(49,$R$5:$R$4999,0),"")</f>
      </c>
      <c r="U56" s="44">
        <f>IFERROR(IF(49&lt;=50,INDEX(基础资料!$E$2:$E$51,49)&amp;"",INDEX(基础资料!$G$2:$G$51,49-50)&amp;""),"")</f>
      </c>
      <c r="V56" s="44">
        <f>IF($U56="",0,IF(AND(49&gt;50,COUNTIF(基础资料!$E$2:$E$51,$U56)&gt;0),0,1))</f>
      </c>
      <c r="W56" s="44">
        <f>IF($V56=1,N(W55)+1,N(W55))</f>
      </c>
    </row>
    <row r="57" s="44" customFormat="1" spans="1:23">
      <c r="A57" s="116">
        <f>IF($S57="","",INDEX(数据录入!$B$5:$B$4999,$S57))</f>
      </c>
      <c r="B57" s="44">
        <f>IF($S57="","",INDEX(数据录入!$C$5:$C$4999,$S57)&amp;"")</f>
      </c>
      <c r="C57" s="165">
        <f>IF($S57="","",IF(N($F57)&gt;0,"收款",IF(N($G57)&gt;0,"付款","")))</f>
      </c>
      <c r="D57" s="44">
        <f>IF($S57="","",IF((INDEX(数据录入!$I$5:$I$4999,$S57)&amp;"")&lt;&gt;"",INDEX(数据录入!$I$5:$I$4999,$S57)&amp;"",INDEX(数据录入!$J$5:$J$4999,$S57)&amp;""))</f>
      </c>
      <c r="E57" s="108">
        <f>IF($S57="","",INDEX(数据录入!$E$5:$E$4999,$S57)&amp;"")</f>
      </c>
      <c r="F57" s="114">
        <f>IF($S57="","",N(INDEX(数据录入!$F$5:$F$4999,$S57)))</f>
      </c>
      <c r="G57" s="114">
        <f>IF($S57="","",N(INDEX(数据录入!$G$5:$G$4999,$S57)))</f>
      </c>
      <c r="H57" s="114">
        <f>IF($S57="","",$G$2+SUM($F$8:$F57)-SUM($G$8:$G57))</f>
      </c>
      <c r="J57" s="165">
        <f>IF($K57="","",50)</f>
      </c>
      <c r="K57" s="44">
        <f>IFERROR(INDEX($U$8:$U$107,MATCH(50,$W$8:$W$107,0)),"")</f>
      </c>
      <c r="L57" s="114">
        <f>IF($K57="","",(SUMIFS(数据录入!$F$5:$F$4999,$Q$5:$Q$4999,1,数据录入!$B$5:$B$4999,"&lt;"&amp;$B$2,数据录入!$I$5:$I$4999,$K57)+SUMIFS(数据录入!$F$5:$F$4999,$Q$5:$Q$4999,1,数据录入!$B$5:$B$4999,"&lt;"&amp;$B$2,数据录入!$J$5:$J$4999,$K57))-(SUMIFS(数据录入!$G$5:$G$4999,$Q$5:$Q$4999,1,数据录入!$B$5:$B$4999,"&lt;"&amp;$B$2,数据录入!$I$5:$I$4999,$K57)+SUMIFS(数据录入!$G$5:$G$4999,$Q$5:$Q$4999,1,数据录入!$B$5:$B$4999,"&lt;"&amp;$B$2,数据录入!$J$5:$J$4999,$K57)))</f>
      </c>
      <c r="M57" s="114">
        <f>IF($K57="","",SUMIFS(数据录入!$F$5:$F$4999,$Q$5:$Q$4999,1,数据录入!$B$5:$B$4999,"&gt;="&amp;$B$2,数据录入!$B$5:$B$4999,"&lt;="&amp;$D$2,数据录入!$I$5:$I$4999,$K57)+SUMIFS(数据录入!$F$5:$F$4999,$Q$5:$Q$4999,1,数据录入!$B$5:$B$4999,"&gt;="&amp;$B$2,数据录入!$B$5:$B$4999,"&lt;="&amp;$D$2,数据录入!$J$5:$J$4999,$K57))</f>
      </c>
      <c r="N57" s="114">
        <f>IF($K57="","",SUMIFS(数据录入!$G$5:$G$4999,$Q$5:$Q$4999,1,数据录入!$B$5:$B$4999,"&gt;="&amp;$B$2,数据录入!$B$5:$B$4999,"&lt;="&amp;$D$2,数据录入!$I$5:$I$4999,$K57)+SUMIFS(数据录入!$G$5:$G$4999,$Q$5:$Q$4999,1,数据录入!$B$5:$B$4999,"&gt;="&amp;$B$2,数据录入!$B$5:$B$4999,"&lt;="&amp;$D$2,数据录入!$J$5:$J$4999,$K57))</f>
      </c>
      <c r="O57" s="114">
        <f>IF($K57="","",L57+M57-N57)</f>
      </c>
      <c r="Q57" s="44">
        <f>IF(数据录入!$B57="",0,IF(OR(数据录入!$D57="投标保证金",数据录入!$D57="合同履约保证金",ISNUMBER(FIND("保证金",数据录入!$E57))),1,0))</f>
      </c>
      <c r="R57" s="44">
        <f>IF(AND($Q57=1,数据录入!$B57&gt;=$B$2,数据录入!$B57&lt;=$D$2),N(R56)+1,N(R56))</f>
      </c>
      <c r="S57" s="44">
        <f>IFERROR(MATCH(50,$R$5:$R$4999,0),"")</f>
      </c>
      <c r="U57" s="44">
        <f>IFERROR(IF(50&lt;=50,INDEX(基础资料!$E$2:$E$51,50)&amp;"",INDEX(基础资料!$G$2:$G$51,50-50)&amp;""),"")</f>
      </c>
      <c r="V57" s="44">
        <f>IF($U57="",0,IF(AND(50&gt;50,COUNTIF(基础资料!$E$2:$E$51,$U57)&gt;0),0,1))</f>
      </c>
      <c r="W57" s="44">
        <f>IF($V57=1,N(W56)+1,N(W56))</f>
      </c>
    </row>
    <row r="58" s="44" customFormat="1" spans="1:23">
      <c r="A58" s="116">
        <f>IF($S58="","",INDEX(数据录入!$B$5:$B$4999,$S58))</f>
      </c>
      <c r="B58" s="44">
        <f>IF($S58="","",INDEX(数据录入!$C$5:$C$4999,$S58)&amp;"")</f>
      </c>
      <c r="C58" s="165">
        <f>IF($S58="","",IF(N($F58)&gt;0,"收款",IF(N($G58)&gt;0,"付款","")))</f>
      </c>
      <c r="D58" s="44">
        <f>IF($S58="","",IF((INDEX(数据录入!$I$5:$I$4999,$S58)&amp;"")&lt;&gt;"",INDEX(数据录入!$I$5:$I$4999,$S58)&amp;"",INDEX(数据录入!$J$5:$J$4999,$S58)&amp;""))</f>
      </c>
      <c r="E58" s="108">
        <f>IF($S58="","",INDEX(数据录入!$E$5:$E$4999,$S58)&amp;"")</f>
      </c>
      <c r="F58" s="114">
        <f>IF($S58="","",N(INDEX(数据录入!$F$5:$F$4999,$S58)))</f>
      </c>
      <c r="G58" s="114">
        <f>IF($S58="","",N(INDEX(数据录入!$G$5:$G$4999,$S58)))</f>
      </c>
      <c r="H58" s="114">
        <f>IF($S58="","",$G$2+SUM($F$8:$F58)-SUM($G$8:$G58))</f>
      </c>
      <c r="J58" s="165">
        <f>IF($K58="","",51)</f>
      </c>
      <c r="K58" s="44">
        <f>IFERROR(INDEX($U$8:$U$107,MATCH(51,$W$8:$W$107,0)),"")</f>
      </c>
      <c r="L58" s="114">
        <f>IF($K58="","",(SUMIFS(数据录入!$F$5:$F$4999,$Q$5:$Q$4999,1,数据录入!$B$5:$B$4999,"&lt;"&amp;$B$2,数据录入!$I$5:$I$4999,$K58)+SUMIFS(数据录入!$F$5:$F$4999,$Q$5:$Q$4999,1,数据录入!$B$5:$B$4999,"&lt;"&amp;$B$2,数据录入!$J$5:$J$4999,$K58))-(SUMIFS(数据录入!$G$5:$G$4999,$Q$5:$Q$4999,1,数据录入!$B$5:$B$4999,"&lt;"&amp;$B$2,数据录入!$I$5:$I$4999,$K58)+SUMIFS(数据录入!$G$5:$G$4999,$Q$5:$Q$4999,1,数据录入!$B$5:$B$4999,"&lt;"&amp;$B$2,数据录入!$J$5:$J$4999,$K58)))</f>
      </c>
      <c r="M58" s="114">
        <f>IF($K58="","",SUMIFS(数据录入!$F$5:$F$4999,$Q$5:$Q$4999,1,数据录入!$B$5:$B$4999,"&gt;="&amp;$B$2,数据录入!$B$5:$B$4999,"&lt;="&amp;$D$2,数据录入!$I$5:$I$4999,$K58)+SUMIFS(数据录入!$F$5:$F$4999,$Q$5:$Q$4999,1,数据录入!$B$5:$B$4999,"&gt;="&amp;$B$2,数据录入!$B$5:$B$4999,"&lt;="&amp;$D$2,数据录入!$J$5:$J$4999,$K58))</f>
      </c>
      <c r="N58" s="114">
        <f>IF($K58="","",SUMIFS(数据录入!$G$5:$G$4999,$Q$5:$Q$4999,1,数据录入!$B$5:$B$4999,"&gt;="&amp;$B$2,数据录入!$B$5:$B$4999,"&lt;="&amp;$D$2,数据录入!$I$5:$I$4999,$K58)+SUMIFS(数据录入!$G$5:$G$4999,$Q$5:$Q$4999,1,数据录入!$B$5:$B$4999,"&gt;="&amp;$B$2,数据录入!$B$5:$B$4999,"&lt;="&amp;$D$2,数据录入!$J$5:$J$4999,$K58))</f>
      </c>
      <c r="O58" s="114">
        <f>IF($K58="","",L58+M58-N58)</f>
      </c>
      <c r="Q58" s="44">
        <f>IF(数据录入!$B58="",0,IF(OR(数据录入!$D58="投标保证金",数据录入!$D58="合同履约保证金",ISNUMBER(FIND("保证金",数据录入!$E58))),1,0))</f>
      </c>
      <c r="R58" s="44">
        <f>IF(AND($Q58=1,数据录入!$B58&gt;=$B$2,数据录入!$B58&lt;=$D$2),N(R57)+1,N(R57))</f>
      </c>
      <c r="S58" s="44">
        <f>IFERROR(MATCH(51,$R$5:$R$4999,0),"")</f>
      </c>
      <c r="U58" s="44">
        <f>IFERROR(IF(51&lt;=50,INDEX(基础资料!$E$2:$E$51,51)&amp;"",INDEX(基础资料!$G$2:$G$51,51-50)&amp;""),"")</f>
      </c>
      <c r="V58" s="44">
        <f>IF($U58="",0,IF(AND(51&gt;50,COUNTIF(基础资料!$E$2:$E$51,$U58)&gt;0),0,1))</f>
      </c>
      <c r="W58" s="44">
        <f>IF($V58=1,N(W57)+1,N(W57))</f>
      </c>
    </row>
    <row r="59" s="44" customFormat="1" spans="1:23">
      <c r="A59" s="116">
        <f>IF($S59="","",INDEX(数据录入!$B$5:$B$4999,$S59))</f>
      </c>
      <c r="B59" s="44">
        <f>IF($S59="","",INDEX(数据录入!$C$5:$C$4999,$S59)&amp;"")</f>
      </c>
      <c r="C59" s="165">
        <f>IF($S59="","",IF(N($F59)&gt;0,"收款",IF(N($G59)&gt;0,"付款","")))</f>
      </c>
      <c r="D59" s="44">
        <f>IF($S59="","",IF((INDEX(数据录入!$I$5:$I$4999,$S59)&amp;"")&lt;&gt;"",INDEX(数据录入!$I$5:$I$4999,$S59)&amp;"",INDEX(数据录入!$J$5:$J$4999,$S59)&amp;""))</f>
      </c>
      <c r="E59" s="108">
        <f>IF($S59="","",INDEX(数据录入!$E$5:$E$4999,$S59)&amp;"")</f>
      </c>
      <c r="F59" s="114">
        <f>IF($S59="","",N(INDEX(数据录入!$F$5:$F$4999,$S59)))</f>
      </c>
      <c r="G59" s="114">
        <f>IF($S59="","",N(INDEX(数据录入!$G$5:$G$4999,$S59)))</f>
      </c>
      <c r="H59" s="114">
        <f>IF($S59="","",$G$2+SUM($F$8:$F59)-SUM($G$8:$G59))</f>
      </c>
      <c r="J59" s="165">
        <f>IF($K59="","",52)</f>
      </c>
      <c r="K59" s="44">
        <f>IFERROR(INDEX($U$8:$U$107,MATCH(52,$W$8:$W$107,0)),"")</f>
      </c>
      <c r="L59" s="114">
        <f>IF($K59="","",(SUMIFS(数据录入!$F$5:$F$4999,$Q$5:$Q$4999,1,数据录入!$B$5:$B$4999,"&lt;"&amp;$B$2,数据录入!$I$5:$I$4999,$K59)+SUMIFS(数据录入!$F$5:$F$4999,$Q$5:$Q$4999,1,数据录入!$B$5:$B$4999,"&lt;"&amp;$B$2,数据录入!$J$5:$J$4999,$K59))-(SUMIFS(数据录入!$G$5:$G$4999,$Q$5:$Q$4999,1,数据录入!$B$5:$B$4999,"&lt;"&amp;$B$2,数据录入!$I$5:$I$4999,$K59)+SUMIFS(数据录入!$G$5:$G$4999,$Q$5:$Q$4999,1,数据录入!$B$5:$B$4999,"&lt;"&amp;$B$2,数据录入!$J$5:$J$4999,$K59)))</f>
      </c>
      <c r="M59" s="114">
        <f>IF($K59="","",SUMIFS(数据录入!$F$5:$F$4999,$Q$5:$Q$4999,1,数据录入!$B$5:$B$4999,"&gt;="&amp;$B$2,数据录入!$B$5:$B$4999,"&lt;="&amp;$D$2,数据录入!$I$5:$I$4999,$K59)+SUMIFS(数据录入!$F$5:$F$4999,$Q$5:$Q$4999,1,数据录入!$B$5:$B$4999,"&gt;="&amp;$B$2,数据录入!$B$5:$B$4999,"&lt;="&amp;$D$2,数据录入!$J$5:$J$4999,$K59))</f>
      </c>
      <c r="N59" s="114">
        <f>IF($K59="","",SUMIFS(数据录入!$G$5:$G$4999,$Q$5:$Q$4999,1,数据录入!$B$5:$B$4999,"&gt;="&amp;$B$2,数据录入!$B$5:$B$4999,"&lt;="&amp;$D$2,数据录入!$I$5:$I$4999,$K59)+SUMIFS(数据录入!$G$5:$G$4999,$Q$5:$Q$4999,1,数据录入!$B$5:$B$4999,"&gt;="&amp;$B$2,数据录入!$B$5:$B$4999,"&lt;="&amp;$D$2,数据录入!$J$5:$J$4999,$K59))</f>
      </c>
      <c r="O59" s="114">
        <f>IF($K59="","",L59+M59-N59)</f>
      </c>
      <c r="Q59" s="44">
        <f>IF(数据录入!$B59="",0,IF(OR(数据录入!$D59="投标保证金",数据录入!$D59="合同履约保证金",ISNUMBER(FIND("保证金",数据录入!$E59))),1,0))</f>
      </c>
      <c r="R59" s="44">
        <f>IF(AND($Q59=1,数据录入!$B59&gt;=$B$2,数据录入!$B59&lt;=$D$2),N(R58)+1,N(R58))</f>
      </c>
      <c r="S59" s="44">
        <f>IFERROR(MATCH(52,$R$5:$R$4999,0),"")</f>
      </c>
      <c r="U59" s="44">
        <f>IFERROR(IF(52&lt;=50,INDEX(基础资料!$E$2:$E$51,52)&amp;"",INDEX(基础资料!$G$2:$G$51,52-50)&amp;""),"")</f>
      </c>
      <c r="V59" s="44">
        <f>IF($U59="",0,IF(AND(52&gt;50,COUNTIF(基础资料!$E$2:$E$51,$U59)&gt;0),0,1))</f>
      </c>
      <c r="W59" s="44">
        <f>IF($V59=1,N(W58)+1,N(W58))</f>
      </c>
    </row>
    <row r="60" s="44" customFormat="1" spans="1:23">
      <c r="A60" s="116">
        <f>IF($S60="","",INDEX(数据录入!$B$5:$B$4999,$S60))</f>
      </c>
      <c r="B60" s="44">
        <f>IF($S60="","",INDEX(数据录入!$C$5:$C$4999,$S60)&amp;"")</f>
      </c>
      <c r="C60" s="165">
        <f>IF($S60="","",IF(N($F60)&gt;0,"收款",IF(N($G60)&gt;0,"付款","")))</f>
      </c>
      <c r="D60" s="44">
        <f>IF($S60="","",IF((INDEX(数据录入!$I$5:$I$4999,$S60)&amp;"")&lt;&gt;"",INDEX(数据录入!$I$5:$I$4999,$S60)&amp;"",INDEX(数据录入!$J$5:$J$4999,$S60)&amp;""))</f>
      </c>
      <c r="E60" s="108">
        <f>IF($S60="","",INDEX(数据录入!$E$5:$E$4999,$S60)&amp;"")</f>
      </c>
      <c r="F60" s="114">
        <f>IF($S60="","",N(INDEX(数据录入!$F$5:$F$4999,$S60)))</f>
      </c>
      <c r="G60" s="114">
        <f>IF($S60="","",N(INDEX(数据录入!$G$5:$G$4999,$S60)))</f>
      </c>
      <c r="H60" s="114">
        <f>IF($S60="","",$G$2+SUM($F$8:$F60)-SUM($G$8:$G60))</f>
      </c>
      <c r="J60" s="165">
        <f>IF($K60="","",53)</f>
      </c>
      <c r="K60" s="44">
        <f>IFERROR(INDEX($U$8:$U$107,MATCH(53,$W$8:$W$107,0)),"")</f>
      </c>
      <c r="L60" s="114">
        <f>IF($K60="","",(SUMIFS(数据录入!$F$5:$F$4999,$Q$5:$Q$4999,1,数据录入!$B$5:$B$4999,"&lt;"&amp;$B$2,数据录入!$I$5:$I$4999,$K60)+SUMIFS(数据录入!$F$5:$F$4999,$Q$5:$Q$4999,1,数据录入!$B$5:$B$4999,"&lt;"&amp;$B$2,数据录入!$J$5:$J$4999,$K60))-(SUMIFS(数据录入!$G$5:$G$4999,$Q$5:$Q$4999,1,数据录入!$B$5:$B$4999,"&lt;"&amp;$B$2,数据录入!$I$5:$I$4999,$K60)+SUMIFS(数据录入!$G$5:$G$4999,$Q$5:$Q$4999,1,数据录入!$B$5:$B$4999,"&lt;"&amp;$B$2,数据录入!$J$5:$J$4999,$K60)))</f>
      </c>
      <c r="M60" s="114">
        <f>IF($K60="","",SUMIFS(数据录入!$F$5:$F$4999,$Q$5:$Q$4999,1,数据录入!$B$5:$B$4999,"&gt;="&amp;$B$2,数据录入!$B$5:$B$4999,"&lt;="&amp;$D$2,数据录入!$I$5:$I$4999,$K60)+SUMIFS(数据录入!$F$5:$F$4999,$Q$5:$Q$4999,1,数据录入!$B$5:$B$4999,"&gt;="&amp;$B$2,数据录入!$B$5:$B$4999,"&lt;="&amp;$D$2,数据录入!$J$5:$J$4999,$K60))</f>
      </c>
      <c r="N60" s="114">
        <f>IF($K60="","",SUMIFS(数据录入!$G$5:$G$4999,$Q$5:$Q$4999,1,数据录入!$B$5:$B$4999,"&gt;="&amp;$B$2,数据录入!$B$5:$B$4999,"&lt;="&amp;$D$2,数据录入!$I$5:$I$4999,$K60)+SUMIFS(数据录入!$G$5:$G$4999,$Q$5:$Q$4999,1,数据录入!$B$5:$B$4999,"&gt;="&amp;$B$2,数据录入!$B$5:$B$4999,"&lt;="&amp;$D$2,数据录入!$J$5:$J$4999,$K60))</f>
      </c>
      <c r="O60" s="114">
        <f>IF($K60="","",L60+M60-N60)</f>
      </c>
      <c r="Q60" s="44">
        <f>IF(数据录入!$B60="",0,IF(OR(数据录入!$D60="投标保证金",数据录入!$D60="合同履约保证金",ISNUMBER(FIND("保证金",数据录入!$E60))),1,0))</f>
      </c>
      <c r="R60" s="44">
        <f>IF(AND($Q60=1,数据录入!$B60&gt;=$B$2,数据录入!$B60&lt;=$D$2),N(R59)+1,N(R59))</f>
      </c>
      <c r="S60" s="44">
        <f>IFERROR(MATCH(53,$R$5:$R$4999,0),"")</f>
      </c>
      <c r="U60" s="44">
        <f>IFERROR(IF(53&lt;=50,INDEX(基础资料!$E$2:$E$51,53)&amp;"",INDEX(基础资料!$G$2:$G$51,53-50)&amp;""),"")</f>
      </c>
      <c r="V60" s="44">
        <f>IF($U60="",0,IF(AND(53&gt;50,COUNTIF(基础资料!$E$2:$E$51,$U60)&gt;0),0,1))</f>
      </c>
      <c r="W60" s="44">
        <f>IF($V60=1,N(W59)+1,N(W59))</f>
      </c>
    </row>
    <row r="61" s="44" customFormat="1" spans="1:23">
      <c r="A61" s="116">
        <f>IF($S61="","",INDEX(数据录入!$B$5:$B$4999,$S61))</f>
      </c>
      <c r="B61" s="44">
        <f>IF($S61="","",INDEX(数据录入!$C$5:$C$4999,$S61)&amp;"")</f>
      </c>
      <c r="C61" s="165">
        <f>IF($S61="","",IF(N($F61)&gt;0,"收款",IF(N($G61)&gt;0,"付款","")))</f>
      </c>
      <c r="D61" s="44">
        <f>IF($S61="","",IF((INDEX(数据录入!$I$5:$I$4999,$S61)&amp;"")&lt;&gt;"",INDEX(数据录入!$I$5:$I$4999,$S61)&amp;"",INDEX(数据录入!$J$5:$J$4999,$S61)&amp;""))</f>
      </c>
      <c r="E61" s="108">
        <f>IF($S61="","",INDEX(数据录入!$E$5:$E$4999,$S61)&amp;"")</f>
      </c>
      <c r="F61" s="114">
        <f>IF($S61="","",N(INDEX(数据录入!$F$5:$F$4999,$S61)))</f>
      </c>
      <c r="G61" s="114">
        <f>IF($S61="","",N(INDEX(数据录入!$G$5:$G$4999,$S61)))</f>
      </c>
      <c r="H61" s="114">
        <f>IF($S61="","",$G$2+SUM($F$8:$F61)-SUM($G$8:$G61))</f>
      </c>
      <c r="J61" s="165">
        <f>IF($K61="","",54)</f>
      </c>
      <c r="K61" s="44">
        <f>IFERROR(INDEX($U$8:$U$107,MATCH(54,$W$8:$W$107,0)),"")</f>
      </c>
      <c r="L61" s="114">
        <f>IF($K61="","",(SUMIFS(数据录入!$F$5:$F$4999,$Q$5:$Q$4999,1,数据录入!$B$5:$B$4999,"&lt;"&amp;$B$2,数据录入!$I$5:$I$4999,$K61)+SUMIFS(数据录入!$F$5:$F$4999,$Q$5:$Q$4999,1,数据录入!$B$5:$B$4999,"&lt;"&amp;$B$2,数据录入!$J$5:$J$4999,$K61))-(SUMIFS(数据录入!$G$5:$G$4999,$Q$5:$Q$4999,1,数据录入!$B$5:$B$4999,"&lt;"&amp;$B$2,数据录入!$I$5:$I$4999,$K61)+SUMIFS(数据录入!$G$5:$G$4999,$Q$5:$Q$4999,1,数据录入!$B$5:$B$4999,"&lt;"&amp;$B$2,数据录入!$J$5:$J$4999,$K61)))</f>
      </c>
      <c r="M61" s="114">
        <f>IF($K61="","",SUMIFS(数据录入!$F$5:$F$4999,$Q$5:$Q$4999,1,数据录入!$B$5:$B$4999,"&gt;="&amp;$B$2,数据录入!$B$5:$B$4999,"&lt;="&amp;$D$2,数据录入!$I$5:$I$4999,$K61)+SUMIFS(数据录入!$F$5:$F$4999,$Q$5:$Q$4999,1,数据录入!$B$5:$B$4999,"&gt;="&amp;$B$2,数据录入!$B$5:$B$4999,"&lt;="&amp;$D$2,数据录入!$J$5:$J$4999,$K61))</f>
      </c>
      <c r="N61" s="114">
        <f>IF($K61="","",SUMIFS(数据录入!$G$5:$G$4999,$Q$5:$Q$4999,1,数据录入!$B$5:$B$4999,"&gt;="&amp;$B$2,数据录入!$B$5:$B$4999,"&lt;="&amp;$D$2,数据录入!$I$5:$I$4999,$K61)+SUMIFS(数据录入!$G$5:$G$4999,$Q$5:$Q$4999,1,数据录入!$B$5:$B$4999,"&gt;="&amp;$B$2,数据录入!$B$5:$B$4999,"&lt;="&amp;$D$2,数据录入!$J$5:$J$4999,$K61))</f>
      </c>
      <c r="O61" s="114">
        <f>IF($K61="","",L61+M61-N61)</f>
      </c>
      <c r="Q61" s="44">
        <f>IF(数据录入!$B61="",0,IF(OR(数据录入!$D61="投标保证金",数据录入!$D61="合同履约保证金",ISNUMBER(FIND("保证金",数据录入!$E61))),1,0))</f>
      </c>
      <c r="R61" s="44">
        <f>IF(AND($Q61=1,数据录入!$B61&gt;=$B$2,数据录入!$B61&lt;=$D$2),N(R60)+1,N(R60))</f>
      </c>
      <c r="S61" s="44">
        <f>IFERROR(MATCH(54,$R$5:$R$4999,0),"")</f>
      </c>
      <c r="U61" s="44">
        <f>IFERROR(IF(54&lt;=50,INDEX(基础资料!$E$2:$E$51,54)&amp;"",INDEX(基础资料!$G$2:$G$51,54-50)&amp;""),"")</f>
      </c>
      <c r="V61" s="44">
        <f>IF($U61="",0,IF(AND(54&gt;50,COUNTIF(基础资料!$E$2:$E$51,$U61)&gt;0),0,1))</f>
      </c>
      <c r="W61" s="44">
        <f>IF($V61=1,N(W60)+1,N(W60))</f>
      </c>
    </row>
    <row r="62" s="44" customFormat="1" spans="1:23">
      <c r="A62" s="116">
        <f>IF($S62="","",INDEX(数据录入!$B$5:$B$4999,$S62))</f>
      </c>
      <c r="B62" s="44">
        <f>IF($S62="","",INDEX(数据录入!$C$5:$C$4999,$S62)&amp;"")</f>
      </c>
      <c r="C62" s="165">
        <f>IF($S62="","",IF(N($F62)&gt;0,"收款",IF(N($G62)&gt;0,"付款","")))</f>
      </c>
      <c r="D62" s="44">
        <f>IF($S62="","",IF((INDEX(数据录入!$I$5:$I$4999,$S62)&amp;"")&lt;&gt;"",INDEX(数据录入!$I$5:$I$4999,$S62)&amp;"",INDEX(数据录入!$J$5:$J$4999,$S62)&amp;""))</f>
      </c>
      <c r="E62" s="108">
        <f>IF($S62="","",INDEX(数据录入!$E$5:$E$4999,$S62)&amp;"")</f>
      </c>
      <c r="F62" s="114">
        <f>IF($S62="","",N(INDEX(数据录入!$F$5:$F$4999,$S62)))</f>
      </c>
      <c r="G62" s="114">
        <f>IF($S62="","",N(INDEX(数据录入!$G$5:$G$4999,$S62)))</f>
      </c>
      <c r="H62" s="114">
        <f>IF($S62="","",$G$2+SUM($F$8:$F62)-SUM($G$8:$G62))</f>
      </c>
      <c r="J62" s="165">
        <f>IF($K62="","",55)</f>
      </c>
      <c r="K62" s="44">
        <f>IFERROR(INDEX($U$8:$U$107,MATCH(55,$W$8:$W$107,0)),"")</f>
      </c>
      <c r="L62" s="114">
        <f>IF($K62="","",(SUMIFS(数据录入!$F$5:$F$4999,$Q$5:$Q$4999,1,数据录入!$B$5:$B$4999,"&lt;"&amp;$B$2,数据录入!$I$5:$I$4999,$K62)+SUMIFS(数据录入!$F$5:$F$4999,$Q$5:$Q$4999,1,数据录入!$B$5:$B$4999,"&lt;"&amp;$B$2,数据录入!$J$5:$J$4999,$K62))-(SUMIFS(数据录入!$G$5:$G$4999,$Q$5:$Q$4999,1,数据录入!$B$5:$B$4999,"&lt;"&amp;$B$2,数据录入!$I$5:$I$4999,$K62)+SUMIFS(数据录入!$G$5:$G$4999,$Q$5:$Q$4999,1,数据录入!$B$5:$B$4999,"&lt;"&amp;$B$2,数据录入!$J$5:$J$4999,$K62)))</f>
      </c>
      <c r="M62" s="114">
        <f>IF($K62="","",SUMIFS(数据录入!$F$5:$F$4999,$Q$5:$Q$4999,1,数据录入!$B$5:$B$4999,"&gt;="&amp;$B$2,数据录入!$B$5:$B$4999,"&lt;="&amp;$D$2,数据录入!$I$5:$I$4999,$K62)+SUMIFS(数据录入!$F$5:$F$4999,$Q$5:$Q$4999,1,数据录入!$B$5:$B$4999,"&gt;="&amp;$B$2,数据录入!$B$5:$B$4999,"&lt;="&amp;$D$2,数据录入!$J$5:$J$4999,$K62))</f>
      </c>
      <c r="N62" s="114">
        <f>IF($K62="","",SUMIFS(数据录入!$G$5:$G$4999,$Q$5:$Q$4999,1,数据录入!$B$5:$B$4999,"&gt;="&amp;$B$2,数据录入!$B$5:$B$4999,"&lt;="&amp;$D$2,数据录入!$I$5:$I$4999,$K62)+SUMIFS(数据录入!$G$5:$G$4999,$Q$5:$Q$4999,1,数据录入!$B$5:$B$4999,"&gt;="&amp;$B$2,数据录入!$B$5:$B$4999,"&lt;="&amp;$D$2,数据录入!$J$5:$J$4999,$K62))</f>
      </c>
      <c r="O62" s="114">
        <f>IF($K62="","",L62+M62-N62)</f>
      </c>
      <c r="Q62" s="44">
        <f>IF(数据录入!$B62="",0,IF(OR(数据录入!$D62="投标保证金",数据录入!$D62="合同履约保证金",ISNUMBER(FIND("保证金",数据录入!$E62))),1,0))</f>
      </c>
      <c r="R62" s="44">
        <f>IF(AND($Q62=1,数据录入!$B62&gt;=$B$2,数据录入!$B62&lt;=$D$2),N(R61)+1,N(R61))</f>
      </c>
      <c r="S62" s="44">
        <f>IFERROR(MATCH(55,$R$5:$R$4999,0),"")</f>
      </c>
      <c r="U62" s="44">
        <f>IFERROR(IF(55&lt;=50,INDEX(基础资料!$E$2:$E$51,55)&amp;"",INDEX(基础资料!$G$2:$G$51,55-50)&amp;""),"")</f>
      </c>
      <c r="V62" s="44">
        <f>IF($U62="",0,IF(AND(55&gt;50,COUNTIF(基础资料!$E$2:$E$51,$U62)&gt;0),0,1))</f>
      </c>
      <c r="W62" s="44">
        <f>IF($V62=1,N(W61)+1,N(W61))</f>
      </c>
    </row>
    <row r="63" s="44" customFormat="1" spans="1:23">
      <c r="A63" s="116">
        <f>IF($S63="","",INDEX(数据录入!$B$5:$B$4999,$S63))</f>
      </c>
      <c r="B63" s="44">
        <f>IF($S63="","",INDEX(数据录入!$C$5:$C$4999,$S63)&amp;"")</f>
      </c>
      <c r="C63" s="165">
        <f>IF($S63="","",IF(N($F63)&gt;0,"收款",IF(N($G63)&gt;0,"付款","")))</f>
      </c>
      <c r="D63" s="44">
        <f>IF($S63="","",IF((INDEX(数据录入!$I$5:$I$4999,$S63)&amp;"")&lt;&gt;"",INDEX(数据录入!$I$5:$I$4999,$S63)&amp;"",INDEX(数据录入!$J$5:$J$4999,$S63)&amp;""))</f>
      </c>
      <c r="E63" s="108">
        <f>IF($S63="","",INDEX(数据录入!$E$5:$E$4999,$S63)&amp;"")</f>
      </c>
      <c r="F63" s="114">
        <f>IF($S63="","",N(INDEX(数据录入!$F$5:$F$4999,$S63)))</f>
      </c>
      <c r="G63" s="114">
        <f>IF($S63="","",N(INDEX(数据录入!$G$5:$G$4999,$S63)))</f>
      </c>
      <c r="H63" s="114">
        <f>IF($S63="","",$G$2+SUM($F$8:$F63)-SUM($G$8:$G63))</f>
      </c>
      <c r="J63" s="165">
        <f>IF($K63="","",56)</f>
      </c>
      <c r="K63" s="44">
        <f>IFERROR(INDEX($U$8:$U$107,MATCH(56,$W$8:$W$107,0)),"")</f>
      </c>
      <c r="L63" s="114">
        <f>IF($K63="","",(SUMIFS(数据录入!$F$5:$F$4999,$Q$5:$Q$4999,1,数据录入!$B$5:$B$4999,"&lt;"&amp;$B$2,数据录入!$I$5:$I$4999,$K63)+SUMIFS(数据录入!$F$5:$F$4999,$Q$5:$Q$4999,1,数据录入!$B$5:$B$4999,"&lt;"&amp;$B$2,数据录入!$J$5:$J$4999,$K63))-(SUMIFS(数据录入!$G$5:$G$4999,$Q$5:$Q$4999,1,数据录入!$B$5:$B$4999,"&lt;"&amp;$B$2,数据录入!$I$5:$I$4999,$K63)+SUMIFS(数据录入!$G$5:$G$4999,$Q$5:$Q$4999,1,数据录入!$B$5:$B$4999,"&lt;"&amp;$B$2,数据录入!$J$5:$J$4999,$K63)))</f>
      </c>
      <c r="M63" s="114">
        <f>IF($K63="","",SUMIFS(数据录入!$F$5:$F$4999,$Q$5:$Q$4999,1,数据录入!$B$5:$B$4999,"&gt;="&amp;$B$2,数据录入!$B$5:$B$4999,"&lt;="&amp;$D$2,数据录入!$I$5:$I$4999,$K63)+SUMIFS(数据录入!$F$5:$F$4999,$Q$5:$Q$4999,1,数据录入!$B$5:$B$4999,"&gt;="&amp;$B$2,数据录入!$B$5:$B$4999,"&lt;="&amp;$D$2,数据录入!$J$5:$J$4999,$K63))</f>
      </c>
      <c r="N63" s="114">
        <f>IF($K63="","",SUMIFS(数据录入!$G$5:$G$4999,$Q$5:$Q$4999,1,数据录入!$B$5:$B$4999,"&gt;="&amp;$B$2,数据录入!$B$5:$B$4999,"&lt;="&amp;$D$2,数据录入!$I$5:$I$4999,$K63)+SUMIFS(数据录入!$G$5:$G$4999,$Q$5:$Q$4999,1,数据录入!$B$5:$B$4999,"&gt;="&amp;$B$2,数据录入!$B$5:$B$4999,"&lt;="&amp;$D$2,数据录入!$J$5:$J$4999,$K63))</f>
      </c>
      <c r="O63" s="114">
        <f>IF($K63="","",L63+M63-N63)</f>
      </c>
      <c r="Q63" s="44">
        <f>IF(数据录入!$B63="",0,IF(OR(数据录入!$D63="投标保证金",数据录入!$D63="合同履约保证金",ISNUMBER(FIND("保证金",数据录入!$E63))),1,0))</f>
      </c>
      <c r="R63" s="44">
        <f>IF(AND($Q63=1,数据录入!$B63&gt;=$B$2,数据录入!$B63&lt;=$D$2),N(R62)+1,N(R62))</f>
      </c>
      <c r="S63" s="44">
        <f>IFERROR(MATCH(56,$R$5:$R$4999,0),"")</f>
      </c>
      <c r="U63" s="44">
        <f>IFERROR(IF(56&lt;=50,INDEX(基础资料!$E$2:$E$51,56)&amp;"",INDEX(基础资料!$G$2:$G$51,56-50)&amp;""),"")</f>
      </c>
      <c r="V63" s="44">
        <f>IF($U63="",0,IF(AND(56&gt;50,COUNTIF(基础资料!$E$2:$E$51,$U63)&gt;0),0,1))</f>
      </c>
      <c r="W63" s="44">
        <f>IF($V63=1,N(W62)+1,N(W62))</f>
      </c>
    </row>
    <row r="64" s="44" customFormat="1" spans="1:23">
      <c r="A64" s="116">
        <f>IF($S64="","",INDEX(数据录入!$B$5:$B$4999,$S64))</f>
      </c>
      <c r="B64" s="44">
        <f>IF($S64="","",INDEX(数据录入!$C$5:$C$4999,$S64)&amp;"")</f>
      </c>
      <c r="C64" s="165">
        <f>IF($S64="","",IF(N($F64)&gt;0,"收款",IF(N($G64)&gt;0,"付款","")))</f>
      </c>
      <c r="D64" s="44">
        <f>IF($S64="","",IF((INDEX(数据录入!$I$5:$I$4999,$S64)&amp;"")&lt;&gt;"",INDEX(数据录入!$I$5:$I$4999,$S64)&amp;"",INDEX(数据录入!$J$5:$J$4999,$S64)&amp;""))</f>
      </c>
      <c r="E64" s="108">
        <f>IF($S64="","",INDEX(数据录入!$E$5:$E$4999,$S64)&amp;"")</f>
      </c>
      <c r="F64" s="114">
        <f>IF($S64="","",N(INDEX(数据录入!$F$5:$F$4999,$S64)))</f>
      </c>
      <c r="G64" s="114">
        <f>IF($S64="","",N(INDEX(数据录入!$G$5:$G$4999,$S64)))</f>
      </c>
      <c r="H64" s="114">
        <f>IF($S64="","",$G$2+SUM($F$8:$F64)-SUM($G$8:$G64))</f>
      </c>
      <c r="J64" s="165">
        <f>IF($K64="","",57)</f>
      </c>
      <c r="K64" s="44">
        <f>IFERROR(INDEX($U$8:$U$107,MATCH(57,$W$8:$W$107,0)),"")</f>
      </c>
      <c r="L64" s="114">
        <f>IF($K64="","",(SUMIFS(数据录入!$F$5:$F$4999,$Q$5:$Q$4999,1,数据录入!$B$5:$B$4999,"&lt;"&amp;$B$2,数据录入!$I$5:$I$4999,$K64)+SUMIFS(数据录入!$F$5:$F$4999,$Q$5:$Q$4999,1,数据录入!$B$5:$B$4999,"&lt;"&amp;$B$2,数据录入!$J$5:$J$4999,$K64))-(SUMIFS(数据录入!$G$5:$G$4999,$Q$5:$Q$4999,1,数据录入!$B$5:$B$4999,"&lt;"&amp;$B$2,数据录入!$I$5:$I$4999,$K64)+SUMIFS(数据录入!$G$5:$G$4999,$Q$5:$Q$4999,1,数据录入!$B$5:$B$4999,"&lt;"&amp;$B$2,数据录入!$J$5:$J$4999,$K64)))</f>
      </c>
      <c r="M64" s="114">
        <f>IF($K64="","",SUMIFS(数据录入!$F$5:$F$4999,$Q$5:$Q$4999,1,数据录入!$B$5:$B$4999,"&gt;="&amp;$B$2,数据录入!$B$5:$B$4999,"&lt;="&amp;$D$2,数据录入!$I$5:$I$4999,$K64)+SUMIFS(数据录入!$F$5:$F$4999,$Q$5:$Q$4999,1,数据录入!$B$5:$B$4999,"&gt;="&amp;$B$2,数据录入!$B$5:$B$4999,"&lt;="&amp;$D$2,数据录入!$J$5:$J$4999,$K64))</f>
      </c>
      <c r="N64" s="114">
        <f>IF($K64="","",SUMIFS(数据录入!$G$5:$G$4999,$Q$5:$Q$4999,1,数据录入!$B$5:$B$4999,"&gt;="&amp;$B$2,数据录入!$B$5:$B$4999,"&lt;="&amp;$D$2,数据录入!$I$5:$I$4999,$K64)+SUMIFS(数据录入!$G$5:$G$4999,$Q$5:$Q$4999,1,数据录入!$B$5:$B$4999,"&gt;="&amp;$B$2,数据录入!$B$5:$B$4999,"&lt;="&amp;$D$2,数据录入!$J$5:$J$4999,$K64))</f>
      </c>
      <c r="O64" s="114">
        <f>IF($K64="","",L64+M64-N64)</f>
      </c>
      <c r="Q64" s="44">
        <f>IF(数据录入!$B64="",0,IF(OR(数据录入!$D64="投标保证金",数据录入!$D64="合同履约保证金",ISNUMBER(FIND("保证金",数据录入!$E64))),1,0))</f>
      </c>
      <c r="R64" s="44">
        <f>IF(AND($Q64=1,数据录入!$B64&gt;=$B$2,数据录入!$B64&lt;=$D$2),N(R63)+1,N(R63))</f>
      </c>
      <c r="S64" s="44">
        <f>IFERROR(MATCH(57,$R$5:$R$4999,0),"")</f>
      </c>
      <c r="U64" s="44">
        <f>IFERROR(IF(57&lt;=50,INDEX(基础资料!$E$2:$E$51,57)&amp;"",INDEX(基础资料!$G$2:$G$51,57-50)&amp;""),"")</f>
      </c>
      <c r="V64" s="44">
        <f>IF($U64="",0,IF(AND(57&gt;50,COUNTIF(基础资料!$E$2:$E$51,$U64)&gt;0),0,1))</f>
      </c>
      <c r="W64" s="44">
        <f>IF($V64=1,N(W63)+1,N(W63))</f>
      </c>
    </row>
    <row r="65" s="44" customFormat="1" spans="1:23">
      <c r="A65" s="116">
        <f>IF($S65="","",INDEX(数据录入!$B$5:$B$4999,$S65))</f>
      </c>
      <c r="B65" s="44">
        <f>IF($S65="","",INDEX(数据录入!$C$5:$C$4999,$S65)&amp;"")</f>
      </c>
      <c r="C65" s="165">
        <f>IF($S65="","",IF(N($F65)&gt;0,"收款",IF(N($G65)&gt;0,"付款","")))</f>
      </c>
      <c r="D65" s="44">
        <f>IF($S65="","",IF((INDEX(数据录入!$I$5:$I$4999,$S65)&amp;"")&lt;&gt;"",INDEX(数据录入!$I$5:$I$4999,$S65)&amp;"",INDEX(数据录入!$J$5:$J$4999,$S65)&amp;""))</f>
      </c>
      <c r="E65" s="108">
        <f>IF($S65="","",INDEX(数据录入!$E$5:$E$4999,$S65)&amp;"")</f>
      </c>
      <c r="F65" s="114">
        <f>IF($S65="","",N(INDEX(数据录入!$F$5:$F$4999,$S65)))</f>
      </c>
      <c r="G65" s="114">
        <f>IF($S65="","",N(INDEX(数据录入!$G$5:$G$4999,$S65)))</f>
      </c>
      <c r="H65" s="114">
        <f>IF($S65="","",$G$2+SUM($F$8:$F65)-SUM($G$8:$G65))</f>
      </c>
      <c r="J65" s="165">
        <f>IF($K65="","",58)</f>
      </c>
      <c r="K65" s="44">
        <f>IFERROR(INDEX($U$8:$U$107,MATCH(58,$W$8:$W$107,0)),"")</f>
      </c>
      <c r="L65" s="114">
        <f>IF($K65="","",(SUMIFS(数据录入!$F$5:$F$4999,$Q$5:$Q$4999,1,数据录入!$B$5:$B$4999,"&lt;"&amp;$B$2,数据录入!$I$5:$I$4999,$K65)+SUMIFS(数据录入!$F$5:$F$4999,$Q$5:$Q$4999,1,数据录入!$B$5:$B$4999,"&lt;"&amp;$B$2,数据录入!$J$5:$J$4999,$K65))-(SUMIFS(数据录入!$G$5:$G$4999,$Q$5:$Q$4999,1,数据录入!$B$5:$B$4999,"&lt;"&amp;$B$2,数据录入!$I$5:$I$4999,$K65)+SUMIFS(数据录入!$G$5:$G$4999,$Q$5:$Q$4999,1,数据录入!$B$5:$B$4999,"&lt;"&amp;$B$2,数据录入!$J$5:$J$4999,$K65)))</f>
      </c>
      <c r="M65" s="114">
        <f>IF($K65="","",SUMIFS(数据录入!$F$5:$F$4999,$Q$5:$Q$4999,1,数据录入!$B$5:$B$4999,"&gt;="&amp;$B$2,数据录入!$B$5:$B$4999,"&lt;="&amp;$D$2,数据录入!$I$5:$I$4999,$K65)+SUMIFS(数据录入!$F$5:$F$4999,$Q$5:$Q$4999,1,数据录入!$B$5:$B$4999,"&gt;="&amp;$B$2,数据录入!$B$5:$B$4999,"&lt;="&amp;$D$2,数据录入!$J$5:$J$4999,$K65))</f>
      </c>
      <c r="N65" s="114">
        <f>IF($K65="","",SUMIFS(数据录入!$G$5:$G$4999,$Q$5:$Q$4999,1,数据录入!$B$5:$B$4999,"&gt;="&amp;$B$2,数据录入!$B$5:$B$4999,"&lt;="&amp;$D$2,数据录入!$I$5:$I$4999,$K65)+SUMIFS(数据录入!$G$5:$G$4999,$Q$5:$Q$4999,1,数据录入!$B$5:$B$4999,"&gt;="&amp;$B$2,数据录入!$B$5:$B$4999,"&lt;="&amp;$D$2,数据录入!$J$5:$J$4999,$K65))</f>
      </c>
      <c r="O65" s="114">
        <f>IF($K65="","",L65+M65-N65)</f>
      </c>
      <c r="Q65" s="44">
        <f>IF(数据录入!$B65="",0,IF(OR(数据录入!$D65="投标保证金",数据录入!$D65="合同履约保证金",ISNUMBER(FIND("保证金",数据录入!$E65))),1,0))</f>
      </c>
      <c r="R65" s="44">
        <f>IF(AND($Q65=1,数据录入!$B65&gt;=$B$2,数据录入!$B65&lt;=$D$2),N(R64)+1,N(R64))</f>
      </c>
      <c r="S65" s="44">
        <f>IFERROR(MATCH(58,$R$5:$R$4999,0),"")</f>
      </c>
      <c r="U65" s="44">
        <f>IFERROR(IF(58&lt;=50,INDEX(基础资料!$E$2:$E$51,58)&amp;"",INDEX(基础资料!$G$2:$G$51,58-50)&amp;""),"")</f>
      </c>
      <c r="V65" s="44">
        <f>IF($U65="",0,IF(AND(58&gt;50,COUNTIF(基础资料!$E$2:$E$51,$U65)&gt;0),0,1))</f>
      </c>
      <c r="W65" s="44">
        <f>IF($V65=1,N(W64)+1,N(W64))</f>
      </c>
    </row>
    <row r="66" s="44" customFormat="1" spans="1:23">
      <c r="A66" s="116">
        <f>IF($S66="","",INDEX(数据录入!$B$5:$B$4999,$S66))</f>
      </c>
      <c r="B66" s="44">
        <f>IF($S66="","",INDEX(数据录入!$C$5:$C$4999,$S66)&amp;"")</f>
      </c>
      <c r="C66" s="165">
        <f>IF($S66="","",IF(N($F66)&gt;0,"收款",IF(N($G66)&gt;0,"付款","")))</f>
      </c>
      <c r="D66" s="44">
        <f>IF($S66="","",IF((INDEX(数据录入!$I$5:$I$4999,$S66)&amp;"")&lt;&gt;"",INDEX(数据录入!$I$5:$I$4999,$S66)&amp;"",INDEX(数据录入!$J$5:$J$4999,$S66)&amp;""))</f>
      </c>
      <c r="E66" s="108">
        <f>IF($S66="","",INDEX(数据录入!$E$5:$E$4999,$S66)&amp;"")</f>
      </c>
      <c r="F66" s="114">
        <f>IF($S66="","",N(INDEX(数据录入!$F$5:$F$4999,$S66)))</f>
      </c>
      <c r="G66" s="114">
        <f>IF($S66="","",N(INDEX(数据录入!$G$5:$G$4999,$S66)))</f>
      </c>
      <c r="H66" s="114">
        <f>IF($S66="","",$G$2+SUM($F$8:$F66)-SUM($G$8:$G66))</f>
      </c>
      <c r="J66" s="165">
        <f>IF($K66="","",59)</f>
      </c>
      <c r="K66" s="44">
        <f>IFERROR(INDEX($U$8:$U$107,MATCH(59,$W$8:$W$107,0)),"")</f>
      </c>
      <c r="L66" s="114">
        <f>IF($K66="","",(SUMIFS(数据录入!$F$5:$F$4999,$Q$5:$Q$4999,1,数据录入!$B$5:$B$4999,"&lt;"&amp;$B$2,数据录入!$I$5:$I$4999,$K66)+SUMIFS(数据录入!$F$5:$F$4999,$Q$5:$Q$4999,1,数据录入!$B$5:$B$4999,"&lt;"&amp;$B$2,数据录入!$J$5:$J$4999,$K66))-(SUMIFS(数据录入!$G$5:$G$4999,$Q$5:$Q$4999,1,数据录入!$B$5:$B$4999,"&lt;"&amp;$B$2,数据录入!$I$5:$I$4999,$K66)+SUMIFS(数据录入!$G$5:$G$4999,$Q$5:$Q$4999,1,数据录入!$B$5:$B$4999,"&lt;"&amp;$B$2,数据录入!$J$5:$J$4999,$K66)))</f>
      </c>
      <c r="M66" s="114">
        <f>IF($K66="","",SUMIFS(数据录入!$F$5:$F$4999,$Q$5:$Q$4999,1,数据录入!$B$5:$B$4999,"&gt;="&amp;$B$2,数据录入!$B$5:$B$4999,"&lt;="&amp;$D$2,数据录入!$I$5:$I$4999,$K66)+SUMIFS(数据录入!$F$5:$F$4999,$Q$5:$Q$4999,1,数据录入!$B$5:$B$4999,"&gt;="&amp;$B$2,数据录入!$B$5:$B$4999,"&lt;="&amp;$D$2,数据录入!$J$5:$J$4999,$K66))</f>
      </c>
      <c r="N66" s="114">
        <f>IF($K66="","",SUMIFS(数据录入!$G$5:$G$4999,$Q$5:$Q$4999,1,数据录入!$B$5:$B$4999,"&gt;="&amp;$B$2,数据录入!$B$5:$B$4999,"&lt;="&amp;$D$2,数据录入!$I$5:$I$4999,$K66)+SUMIFS(数据录入!$G$5:$G$4999,$Q$5:$Q$4999,1,数据录入!$B$5:$B$4999,"&gt;="&amp;$B$2,数据录入!$B$5:$B$4999,"&lt;="&amp;$D$2,数据录入!$J$5:$J$4999,$K66))</f>
      </c>
      <c r="O66" s="114">
        <f>IF($K66="","",L66+M66-N66)</f>
      </c>
      <c r="Q66" s="44">
        <f>IF(数据录入!$B66="",0,IF(OR(数据录入!$D66="投标保证金",数据录入!$D66="合同履约保证金",ISNUMBER(FIND("保证金",数据录入!$E66))),1,0))</f>
      </c>
      <c r="R66" s="44">
        <f>IF(AND($Q66=1,数据录入!$B66&gt;=$B$2,数据录入!$B66&lt;=$D$2),N(R65)+1,N(R65))</f>
      </c>
      <c r="S66" s="44">
        <f>IFERROR(MATCH(59,$R$5:$R$4999,0),"")</f>
      </c>
      <c r="U66" s="44">
        <f>IFERROR(IF(59&lt;=50,INDEX(基础资料!$E$2:$E$51,59)&amp;"",INDEX(基础资料!$G$2:$G$51,59-50)&amp;""),"")</f>
      </c>
      <c r="V66" s="44">
        <f>IF($U66="",0,IF(AND(59&gt;50,COUNTIF(基础资料!$E$2:$E$51,$U66)&gt;0),0,1))</f>
      </c>
      <c r="W66" s="44">
        <f>IF($V66=1,N(W65)+1,N(W65))</f>
      </c>
    </row>
    <row r="67" s="44" customFormat="1" spans="1:23">
      <c r="A67" s="116">
        <f>IF($S67="","",INDEX(数据录入!$B$5:$B$4999,$S67))</f>
      </c>
      <c r="B67" s="44">
        <f>IF($S67="","",INDEX(数据录入!$C$5:$C$4999,$S67)&amp;"")</f>
      </c>
      <c r="C67" s="165">
        <f>IF($S67="","",IF(N($F67)&gt;0,"收款",IF(N($G67)&gt;0,"付款","")))</f>
      </c>
      <c r="D67" s="44">
        <f>IF($S67="","",IF((INDEX(数据录入!$I$5:$I$4999,$S67)&amp;"")&lt;&gt;"",INDEX(数据录入!$I$5:$I$4999,$S67)&amp;"",INDEX(数据录入!$J$5:$J$4999,$S67)&amp;""))</f>
      </c>
      <c r="E67" s="108">
        <f>IF($S67="","",INDEX(数据录入!$E$5:$E$4999,$S67)&amp;"")</f>
      </c>
      <c r="F67" s="114">
        <f>IF($S67="","",N(INDEX(数据录入!$F$5:$F$4999,$S67)))</f>
      </c>
      <c r="G67" s="114">
        <f>IF($S67="","",N(INDEX(数据录入!$G$5:$G$4999,$S67)))</f>
      </c>
      <c r="H67" s="114">
        <f>IF($S67="","",$G$2+SUM($F$8:$F67)-SUM($G$8:$G67))</f>
      </c>
      <c r="J67" s="165">
        <f>IF($K67="","",60)</f>
      </c>
      <c r="K67" s="44">
        <f>IFERROR(INDEX($U$8:$U$107,MATCH(60,$W$8:$W$107,0)),"")</f>
      </c>
      <c r="L67" s="114">
        <f>IF($K67="","",(SUMIFS(数据录入!$F$5:$F$4999,$Q$5:$Q$4999,1,数据录入!$B$5:$B$4999,"&lt;"&amp;$B$2,数据录入!$I$5:$I$4999,$K67)+SUMIFS(数据录入!$F$5:$F$4999,$Q$5:$Q$4999,1,数据录入!$B$5:$B$4999,"&lt;"&amp;$B$2,数据录入!$J$5:$J$4999,$K67))-(SUMIFS(数据录入!$G$5:$G$4999,$Q$5:$Q$4999,1,数据录入!$B$5:$B$4999,"&lt;"&amp;$B$2,数据录入!$I$5:$I$4999,$K67)+SUMIFS(数据录入!$G$5:$G$4999,$Q$5:$Q$4999,1,数据录入!$B$5:$B$4999,"&lt;"&amp;$B$2,数据录入!$J$5:$J$4999,$K67)))</f>
      </c>
      <c r="M67" s="114">
        <f>IF($K67="","",SUMIFS(数据录入!$F$5:$F$4999,$Q$5:$Q$4999,1,数据录入!$B$5:$B$4999,"&gt;="&amp;$B$2,数据录入!$B$5:$B$4999,"&lt;="&amp;$D$2,数据录入!$I$5:$I$4999,$K67)+SUMIFS(数据录入!$F$5:$F$4999,$Q$5:$Q$4999,1,数据录入!$B$5:$B$4999,"&gt;="&amp;$B$2,数据录入!$B$5:$B$4999,"&lt;="&amp;$D$2,数据录入!$J$5:$J$4999,$K67))</f>
      </c>
      <c r="N67" s="114">
        <f>IF($K67="","",SUMIFS(数据录入!$G$5:$G$4999,$Q$5:$Q$4999,1,数据录入!$B$5:$B$4999,"&gt;="&amp;$B$2,数据录入!$B$5:$B$4999,"&lt;="&amp;$D$2,数据录入!$I$5:$I$4999,$K67)+SUMIFS(数据录入!$G$5:$G$4999,$Q$5:$Q$4999,1,数据录入!$B$5:$B$4999,"&gt;="&amp;$B$2,数据录入!$B$5:$B$4999,"&lt;="&amp;$D$2,数据录入!$J$5:$J$4999,$K67))</f>
      </c>
      <c r="O67" s="114">
        <f>IF($K67="","",L67+M67-N67)</f>
      </c>
      <c r="Q67" s="44">
        <f>IF(数据录入!$B67="",0,IF(OR(数据录入!$D67="投标保证金",数据录入!$D67="合同履约保证金",ISNUMBER(FIND("保证金",数据录入!$E67))),1,0))</f>
      </c>
      <c r="R67" s="44">
        <f>IF(AND($Q67=1,数据录入!$B67&gt;=$B$2,数据录入!$B67&lt;=$D$2),N(R66)+1,N(R66))</f>
      </c>
      <c r="S67" s="44">
        <f>IFERROR(MATCH(60,$R$5:$R$4999,0),"")</f>
      </c>
      <c r="U67" s="44">
        <f>IFERROR(IF(60&lt;=50,INDEX(基础资料!$E$2:$E$51,60)&amp;"",INDEX(基础资料!$G$2:$G$51,60-50)&amp;""),"")</f>
      </c>
      <c r="V67" s="44">
        <f>IF($U67="",0,IF(AND(60&gt;50,COUNTIF(基础资料!$E$2:$E$51,$U67)&gt;0),0,1))</f>
      </c>
      <c r="W67" s="44">
        <f>IF($V67=1,N(W66)+1,N(W66))</f>
      </c>
    </row>
    <row r="68" s="44" customFormat="1" spans="1:23">
      <c r="A68" s="116">
        <f>IF($S68="","",INDEX(数据录入!$B$5:$B$4999,$S68))</f>
      </c>
      <c r="B68" s="44">
        <f>IF($S68="","",INDEX(数据录入!$C$5:$C$4999,$S68)&amp;"")</f>
      </c>
      <c r="C68" s="165">
        <f>IF($S68="","",IF(N($F68)&gt;0,"收款",IF(N($G68)&gt;0,"付款","")))</f>
      </c>
      <c r="D68" s="44">
        <f>IF($S68="","",IF((INDEX(数据录入!$I$5:$I$4999,$S68)&amp;"")&lt;&gt;"",INDEX(数据录入!$I$5:$I$4999,$S68)&amp;"",INDEX(数据录入!$J$5:$J$4999,$S68)&amp;""))</f>
      </c>
      <c r="E68" s="108">
        <f>IF($S68="","",INDEX(数据录入!$E$5:$E$4999,$S68)&amp;"")</f>
      </c>
      <c r="F68" s="114">
        <f>IF($S68="","",N(INDEX(数据录入!$F$5:$F$4999,$S68)))</f>
      </c>
      <c r="G68" s="114">
        <f>IF($S68="","",N(INDEX(数据录入!$G$5:$G$4999,$S68)))</f>
      </c>
      <c r="H68" s="114">
        <f>IF($S68="","",$G$2+SUM($F$8:$F68)-SUM($G$8:$G68))</f>
      </c>
      <c r="J68" s="165">
        <f>IF($K68="","",61)</f>
      </c>
      <c r="K68" s="44">
        <f>IFERROR(INDEX($U$8:$U$107,MATCH(61,$W$8:$W$107,0)),"")</f>
      </c>
      <c r="L68" s="114">
        <f>IF($K68="","",(SUMIFS(数据录入!$F$5:$F$4999,$Q$5:$Q$4999,1,数据录入!$B$5:$B$4999,"&lt;"&amp;$B$2,数据录入!$I$5:$I$4999,$K68)+SUMIFS(数据录入!$F$5:$F$4999,$Q$5:$Q$4999,1,数据录入!$B$5:$B$4999,"&lt;"&amp;$B$2,数据录入!$J$5:$J$4999,$K68))-(SUMIFS(数据录入!$G$5:$G$4999,$Q$5:$Q$4999,1,数据录入!$B$5:$B$4999,"&lt;"&amp;$B$2,数据录入!$I$5:$I$4999,$K68)+SUMIFS(数据录入!$G$5:$G$4999,$Q$5:$Q$4999,1,数据录入!$B$5:$B$4999,"&lt;"&amp;$B$2,数据录入!$J$5:$J$4999,$K68)))</f>
      </c>
      <c r="M68" s="114">
        <f>IF($K68="","",SUMIFS(数据录入!$F$5:$F$4999,$Q$5:$Q$4999,1,数据录入!$B$5:$B$4999,"&gt;="&amp;$B$2,数据录入!$B$5:$B$4999,"&lt;="&amp;$D$2,数据录入!$I$5:$I$4999,$K68)+SUMIFS(数据录入!$F$5:$F$4999,$Q$5:$Q$4999,1,数据录入!$B$5:$B$4999,"&gt;="&amp;$B$2,数据录入!$B$5:$B$4999,"&lt;="&amp;$D$2,数据录入!$J$5:$J$4999,$K68))</f>
      </c>
      <c r="N68" s="114">
        <f>IF($K68="","",SUMIFS(数据录入!$G$5:$G$4999,$Q$5:$Q$4999,1,数据录入!$B$5:$B$4999,"&gt;="&amp;$B$2,数据录入!$B$5:$B$4999,"&lt;="&amp;$D$2,数据录入!$I$5:$I$4999,$K68)+SUMIFS(数据录入!$G$5:$G$4999,$Q$5:$Q$4999,1,数据录入!$B$5:$B$4999,"&gt;="&amp;$B$2,数据录入!$B$5:$B$4999,"&lt;="&amp;$D$2,数据录入!$J$5:$J$4999,$K68))</f>
      </c>
      <c r="O68" s="114">
        <f>IF($K68="","",L68+M68-N68)</f>
      </c>
      <c r="Q68" s="44">
        <f>IF(数据录入!$B68="",0,IF(OR(数据录入!$D68="投标保证金",数据录入!$D68="合同履约保证金",ISNUMBER(FIND("保证金",数据录入!$E68))),1,0))</f>
      </c>
      <c r="R68" s="44">
        <f>IF(AND($Q68=1,数据录入!$B68&gt;=$B$2,数据录入!$B68&lt;=$D$2),N(R67)+1,N(R67))</f>
      </c>
      <c r="S68" s="44">
        <f>IFERROR(MATCH(61,$R$5:$R$4999,0),"")</f>
      </c>
      <c r="U68" s="44">
        <f>IFERROR(IF(61&lt;=50,INDEX(基础资料!$E$2:$E$51,61)&amp;"",INDEX(基础资料!$G$2:$G$51,61-50)&amp;""),"")</f>
      </c>
      <c r="V68" s="44">
        <f>IF($U68="",0,IF(AND(61&gt;50,COUNTIF(基础资料!$E$2:$E$51,$U68)&gt;0),0,1))</f>
      </c>
      <c r="W68" s="44">
        <f>IF($V68=1,N(W67)+1,N(W67))</f>
      </c>
    </row>
    <row r="69" s="44" customFormat="1" spans="1:23">
      <c r="A69" s="116">
        <f>IF($S69="","",INDEX(数据录入!$B$5:$B$4999,$S69))</f>
      </c>
      <c r="B69" s="44">
        <f>IF($S69="","",INDEX(数据录入!$C$5:$C$4999,$S69)&amp;"")</f>
      </c>
      <c r="C69" s="165">
        <f>IF($S69="","",IF(N($F69)&gt;0,"收款",IF(N($G69)&gt;0,"付款","")))</f>
      </c>
      <c r="D69" s="44">
        <f>IF($S69="","",IF((INDEX(数据录入!$I$5:$I$4999,$S69)&amp;"")&lt;&gt;"",INDEX(数据录入!$I$5:$I$4999,$S69)&amp;"",INDEX(数据录入!$J$5:$J$4999,$S69)&amp;""))</f>
      </c>
      <c r="E69" s="108">
        <f>IF($S69="","",INDEX(数据录入!$E$5:$E$4999,$S69)&amp;"")</f>
      </c>
      <c r="F69" s="114">
        <f>IF($S69="","",N(INDEX(数据录入!$F$5:$F$4999,$S69)))</f>
      </c>
      <c r="G69" s="114">
        <f>IF($S69="","",N(INDEX(数据录入!$G$5:$G$4999,$S69)))</f>
      </c>
      <c r="H69" s="114">
        <f>IF($S69="","",$G$2+SUM($F$8:$F69)-SUM($G$8:$G69))</f>
      </c>
      <c r="J69" s="165">
        <f>IF($K69="","",62)</f>
      </c>
      <c r="K69" s="44">
        <f>IFERROR(INDEX($U$8:$U$107,MATCH(62,$W$8:$W$107,0)),"")</f>
      </c>
      <c r="L69" s="114">
        <f>IF($K69="","",(SUMIFS(数据录入!$F$5:$F$4999,$Q$5:$Q$4999,1,数据录入!$B$5:$B$4999,"&lt;"&amp;$B$2,数据录入!$I$5:$I$4999,$K69)+SUMIFS(数据录入!$F$5:$F$4999,$Q$5:$Q$4999,1,数据录入!$B$5:$B$4999,"&lt;"&amp;$B$2,数据录入!$J$5:$J$4999,$K69))-(SUMIFS(数据录入!$G$5:$G$4999,$Q$5:$Q$4999,1,数据录入!$B$5:$B$4999,"&lt;"&amp;$B$2,数据录入!$I$5:$I$4999,$K69)+SUMIFS(数据录入!$G$5:$G$4999,$Q$5:$Q$4999,1,数据录入!$B$5:$B$4999,"&lt;"&amp;$B$2,数据录入!$J$5:$J$4999,$K69)))</f>
      </c>
      <c r="M69" s="114">
        <f>IF($K69="","",SUMIFS(数据录入!$F$5:$F$4999,$Q$5:$Q$4999,1,数据录入!$B$5:$B$4999,"&gt;="&amp;$B$2,数据录入!$B$5:$B$4999,"&lt;="&amp;$D$2,数据录入!$I$5:$I$4999,$K69)+SUMIFS(数据录入!$F$5:$F$4999,$Q$5:$Q$4999,1,数据录入!$B$5:$B$4999,"&gt;="&amp;$B$2,数据录入!$B$5:$B$4999,"&lt;="&amp;$D$2,数据录入!$J$5:$J$4999,$K69))</f>
      </c>
      <c r="N69" s="114">
        <f>IF($K69="","",SUMIFS(数据录入!$G$5:$G$4999,$Q$5:$Q$4999,1,数据录入!$B$5:$B$4999,"&gt;="&amp;$B$2,数据录入!$B$5:$B$4999,"&lt;="&amp;$D$2,数据录入!$I$5:$I$4999,$K69)+SUMIFS(数据录入!$G$5:$G$4999,$Q$5:$Q$4999,1,数据录入!$B$5:$B$4999,"&gt;="&amp;$B$2,数据录入!$B$5:$B$4999,"&lt;="&amp;$D$2,数据录入!$J$5:$J$4999,$K69))</f>
      </c>
      <c r="O69" s="114">
        <f>IF($K69="","",L69+M69-N69)</f>
      </c>
      <c r="Q69" s="44">
        <f>IF(数据录入!$B69="",0,IF(OR(数据录入!$D69="投标保证金",数据录入!$D69="合同履约保证金",ISNUMBER(FIND("保证金",数据录入!$E69))),1,0))</f>
      </c>
      <c r="R69" s="44">
        <f>IF(AND($Q69=1,数据录入!$B69&gt;=$B$2,数据录入!$B69&lt;=$D$2),N(R68)+1,N(R68))</f>
      </c>
      <c r="S69" s="44">
        <f>IFERROR(MATCH(62,$R$5:$R$4999,0),"")</f>
      </c>
      <c r="U69" s="44">
        <f>IFERROR(IF(62&lt;=50,INDEX(基础资料!$E$2:$E$51,62)&amp;"",INDEX(基础资料!$G$2:$G$51,62-50)&amp;""),"")</f>
      </c>
      <c r="V69" s="44">
        <f>IF($U69="",0,IF(AND(62&gt;50,COUNTIF(基础资料!$E$2:$E$51,$U69)&gt;0),0,1))</f>
      </c>
      <c r="W69" s="44">
        <f>IF($V69=1,N(W68)+1,N(W68))</f>
      </c>
    </row>
    <row r="70" s="44" customFormat="1" spans="1:23">
      <c r="A70" s="116">
        <f>IF($S70="","",INDEX(数据录入!$B$5:$B$4999,$S70))</f>
      </c>
      <c r="B70" s="44">
        <f>IF($S70="","",INDEX(数据录入!$C$5:$C$4999,$S70)&amp;"")</f>
      </c>
      <c r="C70" s="165">
        <f>IF($S70="","",IF(N($F70)&gt;0,"收款",IF(N($G70)&gt;0,"付款","")))</f>
      </c>
      <c r="D70" s="44">
        <f>IF($S70="","",IF((INDEX(数据录入!$I$5:$I$4999,$S70)&amp;"")&lt;&gt;"",INDEX(数据录入!$I$5:$I$4999,$S70)&amp;"",INDEX(数据录入!$J$5:$J$4999,$S70)&amp;""))</f>
      </c>
      <c r="E70" s="108">
        <f>IF($S70="","",INDEX(数据录入!$E$5:$E$4999,$S70)&amp;"")</f>
      </c>
      <c r="F70" s="114">
        <f>IF($S70="","",N(INDEX(数据录入!$F$5:$F$4999,$S70)))</f>
      </c>
      <c r="G70" s="114">
        <f>IF($S70="","",N(INDEX(数据录入!$G$5:$G$4999,$S70)))</f>
      </c>
      <c r="H70" s="114">
        <f>IF($S70="","",$G$2+SUM($F$8:$F70)-SUM($G$8:$G70))</f>
      </c>
      <c r="J70" s="165">
        <f>IF($K70="","",63)</f>
      </c>
      <c r="K70" s="44">
        <f>IFERROR(INDEX($U$8:$U$107,MATCH(63,$W$8:$W$107,0)),"")</f>
      </c>
      <c r="L70" s="114">
        <f>IF($K70="","",(SUMIFS(数据录入!$F$5:$F$4999,$Q$5:$Q$4999,1,数据录入!$B$5:$B$4999,"&lt;"&amp;$B$2,数据录入!$I$5:$I$4999,$K70)+SUMIFS(数据录入!$F$5:$F$4999,$Q$5:$Q$4999,1,数据录入!$B$5:$B$4999,"&lt;"&amp;$B$2,数据录入!$J$5:$J$4999,$K70))-(SUMIFS(数据录入!$G$5:$G$4999,$Q$5:$Q$4999,1,数据录入!$B$5:$B$4999,"&lt;"&amp;$B$2,数据录入!$I$5:$I$4999,$K70)+SUMIFS(数据录入!$G$5:$G$4999,$Q$5:$Q$4999,1,数据录入!$B$5:$B$4999,"&lt;"&amp;$B$2,数据录入!$J$5:$J$4999,$K70)))</f>
      </c>
      <c r="M70" s="114">
        <f>IF($K70="","",SUMIFS(数据录入!$F$5:$F$4999,$Q$5:$Q$4999,1,数据录入!$B$5:$B$4999,"&gt;="&amp;$B$2,数据录入!$B$5:$B$4999,"&lt;="&amp;$D$2,数据录入!$I$5:$I$4999,$K70)+SUMIFS(数据录入!$F$5:$F$4999,$Q$5:$Q$4999,1,数据录入!$B$5:$B$4999,"&gt;="&amp;$B$2,数据录入!$B$5:$B$4999,"&lt;="&amp;$D$2,数据录入!$J$5:$J$4999,$K70))</f>
      </c>
      <c r="N70" s="114">
        <f>IF($K70="","",SUMIFS(数据录入!$G$5:$G$4999,$Q$5:$Q$4999,1,数据录入!$B$5:$B$4999,"&gt;="&amp;$B$2,数据录入!$B$5:$B$4999,"&lt;="&amp;$D$2,数据录入!$I$5:$I$4999,$K70)+SUMIFS(数据录入!$G$5:$G$4999,$Q$5:$Q$4999,1,数据录入!$B$5:$B$4999,"&gt;="&amp;$B$2,数据录入!$B$5:$B$4999,"&lt;="&amp;$D$2,数据录入!$J$5:$J$4999,$K70))</f>
      </c>
      <c r="O70" s="114">
        <f>IF($K70="","",L70+M70-N70)</f>
      </c>
      <c r="Q70" s="44">
        <f>IF(数据录入!$B70="",0,IF(OR(数据录入!$D70="投标保证金",数据录入!$D70="合同履约保证金",ISNUMBER(FIND("保证金",数据录入!$E70))),1,0))</f>
      </c>
      <c r="R70" s="44">
        <f>IF(AND($Q70=1,数据录入!$B70&gt;=$B$2,数据录入!$B70&lt;=$D$2),N(R69)+1,N(R69))</f>
      </c>
      <c r="S70" s="44">
        <f>IFERROR(MATCH(63,$R$5:$R$4999,0),"")</f>
      </c>
      <c r="U70" s="44">
        <f>IFERROR(IF(63&lt;=50,INDEX(基础资料!$E$2:$E$51,63)&amp;"",INDEX(基础资料!$G$2:$G$51,63-50)&amp;""),"")</f>
      </c>
      <c r="V70" s="44">
        <f>IF($U70="",0,IF(AND(63&gt;50,COUNTIF(基础资料!$E$2:$E$51,$U70)&gt;0),0,1))</f>
      </c>
      <c r="W70" s="44">
        <f>IF($V70=1,N(W69)+1,N(W69))</f>
      </c>
    </row>
    <row r="71" s="44" customFormat="1" spans="1:23">
      <c r="A71" s="116">
        <f>IF($S71="","",INDEX(数据录入!$B$5:$B$4999,$S71))</f>
      </c>
      <c r="B71" s="44">
        <f>IF($S71="","",INDEX(数据录入!$C$5:$C$4999,$S71)&amp;"")</f>
      </c>
      <c r="C71" s="165">
        <f>IF($S71="","",IF(N($F71)&gt;0,"收款",IF(N($G71)&gt;0,"付款","")))</f>
      </c>
      <c r="D71" s="44">
        <f>IF($S71="","",IF((INDEX(数据录入!$I$5:$I$4999,$S71)&amp;"")&lt;&gt;"",INDEX(数据录入!$I$5:$I$4999,$S71)&amp;"",INDEX(数据录入!$J$5:$J$4999,$S71)&amp;""))</f>
      </c>
      <c r="E71" s="108">
        <f>IF($S71="","",INDEX(数据录入!$E$5:$E$4999,$S71)&amp;"")</f>
      </c>
      <c r="F71" s="114">
        <f>IF($S71="","",N(INDEX(数据录入!$F$5:$F$4999,$S71)))</f>
      </c>
      <c r="G71" s="114">
        <f>IF($S71="","",N(INDEX(数据录入!$G$5:$G$4999,$S71)))</f>
      </c>
      <c r="H71" s="114">
        <f>IF($S71="","",$G$2+SUM($F$8:$F71)-SUM($G$8:$G71))</f>
      </c>
      <c r="J71" s="165">
        <f>IF($K71="","",64)</f>
      </c>
      <c r="K71" s="44">
        <f>IFERROR(INDEX($U$8:$U$107,MATCH(64,$W$8:$W$107,0)),"")</f>
      </c>
      <c r="L71" s="114">
        <f>IF($K71="","",(SUMIFS(数据录入!$F$5:$F$4999,$Q$5:$Q$4999,1,数据录入!$B$5:$B$4999,"&lt;"&amp;$B$2,数据录入!$I$5:$I$4999,$K71)+SUMIFS(数据录入!$F$5:$F$4999,$Q$5:$Q$4999,1,数据录入!$B$5:$B$4999,"&lt;"&amp;$B$2,数据录入!$J$5:$J$4999,$K71))-(SUMIFS(数据录入!$G$5:$G$4999,$Q$5:$Q$4999,1,数据录入!$B$5:$B$4999,"&lt;"&amp;$B$2,数据录入!$I$5:$I$4999,$K71)+SUMIFS(数据录入!$G$5:$G$4999,$Q$5:$Q$4999,1,数据录入!$B$5:$B$4999,"&lt;"&amp;$B$2,数据录入!$J$5:$J$4999,$K71)))</f>
      </c>
      <c r="M71" s="114">
        <f>IF($K71="","",SUMIFS(数据录入!$F$5:$F$4999,$Q$5:$Q$4999,1,数据录入!$B$5:$B$4999,"&gt;="&amp;$B$2,数据录入!$B$5:$B$4999,"&lt;="&amp;$D$2,数据录入!$I$5:$I$4999,$K71)+SUMIFS(数据录入!$F$5:$F$4999,$Q$5:$Q$4999,1,数据录入!$B$5:$B$4999,"&gt;="&amp;$B$2,数据录入!$B$5:$B$4999,"&lt;="&amp;$D$2,数据录入!$J$5:$J$4999,$K71))</f>
      </c>
      <c r="N71" s="114">
        <f>IF($K71="","",SUMIFS(数据录入!$G$5:$G$4999,$Q$5:$Q$4999,1,数据录入!$B$5:$B$4999,"&gt;="&amp;$B$2,数据录入!$B$5:$B$4999,"&lt;="&amp;$D$2,数据录入!$I$5:$I$4999,$K71)+SUMIFS(数据录入!$G$5:$G$4999,$Q$5:$Q$4999,1,数据录入!$B$5:$B$4999,"&gt;="&amp;$B$2,数据录入!$B$5:$B$4999,"&lt;="&amp;$D$2,数据录入!$J$5:$J$4999,$K71))</f>
      </c>
      <c r="O71" s="114">
        <f>IF($K71="","",L71+M71-N71)</f>
      </c>
      <c r="Q71" s="44">
        <f>IF(数据录入!$B71="",0,IF(OR(数据录入!$D71="投标保证金",数据录入!$D71="合同履约保证金",ISNUMBER(FIND("保证金",数据录入!$E71))),1,0))</f>
      </c>
      <c r="R71" s="44">
        <f>IF(AND($Q71=1,数据录入!$B71&gt;=$B$2,数据录入!$B71&lt;=$D$2),N(R70)+1,N(R70))</f>
      </c>
      <c r="S71" s="44">
        <f>IFERROR(MATCH(64,$R$5:$R$4999,0),"")</f>
      </c>
      <c r="U71" s="44">
        <f>IFERROR(IF(64&lt;=50,INDEX(基础资料!$E$2:$E$51,64)&amp;"",INDEX(基础资料!$G$2:$G$51,64-50)&amp;""),"")</f>
      </c>
      <c r="V71" s="44">
        <f>IF($U71="",0,IF(AND(64&gt;50,COUNTIF(基础资料!$E$2:$E$51,$U71)&gt;0),0,1))</f>
      </c>
      <c r="W71" s="44">
        <f>IF($V71=1,N(W70)+1,N(W70))</f>
      </c>
    </row>
    <row r="72" s="44" customFormat="1" spans="1:23">
      <c r="A72" s="116">
        <f>IF($S72="","",INDEX(数据录入!$B$5:$B$4999,$S72))</f>
      </c>
      <c r="B72" s="44">
        <f>IF($S72="","",INDEX(数据录入!$C$5:$C$4999,$S72)&amp;"")</f>
      </c>
      <c r="C72" s="165">
        <f>IF($S72="","",IF(N($F72)&gt;0,"收款",IF(N($G72)&gt;0,"付款","")))</f>
      </c>
      <c r="D72" s="44">
        <f>IF($S72="","",IF((INDEX(数据录入!$I$5:$I$4999,$S72)&amp;"")&lt;&gt;"",INDEX(数据录入!$I$5:$I$4999,$S72)&amp;"",INDEX(数据录入!$J$5:$J$4999,$S72)&amp;""))</f>
      </c>
      <c r="E72" s="108">
        <f>IF($S72="","",INDEX(数据录入!$E$5:$E$4999,$S72)&amp;"")</f>
      </c>
      <c r="F72" s="114">
        <f>IF($S72="","",N(INDEX(数据录入!$F$5:$F$4999,$S72)))</f>
      </c>
      <c r="G72" s="114">
        <f>IF($S72="","",N(INDEX(数据录入!$G$5:$G$4999,$S72)))</f>
      </c>
      <c r="H72" s="114">
        <f>IF($S72="","",$G$2+SUM($F$8:$F72)-SUM($G$8:$G72))</f>
      </c>
      <c r="J72" s="165">
        <f>IF($K72="","",65)</f>
      </c>
      <c r="K72" s="44">
        <f>IFERROR(INDEX($U$8:$U$107,MATCH(65,$W$8:$W$107,0)),"")</f>
      </c>
      <c r="L72" s="114">
        <f>IF($K72="","",(SUMIFS(数据录入!$F$5:$F$4999,$Q$5:$Q$4999,1,数据录入!$B$5:$B$4999,"&lt;"&amp;$B$2,数据录入!$I$5:$I$4999,$K72)+SUMIFS(数据录入!$F$5:$F$4999,$Q$5:$Q$4999,1,数据录入!$B$5:$B$4999,"&lt;"&amp;$B$2,数据录入!$J$5:$J$4999,$K72))-(SUMIFS(数据录入!$G$5:$G$4999,$Q$5:$Q$4999,1,数据录入!$B$5:$B$4999,"&lt;"&amp;$B$2,数据录入!$I$5:$I$4999,$K72)+SUMIFS(数据录入!$G$5:$G$4999,$Q$5:$Q$4999,1,数据录入!$B$5:$B$4999,"&lt;"&amp;$B$2,数据录入!$J$5:$J$4999,$K72)))</f>
      </c>
      <c r="M72" s="114">
        <f>IF($K72="","",SUMIFS(数据录入!$F$5:$F$4999,$Q$5:$Q$4999,1,数据录入!$B$5:$B$4999,"&gt;="&amp;$B$2,数据录入!$B$5:$B$4999,"&lt;="&amp;$D$2,数据录入!$I$5:$I$4999,$K72)+SUMIFS(数据录入!$F$5:$F$4999,$Q$5:$Q$4999,1,数据录入!$B$5:$B$4999,"&gt;="&amp;$B$2,数据录入!$B$5:$B$4999,"&lt;="&amp;$D$2,数据录入!$J$5:$J$4999,$K72))</f>
      </c>
      <c r="N72" s="114">
        <f>IF($K72="","",SUMIFS(数据录入!$G$5:$G$4999,$Q$5:$Q$4999,1,数据录入!$B$5:$B$4999,"&gt;="&amp;$B$2,数据录入!$B$5:$B$4999,"&lt;="&amp;$D$2,数据录入!$I$5:$I$4999,$K72)+SUMIFS(数据录入!$G$5:$G$4999,$Q$5:$Q$4999,1,数据录入!$B$5:$B$4999,"&gt;="&amp;$B$2,数据录入!$B$5:$B$4999,"&lt;="&amp;$D$2,数据录入!$J$5:$J$4999,$K72))</f>
      </c>
      <c r="O72" s="114">
        <f>IF($K72="","",L72+M72-N72)</f>
      </c>
      <c r="Q72" s="44">
        <f>IF(数据录入!$B72="",0,IF(OR(数据录入!$D72="投标保证金",数据录入!$D72="合同履约保证金",ISNUMBER(FIND("保证金",数据录入!$E72))),1,0))</f>
      </c>
      <c r="R72" s="44">
        <f>IF(AND($Q72=1,数据录入!$B72&gt;=$B$2,数据录入!$B72&lt;=$D$2),N(R71)+1,N(R71))</f>
      </c>
      <c r="S72" s="44">
        <f>IFERROR(MATCH(65,$R$5:$R$4999,0),"")</f>
      </c>
      <c r="U72" s="44">
        <f>IFERROR(IF(65&lt;=50,INDEX(基础资料!$E$2:$E$51,65)&amp;"",INDEX(基础资料!$G$2:$G$51,65-50)&amp;""),"")</f>
      </c>
      <c r="V72" s="44">
        <f>IF($U72="",0,IF(AND(65&gt;50,COUNTIF(基础资料!$E$2:$E$51,$U72)&gt;0),0,1))</f>
      </c>
      <c r="W72" s="44">
        <f>IF($V72=1,N(W71)+1,N(W71))</f>
      </c>
    </row>
    <row r="73" s="44" customFormat="1" spans="1:23">
      <c r="A73" s="116">
        <f>IF($S73="","",INDEX(数据录入!$B$5:$B$4999,$S73))</f>
      </c>
      <c r="B73" s="44">
        <f>IF($S73="","",INDEX(数据录入!$C$5:$C$4999,$S73)&amp;"")</f>
      </c>
      <c r="C73" s="165">
        <f>IF($S73="","",IF(N($F73)&gt;0,"收款",IF(N($G73)&gt;0,"付款","")))</f>
      </c>
      <c r="D73" s="44">
        <f>IF($S73="","",IF((INDEX(数据录入!$I$5:$I$4999,$S73)&amp;"")&lt;&gt;"",INDEX(数据录入!$I$5:$I$4999,$S73)&amp;"",INDEX(数据录入!$J$5:$J$4999,$S73)&amp;""))</f>
      </c>
      <c r="E73" s="108">
        <f>IF($S73="","",INDEX(数据录入!$E$5:$E$4999,$S73)&amp;"")</f>
      </c>
      <c r="F73" s="114">
        <f>IF($S73="","",N(INDEX(数据录入!$F$5:$F$4999,$S73)))</f>
      </c>
      <c r="G73" s="114">
        <f>IF($S73="","",N(INDEX(数据录入!$G$5:$G$4999,$S73)))</f>
      </c>
      <c r="H73" s="114">
        <f>IF($S73="","",$G$2+SUM($F$8:$F73)-SUM($G$8:$G73))</f>
      </c>
      <c r="J73" s="165">
        <f>IF($K73="","",66)</f>
      </c>
      <c r="K73" s="44">
        <f>IFERROR(INDEX($U$8:$U$107,MATCH(66,$W$8:$W$107,0)),"")</f>
      </c>
      <c r="L73" s="114">
        <f>IF($K73="","",(SUMIFS(数据录入!$F$5:$F$4999,$Q$5:$Q$4999,1,数据录入!$B$5:$B$4999,"&lt;"&amp;$B$2,数据录入!$I$5:$I$4999,$K73)+SUMIFS(数据录入!$F$5:$F$4999,$Q$5:$Q$4999,1,数据录入!$B$5:$B$4999,"&lt;"&amp;$B$2,数据录入!$J$5:$J$4999,$K73))-(SUMIFS(数据录入!$G$5:$G$4999,$Q$5:$Q$4999,1,数据录入!$B$5:$B$4999,"&lt;"&amp;$B$2,数据录入!$I$5:$I$4999,$K73)+SUMIFS(数据录入!$G$5:$G$4999,$Q$5:$Q$4999,1,数据录入!$B$5:$B$4999,"&lt;"&amp;$B$2,数据录入!$J$5:$J$4999,$K73)))</f>
      </c>
      <c r="M73" s="114">
        <f>IF($K73="","",SUMIFS(数据录入!$F$5:$F$4999,$Q$5:$Q$4999,1,数据录入!$B$5:$B$4999,"&gt;="&amp;$B$2,数据录入!$B$5:$B$4999,"&lt;="&amp;$D$2,数据录入!$I$5:$I$4999,$K73)+SUMIFS(数据录入!$F$5:$F$4999,$Q$5:$Q$4999,1,数据录入!$B$5:$B$4999,"&gt;="&amp;$B$2,数据录入!$B$5:$B$4999,"&lt;="&amp;$D$2,数据录入!$J$5:$J$4999,$K73))</f>
      </c>
      <c r="N73" s="114">
        <f>IF($K73="","",SUMIFS(数据录入!$G$5:$G$4999,$Q$5:$Q$4999,1,数据录入!$B$5:$B$4999,"&gt;="&amp;$B$2,数据录入!$B$5:$B$4999,"&lt;="&amp;$D$2,数据录入!$I$5:$I$4999,$K73)+SUMIFS(数据录入!$G$5:$G$4999,$Q$5:$Q$4999,1,数据录入!$B$5:$B$4999,"&gt;="&amp;$B$2,数据录入!$B$5:$B$4999,"&lt;="&amp;$D$2,数据录入!$J$5:$J$4999,$K73))</f>
      </c>
      <c r="O73" s="114">
        <f>IF($K73="","",L73+M73-N73)</f>
      </c>
      <c r="Q73" s="44">
        <f>IF(数据录入!$B73="",0,IF(OR(数据录入!$D73="投标保证金",数据录入!$D73="合同履约保证金",ISNUMBER(FIND("保证金",数据录入!$E73))),1,0))</f>
      </c>
      <c r="R73" s="44">
        <f>IF(AND($Q73=1,数据录入!$B73&gt;=$B$2,数据录入!$B73&lt;=$D$2),N(R72)+1,N(R72))</f>
      </c>
      <c r="S73" s="44">
        <f>IFERROR(MATCH(66,$R$5:$R$4999,0),"")</f>
      </c>
      <c r="U73" s="44">
        <f>IFERROR(IF(66&lt;=50,INDEX(基础资料!$E$2:$E$51,66)&amp;"",INDEX(基础资料!$G$2:$G$51,66-50)&amp;""),"")</f>
      </c>
      <c r="V73" s="44">
        <f>IF($U73="",0,IF(AND(66&gt;50,COUNTIF(基础资料!$E$2:$E$51,$U73)&gt;0),0,1))</f>
      </c>
      <c r="W73" s="44">
        <f>IF($V73=1,N(W72)+1,N(W72))</f>
      </c>
    </row>
    <row r="74" s="44" customFormat="1" spans="1:23">
      <c r="A74" s="116">
        <f>IF($S74="","",INDEX(数据录入!$B$5:$B$4999,$S74))</f>
      </c>
      <c r="B74" s="44">
        <f>IF($S74="","",INDEX(数据录入!$C$5:$C$4999,$S74)&amp;"")</f>
      </c>
      <c r="C74" s="165">
        <f>IF($S74="","",IF(N($F74)&gt;0,"收款",IF(N($G74)&gt;0,"付款","")))</f>
      </c>
      <c r="D74" s="44">
        <f>IF($S74="","",IF((INDEX(数据录入!$I$5:$I$4999,$S74)&amp;"")&lt;&gt;"",INDEX(数据录入!$I$5:$I$4999,$S74)&amp;"",INDEX(数据录入!$J$5:$J$4999,$S74)&amp;""))</f>
      </c>
      <c r="E74" s="108">
        <f>IF($S74="","",INDEX(数据录入!$E$5:$E$4999,$S74)&amp;"")</f>
      </c>
      <c r="F74" s="114">
        <f>IF($S74="","",N(INDEX(数据录入!$F$5:$F$4999,$S74)))</f>
      </c>
      <c r="G74" s="114">
        <f>IF($S74="","",N(INDEX(数据录入!$G$5:$G$4999,$S74)))</f>
      </c>
      <c r="H74" s="114">
        <f>IF($S74="","",$G$2+SUM($F$8:$F74)-SUM($G$8:$G74))</f>
      </c>
      <c r="J74" s="165">
        <f>IF($K74="","",67)</f>
      </c>
      <c r="K74" s="44">
        <f>IFERROR(INDEX($U$8:$U$107,MATCH(67,$W$8:$W$107,0)),"")</f>
      </c>
      <c r="L74" s="114">
        <f>IF($K74="","",(SUMIFS(数据录入!$F$5:$F$4999,$Q$5:$Q$4999,1,数据录入!$B$5:$B$4999,"&lt;"&amp;$B$2,数据录入!$I$5:$I$4999,$K74)+SUMIFS(数据录入!$F$5:$F$4999,$Q$5:$Q$4999,1,数据录入!$B$5:$B$4999,"&lt;"&amp;$B$2,数据录入!$J$5:$J$4999,$K74))-(SUMIFS(数据录入!$G$5:$G$4999,$Q$5:$Q$4999,1,数据录入!$B$5:$B$4999,"&lt;"&amp;$B$2,数据录入!$I$5:$I$4999,$K74)+SUMIFS(数据录入!$G$5:$G$4999,$Q$5:$Q$4999,1,数据录入!$B$5:$B$4999,"&lt;"&amp;$B$2,数据录入!$J$5:$J$4999,$K74)))</f>
      </c>
      <c r="M74" s="114">
        <f>IF($K74="","",SUMIFS(数据录入!$F$5:$F$4999,$Q$5:$Q$4999,1,数据录入!$B$5:$B$4999,"&gt;="&amp;$B$2,数据录入!$B$5:$B$4999,"&lt;="&amp;$D$2,数据录入!$I$5:$I$4999,$K74)+SUMIFS(数据录入!$F$5:$F$4999,$Q$5:$Q$4999,1,数据录入!$B$5:$B$4999,"&gt;="&amp;$B$2,数据录入!$B$5:$B$4999,"&lt;="&amp;$D$2,数据录入!$J$5:$J$4999,$K74))</f>
      </c>
      <c r="N74" s="114">
        <f>IF($K74="","",SUMIFS(数据录入!$G$5:$G$4999,$Q$5:$Q$4999,1,数据录入!$B$5:$B$4999,"&gt;="&amp;$B$2,数据录入!$B$5:$B$4999,"&lt;="&amp;$D$2,数据录入!$I$5:$I$4999,$K74)+SUMIFS(数据录入!$G$5:$G$4999,$Q$5:$Q$4999,1,数据录入!$B$5:$B$4999,"&gt;="&amp;$B$2,数据录入!$B$5:$B$4999,"&lt;="&amp;$D$2,数据录入!$J$5:$J$4999,$K74))</f>
      </c>
      <c r="O74" s="114">
        <f>IF($K74="","",L74+M74-N74)</f>
      </c>
      <c r="Q74" s="44">
        <f>IF(数据录入!$B74="",0,IF(OR(数据录入!$D74="投标保证金",数据录入!$D74="合同履约保证金",ISNUMBER(FIND("保证金",数据录入!$E74))),1,0))</f>
      </c>
      <c r="R74" s="44">
        <f>IF(AND($Q74=1,数据录入!$B74&gt;=$B$2,数据录入!$B74&lt;=$D$2),N(R73)+1,N(R73))</f>
      </c>
      <c r="S74" s="44">
        <f>IFERROR(MATCH(67,$R$5:$R$4999,0),"")</f>
      </c>
      <c r="U74" s="44">
        <f>IFERROR(IF(67&lt;=50,INDEX(基础资料!$E$2:$E$51,67)&amp;"",INDEX(基础资料!$G$2:$G$51,67-50)&amp;""),"")</f>
      </c>
      <c r="V74" s="44">
        <f>IF($U74="",0,IF(AND(67&gt;50,COUNTIF(基础资料!$E$2:$E$51,$U74)&gt;0),0,1))</f>
      </c>
      <c r="W74" s="44">
        <f>IF($V74=1,N(W73)+1,N(W73))</f>
      </c>
    </row>
    <row r="75" s="44" customFormat="1" spans="1:23">
      <c r="A75" s="116">
        <f>IF($S75="","",INDEX(数据录入!$B$5:$B$4999,$S75))</f>
      </c>
      <c r="B75" s="44">
        <f>IF($S75="","",INDEX(数据录入!$C$5:$C$4999,$S75)&amp;"")</f>
      </c>
      <c r="C75" s="165">
        <f>IF($S75="","",IF(N($F75)&gt;0,"收款",IF(N($G75)&gt;0,"付款","")))</f>
      </c>
      <c r="D75" s="44">
        <f>IF($S75="","",IF((INDEX(数据录入!$I$5:$I$4999,$S75)&amp;"")&lt;&gt;"",INDEX(数据录入!$I$5:$I$4999,$S75)&amp;"",INDEX(数据录入!$J$5:$J$4999,$S75)&amp;""))</f>
      </c>
      <c r="E75" s="108">
        <f>IF($S75="","",INDEX(数据录入!$E$5:$E$4999,$S75)&amp;"")</f>
      </c>
      <c r="F75" s="114">
        <f>IF($S75="","",N(INDEX(数据录入!$F$5:$F$4999,$S75)))</f>
      </c>
      <c r="G75" s="114">
        <f>IF($S75="","",N(INDEX(数据录入!$G$5:$G$4999,$S75)))</f>
      </c>
      <c r="H75" s="114">
        <f>IF($S75="","",$G$2+SUM($F$8:$F75)-SUM($G$8:$G75))</f>
      </c>
      <c r="J75" s="165">
        <f>IF($K75="","",68)</f>
      </c>
      <c r="K75" s="44">
        <f>IFERROR(INDEX($U$8:$U$107,MATCH(68,$W$8:$W$107,0)),"")</f>
      </c>
      <c r="L75" s="114">
        <f>IF($K75="","",(SUMIFS(数据录入!$F$5:$F$4999,$Q$5:$Q$4999,1,数据录入!$B$5:$B$4999,"&lt;"&amp;$B$2,数据录入!$I$5:$I$4999,$K75)+SUMIFS(数据录入!$F$5:$F$4999,$Q$5:$Q$4999,1,数据录入!$B$5:$B$4999,"&lt;"&amp;$B$2,数据录入!$J$5:$J$4999,$K75))-(SUMIFS(数据录入!$G$5:$G$4999,$Q$5:$Q$4999,1,数据录入!$B$5:$B$4999,"&lt;"&amp;$B$2,数据录入!$I$5:$I$4999,$K75)+SUMIFS(数据录入!$G$5:$G$4999,$Q$5:$Q$4999,1,数据录入!$B$5:$B$4999,"&lt;"&amp;$B$2,数据录入!$J$5:$J$4999,$K75)))</f>
      </c>
      <c r="M75" s="114">
        <f>IF($K75="","",SUMIFS(数据录入!$F$5:$F$4999,$Q$5:$Q$4999,1,数据录入!$B$5:$B$4999,"&gt;="&amp;$B$2,数据录入!$B$5:$B$4999,"&lt;="&amp;$D$2,数据录入!$I$5:$I$4999,$K75)+SUMIFS(数据录入!$F$5:$F$4999,$Q$5:$Q$4999,1,数据录入!$B$5:$B$4999,"&gt;="&amp;$B$2,数据录入!$B$5:$B$4999,"&lt;="&amp;$D$2,数据录入!$J$5:$J$4999,$K75))</f>
      </c>
      <c r="N75" s="114">
        <f>IF($K75="","",SUMIFS(数据录入!$G$5:$G$4999,$Q$5:$Q$4999,1,数据录入!$B$5:$B$4999,"&gt;="&amp;$B$2,数据录入!$B$5:$B$4999,"&lt;="&amp;$D$2,数据录入!$I$5:$I$4999,$K75)+SUMIFS(数据录入!$G$5:$G$4999,$Q$5:$Q$4999,1,数据录入!$B$5:$B$4999,"&gt;="&amp;$B$2,数据录入!$B$5:$B$4999,"&lt;="&amp;$D$2,数据录入!$J$5:$J$4999,$K75))</f>
      </c>
      <c r="O75" s="114">
        <f>IF($K75="","",L75+M75-N75)</f>
      </c>
      <c r="Q75" s="44">
        <f>IF(数据录入!$B75="",0,IF(OR(数据录入!$D75="投标保证金",数据录入!$D75="合同履约保证金",ISNUMBER(FIND("保证金",数据录入!$E75))),1,0))</f>
      </c>
      <c r="R75" s="44">
        <f>IF(AND($Q75=1,数据录入!$B75&gt;=$B$2,数据录入!$B75&lt;=$D$2),N(R74)+1,N(R74))</f>
      </c>
      <c r="S75" s="44">
        <f>IFERROR(MATCH(68,$R$5:$R$4999,0),"")</f>
      </c>
      <c r="U75" s="44">
        <f>IFERROR(IF(68&lt;=50,INDEX(基础资料!$E$2:$E$51,68)&amp;"",INDEX(基础资料!$G$2:$G$51,68-50)&amp;""),"")</f>
      </c>
      <c r="V75" s="44">
        <f>IF($U75="",0,IF(AND(68&gt;50,COUNTIF(基础资料!$E$2:$E$51,$U75)&gt;0),0,1))</f>
      </c>
      <c r="W75" s="44">
        <f>IF($V75=1,N(W74)+1,N(W74))</f>
      </c>
    </row>
    <row r="76" s="44" customFormat="1" spans="1:23">
      <c r="A76" s="116">
        <f>IF($S76="","",INDEX(数据录入!$B$5:$B$4999,$S76))</f>
      </c>
      <c r="B76" s="44">
        <f>IF($S76="","",INDEX(数据录入!$C$5:$C$4999,$S76)&amp;"")</f>
      </c>
      <c r="C76" s="165">
        <f>IF($S76="","",IF(N($F76)&gt;0,"收款",IF(N($G76)&gt;0,"付款","")))</f>
      </c>
      <c r="D76" s="44">
        <f>IF($S76="","",IF((INDEX(数据录入!$I$5:$I$4999,$S76)&amp;"")&lt;&gt;"",INDEX(数据录入!$I$5:$I$4999,$S76)&amp;"",INDEX(数据录入!$J$5:$J$4999,$S76)&amp;""))</f>
      </c>
      <c r="E76" s="108">
        <f>IF($S76="","",INDEX(数据录入!$E$5:$E$4999,$S76)&amp;"")</f>
      </c>
      <c r="F76" s="114">
        <f>IF($S76="","",N(INDEX(数据录入!$F$5:$F$4999,$S76)))</f>
      </c>
      <c r="G76" s="114">
        <f>IF($S76="","",N(INDEX(数据录入!$G$5:$G$4999,$S76)))</f>
      </c>
      <c r="H76" s="114">
        <f>IF($S76="","",$G$2+SUM($F$8:$F76)-SUM($G$8:$G76))</f>
      </c>
      <c r="J76" s="165">
        <f>IF($K76="","",69)</f>
      </c>
      <c r="K76" s="44">
        <f>IFERROR(INDEX($U$8:$U$107,MATCH(69,$W$8:$W$107,0)),"")</f>
      </c>
      <c r="L76" s="114">
        <f>IF($K76="","",(SUMIFS(数据录入!$F$5:$F$4999,$Q$5:$Q$4999,1,数据录入!$B$5:$B$4999,"&lt;"&amp;$B$2,数据录入!$I$5:$I$4999,$K76)+SUMIFS(数据录入!$F$5:$F$4999,$Q$5:$Q$4999,1,数据录入!$B$5:$B$4999,"&lt;"&amp;$B$2,数据录入!$J$5:$J$4999,$K76))-(SUMIFS(数据录入!$G$5:$G$4999,$Q$5:$Q$4999,1,数据录入!$B$5:$B$4999,"&lt;"&amp;$B$2,数据录入!$I$5:$I$4999,$K76)+SUMIFS(数据录入!$G$5:$G$4999,$Q$5:$Q$4999,1,数据录入!$B$5:$B$4999,"&lt;"&amp;$B$2,数据录入!$J$5:$J$4999,$K76)))</f>
      </c>
      <c r="M76" s="114">
        <f>IF($K76="","",SUMIFS(数据录入!$F$5:$F$4999,$Q$5:$Q$4999,1,数据录入!$B$5:$B$4999,"&gt;="&amp;$B$2,数据录入!$B$5:$B$4999,"&lt;="&amp;$D$2,数据录入!$I$5:$I$4999,$K76)+SUMIFS(数据录入!$F$5:$F$4999,$Q$5:$Q$4999,1,数据录入!$B$5:$B$4999,"&gt;="&amp;$B$2,数据录入!$B$5:$B$4999,"&lt;="&amp;$D$2,数据录入!$J$5:$J$4999,$K76))</f>
      </c>
      <c r="N76" s="114">
        <f>IF($K76="","",SUMIFS(数据录入!$G$5:$G$4999,$Q$5:$Q$4999,1,数据录入!$B$5:$B$4999,"&gt;="&amp;$B$2,数据录入!$B$5:$B$4999,"&lt;="&amp;$D$2,数据录入!$I$5:$I$4999,$K76)+SUMIFS(数据录入!$G$5:$G$4999,$Q$5:$Q$4999,1,数据录入!$B$5:$B$4999,"&gt;="&amp;$B$2,数据录入!$B$5:$B$4999,"&lt;="&amp;$D$2,数据录入!$J$5:$J$4999,$K76))</f>
      </c>
      <c r="O76" s="114">
        <f>IF($K76="","",L76+M76-N76)</f>
      </c>
      <c r="Q76" s="44">
        <f>IF(数据录入!$B76="",0,IF(OR(数据录入!$D76="投标保证金",数据录入!$D76="合同履约保证金",ISNUMBER(FIND("保证金",数据录入!$E76))),1,0))</f>
      </c>
      <c r="R76" s="44">
        <f>IF(AND($Q76=1,数据录入!$B76&gt;=$B$2,数据录入!$B76&lt;=$D$2),N(R75)+1,N(R75))</f>
      </c>
      <c r="S76" s="44">
        <f>IFERROR(MATCH(69,$R$5:$R$4999,0),"")</f>
      </c>
      <c r="U76" s="44">
        <f>IFERROR(IF(69&lt;=50,INDEX(基础资料!$E$2:$E$51,69)&amp;"",INDEX(基础资料!$G$2:$G$51,69-50)&amp;""),"")</f>
      </c>
      <c r="V76" s="44">
        <f>IF($U76="",0,IF(AND(69&gt;50,COUNTIF(基础资料!$E$2:$E$51,$U76)&gt;0),0,1))</f>
      </c>
      <c r="W76" s="44">
        <f>IF($V76=1,N(W75)+1,N(W75))</f>
      </c>
    </row>
    <row r="77" s="44" customFormat="1" spans="1:23">
      <c r="A77" s="116">
        <f>IF($S77="","",INDEX(数据录入!$B$5:$B$4999,$S77))</f>
      </c>
      <c r="B77" s="44">
        <f>IF($S77="","",INDEX(数据录入!$C$5:$C$4999,$S77)&amp;"")</f>
      </c>
      <c r="C77" s="165">
        <f>IF($S77="","",IF(N($F77)&gt;0,"收款",IF(N($G77)&gt;0,"付款","")))</f>
      </c>
      <c r="D77" s="44">
        <f>IF($S77="","",IF((INDEX(数据录入!$I$5:$I$4999,$S77)&amp;"")&lt;&gt;"",INDEX(数据录入!$I$5:$I$4999,$S77)&amp;"",INDEX(数据录入!$J$5:$J$4999,$S77)&amp;""))</f>
      </c>
      <c r="E77" s="108">
        <f>IF($S77="","",INDEX(数据录入!$E$5:$E$4999,$S77)&amp;"")</f>
      </c>
      <c r="F77" s="114">
        <f>IF($S77="","",N(INDEX(数据录入!$F$5:$F$4999,$S77)))</f>
      </c>
      <c r="G77" s="114">
        <f>IF($S77="","",N(INDEX(数据录入!$G$5:$G$4999,$S77)))</f>
      </c>
      <c r="H77" s="114">
        <f>IF($S77="","",$G$2+SUM($F$8:$F77)-SUM($G$8:$G77))</f>
      </c>
      <c r="J77" s="165">
        <f>IF($K77="","",70)</f>
      </c>
      <c r="K77" s="44">
        <f>IFERROR(INDEX($U$8:$U$107,MATCH(70,$W$8:$W$107,0)),"")</f>
      </c>
      <c r="L77" s="114">
        <f>IF($K77="","",(SUMIFS(数据录入!$F$5:$F$4999,$Q$5:$Q$4999,1,数据录入!$B$5:$B$4999,"&lt;"&amp;$B$2,数据录入!$I$5:$I$4999,$K77)+SUMIFS(数据录入!$F$5:$F$4999,$Q$5:$Q$4999,1,数据录入!$B$5:$B$4999,"&lt;"&amp;$B$2,数据录入!$J$5:$J$4999,$K77))-(SUMIFS(数据录入!$G$5:$G$4999,$Q$5:$Q$4999,1,数据录入!$B$5:$B$4999,"&lt;"&amp;$B$2,数据录入!$I$5:$I$4999,$K77)+SUMIFS(数据录入!$G$5:$G$4999,$Q$5:$Q$4999,1,数据录入!$B$5:$B$4999,"&lt;"&amp;$B$2,数据录入!$J$5:$J$4999,$K77)))</f>
      </c>
      <c r="M77" s="114">
        <f>IF($K77="","",SUMIFS(数据录入!$F$5:$F$4999,$Q$5:$Q$4999,1,数据录入!$B$5:$B$4999,"&gt;="&amp;$B$2,数据录入!$B$5:$B$4999,"&lt;="&amp;$D$2,数据录入!$I$5:$I$4999,$K77)+SUMIFS(数据录入!$F$5:$F$4999,$Q$5:$Q$4999,1,数据录入!$B$5:$B$4999,"&gt;="&amp;$B$2,数据录入!$B$5:$B$4999,"&lt;="&amp;$D$2,数据录入!$J$5:$J$4999,$K77))</f>
      </c>
      <c r="N77" s="114">
        <f>IF($K77="","",SUMIFS(数据录入!$G$5:$G$4999,$Q$5:$Q$4999,1,数据录入!$B$5:$B$4999,"&gt;="&amp;$B$2,数据录入!$B$5:$B$4999,"&lt;="&amp;$D$2,数据录入!$I$5:$I$4999,$K77)+SUMIFS(数据录入!$G$5:$G$4999,$Q$5:$Q$4999,1,数据录入!$B$5:$B$4999,"&gt;="&amp;$B$2,数据录入!$B$5:$B$4999,"&lt;="&amp;$D$2,数据录入!$J$5:$J$4999,$K77))</f>
      </c>
      <c r="O77" s="114">
        <f>IF($K77="","",L77+M77-N77)</f>
      </c>
      <c r="Q77" s="44">
        <f>IF(数据录入!$B77="",0,IF(OR(数据录入!$D77="投标保证金",数据录入!$D77="合同履约保证金",ISNUMBER(FIND("保证金",数据录入!$E77))),1,0))</f>
      </c>
      <c r="R77" s="44">
        <f>IF(AND($Q77=1,数据录入!$B77&gt;=$B$2,数据录入!$B77&lt;=$D$2),N(R76)+1,N(R76))</f>
      </c>
      <c r="S77" s="44">
        <f>IFERROR(MATCH(70,$R$5:$R$4999,0),"")</f>
      </c>
      <c r="U77" s="44">
        <f>IFERROR(IF(70&lt;=50,INDEX(基础资料!$E$2:$E$51,70)&amp;"",INDEX(基础资料!$G$2:$G$51,70-50)&amp;""),"")</f>
      </c>
      <c r="V77" s="44">
        <f>IF($U77="",0,IF(AND(70&gt;50,COUNTIF(基础资料!$E$2:$E$51,$U77)&gt;0),0,1))</f>
      </c>
      <c r="W77" s="44">
        <f>IF($V77=1,N(W76)+1,N(W76))</f>
      </c>
    </row>
    <row r="78" s="44" customFormat="1" spans="1:23">
      <c r="A78" s="116">
        <f>IF($S78="","",INDEX(数据录入!$B$5:$B$4999,$S78))</f>
      </c>
      <c r="B78" s="44">
        <f>IF($S78="","",INDEX(数据录入!$C$5:$C$4999,$S78)&amp;"")</f>
      </c>
      <c r="C78" s="165">
        <f>IF($S78="","",IF(N($F78)&gt;0,"收款",IF(N($G78)&gt;0,"付款","")))</f>
      </c>
      <c r="D78" s="44">
        <f>IF($S78="","",IF((INDEX(数据录入!$I$5:$I$4999,$S78)&amp;"")&lt;&gt;"",INDEX(数据录入!$I$5:$I$4999,$S78)&amp;"",INDEX(数据录入!$J$5:$J$4999,$S78)&amp;""))</f>
      </c>
      <c r="E78" s="108">
        <f>IF($S78="","",INDEX(数据录入!$E$5:$E$4999,$S78)&amp;"")</f>
      </c>
      <c r="F78" s="114">
        <f>IF($S78="","",N(INDEX(数据录入!$F$5:$F$4999,$S78)))</f>
      </c>
      <c r="G78" s="114">
        <f>IF($S78="","",N(INDEX(数据录入!$G$5:$G$4999,$S78)))</f>
      </c>
      <c r="H78" s="114">
        <f>IF($S78="","",$G$2+SUM($F$8:$F78)-SUM($G$8:$G78))</f>
      </c>
      <c r="J78" s="165">
        <f>IF($K78="","",71)</f>
      </c>
      <c r="K78" s="44">
        <f>IFERROR(INDEX($U$8:$U$107,MATCH(71,$W$8:$W$107,0)),"")</f>
      </c>
      <c r="L78" s="114">
        <f>IF($K78="","",(SUMIFS(数据录入!$F$5:$F$4999,$Q$5:$Q$4999,1,数据录入!$B$5:$B$4999,"&lt;"&amp;$B$2,数据录入!$I$5:$I$4999,$K78)+SUMIFS(数据录入!$F$5:$F$4999,$Q$5:$Q$4999,1,数据录入!$B$5:$B$4999,"&lt;"&amp;$B$2,数据录入!$J$5:$J$4999,$K78))-(SUMIFS(数据录入!$G$5:$G$4999,$Q$5:$Q$4999,1,数据录入!$B$5:$B$4999,"&lt;"&amp;$B$2,数据录入!$I$5:$I$4999,$K78)+SUMIFS(数据录入!$G$5:$G$4999,$Q$5:$Q$4999,1,数据录入!$B$5:$B$4999,"&lt;"&amp;$B$2,数据录入!$J$5:$J$4999,$K78)))</f>
      </c>
      <c r="M78" s="114">
        <f>IF($K78="","",SUMIFS(数据录入!$F$5:$F$4999,$Q$5:$Q$4999,1,数据录入!$B$5:$B$4999,"&gt;="&amp;$B$2,数据录入!$B$5:$B$4999,"&lt;="&amp;$D$2,数据录入!$I$5:$I$4999,$K78)+SUMIFS(数据录入!$F$5:$F$4999,$Q$5:$Q$4999,1,数据录入!$B$5:$B$4999,"&gt;="&amp;$B$2,数据录入!$B$5:$B$4999,"&lt;="&amp;$D$2,数据录入!$J$5:$J$4999,$K78))</f>
      </c>
      <c r="N78" s="114">
        <f>IF($K78="","",SUMIFS(数据录入!$G$5:$G$4999,$Q$5:$Q$4999,1,数据录入!$B$5:$B$4999,"&gt;="&amp;$B$2,数据录入!$B$5:$B$4999,"&lt;="&amp;$D$2,数据录入!$I$5:$I$4999,$K78)+SUMIFS(数据录入!$G$5:$G$4999,$Q$5:$Q$4999,1,数据录入!$B$5:$B$4999,"&gt;="&amp;$B$2,数据录入!$B$5:$B$4999,"&lt;="&amp;$D$2,数据录入!$J$5:$J$4999,$K78))</f>
      </c>
      <c r="O78" s="114">
        <f>IF($K78="","",L78+M78-N78)</f>
      </c>
      <c r="Q78" s="44">
        <f>IF(数据录入!$B78="",0,IF(OR(数据录入!$D78="投标保证金",数据录入!$D78="合同履约保证金",ISNUMBER(FIND("保证金",数据录入!$E78))),1,0))</f>
      </c>
      <c r="R78" s="44">
        <f>IF(AND($Q78=1,数据录入!$B78&gt;=$B$2,数据录入!$B78&lt;=$D$2),N(R77)+1,N(R77))</f>
      </c>
      <c r="S78" s="44">
        <f>IFERROR(MATCH(71,$R$5:$R$4999,0),"")</f>
      </c>
      <c r="U78" s="44">
        <f>IFERROR(IF(71&lt;=50,INDEX(基础资料!$E$2:$E$51,71)&amp;"",INDEX(基础资料!$G$2:$G$51,71-50)&amp;""),"")</f>
      </c>
      <c r="V78" s="44">
        <f>IF($U78="",0,IF(AND(71&gt;50,COUNTIF(基础资料!$E$2:$E$51,$U78)&gt;0),0,1))</f>
      </c>
      <c r="W78" s="44">
        <f>IF($V78=1,N(W77)+1,N(W77))</f>
      </c>
    </row>
    <row r="79" s="44" customFormat="1" spans="1:23">
      <c r="A79" s="116">
        <f>IF($S79="","",INDEX(数据录入!$B$5:$B$4999,$S79))</f>
      </c>
      <c r="B79" s="44">
        <f>IF($S79="","",INDEX(数据录入!$C$5:$C$4999,$S79)&amp;"")</f>
      </c>
      <c r="C79" s="165">
        <f>IF($S79="","",IF(N($F79)&gt;0,"收款",IF(N($G79)&gt;0,"付款","")))</f>
      </c>
      <c r="D79" s="44">
        <f>IF($S79="","",IF((INDEX(数据录入!$I$5:$I$4999,$S79)&amp;"")&lt;&gt;"",INDEX(数据录入!$I$5:$I$4999,$S79)&amp;"",INDEX(数据录入!$J$5:$J$4999,$S79)&amp;""))</f>
      </c>
      <c r="E79" s="108">
        <f>IF($S79="","",INDEX(数据录入!$E$5:$E$4999,$S79)&amp;"")</f>
      </c>
      <c r="F79" s="114">
        <f>IF($S79="","",N(INDEX(数据录入!$F$5:$F$4999,$S79)))</f>
      </c>
      <c r="G79" s="114">
        <f>IF($S79="","",N(INDEX(数据录入!$G$5:$G$4999,$S79)))</f>
      </c>
      <c r="H79" s="114">
        <f>IF($S79="","",$G$2+SUM($F$8:$F79)-SUM($G$8:$G79))</f>
      </c>
      <c r="J79" s="165">
        <f>IF($K79="","",72)</f>
      </c>
      <c r="K79" s="44">
        <f>IFERROR(INDEX($U$8:$U$107,MATCH(72,$W$8:$W$107,0)),"")</f>
      </c>
      <c r="L79" s="114">
        <f>IF($K79="","",(SUMIFS(数据录入!$F$5:$F$4999,$Q$5:$Q$4999,1,数据录入!$B$5:$B$4999,"&lt;"&amp;$B$2,数据录入!$I$5:$I$4999,$K79)+SUMIFS(数据录入!$F$5:$F$4999,$Q$5:$Q$4999,1,数据录入!$B$5:$B$4999,"&lt;"&amp;$B$2,数据录入!$J$5:$J$4999,$K79))-(SUMIFS(数据录入!$G$5:$G$4999,$Q$5:$Q$4999,1,数据录入!$B$5:$B$4999,"&lt;"&amp;$B$2,数据录入!$I$5:$I$4999,$K79)+SUMIFS(数据录入!$G$5:$G$4999,$Q$5:$Q$4999,1,数据录入!$B$5:$B$4999,"&lt;"&amp;$B$2,数据录入!$J$5:$J$4999,$K79)))</f>
      </c>
      <c r="M79" s="114">
        <f>IF($K79="","",SUMIFS(数据录入!$F$5:$F$4999,$Q$5:$Q$4999,1,数据录入!$B$5:$B$4999,"&gt;="&amp;$B$2,数据录入!$B$5:$B$4999,"&lt;="&amp;$D$2,数据录入!$I$5:$I$4999,$K79)+SUMIFS(数据录入!$F$5:$F$4999,$Q$5:$Q$4999,1,数据录入!$B$5:$B$4999,"&gt;="&amp;$B$2,数据录入!$B$5:$B$4999,"&lt;="&amp;$D$2,数据录入!$J$5:$J$4999,$K79))</f>
      </c>
      <c r="N79" s="114">
        <f>IF($K79="","",SUMIFS(数据录入!$G$5:$G$4999,$Q$5:$Q$4999,1,数据录入!$B$5:$B$4999,"&gt;="&amp;$B$2,数据录入!$B$5:$B$4999,"&lt;="&amp;$D$2,数据录入!$I$5:$I$4999,$K79)+SUMIFS(数据录入!$G$5:$G$4999,$Q$5:$Q$4999,1,数据录入!$B$5:$B$4999,"&gt;="&amp;$B$2,数据录入!$B$5:$B$4999,"&lt;="&amp;$D$2,数据录入!$J$5:$J$4999,$K79))</f>
      </c>
      <c r="O79" s="114">
        <f>IF($K79="","",L79+M79-N79)</f>
      </c>
      <c r="Q79" s="44">
        <f>IF(数据录入!$B79="",0,IF(OR(数据录入!$D79="投标保证金",数据录入!$D79="合同履约保证金",ISNUMBER(FIND("保证金",数据录入!$E79))),1,0))</f>
      </c>
      <c r="R79" s="44">
        <f>IF(AND($Q79=1,数据录入!$B79&gt;=$B$2,数据录入!$B79&lt;=$D$2),N(R78)+1,N(R78))</f>
      </c>
      <c r="S79" s="44">
        <f>IFERROR(MATCH(72,$R$5:$R$4999,0),"")</f>
      </c>
      <c r="U79" s="44">
        <f>IFERROR(IF(72&lt;=50,INDEX(基础资料!$E$2:$E$51,72)&amp;"",INDEX(基础资料!$G$2:$G$51,72-50)&amp;""),"")</f>
      </c>
      <c r="V79" s="44">
        <f>IF($U79="",0,IF(AND(72&gt;50,COUNTIF(基础资料!$E$2:$E$51,$U79)&gt;0),0,1))</f>
      </c>
      <c r="W79" s="44">
        <f>IF($V79=1,N(W78)+1,N(W78))</f>
      </c>
    </row>
    <row r="80" s="44" customFormat="1" spans="1:23">
      <c r="A80" s="116">
        <f>IF($S80="","",INDEX(数据录入!$B$5:$B$4999,$S80))</f>
      </c>
      <c r="B80" s="44">
        <f>IF($S80="","",INDEX(数据录入!$C$5:$C$4999,$S80)&amp;"")</f>
      </c>
      <c r="C80" s="165">
        <f>IF($S80="","",IF(N($F80)&gt;0,"收款",IF(N($G80)&gt;0,"付款","")))</f>
      </c>
      <c r="D80" s="44">
        <f>IF($S80="","",IF((INDEX(数据录入!$I$5:$I$4999,$S80)&amp;"")&lt;&gt;"",INDEX(数据录入!$I$5:$I$4999,$S80)&amp;"",INDEX(数据录入!$J$5:$J$4999,$S80)&amp;""))</f>
      </c>
      <c r="E80" s="108">
        <f>IF($S80="","",INDEX(数据录入!$E$5:$E$4999,$S80)&amp;"")</f>
      </c>
      <c r="F80" s="114">
        <f>IF($S80="","",N(INDEX(数据录入!$F$5:$F$4999,$S80)))</f>
      </c>
      <c r="G80" s="114">
        <f>IF($S80="","",N(INDEX(数据录入!$G$5:$G$4999,$S80)))</f>
      </c>
      <c r="H80" s="114">
        <f>IF($S80="","",$G$2+SUM($F$8:$F80)-SUM($G$8:$G80))</f>
      </c>
      <c r="J80" s="165">
        <f>IF($K80="","",73)</f>
      </c>
      <c r="K80" s="44">
        <f>IFERROR(INDEX($U$8:$U$107,MATCH(73,$W$8:$W$107,0)),"")</f>
      </c>
      <c r="L80" s="114">
        <f>IF($K80="","",(SUMIFS(数据录入!$F$5:$F$4999,$Q$5:$Q$4999,1,数据录入!$B$5:$B$4999,"&lt;"&amp;$B$2,数据录入!$I$5:$I$4999,$K80)+SUMIFS(数据录入!$F$5:$F$4999,$Q$5:$Q$4999,1,数据录入!$B$5:$B$4999,"&lt;"&amp;$B$2,数据录入!$J$5:$J$4999,$K80))-(SUMIFS(数据录入!$G$5:$G$4999,$Q$5:$Q$4999,1,数据录入!$B$5:$B$4999,"&lt;"&amp;$B$2,数据录入!$I$5:$I$4999,$K80)+SUMIFS(数据录入!$G$5:$G$4999,$Q$5:$Q$4999,1,数据录入!$B$5:$B$4999,"&lt;"&amp;$B$2,数据录入!$J$5:$J$4999,$K80)))</f>
      </c>
      <c r="M80" s="114">
        <f>IF($K80="","",SUMIFS(数据录入!$F$5:$F$4999,$Q$5:$Q$4999,1,数据录入!$B$5:$B$4999,"&gt;="&amp;$B$2,数据录入!$B$5:$B$4999,"&lt;="&amp;$D$2,数据录入!$I$5:$I$4999,$K80)+SUMIFS(数据录入!$F$5:$F$4999,$Q$5:$Q$4999,1,数据录入!$B$5:$B$4999,"&gt;="&amp;$B$2,数据录入!$B$5:$B$4999,"&lt;="&amp;$D$2,数据录入!$J$5:$J$4999,$K80))</f>
      </c>
      <c r="N80" s="114">
        <f>IF($K80="","",SUMIFS(数据录入!$G$5:$G$4999,$Q$5:$Q$4999,1,数据录入!$B$5:$B$4999,"&gt;="&amp;$B$2,数据录入!$B$5:$B$4999,"&lt;="&amp;$D$2,数据录入!$I$5:$I$4999,$K80)+SUMIFS(数据录入!$G$5:$G$4999,$Q$5:$Q$4999,1,数据录入!$B$5:$B$4999,"&gt;="&amp;$B$2,数据录入!$B$5:$B$4999,"&lt;="&amp;$D$2,数据录入!$J$5:$J$4999,$K80))</f>
      </c>
      <c r="O80" s="114">
        <f>IF($K80="","",L80+M80-N80)</f>
      </c>
      <c r="Q80" s="44">
        <f>IF(数据录入!$B80="",0,IF(OR(数据录入!$D80="投标保证金",数据录入!$D80="合同履约保证金",ISNUMBER(FIND("保证金",数据录入!$E80))),1,0))</f>
      </c>
      <c r="R80" s="44">
        <f>IF(AND($Q80=1,数据录入!$B80&gt;=$B$2,数据录入!$B80&lt;=$D$2),N(R79)+1,N(R79))</f>
      </c>
      <c r="S80" s="44">
        <f>IFERROR(MATCH(73,$R$5:$R$4999,0),"")</f>
      </c>
      <c r="U80" s="44">
        <f>IFERROR(IF(73&lt;=50,INDEX(基础资料!$E$2:$E$51,73)&amp;"",INDEX(基础资料!$G$2:$G$51,73-50)&amp;""),"")</f>
      </c>
      <c r="V80" s="44">
        <f>IF($U80="",0,IF(AND(73&gt;50,COUNTIF(基础资料!$E$2:$E$51,$U80)&gt;0),0,1))</f>
      </c>
      <c r="W80" s="44">
        <f>IF($V80=1,N(W79)+1,N(W79))</f>
      </c>
    </row>
    <row r="81" s="44" customFormat="1" spans="1:23">
      <c r="A81" s="116">
        <f>IF($S81="","",INDEX(数据录入!$B$5:$B$4999,$S81))</f>
      </c>
      <c r="B81" s="44">
        <f>IF($S81="","",INDEX(数据录入!$C$5:$C$4999,$S81)&amp;"")</f>
      </c>
      <c r="C81" s="165">
        <f>IF($S81="","",IF(N($F81)&gt;0,"收款",IF(N($G81)&gt;0,"付款","")))</f>
      </c>
      <c r="D81" s="44">
        <f>IF($S81="","",IF((INDEX(数据录入!$I$5:$I$4999,$S81)&amp;"")&lt;&gt;"",INDEX(数据录入!$I$5:$I$4999,$S81)&amp;"",INDEX(数据录入!$J$5:$J$4999,$S81)&amp;""))</f>
      </c>
      <c r="E81" s="108">
        <f>IF($S81="","",INDEX(数据录入!$E$5:$E$4999,$S81)&amp;"")</f>
      </c>
      <c r="F81" s="114">
        <f>IF($S81="","",N(INDEX(数据录入!$F$5:$F$4999,$S81)))</f>
      </c>
      <c r="G81" s="114">
        <f>IF($S81="","",N(INDEX(数据录入!$G$5:$G$4999,$S81)))</f>
      </c>
      <c r="H81" s="114">
        <f>IF($S81="","",$G$2+SUM($F$8:$F81)-SUM($G$8:$G81))</f>
      </c>
      <c r="J81" s="165">
        <f>IF($K81="","",74)</f>
      </c>
      <c r="K81" s="44">
        <f>IFERROR(INDEX($U$8:$U$107,MATCH(74,$W$8:$W$107,0)),"")</f>
      </c>
      <c r="L81" s="114">
        <f>IF($K81="","",(SUMIFS(数据录入!$F$5:$F$4999,$Q$5:$Q$4999,1,数据录入!$B$5:$B$4999,"&lt;"&amp;$B$2,数据录入!$I$5:$I$4999,$K81)+SUMIFS(数据录入!$F$5:$F$4999,$Q$5:$Q$4999,1,数据录入!$B$5:$B$4999,"&lt;"&amp;$B$2,数据录入!$J$5:$J$4999,$K81))-(SUMIFS(数据录入!$G$5:$G$4999,$Q$5:$Q$4999,1,数据录入!$B$5:$B$4999,"&lt;"&amp;$B$2,数据录入!$I$5:$I$4999,$K81)+SUMIFS(数据录入!$G$5:$G$4999,$Q$5:$Q$4999,1,数据录入!$B$5:$B$4999,"&lt;"&amp;$B$2,数据录入!$J$5:$J$4999,$K81)))</f>
      </c>
      <c r="M81" s="114">
        <f>IF($K81="","",SUMIFS(数据录入!$F$5:$F$4999,$Q$5:$Q$4999,1,数据录入!$B$5:$B$4999,"&gt;="&amp;$B$2,数据录入!$B$5:$B$4999,"&lt;="&amp;$D$2,数据录入!$I$5:$I$4999,$K81)+SUMIFS(数据录入!$F$5:$F$4999,$Q$5:$Q$4999,1,数据录入!$B$5:$B$4999,"&gt;="&amp;$B$2,数据录入!$B$5:$B$4999,"&lt;="&amp;$D$2,数据录入!$J$5:$J$4999,$K81))</f>
      </c>
      <c r="N81" s="114">
        <f>IF($K81="","",SUMIFS(数据录入!$G$5:$G$4999,$Q$5:$Q$4999,1,数据录入!$B$5:$B$4999,"&gt;="&amp;$B$2,数据录入!$B$5:$B$4999,"&lt;="&amp;$D$2,数据录入!$I$5:$I$4999,$K81)+SUMIFS(数据录入!$G$5:$G$4999,$Q$5:$Q$4999,1,数据录入!$B$5:$B$4999,"&gt;="&amp;$B$2,数据录入!$B$5:$B$4999,"&lt;="&amp;$D$2,数据录入!$J$5:$J$4999,$K81))</f>
      </c>
      <c r="O81" s="114">
        <f>IF($K81="","",L81+M81-N81)</f>
      </c>
      <c r="Q81" s="44">
        <f>IF(数据录入!$B81="",0,IF(OR(数据录入!$D81="投标保证金",数据录入!$D81="合同履约保证金",ISNUMBER(FIND("保证金",数据录入!$E81))),1,0))</f>
      </c>
      <c r="R81" s="44">
        <f>IF(AND($Q81=1,数据录入!$B81&gt;=$B$2,数据录入!$B81&lt;=$D$2),N(R80)+1,N(R80))</f>
      </c>
      <c r="S81" s="44">
        <f>IFERROR(MATCH(74,$R$5:$R$4999,0),"")</f>
      </c>
      <c r="U81" s="44">
        <f>IFERROR(IF(74&lt;=50,INDEX(基础资料!$E$2:$E$51,74)&amp;"",INDEX(基础资料!$G$2:$G$51,74-50)&amp;""),"")</f>
      </c>
      <c r="V81" s="44">
        <f>IF($U81="",0,IF(AND(74&gt;50,COUNTIF(基础资料!$E$2:$E$51,$U81)&gt;0),0,1))</f>
      </c>
      <c r="W81" s="44">
        <f>IF($V81=1,N(W80)+1,N(W80))</f>
      </c>
    </row>
    <row r="82" s="44" customFormat="1" spans="1:23">
      <c r="A82" s="116">
        <f>IF($S82="","",INDEX(数据录入!$B$5:$B$4999,$S82))</f>
      </c>
      <c r="B82" s="44">
        <f>IF($S82="","",INDEX(数据录入!$C$5:$C$4999,$S82)&amp;"")</f>
      </c>
      <c r="C82" s="165">
        <f>IF($S82="","",IF(N($F82)&gt;0,"收款",IF(N($G82)&gt;0,"付款","")))</f>
      </c>
      <c r="D82" s="44">
        <f>IF($S82="","",IF((INDEX(数据录入!$I$5:$I$4999,$S82)&amp;"")&lt;&gt;"",INDEX(数据录入!$I$5:$I$4999,$S82)&amp;"",INDEX(数据录入!$J$5:$J$4999,$S82)&amp;""))</f>
      </c>
      <c r="E82" s="108">
        <f>IF($S82="","",INDEX(数据录入!$E$5:$E$4999,$S82)&amp;"")</f>
      </c>
      <c r="F82" s="114">
        <f>IF($S82="","",N(INDEX(数据录入!$F$5:$F$4999,$S82)))</f>
      </c>
      <c r="G82" s="114">
        <f>IF($S82="","",N(INDEX(数据录入!$G$5:$G$4999,$S82)))</f>
      </c>
      <c r="H82" s="114">
        <f>IF($S82="","",$G$2+SUM($F$8:$F82)-SUM($G$8:$G82))</f>
      </c>
      <c r="J82" s="165">
        <f>IF($K82="","",75)</f>
      </c>
      <c r="K82" s="44">
        <f>IFERROR(INDEX($U$8:$U$107,MATCH(75,$W$8:$W$107,0)),"")</f>
      </c>
      <c r="L82" s="114">
        <f>IF($K82="","",(SUMIFS(数据录入!$F$5:$F$4999,$Q$5:$Q$4999,1,数据录入!$B$5:$B$4999,"&lt;"&amp;$B$2,数据录入!$I$5:$I$4999,$K82)+SUMIFS(数据录入!$F$5:$F$4999,$Q$5:$Q$4999,1,数据录入!$B$5:$B$4999,"&lt;"&amp;$B$2,数据录入!$J$5:$J$4999,$K82))-(SUMIFS(数据录入!$G$5:$G$4999,$Q$5:$Q$4999,1,数据录入!$B$5:$B$4999,"&lt;"&amp;$B$2,数据录入!$I$5:$I$4999,$K82)+SUMIFS(数据录入!$G$5:$G$4999,$Q$5:$Q$4999,1,数据录入!$B$5:$B$4999,"&lt;"&amp;$B$2,数据录入!$J$5:$J$4999,$K82)))</f>
      </c>
      <c r="M82" s="114">
        <f>IF($K82="","",SUMIFS(数据录入!$F$5:$F$4999,$Q$5:$Q$4999,1,数据录入!$B$5:$B$4999,"&gt;="&amp;$B$2,数据录入!$B$5:$B$4999,"&lt;="&amp;$D$2,数据录入!$I$5:$I$4999,$K82)+SUMIFS(数据录入!$F$5:$F$4999,$Q$5:$Q$4999,1,数据录入!$B$5:$B$4999,"&gt;="&amp;$B$2,数据录入!$B$5:$B$4999,"&lt;="&amp;$D$2,数据录入!$J$5:$J$4999,$K82))</f>
      </c>
      <c r="N82" s="114">
        <f>IF($K82="","",SUMIFS(数据录入!$G$5:$G$4999,$Q$5:$Q$4999,1,数据录入!$B$5:$B$4999,"&gt;="&amp;$B$2,数据录入!$B$5:$B$4999,"&lt;="&amp;$D$2,数据录入!$I$5:$I$4999,$K82)+SUMIFS(数据录入!$G$5:$G$4999,$Q$5:$Q$4999,1,数据录入!$B$5:$B$4999,"&gt;="&amp;$B$2,数据录入!$B$5:$B$4999,"&lt;="&amp;$D$2,数据录入!$J$5:$J$4999,$K82))</f>
      </c>
      <c r="O82" s="114">
        <f>IF($K82="","",L82+M82-N82)</f>
      </c>
      <c r="Q82" s="44">
        <f>IF(数据录入!$B82="",0,IF(OR(数据录入!$D82="投标保证金",数据录入!$D82="合同履约保证金",ISNUMBER(FIND("保证金",数据录入!$E82))),1,0))</f>
      </c>
      <c r="R82" s="44">
        <f>IF(AND($Q82=1,数据录入!$B82&gt;=$B$2,数据录入!$B82&lt;=$D$2),N(R81)+1,N(R81))</f>
      </c>
      <c r="S82" s="44">
        <f>IFERROR(MATCH(75,$R$5:$R$4999,0),"")</f>
      </c>
      <c r="U82" s="44">
        <f>IFERROR(IF(75&lt;=50,INDEX(基础资料!$E$2:$E$51,75)&amp;"",INDEX(基础资料!$G$2:$G$51,75-50)&amp;""),"")</f>
      </c>
      <c r="V82" s="44">
        <f>IF($U82="",0,IF(AND(75&gt;50,COUNTIF(基础资料!$E$2:$E$51,$U82)&gt;0),0,1))</f>
      </c>
      <c r="W82" s="44">
        <f>IF($V82=1,N(W81)+1,N(W81))</f>
      </c>
    </row>
    <row r="83" s="44" customFormat="1" spans="1:23">
      <c r="A83" s="116">
        <f>IF($S83="","",INDEX(数据录入!$B$5:$B$4999,$S83))</f>
      </c>
      <c r="B83" s="44">
        <f>IF($S83="","",INDEX(数据录入!$C$5:$C$4999,$S83)&amp;"")</f>
      </c>
      <c r="C83" s="165">
        <f>IF($S83="","",IF(N($F83)&gt;0,"收款",IF(N($G83)&gt;0,"付款","")))</f>
      </c>
      <c r="D83" s="44">
        <f>IF($S83="","",IF((INDEX(数据录入!$I$5:$I$4999,$S83)&amp;"")&lt;&gt;"",INDEX(数据录入!$I$5:$I$4999,$S83)&amp;"",INDEX(数据录入!$J$5:$J$4999,$S83)&amp;""))</f>
      </c>
      <c r="E83" s="108">
        <f>IF($S83="","",INDEX(数据录入!$E$5:$E$4999,$S83)&amp;"")</f>
      </c>
      <c r="F83" s="114">
        <f>IF($S83="","",N(INDEX(数据录入!$F$5:$F$4999,$S83)))</f>
      </c>
      <c r="G83" s="114">
        <f>IF($S83="","",N(INDEX(数据录入!$G$5:$G$4999,$S83)))</f>
      </c>
      <c r="H83" s="114">
        <f>IF($S83="","",$G$2+SUM($F$8:$F83)-SUM($G$8:$G83))</f>
      </c>
      <c r="J83" s="165">
        <f>IF($K83="","",76)</f>
      </c>
      <c r="K83" s="44">
        <f>IFERROR(INDEX($U$8:$U$107,MATCH(76,$W$8:$W$107,0)),"")</f>
      </c>
      <c r="L83" s="114">
        <f>IF($K83="","",(SUMIFS(数据录入!$F$5:$F$4999,$Q$5:$Q$4999,1,数据录入!$B$5:$B$4999,"&lt;"&amp;$B$2,数据录入!$I$5:$I$4999,$K83)+SUMIFS(数据录入!$F$5:$F$4999,$Q$5:$Q$4999,1,数据录入!$B$5:$B$4999,"&lt;"&amp;$B$2,数据录入!$J$5:$J$4999,$K83))-(SUMIFS(数据录入!$G$5:$G$4999,$Q$5:$Q$4999,1,数据录入!$B$5:$B$4999,"&lt;"&amp;$B$2,数据录入!$I$5:$I$4999,$K83)+SUMIFS(数据录入!$G$5:$G$4999,$Q$5:$Q$4999,1,数据录入!$B$5:$B$4999,"&lt;"&amp;$B$2,数据录入!$J$5:$J$4999,$K83)))</f>
      </c>
      <c r="M83" s="114">
        <f>IF($K83="","",SUMIFS(数据录入!$F$5:$F$4999,$Q$5:$Q$4999,1,数据录入!$B$5:$B$4999,"&gt;="&amp;$B$2,数据录入!$B$5:$B$4999,"&lt;="&amp;$D$2,数据录入!$I$5:$I$4999,$K83)+SUMIFS(数据录入!$F$5:$F$4999,$Q$5:$Q$4999,1,数据录入!$B$5:$B$4999,"&gt;="&amp;$B$2,数据录入!$B$5:$B$4999,"&lt;="&amp;$D$2,数据录入!$J$5:$J$4999,$K83))</f>
      </c>
      <c r="N83" s="114">
        <f>IF($K83="","",SUMIFS(数据录入!$G$5:$G$4999,$Q$5:$Q$4999,1,数据录入!$B$5:$B$4999,"&gt;="&amp;$B$2,数据录入!$B$5:$B$4999,"&lt;="&amp;$D$2,数据录入!$I$5:$I$4999,$K83)+SUMIFS(数据录入!$G$5:$G$4999,$Q$5:$Q$4999,1,数据录入!$B$5:$B$4999,"&gt;="&amp;$B$2,数据录入!$B$5:$B$4999,"&lt;="&amp;$D$2,数据录入!$J$5:$J$4999,$K83))</f>
      </c>
      <c r="O83" s="114">
        <f>IF($K83="","",L83+M83-N83)</f>
      </c>
      <c r="Q83" s="44">
        <f>IF(数据录入!$B83="",0,IF(OR(数据录入!$D83="投标保证金",数据录入!$D83="合同履约保证金",ISNUMBER(FIND("保证金",数据录入!$E83))),1,0))</f>
      </c>
      <c r="R83" s="44">
        <f>IF(AND($Q83=1,数据录入!$B83&gt;=$B$2,数据录入!$B83&lt;=$D$2),N(R82)+1,N(R82))</f>
      </c>
      <c r="S83" s="44">
        <f>IFERROR(MATCH(76,$R$5:$R$4999,0),"")</f>
      </c>
      <c r="U83" s="44">
        <f>IFERROR(IF(76&lt;=50,INDEX(基础资料!$E$2:$E$51,76)&amp;"",INDEX(基础资料!$G$2:$G$51,76-50)&amp;""),"")</f>
      </c>
      <c r="V83" s="44">
        <f>IF($U83="",0,IF(AND(76&gt;50,COUNTIF(基础资料!$E$2:$E$51,$U83)&gt;0),0,1))</f>
      </c>
      <c r="W83" s="44">
        <f>IF($V83=1,N(W82)+1,N(W82))</f>
      </c>
    </row>
    <row r="84" s="44" customFormat="1" spans="1:23">
      <c r="A84" s="116">
        <f>IF($S84="","",INDEX(数据录入!$B$5:$B$4999,$S84))</f>
      </c>
      <c r="B84" s="44">
        <f>IF($S84="","",INDEX(数据录入!$C$5:$C$4999,$S84)&amp;"")</f>
      </c>
      <c r="C84" s="165">
        <f>IF($S84="","",IF(N($F84)&gt;0,"收款",IF(N($G84)&gt;0,"付款","")))</f>
      </c>
      <c r="D84" s="44">
        <f>IF($S84="","",IF((INDEX(数据录入!$I$5:$I$4999,$S84)&amp;"")&lt;&gt;"",INDEX(数据录入!$I$5:$I$4999,$S84)&amp;"",INDEX(数据录入!$J$5:$J$4999,$S84)&amp;""))</f>
      </c>
      <c r="E84" s="108">
        <f>IF($S84="","",INDEX(数据录入!$E$5:$E$4999,$S84)&amp;"")</f>
      </c>
      <c r="F84" s="114">
        <f>IF($S84="","",N(INDEX(数据录入!$F$5:$F$4999,$S84)))</f>
      </c>
      <c r="G84" s="114">
        <f>IF($S84="","",N(INDEX(数据录入!$G$5:$G$4999,$S84)))</f>
      </c>
      <c r="H84" s="114">
        <f>IF($S84="","",$G$2+SUM($F$8:$F84)-SUM($G$8:$G84))</f>
      </c>
      <c r="J84" s="165">
        <f>IF($K84="","",77)</f>
      </c>
      <c r="K84" s="44">
        <f>IFERROR(INDEX($U$8:$U$107,MATCH(77,$W$8:$W$107,0)),"")</f>
      </c>
      <c r="L84" s="114">
        <f>IF($K84="","",(SUMIFS(数据录入!$F$5:$F$4999,$Q$5:$Q$4999,1,数据录入!$B$5:$B$4999,"&lt;"&amp;$B$2,数据录入!$I$5:$I$4999,$K84)+SUMIFS(数据录入!$F$5:$F$4999,$Q$5:$Q$4999,1,数据录入!$B$5:$B$4999,"&lt;"&amp;$B$2,数据录入!$J$5:$J$4999,$K84))-(SUMIFS(数据录入!$G$5:$G$4999,$Q$5:$Q$4999,1,数据录入!$B$5:$B$4999,"&lt;"&amp;$B$2,数据录入!$I$5:$I$4999,$K84)+SUMIFS(数据录入!$G$5:$G$4999,$Q$5:$Q$4999,1,数据录入!$B$5:$B$4999,"&lt;"&amp;$B$2,数据录入!$J$5:$J$4999,$K84)))</f>
      </c>
      <c r="M84" s="114">
        <f>IF($K84="","",SUMIFS(数据录入!$F$5:$F$4999,$Q$5:$Q$4999,1,数据录入!$B$5:$B$4999,"&gt;="&amp;$B$2,数据录入!$B$5:$B$4999,"&lt;="&amp;$D$2,数据录入!$I$5:$I$4999,$K84)+SUMIFS(数据录入!$F$5:$F$4999,$Q$5:$Q$4999,1,数据录入!$B$5:$B$4999,"&gt;="&amp;$B$2,数据录入!$B$5:$B$4999,"&lt;="&amp;$D$2,数据录入!$J$5:$J$4999,$K84))</f>
      </c>
      <c r="N84" s="114">
        <f>IF($K84="","",SUMIFS(数据录入!$G$5:$G$4999,$Q$5:$Q$4999,1,数据录入!$B$5:$B$4999,"&gt;="&amp;$B$2,数据录入!$B$5:$B$4999,"&lt;="&amp;$D$2,数据录入!$I$5:$I$4999,$K84)+SUMIFS(数据录入!$G$5:$G$4999,$Q$5:$Q$4999,1,数据录入!$B$5:$B$4999,"&gt;="&amp;$B$2,数据录入!$B$5:$B$4999,"&lt;="&amp;$D$2,数据录入!$J$5:$J$4999,$K84))</f>
      </c>
      <c r="O84" s="114">
        <f>IF($K84="","",L84+M84-N84)</f>
      </c>
      <c r="Q84" s="44">
        <f>IF(数据录入!$B84="",0,IF(OR(数据录入!$D84="投标保证金",数据录入!$D84="合同履约保证金",ISNUMBER(FIND("保证金",数据录入!$E84))),1,0))</f>
      </c>
      <c r="R84" s="44">
        <f>IF(AND($Q84=1,数据录入!$B84&gt;=$B$2,数据录入!$B84&lt;=$D$2),N(R83)+1,N(R83))</f>
      </c>
      <c r="S84" s="44">
        <f>IFERROR(MATCH(77,$R$5:$R$4999,0),"")</f>
      </c>
      <c r="U84" s="44">
        <f>IFERROR(IF(77&lt;=50,INDEX(基础资料!$E$2:$E$51,77)&amp;"",INDEX(基础资料!$G$2:$G$51,77-50)&amp;""),"")</f>
      </c>
      <c r="V84" s="44">
        <f>IF($U84="",0,IF(AND(77&gt;50,COUNTIF(基础资料!$E$2:$E$51,$U84)&gt;0),0,1))</f>
      </c>
      <c r="W84" s="44">
        <f>IF($V84=1,N(W83)+1,N(W83))</f>
      </c>
    </row>
    <row r="85" s="44" customFormat="1" spans="1:23">
      <c r="A85" s="116">
        <f>IF($S85="","",INDEX(数据录入!$B$5:$B$4999,$S85))</f>
      </c>
      <c r="B85" s="44">
        <f>IF($S85="","",INDEX(数据录入!$C$5:$C$4999,$S85)&amp;"")</f>
      </c>
      <c r="C85" s="165">
        <f>IF($S85="","",IF(N($F85)&gt;0,"收款",IF(N($G85)&gt;0,"付款","")))</f>
      </c>
      <c r="D85" s="44">
        <f>IF($S85="","",IF((INDEX(数据录入!$I$5:$I$4999,$S85)&amp;"")&lt;&gt;"",INDEX(数据录入!$I$5:$I$4999,$S85)&amp;"",INDEX(数据录入!$J$5:$J$4999,$S85)&amp;""))</f>
      </c>
      <c r="E85" s="108">
        <f>IF($S85="","",INDEX(数据录入!$E$5:$E$4999,$S85)&amp;"")</f>
      </c>
      <c r="F85" s="114">
        <f>IF($S85="","",N(INDEX(数据录入!$F$5:$F$4999,$S85)))</f>
      </c>
      <c r="G85" s="114">
        <f>IF($S85="","",N(INDEX(数据录入!$G$5:$G$4999,$S85)))</f>
      </c>
      <c r="H85" s="114">
        <f>IF($S85="","",$G$2+SUM($F$8:$F85)-SUM($G$8:$G85))</f>
      </c>
      <c r="J85" s="165">
        <f>IF($K85="","",78)</f>
      </c>
      <c r="K85" s="44">
        <f>IFERROR(INDEX($U$8:$U$107,MATCH(78,$W$8:$W$107,0)),"")</f>
      </c>
      <c r="L85" s="114">
        <f>IF($K85="","",(SUMIFS(数据录入!$F$5:$F$4999,$Q$5:$Q$4999,1,数据录入!$B$5:$B$4999,"&lt;"&amp;$B$2,数据录入!$I$5:$I$4999,$K85)+SUMIFS(数据录入!$F$5:$F$4999,$Q$5:$Q$4999,1,数据录入!$B$5:$B$4999,"&lt;"&amp;$B$2,数据录入!$J$5:$J$4999,$K85))-(SUMIFS(数据录入!$G$5:$G$4999,$Q$5:$Q$4999,1,数据录入!$B$5:$B$4999,"&lt;"&amp;$B$2,数据录入!$I$5:$I$4999,$K85)+SUMIFS(数据录入!$G$5:$G$4999,$Q$5:$Q$4999,1,数据录入!$B$5:$B$4999,"&lt;"&amp;$B$2,数据录入!$J$5:$J$4999,$K85)))</f>
      </c>
      <c r="M85" s="114">
        <f>IF($K85="","",SUMIFS(数据录入!$F$5:$F$4999,$Q$5:$Q$4999,1,数据录入!$B$5:$B$4999,"&gt;="&amp;$B$2,数据录入!$B$5:$B$4999,"&lt;="&amp;$D$2,数据录入!$I$5:$I$4999,$K85)+SUMIFS(数据录入!$F$5:$F$4999,$Q$5:$Q$4999,1,数据录入!$B$5:$B$4999,"&gt;="&amp;$B$2,数据录入!$B$5:$B$4999,"&lt;="&amp;$D$2,数据录入!$J$5:$J$4999,$K85))</f>
      </c>
      <c r="N85" s="114">
        <f>IF($K85="","",SUMIFS(数据录入!$G$5:$G$4999,$Q$5:$Q$4999,1,数据录入!$B$5:$B$4999,"&gt;="&amp;$B$2,数据录入!$B$5:$B$4999,"&lt;="&amp;$D$2,数据录入!$I$5:$I$4999,$K85)+SUMIFS(数据录入!$G$5:$G$4999,$Q$5:$Q$4999,1,数据录入!$B$5:$B$4999,"&gt;="&amp;$B$2,数据录入!$B$5:$B$4999,"&lt;="&amp;$D$2,数据录入!$J$5:$J$4999,$K85))</f>
      </c>
      <c r="O85" s="114">
        <f>IF($K85="","",L85+M85-N85)</f>
      </c>
      <c r="Q85" s="44">
        <f>IF(数据录入!$B85="",0,IF(OR(数据录入!$D85="投标保证金",数据录入!$D85="合同履约保证金",ISNUMBER(FIND("保证金",数据录入!$E85))),1,0))</f>
      </c>
      <c r="R85" s="44">
        <f>IF(AND($Q85=1,数据录入!$B85&gt;=$B$2,数据录入!$B85&lt;=$D$2),N(R84)+1,N(R84))</f>
      </c>
      <c r="S85" s="44">
        <f>IFERROR(MATCH(78,$R$5:$R$4999,0),"")</f>
      </c>
      <c r="U85" s="44">
        <f>IFERROR(IF(78&lt;=50,INDEX(基础资料!$E$2:$E$51,78)&amp;"",INDEX(基础资料!$G$2:$G$51,78-50)&amp;""),"")</f>
      </c>
      <c r="V85" s="44">
        <f>IF($U85="",0,IF(AND(78&gt;50,COUNTIF(基础资料!$E$2:$E$51,$U85)&gt;0),0,1))</f>
      </c>
      <c r="W85" s="44">
        <f>IF($V85=1,N(W84)+1,N(W84))</f>
      </c>
    </row>
    <row r="86" s="44" customFormat="1" spans="1:23">
      <c r="A86" s="116">
        <f>IF($S86="","",INDEX(数据录入!$B$5:$B$4999,$S86))</f>
      </c>
      <c r="B86" s="44">
        <f>IF($S86="","",INDEX(数据录入!$C$5:$C$4999,$S86)&amp;"")</f>
      </c>
      <c r="C86" s="165">
        <f>IF($S86="","",IF(N($F86)&gt;0,"收款",IF(N($G86)&gt;0,"付款","")))</f>
      </c>
      <c r="D86" s="44">
        <f>IF($S86="","",IF((INDEX(数据录入!$I$5:$I$4999,$S86)&amp;"")&lt;&gt;"",INDEX(数据录入!$I$5:$I$4999,$S86)&amp;"",INDEX(数据录入!$J$5:$J$4999,$S86)&amp;""))</f>
      </c>
      <c r="E86" s="108">
        <f>IF($S86="","",INDEX(数据录入!$E$5:$E$4999,$S86)&amp;"")</f>
      </c>
      <c r="F86" s="114">
        <f>IF($S86="","",N(INDEX(数据录入!$F$5:$F$4999,$S86)))</f>
      </c>
      <c r="G86" s="114">
        <f>IF($S86="","",N(INDEX(数据录入!$G$5:$G$4999,$S86)))</f>
      </c>
      <c r="H86" s="114">
        <f>IF($S86="","",$G$2+SUM($F$8:$F86)-SUM($G$8:$G86))</f>
      </c>
      <c r="J86" s="165">
        <f>IF($K86="","",79)</f>
      </c>
      <c r="K86" s="44">
        <f>IFERROR(INDEX($U$8:$U$107,MATCH(79,$W$8:$W$107,0)),"")</f>
      </c>
      <c r="L86" s="114">
        <f>IF($K86="","",(SUMIFS(数据录入!$F$5:$F$4999,$Q$5:$Q$4999,1,数据录入!$B$5:$B$4999,"&lt;"&amp;$B$2,数据录入!$I$5:$I$4999,$K86)+SUMIFS(数据录入!$F$5:$F$4999,$Q$5:$Q$4999,1,数据录入!$B$5:$B$4999,"&lt;"&amp;$B$2,数据录入!$J$5:$J$4999,$K86))-(SUMIFS(数据录入!$G$5:$G$4999,$Q$5:$Q$4999,1,数据录入!$B$5:$B$4999,"&lt;"&amp;$B$2,数据录入!$I$5:$I$4999,$K86)+SUMIFS(数据录入!$G$5:$G$4999,$Q$5:$Q$4999,1,数据录入!$B$5:$B$4999,"&lt;"&amp;$B$2,数据录入!$J$5:$J$4999,$K86)))</f>
      </c>
      <c r="M86" s="114">
        <f>IF($K86="","",SUMIFS(数据录入!$F$5:$F$4999,$Q$5:$Q$4999,1,数据录入!$B$5:$B$4999,"&gt;="&amp;$B$2,数据录入!$B$5:$B$4999,"&lt;="&amp;$D$2,数据录入!$I$5:$I$4999,$K86)+SUMIFS(数据录入!$F$5:$F$4999,$Q$5:$Q$4999,1,数据录入!$B$5:$B$4999,"&gt;="&amp;$B$2,数据录入!$B$5:$B$4999,"&lt;="&amp;$D$2,数据录入!$J$5:$J$4999,$K86))</f>
      </c>
      <c r="N86" s="114">
        <f>IF($K86="","",SUMIFS(数据录入!$G$5:$G$4999,$Q$5:$Q$4999,1,数据录入!$B$5:$B$4999,"&gt;="&amp;$B$2,数据录入!$B$5:$B$4999,"&lt;="&amp;$D$2,数据录入!$I$5:$I$4999,$K86)+SUMIFS(数据录入!$G$5:$G$4999,$Q$5:$Q$4999,1,数据录入!$B$5:$B$4999,"&gt;="&amp;$B$2,数据录入!$B$5:$B$4999,"&lt;="&amp;$D$2,数据录入!$J$5:$J$4999,$K86))</f>
      </c>
      <c r="O86" s="114">
        <f>IF($K86="","",L86+M86-N86)</f>
      </c>
      <c r="Q86" s="44">
        <f>IF(数据录入!$B86="",0,IF(OR(数据录入!$D86="投标保证金",数据录入!$D86="合同履约保证金",ISNUMBER(FIND("保证金",数据录入!$E86))),1,0))</f>
      </c>
      <c r="R86" s="44">
        <f>IF(AND($Q86=1,数据录入!$B86&gt;=$B$2,数据录入!$B86&lt;=$D$2),N(R85)+1,N(R85))</f>
      </c>
      <c r="S86" s="44">
        <f>IFERROR(MATCH(79,$R$5:$R$4999,0),"")</f>
      </c>
      <c r="U86" s="44">
        <f>IFERROR(IF(79&lt;=50,INDEX(基础资料!$E$2:$E$51,79)&amp;"",INDEX(基础资料!$G$2:$G$51,79-50)&amp;""),"")</f>
      </c>
      <c r="V86" s="44">
        <f>IF($U86="",0,IF(AND(79&gt;50,COUNTIF(基础资料!$E$2:$E$51,$U86)&gt;0),0,1))</f>
      </c>
      <c r="W86" s="44">
        <f>IF($V86=1,N(W85)+1,N(W85))</f>
      </c>
    </row>
    <row r="87" s="44" customFormat="1" spans="1:23">
      <c r="A87" s="116">
        <f>IF($S87="","",INDEX(数据录入!$B$5:$B$4999,$S87))</f>
      </c>
      <c r="B87" s="44">
        <f>IF($S87="","",INDEX(数据录入!$C$5:$C$4999,$S87)&amp;"")</f>
      </c>
      <c r="C87" s="165">
        <f>IF($S87="","",IF(N($F87)&gt;0,"收款",IF(N($G87)&gt;0,"付款","")))</f>
      </c>
      <c r="D87" s="44">
        <f>IF($S87="","",IF((INDEX(数据录入!$I$5:$I$4999,$S87)&amp;"")&lt;&gt;"",INDEX(数据录入!$I$5:$I$4999,$S87)&amp;"",INDEX(数据录入!$J$5:$J$4999,$S87)&amp;""))</f>
      </c>
      <c r="E87" s="108">
        <f>IF($S87="","",INDEX(数据录入!$E$5:$E$4999,$S87)&amp;"")</f>
      </c>
      <c r="F87" s="114">
        <f>IF($S87="","",N(INDEX(数据录入!$F$5:$F$4999,$S87)))</f>
      </c>
      <c r="G87" s="114">
        <f>IF($S87="","",N(INDEX(数据录入!$G$5:$G$4999,$S87)))</f>
      </c>
      <c r="H87" s="114">
        <f>IF($S87="","",$G$2+SUM($F$8:$F87)-SUM($G$8:$G87))</f>
      </c>
      <c r="J87" s="165">
        <f>IF($K87="","",80)</f>
      </c>
      <c r="K87" s="44">
        <f>IFERROR(INDEX($U$8:$U$107,MATCH(80,$W$8:$W$107,0)),"")</f>
      </c>
      <c r="L87" s="114">
        <f>IF($K87="","",(SUMIFS(数据录入!$F$5:$F$4999,$Q$5:$Q$4999,1,数据录入!$B$5:$B$4999,"&lt;"&amp;$B$2,数据录入!$I$5:$I$4999,$K87)+SUMIFS(数据录入!$F$5:$F$4999,$Q$5:$Q$4999,1,数据录入!$B$5:$B$4999,"&lt;"&amp;$B$2,数据录入!$J$5:$J$4999,$K87))-(SUMIFS(数据录入!$G$5:$G$4999,$Q$5:$Q$4999,1,数据录入!$B$5:$B$4999,"&lt;"&amp;$B$2,数据录入!$I$5:$I$4999,$K87)+SUMIFS(数据录入!$G$5:$G$4999,$Q$5:$Q$4999,1,数据录入!$B$5:$B$4999,"&lt;"&amp;$B$2,数据录入!$J$5:$J$4999,$K87)))</f>
      </c>
      <c r="M87" s="114">
        <f>IF($K87="","",SUMIFS(数据录入!$F$5:$F$4999,$Q$5:$Q$4999,1,数据录入!$B$5:$B$4999,"&gt;="&amp;$B$2,数据录入!$B$5:$B$4999,"&lt;="&amp;$D$2,数据录入!$I$5:$I$4999,$K87)+SUMIFS(数据录入!$F$5:$F$4999,$Q$5:$Q$4999,1,数据录入!$B$5:$B$4999,"&gt;="&amp;$B$2,数据录入!$B$5:$B$4999,"&lt;="&amp;$D$2,数据录入!$J$5:$J$4999,$K87))</f>
      </c>
      <c r="N87" s="114">
        <f>IF($K87="","",SUMIFS(数据录入!$G$5:$G$4999,$Q$5:$Q$4999,1,数据录入!$B$5:$B$4999,"&gt;="&amp;$B$2,数据录入!$B$5:$B$4999,"&lt;="&amp;$D$2,数据录入!$I$5:$I$4999,$K87)+SUMIFS(数据录入!$G$5:$G$4999,$Q$5:$Q$4999,1,数据录入!$B$5:$B$4999,"&gt;="&amp;$B$2,数据录入!$B$5:$B$4999,"&lt;="&amp;$D$2,数据录入!$J$5:$J$4999,$K87))</f>
      </c>
      <c r="O87" s="114">
        <f>IF($K87="","",L87+M87-N87)</f>
      </c>
      <c r="Q87" s="44">
        <f>IF(数据录入!$B87="",0,IF(OR(数据录入!$D87="投标保证金",数据录入!$D87="合同履约保证金",ISNUMBER(FIND("保证金",数据录入!$E87))),1,0))</f>
      </c>
      <c r="R87" s="44">
        <f>IF(AND($Q87=1,数据录入!$B87&gt;=$B$2,数据录入!$B87&lt;=$D$2),N(R86)+1,N(R86))</f>
      </c>
      <c r="S87" s="44">
        <f>IFERROR(MATCH(80,$R$5:$R$4999,0),"")</f>
      </c>
      <c r="U87" s="44">
        <f>IFERROR(IF(80&lt;=50,INDEX(基础资料!$E$2:$E$51,80)&amp;"",INDEX(基础资料!$G$2:$G$51,80-50)&amp;""),"")</f>
      </c>
      <c r="V87" s="44">
        <f>IF($U87="",0,IF(AND(80&gt;50,COUNTIF(基础资料!$E$2:$E$51,$U87)&gt;0),0,1))</f>
      </c>
      <c r="W87" s="44">
        <f>IF($V87=1,N(W86)+1,N(W86))</f>
      </c>
    </row>
    <row r="88" s="44" customFormat="1" spans="1:23">
      <c r="A88" s="116">
        <f>IF($S88="","",INDEX(数据录入!$B$5:$B$4999,$S88))</f>
      </c>
      <c r="B88" s="44">
        <f>IF($S88="","",INDEX(数据录入!$C$5:$C$4999,$S88)&amp;"")</f>
      </c>
      <c r="C88" s="165">
        <f>IF($S88="","",IF(N($F88)&gt;0,"收款",IF(N($G88)&gt;0,"付款","")))</f>
      </c>
      <c r="D88" s="44">
        <f>IF($S88="","",IF((INDEX(数据录入!$I$5:$I$4999,$S88)&amp;"")&lt;&gt;"",INDEX(数据录入!$I$5:$I$4999,$S88)&amp;"",INDEX(数据录入!$J$5:$J$4999,$S88)&amp;""))</f>
      </c>
      <c r="E88" s="108">
        <f>IF($S88="","",INDEX(数据录入!$E$5:$E$4999,$S88)&amp;"")</f>
      </c>
      <c r="F88" s="114">
        <f>IF($S88="","",N(INDEX(数据录入!$F$5:$F$4999,$S88)))</f>
      </c>
      <c r="G88" s="114">
        <f>IF($S88="","",N(INDEX(数据录入!$G$5:$G$4999,$S88)))</f>
      </c>
      <c r="H88" s="114">
        <f>IF($S88="","",$G$2+SUM($F$8:$F88)-SUM($G$8:$G88))</f>
      </c>
      <c r="J88" s="165">
        <f>IF($K88="","",81)</f>
      </c>
      <c r="K88" s="44">
        <f>IFERROR(INDEX($U$8:$U$107,MATCH(81,$W$8:$W$107,0)),"")</f>
      </c>
      <c r="L88" s="114">
        <f>IF($K88="","",(SUMIFS(数据录入!$F$5:$F$4999,$Q$5:$Q$4999,1,数据录入!$B$5:$B$4999,"&lt;"&amp;$B$2,数据录入!$I$5:$I$4999,$K88)+SUMIFS(数据录入!$F$5:$F$4999,$Q$5:$Q$4999,1,数据录入!$B$5:$B$4999,"&lt;"&amp;$B$2,数据录入!$J$5:$J$4999,$K88))-(SUMIFS(数据录入!$G$5:$G$4999,$Q$5:$Q$4999,1,数据录入!$B$5:$B$4999,"&lt;"&amp;$B$2,数据录入!$I$5:$I$4999,$K88)+SUMIFS(数据录入!$G$5:$G$4999,$Q$5:$Q$4999,1,数据录入!$B$5:$B$4999,"&lt;"&amp;$B$2,数据录入!$J$5:$J$4999,$K88)))</f>
      </c>
      <c r="M88" s="114">
        <f>IF($K88="","",SUMIFS(数据录入!$F$5:$F$4999,$Q$5:$Q$4999,1,数据录入!$B$5:$B$4999,"&gt;="&amp;$B$2,数据录入!$B$5:$B$4999,"&lt;="&amp;$D$2,数据录入!$I$5:$I$4999,$K88)+SUMIFS(数据录入!$F$5:$F$4999,$Q$5:$Q$4999,1,数据录入!$B$5:$B$4999,"&gt;="&amp;$B$2,数据录入!$B$5:$B$4999,"&lt;="&amp;$D$2,数据录入!$J$5:$J$4999,$K88))</f>
      </c>
      <c r="N88" s="114">
        <f>IF($K88="","",SUMIFS(数据录入!$G$5:$G$4999,$Q$5:$Q$4999,1,数据录入!$B$5:$B$4999,"&gt;="&amp;$B$2,数据录入!$B$5:$B$4999,"&lt;="&amp;$D$2,数据录入!$I$5:$I$4999,$K88)+SUMIFS(数据录入!$G$5:$G$4999,$Q$5:$Q$4999,1,数据录入!$B$5:$B$4999,"&gt;="&amp;$B$2,数据录入!$B$5:$B$4999,"&lt;="&amp;$D$2,数据录入!$J$5:$J$4999,$K88))</f>
      </c>
      <c r="O88" s="114">
        <f>IF($K88="","",L88+M88-N88)</f>
      </c>
      <c r="Q88" s="44">
        <f>IF(数据录入!$B88="",0,IF(OR(数据录入!$D88="投标保证金",数据录入!$D88="合同履约保证金",ISNUMBER(FIND("保证金",数据录入!$E88))),1,0))</f>
      </c>
      <c r="R88" s="44">
        <f>IF(AND($Q88=1,数据录入!$B88&gt;=$B$2,数据录入!$B88&lt;=$D$2),N(R87)+1,N(R87))</f>
      </c>
      <c r="S88" s="44">
        <f>IFERROR(MATCH(81,$R$5:$R$4999,0),"")</f>
      </c>
      <c r="U88" s="44">
        <f>IFERROR(IF(81&lt;=50,INDEX(基础资料!$E$2:$E$51,81)&amp;"",INDEX(基础资料!$G$2:$G$51,81-50)&amp;""),"")</f>
      </c>
      <c r="V88" s="44">
        <f>IF($U88="",0,IF(AND(81&gt;50,COUNTIF(基础资料!$E$2:$E$51,$U88)&gt;0),0,1))</f>
      </c>
      <c r="W88" s="44">
        <f>IF($V88=1,N(W87)+1,N(W87))</f>
      </c>
    </row>
    <row r="89" s="44" customFormat="1" spans="1:23">
      <c r="A89" s="116">
        <f>IF($S89="","",INDEX(数据录入!$B$5:$B$4999,$S89))</f>
      </c>
      <c r="B89" s="44">
        <f>IF($S89="","",INDEX(数据录入!$C$5:$C$4999,$S89)&amp;"")</f>
      </c>
      <c r="C89" s="165">
        <f>IF($S89="","",IF(N($F89)&gt;0,"收款",IF(N($G89)&gt;0,"付款","")))</f>
      </c>
      <c r="D89" s="44">
        <f>IF($S89="","",IF((INDEX(数据录入!$I$5:$I$4999,$S89)&amp;"")&lt;&gt;"",INDEX(数据录入!$I$5:$I$4999,$S89)&amp;"",INDEX(数据录入!$J$5:$J$4999,$S89)&amp;""))</f>
      </c>
      <c r="E89" s="108">
        <f>IF($S89="","",INDEX(数据录入!$E$5:$E$4999,$S89)&amp;"")</f>
      </c>
      <c r="F89" s="114">
        <f>IF($S89="","",N(INDEX(数据录入!$F$5:$F$4999,$S89)))</f>
      </c>
      <c r="G89" s="114">
        <f>IF($S89="","",N(INDEX(数据录入!$G$5:$G$4999,$S89)))</f>
      </c>
      <c r="H89" s="114">
        <f>IF($S89="","",$G$2+SUM($F$8:$F89)-SUM($G$8:$G89))</f>
      </c>
      <c r="J89" s="165">
        <f>IF($K89="","",82)</f>
      </c>
      <c r="K89" s="44">
        <f>IFERROR(INDEX($U$8:$U$107,MATCH(82,$W$8:$W$107,0)),"")</f>
      </c>
      <c r="L89" s="114">
        <f>IF($K89="","",(SUMIFS(数据录入!$F$5:$F$4999,$Q$5:$Q$4999,1,数据录入!$B$5:$B$4999,"&lt;"&amp;$B$2,数据录入!$I$5:$I$4999,$K89)+SUMIFS(数据录入!$F$5:$F$4999,$Q$5:$Q$4999,1,数据录入!$B$5:$B$4999,"&lt;"&amp;$B$2,数据录入!$J$5:$J$4999,$K89))-(SUMIFS(数据录入!$G$5:$G$4999,$Q$5:$Q$4999,1,数据录入!$B$5:$B$4999,"&lt;"&amp;$B$2,数据录入!$I$5:$I$4999,$K89)+SUMIFS(数据录入!$G$5:$G$4999,$Q$5:$Q$4999,1,数据录入!$B$5:$B$4999,"&lt;"&amp;$B$2,数据录入!$J$5:$J$4999,$K89)))</f>
      </c>
      <c r="M89" s="114">
        <f>IF($K89="","",SUMIFS(数据录入!$F$5:$F$4999,$Q$5:$Q$4999,1,数据录入!$B$5:$B$4999,"&gt;="&amp;$B$2,数据录入!$B$5:$B$4999,"&lt;="&amp;$D$2,数据录入!$I$5:$I$4999,$K89)+SUMIFS(数据录入!$F$5:$F$4999,$Q$5:$Q$4999,1,数据录入!$B$5:$B$4999,"&gt;="&amp;$B$2,数据录入!$B$5:$B$4999,"&lt;="&amp;$D$2,数据录入!$J$5:$J$4999,$K89))</f>
      </c>
      <c r="N89" s="114">
        <f>IF($K89="","",SUMIFS(数据录入!$G$5:$G$4999,$Q$5:$Q$4999,1,数据录入!$B$5:$B$4999,"&gt;="&amp;$B$2,数据录入!$B$5:$B$4999,"&lt;="&amp;$D$2,数据录入!$I$5:$I$4999,$K89)+SUMIFS(数据录入!$G$5:$G$4999,$Q$5:$Q$4999,1,数据录入!$B$5:$B$4999,"&gt;="&amp;$B$2,数据录入!$B$5:$B$4999,"&lt;="&amp;$D$2,数据录入!$J$5:$J$4999,$K89))</f>
      </c>
      <c r="O89" s="114">
        <f>IF($K89="","",L89+M89-N89)</f>
      </c>
      <c r="Q89" s="44">
        <f>IF(数据录入!$B89="",0,IF(OR(数据录入!$D89="投标保证金",数据录入!$D89="合同履约保证金",ISNUMBER(FIND("保证金",数据录入!$E89))),1,0))</f>
      </c>
      <c r="R89" s="44">
        <f>IF(AND($Q89=1,数据录入!$B89&gt;=$B$2,数据录入!$B89&lt;=$D$2),N(R88)+1,N(R88))</f>
      </c>
      <c r="S89" s="44">
        <f>IFERROR(MATCH(82,$R$5:$R$4999,0),"")</f>
      </c>
      <c r="U89" s="44">
        <f>IFERROR(IF(82&lt;=50,INDEX(基础资料!$E$2:$E$51,82)&amp;"",INDEX(基础资料!$G$2:$G$51,82-50)&amp;""),"")</f>
      </c>
      <c r="V89" s="44">
        <f>IF($U89="",0,IF(AND(82&gt;50,COUNTIF(基础资料!$E$2:$E$51,$U89)&gt;0),0,1))</f>
      </c>
      <c r="W89" s="44">
        <f>IF($V89=1,N(W88)+1,N(W88))</f>
      </c>
    </row>
    <row r="90" s="44" customFormat="1" spans="1:23">
      <c r="A90" s="116">
        <f>IF($S90="","",INDEX(数据录入!$B$5:$B$4999,$S90))</f>
      </c>
      <c r="B90" s="44">
        <f>IF($S90="","",INDEX(数据录入!$C$5:$C$4999,$S90)&amp;"")</f>
      </c>
      <c r="C90" s="165">
        <f>IF($S90="","",IF(N($F90)&gt;0,"收款",IF(N($G90)&gt;0,"付款","")))</f>
      </c>
      <c r="D90" s="44">
        <f>IF($S90="","",IF((INDEX(数据录入!$I$5:$I$4999,$S90)&amp;"")&lt;&gt;"",INDEX(数据录入!$I$5:$I$4999,$S90)&amp;"",INDEX(数据录入!$J$5:$J$4999,$S90)&amp;""))</f>
      </c>
      <c r="E90" s="108">
        <f>IF($S90="","",INDEX(数据录入!$E$5:$E$4999,$S90)&amp;"")</f>
      </c>
      <c r="F90" s="114">
        <f>IF($S90="","",N(INDEX(数据录入!$F$5:$F$4999,$S90)))</f>
      </c>
      <c r="G90" s="114">
        <f>IF($S90="","",N(INDEX(数据录入!$G$5:$G$4999,$S90)))</f>
      </c>
      <c r="H90" s="114">
        <f>IF($S90="","",$G$2+SUM($F$8:$F90)-SUM($G$8:$G90))</f>
      </c>
      <c r="J90" s="165">
        <f>IF($K90="","",83)</f>
      </c>
      <c r="K90" s="44">
        <f>IFERROR(INDEX($U$8:$U$107,MATCH(83,$W$8:$W$107,0)),"")</f>
      </c>
      <c r="L90" s="114">
        <f>IF($K90="","",(SUMIFS(数据录入!$F$5:$F$4999,$Q$5:$Q$4999,1,数据录入!$B$5:$B$4999,"&lt;"&amp;$B$2,数据录入!$I$5:$I$4999,$K90)+SUMIFS(数据录入!$F$5:$F$4999,$Q$5:$Q$4999,1,数据录入!$B$5:$B$4999,"&lt;"&amp;$B$2,数据录入!$J$5:$J$4999,$K90))-(SUMIFS(数据录入!$G$5:$G$4999,$Q$5:$Q$4999,1,数据录入!$B$5:$B$4999,"&lt;"&amp;$B$2,数据录入!$I$5:$I$4999,$K90)+SUMIFS(数据录入!$G$5:$G$4999,$Q$5:$Q$4999,1,数据录入!$B$5:$B$4999,"&lt;"&amp;$B$2,数据录入!$J$5:$J$4999,$K90)))</f>
      </c>
      <c r="M90" s="114">
        <f>IF($K90="","",SUMIFS(数据录入!$F$5:$F$4999,$Q$5:$Q$4999,1,数据录入!$B$5:$B$4999,"&gt;="&amp;$B$2,数据录入!$B$5:$B$4999,"&lt;="&amp;$D$2,数据录入!$I$5:$I$4999,$K90)+SUMIFS(数据录入!$F$5:$F$4999,$Q$5:$Q$4999,1,数据录入!$B$5:$B$4999,"&gt;="&amp;$B$2,数据录入!$B$5:$B$4999,"&lt;="&amp;$D$2,数据录入!$J$5:$J$4999,$K90))</f>
      </c>
      <c r="N90" s="114">
        <f>IF($K90="","",SUMIFS(数据录入!$G$5:$G$4999,$Q$5:$Q$4999,1,数据录入!$B$5:$B$4999,"&gt;="&amp;$B$2,数据录入!$B$5:$B$4999,"&lt;="&amp;$D$2,数据录入!$I$5:$I$4999,$K90)+SUMIFS(数据录入!$G$5:$G$4999,$Q$5:$Q$4999,1,数据录入!$B$5:$B$4999,"&gt;="&amp;$B$2,数据录入!$B$5:$B$4999,"&lt;="&amp;$D$2,数据录入!$J$5:$J$4999,$K90))</f>
      </c>
      <c r="O90" s="114">
        <f>IF($K90="","",L90+M90-N90)</f>
      </c>
      <c r="Q90" s="44">
        <f>IF(数据录入!$B90="",0,IF(OR(数据录入!$D90="投标保证金",数据录入!$D90="合同履约保证金",ISNUMBER(FIND("保证金",数据录入!$E90))),1,0))</f>
      </c>
      <c r="R90" s="44">
        <f>IF(AND($Q90=1,数据录入!$B90&gt;=$B$2,数据录入!$B90&lt;=$D$2),N(R89)+1,N(R89))</f>
      </c>
      <c r="S90" s="44">
        <f>IFERROR(MATCH(83,$R$5:$R$4999,0),"")</f>
      </c>
      <c r="U90" s="44">
        <f>IFERROR(IF(83&lt;=50,INDEX(基础资料!$E$2:$E$51,83)&amp;"",INDEX(基础资料!$G$2:$G$51,83-50)&amp;""),"")</f>
      </c>
      <c r="V90" s="44">
        <f>IF($U90="",0,IF(AND(83&gt;50,COUNTIF(基础资料!$E$2:$E$51,$U90)&gt;0),0,1))</f>
      </c>
      <c r="W90" s="44">
        <f>IF($V90=1,N(W89)+1,N(W89))</f>
      </c>
    </row>
    <row r="91" s="44" customFormat="1" spans="1:23">
      <c r="A91" s="116">
        <f>IF($S91="","",INDEX(数据录入!$B$5:$B$4999,$S91))</f>
      </c>
      <c r="B91" s="44">
        <f>IF($S91="","",INDEX(数据录入!$C$5:$C$4999,$S91)&amp;"")</f>
      </c>
      <c r="C91" s="165">
        <f>IF($S91="","",IF(N($F91)&gt;0,"收款",IF(N($G91)&gt;0,"付款","")))</f>
      </c>
      <c r="D91" s="44">
        <f>IF($S91="","",IF((INDEX(数据录入!$I$5:$I$4999,$S91)&amp;"")&lt;&gt;"",INDEX(数据录入!$I$5:$I$4999,$S91)&amp;"",INDEX(数据录入!$J$5:$J$4999,$S91)&amp;""))</f>
      </c>
      <c r="E91" s="108">
        <f>IF($S91="","",INDEX(数据录入!$E$5:$E$4999,$S91)&amp;"")</f>
      </c>
      <c r="F91" s="114">
        <f>IF($S91="","",N(INDEX(数据录入!$F$5:$F$4999,$S91)))</f>
      </c>
      <c r="G91" s="114">
        <f>IF($S91="","",N(INDEX(数据录入!$G$5:$G$4999,$S91)))</f>
      </c>
      <c r="H91" s="114">
        <f>IF($S91="","",$G$2+SUM($F$8:$F91)-SUM($G$8:$G91))</f>
      </c>
      <c r="J91" s="165">
        <f>IF($K91="","",84)</f>
      </c>
      <c r="K91" s="44">
        <f>IFERROR(INDEX($U$8:$U$107,MATCH(84,$W$8:$W$107,0)),"")</f>
      </c>
      <c r="L91" s="114">
        <f>IF($K91="","",(SUMIFS(数据录入!$F$5:$F$4999,$Q$5:$Q$4999,1,数据录入!$B$5:$B$4999,"&lt;"&amp;$B$2,数据录入!$I$5:$I$4999,$K91)+SUMIFS(数据录入!$F$5:$F$4999,$Q$5:$Q$4999,1,数据录入!$B$5:$B$4999,"&lt;"&amp;$B$2,数据录入!$J$5:$J$4999,$K91))-(SUMIFS(数据录入!$G$5:$G$4999,$Q$5:$Q$4999,1,数据录入!$B$5:$B$4999,"&lt;"&amp;$B$2,数据录入!$I$5:$I$4999,$K91)+SUMIFS(数据录入!$G$5:$G$4999,$Q$5:$Q$4999,1,数据录入!$B$5:$B$4999,"&lt;"&amp;$B$2,数据录入!$J$5:$J$4999,$K91)))</f>
      </c>
      <c r="M91" s="114">
        <f>IF($K91="","",SUMIFS(数据录入!$F$5:$F$4999,$Q$5:$Q$4999,1,数据录入!$B$5:$B$4999,"&gt;="&amp;$B$2,数据录入!$B$5:$B$4999,"&lt;="&amp;$D$2,数据录入!$I$5:$I$4999,$K91)+SUMIFS(数据录入!$F$5:$F$4999,$Q$5:$Q$4999,1,数据录入!$B$5:$B$4999,"&gt;="&amp;$B$2,数据录入!$B$5:$B$4999,"&lt;="&amp;$D$2,数据录入!$J$5:$J$4999,$K91))</f>
      </c>
      <c r="N91" s="114">
        <f>IF($K91="","",SUMIFS(数据录入!$G$5:$G$4999,$Q$5:$Q$4999,1,数据录入!$B$5:$B$4999,"&gt;="&amp;$B$2,数据录入!$B$5:$B$4999,"&lt;="&amp;$D$2,数据录入!$I$5:$I$4999,$K91)+SUMIFS(数据录入!$G$5:$G$4999,$Q$5:$Q$4999,1,数据录入!$B$5:$B$4999,"&gt;="&amp;$B$2,数据录入!$B$5:$B$4999,"&lt;="&amp;$D$2,数据录入!$J$5:$J$4999,$K91))</f>
      </c>
      <c r="O91" s="114">
        <f>IF($K91="","",L91+M91-N91)</f>
      </c>
      <c r="Q91" s="44">
        <f>IF(数据录入!$B91="",0,IF(OR(数据录入!$D91="投标保证金",数据录入!$D91="合同履约保证金",ISNUMBER(FIND("保证金",数据录入!$E91))),1,0))</f>
      </c>
      <c r="R91" s="44">
        <f>IF(AND($Q91=1,数据录入!$B91&gt;=$B$2,数据录入!$B91&lt;=$D$2),N(R90)+1,N(R90))</f>
      </c>
      <c r="S91" s="44">
        <f>IFERROR(MATCH(84,$R$5:$R$4999,0),"")</f>
      </c>
      <c r="U91" s="44">
        <f>IFERROR(IF(84&lt;=50,INDEX(基础资料!$E$2:$E$51,84)&amp;"",INDEX(基础资料!$G$2:$G$51,84-50)&amp;""),"")</f>
      </c>
      <c r="V91" s="44">
        <f>IF($U91="",0,IF(AND(84&gt;50,COUNTIF(基础资料!$E$2:$E$51,$U91)&gt;0),0,1))</f>
      </c>
      <c r="W91" s="44">
        <f>IF($V91=1,N(W90)+1,N(W90))</f>
      </c>
    </row>
    <row r="92" s="44" customFormat="1" spans="1:23">
      <c r="A92" s="116">
        <f>IF($S92="","",INDEX(数据录入!$B$5:$B$4999,$S92))</f>
      </c>
      <c r="B92" s="44">
        <f>IF($S92="","",INDEX(数据录入!$C$5:$C$4999,$S92)&amp;"")</f>
      </c>
      <c r="C92" s="165">
        <f>IF($S92="","",IF(N($F92)&gt;0,"收款",IF(N($G92)&gt;0,"付款","")))</f>
      </c>
      <c r="D92" s="44">
        <f>IF($S92="","",IF((INDEX(数据录入!$I$5:$I$4999,$S92)&amp;"")&lt;&gt;"",INDEX(数据录入!$I$5:$I$4999,$S92)&amp;"",INDEX(数据录入!$J$5:$J$4999,$S92)&amp;""))</f>
      </c>
      <c r="E92" s="108">
        <f>IF($S92="","",INDEX(数据录入!$E$5:$E$4999,$S92)&amp;"")</f>
      </c>
      <c r="F92" s="114">
        <f>IF($S92="","",N(INDEX(数据录入!$F$5:$F$4999,$S92)))</f>
      </c>
      <c r="G92" s="114">
        <f>IF($S92="","",N(INDEX(数据录入!$G$5:$G$4999,$S92)))</f>
      </c>
      <c r="H92" s="114">
        <f>IF($S92="","",$G$2+SUM($F$8:$F92)-SUM($G$8:$G92))</f>
      </c>
      <c r="J92" s="165">
        <f>IF($K92="","",85)</f>
      </c>
      <c r="K92" s="44">
        <f>IFERROR(INDEX($U$8:$U$107,MATCH(85,$W$8:$W$107,0)),"")</f>
      </c>
      <c r="L92" s="114">
        <f>IF($K92="","",(SUMIFS(数据录入!$F$5:$F$4999,$Q$5:$Q$4999,1,数据录入!$B$5:$B$4999,"&lt;"&amp;$B$2,数据录入!$I$5:$I$4999,$K92)+SUMIFS(数据录入!$F$5:$F$4999,$Q$5:$Q$4999,1,数据录入!$B$5:$B$4999,"&lt;"&amp;$B$2,数据录入!$J$5:$J$4999,$K92))-(SUMIFS(数据录入!$G$5:$G$4999,$Q$5:$Q$4999,1,数据录入!$B$5:$B$4999,"&lt;"&amp;$B$2,数据录入!$I$5:$I$4999,$K92)+SUMIFS(数据录入!$G$5:$G$4999,$Q$5:$Q$4999,1,数据录入!$B$5:$B$4999,"&lt;"&amp;$B$2,数据录入!$J$5:$J$4999,$K92)))</f>
      </c>
      <c r="M92" s="114">
        <f>IF($K92="","",SUMIFS(数据录入!$F$5:$F$4999,$Q$5:$Q$4999,1,数据录入!$B$5:$B$4999,"&gt;="&amp;$B$2,数据录入!$B$5:$B$4999,"&lt;="&amp;$D$2,数据录入!$I$5:$I$4999,$K92)+SUMIFS(数据录入!$F$5:$F$4999,$Q$5:$Q$4999,1,数据录入!$B$5:$B$4999,"&gt;="&amp;$B$2,数据录入!$B$5:$B$4999,"&lt;="&amp;$D$2,数据录入!$J$5:$J$4999,$K92))</f>
      </c>
      <c r="N92" s="114">
        <f>IF($K92="","",SUMIFS(数据录入!$G$5:$G$4999,$Q$5:$Q$4999,1,数据录入!$B$5:$B$4999,"&gt;="&amp;$B$2,数据录入!$B$5:$B$4999,"&lt;="&amp;$D$2,数据录入!$I$5:$I$4999,$K92)+SUMIFS(数据录入!$G$5:$G$4999,$Q$5:$Q$4999,1,数据录入!$B$5:$B$4999,"&gt;="&amp;$B$2,数据录入!$B$5:$B$4999,"&lt;="&amp;$D$2,数据录入!$J$5:$J$4999,$K92))</f>
      </c>
      <c r="O92" s="114">
        <f>IF($K92="","",L92+M92-N92)</f>
      </c>
      <c r="Q92" s="44">
        <f>IF(数据录入!$B92="",0,IF(OR(数据录入!$D92="投标保证金",数据录入!$D92="合同履约保证金",ISNUMBER(FIND("保证金",数据录入!$E92))),1,0))</f>
      </c>
      <c r="R92" s="44">
        <f>IF(AND($Q92=1,数据录入!$B92&gt;=$B$2,数据录入!$B92&lt;=$D$2),N(R91)+1,N(R91))</f>
      </c>
      <c r="S92" s="44">
        <f>IFERROR(MATCH(85,$R$5:$R$4999,0),"")</f>
      </c>
      <c r="U92" s="44">
        <f>IFERROR(IF(85&lt;=50,INDEX(基础资料!$E$2:$E$51,85)&amp;"",INDEX(基础资料!$G$2:$G$51,85-50)&amp;""),"")</f>
      </c>
      <c r="V92" s="44">
        <f>IF($U92="",0,IF(AND(85&gt;50,COUNTIF(基础资料!$E$2:$E$51,$U92)&gt;0),0,1))</f>
      </c>
      <c r="W92" s="44">
        <f>IF($V92=1,N(W91)+1,N(W91))</f>
      </c>
    </row>
    <row r="93" s="44" customFormat="1" spans="1:23">
      <c r="A93" s="116">
        <f>IF($S93="","",INDEX(数据录入!$B$5:$B$4999,$S93))</f>
      </c>
      <c r="B93" s="44">
        <f>IF($S93="","",INDEX(数据录入!$C$5:$C$4999,$S93)&amp;"")</f>
      </c>
      <c r="C93" s="165">
        <f>IF($S93="","",IF(N($F93)&gt;0,"收款",IF(N($G93)&gt;0,"付款","")))</f>
      </c>
      <c r="D93" s="44">
        <f>IF($S93="","",IF((INDEX(数据录入!$I$5:$I$4999,$S93)&amp;"")&lt;&gt;"",INDEX(数据录入!$I$5:$I$4999,$S93)&amp;"",INDEX(数据录入!$J$5:$J$4999,$S93)&amp;""))</f>
      </c>
      <c r="E93" s="108">
        <f>IF($S93="","",INDEX(数据录入!$E$5:$E$4999,$S93)&amp;"")</f>
      </c>
      <c r="F93" s="114">
        <f>IF($S93="","",N(INDEX(数据录入!$F$5:$F$4999,$S93)))</f>
      </c>
      <c r="G93" s="114">
        <f>IF($S93="","",N(INDEX(数据录入!$G$5:$G$4999,$S93)))</f>
      </c>
      <c r="H93" s="114">
        <f>IF($S93="","",$G$2+SUM($F$8:$F93)-SUM($G$8:$G93))</f>
      </c>
      <c r="J93" s="165">
        <f>IF($K93="","",86)</f>
      </c>
      <c r="K93" s="44">
        <f>IFERROR(INDEX($U$8:$U$107,MATCH(86,$W$8:$W$107,0)),"")</f>
      </c>
      <c r="L93" s="114">
        <f>IF($K93="","",(SUMIFS(数据录入!$F$5:$F$4999,$Q$5:$Q$4999,1,数据录入!$B$5:$B$4999,"&lt;"&amp;$B$2,数据录入!$I$5:$I$4999,$K93)+SUMIFS(数据录入!$F$5:$F$4999,$Q$5:$Q$4999,1,数据录入!$B$5:$B$4999,"&lt;"&amp;$B$2,数据录入!$J$5:$J$4999,$K93))-(SUMIFS(数据录入!$G$5:$G$4999,$Q$5:$Q$4999,1,数据录入!$B$5:$B$4999,"&lt;"&amp;$B$2,数据录入!$I$5:$I$4999,$K93)+SUMIFS(数据录入!$G$5:$G$4999,$Q$5:$Q$4999,1,数据录入!$B$5:$B$4999,"&lt;"&amp;$B$2,数据录入!$J$5:$J$4999,$K93)))</f>
      </c>
      <c r="M93" s="114">
        <f>IF($K93="","",SUMIFS(数据录入!$F$5:$F$4999,$Q$5:$Q$4999,1,数据录入!$B$5:$B$4999,"&gt;="&amp;$B$2,数据录入!$B$5:$B$4999,"&lt;="&amp;$D$2,数据录入!$I$5:$I$4999,$K93)+SUMIFS(数据录入!$F$5:$F$4999,$Q$5:$Q$4999,1,数据录入!$B$5:$B$4999,"&gt;="&amp;$B$2,数据录入!$B$5:$B$4999,"&lt;="&amp;$D$2,数据录入!$J$5:$J$4999,$K93))</f>
      </c>
      <c r="N93" s="114">
        <f>IF($K93="","",SUMIFS(数据录入!$G$5:$G$4999,$Q$5:$Q$4999,1,数据录入!$B$5:$B$4999,"&gt;="&amp;$B$2,数据录入!$B$5:$B$4999,"&lt;="&amp;$D$2,数据录入!$I$5:$I$4999,$K93)+SUMIFS(数据录入!$G$5:$G$4999,$Q$5:$Q$4999,1,数据录入!$B$5:$B$4999,"&gt;="&amp;$B$2,数据录入!$B$5:$B$4999,"&lt;="&amp;$D$2,数据录入!$J$5:$J$4999,$K93))</f>
      </c>
      <c r="O93" s="114">
        <f>IF($K93="","",L93+M93-N93)</f>
      </c>
      <c r="Q93" s="44">
        <f>IF(数据录入!$B93="",0,IF(OR(数据录入!$D93="投标保证金",数据录入!$D93="合同履约保证金",ISNUMBER(FIND("保证金",数据录入!$E93))),1,0))</f>
      </c>
      <c r="R93" s="44">
        <f>IF(AND($Q93=1,数据录入!$B93&gt;=$B$2,数据录入!$B93&lt;=$D$2),N(R92)+1,N(R92))</f>
      </c>
      <c r="S93" s="44">
        <f>IFERROR(MATCH(86,$R$5:$R$4999,0),"")</f>
      </c>
      <c r="U93" s="44">
        <f>IFERROR(IF(86&lt;=50,INDEX(基础资料!$E$2:$E$51,86)&amp;"",INDEX(基础资料!$G$2:$G$51,86-50)&amp;""),"")</f>
      </c>
      <c r="V93" s="44">
        <f>IF($U93="",0,IF(AND(86&gt;50,COUNTIF(基础资料!$E$2:$E$51,$U93)&gt;0),0,1))</f>
      </c>
      <c r="W93" s="44">
        <f>IF($V93=1,N(W92)+1,N(W92))</f>
      </c>
    </row>
    <row r="94" s="44" customFormat="1" spans="1:23">
      <c r="A94" s="116">
        <f>IF($S94="","",INDEX(数据录入!$B$5:$B$4999,$S94))</f>
      </c>
      <c r="B94" s="44">
        <f>IF($S94="","",INDEX(数据录入!$C$5:$C$4999,$S94)&amp;"")</f>
      </c>
      <c r="C94" s="165">
        <f>IF($S94="","",IF(N($F94)&gt;0,"收款",IF(N($G94)&gt;0,"付款","")))</f>
      </c>
      <c r="D94" s="44">
        <f>IF($S94="","",IF((INDEX(数据录入!$I$5:$I$4999,$S94)&amp;"")&lt;&gt;"",INDEX(数据录入!$I$5:$I$4999,$S94)&amp;"",INDEX(数据录入!$J$5:$J$4999,$S94)&amp;""))</f>
      </c>
      <c r="E94" s="108">
        <f>IF($S94="","",INDEX(数据录入!$E$5:$E$4999,$S94)&amp;"")</f>
      </c>
      <c r="F94" s="114">
        <f>IF($S94="","",N(INDEX(数据录入!$F$5:$F$4999,$S94)))</f>
      </c>
      <c r="G94" s="114">
        <f>IF($S94="","",N(INDEX(数据录入!$G$5:$G$4999,$S94)))</f>
      </c>
      <c r="H94" s="114">
        <f>IF($S94="","",$G$2+SUM($F$8:$F94)-SUM($G$8:$G94))</f>
      </c>
      <c r="J94" s="165">
        <f>IF($K94="","",87)</f>
      </c>
      <c r="K94" s="44">
        <f>IFERROR(INDEX($U$8:$U$107,MATCH(87,$W$8:$W$107,0)),"")</f>
      </c>
      <c r="L94" s="114">
        <f>IF($K94="","",(SUMIFS(数据录入!$F$5:$F$4999,$Q$5:$Q$4999,1,数据录入!$B$5:$B$4999,"&lt;"&amp;$B$2,数据录入!$I$5:$I$4999,$K94)+SUMIFS(数据录入!$F$5:$F$4999,$Q$5:$Q$4999,1,数据录入!$B$5:$B$4999,"&lt;"&amp;$B$2,数据录入!$J$5:$J$4999,$K94))-(SUMIFS(数据录入!$G$5:$G$4999,$Q$5:$Q$4999,1,数据录入!$B$5:$B$4999,"&lt;"&amp;$B$2,数据录入!$I$5:$I$4999,$K94)+SUMIFS(数据录入!$G$5:$G$4999,$Q$5:$Q$4999,1,数据录入!$B$5:$B$4999,"&lt;"&amp;$B$2,数据录入!$J$5:$J$4999,$K94)))</f>
      </c>
      <c r="M94" s="114">
        <f>IF($K94="","",SUMIFS(数据录入!$F$5:$F$4999,$Q$5:$Q$4999,1,数据录入!$B$5:$B$4999,"&gt;="&amp;$B$2,数据录入!$B$5:$B$4999,"&lt;="&amp;$D$2,数据录入!$I$5:$I$4999,$K94)+SUMIFS(数据录入!$F$5:$F$4999,$Q$5:$Q$4999,1,数据录入!$B$5:$B$4999,"&gt;="&amp;$B$2,数据录入!$B$5:$B$4999,"&lt;="&amp;$D$2,数据录入!$J$5:$J$4999,$K94))</f>
      </c>
      <c r="N94" s="114">
        <f>IF($K94="","",SUMIFS(数据录入!$G$5:$G$4999,$Q$5:$Q$4999,1,数据录入!$B$5:$B$4999,"&gt;="&amp;$B$2,数据录入!$B$5:$B$4999,"&lt;="&amp;$D$2,数据录入!$I$5:$I$4999,$K94)+SUMIFS(数据录入!$G$5:$G$4999,$Q$5:$Q$4999,1,数据录入!$B$5:$B$4999,"&gt;="&amp;$B$2,数据录入!$B$5:$B$4999,"&lt;="&amp;$D$2,数据录入!$J$5:$J$4999,$K94))</f>
      </c>
      <c r="O94" s="114">
        <f>IF($K94="","",L94+M94-N94)</f>
      </c>
      <c r="Q94" s="44">
        <f>IF(数据录入!$B94="",0,IF(OR(数据录入!$D94="投标保证金",数据录入!$D94="合同履约保证金",ISNUMBER(FIND("保证金",数据录入!$E94))),1,0))</f>
      </c>
      <c r="R94" s="44">
        <f>IF(AND($Q94=1,数据录入!$B94&gt;=$B$2,数据录入!$B94&lt;=$D$2),N(R93)+1,N(R93))</f>
      </c>
      <c r="S94" s="44">
        <f>IFERROR(MATCH(87,$R$5:$R$4999,0),"")</f>
      </c>
      <c r="U94" s="44">
        <f>IFERROR(IF(87&lt;=50,INDEX(基础资料!$E$2:$E$51,87)&amp;"",INDEX(基础资料!$G$2:$G$51,87-50)&amp;""),"")</f>
      </c>
      <c r="V94" s="44">
        <f>IF($U94="",0,IF(AND(87&gt;50,COUNTIF(基础资料!$E$2:$E$51,$U94)&gt;0),0,1))</f>
      </c>
      <c r="W94" s="44">
        <f>IF($V94=1,N(W93)+1,N(W93))</f>
      </c>
    </row>
    <row r="95" s="44" customFormat="1" spans="1:23">
      <c r="A95" s="116">
        <f>IF($S95="","",INDEX(数据录入!$B$5:$B$4999,$S95))</f>
      </c>
      <c r="B95" s="44">
        <f>IF($S95="","",INDEX(数据录入!$C$5:$C$4999,$S95)&amp;"")</f>
      </c>
      <c r="C95" s="165">
        <f>IF($S95="","",IF(N($F95)&gt;0,"收款",IF(N($G95)&gt;0,"付款","")))</f>
      </c>
      <c r="D95" s="44">
        <f>IF($S95="","",IF((INDEX(数据录入!$I$5:$I$4999,$S95)&amp;"")&lt;&gt;"",INDEX(数据录入!$I$5:$I$4999,$S95)&amp;"",INDEX(数据录入!$J$5:$J$4999,$S95)&amp;""))</f>
      </c>
      <c r="E95" s="108">
        <f>IF($S95="","",INDEX(数据录入!$E$5:$E$4999,$S95)&amp;"")</f>
      </c>
      <c r="F95" s="114">
        <f>IF($S95="","",N(INDEX(数据录入!$F$5:$F$4999,$S95)))</f>
      </c>
      <c r="G95" s="114">
        <f>IF($S95="","",N(INDEX(数据录入!$G$5:$G$4999,$S95)))</f>
      </c>
      <c r="H95" s="114">
        <f>IF($S95="","",$G$2+SUM($F$8:$F95)-SUM($G$8:$G95))</f>
      </c>
      <c r="J95" s="165">
        <f>IF($K95="","",88)</f>
      </c>
      <c r="K95" s="44">
        <f>IFERROR(INDEX($U$8:$U$107,MATCH(88,$W$8:$W$107,0)),"")</f>
      </c>
      <c r="L95" s="114">
        <f>IF($K95="","",(SUMIFS(数据录入!$F$5:$F$4999,$Q$5:$Q$4999,1,数据录入!$B$5:$B$4999,"&lt;"&amp;$B$2,数据录入!$I$5:$I$4999,$K95)+SUMIFS(数据录入!$F$5:$F$4999,$Q$5:$Q$4999,1,数据录入!$B$5:$B$4999,"&lt;"&amp;$B$2,数据录入!$J$5:$J$4999,$K95))-(SUMIFS(数据录入!$G$5:$G$4999,$Q$5:$Q$4999,1,数据录入!$B$5:$B$4999,"&lt;"&amp;$B$2,数据录入!$I$5:$I$4999,$K95)+SUMIFS(数据录入!$G$5:$G$4999,$Q$5:$Q$4999,1,数据录入!$B$5:$B$4999,"&lt;"&amp;$B$2,数据录入!$J$5:$J$4999,$K95)))</f>
      </c>
      <c r="M95" s="114">
        <f>IF($K95="","",SUMIFS(数据录入!$F$5:$F$4999,$Q$5:$Q$4999,1,数据录入!$B$5:$B$4999,"&gt;="&amp;$B$2,数据录入!$B$5:$B$4999,"&lt;="&amp;$D$2,数据录入!$I$5:$I$4999,$K95)+SUMIFS(数据录入!$F$5:$F$4999,$Q$5:$Q$4999,1,数据录入!$B$5:$B$4999,"&gt;="&amp;$B$2,数据录入!$B$5:$B$4999,"&lt;="&amp;$D$2,数据录入!$J$5:$J$4999,$K95))</f>
      </c>
      <c r="N95" s="114">
        <f>IF($K95="","",SUMIFS(数据录入!$G$5:$G$4999,$Q$5:$Q$4999,1,数据录入!$B$5:$B$4999,"&gt;="&amp;$B$2,数据录入!$B$5:$B$4999,"&lt;="&amp;$D$2,数据录入!$I$5:$I$4999,$K95)+SUMIFS(数据录入!$G$5:$G$4999,$Q$5:$Q$4999,1,数据录入!$B$5:$B$4999,"&gt;="&amp;$B$2,数据录入!$B$5:$B$4999,"&lt;="&amp;$D$2,数据录入!$J$5:$J$4999,$K95))</f>
      </c>
      <c r="O95" s="114">
        <f>IF($K95="","",L95+M95-N95)</f>
      </c>
      <c r="Q95" s="44">
        <f>IF(数据录入!$B95="",0,IF(OR(数据录入!$D95="投标保证金",数据录入!$D95="合同履约保证金",ISNUMBER(FIND("保证金",数据录入!$E95))),1,0))</f>
      </c>
      <c r="R95" s="44">
        <f>IF(AND($Q95=1,数据录入!$B95&gt;=$B$2,数据录入!$B95&lt;=$D$2),N(R94)+1,N(R94))</f>
      </c>
      <c r="S95" s="44">
        <f>IFERROR(MATCH(88,$R$5:$R$4999,0),"")</f>
      </c>
      <c r="U95" s="44">
        <f>IFERROR(IF(88&lt;=50,INDEX(基础资料!$E$2:$E$51,88)&amp;"",INDEX(基础资料!$G$2:$G$51,88-50)&amp;""),"")</f>
      </c>
      <c r="V95" s="44">
        <f>IF($U95="",0,IF(AND(88&gt;50,COUNTIF(基础资料!$E$2:$E$51,$U95)&gt;0),0,1))</f>
      </c>
      <c r="W95" s="44">
        <f>IF($V95=1,N(W94)+1,N(W94))</f>
      </c>
    </row>
    <row r="96" s="44" customFormat="1" spans="1:23">
      <c r="A96" s="116">
        <f>IF($S96="","",INDEX(数据录入!$B$5:$B$4999,$S96))</f>
      </c>
      <c r="B96" s="44">
        <f>IF($S96="","",INDEX(数据录入!$C$5:$C$4999,$S96)&amp;"")</f>
      </c>
      <c r="C96" s="165">
        <f>IF($S96="","",IF(N($F96)&gt;0,"收款",IF(N($G96)&gt;0,"付款","")))</f>
      </c>
      <c r="D96" s="44">
        <f>IF($S96="","",IF((INDEX(数据录入!$I$5:$I$4999,$S96)&amp;"")&lt;&gt;"",INDEX(数据录入!$I$5:$I$4999,$S96)&amp;"",INDEX(数据录入!$J$5:$J$4999,$S96)&amp;""))</f>
      </c>
      <c r="E96" s="108">
        <f>IF($S96="","",INDEX(数据录入!$E$5:$E$4999,$S96)&amp;"")</f>
      </c>
      <c r="F96" s="114">
        <f>IF($S96="","",N(INDEX(数据录入!$F$5:$F$4999,$S96)))</f>
      </c>
      <c r="G96" s="114">
        <f>IF($S96="","",N(INDEX(数据录入!$G$5:$G$4999,$S96)))</f>
      </c>
      <c r="H96" s="114">
        <f>IF($S96="","",$G$2+SUM($F$8:$F96)-SUM($G$8:$G96))</f>
      </c>
      <c r="J96" s="165">
        <f>IF($K96="","",89)</f>
      </c>
      <c r="K96" s="44">
        <f>IFERROR(INDEX($U$8:$U$107,MATCH(89,$W$8:$W$107,0)),"")</f>
      </c>
      <c r="L96" s="114">
        <f>IF($K96="","",(SUMIFS(数据录入!$F$5:$F$4999,$Q$5:$Q$4999,1,数据录入!$B$5:$B$4999,"&lt;"&amp;$B$2,数据录入!$I$5:$I$4999,$K96)+SUMIFS(数据录入!$F$5:$F$4999,$Q$5:$Q$4999,1,数据录入!$B$5:$B$4999,"&lt;"&amp;$B$2,数据录入!$J$5:$J$4999,$K96))-(SUMIFS(数据录入!$G$5:$G$4999,$Q$5:$Q$4999,1,数据录入!$B$5:$B$4999,"&lt;"&amp;$B$2,数据录入!$I$5:$I$4999,$K96)+SUMIFS(数据录入!$G$5:$G$4999,$Q$5:$Q$4999,1,数据录入!$B$5:$B$4999,"&lt;"&amp;$B$2,数据录入!$J$5:$J$4999,$K96)))</f>
      </c>
      <c r="M96" s="114">
        <f>IF($K96="","",SUMIFS(数据录入!$F$5:$F$4999,$Q$5:$Q$4999,1,数据录入!$B$5:$B$4999,"&gt;="&amp;$B$2,数据录入!$B$5:$B$4999,"&lt;="&amp;$D$2,数据录入!$I$5:$I$4999,$K96)+SUMIFS(数据录入!$F$5:$F$4999,$Q$5:$Q$4999,1,数据录入!$B$5:$B$4999,"&gt;="&amp;$B$2,数据录入!$B$5:$B$4999,"&lt;="&amp;$D$2,数据录入!$J$5:$J$4999,$K96))</f>
      </c>
      <c r="N96" s="114">
        <f>IF($K96="","",SUMIFS(数据录入!$G$5:$G$4999,$Q$5:$Q$4999,1,数据录入!$B$5:$B$4999,"&gt;="&amp;$B$2,数据录入!$B$5:$B$4999,"&lt;="&amp;$D$2,数据录入!$I$5:$I$4999,$K96)+SUMIFS(数据录入!$G$5:$G$4999,$Q$5:$Q$4999,1,数据录入!$B$5:$B$4999,"&gt;="&amp;$B$2,数据录入!$B$5:$B$4999,"&lt;="&amp;$D$2,数据录入!$J$5:$J$4999,$K96))</f>
      </c>
      <c r="O96" s="114">
        <f>IF($K96="","",L96+M96-N96)</f>
      </c>
      <c r="Q96" s="44">
        <f>IF(数据录入!$B96="",0,IF(OR(数据录入!$D96="投标保证金",数据录入!$D96="合同履约保证金",ISNUMBER(FIND("保证金",数据录入!$E96))),1,0))</f>
      </c>
      <c r="R96" s="44">
        <f>IF(AND($Q96=1,数据录入!$B96&gt;=$B$2,数据录入!$B96&lt;=$D$2),N(R95)+1,N(R95))</f>
      </c>
      <c r="S96" s="44">
        <f>IFERROR(MATCH(89,$R$5:$R$4999,0),"")</f>
      </c>
      <c r="U96" s="44">
        <f>IFERROR(IF(89&lt;=50,INDEX(基础资料!$E$2:$E$51,89)&amp;"",INDEX(基础资料!$G$2:$G$51,89-50)&amp;""),"")</f>
      </c>
      <c r="V96" s="44">
        <f>IF($U96="",0,IF(AND(89&gt;50,COUNTIF(基础资料!$E$2:$E$51,$U96)&gt;0),0,1))</f>
      </c>
      <c r="W96" s="44">
        <f>IF($V96=1,N(W95)+1,N(W95))</f>
      </c>
    </row>
    <row r="97" s="44" customFormat="1" spans="1:23">
      <c r="A97" s="116">
        <f>IF($S97="","",INDEX(数据录入!$B$5:$B$4999,$S97))</f>
      </c>
      <c r="B97" s="44">
        <f>IF($S97="","",INDEX(数据录入!$C$5:$C$4999,$S97)&amp;"")</f>
      </c>
      <c r="C97" s="165">
        <f>IF($S97="","",IF(N($F97)&gt;0,"收款",IF(N($G97)&gt;0,"付款","")))</f>
      </c>
      <c r="D97" s="44">
        <f>IF($S97="","",IF((INDEX(数据录入!$I$5:$I$4999,$S97)&amp;"")&lt;&gt;"",INDEX(数据录入!$I$5:$I$4999,$S97)&amp;"",INDEX(数据录入!$J$5:$J$4999,$S97)&amp;""))</f>
      </c>
      <c r="E97" s="108">
        <f>IF($S97="","",INDEX(数据录入!$E$5:$E$4999,$S97)&amp;"")</f>
      </c>
      <c r="F97" s="114">
        <f>IF($S97="","",N(INDEX(数据录入!$F$5:$F$4999,$S97)))</f>
      </c>
      <c r="G97" s="114">
        <f>IF($S97="","",N(INDEX(数据录入!$G$5:$G$4999,$S97)))</f>
      </c>
      <c r="H97" s="114">
        <f>IF($S97="","",$G$2+SUM($F$8:$F97)-SUM($G$8:$G97))</f>
      </c>
      <c r="J97" s="165">
        <f>IF($K97="","",90)</f>
      </c>
      <c r="K97" s="44">
        <f>IFERROR(INDEX($U$8:$U$107,MATCH(90,$W$8:$W$107,0)),"")</f>
      </c>
      <c r="L97" s="114">
        <f>IF($K97="","",(SUMIFS(数据录入!$F$5:$F$4999,$Q$5:$Q$4999,1,数据录入!$B$5:$B$4999,"&lt;"&amp;$B$2,数据录入!$I$5:$I$4999,$K97)+SUMIFS(数据录入!$F$5:$F$4999,$Q$5:$Q$4999,1,数据录入!$B$5:$B$4999,"&lt;"&amp;$B$2,数据录入!$J$5:$J$4999,$K97))-(SUMIFS(数据录入!$G$5:$G$4999,$Q$5:$Q$4999,1,数据录入!$B$5:$B$4999,"&lt;"&amp;$B$2,数据录入!$I$5:$I$4999,$K97)+SUMIFS(数据录入!$G$5:$G$4999,$Q$5:$Q$4999,1,数据录入!$B$5:$B$4999,"&lt;"&amp;$B$2,数据录入!$J$5:$J$4999,$K97)))</f>
      </c>
      <c r="M97" s="114">
        <f>IF($K97="","",SUMIFS(数据录入!$F$5:$F$4999,$Q$5:$Q$4999,1,数据录入!$B$5:$B$4999,"&gt;="&amp;$B$2,数据录入!$B$5:$B$4999,"&lt;="&amp;$D$2,数据录入!$I$5:$I$4999,$K97)+SUMIFS(数据录入!$F$5:$F$4999,$Q$5:$Q$4999,1,数据录入!$B$5:$B$4999,"&gt;="&amp;$B$2,数据录入!$B$5:$B$4999,"&lt;="&amp;$D$2,数据录入!$J$5:$J$4999,$K97))</f>
      </c>
      <c r="N97" s="114">
        <f>IF($K97="","",SUMIFS(数据录入!$G$5:$G$4999,$Q$5:$Q$4999,1,数据录入!$B$5:$B$4999,"&gt;="&amp;$B$2,数据录入!$B$5:$B$4999,"&lt;="&amp;$D$2,数据录入!$I$5:$I$4999,$K97)+SUMIFS(数据录入!$G$5:$G$4999,$Q$5:$Q$4999,1,数据录入!$B$5:$B$4999,"&gt;="&amp;$B$2,数据录入!$B$5:$B$4999,"&lt;="&amp;$D$2,数据录入!$J$5:$J$4999,$K97))</f>
      </c>
      <c r="O97" s="114">
        <f>IF($K97="","",L97+M97-N97)</f>
      </c>
      <c r="Q97" s="44">
        <f>IF(数据录入!$B97="",0,IF(OR(数据录入!$D97="投标保证金",数据录入!$D97="合同履约保证金",ISNUMBER(FIND("保证金",数据录入!$E97))),1,0))</f>
      </c>
      <c r="R97" s="44">
        <f>IF(AND($Q97=1,数据录入!$B97&gt;=$B$2,数据录入!$B97&lt;=$D$2),N(R96)+1,N(R96))</f>
      </c>
      <c r="S97" s="44">
        <f>IFERROR(MATCH(90,$R$5:$R$4999,0),"")</f>
      </c>
      <c r="U97" s="44">
        <f>IFERROR(IF(90&lt;=50,INDEX(基础资料!$E$2:$E$51,90)&amp;"",INDEX(基础资料!$G$2:$G$51,90-50)&amp;""),"")</f>
      </c>
      <c r="V97" s="44">
        <f>IF($U97="",0,IF(AND(90&gt;50,COUNTIF(基础资料!$E$2:$E$51,$U97)&gt;0),0,1))</f>
      </c>
      <c r="W97" s="44">
        <f>IF($V97=1,N(W96)+1,N(W96))</f>
      </c>
    </row>
    <row r="98" s="44" customFormat="1" spans="1:23">
      <c r="A98" s="116">
        <f>IF($S98="","",INDEX(数据录入!$B$5:$B$4999,$S98))</f>
      </c>
      <c r="B98" s="44">
        <f>IF($S98="","",INDEX(数据录入!$C$5:$C$4999,$S98)&amp;"")</f>
      </c>
      <c r="C98" s="165">
        <f>IF($S98="","",IF(N($F98)&gt;0,"收款",IF(N($G98)&gt;0,"付款","")))</f>
      </c>
      <c r="D98" s="44">
        <f>IF($S98="","",IF((INDEX(数据录入!$I$5:$I$4999,$S98)&amp;"")&lt;&gt;"",INDEX(数据录入!$I$5:$I$4999,$S98)&amp;"",INDEX(数据录入!$J$5:$J$4999,$S98)&amp;""))</f>
      </c>
      <c r="E98" s="108">
        <f>IF($S98="","",INDEX(数据录入!$E$5:$E$4999,$S98)&amp;"")</f>
      </c>
      <c r="F98" s="114">
        <f>IF($S98="","",N(INDEX(数据录入!$F$5:$F$4999,$S98)))</f>
      </c>
      <c r="G98" s="114">
        <f>IF($S98="","",N(INDEX(数据录入!$G$5:$G$4999,$S98)))</f>
      </c>
      <c r="H98" s="114">
        <f>IF($S98="","",$G$2+SUM($F$8:$F98)-SUM($G$8:$G98))</f>
      </c>
      <c r="J98" s="165">
        <f>IF($K98="","",91)</f>
      </c>
      <c r="K98" s="44">
        <f>IFERROR(INDEX($U$8:$U$107,MATCH(91,$W$8:$W$107,0)),"")</f>
      </c>
      <c r="L98" s="114">
        <f>IF($K98="","",(SUMIFS(数据录入!$F$5:$F$4999,$Q$5:$Q$4999,1,数据录入!$B$5:$B$4999,"&lt;"&amp;$B$2,数据录入!$I$5:$I$4999,$K98)+SUMIFS(数据录入!$F$5:$F$4999,$Q$5:$Q$4999,1,数据录入!$B$5:$B$4999,"&lt;"&amp;$B$2,数据录入!$J$5:$J$4999,$K98))-(SUMIFS(数据录入!$G$5:$G$4999,$Q$5:$Q$4999,1,数据录入!$B$5:$B$4999,"&lt;"&amp;$B$2,数据录入!$I$5:$I$4999,$K98)+SUMIFS(数据录入!$G$5:$G$4999,$Q$5:$Q$4999,1,数据录入!$B$5:$B$4999,"&lt;"&amp;$B$2,数据录入!$J$5:$J$4999,$K98)))</f>
      </c>
      <c r="M98" s="114">
        <f>IF($K98="","",SUMIFS(数据录入!$F$5:$F$4999,$Q$5:$Q$4999,1,数据录入!$B$5:$B$4999,"&gt;="&amp;$B$2,数据录入!$B$5:$B$4999,"&lt;="&amp;$D$2,数据录入!$I$5:$I$4999,$K98)+SUMIFS(数据录入!$F$5:$F$4999,$Q$5:$Q$4999,1,数据录入!$B$5:$B$4999,"&gt;="&amp;$B$2,数据录入!$B$5:$B$4999,"&lt;="&amp;$D$2,数据录入!$J$5:$J$4999,$K98))</f>
      </c>
      <c r="N98" s="114">
        <f>IF($K98="","",SUMIFS(数据录入!$G$5:$G$4999,$Q$5:$Q$4999,1,数据录入!$B$5:$B$4999,"&gt;="&amp;$B$2,数据录入!$B$5:$B$4999,"&lt;="&amp;$D$2,数据录入!$I$5:$I$4999,$K98)+SUMIFS(数据录入!$G$5:$G$4999,$Q$5:$Q$4999,1,数据录入!$B$5:$B$4999,"&gt;="&amp;$B$2,数据录入!$B$5:$B$4999,"&lt;="&amp;$D$2,数据录入!$J$5:$J$4999,$K98))</f>
      </c>
      <c r="O98" s="114">
        <f>IF($K98="","",L98+M98-N98)</f>
      </c>
      <c r="Q98" s="44">
        <f>IF(数据录入!$B98="",0,IF(OR(数据录入!$D98="投标保证金",数据录入!$D98="合同履约保证金",ISNUMBER(FIND("保证金",数据录入!$E98))),1,0))</f>
      </c>
      <c r="R98" s="44">
        <f>IF(AND($Q98=1,数据录入!$B98&gt;=$B$2,数据录入!$B98&lt;=$D$2),N(R97)+1,N(R97))</f>
      </c>
      <c r="S98" s="44">
        <f>IFERROR(MATCH(91,$R$5:$R$4999,0),"")</f>
      </c>
      <c r="U98" s="44">
        <f>IFERROR(IF(91&lt;=50,INDEX(基础资料!$E$2:$E$51,91)&amp;"",INDEX(基础资料!$G$2:$G$51,91-50)&amp;""),"")</f>
      </c>
      <c r="V98" s="44">
        <f>IF($U98="",0,IF(AND(91&gt;50,COUNTIF(基础资料!$E$2:$E$51,$U98)&gt;0),0,1))</f>
      </c>
      <c r="W98" s="44">
        <f>IF($V98=1,N(W97)+1,N(W97))</f>
      </c>
    </row>
    <row r="99" s="44" customFormat="1" spans="1:23">
      <c r="A99" s="116">
        <f>IF($S99="","",INDEX(数据录入!$B$5:$B$4999,$S99))</f>
      </c>
      <c r="B99" s="44">
        <f>IF($S99="","",INDEX(数据录入!$C$5:$C$4999,$S99)&amp;"")</f>
      </c>
      <c r="C99" s="165">
        <f>IF($S99="","",IF(N($F99)&gt;0,"收款",IF(N($G99)&gt;0,"付款","")))</f>
      </c>
      <c r="D99" s="44">
        <f>IF($S99="","",IF((INDEX(数据录入!$I$5:$I$4999,$S99)&amp;"")&lt;&gt;"",INDEX(数据录入!$I$5:$I$4999,$S99)&amp;"",INDEX(数据录入!$J$5:$J$4999,$S99)&amp;""))</f>
      </c>
      <c r="E99" s="108">
        <f>IF($S99="","",INDEX(数据录入!$E$5:$E$4999,$S99)&amp;"")</f>
      </c>
      <c r="F99" s="114">
        <f>IF($S99="","",N(INDEX(数据录入!$F$5:$F$4999,$S99)))</f>
      </c>
      <c r="G99" s="114">
        <f>IF($S99="","",N(INDEX(数据录入!$G$5:$G$4999,$S99)))</f>
      </c>
      <c r="H99" s="114">
        <f>IF($S99="","",$G$2+SUM($F$8:$F99)-SUM($G$8:$G99))</f>
      </c>
      <c r="J99" s="165">
        <f>IF($K99="","",92)</f>
      </c>
      <c r="K99" s="44">
        <f>IFERROR(INDEX($U$8:$U$107,MATCH(92,$W$8:$W$107,0)),"")</f>
      </c>
      <c r="L99" s="114">
        <f>IF($K99="","",(SUMIFS(数据录入!$F$5:$F$4999,$Q$5:$Q$4999,1,数据录入!$B$5:$B$4999,"&lt;"&amp;$B$2,数据录入!$I$5:$I$4999,$K99)+SUMIFS(数据录入!$F$5:$F$4999,$Q$5:$Q$4999,1,数据录入!$B$5:$B$4999,"&lt;"&amp;$B$2,数据录入!$J$5:$J$4999,$K99))-(SUMIFS(数据录入!$G$5:$G$4999,$Q$5:$Q$4999,1,数据录入!$B$5:$B$4999,"&lt;"&amp;$B$2,数据录入!$I$5:$I$4999,$K99)+SUMIFS(数据录入!$G$5:$G$4999,$Q$5:$Q$4999,1,数据录入!$B$5:$B$4999,"&lt;"&amp;$B$2,数据录入!$J$5:$J$4999,$K99)))</f>
      </c>
      <c r="M99" s="114">
        <f>IF($K99="","",SUMIFS(数据录入!$F$5:$F$4999,$Q$5:$Q$4999,1,数据录入!$B$5:$B$4999,"&gt;="&amp;$B$2,数据录入!$B$5:$B$4999,"&lt;="&amp;$D$2,数据录入!$I$5:$I$4999,$K99)+SUMIFS(数据录入!$F$5:$F$4999,$Q$5:$Q$4999,1,数据录入!$B$5:$B$4999,"&gt;="&amp;$B$2,数据录入!$B$5:$B$4999,"&lt;="&amp;$D$2,数据录入!$J$5:$J$4999,$K99))</f>
      </c>
      <c r="N99" s="114">
        <f>IF($K99="","",SUMIFS(数据录入!$G$5:$G$4999,$Q$5:$Q$4999,1,数据录入!$B$5:$B$4999,"&gt;="&amp;$B$2,数据录入!$B$5:$B$4999,"&lt;="&amp;$D$2,数据录入!$I$5:$I$4999,$K99)+SUMIFS(数据录入!$G$5:$G$4999,$Q$5:$Q$4999,1,数据录入!$B$5:$B$4999,"&gt;="&amp;$B$2,数据录入!$B$5:$B$4999,"&lt;="&amp;$D$2,数据录入!$J$5:$J$4999,$K99))</f>
      </c>
      <c r="O99" s="114">
        <f>IF($K99="","",L99+M99-N99)</f>
      </c>
      <c r="Q99" s="44">
        <f>IF(数据录入!$B99="",0,IF(OR(数据录入!$D99="投标保证金",数据录入!$D99="合同履约保证金",ISNUMBER(FIND("保证金",数据录入!$E99))),1,0))</f>
      </c>
      <c r="R99" s="44">
        <f>IF(AND($Q99=1,数据录入!$B99&gt;=$B$2,数据录入!$B99&lt;=$D$2),N(R98)+1,N(R98))</f>
      </c>
      <c r="S99" s="44">
        <f>IFERROR(MATCH(92,$R$5:$R$4999,0),"")</f>
      </c>
      <c r="U99" s="44">
        <f>IFERROR(IF(92&lt;=50,INDEX(基础资料!$E$2:$E$51,92)&amp;"",INDEX(基础资料!$G$2:$G$51,92-50)&amp;""),"")</f>
      </c>
      <c r="V99" s="44">
        <f>IF($U99="",0,IF(AND(92&gt;50,COUNTIF(基础资料!$E$2:$E$51,$U99)&gt;0),0,1))</f>
      </c>
      <c r="W99" s="44">
        <f>IF($V99=1,N(W98)+1,N(W98))</f>
      </c>
    </row>
    <row r="100" s="44" customFormat="1" spans="1:23">
      <c r="A100" s="116">
        <f>IF($S100="","",INDEX(数据录入!$B$5:$B$4999,$S100))</f>
      </c>
      <c r="B100" s="44">
        <f>IF($S100="","",INDEX(数据录入!$C$5:$C$4999,$S100)&amp;"")</f>
      </c>
      <c r="C100" s="165">
        <f>IF($S100="","",IF(N($F100)&gt;0,"收款",IF(N($G100)&gt;0,"付款","")))</f>
      </c>
      <c r="D100" s="44">
        <f>IF($S100="","",IF((INDEX(数据录入!$I$5:$I$4999,$S100)&amp;"")&lt;&gt;"",INDEX(数据录入!$I$5:$I$4999,$S100)&amp;"",INDEX(数据录入!$J$5:$J$4999,$S100)&amp;""))</f>
      </c>
      <c r="E100" s="108">
        <f>IF($S100="","",INDEX(数据录入!$E$5:$E$4999,$S100)&amp;"")</f>
      </c>
      <c r="F100" s="114">
        <f>IF($S100="","",N(INDEX(数据录入!$F$5:$F$4999,$S100)))</f>
      </c>
      <c r="G100" s="114">
        <f>IF($S100="","",N(INDEX(数据录入!$G$5:$G$4999,$S100)))</f>
      </c>
      <c r="H100" s="114">
        <f>IF($S100="","",$G$2+SUM($F$8:$F100)-SUM($G$8:$G100))</f>
      </c>
      <c r="J100" s="165">
        <f>IF($K100="","",93)</f>
      </c>
      <c r="K100" s="44">
        <f>IFERROR(INDEX($U$8:$U$107,MATCH(93,$W$8:$W$107,0)),"")</f>
      </c>
      <c r="L100" s="114">
        <f>IF($K100="","",(SUMIFS(数据录入!$F$5:$F$4999,$Q$5:$Q$4999,1,数据录入!$B$5:$B$4999,"&lt;"&amp;$B$2,数据录入!$I$5:$I$4999,$K100)+SUMIFS(数据录入!$F$5:$F$4999,$Q$5:$Q$4999,1,数据录入!$B$5:$B$4999,"&lt;"&amp;$B$2,数据录入!$J$5:$J$4999,$K100))-(SUMIFS(数据录入!$G$5:$G$4999,$Q$5:$Q$4999,1,数据录入!$B$5:$B$4999,"&lt;"&amp;$B$2,数据录入!$I$5:$I$4999,$K100)+SUMIFS(数据录入!$G$5:$G$4999,$Q$5:$Q$4999,1,数据录入!$B$5:$B$4999,"&lt;"&amp;$B$2,数据录入!$J$5:$J$4999,$K100)))</f>
      </c>
      <c r="M100" s="114">
        <f>IF($K100="","",SUMIFS(数据录入!$F$5:$F$4999,$Q$5:$Q$4999,1,数据录入!$B$5:$B$4999,"&gt;="&amp;$B$2,数据录入!$B$5:$B$4999,"&lt;="&amp;$D$2,数据录入!$I$5:$I$4999,$K100)+SUMIFS(数据录入!$F$5:$F$4999,$Q$5:$Q$4999,1,数据录入!$B$5:$B$4999,"&gt;="&amp;$B$2,数据录入!$B$5:$B$4999,"&lt;="&amp;$D$2,数据录入!$J$5:$J$4999,$K100))</f>
      </c>
      <c r="N100" s="114">
        <f>IF($K100="","",SUMIFS(数据录入!$G$5:$G$4999,$Q$5:$Q$4999,1,数据录入!$B$5:$B$4999,"&gt;="&amp;$B$2,数据录入!$B$5:$B$4999,"&lt;="&amp;$D$2,数据录入!$I$5:$I$4999,$K100)+SUMIFS(数据录入!$G$5:$G$4999,$Q$5:$Q$4999,1,数据录入!$B$5:$B$4999,"&gt;="&amp;$B$2,数据录入!$B$5:$B$4999,"&lt;="&amp;$D$2,数据录入!$J$5:$J$4999,$K100))</f>
      </c>
      <c r="O100" s="114">
        <f>IF($K100="","",L100+M100-N100)</f>
      </c>
      <c r="Q100" s="44">
        <f>IF(数据录入!$B100="",0,IF(OR(数据录入!$D100="投标保证金",数据录入!$D100="合同履约保证金",ISNUMBER(FIND("保证金",数据录入!$E100))),1,0))</f>
      </c>
      <c r="R100" s="44">
        <f>IF(AND($Q100=1,数据录入!$B100&gt;=$B$2,数据录入!$B100&lt;=$D$2),N(R99)+1,N(R99))</f>
      </c>
      <c r="S100" s="44">
        <f>IFERROR(MATCH(93,$R$5:$R$4999,0),"")</f>
      </c>
      <c r="U100" s="44">
        <f>IFERROR(IF(93&lt;=50,INDEX(基础资料!$E$2:$E$51,93)&amp;"",INDEX(基础资料!$G$2:$G$51,93-50)&amp;""),"")</f>
      </c>
      <c r="V100" s="44">
        <f>IF($U100="",0,IF(AND(93&gt;50,COUNTIF(基础资料!$E$2:$E$51,$U100)&gt;0),0,1))</f>
      </c>
      <c r="W100" s="44">
        <f>IF($V100=1,N(W99)+1,N(W99))</f>
      </c>
    </row>
    <row r="101" s="44" customFormat="1" spans="1:23">
      <c r="A101" s="116">
        <f>IF($S101="","",INDEX(数据录入!$B$5:$B$4999,$S101))</f>
      </c>
      <c r="B101" s="44">
        <f>IF($S101="","",INDEX(数据录入!$C$5:$C$4999,$S101)&amp;"")</f>
      </c>
      <c r="C101" s="165">
        <f>IF($S101="","",IF(N($F101)&gt;0,"收款",IF(N($G101)&gt;0,"付款","")))</f>
      </c>
      <c r="D101" s="44">
        <f>IF($S101="","",IF((INDEX(数据录入!$I$5:$I$4999,$S101)&amp;"")&lt;&gt;"",INDEX(数据录入!$I$5:$I$4999,$S101)&amp;"",INDEX(数据录入!$J$5:$J$4999,$S101)&amp;""))</f>
      </c>
      <c r="E101" s="108">
        <f>IF($S101="","",INDEX(数据录入!$E$5:$E$4999,$S101)&amp;"")</f>
      </c>
      <c r="F101" s="114">
        <f>IF($S101="","",N(INDEX(数据录入!$F$5:$F$4999,$S101)))</f>
      </c>
      <c r="G101" s="114">
        <f>IF($S101="","",N(INDEX(数据录入!$G$5:$G$4999,$S101)))</f>
      </c>
      <c r="H101" s="114">
        <f>IF($S101="","",$G$2+SUM($F$8:$F101)-SUM($G$8:$G101))</f>
      </c>
      <c r="J101" s="165">
        <f>IF($K101="","",94)</f>
      </c>
      <c r="K101" s="44">
        <f>IFERROR(INDEX($U$8:$U$107,MATCH(94,$W$8:$W$107,0)),"")</f>
      </c>
      <c r="L101" s="114">
        <f>IF($K101="","",(SUMIFS(数据录入!$F$5:$F$4999,$Q$5:$Q$4999,1,数据录入!$B$5:$B$4999,"&lt;"&amp;$B$2,数据录入!$I$5:$I$4999,$K101)+SUMIFS(数据录入!$F$5:$F$4999,$Q$5:$Q$4999,1,数据录入!$B$5:$B$4999,"&lt;"&amp;$B$2,数据录入!$J$5:$J$4999,$K101))-(SUMIFS(数据录入!$G$5:$G$4999,$Q$5:$Q$4999,1,数据录入!$B$5:$B$4999,"&lt;"&amp;$B$2,数据录入!$I$5:$I$4999,$K101)+SUMIFS(数据录入!$G$5:$G$4999,$Q$5:$Q$4999,1,数据录入!$B$5:$B$4999,"&lt;"&amp;$B$2,数据录入!$J$5:$J$4999,$K101)))</f>
      </c>
      <c r="M101" s="114">
        <f>IF($K101="","",SUMIFS(数据录入!$F$5:$F$4999,$Q$5:$Q$4999,1,数据录入!$B$5:$B$4999,"&gt;="&amp;$B$2,数据录入!$B$5:$B$4999,"&lt;="&amp;$D$2,数据录入!$I$5:$I$4999,$K101)+SUMIFS(数据录入!$F$5:$F$4999,$Q$5:$Q$4999,1,数据录入!$B$5:$B$4999,"&gt;="&amp;$B$2,数据录入!$B$5:$B$4999,"&lt;="&amp;$D$2,数据录入!$J$5:$J$4999,$K101))</f>
      </c>
      <c r="N101" s="114">
        <f>IF($K101="","",SUMIFS(数据录入!$G$5:$G$4999,$Q$5:$Q$4999,1,数据录入!$B$5:$B$4999,"&gt;="&amp;$B$2,数据录入!$B$5:$B$4999,"&lt;="&amp;$D$2,数据录入!$I$5:$I$4999,$K101)+SUMIFS(数据录入!$G$5:$G$4999,$Q$5:$Q$4999,1,数据录入!$B$5:$B$4999,"&gt;="&amp;$B$2,数据录入!$B$5:$B$4999,"&lt;="&amp;$D$2,数据录入!$J$5:$J$4999,$K101))</f>
      </c>
      <c r="O101" s="114">
        <f>IF($K101="","",L101+M101-N101)</f>
      </c>
      <c r="Q101" s="44">
        <f>IF(数据录入!$B101="",0,IF(OR(数据录入!$D101="投标保证金",数据录入!$D101="合同履约保证金",ISNUMBER(FIND("保证金",数据录入!$E101))),1,0))</f>
      </c>
      <c r="R101" s="44">
        <f>IF(AND($Q101=1,数据录入!$B101&gt;=$B$2,数据录入!$B101&lt;=$D$2),N(R100)+1,N(R100))</f>
      </c>
      <c r="S101" s="44">
        <f>IFERROR(MATCH(94,$R$5:$R$4999,0),"")</f>
      </c>
      <c r="U101" s="44">
        <f>IFERROR(IF(94&lt;=50,INDEX(基础资料!$E$2:$E$51,94)&amp;"",INDEX(基础资料!$G$2:$G$51,94-50)&amp;""),"")</f>
      </c>
      <c r="V101" s="44">
        <f>IF($U101="",0,IF(AND(94&gt;50,COUNTIF(基础资料!$E$2:$E$51,$U101)&gt;0),0,1))</f>
      </c>
      <c r="W101" s="44">
        <f>IF($V101=1,N(W100)+1,N(W100))</f>
      </c>
    </row>
    <row r="102" s="44" customFormat="1" spans="1:23">
      <c r="A102" s="116">
        <f>IF($S102="","",INDEX(数据录入!$B$5:$B$4999,$S102))</f>
      </c>
      <c r="B102" s="44">
        <f>IF($S102="","",INDEX(数据录入!$C$5:$C$4999,$S102)&amp;"")</f>
      </c>
      <c r="C102" s="165">
        <f>IF($S102="","",IF(N($F102)&gt;0,"收款",IF(N($G102)&gt;0,"付款","")))</f>
      </c>
      <c r="D102" s="44">
        <f>IF($S102="","",IF((INDEX(数据录入!$I$5:$I$4999,$S102)&amp;"")&lt;&gt;"",INDEX(数据录入!$I$5:$I$4999,$S102)&amp;"",INDEX(数据录入!$J$5:$J$4999,$S102)&amp;""))</f>
      </c>
      <c r="E102" s="108">
        <f>IF($S102="","",INDEX(数据录入!$E$5:$E$4999,$S102)&amp;"")</f>
      </c>
      <c r="F102" s="114">
        <f>IF($S102="","",N(INDEX(数据录入!$F$5:$F$4999,$S102)))</f>
      </c>
      <c r="G102" s="114">
        <f>IF($S102="","",N(INDEX(数据录入!$G$5:$G$4999,$S102)))</f>
      </c>
      <c r="H102" s="114">
        <f>IF($S102="","",$G$2+SUM($F$8:$F102)-SUM($G$8:$G102))</f>
      </c>
      <c r="J102" s="165">
        <f>IF($K102="","",95)</f>
      </c>
      <c r="K102" s="44">
        <f>IFERROR(INDEX($U$8:$U$107,MATCH(95,$W$8:$W$107,0)),"")</f>
      </c>
      <c r="L102" s="114">
        <f>IF($K102="","",(SUMIFS(数据录入!$F$5:$F$4999,$Q$5:$Q$4999,1,数据录入!$B$5:$B$4999,"&lt;"&amp;$B$2,数据录入!$I$5:$I$4999,$K102)+SUMIFS(数据录入!$F$5:$F$4999,$Q$5:$Q$4999,1,数据录入!$B$5:$B$4999,"&lt;"&amp;$B$2,数据录入!$J$5:$J$4999,$K102))-(SUMIFS(数据录入!$G$5:$G$4999,$Q$5:$Q$4999,1,数据录入!$B$5:$B$4999,"&lt;"&amp;$B$2,数据录入!$I$5:$I$4999,$K102)+SUMIFS(数据录入!$G$5:$G$4999,$Q$5:$Q$4999,1,数据录入!$B$5:$B$4999,"&lt;"&amp;$B$2,数据录入!$J$5:$J$4999,$K102)))</f>
      </c>
      <c r="M102" s="114">
        <f>IF($K102="","",SUMIFS(数据录入!$F$5:$F$4999,$Q$5:$Q$4999,1,数据录入!$B$5:$B$4999,"&gt;="&amp;$B$2,数据录入!$B$5:$B$4999,"&lt;="&amp;$D$2,数据录入!$I$5:$I$4999,$K102)+SUMIFS(数据录入!$F$5:$F$4999,$Q$5:$Q$4999,1,数据录入!$B$5:$B$4999,"&gt;="&amp;$B$2,数据录入!$B$5:$B$4999,"&lt;="&amp;$D$2,数据录入!$J$5:$J$4999,$K102))</f>
      </c>
      <c r="N102" s="114">
        <f>IF($K102="","",SUMIFS(数据录入!$G$5:$G$4999,$Q$5:$Q$4999,1,数据录入!$B$5:$B$4999,"&gt;="&amp;$B$2,数据录入!$B$5:$B$4999,"&lt;="&amp;$D$2,数据录入!$I$5:$I$4999,$K102)+SUMIFS(数据录入!$G$5:$G$4999,$Q$5:$Q$4999,1,数据录入!$B$5:$B$4999,"&gt;="&amp;$B$2,数据录入!$B$5:$B$4999,"&lt;="&amp;$D$2,数据录入!$J$5:$J$4999,$K102))</f>
      </c>
      <c r="O102" s="114">
        <f>IF($K102="","",L102+M102-N102)</f>
      </c>
      <c r="Q102" s="44">
        <f>IF(数据录入!$B102="",0,IF(OR(数据录入!$D102="投标保证金",数据录入!$D102="合同履约保证金",ISNUMBER(FIND("保证金",数据录入!$E102))),1,0))</f>
      </c>
      <c r="R102" s="44">
        <f>IF(AND($Q102=1,数据录入!$B102&gt;=$B$2,数据录入!$B102&lt;=$D$2),N(R101)+1,N(R101))</f>
      </c>
      <c r="S102" s="44">
        <f>IFERROR(MATCH(95,$R$5:$R$4999,0),"")</f>
      </c>
      <c r="U102" s="44">
        <f>IFERROR(IF(95&lt;=50,INDEX(基础资料!$E$2:$E$51,95)&amp;"",INDEX(基础资料!$G$2:$G$51,95-50)&amp;""),"")</f>
      </c>
      <c r="V102" s="44">
        <f>IF($U102="",0,IF(AND(95&gt;50,COUNTIF(基础资料!$E$2:$E$51,$U102)&gt;0),0,1))</f>
      </c>
      <c r="W102" s="44">
        <f>IF($V102=1,N(W101)+1,N(W101))</f>
      </c>
    </row>
    <row r="103" s="44" customFormat="1" spans="1:23">
      <c r="A103" s="116">
        <f>IF($S103="","",INDEX(数据录入!$B$5:$B$4999,$S103))</f>
      </c>
      <c r="B103" s="44">
        <f>IF($S103="","",INDEX(数据录入!$C$5:$C$4999,$S103)&amp;"")</f>
      </c>
      <c r="C103" s="165">
        <f>IF($S103="","",IF(N($F103)&gt;0,"收款",IF(N($G103)&gt;0,"付款","")))</f>
      </c>
      <c r="D103" s="44">
        <f>IF($S103="","",IF((INDEX(数据录入!$I$5:$I$4999,$S103)&amp;"")&lt;&gt;"",INDEX(数据录入!$I$5:$I$4999,$S103)&amp;"",INDEX(数据录入!$J$5:$J$4999,$S103)&amp;""))</f>
      </c>
      <c r="E103" s="108">
        <f>IF($S103="","",INDEX(数据录入!$E$5:$E$4999,$S103)&amp;"")</f>
      </c>
      <c r="F103" s="114">
        <f>IF($S103="","",N(INDEX(数据录入!$F$5:$F$4999,$S103)))</f>
      </c>
      <c r="G103" s="114">
        <f>IF($S103="","",N(INDEX(数据录入!$G$5:$G$4999,$S103)))</f>
      </c>
      <c r="H103" s="114">
        <f>IF($S103="","",$G$2+SUM($F$8:$F103)-SUM($G$8:$G103))</f>
      </c>
      <c r="J103" s="165">
        <f>IF($K103="","",96)</f>
      </c>
      <c r="K103" s="44">
        <f>IFERROR(INDEX($U$8:$U$107,MATCH(96,$W$8:$W$107,0)),"")</f>
      </c>
      <c r="L103" s="114">
        <f>IF($K103="","",(SUMIFS(数据录入!$F$5:$F$4999,$Q$5:$Q$4999,1,数据录入!$B$5:$B$4999,"&lt;"&amp;$B$2,数据录入!$I$5:$I$4999,$K103)+SUMIFS(数据录入!$F$5:$F$4999,$Q$5:$Q$4999,1,数据录入!$B$5:$B$4999,"&lt;"&amp;$B$2,数据录入!$J$5:$J$4999,$K103))-(SUMIFS(数据录入!$G$5:$G$4999,$Q$5:$Q$4999,1,数据录入!$B$5:$B$4999,"&lt;"&amp;$B$2,数据录入!$I$5:$I$4999,$K103)+SUMIFS(数据录入!$G$5:$G$4999,$Q$5:$Q$4999,1,数据录入!$B$5:$B$4999,"&lt;"&amp;$B$2,数据录入!$J$5:$J$4999,$K103)))</f>
      </c>
      <c r="M103" s="114">
        <f>IF($K103="","",SUMIFS(数据录入!$F$5:$F$4999,$Q$5:$Q$4999,1,数据录入!$B$5:$B$4999,"&gt;="&amp;$B$2,数据录入!$B$5:$B$4999,"&lt;="&amp;$D$2,数据录入!$I$5:$I$4999,$K103)+SUMIFS(数据录入!$F$5:$F$4999,$Q$5:$Q$4999,1,数据录入!$B$5:$B$4999,"&gt;="&amp;$B$2,数据录入!$B$5:$B$4999,"&lt;="&amp;$D$2,数据录入!$J$5:$J$4999,$K103))</f>
      </c>
      <c r="N103" s="114">
        <f>IF($K103="","",SUMIFS(数据录入!$G$5:$G$4999,$Q$5:$Q$4999,1,数据录入!$B$5:$B$4999,"&gt;="&amp;$B$2,数据录入!$B$5:$B$4999,"&lt;="&amp;$D$2,数据录入!$I$5:$I$4999,$K103)+SUMIFS(数据录入!$G$5:$G$4999,$Q$5:$Q$4999,1,数据录入!$B$5:$B$4999,"&gt;="&amp;$B$2,数据录入!$B$5:$B$4999,"&lt;="&amp;$D$2,数据录入!$J$5:$J$4999,$K103))</f>
      </c>
      <c r="O103" s="114">
        <f>IF($K103="","",L103+M103-N103)</f>
      </c>
      <c r="Q103" s="44">
        <f>IF(数据录入!$B103="",0,IF(OR(数据录入!$D103="投标保证金",数据录入!$D103="合同履约保证金",ISNUMBER(FIND("保证金",数据录入!$E103))),1,0))</f>
      </c>
      <c r="R103" s="44">
        <f>IF(AND($Q103=1,数据录入!$B103&gt;=$B$2,数据录入!$B103&lt;=$D$2),N(R102)+1,N(R102))</f>
      </c>
      <c r="S103" s="44">
        <f>IFERROR(MATCH(96,$R$5:$R$4999,0),"")</f>
      </c>
      <c r="U103" s="44">
        <f>IFERROR(IF(96&lt;=50,INDEX(基础资料!$E$2:$E$51,96)&amp;"",INDEX(基础资料!$G$2:$G$51,96-50)&amp;""),"")</f>
      </c>
      <c r="V103" s="44">
        <f>IF($U103="",0,IF(AND(96&gt;50,COUNTIF(基础资料!$E$2:$E$51,$U103)&gt;0),0,1))</f>
      </c>
      <c r="W103" s="44">
        <f>IF($V103=1,N(W102)+1,N(W102))</f>
      </c>
    </row>
    <row r="104" s="44" customFormat="1" spans="1:23">
      <c r="A104" s="116">
        <f>IF($S104="","",INDEX(数据录入!$B$5:$B$4999,$S104))</f>
      </c>
      <c r="B104" s="44">
        <f>IF($S104="","",INDEX(数据录入!$C$5:$C$4999,$S104)&amp;"")</f>
      </c>
      <c r="C104" s="165">
        <f>IF($S104="","",IF(N($F104)&gt;0,"收款",IF(N($G104)&gt;0,"付款","")))</f>
      </c>
      <c r="D104" s="44">
        <f>IF($S104="","",IF((INDEX(数据录入!$I$5:$I$4999,$S104)&amp;"")&lt;&gt;"",INDEX(数据录入!$I$5:$I$4999,$S104)&amp;"",INDEX(数据录入!$J$5:$J$4999,$S104)&amp;""))</f>
      </c>
      <c r="E104" s="108">
        <f>IF($S104="","",INDEX(数据录入!$E$5:$E$4999,$S104)&amp;"")</f>
      </c>
      <c r="F104" s="114">
        <f>IF($S104="","",N(INDEX(数据录入!$F$5:$F$4999,$S104)))</f>
      </c>
      <c r="G104" s="114">
        <f>IF($S104="","",N(INDEX(数据录入!$G$5:$G$4999,$S104)))</f>
      </c>
      <c r="H104" s="114">
        <f>IF($S104="","",$G$2+SUM($F$8:$F104)-SUM($G$8:$G104))</f>
      </c>
      <c r="J104" s="165">
        <f>IF($K104="","",97)</f>
      </c>
      <c r="K104" s="44">
        <f>IFERROR(INDEX($U$8:$U$107,MATCH(97,$W$8:$W$107,0)),"")</f>
      </c>
      <c r="L104" s="114">
        <f>IF($K104="","",(SUMIFS(数据录入!$F$5:$F$4999,$Q$5:$Q$4999,1,数据录入!$B$5:$B$4999,"&lt;"&amp;$B$2,数据录入!$I$5:$I$4999,$K104)+SUMIFS(数据录入!$F$5:$F$4999,$Q$5:$Q$4999,1,数据录入!$B$5:$B$4999,"&lt;"&amp;$B$2,数据录入!$J$5:$J$4999,$K104))-(SUMIFS(数据录入!$G$5:$G$4999,$Q$5:$Q$4999,1,数据录入!$B$5:$B$4999,"&lt;"&amp;$B$2,数据录入!$I$5:$I$4999,$K104)+SUMIFS(数据录入!$G$5:$G$4999,$Q$5:$Q$4999,1,数据录入!$B$5:$B$4999,"&lt;"&amp;$B$2,数据录入!$J$5:$J$4999,$K104)))</f>
      </c>
      <c r="M104" s="114">
        <f>IF($K104="","",SUMIFS(数据录入!$F$5:$F$4999,$Q$5:$Q$4999,1,数据录入!$B$5:$B$4999,"&gt;="&amp;$B$2,数据录入!$B$5:$B$4999,"&lt;="&amp;$D$2,数据录入!$I$5:$I$4999,$K104)+SUMIFS(数据录入!$F$5:$F$4999,$Q$5:$Q$4999,1,数据录入!$B$5:$B$4999,"&gt;="&amp;$B$2,数据录入!$B$5:$B$4999,"&lt;="&amp;$D$2,数据录入!$J$5:$J$4999,$K104))</f>
      </c>
      <c r="N104" s="114">
        <f>IF($K104="","",SUMIFS(数据录入!$G$5:$G$4999,$Q$5:$Q$4999,1,数据录入!$B$5:$B$4999,"&gt;="&amp;$B$2,数据录入!$B$5:$B$4999,"&lt;="&amp;$D$2,数据录入!$I$5:$I$4999,$K104)+SUMIFS(数据录入!$G$5:$G$4999,$Q$5:$Q$4999,1,数据录入!$B$5:$B$4999,"&gt;="&amp;$B$2,数据录入!$B$5:$B$4999,"&lt;="&amp;$D$2,数据录入!$J$5:$J$4999,$K104))</f>
      </c>
      <c r="O104" s="114">
        <f>IF($K104="","",L104+M104-N104)</f>
      </c>
      <c r="Q104" s="44">
        <f>IF(数据录入!$B104="",0,IF(OR(数据录入!$D104="投标保证金",数据录入!$D104="合同履约保证金",ISNUMBER(FIND("保证金",数据录入!$E104))),1,0))</f>
      </c>
      <c r="R104" s="44">
        <f>IF(AND($Q104=1,数据录入!$B104&gt;=$B$2,数据录入!$B104&lt;=$D$2),N(R103)+1,N(R103))</f>
      </c>
      <c r="S104" s="44">
        <f>IFERROR(MATCH(97,$R$5:$R$4999,0),"")</f>
      </c>
      <c r="U104" s="44">
        <f>IFERROR(IF(97&lt;=50,INDEX(基础资料!$E$2:$E$51,97)&amp;"",INDEX(基础资料!$G$2:$G$51,97-50)&amp;""),"")</f>
      </c>
      <c r="V104" s="44">
        <f>IF($U104="",0,IF(AND(97&gt;50,COUNTIF(基础资料!$E$2:$E$51,$U104)&gt;0),0,1))</f>
      </c>
      <c r="W104" s="44">
        <f>IF($V104=1,N(W103)+1,N(W103))</f>
      </c>
    </row>
    <row r="105" s="44" customFormat="1" spans="1:23">
      <c r="A105" s="116">
        <f>IF($S105="","",INDEX(数据录入!$B$5:$B$4999,$S105))</f>
      </c>
      <c r="B105" s="44">
        <f>IF($S105="","",INDEX(数据录入!$C$5:$C$4999,$S105)&amp;"")</f>
      </c>
      <c r="C105" s="165">
        <f>IF($S105="","",IF(N($F105)&gt;0,"收款",IF(N($G105)&gt;0,"付款","")))</f>
      </c>
      <c r="D105" s="44">
        <f>IF($S105="","",IF((INDEX(数据录入!$I$5:$I$4999,$S105)&amp;"")&lt;&gt;"",INDEX(数据录入!$I$5:$I$4999,$S105)&amp;"",INDEX(数据录入!$J$5:$J$4999,$S105)&amp;""))</f>
      </c>
      <c r="E105" s="108">
        <f>IF($S105="","",INDEX(数据录入!$E$5:$E$4999,$S105)&amp;"")</f>
      </c>
      <c r="F105" s="114">
        <f>IF($S105="","",N(INDEX(数据录入!$F$5:$F$4999,$S105)))</f>
      </c>
      <c r="G105" s="114">
        <f>IF($S105="","",N(INDEX(数据录入!$G$5:$G$4999,$S105)))</f>
      </c>
      <c r="H105" s="114">
        <f>IF($S105="","",$G$2+SUM($F$8:$F105)-SUM($G$8:$G105))</f>
      </c>
      <c r="J105" s="165">
        <f>IF($K105="","",98)</f>
      </c>
      <c r="K105" s="44">
        <f>IFERROR(INDEX($U$8:$U$107,MATCH(98,$W$8:$W$107,0)),"")</f>
      </c>
      <c r="L105" s="114">
        <f>IF($K105="","",(SUMIFS(数据录入!$F$5:$F$4999,$Q$5:$Q$4999,1,数据录入!$B$5:$B$4999,"&lt;"&amp;$B$2,数据录入!$I$5:$I$4999,$K105)+SUMIFS(数据录入!$F$5:$F$4999,$Q$5:$Q$4999,1,数据录入!$B$5:$B$4999,"&lt;"&amp;$B$2,数据录入!$J$5:$J$4999,$K105))-(SUMIFS(数据录入!$G$5:$G$4999,$Q$5:$Q$4999,1,数据录入!$B$5:$B$4999,"&lt;"&amp;$B$2,数据录入!$I$5:$I$4999,$K105)+SUMIFS(数据录入!$G$5:$G$4999,$Q$5:$Q$4999,1,数据录入!$B$5:$B$4999,"&lt;"&amp;$B$2,数据录入!$J$5:$J$4999,$K105)))</f>
      </c>
      <c r="M105" s="114">
        <f>IF($K105="","",SUMIFS(数据录入!$F$5:$F$4999,$Q$5:$Q$4999,1,数据录入!$B$5:$B$4999,"&gt;="&amp;$B$2,数据录入!$B$5:$B$4999,"&lt;="&amp;$D$2,数据录入!$I$5:$I$4999,$K105)+SUMIFS(数据录入!$F$5:$F$4999,$Q$5:$Q$4999,1,数据录入!$B$5:$B$4999,"&gt;="&amp;$B$2,数据录入!$B$5:$B$4999,"&lt;="&amp;$D$2,数据录入!$J$5:$J$4999,$K105))</f>
      </c>
      <c r="N105" s="114">
        <f>IF($K105="","",SUMIFS(数据录入!$G$5:$G$4999,$Q$5:$Q$4999,1,数据录入!$B$5:$B$4999,"&gt;="&amp;$B$2,数据录入!$B$5:$B$4999,"&lt;="&amp;$D$2,数据录入!$I$5:$I$4999,$K105)+SUMIFS(数据录入!$G$5:$G$4999,$Q$5:$Q$4999,1,数据录入!$B$5:$B$4999,"&gt;="&amp;$B$2,数据录入!$B$5:$B$4999,"&lt;="&amp;$D$2,数据录入!$J$5:$J$4999,$K105))</f>
      </c>
      <c r="O105" s="114">
        <f>IF($K105="","",L105+M105-N105)</f>
      </c>
      <c r="Q105" s="44">
        <f>IF(数据录入!$B105="",0,IF(OR(数据录入!$D105="投标保证金",数据录入!$D105="合同履约保证金",ISNUMBER(FIND("保证金",数据录入!$E105))),1,0))</f>
      </c>
      <c r="R105" s="44">
        <f>IF(AND($Q105=1,数据录入!$B105&gt;=$B$2,数据录入!$B105&lt;=$D$2),N(R104)+1,N(R104))</f>
      </c>
      <c r="S105" s="44">
        <f>IFERROR(MATCH(98,$R$5:$R$4999,0),"")</f>
      </c>
      <c r="U105" s="44">
        <f>IFERROR(IF(98&lt;=50,INDEX(基础资料!$E$2:$E$51,98)&amp;"",INDEX(基础资料!$G$2:$G$51,98-50)&amp;""),"")</f>
      </c>
      <c r="V105" s="44">
        <f>IF($U105="",0,IF(AND(98&gt;50,COUNTIF(基础资料!$E$2:$E$51,$U105)&gt;0),0,1))</f>
      </c>
      <c r="W105" s="44">
        <f>IF($V105=1,N(W104)+1,N(W104))</f>
      </c>
    </row>
    <row r="106" s="44" customFormat="1" spans="1:23">
      <c r="A106" s="116">
        <f>IF($S106="","",INDEX(数据录入!$B$5:$B$4999,$S106))</f>
      </c>
      <c r="B106" s="44">
        <f>IF($S106="","",INDEX(数据录入!$C$5:$C$4999,$S106)&amp;"")</f>
      </c>
      <c r="C106" s="165">
        <f>IF($S106="","",IF(N($F106)&gt;0,"收款",IF(N($G106)&gt;0,"付款","")))</f>
      </c>
      <c r="D106" s="44">
        <f>IF($S106="","",IF((INDEX(数据录入!$I$5:$I$4999,$S106)&amp;"")&lt;&gt;"",INDEX(数据录入!$I$5:$I$4999,$S106)&amp;"",INDEX(数据录入!$J$5:$J$4999,$S106)&amp;""))</f>
      </c>
      <c r="E106" s="108">
        <f>IF($S106="","",INDEX(数据录入!$E$5:$E$4999,$S106)&amp;"")</f>
      </c>
      <c r="F106" s="114">
        <f>IF($S106="","",N(INDEX(数据录入!$F$5:$F$4999,$S106)))</f>
      </c>
      <c r="G106" s="114">
        <f>IF($S106="","",N(INDEX(数据录入!$G$5:$G$4999,$S106)))</f>
      </c>
      <c r="H106" s="114">
        <f>IF($S106="","",$G$2+SUM($F$8:$F106)-SUM($G$8:$G106))</f>
      </c>
      <c r="J106" s="165">
        <f>IF($K106="","",99)</f>
      </c>
      <c r="K106" s="44">
        <f>IFERROR(INDEX($U$8:$U$107,MATCH(99,$W$8:$W$107,0)),"")</f>
      </c>
      <c r="L106" s="114">
        <f>IF($K106="","",(SUMIFS(数据录入!$F$5:$F$4999,$Q$5:$Q$4999,1,数据录入!$B$5:$B$4999,"&lt;"&amp;$B$2,数据录入!$I$5:$I$4999,$K106)+SUMIFS(数据录入!$F$5:$F$4999,$Q$5:$Q$4999,1,数据录入!$B$5:$B$4999,"&lt;"&amp;$B$2,数据录入!$J$5:$J$4999,$K106))-(SUMIFS(数据录入!$G$5:$G$4999,$Q$5:$Q$4999,1,数据录入!$B$5:$B$4999,"&lt;"&amp;$B$2,数据录入!$I$5:$I$4999,$K106)+SUMIFS(数据录入!$G$5:$G$4999,$Q$5:$Q$4999,1,数据录入!$B$5:$B$4999,"&lt;"&amp;$B$2,数据录入!$J$5:$J$4999,$K106)))</f>
      </c>
      <c r="M106" s="114">
        <f>IF($K106="","",SUMIFS(数据录入!$F$5:$F$4999,$Q$5:$Q$4999,1,数据录入!$B$5:$B$4999,"&gt;="&amp;$B$2,数据录入!$B$5:$B$4999,"&lt;="&amp;$D$2,数据录入!$I$5:$I$4999,$K106)+SUMIFS(数据录入!$F$5:$F$4999,$Q$5:$Q$4999,1,数据录入!$B$5:$B$4999,"&gt;="&amp;$B$2,数据录入!$B$5:$B$4999,"&lt;="&amp;$D$2,数据录入!$J$5:$J$4999,$K106))</f>
      </c>
      <c r="N106" s="114">
        <f>IF($K106="","",SUMIFS(数据录入!$G$5:$G$4999,$Q$5:$Q$4999,1,数据录入!$B$5:$B$4999,"&gt;="&amp;$B$2,数据录入!$B$5:$B$4999,"&lt;="&amp;$D$2,数据录入!$I$5:$I$4999,$K106)+SUMIFS(数据录入!$G$5:$G$4999,$Q$5:$Q$4999,1,数据录入!$B$5:$B$4999,"&gt;="&amp;$B$2,数据录入!$B$5:$B$4999,"&lt;="&amp;$D$2,数据录入!$J$5:$J$4999,$K106))</f>
      </c>
      <c r="O106" s="114">
        <f>IF($K106="","",L106+M106-N106)</f>
      </c>
      <c r="Q106" s="44">
        <f>IF(数据录入!$B106="",0,IF(OR(数据录入!$D106="投标保证金",数据录入!$D106="合同履约保证金",ISNUMBER(FIND("保证金",数据录入!$E106))),1,0))</f>
      </c>
      <c r="R106" s="44">
        <f>IF(AND($Q106=1,数据录入!$B106&gt;=$B$2,数据录入!$B106&lt;=$D$2),N(R105)+1,N(R105))</f>
      </c>
      <c r="S106" s="44">
        <f>IFERROR(MATCH(99,$R$5:$R$4999,0),"")</f>
      </c>
      <c r="U106" s="44">
        <f>IFERROR(IF(99&lt;=50,INDEX(基础资料!$E$2:$E$51,99)&amp;"",INDEX(基础资料!$G$2:$G$51,99-50)&amp;""),"")</f>
      </c>
      <c r="V106" s="44">
        <f>IF($U106="",0,IF(AND(99&gt;50,COUNTIF(基础资料!$E$2:$E$51,$U106)&gt;0),0,1))</f>
      </c>
      <c r="W106" s="44">
        <f>IF($V106=1,N(W105)+1,N(W105))</f>
      </c>
    </row>
    <row r="107" s="44" customFormat="1" spans="1:23">
      <c r="A107" s="116">
        <f>IF($S107="","",INDEX(数据录入!$B$5:$B$4999,$S107))</f>
      </c>
      <c r="B107" s="44">
        <f>IF($S107="","",INDEX(数据录入!$C$5:$C$4999,$S107)&amp;"")</f>
      </c>
      <c r="C107" s="165">
        <f>IF($S107="","",IF(N($F107)&gt;0,"收款",IF(N($G107)&gt;0,"付款","")))</f>
      </c>
      <c r="D107" s="44">
        <f>IF($S107="","",IF((INDEX(数据录入!$I$5:$I$4999,$S107)&amp;"")&lt;&gt;"",INDEX(数据录入!$I$5:$I$4999,$S107)&amp;"",INDEX(数据录入!$J$5:$J$4999,$S107)&amp;""))</f>
      </c>
      <c r="E107" s="108">
        <f>IF($S107="","",INDEX(数据录入!$E$5:$E$4999,$S107)&amp;"")</f>
      </c>
      <c r="F107" s="114">
        <f>IF($S107="","",N(INDEX(数据录入!$F$5:$F$4999,$S107)))</f>
      </c>
      <c r="G107" s="114">
        <f>IF($S107="","",N(INDEX(数据录入!$G$5:$G$4999,$S107)))</f>
      </c>
      <c r="H107" s="114">
        <f>IF($S107="","",$G$2+SUM($F$8:$F107)-SUM($G$8:$G107))</f>
      </c>
      <c r="J107" s="165">
        <f>IF($K107="","",100)</f>
      </c>
      <c r="K107" s="44">
        <f>IFERROR(INDEX($U$8:$U$107,MATCH(100,$W$8:$W$107,0)),"")</f>
      </c>
      <c r="L107" s="114">
        <f>IF($K107="","",(SUMIFS(数据录入!$F$5:$F$4999,$Q$5:$Q$4999,1,数据录入!$B$5:$B$4999,"&lt;"&amp;$B$2,数据录入!$I$5:$I$4999,$K107)+SUMIFS(数据录入!$F$5:$F$4999,$Q$5:$Q$4999,1,数据录入!$B$5:$B$4999,"&lt;"&amp;$B$2,数据录入!$J$5:$J$4999,$K107))-(SUMIFS(数据录入!$G$5:$G$4999,$Q$5:$Q$4999,1,数据录入!$B$5:$B$4999,"&lt;"&amp;$B$2,数据录入!$I$5:$I$4999,$K107)+SUMIFS(数据录入!$G$5:$G$4999,$Q$5:$Q$4999,1,数据录入!$B$5:$B$4999,"&lt;"&amp;$B$2,数据录入!$J$5:$J$4999,$K107)))</f>
      </c>
      <c r="M107" s="114">
        <f>IF($K107="","",SUMIFS(数据录入!$F$5:$F$4999,$Q$5:$Q$4999,1,数据录入!$B$5:$B$4999,"&gt;="&amp;$B$2,数据录入!$B$5:$B$4999,"&lt;="&amp;$D$2,数据录入!$I$5:$I$4999,$K107)+SUMIFS(数据录入!$F$5:$F$4999,$Q$5:$Q$4999,1,数据录入!$B$5:$B$4999,"&gt;="&amp;$B$2,数据录入!$B$5:$B$4999,"&lt;="&amp;$D$2,数据录入!$J$5:$J$4999,$K107))</f>
      </c>
      <c r="N107" s="114">
        <f>IF($K107="","",SUMIFS(数据录入!$G$5:$G$4999,$Q$5:$Q$4999,1,数据录入!$B$5:$B$4999,"&gt;="&amp;$B$2,数据录入!$B$5:$B$4999,"&lt;="&amp;$D$2,数据录入!$I$5:$I$4999,$K107)+SUMIFS(数据录入!$G$5:$G$4999,$Q$5:$Q$4999,1,数据录入!$B$5:$B$4999,"&gt;="&amp;$B$2,数据录入!$B$5:$B$4999,"&lt;="&amp;$D$2,数据录入!$J$5:$J$4999,$K107))</f>
      </c>
      <c r="O107" s="114">
        <f>IF($K107="","",L107+M107-N107)</f>
      </c>
      <c r="Q107" s="44">
        <f>IF(数据录入!$B107="",0,IF(OR(数据录入!$D107="投标保证金",数据录入!$D107="合同履约保证金",ISNUMBER(FIND("保证金",数据录入!$E107))),1,0))</f>
      </c>
      <c r="R107" s="44">
        <f>IF(AND($Q107=1,数据录入!$B107&gt;=$B$2,数据录入!$B107&lt;=$D$2),N(R106)+1,N(R106))</f>
      </c>
      <c r="S107" s="44">
        <f>IFERROR(MATCH(100,$R$5:$R$4999,0),"")</f>
      </c>
      <c r="U107" s="44">
        <f>IFERROR(IF(100&lt;=50,INDEX(基础资料!$E$2:$E$51,100)&amp;"",INDEX(基础资料!$G$2:$G$51,100-50)&amp;""),"")</f>
      </c>
      <c r="V107" s="44">
        <f>IF($U107="",0,IF(AND(100&gt;50,COUNTIF(基础资料!$E$2:$E$51,$U107)&gt;0),0,1))</f>
      </c>
      <c r="W107" s="44">
        <f>IF($V107=1,N(W106)+1,N(W106))</f>
      </c>
    </row>
    <row r="108" s="44" customFormat="1" spans="1:23">
      <c r="A108" s="116">
        <f>IF($S108="","",INDEX(数据录入!$B$5:$B$4999,$S108))</f>
      </c>
      <c r="B108" s="44">
        <f>IF($S108="","",INDEX(数据录入!$C$5:$C$4999,$S108)&amp;"")</f>
      </c>
      <c r="C108" s="165">
        <f>IF($S108="","",IF(N($F108)&gt;0,"收款",IF(N($G108)&gt;0,"付款","")))</f>
      </c>
      <c r="D108" s="44">
        <f>IF($S108="","",IF((INDEX(数据录入!$I$5:$I$4999,$S108)&amp;"")&lt;&gt;"",INDEX(数据录入!$I$5:$I$4999,$S108)&amp;"",INDEX(数据录入!$J$5:$J$4999,$S108)&amp;""))</f>
      </c>
      <c r="E108" s="108">
        <f>IF($S108="","",INDEX(数据录入!$E$5:$E$4999,$S108)&amp;"")</f>
      </c>
      <c r="F108" s="114">
        <f>IF($S108="","",N(INDEX(数据录入!$F$5:$F$4999,$S108)))</f>
      </c>
      <c r="G108" s="114">
        <f>IF($S108="","",N(INDEX(数据录入!$G$5:$G$4999,$S108)))</f>
      </c>
      <c r="H108" s="114">
        <f>IF($S108="","",$G$2+SUM($F$8:$F108)-SUM($G$8:$G108))</f>
      </c>
      <c r="Q108" s="44">
        <f>IF(数据录入!$B108="",0,IF(OR(数据录入!$D108="投标保证金",数据录入!$D108="合同履约保证金",ISNUMBER(FIND("保证金",数据录入!$E108))),1,0))</f>
      </c>
      <c r="R108" s="44">
        <f>IF(AND($Q108=1,数据录入!$B108&gt;=$B$2,数据录入!$B108&lt;=$D$2),N(R107)+1,N(R107))</f>
      </c>
      <c r="S108" s="44">
        <f>IFERROR(MATCH(101,$R$5:$R$4999,0),"")</f>
      </c>
    </row>
    <row r="109" s="44" customFormat="1" spans="1:23">
      <c r="A109" s="116">
        <f>IF($S109="","",INDEX(数据录入!$B$5:$B$4999,$S109))</f>
      </c>
      <c r="B109" s="44">
        <f>IF($S109="","",INDEX(数据录入!$C$5:$C$4999,$S109)&amp;"")</f>
      </c>
      <c r="C109" s="165">
        <f>IF($S109="","",IF(N($F109)&gt;0,"收款",IF(N($G109)&gt;0,"付款","")))</f>
      </c>
      <c r="D109" s="44">
        <f>IF($S109="","",IF((INDEX(数据录入!$I$5:$I$4999,$S109)&amp;"")&lt;&gt;"",INDEX(数据录入!$I$5:$I$4999,$S109)&amp;"",INDEX(数据录入!$J$5:$J$4999,$S109)&amp;""))</f>
      </c>
      <c r="E109" s="108">
        <f>IF($S109="","",INDEX(数据录入!$E$5:$E$4999,$S109)&amp;"")</f>
      </c>
      <c r="F109" s="114">
        <f>IF($S109="","",N(INDEX(数据录入!$F$5:$F$4999,$S109)))</f>
      </c>
      <c r="G109" s="114">
        <f>IF($S109="","",N(INDEX(数据录入!$G$5:$G$4999,$S109)))</f>
      </c>
      <c r="H109" s="114">
        <f>IF($S109="","",$G$2+SUM($F$8:$F109)-SUM($G$8:$G109))</f>
      </c>
      <c r="Q109" s="44">
        <f>IF(数据录入!$B109="",0,IF(OR(数据录入!$D109="投标保证金",数据录入!$D109="合同履约保证金",ISNUMBER(FIND("保证金",数据录入!$E109))),1,0))</f>
      </c>
      <c r="R109" s="44">
        <f>IF(AND($Q109=1,数据录入!$B109&gt;=$B$2,数据录入!$B109&lt;=$D$2),N(R108)+1,N(R108))</f>
      </c>
      <c r="S109" s="44">
        <f>IFERROR(MATCH(102,$R$5:$R$4999,0),"")</f>
      </c>
    </row>
    <row r="110" s="44" customFormat="1" spans="1:23">
      <c r="A110" s="116">
        <f>IF($S110="","",INDEX(数据录入!$B$5:$B$4999,$S110))</f>
      </c>
      <c r="B110" s="44">
        <f>IF($S110="","",INDEX(数据录入!$C$5:$C$4999,$S110)&amp;"")</f>
      </c>
      <c r="C110" s="165">
        <f>IF($S110="","",IF(N($F110)&gt;0,"收款",IF(N($G110)&gt;0,"付款","")))</f>
      </c>
      <c r="D110" s="44">
        <f>IF($S110="","",IF((INDEX(数据录入!$I$5:$I$4999,$S110)&amp;"")&lt;&gt;"",INDEX(数据录入!$I$5:$I$4999,$S110)&amp;"",INDEX(数据录入!$J$5:$J$4999,$S110)&amp;""))</f>
      </c>
      <c r="E110" s="108">
        <f>IF($S110="","",INDEX(数据录入!$E$5:$E$4999,$S110)&amp;"")</f>
      </c>
      <c r="F110" s="114">
        <f>IF($S110="","",N(INDEX(数据录入!$F$5:$F$4999,$S110)))</f>
      </c>
      <c r="G110" s="114">
        <f>IF($S110="","",N(INDEX(数据录入!$G$5:$G$4999,$S110)))</f>
      </c>
      <c r="H110" s="114">
        <f>IF($S110="","",$G$2+SUM($F$8:$F110)-SUM($G$8:$G110))</f>
      </c>
      <c r="Q110" s="44">
        <f>IF(数据录入!$B110="",0,IF(OR(数据录入!$D110="投标保证金",数据录入!$D110="合同履约保证金",ISNUMBER(FIND("保证金",数据录入!$E110))),1,0))</f>
      </c>
      <c r="R110" s="44">
        <f>IF(AND($Q110=1,数据录入!$B110&gt;=$B$2,数据录入!$B110&lt;=$D$2),N(R109)+1,N(R109))</f>
      </c>
      <c r="S110" s="44">
        <f>IFERROR(MATCH(103,$R$5:$R$4999,0),"")</f>
      </c>
    </row>
    <row r="111" s="44" customFormat="1" spans="1:23">
      <c r="A111" s="116">
        <f>IF($S111="","",INDEX(数据录入!$B$5:$B$4999,$S111))</f>
      </c>
      <c r="B111" s="44">
        <f>IF($S111="","",INDEX(数据录入!$C$5:$C$4999,$S111)&amp;"")</f>
      </c>
      <c r="C111" s="165">
        <f>IF($S111="","",IF(N($F111)&gt;0,"收款",IF(N($G111)&gt;0,"付款","")))</f>
      </c>
      <c r="D111" s="44">
        <f>IF($S111="","",IF((INDEX(数据录入!$I$5:$I$4999,$S111)&amp;"")&lt;&gt;"",INDEX(数据录入!$I$5:$I$4999,$S111)&amp;"",INDEX(数据录入!$J$5:$J$4999,$S111)&amp;""))</f>
      </c>
      <c r="E111" s="108">
        <f>IF($S111="","",INDEX(数据录入!$E$5:$E$4999,$S111)&amp;"")</f>
      </c>
      <c r="F111" s="114">
        <f>IF($S111="","",N(INDEX(数据录入!$F$5:$F$4999,$S111)))</f>
      </c>
      <c r="G111" s="114">
        <f>IF($S111="","",N(INDEX(数据录入!$G$5:$G$4999,$S111)))</f>
      </c>
      <c r="H111" s="114">
        <f>IF($S111="","",$G$2+SUM($F$8:$F111)-SUM($G$8:$G111))</f>
      </c>
      <c r="Q111" s="44">
        <f>IF(数据录入!$B111="",0,IF(OR(数据录入!$D111="投标保证金",数据录入!$D111="合同履约保证金",ISNUMBER(FIND("保证金",数据录入!$E111))),1,0))</f>
      </c>
      <c r="R111" s="44">
        <f>IF(AND($Q111=1,数据录入!$B111&gt;=$B$2,数据录入!$B111&lt;=$D$2),N(R110)+1,N(R110))</f>
      </c>
      <c r="S111" s="44">
        <f>IFERROR(MATCH(104,$R$5:$R$4999,0),"")</f>
      </c>
    </row>
    <row r="112" s="44" customFormat="1" spans="1:23">
      <c r="A112" s="116">
        <f>IF($S112="","",INDEX(数据录入!$B$5:$B$4999,$S112))</f>
      </c>
      <c r="B112" s="44">
        <f>IF($S112="","",INDEX(数据录入!$C$5:$C$4999,$S112)&amp;"")</f>
      </c>
      <c r="C112" s="165">
        <f>IF($S112="","",IF(N($F112)&gt;0,"收款",IF(N($G112)&gt;0,"付款","")))</f>
      </c>
      <c r="D112" s="44">
        <f>IF($S112="","",IF((INDEX(数据录入!$I$5:$I$4999,$S112)&amp;"")&lt;&gt;"",INDEX(数据录入!$I$5:$I$4999,$S112)&amp;"",INDEX(数据录入!$J$5:$J$4999,$S112)&amp;""))</f>
      </c>
      <c r="E112" s="108">
        <f>IF($S112="","",INDEX(数据录入!$E$5:$E$4999,$S112)&amp;"")</f>
      </c>
      <c r="F112" s="114">
        <f>IF($S112="","",N(INDEX(数据录入!$F$5:$F$4999,$S112)))</f>
      </c>
      <c r="G112" s="114">
        <f>IF($S112="","",N(INDEX(数据录入!$G$5:$G$4999,$S112)))</f>
      </c>
      <c r="H112" s="114">
        <f>IF($S112="","",$G$2+SUM($F$8:$F112)-SUM($G$8:$G112))</f>
      </c>
      <c r="Q112" s="44">
        <f>IF(数据录入!$B112="",0,IF(OR(数据录入!$D112="投标保证金",数据录入!$D112="合同履约保证金",ISNUMBER(FIND("保证金",数据录入!$E112))),1,0))</f>
      </c>
      <c r="R112" s="44">
        <f>IF(AND($Q112=1,数据录入!$B112&gt;=$B$2,数据录入!$B112&lt;=$D$2),N(R111)+1,N(R111))</f>
      </c>
      <c r="S112" s="44">
        <f>IFERROR(MATCH(105,$R$5:$R$4999,0),"")</f>
      </c>
    </row>
    <row r="113" s="44" customFormat="1" spans="1:23">
      <c r="A113" s="116">
        <f>IF($S113="","",INDEX(数据录入!$B$5:$B$4999,$S113))</f>
      </c>
      <c r="B113" s="44">
        <f>IF($S113="","",INDEX(数据录入!$C$5:$C$4999,$S113)&amp;"")</f>
      </c>
      <c r="C113" s="165">
        <f>IF($S113="","",IF(N($F113)&gt;0,"收款",IF(N($G113)&gt;0,"付款","")))</f>
      </c>
      <c r="D113" s="44">
        <f>IF($S113="","",IF((INDEX(数据录入!$I$5:$I$4999,$S113)&amp;"")&lt;&gt;"",INDEX(数据录入!$I$5:$I$4999,$S113)&amp;"",INDEX(数据录入!$J$5:$J$4999,$S113)&amp;""))</f>
      </c>
      <c r="E113" s="108">
        <f>IF($S113="","",INDEX(数据录入!$E$5:$E$4999,$S113)&amp;"")</f>
      </c>
      <c r="F113" s="114">
        <f>IF($S113="","",N(INDEX(数据录入!$F$5:$F$4999,$S113)))</f>
      </c>
      <c r="G113" s="114">
        <f>IF($S113="","",N(INDEX(数据录入!$G$5:$G$4999,$S113)))</f>
      </c>
      <c r="H113" s="114">
        <f>IF($S113="","",$G$2+SUM($F$8:$F113)-SUM($G$8:$G113))</f>
      </c>
      <c r="Q113" s="44">
        <f>IF(数据录入!$B113="",0,IF(OR(数据录入!$D113="投标保证金",数据录入!$D113="合同履约保证金",ISNUMBER(FIND("保证金",数据录入!$E113))),1,0))</f>
      </c>
      <c r="R113" s="44">
        <f>IF(AND($Q113=1,数据录入!$B113&gt;=$B$2,数据录入!$B113&lt;=$D$2),N(R112)+1,N(R112))</f>
      </c>
      <c r="S113" s="44">
        <f>IFERROR(MATCH(106,$R$5:$R$4999,0),"")</f>
      </c>
    </row>
    <row r="114" s="44" customFormat="1" spans="1:23">
      <c r="A114" s="116">
        <f>IF($S114="","",INDEX(数据录入!$B$5:$B$4999,$S114))</f>
      </c>
      <c r="B114" s="44">
        <f>IF($S114="","",INDEX(数据录入!$C$5:$C$4999,$S114)&amp;"")</f>
      </c>
      <c r="C114" s="165">
        <f>IF($S114="","",IF(N($F114)&gt;0,"收款",IF(N($G114)&gt;0,"付款","")))</f>
      </c>
      <c r="D114" s="44">
        <f>IF($S114="","",IF((INDEX(数据录入!$I$5:$I$4999,$S114)&amp;"")&lt;&gt;"",INDEX(数据录入!$I$5:$I$4999,$S114)&amp;"",INDEX(数据录入!$J$5:$J$4999,$S114)&amp;""))</f>
      </c>
      <c r="E114" s="108">
        <f>IF($S114="","",INDEX(数据录入!$E$5:$E$4999,$S114)&amp;"")</f>
      </c>
      <c r="F114" s="114">
        <f>IF($S114="","",N(INDEX(数据录入!$F$5:$F$4999,$S114)))</f>
      </c>
      <c r="G114" s="114">
        <f>IF($S114="","",N(INDEX(数据录入!$G$5:$G$4999,$S114)))</f>
      </c>
      <c r="H114" s="114">
        <f>IF($S114="","",$G$2+SUM($F$8:$F114)-SUM($G$8:$G114))</f>
      </c>
      <c r="Q114" s="44">
        <f>IF(数据录入!$B114="",0,IF(OR(数据录入!$D114="投标保证金",数据录入!$D114="合同履约保证金",ISNUMBER(FIND("保证金",数据录入!$E114))),1,0))</f>
      </c>
      <c r="R114" s="44">
        <f>IF(AND($Q114=1,数据录入!$B114&gt;=$B$2,数据录入!$B114&lt;=$D$2),N(R113)+1,N(R113))</f>
      </c>
      <c r="S114" s="44">
        <f>IFERROR(MATCH(107,$R$5:$R$4999,0),"")</f>
      </c>
    </row>
    <row r="115" s="44" customFormat="1" spans="1:23">
      <c r="A115" s="116">
        <f>IF($S115="","",INDEX(数据录入!$B$5:$B$4999,$S115))</f>
      </c>
      <c r="B115" s="44">
        <f>IF($S115="","",INDEX(数据录入!$C$5:$C$4999,$S115)&amp;"")</f>
      </c>
      <c r="C115" s="165">
        <f>IF($S115="","",IF(N($F115)&gt;0,"收款",IF(N($G115)&gt;0,"付款","")))</f>
      </c>
      <c r="D115" s="44">
        <f>IF($S115="","",IF((INDEX(数据录入!$I$5:$I$4999,$S115)&amp;"")&lt;&gt;"",INDEX(数据录入!$I$5:$I$4999,$S115)&amp;"",INDEX(数据录入!$J$5:$J$4999,$S115)&amp;""))</f>
      </c>
      <c r="E115" s="108">
        <f>IF($S115="","",INDEX(数据录入!$E$5:$E$4999,$S115)&amp;"")</f>
      </c>
      <c r="F115" s="114">
        <f>IF($S115="","",N(INDEX(数据录入!$F$5:$F$4999,$S115)))</f>
      </c>
      <c r="G115" s="114">
        <f>IF($S115="","",N(INDEX(数据录入!$G$5:$G$4999,$S115)))</f>
      </c>
      <c r="H115" s="114">
        <f>IF($S115="","",$G$2+SUM($F$8:$F115)-SUM($G$8:$G115))</f>
      </c>
      <c r="Q115" s="44">
        <f>IF(数据录入!$B115="",0,IF(OR(数据录入!$D115="投标保证金",数据录入!$D115="合同履约保证金",ISNUMBER(FIND("保证金",数据录入!$E115))),1,0))</f>
      </c>
      <c r="R115" s="44">
        <f>IF(AND($Q115=1,数据录入!$B115&gt;=$B$2,数据录入!$B115&lt;=$D$2),N(R114)+1,N(R114))</f>
      </c>
      <c r="S115" s="44">
        <f>IFERROR(MATCH(108,$R$5:$R$4999,0),"")</f>
      </c>
    </row>
    <row r="116" s="44" customFormat="1" spans="1:23">
      <c r="A116" s="116">
        <f>IF($S116="","",INDEX(数据录入!$B$5:$B$4999,$S116))</f>
      </c>
      <c r="B116" s="44">
        <f>IF($S116="","",INDEX(数据录入!$C$5:$C$4999,$S116)&amp;"")</f>
      </c>
      <c r="C116" s="165">
        <f>IF($S116="","",IF(N($F116)&gt;0,"收款",IF(N($G116)&gt;0,"付款","")))</f>
      </c>
      <c r="D116" s="44">
        <f>IF($S116="","",IF((INDEX(数据录入!$I$5:$I$4999,$S116)&amp;"")&lt;&gt;"",INDEX(数据录入!$I$5:$I$4999,$S116)&amp;"",INDEX(数据录入!$J$5:$J$4999,$S116)&amp;""))</f>
      </c>
      <c r="E116" s="108">
        <f>IF($S116="","",INDEX(数据录入!$E$5:$E$4999,$S116)&amp;"")</f>
      </c>
      <c r="F116" s="114">
        <f>IF($S116="","",N(INDEX(数据录入!$F$5:$F$4999,$S116)))</f>
      </c>
      <c r="G116" s="114">
        <f>IF($S116="","",N(INDEX(数据录入!$G$5:$G$4999,$S116)))</f>
      </c>
      <c r="H116" s="114">
        <f>IF($S116="","",$G$2+SUM($F$8:$F116)-SUM($G$8:$G116))</f>
      </c>
      <c r="Q116" s="44">
        <f>IF(数据录入!$B116="",0,IF(OR(数据录入!$D116="投标保证金",数据录入!$D116="合同履约保证金",ISNUMBER(FIND("保证金",数据录入!$E116))),1,0))</f>
      </c>
      <c r="R116" s="44">
        <f>IF(AND($Q116=1,数据录入!$B116&gt;=$B$2,数据录入!$B116&lt;=$D$2),N(R115)+1,N(R115))</f>
      </c>
      <c r="S116" s="44">
        <f>IFERROR(MATCH(109,$R$5:$R$4999,0),"")</f>
      </c>
    </row>
    <row r="117" s="44" customFormat="1" spans="1:23">
      <c r="A117" s="116">
        <f>IF($S117="","",INDEX(数据录入!$B$5:$B$4999,$S117))</f>
      </c>
      <c r="B117" s="44">
        <f>IF($S117="","",INDEX(数据录入!$C$5:$C$4999,$S117)&amp;"")</f>
      </c>
      <c r="C117" s="165">
        <f>IF($S117="","",IF(N($F117)&gt;0,"收款",IF(N($G117)&gt;0,"付款","")))</f>
      </c>
      <c r="D117" s="44">
        <f>IF($S117="","",IF((INDEX(数据录入!$I$5:$I$4999,$S117)&amp;"")&lt;&gt;"",INDEX(数据录入!$I$5:$I$4999,$S117)&amp;"",INDEX(数据录入!$J$5:$J$4999,$S117)&amp;""))</f>
      </c>
      <c r="E117" s="108">
        <f>IF($S117="","",INDEX(数据录入!$E$5:$E$4999,$S117)&amp;"")</f>
      </c>
      <c r="F117" s="114">
        <f>IF($S117="","",N(INDEX(数据录入!$F$5:$F$4999,$S117)))</f>
      </c>
      <c r="G117" s="114">
        <f>IF($S117="","",N(INDEX(数据录入!$G$5:$G$4999,$S117)))</f>
      </c>
      <c r="H117" s="114">
        <f>IF($S117="","",$G$2+SUM($F$8:$F117)-SUM($G$8:$G117))</f>
      </c>
      <c r="Q117" s="44">
        <f>IF(数据录入!$B117="",0,IF(OR(数据录入!$D117="投标保证金",数据录入!$D117="合同履约保证金",ISNUMBER(FIND("保证金",数据录入!$E117))),1,0))</f>
      </c>
      <c r="R117" s="44">
        <f>IF(AND($Q117=1,数据录入!$B117&gt;=$B$2,数据录入!$B117&lt;=$D$2),N(R116)+1,N(R116))</f>
      </c>
      <c r="S117" s="44">
        <f>IFERROR(MATCH(110,$R$5:$R$4999,0),"")</f>
      </c>
    </row>
    <row r="118" s="44" customFormat="1" spans="1:23">
      <c r="A118" s="116">
        <f>IF($S118="","",INDEX(数据录入!$B$5:$B$4999,$S118))</f>
      </c>
      <c r="B118" s="44">
        <f>IF($S118="","",INDEX(数据录入!$C$5:$C$4999,$S118)&amp;"")</f>
      </c>
      <c r="C118" s="165">
        <f>IF($S118="","",IF(N($F118)&gt;0,"收款",IF(N($G118)&gt;0,"付款","")))</f>
      </c>
      <c r="D118" s="44">
        <f>IF($S118="","",IF((INDEX(数据录入!$I$5:$I$4999,$S118)&amp;"")&lt;&gt;"",INDEX(数据录入!$I$5:$I$4999,$S118)&amp;"",INDEX(数据录入!$J$5:$J$4999,$S118)&amp;""))</f>
      </c>
      <c r="E118" s="108">
        <f>IF($S118="","",INDEX(数据录入!$E$5:$E$4999,$S118)&amp;"")</f>
      </c>
      <c r="F118" s="114">
        <f>IF($S118="","",N(INDEX(数据录入!$F$5:$F$4999,$S118)))</f>
      </c>
      <c r="G118" s="114">
        <f>IF($S118="","",N(INDEX(数据录入!$G$5:$G$4999,$S118)))</f>
      </c>
      <c r="H118" s="114">
        <f>IF($S118="","",$G$2+SUM($F$8:$F118)-SUM($G$8:$G118))</f>
      </c>
      <c r="Q118" s="44">
        <f>IF(数据录入!$B118="",0,IF(OR(数据录入!$D118="投标保证金",数据录入!$D118="合同履约保证金",ISNUMBER(FIND("保证金",数据录入!$E118))),1,0))</f>
      </c>
      <c r="R118" s="44">
        <f>IF(AND($Q118=1,数据录入!$B118&gt;=$B$2,数据录入!$B118&lt;=$D$2),N(R117)+1,N(R117))</f>
      </c>
      <c r="S118" s="44">
        <f>IFERROR(MATCH(111,$R$5:$R$4999,0),"")</f>
      </c>
    </row>
    <row r="119" s="44" customFormat="1" spans="1:23">
      <c r="A119" s="116">
        <f>IF($S119="","",INDEX(数据录入!$B$5:$B$4999,$S119))</f>
      </c>
      <c r="B119" s="44">
        <f>IF($S119="","",INDEX(数据录入!$C$5:$C$4999,$S119)&amp;"")</f>
      </c>
      <c r="C119" s="165">
        <f>IF($S119="","",IF(N($F119)&gt;0,"收款",IF(N($G119)&gt;0,"付款","")))</f>
      </c>
      <c r="D119" s="44">
        <f>IF($S119="","",IF((INDEX(数据录入!$I$5:$I$4999,$S119)&amp;"")&lt;&gt;"",INDEX(数据录入!$I$5:$I$4999,$S119)&amp;"",INDEX(数据录入!$J$5:$J$4999,$S119)&amp;""))</f>
      </c>
      <c r="E119" s="108">
        <f>IF($S119="","",INDEX(数据录入!$E$5:$E$4999,$S119)&amp;"")</f>
      </c>
      <c r="F119" s="114">
        <f>IF($S119="","",N(INDEX(数据录入!$F$5:$F$4999,$S119)))</f>
      </c>
      <c r="G119" s="114">
        <f>IF($S119="","",N(INDEX(数据录入!$G$5:$G$4999,$S119)))</f>
      </c>
      <c r="H119" s="114">
        <f>IF($S119="","",$G$2+SUM($F$8:$F119)-SUM($G$8:$G119))</f>
      </c>
      <c r="Q119" s="44">
        <f>IF(数据录入!$B119="",0,IF(OR(数据录入!$D119="投标保证金",数据录入!$D119="合同履约保证金",ISNUMBER(FIND("保证金",数据录入!$E119))),1,0))</f>
      </c>
      <c r="R119" s="44">
        <f>IF(AND($Q119=1,数据录入!$B119&gt;=$B$2,数据录入!$B119&lt;=$D$2),N(R118)+1,N(R118))</f>
      </c>
      <c r="S119" s="44">
        <f>IFERROR(MATCH(112,$R$5:$R$4999,0),"")</f>
      </c>
    </row>
    <row r="120" s="44" customFormat="1" spans="1:23">
      <c r="A120" s="116">
        <f>IF($S120="","",INDEX(数据录入!$B$5:$B$4999,$S120))</f>
      </c>
      <c r="B120" s="44">
        <f>IF($S120="","",INDEX(数据录入!$C$5:$C$4999,$S120)&amp;"")</f>
      </c>
      <c r="C120" s="165">
        <f>IF($S120="","",IF(N($F120)&gt;0,"收款",IF(N($G120)&gt;0,"付款","")))</f>
      </c>
      <c r="D120" s="44">
        <f>IF($S120="","",IF((INDEX(数据录入!$I$5:$I$4999,$S120)&amp;"")&lt;&gt;"",INDEX(数据录入!$I$5:$I$4999,$S120)&amp;"",INDEX(数据录入!$J$5:$J$4999,$S120)&amp;""))</f>
      </c>
      <c r="E120" s="108">
        <f>IF($S120="","",INDEX(数据录入!$E$5:$E$4999,$S120)&amp;"")</f>
      </c>
      <c r="F120" s="114">
        <f>IF($S120="","",N(INDEX(数据录入!$F$5:$F$4999,$S120)))</f>
      </c>
      <c r="G120" s="114">
        <f>IF($S120="","",N(INDEX(数据录入!$G$5:$G$4999,$S120)))</f>
      </c>
      <c r="H120" s="114">
        <f>IF($S120="","",$G$2+SUM($F$8:$F120)-SUM($G$8:$G120))</f>
      </c>
      <c r="Q120" s="44">
        <f>IF(数据录入!$B120="",0,IF(OR(数据录入!$D120="投标保证金",数据录入!$D120="合同履约保证金",ISNUMBER(FIND("保证金",数据录入!$E120))),1,0))</f>
      </c>
      <c r="R120" s="44">
        <f>IF(AND($Q120=1,数据录入!$B120&gt;=$B$2,数据录入!$B120&lt;=$D$2),N(R119)+1,N(R119))</f>
      </c>
      <c r="S120" s="44">
        <f>IFERROR(MATCH(113,$R$5:$R$4999,0),"")</f>
      </c>
    </row>
    <row r="121" s="44" customFormat="1" spans="1:23">
      <c r="A121" s="116">
        <f>IF($S121="","",INDEX(数据录入!$B$5:$B$4999,$S121))</f>
      </c>
      <c r="B121" s="44">
        <f>IF($S121="","",INDEX(数据录入!$C$5:$C$4999,$S121)&amp;"")</f>
      </c>
      <c r="C121" s="165">
        <f>IF($S121="","",IF(N($F121)&gt;0,"收款",IF(N($G121)&gt;0,"付款","")))</f>
      </c>
      <c r="D121" s="44">
        <f>IF($S121="","",IF((INDEX(数据录入!$I$5:$I$4999,$S121)&amp;"")&lt;&gt;"",INDEX(数据录入!$I$5:$I$4999,$S121)&amp;"",INDEX(数据录入!$J$5:$J$4999,$S121)&amp;""))</f>
      </c>
      <c r="E121" s="108">
        <f>IF($S121="","",INDEX(数据录入!$E$5:$E$4999,$S121)&amp;"")</f>
      </c>
      <c r="F121" s="114">
        <f>IF($S121="","",N(INDEX(数据录入!$F$5:$F$4999,$S121)))</f>
      </c>
      <c r="G121" s="114">
        <f>IF($S121="","",N(INDEX(数据录入!$G$5:$G$4999,$S121)))</f>
      </c>
      <c r="H121" s="114">
        <f>IF($S121="","",$G$2+SUM($F$8:$F121)-SUM($G$8:$G121))</f>
      </c>
      <c r="Q121" s="44">
        <f>IF(数据录入!$B121="",0,IF(OR(数据录入!$D121="投标保证金",数据录入!$D121="合同履约保证金",ISNUMBER(FIND("保证金",数据录入!$E121))),1,0))</f>
      </c>
      <c r="R121" s="44">
        <f>IF(AND($Q121=1,数据录入!$B121&gt;=$B$2,数据录入!$B121&lt;=$D$2),N(R120)+1,N(R120))</f>
      </c>
      <c r="S121" s="44">
        <f>IFERROR(MATCH(114,$R$5:$R$4999,0),"")</f>
      </c>
    </row>
    <row r="122" s="44" customFormat="1" spans="1:23">
      <c r="A122" s="116">
        <f>IF($S122="","",INDEX(数据录入!$B$5:$B$4999,$S122))</f>
      </c>
      <c r="B122" s="44">
        <f>IF($S122="","",INDEX(数据录入!$C$5:$C$4999,$S122)&amp;"")</f>
      </c>
      <c r="C122" s="165">
        <f>IF($S122="","",IF(N($F122)&gt;0,"收款",IF(N($G122)&gt;0,"付款","")))</f>
      </c>
      <c r="D122" s="44">
        <f>IF($S122="","",IF((INDEX(数据录入!$I$5:$I$4999,$S122)&amp;"")&lt;&gt;"",INDEX(数据录入!$I$5:$I$4999,$S122)&amp;"",INDEX(数据录入!$J$5:$J$4999,$S122)&amp;""))</f>
      </c>
      <c r="E122" s="108">
        <f>IF($S122="","",INDEX(数据录入!$E$5:$E$4999,$S122)&amp;"")</f>
      </c>
      <c r="F122" s="114">
        <f>IF($S122="","",N(INDEX(数据录入!$F$5:$F$4999,$S122)))</f>
      </c>
      <c r="G122" s="114">
        <f>IF($S122="","",N(INDEX(数据录入!$G$5:$G$4999,$S122)))</f>
      </c>
      <c r="H122" s="114">
        <f>IF($S122="","",$G$2+SUM($F$8:$F122)-SUM($G$8:$G122))</f>
      </c>
      <c r="Q122" s="44">
        <f>IF(数据录入!$B122="",0,IF(OR(数据录入!$D122="投标保证金",数据录入!$D122="合同履约保证金",ISNUMBER(FIND("保证金",数据录入!$E122))),1,0))</f>
      </c>
      <c r="R122" s="44">
        <f>IF(AND($Q122=1,数据录入!$B122&gt;=$B$2,数据录入!$B122&lt;=$D$2),N(R121)+1,N(R121))</f>
      </c>
      <c r="S122" s="44">
        <f>IFERROR(MATCH(115,$R$5:$R$4999,0),"")</f>
      </c>
    </row>
    <row r="123" s="44" customFormat="1" spans="1:23">
      <c r="A123" s="116">
        <f>IF($S123="","",INDEX(数据录入!$B$5:$B$4999,$S123))</f>
      </c>
      <c r="B123" s="44">
        <f>IF($S123="","",INDEX(数据录入!$C$5:$C$4999,$S123)&amp;"")</f>
      </c>
      <c r="C123" s="165">
        <f>IF($S123="","",IF(N($F123)&gt;0,"收款",IF(N($G123)&gt;0,"付款","")))</f>
      </c>
      <c r="D123" s="44">
        <f>IF($S123="","",IF((INDEX(数据录入!$I$5:$I$4999,$S123)&amp;"")&lt;&gt;"",INDEX(数据录入!$I$5:$I$4999,$S123)&amp;"",INDEX(数据录入!$J$5:$J$4999,$S123)&amp;""))</f>
      </c>
      <c r="E123" s="108">
        <f>IF($S123="","",INDEX(数据录入!$E$5:$E$4999,$S123)&amp;"")</f>
      </c>
      <c r="F123" s="114">
        <f>IF($S123="","",N(INDEX(数据录入!$F$5:$F$4999,$S123)))</f>
      </c>
      <c r="G123" s="114">
        <f>IF($S123="","",N(INDEX(数据录入!$G$5:$G$4999,$S123)))</f>
      </c>
      <c r="H123" s="114">
        <f>IF($S123="","",$G$2+SUM($F$8:$F123)-SUM($G$8:$G123))</f>
      </c>
      <c r="Q123" s="44">
        <f>IF(数据录入!$B123="",0,IF(OR(数据录入!$D123="投标保证金",数据录入!$D123="合同履约保证金",ISNUMBER(FIND("保证金",数据录入!$E123))),1,0))</f>
      </c>
      <c r="R123" s="44">
        <f>IF(AND($Q123=1,数据录入!$B123&gt;=$B$2,数据录入!$B123&lt;=$D$2),N(R122)+1,N(R122))</f>
      </c>
      <c r="S123" s="44">
        <f>IFERROR(MATCH(116,$R$5:$R$4999,0),"")</f>
      </c>
    </row>
    <row r="124" s="44" customFormat="1" spans="1:23">
      <c r="A124" s="116">
        <f>IF($S124="","",INDEX(数据录入!$B$5:$B$4999,$S124))</f>
      </c>
      <c r="B124" s="44">
        <f>IF($S124="","",INDEX(数据录入!$C$5:$C$4999,$S124)&amp;"")</f>
      </c>
      <c r="C124" s="165">
        <f>IF($S124="","",IF(N($F124)&gt;0,"收款",IF(N($G124)&gt;0,"付款","")))</f>
      </c>
      <c r="D124" s="44">
        <f>IF($S124="","",IF((INDEX(数据录入!$I$5:$I$4999,$S124)&amp;"")&lt;&gt;"",INDEX(数据录入!$I$5:$I$4999,$S124)&amp;"",INDEX(数据录入!$J$5:$J$4999,$S124)&amp;""))</f>
      </c>
      <c r="E124" s="108">
        <f>IF($S124="","",INDEX(数据录入!$E$5:$E$4999,$S124)&amp;"")</f>
      </c>
      <c r="F124" s="114">
        <f>IF($S124="","",N(INDEX(数据录入!$F$5:$F$4999,$S124)))</f>
      </c>
      <c r="G124" s="114">
        <f>IF($S124="","",N(INDEX(数据录入!$G$5:$G$4999,$S124)))</f>
      </c>
      <c r="H124" s="114">
        <f>IF($S124="","",$G$2+SUM($F$8:$F124)-SUM($G$8:$G124))</f>
      </c>
      <c r="Q124" s="44">
        <f>IF(数据录入!$B124="",0,IF(OR(数据录入!$D124="投标保证金",数据录入!$D124="合同履约保证金",ISNUMBER(FIND("保证金",数据录入!$E124))),1,0))</f>
      </c>
      <c r="R124" s="44">
        <f>IF(AND($Q124=1,数据录入!$B124&gt;=$B$2,数据录入!$B124&lt;=$D$2),N(R123)+1,N(R123))</f>
      </c>
      <c r="S124" s="44">
        <f>IFERROR(MATCH(117,$R$5:$R$4999,0),"")</f>
      </c>
    </row>
    <row r="125" s="44" customFormat="1" spans="1:23">
      <c r="A125" s="116">
        <f>IF($S125="","",INDEX(数据录入!$B$5:$B$4999,$S125))</f>
      </c>
      <c r="B125" s="44">
        <f>IF($S125="","",INDEX(数据录入!$C$5:$C$4999,$S125)&amp;"")</f>
      </c>
      <c r="C125" s="165">
        <f>IF($S125="","",IF(N($F125)&gt;0,"收款",IF(N($G125)&gt;0,"付款","")))</f>
      </c>
      <c r="D125" s="44">
        <f>IF($S125="","",IF((INDEX(数据录入!$I$5:$I$4999,$S125)&amp;"")&lt;&gt;"",INDEX(数据录入!$I$5:$I$4999,$S125)&amp;"",INDEX(数据录入!$J$5:$J$4999,$S125)&amp;""))</f>
      </c>
      <c r="E125" s="108">
        <f>IF($S125="","",INDEX(数据录入!$E$5:$E$4999,$S125)&amp;"")</f>
      </c>
      <c r="F125" s="114">
        <f>IF($S125="","",N(INDEX(数据录入!$F$5:$F$4999,$S125)))</f>
      </c>
      <c r="G125" s="114">
        <f>IF($S125="","",N(INDEX(数据录入!$G$5:$G$4999,$S125)))</f>
      </c>
      <c r="H125" s="114">
        <f>IF($S125="","",$G$2+SUM($F$8:$F125)-SUM($G$8:$G125))</f>
      </c>
      <c r="Q125" s="44">
        <f>IF(数据录入!$B125="",0,IF(OR(数据录入!$D125="投标保证金",数据录入!$D125="合同履约保证金",ISNUMBER(FIND("保证金",数据录入!$E125))),1,0))</f>
      </c>
      <c r="R125" s="44">
        <f>IF(AND($Q125=1,数据录入!$B125&gt;=$B$2,数据录入!$B125&lt;=$D$2),N(R124)+1,N(R124))</f>
      </c>
      <c r="S125" s="44">
        <f>IFERROR(MATCH(118,$R$5:$R$4999,0),"")</f>
      </c>
    </row>
    <row r="126" s="44" customFormat="1" spans="1:23">
      <c r="A126" s="116">
        <f>IF($S126="","",INDEX(数据录入!$B$5:$B$4999,$S126))</f>
      </c>
      <c r="B126" s="44">
        <f>IF($S126="","",INDEX(数据录入!$C$5:$C$4999,$S126)&amp;"")</f>
      </c>
      <c r="C126" s="165">
        <f>IF($S126="","",IF(N($F126)&gt;0,"收款",IF(N($G126)&gt;0,"付款","")))</f>
      </c>
      <c r="D126" s="44">
        <f>IF($S126="","",IF((INDEX(数据录入!$I$5:$I$4999,$S126)&amp;"")&lt;&gt;"",INDEX(数据录入!$I$5:$I$4999,$S126)&amp;"",INDEX(数据录入!$J$5:$J$4999,$S126)&amp;""))</f>
      </c>
      <c r="E126" s="108">
        <f>IF($S126="","",INDEX(数据录入!$E$5:$E$4999,$S126)&amp;"")</f>
      </c>
      <c r="F126" s="114">
        <f>IF($S126="","",N(INDEX(数据录入!$F$5:$F$4999,$S126)))</f>
      </c>
      <c r="G126" s="114">
        <f>IF($S126="","",N(INDEX(数据录入!$G$5:$G$4999,$S126)))</f>
      </c>
      <c r="H126" s="114">
        <f>IF($S126="","",$G$2+SUM($F$8:$F126)-SUM($G$8:$G126))</f>
      </c>
      <c r="Q126" s="44">
        <f>IF(数据录入!$B126="",0,IF(OR(数据录入!$D126="投标保证金",数据录入!$D126="合同履约保证金",ISNUMBER(FIND("保证金",数据录入!$E126))),1,0))</f>
      </c>
      <c r="R126" s="44">
        <f>IF(AND($Q126=1,数据录入!$B126&gt;=$B$2,数据录入!$B126&lt;=$D$2),N(R125)+1,N(R125))</f>
      </c>
      <c r="S126" s="44">
        <f>IFERROR(MATCH(119,$R$5:$R$4999,0),"")</f>
      </c>
    </row>
    <row r="127" s="44" customFormat="1" spans="1:23">
      <c r="A127" s="116">
        <f>IF($S127="","",INDEX(数据录入!$B$5:$B$4999,$S127))</f>
      </c>
      <c r="B127" s="44">
        <f>IF($S127="","",INDEX(数据录入!$C$5:$C$4999,$S127)&amp;"")</f>
      </c>
      <c r="C127" s="165">
        <f>IF($S127="","",IF(N($F127)&gt;0,"收款",IF(N($G127)&gt;0,"付款","")))</f>
      </c>
      <c r="D127" s="44">
        <f>IF($S127="","",IF((INDEX(数据录入!$I$5:$I$4999,$S127)&amp;"")&lt;&gt;"",INDEX(数据录入!$I$5:$I$4999,$S127)&amp;"",INDEX(数据录入!$J$5:$J$4999,$S127)&amp;""))</f>
      </c>
      <c r="E127" s="108">
        <f>IF($S127="","",INDEX(数据录入!$E$5:$E$4999,$S127)&amp;"")</f>
      </c>
      <c r="F127" s="114">
        <f>IF($S127="","",N(INDEX(数据录入!$F$5:$F$4999,$S127)))</f>
      </c>
      <c r="G127" s="114">
        <f>IF($S127="","",N(INDEX(数据录入!$G$5:$G$4999,$S127)))</f>
      </c>
      <c r="H127" s="114">
        <f>IF($S127="","",$G$2+SUM($F$8:$F127)-SUM($G$8:$G127))</f>
      </c>
      <c r="Q127" s="44">
        <f>IF(数据录入!$B127="",0,IF(OR(数据录入!$D127="投标保证金",数据录入!$D127="合同履约保证金",ISNUMBER(FIND("保证金",数据录入!$E127))),1,0))</f>
      </c>
      <c r="R127" s="44">
        <f>IF(AND($Q127=1,数据录入!$B127&gt;=$B$2,数据录入!$B127&lt;=$D$2),N(R126)+1,N(R126))</f>
      </c>
      <c r="S127" s="44">
        <f>IFERROR(MATCH(120,$R$5:$R$4999,0),"")</f>
      </c>
    </row>
    <row r="128" s="44" customFormat="1" spans="1:23">
      <c r="A128" s="116">
        <f>IF($S128="","",INDEX(数据录入!$B$5:$B$4999,$S128))</f>
      </c>
      <c r="B128" s="44">
        <f>IF($S128="","",INDEX(数据录入!$C$5:$C$4999,$S128)&amp;"")</f>
      </c>
      <c r="C128" s="165">
        <f>IF($S128="","",IF(N($F128)&gt;0,"收款",IF(N($G128)&gt;0,"付款","")))</f>
      </c>
      <c r="D128" s="44">
        <f>IF($S128="","",IF((INDEX(数据录入!$I$5:$I$4999,$S128)&amp;"")&lt;&gt;"",INDEX(数据录入!$I$5:$I$4999,$S128)&amp;"",INDEX(数据录入!$J$5:$J$4999,$S128)&amp;""))</f>
      </c>
      <c r="E128" s="108">
        <f>IF($S128="","",INDEX(数据录入!$E$5:$E$4999,$S128)&amp;"")</f>
      </c>
      <c r="F128" s="114">
        <f>IF($S128="","",N(INDEX(数据录入!$F$5:$F$4999,$S128)))</f>
      </c>
      <c r="G128" s="114">
        <f>IF($S128="","",N(INDEX(数据录入!$G$5:$G$4999,$S128)))</f>
      </c>
      <c r="H128" s="114">
        <f>IF($S128="","",$G$2+SUM($F$8:$F128)-SUM($G$8:$G128))</f>
      </c>
      <c r="Q128" s="44">
        <f>IF(数据录入!$B128="",0,IF(OR(数据录入!$D128="投标保证金",数据录入!$D128="合同履约保证金",ISNUMBER(FIND("保证金",数据录入!$E128))),1,0))</f>
      </c>
      <c r="R128" s="44">
        <f>IF(AND($Q128=1,数据录入!$B128&gt;=$B$2,数据录入!$B128&lt;=$D$2),N(R127)+1,N(R127))</f>
      </c>
      <c r="S128" s="44">
        <f>IFERROR(MATCH(121,$R$5:$R$4999,0),"")</f>
      </c>
    </row>
    <row r="129" s="44" customFormat="1" spans="1:23">
      <c r="A129" s="116">
        <f>IF($S129="","",INDEX(数据录入!$B$5:$B$4999,$S129))</f>
      </c>
      <c r="B129" s="44">
        <f>IF($S129="","",INDEX(数据录入!$C$5:$C$4999,$S129)&amp;"")</f>
      </c>
      <c r="C129" s="165">
        <f>IF($S129="","",IF(N($F129)&gt;0,"收款",IF(N($G129)&gt;0,"付款","")))</f>
      </c>
      <c r="D129" s="44">
        <f>IF($S129="","",IF((INDEX(数据录入!$I$5:$I$4999,$S129)&amp;"")&lt;&gt;"",INDEX(数据录入!$I$5:$I$4999,$S129)&amp;"",INDEX(数据录入!$J$5:$J$4999,$S129)&amp;""))</f>
      </c>
      <c r="E129" s="108">
        <f>IF($S129="","",INDEX(数据录入!$E$5:$E$4999,$S129)&amp;"")</f>
      </c>
      <c r="F129" s="114">
        <f>IF($S129="","",N(INDEX(数据录入!$F$5:$F$4999,$S129)))</f>
      </c>
      <c r="G129" s="114">
        <f>IF($S129="","",N(INDEX(数据录入!$G$5:$G$4999,$S129)))</f>
      </c>
      <c r="H129" s="114">
        <f>IF($S129="","",$G$2+SUM($F$8:$F129)-SUM($G$8:$G129))</f>
      </c>
      <c r="Q129" s="44">
        <f>IF(数据录入!$B129="",0,IF(OR(数据录入!$D129="投标保证金",数据录入!$D129="合同履约保证金",ISNUMBER(FIND("保证金",数据录入!$E129))),1,0))</f>
      </c>
      <c r="R129" s="44">
        <f>IF(AND($Q129=1,数据录入!$B129&gt;=$B$2,数据录入!$B129&lt;=$D$2),N(R128)+1,N(R128))</f>
      </c>
      <c r="S129" s="44">
        <f>IFERROR(MATCH(122,$R$5:$R$4999,0),"")</f>
      </c>
    </row>
    <row r="130" s="44" customFormat="1" spans="1:23">
      <c r="A130" s="116">
        <f>IF($S130="","",INDEX(数据录入!$B$5:$B$4999,$S130))</f>
      </c>
      <c r="B130" s="44">
        <f>IF($S130="","",INDEX(数据录入!$C$5:$C$4999,$S130)&amp;"")</f>
      </c>
      <c r="C130" s="165">
        <f>IF($S130="","",IF(N($F130)&gt;0,"收款",IF(N($G130)&gt;0,"付款","")))</f>
      </c>
      <c r="D130" s="44">
        <f>IF($S130="","",IF((INDEX(数据录入!$I$5:$I$4999,$S130)&amp;"")&lt;&gt;"",INDEX(数据录入!$I$5:$I$4999,$S130)&amp;"",INDEX(数据录入!$J$5:$J$4999,$S130)&amp;""))</f>
      </c>
      <c r="E130" s="108">
        <f>IF($S130="","",INDEX(数据录入!$E$5:$E$4999,$S130)&amp;"")</f>
      </c>
      <c r="F130" s="114">
        <f>IF($S130="","",N(INDEX(数据录入!$F$5:$F$4999,$S130)))</f>
      </c>
      <c r="G130" s="114">
        <f>IF($S130="","",N(INDEX(数据录入!$G$5:$G$4999,$S130)))</f>
      </c>
      <c r="H130" s="114">
        <f>IF($S130="","",$G$2+SUM($F$8:$F130)-SUM($G$8:$G130))</f>
      </c>
      <c r="Q130" s="44">
        <f>IF(数据录入!$B130="",0,IF(OR(数据录入!$D130="投标保证金",数据录入!$D130="合同履约保证金",ISNUMBER(FIND("保证金",数据录入!$E130))),1,0))</f>
      </c>
      <c r="R130" s="44">
        <f>IF(AND($Q130=1,数据录入!$B130&gt;=$B$2,数据录入!$B130&lt;=$D$2),N(R129)+1,N(R129))</f>
      </c>
      <c r="S130" s="44">
        <f>IFERROR(MATCH(123,$R$5:$R$4999,0),"")</f>
      </c>
    </row>
    <row r="131" s="44" customFormat="1" spans="1:23">
      <c r="A131" s="116">
        <f>IF($S131="","",INDEX(数据录入!$B$5:$B$4999,$S131))</f>
      </c>
      <c r="B131" s="44">
        <f>IF($S131="","",INDEX(数据录入!$C$5:$C$4999,$S131)&amp;"")</f>
      </c>
      <c r="C131" s="165">
        <f>IF($S131="","",IF(N($F131)&gt;0,"收款",IF(N($G131)&gt;0,"付款","")))</f>
      </c>
      <c r="D131" s="44">
        <f>IF($S131="","",IF((INDEX(数据录入!$I$5:$I$4999,$S131)&amp;"")&lt;&gt;"",INDEX(数据录入!$I$5:$I$4999,$S131)&amp;"",INDEX(数据录入!$J$5:$J$4999,$S131)&amp;""))</f>
      </c>
      <c r="E131" s="108">
        <f>IF($S131="","",INDEX(数据录入!$E$5:$E$4999,$S131)&amp;"")</f>
      </c>
      <c r="F131" s="114">
        <f>IF($S131="","",N(INDEX(数据录入!$F$5:$F$4999,$S131)))</f>
      </c>
      <c r="G131" s="114">
        <f>IF($S131="","",N(INDEX(数据录入!$G$5:$G$4999,$S131)))</f>
      </c>
      <c r="H131" s="114">
        <f>IF($S131="","",$G$2+SUM($F$8:$F131)-SUM($G$8:$G131))</f>
      </c>
      <c r="Q131" s="44">
        <f>IF(数据录入!$B131="",0,IF(OR(数据录入!$D131="投标保证金",数据录入!$D131="合同履约保证金",ISNUMBER(FIND("保证金",数据录入!$E131))),1,0))</f>
      </c>
      <c r="R131" s="44">
        <f>IF(AND($Q131=1,数据录入!$B131&gt;=$B$2,数据录入!$B131&lt;=$D$2),N(R130)+1,N(R130))</f>
      </c>
      <c r="S131" s="44">
        <f>IFERROR(MATCH(124,$R$5:$R$4999,0),"")</f>
      </c>
    </row>
    <row r="132" s="44" customFormat="1" spans="1:23">
      <c r="A132" s="116">
        <f>IF($S132="","",INDEX(数据录入!$B$5:$B$4999,$S132))</f>
      </c>
      <c r="B132" s="44">
        <f>IF($S132="","",INDEX(数据录入!$C$5:$C$4999,$S132)&amp;"")</f>
      </c>
      <c r="C132" s="165">
        <f>IF($S132="","",IF(N($F132)&gt;0,"收款",IF(N($G132)&gt;0,"付款","")))</f>
      </c>
      <c r="D132" s="44">
        <f>IF($S132="","",IF((INDEX(数据录入!$I$5:$I$4999,$S132)&amp;"")&lt;&gt;"",INDEX(数据录入!$I$5:$I$4999,$S132)&amp;"",INDEX(数据录入!$J$5:$J$4999,$S132)&amp;""))</f>
      </c>
      <c r="E132" s="108">
        <f>IF($S132="","",INDEX(数据录入!$E$5:$E$4999,$S132)&amp;"")</f>
      </c>
      <c r="F132" s="114">
        <f>IF($S132="","",N(INDEX(数据录入!$F$5:$F$4999,$S132)))</f>
      </c>
      <c r="G132" s="114">
        <f>IF($S132="","",N(INDEX(数据录入!$G$5:$G$4999,$S132)))</f>
      </c>
      <c r="H132" s="114">
        <f>IF($S132="","",$G$2+SUM($F$8:$F132)-SUM($G$8:$G132))</f>
      </c>
      <c r="Q132" s="44">
        <f>IF(数据录入!$B132="",0,IF(OR(数据录入!$D132="投标保证金",数据录入!$D132="合同履约保证金",ISNUMBER(FIND("保证金",数据录入!$E132))),1,0))</f>
      </c>
      <c r="R132" s="44">
        <f>IF(AND($Q132=1,数据录入!$B132&gt;=$B$2,数据录入!$B132&lt;=$D$2),N(R131)+1,N(R131))</f>
      </c>
      <c r="S132" s="44">
        <f>IFERROR(MATCH(125,$R$5:$R$4999,0),"")</f>
      </c>
    </row>
    <row r="133" s="44" customFormat="1" spans="1:23">
      <c r="A133" s="116">
        <f>IF($S133="","",INDEX(数据录入!$B$5:$B$4999,$S133))</f>
      </c>
      <c r="B133" s="44">
        <f>IF($S133="","",INDEX(数据录入!$C$5:$C$4999,$S133)&amp;"")</f>
      </c>
      <c r="C133" s="165">
        <f>IF($S133="","",IF(N($F133)&gt;0,"收款",IF(N($G133)&gt;0,"付款","")))</f>
      </c>
      <c r="D133" s="44">
        <f>IF($S133="","",IF((INDEX(数据录入!$I$5:$I$4999,$S133)&amp;"")&lt;&gt;"",INDEX(数据录入!$I$5:$I$4999,$S133)&amp;"",INDEX(数据录入!$J$5:$J$4999,$S133)&amp;""))</f>
      </c>
      <c r="E133" s="108">
        <f>IF($S133="","",INDEX(数据录入!$E$5:$E$4999,$S133)&amp;"")</f>
      </c>
      <c r="F133" s="114">
        <f>IF($S133="","",N(INDEX(数据录入!$F$5:$F$4999,$S133)))</f>
      </c>
      <c r="G133" s="114">
        <f>IF($S133="","",N(INDEX(数据录入!$G$5:$G$4999,$S133)))</f>
      </c>
      <c r="H133" s="114">
        <f>IF($S133="","",$G$2+SUM($F$8:$F133)-SUM($G$8:$G133))</f>
      </c>
      <c r="Q133" s="44">
        <f>IF(数据录入!$B133="",0,IF(OR(数据录入!$D133="投标保证金",数据录入!$D133="合同履约保证金",ISNUMBER(FIND("保证金",数据录入!$E133))),1,0))</f>
      </c>
      <c r="R133" s="44">
        <f>IF(AND($Q133=1,数据录入!$B133&gt;=$B$2,数据录入!$B133&lt;=$D$2),N(R132)+1,N(R132))</f>
      </c>
      <c r="S133" s="44">
        <f>IFERROR(MATCH(126,$R$5:$R$4999,0),"")</f>
      </c>
    </row>
    <row r="134" s="44" customFormat="1" spans="1:23">
      <c r="A134" s="116">
        <f>IF($S134="","",INDEX(数据录入!$B$5:$B$4999,$S134))</f>
      </c>
      <c r="B134" s="44">
        <f>IF($S134="","",INDEX(数据录入!$C$5:$C$4999,$S134)&amp;"")</f>
      </c>
      <c r="C134" s="165">
        <f>IF($S134="","",IF(N($F134)&gt;0,"收款",IF(N($G134)&gt;0,"付款","")))</f>
      </c>
      <c r="D134" s="44">
        <f>IF($S134="","",IF((INDEX(数据录入!$I$5:$I$4999,$S134)&amp;"")&lt;&gt;"",INDEX(数据录入!$I$5:$I$4999,$S134)&amp;"",INDEX(数据录入!$J$5:$J$4999,$S134)&amp;""))</f>
      </c>
      <c r="E134" s="108">
        <f>IF($S134="","",INDEX(数据录入!$E$5:$E$4999,$S134)&amp;"")</f>
      </c>
      <c r="F134" s="114">
        <f>IF($S134="","",N(INDEX(数据录入!$F$5:$F$4999,$S134)))</f>
      </c>
      <c r="G134" s="114">
        <f>IF($S134="","",N(INDEX(数据录入!$G$5:$G$4999,$S134)))</f>
      </c>
      <c r="H134" s="114">
        <f>IF($S134="","",$G$2+SUM($F$8:$F134)-SUM($G$8:$G134))</f>
      </c>
      <c r="Q134" s="44">
        <f>IF(数据录入!$B134="",0,IF(OR(数据录入!$D134="投标保证金",数据录入!$D134="合同履约保证金",ISNUMBER(FIND("保证金",数据录入!$E134))),1,0))</f>
      </c>
      <c r="R134" s="44">
        <f>IF(AND($Q134=1,数据录入!$B134&gt;=$B$2,数据录入!$B134&lt;=$D$2),N(R133)+1,N(R133))</f>
      </c>
      <c r="S134" s="44">
        <f>IFERROR(MATCH(127,$R$5:$R$4999,0),"")</f>
      </c>
    </row>
    <row r="135" s="44" customFormat="1" spans="1:23">
      <c r="A135" s="116">
        <f>IF($S135="","",INDEX(数据录入!$B$5:$B$4999,$S135))</f>
      </c>
      <c r="B135" s="44">
        <f>IF($S135="","",INDEX(数据录入!$C$5:$C$4999,$S135)&amp;"")</f>
      </c>
      <c r="C135" s="165">
        <f>IF($S135="","",IF(N($F135)&gt;0,"收款",IF(N($G135)&gt;0,"付款","")))</f>
      </c>
      <c r="D135" s="44">
        <f>IF($S135="","",IF((INDEX(数据录入!$I$5:$I$4999,$S135)&amp;"")&lt;&gt;"",INDEX(数据录入!$I$5:$I$4999,$S135)&amp;"",INDEX(数据录入!$J$5:$J$4999,$S135)&amp;""))</f>
      </c>
      <c r="E135" s="108">
        <f>IF($S135="","",INDEX(数据录入!$E$5:$E$4999,$S135)&amp;"")</f>
      </c>
      <c r="F135" s="114">
        <f>IF($S135="","",N(INDEX(数据录入!$F$5:$F$4999,$S135)))</f>
      </c>
      <c r="G135" s="114">
        <f>IF($S135="","",N(INDEX(数据录入!$G$5:$G$4999,$S135)))</f>
      </c>
      <c r="H135" s="114">
        <f>IF($S135="","",$G$2+SUM($F$8:$F135)-SUM($G$8:$G135))</f>
      </c>
      <c r="Q135" s="44">
        <f>IF(数据录入!$B135="",0,IF(OR(数据录入!$D135="投标保证金",数据录入!$D135="合同履约保证金",ISNUMBER(FIND("保证金",数据录入!$E135))),1,0))</f>
      </c>
      <c r="R135" s="44">
        <f>IF(AND($Q135=1,数据录入!$B135&gt;=$B$2,数据录入!$B135&lt;=$D$2),N(R134)+1,N(R134))</f>
      </c>
      <c r="S135" s="44">
        <f>IFERROR(MATCH(128,$R$5:$R$4999,0),"")</f>
      </c>
    </row>
    <row r="136" s="44" customFormat="1" spans="1:23">
      <c r="A136" s="116">
        <f>IF($S136="","",INDEX(数据录入!$B$5:$B$4999,$S136))</f>
      </c>
      <c r="B136" s="44">
        <f>IF($S136="","",INDEX(数据录入!$C$5:$C$4999,$S136)&amp;"")</f>
      </c>
      <c r="C136" s="165">
        <f>IF($S136="","",IF(N($F136)&gt;0,"收款",IF(N($G136)&gt;0,"付款","")))</f>
      </c>
      <c r="D136" s="44">
        <f>IF($S136="","",IF((INDEX(数据录入!$I$5:$I$4999,$S136)&amp;"")&lt;&gt;"",INDEX(数据录入!$I$5:$I$4999,$S136)&amp;"",INDEX(数据录入!$J$5:$J$4999,$S136)&amp;""))</f>
      </c>
      <c r="E136" s="108">
        <f>IF($S136="","",INDEX(数据录入!$E$5:$E$4999,$S136)&amp;"")</f>
      </c>
      <c r="F136" s="114">
        <f>IF($S136="","",N(INDEX(数据录入!$F$5:$F$4999,$S136)))</f>
      </c>
      <c r="G136" s="114">
        <f>IF($S136="","",N(INDEX(数据录入!$G$5:$G$4999,$S136)))</f>
      </c>
      <c r="H136" s="114">
        <f>IF($S136="","",$G$2+SUM($F$8:$F136)-SUM($G$8:$G136))</f>
      </c>
      <c r="Q136" s="44">
        <f>IF(数据录入!$B136="",0,IF(OR(数据录入!$D136="投标保证金",数据录入!$D136="合同履约保证金",ISNUMBER(FIND("保证金",数据录入!$E136))),1,0))</f>
      </c>
      <c r="R136" s="44">
        <f>IF(AND($Q136=1,数据录入!$B136&gt;=$B$2,数据录入!$B136&lt;=$D$2),N(R135)+1,N(R135))</f>
      </c>
      <c r="S136" s="44">
        <f>IFERROR(MATCH(129,$R$5:$R$4999,0),"")</f>
      </c>
    </row>
    <row r="137" s="44" customFormat="1" spans="1:23">
      <c r="A137" s="116">
        <f>IF($S137="","",INDEX(数据录入!$B$5:$B$4999,$S137))</f>
      </c>
      <c r="B137" s="44">
        <f>IF($S137="","",INDEX(数据录入!$C$5:$C$4999,$S137)&amp;"")</f>
      </c>
      <c r="C137" s="165">
        <f>IF($S137="","",IF(N($F137)&gt;0,"收款",IF(N($G137)&gt;0,"付款","")))</f>
      </c>
      <c r="D137" s="44">
        <f>IF($S137="","",IF((INDEX(数据录入!$I$5:$I$4999,$S137)&amp;"")&lt;&gt;"",INDEX(数据录入!$I$5:$I$4999,$S137)&amp;"",INDEX(数据录入!$J$5:$J$4999,$S137)&amp;""))</f>
      </c>
      <c r="E137" s="108">
        <f>IF($S137="","",INDEX(数据录入!$E$5:$E$4999,$S137)&amp;"")</f>
      </c>
      <c r="F137" s="114">
        <f>IF($S137="","",N(INDEX(数据录入!$F$5:$F$4999,$S137)))</f>
      </c>
      <c r="G137" s="114">
        <f>IF($S137="","",N(INDEX(数据录入!$G$5:$G$4999,$S137)))</f>
      </c>
      <c r="H137" s="114">
        <f>IF($S137="","",$G$2+SUM($F$8:$F137)-SUM($G$8:$G137))</f>
      </c>
      <c r="Q137" s="44">
        <f>IF(数据录入!$B137="",0,IF(OR(数据录入!$D137="投标保证金",数据录入!$D137="合同履约保证金",ISNUMBER(FIND("保证金",数据录入!$E137))),1,0))</f>
      </c>
      <c r="R137" s="44">
        <f>IF(AND($Q137=1,数据录入!$B137&gt;=$B$2,数据录入!$B137&lt;=$D$2),N(R136)+1,N(R136))</f>
      </c>
      <c r="S137" s="44">
        <f>IFERROR(MATCH(130,$R$5:$R$4999,0),"")</f>
      </c>
    </row>
    <row r="138" s="44" customFormat="1" spans="1:23">
      <c r="A138" s="116">
        <f>IF($S138="","",INDEX(数据录入!$B$5:$B$4999,$S138))</f>
      </c>
      <c r="B138" s="44">
        <f>IF($S138="","",INDEX(数据录入!$C$5:$C$4999,$S138)&amp;"")</f>
      </c>
      <c r="C138" s="165">
        <f>IF($S138="","",IF(N($F138)&gt;0,"收款",IF(N($G138)&gt;0,"付款","")))</f>
      </c>
      <c r="D138" s="44">
        <f>IF($S138="","",IF((INDEX(数据录入!$I$5:$I$4999,$S138)&amp;"")&lt;&gt;"",INDEX(数据录入!$I$5:$I$4999,$S138)&amp;"",INDEX(数据录入!$J$5:$J$4999,$S138)&amp;""))</f>
      </c>
      <c r="E138" s="108">
        <f>IF($S138="","",INDEX(数据录入!$E$5:$E$4999,$S138)&amp;"")</f>
      </c>
      <c r="F138" s="114">
        <f>IF($S138="","",N(INDEX(数据录入!$F$5:$F$4999,$S138)))</f>
      </c>
      <c r="G138" s="114">
        <f>IF($S138="","",N(INDEX(数据录入!$G$5:$G$4999,$S138)))</f>
      </c>
      <c r="H138" s="114">
        <f>IF($S138="","",$G$2+SUM($F$8:$F138)-SUM($G$8:$G138))</f>
      </c>
      <c r="Q138" s="44">
        <f>IF(数据录入!$B138="",0,IF(OR(数据录入!$D138="投标保证金",数据录入!$D138="合同履约保证金",ISNUMBER(FIND("保证金",数据录入!$E138))),1,0))</f>
      </c>
      <c r="R138" s="44">
        <f>IF(AND($Q138=1,数据录入!$B138&gt;=$B$2,数据录入!$B138&lt;=$D$2),N(R137)+1,N(R137))</f>
      </c>
      <c r="S138" s="44">
        <f>IFERROR(MATCH(131,$R$5:$R$4999,0),"")</f>
      </c>
    </row>
    <row r="139" s="44" customFormat="1" spans="1:23">
      <c r="A139" s="116">
        <f>IF($S139="","",INDEX(数据录入!$B$5:$B$4999,$S139))</f>
      </c>
      <c r="B139" s="44">
        <f>IF($S139="","",INDEX(数据录入!$C$5:$C$4999,$S139)&amp;"")</f>
      </c>
      <c r="C139" s="165">
        <f>IF($S139="","",IF(N($F139)&gt;0,"收款",IF(N($G139)&gt;0,"付款","")))</f>
      </c>
      <c r="D139" s="44">
        <f>IF($S139="","",IF((INDEX(数据录入!$I$5:$I$4999,$S139)&amp;"")&lt;&gt;"",INDEX(数据录入!$I$5:$I$4999,$S139)&amp;"",INDEX(数据录入!$J$5:$J$4999,$S139)&amp;""))</f>
      </c>
      <c r="E139" s="108">
        <f>IF($S139="","",INDEX(数据录入!$E$5:$E$4999,$S139)&amp;"")</f>
      </c>
      <c r="F139" s="114">
        <f>IF($S139="","",N(INDEX(数据录入!$F$5:$F$4999,$S139)))</f>
      </c>
      <c r="G139" s="114">
        <f>IF($S139="","",N(INDEX(数据录入!$G$5:$G$4999,$S139)))</f>
      </c>
      <c r="H139" s="114">
        <f>IF($S139="","",$G$2+SUM($F$8:$F139)-SUM($G$8:$G139))</f>
      </c>
      <c r="Q139" s="44">
        <f>IF(数据录入!$B139="",0,IF(OR(数据录入!$D139="投标保证金",数据录入!$D139="合同履约保证金",ISNUMBER(FIND("保证金",数据录入!$E139))),1,0))</f>
      </c>
      <c r="R139" s="44">
        <f>IF(AND($Q139=1,数据录入!$B139&gt;=$B$2,数据录入!$B139&lt;=$D$2),N(R138)+1,N(R138))</f>
      </c>
      <c r="S139" s="44">
        <f>IFERROR(MATCH(132,$R$5:$R$4999,0),"")</f>
      </c>
    </row>
    <row r="140" s="44" customFormat="1" spans="1:23">
      <c r="A140" s="116">
        <f>IF($S140="","",INDEX(数据录入!$B$5:$B$4999,$S140))</f>
      </c>
      <c r="B140" s="44">
        <f>IF($S140="","",INDEX(数据录入!$C$5:$C$4999,$S140)&amp;"")</f>
      </c>
      <c r="C140" s="165">
        <f>IF($S140="","",IF(N($F140)&gt;0,"收款",IF(N($G140)&gt;0,"付款","")))</f>
      </c>
      <c r="D140" s="44">
        <f>IF($S140="","",IF((INDEX(数据录入!$I$5:$I$4999,$S140)&amp;"")&lt;&gt;"",INDEX(数据录入!$I$5:$I$4999,$S140)&amp;"",INDEX(数据录入!$J$5:$J$4999,$S140)&amp;""))</f>
      </c>
      <c r="E140" s="108">
        <f>IF($S140="","",INDEX(数据录入!$E$5:$E$4999,$S140)&amp;"")</f>
      </c>
      <c r="F140" s="114">
        <f>IF($S140="","",N(INDEX(数据录入!$F$5:$F$4999,$S140)))</f>
      </c>
      <c r="G140" s="114">
        <f>IF($S140="","",N(INDEX(数据录入!$G$5:$G$4999,$S140)))</f>
      </c>
      <c r="H140" s="114">
        <f>IF($S140="","",$G$2+SUM($F$8:$F140)-SUM($G$8:$G140))</f>
      </c>
      <c r="Q140" s="44">
        <f>IF(数据录入!$B140="",0,IF(OR(数据录入!$D140="投标保证金",数据录入!$D140="合同履约保证金",ISNUMBER(FIND("保证金",数据录入!$E140))),1,0))</f>
      </c>
      <c r="R140" s="44">
        <f>IF(AND($Q140=1,数据录入!$B140&gt;=$B$2,数据录入!$B140&lt;=$D$2),N(R139)+1,N(R139))</f>
      </c>
      <c r="S140" s="44">
        <f>IFERROR(MATCH(133,$R$5:$R$4999,0),"")</f>
      </c>
    </row>
    <row r="141" s="44" customFormat="1" spans="1:23">
      <c r="A141" s="116">
        <f>IF($S141="","",INDEX(数据录入!$B$5:$B$4999,$S141))</f>
      </c>
      <c r="B141" s="44">
        <f>IF($S141="","",INDEX(数据录入!$C$5:$C$4999,$S141)&amp;"")</f>
      </c>
      <c r="C141" s="165">
        <f>IF($S141="","",IF(N($F141)&gt;0,"收款",IF(N($G141)&gt;0,"付款","")))</f>
      </c>
      <c r="D141" s="44">
        <f>IF($S141="","",IF((INDEX(数据录入!$I$5:$I$4999,$S141)&amp;"")&lt;&gt;"",INDEX(数据录入!$I$5:$I$4999,$S141)&amp;"",INDEX(数据录入!$J$5:$J$4999,$S141)&amp;""))</f>
      </c>
      <c r="E141" s="108">
        <f>IF($S141="","",INDEX(数据录入!$E$5:$E$4999,$S141)&amp;"")</f>
      </c>
      <c r="F141" s="114">
        <f>IF($S141="","",N(INDEX(数据录入!$F$5:$F$4999,$S141)))</f>
      </c>
      <c r="G141" s="114">
        <f>IF($S141="","",N(INDEX(数据录入!$G$5:$G$4999,$S141)))</f>
      </c>
      <c r="H141" s="114">
        <f>IF($S141="","",$G$2+SUM($F$8:$F141)-SUM($G$8:$G141))</f>
      </c>
      <c r="Q141" s="44">
        <f>IF(数据录入!$B141="",0,IF(OR(数据录入!$D141="投标保证金",数据录入!$D141="合同履约保证金",ISNUMBER(FIND("保证金",数据录入!$E141))),1,0))</f>
      </c>
      <c r="R141" s="44">
        <f>IF(AND($Q141=1,数据录入!$B141&gt;=$B$2,数据录入!$B141&lt;=$D$2),N(R140)+1,N(R140))</f>
      </c>
      <c r="S141" s="44">
        <f>IFERROR(MATCH(134,$R$5:$R$4999,0),"")</f>
      </c>
    </row>
    <row r="142" s="44" customFormat="1" spans="1:23">
      <c r="A142" s="116">
        <f>IF($S142="","",INDEX(数据录入!$B$5:$B$4999,$S142))</f>
      </c>
      <c r="B142" s="44">
        <f>IF($S142="","",INDEX(数据录入!$C$5:$C$4999,$S142)&amp;"")</f>
      </c>
      <c r="C142" s="165">
        <f>IF($S142="","",IF(N($F142)&gt;0,"收款",IF(N($G142)&gt;0,"付款","")))</f>
      </c>
      <c r="D142" s="44">
        <f>IF($S142="","",IF((INDEX(数据录入!$I$5:$I$4999,$S142)&amp;"")&lt;&gt;"",INDEX(数据录入!$I$5:$I$4999,$S142)&amp;"",INDEX(数据录入!$J$5:$J$4999,$S142)&amp;""))</f>
      </c>
      <c r="E142" s="108">
        <f>IF($S142="","",INDEX(数据录入!$E$5:$E$4999,$S142)&amp;"")</f>
      </c>
      <c r="F142" s="114">
        <f>IF($S142="","",N(INDEX(数据录入!$F$5:$F$4999,$S142)))</f>
      </c>
      <c r="G142" s="114">
        <f>IF($S142="","",N(INDEX(数据录入!$G$5:$G$4999,$S142)))</f>
      </c>
      <c r="H142" s="114">
        <f>IF($S142="","",$G$2+SUM($F$8:$F142)-SUM($G$8:$G142))</f>
      </c>
      <c r="Q142" s="44">
        <f>IF(数据录入!$B142="",0,IF(OR(数据录入!$D142="投标保证金",数据录入!$D142="合同履约保证金",ISNUMBER(FIND("保证金",数据录入!$E142))),1,0))</f>
      </c>
      <c r="R142" s="44">
        <f>IF(AND($Q142=1,数据录入!$B142&gt;=$B$2,数据录入!$B142&lt;=$D$2),N(R141)+1,N(R141))</f>
      </c>
      <c r="S142" s="44">
        <f>IFERROR(MATCH(135,$R$5:$R$4999,0),"")</f>
      </c>
    </row>
    <row r="143" s="44" customFormat="1" spans="1:23">
      <c r="A143" s="116">
        <f>IF($S143="","",INDEX(数据录入!$B$5:$B$4999,$S143))</f>
      </c>
      <c r="B143" s="44">
        <f>IF($S143="","",INDEX(数据录入!$C$5:$C$4999,$S143)&amp;"")</f>
      </c>
      <c r="C143" s="165">
        <f>IF($S143="","",IF(N($F143)&gt;0,"收款",IF(N($G143)&gt;0,"付款","")))</f>
      </c>
      <c r="D143" s="44">
        <f>IF($S143="","",IF((INDEX(数据录入!$I$5:$I$4999,$S143)&amp;"")&lt;&gt;"",INDEX(数据录入!$I$5:$I$4999,$S143)&amp;"",INDEX(数据录入!$J$5:$J$4999,$S143)&amp;""))</f>
      </c>
      <c r="E143" s="108">
        <f>IF($S143="","",INDEX(数据录入!$E$5:$E$4999,$S143)&amp;"")</f>
      </c>
      <c r="F143" s="114">
        <f>IF($S143="","",N(INDEX(数据录入!$F$5:$F$4999,$S143)))</f>
      </c>
      <c r="G143" s="114">
        <f>IF($S143="","",N(INDEX(数据录入!$G$5:$G$4999,$S143)))</f>
      </c>
      <c r="H143" s="114">
        <f>IF($S143="","",$G$2+SUM($F$8:$F143)-SUM($G$8:$G143))</f>
      </c>
      <c r="Q143" s="44">
        <f>IF(数据录入!$B143="",0,IF(OR(数据录入!$D143="投标保证金",数据录入!$D143="合同履约保证金",ISNUMBER(FIND("保证金",数据录入!$E143))),1,0))</f>
      </c>
      <c r="R143" s="44">
        <f>IF(AND($Q143=1,数据录入!$B143&gt;=$B$2,数据录入!$B143&lt;=$D$2),N(R142)+1,N(R142))</f>
      </c>
      <c r="S143" s="44">
        <f>IFERROR(MATCH(136,$R$5:$R$4999,0),"")</f>
      </c>
    </row>
    <row r="144" s="44" customFormat="1" spans="1:23">
      <c r="A144" s="116">
        <f>IF($S144="","",INDEX(数据录入!$B$5:$B$4999,$S144))</f>
      </c>
      <c r="B144" s="44">
        <f>IF($S144="","",INDEX(数据录入!$C$5:$C$4999,$S144)&amp;"")</f>
      </c>
      <c r="C144" s="165">
        <f>IF($S144="","",IF(N($F144)&gt;0,"收款",IF(N($G144)&gt;0,"付款","")))</f>
      </c>
      <c r="D144" s="44">
        <f>IF($S144="","",IF((INDEX(数据录入!$I$5:$I$4999,$S144)&amp;"")&lt;&gt;"",INDEX(数据录入!$I$5:$I$4999,$S144)&amp;"",INDEX(数据录入!$J$5:$J$4999,$S144)&amp;""))</f>
      </c>
      <c r="E144" s="108">
        <f>IF($S144="","",INDEX(数据录入!$E$5:$E$4999,$S144)&amp;"")</f>
      </c>
      <c r="F144" s="114">
        <f>IF($S144="","",N(INDEX(数据录入!$F$5:$F$4999,$S144)))</f>
      </c>
      <c r="G144" s="114">
        <f>IF($S144="","",N(INDEX(数据录入!$G$5:$G$4999,$S144)))</f>
      </c>
      <c r="H144" s="114">
        <f>IF($S144="","",$G$2+SUM($F$8:$F144)-SUM($G$8:$G144))</f>
      </c>
      <c r="Q144" s="44">
        <f>IF(数据录入!$B144="",0,IF(OR(数据录入!$D144="投标保证金",数据录入!$D144="合同履约保证金",ISNUMBER(FIND("保证金",数据录入!$E144))),1,0))</f>
      </c>
      <c r="R144" s="44">
        <f>IF(AND($Q144=1,数据录入!$B144&gt;=$B$2,数据录入!$B144&lt;=$D$2),N(R143)+1,N(R143))</f>
      </c>
      <c r="S144" s="44">
        <f>IFERROR(MATCH(137,$R$5:$R$4999,0),"")</f>
      </c>
    </row>
    <row r="145" s="44" customFormat="1" spans="1:23">
      <c r="A145" s="116">
        <f>IF($S145="","",INDEX(数据录入!$B$5:$B$4999,$S145))</f>
      </c>
      <c r="B145" s="44">
        <f>IF($S145="","",INDEX(数据录入!$C$5:$C$4999,$S145)&amp;"")</f>
      </c>
      <c r="C145" s="165">
        <f>IF($S145="","",IF(N($F145)&gt;0,"收款",IF(N($G145)&gt;0,"付款","")))</f>
      </c>
      <c r="D145" s="44">
        <f>IF($S145="","",IF((INDEX(数据录入!$I$5:$I$4999,$S145)&amp;"")&lt;&gt;"",INDEX(数据录入!$I$5:$I$4999,$S145)&amp;"",INDEX(数据录入!$J$5:$J$4999,$S145)&amp;""))</f>
      </c>
      <c r="E145" s="108">
        <f>IF($S145="","",INDEX(数据录入!$E$5:$E$4999,$S145)&amp;"")</f>
      </c>
      <c r="F145" s="114">
        <f>IF($S145="","",N(INDEX(数据录入!$F$5:$F$4999,$S145)))</f>
      </c>
      <c r="G145" s="114">
        <f>IF($S145="","",N(INDEX(数据录入!$G$5:$G$4999,$S145)))</f>
      </c>
      <c r="H145" s="114">
        <f>IF($S145="","",$G$2+SUM($F$8:$F145)-SUM($G$8:$G145))</f>
      </c>
      <c r="Q145" s="44">
        <f>IF(数据录入!$B145="",0,IF(OR(数据录入!$D145="投标保证金",数据录入!$D145="合同履约保证金",ISNUMBER(FIND("保证金",数据录入!$E145))),1,0))</f>
      </c>
      <c r="R145" s="44">
        <f>IF(AND($Q145=1,数据录入!$B145&gt;=$B$2,数据录入!$B145&lt;=$D$2),N(R144)+1,N(R144))</f>
      </c>
      <c r="S145" s="44">
        <f>IFERROR(MATCH(138,$R$5:$R$4999,0),"")</f>
      </c>
    </row>
    <row r="146" s="44" customFormat="1" spans="1:23">
      <c r="A146" s="116">
        <f>IF($S146="","",INDEX(数据录入!$B$5:$B$4999,$S146))</f>
      </c>
      <c r="B146" s="44">
        <f>IF($S146="","",INDEX(数据录入!$C$5:$C$4999,$S146)&amp;"")</f>
      </c>
      <c r="C146" s="165">
        <f>IF($S146="","",IF(N($F146)&gt;0,"收款",IF(N($G146)&gt;0,"付款","")))</f>
      </c>
      <c r="D146" s="44">
        <f>IF($S146="","",IF((INDEX(数据录入!$I$5:$I$4999,$S146)&amp;"")&lt;&gt;"",INDEX(数据录入!$I$5:$I$4999,$S146)&amp;"",INDEX(数据录入!$J$5:$J$4999,$S146)&amp;""))</f>
      </c>
      <c r="E146" s="108">
        <f>IF($S146="","",INDEX(数据录入!$E$5:$E$4999,$S146)&amp;"")</f>
      </c>
      <c r="F146" s="114">
        <f>IF($S146="","",N(INDEX(数据录入!$F$5:$F$4999,$S146)))</f>
      </c>
      <c r="G146" s="114">
        <f>IF($S146="","",N(INDEX(数据录入!$G$5:$G$4999,$S146)))</f>
      </c>
      <c r="H146" s="114">
        <f>IF($S146="","",$G$2+SUM($F$8:$F146)-SUM($G$8:$G146))</f>
      </c>
      <c r="Q146" s="44">
        <f>IF(数据录入!$B146="",0,IF(OR(数据录入!$D146="投标保证金",数据录入!$D146="合同履约保证金",ISNUMBER(FIND("保证金",数据录入!$E146))),1,0))</f>
      </c>
      <c r="R146" s="44">
        <f>IF(AND($Q146=1,数据录入!$B146&gt;=$B$2,数据录入!$B146&lt;=$D$2),N(R145)+1,N(R145))</f>
      </c>
      <c r="S146" s="44">
        <f>IFERROR(MATCH(139,$R$5:$R$4999,0),"")</f>
      </c>
    </row>
    <row r="147" s="44" customFormat="1" spans="1:23">
      <c r="A147" s="116">
        <f>IF($S147="","",INDEX(数据录入!$B$5:$B$4999,$S147))</f>
      </c>
      <c r="B147" s="44">
        <f>IF($S147="","",INDEX(数据录入!$C$5:$C$4999,$S147)&amp;"")</f>
      </c>
      <c r="C147" s="165">
        <f>IF($S147="","",IF(N($F147)&gt;0,"收款",IF(N($G147)&gt;0,"付款","")))</f>
      </c>
      <c r="D147" s="44">
        <f>IF($S147="","",IF((INDEX(数据录入!$I$5:$I$4999,$S147)&amp;"")&lt;&gt;"",INDEX(数据录入!$I$5:$I$4999,$S147)&amp;"",INDEX(数据录入!$J$5:$J$4999,$S147)&amp;""))</f>
      </c>
      <c r="E147" s="108">
        <f>IF($S147="","",INDEX(数据录入!$E$5:$E$4999,$S147)&amp;"")</f>
      </c>
      <c r="F147" s="114">
        <f>IF($S147="","",N(INDEX(数据录入!$F$5:$F$4999,$S147)))</f>
      </c>
      <c r="G147" s="114">
        <f>IF($S147="","",N(INDEX(数据录入!$G$5:$G$4999,$S147)))</f>
      </c>
      <c r="H147" s="114">
        <f>IF($S147="","",$G$2+SUM($F$8:$F147)-SUM($G$8:$G147))</f>
      </c>
      <c r="Q147" s="44">
        <f>IF(数据录入!$B147="",0,IF(OR(数据录入!$D147="投标保证金",数据录入!$D147="合同履约保证金",ISNUMBER(FIND("保证金",数据录入!$E147))),1,0))</f>
      </c>
      <c r="R147" s="44">
        <f>IF(AND($Q147=1,数据录入!$B147&gt;=$B$2,数据录入!$B147&lt;=$D$2),N(R146)+1,N(R146))</f>
      </c>
      <c r="S147" s="44">
        <f>IFERROR(MATCH(140,$R$5:$R$4999,0),"")</f>
      </c>
    </row>
    <row r="148" s="44" customFormat="1" spans="1:23">
      <c r="A148" s="116">
        <f>IF($S148="","",INDEX(数据录入!$B$5:$B$4999,$S148))</f>
      </c>
      <c r="B148" s="44">
        <f>IF($S148="","",INDEX(数据录入!$C$5:$C$4999,$S148)&amp;"")</f>
      </c>
      <c r="C148" s="165">
        <f>IF($S148="","",IF(N($F148)&gt;0,"收款",IF(N($G148)&gt;0,"付款","")))</f>
      </c>
      <c r="D148" s="44">
        <f>IF($S148="","",IF((INDEX(数据录入!$I$5:$I$4999,$S148)&amp;"")&lt;&gt;"",INDEX(数据录入!$I$5:$I$4999,$S148)&amp;"",INDEX(数据录入!$J$5:$J$4999,$S148)&amp;""))</f>
      </c>
      <c r="E148" s="108">
        <f>IF($S148="","",INDEX(数据录入!$E$5:$E$4999,$S148)&amp;"")</f>
      </c>
      <c r="F148" s="114">
        <f>IF($S148="","",N(INDEX(数据录入!$F$5:$F$4999,$S148)))</f>
      </c>
      <c r="G148" s="114">
        <f>IF($S148="","",N(INDEX(数据录入!$G$5:$G$4999,$S148)))</f>
      </c>
      <c r="H148" s="114">
        <f>IF($S148="","",$G$2+SUM($F$8:$F148)-SUM($G$8:$G148))</f>
      </c>
      <c r="Q148" s="44">
        <f>IF(数据录入!$B148="",0,IF(OR(数据录入!$D148="投标保证金",数据录入!$D148="合同履约保证金",ISNUMBER(FIND("保证金",数据录入!$E148))),1,0))</f>
      </c>
      <c r="R148" s="44">
        <f>IF(AND($Q148=1,数据录入!$B148&gt;=$B$2,数据录入!$B148&lt;=$D$2),N(R147)+1,N(R147))</f>
      </c>
      <c r="S148" s="44">
        <f>IFERROR(MATCH(141,$R$5:$R$4999,0),"")</f>
      </c>
    </row>
    <row r="149" s="44" customFormat="1" spans="1:23">
      <c r="A149" s="116">
        <f>IF($S149="","",INDEX(数据录入!$B$5:$B$4999,$S149))</f>
      </c>
      <c r="B149" s="44">
        <f>IF($S149="","",INDEX(数据录入!$C$5:$C$4999,$S149)&amp;"")</f>
      </c>
      <c r="C149" s="165">
        <f>IF($S149="","",IF(N($F149)&gt;0,"收款",IF(N($G149)&gt;0,"付款","")))</f>
      </c>
      <c r="D149" s="44">
        <f>IF($S149="","",IF((INDEX(数据录入!$I$5:$I$4999,$S149)&amp;"")&lt;&gt;"",INDEX(数据录入!$I$5:$I$4999,$S149)&amp;"",INDEX(数据录入!$J$5:$J$4999,$S149)&amp;""))</f>
      </c>
      <c r="E149" s="108">
        <f>IF($S149="","",INDEX(数据录入!$E$5:$E$4999,$S149)&amp;"")</f>
      </c>
      <c r="F149" s="114">
        <f>IF($S149="","",N(INDEX(数据录入!$F$5:$F$4999,$S149)))</f>
      </c>
      <c r="G149" s="114">
        <f>IF($S149="","",N(INDEX(数据录入!$G$5:$G$4999,$S149)))</f>
      </c>
      <c r="H149" s="114">
        <f>IF($S149="","",$G$2+SUM($F$8:$F149)-SUM($G$8:$G149))</f>
      </c>
      <c r="Q149" s="44">
        <f>IF(数据录入!$B149="",0,IF(OR(数据录入!$D149="投标保证金",数据录入!$D149="合同履约保证金",ISNUMBER(FIND("保证金",数据录入!$E149))),1,0))</f>
      </c>
      <c r="R149" s="44">
        <f>IF(AND($Q149=1,数据录入!$B149&gt;=$B$2,数据录入!$B149&lt;=$D$2),N(R148)+1,N(R148))</f>
      </c>
      <c r="S149" s="44">
        <f>IFERROR(MATCH(142,$R$5:$R$4999,0),"")</f>
      </c>
    </row>
    <row r="150" s="44" customFormat="1" spans="1:23">
      <c r="A150" s="116">
        <f>IF($S150="","",INDEX(数据录入!$B$5:$B$4999,$S150))</f>
      </c>
      <c r="B150" s="44">
        <f>IF($S150="","",INDEX(数据录入!$C$5:$C$4999,$S150)&amp;"")</f>
      </c>
      <c r="C150" s="165">
        <f>IF($S150="","",IF(N($F150)&gt;0,"收款",IF(N($G150)&gt;0,"付款","")))</f>
      </c>
      <c r="D150" s="44">
        <f>IF($S150="","",IF((INDEX(数据录入!$I$5:$I$4999,$S150)&amp;"")&lt;&gt;"",INDEX(数据录入!$I$5:$I$4999,$S150)&amp;"",INDEX(数据录入!$J$5:$J$4999,$S150)&amp;""))</f>
      </c>
      <c r="E150" s="108">
        <f>IF($S150="","",INDEX(数据录入!$E$5:$E$4999,$S150)&amp;"")</f>
      </c>
      <c r="F150" s="114">
        <f>IF($S150="","",N(INDEX(数据录入!$F$5:$F$4999,$S150)))</f>
      </c>
      <c r="G150" s="114">
        <f>IF($S150="","",N(INDEX(数据录入!$G$5:$G$4999,$S150)))</f>
      </c>
      <c r="H150" s="114">
        <f>IF($S150="","",$G$2+SUM($F$8:$F150)-SUM($G$8:$G150))</f>
      </c>
      <c r="Q150" s="44">
        <f>IF(数据录入!$B150="",0,IF(OR(数据录入!$D150="投标保证金",数据录入!$D150="合同履约保证金",ISNUMBER(FIND("保证金",数据录入!$E150))),1,0))</f>
      </c>
      <c r="R150" s="44">
        <f>IF(AND($Q150=1,数据录入!$B150&gt;=$B$2,数据录入!$B150&lt;=$D$2),N(R149)+1,N(R149))</f>
      </c>
      <c r="S150" s="44">
        <f>IFERROR(MATCH(143,$R$5:$R$4999,0),"")</f>
      </c>
    </row>
    <row r="151" s="44" customFormat="1" spans="1:23">
      <c r="A151" s="116">
        <f>IF($S151="","",INDEX(数据录入!$B$5:$B$4999,$S151))</f>
      </c>
      <c r="B151" s="44">
        <f>IF($S151="","",INDEX(数据录入!$C$5:$C$4999,$S151)&amp;"")</f>
      </c>
      <c r="C151" s="165">
        <f>IF($S151="","",IF(N($F151)&gt;0,"收款",IF(N($G151)&gt;0,"付款","")))</f>
      </c>
      <c r="D151" s="44">
        <f>IF($S151="","",IF((INDEX(数据录入!$I$5:$I$4999,$S151)&amp;"")&lt;&gt;"",INDEX(数据录入!$I$5:$I$4999,$S151)&amp;"",INDEX(数据录入!$J$5:$J$4999,$S151)&amp;""))</f>
      </c>
      <c r="E151" s="108">
        <f>IF($S151="","",INDEX(数据录入!$E$5:$E$4999,$S151)&amp;"")</f>
      </c>
      <c r="F151" s="114">
        <f>IF($S151="","",N(INDEX(数据录入!$F$5:$F$4999,$S151)))</f>
      </c>
      <c r="G151" s="114">
        <f>IF($S151="","",N(INDEX(数据录入!$G$5:$G$4999,$S151)))</f>
      </c>
      <c r="H151" s="114">
        <f>IF($S151="","",$G$2+SUM($F$8:$F151)-SUM($G$8:$G151))</f>
      </c>
      <c r="Q151" s="44">
        <f>IF(数据录入!$B151="",0,IF(OR(数据录入!$D151="投标保证金",数据录入!$D151="合同履约保证金",ISNUMBER(FIND("保证金",数据录入!$E151))),1,0))</f>
      </c>
      <c r="R151" s="44">
        <f>IF(AND($Q151=1,数据录入!$B151&gt;=$B$2,数据录入!$B151&lt;=$D$2),N(R150)+1,N(R150))</f>
      </c>
      <c r="S151" s="44">
        <f>IFERROR(MATCH(144,$R$5:$R$4999,0),"")</f>
      </c>
    </row>
    <row r="152" s="44" customFormat="1" spans="1:23">
      <c r="A152" s="116">
        <f>IF($S152="","",INDEX(数据录入!$B$5:$B$4999,$S152))</f>
      </c>
      <c r="B152" s="44">
        <f>IF($S152="","",INDEX(数据录入!$C$5:$C$4999,$S152)&amp;"")</f>
      </c>
      <c r="C152" s="165">
        <f>IF($S152="","",IF(N($F152)&gt;0,"收款",IF(N($G152)&gt;0,"付款","")))</f>
      </c>
      <c r="D152" s="44">
        <f>IF($S152="","",IF((INDEX(数据录入!$I$5:$I$4999,$S152)&amp;"")&lt;&gt;"",INDEX(数据录入!$I$5:$I$4999,$S152)&amp;"",INDEX(数据录入!$J$5:$J$4999,$S152)&amp;""))</f>
      </c>
      <c r="E152" s="108">
        <f>IF($S152="","",INDEX(数据录入!$E$5:$E$4999,$S152)&amp;"")</f>
      </c>
      <c r="F152" s="114">
        <f>IF($S152="","",N(INDEX(数据录入!$F$5:$F$4999,$S152)))</f>
      </c>
      <c r="G152" s="114">
        <f>IF($S152="","",N(INDEX(数据录入!$G$5:$G$4999,$S152)))</f>
      </c>
      <c r="H152" s="114">
        <f>IF($S152="","",$G$2+SUM($F$8:$F152)-SUM($G$8:$G152))</f>
      </c>
      <c r="Q152" s="44">
        <f>IF(数据录入!$B152="",0,IF(OR(数据录入!$D152="投标保证金",数据录入!$D152="合同履约保证金",ISNUMBER(FIND("保证金",数据录入!$E152))),1,0))</f>
      </c>
      <c r="R152" s="44">
        <f>IF(AND($Q152=1,数据录入!$B152&gt;=$B$2,数据录入!$B152&lt;=$D$2),N(R151)+1,N(R151))</f>
      </c>
      <c r="S152" s="44">
        <f>IFERROR(MATCH(145,$R$5:$R$4999,0),"")</f>
      </c>
    </row>
    <row r="153" s="44" customFormat="1" spans="1:23">
      <c r="A153" s="116">
        <f>IF($S153="","",INDEX(数据录入!$B$5:$B$4999,$S153))</f>
      </c>
      <c r="B153" s="44">
        <f>IF($S153="","",INDEX(数据录入!$C$5:$C$4999,$S153)&amp;"")</f>
      </c>
      <c r="C153" s="165">
        <f>IF($S153="","",IF(N($F153)&gt;0,"收款",IF(N($G153)&gt;0,"付款","")))</f>
      </c>
      <c r="D153" s="44">
        <f>IF($S153="","",IF((INDEX(数据录入!$I$5:$I$4999,$S153)&amp;"")&lt;&gt;"",INDEX(数据录入!$I$5:$I$4999,$S153)&amp;"",INDEX(数据录入!$J$5:$J$4999,$S153)&amp;""))</f>
      </c>
      <c r="E153" s="108">
        <f>IF($S153="","",INDEX(数据录入!$E$5:$E$4999,$S153)&amp;"")</f>
      </c>
      <c r="F153" s="114">
        <f>IF($S153="","",N(INDEX(数据录入!$F$5:$F$4999,$S153)))</f>
      </c>
      <c r="G153" s="114">
        <f>IF($S153="","",N(INDEX(数据录入!$G$5:$G$4999,$S153)))</f>
      </c>
      <c r="H153" s="114">
        <f>IF($S153="","",$G$2+SUM($F$8:$F153)-SUM($G$8:$G153))</f>
      </c>
      <c r="Q153" s="44">
        <f>IF(数据录入!$B153="",0,IF(OR(数据录入!$D153="投标保证金",数据录入!$D153="合同履约保证金",ISNUMBER(FIND("保证金",数据录入!$E153))),1,0))</f>
      </c>
      <c r="R153" s="44">
        <f>IF(AND($Q153=1,数据录入!$B153&gt;=$B$2,数据录入!$B153&lt;=$D$2),N(R152)+1,N(R152))</f>
      </c>
      <c r="S153" s="44">
        <f>IFERROR(MATCH(146,$R$5:$R$4999,0),"")</f>
      </c>
    </row>
    <row r="154" s="44" customFormat="1" spans="1:23">
      <c r="A154" s="116">
        <f>IF($S154="","",INDEX(数据录入!$B$5:$B$4999,$S154))</f>
      </c>
      <c r="B154" s="44">
        <f>IF($S154="","",INDEX(数据录入!$C$5:$C$4999,$S154)&amp;"")</f>
      </c>
      <c r="C154" s="165">
        <f>IF($S154="","",IF(N($F154)&gt;0,"收款",IF(N($G154)&gt;0,"付款","")))</f>
      </c>
      <c r="D154" s="44">
        <f>IF($S154="","",IF((INDEX(数据录入!$I$5:$I$4999,$S154)&amp;"")&lt;&gt;"",INDEX(数据录入!$I$5:$I$4999,$S154)&amp;"",INDEX(数据录入!$J$5:$J$4999,$S154)&amp;""))</f>
      </c>
      <c r="E154" s="108">
        <f>IF($S154="","",INDEX(数据录入!$E$5:$E$4999,$S154)&amp;"")</f>
      </c>
      <c r="F154" s="114">
        <f>IF($S154="","",N(INDEX(数据录入!$F$5:$F$4999,$S154)))</f>
      </c>
      <c r="G154" s="114">
        <f>IF($S154="","",N(INDEX(数据录入!$G$5:$G$4999,$S154)))</f>
      </c>
      <c r="H154" s="114">
        <f>IF($S154="","",$G$2+SUM($F$8:$F154)-SUM($G$8:$G154))</f>
      </c>
      <c r="Q154" s="44">
        <f>IF(数据录入!$B154="",0,IF(OR(数据录入!$D154="投标保证金",数据录入!$D154="合同履约保证金",ISNUMBER(FIND("保证金",数据录入!$E154))),1,0))</f>
      </c>
      <c r="R154" s="44">
        <f>IF(AND($Q154=1,数据录入!$B154&gt;=$B$2,数据录入!$B154&lt;=$D$2),N(R153)+1,N(R153))</f>
      </c>
      <c r="S154" s="44">
        <f>IFERROR(MATCH(147,$R$5:$R$4999,0),"")</f>
      </c>
    </row>
    <row r="155" s="44" customFormat="1" spans="1:23">
      <c r="A155" s="116">
        <f>IF($S155="","",INDEX(数据录入!$B$5:$B$4999,$S155))</f>
      </c>
      <c r="B155" s="44">
        <f>IF($S155="","",INDEX(数据录入!$C$5:$C$4999,$S155)&amp;"")</f>
      </c>
      <c r="C155" s="165">
        <f>IF($S155="","",IF(N($F155)&gt;0,"收款",IF(N($G155)&gt;0,"付款","")))</f>
      </c>
      <c r="D155" s="44">
        <f>IF($S155="","",IF((INDEX(数据录入!$I$5:$I$4999,$S155)&amp;"")&lt;&gt;"",INDEX(数据录入!$I$5:$I$4999,$S155)&amp;"",INDEX(数据录入!$J$5:$J$4999,$S155)&amp;""))</f>
      </c>
      <c r="E155" s="108">
        <f>IF($S155="","",INDEX(数据录入!$E$5:$E$4999,$S155)&amp;"")</f>
      </c>
      <c r="F155" s="114">
        <f>IF($S155="","",N(INDEX(数据录入!$F$5:$F$4999,$S155)))</f>
      </c>
      <c r="G155" s="114">
        <f>IF($S155="","",N(INDEX(数据录入!$G$5:$G$4999,$S155)))</f>
      </c>
      <c r="H155" s="114">
        <f>IF($S155="","",$G$2+SUM($F$8:$F155)-SUM($G$8:$G155))</f>
      </c>
      <c r="Q155" s="44">
        <f>IF(数据录入!$B155="",0,IF(OR(数据录入!$D155="投标保证金",数据录入!$D155="合同履约保证金",ISNUMBER(FIND("保证金",数据录入!$E155))),1,0))</f>
      </c>
      <c r="R155" s="44">
        <f>IF(AND($Q155=1,数据录入!$B155&gt;=$B$2,数据录入!$B155&lt;=$D$2),N(R154)+1,N(R154))</f>
      </c>
      <c r="S155" s="44">
        <f>IFERROR(MATCH(148,$R$5:$R$4999,0),"")</f>
      </c>
    </row>
    <row r="156" s="44" customFormat="1" spans="1:23">
      <c r="A156" s="116">
        <f>IF($S156="","",INDEX(数据录入!$B$5:$B$4999,$S156))</f>
      </c>
      <c r="B156" s="44">
        <f>IF($S156="","",INDEX(数据录入!$C$5:$C$4999,$S156)&amp;"")</f>
      </c>
      <c r="C156" s="165">
        <f>IF($S156="","",IF(N($F156)&gt;0,"收款",IF(N($G156)&gt;0,"付款","")))</f>
      </c>
      <c r="D156" s="44">
        <f>IF($S156="","",IF((INDEX(数据录入!$I$5:$I$4999,$S156)&amp;"")&lt;&gt;"",INDEX(数据录入!$I$5:$I$4999,$S156)&amp;"",INDEX(数据录入!$J$5:$J$4999,$S156)&amp;""))</f>
      </c>
      <c r="E156" s="108">
        <f>IF($S156="","",INDEX(数据录入!$E$5:$E$4999,$S156)&amp;"")</f>
      </c>
      <c r="F156" s="114">
        <f>IF($S156="","",N(INDEX(数据录入!$F$5:$F$4999,$S156)))</f>
      </c>
      <c r="G156" s="114">
        <f>IF($S156="","",N(INDEX(数据录入!$G$5:$G$4999,$S156)))</f>
      </c>
      <c r="H156" s="114">
        <f>IF($S156="","",$G$2+SUM($F$8:$F156)-SUM($G$8:$G156))</f>
      </c>
      <c r="Q156" s="44">
        <f>IF(数据录入!$B156="",0,IF(OR(数据录入!$D156="投标保证金",数据录入!$D156="合同履约保证金",ISNUMBER(FIND("保证金",数据录入!$E156))),1,0))</f>
      </c>
      <c r="R156" s="44">
        <f>IF(AND($Q156=1,数据录入!$B156&gt;=$B$2,数据录入!$B156&lt;=$D$2),N(R155)+1,N(R155))</f>
      </c>
      <c r="S156" s="44">
        <f>IFERROR(MATCH(149,$R$5:$R$4999,0),"")</f>
      </c>
    </row>
    <row r="157" s="44" customFormat="1" spans="1:23">
      <c r="A157" s="116">
        <f>IF($S157="","",INDEX(数据录入!$B$5:$B$4999,$S157))</f>
      </c>
      <c r="B157" s="44">
        <f>IF($S157="","",INDEX(数据录入!$C$5:$C$4999,$S157)&amp;"")</f>
      </c>
      <c r="C157" s="165">
        <f>IF($S157="","",IF(N($F157)&gt;0,"收款",IF(N($G157)&gt;0,"付款","")))</f>
      </c>
      <c r="D157" s="44">
        <f>IF($S157="","",IF((INDEX(数据录入!$I$5:$I$4999,$S157)&amp;"")&lt;&gt;"",INDEX(数据录入!$I$5:$I$4999,$S157)&amp;"",INDEX(数据录入!$J$5:$J$4999,$S157)&amp;""))</f>
      </c>
      <c r="E157" s="108">
        <f>IF($S157="","",INDEX(数据录入!$E$5:$E$4999,$S157)&amp;"")</f>
      </c>
      <c r="F157" s="114">
        <f>IF($S157="","",N(INDEX(数据录入!$F$5:$F$4999,$S157)))</f>
      </c>
      <c r="G157" s="114">
        <f>IF($S157="","",N(INDEX(数据录入!$G$5:$G$4999,$S157)))</f>
      </c>
      <c r="H157" s="114">
        <f>IF($S157="","",$G$2+SUM($F$8:$F157)-SUM($G$8:$G157))</f>
      </c>
      <c r="Q157" s="44">
        <f>IF(数据录入!$B157="",0,IF(OR(数据录入!$D157="投标保证金",数据录入!$D157="合同履约保证金",ISNUMBER(FIND("保证金",数据录入!$E157))),1,0))</f>
      </c>
      <c r="R157" s="44">
        <f>IF(AND($Q157=1,数据录入!$B157&gt;=$B$2,数据录入!$B157&lt;=$D$2),N(R156)+1,N(R156))</f>
      </c>
      <c r="S157" s="44">
        <f>IFERROR(MATCH(150,$R$5:$R$4999,0),"")</f>
      </c>
    </row>
    <row r="158" s="44" customFormat="1" spans="1:23">
      <c r="A158" s="116">
        <f>IF($S158="","",INDEX(数据录入!$B$5:$B$4999,$S158))</f>
      </c>
      <c r="B158" s="44">
        <f>IF($S158="","",INDEX(数据录入!$C$5:$C$4999,$S158)&amp;"")</f>
      </c>
      <c r="C158" s="165">
        <f>IF($S158="","",IF(N($F158)&gt;0,"收款",IF(N($G158)&gt;0,"付款","")))</f>
      </c>
      <c r="D158" s="44">
        <f>IF($S158="","",IF((INDEX(数据录入!$I$5:$I$4999,$S158)&amp;"")&lt;&gt;"",INDEX(数据录入!$I$5:$I$4999,$S158)&amp;"",INDEX(数据录入!$J$5:$J$4999,$S158)&amp;""))</f>
      </c>
      <c r="E158" s="108">
        <f>IF($S158="","",INDEX(数据录入!$E$5:$E$4999,$S158)&amp;"")</f>
      </c>
      <c r="F158" s="114">
        <f>IF($S158="","",N(INDEX(数据录入!$F$5:$F$4999,$S158)))</f>
      </c>
      <c r="G158" s="114">
        <f>IF($S158="","",N(INDEX(数据录入!$G$5:$G$4999,$S158)))</f>
      </c>
      <c r="H158" s="114">
        <f>IF($S158="","",$G$2+SUM($F$8:$F158)-SUM($G$8:$G158))</f>
      </c>
      <c r="Q158" s="44">
        <f>IF(数据录入!$B158="",0,IF(OR(数据录入!$D158="投标保证金",数据录入!$D158="合同履约保证金",ISNUMBER(FIND("保证金",数据录入!$E158))),1,0))</f>
      </c>
      <c r="R158" s="44">
        <f>IF(AND($Q158=1,数据录入!$B158&gt;=$B$2,数据录入!$B158&lt;=$D$2),N(R157)+1,N(R157))</f>
      </c>
      <c r="S158" s="44">
        <f>IFERROR(MATCH(151,$R$5:$R$4999,0),"")</f>
      </c>
    </row>
    <row r="159" s="44" customFormat="1" spans="1:23">
      <c r="A159" s="116">
        <f>IF($S159="","",INDEX(数据录入!$B$5:$B$4999,$S159))</f>
      </c>
      <c r="B159" s="44">
        <f>IF($S159="","",INDEX(数据录入!$C$5:$C$4999,$S159)&amp;"")</f>
      </c>
      <c r="C159" s="165">
        <f>IF($S159="","",IF(N($F159)&gt;0,"收款",IF(N($G159)&gt;0,"付款","")))</f>
      </c>
      <c r="D159" s="44">
        <f>IF($S159="","",IF((INDEX(数据录入!$I$5:$I$4999,$S159)&amp;"")&lt;&gt;"",INDEX(数据录入!$I$5:$I$4999,$S159)&amp;"",INDEX(数据录入!$J$5:$J$4999,$S159)&amp;""))</f>
      </c>
      <c r="E159" s="108">
        <f>IF($S159="","",INDEX(数据录入!$E$5:$E$4999,$S159)&amp;"")</f>
      </c>
      <c r="F159" s="114">
        <f>IF($S159="","",N(INDEX(数据录入!$F$5:$F$4999,$S159)))</f>
      </c>
      <c r="G159" s="114">
        <f>IF($S159="","",N(INDEX(数据录入!$G$5:$G$4999,$S159)))</f>
      </c>
      <c r="H159" s="114">
        <f>IF($S159="","",$G$2+SUM($F$8:$F159)-SUM($G$8:$G159))</f>
      </c>
      <c r="Q159" s="44">
        <f>IF(数据录入!$B159="",0,IF(OR(数据录入!$D159="投标保证金",数据录入!$D159="合同履约保证金",ISNUMBER(FIND("保证金",数据录入!$E159))),1,0))</f>
      </c>
      <c r="R159" s="44">
        <f>IF(AND($Q159=1,数据录入!$B159&gt;=$B$2,数据录入!$B159&lt;=$D$2),N(R158)+1,N(R158))</f>
      </c>
      <c r="S159" s="44">
        <f>IFERROR(MATCH(152,$R$5:$R$4999,0),"")</f>
      </c>
    </row>
    <row r="160" s="44" customFormat="1" spans="1:23">
      <c r="A160" s="116">
        <f>IF($S160="","",INDEX(数据录入!$B$5:$B$4999,$S160))</f>
      </c>
      <c r="B160" s="44">
        <f>IF($S160="","",INDEX(数据录入!$C$5:$C$4999,$S160)&amp;"")</f>
      </c>
      <c r="C160" s="165">
        <f>IF($S160="","",IF(N($F160)&gt;0,"收款",IF(N($G160)&gt;0,"付款","")))</f>
      </c>
      <c r="D160" s="44">
        <f>IF($S160="","",IF((INDEX(数据录入!$I$5:$I$4999,$S160)&amp;"")&lt;&gt;"",INDEX(数据录入!$I$5:$I$4999,$S160)&amp;"",INDEX(数据录入!$J$5:$J$4999,$S160)&amp;""))</f>
      </c>
      <c r="E160" s="108">
        <f>IF($S160="","",INDEX(数据录入!$E$5:$E$4999,$S160)&amp;"")</f>
      </c>
      <c r="F160" s="114">
        <f>IF($S160="","",N(INDEX(数据录入!$F$5:$F$4999,$S160)))</f>
      </c>
      <c r="G160" s="114">
        <f>IF($S160="","",N(INDEX(数据录入!$G$5:$G$4999,$S160)))</f>
      </c>
      <c r="H160" s="114">
        <f>IF($S160="","",$G$2+SUM($F$8:$F160)-SUM($G$8:$G160))</f>
      </c>
      <c r="Q160" s="44">
        <f>IF(数据录入!$B160="",0,IF(OR(数据录入!$D160="投标保证金",数据录入!$D160="合同履约保证金",ISNUMBER(FIND("保证金",数据录入!$E160))),1,0))</f>
      </c>
      <c r="R160" s="44">
        <f>IF(AND($Q160=1,数据录入!$B160&gt;=$B$2,数据录入!$B160&lt;=$D$2),N(R159)+1,N(R159))</f>
      </c>
      <c r="S160" s="44">
        <f>IFERROR(MATCH(153,$R$5:$R$4999,0),"")</f>
      </c>
    </row>
    <row r="161" s="44" customFormat="1" spans="1:23">
      <c r="A161" s="116">
        <f>IF($S161="","",INDEX(数据录入!$B$5:$B$4999,$S161))</f>
      </c>
      <c r="B161" s="44">
        <f>IF($S161="","",INDEX(数据录入!$C$5:$C$4999,$S161)&amp;"")</f>
      </c>
      <c r="C161" s="165">
        <f>IF($S161="","",IF(N($F161)&gt;0,"收款",IF(N($G161)&gt;0,"付款","")))</f>
      </c>
      <c r="D161" s="44">
        <f>IF($S161="","",IF((INDEX(数据录入!$I$5:$I$4999,$S161)&amp;"")&lt;&gt;"",INDEX(数据录入!$I$5:$I$4999,$S161)&amp;"",INDEX(数据录入!$J$5:$J$4999,$S161)&amp;""))</f>
      </c>
      <c r="E161" s="108">
        <f>IF($S161="","",INDEX(数据录入!$E$5:$E$4999,$S161)&amp;"")</f>
      </c>
      <c r="F161" s="114">
        <f>IF($S161="","",N(INDEX(数据录入!$F$5:$F$4999,$S161)))</f>
      </c>
      <c r="G161" s="114">
        <f>IF($S161="","",N(INDEX(数据录入!$G$5:$G$4999,$S161)))</f>
      </c>
      <c r="H161" s="114">
        <f>IF($S161="","",$G$2+SUM($F$8:$F161)-SUM($G$8:$G161))</f>
      </c>
      <c r="Q161" s="44">
        <f>IF(数据录入!$B161="",0,IF(OR(数据录入!$D161="投标保证金",数据录入!$D161="合同履约保证金",ISNUMBER(FIND("保证金",数据录入!$E161))),1,0))</f>
      </c>
      <c r="R161" s="44">
        <f>IF(AND($Q161=1,数据录入!$B161&gt;=$B$2,数据录入!$B161&lt;=$D$2),N(R160)+1,N(R160))</f>
      </c>
      <c r="S161" s="44">
        <f>IFERROR(MATCH(154,$R$5:$R$4999,0),"")</f>
      </c>
    </row>
    <row r="162" s="44" customFormat="1" spans="1:23">
      <c r="A162" s="116">
        <f>IF($S162="","",INDEX(数据录入!$B$5:$B$4999,$S162))</f>
      </c>
      <c r="B162" s="44">
        <f>IF($S162="","",INDEX(数据录入!$C$5:$C$4999,$S162)&amp;"")</f>
      </c>
      <c r="C162" s="165">
        <f>IF($S162="","",IF(N($F162)&gt;0,"收款",IF(N($G162)&gt;0,"付款","")))</f>
      </c>
      <c r="D162" s="44">
        <f>IF($S162="","",IF((INDEX(数据录入!$I$5:$I$4999,$S162)&amp;"")&lt;&gt;"",INDEX(数据录入!$I$5:$I$4999,$S162)&amp;"",INDEX(数据录入!$J$5:$J$4999,$S162)&amp;""))</f>
      </c>
      <c r="E162" s="108">
        <f>IF($S162="","",INDEX(数据录入!$E$5:$E$4999,$S162)&amp;"")</f>
      </c>
      <c r="F162" s="114">
        <f>IF($S162="","",N(INDEX(数据录入!$F$5:$F$4999,$S162)))</f>
      </c>
      <c r="G162" s="114">
        <f>IF($S162="","",N(INDEX(数据录入!$G$5:$G$4999,$S162)))</f>
      </c>
      <c r="H162" s="114">
        <f>IF($S162="","",$G$2+SUM($F$8:$F162)-SUM($G$8:$G162))</f>
      </c>
      <c r="Q162" s="44">
        <f>IF(数据录入!$B162="",0,IF(OR(数据录入!$D162="投标保证金",数据录入!$D162="合同履约保证金",ISNUMBER(FIND("保证金",数据录入!$E162))),1,0))</f>
      </c>
      <c r="R162" s="44">
        <f>IF(AND($Q162=1,数据录入!$B162&gt;=$B$2,数据录入!$B162&lt;=$D$2),N(R161)+1,N(R161))</f>
      </c>
      <c r="S162" s="44">
        <f>IFERROR(MATCH(155,$R$5:$R$4999,0),"")</f>
      </c>
    </row>
    <row r="163" s="44" customFormat="1" spans="1:23">
      <c r="A163" s="116">
        <f>IF($S163="","",INDEX(数据录入!$B$5:$B$4999,$S163))</f>
      </c>
      <c r="B163" s="44">
        <f>IF($S163="","",INDEX(数据录入!$C$5:$C$4999,$S163)&amp;"")</f>
      </c>
      <c r="C163" s="165">
        <f>IF($S163="","",IF(N($F163)&gt;0,"收款",IF(N($G163)&gt;0,"付款","")))</f>
      </c>
      <c r="D163" s="44">
        <f>IF($S163="","",IF((INDEX(数据录入!$I$5:$I$4999,$S163)&amp;"")&lt;&gt;"",INDEX(数据录入!$I$5:$I$4999,$S163)&amp;"",INDEX(数据录入!$J$5:$J$4999,$S163)&amp;""))</f>
      </c>
      <c r="E163" s="108">
        <f>IF($S163="","",INDEX(数据录入!$E$5:$E$4999,$S163)&amp;"")</f>
      </c>
      <c r="F163" s="114">
        <f>IF($S163="","",N(INDEX(数据录入!$F$5:$F$4999,$S163)))</f>
      </c>
      <c r="G163" s="114">
        <f>IF($S163="","",N(INDEX(数据录入!$G$5:$G$4999,$S163)))</f>
      </c>
      <c r="H163" s="114">
        <f>IF($S163="","",$G$2+SUM($F$8:$F163)-SUM($G$8:$G163))</f>
      </c>
      <c r="Q163" s="44">
        <f>IF(数据录入!$B163="",0,IF(OR(数据录入!$D163="投标保证金",数据录入!$D163="合同履约保证金",ISNUMBER(FIND("保证金",数据录入!$E163))),1,0))</f>
      </c>
      <c r="R163" s="44">
        <f>IF(AND($Q163=1,数据录入!$B163&gt;=$B$2,数据录入!$B163&lt;=$D$2),N(R162)+1,N(R162))</f>
      </c>
      <c r="S163" s="44">
        <f>IFERROR(MATCH(156,$R$5:$R$4999,0),"")</f>
      </c>
    </row>
    <row r="164" s="44" customFormat="1" spans="1:23">
      <c r="A164" s="116">
        <f>IF($S164="","",INDEX(数据录入!$B$5:$B$4999,$S164))</f>
      </c>
      <c r="B164" s="44">
        <f>IF($S164="","",INDEX(数据录入!$C$5:$C$4999,$S164)&amp;"")</f>
      </c>
      <c r="C164" s="165">
        <f>IF($S164="","",IF(N($F164)&gt;0,"收款",IF(N($G164)&gt;0,"付款","")))</f>
      </c>
      <c r="D164" s="44">
        <f>IF($S164="","",IF((INDEX(数据录入!$I$5:$I$4999,$S164)&amp;"")&lt;&gt;"",INDEX(数据录入!$I$5:$I$4999,$S164)&amp;"",INDEX(数据录入!$J$5:$J$4999,$S164)&amp;""))</f>
      </c>
      <c r="E164" s="108">
        <f>IF($S164="","",INDEX(数据录入!$E$5:$E$4999,$S164)&amp;"")</f>
      </c>
      <c r="F164" s="114">
        <f>IF($S164="","",N(INDEX(数据录入!$F$5:$F$4999,$S164)))</f>
      </c>
      <c r="G164" s="114">
        <f>IF($S164="","",N(INDEX(数据录入!$G$5:$G$4999,$S164)))</f>
      </c>
      <c r="H164" s="114">
        <f>IF($S164="","",$G$2+SUM($F$8:$F164)-SUM($G$8:$G164))</f>
      </c>
      <c r="Q164" s="44">
        <f>IF(数据录入!$B164="",0,IF(OR(数据录入!$D164="投标保证金",数据录入!$D164="合同履约保证金",ISNUMBER(FIND("保证金",数据录入!$E164))),1,0))</f>
      </c>
      <c r="R164" s="44">
        <f>IF(AND($Q164=1,数据录入!$B164&gt;=$B$2,数据录入!$B164&lt;=$D$2),N(R163)+1,N(R163))</f>
      </c>
      <c r="S164" s="44">
        <f>IFERROR(MATCH(157,$R$5:$R$4999,0),"")</f>
      </c>
    </row>
    <row r="165" s="44" customFormat="1" spans="1:23">
      <c r="A165" s="116">
        <f>IF($S165="","",INDEX(数据录入!$B$5:$B$4999,$S165))</f>
      </c>
      <c r="B165" s="44">
        <f>IF($S165="","",INDEX(数据录入!$C$5:$C$4999,$S165)&amp;"")</f>
      </c>
      <c r="C165" s="165">
        <f>IF($S165="","",IF(N($F165)&gt;0,"收款",IF(N($G165)&gt;0,"付款","")))</f>
      </c>
      <c r="D165" s="44">
        <f>IF($S165="","",IF((INDEX(数据录入!$I$5:$I$4999,$S165)&amp;"")&lt;&gt;"",INDEX(数据录入!$I$5:$I$4999,$S165)&amp;"",INDEX(数据录入!$J$5:$J$4999,$S165)&amp;""))</f>
      </c>
      <c r="E165" s="108">
        <f>IF($S165="","",INDEX(数据录入!$E$5:$E$4999,$S165)&amp;"")</f>
      </c>
      <c r="F165" s="114">
        <f>IF($S165="","",N(INDEX(数据录入!$F$5:$F$4999,$S165)))</f>
      </c>
      <c r="G165" s="114">
        <f>IF($S165="","",N(INDEX(数据录入!$G$5:$G$4999,$S165)))</f>
      </c>
      <c r="H165" s="114">
        <f>IF($S165="","",$G$2+SUM($F$8:$F165)-SUM($G$8:$G165))</f>
      </c>
      <c r="Q165" s="44">
        <f>IF(数据录入!$B165="",0,IF(OR(数据录入!$D165="投标保证金",数据录入!$D165="合同履约保证金",ISNUMBER(FIND("保证金",数据录入!$E165))),1,0))</f>
      </c>
      <c r="R165" s="44">
        <f>IF(AND($Q165=1,数据录入!$B165&gt;=$B$2,数据录入!$B165&lt;=$D$2),N(R164)+1,N(R164))</f>
      </c>
      <c r="S165" s="44">
        <f>IFERROR(MATCH(158,$R$5:$R$4999,0),"")</f>
      </c>
    </row>
    <row r="166" s="44" customFormat="1" spans="1:23">
      <c r="A166" s="116">
        <f>IF($S166="","",INDEX(数据录入!$B$5:$B$4999,$S166))</f>
      </c>
      <c r="B166" s="44">
        <f>IF($S166="","",INDEX(数据录入!$C$5:$C$4999,$S166)&amp;"")</f>
      </c>
      <c r="C166" s="165">
        <f>IF($S166="","",IF(N($F166)&gt;0,"收款",IF(N($G166)&gt;0,"付款","")))</f>
      </c>
      <c r="D166" s="44">
        <f>IF($S166="","",IF((INDEX(数据录入!$I$5:$I$4999,$S166)&amp;"")&lt;&gt;"",INDEX(数据录入!$I$5:$I$4999,$S166)&amp;"",INDEX(数据录入!$J$5:$J$4999,$S166)&amp;""))</f>
      </c>
      <c r="E166" s="108">
        <f>IF($S166="","",INDEX(数据录入!$E$5:$E$4999,$S166)&amp;"")</f>
      </c>
      <c r="F166" s="114">
        <f>IF($S166="","",N(INDEX(数据录入!$F$5:$F$4999,$S166)))</f>
      </c>
      <c r="G166" s="114">
        <f>IF($S166="","",N(INDEX(数据录入!$G$5:$G$4999,$S166)))</f>
      </c>
      <c r="H166" s="114">
        <f>IF($S166="","",$G$2+SUM($F$8:$F166)-SUM($G$8:$G166))</f>
      </c>
      <c r="Q166" s="44">
        <f>IF(数据录入!$B166="",0,IF(OR(数据录入!$D166="投标保证金",数据录入!$D166="合同履约保证金",ISNUMBER(FIND("保证金",数据录入!$E166))),1,0))</f>
      </c>
      <c r="R166" s="44">
        <f>IF(AND($Q166=1,数据录入!$B166&gt;=$B$2,数据录入!$B166&lt;=$D$2),N(R165)+1,N(R165))</f>
      </c>
      <c r="S166" s="44">
        <f>IFERROR(MATCH(159,$R$5:$R$4999,0),"")</f>
      </c>
    </row>
    <row r="167" s="44" customFormat="1" spans="1:23">
      <c r="A167" s="116">
        <f>IF($S167="","",INDEX(数据录入!$B$5:$B$4999,$S167))</f>
      </c>
      <c r="B167" s="44">
        <f>IF($S167="","",INDEX(数据录入!$C$5:$C$4999,$S167)&amp;"")</f>
      </c>
      <c r="C167" s="165">
        <f>IF($S167="","",IF(N($F167)&gt;0,"收款",IF(N($G167)&gt;0,"付款","")))</f>
      </c>
      <c r="D167" s="44">
        <f>IF($S167="","",IF((INDEX(数据录入!$I$5:$I$4999,$S167)&amp;"")&lt;&gt;"",INDEX(数据录入!$I$5:$I$4999,$S167)&amp;"",INDEX(数据录入!$J$5:$J$4999,$S167)&amp;""))</f>
      </c>
      <c r="E167" s="108">
        <f>IF($S167="","",INDEX(数据录入!$E$5:$E$4999,$S167)&amp;"")</f>
      </c>
      <c r="F167" s="114">
        <f>IF($S167="","",N(INDEX(数据录入!$F$5:$F$4999,$S167)))</f>
      </c>
      <c r="G167" s="114">
        <f>IF($S167="","",N(INDEX(数据录入!$G$5:$G$4999,$S167)))</f>
      </c>
      <c r="H167" s="114">
        <f>IF($S167="","",$G$2+SUM($F$8:$F167)-SUM($G$8:$G167))</f>
      </c>
      <c r="Q167" s="44">
        <f>IF(数据录入!$B167="",0,IF(OR(数据录入!$D167="投标保证金",数据录入!$D167="合同履约保证金",ISNUMBER(FIND("保证金",数据录入!$E167))),1,0))</f>
      </c>
      <c r="R167" s="44">
        <f>IF(AND($Q167=1,数据录入!$B167&gt;=$B$2,数据录入!$B167&lt;=$D$2),N(R166)+1,N(R166))</f>
      </c>
      <c r="S167" s="44">
        <f>IFERROR(MATCH(160,$R$5:$R$4999,0),"")</f>
      </c>
    </row>
    <row r="168" s="44" customFormat="1" spans="1:23">
      <c r="A168" s="116">
        <f>IF($S168="","",INDEX(数据录入!$B$5:$B$4999,$S168))</f>
      </c>
      <c r="B168" s="44">
        <f>IF($S168="","",INDEX(数据录入!$C$5:$C$4999,$S168)&amp;"")</f>
      </c>
      <c r="C168" s="165">
        <f>IF($S168="","",IF(N($F168)&gt;0,"收款",IF(N($G168)&gt;0,"付款","")))</f>
      </c>
      <c r="D168" s="44">
        <f>IF($S168="","",IF((INDEX(数据录入!$I$5:$I$4999,$S168)&amp;"")&lt;&gt;"",INDEX(数据录入!$I$5:$I$4999,$S168)&amp;"",INDEX(数据录入!$J$5:$J$4999,$S168)&amp;""))</f>
      </c>
      <c r="E168" s="108">
        <f>IF($S168="","",INDEX(数据录入!$E$5:$E$4999,$S168)&amp;"")</f>
      </c>
      <c r="F168" s="114">
        <f>IF($S168="","",N(INDEX(数据录入!$F$5:$F$4999,$S168)))</f>
      </c>
      <c r="G168" s="114">
        <f>IF($S168="","",N(INDEX(数据录入!$G$5:$G$4999,$S168)))</f>
      </c>
      <c r="H168" s="114">
        <f>IF($S168="","",$G$2+SUM($F$8:$F168)-SUM($G$8:$G168))</f>
      </c>
      <c r="Q168" s="44">
        <f>IF(数据录入!$B168="",0,IF(OR(数据录入!$D168="投标保证金",数据录入!$D168="合同履约保证金",ISNUMBER(FIND("保证金",数据录入!$E168))),1,0))</f>
      </c>
      <c r="R168" s="44">
        <f>IF(AND($Q168=1,数据录入!$B168&gt;=$B$2,数据录入!$B168&lt;=$D$2),N(R167)+1,N(R167))</f>
      </c>
      <c r="S168" s="44">
        <f>IFERROR(MATCH(161,$R$5:$R$4999,0),"")</f>
      </c>
    </row>
    <row r="169" s="44" customFormat="1" spans="1:23">
      <c r="A169" s="116">
        <f>IF($S169="","",INDEX(数据录入!$B$5:$B$4999,$S169))</f>
      </c>
      <c r="B169" s="44">
        <f>IF($S169="","",INDEX(数据录入!$C$5:$C$4999,$S169)&amp;"")</f>
      </c>
      <c r="C169" s="165">
        <f>IF($S169="","",IF(N($F169)&gt;0,"收款",IF(N($G169)&gt;0,"付款","")))</f>
      </c>
      <c r="D169" s="44">
        <f>IF($S169="","",IF((INDEX(数据录入!$I$5:$I$4999,$S169)&amp;"")&lt;&gt;"",INDEX(数据录入!$I$5:$I$4999,$S169)&amp;"",INDEX(数据录入!$J$5:$J$4999,$S169)&amp;""))</f>
      </c>
      <c r="E169" s="108">
        <f>IF($S169="","",INDEX(数据录入!$E$5:$E$4999,$S169)&amp;"")</f>
      </c>
      <c r="F169" s="114">
        <f>IF($S169="","",N(INDEX(数据录入!$F$5:$F$4999,$S169)))</f>
      </c>
      <c r="G169" s="114">
        <f>IF($S169="","",N(INDEX(数据录入!$G$5:$G$4999,$S169)))</f>
      </c>
      <c r="H169" s="114">
        <f>IF($S169="","",$G$2+SUM($F$8:$F169)-SUM($G$8:$G169))</f>
      </c>
      <c r="Q169" s="44">
        <f>IF(数据录入!$B169="",0,IF(OR(数据录入!$D169="投标保证金",数据录入!$D169="合同履约保证金",ISNUMBER(FIND("保证金",数据录入!$E169))),1,0))</f>
      </c>
      <c r="R169" s="44">
        <f>IF(AND($Q169=1,数据录入!$B169&gt;=$B$2,数据录入!$B169&lt;=$D$2),N(R168)+1,N(R168))</f>
      </c>
      <c r="S169" s="44">
        <f>IFERROR(MATCH(162,$R$5:$R$4999,0),"")</f>
      </c>
    </row>
    <row r="170" s="44" customFormat="1" spans="1:23">
      <c r="A170" s="116">
        <f>IF($S170="","",INDEX(数据录入!$B$5:$B$4999,$S170))</f>
      </c>
      <c r="B170" s="44">
        <f>IF($S170="","",INDEX(数据录入!$C$5:$C$4999,$S170)&amp;"")</f>
      </c>
      <c r="C170" s="165">
        <f>IF($S170="","",IF(N($F170)&gt;0,"收款",IF(N($G170)&gt;0,"付款","")))</f>
      </c>
      <c r="D170" s="44">
        <f>IF($S170="","",IF((INDEX(数据录入!$I$5:$I$4999,$S170)&amp;"")&lt;&gt;"",INDEX(数据录入!$I$5:$I$4999,$S170)&amp;"",INDEX(数据录入!$J$5:$J$4999,$S170)&amp;""))</f>
      </c>
      <c r="E170" s="108">
        <f>IF($S170="","",INDEX(数据录入!$E$5:$E$4999,$S170)&amp;"")</f>
      </c>
      <c r="F170" s="114">
        <f>IF($S170="","",N(INDEX(数据录入!$F$5:$F$4999,$S170)))</f>
      </c>
      <c r="G170" s="114">
        <f>IF($S170="","",N(INDEX(数据录入!$G$5:$G$4999,$S170)))</f>
      </c>
      <c r="H170" s="114">
        <f>IF($S170="","",$G$2+SUM($F$8:$F170)-SUM($G$8:$G170))</f>
      </c>
      <c r="Q170" s="44">
        <f>IF(数据录入!$B170="",0,IF(OR(数据录入!$D170="投标保证金",数据录入!$D170="合同履约保证金",ISNUMBER(FIND("保证金",数据录入!$E170))),1,0))</f>
      </c>
      <c r="R170" s="44">
        <f>IF(AND($Q170=1,数据录入!$B170&gt;=$B$2,数据录入!$B170&lt;=$D$2),N(R169)+1,N(R169))</f>
      </c>
      <c r="S170" s="44">
        <f>IFERROR(MATCH(163,$R$5:$R$4999,0),"")</f>
      </c>
    </row>
    <row r="171" s="44" customFormat="1" spans="1:23">
      <c r="A171" s="116">
        <f>IF($S171="","",INDEX(数据录入!$B$5:$B$4999,$S171))</f>
      </c>
      <c r="B171" s="44">
        <f>IF($S171="","",INDEX(数据录入!$C$5:$C$4999,$S171)&amp;"")</f>
      </c>
      <c r="C171" s="165">
        <f>IF($S171="","",IF(N($F171)&gt;0,"收款",IF(N($G171)&gt;0,"付款","")))</f>
      </c>
      <c r="D171" s="44">
        <f>IF($S171="","",IF((INDEX(数据录入!$I$5:$I$4999,$S171)&amp;"")&lt;&gt;"",INDEX(数据录入!$I$5:$I$4999,$S171)&amp;"",INDEX(数据录入!$J$5:$J$4999,$S171)&amp;""))</f>
      </c>
      <c r="E171" s="108">
        <f>IF($S171="","",INDEX(数据录入!$E$5:$E$4999,$S171)&amp;"")</f>
      </c>
      <c r="F171" s="114">
        <f>IF($S171="","",N(INDEX(数据录入!$F$5:$F$4999,$S171)))</f>
      </c>
      <c r="G171" s="114">
        <f>IF($S171="","",N(INDEX(数据录入!$G$5:$G$4999,$S171)))</f>
      </c>
      <c r="H171" s="114">
        <f>IF($S171="","",$G$2+SUM($F$8:$F171)-SUM($G$8:$G171))</f>
      </c>
      <c r="Q171" s="44">
        <f>IF(数据录入!$B171="",0,IF(OR(数据录入!$D171="投标保证金",数据录入!$D171="合同履约保证金",ISNUMBER(FIND("保证金",数据录入!$E171))),1,0))</f>
      </c>
      <c r="R171" s="44">
        <f>IF(AND($Q171=1,数据录入!$B171&gt;=$B$2,数据录入!$B171&lt;=$D$2),N(R170)+1,N(R170))</f>
      </c>
      <c r="S171" s="44">
        <f>IFERROR(MATCH(164,$R$5:$R$4999,0),"")</f>
      </c>
    </row>
    <row r="172" s="44" customFormat="1" spans="1:23">
      <c r="A172" s="116">
        <f>IF($S172="","",INDEX(数据录入!$B$5:$B$4999,$S172))</f>
      </c>
      <c r="B172" s="44">
        <f>IF($S172="","",INDEX(数据录入!$C$5:$C$4999,$S172)&amp;"")</f>
      </c>
      <c r="C172" s="165">
        <f>IF($S172="","",IF(N($F172)&gt;0,"收款",IF(N($G172)&gt;0,"付款","")))</f>
      </c>
      <c r="D172" s="44">
        <f>IF($S172="","",IF((INDEX(数据录入!$I$5:$I$4999,$S172)&amp;"")&lt;&gt;"",INDEX(数据录入!$I$5:$I$4999,$S172)&amp;"",INDEX(数据录入!$J$5:$J$4999,$S172)&amp;""))</f>
      </c>
      <c r="E172" s="108">
        <f>IF($S172="","",INDEX(数据录入!$E$5:$E$4999,$S172)&amp;"")</f>
      </c>
      <c r="F172" s="114">
        <f>IF($S172="","",N(INDEX(数据录入!$F$5:$F$4999,$S172)))</f>
      </c>
      <c r="G172" s="114">
        <f>IF($S172="","",N(INDEX(数据录入!$G$5:$G$4999,$S172)))</f>
      </c>
      <c r="H172" s="114">
        <f>IF($S172="","",$G$2+SUM($F$8:$F172)-SUM($G$8:$G172))</f>
      </c>
      <c r="Q172" s="44">
        <f>IF(数据录入!$B172="",0,IF(OR(数据录入!$D172="投标保证金",数据录入!$D172="合同履约保证金",ISNUMBER(FIND("保证金",数据录入!$E172))),1,0))</f>
      </c>
      <c r="R172" s="44">
        <f>IF(AND($Q172=1,数据录入!$B172&gt;=$B$2,数据录入!$B172&lt;=$D$2),N(R171)+1,N(R171))</f>
      </c>
      <c r="S172" s="44">
        <f>IFERROR(MATCH(165,$R$5:$R$4999,0),"")</f>
      </c>
    </row>
    <row r="173" s="44" customFormat="1" spans="1:23">
      <c r="A173" s="116">
        <f>IF($S173="","",INDEX(数据录入!$B$5:$B$4999,$S173))</f>
      </c>
      <c r="B173" s="44">
        <f>IF($S173="","",INDEX(数据录入!$C$5:$C$4999,$S173)&amp;"")</f>
      </c>
      <c r="C173" s="165">
        <f>IF($S173="","",IF(N($F173)&gt;0,"收款",IF(N($G173)&gt;0,"付款","")))</f>
      </c>
      <c r="D173" s="44">
        <f>IF($S173="","",IF((INDEX(数据录入!$I$5:$I$4999,$S173)&amp;"")&lt;&gt;"",INDEX(数据录入!$I$5:$I$4999,$S173)&amp;"",INDEX(数据录入!$J$5:$J$4999,$S173)&amp;""))</f>
      </c>
      <c r="E173" s="108">
        <f>IF($S173="","",INDEX(数据录入!$E$5:$E$4999,$S173)&amp;"")</f>
      </c>
      <c r="F173" s="114">
        <f>IF($S173="","",N(INDEX(数据录入!$F$5:$F$4999,$S173)))</f>
      </c>
      <c r="G173" s="114">
        <f>IF($S173="","",N(INDEX(数据录入!$G$5:$G$4999,$S173)))</f>
      </c>
      <c r="H173" s="114">
        <f>IF($S173="","",$G$2+SUM($F$8:$F173)-SUM($G$8:$G173))</f>
      </c>
      <c r="Q173" s="44">
        <f>IF(数据录入!$B173="",0,IF(OR(数据录入!$D173="投标保证金",数据录入!$D173="合同履约保证金",ISNUMBER(FIND("保证金",数据录入!$E173))),1,0))</f>
      </c>
      <c r="R173" s="44">
        <f>IF(AND($Q173=1,数据录入!$B173&gt;=$B$2,数据录入!$B173&lt;=$D$2),N(R172)+1,N(R172))</f>
      </c>
      <c r="S173" s="44">
        <f>IFERROR(MATCH(166,$R$5:$R$4999,0),"")</f>
      </c>
    </row>
    <row r="174" s="44" customFormat="1" spans="1:23">
      <c r="A174" s="116">
        <f>IF($S174="","",INDEX(数据录入!$B$5:$B$4999,$S174))</f>
      </c>
      <c r="B174" s="44">
        <f>IF($S174="","",INDEX(数据录入!$C$5:$C$4999,$S174)&amp;"")</f>
      </c>
      <c r="C174" s="165">
        <f>IF($S174="","",IF(N($F174)&gt;0,"收款",IF(N($G174)&gt;0,"付款","")))</f>
      </c>
      <c r="D174" s="44">
        <f>IF($S174="","",IF((INDEX(数据录入!$I$5:$I$4999,$S174)&amp;"")&lt;&gt;"",INDEX(数据录入!$I$5:$I$4999,$S174)&amp;"",INDEX(数据录入!$J$5:$J$4999,$S174)&amp;""))</f>
      </c>
      <c r="E174" s="108">
        <f>IF($S174="","",INDEX(数据录入!$E$5:$E$4999,$S174)&amp;"")</f>
      </c>
      <c r="F174" s="114">
        <f>IF($S174="","",N(INDEX(数据录入!$F$5:$F$4999,$S174)))</f>
      </c>
      <c r="G174" s="114">
        <f>IF($S174="","",N(INDEX(数据录入!$G$5:$G$4999,$S174)))</f>
      </c>
      <c r="H174" s="114">
        <f>IF($S174="","",$G$2+SUM($F$8:$F174)-SUM($G$8:$G174))</f>
      </c>
      <c r="Q174" s="44">
        <f>IF(数据录入!$B174="",0,IF(OR(数据录入!$D174="投标保证金",数据录入!$D174="合同履约保证金",ISNUMBER(FIND("保证金",数据录入!$E174))),1,0))</f>
      </c>
      <c r="R174" s="44">
        <f>IF(AND($Q174=1,数据录入!$B174&gt;=$B$2,数据录入!$B174&lt;=$D$2),N(R173)+1,N(R173))</f>
      </c>
      <c r="S174" s="44">
        <f>IFERROR(MATCH(167,$R$5:$R$4999,0),"")</f>
      </c>
    </row>
    <row r="175" s="44" customFormat="1" spans="1:23">
      <c r="A175" s="116">
        <f>IF($S175="","",INDEX(数据录入!$B$5:$B$4999,$S175))</f>
      </c>
      <c r="B175" s="44">
        <f>IF($S175="","",INDEX(数据录入!$C$5:$C$4999,$S175)&amp;"")</f>
      </c>
      <c r="C175" s="165">
        <f>IF($S175="","",IF(N($F175)&gt;0,"收款",IF(N($G175)&gt;0,"付款","")))</f>
      </c>
      <c r="D175" s="44">
        <f>IF($S175="","",IF((INDEX(数据录入!$I$5:$I$4999,$S175)&amp;"")&lt;&gt;"",INDEX(数据录入!$I$5:$I$4999,$S175)&amp;"",INDEX(数据录入!$J$5:$J$4999,$S175)&amp;""))</f>
      </c>
      <c r="E175" s="108">
        <f>IF($S175="","",INDEX(数据录入!$E$5:$E$4999,$S175)&amp;"")</f>
      </c>
      <c r="F175" s="114">
        <f>IF($S175="","",N(INDEX(数据录入!$F$5:$F$4999,$S175)))</f>
      </c>
      <c r="G175" s="114">
        <f>IF($S175="","",N(INDEX(数据录入!$G$5:$G$4999,$S175)))</f>
      </c>
      <c r="H175" s="114">
        <f>IF($S175="","",$G$2+SUM($F$8:$F175)-SUM($G$8:$G175))</f>
      </c>
      <c r="Q175" s="44">
        <f>IF(数据录入!$B175="",0,IF(OR(数据录入!$D175="投标保证金",数据录入!$D175="合同履约保证金",ISNUMBER(FIND("保证金",数据录入!$E175))),1,0))</f>
      </c>
      <c r="R175" s="44">
        <f>IF(AND($Q175=1,数据录入!$B175&gt;=$B$2,数据录入!$B175&lt;=$D$2),N(R174)+1,N(R174))</f>
      </c>
      <c r="S175" s="44">
        <f>IFERROR(MATCH(168,$R$5:$R$4999,0),"")</f>
      </c>
    </row>
    <row r="176" s="44" customFormat="1" spans="1:23">
      <c r="A176" s="116">
        <f>IF($S176="","",INDEX(数据录入!$B$5:$B$4999,$S176))</f>
      </c>
      <c r="B176" s="44">
        <f>IF($S176="","",INDEX(数据录入!$C$5:$C$4999,$S176)&amp;"")</f>
      </c>
      <c r="C176" s="165">
        <f>IF($S176="","",IF(N($F176)&gt;0,"收款",IF(N($G176)&gt;0,"付款","")))</f>
      </c>
      <c r="D176" s="44">
        <f>IF($S176="","",IF((INDEX(数据录入!$I$5:$I$4999,$S176)&amp;"")&lt;&gt;"",INDEX(数据录入!$I$5:$I$4999,$S176)&amp;"",INDEX(数据录入!$J$5:$J$4999,$S176)&amp;""))</f>
      </c>
      <c r="E176" s="108">
        <f>IF($S176="","",INDEX(数据录入!$E$5:$E$4999,$S176)&amp;"")</f>
      </c>
      <c r="F176" s="114">
        <f>IF($S176="","",N(INDEX(数据录入!$F$5:$F$4999,$S176)))</f>
      </c>
      <c r="G176" s="114">
        <f>IF($S176="","",N(INDEX(数据录入!$G$5:$G$4999,$S176)))</f>
      </c>
      <c r="H176" s="114">
        <f>IF($S176="","",$G$2+SUM($F$8:$F176)-SUM($G$8:$G176))</f>
      </c>
      <c r="Q176" s="44">
        <f>IF(数据录入!$B176="",0,IF(OR(数据录入!$D176="投标保证金",数据录入!$D176="合同履约保证金",ISNUMBER(FIND("保证金",数据录入!$E176))),1,0))</f>
      </c>
      <c r="R176" s="44">
        <f>IF(AND($Q176=1,数据录入!$B176&gt;=$B$2,数据录入!$B176&lt;=$D$2),N(R175)+1,N(R175))</f>
      </c>
      <c r="S176" s="44">
        <f>IFERROR(MATCH(169,$R$5:$R$4999,0),"")</f>
      </c>
    </row>
    <row r="177" s="44" customFormat="1" spans="1:23">
      <c r="A177" s="116">
        <f>IF($S177="","",INDEX(数据录入!$B$5:$B$4999,$S177))</f>
      </c>
      <c r="B177" s="44">
        <f>IF($S177="","",INDEX(数据录入!$C$5:$C$4999,$S177)&amp;"")</f>
      </c>
      <c r="C177" s="165">
        <f>IF($S177="","",IF(N($F177)&gt;0,"收款",IF(N($G177)&gt;0,"付款","")))</f>
      </c>
      <c r="D177" s="44">
        <f>IF($S177="","",IF((INDEX(数据录入!$I$5:$I$4999,$S177)&amp;"")&lt;&gt;"",INDEX(数据录入!$I$5:$I$4999,$S177)&amp;"",INDEX(数据录入!$J$5:$J$4999,$S177)&amp;""))</f>
      </c>
      <c r="E177" s="108">
        <f>IF($S177="","",INDEX(数据录入!$E$5:$E$4999,$S177)&amp;"")</f>
      </c>
      <c r="F177" s="114">
        <f>IF($S177="","",N(INDEX(数据录入!$F$5:$F$4999,$S177)))</f>
      </c>
      <c r="G177" s="114">
        <f>IF($S177="","",N(INDEX(数据录入!$G$5:$G$4999,$S177)))</f>
      </c>
      <c r="H177" s="114">
        <f>IF($S177="","",$G$2+SUM($F$8:$F177)-SUM($G$8:$G177))</f>
      </c>
      <c r="Q177" s="44">
        <f>IF(数据录入!$B177="",0,IF(OR(数据录入!$D177="投标保证金",数据录入!$D177="合同履约保证金",ISNUMBER(FIND("保证金",数据录入!$E177))),1,0))</f>
      </c>
      <c r="R177" s="44">
        <f>IF(AND($Q177=1,数据录入!$B177&gt;=$B$2,数据录入!$B177&lt;=$D$2),N(R176)+1,N(R176))</f>
      </c>
      <c r="S177" s="44">
        <f>IFERROR(MATCH(170,$R$5:$R$4999,0),"")</f>
      </c>
    </row>
    <row r="178" s="44" customFormat="1" spans="1:23">
      <c r="A178" s="116">
        <f>IF($S178="","",INDEX(数据录入!$B$5:$B$4999,$S178))</f>
      </c>
      <c r="B178" s="44">
        <f>IF($S178="","",INDEX(数据录入!$C$5:$C$4999,$S178)&amp;"")</f>
      </c>
      <c r="C178" s="165">
        <f>IF($S178="","",IF(N($F178)&gt;0,"收款",IF(N($G178)&gt;0,"付款","")))</f>
      </c>
      <c r="D178" s="44">
        <f>IF($S178="","",IF((INDEX(数据录入!$I$5:$I$4999,$S178)&amp;"")&lt;&gt;"",INDEX(数据录入!$I$5:$I$4999,$S178)&amp;"",INDEX(数据录入!$J$5:$J$4999,$S178)&amp;""))</f>
      </c>
      <c r="E178" s="108">
        <f>IF($S178="","",INDEX(数据录入!$E$5:$E$4999,$S178)&amp;"")</f>
      </c>
      <c r="F178" s="114">
        <f>IF($S178="","",N(INDEX(数据录入!$F$5:$F$4999,$S178)))</f>
      </c>
      <c r="G178" s="114">
        <f>IF($S178="","",N(INDEX(数据录入!$G$5:$G$4999,$S178)))</f>
      </c>
      <c r="H178" s="114">
        <f>IF($S178="","",$G$2+SUM($F$8:$F178)-SUM($G$8:$G178))</f>
      </c>
      <c r="Q178" s="44">
        <f>IF(数据录入!$B178="",0,IF(OR(数据录入!$D178="投标保证金",数据录入!$D178="合同履约保证金",ISNUMBER(FIND("保证金",数据录入!$E178))),1,0))</f>
      </c>
      <c r="R178" s="44">
        <f>IF(AND($Q178=1,数据录入!$B178&gt;=$B$2,数据录入!$B178&lt;=$D$2),N(R177)+1,N(R177))</f>
      </c>
      <c r="S178" s="44">
        <f>IFERROR(MATCH(171,$R$5:$R$4999,0),"")</f>
      </c>
    </row>
    <row r="179" s="44" customFormat="1" spans="1:23">
      <c r="A179" s="116">
        <f>IF($S179="","",INDEX(数据录入!$B$5:$B$4999,$S179))</f>
      </c>
      <c r="B179" s="44">
        <f>IF($S179="","",INDEX(数据录入!$C$5:$C$4999,$S179)&amp;"")</f>
      </c>
      <c r="C179" s="165">
        <f>IF($S179="","",IF(N($F179)&gt;0,"收款",IF(N($G179)&gt;0,"付款","")))</f>
      </c>
      <c r="D179" s="44">
        <f>IF($S179="","",IF((INDEX(数据录入!$I$5:$I$4999,$S179)&amp;"")&lt;&gt;"",INDEX(数据录入!$I$5:$I$4999,$S179)&amp;"",INDEX(数据录入!$J$5:$J$4999,$S179)&amp;""))</f>
      </c>
      <c r="E179" s="108">
        <f>IF($S179="","",INDEX(数据录入!$E$5:$E$4999,$S179)&amp;"")</f>
      </c>
      <c r="F179" s="114">
        <f>IF($S179="","",N(INDEX(数据录入!$F$5:$F$4999,$S179)))</f>
      </c>
      <c r="G179" s="114">
        <f>IF($S179="","",N(INDEX(数据录入!$G$5:$G$4999,$S179)))</f>
      </c>
      <c r="H179" s="114">
        <f>IF($S179="","",$G$2+SUM($F$8:$F179)-SUM($G$8:$G179))</f>
      </c>
      <c r="Q179" s="44">
        <f>IF(数据录入!$B179="",0,IF(OR(数据录入!$D179="投标保证金",数据录入!$D179="合同履约保证金",ISNUMBER(FIND("保证金",数据录入!$E179))),1,0))</f>
      </c>
      <c r="R179" s="44">
        <f>IF(AND($Q179=1,数据录入!$B179&gt;=$B$2,数据录入!$B179&lt;=$D$2),N(R178)+1,N(R178))</f>
      </c>
      <c r="S179" s="44">
        <f>IFERROR(MATCH(172,$R$5:$R$4999,0),"")</f>
      </c>
    </row>
    <row r="180" s="44" customFormat="1" spans="1:23">
      <c r="A180" s="116">
        <f>IF($S180="","",INDEX(数据录入!$B$5:$B$4999,$S180))</f>
      </c>
      <c r="B180" s="44">
        <f>IF($S180="","",INDEX(数据录入!$C$5:$C$4999,$S180)&amp;"")</f>
      </c>
      <c r="C180" s="165">
        <f>IF($S180="","",IF(N($F180)&gt;0,"收款",IF(N($G180)&gt;0,"付款","")))</f>
      </c>
      <c r="D180" s="44">
        <f>IF($S180="","",IF((INDEX(数据录入!$I$5:$I$4999,$S180)&amp;"")&lt;&gt;"",INDEX(数据录入!$I$5:$I$4999,$S180)&amp;"",INDEX(数据录入!$J$5:$J$4999,$S180)&amp;""))</f>
      </c>
      <c r="E180" s="108">
        <f>IF($S180="","",INDEX(数据录入!$E$5:$E$4999,$S180)&amp;"")</f>
      </c>
      <c r="F180" s="114">
        <f>IF($S180="","",N(INDEX(数据录入!$F$5:$F$4999,$S180)))</f>
      </c>
      <c r="G180" s="114">
        <f>IF($S180="","",N(INDEX(数据录入!$G$5:$G$4999,$S180)))</f>
      </c>
      <c r="H180" s="114">
        <f>IF($S180="","",$G$2+SUM($F$8:$F180)-SUM($G$8:$G180))</f>
      </c>
      <c r="Q180" s="44">
        <f>IF(数据录入!$B180="",0,IF(OR(数据录入!$D180="投标保证金",数据录入!$D180="合同履约保证金",ISNUMBER(FIND("保证金",数据录入!$E180))),1,0))</f>
      </c>
      <c r="R180" s="44">
        <f>IF(AND($Q180=1,数据录入!$B180&gt;=$B$2,数据录入!$B180&lt;=$D$2),N(R179)+1,N(R179))</f>
      </c>
      <c r="S180" s="44">
        <f>IFERROR(MATCH(173,$R$5:$R$4999,0),"")</f>
      </c>
    </row>
    <row r="181" s="44" customFormat="1" spans="1:23">
      <c r="A181" s="116">
        <f>IF($S181="","",INDEX(数据录入!$B$5:$B$4999,$S181))</f>
      </c>
      <c r="B181" s="44">
        <f>IF($S181="","",INDEX(数据录入!$C$5:$C$4999,$S181)&amp;"")</f>
      </c>
      <c r="C181" s="165">
        <f>IF($S181="","",IF(N($F181)&gt;0,"收款",IF(N($G181)&gt;0,"付款","")))</f>
      </c>
      <c r="D181" s="44">
        <f>IF($S181="","",IF((INDEX(数据录入!$I$5:$I$4999,$S181)&amp;"")&lt;&gt;"",INDEX(数据录入!$I$5:$I$4999,$S181)&amp;"",INDEX(数据录入!$J$5:$J$4999,$S181)&amp;""))</f>
      </c>
      <c r="E181" s="108">
        <f>IF($S181="","",INDEX(数据录入!$E$5:$E$4999,$S181)&amp;"")</f>
      </c>
      <c r="F181" s="114">
        <f>IF($S181="","",N(INDEX(数据录入!$F$5:$F$4999,$S181)))</f>
      </c>
      <c r="G181" s="114">
        <f>IF($S181="","",N(INDEX(数据录入!$G$5:$G$4999,$S181)))</f>
      </c>
      <c r="H181" s="114">
        <f>IF($S181="","",$G$2+SUM($F$8:$F181)-SUM($G$8:$G181))</f>
      </c>
      <c r="Q181" s="44">
        <f>IF(数据录入!$B181="",0,IF(OR(数据录入!$D181="投标保证金",数据录入!$D181="合同履约保证金",ISNUMBER(FIND("保证金",数据录入!$E181))),1,0))</f>
      </c>
      <c r="R181" s="44">
        <f>IF(AND($Q181=1,数据录入!$B181&gt;=$B$2,数据录入!$B181&lt;=$D$2),N(R180)+1,N(R180))</f>
      </c>
      <c r="S181" s="44">
        <f>IFERROR(MATCH(174,$R$5:$R$4999,0),"")</f>
      </c>
    </row>
    <row r="182" s="44" customFormat="1" spans="1:23">
      <c r="A182" s="116">
        <f>IF($S182="","",INDEX(数据录入!$B$5:$B$4999,$S182))</f>
      </c>
      <c r="B182" s="44">
        <f>IF($S182="","",INDEX(数据录入!$C$5:$C$4999,$S182)&amp;"")</f>
      </c>
      <c r="C182" s="165">
        <f>IF($S182="","",IF(N($F182)&gt;0,"收款",IF(N($G182)&gt;0,"付款","")))</f>
      </c>
      <c r="D182" s="44">
        <f>IF($S182="","",IF((INDEX(数据录入!$I$5:$I$4999,$S182)&amp;"")&lt;&gt;"",INDEX(数据录入!$I$5:$I$4999,$S182)&amp;"",INDEX(数据录入!$J$5:$J$4999,$S182)&amp;""))</f>
      </c>
      <c r="E182" s="108">
        <f>IF($S182="","",INDEX(数据录入!$E$5:$E$4999,$S182)&amp;"")</f>
      </c>
      <c r="F182" s="114">
        <f>IF($S182="","",N(INDEX(数据录入!$F$5:$F$4999,$S182)))</f>
      </c>
      <c r="G182" s="114">
        <f>IF($S182="","",N(INDEX(数据录入!$G$5:$G$4999,$S182)))</f>
      </c>
      <c r="H182" s="114">
        <f>IF($S182="","",$G$2+SUM($F$8:$F182)-SUM($G$8:$G182))</f>
      </c>
      <c r="Q182" s="44">
        <f>IF(数据录入!$B182="",0,IF(OR(数据录入!$D182="投标保证金",数据录入!$D182="合同履约保证金",ISNUMBER(FIND("保证金",数据录入!$E182))),1,0))</f>
      </c>
      <c r="R182" s="44">
        <f>IF(AND($Q182=1,数据录入!$B182&gt;=$B$2,数据录入!$B182&lt;=$D$2),N(R181)+1,N(R181))</f>
      </c>
      <c r="S182" s="44">
        <f>IFERROR(MATCH(175,$R$5:$R$4999,0),"")</f>
      </c>
    </row>
    <row r="183" s="44" customFormat="1" spans="1:23">
      <c r="A183" s="116">
        <f>IF($S183="","",INDEX(数据录入!$B$5:$B$4999,$S183))</f>
      </c>
      <c r="B183" s="44">
        <f>IF($S183="","",INDEX(数据录入!$C$5:$C$4999,$S183)&amp;"")</f>
      </c>
      <c r="C183" s="165">
        <f>IF($S183="","",IF(N($F183)&gt;0,"收款",IF(N($G183)&gt;0,"付款","")))</f>
      </c>
      <c r="D183" s="44">
        <f>IF($S183="","",IF((INDEX(数据录入!$I$5:$I$4999,$S183)&amp;"")&lt;&gt;"",INDEX(数据录入!$I$5:$I$4999,$S183)&amp;"",INDEX(数据录入!$J$5:$J$4999,$S183)&amp;""))</f>
      </c>
      <c r="E183" s="108">
        <f>IF($S183="","",INDEX(数据录入!$E$5:$E$4999,$S183)&amp;"")</f>
      </c>
      <c r="F183" s="114">
        <f>IF($S183="","",N(INDEX(数据录入!$F$5:$F$4999,$S183)))</f>
      </c>
      <c r="G183" s="114">
        <f>IF($S183="","",N(INDEX(数据录入!$G$5:$G$4999,$S183)))</f>
      </c>
      <c r="H183" s="114">
        <f>IF($S183="","",$G$2+SUM($F$8:$F183)-SUM($G$8:$G183))</f>
      </c>
      <c r="Q183" s="44">
        <f>IF(数据录入!$B183="",0,IF(OR(数据录入!$D183="投标保证金",数据录入!$D183="合同履约保证金",ISNUMBER(FIND("保证金",数据录入!$E183))),1,0))</f>
      </c>
      <c r="R183" s="44">
        <f>IF(AND($Q183=1,数据录入!$B183&gt;=$B$2,数据录入!$B183&lt;=$D$2),N(R182)+1,N(R182))</f>
      </c>
      <c r="S183" s="44">
        <f>IFERROR(MATCH(176,$R$5:$R$4999,0),"")</f>
      </c>
    </row>
    <row r="184" s="44" customFormat="1" spans="1:23">
      <c r="A184" s="116">
        <f>IF($S184="","",INDEX(数据录入!$B$5:$B$4999,$S184))</f>
      </c>
      <c r="B184" s="44">
        <f>IF($S184="","",INDEX(数据录入!$C$5:$C$4999,$S184)&amp;"")</f>
      </c>
      <c r="C184" s="165">
        <f>IF($S184="","",IF(N($F184)&gt;0,"收款",IF(N($G184)&gt;0,"付款","")))</f>
      </c>
      <c r="D184" s="44">
        <f>IF($S184="","",IF((INDEX(数据录入!$I$5:$I$4999,$S184)&amp;"")&lt;&gt;"",INDEX(数据录入!$I$5:$I$4999,$S184)&amp;"",INDEX(数据录入!$J$5:$J$4999,$S184)&amp;""))</f>
      </c>
      <c r="E184" s="108">
        <f>IF($S184="","",INDEX(数据录入!$E$5:$E$4999,$S184)&amp;"")</f>
      </c>
      <c r="F184" s="114">
        <f>IF($S184="","",N(INDEX(数据录入!$F$5:$F$4999,$S184)))</f>
      </c>
      <c r="G184" s="114">
        <f>IF($S184="","",N(INDEX(数据录入!$G$5:$G$4999,$S184)))</f>
      </c>
      <c r="H184" s="114">
        <f>IF($S184="","",$G$2+SUM($F$8:$F184)-SUM($G$8:$G184))</f>
      </c>
      <c r="Q184" s="44">
        <f>IF(数据录入!$B184="",0,IF(OR(数据录入!$D184="投标保证金",数据录入!$D184="合同履约保证金",ISNUMBER(FIND("保证金",数据录入!$E184))),1,0))</f>
      </c>
      <c r="R184" s="44">
        <f>IF(AND($Q184=1,数据录入!$B184&gt;=$B$2,数据录入!$B184&lt;=$D$2),N(R183)+1,N(R183))</f>
      </c>
      <c r="S184" s="44">
        <f>IFERROR(MATCH(177,$R$5:$R$4999,0),"")</f>
      </c>
    </row>
    <row r="185" s="44" customFormat="1" spans="1:23">
      <c r="A185" s="116">
        <f>IF($S185="","",INDEX(数据录入!$B$5:$B$4999,$S185))</f>
      </c>
      <c r="B185" s="44">
        <f>IF($S185="","",INDEX(数据录入!$C$5:$C$4999,$S185)&amp;"")</f>
      </c>
      <c r="C185" s="165">
        <f>IF($S185="","",IF(N($F185)&gt;0,"收款",IF(N($G185)&gt;0,"付款","")))</f>
      </c>
      <c r="D185" s="44">
        <f>IF($S185="","",IF((INDEX(数据录入!$I$5:$I$4999,$S185)&amp;"")&lt;&gt;"",INDEX(数据录入!$I$5:$I$4999,$S185)&amp;"",INDEX(数据录入!$J$5:$J$4999,$S185)&amp;""))</f>
      </c>
      <c r="E185" s="108">
        <f>IF($S185="","",INDEX(数据录入!$E$5:$E$4999,$S185)&amp;"")</f>
      </c>
      <c r="F185" s="114">
        <f>IF($S185="","",N(INDEX(数据录入!$F$5:$F$4999,$S185)))</f>
      </c>
      <c r="G185" s="114">
        <f>IF($S185="","",N(INDEX(数据录入!$G$5:$G$4999,$S185)))</f>
      </c>
      <c r="H185" s="114">
        <f>IF($S185="","",$G$2+SUM($F$8:$F185)-SUM($G$8:$G185))</f>
      </c>
      <c r="Q185" s="44">
        <f>IF(数据录入!$B185="",0,IF(OR(数据录入!$D185="投标保证金",数据录入!$D185="合同履约保证金",ISNUMBER(FIND("保证金",数据录入!$E185))),1,0))</f>
      </c>
      <c r="R185" s="44">
        <f>IF(AND($Q185=1,数据录入!$B185&gt;=$B$2,数据录入!$B185&lt;=$D$2),N(R184)+1,N(R184))</f>
      </c>
      <c r="S185" s="44">
        <f>IFERROR(MATCH(178,$R$5:$R$4999,0),"")</f>
      </c>
    </row>
    <row r="186" s="44" customFormat="1" spans="1:23">
      <c r="A186" s="116">
        <f>IF($S186="","",INDEX(数据录入!$B$5:$B$4999,$S186))</f>
      </c>
      <c r="B186" s="44">
        <f>IF($S186="","",INDEX(数据录入!$C$5:$C$4999,$S186)&amp;"")</f>
      </c>
      <c r="C186" s="165">
        <f>IF($S186="","",IF(N($F186)&gt;0,"收款",IF(N($G186)&gt;0,"付款","")))</f>
      </c>
      <c r="D186" s="44">
        <f>IF($S186="","",IF((INDEX(数据录入!$I$5:$I$4999,$S186)&amp;"")&lt;&gt;"",INDEX(数据录入!$I$5:$I$4999,$S186)&amp;"",INDEX(数据录入!$J$5:$J$4999,$S186)&amp;""))</f>
      </c>
      <c r="E186" s="108">
        <f>IF($S186="","",INDEX(数据录入!$E$5:$E$4999,$S186)&amp;"")</f>
      </c>
      <c r="F186" s="114">
        <f>IF($S186="","",N(INDEX(数据录入!$F$5:$F$4999,$S186)))</f>
      </c>
      <c r="G186" s="114">
        <f>IF($S186="","",N(INDEX(数据录入!$G$5:$G$4999,$S186)))</f>
      </c>
      <c r="H186" s="114">
        <f>IF($S186="","",$G$2+SUM($F$8:$F186)-SUM($G$8:$G186))</f>
      </c>
      <c r="Q186" s="44">
        <f>IF(数据录入!$B186="",0,IF(OR(数据录入!$D186="投标保证金",数据录入!$D186="合同履约保证金",ISNUMBER(FIND("保证金",数据录入!$E186))),1,0))</f>
      </c>
      <c r="R186" s="44">
        <f>IF(AND($Q186=1,数据录入!$B186&gt;=$B$2,数据录入!$B186&lt;=$D$2),N(R185)+1,N(R185))</f>
      </c>
      <c r="S186" s="44">
        <f>IFERROR(MATCH(179,$R$5:$R$4999,0),"")</f>
      </c>
    </row>
    <row r="187" s="44" customFormat="1" spans="1:23">
      <c r="A187" s="116">
        <f>IF($S187="","",INDEX(数据录入!$B$5:$B$4999,$S187))</f>
      </c>
      <c r="B187" s="44">
        <f>IF($S187="","",INDEX(数据录入!$C$5:$C$4999,$S187)&amp;"")</f>
      </c>
      <c r="C187" s="165">
        <f>IF($S187="","",IF(N($F187)&gt;0,"收款",IF(N($G187)&gt;0,"付款","")))</f>
      </c>
      <c r="D187" s="44">
        <f>IF($S187="","",IF((INDEX(数据录入!$I$5:$I$4999,$S187)&amp;"")&lt;&gt;"",INDEX(数据录入!$I$5:$I$4999,$S187)&amp;"",INDEX(数据录入!$J$5:$J$4999,$S187)&amp;""))</f>
      </c>
      <c r="E187" s="108">
        <f>IF($S187="","",INDEX(数据录入!$E$5:$E$4999,$S187)&amp;"")</f>
      </c>
      <c r="F187" s="114">
        <f>IF($S187="","",N(INDEX(数据录入!$F$5:$F$4999,$S187)))</f>
      </c>
      <c r="G187" s="114">
        <f>IF($S187="","",N(INDEX(数据录入!$G$5:$G$4999,$S187)))</f>
      </c>
      <c r="H187" s="114">
        <f>IF($S187="","",$G$2+SUM($F$8:$F187)-SUM($G$8:$G187))</f>
      </c>
      <c r="Q187" s="44">
        <f>IF(数据录入!$B187="",0,IF(OR(数据录入!$D187="投标保证金",数据录入!$D187="合同履约保证金",ISNUMBER(FIND("保证金",数据录入!$E187))),1,0))</f>
      </c>
      <c r="R187" s="44">
        <f>IF(AND($Q187=1,数据录入!$B187&gt;=$B$2,数据录入!$B187&lt;=$D$2),N(R186)+1,N(R186))</f>
      </c>
      <c r="S187" s="44">
        <f>IFERROR(MATCH(180,$R$5:$R$4999,0),"")</f>
      </c>
    </row>
    <row r="188" s="44" customFormat="1" spans="1:23">
      <c r="A188" s="116">
        <f>IF($S188="","",INDEX(数据录入!$B$5:$B$4999,$S188))</f>
      </c>
      <c r="B188" s="44">
        <f>IF($S188="","",INDEX(数据录入!$C$5:$C$4999,$S188)&amp;"")</f>
      </c>
      <c r="C188" s="165">
        <f>IF($S188="","",IF(N($F188)&gt;0,"收款",IF(N($G188)&gt;0,"付款","")))</f>
      </c>
      <c r="D188" s="44">
        <f>IF($S188="","",IF((INDEX(数据录入!$I$5:$I$4999,$S188)&amp;"")&lt;&gt;"",INDEX(数据录入!$I$5:$I$4999,$S188)&amp;"",INDEX(数据录入!$J$5:$J$4999,$S188)&amp;""))</f>
      </c>
      <c r="E188" s="108">
        <f>IF($S188="","",INDEX(数据录入!$E$5:$E$4999,$S188)&amp;"")</f>
      </c>
      <c r="F188" s="114">
        <f>IF($S188="","",N(INDEX(数据录入!$F$5:$F$4999,$S188)))</f>
      </c>
      <c r="G188" s="114">
        <f>IF($S188="","",N(INDEX(数据录入!$G$5:$G$4999,$S188)))</f>
      </c>
      <c r="H188" s="114">
        <f>IF($S188="","",$G$2+SUM($F$8:$F188)-SUM($G$8:$G188))</f>
      </c>
      <c r="Q188" s="44">
        <f>IF(数据录入!$B188="",0,IF(OR(数据录入!$D188="投标保证金",数据录入!$D188="合同履约保证金",ISNUMBER(FIND("保证金",数据录入!$E188))),1,0))</f>
      </c>
      <c r="R188" s="44">
        <f>IF(AND($Q188=1,数据录入!$B188&gt;=$B$2,数据录入!$B188&lt;=$D$2),N(R187)+1,N(R187))</f>
      </c>
      <c r="S188" s="44">
        <f>IFERROR(MATCH(181,$R$5:$R$4999,0),"")</f>
      </c>
    </row>
    <row r="189" s="44" customFormat="1" spans="1:23">
      <c r="A189" s="116">
        <f>IF($S189="","",INDEX(数据录入!$B$5:$B$4999,$S189))</f>
      </c>
      <c r="B189" s="44">
        <f>IF($S189="","",INDEX(数据录入!$C$5:$C$4999,$S189)&amp;"")</f>
      </c>
      <c r="C189" s="165">
        <f>IF($S189="","",IF(N($F189)&gt;0,"收款",IF(N($G189)&gt;0,"付款","")))</f>
      </c>
      <c r="D189" s="44">
        <f>IF($S189="","",IF((INDEX(数据录入!$I$5:$I$4999,$S189)&amp;"")&lt;&gt;"",INDEX(数据录入!$I$5:$I$4999,$S189)&amp;"",INDEX(数据录入!$J$5:$J$4999,$S189)&amp;""))</f>
      </c>
      <c r="E189" s="108">
        <f>IF($S189="","",INDEX(数据录入!$E$5:$E$4999,$S189)&amp;"")</f>
      </c>
      <c r="F189" s="114">
        <f>IF($S189="","",N(INDEX(数据录入!$F$5:$F$4999,$S189)))</f>
      </c>
      <c r="G189" s="114">
        <f>IF($S189="","",N(INDEX(数据录入!$G$5:$G$4999,$S189)))</f>
      </c>
      <c r="H189" s="114">
        <f>IF($S189="","",$G$2+SUM($F$8:$F189)-SUM($G$8:$G189))</f>
      </c>
      <c r="Q189" s="44">
        <f>IF(数据录入!$B189="",0,IF(OR(数据录入!$D189="投标保证金",数据录入!$D189="合同履约保证金",ISNUMBER(FIND("保证金",数据录入!$E189))),1,0))</f>
      </c>
      <c r="R189" s="44">
        <f>IF(AND($Q189=1,数据录入!$B189&gt;=$B$2,数据录入!$B189&lt;=$D$2),N(R188)+1,N(R188))</f>
      </c>
      <c r="S189" s="44">
        <f>IFERROR(MATCH(182,$R$5:$R$4999,0),"")</f>
      </c>
    </row>
    <row r="190" s="44" customFormat="1" spans="1:23">
      <c r="A190" s="116">
        <f>IF($S190="","",INDEX(数据录入!$B$5:$B$4999,$S190))</f>
      </c>
      <c r="B190" s="44">
        <f>IF($S190="","",INDEX(数据录入!$C$5:$C$4999,$S190)&amp;"")</f>
      </c>
      <c r="C190" s="165">
        <f>IF($S190="","",IF(N($F190)&gt;0,"收款",IF(N($G190)&gt;0,"付款","")))</f>
      </c>
      <c r="D190" s="44">
        <f>IF($S190="","",IF((INDEX(数据录入!$I$5:$I$4999,$S190)&amp;"")&lt;&gt;"",INDEX(数据录入!$I$5:$I$4999,$S190)&amp;"",INDEX(数据录入!$J$5:$J$4999,$S190)&amp;""))</f>
      </c>
      <c r="E190" s="108">
        <f>IF($S190="","",INDEX(数据录入!$E$5:$E$4999,$S190)&amp;"")</f>
      </c>
      <c r="F190" s="114">
        <f>IF($S190="","",N(INDEX(数据录入!$F$5:$F$4999,$S190)))</f>
      </c>
      <c r="G190" s="114">
        <f>IF($S190="","",N(INDEX(数据录入!$G$5:$G$4999,$S190)))</f>
      </c>
      <c r="H190" s="114">
        <f>IF($S190="","",$G$2+SUM($F$8:$F190)-SUM($G$8:$G190))</f>
      </c>
      <c r="Q190" s="44">
        <f>IF(数据录入!$B190="",0,IF(OR(数据录入!$D190="投标保证金",数据录入!$D190="合同履约保证金",ISNUMBER(FIND("保证金",数据录入!$E190))),1,0))</f>
      </c>
      <c r="R190" s="44">
        <f>IF(AND($Q190=1,数据录入!$B190&gt;=$B$2,数据录入!$B190&lt;=$D$2),N(R189)+1,N(R189))</f>
      </c>
      <c r="S190" s="44">
        <f>IFERROR(MATCH(183,$R$5:$R$4999,0),"")</f>
      </c>
    </row>
    <row r="191" s="44" customFormat="1" spans="1:23">
      <c r="A191" s="116">
        <f>IF($S191="","",INDEX(数据录入!$B$5:$B$4999,$S191))</f>
      </c>
      <c r="B191" s="44">
        <f>IF($S191="","",INDEX(数据录入!$C$5:$C$4999,$S191)&amp;"")</f>
      </c>
      <c r="C191" s="165">
        <f>IF($S191="","",IF(N($F191)&gt;0,"收款",IF(N($G191)&gt;0,"付款","")))</f>
      </c>
      <c r="D191" s="44">
        <f>IF($S191="","",IF((INDEX(数据录入!$I$5:$I$4999,$S191)&amp;"")&lt;&gt;"",INDEX(数据录入!$I$5:$I$4999,$S191)&amp;"",INDEX(数据录入!$J$5:$J$4999,$S191)&amp;""))</f>
      </c>
      <c r="E191" s="108">
        <f>IF($S191="","",INDEX(数据录入!$E$5:$E$4999,$S191)&amp;"")</f>
      </c>
      <c r="F191" s="114">
        <f>IF($S191="","",N(INDEX(数据录入!$F$5:$F$4999,$S191)))</f>
      </c>
      <c r="G191" s="114">
        <f>IF($S191="","",N(INDEX(数据录入!$G$5:$G$4999,$S191)))</f>
      </c>
      <c r="H191" s="114">
        <f>IF($S191="","",$G$2+SUM($F$8:$F191)-SUM($G$8:$G191))</f>
      </c>
      <c r="Q191" s="44">
        <f>IF(数据录入!$B191="",0,IF(OR(数据录入!$D191="投标保证金",数据录入!$D191="合同履约保证金",ISNUMBER(FIND("保证金",数据录入!$E191))),1,0))</f>
      </c>
      <c r="R191" s="44">
        <f>IF(AND($Q191=1,数据录入!$B191&gt;=$B$2,数据录入!$B191&lt;=$D$2),N(R190)+1,N(R190))</f>
      </c>
      <c r="S191" s="44">
        <f>IFERROR(MATCH(184,$R$5:$R$4999,0),"")</f>
      </c>
    </row>
    <row r="192" s="44" customFormat="1" spans="1:23">
      <c r="A192" s="116">
        <f>IF($S192="","",INDEX(数据录入!$B$5:$B$4999,$S192))</f>
      </c>
      <c r="B192" s="44">
        <f>IF($S192="","",INDEX(数据录入!$C$5:$C$4999,$S192)&amp;"")</f>
      </c>
      <c r="C192" s="165">
        <f>IF($S192="","",IF(N($F192)&gt;0,"收款",IF(N($G192)&gt;0,"付款","")))</f>
      </c>
      <c r="D192" s="44">
        <f>IF($S192="","",IF((INDEX(数据录入!$I$5:$I$4999,$S192)&amp;"")&lt;&gt;"",INDEX(数据录入!$I$5:$I$4999,$S192)&amp;"",INDEX(数据录入!$J$5:$J$4999,$S192)&amp;""))</f>
      </c>
      <c r="E192" s="108">
        <f>IF($S192="","",INDEX(数据录入!$E$5:$E$4999,$S192)&amp;"")</f>
      </c>
      <c r="F192" s="114">
        <f>IF($S192="","",N(INDEX(数据录入!$F$5:$F$4999,$S192)))</f>
      </c>
      <c r="G192" s="114">
        <f>IF($S192="","",N(INDEX(数据录入!$G$5:$G$4999,$S192)))</f>
      </c>
      <c r="H192" s="114">
        <f>IF($S192="","",$G$2+SUM($F$8:$F192)-SUM($G$8:$G192))</f>
      </c>
      <c r="Q192" s="44">
        <f>IF(数据录入!$B192="",0,IF(OR(数据录入!$D192="投标保证金",数据录入!$D192="合同履约保证金",ISNUMBER(FIND("保证金",数据录入!$E192))),1,0))</f>
      </c>
      <c r="R192" s="44">
        <f>IF(AND($Q192=1,数据录入!$B192&gt;=$B$2,数据录入!$B192&lt;=$D$2),N(R191)+1,N(R191))</f>
      </c>
      <c r="S192" s="44">
        <f>IFERROR(MATCH(185,$R$5:$R$4999,0),"")</f>
      </c>
    </row>
    <row r="193" s="44" customFormat="1" spans="1:23">
      <c r="A193" s="116">
        <f>IF($S193="","",INDEX(数据录入!$B$5:$B$4999,$S193))</f>
      </c>
      <c r="B193" s="44">
        <f>IF($S193="","",INDEX(数据录入!$C$5:$C$4999,$S193)&amp;"")</f>
      </c>
      <c r="C193" s="165">
        <f>IF($S193="","",IF(N($F193)&gt;0,"收款",IF(N($G193)&gt;0,"付款","")))</f>
      </c>
      <c r="D193" s="44">
        <f>IF($S193="","",IF((INDEX(数据录入!$I$5:$I$4999,$S193)&amp;"")&lt;&gt;"",INDEX(数据录入!$I$5:$I$4999,$S193)&amp;"",INDEX(数据录入!$J$5:$J$4999,$S193)&amp;""))</f>
      </c>
      <c r="E193" s="108">
        <f>IF($S193="","",INDEX(数据录入!$E$5:$E$4999,$S193)&amp;"")</f>
      </c>
      <c r="F193" s="114">
        <f>IF($S193="","",N(INDEX(数据录入!$F$5:$F$4999,$S193)))</f>
      </c>
      <c r="G193" s="114">
        <f>IF($S193="","",N(INDEX(数据录入!$G$5:$G$4999,$S193)))</f>
      </c>
      <c r="H193" s="114">
        <f>IF($S193="","",$G$2+SUM($F$8:$F193)-SUM($G$8:$G193))</f>
      </c>
      <c r="Q193" s="44">
        <f>IF(数据录入!$B193="",0,IF(OR(数据录入!$D193="投标保证金",数据录入!$D193="合同履约保证金",ISNUMBER(FIND("保证金",数据录入!$E193))),1,0))</f>
      </c>
      <c r="R193" s="44">
        <f>IF(AND($Q193=1,数据录入!$B193&gt;=$B$2,数据录入!$B193&lt;=$D$2),N(R192)+1,N(R192))</f>
      </c>
      <c r="S193" s="44">
        <f>IFERROR(MATCH(186,$R$5:$R$4999,0),"")</f>
      </c>
    </row>
    <row r="194" s="44" customFormat="1" spans="1:23">
      <c r="A194" s="116">
        <f>IF($S194="","",INDEX(数据录入!$B$5:$B$4999,$S194))</f>
      </c>
      <c r="B194" s="44">
        <f>IF($S194="","",INDEX(数据录入!$C$5:$C$4999,$S194)&amp;"")</f>
      </c>
      <c r="C194" s="165">
        <f>IF($S194="","",IF(N($F194)&gt;0,"收款",IF(N($G194)&gt;0,"付款","")))</f>
      </c>
      <c r="D194" s="44">
        <f>IF($S194="","",IF((INDEX(数据录入!$I$5:$I$4999,$S194)&amp;"")&lt;&gt;"",INDEX(数据录入!$I$5:$I$4999,$S194)&amp;"",INDEX(数据录入!$J$5:$J$4999,$S194)&amp;""))</f>
      </c>
      <c r="E194" s="108">
        <f>IF($S194="","",INDEX(数据录入!$E$5:$E$4999,$S194)&amp;"")</f>
      </c>
      <c r="F194" s="114">
        <f>IF($S194="","",N(INDEX(数据录入!$F$5:$F$4999,$S194)))</f>
      </c>
      <c r="G194" s="114">
        <f>IF($S194="","",N(INDEX(数据录入!$G$5:$G$4999,$S194)))</f>
      </c>
      <c r="H194" s="114">
        <f>IF($S194="","",$G$2+SUM($F$8:$F194)-SUM($G$8:$G194))</f>
      </c>
      <c r="Q194" s="44">
        <f>IF(数据录入!$B194="",0,IF(OR(数据录入!$D194="投标保证金",数据录入!$D194="合同履约保证金",ISNUMBER(FIND("保证金",数据录入!$E194))),1,0))</f>
      </c>
      <c r="R194" s="44">
        <f>IF(AND($Q194=1,数据录入!$B194&gt;=$B$2,数据录入!$B194&lt;=$D$2),N(R193)+1,N(R193))</f>
      </c>
      <c r="S194" s="44">
        <f>IFERROR(MATCH(187,$R$5:$R$4999,0),"")</f>
      </c>
    </row>
    <row r="195" s="44" customFormat="1" spans="1:23">
      <c r="A195" s="116">
        <f>IF($S195="","",INDEX(数据录入!$B$5:$B$4999,$S195))</f>
      </c>
      <c r="B195" s="44">
        <f>IF($S195="","",INDEX(数据录入!$C$5:$C$4999,$S195)&amp;"")</f>
      </c>
      <c r="C195" s="165">
        <f>IF($S195="","",IF(N($F195)&gt;0,"收款",IF(N($G195)&gt;0,"付款","")))</f>
      </c>
      <c r="D195" s="44">
        <f>IF($S195="","",IF((INDEX(数据录入!$I$5:$I$4999,$S195)&amp;"")&lt;&gt;"",INDEX(数据录入!$I$5:$I$4999,$S195)&amp;"",INDEX(数据录入!$J$5:$J$4999,$S195)&amp;""))</f>
      </c>
      <c r="E195" s="108">
        <f>IF($S195="","",INDEX(数据录入!$E$5:$E$4999,$S195)&amp;"")</f>
      </c>
      <c r="F195" s="114">
        <f>IF($S195="","",N(INDEX(数据录入!$F$5:$F$4999,$S195)))</f>
      </c>
      <c r="G195" s="114">
        <f>IF($S195="","",N(INDEX(数据录入!$G$5:$G$4999,$S195)))</f>
      </c>
      <c r="H195" s="114">
        <f>IF($S195="","",$G$2+SUM($F$8:$F195)-SUM($G$8:$G195))</f>
      </c>
      <c r="Q195" s="44">
        <f>IF(数据录入!$B195="",0,IF(OR(数据录入!$D195="投标保证金",数据录入!$D195="合同履约保证金",ISNUMBER(FIND("保证金",数据录入!$E195))),1,0))</f>
      </c>
      <c r="R195" s="44">
        <f>IF(AND($Q195=1,数据录入!$B195&gt;=$B$2,数据录入!$B195&lt;=$D$2),N(R194)+1,N(R194))</f>
      </c>
      <c r="S195" s="44">
        <f>IFERROR(MATCH(188,$R$5:$R$4999,0),"")</f>
      </c>
    </row>
    <row r="196" s="44" customFormat="1" spans="1:23">
      <c r="A196" s="116">
        <f>IF($S196="","",INDEX(数据录入!$B$5:$B$4999,$S196))</f>
      </c>
      <c r="B196" s="44">
        <f>IF($S196="","",INDEX(数据录入!$C$5:$C$4999,$S196)&amp;"")</f>
      </c>
      <c r="C196" s="165">
        <f>IF($S196="","",IF(N($F196)&gt;0,"收款",IF(N($G196)&gt;0,"付款","")))</f>
      </c>
      <c r="D196" s="44">
        <f>IF($S196="","",IF((INDEX(数据录入!$I$5:$I$4999,$S196)&amp;"")&lt;&gt;"",INDEX(数据录入!$I$5:$I$4999,$S196)&amp;"",INDEX(数据录入!$J$5:$J$4999,$S196)&amp;""))</f>
      </c>
      <c r="E196" s="108">
        <f>IF($S196="","",INDEX(数据录入!$E$5:$E$4999,$S196)&amp;"")</f>
      </c>
      <c r="F196" s="114">
        <f>IF($S196="","",N(INDEX(数据录入!$F$5:$F$4999,$S196)))</f>
      </c>
      <c r="G196" s="114">
        <f>IF($S196="","",N(INDEX(数据录入!$G$5:$G$4999,$S196)))</f>
      </c>
      <c r="H196" s="114">
        <f>IF($S196="","",$G$2+SUM($F$8:$F196)-SUM($G$8:$G196))</f>
      </c>
      <c r="Q196" s="44">
        <f>IF(数据录入!$B196="",0,IF(OR(数据录入!$D196="投标保证金",数据录入!$D196="合同履约保证金",ISNUMBER(FIND("保证金",数据录入!$E196))),1,0))</f>
      </c>
      <c r="R196" s="44">
        <f>IF(AND($Q196=1,数据录入!$B196&gt;=$B$2,数据录入!$B196&lt;=$D$2),N(R195)+1,N(R195))</f>
      </c>
      <c r="S196" s="44">
        <f>IFERROR(MATCH(189,$R$5:$R$4999,0),"")</f>
      </c>
    </row>
    <row r="197" s="44" customFormat="1" spans="1:23">
      <c r="A197" s="116">
        <f>IF($S197="","",INDEX(数据录入!$B$5:$B$4999,$S197))</f>
      </c>
      <c r="B197" s="44">
        <f>IF($S197="","",INDEX(数据录入!$C$5:$C$4999,$S197)&amp;"")</f>
      </c>
      <c r="C197" s="165">
        <f>IF($S197="","",IF(N($F197)&gt;0,"收款",IF(N($G197)&gt;0,"付款","")))</f>
      </c>
      <c r="D197" s="44">
        <f>IF($S197="","",IF((INDEX(数据录入!$I$5:$I$4999,$S197)&amp;"")&lt;&gt;"",INDEX(数据录入!$I$5:$I$4999,$S197)&amp;"",INDEX(数据录入!$J$5:$J$4999,$S197)&amp;""))</f>
      </c>
      <c r="E197" s="108">
        <f>IF($S197="","",INDEX(数据录入!$E$5:$E$4999,$S197)&amp;"")</f>
      </c>
      <c r="F197" s="114">
        <f>IF($S197="","",N(INDEX(数据录入!$F$5:$F$4999,$S197)))</f>
      </c>
      <c r="G197" s="114">
        <f>IF($S197="","",N(INDEX(数据录入!$G$5:$G$4999,$S197)))</f>
      </c>
      <c r="H197" s="114">
        <f>IF($S197="","",$G$2+SUM($F$8:$F197)-SUM($G$8:$G197))</f>
      </c>
      <c r="Q197" s="44">
        <f>IF(数据录入!$B197="",0,IF(OR(数据录入!$D197="投标保证金",数据录入!$D197="合同履约保证金",ISNUMBER(FIND("保证金",数据录入!$E197))),1,0))</f>
      </c>
      <c r="R197" s="44">
        <f>IF(AND($Q197=1,数据录入!$B197&gt;=$B$2,数据录入!$B197&lt;=$D$2),N(R196)+1,N(R196))</f>
      </c>
      <c r="S197" s="44">
        <f>IFERROR(MATCH(190,$R$5:$R$4999,0),"")</f>
      </c>
    </row>
    <row r="198" s="44" customFormat="1" spans="1:23">
      <c r="A198" s="116">
        <f>IF($S198="","",INDEX(数据录入!$B$5:$B$4999,$S198))</f>
      </c>
      <c r="B198" s="44">
        <f>IF($S198="","",INDEX(数据录入!$C$5:$C$4999,$S198)&amp;"")</f>
      </c>
      <c r="C198" s="165">
        <f>IF($S198="","",IF(N($F198)&gt;0,"收款",IF(N($G198)&gt;0,"付款","")))</f>
      </c>
      <c r="D198" s="44">
        <f>IF($S198="","",IF((INDEX(数据录入!$I$5:$I$4999,$S198)&amp;"")&lt;&gt;"",INDEX(数据录入!$I$5:$I$4999,$S198)&amp;"",INDEX(数据录入!$J$5:$J$4999,$S198)&amp;""))</f>
      </c>
      <c r="E198" s="108">
        <f>IF($S198="","",INDEX(数据录入!$E$5:$E$4999,$S198)&amp;"")</f>
      </c>
      <c r="F198" s="114">
        <f>IF($S198="","",N(INDEX(数据录入!$F$5:$F$4999,$S198)))</f>
      </c>
      <c r="G198" s="114">
        <f>IF($S198="","",N(INDEX(数据录入!$G$5:$G$4999,$S198)))</f>
      </c>
      <c r="H198" s="114">
        <f>IF($S198="","",$G$2+SUM($F$8:$F198)-SUM($G$8:$G198))</f>
      </c>
      <c r="Q198" s="44">
        <f>IF(数据录入!$B198="",0,IF(OR(数据录入!$D198="投标保证金",数据录入!$D198="合同履约保证金",ISNUMBER(FIND("保证金",数据录入!$E198))),1,0))</f>
      </c>
      <c r="R198" s="44">
        <f>IF(AND($Q198=1,数据录入!$B198&gt;=$B$2,数据录入!$B198&lt;=$D$2),N(R197)+1,N(R197))</f>
      </c>
      <c r="S198" s="44">
        <f>IFERROR(MATCH(191,$R$5:$R$4999,0),"")</f>
      </c>
    </row>
    <row r="199" s="44" customFormat="1" spans="1:23">
      <c r="A199" s="116">
        <f>IF($S199="","",INDEX(数据录入!$B$5:$B$4999,$S199))</f>
      </c>
      <c r="B199" s="44">
        <f>IF($S199="","",INDEX(数据录入!$C$5:$C$4999,$S199)&amp;"")</f>
      </c>
      <c r="C199" s="165">
        <f>IF($S199="","",IF(N($F199)&gt;0,"收款",IF(N($G199)&gt;0,"付款","")))</f>
      </c>
      <c r="D199" s="44">
        <f>IF($S199="","",IF((INDEX(数据录入!$I$5:$I$4999,$S199)&amp;"")&lt;&gt;"",INDEX(数据录入!$I$5:$I$4999,$S199)&amp;"",INDEX(数据录入!$J$5:$J$4999,$S199)&amp;""))</f>
      </c>
      <c r="E199" s="108">
        <f>IF($S199="","",INDEX(数据录入!$E$5:$E$4999,$S199)&amp;"")</f>
      </c>
      <c r="F199" s="114">
        <f>IF($S199="","",N(INDEX(数据录入!$F$5:$F$4999,$S199)))</f>
      </c>
      <c r="G199" s="114">
        <f>IF($S199="","",N(INDEX(数据录入!$G$5:$G$4999,$S199)))</f>
      </c>
      <c r="H199" s="114">
        <f>IF($S199="","",$G$2+SUM($F$8:$F199)-SUM($G$8:$G199))</f>
      </c>
      <c r="Q199" s="44">
        <f>IF(数据录入!$B199="",0,IF(OR(数据录入!$D199="投标保证金",数据录入!$D199="合同履约保证金",ISNUMBER(FIND("保证金",数据录入!$E199))),1,0))</f>
      </c>
      <c r="R199" s="44">
        <f>IF(AND($Q199=1,数据录入!$B199&gt;=$B$2,数据录入!$B199&lt;=$D$2),N(R198)+1,N(R198))</f>
      </c>
      <c r="S199" s="44">
        <f>IFERROR(MATCH(192,$R$5:$R$4999,0),"")</f>
      </c>
    </row>
    <row r="200" s="44" customFormat="1" spans="1:23">
      <c r="A200" s="116">
        <f>IF($S200="","",INDEX(数据录入!$B$5:$B$4999,$S200))</f>
      </c>
      <c r="B200" s="44">
        <f>IF($S200="","",INDEX(数据录入!$C$5:$C$4999,$S200)&amp;"")</f>
      </c>
      <c r="C200" s="165">
        <f>IF($S200="","",IF(N($F200)&gt;0,"收款",IF(N($G200)&gt;0,"付款","")))</f>
      </c>
      <c r="D200" s="44">
        <f>IF($S200="","",IF((INDEX(数据录入!$I$5:$I$4999,$S200)&amp;"")&lt;&gt;"",INDEX(数据录入!$I$5:$I$4999,$S200)&amp;"",INDEX(数据录入!$J$5:$J$4999,$S200)&amp;""))</f>
      </c>
      <c r="E200" s="108">
        <f>IF($S200="","",INDEX(数据录入!$E$5:$E$4999,$S200)&amp;"")</f>
      </c>
      <c r="F200" s="114">
        <f>IF($S200="","",N(INDEX(数据录入!$F$5:$F$4999,$S200)))</f>
      </c>
      <c r="G200" s="114">
        <f>IF($S200="","",N(INDEX(数据录入!$G$5:$G$4999,$S200)))</f>
      </c>
      <c r="H200" s="114">
        <f>IF($S200="","",$G$2+SUM($F$8:$F200)-SUM($G$8:$G200))</f>
      </c>
      <c r="Q200" s="44">
        <f>IF(数据录入!$B200="",0,IF(OR(数据录入!$D200="投标保证金",数据录入!$D200="合同履约保证金",ISNUMBER(FIND("保证金",数据录入!$E200))),1,0))</f>
      </c>
      <c r="R200" s="44">
        <f>IF(AND($Q200=1,数据录入!$B200&gt;=$B$2,数据录入!$B200&lt;=$D$2),N(R199)+1,N(R199))</f>
      </c>
      <c r="S200" s="44">
        <f>IFERROR(MATCH(193,$R$5:$R$4999,0),"")</f>
      </c>
    </row>
    <row r="201" s="44" customFormat="1" spans="1:23">
      <c r="A201" s="116">
        <f>IF($S201="","",INDEX(数据录入!$B$5:$B$4999,$S201))</f>
      </c>
      <c r="B201" s="44">
        <f>IF($S201="","",INDEX(数据录入!$C$5:$C$4999,$S201)&amp;"")</f>
      </c>
      <c r="C201" s="165">
        <f>IF($S201="","",IF(N($F201)&gt;0,"收款",IF(N($G201)&gt;0,"付款","")))</f>
      </c>
      <c r="D201" s="44">
        <f>IF($S201="","",IF((INDEX(数据录入!$I$5:$I$4999,$S201)&amp;"")&lt;&gt;"",INDEX(数据录入!$I$5:$I$4999,$S201)&amp;"",INDEX(数据录入!$J$5:$J$4999,$S201)&amp;""))</f>
      </c>
      <c r="E201" s="108">
        <f>IF($S201="","",INDEX(数据录入!$E$5:$E$4999,$S201)&amp;"")</f>
      </c>
      <c r="F201" s="114">
        <f>IF($S201="","",N(INDEX(数据录入!$F$5:$F$4999,$S201)))</f>
      </c>
      <c r="G201" s="114">
        <f>IF($S201="","",N(INDEX(数据录入!$G$5:$G$4999,$S201)))</f>
      </c>
      <c r="H201" s="114">
        <f>IF($S201="","",$G$2+SUM($F$8:$F201)-SUM($G$8:$G201))</f>
      </c>
      <c r="Q201" s="44">
        <f>IF(数据录入!$B201="",0,IF(OR(数据录入!$D201="投标保证金",数据录入!$D201="合同履约保证金",ISNUMBER(FIND("保证金",数据录入!$E201))),1,0))</f>
      </c>
      <c r="R201" s="44">
        <f>IF(AND($Q201=1,数据录入!$B201&gt;=$B$2,数据录入!$B201&lt;=$D$2),N(R200)+1,N(R200))</f>
      </c>
      <c r="S201" s="44">
        <f>IFERROR(MATCH(194,$R$5:$R$4999,0),"")</f>
      </c>
    </row>
    <row r="202" s="44" customFormat="1" spans="1:23">
      <c r="A202" s="116">
        <f>IF($S202="","",INDEX(数据录入!$B$5:$B$4999,$S202))</f>
      </c>
      <c r="B202" s="44">
        <f>IF($S202="","",INDEX(数据录入!$C$5:$C$4999,$S202)&amp;"")</f>
      </c>
      <c r="C202" s="165">
        <f>IF($S202="","",IF(N($F202)&gt;0,"收款",IF(N($G202)&gt;0,"付款","")))</f>
      </c>
      <c r="D202" s="44">
        <f>IF($S202="","",IF((INDEX(数据录入!$I$5:$I$4999,$S202)&amp;"")&lt;&gt;"",INDEX(数据录入!$I$5:$I$4999,$S202)&amp;"",INDEX(数据录入!$J$5:$J$4999,$S202)&amp;""))</f>
      </c>
      <c r="E202" s="108">
        <f>IF($S202="","",INDEX(数据录入!$E$5:$E$4999,$S202)&amp;"")</f>
      </c>
      <c r="F202" s="114">
        <f>IF($S202="","",N(INDEX(数据录入!$F$5:$F$4999,$S202)))</f>
      </c>
      <c r="G202" s="114">
        <f>IF($S202="","",N(INDEX(数据录入!$G$5:$G$4999,$S202)))</f>
      </c>
      <c r="H202" s="114">
        <f>IF($S202="","",$G$2+SUM($F$8:$F202)-SUM($G$8:$G202))</f>
      </c>
      <c r="Q202" s="44">
        <f>IF(数据录入!$B202="",0,IF(OR(数据录入!$D202="投标保证金",数据录入!$D202="合同履约保证金",ISNUMBER(FIND("保证金",数据录入!$E202))),1,0))</f>
      </c>
      <c r="R202" s="44">
        <f>IF(AND($Q202=1,数据录入!$B202&gt;=$B$2,数据录入!$B202&lt;=$D$2),N(R201)+1,N(R201))</f>
      </c>
      <c r="S202" s="44">
        <f>IFERROR(MATCH(195,$R$5:$R$4999,0),"")</f>
      </c>
    </row>
    <row r="203" s="44" customFormat="1" spans="1:23">
      <c r="A203" s="116">
        <f>IF($S203="","",INDEX(数据录入!$B$5:$B$4999,$S203))</f>
      </c>
      <c r="B203" s="44">
        <f>IF($S203="","",INDEX(数据录入!$C$5:$C$4999,$S203)&amp;"")</f>
      </c>
      <c r="C203" s="165">
        <f>IF($S203="","",IF(N($F203)&gt;0,"收款",IF(N($G203)&gt;0,"付款","")))</f>
      </c>
      <c r="D203" s="44">
        <f>IF($S203="","",IF((INDEX(数据录入!$I$5:$I$4999,$S203)&amp;"")&lt;&gt;"",INDEX(数据录入!$I$5:$I$4999,$S203)&amp;"",INDEX(数据录入!$J$5:$J$4999,$S203)&amp;""))</f>
      </c>
      <c r="E203" s="108">
        <f>IF($S203="","",INDEX(数据录入!$E$5:$E$4999,$S203)&amp;"")</f>
      </c>
      <c r="F203" s="114">
        <f>IF($S203="","",N(INDEX(数据录入!$F$5:$F$4999,$S203)))</f>
      </c>
      <c r="G203" s="114">
        <f>IF($S203="","",N(INDEX(数据录入!$G$5:$G$4999,$S203)))</f>
      </c>
      <c r="H203" s="114">
        <f>IF($S203="","",$G$2+SUM($F$8:$F203)-SUM($G$8:$G203))</f>
      </c>
      <c r="Q203" s="44">
        <f>IF(数据录入!$B203="",0,IF(OR(数据录入!$D203="投标保证金",数据录入!$D203="合同履约保证金",ISNUMBER(FIND("保证金",数据录入!$E203))),1,0))</f>
      </c>
      <c r="R203" s="44">
        <f>IF(AND($Q203=1,数据录入!$B203&gt;=$B$2,数据录入!$B203&lt;=$D$2),N(R202)+1,N(R202))</f>
      </c>
      <c r="S203" s="44">
        <f>IFERROR(MATCH(196,$R$5:$R$4999,0),"")</f>
      </c>
    </row>
    <row r="204" s="44" customFormat="1" spans="1:23">
      <c r="A204" s="116">
        <f>IF($S204="","",INDEX(数据录入!$B$5:$B$4999,$S204))</f>
      </c>
      <c r="B204" s="44">
        <f>IF($S204="","",INDEX(数据录入!$C$5:$C$4999,$S204)&amp;"")</f>
      </c>
      <c r="C204" s="165">
        <f>IF($S204="","",IF(N($F204)&gt;0,"收款",IF(N($G204)&gt;0,"付款","")))</f>
      </c>
      <c r="D204" s="44">
        <f>IF($S204="","",IF((INDEX(数据录入!$I$5:$I$4999,$S204)&amp;"")&lt;&gt;"",INDEX(数据录入!$I$5:$I$4999,$S204)&amp;"",INDEX(数据录入!$J$5:$J$4999,$S204)&amp;""))</f>
      </c>
      <c r="E204" s="108">
        <f>IF($S204="","",INDEX(数据录入!$E$5:$E$4999,$S204)&amp;"")</f>
      </c>
      <c r="F204" s="114">
        <f>IF($S204="","",N(INDEX(数据录入!$F$5:$F$4999,$S204)))</f>
      </c>
      <c r="G204" s="114">
        <f>IF($S204="","",N(INDEX(数据录入!$G$5:$G$4999,$S204)))</f>
      </c>
      <c r="H204" s="114">
        <f>IF($S204="","",$G$2+SUM($F$8:$F204)-SUM($G$8:$G204))</f>
      </c>
      <c r="Q204" s="44">
        <f>IF(数据录入!$B204="",0,IF(OR(数据录入!$D204="投标保证金",数据录入!$D204="合同履约保证金",ISNUMBER(FIND("保证金",数据录入!$E204))),1,0))</f>
      </c>
      <c r="R204" s="44">
        <f>IF(AND($Q204=1,数据录入!$B204&gt;=$B$2,数据录入!$B204&lt;=$D$2),N(R203)+1,N(R203))</f>
      </c>
      <c r="S204" s="44">
        <f>IFERROR(MATCH(197,$R$5:$R$4999,0),"")</f>
      </c>
    </row>
    <row r="205" s="44" customFormat="1" spans="1:23">
      <c r="A205" s="116">
        <f>IF($S205="","",INDEX(数据录入!$B$5:$B$4999,$S205))</f>
      </c>
      <c r="B205" s="44">
        <f>IF($S205="","",INDEX(数据录入!$C$5:$C$4999,$S205)&amp;"")</f>
      </c>
      <c r="C205" s="165">
        <f>IF($S205="","",IF(N($F205)&gt;0,"收款",IF(N($G205)&gt;0,"付款","")))</f>
      </c>
      <c r="D205" s="44">
        <f>IF($S205="","",IF((INDEX(数据录入!$I$5:$I$4999,$S205)&amp;"")&lt;&gt;"",INDEX(数据录入!$I$5:$I$4999,$S205)&amp;"",INDEX(数据录入!$J$5:$J$4999,$S205)&amp;""))</f>
      </c>
      <c r="E205" s="108">
        <f>IF($S205="","",INDEX(数据录入!$E$5:$E$4999,$S205)&amp;"")</f>
      </c>
      <c r="F205" s="114">
        <f>IF($S205="","",N(INDEX(数据录入!$F$5:$F$4999,$S205)))</f>
      </c>
      <c r="G205" s="114">
        <f>IF($S205="","",N(INDEX(数据录入!$G$5:$G$4999,$S205)))</f>
      </c>
      <c r="H205" s="114">
        <f>IF($S205="","",$G$2+SUM($F$8:$F205)-SUM($G$8:$G205))</f>
      </c>
      <c r="Q205" s="44">
        <f>IF(数据录入!$B205="",0,IF(OR(数据录入!$D205="投标保证金",数据录入!$D205="合同履约保证金",ISNUMBER(FIND("保证金",数据录入!$E205))),1,0))</f>
      </c>
      <c r="R205" s="44">
        <f>IF(AND($Q205=1,数据录入!$B205&gt;=$B$2,数据录入!$B205&lt;=$D$2),N(R204)+1,N(R204))</f>
      </c>
      <c r="S205" s="44">
        <f>IFERROR(MATCH(198,$R$5:$R$4999,0),"")</f>
      </c>
    </row>
    <row r="206" s="44" customFormat="1" spans="1:23">
      <c r="A206" s="116">
        <f>IF($S206="","",INDEX(数据录入!$B$5:$B$4999,$S206))</f>
      </c>
      <c r="B206" s="44">
        <f>IF($S206="","",INDEX(数据录入!$C$5:$C$4999,$S206)&amp;"")</f>
      </c>
      <c r="C206" s="165">
        <f>IF($S206="","",IF(N($F206)&gt;0,"收款",IF(N($G206)&gt;0,"付款","")))</f>
      </c>
      <c r="D206" s="44">
        <f>IF($S206="","",IF((INDEX(数据录入!$I$5:$I$4999,$S206)&amp;"")&lt;&gt;"",INDEX(数据录入!$I$5:$I$4999,$S206)&amp;"",INDEX(数据录入!$J$5:$J$4999,$S206)&amp;""))</f>
      </c>
      <c r="E206" s="108">
        <f>IF($S206="","",INDEX(数据录入!$E$5:$E$4999,$S206)&amp;"")</f>
      </c>
      <c r="F206" s="114">
        <f>IF($S206="","",N(INDEX(数据录入!$F$5:$F$4999,$S206)))</f>
      </c>
      <c r="G206" s="114">
        <f>IF($S206="","",N(INDEX(数据录入!$G$5:$G$4999,$S206)))</f>
      </c>
      <c r="H206" s="114">
        <f>IF($S206="","",$G$2+SUM($F$8:$F206)-SUM($G$8:$G206))</f>
      </c>
      <c r="Q206" s="44">
        <f>IF(数据录入!$B206="",0,IF(OR(数据录入!$D206="投标保证金",数据录入!$D206="合同履约保证金",ISNUMBER(FIND("保证金",数据录入!$E206))),1,0))</f>
      </c>
      <c r="R206" s="44">
        <f>IF(AND($Q206=1,数据录入!$B206&gt;=$B$2,数据录入!$B206&lt;=$D$2),N(R205)+1,N(R205))</f>
      </c>
      <c r="S206" s="44">
        <f>IFERROR(MATCH(199,$R$5:$R$4999,0),"")</f>
      </c>
    </row>
    <row r="207" s="44" customFormat="1" spans="1:23">
      <c r="A207" s="116">
        <f>IF($S207="","",INDEX(数据录入!$B$5:$B$4999,$S207))</f>
      </c>
      <c r="B207" s="44">
        <f>IF($S207="","",INDEX(数据录入!$C$5:$C$4999,$S207)&amp;"")</f>
      </c>
      <c r="C207" s="165">
        <f>IF($S207="","",IF(N($F207)&gt;0,"收款",IF(N($G207)&gt;0,"付款","")))</f>
      </c>
      <c r="D207" s="44">
        <f>IF($S207="","",IF((INDEX(数据录入!$I$5:$I$4999,$S207)&amp;"")&lt;&gt;"",INDEX(数据录入!$I$5:$I$4999,$S207)&amp;"",INDEX(数据录入!$J$5:$J$4999,$S207)&amp;""))</f>
      </c>
      <c r="E207" s="108">
        <f>IF($S207="","",INDEX(数据录入!$E$5:$E$4999,$S207)&amp;"")</f>
      </c>
      <c r="F207" s="114">
        <f>IF($S207="","",N(INDEX(数据录入!$F$5:$F$4999,$S207)))</f>
      </c>
      <c r="G207" s="114">
        <f>IF($S207="","",N(INDEX(数据录入!$G$5:$G$4999,$S207)))</f>
      </c>
      <c r="H207" s="114">
        <f>IF($S207="","",$G$2+SUM($F$8:$F207)-SUM($G$8:$G207))</f>
      </c>
      <c r="Q207" s="44">
        <f>IF(数据录入!$B207="",0,IF(OR(数据录入!$D207="投标保证金",数据录入!$D207="合同履约保证金",ISNUMBER(FIND("保证金",数据录入!$E207))),1,0))</f>
      </c>
      <c r="R207" s="44">
        <f>IF(AND($Q207=1,数据录入!$B207&gt;=$B$2,数据录入!$B207&lt;=$D$2),N(R206)+1,N(R206))</f>
      </c>
      <c r="S207" s="44">
        <f>IFERROR(MATCH(200,$R$5:$R$4999,0),"")</f>
      </c>
    </row>
    <row r="208" s="44" customFormat="1" spans="1:23">
      <c r="A208" s="116">
        <f>IF($S208="","",INDEX(数据录入!$B$5:$B$4999,$S208))</f>
      </c>
      <c r="B208" s="44">
        <f>IF($S208="","",INDEX(数据录入!$C$5:$C$4999,$S208)&amp;"")</f>
      </c>
      <c r="C208" s="165">
        <f>IF($S208="","",IF(N($F208)&gt;0,"收款",IF(N($G208)&gt;0,"付款","")))</f>
      </c>
      <c r="D208" s="44">
        <f>IF($S208="","",IF((INDEX(数据录入!$I$5:$I$4999,$S208)&amp;"")&lt;&gt;"",INDEX(数据录入!$I$5:$I$4999,$S208)&amp;"",INDEX(数据录入!$J$5:$J$4999,$S208)&amp;""))</f>
      </c>
      <c r="E208" s="108">
        <f>IF($S208="","",INDEX(数据录入!$E$5:$E$4999,$S208)&amp;"")</f>
      </c>
      <c r="F208" s="114">
        <f>IF($S208="","",N(INDEX(数据录入!$F$5:$F$4999,$S208)))</f>
      </c>
      <c r="G208" s="114">
        <f>IF($S208="","",N(INDEX(数据录入!$G$5:$G$4999,$S208)))</f>
      </c>
      <c r="H208" s="114">
        <f>IF($S208="","",$G$2+SUM($F$8:$F208)-SUM($G$8:$G208))</f>
      </c>
      <c r="Q208" s="44">
        <f>IF(数据录入!$B208="",0,IF(OR(数据录入!$D208="投标保证金",数据录入!$D208="合同履约保证金",ISNUMBER(FIND("保证金",数据录入!$E208))),1,0))</f>
      </c>
      <c r="R208" s="44">
        <f>IF(AND($Q208=1,数据录入!$B208&gt;=$B$2,数据录入!$B208&lt;=$D$2),N(R207)+1,N(R207))</f>
      </c>
      <c r="S208" s="44">
        <f>IFERROR(MATCH(201,$R$5:$R$4999,0),"")</f>
      </c>
    </row>
    <row r="209" s="44" customFormat="1" spans="1:23">
      <c r="A209" s="116">
        <f>IF($S209="","",INDEX(数据录入!$B$5:$B$4999,$S209))</f>
      </c>
      <c r="B209" s="44">
        <f>IF($S209="","",INDEX(数据录入!$C$5:$C$4999,$S209)&amp;"")</f>
      </c>
      <c r="C209" s="165">
        <f>IF($S209="","",IF(N($F209)&gt;0,"收款",IF(N($G209)&gt;0,"付款","")))</f>
      </c>
      <c r="D209" s="44">
        <f>IF($S209="","",IF((INDEX(数据录入!$I$5:$I$4999,$S209)&amp;"")&lt;&gt;"",INDEX(数据录入!$I$5:$I$4999,$S209)&amp;"",INDEX(数据录入!$J$5:$J$4999,$S209)&amp;""))</f>
      </c>
      <c r="E209" s="108">
        <f>IF($S209="","",INDEX(数据录入!$E$5:$E$4999,$S209)&amp;"")</f>
      </c>
      <c r="F209" s="114">
        <f>IF($S209="","",N(INDEX(数据录入!$F$5:$F$4999,$S209)))</f>
      </c>
      <c r="G209" s="114">
        <f>IF($S209="","",N(INDEX(数据录入!$G$5:$G$4999,$S209)))</f>
      </c>
      <c r="H209" s="114">
        <f>IF($S209="","",$G$2+SUM($F$8:$F209)-SUM($G$8:$G209))</f>
      </c>
      <c r="Q209" s="44">
        <f>IF(数据录入!$B209="",0,IF(OR(数据录入!$D209="投标保证金",数据录入!$D209="合同履约保证金",ISNUMBER(FIND("保证金",数据录入!$E209))),1,0))</f>
      </c>
      <c r="R209" s="44">
        <f>IF(AND($Q209=1,数据录入!$B209&gt;=$B$2,数据录入!$B209&lt;=$D$2),N(R208)+1,N(R208))</f>
      </c>
      <c r="S209" s="44">
        <f>IFERROR(MATCH(202,$R$5:$R$4999,0),"")</f>
      </c>
    </row>
    <row r="210" s="44" customFormat="1" spans="1:23">
      <c r="A210" s="116">
        <f>IF($S210="","",INDEX(数据录入!$B$5:$B$4999,$S210))</f>
      </c>
      <c r="B210" s="44">
        <f>IF($S210="","",INDEX(数据录入!$C$5:$C$4999,$S210)&amp;"")</f>
      </c>
      <c r="C210" s="165">
        <f>IF($S210="","",IF(N($F210)&gt;0,"收款",IF(N($G210)&gt;0,"付款","")))</f>
      </c>
      <c r="D210" s="44">
        <f>IF($S210="","",IF((INDEX(数据录入!$I$5:$I$4999,$S210)&amp;"")&lt;&gt;"",INDEX(数据录入!$I$5:$I$4999,$S210)&amp;"",INDEX(数据录入!$J$5:$J$4999,$S210)&amp;""))</f>
      </c>
      <c r="E210" s="108">
        <f>IF($S210="","",INDEX(数据录入!$E$5:$E$4999,$S210)&amp;"")</f>
      </c>
      <c r="F210" s="114">
        <f>IF($S210="","",N(INDEX(数据录入!$F$5:$F$4999,$S210)))</f>
      </c>
      <c r="G210" s="114">
        <f>IF($S210="","",N(INDEX(数据录入!$G$5:$G$4999,$S210)))</f>
      </c>
      <c r="H210" s="114">
        <f>IF($S210="","",$G$2+SUM($F$8:$F210)-SUM($G$8:$G210))</f>
      </c>
      <c r="Q210" s="44">
        <f>IF(数据录入!$B210="",0,IF(OR(数据录入!$D210="投标保证金",数据录入!$D210="合同履约保证金",ISNUMBER(FIND("保证金",数据录入!$E210))),1,0))</f>
      </c>
      <c r="R210" s="44">
        <f>IF(AND($Q210=1,数据录入!$B210&gt;=$B$2,数据录入!$B210&lt;=$D$2),N(R209)+1,N(R209))</f>
      </c>
      <c r="S210" s="44">
        <f>IFERROR(MATCH(203,$R$5:$R$4999,0),"")</f>
      </c>
    </row>
    <row r="211" s="44" customFormat="1" spans="1:23">
      <c r="A211" s="116">
        <f>IF($S211="","",INDEX(数据录入!$B$5:$B$4999,$S211))</f>
      </c>
      <c r="B211" s="44">
        <f>IF($S211="","",INDEX(数据录入!$C$5:$C$4999,$S211)&amp;"")</f>
      </c>
      <c r="C211" s="165">
        <f>IF($S211="","",IF(N($F211)&gt;0,"收款",IF(N($G211)&gt;0,"付款","")))</f>
      </c>
      <c r="D211" s="44">
        <f>IF($S211="","",IF((INDEX(数据录入!$I$5:$I$4999,$S211)&amp;"")&lt;&gt;"",INDEX(数据录入!$I$5:$I$4999,$S211)&amp;"",INDEX(数据录入!$J$5:$J$4999,$S211)&amp;""))</f>
      </c>
      <c r="E211" s="108">
        <f>IF($S211="","",INDEX(数据录入!$E$5:$E$4999,$S211)&amp;"")</f>
      </c>
      <c r="F211" s="114">
        <f>IF($S211="","",N(INDEX(数据录入!$F$5:$F$4999,$S211)))</f>
      </c>
      <c r="G211" s="114">
        <f>IF($S211="","",N(INDEX(数据录入!$G$5:$G$4999,$S211)))</f>
      </c>
      <c r="H211" s="114">
        <f>IF($S211="","",$G$2+SUM($F$8:$F211)-SUM($G$8:$G211))</f>
      </c>
      <c r="Q211" s="44">
        <f>IF(数据录入!$B211="",0,IF(OR(数据录入!$D211="投标保证金",数据录入!$D211="合同履约保证金",ISNUMBER(FIND("保证金",数据录入!$E211))),1,0))</f>
      </c>
      <c r="R211" s="44">
        <f>IF(AND($Q211=1,数据录入!$B211&gt;=$B$2,数据录入!$B211&lt;=$D$2),N(R210)+1,N(R210))</f>
      </c>
      <c r="S211" s="44">
        <f>IFERROR(MATCH(204,$R$5:$R$4999,0),"")</f>
      </c>
    </row>
    <row r="212" s="44" customFormat="1" spans="1:23">
      <c r="A212" s="116">
        <f>IF($S212="","",INDEX(数据录入!$B$5:$B$4999,$S212))</f>
      </c>
      <c r="B212" s="44">
        <f>IF($S212="","",INDEX(数据录入!$C$5:$C$4999,$S212)&amp;"")</f>
      </c>
      <c r="C212" s="165">
        <f>IF($S212="","",IF(N($F212)&gt;0,"收款",IF(N($G212)&gt;0,"付款","")))</f>
      </c>
      <c r="D212" s="44">
        <f>IF($S212="","",IF((INDEX(数据录入!$I$5:$I$4999,$S212)&amp;"")&lt;&gt;"",INDEX(数据录入!$I$5:$I$4999,$S212)&amp;"",INDEX(数据录入!$J$5:$J$4999,$S212)&amp;""))</f>
      </c>
      <c r="E212" s="108">
        <f>IF($S212="","",INDEX(数据录入!$E$5:$E$4999,$S212)&amp;"")</f>
      </c>
      <c r="F212" s="114">
        <f>IF($S212="","",N(INDEX(数据录入!$F$5:$F$4999,$S212)))</f>
      </c>
      <c r="G212" s="114">
        <f>IF($S212="","",N(INDEX(数据录入!$G$5:$G$4999,$S212)))</f>
      </c>
      <c r="H212" s="114">
        <f>IF($S212="","",$G$2+SUM($F$8:$F212)-SUM($G$8:$G212))</f>
      </c>
      <c r="Q212" s="44">
        <f>IF(数据录入!$B212="",0,IF(OR(数据录入!$D212="投标保证金",数据录入!$D212="合同履约保证金",ISNUMBER(FIND("保证金",数据录入!$E212))),1,0))</f>
      </c>
      <c r="R212" s="44">
        <f>IF(AND($Q212=1,数据录入!$B212&gt;=$B$2,数据录入!$B212&lt;=$D$2),N(R211)+1,N(R211))</f>
      </c>
      <c r="S212" s="44">
        <f>IFERROR(MATCH(205,$R$5:$R$4999,0),"")</f>
      </c>
    </row>
    <row r="213" s="44" customFormat="1" spans="1:23">
      <c r="A213" s="116">
        <f>IF($S213="","",INDEX(数据录入!$B$5:$B$4999,$S213))</f>
      </c>
      <c r="B213" s="44">
        <f>IF($S213="","",INDEX(数据录入!$C$5:$C$4999,$S213)&amp;"")</f>
      </c>
      <c r="C213" s="165">
        <f>IF($S213="","",IF(N($F213)&gt;0,"收款",IF(N($G213)&gt;0,"付款","")))</f>
      </c>
      <c r="D213" s="44">
        <f>IF($S213="","",IF((INDEX(数据录入!$I$5:$I$4999,$S213)&amp;"")&lt;&gt;"",INDEX(数据录入!$I$5:$I$4999,$S213)&amp;"",INDEX(数据录入!$J$5:$J$4999,$S213)&amp;""))</f>
      </c>
      <c r="E213" s="108">
        <f>IF($S213="","",INDEX(数据录入!$E$5:$E$4999,$S213)&amp;"")</f>
      </c>
      <c r="F213" s="114">
        <f>IF($S213="","",N(INDEX(数据录入!$F$5:$F$4999,$S213)))</f>
      </c>
      <c r="G213" s="114">
        <f>IF($S213="","",N(INDEX(数据录入!$G$5:$G$4999,$S213)))</f>
      </c>
      <c r="H213" s="114">
        <f>IF($S213="","",$G$2+SUM($F$8:$F213)-SUM($G$8:$G213))</f>
      </c>
      <c r="Q213" s="44">
        <f>IF(数据录入!$B213="",0,IF(OR(数据录入!$D213="投标保证金",数据录入!$D213="合同履约保证金",ISNUMBER(FIND("保证金",数据录入!$E213))),1,0))</f>
      </c>
      <c r="R213" s="44">
        <f>IF(AND($Q213=1,数据录入!$B213&gt;=$B$2,数据录入!$B213&lt;=$D$2),N(R212)+1,N(R212))</f>
      </c>
      <c r="S213" s="44">
        <f>IFERROR(MATCH(206,$R$5:$R$4999,0),"")</f>
      </c>
    </row>
    <row r="214" s="44" customFormat="1" spans="1:23">
      <c r="A214" s="116">
        <f>IF($S214="","",INDEX(数据录入!$B$5:$B$4999,$S214))</f>
      </c>
      <c r="B214" s="44">
        <f>IF($S214="","",INDEX(数据录入!$C$5:$C$4999,$S214)&amp;"")</f>
      </c>
      <c r="C214" s="165">
        <f>IF($S214="","",IF(N($F214)&gt;0,"收款",IF(N($G214)&gt;0,"付款","")))</f>
      </c>
      <c r="D214" s="44">
        <f>IF($S214="","",IF((INDEX(数据录入!$I$5:$I$4999,$S214)&amp;"")&lt;&gt;"",INDEX(数据录入!$I$5:$I$4999,$S214)&amp;"",INDEX(数据录入!$J$5:$J$4999,$S214)&amp;""))</f>
      </c>
      <c r="E214" s="108">
        <f>IF($S214="","",INDEX(数据录入!$E$5:$E$4999,$S214)&amp;"")</f>
      </c>
      <c r="F214" s="114">
        <f>IF($S214="","",N(INDEX(数据录入!$F$5:$F$4999,$S214)))</f>
      </c>
      <c r="G214" s="114">
        <f>IF($S214="","",N(INDEX(数据录入!$G$5:$G$4999,$S214)))</f>
      </c>
      <c r="H214" s="114">
        <f>IF($S214="","",$G$2+SUM($F$8:$F214)-SUM($G$8:$G214))</f>
      </c>
      <c r="Q214" s="44">
        <f>IF(数据录入!$B214="",0,IF(OR(数据录入!$D214="投标保证金",数据录入!$D214="合同履约保证金",ISNUMBER(FIND("保证金",数据录入!$E214))),1,0))</f>
      </c>
      <c r="R214" s="44">
        <f>IF(AND($Q214=1,数据录入!$B214&gt;=$B$2,数据录入!$B214&lt;=$D$2),N(R213)+1,N(R213))</f>
      </c>
      <c r="S214" s="44">
        <f>IFERROR(MATCH(207,$R$5:$R$4999,0),"")</f>
      </c>
    </row>
    <row r="215" s="44" customFormat="1" spans="1:23">
      <c r="A215" s="116">
        <f>IF($S215="","",INDEX(数据录入!$B$5:$B$4999,$S215))</f>
      </c>
      <c r="B215" s="44">
        <f>IF($S215="","",INDEX(数据录入!$C$5:$C$4999,$S215)&amp;"")</f>
      </c>
      <c r="C215" s="165">
        <f>IF($S215="","",IF(N($F215)&gt;0,"收款",IF(N($G215)&gt;0,"付款","")))</f>
      </c>
      <c r="D215" s="44">
        <f>IF($S215="","",IF((INDEX(数据录入!$I$5:$I$4999,$S215)&amp;"")&lt;&gt;"",INDEX(数据录入!$I$5:$I$4999,$S215)&amp;"",INDEX(数据录入!$J$5:$J$4999,$S215)&amp;""))</f>
      </c>
      <c r="E215" s="108">
        <f>IF($S215="","",INDEX(数据录入!$E$5:$E$4999,$S215)&amp;"")</f>
      </c>
      <c r="F215" s="114">
        <f>IF($S215="","",N(INDEX(数据录入!$F$5:$F$4999,$S215)))</f>
      </c>
      <c r="G215" s="114">
        <f>IF($S215="","",N(INDEX(数据录入!$G$5:$G$4999,$S215)))</f>
      </c>
      <c r="H215" s="114">
        <f>IF($S215="","",$G$2+SUM($F$8:$F215)-SUM($G$8:$G215))</f>
      </c>
      <c r="Q215" s="44">
        <f>IF(数据录入!$B215="",0,IF(OR(数据录入!$D215="投标保证金",数据录入!$D215="合同履约保证金",ISNUMBER(FIND("保证金",数据录入!$E215))),1,0))</f>
      </c>
      <c r="R215" s="44">
        <f>IF(AND($Q215=1,数据录入!$B215&gt;=$B$2,数据录入!$B215&lt;=$D$2),N(R214)+1,N(R214))</f>
      </c>
      <c r="S215" s="44">
        <f>IFERROR(MATCH(208,$R$5:$R$4999,0),"")</f>
      </c>
    </row>
    <row r="216" s="44" customFormat="1" spans="1:23">
      <c r="A216" s="116">
        <f>IF($S216="","",INDEX(数据录入!$B$5:$B$4999,$S216))</f>
      </c>
      <c r="B216" s="44">
        <f>IF($S216="","",INDEX(数据录入!$C$5:$C$4999,$S216)&amp;"")</f>
      </c>
      <c r="C216" s="165">
        <f>IF($S216="","",IF(N($F216)&gt;0,"收款",IF(N($G216)&gt;0,"付款","")))</f>
      </c>
      <c r="D216" s="44">
        <f>IF($S216="","",IF((INDEX(数据录入!$I$5:$I$4999,$S216)&amp;"")&lt;&gt;"",INDEX(数据录入!$I$5:$I$4999,$S216)&amp;"",INDEX(数据录入!$J$5:$J$4999,$S216)&amp;""))</f>
      </c>
      <c r="E216" s="108">
        <f>IF($S216="","",INDEX(数据录入!$E$5:$E$4999,$S216)&amp;"")</f>
      </c>
      <c r="F216" s="114">
        <f>IF($S216="","",N(INDEX(数据录入!$F$5:$F$4999,$S216)))</f>
      </c>
      <c r="G216" s="114">
        <f>IF($S216="","",N(INDEX(数据录入!$G$5:$G$4999,$S216)))</f>
      </c>
      <c r="H216" s="114">
        <f>IF($S216="","",$G$2+SUM($F$8:$F216)-SUM($G$8:$G216))</f>
      </c>
      <c r="Q216" s="44">
        <f>IF(数据录入!$B216="",0,IF(OR(数据录入!$D216="投标保证金",数据录入!$D216="合同履约保证金",ISNUMBER(FIND("保证金",数据录入!$E216))),1,0))</f>
      </c>
      <c r="R216" s="44">
        <f>IF(AND($Q216=1,数据录入!$B216&gt;=$B$2,数据录入!$B216&lt;=$D$2),N(R215)+1,N(R215))</f>
      </c>
      <c r="S216" s="44">
        <f>IFERROR(MATCH(209,$R$5:$R$4999,0),"")</f>
      </c>
    </row>
    <row r="217" s="44" customFormat="1" spans="1:23">
      <c r="A217" s="116">
        <f>IF($S217="","",INDEX(数据录入!$B$5:$B$4999,$S217))</f>
      </c>
      <c r="B217" s="44">
        <f>IF($S217="","",INDEX(数据录入!$C$5:$C$4999,$S217)&amp;"")</f>
      </c>
      <c r="C217" s="165">
        <f>IF($S217="","",IF(N($F217)&gt;0,"收款",IF(N($G217)&gt;0,"付款","")))</f>
      </c>
      <c r="D217" s="44">
        <f>IF($S217="","",IF((INDEX(数据录入!$I$5:$I$4999,$S217)&amp;"")&lt;&gt;"",INDEX(数据录入!$I$5:$I$4999,$S217)&amp;"",INDEX(数据录入!$J$5:$J$4999,$S217)&amp;""))</f>
      </c>
      <c r="E217" s="108">
        <f>IF($S217="","",INDEX(数据录入!$E$5:$E$4999,$S217)&amp;"")</f>
      </c>
      <c r="F217" s="114">
        <f>IF($S217="","",N(INDEX(数据录入!$F$5:$F$4999,$S217)))</f>
      </c>
      <c r="G217" s="114">
        <f>IF($S217="","",N(INDEX(数据录入!$G$5:$G$4999,$S217)))</f>
      </c>
      <c r="H217" s="114">
        <f>IF($S217="","",$G$2+SUM($F$8:$F217)-SUM($G$8:$G217))</f>
      </c>
      <c r="Q217" s="44">
        <f>IF(数据录入!$B217="",0,IF(OR(数据录入!$D217="投标保证金",数据录入!$D217="合同履约保证金",ISNUMBER(FIND("保证金",数据录入!$E217))),1,0))</f>
      </c>
      <c r="R217" s="44">
        <f>IF(AND($Q217=1,数据录入!$B217&gt;=$B$2,数据录入!$B217&lt;=$D$2),N(R216)+1,N(R216))</f>
      </c>
      <c r="S217" s="44">
        <f>IFERROR(MATCH(210,$R$5:$R$4999,0),"")</f>
      </c>
    </row>
    <row r="218" s="44" customFormat="1" spans="1:23">
      <c r="A218" s="116">
        <f>IF($S218="","",INDEX(数据录入!$B$5:$B$4999,$S218))</f>
      </c>
      <c r="B218" s="44">
        <f>IF($S218="","",INDEX(数据录入!$C$5:$C$4999,$S218)&amp;"")</f>
      </c>
      <c r="C218" s="165">
        <f>IF($S218="","",IF(N($F218)&gt;0,"收款",IF(N($G218)&gt;0,"付款","")))</f>
      </c>
      <c r="D218" s="44">
        <f>IF($S218="","",IF((INDEX(数据录入!$I$5:$I$4999,$S218)&amp;"")&lt;&gt;"",INDEX(数据录入!$I$5:$I$4999,$S218)&amp;"",INDEX(数据录入!$J$5:$J$4999,$S218)&amp;""))</f>
      </c>
      <c r="E218" s="108">
        <f>IF($S218="","",INDEX(数据录入!$E$5:$E$4999,$S218)&amp;"")</f>
      </c>
      <c r="F218" s="114">
        <f>IF($S218="","",N(INDEX(数据录入!$F$5:$F$4999,$S218)))</f>
      </c>
      <c r="G218" s="114">
        <f>IF($S218="","",N(INDEX(数据录入!$G$5:$G$4999,$S218)))</f>
      </c>
      <c r="H218" s="114">
        <f>IF($S218="","",$G$2+SUM($F$8:$F218)-SUM($G$8:$G218))</f>
      </c>
      <c r="Q218" s="44">
        <f>IF(数据录入!$B218="",0,IF(OR(数据录入!$D218="投标保证金",数据录入!$D218="合同履约保证金",ISNUMBER(FIND("保证金",数据录入!$E218))),1,0))</f>
      </c>
      <c r="R218" s="44">
        <f>IF(AND($Q218=1,数据录入!$B218&gt;=$B$2,数据录入!$B218&lt;=$D$2),N(R217)+1,N(R217))</f>
      </c>
      <c r="S218" s="44">
        <f>IFERROR(MATCH(211,$R$5:$R$4999,0),"")</f>
      </c>
    </row>
    <row r="219" s="44" customFormat="1" spans="1:23">
      <c r="A219" s="116">
        <f>IF($S219="","",INDEX(数据录入!$B$5:$B$4999,$S219))</f>
      </c>
      <c r="B219" s="44">
        <f>IF($S219="","",INDEX(数据录入!$C$5:$C$4999,$S219)&amp;"")</f>
      </c>
      <c r="C219" s="165">
        <f>IF($S219="","",IF(N($F219)&gt;0,"收款",IF(N($G219)&gt;0,"付款","")))</f>
      </c>
      <c r="D219" s="44">
        <f>IF($S219="","",IF((INDEX(数据录入!$I$5:$I$4999,$S219)&amp;"")&lt;&gt;"",INDEX(数据录入!$I$5:$I$4999,$S219)&amp;"",INDEX(数据录入!$J$5:$J$4999,$S219)&amp;""))</f>
      </c>
      <c r="E219" s="108">
        <f>IF($S219="","",INDEX(数据录入!$E$5:$E$4999,$S219)&amp;"")</f>
      </c>
      <c r="F219" s="114">
        <f>IF($S219="","",N(INDEX(数据录入!$F$5:$F$4999,$S219)))</f>
      </c>
      <c r="G219" s="114">
        <f>IF($S219="","",N(INDEX(数据录入!$G$5:$G$4999,$S219)))</f>
      </c>
      <c r="H219" s="114">
        <f>IF($S219="","",$G$2+SUM($F$8:$F219)-SUM($G$8:$G219))</f>
      </c>
      <c r="Q219" s="44">
        <f>IF(数据录入!$B219="",0,IF(OR(数据录入!$D219="投标保证金",数据录入!$D219="合同履约保证金",ISNUMBER(FIND("保证金",数据录入!$E219))),1,0))</f>
      </c>
      <c r="R219" s="44">
        <f>IF(AND($Q219=1,数据录入!$B219&gt;=$B$2,数据录入!$B219&lt;=$D$2),N(R218)+1,N(R218))</f>
      </c>
      <c r="S219" s="44">
        <f>IFERROR(MATCH(212,$R$5:$R$4999,0),"")</f>
      </c>
    </row>
    <row r="220" s="44" customFormat="1" spans="1:23">
      <c r="A220" s="116">
        <f>IF($S220="","",INDEX(数据录入!$B$5:$B$4999,$S220))</f>
      </c>
      <c r="B220" s="44">
        <f>IF($S220="","",INDEX(数据录入!$C$5:$C$4999,$S220)&amp;"")</f>
      </c>
      <c r="C220" s="165">
        <f>IF($S220="","",IF(N($F220)&gt;0,"收款",IF(N($G220)&gt;0,"付款","")))</f>
      </c>
      <c r="D220" s="44">
        <f>IF($S220="","",IF((INDEX(数据录入!$I$5:$I$4999,$S220)&amp;"")&lt;&gt;"",INDEX(数据录入!$I$5:$I$4999,$S220)&amp;"",INDEX(数据录入!$J$5:$J$4999,$S220)&amp;""))</f>
      </c>
      <c r="E220" s="108">
        <f>IF($S220="","",INDEX(数据录入!$E$5:$E$4999,$S220)&amp;"")</f>
      </c>
      <c r="F220" s="114">
        <f>IF($S220="","",N(INDEX(数据录入!$F$5:$F$4999,$S220)))</f>
      </c>
      <c r="G220" s="114">
        <f>IF($S220="","",N(INDEX(数据录入!$G$5:$G$4999,$S220)))</f>
      </c>
      <c r="H220" s="114">
        <f>IF($S220="","",$G$2+SUM($F$8:$F220)-SUM($G$8:$G220))</f>
      </c>
      <c r="Q220" s="44">
        <f>IF(数据录入!$B220="",0,IF(OR(数据录入!$D220="投标保证金",数据录入!$D220="合同履约保证金",ISNUMBER(FIND("保证金",数据录入!$E220))),1,0))</f>
      </c>
      <c r="R220" s="44">
        <f>IF(AND($Q220=1,数据录入!$B220&gt;=$B$2,数据录入!$B220&lt;=$D$2),N(R219)+1,N(R219))</f>
      </c>
      <c r="S220" s="44">
        <f>IFERROR(MATCH(213,$R$5:$R$4999,0),"")</f>
      </c>
    </row>
    <row r="221" s="44" customFormat="1" spans="1:23">
      <c r="A221" s="116">
        <f>IF($S221="","",INDEX(数据录入!$B$5:$B$4999,$S221))</f>
      </c>
      <c r="B221" s="44">
        <f>IF($S221="","",INDEX(数据录入!$C$5:$C$4999,$S221)&amp;"")</f>
      </c>
      <c r="C221" s="165">
        <f>IF($S221="","",IF(N($F221)&gt;0,"收款",IF(N($G221)&gt;0,"付款","")))</f>
      </c>
      <c r="D221" s="44">
        <f>IF($S221="","",IF((INDEX(数据录入!$I$5:$I$4999,$S221)&amp;"")&lt;&gt;"",INDEX(数据录入!$I$5:$I$4999,$S221)&amp;"",INDEX(数据录入!$J$5:$J$4999,$S221)&amp;""))</f>
      </c>
      <c r="E221" s="108">
        <f>IF($S221="","",INDEX(数据录入!$E$5:$E$4999,$S221)&amp;"")</f>
      </c>
      <c r="F221" s="114">
        <f>IF($S221="","",N(INDEX(数据录入!$F$5:$F$4999,$S221)))</f>
      </c>
      <c r="G221" s="114">
        <f>IF($S221="","",N(INDEX(数据录入!$G$5:$G$4999,$S221)))</f>
      </c>
      <c r="H221" s="114">
        <f>IF($S221="","",$G$2+SUM($F$8:$F221)-SUM($G$8:$G221))</f>
      </c>
      <c r="Q221" s="44">
        <f>IF(数据录入!$B221="",0,IF(OR(数据录入!$D221="投标保证金",数据录入!$D221="合同履约保证金",ISNUMBER(FIND("保证金",数据录入!$E221))),1,0))</f>
      </c>
      <c r="R221" s="44">
        <f>IF(AND($Q221=1,数据录入!$B221&gt;=$B$2,数据录入!$B221&lt;=$D$2),N(R220)+1,N(R220))</f>
      </c>
      <c r="S221" s="44">
        <f>IFERROR(MATCH(214,$R$5:$R$4999,0),"")</f>
      </c>
    </row>
    <row r="222" s="44" customFormat="1" spans="1:23">
      <c r="A222" s="116">
        <f>IF($S222="","",INDEX(数据录入!$B$5:$B$4999,$S222))</f>
      </c>
      <c r="B222" s="44">
        <f>IF($S222="","",INDEX(数据录入!$C$5:$C$4999,$S222)&amp;"")</f>
      </c>
      <c r="C222" s="165">
        <f>IF($S222="","",IF(N($F222)&gt;0,"收款",IF(N($G222)&gt;0,"付款","")))</f>
      </c>
      <c r="D222" s="44">
        <f>IF($S222="","",IF((INDEX(数据录入!$I$5:$I$4999,$S222)&amp;"")&lt;&gt;"",INDEX(数据录入!$I$5:$I$4999,$S222)&amp;"",INDEX(数据录入!$J$5:$J$4999,$S222)&amp;""))</f>
      </c>
      <c r="E222" s="108">
        <f>IF($S222="","",INDEX(数据录入!$E$5:$E$4999,$S222)&amp;"")</f>
      </c>
      <c r="F222" s="114">
        <f>IF($S222="","",N(INDEX(数据录入!$F$5:$F$4999,$S222)))</f>
      </c>
      <c r="G222" s="114">
        <f>IF($S222="","",N(INDEX(数据录入!$G$5:$G$4999,$S222)))</f>
      </c>
      <c r="H222" s="114">
        <f>IF($S222="","",$G$2+SUM($F$8:$F222)-SUM($G$8:$G222))</f>
      </c>
      <c r="Q222" s="44">
        <f>IF(数据录入!$B222="",0,IF(OR(数据录入!$D222="投标保证金",数据录入!$D222="合同履约保证金",ISNUMBER(FIND("保证金",数据录入!$E222))),1,0))</f>
      </c>
      <c r="R222" s="44">
        <f>IF(AND($Q222=1,数据录入!$B222&gt;=$B$2,数据录入!$B222&lt;=$D$2),N(R221)+1,N(R221))</f>
      </c>
      <c r="S222" s="44">
        <f>IFERROR(MATCH(215,$R$5:$R$4999,0),"")</f>
      </c>
    </row>
    <row r="223" s="44" customFormat="1" spans="1:23">
      <c r="A223" s="116">
        <f>IF($S223="","",INDEX(数据录入!$B$5:$B$4999,$S223))</f>
      </c>
      <c r="B223" s="44">
        <f>IF($S223="","",INDEX(数据录入!$C$5:$C$4999,$S223)&amp;"")</f>
      </c>
      <c r="C223" s="165">
        <f>IF($S223="","",IF(N($F223)&gt;0,"收款",IF(N($G223)&gt;0,"付款","")))</f>
      </c>
      <c r="D223" s="44">
        <f>IF($S223="","",IF((INDEX(数据录入!$I$5:$I$4999,$S223)&amp;"")&lt;&gt;"",INDEX(数据录入!$I$5:$I$4999,$S223)&amp;"",INDEX(数据录入!$J$5:$J$4999,$S223)&amp;""))</f>
      </c>
      <c r="E223" s="108">
        <f>IF($S223="","",INDEX(数据录入!$E$5:$E$4999,$S223)&amp;"")</f>
      </c>
      <c r="F223" s="114">
        <f>IF($S223="","",N(INDEX(数据录入!$F$5:$F$4999,$S223)))</f>
      </c>
      <c r="G223" s="114">
        <f>IF($S223="","",N(INDEX(数据录入!$G$5:$G$4999,$S223)))</f>
      </c>
      <c r="H223" s="114">
        <f>IF($S223="","",$G$2+SUM($F$8:$F223)-SUM($G$8:$G223))</f>
      </c>
      <c r="Q223" s="44">
        <f>IF(数据录入!$B223="",0,IF(OR(数据录入!$D223="投标保证金",数据录入!$D223="合同履约保证金",ISNUMBER(FIND("保证金",数据录入!$E223))),1,0))</f>
      </c>
      <c r="R223" s="44">
        <f>IF(AND($Q223=1,数据录入!$B223&gt;=$B$2,数据录入!$B223&lt;=$D$2),N(R222)+1,N(R222))</f>
      </c>
      <c r="S223" s="44">
        <f>IFERROR(MATCH(216,$R$5:$R$4999,0),"")</f>
      </c>
    </row>
    <row r="224" s="44" customFormat="1" spans="1:23">
      <c r="A224" s="116">
        <f>IF($S224="","",INDEX(数据录入!$B$5:$B$4999,$S224))</f>
      </c>
      <c r="B224" s="44">
        <f>IF($S224="","",INDEX(数据录入!$C$5:$C$4999,$S224)&amp;"")</f>
      </c>
      <c r="C224" s="165">
        <f>IF($S224="","",IF(N($F224)&gt;0,"收款",IF(N($G224)&gt;0,"付款","")))</f>
      </c>
      <c r="D224" s="44">
        <f>IF($S224="","",IF((INDEX(数据录入!$I$5:$I$4999,$S224)&amp;"")&lt;&gt;"",INDEX(数据录入!$I$5:$I$4999,$S224)&amp;"",INDEX(数据录入!$J$5:$J$4999,$S224)&amp;""))</f>
      </c>
      <c r="E224" s="108">
        <f>IF($S224="","",INDEX(数据录入!$E$5:$E$4999,$S224)&amp;"")</f>
      </c>
      <c r="F224" s="114">
        <f>IF($S224="","",N(INDEX(数据录入!$F$5:$F$4999,$S224)))</f>
      </c>
      <c r="G224" s="114">
        <f>IF($S224="","",N(INDEX(数据录入!$G$5:$G$4999,$S224)))</f>
      </c>
      <c r="H224" s="114">
        <f>IF($S224="","",$G$2+SUM($F$8:$F224)-SUM($G$8:$G224))</f>
      </c>
      <c r="Q224" s="44">
        <f>IF(数据录入!$B224="",0,IF(OR(数据录入!$D224="投标保证金",数据录入!$D224="合同履约保证金",ISNUMBER(FIND("保证金",数据录入!$E224))),1,0))</f>
      </c>
      <c r="R224" s="44">
        <f>IF(AND($Q224=1,数据录入!$B224&gt;=$B$2,数据录入!$B224&lt;=$D$2),N(R223)+1,N(R223))</f>
      </c>
      <c r="S224" s="44">
        <f>IFERROR(MATCH(217,$R$5:$R$4999,0),"")</f>
      </c>
    </row>
    <row r="225" s="44" customFormat="1" spans="1:23">
      <c r="A225" s="116">
        <f>IF($S225="","",INDEX(数据录入!$B$5:$B$4999,$S225))</f>
      </c>
      <c r="B225" s="44">
        <f>IF($S225="","",INDEX(数据录入!$C$5:$C$4999,$S225)&amp;"")</f>
      </c>
      <c r="C225" s="165">
        <f>IF($S225="","",IF(N($F225)&gt;0,"收款",IF(N($G225)&gt;0,"付款","")))</f>
      </c>
      <c r="D225" s="44">
        <f>IF($S225="","",IF((INDEX(数据录入!$I$5:$I$4999,$S225)&amp;"")&lt;&gt;"",INDEX(数据录入!$I$5:$I$4999,$S225)&amp;"",INDEX(数据录入!$J$5:$J$4999,$S225)&amp;""))</f>
      </c>
      <c r="E225" s="108">
        <f>IF($S225="","",INDEX(数据录入!$E$5:$E$4999,$S225)&amp;"")</f>
      </c>
      <c r="F225" s="114">
        <f>IF($S225="","",N(INDEX(数据录入!$F$5:$F$4999,$S225)))</f>
      </c>
      <c r="G225" s="114">
        <f>IF($S225="","",N(INDEX(数据录入!$G$5:$G$4999,$S225)))</f>
      </c>
      <c r="H225" s="114">
        <f>IF($S225="","",$G$2+SUM($F$8:$F225)-SUM($G$8:$G225))</f>
      </c>
      <c r="Q225" s="44">
        <f>IF(数据录入!$B225="",0,IF(OR(数据录入!$D225="投标保证金",数据录入!$D225="合同履约保证金",ISNUMBER(FIND("保证金",数据录入!$E225))),1,0))</f>
      </c>
      <c r="R225" s="44">
        <f>IF(AND($Q225=1,数据录入!$B225&gt;=$B$2,数据录入!$B225&lt;=$D$2),N(R224)+1,N(R224))</f>
      </c>
      <c r="S225" s="44">
        <f>IFERROR(MATCH(218,$R$5:$R$4999,0),"")</f>
      </c>
    </row>
    <row r="226" s="44" customFormat="1" spans="1:23">
      <c r="A226" s="116">
        <f>IF($S226="","",INDEX(数据录入!$B$5:$B$4999,$S226))</f>
      </c>
      <c r="B226" s="44">
        <f>IF($S226="","",INDEX(数据录入!$C$5:$C$4999,$S226)&amp;"")</f>
      </c>
      <c r="C226" s="165">
        <f>IF($S226="","",IF(N($F226)&gt;0,"收款",IF(N($G226)&gt;0,"付款","")))</f>
      </c>
      <c r="D226" s="44">
        <f>IF($S226="","",IF((INDEX(数据录入!$I$5:$I$4999,$S226)&amp;"")&lt;&gt;"",INDEX(数据录入!$I$5:$I$4999,$S226)&amp;"",INDEX(数据录入!$J$5:$J$4999,$S226)&amp;""))</f>
      </c>
      <c r="E226" s="108">
        <f>IF($S226="","",INDEX(数据录入!$E$5:$E$4999,$S226)&amp;"")</f>
      </c>
      <c r="F226" s="114">
        <f>IF($S226="","",N(INDEX(数据录入!$F$5:$F$4999,$S226)))</f>
      </c>
      <c r="G226" s="114">
        <f>IF($S226="","",N(INDEX(数据录入!$G$5:$G$4999,$S226)))</f>
      </c>
      <c r="H226" s="114">
        <f>IF($S226="","",$G$2+SUM($F$8:$F226)-SUM($G$8:$G226))</f>
      </c>
      <c r="Q226" s="44">
        <f>IF(数据录入!$B226="",0,IF(OR(数据录入!$D226="投标保证金",数据录入!$D226="合同履约保证金",ISNUMBER(FIND("保证金",数据录入!$E226))),1,0))</f>
      </c>
      <c r="R226" s="44">
        <f>IF(AND($Q226=1,数据录入!$B226&gt;=$B$2,数据录入!$B226&lt;=$D$2),N(R225)+1,N(R225))</f>
      </c>
      <c r="S226" s="44">
        <f>IFERROR(MATCH(219,$R$5:$R$4999,0),"")</f>
      </c>
    </row>
    <row r="227" s="44" customFormat="1" spans="1:23">
      <c r="A227" s="116">
        <f>IF($S227="","",INDEX(数据录入!$B$5:$B$4999,$S227))</f>
      </c>
      <c r="B227" s="44">
        <f>IF($S227="","",INDEX(数据录入!$C$5:$C$4999,$S227)&amp;"")</f>
      </c>
      <c r="C227" s="165">
        <f>IF($S227="","",IF(N($F227)&gt;0,"收款",IF(N($G227)&gt;0,"付款","")))</f>
      </c>
      <c r="D227" s="44">
        <f>IF($S227="","",IF((INDEX(数据录入!$I$5:$I$4999,$S227)&amp;"")&lt;&gt;"",INDEX(数据录入!$I$5:$I$4999,$S227)&amp;"",INDEX(数据录入!$J$5:$J$4999,$S227)&amp;""))</f>
      </c>
      <c r="E227" s="108">
        <f>IF($S227="","",INDEX(数据录入!$E$5:$E$4999,$S227)&amp;"")</f>
      </c>
      <c r="F227" s="114">
        <f>IF($S227="","",N(INDEX(数据录入!$F$5:$F$4999,$S227)))</f>
      </c>
      <c r="G227" s="114">
        <f>IF($S227="","",N(INDEX(数据录入!$G$5:$G$4999,$S227)))</f>
      </c>
      <c r="H227" s="114">
        <f>IF($S227="","",$G$2+SUM($F$8:$F227)-SUM($G$8:$G227))</f>
      </c>
      <c r="Q227" s="44">
        <f>IF(数据录入!$B227="",0,IF(OR(数据录入!$D227="投标保证金",数据录入!$D227="合同履约保证金",ISNUMBER(FIND("保证金",数据录入!$E227))),1,0))</f>
      </c>
      <c r="R227" s="44">
        <f>IF(AND($Q227=1,数据录入!$B227&gt;=$B$2,数据录入!$B227&lt;=$D$2),N(R226)+1,N(R226))</f>
      </c>
      <c r="S227" s="44">
        <f>IFERROR(MATCH(220,$R$5:$R$4999,0),"")</f>
      </c>
    </row>
    <row r="228" s="44" customFormat="1" spans="1:23">
      <c r="A228" s="116">
        <f>IF($S228="","",INDEX(数据录入!$B$5:$B$4999,$S228))</f>
      </c>
      <c r="B228" s="44">
        <f>IF($S228="","",INDEX(数据录入!$C$5:$C$4999,$S228)&amp;"")</f>
      </c>
      <c r="C228" s="165">
        <f>IF($S228="","",IF(N($F228)&gt;0,"收款",IF(N($G228)&gt;0,"付款","")))</f>
      </c>
      <c r="D228" s="44">
        <f>IF($S228="","",IF((INDEX(数据录入!$I$5:$I$4999,$S228)&amp;"")&lt;&gt;"",INDEX(数据录入!$I$5:$I$4999,$S228)&amp;"",INDEX(数据录入!$J$5:$J$4999,$S228)&amp;""))</f>
      </c>
      <c r="E228" s="108">
        <f>IF($S228="","",INDEX(数据录入!$E$5:$E$4999,$S228)&amp;"")</f>
      </c>
      <c r="F228" s="114">
        <f>IF($S228="","",N(INDEX(数据录入!$F$5:$F$4999,$S228)))</f>
      </c>
      <c r="G228" s="114">
        <f>IF($S228="","",N(INDEX(数据录入!$G$5:$G$4999,$S228)))</f>
      </c>
      <c r="H228" s="114">
        <f>IF($S228="","",$G$2+SUM($F$8:$F228)-SUM($G$8:$G228))</f>
      </c>
      <c r="Q228" s="44">
        <f>IF(数据录入!$B228="",0,IF(OR(数据录入!$D228="投标保证金",数据录入!$D228="合同履约保证金",ISNUMBER(FIND("保证金",数据录入!$E228))),1,0))</f>
      </c>
      <c r="R228" s="44">
        <f>IF(AND($Q228=1,数据录入!$B228&gt;=$B$2,数据录入!$B228&lt;=$D$2),N(R227)+1,N(R227))</f>
      </c>
      <c r="S228" s="44">
        <f>IFERROR(MATCH(221,$R$5:$R$4999,0),"")</f>
      </c>
    </row>
    <row r="229" s="44" customFormat="1" spans="1:23">
      <c r="A229" s="116">
        <f>IF($S229="","",INDEX(数据录入!$B$5:$B$4999,$S229))</f>
      </c>
      <c r="B229" s="44">
        <f>IF($S229="","",INDEX(数据录入!$C$5:$C$4999,$S229)&amp;"")</f>
      </c>
      <c r="C229" s="165">
        <f>IF($S229="","",IF(N($F229)&gt;0,"收款",IF(N($G229)&gt;0,"付款","")))</f>
      </c>
      <c r="D229" s="44">
        <f>IF($S229="","",IF((INDEX(数据录入!$I$5:$I$4999,$S229)&amp;"")&lt;&gt;"",INDEX(数据录入!$I$5:$I$4999,$S229)&amp;"",INDEX(数据录入!$J$5:$J$4999,$S229)&amp;""))</f>
      </c>
      <c r="E229" s="108">
        <f>IF($S229="","",INDEX(数据录入!$E$5:$E$4999,$S229)&amp;"")</f>
      </c>
      <c r="F229" s="114">
        <f>IF($S229="","",N(INDEX(数据录入!$F$5:$F$4999,$S229)))</f>
      </c>
      <c r="G229" s="114">
        <f>IF($S229="","",N(INDEX(数据录入!$G$5:$G$4999,$S229)))</f>
      </c>
      <c r="H229" s="114">
        <f>IF($S229="","",$G$2+SUM($F$8:$F229)-SUM($G$8:$G229))</f>
      </c>
      <c r="Q229" s="44">
        <f>IF(数据录入!$B229="",0,IF(OR(数据录入!$D229="投标保证金",数据录入!$D229="合同履约保证金",ISNUMBER(FIND("保证金",数据录入!$E229))),1,0))</f>
      </c>
      <c r="R229" s="44">
        <f>IF(AND($Q229=1,数据录入!$B229&gt;=$B$2,数据录入!$B229&lt;=$D$2),N(R228)+1,N(R228))</f>
      </c>
      <c r="S229" s="44">
        <f>IFERROR(MATCH(222,$R$5:$R$4999,0),"")</f>
      </c>
    </row>
    <row r="230" s="44" customFormat="1" spans="1:23">
      <c r="A230" s="116">
        <f>IF($S230="","",INDEX(数据录入!$B$5:$B$4999,$S230))</f>
      </c>
      <c r="B230" s="44">
        <f>IF($S230="","",INDEX(数据录入!$C$5:$C$4999,$S230)&amp;"")</f>
      </c>
      <c r="C230" s="165">
        <f>IF($S230="","",IF(N($F230)&gt;0,"收款",IF(N($G230)&gt;0,"付款","")))</f>
      </c>
      <c r="D230" s="44">
        <f>IF($S230="","",IF((INDEX(数据录入!$I$5:$I$4999,$S230)&amp;"")&lt;&gt;"",INDEX(数据录入!$I$5:$I$4999,$S230)&amp;"",INDEX(数据录入!$J$5:$J$4999,$S230)&amp;""))</f>
      </c>
      <c r="E230" s="108">
        <f>IF($S230="","",INDEX(数据录入!$E$5:$E$4999,$S230)&amp;"")</f>
      </c>
      <c r="F230" s="114">
        <f>IF($S230="","",N(INDEX(数据录入!$F$5:$F$4999,$S230)))</f>
      </c>
      <c r="G230" s="114">
        <f>IF($S230="","",N(INDEX(数据录入!$G$5:$G$4999,$S230)))</f>
      </c>
      <c r="H230" s="114">
        <f>IF($S230="","",$G$2+SUM($F$8:$F230)-SUM($G$8:$G230))</f>
      </c>
      <c r="Q230" s="44">
        <f>IF(数据录入!$B230="",0,IF(OR(数据录入!$D230="投标保证金",数据录入!$D230="合同履约保证金",ISNUMBER(FIND("保证金",数据录入!$E230))),1,0))</f>
      </c>
      <c r="R230" s="44">
        <f>IF(AND($Q230=1,数据录入!$B230&gt;=$B$2,数据录入!$B230&lt;=$D$2),N(R229)+1,N(R229))</f>
      </c>
      <c r="S230" s="44">
        <f>IFERROR(MATCH(223,$R$5:$R$4999,0),"")</f>
      </c>
    </row>
    <row r="231" s="44" customFormat="1" spans="1:23">
      <c r="A231" s="116">
        <f>IF($S231="","",INDEX(数据录入!$B$5:$B$4999,$S231))</f>
      </c>
      <c r="B231" s="44">
        <f>IF($S231="","",INDEX(数据录入!$C$5:$C$4999,$S231)&amp;"")</f>
      </c>
      <c r="C231" s="165">
        <f>IF($S231="","",IF(N($F231)&gt;0,"收款",IF(N($G231)&gt;0,"付款","")))</f>
      </c>
      <c r="D231" s="44">
        <f>IF($S231="","",IF((INDEX(数据录入!$I$5:$I$4999,$S231)&amp;"")&lt;&gt;"",INDEX(数据录入!$I$5:$I$4999,$S231)&amp;"",INDEX(数据录入!$J$5:$J$4999,$S231)&amp;""))</f>
      </c>
      <c r="E231" s="108">
        <f>IF($S231="","",INDEX(数据录入!$E$5:$E$4999,$S231)&amp;"")</f>
      </c>
      <c r="F231" s="114">
        <f>IF($S231="","",N(INDEX(数据录入!$F$5:$F$4999,$S231)))</f>
      </c>
      <c r="G231" s="114">
        <f>IF($S231="","",N(INDEX(数据录入!$G$5:$G$4999,$S231)))</f>
      </c>
      <c r="H231" s="114">
        <f>IF($S231="","",$G$2+SUM($F$8:$F231)-SUM($G$8:$G231))</f>
      </c>
      <c r="Q231" s="44">
        <f>IF(数据录入!$B231="",0,IF(OR(数据录入!$D231="投标保证金",数据录入!$D231="合同履约保证金",ISNUMBER(FIND("保证金",数据录入!$E231))),1,0))</f>
      </c>
      <c r="R231" s="44">
        <f>IF(AND($Q231=1,数据录入!$B231&gt;=$B$2,数据录入!$B231&lt;=$D$2),N(R230)+1,N(R230))</f>
      </c>
      <c r="S231" s="44">
        <f>IFERROR(MATCH(224,$R$5:$R$4999,0),"")</f>
      </c>
    </row>
    <row r="232" s="44" customFormat="1" spans="1:23">
      <c r="A232" s="116">
        <f>IF($S232="","",INDEX(数据录入!$B$5:$B$4999,$S232))</f>
      </c>
      <c r="B232" s="44">
        <f>IF($S232="","",INDEX(数据录入!$C$5:$C$4999,$S232)&amp;"")</f>
      </c>
      <c r="C232" s="165">
        <f>IF($S232="","",IF(N($F232)&gt;0,"收款",IF(N($G232)&gt;0,"付款","")))</f>
      </c>
      <c r="D232" s="44">
        <f>IF($S232="","",IF((INDEX(数据录入!$I$5:$I$4999,$S232)&amp;"")&lt;&gt;"",INDEX(数据录入!$I$5:$I$4999,$S232)&amp;"",INDEX(数据录入!$J$5:$J$4999,$S232)&amp;""))</f>
      </c>
      <c r="E232" s="108">
        <f>IF($S232="","",INDEX(数据录入!$E$5:$E$4999,$S232)&amp;"")</f>
      </c>
      <c r="F232" s="114">
        <f>IF($S232="","",N(INDEX(数据录入!$F$5:$F$4999,$S232)))</f>
      </c>
      <c r="G232" s="114">
        <f>IF($S232="","",N(INDEX(数据录入!$G$5:$G$4999,$S232)))</f>
      </c>
      <c r="H232" s="114">
        <f>IF($S232="","",$G$2+SUM($F$8:$F232)-SUM($G$8:$G232))</f>
      </c>
      <c r="Q232" s="44">
        <f>IF(数据录入!$B232="",0,IF(OR(数据录入!$D232="投标保证金",数据录入!$D232="合同履约保证金",ISNUMBER(FIND("保证金",数据录入!$E232))),1,0))</f>
      </c>
      <c r="R232" s="44">
        <f>IF(AND($Q232=1,数据录入!$B232&gt;=$B$2,数据录入!$B232&lt;=$D$2),N(R231)+1,N(R231))</f>
      </c>
      <c r="S232" s="44">
        <f>IFERROR(MATCH(225,$R$5:$R$4999,0),"")</f>
      </c>
    </row>
    <row r="233" s="44" customFormat="1" spans="1:23">
      <c r="A233" s="116">
        <f>IF($S233="","",INDEX(数据录入!$B$5:$B$4999,$S233))</f>
      </c>
      <c r="B233" s="44">
        <f>IF($S233="","",INDEX(数据录入!$C$5:$C$4999,$S233)&amp;"")</f>
      </c>
      <c r="C233" s="165">
        <f>IF($S233="","",IF(N($F233)&gt;0,"收款",IF(N($G233)&gt;0,"付款","")))</f>
      </c>
      <c r="D233" s="44">
        <f>IF($S233="","",IF((INDEX(数据录入!$I$5:$I$4999,$S233)&amp;"")&lt;&gt;"",INDEX(数据录入!$I$5:$I$4999,$S233)&amp;"",INDEX(数据录入!$J$5:$J$4999,$S233)&amp;""))</f>
      </c>
      <c r="E233" s="108">
        <f>IF($S233="","",INDEX(数据录入!$E$5:$E$4999,$S233)&amp;"")</f>
      </c>
      <c r="F233" s="114">
        <f>IF($S233="","",N(INDEX(数据录入!$F$5:$F$4999,$S233)))</f>
      </c>
      <c r="G233" s="114">
        <f>IF($S233="","",N(INDEX(数据录入!$G$5:$G$4999,$S233)))</f>
      </c>
      <c r="H233" s="114">
        <f>IF($S233="","",$G$2+SUM($F$8:$F233)-SUM($G$8:$G233))</f>
      </c>
      <c r="Q233" s="44">
        <f>IF(数据录入!$B233="",0,IF(OR(数据录入!$D233="投标保证金",数据录入!$D233="合同履约保证金",ISNUMBER(FIND("保证金",数据录入!$E233))),1,0))</f>
      </c>
      <c r="R233" s="44">
        <f>IF(AND($Q233=1,数据录入!$B233&gt;=$B$2,数据录入!$B233&lt;=$D$2),N(R232)+1,N(R232))</f>
      </c>
      <c r="S233" s="44">
        <f>IFERROR(MATCH(226,$R$5:$R$4999,0),"")</f>
      </c>
    </row>
    <row r="234" s="44" customFormat="1" spans="1:23">
      <c r="A234" s="116">
        <f>IF($S234="","",INDEX(数据录入!$B$5:$B$4999,$S234))</f>
      </c>
      <c r="B234" s="44">
        <f>IF($S234="","",INDEX(数据录入!$C$5:$C$4999,$S234)&amp;"")</f>
      </c>
      <c r="C234" s="165">
        <f>IF($S234="","",IF(N($F234)&gt;0,"收款",IF(N($G234)&gt;0,"付款","")))</f>
      </c>
      <c r="D234" s="44">
        <f>IF($S234="","",IF((INDEX(数据录入!$I$5:$I$4999,$S234)&amp;"")&lt;&gt;"",INDEX(数据录入!$I$5:$I$4999,$S234)&amp;"",INDEX(数据录入!$J$5:$J$4999,$S234)&amp;""))</f>
      </c>
      <c r="E234" s="108">
        <f>IF($S234="","",INDEX(数据录入!$E$5:$E$4999,$S234)&amp;"")</f>
      </c>
      <c r="F234" s="114">
        <f>IF($S234="","",N(INDEX(数据录入!$F$5:$F$4999,$S234)))</f>
      </c>
      <c r="G234" s="114">
        <f>IF($S234="","",N(INDEX(数据录入!$G$5:$G$4999,$S234)))</f>
      </c>
      <c r="H234" s="114">
        <f>IF($S234="","",$G$2+SUM($F$8:$F234)-SUM($G$8:$G234))</f>
      </c>
      <c r="Q234" s="44">
        <f>IF(数据录入!$B234="",0,IF(OR(数据录入!$D234="投标保证金",数据录入!$D234="合同履约保证金",ISNUMBER(FIND("保证金",数据录入!$E234))),1,0))</f>
      </c>
      <c r="R234" s="44">
        <f>IF(AND($Q234=1,数据录入!$B234&gt;=$B$2,数据录入!$B234&lt;=$D$2),N(R233)+1,N(R233))</f>
      </c>
      <c r="S234" s="44">
        <f>IFERROR(MATCH(227,$R$5:$R$4999,0),"")</f>
      </c>
    </row>
    <row r="235" s="44" customFormat="1" spans="1:23">
      <c r="A235" s="116">
        <f>IF($S235="","",INDEX(数据录入!$B$5:$B$4999,$S235))</f>
      </c>
      <c r="B235" s="44">
        <f>IF($S235="","",INDEX(数据录入!$C$5:$C$4999,$S235)&amp;"")</f>
      </c>
      <c r="C235" s="165">
        <f>IF($S235="","",IF(N($F235)&gt;0,"收款",IF(N($G235)&gt;0,"付款","")))</f>
      </c>
      <c r="D235" s="44">
        <f>IF($S235="","",IF((INDEX(数据录入!$I$5:$I$4999,$S235)&amp;"")&lt;&gt;"",INDEX(数据录入!$I$5:$I$4999,$S235)&amp;"",INDEX(数据录入!$J$5:$J$4999,$S235)&amp;""))</f>
      </c>
      <c r="E235" s="108">
        <f>IF($S235="","",INDEX(数据录入!$E$5:$E$4999,$S235)&amp;"")</f>
      </c>
      <c r="F235" s="114">
        <f>IF($S235="","",N(INDEX(数据录入!$F$5:$F$4999,$S235)))</f>
      </c>
      <c r="G235" s="114">
        <f>IF($S235="","",N(INDEX(数据录入!$G$5:$G$4999,$S235)))</f>
      </c>
      <c r="H235" s="114">
        <f>IF($S235="","",$G$2+SUM($F$8:$F235)-SUM($G$8:$G235))</f>
      </c>
      <c r="Q235" s="44">
        <f>IF(数据录入!$B235="",0,IF(OR(数据录入!$D235="投标保证金",数据录入!$D235="合同履约保证金",ISNUMBER(FIND("保证金",数据录入!$E235))),1,0))</f>
      </c>
      <c r="R235" s="44">
        <f>IF(AND($Q235=1,数据录入!$B235&gt;=$B$2,数据录入!$B235&lt;=$D$2),N(R234)+1,N(R234))</f>
      </c>
      <c r="S235" s="44">
        <f>IFERROR(MATCH(228,$R$5:$R$4999,0),"")</f>
      </c>
    </row>
    <row r="236" s="44" customFormat="1" spans="1:23">
      <c r="A236" s="116">
        <f>IF($S236="","",INDEX(数据录入!$B$5:$B$4999,$S236))</f>
      </c>
      <c r="B236" s="44">
        <f>IF($S236="","",INDEX(数据录入!$C$5:$C$4999,$S236)&amp;"")</f>
      </c>
      <c r="C236" s="165">
        <f>IF($S236="","",IF(N($F236)&gt;0,"收款",IF(N($G236)&gt;0,"付款","")))</f>
      </c>
      <c r="D236" s="44">
        <f>IF($S236="","",IF((INDEX(数据录入!$I$5:$I$4999,$S236)&amp;"")&lt;&gt;"",INDEX(数据录入!$I$5:$I$4999,$S236)&amp;"",INDEX(数据录入!$J$5:$J$4999,$S236)&amp;""))</f>
      </c>
      <c r="E236" s="108">
        <f>IF($S236="","",INDEX(数据录入!$E$5:$E$4999,$S236)&amp;"")</f>
      </c>
      <c r="F236" s="114">
        <f>IF($S236="","",N(INDEX(数据录入!$F$5:$F$4999,$S236)))</f>
      </c>
      <c r="G236" s="114">
        <f>IF($S236="","",N(INDEX(数据录入!$G$5:$G$4999,$S236)))</f>
      </c>
      <c r="H236" s="114">
        <f>IF($S236="","",$G$2+SUM($F$8:$F236)-SUM($G$8:$G236))</f>
      </c>
      <c r="Q236" s="44">
        <f>IF(数据录入!$B236="",0,IF(OR(数据录入!$D236="投标保证金",数据录入!$D236="合同履约保证金",ISNUMBER(FIND("保证金",数据录入!$E236))),1,0))</f>
      </c>
      <c r="R236" s="44">
        <f>IF(AND($Q236=1,数据录入!$B236&gt;=$B$2,数据录入!$B236&lt;=$D$2),N(R235)+1,N(R235))</f>
      </c>
      <c r="S236" s="44">
        <f>IFERROR(MATCH(229,$R$5:$R$4999,0),"")</f>
      </c>
    </row>
    <row r="237" s="44" customFormat="1" spans="1:23">
      <c r="A237" s="116">
        <f>IF($S237="","",INDEX(数据录入!$B$5:$B$4999,$S237))</f>
      </c>
      <c r="B237" s="44">
        <f>IF($S237="","",INDEX(数据录入!$C$5:$C$4999,$S237)&amp;"")</f>
      </c>
      <c r="C237" s="165">
        <f>IF($S237="","",IF(N($F237)&gt;0,"收款",IF(N($G237)&gt;0,"付款","")))</f>
      </c>
      <c r="D237" s="44">
        <f>IF($S237="","",IF((INDEX(数据录入!$I$5:$I$4999,$S237)&amp;"")&lt;&gt;"",INDEX(数据录入!$I$5:$I$4999,$S237)&amp;"",INDEX(数据录入!$J$5:$J$4999,$S237)&amp;""))</f>
      </c>
      <c r="E237" s="108">
        <f>IF($S237="","",INDEX(数据录入!$E$5:$E$4999,$S237)&amp;"")</f>
      </c>
      <c r="F237" s="114">
        <f>IF($S237="","",N(INDEX(数据录入!$F$5:$F$4999,$S237)))</f>
      </c>
      <c r="G237" s="114">
        <f>IF($S237="","",N(INDEX(数据录入!$G$5:$G$4999,$S237)))</f>
      </c>
      <c r="H237" s="114">
        <f>IF($S237="","",$G$2+SUM($F$8:$F237)-SUM($G$8:$G237))</f>
      </c>
      <c r="Q237" s="44">
        <f>IF(数据录入!$B237="",0,IF(OR(数据录入!$D237="投标保证金",数据录入!$D237="合同履约保证金",ISNUMBER(FIND("保证金",数据录入!$E237))),1,0))</f>
      </c>
      <c r="R237" s="44">
        <f>IF(AND($Q237=1,数据录入!$B237&gt;=$B$2,数据录入!$B237&lt;=$D$2),N(R236)+1,N(R236))</f>
      </c>
      <c r="S237" s="44">
        <f>IFERROR(MATCH(230,$R$5:$R$4999,0),"")</f>
      </c>
    </row>
    <row r="238" s="44" customFormat="1" spans="1:23">
      <c r="A238" s="116">
        <f>IF($S238="","",INDEX(数据录入!$B$5:$B$4999,$S238))</f>
      </c>
      <c r="B238" s="44">
        <f>IF($S238="","",INDEX(数据录入!$C$5:$C$4999,$S238)&amp;"")</f>
      </c>
      <c r="C238" s="165">
        <f>IF($S238="","",IF(N($F238)&gt;0,"收款",IF(N($G238)&gt;0,"付款","")))</f>
      </c>
      <c r="D238" s="44">
        <f>IF($S238="","",IF((INDEX(数据录入!$I$5:$I$4999,$S238)&amp;"")&lt;&gt;"",INDEX(数据录入!$I$5:$I$4999,$S238)&amp;"",INDEX(数据录入!$J$5:$J$4999,$S238)&amp;""))</f>
      </c>
      <c r="E238" s="108">
        <f>IF($S238="","",INDEX(数据录入!$E$5:$E$4999,$S238)&amp;"")</f>
      </c>
      <c r="F238" s="114">
        <f>IF($S238="","",N(INDEX(数据录入!$F$5:$F$4999,$S238)))</f>
      </c>
      <c r="G238" s="114">
        <f>IF($S238="","",N(INDEX(数据录入!$G$5:$G$4999,$S238)))</f>
      </c>
      <c r="H238" s="114">
        <f>IF($S238="","",$G$2+SUM($F$8:$F238)-SUM($G$8:$G238))</f>
      </c>
      <c r="Q238" s="44">
        <f>IF(数据录入!$B238="",0,IF(OR(数据录入!$D238="投标保证金",数据录入!$D238="合同履约保证金",ISNUMBER(FIND("保证金",数据录入!$E238))),1,0))</f>
      </c>
      <c r="R238" s="44">
        <f>IF(AND($Q238=1,数据录入!$B238&gt;=$B$2,数据录入!$B238&lt;=$D$2),N(R237)+1,N(R237))</f>
      </c>
      <c r="S238" s="44">
        <f>IFERROR(MATCH(231,$R$5:$R$4999,0),"")</f>
      </c>
    </row>
    <row r="239" s="44" customFormat="1" spans="1:23">
      <c r="A239" s="116">
        <f>IF($S239="","",INDEX(数据录入!$B$5:$B$4999,$S239))</f>
      </c>
      <c r="B239" s="44">
        <f>IF($S239="","",INDEX(数据录入!$C$5:$C$4999,$S239)&amp;"")</f>
      </c>
      <c r="C239" s="165">
        <f>IF($S239="","",IF(N($F239)&gt;0,"收款",IF(N($G239)&gt;0,"付款","")))</f>
      </c>
      <c r="D239" s="44">
        <f>IF($S239="","",IF((INDEX(数据录入!$I$5:$I$4999,$S239)&amp;"")&lt;&gt;"",INDEX(数据录入!$I$5:$I$4999,$S239)&amp;"",INDEX(数据录入!$J$5:$J$4999,$S239)&amp;""))</f>
      </c>
      <c r="E239" s="108">
        <f>IF($S239="","",INDEX(数据录入!$E$5:$E$4999,$S239)&amp;"")</f>
      </c>
      <c r="F239" s="114">
        <f>IF($S239="","",N(INDEX(数据录入!$F$5:$F$4999,$S239)))</f>
      </c>
      <c r="G239" s="114">
        <f>IF($S239="","",N(INDEX(数据录入!$G$5:$G$4999,$S239)))</f>
      </c>
      <c r="H239" s="114">
        <f>IF($S239="","",$G$2+SUM($F$8:$F239)-SUM($G$8:$G239))</f>
      </c>
      <c r="Q239" s="44">
        <f>IF(数据录入!$B239="",0,IF(OR(数据录入!$D239="投标保证金",数据录入!$D239="合同履约保证金",ISNUMBER(FIND("保证金",数据录入!$E239))),1,0))</f>
      </c>
      <c r="R239" s="44">
        <f>IF(AND($Q239=1,数据录入!$B239&gt;=$B$2,数据录入!$B239&lt;=$D$2),N(R238)+1,N(R238))</f>
      </c>
      <c r="S239" s="44">
        <f>IFERROR(MATCH(232,$R$5:$R$4999,0),"")</f>
      </c>
    </row>
    <row r="240" s="44" customFormat="1" spans="1:23">
      <c r="A240" s="116">
        <f>IF($S240="","",INDEX(数据录入!$B$5:$B$4999,$S240))</f>
      </c>
      <c r="B240" s="44">
        <f>IF($S240="","",INDEX(数据录入!$C$5:$C$4999,$S240)&amp;"")</f>
      </c>
      <c r="C240" s="165">
        <f>IF($S240="","",IF(N($F240)&gt;0,"收款",IF(N($G240)&gt;0,"付款","")))</f>
      </c>
      <c r="D240" s="44">
        <f>IF($S240="","",IF((INDEX(数据录入!$I$5:$I$4999,$S240)&amp;"")&lt;&gt;"",INDEX(数据录入!$I$5:$I$4999,$S240)&amp;"",INDEX(数据录入!$J$5:$J$4999,$S240)&amp;""))</f>
      </c>
      <c r="E240" s="108">
        <f>IF($S240="","",INDEX(数据录入!$E$5:$E$4999,$S240)&amp;"")</f>
      </c>
      <c r="F240" s="114">
        <f>IF($S240="","",N(INDEX(数据录入!$F$5:$F$4999,$S240)))</f>
      </c>
      <c r="G240" s="114">
        <f>IF($S240="","",N(INDEX(数据录入!$G$5:$G$4999,$S240)))</f>
      </c>
      <c r="H240" s="114">
        <f>IF($S240="","",$G$2+SUM($F$8:$F240)-SUM($G$8:$G240))</f>
      </c>
      <c r="Q240" s="44">
        <f>IF(数据录入!$B240="",0,IF(OR(数据录入!$D240="投标保证金",数据录入!$D240="合同履约保证金",ISNUMBER(FIND("保证金",数据录入!$E240))),1,0))</f>
      </c>
      <c r="R240" s="44">
        <f>IF(AND($Q240=1,数据录入!$B240&gt;=$B$2,数据录入!$B240&lt;=$D$2),N(R239)+1,N(R239))</f>
      </c>
      <c r="S240" s="44">
        <f>IFERROR(MATCH(233,$R$5:$R$4999,0),"")</f>
      </c>
    </row>
    <row r="241" s="44" customFormat="1" spans="1:23">
      <c r="A241" s="116">
        <f>IF($S241="","",INDEX(数据录入!$B$5:$B$4999,$S241))</f>
      </c>
      <c r="B241" s="44">
        <f>IF($S241="","",INDEX(数据录入!$C$5:$C$4999,$S241)&amp;"")</f>
      </c>
      <c r="C241" s="165">
        <f>IF($S241="","",IF(N($F241)&gt;0,"收款",IF(N($G241)&gt;0,"付款","")))</f>
      </c>
      <c r="D241" s="44">
        <f>IF($S241="","",IF((INDEX(数据录入!$I$5:$I$4999,$S241)&amp;"")&lt;&gt;"",INDEX(数据录入!$I$5:$I$4999,$S241)&amp;"",INDEX(数据录入!$J$5:$J$4999,$S241)&amp;""))</f>
      </c>
      <c r="E241" s="108">
        <f>IF($S241="","",INDEX(数据录入!$E$5:$E$4999,$S241)&amp;"")</f>
      </c>
      <c r="F241" s="114">
        <f>IF($S241="","",N(INDEX(数据录入!$F$5:$F$4999,$S241)))</f>
      </c>
      <c r="G241" s="114">
        <f>IF($S241="","",N(INDEX(数据录入!$G$5:$G$4999,$S241)))</f>
      </c>
      <c r="H241" s="114">
        <f>IF($S241="","",$G$2+SUM($F$8:$F241)-SUM($G$8:$G241))</f>
      </c>
      <c r="Q241" s="44">
        <f>IF(数据录入!$B241="",0,IF(OR(数据录入!$D241="投标保证金",数据录入!$D241="合同履约保证金",ISNUMBER(FIND("保证金",数据录入!$E241))),1,0))</f>
      </c>
      <c r="R241" s="44">
        <f>IF(AND($Q241=1,数据录入!$B241&gt;=$B$2,数据录入!$B241&lt;=$D$2),N(R240)+1,N(R240))</f>
      </c>
      <c r="S241" s="44">
        <f>IFERROR(MATCH(234,$R$5:$R$4999,0),"")</f>
      </c>
    </row>
    <row r="242" s="44" customFormat="1" spans="1:23">
      <c r="A242" s="116">
        <f>IF($S242="","",INDEX(数据录入!$B$5:$B$4999,$S242))</f>
      </c>
      <c r="B242" s="44">
        <f>IF($S242="","",INDEX(数据录入!$C$5:$C$4999,$S242)&amp;"")</f>
      </c>
      <c r="C242" s="165">
        <f>IF($S242="","",IF(N($F242)&gt;0,"收款",IF(N($G242)&gt;0,"付款","")))</f>
      </c>
      <c r="D242" s="44">
        <f>IF($S242="","",IF((INDEX(数据录入!$I$5:$I$4999,$S242)&amp;"")&lt;&gt;"",INDEX(数据录入!$I$5:$I$4999,$S242)&amp;"",INDEX(数据录入!$J$5:$J$4999,$S242)&amp;""))</f>
      </c>
      <c r="E242" s="108">
        <f>IF($S242="","",INDEX(数据录入!$E$5:$E$4999,$S242)&amp;"")</f>
      </c>
      <c r="F242" s="114">
        <f>IF($S242="","",N(INDEX(数据录入!$F$5:$F$4999,$S242)))</f>
      </c>
      <c r="G242" s="114">
        <f>IF($S242="","",N(INDEX(数据录入!$G$5:$G$4999,$S242)))</f>
      </c>
      <c r="H242" s="114">
        <f>IF($S242="","",$G$2+SUM($F$8:$F242)-SUM($G$8:$G242))</f>
      </c>
      <c r="Q242" s="44">
        <f>IF(数据录入!$B242="",0,IF(OR(数据录入!$D242="投标保证金",数据录入!$D242="合同履约保证金",ISNUMBER(FIND("保证金",数据录入!$E242))),1,0))</f>
      </c>
      <c r="R242" s="44">
        <f>IF(AND($Q242=1,数据录入!$B242&gt;=$B$2,数据录入!$B242&lt;=$D$2),N(R241)+1,N(R241))</f>
      </c>
      <c r="S242" s="44">
        <f>IFERROR(MATCH(235,$R$5:$R$4999,0),"")</f>
      </c>
    </row>
    <row r="243" s="44" customFormat="1" spans="1:23">
      <c r="A243" s="116">
        <f>IF($S243="","",INDEX(数据录入!$B$5:$B$4999,$S243))</f>
      </c>
      <c r="B243" s="44">
        <f>IF($S243="","",INDEX(数据录入!$C$5:$C$4999,$S243)&amp;"")</f>
      </c>
      <c r="C243" s="165">
        <f>IF($S243="","",IF(N($F243)&gt;0,"收款",IF(N($G243)&gt;0,"付款","")))</f>
      </c>
      <c r="D243" s="44">
        <f>IF($S243="","",IF((INDEX(数据录入!$I$5:$I$4999,$S243)&amp;"")&lt;&gt;"",INDEX(数据录入!$I$5:$I$4999,$S243)&amp;"",INDEX(数据录入!$J$5:$J$4999,$S243)&amp;""))</f>
      </c>
      <c r="E243" s="108">
        <f>IF($S243="","",INDEX(数据录入!$E$5:$E$4999,$S243)&amp;"")</f>
      </c>
      <c r="F243" s="114">
        <f>IF($S243="","",N(INDEX(数据录入!$F$5:$F$4999,$S243)))</f>
      </c>
      <c r="G243" s="114">
        <f>IF($S243="","",N(INDEX(数据录入!$G$5:$G$4999,$S243)))</f>
      </c>
      <c r="H243" s="114">
        <f>IF($S243="","",$G$2+SUM($F$8:$F243)-SUM($G$8:$G243))</f>
      </c>
      <c r="Q243" s="44">
        <f>IF(数据录入!$B243="",0,IF(OR(数据录入!$D243="投标保证金",数据录入!$D243="合同履约保证金",ISNUMBER(FIND("保证金",数据录入!$E243))),1,0))</f>
      </c>
      <c r="R243" s="44">
        <f>IF(AND($Q243=1,数据录入!$B243&gt;=$B$2,数据录入!$B243&lt;=$D$2),N(R242)+1,N(R242))</f>
      </c>
      <c r="S243" s="44">
        <f>IFERROR(MATCH(236,$R$5:$R$4999,0),"")</f>
      </c>
    </row>
    <row r="244" s="44" customFormat="1" spans="1:23">
      <c r="A244" s="116">
        <f>IF($S244="","",INDEX(数据录入!$B$5:$B$4999,$S244))</f>
      </c>
      <c r="B244" s="44">
        <f>IF($S244="","",INDEX(数据录入!$C$5:$C$4999,$S244)&amp;"")</f>
      </c>
      <c r="C244" s="165">
        <f>IF($S244="","",IF(N($F244)&gt;0,"收款",IF(N($G244)&gt;0,"付款","")))</f>
      </c>
      <c r="D244" s="44">
        <f>IF($S244="","",IF((INDEX(数据录入!$I$5:$I$4999,$S244)&amp;"")&lt;&gt;"",INDEX(数据录入!$I$5:$I$4999,$S244)&amp;"",INDEX(数据录入!$J$5:$J$4999,$S244)&amp;""))</f>
      </c>
      <c r="E244" s="108">
        <f>IF($S244="","",INDEX(数据录入!$E$5:$E$4999,$S244)&amp;"")</f>
      </c>
      <c r="F244" s="114">
        <f>IF($S244="","",N(INDEX(数据录入!$F$5:$F$4999,$S244)))</f>
      </c>
      <c r="G244" s="114">
        <f>IF($S244="","",N(INDEX(数据录入!$G$5:$G$4999,$S244)))</f>
      </c>
      <c r="H244" s="114">
        <f>IF($S244="","",$G$2+SUM($F$8:$F244)-SUM($G$8:$G244))</f>
      </c>
      <c r="Q244" s="44">
        <f>IF(数据录入!$B244="",0,IF(OR(数据录入!$D244="投标保证金",数据录入!$D244="合同履约保证金",ISNUMBER(FIND("保证金",数据录入!$E244))),1,0))</f>
      </c>
      <c r="R244" s="44">
        <f>IF(AND($Q244=1,数据录入!$B244&gt;=$B$2,数据录入!$B244&lt;=$D$2),N(R243)+1,N(R243))</f>
      </c>
      <c r="S244" s="44">
        <f>IFERROR(MATCH(237,$R$5:$R$4999,0),"")</f>
      </c>
    </row>
    <row r="245" s="44" customFormat="1" spans="1:23">
      <c r="A245" s="116">
        <f>IF($S245="","",INDEX(数据录入!$B$5:$B$4999,$S245))</f>
      </c>
      <c r="B245" s="44">
        <f>IF($S245="","",INDEX(数据录入!$C$5:$C$4999,$S245)&amp;"")</f>
      </c>
      <c r="C245" s="165">
        <f>IF($S245="","",IF(N($F245)&gt;0,"收款",IF(N($G245)&gt;0,"付款","")))</f>
      </c>
      <c r="D245" s="44">
        <f>IF($S245="","",IF((INDEX(数据录入!$I$5:$I$4999,$S245)&amp;"")&lt;&gt;"",INDEX(数据录入!$I$5:$I$4999,$S245)&amp;"",INDEX(数据录入!$J$5:$J$4999,$S245)&amp;""))</f>
      </c>
      <c r="E245" s="108">
        <f>IF($S245="","",INDEX(数据录入!$E$5:$E$4999,$S245)&amp;"")</f>
      </c>
      <c r="F245" s="114">
        <f>IF($S245="","",N(INDEX(数据录入!$F$5:$F$4999,$S245)))</f>
      </c>
      <c r="G245" s="114">
        <f>IF($S245="","",N(INDEX(数据录入!$G$5:$G$4999,$S245)))</f>
      </c>
      <c r="H245" s="114">
        <f>IF($S245="","",$G$2+SUM($F$8:$F245)-SUM($G$8:$G245))</f>
      </c>
      <c r="Q245" s="44">
        <f>IF(数据录入!$B245="",0,IF(OR(数据录入!$D245="投标保证金",数据录入!$D245="合同履约保证金",ISNUMBER(FIND("保证金",数据录入!$E245))),1,0))</f>
      </c>
      <c r="R245" s="44">
        <f>IF(AND($Q245=1,数据录入!$B245&gt;=$B$2,数据录入!$B245&lt;=$D$2),N(R244)+1,N(R244))</f>
      </c>
      <c r="S245" s="44">
        <f>IFERROR(MATCH(238,$R$5:$R$4999,0),"")</f>
      </c>
    </row>
    <row r="246" s="44" customFormat="1" spans="1:23">
      <c r="A246" s="116">
        <f>IF($S246="","",INDEX(数据录入!$B$5:$B$4999,$S246))</f>
      </c>
      <c r="B246" s="44">
        <f>IF($S246="","",INDEX(数据录入!$C$5:$C$4999,$S246)&amp;"")</f>
      </c>
      <c r="C246" s="165">
        <f>IF($S246="","",IF(N($F246)&gt;0,"收款",IF(N($G246)&gt;0,"付款","")))</f>
      </c>
      <c r="D246" s="44">
        <f>IF($S246="","",IF((INDEX(数据录入!$I$5:$I$4999,$S246)&amp;"")&lt;&gt;"",INDEX(数据录入!$I$5:$I$4999,$S246)&amp;"",INDEX(数据录入!$J$5:$J$4999,$S246)&amp;""))</f>
      </c>
      <c r="E246" s="108">
        <f>IF($S246="","",INDEX(数据录入!$E$5:$E$4999,$S246)&amp;"")</f>
      </c>
      <c r="F246" s="114">
        <f>IF($S246="","",N(INDEX(数据录入!$F$5:$F$4999,$S246)))</f>
      </c>
      <c r="G246" s="114">
        <f>IF($S246="","",N(INDEX(数据录入!$G$5:$G$4999,$S246)))</f>
      </c>
      <c r="H246" s="114">
        <f>IF($S246="","",$G$2+SUM($F$8:$F246)-SUM($G$8:$G246))</f>
      </c>
      <c r="Q246" s="44">
        <f>IF(数据录入!$B246="",0,IF(OR(数据录入!$D246="投标保证金",数据录入!$D246="合同履约保证金",ISNUMBER(FIND("保证金",数据录入!$E246))),1,0))</f>
      </c>
      <c r="R246" s="44">
        <f>IF(AND($Q246=1,数据录入!$B246&gt;=$B$2,数据录入!$B246&lt;=$D$2),N(R245)+1,N(R245))</f>
      </c>
      <c r="S246" s="44">
        <f>IFERROR(MATCH(239,$R$5:$R$4999,0),"")</f>
      </c>
    </row>
    <row r="247" s="44" customFormat="1" spans="1:23">
      <c r="A247" s="116">
        <f>IF($S247="","",INDEX(数据录入!$B$5:$B$4999,$S247))</f>
      </c>
      <c r="B247" s="44">
        <f>IF($S247="","",INDEX(数据录入!$C$5:$C$4999,$S247)&amp;"")</f>
      </c>
      <c r="C247" s="165">
        <f>IF($S247="","",IF(N($F247)&gt;0,"收款",IF(N($G247)&gt;0,"付款","")))</f>
      </c>
      <c r="D247" s="44">
        <f>IF($S247="","",IF((INDEX(数据录入!$I$5:$I$4999,$S247)&amp;"")&lt;&gt;"",INDEX(数据录入!$I$5:$I$4999,$S247)&amp;"",INDEX(数据录入!$J$5:$J$4999,$S247)&amp;""))</f>
      </c>
      <c r="E247" s="108">
        <f>IF($S247="","",INDEX(数据录入!$E$5:$E$4999,$S247)&amp;"")</f>
      </c>
      <c r="F247" s="114">
        <f>IF($S247="","",N(INDEX(数据录入!$F$5:$F$4999,$S247)))</f>
      </c>
      <c r="G247" s="114">
        <f>IF($S247="","",N(INDEX(数据录入!$G$5:$G$4999,$S247)))</f>
      </c>
      <c r="H247" s="114">
        <f>IF($S247="","",$G$2+SUM($F$8:$F247)-SUM($G$8:$G247))</f>
      </c>
      <c r="Q247" s="44">
        <f>IF(数据录入!$B247="",0,IF(OR(数据录入!$D247="投标保证金",数据录入!$D247="合同履约保证金",ISNUMBER(FIND("保证金",数据录入!$E247))),1,0))</f>
      </c>
      <c r="R247" s="44">
        <f>IF(AND($Q247=1,数据录入!$B247&gt;=$B$2,数据录入!$B247&lt;=$D$2),N(R246)+1,N(R246))</f>
      </c>
      <c r="S247" s="44">
        <f>IFERROR(MATCH(240,$R$5:$R$4999,0),"")</f>
      </c>
    </row>
    <row r="248" s="44" customFormat="1" spans="1:23">
      <c r="A248" s="116">
        <f>IF($S248="","",INDEX(数据录入!$B$5:$B$4999,$S248))</f>
      </c>
      <c r="B248" s="44">
        <f>IF($S248="","",INDEX(数据录入!$C$5:$C$4999,$S248)&amp;"")</f>
      </c>
      <c r="C248" s="165">
        <f>IF($S248="","",IF(N($F248)&gt;0,"收款",IF(N($G248)&gt;0,"付款","")))</f>
      </c>
      <c r="D248" s="44">
        <f>IF($S248="","",IF((INDEX(数据录入!$I$5:$I$4999,$S248)&amp;"")&lt;&gt;"",INDEX(数据录入!$I$5:$I$4999,$S248)&amp;"",INDEX(数据录入!$J$5:$J$4999,$S248)&amp;""))</f>
      </c>
      <c r="E248" s="108">
        <f>IF($S248="","",INDEX(数据录入!$E$5:$E$4999,$S248)&amp;"")</f>
      </c>
      <c r="F248" s="114">
        <f>IF($S248="","",N(INDEX(数据录入!$F$5:$F$4999,$S248)))</f>
      </c>
      <c r="G248" s="114">
        <f>IF($S248="","",N(INDEX(数据录入!$G$5:$G$4999,$S248)))</f>
      </c>
      <c r="H248" s="114">
        <f>IF($S248="","",$G$2+SUM($F$8:$F248)-SUM($G$8:$G248))</f>
      </c>
      <c r="Q248" s="44">
        <f>IF(数据录入!$B248="",0,IF(OR(数据录入!$D248="投标保证金",数据录入!$D248="合同履约保证金",ISNUMBER(FIND("保证金",数据录入!$E248))),1,0))</f>
      </c>
      <c r="R248" s="44">
        <f>IF(AND($Q248=1,数据录入!$B248&gt;=$B$2,数据录入!$B248&lt;=$D$2),N(R247)+1,N(R247))</f>
      </c>
      <c r="S248" s="44">
        <f>IFERROR(MATCH(241,$R$5:$R$4999,0),"")</f>
      </c>
    </row>
    <row r="249" s="44" customFormat="1" spans="1:23">
      <c r="A249" s="116">
        <f>IF($S249="","",INDEX(数据录入!$B$5:$B$4999,$S249))</f>
      </c>
      <c r="B249" s="44">
        <f>IF($S249="","",INDEX(数据录入!$C$5:$C$4999,$S249)&amp;"")</f>
      </c>
      <c r="C249" s="165">
        <f>IF($S249="","",IF(N($F249)&gt;0,"收款",IF(N($G249)&gt;0,"付款","")))</f>
      </c>
      <c r="D249" s="44">
        <f>IF($S249="","",IF((INDEX(数据录入!$I$5:$I$4999,$S249)&amp;"")&lt;&gt;"",INDEX(数据录入!$I$5:$I$4999,$S249)&amp;"",INDEX(数据录入!$J$5:$J$4999,$S249)&amp;""))</f>
      </c>
      <c r="E249" s="108">
        <f>IF($S249="","",INDEX(数据录入!$E$5:$E$4999,$S249)&amp;"")</f>
      </c>
      <c r="F249" s="114">
        <f>IF($S249="","",N(INDEX(数据录入!$F$5:$F$4999,$S249)))</f>
      </c>
      <c r="G249" s="114">
        <f>IF($S249="","",N(INDEX(数据录入!$G$5:$G$4999,$S249)))</f>
      </c>
      <c r="H249" s="114">
        <f>IF($S249="","",$G$2+SUM($F$8:$F249)-SUM($G$8:$G249))</f>
      </c>
      <c r="Q249" s="44">
        <f>IF(数据录入!$B249="",0,IF(OR(数据录入!$D249="投标保证金",数据录入!$D249="合同履约保证金",ISNUMBER(FIND("保证金",数据录入!$E249))),1,0))</f>
      </c>
      <c r="R249" s="44">
        <f>IF(AND($Q249=1,数据录入!$B249&gt;=$B$2,数据录入!$B249&lt;=$D$2),N(R248)+1,N(R248))</f>
      </c>
      <c r="S249" s="44">
        <f>IFERROR(MATCH(242,$R$5:$R$4999,0),"")</f>
      </c>
    </row>
    <row r="250" s="44" customFormat="1" spans="1:23">
      <c r="A250" s="116">
        <f>IF($S250="","",INDEX(数据录入!$B$5:$B$4999,$S250))</f>
      </c>
      <c r="B250" s="44">
        <f>IF($S250="","",INDEX(数据录入!$C$5:$C$4999,$S250)&amp;"")</f>
      </c>
      <c r="C250" s="165">
        <f>IF($S250="","",IF(N($F250)&gt;0,"收款",IF(N($G250)&gt;0,"付款","")))</f>
      </c>
      <c r="D250" s="44">
        <f>IF($S250="","",IF((INDEX(数据录入!$I$5:$I$4999,$S250)&amp;"")&lt;&gt;"",INDEX(数据录入!$I$5:$I$4999,$S250)&amp;"",INDEX(数据录入!$J$5:$J$4999,$S250)&amp;""))</f>
      </c>
      <c r="E250" s="108">
        <f>IF($S250="","",INDEX(数据录入!$E$5:$E$4999,$S250)&amp;"")</f>
      </c>
      <c r="F250" s="114">
        <f>IF($S250="","",N(INDEX(数据录入!$F$5:$F$4999,$S250)))</f>
      </c>
      <c r="G250" s="114">
        <f>IF($S250="","",N(INDEX(数据录入!$G$5:$G$4999,$S250)))</f>
      </c>
      <c r="H250" s="114">
        <f>IF($S250="","",$G$2+SUM($F$8:$F250)-SUM($G$8:$G250))</f>
      </c>
      <c r="Q250" s="44">
        <f>IF(数据录入!$B250="",0,IF(OR(数据录入!$D250="投标保证金",数据录入!$D250="合同履约保证金",ISNUMBER(FIND("保证金",数据录入!$E250))),1,0))</f>
      </c>
      <c r="R250" s="44">
        <f>IF(AND($Q250=1,数据录入!$B250&gt;=$B$2,数据录入!$B250&lt;=$D$2),N(R249)+1,N(R249))</f>
      </c>
      <c r="S250" s="44">
        <f>IFERROR(MATCH(243,$R$5:$R$4999,0),"")</f>
      </c>
    </row>
    <row r="251" s="44" customFormat="1" spans="1:23">
      <c r="A251" s="116">
        <f>IF($S251="","",INDEX(数据录入!$B$5:$B$4999,$S251))</f>
      </c>
      <c r="B251" s="44">
        <f>IF($S251="","",INDEX(数据录入!$C$5:$C$4999,$S251)&amp;"")</f>
      </c>
      <c r="C251" s="165">
        <f>IF($S251="","",IF(N($F251)&gt;0,"收款",IF(N($G251)&gt;0,"付款","")))</f>
      </c>
      <c r="D251" s="44">
        <f>IF($S251="","",IF((INDEX(数据录入!$I$5:$I$4999,$S251)&amp;"")&lt;&gt;"",INDEX(数据录入!$I$5:$I$4999,$S251)&amp;"",INDEX(数据录入!$J$5:$J$4999,$S251)&amp;""))</f>
      </c>
      <c r="E251" s="108">
        <f>IF($S251="","",INDEX(数据录入!$E$5:$E$4999,$S251)&amp;"")</f>
      </c>
      <c r="F251" s="114">
        <f>IF($S251="","",N(INDEX(数据录入!$F$5:$F$4999,$S251)))</f>
      </c>
      <c r="G251" s="114">
        <f>IF($S251="","",N(INDEX(数据录入!$G$5:$G$4999,$S251)))</f>
      </c>
      <c r="H251" s="114">
        <f>IF($S251="","",$G$2+SUM($F$8:$F251)-SUM($G$8:$G251))</f>
      </c>
      <c r="Q251" s="44">
        <f>IF(数据录入!$B251="",0,IF(OR(数据录入!$D251="投标保证金",数据录入!$D251="合同履约保证金",ISNUMBER(FIND("保证金",数据录入!$E251))),1,0))</f>
      </c>
      <c r="R251" s="44">
        <f>IF(AND($Q251=1,数据录入!$B251&gt;=$B$2,数据录入!$B251&lt;=$D$2),N(R250)+1,N(R250))</f>
      </c>
      <c r="S251" s="44">
        <f>IFERROR(MATCH(244,$R$5:$R$4999,0),"")</f>
      </c>
    </row>
    <row r="252" s="44" customFormat="1" spans="1:23">
      <c r="A252" s="116">
        <f>IF($S252="","",INDEX(数据录入!$B$5:$B$4999,$S252))</f>
      </c>
      <c r="B252" s="44">
        <f>IF($S252="","",INDEX(数据录入!$C$5:$C$4999,$S252)&amp;"")</f>
      </c>
      <c r="C252" s="165">
        <f>IF($S252="","",IF(N($F252)&gt;0,"收款",IF(N($G252)&gt;0,"付款","")))</f>
      </c>
      <c r="D252" s="44">
        <f>IF($S252="","",IF((INDEX(数据录入!$I$5:$I$4999,$S252)&amp;"")&lt;&gt;"",INDEX(数据录入!$I$5:$I$4999,$S252)&amp;"",INDEX(数据录入!$J$5:$J$4999,$S252)&amp;""))</f>
      </c>
      <c r="E252" s="108">
        <f>IF($S252="","",INDEX(数据录入!$E$5:$E$4999,$S252)&amp;"")</f>
      </c>
      <c r="F252" s="114">
        <f>IF($S252="","",N(INDEX(数据录入!$F$5:$F$4999,$S252)))</f>
      </c>
      <c r="G252" s="114">
        <f>IF($S252="","",N(INDEX(数据录入!$G$5:$G$4999,$S252)))</f>
      </c>
      <c r="H252" s="114">
        <f>IF($S252="","",$G$2+SUM($F$8:$F252)-SUM($G$8:$G252))</f>
      </c>
      <c r="Q252" s="44">
        <f>IF(数据录入!$B252="",0,IF(OR(数据录入!$D252="投标保证金",数据录入!$D252="合同履约保证金",ISNUMBER(FIND("保证金",数据录入!$E252))),1,0))</f>
      </c>
      <c r="R252" s="44">
        <f>IF(AND($Q252=1,数据录入!$B252&gt;=$B$2,数据录入!$B252&lt;=$D$2),N(R251)+1,N(R251))</f>
      </c>
      <c r="S252" s="44">
        <f>IFERROR(MATCH(245,$R$5:$R$4999,0),"")</f>
      </c>
    </row>
    <row r="253" s="44" customFormat="1" spans="1:23">
      <c r="A253" s="116">
        <f>IF($S253="","",INDEX(数据录入!$B$5:$B$4999,$S253))</f>
      </c>
      <c r="B253" s="44">
        <f>IF($S253="","",INDEX(数据录入!$C$5:$C$4999,$S253)&amp;"")</f>
      </c>
      <c r="C253" s="165">
        <f>IF($S253="","",IF(N($F253)&gt;0,"收款",IF(N($G253)&gt;0,"付款","")))</f>
      </c>
      <c r="D253" s="44">
        <f>IF($S253="","",IF((INDEX(数据录入!$I$5:$I$4999,$S253)&amp;"")&lt;&gt;"",INDEX(数据录入!$I$5:$I$4999,$S253)&amp;"",INDEX(数据录入!$J$5:$J$4999,$S253)&amp;""))</f>
      </c>
      <c r="E253" s="108">
        <f>IF($S253="","",INDEX(数据录入!$E$5:$E$4999,$S253)&amp;"")</f>
      </c>
      <c r="F253" s="114">
        <f>IF($S253="","",N(INDEX(数据录入!$F$5:$F$4999,$S253)))</f>
      </c>
      <c r="G253" s="114">
        <f>IF($S253="","",N(INDEX(数据录入!$G$5:$G$4999,$S253)))</f>
      </c>
      <c r="H253" s="114">
        <f>IF($S253="","",$G$2+SUM($F$8:$F253)-SUM($G$8:$G253))</f>
      </c>
      <c r="Q253" s="44">
        <f>IF(数据录入!$B253="",0,IF(OR(数据录入!$D253="投标保证金",数据录入!$D253="合同履约保证金",ISNUMBER(FIND("保证金",数据录入!$E253))),1,0))</f>
      </c>
      <c r="R253" s="44">
        <f>IF(AND($Q253=1,数据录入!$B253&gt;=$B$2,数据录入!$B253&lt;=$D$2),N(R252)+1,N(R252))</f>
      </c>
      <c r="S253" s="44">
        <f>IFERROR(MATCH(246,$R$5:$R$4999,0),"")</f>
      </c>
    </row>
    <row r="254" s="44" customFormat="1" spans="1:23">
      <c r="A254" s="116">
        <f>IF($S254="","",INDEX(数据录入!$B$5:$B$4999,$S254))</f>
      </c>
      <c r="B254" s="44">
        <f>IF($S254="","",INDEX(数据录入!$C$5:$C$4999,$S254)&amp;"")</f>
      </c>
      <c r="C254" s="165">
        <f>IF($S254="","",IF(N($F254)&gt;0,"收款",IF(N($G254)&gt;0,"付款","")))</f>
      </c>
      <c r="D254" s="44">
        <f>IF($S254="","",IF((INDEX(数据录入!$I$5:$I$4999,$S254)&amp;"")&lt;&gt;"",INDEX(数据录入!$I$5:$I$4999,$S254)&amp;"",INDEX(数据录入!$J$5:$J$4999,$S254)&amp;""))</f>
      </c>
      <c r="E254" s="108">
        <f>IF($S254="","",INDEX(数据录入!$E$5:$E$4999,$S254)&amp;"")</f>
      </c>
      <c r="F254" s="114">
        <f>IF($S254="","",N(INDEX(数据录入!$F$5:$F$4999,$S254)))</f>
      </c>
      <c r="G254" s="114">
        <f>IF($S254="","",N(INDEX(数据录入!$G$5:$G$4999,$S254)))</f>
      </c>
      <c r="H254" s="114">
        <f>IF($S254="","",$G$2+SUM($F$8:$F254)-SUM($G$8:$G254))</f>
      </c>
      <c r="Q254" s="44">
        <f>IF(数据录入!$B254="",0,IF(OR(数据录入!$D254="投标保证金",数据录入!$D254="合同履约保证金",ISNUMBER(FIND("保证金",数据录入!$E254))),1,0))</f>
      </c>
      <c r="R254" s="44">
        <f>IF(AND($Q254=1,数据录入!$B254&gt;=$B$2,数据录入!$B254&lt;=$D$2),N(R253)+1,N(R253))</f>
      </c>
      <c r="S254" s="44">
        <f>IFERROR(MATCH(247,$R$5:$R$4999,0),"")</f>
      </c>
    </row>
    <row r="255" s="44" customFormat="1" spans="1:23">
      <c r="A255" s="116">
        <f>IF($S255="","",INDEX(数据录入!$B$5:$B$4999,$S255))</f>
      </c>
      <c r="B255" s="44">
        <f>IF($S255="","",INDEX(数据录入!$C$5:$C$4999,$S255)&amp;"")</f>
      </c>
      <c r="C255" s="165">
        <f>IF($S255="","",IF(N($F255)&gt;0,"收款",IF(N($G255)&gt;0,"付款","")))</f>
      </c>
      <c r="D255" s="44">
        <f>IF($S255="","",IF((INDEX(数据录入!$I$5:$I$4999,$S255)&amp;"")&lt;&gt;"",INDEX(数据录入!$I$5:$I$4999,$S255)&amp;"",INDEX(数据录入!$J$5:$J$4999,$S255)&amp;""))</f>
      </c>
      <c r="E255" s="108">
        <f>IF($S255="","",INDEX(数据录入!$E$5:$E$4999,$S255)&amp;"")</f>
      </c>
      <c r="F255" s="114">
        <f>IF($S255="","",N(INDEX(数据录入!$F$5:$F$4999,$S255)))</f>
      </c>
      <c r="G255" s="114">
        <f>IF($S255="","",N(INDEX(数据录入!$G$5:$G$4999,$S255)))</f>
      </c>
      <c r="H255" s="114">
        <f>IF($S255="","",$G$2+SUM($F$8:$F255)-SUM($G$8:$G255))</f>
      </c>
      <c r="Q255" s="44">
        <f>IF(数据录入!$B255="",0,IF(OR(数据录入!$D255="投标保证金",数据录入!$D255="合同履约保证金",ISNUMBER(FIND("保证金",数据录入!$E255))),1,0))</f>
      </c>
      <c r="R255" s="44">
        <f>IF(AND($Q255=1,数据录入!$B255&gt;=$B$2,数据录入!$B255&lt;=$D$2),N(R254)+1,N(R254))</f>
      </c>
      <c r="S255" s="44">
        <f>IFERROR(MATCH(248,$R$5:$R$4999,0),"")</f>
      </c>
    </row>
    <row r="256" s="44" customFormat="1" spans="1:23">
      <c r="A256" s="116">
        <f>IF($S256="","",INDEX(数据录入!$B$5:$B$4999,$S256))</f>
      </c>
      <c r="B256" s="44">
        <f>IF($S256="","",INDEX(数据录入!$C$5:$C$4999,$S256)&amp;"")</f>
      </c>
      <c r="C256" s="165">
        <f>IF($S256="","",IF(N($F256)&gt;0,"收款",IF(N($G256)&gt;0,"付款","")))</f>
      </c>
      <c r="D256" s="44">
        <f>IF($S256="","",IF((INDEX(数据录入!$I$5:$I$4999,$S256)&amp;"")&lt;&gt;"",INDEX(数据录入!$I$5:$I$4999,$S256)&amp;"",INDEX(数据录入!$J$5:$J$4999,$S256)&amp;""))</f>
      </c>
      <c r="E256" s="108">
        <f>IF($S256="","",INDEX(数据录入!$E$5:$E$4999,$S256)&amp;"")</f>
      </c>
      <c r="F256" s="114">
        <f>IF($S256="","",N(INDEX(数据录入!$F$5:$F$4999,$S256)))</f>
      </c>
      <c r="G256" s="114">
        <f>IF($S256="","",N(INDEX(数据录入!$G$5:$G$4999,$S256)))</f>
      </c>
      <c r="H256" s="114">
        <f>IF($S256="","",$G$2+SUM($F$8:$F256)-SUM($G$8:$G256))</f>
      </c>
      <c r="Q256" s="44">
        <f>IF(数据录入!$B256="",0,IF(OR(数据录入!$D256="投标保证金",数据录入!$D256="合同履约保证金",ISNUMBER(FIND("保证金",数据录入!$E256))),1,0))</f>
      </c>
      <c r="R256" s="44">
        <f>IF(AND($Q256=1,数据录入!$B256&gt;=$B$2,数据录入!$B256&lt;=$D$2),N(R255)+1,N(R255))</f>
      </c>
      <c r="S256" s="44">
        <f>IFERROR(MATCH(249,$R$5:$R$4999,0),"")</f>
      </c>
    </row>
    <row r="257" s="44" customFormat="1" spans="1:23">
      <c r="A257" s="116">
        <f>IF($S257="","",INDEX(数据录入!$B$5:$B$4999,$S257))</f>
      </c>
      <c r="B257" s="44">
        <f>IF($S257="","",INDEX(数据录入!$C$5:$C$4999,$S257)&amp;"")</f>
      </c>
      <c r="C257" s="165">
        <f>IF($S257="","",IF(N($F257)&gt;0,"收款",IF(N($G257)&gt;0,"付款","")))</f>
      </c>
      <c r="D257" s="44">
        <f>IF($S257="","",IF((INDEX(数据录入!$I$5:$I$4999,$S257)&amp;"")&lt;&gt;"",INDEX(数据录入!$I$5:$I$4999,$S257)&amp;"",INDEX(数据录入!$J$5:$J$4999,$S257)&amp;""))</f>
      </c>
      <c r="E257" s="108">
        <f>IF($S257="","",INDEX(数据录入!$E$5:$E$4999,$S257)&amp;"")</f>
      </c>
      <c r="F257" s="114">
        <f>IF($S257="","",N(INDEX(数据录入!$F$5:$F$4999,$S257)))</f>
      </c>
      <c r="G257" s="114">
        <f>IF($S257="","",N(INDEX(数据录入!$G$5:$G$4999,$S257)))</f>
      </c>
      <c r="H257" s="114">
        <f>IF($S257="","",$G$2+SUM($F$8:$F257)-SUM($G$8:$G257))</f>
      </c>
      <c r="Q257" s="44">
        <f>IF(数据录入!$B257="",0,IF(OR(数据录入!$D257="投标保证金",数据录入!$D257="合同履约保证金",ISNUMBER(FIND("保证金",数据录入!$E257))),1,0))</f>
      </c>
      <c r="R257" s="44">
        <f>IF(AND($Q257=1,数据录入!$B257&gt;=$B$2,数据录入!$B257&lt;=$D$2),N(R256)+1,N(R256))</f>
      </c>
      <c r="S257" s="44">
        <f>IFERROR(MATCH(250,$R$5:$R$4999,0),"")</f>
      </c>
    </row>
    <row r="258" s="44" customFormat="1" spans="1:23">
      <c r="A258" s="116">
        <f>IF($S258="","",INDEX(数据录入!$B$5:$B$4999,$S258))</f>
      </c>
      <c r="B258" s="44">
        <f>IF($S258="","",INDEX(数据录入!$C$5:$C$4999,$S258)&amp;"")</f>
      </c>
      <c r="C258" s="165">
        <f>IF($S258="","",IF(N($F258)&gt;0,"收款",IF(N($G258)&gt;0,"付款","")))</f>
      </c>
      <c r="D258" s="44">
        <f>IF($S258="","",IF((INDEX(数据录入!$I$5:$I$4999,$S258)&amp;"")&lt;&gt;"",INDEX(数据录入!$I$5:$I$4999,$S258)&amp;"",INDEX(数据录入!$J$5:$J$4999,$S258)&amp;""))</f>
      </c>
      <c r="E258" s="108">
        <f>IF($S258="","",INDEX(数据录入!$E$5:$E$4999,$S258)&amp;"")</f>
      </c>
      <c r="F258" s="114">
        <f>IF($S258="","",N(INDEX(数据录入!$F$5:$F$4999,$S258)))</f>
      </c>
      <c r="G258" s="114">
        <f>IF($S258="","",N(INDEX(数据录入!$G$5:$G$4999,$S258)))</f>
      </c>
      <c r="H258" s="114">
        <f>IF($S258="","",$G$2+SUM($F$8:$F258)-SUM($G$8:$G258))</f>
      </c>
      <c r="Q258" s="44">
        <f>IF(数据录入!$B258="",0,IF(OR(数据录入!$D258="投标保证金",数据录入!$D258="合同履约保证金",ISNUMBER(FIND("保证金",数据录入!$E258))),1,0))</f>
      </c>
      <c r="R258" s="44">
        <f>IF(AND($Q258=1,数据录入!$B258&gt;=$B$2,数据录入!$B258&lt;=$D$2),N(R257)+1,N(R257))</f>
      </c>
      <c r="S258" s="44">
        <f>IFERROR(MATCH(251,$R$5:$R$4999,0),"")</f>
      </c>
    </row>
    <row r="259" s="44" customFormat="1" spans="1:23">
      <c r="A259" s="116">
        <f>IF($S259="","",INDEX(数据录入!$B$5:$B$4999,$S259))</f>
      </c>
      <c r="B259" s="44">
        <f>IF($S259="","",INDEX(数据录入!$C$5:$C$4999,$S259)&amp;"")</f>
      </c>
      <c r="C259" s="165">
        <f>IF($S259="","",IF(N($F259)&gt;0,"收款",IF(N($G259)&gt;0,"付款","")))</f>
      </c>
      <c r="D259" s="44">
        <f>IF($S259="","",IF((INDEX(数据录入!$I$5:$I$4999,$S259)&amp;"")&lt;&gt;"",INDEX(数据录入!$I$5:$I$4999,$S259)&amp;"",INDEX(数据录入!$J$5:$J$4999,$S259)&amp;""))</f>
      </c>
      <c r="E259" s="108">
        <f>IF($S259="","",INDEX(数据录入!$E$5:$E$4999,$S259)&amp;"")</f>
      </c>
      <c r="F259" s="114">
        <f>IF($S259="","",N(INDEX(数据录入!$F$5:$F$4999,$S259)))</f>
      </c>
      <c r="G259" s="114">
        <f>IF($S259="","",N(INDEX(数据录入!$G$5:$G$4999,$S259)))</f>
      </c>
      <c r="H259" s="114">
        <f>IF($S259="","",$G$2+SUM($F$8:$F259)-SUM($G$8:$G259))</f>
      </c>
      <c r="Q259" s="44">
        <f>IF(数据录入!$B259="",0,IF(OR(数据录入!$D259="投标保证金",数据录入!$D259="合同履约保证金",ISNUMBER(FIND("保证金",数据录入!$E259))),1,0))</f>
      </c>
      <c r="R259" s="44">
        <f>IF(AND($Q259=1,数据录入!$B259&gt;=$B$2,数据录入!$B259&lt;=$D$2),N(R258)+1,N(R258))</f>
      </c>
      <c r="S259" s="44">
        <f>IFERROR(MATCH(252,$R$5:$R$4999,0),"")</f>
      </c>
    </row>
    <row r="260" s="44" customFormat="1" spans="1:23">
      <c r="A260" s="116">
        <f>IF($S260="","",INDEX(数据录入!$B$5:$B$4999,$S260))</f>
      </c>
      <c r="B260" s="44">
        <f>IF($S260="","",INDEX(数据录入!$C$5:$C$4999,$S260)&amp;"")</f>
      </c>
      <c r="C260" s="165">
        <f>IF($S260="","",IF(N($F260)&gt;0,"收款",IF(N($G260)&gt;0,"付款","")))</f>
      </c>
      <c r="D260" s="44">
        <f>IF($S260="","",IF((INDEX(数据录入!$I$5:$I$4999,$S260)&amp;"")&lt;&gt;"",INDEX(数据录入!$I$5:$I$4999,$S260)&amp;"",INDEX(数据录入!$J$5:$J$4999,$S260)&amp;""))</f>
      </c>
      <c r="E260" s="108">
        <f>IF($S260="","",INDEX(数据录入!$E$5:$E$4999,$S260)&amp;"")</f>
      </c>
      <c r="F260" s="114">
        <f>IF($S260="","",N(INDEX(数据录入!$F$5:$F$4999,$S260)))</f>
      </c>
      <c r="G260" s="114">
        <f>IF($S260="","",N(INDEX(数据录入!$G$5:$G$4999,$S260)))</f>
      </c>
      <c r="H260" s="114">
        <f>IF($S260="","",$G$2+SUM($F$8:$F260)-SUM($G$8:$G260))</f>
      </c>
      <c r="Q260" s="44">
        <f>IF(数据录入!$B260="",0,IF(OR(数据录入!$D260="投标保证金",数据录入!$D260="合同履约保证金",ISNUMBER(FIND("保证金",数据录入!$E260))),1,0))</f>
      </c>
      <c r="R260" s="44">
        <f>IF(AND($Q260=1,数据录入!$B260&gt;=$B$2,数据录入!$B260&lt;=$D$2),N(R259)+1,N(R259))</f>
      </c>
      <c r="S260" s="44">
        <f>IFERROR(MATCH(253,$R$5:$R$4999,0),"")</f>
      </c>
    </row>
    <row r="261" s="44" customFormat="1" spans="1:23">
      <c r="A261" s="116">
        <f>IF($S261="","",INDEX(数据录入!$B$5:$B$4999,$S261))</f>
      </c>
      <c r="B261" s="44">
        <f>IF($S261="","",INDEX(数据录入!$C$5:$C$4999,$S261)&amp;"")</f>
      </c>
      <c r="C261" s="165">
        <f>IF($S261="","",IF(N($F261)&gt;0,"收款",IF(N($G261)&gt;0,"付款","")))</f>
      </c>
      <c r="D261" s="44">
        <f>IF($S261="","",IF((INDEX(数据录入!$I$5:$I$4999,$S261)&amp;"")&lt;&gt;"",INDEX(数据录入!$I$5:$I$4999,$S261)&amp;"",INDEX(数据录入!$J$5:$J$4999,$S261)&amp;""))</f>
      </c>
      <c r="E261" s="108">
        <f>IF($S261="","",INDEX(数据录入!$E$5:$E$4999,$S261)&amp;"")</f>
      </c>
      <c r="F261" s="114">
        <f>IF($S261="","",N(INDEX(数据录入!$F$5:$F$4999,$S261)))</f>
      </c>
      <c r="G261" s="114">
        <f>IF($S261="","",N(INDEX(数据录入!$G$5:$G$4999,$S261)))</f>
      </c>
      <c r="H261" s="114">
        <f>IF($S261="","",$G$2+SUM($F$8:$F261)-SUM($G$8:$G261))</f>
      </c>
      <c r="Q261" s="44">
        <f>IF(数据录入!$B261="",0,IF(OR(数据录入!$D261="投标保证金",数据录入!$D261="合同履约保证金",ISNUMBER(FIND("保证金",数据录入!$E261))),1,0))</f>
      </c>
      <c r="R261" s="44">
        <f>IF(AND($Q261=1,数据录入!$B261&gt;=$B$2,数据录入!$B261&lt;=$D$2),N(R260)+1,N(R260))</f>
      </c>
      <c r="S261" s="44">
        <f>IFERROR(MATCH(254,$R$5:$R$4999,0),"")</f>
      </c>
    </row>
    <row r="262" s="44" customFormat="1" spans="1:23">
      <c r="A262" s="116">
        <f>IF($S262="","",INDEX(数据录入!$B$5:$B$4999,$S262))</f>
      </c>
      <c r="B262" s="44">
        <f>IF($S262="","",INDEX(数据录入!$C$5:$C$4999,$S262)&amp;"")</f>
      </c>
      <c r="C262" s="165">
        <f>IF($S262="","",IF(N($F262)&gt;0,"收款",IF(N($G262)&gt;0,"付款","")))</f>
      </c>
      <c r="D262" s="44">
        <f>IF($S262="","",IF((INDEX(数据录入!$I$5:$I$4999,$S262)&amp;"")&lt;&gt;"",INDEX(数据录入!$I$5:$I$4999,$S262)&amp;"",INDEX(数据录入!$J$5:$J$4999,$S262)&amp;""))</f>
      </c>
      <c r="E262" s="108">
        <f>IF($S262="","",INDEX(数据录入!$E$5:$E$4999,$S262)&amp;"")</f>
      </c>
      <c r="F262" s="114">
        <f>IF($S262="","",N(INDEX(数据录入!$F$5:$F$4999,$S262)))</f>
      </c>
      <c r="G262" s="114">
        <f>IF($S262="","",N(INDEX(数据录入!$G$5:$G$4999,$S262)))</f>
      </c>
      <c r="H262" s="114">
        <f>IF($S262="","",$G$2+SUM($F$8:$F262)-SUM($G$8:$G262))</f>
      </c>
      <c r="Q262" s="44">
        <f>IF(数据录入!$B262="",0,IF(OR(数据录入!$D262="投标保证金",数据录入!$D262="合同履约保证金",ISNUMBER(FIND("保证金",数据录入!$E262))),1,0))</f>
      </c>
      <c r="R262" s="44">
        <f>IF(AND($Q262=1,数据录入!$B262&gt;=$B$2,数据录入!$B262&lt;=$D$2),N(R261)+1,N(R261))</f>
      </c>
      <c r="S262" s="44">
        <f>IFERROR(MATCH(255,$R$5:$R$4999,0),"")</f>
      </c>
    </row>
    <row r="263" s="44" customFormat="1" spans="1:23">
      <c r="A263" s="116">
        <f>IF($S263="","",INDEX(数据录入!$B$5:$B$4999,$S263))</f>
      </c>
      <c r="B263" s="44">
        <f>IF($S263="","",INDEX(数据录入!$C$5:$C$4999,$S263)&amp;"")</f>
      </c>
      <c r="C263" s="165">
        <f>IF($S263="","",IF(N($F263)&gt;0,"收款",IF(N($G263)&gt;0,"付款","")))</f>
      </c>
      <c r="D263" s="44">
        <f>IF($S263="","",IF((INDEX(数据录入!$I$5:$I$4999,$S263)&amp;"")&lt;&gt;"",INDEX(数据录入!$I$5:$I$4999,$S263)&amp;"",INDEX(数据录入!$J$5:$J$4999,$S263)&amp;""))</f>
      </c>
      <c r="E263" s="108">
        <f>IF($S263="","",INDEX(数据录入!$E$5:$E$4999,$S263)&amp;"")</f>
      </c>
      <c r="F263" s="114">
        <f>IF($S263="","",N(INDEX(数据录入!$F$5:$F$4999,$S263)))</f>
      </c>
      <c r="G263" s="114">
        <f>IF($S263="","",N(INDEX(数据录入!$G$5:$G$4999,$S263)))</f>
      </c>
      <c r="H263" s="114">
        <f>IF($S263="","",$G$2+SUM($F$8:$F263)-SUM($G$8:$G263))</f>
      </c>
      <c r="Q263" s="44">
        <f>IF(数据录入!$B263="",0,IF(OR(数据录入!$D263="投标保证金",数据录入!$D263="合同履约保证金",ISNUMBER(FIND("保证金",数据录入!$E263))),1,0))</f>
      </c>
      <c r="R263" s="44">
        <f>IF(AND($Q263=1,数据录入!$B263&gt;=$B$2,数据录入!$B263&lt;=$D$2),N(R262)+1,N(R262))</f>
      </c>
      <c r="S263" s="44">
        <f>IFERROR(MATCH(256,$R$5:$R$4999,0),"")</f>
      </c>
    </row>
    <row r="264" s="44" customFormat="1" spans="1:23">
      <c r="A264" s="116">
        <f>IF($S264="","",INDEX(数据录入!$B$5:$B$4999,$S264))</f>
      </c>
      <c r="B264" s="44">
        <f>IF($S264="","",INDEX(数据录入!$C$5:$C$4999,$S264)&amp;"")</f>
      </c>
      <c r="C264" s="165">
        <f>IF($S264="","",IF(N($F264)&gt;0,"收款",IF(N($G264)&gt;0,"付款","")))</f>
      </c>
      <c r="D264" s="44">
        <f>IF($S264="","",IF((INDEX(数据录入!$I$5:$I$4999,$S264)&amp;"")&lt;&gt;"",INDEX(数据录入!$I$5:$I$4999,$S264)&amp;"",INDEX(数据录入!$J$5:$J$4999,$S264)&amp;""))</f>
      </c>
      <c r="E264" s="108">
        <f>IF($S264="","",INDEX(数据录入!$E$5:$E$4999,$S264)&amp;"")</f>
      </c>
      <c r="F264" s="114">
        <f>IF($S264="","",N(INDEX(数据录入!$F$5:$F$4999,$S264)))</f>
      </c>
      <c r="G264" s="114">
        <f>IF($S264="","",N(INDEX(数据录入!$G$5:$G$4999,$S264)))</f>
      </c>
      <c r="H264" s="114">
        <f>IF($S264="","",$G$2+SUM($F$8:$F264)-SUM($G$8:$G264))</f>
      </c>
      <c r="Q264" s="44">
        <f>IF(数据录入!$B264="",0,IF(OR(数据录入!$D264="投标保证金",数据录入!$D264="合同履约保证金",ISNUMBER(FIND("保证金",数据录入!$E264))),1,0))</f>
      </c>
      <c r="R264" s="44">
        <f>IF(AND($Q264=1,数据录入!$B264&gt;=$B$2,数据录入!$B264&lt;=$D$2),N(R263)+1,N(R263))</f>
      </c>
      <c r="S264" s="44">
        <f>IFERROR(MATCH(257,$R$5:$R$4999,0),"")</f>
      </c>
    </row>
    <row r="265" s="44" customFormat="1" spans="1:23">
      <c r="A265" s="116">
        <f>IF($S265="","",INDEX(数据录入!$B$5:$B$4999,$S265))</f>
      </c>
      <c r="B265" s="44">
        <f>IF($S265="","",INDEX(数据录入!$C$5:$C$4999,$S265)&amp;"")</f>
      </c>
      <c r="C265" s="165">
        <f>IF($S265="","",IF(N($F265)&gt;0,"收款",IF(N($G265)&gt;0,"付款","")))</f>
      </c>
      <c r="D265" s="44">
        <f>IF($S265="","",IF((INDEX(数据录入!$I$5:$I$4999,$S265)&amp;"")&lt;&gt;"",INDEX(数据录入!$I$5:$I$4999,$S265)&amp;"",INDEX(数据录入!$J$5:$J$4999,$S265)&amp;""))</f>
      </c>
      <c r="E265" s="108">
        <f>IF($S265="","",INDEX(数据录入!$E$5:$E$4999,$S265)&amp;"")</f>
      </c>
      <c r="F265" s="114">
        <f>IF($S265="","",N(INDEX(数据录入!$F$5:$F$4999,$S265)))</f>
      </c>
      <c r="G265" s="114">
        <f>IF($S265="","",N(INDEX(数据录入!$G$5:$G$4999,$S265)))</f>
      </c>
      <c r="H265" s="114">
        <f>IF($S265="","",$G$2+SUM($F$8:$F265)-SUM($G$8:$G265))</f>
      </c>
      <c r="Q265" s="44">
        <f>IF(数据录入!$B265="",0,IF(OR(数据录入!$D265="投标保证金",数据录入!$D265="合同履约保证金",ISNUMBER(FIND("保证金",数据录入!$E265))),1,0))</f>
      </c>
      <c r="R265" s="44">
        <f>IF(AND($Q265=1,数据录入!$B265&gt;=$B$2,数据录入!$B265&lt;=$D$2),N(R264)+1,N(R264))</f>
      </c>
      <c r="S265" s="44">
        <f>IFERROR(MATCH(258,$R$5:$R$4999,0),"")</f>
      </c>
    </row>
    <row r="266" s="44" customFormat="1" spans="1:23">
      <c r="A266" s="116">
        <f>IF($S266="","",INDEX(数据录入!$B$5:$B$4999,$S266))</f>
      </c>
      <c r="B266" s="44">
        <f>IF($S266="","",INDEX(数据录入!$C$5:$C$4999,$S266)&amp;"")</f>
      </c>
      <c r="C266" s="165">
        <f>IF($S266="","",IF(N($F266)&gt;0,"收款",IF(N($G266)&gt;0,"付款","")))</f>
      </c>
      <c r="D266" s="44">
        <f>IF($S266="","",IF((INDEX(数据录入!$I$5:$I$4999,$S266)&amp;"")&lt;&gt;"",INDEX(数据录入!$I$5:$I$4999,$S266)&amp;"",INDEX(数据录入!$J$5:$J$4999,$S266)&amp;""))</f>
      </c>
      <c r="E266" s="108">
        <f>IF($S266="","",INDEX(数据录入!$E$5:$E$4999,$S266)&amp;"")</f>
      </c>
      <c r="F266" s="114">
        <f>IF($S266="","",N(INDEX(数据录入!$F$5:$F$4999,$S266)))</f>
      </c>
      <c r="G266" s="114">
        <f>IF($S266="","",N(INDEX(数据录入!$G$5:$G$4999,$S266)))</f>
      </c>
      <c r="H266" s="114">
        <f>IF($S266="","",$G$2+SUM($F$8:$F266)-SUM($G$8:$G266))</f>
      </c>
      <c r="Q266" s="44">
        <f>IF(数据录入!$B266="",0,IF(OR(数据录入!$D266="投标保证金",数据录入!$D266="合同履约保证金",ISNUMBER(FIND("保证金",数据录入!$E266))),1,0))</f>
      </c>
      <c r="R266" s="44">
        <f>IF(AND($Q266=1,数据录入!$B266&gt;=$B$2,数据录入!$B266&lt;=$D$2),N(R265)+1,N(R265))</f>
      </c>
      <c r="S266" s="44">
        <f>IFERROR(MATCH(259,$R$5:$R$4999,0),"")</f>
      </c>
    </row>
    <row r="267" s="44" customFormat="1" spans="1:23">
      <c r="A267" s="116">
        <f>IF($S267="","",INDEX(数据录入!$B$5:$B$4999,$S267))</f>
      </c>
      <c r="B267" s="44">
        <f>IF($S267="","",INDEX(数据录入!$C$5:$C$4999,$S267)&amp;"")</f>
      </c>
      <c r="C267" s="165">
        <f>IF($S267="","",IF(N($F267)&gt;0,"收款",IF(N($G267)&gt;0,"付款","")))</f>
      </c>
      <c r="D267" s="44">
        <f>IF($S267="","",IF((INDEX(数据录入!$I$5:$I$4999,$S267)&amp;"")&lt;&gt;"",INDEX(数据录入!$I$5:$I$4999,$S267)&amp;"",INDEX(数据录入!$J$5:$J$4999,$S267)&amp;""))</f>
      </c>
      <c r="E267" s="108">
        <f>IF($S267="","",INDEX(数据录入!$E$5:$E$4999,$S267)&amp;"")</f>
      </c>
      <c r="F267" s="114">
        <f>IF($S267="","",N(INDEX(数据录入!$F$5:$F$4999,$S267)))</f>
      </c>
      <c r="G267" s="114">
        <f>IF($S267="","",N(INDEX(数据录入!$G$5:$G$4999,$S267)))</f>
      </c>
      <c r="H267" s="114">
        <f>IF($S267="","",$G$2+SUM($F$8:$F267)-SUM($G$8:$G267))</f>
      </c>
      <c r="Q267" s="44">
        <f>IF(数据录入!$B267="",0,IF(OR(数据录入!$D267="投标保证金",数据录入!$D267="合同履约保证金",ISNUMBER(FIND("保证金",数据录入!$E267))),1,0))</f>
      </c>
      <c r="R267" s="44">
        <f>IF(AND($Q267=1,数据录入!$B267&gt;=$B$2,数据录入!$B267&lt;=$D$2),N(R266)+1,N(R266))</f>
      </c>
      <c r="S267" s="44">
        <f>IFERROR(MATCH(260,$R$5:$R$4999,0),"")</f>
      </c>
    </row>
    <row r="268" s="44" customFormat="1" spans="1:23">
      <c r="A268" s="116">
        <f>IF($S268="","",INDEX(数据录入!$B$5:$B$4999,$S268))</f>
      </c>
      <c r="B268" s="44">
        <f>IF($S268="","",INDEX(数据录入!$C$5:$C$4999,$S268)&amp;"")</f>
      </c>
      <c r="C268" s="165">
        <f>IF($S268="","",IF(N($F268)&gt;0,"收款",IF(N($G268)&gt;0,"付款","")))</f>
      </c>
      <c r="D268" s="44">
        <f>IF($S268="","",IF((INDEX(数据录入!$I$5:$I$4999,$S268)&amp;"")&lt;&gt;"",INDEX(数据录入!$I$5:$I$4999,$S268)&amp;"",INDEX(数据录入!$J$5:$J$4999,$S268)&amp;""))</f>
      </c>
      <c r="E268" s="108">
        <f>IF($S268="","",INDEX(数据录入!$E$5:$E$4999,$S268)&amp;"")</f>
      </c>
      <c r="F268" s="114">
        <f>IF($S268="","",N(INDEX(数据录入!$F$5:$F$4999,$S268)))</f>
      </c>
      <c r="G268" s="114">
        <f>IF($S268="","",N(INDEX(数据录入!$G$5:$G$4999,$S268)))</f>
      </c>
      <c r="H268" s="114">
        <f>IF($S268="","",$G$2+SUM($F$8:$F268)-SUM($G$8:$G268))</f>
      </c>
      <c r="Q268" s="44">
        <f>IF(数据录入!$B268="",0,IF(OR(数据录入!$D268="投标保证金",数据录入!$D268="合同履约保证金",ISNUMBER(FIND("保证金",数据录入!$E268))),1,0))</f>
      </c>
      <c r="R268" s="44">
        <f>IF(AND($Q268=1,数据录入!$B268&gt;=$B$2,数据录入!$B268&lt;=$D$2),N(R267)+1,N(R267))</f>
      </c>
      <c r="S268" s="44">
        <f>IFERROR(MATCH(261,$R$5:$R$4999,0),"")</f>
      </c>
    </row>
    <row r="269" s="44" customFormat="1" spans="1:23">
      <c r="A269" s="116">
        <f>IF($S269="","",INDEX(数据录入!$B$5:$B$4999,$S269))</f>
      </c>
      <c r="B269" s="44">
        <f>IF($S269="","",INDEX(数据录入!$C$5:$C$4999,$S269)&amp;"")</f>
      </c>
      <c r="C269" s="165">
        <f>IF($S269="","",IF(N($F269)&gt;0,"收款",IF(N($G269)&gt;0,"付款","")))</f>
      </c>
      <c r="D269" s="44">
        <f>IF($S269="","",IF((INDEX(数据录入!$I$5:$I$4999,$S269)&amp;"")&lt;&gt;"",INDEX(数据录入!$I$5:$I$4999,$S269)&amp;"",INDEX(数据录入!$J$5:$J$4999,$S269)&amp;""))</f>
      </c>
      <c r="E269" s="108">
        <f>IF($S269="","",INDEX(数据录入!$E$5:$E$4999,$S269)&amp;"")</f>
      </c>
      <c r="F269" s="114">
        <f>IF($S269="","",N(INDEX(数据录入!$F$5:$F$4999,$S269)))</f>
      </c>
      <c r="G269" s="114">
        <f>IF($S269="","",N(INDEX(数据录入!$G$5:$G$4999,$S269)))</f>
      </c>
      <c r="H269" s="114">
        <f>IF($S269="","",$G$2+SUM($F$8:$F269)-SUM($G$8:$G269))</f>
      </c>
      <c r="Q269" s="44">
        <f>IF(数据录入!$B269="",0,IF(OR(数据录入!$D269="投标保证金",数据录入!$D269="合同履约保证金",ISNUMBER(FIND("保证金",数据录入!$E269))),1,0))</f>
      </c>
      <c r="R269" s="44">
        <f>IF(AND($Q269=1,数据录入!$B269&gt;=$B$2,数据录入!$B269&lt;=$D$2),N(R268)+1,N(R268))</f>
      </c>
      <c r="S269" s="44">
        <f>IFERROR(MATCH(262,$R$5:$R$4999,0),"")</f>
      </c>
    </row>
    <row r="270" s="44" customFormat="1" spans="1:23">
      <c r="A270" s="116">
        <f>IF($S270="","",INDEX(数据录入!$B$5:$B$4999,$S270))</f>
      </c>
      <c r="B270" s="44">
        <f>IF($S270="","",INDEX(数据录入!$C$5:$C$4999,$S270)&amp;"")</f>
      </c>
      <c r="C270" s="165">
        <f>IF($S270="","",IF(N($F270)&gt;0,"收款",IF(N($G270)&gt;0,"付款","")))</f>
      </c>
      <c r="D270" s="44">
        <f>IF($S270="","",IF((INDEX(数据录入!$I$5:$I$4999,$S270)&amp;"")&lt;&gt;"",INDEX(数据录入!$I$5:$I$4999,$S270)&amp;"",INDEX(数据录入!$J$5:$J$4999,$S270)&amp;""))</f>
      </c>
      <c r="E270" s="108">
        <f>IF($S270="","",INDEX(数据录入!$E$5:$E$4999,$S270)&amp;"")</f>
      </c>
      <c r="F270" s="114">
        <f>IF($S270="","",N(INDEX(数据录入!$F$5:$F$4999,$S270)))</f>
      </c>
      <c r="G270" s="114">
        <f>IF($S270="","",N(INDEX(数据录入!$G$5:$G$4999,$S270)))</f>
      </c>
      <c r="H270" s="114">
        <f>IF($S270="","",$G$2+SUM($F$8:$F270)-SUM($G$8:$G270))</f>
      </c>
      <c r="Q270" s="44">
        <f>IF(数据录入!$B270="",0,IF(OR(数据录入!$D270="投标保证金",数据录入!$D270="合同履约保证金",ISNUMBER(FIND("保证金",数据录入!$E270))),1,0))</f>
      </c>
      <c r="R270" s="44">
        <f>IF(AND($Q270=1,数据录入!$B270&gt;=$B$2,数据录入!$B270&lt;=$D$2),N(R269)+1,N(R269))</f>
      </c>
      <c r="S270" s="44">
        <f>IFERROR(MATCH(263,$R$5:$R$4999,0),"")</f>
      </c>
    </row>
    <row r="271" s="44" customFormat="1" spans="1:23">
      <c r="A271" s="116">
        <f>IF($S271="","",INDEX(数据录入!$B$5:$B$4999,$S271))</f>
      </c>
      <c r="B271" s="44">
        <f>IF($S271="","",INDEX(数据录入!$C$5:$C$4999,$S271)&amp;"")</f>
      </c>
      <c r="C271" s="165">
        <f>IF($S271="","",IF(N($F271)&gt;0,"收款",IF(N($G271)&gt;0,"付款","")))</f>
      </c>
      <c r="D271" s="44">
        <f>IF($S271="","",IF((INDEX(数据录入!$I$5:$I$4999,$S271)&amp;"")&lt;&gt;"",INDEX(数据录入!$I$5:$I$4999,$S271)&amp;"",INDEX(数据录入!$J$5:$J$4999,$S271)&amp;""))</f>
      </c>
      <c r="E271" s="108">
        <f>IF($S271="","",INDEX(数据录入!$E$5:$E$4999,$S271)&amp;"")</f>
      </c>
      <c r="F271" s="114">
        <f>IF($S271="","",N(INDEX(数据录入!$F$5:$F$4999,$S271)))</f>
      </c>
      <c r="G271" s="114">
        <f>IF($S271="","",N(INDEX(数据录入!$G$5:$G$4999,$S271)))</f>
      </c>
      <c r="H271" s="114">
        <f>IF($S271="","",$G$2+SUM($F$8:$F271)-SUM($G$8:$G271))</f>
      </c>
      <c r="Q271" s="44">
        <f>IF(数据录入!$B271="",0,IF(OR(数据录入!$D271="投标保证金",数据录入!$D271="合同履约保证金",ISNUMBER(FIND("保证金",数据录入!$E271))),1,0))</f>
      </c>
      <c r="R271" s="44">
        <f>IF(AND($Q271=1,数据录入!$B271&gt;=$B$2,数据录入!$B271&lt;=$D$2),N(R270)+1,N(R270))</f>
      </c>
      <c r="S271" s="44">
        <f>IFERROR(MATCH(264,$R$5:$R$4999,0),"")</f>
      </c>
    </row>
    <row r="272" s="44" customFormat="1" spans="1:23">
      <c r="A272" s="116">
        <f>IF($S272="","",INDEX(数据录入!$B$5:$B$4999,$S272))</f>
      </c>
      <c r="B272" s="44">
        <f>IF($S272="","",INDEX(数据录入!$C$5:$C$4999,$S272)&amp;"")</f>
      </c>
      <c r="C272" s="165">
        <f>IF($S272="","",IF(N($F272)&gt;0,"收款",IF(N($G272)&gt;0,"付款","")))</f>
      </c>
      <c r="D272" s="44">
        <f>IF($S272="","",IF((INDEX(数据录入!$I$5:$I$4999,$S272)&amp;"")&lt;&gt;"",INDEX(数据录入!$I$5:$I$4999,$S272)&amp;"",INDEX(数据录入!$J$5:$J$4999,$S272)&amp;""))</f>
      </c>
      <c r="E272" s="108">
        <f>IF($S272="","",INDEX(数据录入!$E$5:$E$4999,$S272)&amp;"")</f>
      </c>
      <c r="F272" s="114">
        <f>IF($S272="","",N(INDEX(数据录入!$F$5:$F$4999,$S272)))</f>
      </c>
      <c r="G272" s="114">
        <f>IF($S272="","",N(INDEX(数据录入!$G$5:$G$4999,$S272)))</f>
      </c>
      <c r="H272" s="114">
        <f>IF($S272="","",$G$2+SUM($F$8:$F272)-SUM($G$8:$G272))</f>
      </c>
      <c r="Q272" s="44">
        <f>IF(数据录入!$B272="",0,IF(OR(数据录入!$D272="投标保证金",数据录入!$D272="合同履约保证金",ISNUMBER(FIND("保证金",数据录入!$E272))),1,0))</f>
      </c>
      <c r="R272" s="44">
        <f>IF(AND($Q272=1,数据录入!$B272&gt;=$B$2,数据录入!$B272&lt;=$D$2),N(R271)+1,N(R271))</f>
      </c>
      <c r="S272" s="44">
        <f>IFERROR(MATCH(265,$R$5:$R$4999,0),"")</f>
      </c>
    </row>
    <row r="273" s="44" customFormat="1" spans="1:23">
      <c r="A273" s="116">
        <f>IF($S273="","",INDEX(数据录入!$B$5:$B$4999,$S273))</f>
      </c>
      <c r="B273" s="44">
        <f>IF($S273="","",INDEX(数据录入!$C$5:$C$4999,$S273)&amp;"")</f>
      </c>
      <c r="C273" s="165">
        <f>IF($S273="","",IF(N($F273)&gt;0,"收款",IF(N($G273)&gt;0,"付款","")))</f>
      </c>
      <c r="D273" s="44">
        <f>IF($S273="","",IF((INDEX(数据录入!$I$5:$I$4999,$S273)&amp;"")&lt;&gt;"",INDEX(数据录入!$I$5:$I$4999,$S273)&amp;"",INDEX(数据录入!$J$5:$J$4999,$S273)&amp;""))</f>
      </c>
      <c r="E273" s="108">
        <f>IF($S273="","",INDEX(数据录入!$E$5:$E$4999,$S273)&amp;"")</f>
      </c>
      <c r="F273" s="114">
        <f>IF($S273="","",N(INDEX(数据录入!$F$5:$F$4999,$S273)))</f>
      </c>
      <c r="G273" s="114">
        <f>IF($S273="","",N(INDEX(数据录入!$G$5:$G$4999,$S273)))</f>
      </c>
      <c r="H273" s="114">
        <f>IF($S273="","",$G$2+SUM($F$8:$F273)-SUM($G$8:$G273))</f>
      </c>
      <c r="Q273" s="44">
        <f>IF(数据录入!$B273="",0,IF(OR(数据录入!$D273="投标保证金",数据录入!$D273="合同履约保证金",ISNUMBER(FIND("保证金",数据录入!$E273))),1,0))</f>
      </c>
      <c r="R273" s="44">
        <f>IF(AND($Q273=1,数据录入!$B273&gt;=$B$2,数据录入!$B273&lt;=$D$2),N(R272)+1,N(R272))</f>
      </c>
      <c r="S273" s="44">
        <f>IFERROR(MATCH(266,$R$5:$R$4999,0),"")</f>
      </c>
    </row>
    <row r="274" s="44" customFormat="1" spans="1:23">
      <c r="A274" s="116">
        <f>IF($S274="","",INDEX(数据录入!$B$5:$B$4999,$S274))</f>
      </c>
      <c r="B274" s="44">
        <f>IF($S274="","",INDEX(数据录入!$C$5:$C$4999,$S274)&amp;"")</f>
      </c>
      <c r="C274" s="165">
        <f>IF($S274="","",IF(N($F274)&gt;0,"收款",IF(N($G274)&gt;0,"付款","")))</f>
      </c>
      <c r="D274" s="44">
        <f>IF($S274="","",IF((INDEX(数据录入!$I$5:$I$4999,$S274)&amp;"")&lt;&gt;"",INDEX(数据录入!$I$5:$I$4999,$S274)&amp;"",INDEX(数据录入!$J$5:$J$4999,$S274)&amp;""))</f>
      </c>
      <c r="E274" s="108">
        <f>IF($S274="","",INDEX(数据录入!$E$5:$E$4999,$S274)&amp;"")</f>
      </c>
      <c r="F274" s="114">
        <f>IF($S274="","",N(INDEX(数据录入!$F$5:$F$4999,$S274)))</f>
      </c>
      <c r="G274" s="114">
        <f>IF($S274="","",N(INDEX(数据录入!$G$5:$G$4999,$S274)))</f>
      </c>
      <c r="H274" s="114">
        <f>IF($S274="","",$G$2+SUM($F$8:$F274)-SUM($G$8:$G274))</f>
      </c>
      <c r="Q274" s="44">
        <f>IF(数据录入!$B274="",0,IF(OR(数据录入!$D274="投标保证金",数据录入!$D274="合同履约保证金",ISNUMBER(FIND("保证金",数据录入!$E274))),1,0))</f>
      </c>
      <c r="R274" s="44">
        <f>IF(AND($Q274=1,数据录入!$B274&gt;=$B$2,数据录入!$B274&lt;=$D$2),N(R273)+1,N(R273))</f>
      </c>
      <c r="S274" s="44">
        <f>IFERROR(MATCH(267,$R$5:$R$4999,0),"")</f>
      </c>
    </row>
    <row r="275" s="44" customFormat="1" spans="1:23">
      <c r="A275" s="116">
        <f>IF($S275="","",INDEX(数据录入!$B$5:$B$4999,$S275))</f>
      </c>
      <c r="B275" s="44">
        <f>IF($S275="","",INDEX(数据录入!$C$5:$C$4999,$S275)&amp;"")</f>
      </c>
      <c r="C275" s="165">
        <f>IF($S275="","",IF(N($F275)&gt;0,"收款",IF(N($G275)&gt;0,"付款","")))</f>
      </c>
      <c r="D275" s="44">
        <f>IF($S275="","",IF((INDEX(数据录入!$I$5:$I$4999,$S275)&amp;"")&lt;&gt;"",INDEX(数据录入!$I$5:$I$4999,$S275)&amp;"",INDEX(数据录入!$J$5:$J$4999,$S275)&amp;""))</f>
      </c>
      <c r="E275" s="108">
        <f>IF($S275="","",INDEX(数据录入!$E$5:$E$4999,$S275)&amp;"")</f>
      </c>
      <c r="F275" s="114">
        <f>IF($S275="","",N(INDEX(数据录入!$F$5:$F$4999,$S275)))</f>
      </c>
      <c r="G275" s="114">
        <f>IF($S275="","",N(INDEX(数据录入!$G$5:$G$4999,$S275)))</f>
      </c>
      <c r="H275" s="114">
        <f>IF($S275="","",$G$2+SUM($F$8:$F275)-SUM($G$8:$G275))</f>
      </c>
      <c r="Q275" s="44">
        <f>IF(数据录入!$B275="",0,IF(OR(数据录入!$D275="投标保证金",数据录入!$D275="合同履约保证金",ISNUMBER(FIND("保证金",数据录入!$E275))),1,0))</f>
      </c>
      <c r="R275" s="44">
        <f>IF(AND($Q275=1,数据录入!$B275&gt;=$B$2,数据录入!$B275&lt;=$D$2),N(R274)+1,N(R274))</f>
      </c>
      <c r="S275" s="44">
        <f>IFERROR(MATCH(268,$R$5:$R$4999,0),"")</f>
      </c>
    </row>
    <row r="276" s="44" customFormat="1" spans="1:23">
      <c r="A276" s="116">
        <f>IF($S276="","",INDEX(数据录入!$B$5:$B$4999,$S276))</f>
      </c>
      <c r="B276" s="44">
        <f>IF($S276="","",INDEX(数据录入!$C$5:$C$4999,$S276)&amp;"")</f>
      </c>
      <c r="C276" s="165">
        <f>IF($S276="","",IF(N($F276)&gt;0,"收款",IF(N($G276)&gt;0,"付款","")))</f>
      </c>
      <c r="D276" s="44">
        <f>IF($S276="","",IF((INDEX(数据录入!$I$5:$I$4999,$S276)&amp;"")&lt;&gt;"",INDEX(数据录入!$I$5:$I$4999,$S276)&amp;"",INDEX(数据录入!$J$5:$J$4999,$S276)&amp;""))</f>
      </c>
      <c r="E276" s="108">
        <f>IF($S276="","",INDEX(数据录入!$E$5:$E$4999,$S276)&amp;"")</f>
      </c>
      <c r="F276" s="114">
        <f>IF($S276="","",N(INDEX(数据录入!$F$5:$F$4999,$S276)))</f>
      </c>
      <c r="G276" s="114">
        <f>IF($S276="","",N(INDEX(数据录入!$G$5:$G$4999,$S276)))</f>
      </c>
      <c r="H276" s="114">
        <f>IF($S276="","",$G$2+SUM($F$8:$F276)-SUM($G$8:$G276))</f>
      </c>
      <c r="Q276" s="44">
        <f>IF(数据录入!$B276="",0,IF(OR(数据录入!$D276="投标保证金",数据录入!$D276="合同履约保证金",ISNUMBER(FIND("保证金",数据录入!$E276))),1,0))</f>
      </c>
      <c r="R276" s="44">
        <f>IF(AND($Q276=1,数据录入!$B276&gt;=$B$2,数据录入!$B276&lt;=$D$2),N(R275)+1,N(R275))</f>
      </c>
      <c r="S276" s="44">
        <f>IFERROR(MATCH(269,$R$5:$R$4999,0),"")</f>
      </c>
    </row>
    <row r="277" s="44" customFormat="1" spans="1:23">
      <c r="A277" s="116">
        <f>IF($S277="","",INDEX(数据录入!$B$5:$B$4999,$S277))</f>
      </c>
      <c r="B277" s="44">
        <f>IF($S277="","",INDEX(数据录入!$C$5:$C$4999,$S277)&amp;"")</f>
      </c>
      <c r="C277" s="165">
        <f>IF($S277="","",IF(N($F277)&gt;0,"收款",IF(N($G277)&gt;0,"付款","")))</f>
      </c>
      <c r="D277" s="44">
        <f>IF($S277="","",IF((INDEX(数据录入!$I$5:$I$4999,$S277)&amp;"")&lt;&gt;"",INDEX(数据录入!$I$5:$I$4999,$S277)&amp;"",INDEX(数据录入!$J$5:$J$4999,$S277)&amp;""))</f>
      </c>
      <c r="E277" s="108">
        <f>IF($S277="","",INDEX(数据录入!$E$5:$E$4999,$S277)&amp;"")</f>
      </c>
      <c r="F277" s="114">
        <f>IF($S277="","",N(INDEX(数据录入!$F$5:$F$4999,$S277)))</f>
      </c>
      <c r="G277" s="114">
        <f>IF($S277="","",N(INDEX(数据录入!$G$5:$G$4999,$S277)))</f>
      </c>
      <c r="H277" s="114">
        <f>IF($S277="","",$G$2+SUM($F$8:$F277)-SUM($G$8:$G277))</f>
      </c>
      <c r="Q277" s="44">
        <f>IF(数据录入!$B277="",0,IF(OR(数据录入!$D277="投标保证金",数据录入!$D277="合同履约保证金",ISNUMBER(FIND("保证金",数据录入!$E277))),1,0))</f>
      </c>
      <c r="R277" s="44">
        <f>IF(AND($Q277=1,数据录入!$B277&gt;=$B$2,数据录入!$B277&lt;=$D$2),N(R276)+1,N(R276))</f>
      </c>
      <c r="S277" s="44">
        <f>IFERROR(MATCH(270,$R$5:$R$4999,0),"")</f>
      </c>
    </row>
    <row r="278" s="44" customFormat="1" spans="1:23">
      <c r="A278" s="116">
        <f>IF($S278="","",INDEX(数据录入!$B$5:$B$4999,$S278))</f>
      </c>
      <c r="B278" s="44">
        <f>IF($S278="","",INDEX(数据录入!$C$5:$C$4999,$S278)&amp;"")</f>
      </c>
      <c r="C278" s="165">
        <f>IF($S278="","",IF(N($F278)&gt;0,"收款",IF(N($G278)&gt;0,"付款","")))</f>
      </c>
      <c r="D278" s="44">
        <f>IF($S278="","",IF((INDEX(数据录入!$I$5:$I$4999,$S278)&amp;"")&lt;&gt;"",INDEX(数据录入!$I$5:$I$4999,$S278)&amp;"",INDEX(数据录入!$J$5:$J$4999,$S278)&amp;""))</f>
      </c>
      <c r="E278" s="108">
        <f>IF($S278="","",INDEX(数据录入!$E$5:$E$4999,$S278)&amp;"")</f>
      </c>
      <c r="F278" s="114">
        <f>IF($S278="","",N(INDEX(数据录入!$F$5:$F$4999,$S278)))</f>
      </c>
      <c r="G278" s="114">
        <f>IF($S278="","",N(INDEX(数据录入!$G$5:$G$4999,$S278)))</f>
      </c>
      <c r="H278" s="114">
        <f>IF($S278="","",$G$2+SUM($F$8:$F278)-SUM($G$8:$G278))</f>
      </c>
      <c r="Q278" s="44">
        <f>IF(数据录入!$B278="",0,IF(OR(数据录入!$D278="投标保证金",数据录入!$D278="合同履约保证金",ISNUMBER(FIND("保证金",数据录入!$E278))),1,0))</f>
      </c>
      <c r="R278" s="44">
        <f>IF(AND($Q278=1,数据录入!$B278&gt;=$B$2,数据录入!$B278&lt;=$D$2),N(R277)+1,N(R277))</f>
      </c>
      <c r="S278" s="44">
        <f>IFERROR(MATCH(271,$R$5:$R$4999,0),"")</f>
      </c>
    </row>
    <row r="279" s="44" customFormat="1" spans="1:23">
      <c r="A279" s="116">
        <f>IF($S279="","",INDEX(数据录入!$B$5:$B$4999,$S279))</f>
      </c>
      <c r="B279" s="44">
        <f>IF($S279="","",INDEX(数据录入!$C$5:$C$4999,$S279)&amp;"")</f>
      </c>
      <c r="C279" s="165">
        <f>IF($S279="","",IF(N($F279)&gt;0,"收款",IF(N($G279)&gt;0,"付款","")))</f>
      </c>
      <c r="D279" s="44">
        <f>IF($S279="","",IF((INDEX(数据录入!$I$5:$I$4999,$S279)&amp;"")&lt;&gt;"",INDEX(数据录入!$I$5:$I$4999,$S279)&amp;"",INDEX(数据录入!$J$5:$J$4999,$S279)&amp;""))</f>
      </c>
      <c r="E279" s="108">
        <f>IF($S279="","",INDEX(数据录入!$E$5:$E$4999,$S279)&amp;"")</f>
      </c>
      <c r="F279" s="114">
        <f>IF($S279="","",N(INDEX(数据录入!$F$5:$F$4999,$S279)))</f>
      </c>
      <c r="G279" s="114">
        <f>IF($S279="","",N(INDEX(数据录入!$G$5:$G$4999,$S279)))</f>
      </c>
      <c r="H279" s="114">
        <f>IF($S279="","",$G$2+SUM($F$8:$F279)-SUM($G$8:$G279))</f>
      </c>
      <c r="Q279" s="44">
        <f>IF(数据录入!$B279="",0,IF(OR(数据录入!$D279="投标保证金",数据录入!$D279="合同履约保证金",ISNUMBER(FIND("保证金",数据录入!$E279))),1,0))</f>
      </c>
      <c r="R279" s="44">
        <f>IF(AND($Q279=1,数据录入!$B279&gt;=$B$2,数据录入!$B279&lt;=$D$2),N(R278)+1,N(R278))</f>
      </c>
      <c r="S279" s="44">
        <f>IFERROR(MATCH(272,$R$5:$R$4999,0),"")</f>
      </c>
    </row>
    <row r="280" s="44" customFormat="1" spans="1:23">
      <c r="A280" s="116">
        <f>IF($S280="","",INDEX(数据录入!$B$5:$B$4999,$S280))</f>
      </c>
      <c r="B280" s="44">
        <f>IF($S280="","",INDEX(数据录入!$C$5:$C$4999,$S280)&amp;"")</f>
      </c>
      <c r="C280" s="165">
        <f>IF($S280="","",IF(N($F280)&gt;0,"收款",IF(N($G280)&gt;0,"付款","")))</f>
      </c>
      <c r="D280" s="44">
        <f>IF($S280="","",IF((INDEX(数据录入!$I$5:$I$4999,$S280)&amp;"")&lt;&gt;"",INDEX(数据录入!$I$5:$I$4999,$S280)&amp;"",INDEX(数据录入!$J$5:$J$4999,$S280)&amp;""))</f>
      </c>
      <c r="E280" s="108">
        <f>IF($S280="","",INDEX(数据录入!$E$5:$E$4999,$S280)&amp;"")</f>
      </c>
      <c r="F280" s="114">
        <f>IF($S280="","",N(INDEX(数据录入!$F$5:$F$4999,$S280)))</f>
      </c>
      <c r="G280" s="114">
        <f>IF($S280="","",N(INDEX(数据录入!$G$5:$G$4999,$S280)))</f>
      </c>
      <c r="H280" s="114">
        <f>IF($S280="","",$G$2+SUM($F$8:$F280)-SUM($G$8:$G280))</f>
      </c>
      <c r="Q280" s="44">
        <f>IF(数据录入!$B280="",0,IF(OR(数据录入!$D280="投标保证金",数据录入!$D280="合同履约保证金",ISNUMBER(FIND("保证金",数据录入!$E280))),1,0))</f>
      </c>
      <c r="R280" s="44">
        <f>IF(AND($Q280=1,数据录入!$B280&gt;=$B$2,数据录入!$B280&lt;=$D$2),N(R279)+1,N(R279))</f>
      </c>
      <c r="S280" s="44">
        <f>IFERROR(MATCH(273,$R$5:$R$4999,0),"")</f>
      </c>
    </row>
    <row r="281" s="44" customFormat="1" spans="1:23">
      <c r="A281" s="116">
        <f>IF($S281="","",INDEX(数据录入!$B$5:$B$4999,$S281))</f>
      </c>
      <c r="B281" s="44">
        <f>IF($S281="","",INDEX(数据录入!$C$5:$C$4999,$S281)&amp;"")</f>
      </c>
      <c r="C281" s="165">
        <f>IF($S281="","",IF(N($F281)&gt;0,"收款",IF(N($G281)&gt;0,"付款","")))</f>
      </c>
      <c r="D281" s="44">
        <f>IF($S281="","",IF((INDEX(数据录入!$I$5:$I$4999,$S281)&amp;"")&lt;&gt;"",INDEX(数据录入!$I$5:$I$4999,$S281)&amp;"",INDEX(数据录入!$J$5:$J$4999,$S281)&amp;""))</f>
      </c>
      <c r="E281" s="108">
        <f>IF($S281="","",INDEX(数据录入!$E$5:$E$4999,$S281)&amp;"")</f>
      </c>
      <c r="F281" s="114">
        <f>IF($S281="","",N(INDEX(数据录入!$F$5:$F$4999,$S281)))</f>
      </c>
      <c r="G281" s="114">
        <f>IF($S281="","",N(INDEX(数据录入!$G$5:$G$4999,$S281)))</f>
      </c>
      <c r="H281" s="114">
        <f>IF($S281="","",$G$2+SUM($F$8:$F281)-SUM($G$8:$G281))</f>
      </c>
      <c r="Q281" s="44">
        <f>IF(数据录入!$B281="",0,IF(OR(数据录入!$D281="投标保证金",数据录入!$D281="合同履约保证金",ISNUMBER(FIND("保证金",数据录入!$E281))),1,0))</f>
      </c>
      <c r="R281" s="44">
        <f>IF(AND($Q281=1,数据录入!$B281&gt;=$B$2,数据录入!$B281&lt;=$D$2),N(R280)+1,N(R280))</f>
      </c>
      <c r="S281" s="44">
        <f>IFERROR(MATCH(274,$R$5:$R$4999,0),"")</f>
      </c>
    </row>
    <row r="282" s="44" customFormat="1" spans="1:23">
      <c r="A282" s="116">
        <f>IF($S282="","",INDEX(数据录入!$B$5:$B$4999,$S282))</f>
      </c>
      <c r="B282" s="44">
        <f>IF($S282="","",INDEX(数据录入!$C$5:$C$4999,$S282)&amp;"")</f>
      </c>
      <c r="C282" s="165">
        <f>IF($S282="","",IF(N($F282)&gt;0,"收款",IF(N($G282)&gt;0,"付款","")))</f>
      </c>
      <c r="D282" s="44">
        <f>IF($S282="","",IF((INDEX(数据录入!$I$5:$I$4999,$S282)&amp;"")&lt;&gt;"",INDEX(数据录入!$I$5:$I$4999,$S282)&amp;"",INDEX(数据录入!$J$5:$J$4999,$S282)&amp;""))</f>
      </c>
      <c r="E282" s="108">
        <f>IF($S282="","",INDEX(数据录入!$E$5:$E$4999,$S282)&amp;"")</f>
      </c>
      <c r="F282" s="114">
        <f>IF($S282="","",N(INDEX(数据录入!$F$5:$F$4999,$S282)))</f>
      </c>
      <c r="G282" s="114">
        <f>IF($S282="","",N(INDEX(数据录入!$G$5:$G$4999,$S282)))</f>
      </c>
      <c r="H282" s="114">
        <f>IF($S282="","",$G$2+SUM($F$8:$F282)-SUM($G$8:$G282))</f>
      </c>
      <c r="Q282" s="44">
        <f>IF(数据录入!$B282="",0,IF(OR(数据录入!$D282="投标保证金",数据录入!$D282="合同履约保证金",ISNUMBER(FIND("保证金",数据录入!$E282))),1,0))</f>
      </c>
      <c r="R282" s="44">
        <f>IF(AND($Q282=1,数据录入!$B282&gt;=$B$2,数据录入!$B282&lt;=$D$2),N(R281)+1,N(R281))</f>
      </c>
      <c r="S282" s="44">
        <f>IFERROR(MATCH(275,$R$5:$R$4999,0),"")</f>
      </c>
    </row>
    <row r="283" s="44" customFormat="1" spans="1:23">
      <c r="A283" s="116">
        <f>IF($S283="","",INDEX(数据录入!$B$5:$B$4999,$S283))</f>
      </c>
      <c r="B283" s="44">
        <f>IF($S283="","",INDEX(数据录入!$C$5:$C$4999,$S283)&amp;"")</f>
      </c>
      <c r="C283" s="165">
        <f>IF($S283="","",IF(N($F283)&gt;0,"收款",IF(N($G283)&gt;0,"付款","")))</f>
      </c>
      <c r="D283" s="44">
        <f>IF($S283="","",IF((INDEX(数据录入!$I$5:$I$4999,$S283)&amp;"")&lt;&gt;"",INDEX(数据录入!$I$5:$I$4999,$S283)&amp;"",INDEX(数据录入!$J$5:$J$4999,$S283)&amp;""))</f>
      </c>
      <c r="E283" s="108">
        <f>IF($S283="","",INDEX(数据录入!$E$5:$E$4999,$S283)&amp;"")</f>
      </c>
      <c r="F283" s="114">
        <f>IF($S283="","",N(INDEX(数据录入!$F$5:$F$4999,$S283)))</f>
      </c>
      <c r="G283" s="114">
        <f>IF($S283="","",N(INDEX(数据录入!$G$5:$G$4999,$S283)))</f>
      </c>
      <c r="H283" s="114">
        <f>IF($S283="","",$G$2+SUM($F$8:$F283)-SUM($G$8:$G283))</f>
      </c>
      <c r="Q283" s="44">
        <f>IF(数据录入!$B283="",0,IF(OR(数据录入!$D283="投标保证金",数据录入!$D283="合同履约保证金",ISNUMBER(FIND("保证金",数据录入!$E283))),1,0))</f>
      </c>
      <c r="R283" s="44">
        <f>IF(AND($Q283=1,数据录入!$B283&gt;=$B$2,数据录入!$B283&lt;=$D$2),N(R282)+1,N(R282))</f>
      </c>
      <c r="S283" s="44">
        <f>IFERROR(MATCH(276,$R$5:$R$4999,0),"")</f>
      </c>
    </row>
    <row r="284" s="44" customFormat="1" spans="1:23">
      <c r="A284" s="116">
        <f>IF($S284="","",INDEX(数据录入!$B$5:$B$4999,$S284))</f>
      </c>
      <c r="B284" s="44">
        <f>IF($S284="","",INDEX(数据录入!$C$5:$C$4999,$S284)&amp;"")</f>
      </c>
      <c r="C284" s="165">
        <f>IF($S284="","",IF(N($F284)&gt;0,"收款",IF(N($G284)&gt;0,"付款","")))</f>
      </c>
      <c r="D284" s="44">
        <f>IF($S284="","",IF((INDEX(数据录入!$I$5:$I$4999,$S284)&amp;"")&lt;&gt;"",INDEX(数据录入!$I$5:$I$4999,$S284)&amp;"",INDEX(数据录入!$J$5:$J$4999,$S284)&amp;""))</f>
      </c>
      <c r="E284" s="108">
        <f>IF($S284="","",INDEX(数据录入!$E$5:$E$4999,$S284)&amp;"")</f>
      </c>
      <c r="F284" s="114">
        <f>IF($S284="","",N(INDEX(数据录入!$F$5:$F$4999,$S284)))</f>
      </c>
      <c r="G284" s="114">
        <f>IF($S284="","",N(INDEX(数据录入!$G$5:$G$4999,$S284)))</f>
      </c>
      <c r="H284" s="114">
        <f>IF($S284="","",$G$2+SUM($F$8:$F284)-SUM($G$8:$G284))</f>
      </c>
      <c r="Q284" s="44">
        <f>IF(数据录入!$B284="",0,IF(OR(数据录入!$D284="投标保证金",数据录入!$D284="合同履约保证金",ISNUMBER(FIND("保证金",数据录入!$E284))),1,0))</f>
      </c>
      <c r="R284" s="44">
        <f>IF(AND($Q284=1,数据录入!$B284&gt;=$B$2,数据录入!$B284&lt;=$D$2),N(R283)+1,N(R283))</f>
      </c>
      <c r="S284" s="44">
        <f>IFERROR(MATCH(277,$R$5:$R$4999,0),"")</f>
      </c>
    </row>
    <row r="285" s="44" customFormat="1" spans="1:23">
      <c r="A285" s="116">
        <f>IF($S285="","",INDEX(数据录入!$B$5:$B$4999,$S285))</f>
      </c>
      <c r="B285" s="44">
        <f>IF($S285="","",INDEX(数据录入!$C$5:$C$4999,$S285)&amp;"")</f>
      </c>
      <c r="C285" s="165">
        <f>IF($S285="","",IF(N($F285)&gt;0,"收款",IF(N($G285)&gt;0,"付款","")))</f>
      </c>
      <c r="D285" s="44">
        <f>IF($S285="","",IF((INDEX(数据录入!$I$5:$I$4999,$S285)&amp;"")&lt;&gt;"",INDEX(数据录入!$I$5:$I$4999,$S285)&amp;"",INDEX(数据录入!$J$5:$J$4999,$S285)&amp;""))</f>
      </c>
      <c r="E285" s="108">
        <f>IF($S285="","",INDEX(数据录入!$E$5:$E$4999,$S285)&amp;"")</f>
      </c>
      <c r="F285" s="114">
        <f>IF($S285="","",N(INDEX(数据录入!$F$5:$F$4999,$S285)))</f>
      </c>
      <c r="G285" s="114">
        <f>IF($S285="","",N(INDEX(数据录入!$G$5:$G$4999,$S285)))</f>
      </c>
      <c r="H285" s="114">
        <f>IF($S285="","",$G$2+SUM($F$8:$F285)-SUM($G$8:$G285))</f>
      </c>
      <c r="Q285" s="44">
        <f>IF(数据录入!$B285="",0,IF(OR(数据录入!$D285="投标保证金",数据录入!$D285="合同履约保证金",ISNUMBER(FIND("保证金",数据录入!$E285))),1,0))</f>
      </c>
      <c r="R285" s="44">
        <f>IF(AND($Q285=1,数据录入!$B285&gt;=$B$2,数据录入!$B285&lt;=$D$2),N(R284)+1,N(R284))</f>
      </c>
      <c r="S285" s="44">
        <f>IFERROR(MATCH(278,$R$5:$R$4999,0),"")</f>
      </c>
    </row>
    <row r="286" s="44" customFormat="1" spans="1:23">
      <c r="A286" s="116">
        <f>IF($S286="","",INDEX(数据录入!$B$5:$B$4999,$S286))</f>
      </c>
      <c r="B286" s="44">
        <f>IF($S286="","",INDEX(数据录入!$C$5:$C$4999,$S286)&amp;"")</f>
      </c>
      <c r="C286" s="165">
        <f>IF($S286="","",IF(N($F286)&gt;0,"收款",IF(N($G286)&gt;0,"付款","")))</f>
      </c>
      <c r="D286" s="44">
        <f>IF($S286="","",IF((INDEX(数据录入!$I$5:$I$4999,$S286)&amp;"")&lt;&gt;"",INDEX(数据录入!$I$5:$I$4999,$S286)&amp;"",INDEX(数据录入!$J$5:$J$4999,$S286)&amp;""))</f>
      </c>
      <c r="E286" s="108">
        <f>IF($S286="","",INDEX(数据录入!$E$5:$E$4999,$S286)&amp;"")</f>
      </c>
      <c r="F286" s="114">
        <f>IF($S286="","",N(INDEX(数据录入!$F$5:$F$4999,$S286)))</f>
      </c>
      <c r="G286" s="114">
        <f>IF($S286="","",N(INDEX(数据录入!$G$5:$G$4999,$S286)))</f>
      </c>
      <c r="H286" s="114">
        <f>IF($S286="","",$G$2+SUM($F$8:$F286)-SUM($G$8:$G286))</f>
      </c>
      <c r="Q286" s="44">
        <f>IF(数据录入!$B286="",0,IF(OR(数据录入!$D286="投标保证金",数据录入!$D286="合同履约保证金",ISNUMBER(FIND("保证金",数据录入!$E286))),1,0))</f>
      </c>
      <c r="R286" s="44">
        <f>IF(AND($Q286=1,数据录入!$B286&gt;=$B$2,数据录入!$B286&lt;=$D$2),N(R285)+1,N(R285))</f>
      </c>
      <c r="S286" s="44">
        <f>IFERROR(MATCH(279,$R$5:$R$4999,0),"")</f>
      </c>
    </row>
    <row r="287" s="44" customFormat="1" spans="1:23">
      <c r="A287" s="116">
        <f>IF($S287="","",INDEX(数据录入!$B$5:$B$4999,$S287))</f>
      </c>
      <c r="B287" s="44">
        <f>IF($S287="","",INDEX(数据录入!$C$5:$C$4999,$S287)&amp;"")</f>
      </c>
      <c r="C287" s="165">
        <f>IF($S287="","",IF(N($F287)&gt;0,"收款",IF(N($G287)&gt;0,"付款","")))</f>
      </c>
      <c r="D287" s="44">
        <f>IF($S287="","",IF((INDEX(数据录入!$I$5:$I$4999,$S287)&amp;"")&lt;&gt;"",INDEX(数据录入!$I$5:$I$4999,$S287)&amp;"",INDEX(数据录入!$J$5:$J$4999,$S287)&amp;""))</f>
      </c>
      <c r="E287" s="108">
        <f>IF($S287="","",INDEX(数据录入!$E$5:$E$4999,$S287)&amp;"")</f>
      </c>
      <c r="F287" s="114">
        <f>IF($S287="","",N(INDEX(数据录入!$F$5:$F$4999,$S287)))</f>
      </c>
      <c r="G287" s="114">
        <f>IF($S287="","",N(INDEX(数据录入!$G$5:$G$4999,$S287)))</f>
      </c>
      <c r="H287" s="114">
        <f>IF($S287="","",$G$2+SUM($F$8:$F287)-SUM($G$8:$G287))</f>
      </c>
      <c r="Q287" s="44">
        <f>IF(数据录入!$B287="",0,IF(OR(数据录入!$D287="投标保证金",数据录入!$D287="合同履约保证金",ISNUMBER(FIND("保证金",数据录入!$E287))),1,0))</f>
      </c>
      <c r="R287" s="44">
        <f>IF(AND($Q287=1,数据录入!$B287&gt;=$B$2,数据录入!$B287&lt;=$D$2),N(R286)+1,N(R286))</f>
      </c>
      <c r="S287" s="44">
        <f>IFERROR(MATCH(280,$R$5:$R$4999,0),"")</f>
      </c>
    </row>
    <row r="288" s="44" customFormat="1" spans="1:23">
      <c r="A288" s="116">
        <f>IF($S288="","",INDEX(数据录入!$B$5:$B$4999,$S288))</f>
      </c>
      <c r="B288" s="44">
        <f>IF($S288="","",INDEX(数据录入!$C$5:$C$4999,$S288)&amp;"")</f>
      </c>
      <c r="C288" s="165">
        <f>IF($S288="","",IF(N($F288)&gt;0,"收款",IF(N($G288)&gt;0,"付款","")))</f>
      </c>
      <c r="D288" s="44">
        <f>IF($S288="","",IF((INDEX(数据录入!$I$5:$I$4999,$S288)&amp;"")&lt;&gt;"",INDEX(数据录入!$I$5:$I$4999,$S288)&amp;"",INDEX(数据录入!$J$5:$J$4999,$S288)&amp;""))</f>
      </c>
      <c r="E288" s="108">
        <f>IF($S288="","",INDEX(数据录入!$E$5:$E$4999,$S288)&amp;"")</f>
      </c>
      <c r="F288" s="114">
        <f>IF($S288="","",N(INDEX(数据录入!$F$5:$F$4999,$S288)))</f>
      </c>
      <c r="G288" s="114">
        <f>IF($S288="","",N(INDEX(数据录入!$G$5:$G$4999,$S288)))</f>
      </c>
      <c r="H288" s="114">
        <f>IF($S288="","",$G$2+SUM($F$8:$F288)-SUM($G$8:$G288))</f>
      </c>
      <c r="Q288" s="44">
        <f>IF(数据录入!$B288="",0,IF(OR(数据录入!$D288="投标保证金",数据录入!$D288="合同履约保证金",ISNUMBER(FIND("保证金",数据录入!$E288))),1,0))</f>
      </c>
      <c r="R288" s="44">
        <f>IF(AND($Q288=1,数据录入!$B288&gt;=$B$2,数据录入!$B288&lt;=$D$2),N(R287)+1,N(R287))</f>
      </c>
      <c r="S288" s="44">
        <f>IFERROR(MATCH(281,$R$5:$R$4999,0),"")</f>
      </c>
    </row>
    <row r="289" s="44" customFormat="1" spans="1:23">
      <c r="A289" s="116">
        <f>IF($S289="","",INDEX(数据录入!$B$5:$B$4999,$S289))</f>
      </c>
      <c r="B289" s="44">
        <f>IF($S289="","",INDEX(数据录入!$C$5:$C$4999,$S289)&amp;"")</f>
      </c>
      <c r="C289" s="165">
        <f>IF($S289="","",IF(N($F289)&gt;0,"收款",IF(N($G289)&gt;0,"付款","")))</f>
      </c>
      <c r="D289" s="44">
        <f>IF($S289="","",IF((INDEX(数据录入!$I$5:$I$4999,$S289)&amp;"")&lt;&gt;"",INDEX(数据录入!$I$5:$I$4999,$S289)&amp;"",INDEX(数据录入!$J$5:$J$4999,$S289)&amp;""))</f>
      </c>
      <c r="E289" s="108">
        <f>IF($S289="","",INDEX(数据录入!$E$5:$E$4999,$S289)&amp;"")</f>
      </c>
      <c r="F289" s="114">
        <f>IF($S289="","",N(INDEX(数据录入!$F$5:$F$4999,$S289)))</f>
      </c>
      <c r="G289" s="114">
        <f>IF($S289="","",N(INDEX(数据录入!$G$5:$G$4999,$S289)))</f>
      </c>
      <c r="H289" s="114">
        <f>IF($S289="","",$G$2+SUM($F$8:$F289)-SUM($G$8:$G289))</f>
      </c>
      <c r="Q289" s="44">
        <f>IF(数据录入!$B289="",0,IF(OR(数据录入!$D289="投标保证金",数据录入!$D289="合同履约保证金",ISNUMBER(FIND("保证金",数据录入!$E289))),1,0))</f>
      </c>
      <c r="R289" s="44">
        <f>IF(AND($Q289=1,数据录入!$B289&gt;=$B$2,数据录入!$B289&lt;=$D$2),N(R288)+1,N(R288))</f>
      </c>
      <c r="S289" s="44">
        <f>IFERROR(MATCH(282,$R$5:$R$4999,0),"")</f>
      </c>
    </row>
    <row r="290" s="44" customFormat="1" spans="1:23">
      <c r="A290" s="116">
        <f>IF($S290="","",INDEX(数据录入!$B$5:$B$4999,$S290))</f>
      </c>
      <c r="B290" s="44">
        <f>IF($S290="","",INDEX(数据录入!$C$5:$C$4999,$S290)&amp;"")</f>
      </c>
      <c r="C290" s="165">
        <f>IF($S290="","",IF(N($F290)&gt;0,"收款",IF(N($G290)&gt;0,"付款","")))</f>
      </c>
      <c r="D290" s="44">
        <f>IF($S290="","",IF((INDEX(数据录入!$I$5:$I$4999,$S290)&amp;"")&lt;&gt;"",INDEX(数据录入!$I$5:$I$4999,$S290)&amp;"",INDEX(数据录入!$J$5:$J$4999,$S290)&amp;""))</f>
      </c>
      <c r="E290" s="108">
        <f>IF($S290="","",INDEX(数据录入!$E$5:$E$4999,$S290)&amp;"")</f>
      </c>
      <c r="F290" s="114">
        <f>IF($S290="","",N(INDEX(数据录入!$F$5:$F$4999,$S290)))</f>
      </c>
      <c r="G290" s="114">
        <f>IF($S290="","",N(INDEX(数据录入!$G$5:$G$4999,$S290)))</f>
      </c>
      <c r="H290" s="114">
        <f>IF($S290="","",$G$2+SUM($F$8:$F290)-SUM($G$8:$G290))</f>
      </c>
      <c r="Q290" s="44">
        <f>IF(数据录入!$B290="",0,IF(OR(数据录入!$D290="投标保证金",数据录入!$D290="合同履约保证金",ISNUMBER(FIND("保证金",数据录入!$E290))),1,0))</f>
      </c>
      <c r="R290" s="44">
        <f>IF(AND($Q290=1,数据录入!$B290&gt;=$B$2,数据录入!$B290&lt;=$D$2),N(R289)+1,N(R289))</f>
      </c>
      <c r="S290" s="44">
        <f>IFERROR(MATCH(283,$R$5:$R$4999,0),"")</f>
      </c>
    </row>
    <row r="291" s="44" customFormat="1" spans="1:23">
      <c r="A291" s="116">
        <f>IF($S291="","",INDEX(数据录入!$B$5:$B$4999,$S291))</f>
      </c>
      <c r="B291" s="44">
        <f>IF($S291="","",INDEX(数据录入!$C$5:$C$4999,$S291)&amp;"")</f>
      </c>
      <c r="C291" s="165">
        <f>IF($S291="","",IF(N($F291)&gt;0,"收款",IF(N($G291)&gt;0,"付款","")))</f>
      </c>
      <c r="D291" s="44">
        <f>IF($S291="","",IF((INDEX(数据录入!$I$5:$I$4999,$S291)&amp;"")&lt;&gt;"",INDEX(数据录入!$I$5:$I$4999,$S291)&amp;"",INDEX(数据录入!$J$5:$J$4999,$S291)&amp;""))</f>
      </c>
      <c r="E291" s="108">
        <f>IF($S291="","",INDEX(数据录入!$E$5:$E$4999,$S291)&amp;"")</f>
      </c>
      <c r="F291" s="114">
        <f>IF($S291="","",N(INDEX(数据录入!$F$5:$F$4999,$S291)))</f>
      </c>
      <c r="G291" s="114">
        <f>IF($S291="","",N(INDEX(数据录入!$G$5:$G$4999,$S291)))</f>
      </c>
      <c r="H291" s="114">
        <f>IF($S291="","",$G$2+SUM($F$8:$F291)-SUM($G$8:$G291))</f>
      </c>
      <c r="Q291" s="44">
        <f>IF(数据录入!$B291="",0,IF(OR(数据录入!$D291="投标保证金",数据录入!$D291="合同履约保证金",ISNUMBER(FIND("保证金",数据录入!$E291))),1,0))</f>
      </c>
      <c r="R291" s="44">
        <f>IF(AND($Q291=1,数据录入!$B291&gt;=$B$2,数据录入!$B291&lt;=$D$2),N(R290)+1,N(R290))</f>
      </c>
      <c r="S291" s="44">
        <f>IFERROR(MATCH(284,$R$5:$R$4999,0),"")</f>
      </c>
    </row>
    <row r="292" s="44" customFormat="1" spans="1:23">
      <c r="A292" s="116">
        <f>IF($S292="","",INDEX(数据录入!$B$5:$B$4999,$S292))</f>
      </c>
      <c r="B292" s="44">
        <f>IF($S292="","",INDEX(数据录入!$C$5:$C$4999,$S292)&amp;"")</f>
      </c>
      <c r="C292" s="165">
        <f>IF($S292="","",IF(N($F292)&gt;0,"收款",IF(N($G292)&gt;0,"付款","")))</f>
      </c>
      <c r="D292" s="44">
        <f>IF($S292="","",IF((INDEX(数据录入!$I$5:$I$4999,$S292)&amp;"")&lt;&gt;"",INDEX(数据录入!$I$5:$I$4999,$S292)&amp;"",INDEX(数据录入!$J$5:$J$4999,$S292)&amp;""))</f>
      </c>
      <c r="E292" s="108">
        <f>IF($S292="","",INDEX(数据录入!$E$5:$E$4999,$S292)&amp;"")</f>
      </c>
      <c r="F292" s="114">
        <f>IF($S292="","",N(INDEX(数据录入!$F$5:$F$4999,$S292)))</f>
      </c>
      <c r="G292" s="114">
        <f>IF($S292="","",N(INDEX(数据录入!$G$5:$G$4999,$S292)))</f>
      </c>
      <c r="H292" s="114">
        <f>IF($S292="","",$G$2+SUM($F$8:$F292)-SUM($G$8:$G292))</f>
      </c>
      <c r="Q292" s="44">
        <f>IF(数据录入!$B292="",0,IF(OR(数据录入!$D292="投标保证金",数据录入!$D292="合同履约保证金",ISNUMBER(FIND("保证金",数据录入!$E292))),1,0))</f>
      </c>
      <c r="R292" s="44">
        <f>IF(AND($Q292=1,数据录入!$B292&gt;=$B$2,数据录入!$B292&lt;=$D$2),N(R291)+1,N(R291))</f>
      </c>
      <c r="S292" s="44">
        <f>IFERROR(MATCH(285,$R$5:$R$4999,0),"")</f>
      </c>
    </row>
    <row r="293" s="44" customFormat="1" spans="1:23">
      <c r="A293" s="116">
        <f>IF($S293="","",INDEX(数据录入!$B$5:$B$4999,$S293))</f>
      </c>
      <c r="B293" s="44">
        <f>IF($S293="","",INDEX(数据录入!$C$5:$C$4999,$S293)&amp;"")</f>
      </c>
      <c r="C293" s="165">
        <f>IF($S293="","",IF(N($F293)&gt;0,"收款",IF(N($G293)&gt;0,"付款","")))</f>
      </c>
      <c r="D293" s="44">
        <f>IF($S293="","",IF((INDEX(数据录入!$I$5:$I$4999,$S293)&amp;"")&lt;&gt;"",INDEX(数据录入!$I$5:$I$4999,$S293)&amp;"",INDEX(数据录入!$J$5:$J$4999,$S293)&amp;""))</f>
      </c>
      <c r="E293" s="108">
        <f>IF($S293="","",INDEX(数据录入!$E$5:$E$4999,$S293)&amp;"")</f>
      </c>
      <c r="F293" s="114">
        <f>IF($S293="","",N(INDEX(数据录入!$F$5:$F$4999,$S293)))</f>
      </c>
      <c r="G293" s="114">
        <f>IF($S293="","",N(INDEX(数据录入!$G$5:$G$4999,$S293)))</f>
      </c>
      <c r="H293" s="114">
        <f>IF($S293="","",$G$2+SUM($F$8:$F293)-SUM($G$8:$G293))</f>
      </c>
      <c r="Q293" s="44">
        <f>IF(数据录入!$B293="",0,IF(OR(数据录入!$D293="投标保证金",数据录入!$D293="合同履约保证金",ISNUMBER(FIND("保证金",数据录入!$E293))),1,0))</f>
      </c>
      <c r="R293" s="44">
        <f>IF(AND($Q293=1,数据录入!$B293&gt;=$B$2,数据录入!$B293&lt;=$D$2),N(R292)+1,N(R292))</f>
      </c>
      <c r="S293" s="44">
        <f>IFERROR(MATCH(286,$R$5:$R$4999,0),"")</f>
      </c>
    </row>
    <row r="294" s="44" customFormat="1" spans="1:23">
      <c r="A294" s="116">
        <f>IF($S294="","",INDEX(数据录入!$B$5:$B$4999,$S294))</f>
      </c>
      <c r="B294" s="44">
        <f>IF($S294="","",INDEX(数据录入!$C$5:$C$4999,$S294)&amp;"")</f>
      </c>
      <c r="C294" s="165">
        <f>IF($S294="","",IF(N($F294)&gt;0,"收款",IF(N($G294)&gt;0,"付款","")))</f>
      </c>
      <c r="D294" s="44">
        <f>IF($S294="","",IF((INDEX(数据录入!$I$5:$I$4999,$S294)&amp;"")&lt;&gt;"",INDEX(数据录入!$I$5:$I$4999,$S294)&amp;"",INDEX(数据录入!$J$5:$J$4999,$S294)&amp;""))</f>
      </c>
      <c r="E294" s="108">
        <f>IF($S294="","",INDEX(数据录入!$E$5:$E$4999,$S294)&amp;"")</f>
      </c>
      <c r="F294" s="114">
        <f>IF($S294="","",N(INDEX(数据录入!$F$5:$F$4999,$S294)))</f>
      </c>
      <c r="G294" s="114">
        <f>IF($S294="","",N(INDEX(数据录入!$G$5:$G$4999,$S294)))</f>
      </c>
      <c r="H294" s="114">
        <f>IF($S294="","",$G$2+SUM($F$8:$F294)-SUM($G$8:$G294))</f>
      </c>
      <c r="Q294" s="44">
        <f>IF(数据录入!$B294="",0,IF(OR(数据录入!$D294="投标保证金",数据录入!$D294="合同履约保证金",ISNUMBER(FIND("保证金",数据录入!$E294))),1,0))</f>
      </c>
      <c r="R294" s="44">
        <f>IF(AND($Q294=1,数据录入!$B294&gt;=$B$2,数据录入!$B294&lt;=$D$2),N(R293)+1,N(R293))</f>
      </c>
      <c r="S294" s="44">
        <f>IFERROR(MATCH(287,$R$5:$R$4999,0),"")</f>
      </c>
    </row>
    <row r="295" s="44" customFormat="1" spans="1:23">
      <c r="A295" s="116">
        <f>IF($S295="","",INDEX(数据录入!$B$5:$B$4999,$S295))</f>
      </c>
      <c r="B295" s="44">
        <f>IF($S295="","",INDEX(数据录入!$C$5:$C$4999,$S295)&amp;"")</f>
      </c>
      <c r="C295" s="165">
        <f>IF($S295="","",IF(N($F295)&gt;0,"收款",IF(N($G295)&gt;0,"付款","")))</f>
      </c>
      <c r="D295" s="44">
        <f>IF($S295="","",IF((INDEX(数据录入!$I$5:$I$4999,$S295)&amp;"")&lt;&gt;"",INDEX(数据录入!$I$5:$I$4999,$S295)&amp;"",INDEX(数据录入!$J$5:$J$4999,$S295)&amp;""))</f>
      </c>
      <c r="E295" s="108">
        <f>IF($S295="","",INDEX(数据录入!$E$5:$E$4999,$S295)&amp;"")</f>
      </c>
      <c r="F295" s="114">
        <f>IF($S295="","",N(INDEX(数据录入!$F$5:$F$4999,$S295)))</f>
      </c>
      <c r="G295" s="114">
        <f>IF($S295="","",N(INDEX(数据录入!$G$5:$G$4999,$S295)))</f>
      </c>
      <c r="H295" s="114">
        <f>IF($S295="","",$G$2+SUM($F$8:$F295)-SUM($G$8:$G295))</f>
      </c>
      <c r="Q295" s="44">
        <f>IF(数据录入!$B295="",0,IF(OR(数据录入!$D295="投标保证金",数据录入!$D295="合同履约保证金",ISNUMBER(FIND("保证金",数据录入!$E295))),1,0))</f>
      </c>
      <c r="R295" s="44">
        <f>IF(AND($Q295=1,数据录入!$B295&gt;=$B$2,数据录入!$B295&lt;=$D$2),N(R294)+1,N(R294))</f>
      </c>
      <c r="S295" s="44">
        <f>IFERROR(MATCH(288,$R$5:$R$4999,0),"")</f>
      </c>
    </row>
    <row r="296" s="44" customFormat="1" spans="1:23">
      <c r="A296" s="116">
        <f>IF($S296="","",INDEX(数据录入!$B$5:$B$4999,$S296))</f>
      </c>
      <c r="B296" s="44">
        <f>IF($S296="","",INDEX(数据录入!$C$5:$C$4999,$S296)&amp;"")</f>
      </c>
      <c r="C296" s="165">
        <f>IF($S296="","",IF(N($F296)&gt;0,"收款",IF(N($G296)&gt;0,"付款","")))</f>
      </c>
      <c r="D296" s="44">
        <f>IF($S296="","",IF((INDEX(数据录入!$I$5:$I$4999,$S296)&amp;"")&lt;&gt;"",INDEX(数据录入!$I$5:$I$4999,$S296)&amp;"",INDEX(数据录入!$J$5:$J$4999,$S296)&amp;""))</f>
      </c>
      <c r="E296" s="108">
        <f>IF($S296="","",INDEX(数据录入!$E$5:$E$4999,$S296)&amp;"")</f>
      </c>
      <c r="F296" s="114">
        <f>IF($S296="","",N(INDEX(数据录入!$F$5:$F$4999,$S296)))</f>
      </c>
      <c r="G296" s="114">
        <f>IF($S296="","",N(INDEX(数据录入!$G$5:$G$4999,$S296)))</f>
      </c>
      <c r="H296" s="114">
        <f>IF($S296="","",$G$2+SUM($F$8:$F296)-SUM($G$8:$G296))</f>
      </c>
      <c r="Q296" s="44">
        <f>IF(数据录入!$B296="",0,IF(OR(数据录入!$D296="投标保证金",数据录入!$D296="合同履约保证金",ISNUMBER(FIND("保证金",数据录入!$E296))),1,0))</f>
      </c>
      <c r="R296" s="44">
        <f>IF(AND($Q296=1,数据录入!$B296&gt;=$B$2,数据录入!$B296&lt;=$D$2),N(R295)+1,N(R295))</f>
      </c>
      <c r="S296" s="44">
        <f>IFERROR(MATCH(289,$R$5:$R$4999,0),"")</f>
      </c>
    </row>
    <row r="297" s="44" customFormat="1" spans="1:23">
      <c r="A297" s="116">
        <f>IF($S297="","",INDEX(数据录入!$B$5:$B$4999,$S297))</f>
      </c>
      <c r="B297" s="44">
        <f>IF($S297="","",INDEX(数据录入!$C$5:$C$4999,$S297)&amp;"")</f>
      </c>
      <c r="C297" s="165">
        <f>IF($S297="","",IF(N($F297)&gt;0,"收款",IF(N($G297)&gt;0,"付款","")))</f>
      </c>
      <c r="D297" s="44">
        <f>IF($S297="","",IF((INDEX(数据录入!$I$5:$I$4999,$S297)&amp;"")&lt;&gt;"",INDEX(数据录入!$I$5:$I$4999,$S297)&amp;"",INDEX(数据录入!$J$5:$J$4999,$S297)&amp;""))</f>
      </c>
      <c r="E297" s="108">
        <f>IF($S297="","",INDEX(数据录入!$E$5:$E$4999,$S297)&amp;"")</f>
      </c>
      <c r="F297" s="114">
        <f>IF($S297="","",N(INDEX(数据录入!$F$5:$F$4999,$S297)))</f>
      </c>
      <c r="G297" s="114">
        <f>IF($S297="","",N(INDEX(数据录入!$G$5:$G$4999,$S297)))</f>
      </c>
      <c r="H297" s="114">
        <f>IF($S297="","",$G$2+SUM($F$8:$F297)-SUM($G$8:$G297))</f>
      </c>
      <c r="Q297" s="44">
        <f>IF(数据录入!$B297="",0,IF(OR(数据录入!$D297="投标保证金",数据录入!$D297="合同履约保证金",ISNUMBER(FIND("保证金",数据录入!$E297))),1,0))</f>
      </c>
      <c r="R297" s="44">
        <f>IF(AND($Q297=1,数据录入!$B297&gt;=$B$2,数据录入!$B297&lt;=$D$2),N(R296)+1,N(R296))</f>
      </c>
      <c r="S297" s="44">
        <f>IFERROR(MATCH(290,$R$5:$R$4999,0),"")</f>
      </c>
    </row>
    <row r="298" s="44" customFormat="1" spans="1:23">
      <c r="A298" s="116">
        <f>IF($S298="","",INDEX(数据录入!$B$5:$B$4999,$S298))</f>
      </c>
      <c r="B298" s="44">
        <f>IF($S298="","",INDEX(数据录入!$C$5:$C$4999,$S298)&amp;"")</f>
      </c>
      <c r="C298" s="165">
        <f>IF($S298="","",IF(N($F298)&gt;0,"收款",IF(N($G298)&gt;0,"付款","")))</f>
      </c>
      <c r="D298" s="44">
        <f>IF($S298="","",IF((INDEX(数据录入!$I$5:$I$4999,$S298)&amp;"")&lt;&gt;"",INDEX(数据录入!$I$5:$I$4999,$S298)&amp;"",INDEX(数据录入!$J$5:$J$4999,$S298)&amp;""))</f>
      </c>
      <c r="E298" s="108">
        <f>IF($S298="","",INDEX(数据录入!$E$5:$E$4999,$S298)&amp;"")</f>
      </c>
      <c r="F298" s="114">
        <f>IF($S298="","",N(INDEX(数据录入!$F$5:$F$4999,$S298)))</f>
      </c>
      <c r="G298" s="114">
        <f>IF($S298="","",N(INDEX(数据录入!$G$5:$G$4999,$S298)))</f>
      </c>
      <c r="H298" s="114">
        <f>IF($S298="","",$G$2+SUM($F$8:$F298)-SUM($G$8:$G298))</f>
      </c>
      <c r="Q298" s="44">
        <f>IF(数据录入!$B298="",0,IF(OR(数据录入!$D298="投标保证金",数据录入!$D298="合同履约保证金",ISNUMBER(FIND("保证金",数据录入!$E298))),1,0))</f>
      </c>
      <c r="R298" s="44">
        <f>IF(AND($Q298=1,数据录入!$B298&gt;=$B$2,数据录入!$B298&lt;=$D$2),N(R297)+1,N(R297))</f>
      </c>
      <c r="S298" s="44">
        <f>IFERROR(MATCH(291,$R$5:$R$4999,0),"")</f>
      </c>
    </row>
    <row r="299" s="44" customFormat="1" spans="1:23">
      <c r="A299" s="116">
        <f>IF($S299="","",INDEX(数据录入!$B$5:$B$4999,$S299))</f>
      </c>
      <c r="B299" s="44">
        <f>IF($S299="","",INDEX(数据录入!$C$5:$C$4999,$S299)&amp;"")</f>
      </c>
      <c r="C299" s="165">
        <f>IF($S299="","",IF(N($F299)&gt;0,"收款",IF(N($G299)&gt;0,"付款","")))</f>
      </c>
      <c r="D299" s="44">
        <f>IF($S299="","",IF((INDEX(数据录入!$I$5:$I$4999,$S299)&amp;"")&lt;&gt;"",INDEX(数据录入!$I$5:$I$4999,$S299)&amp;"",INDEX(数据录入!$J$5:$J$4999,$S299)&amp;""))</f>
      </c>
      <c r="E299" s="108">
        <f>IF($S299="","",INDEX(数据录入!$E$5:$E$4999,$S299)&amp;"")</f>
      </c>
      <c r="F299" s="114">
        <f>IF($S299="","",N(INDEX(数据录入!$F$5:$F$4999,$S299)))</f>
      </c>
      <c r="G299" s="114">
        <f>IF($S299="","",N(INDEX(数据录入!$G$5:$G$4999,$S299)))</f>
      </c>
      <c r="H299" s="114">
        <f>IF($S299="","",$G$2+SUM($F$8:$F299)-SUM($G$8:$G299))</f>
      </c>
      <c r="Q299" s="44">
        <f>IF(数据录入!$B299="",0,IF(OR(数据录入!$D299="投标保证金",数据录入!$D299="合同履约保证金",ISNUMBER(FIND("保证金",数据录入!$E299))),1,0))</f>
      </c>
      <c r="R299" s="44">
        <f>IF(AND($Q299=1,数据录入!$B299&gt;=$B$2,数据录入!$B299&lt;=$D$2),N(R298)+1,N(R298))</f>
      </c>
      <c r="S299" s="44">
        <f>IFERROR(MATCH(292,$R$5:$R$4999,0),"")</f>
      </c>
    </row>
    <row r="300" s="44" customFormat="1" spans="1:23">
      <c r="A300" s="116">
        <f>IF($S300="","",INDEX(数据录入!$B$5:$B$4999,$S300))</f>
      </c>
      <c r="B300" s="44">
        <f>IF($S300="","",INDEX(数据录入!$C$5:$C$4999,$S300)&amp;"")</f>
      </c>
      <c r="C300" s="165">
        <f>IF($S300="","",IF(N($F300)&gt;0,"收款",IF(N($G300)&gt;0,"付款","")))</f>
      </c>
      <c r="D300" s="44">
        <f>IF($S300="","",IF((INDEX(数据录入!$I$5:$I$4999,$S300)&amp;"")&lt;&gt;"",INDEX(数据录入!$I$5:$I$4999,$S300)&amp;"",INDEX(数据录入!$J$5:$J$4999,$S300)&amp;""))</f>
      </c>
      <c r="E300" s="108">
        <f>IF($S300="","",INDEX(数据录入!$E$5:$E$4999,$S300)&amp;"")</f>
      </c>
      <c r="F300" s="114">
        <f>IF($S300="","",N(INDEX(数据录入!$F$5:$F$4999,$S300)))</f>
      </c>
      <c r="G300" s="114">
        <f>IF($S300="","",N(INDEX(数据录入!$G$5:$G$4999,$S300)))</f>
      </c>
      <c r="H300" s="114">
        <f>IF($S300="","",$G$2+SUM($F$8:$F300)-SUM($G$8:$G300))</f>
      </c>
      <c r="Q300" s="44">
        <f>IF(数据录入!$B300="",0,IF(OR(数据录入!$D300="投标保证金",数据录入!$D300="合同履约保证金",ISNUMBER(FIND("保证金",数据录入!$E300))),1,0))</f>
      </c>
      <c r="R300" s="44">
        <f>IF(AND($Q300=1,数据录入!$B300&gt;=$B$2,数据录入!$B300&lt;=$D$2),N(R299)+1,N(R299))</f>
      </c>
      <c r="S300" s="44">
        <f>IFERROR(MATCH(293,$R$5:$R$4999,0),"")</f>
      </c>
    </row>
    <row r="301" s="44" customFormat="1" spans="1:23">
      <c r="A301" s="116">
        <f>IF($S301="","",INDEX(数据录入!$B$5:$B$4999,$S301))</f>
      </c>
      <c r="B301" s="44">
        <f>IF($S301="","",INDEX(数据录入!$C$5:$C$4999,$S301)&amp;"")</f>
      </c>
      <c r="C301" s="165">
        <f>IF($S301="","",IF(N($F301)&gt;0,"收款",IF(N($G301)&gt;0,"付款","")))</f>
      </c>
      <c r="D301" s="44">
        <f>IF($S301="","",IF((INDEX(数据录入!$I$5:$I$4999,$S301)&amp;"")&lt;&gt;"",INDEX(数据录入!$I$5:$I$4999,$S301)&amp;"",INDEX(数据录入!$J$5:$J$4999,$S301)&amp;""))</f>
      </c>
      <c r="E301" s="108">
        <f>IF($S301="","",INDEX(数据录入!$E$5:$E$4999,$S301)&amp;"")</f>
      </c>
      <c r="F301" s="114">
        <f>IF($S301="","",N(INDEX(数据录入!$F$5:$F$4999,$S301)))</f>
      </c>
      <c r="G301" s="114">
        <f>IF($S301="","",N(INDEX(数据录入!$G$5:$G$4999,$S301)))</f>
      </c>
      <c r="H301" s="114">
        <f>IF($S301="","",$G$2+SUM($F$8:$F301)-SUM($G$8:$G301))</f>
      </c>
      <c r="Q301" s="44">
        <f>IF(数据录入!$B301="",0,IF(OR(数据录入!$D301="投标保证金",数据录入!$D301="合同履约保证金",ISNUMBER(FIND("保证金",数据录入!$E301))),1,0))</f>
      </c>
      <c r="R301" s="44">
        <f>IF(AND($Q301=1,数据录入!$B301&gt;=$B$2,数据录入!$B301&lt;=$D$2),N(R300)+1,N(R300))</f>
      </c>
      <c r="S301" s="44">
        <f>IFERROR(MATCH(294,$R$5:$R$4999,0),"")</f>
      </c>
    </row>
    <row r="302" s="44" customFormat="1" spans="1:23">
      <c r="A302" s="116">
        <f>IF($S302="","",INDEX(数据录入!$B$5:$B$4999,$S302))</f>
      </c>
      <c r="B302" s="44">
        <f>IF($S302="","",INDEX(数据录入!$C$5:$C$4999,$S302)&amp;"")</f>
      </c>
      <c r="C302" s="165">
        <f>IF($S302="","",IF(N($F302)&gt;0,"收款",IF(N($G302)&gt;0,"付款","")))</f>
      </c>
      <c r="D302" s="44">
        <f>IF($S302="","",IF((INDEX(数据录入!$I$5:$I$4999,$S302)&amp;"")&lt;&gt;"",INDEX(数据录入!$I$5:$I$4999,$S302)&amp;"",INDEX(数据录入!$J$5:$J$4999,$S302)&amp;""))</f>
      </c>
      <c r="E302" s="108">
        <f>IF($S302="","",INDEX(数据录入!$E$5:$E$4999,$S302)&amp;"")</f>
      </c>
      <c r="F302" s="114">
        <f>IF($S302="","",N(INDEX(数据录入!$F$5:$F$4999,$S302)))</f>
      </c>
      <c r="G302" s="114">
        <f>IF($S302="","",N(INDEX(数据录入!$G$5:$G$4999,$S302)))</f>
      </c>
      <c r="H302" s="114">
        <f>IF($S302="","",$G$2+SUM($F$8:$F302)-SUM($G$8:$G302))</f>
      </c>
      <c r="Q302" s="44">
        <f>IF(数据录入!$B302="",0,IF(OR(数据录入!$D302="投标保证金",数据录入!$D302="合同履约保证金",ISNUMBER(FIND("保证金",数据录入!$E302))),1,0))</f>
      </c>
      <c r="R302" s="44">
        <f>IF(AND($Q302=1,数据录入!$B302&gt;=$B$2,数据录入!$B302&lt;=$D$2),N(R301)+1,N(R301))</f>
      </c>
      <c r="S302" s="44">
        <f>IFERROR(MATCH(295,$R$5:$R$4999,0),"")</f>
      </c>
    </row>
    <row r="303" s="44" customFormat="1" spans="1:23">
      <c r="A303" s="116">
        <f>IF($S303="","",INDEX(数据录入!$B$5:$B$4999,$S303))</f>
      </c>
      <c r="B303" s="44">
        <f>IF($S303="","",INDEX(数据录入!$C$5:$C$4999,$S303)&amp;"")</f>
      </c>
      <c r="C303" s="165">
        <f>IF($S303="","",IF(N($F303)&gt;0,"收款",IF(N($G303)&gt;0,"付款","")))</f>
      </c>
      <c r="D303" s="44">
        <f>IF($S303="","",IF((INDEX(数据录入!$I$5:$I$4999,$S303)&amp;"")&lt;&gt;"",INDEX(数据录入!$I$5:$I$4999,$S303)&amp;"",INDEX(数据录入!$J$5:$J$4999,$S303)&amp;""))</f>
      </c>
      <c r="E303" s="108">
        <f>IF($S303="","",INDEX(数据录入!$E$5:$E$4999,$S303)&amp;"")</f>
      </c>
      <c r="F303" s="114">
        <f>IF($S303="","",N(INDEX(数据录入!$F$5:$F$4999,$S303)))</f>
      </c>
      <c r="G303" s="114">
        <f>IF($S303="","",N(INDEX(数据录入!$G$5:$G$4999,$S303)))</f>
      </c>
      <c r="H303" s="114">
        <f>IF($S303="","",$G$2+SUM($F$8:$F303)-SUM($G$8:$G303))</f>
      </c>
      <c r="Q303" s="44">
        <f>IF(数据录入!$B303="",0,IF(OR(数据录入!$D303="投标保证金",数据录入!$D303="合同履约保证金",ISNUMBER(FIND("保证金",数据录入!$E303))),1,0))</f>
      </c>
      <c r="R303" s="44">
        <f>IF(AND($Q303=1,数据录入!$B303&gt;=$B$2,数据录入!$B303&lt;=$D$2),N(R302)+1,N(R302))</f>
      </c>
      <c r="S303" s="44">
        <f>IFERROR(MATCH(296,$R$5:$R$4999,0),"")</f>
      </c>
    </row>
    <row r="304" s="44" customFormat="1" spans="1:23">
      <c r="A304" s="116">
        <f>IF($S304="","",INDEX(数据录入!$B$5:$B$4999,$S304))</f>
      </c>
      <c r="B304" s="44">
        <f>IF($S304="","",INDEX(数据录入!$C$5:$C$4999,$S304)&amp;"")</f>
      </c>
      <c r="C304" s="165">
        <f>IF($S304="","",IF(N($F304)&gt;0,"收款",IF(N($G304)&gt;0,"付款","")))</f>
      </c>
      <c r="D304" s="44">
        <f>IF($S304="","",IF((INDEX(数据录入!$I$5:$I$4999,$S304)&amp;"")&lt;&gt;"",INDEX(数据录入!$I$5:$I$4999,$S304)&amp;"",INDEX(数据录入!$J$5:$J$4999,$S304)&amp;""))</f>
      </c>
      <c r="E304" s="108">
        <f>IF($S304="","",INDEX(数据录入!$E$5:$E$4999,$S304)&amp;"")</f>
      </c>
      <c r="F304" s="114">
        <f>IF($S304="","",N(INDEX(数据录入!$F$5:$F$4999,$S304)))</f>
      </c>
      <c r="G304" s="114">
        <f>IF($S304="","",N(INDEX(数据录入!$G$5:$G$4999,$S304)))</f>
      </c>
      <c r="H304" s="114">
        <f>IF($S304="","",$G$2+SUM($F$8:$F304)-SUM($G$8:$G304))</f>
      </c>
      <c r="Q304" s="44">
        <f>IF(数据录入!$B304="",0,IF(OR(数据录入!$D304="投标保证金",数据录入!$D304="合同履约保证金",ISNUMBER(FIND("保证金",数据录入!$E304))),1,0))</f>
      </c>
      <c r="R304" s="44">
        <f>IF(AND($Q304=1,数据录入!$B304&gt;=$B$2,数据录入!$B304&lt;=$D$2),N(R303)+1,N(R303))</f>
      </c>
      <c r="S304" s="44">
        <f>IFERROR(MATCH(297,$R$5:$R$4999,0),"")</f>
      </c>
    </row>
    <row r="305" s="44" customFormat="1" spans="1:23">
      <c r="A305" s="116">
        <f>IF($S305="","",INDEX(数据录入!$B$5:$B$4999,$S305))</f>
      </c>
      <c r="B305" s="44">
        <f>IF($S305="","",INDEX(数据录入!$C$5:$C$4999,$S305)&amp;"")</f>
      </c>
      <c r="C305" s="165">
        <f>IF($S305="","",IF(N($F305)&gt;0,"收款",IF(N($G305)&gt;0,"付款","")))</f>
      </c>
      <c r="D305" s="44">
        <f>IF($S305="","",IF((INDEX(数据录入!$I$5:$I$4999,$S305)&amp;"")&lt;&gt;"",INDEX(数据录入!$I$5:$I$4999,$S305)&amp;"",INDEX(数据录入!$J$5:$J$4999,$S305)&amp;""))</f>
      </c>
      <c r="E305" s="108">
        <f>IF($S305="","",INDEX(数据录入!$E$5:$E$4999,$S305)&amp;"")</f>
      </c>
      <c r="F305" s="114">
        <f>IF($S305="","",N(INDEX(数据录入!$F$5:$F$4999,$S305)))</f>
      </c>
      <c r="G305" s="114">
        <f>IF($S305="","",N(INDEX(数据录入!$G$5:$G$4999,$S305)))</f>
      </c>
      <c r="H305" s="114">
        <f>IF($S305="","",$G$2+SUM($F$8:$F305)-SUM($G$8:$G305))</f>
      </c>
      <c r="Q305" s="44">
        <f>IF(数据录入!$B305="",0,IF(OR(数据录入!$D305="投标保证金",数据录入!$D305="合同履约保证金",ISNUMBER(FIND("保证金",数据录入!$E305))),1,0))</f>
      </c>
      <c r="R305" s="44">
        <f>IF(AND($Q305=1,数据录入!$B305&gt;=$B$2,数据录入!$B305&lt;=$D$2),N(R304)+1,N(R304))</f>
      </c>
      <c r="S305" s="44">
        <f>IFERROR(MATCH(298,$R$5:$R$4999,0),"")</f>
      </c>
    </row>
    <row r="306" s="44" customFormat="1" spans="1:23">
      <c r="A306" s="116">
        <f>IF($S306="","",INDEX(数据录入!$B$5:$B$4999,$S306))</f>
      </c>
      <c r="B306" s="44">
        <f>IF($S306="","",INDEX(数据录入!$C$5:$C$4999,$S306)&amp;"")</f>
      </c>
      <c r="C306" s="165">
        <f>IF($S306="","",IF(N($F306)&gt;0,"收款",IF(N($G306)&gt;0,"付款","")))</f>
      </c>
      <c r="D306" s="44">
        <f>IF($S306="","",IF((INDEX(数据录入!$I$5:$I$4999,$S306)&amp;"")&lt;&gt;"",INDEX(数据录入!$I$5:$I$4999,$S306)&amp;"",INDEX(数据录入!$J$5:$J$4999,$S306)&amp;""))</f>
      </c>
      <c r="E306" s="108">
        <f>IF($S306="","",INDEX(数据录入!$E$5:$E$4999,$S306)&amp;"")</f>
      </c>
      <c r="F306" s="114">
        <f>IF($S306="","",N(INDEX(数据录入!$F$5:$F$4999,$S306)))</f>
      </c>
      <c r="G306" s="114">
        <f>IF($S306="","",N(INDEX(数据录入!$G$5:$G$4999,$S306)))</f>
      </c>
      <c r="H306" s="114">
        <f>IF($S306="","",$G$2+SUM($F$8:$F306)-SUM($G$8:$G306))</f>
      </c>
      <c r="Q306" s="44">
        <f>IF(数据录入!$B306="",0,IF(OR(数据录入!$D306="投标保证金",数据录入!$D306="合同履约保证金",ISNUMBER(FIND("保证金",数据录入!$E306))),1,0))</f>
      </c>
      <c r="R306" s="44">
        <f>IF(AND($Q306=1,数据录入!$B306&gt;=$B$2,数据录入!$B306&lt;=$D$2),N(R305)+1,N(R305))</f>
      </c>
      <c r="S306" s="44">
        <f>IFERROR(MATCH(299,$R$5:$R$4999,0),"")</f>
      </c>
    </row>
    <row r="307" s="44" customFormat="1" spans="1:23">
      <c r="A307" s="116">
        <f>IF($S307="","",INDEX(数据录入!$B$5:$B$4999,$S307))</f>
      </c>
      <c r="B307" s="44">
        <f>IF($S307="","",INDEX(数据录入!$C$5:$C$4999,$S307)&amp;"")</f>
      </c>
      <c r="C307" s="165">
        <f>IF($S307="","",IF(N($F307)&gt;0,"收款",IF(N($G307)&gt;0,"付款","")))</f>
      </c>
      <c r="D307" s="44">
        <f>IF($S307="","",IF((INDEX(数据录入!$I$5:$I$4999,$S307)&amp;"")&lt;&gt;"",INDEX(数据录入!$I$5:$I$4999,$S307)&amp;"",INDEX(数据录入!$J$5:$J$4999,$S307)&amp;""))</f>
      </c>
      <c r="E307" s="108">
        <f>IF($S307="","",INDEX(数据录入!$E$5:$E$4999,$S307)&amp;"")</f>
      </c>
      <c r="F307" s="114">
        <f>IF($S307="","",N(INDEX(数据录入!$F$5:$F$4999,$S307)))</f>
      </c>
      <c r="G307" s="114">
        <f>IF($S307="","",N(INDEX(数据录入!$G$5:$G$4999,$S307)))</f>
      </c>
      <c r="H307" s="114">
        <f>IF($S307="","",$G$2+SUM($F$8:$F307)-SUM($G$8:$G307))</f>
      </c>
      <c r="Q307" s="44">
        <f>IF(数据录入!$B307="",0,IF(OR(数据录入!$D307="投标保证金",数据录入!$D307="合同履约保证金",ISNUMBER(FIND("保证金",数据录入!$E307))),1,0))</f>
      </c>
      <c r="R307" s="44">
        <f>IF(AND($Q307=1,数据录入!$B307&gt;=$B$2,数据录入!$B307&lt;=$D$2),N(R306)+1,N(R306))</f>
      </c>
      <c r="S307" s="44">
        <f>IFERROR(MATCH(300,$R$5:$R$4999,0),"")</f>
      </c>
    </row>
    <row r="308" s="44" customFormat="1" spans="1:23">
      <c r="A308" s="116">
        <f>IF($S308="","",INDEX(数据录入!$B$5:$B$4999,$S308))</f>
      </c>
      <c r="B308" s="44">
        <f>IF($S308="","",INDEX(数据录入!$C$5:$C$4999,$S308)&amp;"")</f>
      </c>
      <c r="C308" s="165">
        <f>IF($S308="","",IF(N($F308)&gt;0,"收款",IF(N($G308)&gt;0,"付款","")))</f>
      </c>
      <c r="D308" s="44">
        <f>IF($S308="","",IF((INDEX(数据录入!$I$5:$I$4999,$S308)&amp;"")&lt;&gt;"",INDEX(数据录入!$I$5:$I$4999,$S308)&amp;"",INDEX(数据录入!$J$5:$J$4999,$S308)&amp;""))</f>
      </c>
      <c r="E308" s="108">
        <f>IF($S308="","",INDEX(数据录入!$E$5:$E$4999,$S308)&amp;"")</f>
      </c>
      <c r="F308" s="114">
        <f>IF($S308="","",N(INDEX(数据录入!$F$5:$F$4999,$S308)))</f>
      </c>
      <c r="G308" s="114">
        <f>IF($S308="","",N(INDEX(数据录入!$G$5:$G$4999,$S308)))</f>
      </c>
      <c r="H308" s="114">
        <f>IF($S308="","",$G$2+SUM($F$8:$F308)-SUM($G$8:$G308))</f>
      </c>
      <c r="Q308" s="44">
        <f>IF(数据录入!$B308="",0,IF(OR(数据录入!$D308="投标保证金",数据录入!$D308="合同履约保证金",ISNUMBER(FIND("保证金",数据录入!$E308))),1,0))</f>
      </c>
      <c r="R308" s="44">
        <f>IF(AND($Q308=1,数据录入!$B308&gt;=$B$2,数据录入!$B308&lt;=$D$2),N(R307)+1,N(R307))</f>
      </c>
      <c r="S308" s="44">
        <f>IFERROR(MATCH(301,$R$5:$R$4999,0),"")</f>
      </c>
    </row>
    <row r="309" s="44" customFormat="1" spans="1:23">
      <c r="A309" s="116">
        <f>IF($S309="","",INDEX(数据录入!$B$5:$B$4999,$S309))</f>
      </c>
      <c r="B309" s="44">
        <f>IF($S309="","",INDEX(数据录入!$C$5:$C$4999,$S309)&amp;"")</f>
      </c>
      <c r="C309" s="165">
        <f>IF($S309="","",IF(N($F309)&gt;0,"收款",IF(N($G309)&gt;0,"付款","")))</f>
      </c>
      <c r="D309" s="44">
        <f>IF($S309="","",IF((INDEX(数据录入!$I$5:$I$4999,$S309)&amp;"")&lt;&gt;"",INDEX(数据录入!$I$5:$I$4999,$S309)&amp;"",INDEX(数据录入!$J$5:$J$4999,$S309)&amp;""))</f>
      </c>
      <c r="E309" s="108">
        <f>IF($S309="","",INDEX(数据录入!$E$5:$E$4999,$S309)&amp;"")</f>
      </c>
      <c r="F309" s="114">
        <f>IF($S309="","",N(INDEX(数据录入!$F$5:$F$4999,$S309)))</f>
      </c>
      <c r="G309" s="114">
        <f>IF($S309="","",N(INDEX(数据录入!$G$5:$G$4999,$S309)))</f>
      </c>
      <c r="H309" s="114">
        <f>IF($S309="","",$G$2+SUM($F$8:$F309)-SUM($G$8:$G309))</f>
      </c>
      <c r="Q309" s="44">
        <f>IF(数据录入!$B309="",0,IF(OR(数据录入!$D309="投标保证金",数据录入!$D309="合同履约保证金",ISNUMBER(FIND("保证金",数据录入!$E309))),1,0))</f>
      </c>
      <c r="R309" s="44">
        <f>IF(AND($Q309=1,数据录入!$B309&gt;=$B$2,数据录入!$B309&lt;=$D$2),N(R308)+1,N(R308))</f>
      </c>
      <c r="S309" s="44">
        <f>IFERROR(MATCH(302,$R$5:$R$4999,0),"")</f>
      </c>
    </row>
    <row r="310" s="44" customFormat="1" spans="1:23">
      <c r="A310" s="116">
        <f>IF($S310="","",INDEX(数据录入!$B$5:$B$4999,$S310))</f>
      </c>
      <c r="B310" s="44">
        <f>IF($S310="","",INDEX(数据录入!$C$5:$C$4999,$S310)&amp;"")</f>
      </c>
      <c r="C310" s="165">
        <f>IF($S310="","",IF(N($F310)&gt;0,"收款",IF(N($G310)&gt;0,"付款","")))</f>
      </c>
      <c r="D310" s="44">
        <f>IF($S310="","",IF((INDEX(数据录入!$I$5:$I$4999,$S310)&amp;"")&lt;&gt;"",INDEX(数据录入!$I$5:$I$4999,$S310)&amp;"",INDEX(数据录入!$J$5:$J$4999,$S310)&amp;""))</f>
      </c>
      <c r="E310" s="108">
        <f>IF($S310="","",INDEX(数据录入!$E$5:$E$4999,$S310)&amp;"")</f>
      </c>
      <c r="F310" s="114">
        <f>IF($S310="","",N(INDEX(数据录入!$F$5:$F$4999,$S310)))</f>
      </c>
      <c r="G310" s="114">
        <f>IF($S310="","",N(INDEX(数据录入!$G$5:$G$4999,$S310)))</f>
      </c>
      <c r="H310" s="114">
        <f>IF($S310="","",$G$2+SUM($F$8:$F310)-SUM($G$8:$G310))</f>
      </c>
      <c r="Q310" s="44">
        <f>IF(数据录入!$B310="",0,IF(OR(数据录入!$D310="投标保证金",数据录入!$D310="合同履约保证金",ISNUMBER(FIND("保证金",数据录入!$E310))),1,0))</f>
      </c>
      <c r="R310" s="44">
        <f>IF(AND($Q310=1,数据录入!$B310&gt;=$B$2,数据录入!$B310&lt;=$D$2),N(R309)+1,N(R309))</f>
      </c>
      <c r="S310" s="44">
        <f>IFERROR(MATCH(303,$R$5:$R$4999,0),"")</f>
      </c>
    </row>
    <row r="311" s="44" customFormat="1" spans="1:23">
      <c r="A311" s="116">
        <f>IF($S311="","",INDEX(数据录入!$B$5:$B$4999,$S311))</f>
      </c>
      <c r="B311" s="44">
        <f>IF($S311="","",INDEX(数据录入!$C$5:$C$4999,$S311)&amp;"")</f>
      </c>
      <c r="C311" s="165">
        <f>IF($S311="","",IF(N($F311)&gt;0,"收款",IF(N($G311)&gt;0,"付款","")))</f>
      </c>
      <c r="D311" s="44">
        <f>IF($S311="","",IF((INDEX(数据录入!$I$5:$I$4999,$S311)&amp;"")&lt;&gt;"",INDEX(数据录入!$I$5:$I$4999,$S311)&amp;"",INDEX(数据录入!$J$5:$J$4999,$S311)&amp;""))</f>
      </c>
      <c r="E311" s="108">
        <f>IF($S311="","",INDEX(数据录入!$E$5:$E$4999,$S311)&amp;"")</f>
      </c>
      <c r="F311" s="114">
        <f>IF($S311="","",N(INDEX(数据录入!$F$5:$F$4999,$S311)))</f>
      </c>
      <c r="G311" s="114">
        <f>IF($S311="","",N(INDEX(数据录入!$G$5:$G$4999,$S311)))</f>
      </c>
      <c r="H311" s="114">
        <f>IF($S311="","",$G$2+SUM($F$8:$F311)-SUM($G$8:$G311))</f>
      </c>
      <c r="Q311" s="44">
        <f>IF(数据录入!$B311="",0,IF(OR(数据录入!$D311="投标保证金",数据录入!$D311="合同履约保证金",ISNUMBER(FIND("保证金",数据录入!$E311))),1,0))</f>
      </c>
      <c r="R311" s="44">
        <f>IF(AND($Q311=1,数据录入!$B311&gt;=$B$2,数据录入!$B311&lt;=$D$2),N(R310)+1,N(R310))</f>
      </c>
      <c r="S311" s="44">
        <f>IFERROR(MATCH(304,$R$5:$R$4999,0),"")</f>
      </c>
    </row>
    <row r="312" s="44" customFormat="1" spans="1:23">
      <c r="A312" s="116">
        <f>IF($S312="","",INDEX(数据录入!$B$5:$B$4999,$S312))</f>
      </c>
      <c r="B312" s="44">
        <f>IF($S312="","",INDEX(数据录入!$C$5:$C$4999,$S312)&amp;"")</f>
      </c>
      <c r="C312" s="165">
        <f>IF($S312="","",IF(N($F312)&gt;0,"收款",IF(N($G312)&gt;0,"付款","")))</f>
      </c>
      <c r="D312" s="44">
        <f>IF($S312="","",IF((INDEX(数据录入!$I$5:$I$4999,$S312)&amp;"")&lt;&gt;"",INDEX(数据录入!$I$5:$I$4999,$S312)&amp;"",INDEX(数据录入!$J$5:$J$4999,$S312)&amp;""))</f>
      </c>
      <c r="E312" s="108">
        <f>IF($S312="","",INDEX(数据录入!$E$5:$E$4999,$S312)&amp;"")</f>
      </c>
      <c r="F312" s="114">
        <f>IF($S312="","",N(INDEX(数据录入!$F$5:$F$4999,$S312)))</f>
      </c>
      <c r="G312" s="114">
        <f>IF($S312="","",N(INDEX(数据录入!$G$5:$G$4999,$S312)))</f>
      </c>
      <c r="H312" s="114">
        <f>IF($S312="","",$G$2+SUM($F$8:$F312)-SUM($G$8:$G312))</f>
      </c>
      <c r="Q312" s="44">
        <f>IF(数据录入!$B312="",0,IF(OR(数据录入!$D312="投标保证金",数据录入!$D312="合同履约保证金",ISNUMBER(FIND("保证金",数据录入!$E312))),1,0))</f>
      </c>
      <c r="R312" s="44">
        <f>IF(AND($Q312=1,数据录入!$B312&gt;=$B$2,数据录入!$B312&lt;=$D$2),N(R311)+1,N(R311))</f>
      </c>
      <c r="S312" s="44">
        <f>IFERROR(MATCH(305,$R$5:$R$4999,0),"")</f>
      </c>
    </row>
    <row r="313" s="44" customFormat="1" spans="1:23">
      <c r="A313" s="116">
        <f>IF($S313="","",INDEX(数据录入!$B$5:$B$4999,$S313))</f>
      </c>
      <c r="B313" s="44">
        <f>IF($S313="","",INDEX(数据录入!$C$5:$C$4999,$S313)&amp;"")</f>
      </c>
      <c r="C313" s="165">
        <f>IF($S313="","",IF(N($F313)&gt;0,"收款",IF(N($G313)&gt;0,"付款","")))</f>
      </c>
      <c r="D313" s="44">
        <f>IF($S313="","",IF((INDEX(数据录入!$I$5:$I$4999,$S313)&amp;"")&lt;&gt;"",INDEX(数据录入!$I$5:$I$4999,$S313)&amp;"",INDEX(数据录入!$J$5:$J$4999,$S313)&amp;""))</f>
      </c>
      <c r="E313" s="108">
        <f>IF($S313="","",INDEX(数据录入!$E$5:$E$4999,$S313)&amp;"")</f>
      </c>
      <c r="F313" s="114">
        <f>IF($S313="","",N(INDEX(数据录入!$F$5:$F$4999,$S313)))</f>
      </c>
      <c r="G313" s="114">
        <f>IF($S313="","",N(INDEX(数据录入!$G$5:$G$4999,$S313)))</f>
      </c>
      <c r="H313" s="114">
        <f>IF($S313="","",$G$2+SUM($F$8:$F313)-SUM($G$8:$G313))</f>
      </c>
      <c r="Q313" s="44">
        <f>IF(数据录入!$B313="",0,IF(OR(数据录入!$D313="投标保证金",数据录入!$D313="合同履约保证金",ISNUMBER(FIND("保证金",数据录入!$E313))),1,0))</f>
      </c>
      <c r="R313" s="44">
        <f>IF(AND($Q313=1,数据录入!$B313&gt;=$B$2,数据录入!$B313&lt;=$D$2),N(R312)+1,N(R312))</f>
      </c>
      <c r="S313" s="44">
        <f>IFERROR(MATCH(306,$R$5:$R$4999,0),"")</f>
      </c>
    </row>
    <row r="314" s="44" customFormat="1" spans="1:23">
      <c r="A314" s="116">
        <f>IF($S314="","",INDEX(数据录入!$B$5:$B$4999,$S314))</f>
      </c>
      <c r="B314" s="44">
        <f>IF($S314="","",INDEX(数据录入!$C$5:$C$4999,$S314)&amp;"")</f>
      </c>
      <c r="C314" s="165">
        <f>IF($S314="","",IF(N($F314)&gt;0,"收款",IF(N($G314)&gt;0,"付款","")))</f>
      </c>
      <c r="D314" s="44">
        <f>IF($S314="","",IF((INDEX(数据录入!$I$5:$I$4999,$S314)&amp;"")&lt;&gt;"",INDEX(数据录入!$I$5:$I$4999,$S314)&amp;"",INDEX(数据录入!$J$5:$J$4999,$S314)&amp;""))</f>
      </c>
      <c r="E314" s="108">
        <f>IF($S314="","",INDEX(数据录入!$E$5:$E$4999,$S314)&amp;"")</f>
      </c>
      <c r="F314" s="114">
        <f>IF($S314="","",N(INDEX(数据录入!$F$5:$F$4999,$S314)))</f>
      </c>
      <c r="G314" s="114">
        <f>IF($S314="","",N(INDEX(数据录入!$G$5:$G$4999,$S314)))</f>
      </c>
      <c r="H314" s="114">
        <f>IF($S314="","",$G$2+SUM($F$8:$F314)-SUM($G$8:$G314))</f>
      </c>
      <c r="Q314" s="44">
        <f>IF(数据录入!$B314="",0,IF(OR(数据录入!$D314="投标保证金",数据录入!$D314="合同履约保证金",ISNUMBER(FIND("保证金",数据录入!$E314))),1,0))</f>
      </c>
      <c r="R314" s="44">
        <f>IF(AND($Q314=1,数据录入!$B314&gt;=$B$2,数据录入!$B314&lt;=$D$2),N(R313)+1,N(R313))</f>
      </c>
      <c r="S314" s="44">
        <f>IFERROR(MATCH(307,$R$5:$R$4999,0),"")</f>
      </c>
    </row>
    <row r="315" s="44" customFormat="1" spans="1:23">
      <c r="A315" s="116">
        <f>IF($S315="","",INDEX(数据录入!$B$5:$B$4999,$S315))</f>
      </c>
      <c r="B315" s="44">
        <f>IF($S315="","",INDEX(数据录入!$C$5:$C$4999,$S315)&amp;"")</f>
      </c>
      <c r="C315" s="165">
        <f>IF($S315="","",IF(N($F315)&gt;0,"收款",IF(N($G315)&gt;0,"付款","")))</f>
      </c>
      <c r="D315" s="44">
        <f>IF($S315="","",IF((INDEX(数据录入!$I$5:$I$4999,$S315)&amp;"")&lt;&gt;"",INDEX(数据录入!$I$5:$I$4999,$S315)&amp;"",INDEX(数据录入!$J$5:$J$4999,$S315)&amp;""))</f>
      </c>
      <c r="E315" s="108">
        <f>IF($S315="","",INDEX(数据录入!$E$5:$E$4999,$S315)&amp;"")</f>
      </c>
      <c r="F315" s="114">
        <f>IF($S315="","",N(INDEX(数据录入!$F$5:$F$4999,$S315)))</f>
      </c>
      <c r="G315" s="114">
        <f>IF($S315="","",N(INDEX(数据录入!$G$5:$G$4999,$S315)))</f>
      </c>
      <c r="H315" s="114">
        <f>IF($S315="","",$G$2+SUM($F$8:$F315)-SUM($G$8:$G315))</f>
      </c>
      <c r="Q315" s="44">
        <f>IF(数据录入!$B315="",0,IF(OR(数据录入!$D315="投标保证金",数据录入!$D315="合同履约保证金",ISNUMBER(FIND("保证金",数据录入!$E315))),1,0))</f>
      </c>
      <c r="R315" s="44">
        <f>IF(AND($Q315=1,数据录入!$B315&gt;=$B$2,数据录入!$B315&lt;=$D$2),N(R314)+1,N(R314))</f>
      </c>
      <c r="S315" s="44">
        <f>IFERROR(MATCH(308,$R$5:$R$4999,0),"")</f>
      </c>
    </row>
    <row r="316" s="44" customFormat="1" spans="1:23">
      <c r="A316" s="116">
        <f>IF($S316="","",INDEX(数据录入!$B$5:$B$4999,$S316))</f>
      </c>
      <c r="B316" s="44">
        <f>IF($S316="","",INDEX(数据录入!$C$5:$C$4999,$S316)&amp;"")</f>
      </c>
      <c r="C316" s="165">
        <f>IF($S316="","",IF(N($F316)&gt;0,"收款",IF(N($G316)&gt;0,"付款","")))</f>
      </c>
      <c r="D316" s="44">
        <f>IF($S316="","",IF((INDEX(数据录入!$I$5:$I$4999,$S316)&amp;"")&lt;&gt;"",INDEX(数据录入!$I$5:$I$4999,$S316)&amp;"",INDEX(数据录入!$J$5:$J$4999,$S316)&amp;""))</f>
      </c>
      <c r="E316" s="108">
        <f>IF($S316="","",INDEX(数据录入!$E$5:$E$4999,$S316)&amp;"")</f>
      </c>
      <c r="F316" s="114">
        <f>IF($S316="","",N(INDEX(数据录入!$F$5:$F$4999,$S316)))</f>
      </c>
      <c r="G316" s="114">
        <f>IF($S316="","",N(INDEX(数据录入!$G$5:$G$4999,$S316)))</f>
      </c>
      <c r="H316" s="114">
        <f>IF($S316="","",$G$2+SUM($F$8:$F316)-SUM($G$8:$G316))</f>
      </c>
      <c r="Q316" s="44">
        <f>IF(数据录入!$B316="",0,IF(OR(数据录入!$D316="投标保证金",数据录入!$D316="合同履约保证金",ISNUMBER(FIND("保证金",数据录入!$E316))),1,0))</f>
      </c>
      <c r="R316" s="44">
        <f>IF(AND($Q316=1,数据录入!$B316&gt;=$B$2,数据录入!$B316&lt;=$D$2),N(R315)+1,N(R315))</f>
      </c>
      <c r="S316" s="44">
        <f>IFERROR(MATCH(309,$R$5:$R$4999,0),"")</f>
      </c>
    </row>
    <row r="317" s="44" customFormat="1" spans="1:23">
      <c r="A317" s="116">
        <f>IF($S317="","",INDEX(数据录入!$B$5:$B$4999,$S317))</f>
      </c>
      <c r="B317" s="44">
        <f>IF($S317="","",INDEX(数据录入!$C$5:$C$4999,$S317)&amp;"")</f>
      </c>
      <c r="C317" s="165">
        <f>IF($S317="","",IF(N($F317)&gt;0,"收款",IF(N($G317)&gt;0,"付款","")))</f>
      </c>
      <c r="D317" s="44">
        <f>IF($S317="","",IF((INDEX(数据录入!$I$5:$I$4999,$S317)&amp;"")&lt;&gt;"",INDEX(数据录入!$I$5:$I$4999,$S317)&amp;"",INDEX(数据录入!$J$5:$J$4999,$S317)&amp;""))</f>
      </c>
      <c r="E317" s="108">
        <f>IF($S317="","",INDEX(数据录入!$E$5:$E$4999,$S317)&amp;"")</f>
      </c>
      <c r="F317" s="114">
        <f>IF($S317="","",N(INDEX(数据录入!$F$5:$F$4999,$S317)))</f>
      </c>
      <c r="G317" s="114">
        <f>IF($S317="","",N(INDEX(数据录入!$G$5:$G$4999,$S317)))</f>
      </c>
      <c r="H317" s="114">
        <f>IF($S317="","",$G$2+SUM($F$8:$F317)-SUM($G$8:$G317))</f>
      </c>
      <c r="Q317" s="44">
        <f>IF(数据录入!$B317="",0,IF(OR(数据录入!$D317="投标保证金",数据录入!$D317="合同履约保证金",ISNUMBER(FIND("保证金",数据录入!$E317))),1,0))</f>
      </c>
      <c r="R317" s="44">
        <f>IF(AND($Q317=1,数据录入!$B317&gt;=$B$2,数据录入!$B317&lt;=$D$2),N(R316)+1,N(R316))</f>
      </c>
      <c r="S317" s="44">
        <f>IFERROR(MATCH(310,$R$5:$R$4999,0),"")</f>
      </c>
    </row>
    <row r="318" s="44" customFormat="1" spans="1:23">
      <c r="A318" s="116">
        <f>IF($S318="","",INDEX(数据录入!$B$5:$B$4999,$S318))</f>
      </c>
      <c r="B318" s="44">
        <f>IF($S318="","",INDEX(数据录入!$C$5:$C$4999,$S318)&amp;"")</f>
      </c>
      <c r="C318" s="165">
        <f>IF($S318="","",IF(N($F318)&gt;0,"收款",IF(N($G318)&gt;0,"付款","")))</f>
      </c>
      <c r="D318" s="44">
        <f>IF($S318="","",IF((INDEX(数据录入!$I$5:$I$4999,$S318)&amp;"")&lt;&gt;"",INDEX(数据录入!$I$5:$I$4999,$S318)&amp;"",INDEX(数据录入!$J$5:$J$4999,$S318)&amp;""))</f>
      </c>
      <c r="E318" s="108">
        <f>IF($S318="","",INDEX(数据录入!$E$5:$E$4999,$S318)&amp;"")</f>
      </c>
      <c r="F318" s="114">
        <f>IF($S318="","",N(INDEX(数据录入!$F$5:$F$4999,$S318)))</f>
      </c>
      <c r="G318" s="114">
        <f>IF($S318="","",N(INDEX(数据录入!$G$5:$G$4999,$S318)))</f>
      </c>
      <c r="H318" s="114">
        <f>IF($S318="","",$G$2+SUM($F$8:$F318)-SUM($G$8:$G318))</f>
      </c>
      <c r="Q318" s="44">
        <f>IF(数据录入!$B318="",0,IF(OR(数据录入!$D318="投标保证金",数据录入!$D318="合同履约保证金",ISNUMBER(FIND("保证金",数据录入!$E318))),1,0))</f>
      </c>
      <c r="R318" s="44">
        <f>IF(AND($Q318=1,数据录入!$B318&gt;=$B$2,数据录入!$B318&lt;=$D$2),N(R317)+1,N(R317))</f>
      </c>
      <c r="S318" s="44">
        <f>IFERROR(MATCH(311,$R$5:$R$4999,0),"")</f>
      </c>
    </row>
    <row r="319" s="44" customFormat="1" spans="1:23">
      <c r="A319" s="116">
        <f>IF($S319="","",INDEX(数据录入!$B$5:$B$4999,$S319))</f>
      </c>
      <c r="B319" s="44">
        <f>IF($S319="","",INDEX(数据录入!$C$5:$C$4999,$S319)&amp;"")</f>
      </c>
      <c r="C319" s="165">
        <f>IF($S319="","",IF(N($F319)&gt;0,"收款",IF(N($G319)&gt;0,"付款","")))</f>
      </c>
      <c r="D319" s="44">
        <f>IF($S319="","",IF((INDEX(数据录入!$I$5:$I$4999,$S319)&amp;"")&lt;&gt;"",INDEX(数据录入!$I$5:$I$4999,$S319)&amp;"",INDEX(数据录入!$J$5:$J$4999,$S319)&amp;""))</f>
      </c>
      <c r="E319" s="108">
        <f>IF($S319="","",INDEX(数据录入!$E$5:$E$4999,$S319)&amp;"")</f>
      </c>
      <c r="F319" s="114">
        <f>IF($S319="","",N(INDEX(数据录入!$F$5:$F$4999,$S319)))</f>
      </c>
      <c r="G319" s="114">
        <f>IF($S319="","",N(INDEX(数据录入!$G$5:$G$4999,$S319)))</f>
      </c>
      <c r="H319" s="114">
        <f>IF($S319="","",$G$2+SUM($F$8:$F319)-SUM($G$8:$G319))</f>
      </c>
      <c r="Q319" s="44">
        <f>IF(数据录入!$B319="",0,IF(OR(数据录入!$D319="投标保证金",数据录入!$D319="合同履约保证金",ISNUMBER(FIND("保证金",数据录入!$E319))),1,0))</f>
      </c>
      <c r="R319" s="44">
        <f>IF(AND($Q319=1,数据录入!$B319&gt;=$B$2,数据录入!$B319&lt;=$D$2),N(R318)+1,N(R318))</f>
      </c>
      <c r="S319" s="44">
        <f>IFERROR(MATCH(312,$R$5:$R$4999,0),"")</f>
      </c>
    </row>
    <row r="320" s="44" customFormat="1" spans="1:23">
      <c r="A320" s="116">
        <f>IF($S320="","",INDEX(数据录入!$B$5:$B$4999,$S320))</f>
      </c>
      <c r="B320" s="44">
        <f>IF($S320="","",INDEX(数据录入!$C$5:$C$4999,$S320)&amp;"")</f>
      </c>
      <c r="C320" s="165">
        <f>IF($S320="","",IF(N($F320)&gt;0,"收款",IF(N($G320)&gt;0,"付款","")))</f>
      </c>
      <c r="D320" s="44">
        <f>IF($S320="","",IF((INDEX(数据录入!$I$5:$I$4999,$S320)&amp;"")&lt;&gt;"",INDEX(数据录入!$I$5:$I$4999,$S320)&amp;"",INDEX(数据录入!$J$5:$J$4999,$S320)&amp;""))</f>
      </c>
      <c r="E320" s="108">
        <f>IF($S320="","",INDEX(数据录入!$E$5:$E$4999,$S320)&amp;"")</f>
      </c>
      <c r="F320" s="114">
        <f>IF($S320="","",N(INDEX(数据录入!$F$5:$F$4999,$S320)))</f>
      </c>
      <c r="G320" s="114">
        <f>IF($S320="","",N(INDEX(数据录入!$G$5:$G$4999,$S320)))</f>
      </c>
      <c r="H320" s="114">
        <f>IF($S320="","",$G$2+SUM($F$8:$F320)-SUM($G$8:$G320))</f>
      </c>
      <c r="Q320" s="44">
        <f>IF(数据录入!$B320="",0,IF(OR(数据录入!$D320="投标保证金",数据录入!$D320="合同履约保证金",ISNUMBER(FIND("保证金",数据录入!$E320))),1,0))</f>
      </c>
      <c r="R320" s="44">
        <f>IF(AND($Q320=1,数据录入!$B320&gt;=$B$2,数据录入!$B320&lt;=$D$2),N(R319)+1,N(R319))</f>
      </c>
      <c r="S320" s="44">
        <f>IFERROR(MATCH(313,$R$5:$R$4999,0),"")</f>
      </c>
    </row>
    <row r="321" s="44" customFormat="1" spans="1:23">
      <c r="A321" s="116">
        <f>IF($S321="","",INDEX(数据录入!$B$5:$B$4999,$S321))</f>
      </c>
      <c r="B321" s="44">
        <f>IF($S321="","",INDEX(数据录入!$C$5:$C$4999,$S321)&amp;"")</f>
      </c>
      <c r="C321" s="165">
        <f>IF($S321="","",IF(N($F321)&gt;0,"收款",IF(N($G321)&gt;0,"付款","")))</f>
      </c>
      <c r="D321" s="44">
        <f>IF($S321="","",IF((INDEX(数据录入!$I$5:$I$4999,$S321)&amp;"")&lt;&gt;"",INDEX(数据录入!$I$5:$I$4999,$S321)&amp;"",INDEX(数据录入!$J$5:$J$4999,$S321)&amp;""))</f>
      </c>
      <c r="E321" s="108">
        <f>IF($S321="","",INDEX(数据录入!$E$5:$E$4999,$S321)&amp;"")</f>
      </c>
      <c r="F321" s="114">
        <f>IF($S321="","",N(INDEX(数据录入!$F$5:$F$4999,$S321)))</f>
      </c>
      <c r="G321" s="114">
        <f>IF($S321="","",N(INDEX(数据录入!$G$5:$G$4999,$S321)))</f>
      </c>
      <c r="H321" s="114">
        <f>IF($S321="","",$G$2+SUM($F$8:$F321)-SUM($G$8:$G321))</f>
      </c>
      <c r="Q321" s="44">
        <f>IF(数据录入!$B321="",0,IF(OR(数据录入!$D321="投标保证金",数据录入!$D321="合同履约保证金",ISNUMBER(FIND("保证金",数据录入!$E321))),1,0))</f>
      </c>
      <c r="R321" s="44">
        <f>IF(AND($Q321=1,数据录入!$B321&gt;=$B$2,数据录入!$B321&lt;=$D$2),N(R320)+1,N(R320))</f>
      </c>
      <c r="S321" s="44">
        <f>IFERROR(MATCH(314,$R$5:$R$4999,0),"")</f>
      </c>
    </row>
    <row r="322" s="44" customFormat="1" spans="1:23">
      <c r="A322" s="116">
        <f>IF($S322="","",INDEX(数据录入!$B$5:$B$4999,$S322))</f>
      </c>
      <c r="B322" s="44">
        <f>IF($S322="","",INDEX(数据录入!$C$5:$C$4999,$S322)&amp;"")</f>
      </c>
      <c r="C322" s="165">
        <f>IF($S322="","",IF(N($F322)&gt;0,"收款",IF(N($G322)&gt;0,"付款","")))</f>
      </c>
      <c r="D322" s="44">
        <f>IF($S322="","",IF((INDEX(数据录入!$I$5:$I$4999,$S322)&amp;"")&lt;&gt;"",INDEX(数据录入!$I$5:$I$4999,$S322)&amp;"",INDEX(数据录入!$J$5:$J$4999,$S322)&amp;""))</f>
      </c>
      <c r="E322" s="108">
        <f>IF($S322="","",INDEX(数据录入!$E$5:$E$4999,$S322)&amp;"")</f>
      </c>
      <c r="F322" s="114">
        <f>IF($S322="","",N(INDEX(数据录入!$F$5:$F$4999,$S322)))</f>
      </c>
      <c r="G322" s="114">
        <f>IF($S322="","",N(INDEX(数据录入!$G$5:$G$4999,$S322)))</f>
      </c>
      <c r="H322" s="114">
        <f>IF($S322="","",$G$2+SUM($F$8:$F322)-SUM($G$8:$G322))</f>
      </c>
      <c r="Q322" s="44">
        <f>IF(数据录入!$B322="",0,IF(OR(数据录入!$D322="投标保证金",数据录入!$D322="合同履约保证金",ISNUMBER(FIND("保证金",数据录入!$E322))),1,0))</f>
      </c>
      <c r="R322" s="44">
        <f>IF(AND($Q322=1,数据录入!$B322&gt;=$B$2,数据录入!$B322&lt;=$D$2),N(R321)+1,N(R321))</f>
      </c>
      <c r="S322" s="44">
        <f>IFERROR(MATCH(315,$R$5:$R$4999,0),"")</f>
      </c>
    </row>
    <row r="323" s="44" customFormat="1" spans="1:23">
      <c r="A323" s="116">
        <f>IF($S323="","",INDEX(数据录入!$B$5:$B$4999,$S323))</f>
      </c>
      <c r="B323" s="44">
        <f>IF($S323="","",INDEX(数据录入!$C$5:$C$4999,$S323)&amp;"")</f>
      </c>
      <c r="C323" s="165">
        <f>IF($S323="","",IF(N($F323)&gt;0,"收款",IF(N($G323)&gt;0,"付款","")))</f>
      </c>
      <c r="D323" s="44">
        <f>IF($S323="","",IF((INDEX(数据录入!$I$5:$I$4999,$S323)&amp;"")&lt;&gt;"",INDEX(数据录入!$I$5:$I$4999,$S323)&amp;"",INDEX(数据录入!$J$5:$J$4999,$S323)&amp;""))</f>
      </c>
      <c r="E323" s="108">
        <f>IF($S323="","",INDEX(数据录入!$E$5:$E$4999,$S323)&amp;"")</f>
      </c>
      <c r="F323" s="114">
        <f>IF($S323="","",N(INDEX(数据录入!$F$5:$F$4999,$S323)))</f>
      </c>
      <c r="G323" s="114">
        <f>IF($S323="","",N(INDEX(数据录入!$G$5:$G$4999,$S323)))</f>
      </c>
      <c r="H323" s="114">
        <f>IF($S323="","",$G$2+SUM($F$8:$F323)-SUM($G$8:$G323))</f>
      </c>
      <c r="Q323" s="44">
        <f>IF(数据录入!$B323="",0,IF(OR(数据录入!$D323="投标保证金",数据录入!$D323="合同履约保证金",ISNUMBER(FIND("保证金",数据录入!$E323))),1,0))</f>
      </c>
      <c r="R323" s="44">
        <f>IF(AND($Q323=1,数据录入!$B323&gt;=$B$2,数据录入!$B323&lt;=$D$2),N(R322)+1,N(R322))</f>
      </c>
      <c r="S323" s="44">
        <f>IFERROR(MATCH(316,$R$5:$R$4999,0),"")</f>
      </c>
    </row>
    <row r="324" s="44" customFormat="1" spans="1:23">
      <c r="A324" s="116">
        <f>IF($S324="","",INDEX(数据录入!$B$5:$B$4999,$S324))</f>
      </c>
      <c r="B324" s="44">
        <f>IF($S324="","",INDEX(数据录入!$C$5:$C$4999,$S324)&amp;"")</f>
      </c>
      <c r="C324" s="165">
        <f>IF($S324="","",IF(N($F324)&gt;0,"收款",IF(N($G324)&gt;0,"付款","")))</f>
      </c>
      <c r="D324" s="44">
        <f>IF($S324="","",IF((INDEX(数据录入!$I$5:$I$4999,$S324)&amp;"")&lt;&gt;"",INDEX(数据录入!$I$5:$I$4999,$S324)&amp;"",INDEX(数据录入!$J$5:$J$4999,$S324)&amp;""))</f>
      </c>
      <c r="E324" s="108">
        <f>IF($S324="","",INDEX(数据录入!$E$5:$E$4999,$S324)&amp;"")</f>
      </c>
      <c r="F324" s="114">
        <f>IF($S324="","",N(INDEX(数据录入!$F$5:$F$4999,$S324)))</f>
      </c>
      <c r="G324" s="114">
        <f>IF($S324="","",N(INDEX(数据录入!$G$5:$G$4999,$S324)))</f>
      </c>
      <c r="H324" s="114">
        <f>IF($S324="","",$G$2+SUM($F$8:$F324)-SUM($G$8:$G324))</f>
      </c>
      <c r="Q324" s="44">
        <f>IF(数据录入!$B324="",0,IF(OR(数据录入!$D324="投标保证金",数据录入!$D324="合同履约保证金",ISNUMBER(FIND("保证金",数据录入!$E324))),1,0))</f>
      </c>
      <c r="R324" s="44">
        <f>IF(AND($Q324=1,数据录入!$B324&gt;=$B$2,数据录入!$B324&lt;=$D$2),N(R323)+1,N(R323))</f>
      </c>
      <c r="S324" s="44">
        <f>IFERROR(MATCH(317,$R$5:$R$4999,0),"")</f>
      </c>
    </row>
    <row r="325" s="44" customFormat="1" spans="1:23">
      <c r="A325" s="116">
        <f>IF($S325="","",INDEX(数据录入!$B$5:$B$4999,$S325))</f>
      </c>
      <c r="B325" s="44">
        <f>IF($S325="","",INDEX(数据录入!$C$5:$C$4999,$S325)&amp;"")</f>
      </c>
      <c r="C325" s="165">
        <f>IF($S325="","",IF(N($F325)&gt;0,"收款",IF(N($G325)&gt;0,"付款","")))</f>
      </c>
      <c r="D325" s="44">
        <f>IF($S325="","",IF((INDEX(数据录入!$I$5:$I$4999,$S325)&amp;"")&lt;&gt;"",INDEX(数据录入!$I$5:$I$4999,$S325)&amp;"",INDEX(数据录入!$J$5:$J$4999,$S325)&amp;""))</f>
      </c>
      <c r="E325" s="108">
        <f>IF($S325="","",INDEX(数据录入!$E$5:$E$4999,$S325)&amp;"")</f>
      </c>
      <c r="F325" s="114">
        <f>IF($S325="","",N(INDEX(数据录入!$F$5:$F$4999,$S325)))</f>
      </c>
      <c r="G325" s="114">
        <f>IF($S325="","",N(INDEX(数据录入!$G$5:$G$4999,$S325)))</f>
      </c>
      <c r="H325" s="114">
        <f>IF($S325="","",$G$2+SUM($F$8:$F325)-SUM($G$8:$G325))</f>
      </c>
      <c r="Q325" s="44">
        <f>IF(数据录入!$B325="",0,IF(OR(数据录入!$D325="投标保证金",数据录入!$D325="合同履约保证金",ISNUMBER(FIND("保证金",数据录入!$E325))),1,0))</f>
      </c>
      <c r="R325" s="44">
        <f>IF(AND($Q325=1,数据录入!$B325&gt;=$B$2,数据录入!$B325&lt;=$D$2),N(R324)+1,N(R324))</f>
      </c>
      <c r="S325" s="44">
        <f>IFERROR(MATCH(318,$R$5:$R$4999,0),"")</f>
      </c>
    </row>
    <row r="326" s="44" customFormat="1" spans="1:23">
      <c r="A326" s="116">
        <f>IF($S326="","",INDEX(数据录入!$B$5:$B$4999,$S326))</f>
      </c>
      <c r="B326" s="44">
        <f>IF($S326="","",INDEX(数据录入!$C$5:$C$4999,$S326)&amp;"")</f>
      </c>
      <c r="C326" s="165">
        <f>IF($S326="","",IF(N($F326)&gt;0,"收款",IF(N($G326)&gt;0,"付款","")))</f>
      </c>
      <c r="D326" s="44">
        <f>IF($S326="","",IF((INDEX(数据录入!$I$5:$I$4999,$S326)&amp;"")&lt;&gt;"",INDEX(数据录入!$I$5:$I$4999,$S326)&amp;"",INDEX(数据录入!$J$5:$J$4999,$S326)&amp;""))</f>
      </c>
      <c r="E326" s="108">
        <f>IF($S326="","",INDEX(数据录入!$E$5:$E$4999,$S326)&amp;"")</f>
      </c>
      <c r="F326" s="114">
        <f>IF($S326="","",N(INDEX(数据录入!$F$5:$F$4999,$S326)))</f>
      </c>
      <c r="G326" s="114">
        <f>IF($S326="","",N(INDEX(数据录入!$G$5:$G$4999,$S326)))</f>
      </c>
      <c r="H326" s="114">
        <f>IF($S326="","",$G$2+SUM($F$8:$F326)-SUM($G$8:$G326))</f>
      </c>
      <c r="Q326" s="44">
        <f>IF(数据录入!$B326="",0,IF(OR(数据录入!$D326="投标保证金",数据录入!$D326="合同履约保证金",ISNUMBER(FIND("保证金",数据录入!$E326))),1,0))</f>
      </c>
      <c r="R326" s="44">
        <f>IF(AND($Q326=1,数据录入!$B326&gt;=$B$2,数据录入!$B326&lt;=$D$2),N(R325)+1,N(R325))</f>
      </c>
      <c r="S326" s="44">
        <f>IFERROR(MATCH(319,$R$5:$R$4999,0),"")</f>
      </c>
    </row>
    <row r="327" s="44" customFormat="1" spans="1:23">
      <c r="A327" s="116">
        <f>IF($S327="","",INDEX(数据录入!$B$5:$B$4999,$S327))</f>
      </c>
      <c r="B327" s="44">
        <f>IF($S327="","",INDEX(数据录入!$C$5:$C$4999,$S327)&amp;"")</f>
      </c>
      <c r="C327" s="165">
        <f>IF($S327="","",IF(N($F327)&gt;0,"收款",IF(N($G327)&gt;0,"付款","")))</f>
      </c>
      <c r="D327" s="44">
        <f>IF($S327="","",IF((INDEX(数据录入!$I$5:$I$4999,$S327)&amp;"")&lt;&gt;"",INDEX(数据录入!$I$5:$I$4999,$S327)&amp;"",INDEX(数据录入!$J$5:$J$4999,$S327)&amp;""))</f>
      </c>
      <c r="E327" s="108">
        <f>IF($S327="","",INDEX(数据录入!$E$5:$E$4999,$S327)&amp;"")</f>
      </c>
      <c r="F327" s="114">
        <f>IF($S327="","",N(INDEX(数据录入!$F$5:$F$4999,$S327)))</f>
      </c>
      <c r="G327" s="114">
        <f>IF($S327="","",N(INDEX(数据录入!$G$5:$G$4999,$S327)))</f>
      </c>
      <c r="H327" s="114">
        <f>IF($S327="","",$G$2+SUM($F$8:$F327)-SUM($G$8:$G327))</f>
      </c>
      <c r="Q327" s="44">
        <f>IF(数据录入!$B327="",0,IF(OR(数据录入!$D327="投标保证金",数据录入!$D327="合同履约保证金",ISNUMBER(FIND("保证金",数据录入!$E327))),1,0))</f>
      </c>
      <c r="R327" s="44">
        <f>IF(AND($Q327=1,数据录入!$B327&gt;=$B$2,数据录入!$B327&lt;=$D$2),N(R326)+1,N(R326))</f>
      </c>
      <c r="S327" s="44">
        <f>IFERROR(MATCH(320,$R$5:$R$4999,0),"")</f>
      </c>
    </row>
    <row r="328" s="44" customFormat="1" spans="1:23">
      <c r="A328" s="116">
        <f>IF($S328="","",INDEX(数据录入!$B$5:$B$4999,$S328))</f>
      </c>
      <c r="B328" s="44">
        <f>IF($S328="","",INDEX(数据录入!$C$5:$C$4999,$S328)&amp;"")</f>
      </c>
      <c r="C328" s="165">
        <f>IF($S328="","",IF(N($F328)&gt;0,"收款",IF(N($G328)&gt;0,"付款","")))</f>
      </c>
      <c r="D328" s="44">
        <f>IF($S328="","",IF((INDEX(数据录入!$I$5:$I$4999,$S328)&amp;"")&lt;&gt;"",INDEX(数据录入!$I$5:$I$4999,$S328)&amp;"",INDEX(数据录入!$J$5:$J$4999,$S328)&amp;""))</f>
      </c>
      <c r="E328" s="108">
        <f>IF($S328="","",INDEX(数据录入!$E$5:$E$4999,$S328)&amp;"")</f>
      </c>
      <c r="F328" s="114">
        <f>IF($S328="","",N(INDEX(数据录入!$F$5:$F$4999,$S328)))</f>
      </c>
      <c r="G328" s="114">
        <f>IF($S328="","",N(INDEX(数据录入!$G$5:$G$4999,$S328)))</f>
      </c>
      <c r="H328" s="114">
        <f>IF($S328="","",$G$2+SUM($F$8:$F328)-SUM($G$8:$G328))</f>
      </c>
      <c r="Q328" s="44">
        <f>IF(数据录入!$B328="",0,IF(OR(数据录入!$D328="投标保证金",数据录入!$D328="合同履约保证金",ISNUMBER(FIND("保证金",数据录入!$E328))),1,0))</f>
      </c>
      <c r="R328" s="44">
        <f>IF(AND($Q328=1,数据录入!$B328&gt;=$B$2,数据录入!$B328&lt;=$D$2),N(R327)+1,N(R327))</f>
      </c>
      <c r="S328" s="44">
        <f>IFERROR(MATCH(321,$R$5:$R$4999,0),"")</f>
      </c>
    </row>
    <row r="329" s="44" customFormat="1" spans="1:23">
      <c r="A329" s="116">
        <f>IF($S329="","",INDEX(数据录入!$B$5:$B$4999,$S329))</f>
      </c>
      <c r="B329" s="44">
        <f>IF($S329="","",INDEX(数据录入!$C$5:$C$4999,$S329)&amp;"")</f>
      </c>
      <c r="C329" s="165">
        <f>IF($S329="","",IF(N($F329)&gt;0,"收款",IF(N($G329)&gt;0,"付款","")))</f>
      </c>
      <c r="D329" s="44">
        <f>IF($S329="","",IF((INDEX(数据录入!$I$5:$I$4999,$S329)&amp;"")&lt;&gt;"",INDEX(数据录入!$I$5:$I$4999,$S329)&amp;"",INDEX(数据录入!$J$5:$J$4999,$S329)&amp;""))</f>
      </c>
      <c r="E329" s="108">
        <f>IF($S329="","",INDEX(数据录入!$E$5:$E$4999,$S329)&amp;"")</f>
      </c>
      <c r="F329" s="114">
        <f>IF($S329="","",N(INDEX(数据录入!$F$5:$F$4999,$S329)))</f>
      </c>
      <c r="G329" s="114">
        <f>IF($S329="","",N(INDEX(数据录入!$G$5:$G$4999,$S329)))</f>
      </c>
      <c r="H329" s="114">
        <f>IF($S329="","",$G$2+SUM($F$8:$F329)-SUM($G$8:$G329))</f>
      </c>
      <c r="Q329" s="44">
        <f>IF(数据录入!$B329="",0,IF(OR(数据录入!$D329="投标保证金",数据录入!$D329="合同履约保证金",ISNUMBER(FIND("保证金",数据录入!$E329))),1,0))</f>
      </c>
      <c r="R329" s="44">
        <f>IF(AND($Q329=1,数据录入!$B329&gt;=$B$2,数据录入!$B329&lt;=$D$2),N(R328)+1,N(R328))</f>
      </c>
      <c r="S329" s="44">
        <f>IFERROR(MATCH(322,$R$5:$R$4999,0),"")</f>
      </c>
    </row>
    <row r="330" s="44" customFormat="1" spans="1:23">
      <c r="A330" s="116">
        <f>IF($S330="","",INDEX(数据录入!$B$5:$B$4999,$S330))</f>
      </c>
      <c r="B330" s="44">
        <f>IF($S330="","",INDEX(数据录入!$C$5:$C$4999,$S330)&amp;"")</f>
      </c>
      <c r="C330" s="165">
        <f>IF($S330="","",IF(N($F330)&gt;0,"收款",IF(N($G330)&gt;0,"付款","")))</f>
      </c>
      <c r="D330" s="44">
        <f>IF($S330="","",IF((INDEX(数据录入!$I$5:$I$4999,$S330)&amp;"")&lt;&gt;"",INDEX(数据录入!$I$5:$I$4999,$S330)&amp;"",INDEX(数据录入!$J$5:$J$4999,$S330)&amp;""))</f>
      </c>
      <c r="E330" s="108">
        <f>IF($S330="","",INDEX(数据录入!$E$5:$E$4999,$S330)&amp;"")</f>
      </c>
      <c r="F330" s="114">
        <f>IF($S330="","",N(INDEX(数据录入!$F$5:$F$4999,$S330)))</f>
      </c>
      <c r="G330" s="114">
        <f>IF($S330="","",N(INDEX(数据录入!$G$5:$G$4999,$S330)))</f>
      </c>
      <c r="H330" s="114">
        <f>IF($S330="","",$G$2+SUM($F$8:$F330)-SUM($G$8:$G330))</f>
      </c>
      <c r="Q330" s="44">
        <f>IF(数据录入!$B330="",0,IF(OR(数据录入!$D330="投标保证金",数据录入!$D330="合同履约保证金",ISNUMBER(FIND("保证金",数据录入!$E330))),1,0))</f>
      </c>
      <c r="R330" s="44">
        <f>IF(AND($Q330=1,数据录入!$B330&gt;=$B$2,数据录入!$B330&lt;=$D$2),N(R329)+1,N(R329))</f>
      </c>
      <c r="S330" s="44">
        <f>IFERROR(MATCH(323,$R$5:$R$4999,0),"")</f>
      </c>
    </row>
    <row r="331" s="44" customFormat="1" spans="1:23">
      <c r="A331" s="116">
        <f>IF($S331="","",INDEX(数据录入!$B$5:$B$4999,$S331))</f>
      </c>
      <c r="B331" s="44">
        <f>IF($S331="","",INDEX(数据录入!$C$5:$C$4999,$S331)&amp;"")</f>
      </c>
      <c r="C331" s="165">
        <f>IF($S331="","",IF(N($F331)&gt;0,"收款",IF(N($G331)&gt;0,"付款","")))</f>
      </c>
      <c r="D331" s="44">
        <f>IF($S331="","",IF((INDEX(数据录入!$I$5:$I$4999,$S331)&amp;"")&lt;&gt;"",INDEX(数据录入!$I$5:$I$4999,$S331)&amp;"",INDEX(数据录入!$J$5:$J$4999,$S331)&amp;""))</f>
      </c>
      <c r="E331" s="108">
        <f>IF($S331="","",INDEX(数据录入!$E$5:$E$4999,$S331)&amp;"")</f>
      </c>
      <c r="F331" s="114">
        <f>IF($S331="","",N(INDEX(数据录入!$F$5:$F$4999,$S331)))</f>
      </c>
      <c r="G331" s="114">
        <f>IF($S331="","",N(INDEX(数据录入!$G$5:$G$4999,$S331)))</f>
      </c>
      <c r="H331" s="114">
        <f>IF($S331="","",$G$2+SUM($F$8:$F331)-SUM($G$8:$G331))</f>
      </c>
      <c r="Q331" s="44">
        <f>IF(数据录入!$B331="",0,IF(OR(数据录入!$D331="投标保证金",数据录入!$D331="合同履约保证金",ISNUMBER(FIND("保证金",数据录入!$E331))),1,0))</f>
      </c>
      <c r="R331" s="44">
        <f>IF(AND($Q331=1,数据录入!$B331&gt;=$B$2,数据录入!$B331&lt;=$D$2),N(R330)+1,N(R330))</f>
      </c>
      <c r="S331" s="44">
        <f>IFERROR(MATCH(324,$R$5:$R$4999,0),"")</f>
      </c>
    </row>
    <row r="332" s="44" customFormat="1" spans="1:23">
      <c r="A332" s="116">
        <f>IF($S332="","",INDEX(数据录入!$B$5:$B$4999,$S332))</f>
      </c>
      <c r="B332" s="44">
        <f>IF($S332="","",INDEX(数据录入!$C$5:$C$4999,$S332)&amp;"")</f>
      </c>
      <c r="C332" s="165">
        <f>IF($S332="","",IF(N($F332)&gt;0,"收款",IF(N($G332)&gt;0,"付款","")))</f>
      </c>
      <c r="D332" s="44">
        <f>IF($S332="","",IF((INDEX(数据录入!$I$5:$I$4999,$S332)&amp;"")&lt;&gt;"",INDEX(数据录入!$I$5:$I$4999,$S332)&amp;"",INDEX(数据录入!$J$5:$J$4999,$S332)&amp;""))</f>
      </c>
      <c r="E332" s="108">
        <f>IF($S332="","",INDEX(数据录入!$E$5:$E$4999,$S332)&amp;"")</f>
      </c>
      <c r="F332" s="114">
        <f>IF($S332="","",N(INDEX(数据录入!$F$5:$F$4999,$S332)))</f>
      </c>
      <c r="G332" s="114">
        <f>IF($S332="","",N(INDEX(数据录入!$G$5:$G$4999,$S332)))</f>
      </c>
      <c r="H332" s="114">
        <f>IF($S332="","",$G$2+SUM($F$8:$F332)-SUM($G$8:$G332))</f>
      </c>
      <c r="Q332" s="44">
        <f>IF(数据录入!$B332="",0,IF(OR(数据录入!$D332="投标保证金",数据录入!$D332="合同履约保证金",ISNUMBER(FIND("保证金",数据录入!$E332))),1,0))</f>
      </c>
      <c r="R332" s="44">
        <f>IF(AND($Q332=1,数据录入!$B332&gt;=$B$2,数据录入!$B332&lt;=$D$2),N(R331)+1,N(R331))</f>
      </c>
      <c r="S332" s="44">
        <f>IFERROR(MATCH(325,$R$5:$R$4999,0),"")</f>
      </c>
    </row>
    <row r="333" s="44" customFormat="1" spans="1:23">
      <c r="A333" s="116">
        <f>IF($S333="","",INDEX(数据录入!$B$5:$B$4999,$S333))</f>
      </c>
      <c r="B333" s="44">
        <f>IF($S333="","",INDEX(数据录入!$C$5:$C$4999,$S333)&amp;"")</f>
      </c>
      <c r="C333" s="165">
        <f>IF($S333="","",IF(N($F333)&gt;0,"收款",IF(N($G333)&gt;0,"付款","")))</f>
      </c>
      <c r="D333" s="44">
        <f>IF($S333="","",IF((INDEX(数据录入!$I$5:$I$4999,$S333)&amp;"")&lt;&gt;"",INDEX(数据录入!$I$5:$I$4999,$S333)&amp;"",INDEX(数据录入!$J$5:$J$4999,$S333)&amp;""))</f>
      </c>
      <c r="E333" s="108">
        <f>IF($S333="","",INDEX(数据录入!$E$5:$E$4999,$S333)&amp;"")</f>
      </c>
      <c r="F333" s="114">
        <f>IF($S333="","",N(INDEX(数据录入!$F$5:$F$4999,$S333)))</f>
      </c>
      <c r="G333" s="114">
        <f>IF($S333="","",N(INDEX(数据录入!$G$5:$G$4999,$S333)))</f>
      </c>
      <c r="H333" s="114">
        <f>IF($S333="","",$G$2+SUM($F$8:$F333)-SUM($G$8:$G333))</f>
      </c>
      <c r="Q333" s="44">
        <f>IF(数据录入!$B333="",0,IF(OR(数据录入!$D333="投标保证金",数据录入!$D333="合同履约保证金",ISNUMBER(FIND("保证金",数据录入!$E333))),1,0))</f>
      </c>
      <c r="R333" s="44">
        <f>IF(AND($Q333=1,数据录入!$B333&gt;=$B$2,数据录入!$B333&lt;=$D$2),N(R332)+1,N(R332))</f>
      </c>
      <c r="S333" s="44">
        <f>IFERROR(MATCH(326,$R$5:$R$4999,0),"")</f>
      </c>
    </row>
    <row r="334" s="44" customFormat="1" spans="1:23">
      <c r="A334" s="116">
        <f>IF($S334="","",INDEX(数据录入!$B$5:$B$4999,$S334))</f>
      </c>
      <c r="B334" s="44">
        <f>IF($S334="","",INDEX(数据录入!$C$5:$C$4999,$S334)&amp;"")</f>
      </c>
      <c r="C334" s="165">
        <f>IF($S334="","",IF(N($F334)&gt;0,"收款",IF(N($G334)&gt;0,"付款","")))</f>
      </c>
      <c r="D334" s="44">
        <f>IF($S334="","",IF((INDEX(数据录入!$I$5:$I$4999,$S334)&amp;"")&lt;&gt;"",INDEX(数据录入!$I$5:$I$4999,$S334)&amp;"",INDEX(数据录入!$J$5:$J$4999,$S334)&amp;""))</f>
      </c>
      <c r="E334" s="108">
        <f>IF($S334="","",INDEX(数据录入!$E$5:$E$4999,$S334)&amp;"")</f>
      </c>
      <c r="F334" s="114">
        <f>IF($S334="","",N(INDEX(数据录入!$F$5:$F$4999,$S334)))</f>
      </c>
      <c r="G334" s="114">
        <f>IF($S334="","",N(INDEX(数据录入!$G$5:$G$4999,$S334)))</f>
      </c>
      <c r="H334" s="114">
        <f>IF($S334="","",$G$2+SUM($F$8:$F334)-SUM($G$8:$G334))</f>
      </c>
      <c r="Q334" s="44">
        <f>IF(数据录入!$B334="",0,IF(OR(数据录入!$D334="投标保证金",数据录入!$D334="合同履约保证金",ISNUMBER(FIND("保证金",数据录入!$E334))),1,0))</f>
      </c>
      <c r="R334" s="44">
        <f>IF(AND($Q334=1,数据录入!$B334&gt;=$B$2,数据录入!$B334&lt;=$D$2),N(R333)+1,N(R333))</f>
      </c>
      <c r="S334" s="44">
        <f>IFERROR(MATCH(327,$R$5:$R$4999,0),"")</f>
      </c>
    </row>
    <row r="335" s="44" customFormat="1" spans="1:23">
      <c r="A335" s="116">
        <f>IF($S335="","",INDEX(数据录入!$B$5:$B$4999,$S335))</f>
      </c>
      <c r="B335" s="44">
        <f>IF($S335="","",INDEX(数据录入!$C$5:$C$4999,$S335)&amp;"")</f>
      </c>
      <c r="C335" s="165">
        <f>IF($S335="","",IF(N($F335)&gt;0,"收款",IF(N($G335)&gt;0,"付款","")))</f>
      </c>
      <c r="D335" s="44">
        <f>IF($S335="","",IF((INDEX(数据录入!$I$5:$I$4999,$S335)&amp;"")&lt;&gt;"",INDEX(数据录入!$I$5:$I$4999,$S335)&amp;"",INDEX(数据录入!$J$5:$J$4999,$S335)&amp;""))</f>
      </c>
      <c r="E335" s="108">
        <f>IF($S335="","",INDEX(数据录入!$E$5:$E$4999,$S335)&amp;"")</f>
      </c>
      <c r="F335" s="114">
        <f>IF($S335="","",N(INDEX(数据录入!$F$5:$F$4999,$S335)))</f>
      </c>
      <c r="G335" s="114">
        <f>IF($S335="","",N(INDEX(数据录入!$G$5:$G$4999,$S335)))</f>
      </c>
      <c r="H335" s="114">
        <f>IF($S335="","",$G$2+SUM($F$8:$F335)-SUM($G$8:$G335))</f>
      </c>
      <c r="Q335" s="44">
        <f>IF(数据录入!$B335="",0,IF(OR(数据录入!$D335="投标保证金",数据录入!$D335="合同履约保证金",ISNUMBER(FIND("保证金",数据录入!$E335))),1,0))</f>
      </c>
      <c r="R335" s="44">
        <f>IF(AND($Q335=1,数据录入!$B335&gt;=$B$2,数据录入!$B335&lt;=$D$2),N(R334)+1,N(R334))</f>
      </c>
      <c r="S335" s="44">
        <f>IFERROR(MATCH(328,$R$5:$R$4999,0),"")</f>
      </c>
    </row>
    <row r="336" s="44" customFormat="1" spans="1:23">
      <c r="A336" s="116">
        <f>IF($S336="","",INDEX(数据录入!$B$5:$B$4999,$S336))</f>
      </c>
      <c r="B336" s="44">
        <f>IF($S336="","",INDEX(数据录入!$C$5:$C$4999,$S336)&amp;"")</f>
      </c>
      <c r="C336" s="165">
        <f>IF($S336="","",IF(N($F336)&gt;0,"收款",IF(N($G336)&gt;0,"付款","")))</f>
      </c>
      <c r="D336" s="44">
        <f>IF($S336="","",IF((INDEX(数据录入!$I$5:$I$4999,$S336)&amp;"")&lt;&gt;"",INDEX(数据录入!$I$5:$I$4999,$S336)&amp;"",INDEX(数据录入!$J$5:$J$4999,$S336)&amp;""))</f>
      </c>
      <c r="E336" s="108">
        <f>IF($S336="","",INDEX(数据录入!$E$5:$E$4999,$S336)&amp;"")</f>
      </c>
      <c r="F336" s="114">
        <f>IF($S336="","",N(INDEX(数据录入!$F$5:$F$4999,$S336)))</f>
      </c>
      <c r="G336" s="114">
        <f>IF($S336="","",N(INDEX(数据录入!$G$5:$G$4999,$S336)))</f>
      </c>
      <c r="H336" s="114">
        <f>IF($S336="","",$G$2+SUM($F$8:$F336)-SUM($G$8:$G336))</f>
      </c>
      <c r="Q336" s="44">
        <f>IF(数据录入!$B336="",0,IF(OR(数据录入!$D336="投标保证金",数据录入!$D336="合同履约保证金",ISNUMBER(FIND("保证金",数据录入!$E336))),1,0))</f>
      </c>
      <c r="R336" s="44">
        <f>IF(AND($Q336=1,数据录入!$B336&gt;=$B$2,数据录入!$B336&lt;=$D$2),N(R335)+1,N(R335))</f>
      </c>
      <c r="S336" s="44">
        <f>IFERROR(MATCH(329,$R$5:$R$4999,0),"")</f>
      </c>
    </row>
    <row r="337" s="44" customFormat="1" spans="1:23">
      <c r="A337" s="116">
        <f>IF($S337="","",INDEX(数据录入!$B$5:$B$4999,$S337))</f>
      </c>
      <c r="B337" s="44">
        <f>IF($S337="","",INDEX(数据录入!$C$5:$C$4999,$S337)&amp;"")</f>
      </c>
      <c r="C337" s="165">
        <f>IF($S337="","",IF(N($F337)&gt;0,"收款",IF(N($G337)&gt;0,"付款","")))</f>
      </c>
      <c r="D337" s="44">
        <f>IF($S337="","",IF((INDEX(数据录入!$I$5:$I$4999,$S337)&amp;"")&lt;&gt;"",INDEX(数据录入!$I$5:$I$4999,$S337)&amp;"",INDEX(数据录入!$J$5:$J$4999,$S337)&amp;""))</f>
      </c>
      <c r="E337" s="108">
        <f>IF($S337="","",INDEX(数据录入!$E$5:$E$4999,$S337)&amp;"")</f>
      </c>
      <c r="F337" s="114">
        <f>IF($S337="","",N(INDEX(数据录入!$F$5:$F$4999,$S337)))</f>
      </c>
      <c r="G337" s="114">
        <f>IF($S337="","",N(INDEX(数据录入!$G$5:$G$4999,$S337)))</f>
      </c>
      <c r="H337" s="114">
        <f>IF($S337="","",$G$2+SUM($F$8:$F337)-SUM($G$8:$G337))</f>
      </c>
      <c r="Q337" s="44">
        <f>IF(数据录入!$B337="",0,IF(OR(数据录入!$D337="投标保证金",数据录入!$D337="合同履约保证金",ISNUMBER(FIND("保证金",数据录入!$E337))),1,0))</f>
      </c>
      <c r="R337" s="44">
        <f>IF(AND($Q337=1,数据录入!$B337&gt;=$B$2,数据录入!$B337&lt;=$D$2),N(R336)+1,N(R336))</f>
      </c>
      <c r="S337" s="44">
        <f>IFERROR(MATCH(330,$R$5:$R$4999,0),"")</f>
      </c>
    </row>
    <row r="338" s="44" customFormat="1" spans="1:23">
      <c r="A338" s="116">
        <f>IF($S338="","",INDEX(数据录入!$B$5:$B$4999,$S338))</f>
      </c>
      <c r="B338" s="44">
        <f>IF($S338="","",INDEX(数据录入!$C$5:$C$4999,$S338)&amp;"")</f>
      </c>
      <c r="C338" s="165">
        <f>IF($S338="","",IF(N($F338)&gt;0,"收款",IF(N($G338)&gt;0,"付款","")))</f>
      </c>
      <c r="D338" s="44">
        <f>IF($S338="","",IF((INDEX(数据录入!$I$5:$I$4999,$S338)&amp;"")&lt;&gt;"",INDEX(数据录入!$I$5:$I$4999,$S338)&amp;"",INDEX(数据录入!$J$5:$J$4999,$S338)&amp;""))</f>
      </c>
      <c r="E338" s="108">
        <f>IF($S338="","",INDEX(数据录入!$E$5:$E$4999,$S338)&amp;"")</f>
      </c>
      <c r="F338" s="114">
        <f>IF($S338="","",N(INDEX(数据录入!$F$5:$F$4999,$S338)))</f>
      </c>
      <c r="G338" s="114">
        <f>IF($S338="","",N(INDEX(数据录入!$G$5:$G$4999,$S338)))</f>
      </c>
      <c r="H338" s="114">
        <f>IF($S338="","",$G$2+SUM($F$8:$F338)-SUM($G$8:$G338))</f>
      </c>
      <c r="Q338" s="44">
        <f>IF(数据录入!$B338="",0,IF(OR(数据录入!$D338="投标保证金",数据录入!$D338="合同履约保证金",ISNUMBER(FIND("保证金",数据录入!$E338))),1,0))</f>
      </c>
      <c r="R338" s="44">
        <f>IF(AND($Q338=1,数据录入!$B338&gt;=$B$2,数据录入!$B338&lt;=$D$2),N(R337)+1,N(R337))</f>
      </c>
      <c r="S338" s="44">
        <f>IFERROR(MATCH(331,$R$5:$R$4999,0),"")</f>
      </c>
    </row>
    <row r="339" s="44" customFormat="1" spans="1:23">
      <c r="A339" s="116">
        <f>IF($S339="","",INDEX(数据录入!$B$5:$B$4999,$S339))</f>
      </c>
      <c r="B339" s="44">
        <f>IF($S339="","",INDEX(数据录入!$C$5:$C$4999,$S339)&amp;"")</f>
      </c>
      <c r="C339" s="165">
        <f>IF($S339="","",IF(N($F339)&gt;0,"收款",IF(N($G339)&gt;0,"付款","")))</f>
      </c>
      <c r="D339" s="44">
        <f>IF($S339="","",IF((INDEX(数据录入!$I$5:$I$4999,$S339)&amp;"")&lt;&gt;"",INDEX(数据录入!$I$5:$I$4999,$S339)&amp;"",INDEX(数据录入!$J$5:$J$4999,$S339)&amp;""))</f>
      </c>
      <c r="E339" s="108">
        <f>IF($S339="","",INDEX(数据录入!$E$5:$E$4999,$S339)&amp;"")</f>
      </c>
      <c r="F339" s="114">
        <f>IF($S339="","",N(INDEX(数据录入!$F$5:$F$4999,$S339)))</f>
      </c>
      <c r="G339" s="114">
        <f>IF($S339="","",N(INDEX(数据录入!$G$5:$G$4999,$S339)))</f>
      </c>
      <c r="H339" s="114">
        <f>IF($S339="","",$G$2+SUM($F$8:$F339)-SUM($G$8:$G339))</f>
      </c>
      <c r="Q339" s="44">
        <f>IF(数据录入!$B339="",0,IF(OR(数据录入!$D339="投标保证金",数据录入!$D339="合同履约保证金",ISNUMBER(FIND("保证金",数据录入!$E339))),1,0))</f>
      </c>
      <c r="R339" s="44">
        <f>IF(AND($Q339=1,数据录入!$B339&gt;=$B$2,数据录入!$B339&lt;=$D$2),N(R338)+1,N(R338))</f>
      </c>
      <c r="S339" s="44">
        <f>IFERROR(MATCH(332,$R$5:$R$4999,0),"")</f>
      </c>
    </row>
    <row r="340" s="44" customFormat="1" spans="1:23">
      <c r="A340" s="116">
        <f>IF($S340="","",INDEX(数据录入!$B$5:$B$4999,$S340))</f>
      </c>
      <c r="B340" s="44">
        <f>IF($S340="","",INDEX(数据录入!$C$5:$C$4999,$S340)&amp;"")</f>
      </c>
      <c r="C340" s="165">
        <f>IF($S340="","",IF(N($F340)&gt;0,"收款",IF(N($G340)&gt;0,"付款","")))</f>
      </c>
      <c r="D340" s="44">
        <f>IF($S340="","",IF((INDEX(数据录入!$I$5:$I$4999,$S340)&amp;"")&lt;&gt;"",INDEX(数据录入!$I$5:$I$4999,$S340)&amp;"",INDEX(数据录入!$J$5:$J$4999,$S340)&amp;""))</f>
      </c>
      <c r="E340" s="108">
        <f>IF($S340="","",INDEX(数据录入!$E$5:$E$4999,$S340)&amp;"")</f>
      </c>
      <c r="F340" s="114">
        <f>IF($S340="","",N(INDEX(数据录入!$F$5:$F$4999,$S340)))</f>
      </c>
      <c r="G340" s="114">
        <f>IF($S340="","",N(INDEX(数据录入!$G$5:$G$4999,$S340)))</f>
      </c>
      <c r="H340" s="114">
        <f>IF($S340="","",$G$2+SUM($F$8:$F340)-SUM($G$8:$G340))</f>
      </c>
      <c r="Q340" s="44">
        <f>IF(数据录入!$B340="",0,IF(OR(数据录入!$D340="投标保证金",数据录入!$D340="合同履约保证金",ISNUMBER(FIND("保证金",数据录入!$E340))),1,0))</f>
      </c>
      <c r="R340" s="44">
        <f>IF(AND($Q340=1,数据录入!$B340&gt;=$B$2,数据录入!$B340&lt;=$D$2),N(R339)+1,N(R339))</f>
      </c>
      <c r="S340" s="44">
        <f>IFERROR(MATCH(333,$R$5:$R$4999,0),"")</f>
      </c>
    </row>
    <row r="341" s="44" customFormat="1" spans="1:23">
      <c r="A341" s="116">
        <f>IF($S341="","",INDEX(数据录入!$B$5:$B$4999,$S341))</f>
      </c>
      <c r="B341" s="44">
        <f>IF($S341="","",INDEX(数据录入!$C$5:$C$4999,$S341)&amp;"")</f>
      </c>
      <c r="C341" s="165">
        <f>IF($S341="","",IF(N($F341)&gt;0,"收款",IF(N($G341)&gt;0,"付款","")))</f>
      </c>
      <c r="D341" s="44">
        <f>IF($S341="","",IF((INDEX(数据录入!$I$5:$I$4999,$S341)&amp;"")&lt;&gt;"",INDEX(数据录入!$I$5:$I$4999,$S341)&amp;"",INDEX(数据录入!$J$5:$J$4999,$S341)&amp;""))</f>
      </c>
      <c r="E341" s="108">
        <f>IF($S341="","",INDEX(数据录入!$E$5:$E$4999,$S341)&amp;"")</f>
      </c>
      <c r="F341" s="114">
        <f>IF($S341="","",N(INDEX(数据录入!$F$5:$F$4999,$S341)))</f>
      </c>
      <c r="G341" s="114">
        <f>IF($S341="","",N(INDEX(数据录入!$G$5:$G$4999,$S341)))</f>
      </c>
      <c r="H341" s="114">
        <f>IF($S341="","",$G$2+SUM($F$8:$F341)-SUM($G$8:$G341))</f>
      </c>
      <c r="Q341" s="44">
        <f>IF(数据录入!$B341="",0,IF(OR(数据录入!$D341="投标保证金",数据录入!$D341="合同履约保证金",ISNUMBER(FIND("保证金",数据录入!$E341))),1,0))</f>
      </c>
      <c r="R341" s="44">
        <f>IF(AND($Q341=1,数据录入!$B341&gt;=$B$2,数据录入!$B341&lt;=$D$2),N(R340)+1,N(R340))</f>
      </c>
      <c r="S341" s="44">
        <f>IFERROR(MATCH(334,$R$5:$R$4999,0),"")</f>
      </c>
    </row>
    <row r="342" s="44" customFormat="1" spans="1:23">
      <c r="A342" s="116">
        <f>IF($S342="","",INDEX(数据录入!$B$5:$B$4999,$S342))</f>
      </c>
      <c r="B342" s="44">
        <f>IF($S342="","",INDEX(数据录入!$C$5:$C$4999,$S342)&amp;"")</f>
      </c>
      <c r="C342" s="165">
        <f>IF($S342="","",IF(N($F342)&gt;0,"收款",IF(N($G342)&gt;0,"付款","")))</f>
      </c>
      <c r="D342" s="44">
        <f>IF($S342="","",IF((INDEX(数据录入!$I$5:$I$4999,$S342)&amp;"")&lt;&gt;"",INDEX(数据录入!$I$5:$I$4999,$S342)&amp;"",INDEX(数据录入!$J$5:$J$4999,$S342)&amp;""))</f>
      </c>
      <c r="E342" s="108">
        <f>IF($S342="","",INDEX(数据录入!$E$5:$E$4999,$S342)&amp;"")</f>
      </c>
      <c r="F342" s="114">
        <f>IF($S342="","",N(INDEX(数据录入!$F$5:$F$4999,$S342)))</f>
      </c>
      <c r="G342" s="114">
        <f>IF($S342="","",N(INDEX(数据录入!$G$5:$G$4999,$S342)))</f>
      </c>
      <c r="H342" s="114">
        <f>IF($S342="","",$G$2+SUM($F$8:$F342)-SUM($G$8:$G342))</f>
      </c>
      <c r="Q342" s="44">
        <f>IF(数据录入!$B342="",0,IF(OR(数据录入!$D342="投标保证金",数据录入!$D342="合同履约保证金",ISNUMBER(FIND("保证金",数据录入!$E342))),1,0))</f>
      </c>
      <c r="R342" s="44">
        <f>IF(AND($Q342=1,数据录入!$B342&gt;=$B$2,数据录入!$B342&lt;=$D$2),N(R341)+1,N(R341))</f>
      </c>
      <c r="S342" s="44">
        <f>IFERROR(MATCH(335,$R$5:$R$4999,0),"")</f>
      </c>
    </row>
    <row r="343" s="44" customFormat="1" spans="1:23">
      <c r="A343" s="116">
        <f>IF($S343="","",INDEX(数据录入!$B$5:$B$4999,$S343))</f>
      </c>
      <c r="B343" s="44">
        <f>IF($S343="","",INDEX(数据录入!$C$5:$C$4999,$S343)&amp;"")</f>
      </c>
      <c r="C343" s="165">
        <f>IF($S343="","",IF(N($F343)&gt;0,"收款",IF(N($G343)&gt;0,"付款","")))</f>
      </c>
      <c r="D343" s="44">
        <f>IF($S343="","",IF((INDEX(数据录入!$I$5:$I$4999,$S343)&amp;"")&lt;&gt;"",INDEX(数据录入!$I$5:$I$4999,$S343)&amp;"",INDEX(数据录入!$J$5:$J$4999,$S343)&amp;""))</f>
      </c>
      <c r="E343" s="108">
        <f>IF($S343="","",INDEX(数据录入!$E$5:$E$4999,$S343)&amp;"")</f>
      </c>
      <c r="F343" s="114">
        <f>IF($S343="","",N(INDEX(数据录入!$F$5:$F$4999,$S343)))</f>
      </c>
      <c r="G343" s="114">
        <f>IF($S343="","",N(INDEX(数据录入!$G$5:$G$4999,$S343)))</f>
      </c>
      <c r="H343" s="114">
        <f>IF($S343="","",$G$2+SUM($F$8:$F343)-SUM($G$8:$G343))</f>
      </c>
      <c r="Q343" s="44">
        <f>IF(数据录入!$B343="",0,IF(OR(数据录入!$D343="投标保证金",数据录入!$D343="合同履约保证金",ISNUMBER(FIND("保证金",数据录入!$E343))),1,0))</f>
      </c>
      <c r="R343" s="44">
        <f>IF(AND($Q343=1,数据录入!$B343&gt;=$B$2,数据录入!$B343&lt;=$D$2),N(R342)+1,N(R342))</f>
      </c>
      <c r="S343" s="44">
        <f>IFERROR(MATCH(336,$R$5:$R$4999,0),"")</f>
      </c>
    </row>
    <row r="344" s="44" customFormat="1" spans="1:23">
      <c r="A344" s="116">
        <f>IF($S344="","",INDEX(数据录入!$B$5:$B$4999,$S344))</f>
      </c>
      <c r="B344" s="44">
        <f>IF($S344="","",INDEX(数据录入!$C$5:$C$4999,$S344)&amp;"")</f>
      </c>
      <c r="C344" s="165">
        <f>IF($S344="","",IF(N($F344)&gt;0,"收款",IF(N($G344)&gt;0,"付款","")))</f>
      </c>
      <c r="D344" s="44">
        <f>IF($S344="","",IF((INDEX(数据录入!$I$5:$I$4999,$S344)&amp;"")&lt;&gt;"",INDEX(数据录入!$I$5:$I$4999,$S344)&amp;"",INDEX(数据录入!$J$5:$J$4999,$S344)&amp;""))</f>
      </c>
      <c r="E344" s="108">
        <f>IF($S344="","",INDEX(数据录入!$E$5:$E$4999,$S344)&amp;"")</f>
      </c>
      <c r="F344" s="114">
        <f>IF($S344="","",N(INDEX(数据录入!$F$5:$F$4999,$S344)))</f>
      </c>
      <c r="G344" s="114">
        <f>IF($S344="","",N(INDEX(数据录入!$G$5:$G$4999,$S344)))</f>
      </c>
      <c r="H344" s="114">
        <f>IF($S344="","",$G$2+SUM($F$8:$F344)-SUM($G$8:$G344))</f>
      </c>
      <c r="Q344" s="44">
        <f>IF(数据录入!$B344="",0,IF(OR(数据录入!$D344="投标保证金",数据录入!$D344="合同履约保证金",ISNUMBER(FIND("保证金",数据录入!$E344))),1,0))</f>
      </c>
      <c r="R344" s="44">
        <f>IF(AND($Q344=1,数据录入!$B344&gt;=$B$2,数据录入!$B344&lt;=$D$2),N(R343)+1,N(R343))</f>
      </c>
      <c r="S344" s="44">
        <f>IFERROR(MATCH(337,$R$5:$R$4999,0),"")</f>
      </c>
    </row>
    <row r="345" s="44" customFormat="1" spans="1:23">
      <c r="A345" s="116">
        <f>IF($S345="","",INDEX(数据录入!$B$5:$B$4999,$S345))</f>
      </c>
      <c r="B345" s="44">
        <f>IF($S345="","",INDEX(数据录入!$C$5:$C$4999,$S345)&amp;"")</f>
      </c>
      <c r="C345" s="165">
        <f>IF($S345="","",IF(N($F345)&gt;0,"收款",IF(N($G345)&gt;0,"付款","")))</f>
      </c>
      <c r="D345" s="44">
        <f>IF($S345="","",IF((INDEX(数据录入!$I$5:$I$4999,$S345)&amp;"")&lt;&gt;"",INDEX(数据录入!$I$5:$I$4999,$S345)&amp;"",INDEX(数据录入!$J$5:$J$4999,$S345)&amp;""))</f>
      </c>
      <c r="E345" s="108">
        <f>IF($S345="","",INDEX(数据录入!$E$5:$E$4999,$S345)&amp;"")</f>
      </c>
      <c r="F345" s="114">
        <f>IF($S345="","",N(INDEX(数据录入!$F$5:$F$4999,$S345)))</f>
      </c>
      <c r="G345" s="114">
        <f>IF($S345="","",N(INDEX(数据录入!$G$5:$G$4999,$S345)))</f>
      </c>
      <c r="H345" s="114">
        <f>IF($S345="","",$G$2+SUM($F$8:$F345)-SUM($G$8:$G345))</f>
      </c>
      <c r="Q345" s="44">
        <f>IF(数据录入!$B345="",0,IF(OR(数据录入!$D345="投标保证金",数据录入!$D345="合同履约保证金",ISNUMBER(FIND("保证金",数据录入!$E345))),1,0))</f>
      </c>
      <c r="R345" s="44">
        <f>IF(AND($Q345=1,数据录入!$B345&gt;=$B$2,数据录入!$B345&lt;=$D$2),N(R344)+1,N(R344))</f>
      </c>
      <c r="S345" s="44">
        <f>IFERROR(MATCH(338,$R$5:$R$4999,0),"")</f>
      </c>
    </row>
    <row r="346" s="44" customFormat="1" spans="1:23">
      <c r="A346" s="116">
        <f>IF($S346="","",INDEX(数据录入!$B$5:$B$4999,$S346))</f>
      </c>
      <c r="B346" s="44">
        <f>IF($S346="","",INDEX(数据录入!$C$5:$C$4999,$S346)&amp;"")</f>
      </c>
      <c r="C346" s="165">
        <f>IF($S346="","",IF(N($F346)&gt;0,"收款",IF(N($G346)&gt;0,"付款","")))</f>
      </c>
      <c r="D346" s="44">
        <f>IF($S346="","",IF((INDEX(数据录入!$I$5:$I$4999,$S346)&amp;"")&lt;&gt;"",INDEX(数据录入!$I$5:$I$4999,$S346)&amp;"",INDEX(数据录入!$J$5:$J$4999,$S346)&amp;""))</f>
      </c>
      <c r="E346" s="108">
        <f>IF($S346="","",INDEX(数据录入!$E$5:$E$4999,$S346)&amp;"")</f>
      </c>
      <c r="F346" s="114">
        <f>IF($S346="","",N(INDEX(数据录入!$F$5:$F$4999,$S346)))</f>
      </c>
      <c r="G346" s="114">
        <f>IF($S346="","",N(INDEX(数据录入!$G$5:$G$4999,$S346)))</f>
      </c>
      <c r="H346" s="114">
        <f>IF($S346="","",$G$2+SUM($F$8:$F346)-SUM($G$8:$G346))</f>
      </c>
      <c r="Q346" s="44">
        <f>IF(数据录入!$B346="",0,IF(OR(数据录入!$D346="投标保证金",数据录入!$D346="合同履约保证金",ISNUMBER(FIND("保证金",数据录入!$E346))),1,0))</f>
      </c>
      <c r="R346" s="44">
        <f>IF(AND($Q346=1,数据录入!$B346&gt;=$B$2,数据录入!$B346&lt;=$D$2),N(R345)+1,N(R345))</f>
      </c>
      <c r="S346" s="44">
        <f>IFERROR(MATCH(339,$R$5:$R$4999,0),"")</f>
      </c>
    </row>
    <row r="347" s="44" customFormat="1" spans="1:23">
      <c r="A347" s="116">
        <f>IF($S347="","",INDEX(数据录入!$B$5:$B$4999,$S347))</f>
      </c>
      <c r="B347" s="44">
        <f>IF($S347="","",INDEX(数据录入!$C$5:$C$4999,$S347)&amp;"")</f>
      </c>
      <c r="C347" s="165">
        <f>IF($S347="","",IF(N($F347)&gt;0,"收款",IF(N($G347)&gt;0,"付款","")))</f>
      </c>
      <c r="D347" s="44">
        <f>IF($S347="","",IF((INDEX(数据录入!$I$5:$I$4999,$S347)&amp;"")&lt;&gt;"",INDEX(数据录入!$I$5:$I$4999,$S347)&amp;"",INDEX(数据录入!$J$5:$J$4999,$S347)&amp;""))</f>
      </c>
      <c r="E347" s="108">
        <f>IF($S347="","",INDEX(数据录入!$E$5:$E$4999,$S347)&amp;"")</f>
      </c>
      <c r="F347" s="114">
        <f>IF($S347="","",N(INDEX(数据录入!$F$5:$F$4999,$S347)))</f>
      </c>
      <c r="G347" s="114">
        <f>IF($S347="","",N(INDEX(数据录入!$G$5:$G$4999,$S347)))</f>
      </c>
      <c r="H347" s="114">
        <f>IF($S347="","",$G$2+SUM($F$8:$F347)-SUM($G$8:$G347))</f>
      </c>
      <c r="Q347" s="44">
        <f>IF(数据录入!$B347="",0,IF(OR(数据录入!$D347="投标保证金",数据录入!$D347="合同履约保证金",ISNUMBER(FIND("保证金",数据录入!$E347))),1,0))</f>
      </c>
      <c r="R347" s="44">
        <f>IF(AND($Q347=1,数据录入!$B347&gt;=$B$2,数据录入!$B347&lt;=$D$2),N(R346)+1,N(R346))</f>
      </c>
      <c r="S347" s="44">
        <f>IFERROR(MATCH(340,$R$5:$R$4999,0),"")</f>
      </c>
    </row>
    <row r="348" s="44" customFormat="1" spans="1:23">
      <c r="A348" s="116">
        <f>IF($S348="","",INDEX(数据录入!$B$5:$B$4999,$S348))</f>
      </c>
      <c r="B348" s="44">
        <f>IF($S348="","",INDEX(数据录入!$C$5:$C$4999,$S348)&amp;"")</f>
      </c>
      <c r="C348" s="165">
        <f>IF($S348="","",IF(N($F348)&gt;0,"收款",IF(N($G348)&gt;0,"付款","")))</f>
      </c>
      <c r="D348" s="44">
        <f>IF($S348="","",IF((INDEX(数据录入!$I$5:$I$4999,$S348)&amp;"")&lt;&gt;"",INDEX(数据录入!$I$5:$I$4999,$S348)&amp;"",INDEX(数据录入!$J$5:$J$4999,$S348)&amp;""))</f>
      </c>
      <c r="E348" s="108">
        <f>IF($S348="","",INDEX(数据录入!$E$5:$E$4999,$S348)&amp;"")</f>
      </c>
      <c r="F348" s="114">
        <f>IF($S348="","",N(INDEX(数据录入!$F$5:$F$4999,$S348)))</f>
      </c>
      <c r="G348" s="114">
        <f>IF($S348="","",N(INDEX(数据录入!$G$5:$G$4999,$S348)))</f>
      </c>
      <c r="H348" s="114">
        <f>IF($S348="","",$G$2+SUM($F$8:$F348)-SUM($G$8:$G348))</f>
      </c>
      <c r="Q348" s="44">
        <f>IF(数据录入!$B348="",0,IF(OR(数据录入!$D348="投标保证金",数据录入!$D348="合同履约保证金",ISNUMBER(FIND("保证金",数据录入!$E348))),1,0))</f>
      </c>
      <c r="R348" s="44">
        <f>IF(AND($Q348=1,数据录入!$B348&gt;=$B$2,数据录入!$B348&lt;=$D$2),N(R347)+1,N(R347))</f>
      </c>
      <c r="S348" s="44">
        <f>IFERROR(MATCH(341,$R$5:$R$4999,0),"")</f>
      </c>
    </row>
    <row r="349" s="44" customFormat="1" spans="1:23">
      <c r="A349" s="116">
        <f>IF($S349="","",INDEX(数据录入!$B$5:$B$4999,$S349))</f>
      </c>
      <c r="B349" s="44">
        <f>IF($S349="","",INDEX(数据录入!$C$5:$C$4999,$S349)&amp;"")</f>
      </c>
      <c r="C349" s="165">
        <f>IF($S349="","",IF(N($F349)&gt;0,"收款",IF(N($G349)&gt;0,"付款","")))</f>
      </c>
      <c r="D349" s="44">
        <f>IF($S349="","",IF((INDEX(数据录入!$I$5:$I$4999,$S349)&amp;"")&lt;&gt;"",INDEX(数据录入!$I$5:$I$4999,$S349)&amp;"",INDEX(数据录入!$J$5:$J$4999,$S349)&amp;""))</f>
      </c>
      <c r="E349" s="108">
        <f>IF($S349="","",INDEX(数据录入!$E$5:$E$4999,$S349)&amp;"")</f>
      </c>
      <c r="F349" s="114">
        <f>IF($S349="","",N(INDEX(数据录入!$F$5:$F$4999,$S349)))</f>
      </c>
      <c r="G349" s="114">
        <f>IF($S349="","",N(INDEX(数据录入!$G$5:$G$4999,$S349)))</f>
      </c>
      <c r="H349" s="114">
        <f>IF($S349="","",$G$2+SUM($F$8:$F349)-SUM($G$8:$G349))</f>
      </c>
      <c r="Q349" s="44">
        <f>IF(数据录入!$B349="",0,IF(OR(数据录入!$D349="投标保证金",数据录入!$D349="合同履约保证金",ISNUMBER(FIND("保证金",数据录入!$E349))),1,0))</f>
      </c>
      <c r="R349" s="44">
        <f>IF(AND($Q349=1,数据录入!$B349&gt;=$B$2,数据录入!$B349&lt;=$D$2),N(R348)+1,N(R348))</f>
      </c>
      <c r="S349" s="44">
        <f>IFERROR(MATCH(342,$R$5:$R$4999,0),"")</f>
      </c>
    </row>
    <row r="350" s="44" customFormat="1" spans="1:23">
      <c r="A350" s="116">
        <f>IF($S350="","",INDEX(数据录入!$B$5:$B$4999,$S350))</f>
      </c>
      <c r="B350" s="44">
        <f>IF($S350="","",INDEX(数据录入!$C$5:$C$4999,$S350)&amp;"")</f>
      </c>
      <c r="C350" s="165">
        <f>IF($S350="","",IF(N($F350)&gt;0,"收款",IF(N($G350)&gt;0,"付款","")))</f>
      </c>
      <c r="D350" s="44">
        <f>IF($S350="","",IF((INDEX(数据录入!$I$5:$I$4999,$S350)&amp;"")&lt;&gt;"",INDEX(数据录入!$I$5:$I$4999,$S350)&amp;"",INDEX(数据录入!$J$5:$J$4999,$S350)&amp;""))</f>
      </c>
      <c r="E350" s="108">
        <f>IF($S350="","",INDEX(数据录入!$E$5:$E$4999,$S350)&amp;"")</f>
      </c>
      <c r="F350" s="114">
        <f>IF($S350="","",N(INDEX(数据录入!$F$5:$F$4999,$S350)))</f>
      </c>
      <c r="G350" s="114">
        <f>IF($S350="","",N(INDEX(数据录入!$G$5:$G$4999,$S350)))</f>
      </c>
      <c r="H350" s="114">
        <f>IF($S350="","",$G$2+SUM($F$8:$F350)-SUM($G$8:$G350))</f>
      </c>
      <c r="Q350" s="44">
        <f>IF(数据录入!$B350="",0,IF(OR(数据录入!$D350="投标保证金",数据录入!$D350="合同履约保证金",ISNUMBER(FIND("保证金",数据录入!$E350))),1,0))</f>
      </c>
      <c r="R350" s="44">
        <f>IF(AND($Q350=1,数据录入!$B350&gt;=$B$2,数据录入!$B350&lt;=$D$2),N(R349)+1,N(R349))</f>
      </c>
      <c r="S350" s="44">
        <f>IFERROR(MATCH(343,$R$5:$R$4999,0),"")</f>
      </c>
    </row>
    <row r="351" s="44" customFormat="1" spans="1:23">
      <c r="A351" s="116">
        <f>IF($S351="","",INDEX(数据录入!$B$5:$B$4999,$S351))</f>
      </c>
      <c r="B351" s="44">
        <f>IF($S351="","",INDEX(数据录入!$C$5:$C$4999,$S351)&amp;"")</f>
      </c>
      <c r="C351" s="165">
        <f>IF($S351="","",IF(N($F351)&gt;0,"收款",IF(N($G351)&gt;0,"付款","")))</f>
      </c>
      <c r="D351" s="44">
        <f>IF($S351="","",IF((INDEX(数据录入!$I$5:$I$4999,$S351)&amp;"")&lt;&gt;"",INDEX(数据录入!$I$5:$I$4999,$S351)&amp;"",INDEX(数据录入!$J$5:$J$4999,$S351)&amp;""))</f>
      </c>
      <c r="E351" s="108">
        <f>IF($S351="","",INDEX(数据录入!$E$5:$E$4999,$S351)&amp;"")</f>
      </c>
      <c r="F351" s="114">
        <f>IF($S351="","",N(INDEX(数据录入!$F$5:$F$4999,$S351)))</f>
      </c>
      <c r="G351" s="114">
        <f>IF($S351="","",N(INDEX(数据录入!$G$5:$G$4999,$S351)))</f>
      </c>
      <c r="H351" s="114">
        <f>IF($S351="","",$G$2+SUM($F$8:$F351)-SUM($G$8:$G351))</f>
      </c>
      <c r="Q351" s="44">
        <f>IF(数据录入!$B351="",0,IF(OR(数据录入!$D351="投标保证金",数据录入!$D351="合同履约保证金",ISNUMBER(FIND("保证金",数据录入!$E351))),1,0))</f>
      </c>
      <c r="R351" s="44">
        <f>IF(AND($Q351=1,数据录入!$B351&gt;=$B$2,数据录入!$B351&lt;=$D$2),N(R350)+1,N(R350))</f>
      </c>
      <c r="S351" s="44">
        <f>IFERROR(MATCH(344,$R$5:$R$4999,0),"")</f>
      </c>
    </row>
    <row r="352" s="44" customFormat="1" spans="1:23">
      <c r="A352" s="116">
        <f>IF($S352="","",INDEX(数据录入!$B$5:$B$4999,$S352))</f>
      </c>
      <c r="B352" s="44">
        <f>IF($S352="","",INDEX(数据录入!$C$5:$C$4999,$S352)&amp;"")</f>
      </c>
      <c r="C352" s="165">
        <f>IF($S352="","",IF(N($F352)&gt;0,"收款",IF(N($G352)&gt;0,"付款","")))</f>
      </c>
      <c r="D352" s="44">
        <f>IF($S352="","",IF((INDEX(数据录入!$I$5:$I$4999,$S352)&amp;"")&lt;&gt;"",INDEX(数据录入!$I$5:$I$4999,$S352)&amp;"",INDEX(数据录入!$J$5:$J$4999,$S352)&amp;""))</f>
      </c>
      <c r="E352" s="108">
        <f>IF($S352="","",INDEX(数据录入!$E$5:$E$4999,$S352)&amp;"")</f>
      </c>
      <c r="F352" s="114">
        <f>IF($S352="","",N(INDEX(数据录入!$F$5:$F$4999,$S352)))</f>
      </c>
      <c r="G352" s="114">
        <f>IF($S352="","",N(INDEX(数据录入!$G$5:$G$4999,$S352)))</f>
      </c>
      <c r="H352" s="114">
        <f>IF($S352="","",$G$2+SUM($F$8:$F352)-SUM($G$8:$G352))</f>
      </c>
      <c r="Q352" s="44">
        <f>IF(数据录入!$B352="",0,IF(OR(数据录入!$D352="投标保证金",数据录入!$D352="合同履约保证金",ISNUMBER(FIND("保证金",数据录入!$E352))),1,0))</f>
      </c>
      <c r="R352" s="44">
        <f>IF(AND($Q352=1,数据录入!$B352&gt;=$B$2,数据录入!$B352&lt;=$D$2),N(R351)+1,N(R351))</f>
      </c>
      <c r="S352" s="44">
        <f>IFERROR(MATCH(345,$R$5:$R$4999,0),"")</f>
      </c>
    </row>
    <row r="353" s="44" customFormat="1" spans="1:23">
      <c r="A353" s="116">
        <f>IF($S353="","",INDEX(数据录入!$B$5:$B$4999,$S353))</f>
      </c>
      <c r="B353" s="44">
        <f>IF($S353="","",INDEX(数据录入!$C$5:$C$4999,$S353)&amp;"")</f>
      </c>
      <c r="C353" s="165">
        <f>IF($S353="","",IF(N($F353)&gt;0,"收款",IF(N($G353)&gt;0,"付款","")))</f>
      </c>
      <c r="D353" s="44">
        <f>IF($S353="","",IF((INDEX(数据录入!$I$5:$I$4999,$S353)&amp;"")&lt;&gt;"",INDEX(数据录入!$I$5:$I$4999,$S353)&amp;"",INDEX(数据录入!$J$5:$J$4999,$S353)&amp;""))</f>
      </c>
      <c r="E353" s="108">
        <f>IF($S353="","",INDEX(数据录入!$E$5:$E$4999,$S353)&amp;"")</f>
      </c>
      <c r="F353" s="114">
        <f>IF($S353="","",N(INDEX(数据录入!$F$5:$F$4999,$S353)))</f>
      </c>
      <c r="G353" s="114">
        <f>IF($S353="","",N(INDEX(数据录入!$G$5:$G$4999,$S353)))</f>
      </c>
      <c r="H353" s="114">
        <f>IF($S353="","",$G$2+SUM($F$8:$F353)-SUM($G$8:$G353))</f>
      </c>
      <c r="Q353" s="44">
        <f>IF(数据录入!$B353="",0,IF(OR(数据录入!$D353="投标保证金",数据录入!$D353="合同履约保证金",ISNUMBER(FIND("保证金",数据录入!$E353))),1,0))</f>
      </c>
      <c r="R353" s="44">
        <f>IF(AND($Q353=1,数据录入!$B353&gt;=$B$2,数据录入!$B353&lt;=$D$2),N(R352)+1,N(R352))</f>
      </c>
      <c r="S353" s="44">
        <f>IFERROR(MATCH(346,$R$5:$R$4999,0),"")</f>
      </c>
    </row>
    <row r="354" s="44" customFormat="1" spans="1:23">
      <c r="A354" s="116">
        <f>IF($S354="","",INDEX(数据录入!$B$5:$B$4999,$S354))</f>
      </c>
      <c r="B354" s="44">
        <f>IF($S354="","",INDEX(数据录入!$C$5:$C$4999,$S354)&amp;"")</f>
      </c>
      <c r="C354" s="165">
        <f>IF($S354="","",IF(N($F354)&gt;0,"收款",IF(N($G354)&gt;0,"付款","")))</f>
      </c>
      <c r="D354" s="44">
        <f>IF($S354="","",IF((INDEX(数据录入!$I$5:$I$4999,$S354)&amp;"")&lt;&gt;"",INDEX(数据录入!$I$5:$I$4999,$S354)&amp;"",INDEX(数据录入!$J$5:$J$4999,$S354)&amp;""))</f>
      </c>
      <c r="E354" s="108">
        <f>IF($S354="","",INDEX(数据录入!$E$5:$E$4999,$S354)&amp;"")</f>
      </c>
      <c r="F354" s="114">
        <f>IF($S354="","",N(INDEX(数据录入!$F$5:$F$4999,$S354)))</f>
      </c>
      <c r="G354" s="114">
        <f>IF($S354="","",N(INDEX(数据录入!$G$5:$G$4999,$S354)))</f>
      </c>
      <c r="H354" s="114">
        <f>IF($S354="","",$G$2+SUM($F$8:$F354)-SUM($G$8:$G354))</f>
      </c>
      <c r="Q354" s="44">
        <f>IF(数据录入!$B354="",0,IF(OR(数据录入!$D354="投标保证金",数据录入!$D354="合同履约保证金",ISNUMBER(FIND("保证金",数据录入!$E354))),1,0))</f>
      </c>
      <c r="R354" s="44">
        <f>IF(AND($Q354=1,数据录入!$B354&gt;=$B$2,数据录入!$B354&lt;=$D$2),N(R353)+1,N(R353))</f>
      </c>
      <c r="S354" s="44">
        <f>IFERROR(MATCH(347,$R$5:$R$4999,0),"")</f>
      </c>
    </row>
    <row r="355" s="44" customFormat="1" spans="1:23">
      <c r="A355" s="116">
        <f>IF($S355="","",INDEX(数据录入!$B$5:$B$4999,$S355))</f>
      </c>
      <c r="B355" s="44">
        <f>IF($S355="","",INDEX(数据录入!$C$5:$C$4999,$S355)&amp;"")</f>
      </c>
      <c r="C355" s="165">
        <f>IF($S355="","",IF(N($F355)&gt;0,"收款",IF(N($G355)&gt;0,"付款","")))</f>
      </c>
      <c r="D355" s="44">
        <f>IF($S355="","",IF((INDEX(数据录入!$I$5:$I$4999,$S355)&amp;"")&lt;&gt;"",INDEX(数据录入!$I$5:$I$4999,$S355)&amp;"",INDEX(数据录入!$J$5:$J$4999,$S355)&amp;""))</f>
      </c>
      <c r="E355" s="108">
        <f>IF($S355="","",INDEX(数据录入!$E$5:$E$4999,$S355)&amp;"")</f>
      </c>
      <c r="F355" s="114">
        <f>IF($S355="","",N(INDEX(数据录入!$F$5:$F$4999,$S355)))</f>
      </c>
      <c r="G355" s="114">
        <f>IF($S355="","",N(INDEX(数据录入!$G$5:$G$4999,$S355)))</f>
      </c>
      <c r="H355" s="114">
        <f>IF($S355="","",$G$2+SUM($F$8:$F355)-SUM($G$8:$G355))</f>
      </c>
      <c r="Q355" s="44">
        <f>IF(数据录入!$B355="",0,IF(OR(数据录入!$D355="投标保证金",数据录入!$D355="合同履约保证金",ISNUMBER(FIND("保证金",数据录入!$E355))),1,0))</f>
      </c>
      <c r="R355" s="44">
        <f>IF(AND($Q355=1,数据录入!$B355&gt;=$B$2,数据录入!$B355&lt;=$D$2),N(R354)+1,N(R354))</f>
      </c>
      <c r="S355" s="44">
        <f>IFERROR(MATCH(348,$R$5:$R$4999,0),"")</f>
      </c>
    </row>
    <row r="356" s="44" customFormat="1" spans="1:23">
      <c r="A356" s="116">
        <f>IF($S356="","",INDEX(数据录入!$B$5:$B$4999,$S356))</f>
      </c>
      <c r="B356" s="44">
        <f>IF($S356="","",INDEX(数据录入!$C$5:$C$4999,$S356)&amp;"")</f>
      </c>
      <c r="C356" s="165">
        <f>IF($S356="","",IF(N($F356)&gt;0,"收款",IF(N($G356)&gt;0,"付款","")))</f>
      </c>
      <c r="D356" s="44">
        <f>IF($S356="","",IF((INDEX(数据录入!$I$5:$I$4999,$S356)&amp;"")&lt;&gt;"",INDEX(数据录入!$I$5:$I$4999,$S356)&amp;"",INDEX(数据录入!$J$5:$J$4999,$S356)&amp;""))</f>
      </c>
      <c r="E356" s="108">
        <f>IF($S356="","",INDEX(数据录入!$E$5:$E$4999,$S356)&amp;"")</f>
      </c>
      <c r="F356" s="114">
        <f>IF($S356="","",N(INDEX(数据录入!$F$5:$F$4999,$S356)))</f>
      </c>
      <c r="G356" s="114">
        <f>IF($S356="","",N(INDEX(数据录入!$G$5:$G$4999,$S356)))</f>
      </c>
      <c r="H356" s="114">
        <f>IF($S356="","",$G$2+SUM($F$8:$F356)-SUM($G$8:$G356))</f>
      </c>
      <c r="Q356" s="44">
        <f>IF(数据录入!$B356="",0,IF(OR(数据录入!$D356="投标保证金",数据录入!$D356="合同履约保证金",ISNUMBER(FIND("保证金",数据录入!$E356))),1,0))</f>
      </c>
      <c r="R356" s="44">
        <f>IF(AND($Q356=1,数据录入!$B356&gt;=$B$2,数据录入!$B356&lt;=$D$2),N(R355)+1,N(R355))</f>
      </c>
      <c r="S356" s="44">
        <f>IFERROR(MATCH(349,$R$5:$R$4999,0),"")</f>
      </c>
    </row>
    <row r="357" s="44" customFormat="1" spans="1:23">
      <c r="A357" s="116">
        <f>IF($S357="","",INDEX(数据录入!$B$5:$B$4999,$S357))</f>
      </c>
      <c r="B357" s="44">
        <f>IF($S357="","",INDEX(数据录入!$C$5:$C$4999,$S357)&amp;"")</f>
      </c>
      <c r="C357" s="165">
        <f>IF($S357="","",IF(N($F357)&gt;0,"收款",IF(N($G357)&gt;0,"付款","")))</f>
      </c>
      <c r="D357" s="44">
        <f>IF($S357="","",IF((INDEX(数据录入!$I$5:$I$4999,$S357)&amp;"")&lt;&gt;"",INDEX(数据录入!$I$5:$I$4999,$S357)&amp;"",INDEX(数据录入!$J$5:$J$4999,$S357)&amp;""))</f>
      </c>
      <c r="E357" s="108">
        <f>IF($S357="","",INDEX(数据录入!$E$5:$E$4999,$S357)&amp;"")</f>
      </c>
      <c r="F357" s="114">
        <f>IF($S357="","",N(INDEX(数据录入!$F$5:$F$4999,$S357)))</f>
      </c>
      <c r="G357" s="114">
        <f>IF($S357="","",N(INDEX(数据录入!$G$5:$G$4999,$S357)))</f>
      </c>
      <c r="H357" s="114">
        <f>IF($S357="","",$G$2+SUM($F$8:$F357)-SUM($G$8:$G357))</f>
      </c>
      <c r="Q357" s="44">
        <f>IF(数据录入!$B357="",0,IF(OR(数据录入!$D357="投标保证金",数据录入!$D357="合同履约保证金",ISNUMBER(FIND("保证金",数据录入!$E357))),1,0))</f>
      </c>
      <c r="R357" s="44">
        <f>IF(AND($Q357=1,数据录入!$B357&gt;=$B$2,数据录入!$B357&lt;=$D$2),N(R356)+1,N(R356))</f>
      </c>
      <c r="S357" s="44">
        <f>IFERROR(MATCH(350,$R$5:$R$4999,0),"")</f>
      </c>
    </row>
    <row r="358" s="44" customFormat="1" spans="1:23">
      <c r="A358" s="116">
        <f>IF($S358="","",INDEX(数据录入!$B$5:$B$4999,$S358))</f>
      </c>
      <c r="B358" s="44">
        <f>IF($S358="","",INDEX(数据录入!$C$5:$C$4999,$S358)&amp;"")</f>
      </c>
      <c r="C358" s="165">
        <f>IF($S358="","",IF(N($F358)&gt;0,"收款",IF(N($G358)&gt;0,"付款","")))</f>
      </c>
      <c r="D358" s="44">
        <f>IF($S358="","",IF((INDEX(数据录入!$I$5:$I$4999,$S358)&amp;"")&lt;&gt;"",INDEX(数据录入!$I$5:$I$4999,$S358)&amp;"",INDEX(数据录入!$J$5:$J$4999,$S358)&amp;""))</f>
      </c>
      <c r="E358" s="108">
        <f>IF($S358="","",INDEX(数据录入!$E$5:$E$4999,$S358)&amp;"")</f>
      </c>
      <c r="F358" s="114">
        <f>IF($S358="","",N(INDEX(数据录入!$F$5:$F$4999,$S358)))</f>
      </c>
      <c r="G358" s="114">
        <f>IF($S358="","",N(INDEX(数据录入!$G$5:$G$4999,$S358)))</f>
      </c>
      <c r="H358" s="114">
        <f>IF($S358="","",$G$2+SUM($F$8:$F358)-SUM($G$8:$G358))</f>
      </c>
      <c r="Q358" s="44">
        <f>IF(数据录入!$B358="",0,IF(OR(数据录入!$D358="投标保证金",数据录入!$D358="合同履约保证金",ISNUMBER(FIND("保证金",数据录入!$E358))),1,0))</f>
      </c>
      <c r="R358" s="44">
        <f>IF(AND($Q358=1,数据录入!$B358&gt;=$B$2,数据录入!$B358&lt;=$D$2),N(R357)+1,N(R357))</f>
      </c>
      <c r="S358" s="44">
        <f>IFERROR(MATCH(351,$R$5:$R$4999,0),"")</f>
      </c>
    </row>
    <row r="359" s="44" customFormat="1" spans="1:23">
      <c r="A359" s="116">
        <f>IF($S359="","",INDEX(数据录入!$B$5:$B$4999,$S359))</f>
      </c>
      <c r="B359" s="44">
        <f>IF($S359="","",INDEX(数据录入!$C$5:$C$4999,$S359)&amp;"")</f>
      </c>
      <c r="C359" s="165">
        <f>IF($S359="","",IF(N($F359)&gt;0,"收款",IF(N($G359)&gt;0,"付款","")))</f>
      </c>
      <c r="D359" s="44">
        <f>IF($S359="","",IF((INDEX(数据录入!$I$5:$I$4999,$S359)&amp;"")&lt;&gt;"",INDEX(数据录入!$I$5:$I$4999,$S359)&amp;"",INDEX(数据录入!$J$5:$J$4999,$S359)&amp;""))</f>
      </c>
      <c r="E359" s="108">
        <f>IF($S359="","",INDEX(数据录入!$E$5:$E$4999,$S359)&amp;"")</f>
      </c>
      <c r="F359" s="114">
        <f>IF($S359="","",N(INDEX(数据录入!$F$5:$F$4999,$S359)))</f>
      </c>
      <c r="G359" s="114">
        <f>IF($S359="","",N(INDEX(数据录入!$G$5:$G$4999,$S359)))</f>
      </c>
      <c r="H359" s="114">
        <f>IF($S359="","",$G$2+SUM($F$8:$F359)-SUM($G$8:$G359))</f>
      </c>
      <c r="Q359" s="44">
        <f>IF(数据录入!$B359="",0,IF(OR(数据录入!$D359="投标保证金",数据录入!$D359="合同履约保证金",ISNUMBER(FIND("保证金",数据录入!$E359))),1,0))</f>
      </c>
      <c r="R359" s="44">
        <f>IF(AND($Q359=1,数据录入!$B359&gt;=$B$2,数据录入!$B359&lt;=$D$2),N(R358)+1,N(R358))</f>
      </c>
      <c r="S359" s="44">
        <f>IFERROR(MATCH(352,$R$5:$R$4999,0),"")</f>
      </c>
    </row>
    <row r="360" s="44" customFormat="1" spans="1:23">
      <c r="A360" s="116">
        <f>IF($S360="","",INDEX(数据录入!$B$5:$B$4999,$S360))</f>
      </c>
      <c r="B360" s="44">
        <f>IF($S360="","",INDEX(数据录入!$C$5:$C$4999,$S360)&amp;"")</f>
      </c>
      <c r="C360" s="165">
        <f>IF($S360="","",IF(N($F360)&gt;0,"收款",IF(N($G360)&gt;0,"付款","")))</f>
      </c>
      <c r="D360" s="44">
        <f>IF($S360="","",IF((INDEX(数据录入!$I$5:$I$4999,$S360)&amp;"")&lt;&gt;"",INDEX(数据录入!$I$5:$I$4999,$S360)&amp;"",INDEX(数据录入!$J$5:$J$4999,$S360)&amp;""))</f>
      </c>
      <c r="E360" s="108">
        <f>IF($S360="","",INDEX(数据录入!$E$5:$E$4999,$S360)&amp;"")</f>
      </c>
      <c r="F360" s="114">
        <f>IF($S360="","",N(INDEX(数据录入!$F$5:$F$4999,$S360)))</f>
      </c>
      <c r="G360" s="114">
        <f>IF($S360="","",N(INDEX(数据录入!$G$5:$G$4999,$S360)))</f>
      </c>
      <c r="H360" s="114">
        <f>IF($S360="","",$G$2+SUM($F$8:$F360)-SUM($G$8:$G360))</f>
      </c>
      <c r="Q360" s="44">
        <f>IF(数据录入!$B360="",0,IF(OR(数据录入!$D360="投标保证金",数据录入!$D360="合同履约保证金",ISNUMBER(FIND("保证金",数据录入!$E360))),1,0))</f>
      </c>
      <c r="R360" s="44">
        <f>IF(AND($Q360=1,数据录入!$B360&gt;=$B$2,数据录入!$B360&lt;=$D$2),N(R359)+1,N(R359))</f>
      </c>
      <c r="S360" s="44">
        <f>IFERROR(MATCH(353,$R$5:$R$4999,0),"")</f>
      </c>
    </row>
    <row r="361" s="44" customFormat="1" spans="1:23">
      <c r="A361" s="116">
        <f>IF($S361="","",INDEX(数据录入!$B$5:$B$4999,$S361))</f>
      </c>
      <c r="B361" s="44">
        <f>IF($S361="","",INDEX(数据录入!$C$5:$C$4999,$S361)&amp;"")</f>
      </c>
      <c r="C361" s="165">
        <f>IF($S361="","",IF(N($F361)&gt;0,"收款",IF(N($G361)&gt;0,"付款","")))</f>
      </c>
      <c r="D361" s="44">
        <f>IF($S361="","",IF((INDEX(数据录入!$I$5:$I$4999,$S361)&amp;"")&lt;&gt;"",INDEX(数据录入!$I$5:$I$4999,$S361)&amp;"",INDEX(数据录入!$J$5:$J$4999,$S361)&amp;""))</f>
      </c>
      <c r="E361" s="108">
        <f>IF($S361="","",INDEX(数据录入!$E$5:$E$4999,$S361)&amp;"")</f>
      </c>
      <c r="F361" s="114">
        <f>IF($S361="","",N(INDEX(数据录入!$F$5:$F$4999,$S361)))</f>
      </c>
      <c r="G361" s="114">
        <f>IF($S361="","",N(INDEX(数据录入!$G$5:$G$4999,$S361)))</f>
      </c>
      <c r="H361" s="114">
        <f>IF($S361="","",$G$2+SUM($F$8:$F361)-SUM($G$8:$G361))</f>
      </c>
      <c r="Q361" s="44">
        <f>IF(数据录入!$B361="",0,IF(OR(数据录入!$D361="投标保证金",数据录入!$D361="合同履约保证金",ISNUMBER(FIND("保证金",数据录入!$E361))),1,0))</f>
      </c>
      <c r="R361" s="44">
        <f>IF(AND($Q361=1,数据录入!$B361&gt;=$B$2,数据录入!$B361&lt;=$D$2),N(R360)+1,N(R360))</f>
      </c>
      <c r="S361" s="44">
        <f>IFERROR(MATCH(354,$R$5:$R$4999,0),"")</f>
      </c>
    </row>
    <row r="362" s="44" customFormat="1" spans="1:23">
      <c r="A362" s="116">
        <f>IF($S362="","",INDEX(数据录入!$B$5:$B$4999,$S362))</f>
      </c>
      <c r="B362" s="44">
        <f>IF($S362="","",INDEX(数据录入!$C$5:$C$4999,$S362)&amp;"")</f>
      </c>
      <c r="C362" s="165">
        <f>IF($S362="","",IF(N($F362)&gt;0,"收款",IF(N($G362)&gt;0,"付款","")))</f>
      </c>
      <c r="D362" s="44">
        <f>IF($S362="","",IF((INDEX(数据录入!$I$5:$I$4999,$S362)&amp;"")&lt;&gt;"",INDEX(数据录入!$I$5:$I$4999,$S362)&amp;"",INDEX(数据录入!$J$5:$J$4999,$S362)&amp;""))</f>
      </c>
      <c r="E362" s="108">
        <f>IF($S362="","",INDEX(数据录入!$E$5:$E$4999,$S362)&amp;"")</f>
      </c>
      <c r="F362" s="114">
        <f>IF($S362="","",N(INDEX(数据录入!$F$5:$F$4999,$S362)))</f>
      </c>
      <c r="G362" s="114">
        <f>IF($S362="","",N(INDEX(数据录入!$G$5:$G$4999,$S362)))</f>
      </c>
      <c r="H362" s="114">
        <f>IF($S362="","",$G$2+SUM($F$8:$F362)-SUM($G$8:$G362))</f>
      </c>
      <c r="Q362" s="44">
        <f>IF(数据录入!$B362="",0,IF(OR(数据录入!$D362="投标保证金",数据录入!$D362="合同履约保证金",ISNUMBER(FIND("保证金",数据录入!$E362))),1,0))</f>
      </c>
      <c r="R362" s="44">
        <f>IF(AND($Q362=1,数据录入!$B362&gt;=$B$2,数据录入!$B362&lt;=$D$2),N(R361)+1,N(R361))</f>
      </c>
      <c r="S362" s="44">
        <f>IFERROR(MATCH(355,$R$5:$R$4999,0),"")</f>
      </c>
    </row>
    <row r="363" s="44" customFormat="1" spans="1:23">
      <c r="A363" s="116">
        <f>IF($S363="","",INDEX(数据录入!$B$5:$B$4999,$S363))</f>
      </c>
      <c r="B363" s="44">
        <f>IF($S363="","",INDEX(数据录入!$C$5:$C$4999,$S363)&amp;"")</f>
      </c>
      <c r="C363" s="165">
        <f>IF($S363="","",IF(N($F363)&gt;0,"收款",IF(N($G363)&gt;0,"付款","")))</f>
      </c>
      <c r="D363" s="44">
        <f>IF($S363="","",IF((INDEX(数据录入!$I$5:$I$4999,$S363)&amp;"")&lt;&gt;"",INDEX(数据录入!$I$5:$I$4999,$S363)&amp;"",INDEX(数据录入!$J$5:$J$4999,$S363)&amp;""))</f>
      </c>
      <c r="E363" s="108">
        <f>IF($S363="","",INDEX(数据录入!$E$5:$E$4999,$S363)&amp;"")</f>
      </c>
      <c r="F363" s="114">
        <f>IF($S363="","",N(INDEX(数据录入!$F$5:$F$4999,$S363)))</f>
      </c>
      <c r="G363" s="114">
        <f>IF($S363="","",N(INDEX(数据录入!$G$5:$G$4999,$S363)))</f>
      </c>
      <c r="H363" s="114">
        <f>IF($S363="","",$G$2+SUM($F$8:$F363)-SUM($G$8:$G363))</f>
      </c>
      <c r="Q363" s="44">
        <f>IF(数据录入!$B363="",0,IF(OR(数据录入!$D363="投标保证金",数据录入!$D363="合同履约保证金",ISNUMBER(FIND("保证金",数据录入!$E363))),1,0))</f>
      </c>
      <c r="R363" s="44">
        <f>IF(AND($Q363=1,数据录入!$B363&gt;=$B$2,数据录入!$B363&lt;=$D$2),N(R362)+1,N(R362))</f>
      </c>
      <c r="S363" s="44">
        <f>IFERROR(MATCH(356,$R$5:$R$4999,0),"")</f>
      </c>
    </row>
    <row r="364" s="44" customFormat="1" spans="1:23">
      <c r="A364" s="116">
        <f>IF($S364="","",INDEX(数据录入!$B$5:$B$4999,$S364))</f>
      </c>
      <c r="B364" s="44">
        <f>IF($S364="","",INDEX(数据录入!$C$5:$C$4999,$S364)&amp;"")</f>
      </c>
      <c r="C364" s="165">
        <f>IF($S364="","",IF(N($F364)&gt;0,"收款",IF(N($G364)&gt;0,"付款","")))</f>
      </c>
      <c r="D364" s="44">
        <f>IF($S364="","",IF((INDEX(数据录入!$I$5:$I$4999,$S364)&amp;"")&lt;&gt;"",INDEX(数据录入!$I$5:$I$4999,$S364)&amp;"",INDEX(数据录入!$J$5:$J$4999,$S364)&amp;""))</f>
      </c>
      <c r="E364" s="108">
        <f>IF($S364="","",INDEX(数据录入!$E$5:$E$4999,$S364)&amp;"")</f>
      </c>
      <c r="F364" s="114">
        <f>IF($S364="","",N(INDEX(数据录入!$F$5:$F$4999,$S364)))</f>
      </c>
      <c r="G364" s="114">
        <f>IF($S364="","",N(INDEX(数据录入!$G$5:$G$4999,$S364)))</f>
      </c>
      <c r="H364" s="114">
        <f>IF($S364="","",$G$2+SUM($F$8:$F364)-SUM($G$8:$G364))</f>
      </c>
      <c r="Q364" s="44">
        <f>IF(数据录入!$B364="",0,IF(OR(数据录入!$D364="投标保证金",数据录入!$D364="合同履约保证金",ISNUMBER(FIND("保证金",数据录入!$E364))),1,0))</f>
      </c>
      <c r="R364" s="44">
        <f>IF(AND($Q364=1,数据录入!$B364&gt;=$B$2,数据录入!$B364&lt;=$D$2),N(R363)+1,N(R363))</f>
      </c>
      <c r="S364" s="44">
        <f>IFERROR(MATCH(357,$R$5:$R$4999,0),"")</f>
      </c>
    </row>
    <row r="365" s="44" customFormat="1" spans="1:23">
      <c r="A365" s="116">
        <f>IF($S365="","",INDEX(数据录入!$B$5:$B$4999,$S365))</f>
      </c>
      <c r="B365" s="44">
        <f>IF($S365="","",INDEX(数据录入!$C$5:$C$4999,$S365)&amp;"")</f>
      </c>
      <c r="C365" s="165">
        <f>IF($S365="","",IF(N($F365)&gt;0,"收款",IF(N($G365)&gt;0,"付款","")))</f>
      </c>
      <c r="D365" s="44">
        <f>IF($S365="","",IF((INDEX(数据录入!$I$5:$I$4999,$S365)&amp;"")&lt;&gt;"",INDEX(数据录入!$I$5:$I$4999,$S365)&amp;"",INDEX(数据录入!$J$5:$J$4999,$S365)&amp;""))</f>
      </c>
      <c r="E365" s="108">
        <f>IF($S365="","",INDEX(数据录入!$E$5:$E$4999,$S365)&amp;"")</f>
      </c>
      <c r="F365" s="114">
        <f>IF($S365="","",N(INDEX(数据录入!$F$5:$F$4999,$S365)))</f>
      </c>
      <c r="G365" s="114">
        <f>IF($S365="","",N(INDEX(数据录入!$G$5:$G$4999,$S365)))</f>
      </c>
      <c r="H365" s="114">
        <f>IF($S365="","",$G$2+SUM($F$8:$F365)-SUM($G$8:$G365))</f>
      </c>
      <c r="Q365" s="44">
        <f>IF(数据录入!$B365="",0,IF(OR(数据录入!$D365="投标保证金",数据录入!$D365="合同履约保证金",ISNUMBER(FIND("保证金",数据录入!$E365))),1,0))</f>
      </c>
      <c r="R365" s="44">
        <f>IF(AND($Q365=1,数据录入!$B365&gt;=$B$2,数据录入!$B365&lt;=$D$2),N(R364)+1,N(R364))</f>
      </c>
      <c r="S365" s="44">
        <f>IFERROR(MATCH(358,$R$5:$R$4999,0),"")</f>
      </c>
    </row>
    <row r="366" s="44" customFormat="1" spans="1:23">
      <c r="A366" s="116">
        <f>IF($S366="","",INDEX(数据录入!$B$5:$B$4999,$S366))</f>
      </c>
      <c r="B366" s="44">
        <f>IF($S366="","",INDEX(数据录入!$C$5:$C$4999,$S366)&amp;"")</f>
      </c>
      <c r="C366" s="165">
        <f>IF($S366="","",IF(N($F366)&gt;0,"收款",IF(N($G366)&gt;0,"付款","")))</f>
      </c>
      <c r="D366" s="44">
        <f>IF($S366="","",IF((INDEX(数据录入!$I$5:$I$4999,$S366)&amp;"")&lt;&gt;"",INDEX(数据录入!$I$5:$I$4999,$S366)&amp;"",INDEX(数据录入!$J$5:$J$4999,$S366)&amp;""))</f>
      </c>
      <c r="E366" s="108">
        <f>IF($S366="","",INDEX(数据录入!$E$5:$E$4999,$S366)&amp;"")</f>
      </c>
      <c r="F366" s="114">
        <f>IF($S366="","",N(INDEX(数据录入!$F$5:$F$4999,$S366)))</f>
      </c>
      <c r="G366" s="114">
        <f>IF($S366="","",N(INDEX(数据录入!$G$5:$G$4999,$S366)))</f>
      </c>
      <c r="H366" s="114">
        <f>IF($S366="","",$G$2+SUM($F$8:$F366)-SUM($G$8:$G366))</f>
      </c>
      <c r="Q366" s="44">
        <f>IF(数据录入!$B366="",0,IF(OR(数据录入!$D366="投标保证金",数据录入!$D366="合同履约保证金",ISNUMBER(FIND("保证金",数据录入!$E366))),1,0))</f>
      </c>
      <c r="R366" s="44">
        <f>IF(AND($Q366=1,数据录入!$B366&gt;=$B$2,数据录入!$B366&lt;=$D$2),N(R365)+1,N(R365))</f>
      </c>
      <c r="S366" s="44">
        <f>IFERROR(MATCH(359,$R$5:$R$4999,0),"")</f>
      </c>
    </row>
    <row r="367" s="44" customFormat="1" spans="1:23">
      <c r="A367" s="116">
        <f>IF($S367="","",INDEX(数据录入!$B$5:$B$4999,$S367))</f>
      </c>
      <c r="B367" s="44">
        <f>IF($S367="","",INDEX(数据录入!$C$5:$C$4999,$S367)&amp;"")</f>
      </c>
      <c r="C367" s="165">
        <f>IF($S367="","",IF(N($F367)&gt;0,"收款",IF(N($G367)&gt;0,"付款","")))</f>
      </c>
      <c r="D367" s="44">
        <f>IF($S367="","",IF((INDEX(数据录入!$I$5:$I$4999,$S367)&amp;"")&lt;&gt;"",INDEX(数据录入!$I$5:$I$4999,$S367)&amp;"",INDEX(数据录入!$J$5:$J$4999,$S367)&amp;""))</f>
      </c>
      <c r="E367" s="108">
        <f>IF($S367="","",INDEX(数据录入!$E$5:$E$4999,$S367)&amp;"")</f>
      </c>
      <c r="F367" s="114">
        <f>IF($S367="","",N(INDEX(数据录入!$F$5:$F$4999,$S367)))</f>
      </c>
      <c r="G367" s="114">
        <f>IF($S367="","",N(INDEX(数据录入!$G$5:$G$4999,$S367)))</f>
      </c>
      <c r="H367" s="114">
        <f>IF($S367="","",$G$2+SUM($F$8:$F367)-SUM($G$8:$G367))</f>
      </c>
      <c r="Q367" s="44">
        <f>IF(数据录入!$B367="",0,IF(OR(数据录入!$D367="投标保证金",数据录入!$D367="合同履约保证金",ISNUMBER(FIND("保证金",数据录入!$E367))),1,0))</f>
      </c>
      <c r="R367" s="44">
        <f>IF(AND($Q367=1,数据录入!$B367&gt;=$B$2,数据录入!$B367&lt;=$D$2),N(R366)+1,N(R366))</f>
      </c>
      <c r="S367" s="44">
        <f>IFERROR(MATCH(360,$R$5:$R$4999,0),"")</f>
      </c>
    </row>
    <row r="368" s="44" customFormat="1" spans="1:23">
      <c r="A368" s="116">
        <f>IF($S368="","",INDEX(数据录入!$B$5:$B$4999,$S368))</f>
      </c>
      <c r="B368" s="44">
        <f>IF($S368="","",INDEX(数据录入!$C$5:$C$4999,$S368)&amp;"")</f>
      </c>
      <c r="C368" s="165">
        <f>IF($S368="","",IF(N($F368)&gt;0,"收款",IF(N($G368)&gt;0,"付款","")))</f>
      </c>
      <c r="D368" s="44">
        <f>IF($S368="","",IF((INDEX(数据录入!$I$5:$I$4999,$S368)&amp;"")&lt;&gt;"",INDEX(数据录入!$I$5:$I$4999,$S368)&amp;"",INDEX(数据录入!$J$5:$J$4999,$S368)&amp;""))</f>
      </c>
      <c r="E368" s="108">
        <f>IF($S368="","",INDEX(数据录入!$E$5:$E$4999,$S368)&amp;"")</f>
      </c>
      <c r="F368" s="114">
        <f>IF($S368="","",N(INDEX(数据录入!$F$5:$F$4999,$S368)))</f>
      </c>
      <c r="G368" s="114">
        <f>IF($S368="","",N(INDEX(数据录入!$G$5:$G$4999,$S368)))</f>
      </c>
      <c r="H368" s="114">
        <f>IF($S368="","",$G$2+SUM($F$8:$F368)-SUM($G$8:$G368))</f>
      </c>
      <c r="Q368" s="44">
        <f>IF(数据录入!$B368="",0,IF(OR(数据录入!$D368="投标保证金",数据录入!$D368="合同履约保证金",ISNUMBER(FIND("保证金",数据录入!$E368))),1,0))</f>
      </c>
      <c r="R368" s="44">
        <f>IF(AND($Q368=1,数据录入!$B368&gt;=$B$2,数据录入!$B368&lt;=$D$2),N(R367)+1,N(R367))</f>
      </c>
      <c r="S368" s="44">
        <f>IFERROR(MATCH(361,$R$5:$R$4999,0),"")</f>
      </c>
    </row>
    <row r="369" s="44" customFormat="1" spans="1:23">
      <c r="A369" s="116">
        <f>IF($S369="","",INDEX(数据录入!$B$5:$B$4999,$S369))</f>
      </c>
      <c r="B369" s="44">
        <f>IF($S369="","",INDEX(数据录入!$C$5:$C$4999,$S369)&amp;"")</f>
      </c>
      <c r="C369" s="165">
        <f>IF($S369="","",IF(N($F369)&gt;0,"收款",IF(N($G369)&gt;0,"付款","")))</f>
      </c>
      <c r="D369" s="44">
        <f>IF($S369="","",IF((INDEX(数据录入!$I$5:$I$4999,$S369)&amp;"")&lt;&gt;"",INDEX(数据录入!$I$5:$I$4999,$S369)&amp;"",INDEX(数据录入!$J$5:$J$4999,$S369)&amp;""))</f>
      </c>
      <c r="E369" s="108">
        <f>IF($S369="","",INDEX(数据录入!$E$5:$E$4999,$S369)&amp;"")</f>
      </c>
      <c r="F369" s="114">
        <f>IF($S369="","",N(INDEX(数据录入!$F$5:$F$4999,$S369)))</f>
      </c>
      <c r="G369" s="114">
        <f>IF($S369="","",N(INDEX(数据录入!$G$5:$G$4999,$S369)))</f>
      </c>
      <c r="H369" s="114">
        <f>IF($S369="","",$G$2+SUM($F$8:$F369)-SUM($G$8:$G369))</f>
      </c>
      <c r="Q369" s="44">
        <f>IF(数据录入!$B369="",0,IF(OR(数据录入!$D369="投标保证金",数据录入!$D369="合同履约保证金",ISNUMBER(FIND("保证金",数据录入!$E369))),1,0))</f>
      </c>
      <c r="R369" s="44">
        <f>IF(AND($Q369=1,数据录入!$B369&gt;=$B$2,数据录入!$B369&lt;=$D$2),N(R368)+1,N(R368))</f>
      </c>
      <c r="S369" s="44">
        <f>IFERROR(MATCH(362,$R$5:$R$4999,0),"")</f>
      </c>
    </row>
    <row r="370" s="44" customFormat="1" spans="1:23">
      <c r="A370" s="116">
        <f>IF($S370="","",INDEX(数据录入!$B$5:$B$4999,$S370))</f>
      </c>
      <c r="B370" s="44">
        <f>IF($S370="","",INDEX(数据录入!$C$5:$C$4999,$S370)&amp;"")</f>
      </c>
      <c r="C370" s="165">
        <f>IF($S370="","",IF(N($F370)&gt;0,"收款",IF(N($G370)&gt;0,"付款","")))</f>
      </c>
      <c r="D370" s="44">
        <f>IF($S370="","",IF((INDEX(数据录入!$I$5:$I$4999,$S370)&amp;"")&lt;&gt;"",INDEX(数据录入!$I$5:$I$4999,$S370)&amp;"",INDEX(数据录入!$J$5:$J$4999,$S370)&amp;""))</f>
      </c>
      <c r="E370" s="108">
        <f>IF($S370="","",INDEX(数据录入!$E$5:$E$4999,$S370)&amp;"")</f>
      </c>
      <c r="F370" s="114">
        <f>IF($S370="","",N(INDEX(数据录入!$F$5:$F$4999,$S370)))</f>
      </c>
      <c r="G370" s="114">
        <f>IF($S370="","",N(INDEX(数据录入!$G$5:$G$4999,$S370)))</f>
      </c>
      <c r="H370" s="114">
        <f>IF($S370="","",$G$2+SUM($F$8:$F370)-SUM($G$8:$G370))</f>
      </c>
      <c r="Q370" s="44">
        <f>IF(数据录入!$B370="",0,IF(OR(数据录入!$D370="投标保证金",数据录入!$D370="合同履约保证金",ISNUMBER(FIND("保证金",数据录入!$E370))),1,0))</f>
      </c>
      <c r="R370" s="44">
        <f>IF(AND($Q370=1,数据录入!$B370&gt;=$B$2,数据录入!$B370&lt;=$D$2),N(R369)+1,N(R369))</f>
      </c>
      <c r="S370" s="44">
        <f>IFERROR(MATCH(363,$R$5:$R$4999,0),"")</f>
      </c>
    </row>
    <row r="371" s="44" customFormat="1" spans="1:23">
      <c r="A371" s="116">
        <f>IF($S371="","",INDEX(数据录入!$B$5:$B$4999,$S371))</f>
      </c>
      <c r="B371" s="44">
        <f>IF($S371="","",INDEX(数据录入!$C$5:$C$4999,$S371)&amp;"")</f>
      </c>
      <c r="C371" s="165">
        <f>IF($S371="","",IF(N($F371)&gt;0,"收款",IF(N($G371)&gt;0,"付款","")))</f>
      </c>
      <c r="D371" s="44">
        <f>IF($S371="","",IF((INDEX(数据录入!$I$5:$I$4999,$S371)&amp;"")&lt;&gt;"",INDEX(数据录入!$I$5:$I$4999,$S371)&amp;"",INDEX(数据录入!$J$5:$J$4999,$S371)&amp;""))</f>
      </c>
      <c r="E371" s="108">
        <f>IF($S371="","",INDEX(数据录入!$E$5:$E$4999,$S371)&amp;"")</f>
      </c>
      <c r="F371" s="114">
        <f>IF($S371="","",N(INDEX(数据录入!$F$5:$F$4999,$S371)))</f>
      </c>
      <c r="G371" s="114">
        <f>IF($S371="","",N(INDEX(数据录入!$G$5:$G$4999,$S371)))</f>
      </c>
      <c r="H371" s="114">
        <f>IF($S371="","",$G$2+SUM($F$8:$F371)-SUM($G$8:$G371))</f>
      </c>
      <c r="Q371" s="44">
        <f>IF(数据录入!$B371="",0,IF(OR(数据录入!$D371="投标保证金",数据录入!$D371="合同履约保证金",ISNUMBER(FIND("保证金",数据录入!$E371))),1,0))</f>
      </c>
      <c r="R371" s="44">
        <f>IF(AND($Q371=1,数据录入!$B371&gt;=$B$2,数据录入!$B371&lt;=$D$2),N(R370)+1,N(R370))</f>
      </c>
      <c r="S371" s="44">
        <f>IFERROR(MATCH(364,$R$5:$R$4999,0),"")</f>
      </c>
    </row>
    <row r="372" s="44" customFormat="1" spans="1:23">
      <c r="A372" s="116">
        <f>IF($S372="","",INDEX(数据录入!$B$5:$B$4999,$S372))</f>
      </c>
      <c r="B372" s="44">
        <f>IF($S372="","",INDEX(数据录入!$C$5:$C$4999,$S372)&amp;"")</f>
      </c>
      <c r="C372" s="165">
        <f>IF($S372="","",IF(N($F372)&gt;0,"收款",IF(N($G372)&gt;0,"付款","")))</f>
      </c>
      <c r="D372" s="44">
        <f>IF($S372="","",IF((INDEX(数据录入!$I$5:$I$4999,$S372)&amp;"")&lt;&gt;"",INDEX(数据录入!$I$5:$I$4999,$S372)&amp;"",INDEX(数据录入!$J$5:$J$4999,$S372)&amp;""))</f>
      </c>
      <c r="E372" s="108">
        <f>IF($S372="","",INDEX(数据录入!$E$5:$E$4999,$S372)&amp;"")</f>
      </c>
      <c r="F372" s="114">
        <f>IF($S372="","",N(INDEX(数据录入!$F$5:$F$4999,$S372)))</f>
      </c>
      <c r="G372" s="114">
        <f>IF($S372="","",N(INDEX(数据录入!$G$5:$G$4999,$S372)))</f>
      </c>
      <c r="H372" s="114">
        <f>IF($S372="","",$G$2+SUM($F$8:$F372)-SUM($G$8:$G372))</f>
      </c>
      <c r="Q372" s="44">
        <f>IF(数据录入!$B372="",0,IF(OR(数据录入!$D372="投标保证金",数据录入!$D372="合同履约保证金",ISNUMBER(FIND("保证金",数据录入!$E372))),1,0))</f>
      </c>
      <c r="R372" s="44">
        <f>IF(AND($Q372=1,数据录入!$B372&gt;=$B$2,数据录入!$B372&lt;=$D$2),N(R371)+1,N(R371))</f>
      </c>
      <c r="S372" s="44">
        <f>IFERROR(MATCH(365,$R$5:$R$4999,0),"")</f>
      </c>
    </row>
    <row r="373" s="44" customFormat="1" spans="1:23">
      <c r="A373" s="116">
        <f>IF($S373="","",INDEX(数据录入!$B$5:$B$4999,$S373))</f>
      </c>
      <c r="B373" s="44">
        <f>IF($S373="","",INDEX(数据录入!$C$5:$C$4999,$S373)&amp;"")</f>
      </c>
      <c r="C373" s="165">
        <f>IF($S373="","",IF(N($F373)&gt;0,"收款",IF(N($G373)&gt;0,"付款","")))</f>
      </c>
      <c r="D373" s="44">
        <f>IF($S373="","",IF((INDEX(数据录入!$I$5:$I$4999,$S373)&amp;"")&lt;&gt;"",INDEX(数据录入!$I$5:$I$4999,$S373)&amp;"",INDEX(数据录入!$J$5:$J$4999,$S373)&amp;""))</f>
      </c>
      <c r="E373" s="108">
        <f>IF($S373="","",INDEX(数据录入!$E$5:$E$4999,$S373)&amp;"")</f>
      </c>
      <c r="F373" s="114">
        <f>IF($S373="","",N(INDEX(数据录入!$F$5:$F$4999,$S373)))</f>
      </c>
      <c r="G373" s="114">
        <f>IF($S373="","",N(INDEX(数据录入!$G$5:$G$4999,$S373)))</f>
      </c>
      <c r="H373" s="114">
        <f>IF($S373="","",$G$2+SUM($F$8:$F373)-SUM($G$8:$G373))</f>
      </c>
      <c r="Q373" s="44">
        <f>IF(数据录入!$B373="",0,IF(OR(数据录入!$D373="投标保证金",数据录入!$D373="合同履约保证金",ISNUMBER(FIND("保证金",数据录入!$E373))),1,0))</f>
      </c>
      <c r="R373" s="44">
        <f>IF(AND($Q373=1,数据录入!$B373&gt;=$B$2,数据录入!$B373&lt;=$D$2),N(R372)+1,N(R372))</f>
      </c>
      <c r="S373" s="44">
        <f>IFERROR(MATCH(366,$R$5:$R$4999,0),"")</f>
      </c>
    </row>
    <row r="374" s="44" customFormat="1" spans="1:23">
      <c r="A374" s="116">
        <f>IF($S374="","",INDEX(数据录入!$B$5:$B$4999,$S374))</f>
      </c>
      <c r="B374" s="44">
        <f>IF($S374="","",INDEX(数据录入!$C$5:$C$4999,$S374)&amp;"")</f>
      </c>
      <c r="C374" s="165">
        <f>IF($S374="","",IF(N($F374)&gt;0,"收款",IF(N($G374)&gt;0,"付款","")))</f>
      </c>
      <c r="D374" s="44">
        <f>IF($S374="","",IF((INDEX(数据录入!$I$5:$I$4999,$S374)&amp;"")&lt;&gt;"",INDEX(数据录入!$I$5:$I$4999,$S374)&amp;"",INDEX(数据录入!$J$5:$J$4999,$S374)&amp;""))</f>
      </c>
      <c r="E374" s="108">
        <f>IF($S374="","",INDEX(数据录入!$E$5:$E$4999,$S374)&amp;"")</f>
      </c>
      <c r="F374" s="114">
        <f>IF($S374="","",N(INDEX(数据录入!$F$5:$F$4999,$S374)))</f>
      </c>
      <c r="G374" s="114">
        <f>IF($S374="","",N(INDEX(数据录入!$G$5:$G$4999,$S374)))</f>
      </c>
      <c r="H374" s="114">
        <f>IF($S374="","",$G$2+SUM($F$8:$F374)-SUM($G$8:$G374))</f>
      </c>
      <c r="Q374" s="44">
        <f>IF(数据录入!$B374="",0,IF(OR(数据录入!$D374="投标保证金",数据录入!$D374="合同履约保证金",ISNUMBER(FIND("保证金",数据录入!$E374))),1,0))</f>
      </c>
      <c r="R374" s="44">
        <f>IF(AND($Q374=1,数据录入!$B374&gt;=$B$2,数据录入!$B374&lt;=$D$2),N(R373)+1,N(R373))</f>
      </c>
      <c r="S374" s="44">
        <f>IFERROR(MATCH(367,$R$5:$R$4999,0),"")</f>
      </c>
    </row>
    <row r="375" s="44" customFormat="1" spans="1:23">
      <c r="A375" s="116">
        <f>IF($S375="","",INDEX(数据录入!$B$5:$B$4999,$S375))</f>
      </c>
      <c r="B375" s="44">
        <f>IF($S375="","",INDEX(数据录入!$C$5:$C$4999,$S375)&amp;"")</f>
      </c>
      <c r="C375" s="165">
        <f>IF($S375="","",IF(N($F375)&gt;0,"收款",IF(N($G375)&gt;0,"付款","")))</f>
      </c>
      <c r="D375" s="44">
        <f>IF($S375="","",IF((INDEX(数据录入!$I$5:$I$4999,$S375)&amp;"")&lt;&gt;"",INDEX(数据录入!$I$5:$I$4999,$S375)&amp;"",INDEX(数据录入!$J$5:$J$4999,$S375)&amp;""))</f>
      </c>
      <c r="E375" s="108">
        <f>IF($S375="","",INDEX(数据录入!$E$5:$E$4999,$S375)&amp;"")</f>
      </c>
      <c r="F375" s="114">
        <f>IF($S375="","",N(INDEX(数据录入!$F$5:$F$4999,$S375)))</f>
      </c>
      <c r="G375" s="114">
        <f>IF($S375="","",N(INDEX(数据录入!$G$5:$G$4999,$S375)))</f>
      </c>
      <c r="H375" s="114">
        <f>IF($S375="","",$G$2+SUM($F$8:$F375)-SUM($G$8:$G375))</f>
      </c>
      <c r="Q375" s="44">
        <f>IF(数据录入!$B375="",0,IF(OR(数据录入!$D375="投标保证金",数据录入!$D375="合同履约保证金",ISNUMBER(FIND("保证金",数据录入!$E375))),1,0))</f>
      </c>
      <c r="R375" s="44">
        <f>IF(AND($Q375=1,数据录入!$B375&gt;=$B$2,数据录入!$B375&lt;=$D$2),N(R374)+1,N(R374))</f>
      </c>
      <c r="S375" s="44">
        <f>IFERROR(MATCH(368,$R$5:$R$4999,0),"")</f>
      </c>
    </row>
    <row r="376" s="44" customFormat="1" spans="1:23">
      <c r="A376" s="116">
        <f>IF($S376="","",INDEX(数据录入!$B$5:$B$4999,$S376))</f>
      </c>
      <c r="B376" s="44">
        <f>IF($S376="","",INDEX(数据录入!$C$5:$C$4999,$S376)&amp;"")</f>
      </c>
      <c r="C376" s="165">
        <f>IF($S376="","",IF(N($F376)&gt;0,"收款",IF(N($G376)&gt;0,"付款","")))</f>
      </c>
      <c r="D376" s="44">
        <f>IF($S376="","",IF((INDEX(数据录入!$I$5:$I$4999,$S376)&amp;"")&lt;&gt;"",INDEX(数据录入!$I$5:$I$4999,$S376)&amp;"",INDEX(数据录入!$J$5:$J$4999,$S376)&amp;""))</f>
      </c>
      <c r="E376" s="108">
        <f>IF($S376="","",INDEX(数据录入!$E$5:$E$4999,$S376)&amp;"")</f>
      </c>
      <c r="F376" s="114">
        <f>IF($S376="","",N(INDEX(数据录入!$F$5:$F$4999,$S376)))</f>
      </c>
      <c r="G376" s="114">
        <f>IF($S376="","",N(INDEX(数据录入!$G$5:$G$4999,$S376)))</f>
      </c>
      <c r="H376" s="114">
        <f>IF($S376="","",$G$2+SUM($F$8:$F376)-SUM($G$8:$G376))</f>
      </c>
      <c r="Q376" s="44">
        <f>IF(数据录入!$B376="",0,IF(OR(数据录入!$D376="投标保证金",数据录入!$D376="合同履约保证金",ISNUMBER(FIND("保证金",数据录入!$E376))),1,0))</f>
      </c>
      <c r="R376" s="44">
        <f>IF(AND($Q376=1,数据录入!$B376&gt;=$B$2,数据录入!$B376&lt;=$D$2),N(R375)+1,N(R375))</f>
      </c>
      <c r="S376" s="44">
        <f>IFERROR(MATCH(369,$R$5:$R$4999,0),"")</f>
      </c>
    </row>
    <row r="377" s="44" customFormat="1" spans="1:23">
      <c r="A377" s="116">
        <f>IF($S377="","",INDEX(数据录入!$B$5:$B$4999,$S377))</f>
      </c>
      <c r="B377" s="44">
        <f>IF($S377="","",INDEX(数据录入!$C$5:$C$4999,$S377)&amp;"")</f>
      </c>
      <c r="C377" s="165">
        <f>IF($S377="","",IF(N($F377)&gt;0,"收款",IF(N($G377)&gt;0,"付款","")))</f>
      </c>
      <c r="D377" s="44">
        <f>IF($S377="","",IF((INDEX(数据录入!$I$5:$I$4999,$S377)&amp;"")&lt;&gt;"",INDEX(数据录入!$I$5:$I$4999,$S377)&amp;"",INDEX(数据录入!$J$5:$J$4999,$S377)&amp;""))</f>
      </c>
      <c r="E377" s="108">
        <f>IF($S377="","",INDEX(数据录入!$E$5:$E$4999,$S377)&amp;"")</f>
      </c>
      <c r="F377" s="114">
        <f>IF($S377="","",N(INDEX(数据录入!$F$5:$F$4999,$S377)))</f>
      </c>
      <c r="G377" s="114">
        <f>IF($S377="","",N(INDEX(数据录入!$G$5:$G$4999,$S377)))</f>
      </c>
      <c r="H377" s="114">
        <f>IF($S377="","",$G$2+SUM($F$8:$F377)-SUM($G$8:$G377))</f>
      </c>
      <c r="Q377" s="44">
        <f>IF(数据录入!$B377="",0,IF(OR(数据录入!$D377="投标保证金",数据录入!$D377="合同履约保证金",ISNUMBER(FIND("保证金",数据录入!$E377))),1,0))</f>
      </c>
      <c r="R377" s="44">
        <f>IF(AND($Q377=1,数据录入!$B377&gt;=$B$2,数据录入!$B377&lt;=$D$2),N(R376)+1,N(R376))</f>
      </c>
      <c r="S377" s="44">
        <f>IFERROR(MATCH(370,$R$5:$R$4999,0),"")</f>
      </c>
    </row>
    <row r="378" s="44" customFormat="1" spans="1:23">
      <c r="A378" s="116">
        <f>IF($S378="","",INDEX(数据录入!$B$5:$B$4999,$S378))</f>
      </c>
      <c r="B378" s="44">
        <f>IF($S378="","",INDEX(数据录入!$C$5:$C$4999,$S378)&amp;"")</f>
      </c>
      <c r="C378" s="165">
        <f>IF($S378="","",IF(N($F378)&gt;0,"收款",IF(N($G378)&gt;0,"付款","")))</f>
      </c>
      <c r="D378" s="44">
        <f>IF($S378="","",IF((INDEX(数据录入!$I$5:$I$4999,$S378)&amp;"")&lt;&gt;"",INDEX(数据录入!$I$5:$I$4999,$S378)&amp;"",INDEX(数据录入!$J$5:$J$4999,$S378)&amp;""))</f>
      </c>
      <c r="E378" s="108">
        <f>IF($S378="","",INDEX(数据录入!$E$5:$E$4999,$S378)&amp;"")</f>
      </c>
      <c r="F378" s="114">
        <f>IF($S378="","",N(INDEX(数据录入!$F$5:$F$4999,$S378)))</f>
      </c>
      <c r="G378" s="114">
        <f>IF($S378="","",N(INDEX(数据录入!$G$5:$G$4999,$S378)))</f>
      </c>
      <c r="H378" s="114">
        <f>IF($S378="","",$G$2+SUM($F$8:$F378)-SUM($G$8:$G378))</f>
      </c>
      <c r="Q378" s="44">
        <f>IF(数据录入!$B378="",0,IF(OR(数据录入!$D378="投标保证金",数据录入!$D378="合同履约保证金",ISNUMBER(FIND("保证金",数据录入!$E378))),1,0))</f>
      </c>
      <c r="R378" s="44">
        <f>IF(AND($Q378=1,数据录入!$B378&gt;=$B$2,数据录入!$B378&lt;=$D$2),N(R377)+1,N(R377))</f>
      </c>
      <c r="S378" s="44">
        <f>IFERROR(MATCH(371,$R$5:$R$4999,0),"")</f>
      </c>
    </row>
    <row r="379" s="44" customFormat="1" spans="1:23">
      <c r="A379" s="116">
        <f>IF($S379="","",INDEX(数据录入!$B$5:$B$4999,$S379))</f>
      </c>
      <c r="B379" s="44">
        <f>IF($S379="","",INDEX(数据录入!$C$5:$C$4999,$S379)&amp;"")</f>
      </c>
      <c r="C379" s="165">
        <f>IF($S379="","",IF(N($F379)&gt;0,"收款",IF(N($G379)&gt;0,"付款","")))</f>
      </c>
      <c r="D379" s="44">
        <f>IF($S379="","",IF((INDEX(数据录入!$I$5:$I$4999,$S379)&amp;"")&lt;&gt;"",INDEX(数据录入!$I$5:$I$4999,$S379)&amp;"",INDEX(数据录入!$J$5:$J$4999,$S379)&amp;""))</f>
      </c>
      <c r="E379" s="108">
        <f>IF($S379="","",INDEX(数据录入!$E$5:$E$4999,$S379)&amp;"")</f>
      </c>
      <c r="F379" s="114">
        <f>IF($S379="","",N(INDEX(数据录入!$F$5:$F$4999,$S379)))</f>
      </c>
      <c r="G379" s="114">
        <f>IF($S379="","",N(INDEX(数据录入!$G$5:$G$4999,$S379)))</f>
      </c>
      <c r="H379" s="114">
        <f>IF($S379="","",$G$2+SUM($F$8:$F379)-SUM($G$8:$G379))</f>
      </c>
      <c r="Q379" s="44">
        <f>IF(数据录入!$B379="",0,IF(OR(数据录入!$D379="投标保证金",数据录入!$D379="合同履约保证金",ISNUMBER(FIND("保证金",数据录入!$E379))),1,0))</f>
      </c>
      <c r="R379" s="44">
        <f>IF(AND($Q379=1,数据录入!$B379&gt;=$B$2,数据录入!$B379&lt;=$D$2),N(R378)+1,N(R378))</f>
      </c>
      <c r="S379" s="44">
        <f>IFERROR(MATCH(372,$R$5:$R$4999,0),"")</f>
      </c>
    </row>
    <row r="380" s="44" customFormat="1" spans="1:23">
      <c r="A380" s="116">
        <f>IF($S380="","",INDEX(数据录入!$B$5:$B$4999,$S380))</f>
      </c>
      <c r="B380" s="44">
        <f>IF($S380="","",INDEX(数据录入!$C$5:$C$4999,$S380)&amp;"")</f>
      </c>
      <c r="C380" s="165">
        <f>IF($S380="","",IF(N($F380)&gt;0,"收款",IF(N($G380)&gt;0,"付款","")))</f>
      </c>
      <c r="D380" s="44">
        <f>IF($S380="","",IF((INDEX(数据录入!$I$5:$I$4999,$S380)&amp;"")&lt;&gt;"",INDEX(数据录入!$I$5:$I$4999,$S380)&amp;"",INDEX(数据录入!$J$5:$J$4999,$S380)&amp;""))</f>
      </c>
      <c r="E380" s="108">
        <f>IF($S380="","",INDEX(数据录入!$E$5:$E$4999,$S380)&amp;"")</f>
      </c>
      <c r="F380" s="114">
        <f>IF($S380="","",N(INDEX(数据录入!$F$5:$F$4999,$S380)))</f>
      </c>
      <c r="G380" s="114">
        <f>IF($S380="","",N(INDEX(数据录入!$G$5:$G$4999,$S380)))</f>
      </c>
      <c r="H380" s="114">
        <f>IF($S380="","",$G$2+SUM($F$8:$F380)-SUM($G$8:$G380))</f>
      </c>
      <c r="Q380" s="44">
        <f>IF(数据录入!$B380="",0,IF(OR(数据录入!$D380="投标保证金",数据录入!$D380="合同履约保证金",ISNUMBER(FIND("保证金",数据录入!$E380))),1,0))</f>
      </c>
      <c r="R380" s="44">
        <f>IF(AND($Q380=1,数据录入!$B380&gt;=$B$2,数据录入!$B380&lt;=$D$2),N(R379)+1,N(R379))</f>
      </c>
      <c r="S380" s="44">
        <f>IFERROR(MATCH(373,$R$5:$R$4999,0),"")</f>
      </c>
    </row>
    <row r="381" s="44" customFormat="1" spans="1:23">
      <c r="A381" s="116">
        <f>IF($S381="","",INDEX(数据录入!$B$5:$B$4999,$S381))</f>
      </c>
      <c r="B381" s="44">
        <f>IF($S381="","",INDEX(数据录入!$C$5:$C$4999,$S381)&amp;"")</f>
      </c>
      <c r="C381" s="165">
        <f>IF($S381="","",IF(N($F381)&gt;0,"收款",IF(N($G381)&gt;0,"付款","")))</f>
      </c>
      <c r="D381" s="44">
        <f>IF($S381="","",IF((INDEX(数据录入!$I$5:$I$4999,$S381)&amp;"")&lt;&gt;"",INDEX(数据录入!$I$5:$I$4999,$S381)&amp;"",INDEX(数据录入!$J$5:$J$4999,$S381)&amp;""))</f>
      </c>
      <c r="E381" s="108">
        <f>IF($S381="","",INDEX(数据录入!$E$5:$E$4999,$S381)&amp;"")</f>
      </c>
      <c r="F381" s="114">
        <f>IF($S381="","",N(INDEX(数据录入!$F$5:$F$4999,$S381)))</f>
      </c>
      <c r="G381" s="114">
        <f>IF($S381="","",N(INDEX(数据录入!$G$5:$G$4999,$S381)))</f>
      </c>
      <c r="H381" s="114">
        <f>IF($S381="","",$G$2+SUM($F$8:$F381)-SUM($G$8:$G381))</f>
      </c>
      <c r="Q381" s="44">
        <f>IF(数据录入!$B381="",0,IF(OR(数据录入!$D381="投标保证金",数据录入!$D381="合同履约保证金",ISNUMBER(FIND("保证金",数据录入!$E381))),1,0))</f>
      </c>
      <c r="R381" s="44">
        <f>IF(AND($Q381=1,数据录入!$B381&gt;=$B$2,数据录入!$B381&lt;=$D$2),N(R380)+1,N(R380))</f>
      </c>
      <c r="S381" s="44">
        <f>IFERROR(MATCH(374,$R$5:$R$4999,0),"")</f>
      </c>
    </row>
    <row r="382" s="44" customFormat="1" spans="1:23">
      <c r="A382" s="116">
        <f>IF($S382="","",INDEX(数据录入!$B$5:$B$4999,$S382))</f>
      </c>
      <c r="B382" s="44">
        <f>IF($S382="","",INDEX(数据录入!$C$5:$C$4999,$S382)&amp;"")</f>
      </c>
      <c r="C382" s="165">
        <f>IF($S382="","",IF(N($F382)&gt;0,"收款",IF(N($G382)&gt;0,"付款","")))</f>
      </c>
      <c r="D382" s="44">
        <f>IF($S382="","",IF((INDEX(数据录入!$I$5:$I$4999,$S382)&amp;"")&lt;&gt;"",INDEX(数据录入!$I$5:$I$4999,$S382)&amp;"",INDEX(数据录入!$J$5:$J$4999,$S382)&amp;""))</f>
      </c>
      <c r="E382" s="108">
        <f>IF($S382="","",INDEX(数据录入!$E$5:$E$4999,$S382)&amp;"")</f>
      </c>
      <c r="F382" s="114">
        <f>IF($S382="","",N(INDEX(数据录入!$F$5:$F$4999,$S382)))</f>
      </c>
      <c r="G382" s="114">
        <f>IF($S382="","",N(INDEX(数据录入!$G$5:$G$4999,$S382)))</f>
      </c>
      <c r="H382" s="114">
        <f>IF($S382="","",$G$2+SUM($F$8:$F382)-SUM($G$8:$G382))</f>
      </c>
      <c r="Q382" s="44">
        <f>IF(数据录入!$B382="",0,IF(OR(数据录入!$D382="投标保证金",数据录入!$D382="合同履约保证金",ISNUMBER(FIND("保证金",数据录入!$E382))),1,0))</f>
      </c>
      <c r="R382" s="44">
        <f>IF(AND($Q382=1,数据录入!$B382&gt;=$B$2,数据录入!$B382&lt;=$D$2),N(R381)+1,N(R381))</f>
      </c>
      <c r="S382" s="44">
        <f>IFERROR(MATCH(375,$R$5:$R$4999,0),"")</f>
      </c>
    </row>
    <row r="383" s="44" customFormat="1" spans="1:23">
      <c r="A383" s="116">
        <f>IF($S383="","",INDEX(数据录入!$B$5:$B$4999,$S383))</f>
      </c>
      <c r="B383" s="44">
        <f>IF($S383="","",INDEX(数据录入!$C$5:$C$4999,$S383)&amp;"")</f>
      </c>
      <c r="C383" s="165">
        <f>IF($S383="","",IF(N($F383)&gt;0,"收款",IF(N($G383)&gt;0,"付款","")))</f>
      </c>
      <c r="D383" s="44">
        <f>IF($S383="","",IF((INDEX(数据录入!$I$5:$I$4999,$S383)&amp;"")&lt;&gt;"",INDEX(数据录入!$I$5:$I$4999,$S383)&amp;"",INDEX(数据录入!$J$5:$J$4999,$S383)&amp;""))</f>
      </c>
      <c r="E383" s="108">
        <f>IF($S383="","",INDEX(数据录入!$E$5:$E$4999,$S383)&amp;"")</f>
      </c>
      <c r="F383" s="114">
        <f>IF($S383="","",N(INDEX(数据录入!$F$5:$F$4999,$S383)))</f>
      </c>
      <c r="G383" s="114">
        <f>IF($S383="","",N(INDEX(数据录入!$G$5:$G$4999,$S383)))</f>
      </c>
      <c r="H383" s="114">
        <f>IF($S383="","",$G$2+SUM($F$8:$F383)-SUM($G$8:$G383))</f>
      </c>
      <c r="Q383" s="44">
        <f>IF(数据录入!$B383="",0,IF(OR(数据录入!$D383="投标保证金",数据录入!$D383="合同履约保证金",ISNUMBER(FIND("保证金",数据录入!$E383))),1,0))</f>
      </c>
      <c r="R383" s="44">
        <f>IF(AND($Q383=1,数据录入!$B383&gt;=$B$2,数据录入!$B383&lt;=$D$2),N(R382)+1,N(R382))</f>
      </c>
      <c r="S383" s="44">
        <f>IFERROR(MATCH(376,$R$5:$R$4999,0),"")</f>
      </c>
    </row>
    <row r="384" s="44" customFormat="1" spans="1:23">
      <c r="A384" s="116">
        <f>IF($S384="","",INDEX(数据录入!$B$5:$B$4999,$S384))</f>
      </c>
      <c r="B384" s="44">
        <f>IF($S384="","",INDEX(数据录入!$C$5:$C$4999,$S384)&amp;"")</f>
      </c>
      <c r="C384" s="165">
        <f>IF($S384="","",IF(N($F384)&gt;0,"收款",IF(N($G384)&gt;0,"付款","")))</f>
      </c>
      <c r="D384" s="44">
        <f>IF($S384="","",IF((INDEX(数据录入!$I$5:$I$4999,$S384)&amp;"")&lt;&gt;"",INDEX(数据录入!$I$5:$I$4999,$S384)&amp;"",INDEX(数据录入!$J$5:$J$4999,$S384)&amp;""))</f>
      </c>
      <c r="E384" s="108">
        <f>IF($S384="","",INDEX(数据录入!$E$5:$E$4999,$S384)&amp;"")</f>
      </c>
      <c r="F384" s="114">
        <f>IF($S384="","",N(INDEX(数据录入!$F$5:$F$4999,$S384)))</f>
      </c>
      <c r="G384" s="114">
        <f>IF($S384="","",N(INDEX(数据录入!$G$5:$G$4999,$S384)))</f>
      </c>
      <c r="H384" s="114">
        <f>IF($S384="","",$G$2+SUM($F$8:$F384)-SUM($G$8:$G384))</f>
      </c>
      <c r="Q384" s="44">
        <f>IF(数据录入!$B384="",0,IF(OR(数据录入!$D384="投标保证金",数据录入!$D384="合同履约保证金",ISNUMBER(FIND("保证金",数据录入!$E384))),1,0))</f>
      </c>
      <c r="R384" s="44">
        <f>IF(AND($Q384=1,数据录入!$B384&gt;=$B$2,数据录入!$B384&lt;=$D$2),N(R383)+1,N(R383))</f>
      </c>
      <c r="S384" s="44">
        <f>IFERROR(MATCH(377,$R$5:$R$4999,0),"")</f>
      </c>
    </row>
    <row r="385" s="44" customFormat="1" spans="1:23">
      <c r="A385" s="116">
        <f>IF($S385="","",INDEX(数据录入!$B$5:$B$4999,$S385))</f>
      </c>
      <c r="B385" s="44">
        <f>IF($S385="","",INDEX(数据录入!$C$5:$C$4999,$S385)&amp;"")</f>
      </c>
      <c r="C385" s="165">
        <f>IF($S385="","",IF(N($F385)&gt;0,"收款",IF(N($G385)&gt;0,"付款","")))</f>
      </c>
      <c r="D385" s="44">
        <f>IF($S385="","",IF((INDEX(数据录入!$I$5:$I$4999,$S385)&amp;"")&lt;&gt;"",INDEX(数据录入!$I$5:$I$4999,$S385)&amp;"",INDEX(数据录入!$J$5:$J$4999,$S385)&amp;""))</f>
      </c>
      <c r="E385" s="108">
        <f>IF($S385="","",INDEX(数据录入!$E$5:$E$4999,$S385)&amp;"")</f>
      </c>
      <c r="F385" s="114">
        <f>IF($S385="","",N(INDEX(数据录入!$F$5:$F$4999,$S385)))</f>
      </c>
      <c r="G385" s="114">
        <f>IF($S385="","",N(INDEX(数据录入!$G$5:$G$4999,$S385)))</f>
      </c>
      <c r="H385" s="114">
        <f>IF($S385="","",$G$2+SUM($F$8:$F385)-SUM($G$8:$G385))</f>
      </c>
      <c r="Q385" s="44">
        <f>IF(数据录入!$B385="",0,IF(OR(数据录入!$D385="投标保证金",数据录入!$D385="合同履约保证金",ISNUMBER(FIND("保证金",数据录入!$E385))),1,0))</f>
      </c>
      <c r="R385" s="44">
        <f>IF(AND($Q385=1,数据录入!$B385&gt;=$B$2,数据录入!$B385&lt;=$D$2),N(R384)+1,N(R384))</f>
      </c>
      <c r="S385" s="44">
        <f>IFERROR(MATCH(378,$R$5:$R$4999,0),"")</f>
      </c>
    </row>
    <row r="386" s="44" customFormat="1" spans="1:23">
      <c r="A386" s="116">
        <f>IF($S386="","",INDEX(数据录入!$B$5:$B$4999,$S386))</f>
      </c>
      <c r="B386" s="44">
        <f>IF($S386="","",INDEX(数据录入!$C$5:$C$4999,$S386)&amp;"")</f>
      </c>
      <c r="C386" s="165">
        <f>IF($S386="","",IF(N($F386)&gt;0,"收款",IF(N($G386)&gt;0,"付款","")))</f>
      </c>
      <c r="D386" s="44">
        <f>IF($S386="","",IF((INDEX(数据录入!$I$5:$I$4999,$S386)&amp;"")&lt;&gt;"",INDEX(数据录入!$I$5:$I$4999,$S386)&amp;"",INDEX(数据录入!$J$5:$J$4999,$S386)&amp;""))</f>
      </c>
      <c r="E386" s="108">
        <f>IF($S386="","",INDEX(数据录入!$E$5:$E$4999,$S386)&amp;"")</f>
      </c>
      <c r="F386" s="114">
        <f>IF($S386="","",N(INDEX(数据录入!$F$5:$F$4999,$S386)))</f>
      </c>
      <c r="G386" s="114">
        <f>IF($S386="","",N(INDEX(数据录入!$G$5:$G$4999,$S386)))</f>
      </c>
      <c r="H386" s="114">
        <f>IF($S386="","",$G$2+SUM($F$8:$F386)-SUM($G$8:$G386))</f>
      </c>
      <c r="Q386" s="44">
        <f>IF(数据录入!$B386="",0,IF(OR(数据录入!$D386="投标保证金",数据录入!$D386="合同履约保证金",ISNUMBER(FIND("保证金",数据录入!$E386))),1,0))</f>
      </c>
      <c r="R386" s="44">
        <f>IF(AND($Q386=1,数据录入!$B386&gt;=$B$2,数据录入!$B386&lt;=$D$2),N(R385)+1,N(R385))</f>
      </c>
      <c r="S386" s="44">
        <f>IFERROR(MATCH(379,$R$5:$R$4999,0),"")</f>
      </c>
    </row>
    <row r="387" s="44" customFormat="1" spans="1:23">
      <c r="A387" s="116">
        <f>IF($S387="","",INDEX(数据录入!$B$5:$B$4999,$S387))</f>
      </c>
      <c r="B387" s="44">
        <f>IF($S387="","",INDEX(数据录入!$C$5:$C$4999,$S387)&amp;"")</f>
      </c>
      <c r="C387" s="165">
        <f>IF($S387="","",IF(N($F387)&gt;0,"收款",IF(N($G387)&gt;0,"付款","")))</f>
      </c>
      <c r="D387" s="44">
        <f>IF($S387="","",IF((INDEX(数据录入!$I$5:$I$4999,$S387)&amp;"")&lt;&gt;"",INDEX(数据录入!$I$5:$I$4999,$S387)&amp;"",INDEX(数据录入!$J$5:$J$4999,$S387)&amp;""))</f>
      </c>
      <c r="E387" s="108">
        <f>IF($S387="","",INDEX(数据录入!$E$5:$E$4999,$S387)&amp;"")</f>
      </c>
      <c r="F387" s="114">
        <f>IF($S387="","",N(INDEX(数据录入!$F$5:$F$4999,$S387)))</f>
      </c>
      <c r="G387" s="114">
        <f>IF($S387="","",N(INDEX(数据录入!$G$5:$G$4999,$S387)))</f>
      </c>
      <c r="H387" s="114">
        <f>IF($S387="","",$G$2+SUM($F$8:$F387)-SUM($G$8:$G387))</f>
      </c>
      <c r="Q387" s="44">
        <f>IF(数据录入!$B387="",0,IF(OR(数据录入!$D387="投标保证金",数据录入!$D387="合同履约保证金",ISNUMBER(FIND("保证金",数据录入!$E387))),1,0))</f>
      </c>
      <c r="R387" s="44">
        <f>IF(AND($Q387=1,数据录入!$B387&gt;=$B$2,数据录入!$B387&lt;=$D$2),N(R386)+1,N(R386))</f>
      </c>
      <c r="S387" s="44">
        <f>IFERROR(MATCH(380,$R$5:$R$4999,0),"")</f>
      </c>
    </row>
    <row r="388" s="44" customFormat="1" spans="1:23">
      <c r="A388" s="116">
        <f>IF($S388="","",INDEX(数据录入!$B$5:$B$4999,$S388))</f>
      </c>
      <c r="B388" s="44">
        <f>IF($S388="","",INDEX(数据录入!$C$5:$C$4999,$S388)&amp;"")</f>
      </c>
      <c r="C388" s="165">
        <f>IF($S388="","",IF(N($F388)&gt;0,"收款",IF(N($G388)&gt;0,"付款","")))</f>
      </c>
      <c r="D388" s="44">
        <f>IF($S388="","",IF((INDEX(数据录入!$I$5:$I$4999,$S388)&amp;"")&lt;&gt;"",INDEX(数据录入!$I$5:$I$4999,$S388)&amp;"",INDEX(数据录入!$J$5:$J$4999,$S388)&amp;""))</f>
      </c>
      <c r="E388" s="108">
        <f>IF($S388="","",INDEX(数据录入!$E$5:$E$4999,$S388)&amp;"")</f>
      </c>
      <c r="F388" s="114">
        <f>IF($S388="","",N(INDEX(数据录入!$F$5:$F$4999,$S388)))</f>
      </c>
      <c r="G388" s="114">
        <f>IF($S388="","",N(INDEX(数据录入!$G$5:$G$4999,$S388)))</f>
      </c>
      <c r="H388" s="114">
        <f>IF($S388="","",$G$2+SUM($F$8:$F388)-SUM($G$8:$G388))</f>
      </c>
      <c r="Q388" s="44">
        <f>IF(数据录入!$B388="",0,IF(OR(数据录入!$D388="投标保证金",数据录入!$D388="合同履约保证金",ISNUMBER(FIND("保证金",数据录入!$E388))),1,0))</f>
      </c>
      <c r="R388" s="44">
        <f>IF(AND($Q388=1,数据录入!$B388&gt;=$B$2,数据录入!$B388&lt;=$D$2),N(R387)+1,N(R387))</f>
      </c>
      <c r="S388" s="44">
        <f>IFERROR(MATCH(381,$R$5:$R$4999,0),"")</f>
      </c>
    </row>
    <row r="389" s="44" customFormat="1" spans="1:23">
      <c r="A389" s="116">
        <f>IF($S389="","",INDEX(数据录入!$B$5:$B$4999,$S389))</f>
      </c>
      <c r="B389" s="44">
        <f>IF($S389="","",INDEX(数据录入!$C$5:$C$4999,$S389)&amp;"")</f>
      </c>
      <c r="C389" s="165">
        <f>IF($S389="","",IF(N($F389)&gt;0,"收款",IF(N($G389)&gt;0,"付款","")))</f>
      </c>
      <c r="D389" s="44">
        <f>IF($S389="","",IF((INDEX(数据录入!$I$5:$I$4999,$S389)&amp;"")&lt;&gt;"",INDEX(数据录入!$I$5:$I$4999,$S389)&amp;"",INDEX(数据录入!$J$5:$J$4999,$S389)&amp;""))</f>
      </c>
      <c r="E389" s="108">
        <f>IF($S389="","",INDEX(数据录入!$E$5:$E$4999,$S389)&amp;"")</f>
      </c>
      <c r="F389" s="114">
        <f>IF($S389="","",N(INDEX(数据录入!$F$5:$F$4999,$S389)))</f>
      </c>
      <c r="G389" s="114">
        <f>IF($S389="","",N(INDEX(数据录入!$G$5:$G$4999,$S389)))</f>
      </c>
      <c r="H389" s="114">
        <f>IF($S389="","",$G$2+SUM($F$8:$F389)-SUM($G$8:$G389))</f>
      </c>
      <c r="Q389" s="44">
        <f>IF(数据录入!$B389="",0,IF(OR(数据录入!$D389="投标保证金",数据录入!$D389="合同履约保证金",ISNUMBER(FIND("保证金",数据录入!$E389))),1,0))</f>
      </c>
      <c r="R389" s="44">
        <f>IF(AND($Q389=1,数据录入!$B389&gt;=$B$2,数据录入!$B389&lt;=$D$2),N(R388)+1,N(R388))</f>
      </c>
      <c r="S389" s="44">
        <f>IFERROR(MATCH(382,$R$5:$R$4999,0),"")</f>
      </c>
    </row>
    <row r="390" s="44" customFormat="1" spans="1:23">
      <c r="A390" s="116">
        <f>IF($S390="","",INDEX(数据录入!$B$5:$B$4999,$S390))</f>
      </c>
      <c r="B390" s="44">
        <f>IF($S390="","",INDEX(数据录入!$C$5:$C$4999,$S390)&amp;"")</f>
      </c>
      <c r="C390" s="165">
        <f>IF($S390="","",IF(N($F390)&gt;0,"收款",IF(N($G390)&gt;0,"付款","")))</f>
      </c>
      <c r="D390" s="44">
        <f>IF($S390="","",IF((INDEX(数据录入!$I$5:$I$4999,$S390)&amp;"")&lt;&gt;"",INDEX(数据录入!$I$5:$I$4999,$S390)&amp;"",INDEX(数据录入!$J$5:$J$4999,$S390)&amp;""))</f>
      </c>
      <c r="E390" s="108">
        <f>IF($S390="","",INDEX(数据录入!$E$5:$E$4999,$S390)&amp;"")</f>
      </c>
      <c r="F390" s="114">
        <f>IF($S390="","",N(INDEX(数据录入!$F$5:$F$4999,$S390)))</f>
      </c>
      <c r="G390" s="114">
        <f>IF($S390="","",N(INDEX(数据录入!$G$5:$G$4999,$S390)))</f>
      </c>
      <c r="H390" s="114">
        <f>IF($S390="","",$G$2+SUM($F$8:$F390)-SUM($G$8:$G390))</f>
      </c>
      <c r="Q390" s="44">
        <f>IF(数据录入!$B390="",0,IF(OR(数据录入!$D390="投标保证金",数据录入!$D390="合同履约保证金",ISNUMBER(FIND("保证金",数据录入!$E390))),1,0))</f>
      </c>
      <c r="R390" s="44">
        <f>IF(AND($Q390=1,数据录入!$B390&gt;=$B$2,数据录入!$B390&lt;=$D$2),N(R389)+1,N(R389))</f>
      </c>
      <c r="S390" s="44">
        <f>IFERROR(MATCH(383,$R$5:$R$4999,0),"")</f>
      </c>
    </row>
    <row r="391" s="44" customFormat="1" spans="1:23">
      <c r="A391" s="116">
        <f>IF($S391="","",INDEX(数据录入!$B$5:$B$4999,$S391))</f>
      </c>
      <c r="B391" s="44">
        <f>IF($S391="","",INDEX(数据录入!$C$5:$C$4999,$S391)&amp;"")</f>
      </c>
      <c r="C391" s="165">
        <f>IF($S391="","",IF(N($F391)&gt;0,"收款",IF(N($G391)&gt;0,"付款","")))</f>
      </c>
      <c r="D391" s="44">
        <f>IF($S391="","",IF((INDEX(数据录入!$I$5:$I$4999,$S391)&amp;"")&lt;&gt;"",INDEX(数据录入!$I$5:$I$4999,$S391)&amp;"",INDEX(数据录入!$J$5:$J$4999,$S391)&amp;""))</f>
      </c>
      <c r="E391" s="108">
        <f>IF($S391="","",INDEX(数据录入!$E$5:$E$4999,$S391)&amp;"")</f>
      </c>
      <c r="F391" s="114">
        <f>IF($S391="","",N(INDEX(数据录入!$F$5:$F$4999,$S391)))</f>
      </c>
      <c r="G391" s="114">
        <f>IF($S391="","",N(INDEX(数据录入!$G$5:$G$4999,$S391)))</f>
      </c>
      <c r="H391" s="114">
        <f>IF($S391="","",$G$2+SUM($F$8:$F391)-SUM($G$8:$G391))</f>
      </c>
      <c r="Q391" s="44">
        <f>IF(数据录入!$B391="",0,IF(OR(数据录入!$D391="投标保证金",数据录入!$D391="合同履约保证金",ISNUMBER(FIND("保证金",数据录入!$E391))),1,0))</f>
      </c>
      <c r="R391" s="44">
        <f>IF(AND($Q391=1,数据录入!$B391&gt;=$B$2,数据录入!$B391&lt;=$D$2),N(R390)+1,N(R390))</f>
      </c>
      <c r="S391" s="44">
        <f>IFERROR(MATCH(384,$R$5:$R$4999,0),"")</f>
      </c>
    </row>
    <row r="392" s="44" customFormat="1" spans="1:23">
      <c r="A392" s="116">
        <f>IF($S392="","",INDEX(数据录入!$B$5:$B$4999,$S392))</f>
      </c>
      <c r="B392" s="44">
        <f>IF($S392="","",INDEX(数据录入!$C$5:$C$4999,$S392)&amp;"")</f>
      </c>
      <c r="C392" s="165">
        <f>IF($S392="","",IF(N($F392)&gt;0,"收款",IF(N($G392)&gt;0,"付款","")))</f>
      </c>
      <c r="D392" s="44">
        <f>IF($S392="","",IF((INDEX(数据录入!$I$5:$I$4999,$S392)&amp;"")&lt;&gt;"",INDEX(数据录入!$I$5:$I$4999,$S392)&amp;"",INDEX(数据录入!$J$5:$J$4999,$S392)&amp;""))</f>
      </c>
      <c r="E392" s="108">
        <f>IF($S392="","",INDEX(数据录入!$E$5:$E$4999,$S392)&amp;"")</f>
      </c>
      <c r="F392" s="114">
        <f>IF($S392="","",N(INDEX(数据录入!$F$5:$F$4999,$S392)))</f>
      </c>
      <c r="G392" s="114">
        <f>IF($S392="","",N(INDEX(数据录入!$G$5:$G$4999,$S392)))</f>
      </c>
      <c r="H392" s="114">
        <f>IF($S392="","",$G$2+SUM($F$8:$F392)-SUM($G$8:$G392))</f>
      </c>
      <c r="Q392" s="44">
        <f>IF(数据录入!$B392="",0,IF(OR(数据录入!$D392="投标保证金",数据录入!$D392="合同履约保证金",ISNUMBER(FIND("保证金",数据录入!$E392))),1,0))</f>
      </c>
      <c r="R392" s="44">
        <f>IF(AND($Q392=1,数据录入!$B392&gt;=$B$2,数据录入!$B392&lt;=$D$2),N(R391)+1,N(R391))</f>
      </c>
      <c r="S392" s="44">
        <f>IFERROR(MATCH(385,$R$5:$R$4999,0),"")</f>
      </c>
    </row>
    <row r="393" s="44" customFormat="1" spans="1:23">
      <c r="A393" s="116">
        <f>IF($S393="","",INDEX(数据录入!$B$5:$B$4999,$S393))</f>
      </c>
      <c r="B393" s="44">
        <f>IF($S393="","",INDEX(数据录入!$C$5:$C$4999,$S393)&amp;"")</f>
      </c>
      <c r="C393" s="165">
        <f>IF($S393="","",IF(N($F393)&gt;0,"收款",IF(N($G393)&gt;0,"付款","")))</f>
      </c>
      <c r="D393" s="44">
        <f>IF($S393="","",IF((INDEX(数据录入!$I$5:$I$4999,$S393)&amp;"")&lt;&gt;"",INDEX(数据录入!$I$5:$I$4999,$S393)&amp;"",INDEX(数据录入!$J$5:$J$4999,$S393)&amp;""))</f>
      </c>
      <c r="E393" s="108">
        <f>IF($S393="","",INDEX(数据录入!$E$5:$E$4999,$S393)&amp;"")</f>
      </c>
      <c r="F393" s="114">
        <f>IF($S393="","",N(INDEX(数据录入!$F$5:$F$4999,$S393)))</f>
      </c>
      <c r="G393" s="114">
        <f>IF($S393="","",N(INDEX(数据录入!$G$5:$G$4999,$S393)))</f>
      </c>
      <c r="H393" s="114">
        <f>IF($S393="","",$G$2+SUM($F$8:$F393)-SUM($G$8:$G393))</f>
      </c>
      <c r="Q393" s="44">
        <f>IF(数据录入!$B393="",0,IF(OR(数据录入!$D393="投标保证金",数据录入!$D393="合同履约保证金",ISNUMBER(FIND("保证金",数据录入!$E393))),1,0))</f>
      </c>
      <c r="R393" s="44">
        <f>IF(AND($Q393=1,数据录入!$B393&gt;=$B$2,数据录入!$B393&lt;=$D$2),N(R392)+1,N(R392))</f>
      </c>
      <c r="S393" s="44">
        <f>IFERROR(MATCH(386,$R$5:$R$4999,0),"")</f>
      </c>
    </row>
    <row r="394" s="44" customFormat="1" spans="1:23">
      <c r="A394" s="116">
        <f>IF($S394="","",INDEX(数据录入!$B$5:$B$4999,$S394))</f>
      </c>
      <c r="B394" s="44">
        <f>IF($S394="","",INDEX(数据录入!$C$5:$C$4999,$S394)&amp;"")</f>
      </c>
      <c r="C394" s="165">
        <f>IF($S394="","",IF(N($F394)&gt;0,"收款",IF(N($G394)&gt;0,"付款","")))</f>
      </c>
      <c r="D394" s="44">
        <f>IF($S394="","",IF((INDEX(数据录入!$I$5:$I$4999,$S394)&amp;"")&lt;&gt;"",INDEX(数据录入!$I$5:$I$4999,$S394)&amp;"",INDEX(数据录入!$J$5:$J$4999,$S394)&amp;""))</f>
      </c>
      <c r="E394" s="108">
        <f>IF($S394="","",INDEX(数据录入!$E$5:$E$4999,$S394)&amp;"")</f>
      </c>
      <c r="F394" s="114">
        <f>IF($S394="","",N(INDEX(数据录入!$F$5:$F$4999,$S394)))</f>
      </c>
      <c r="G394" s="114">
        <f>IF($S394="","",N(INDEX(数据录入!$G$5:$G$4999,$S394)))</f>
      </c>
      <c r="H394" s="114">
        <f>IF($S394="","",$G$2+SUM($F$8:$F394)-SUM($G$8:$G394))</f>
      </c>
      <c r="Q394" s="44">
        <f>IF(数据录入!$B394="",0,IF(OR(数据录入!$D394="投标保证金",数据录入!$D394="合同履约保证金",ISNUMBER(FIND("保证金",数据录入!$E394))),1,0))</f>
      </c>
      <c r="R394" s="44">
        <f>IF(AND($Q394=1,数据录入!$B394&gt;=$B$2,数据录入!$B394&lt;=$D$2),N(R393)+1,N(R393))</f>
      </c>
      <c r="S394" s="44">
        <f>IFERROR(MATCH(387,$R$5:$R$4999,0),"")</f>
      </c>
    </row>
    <row r="395" s="44" customFormat="1" spans="1:23">
      <c r="A395" s="116">
        <f>IF($S395="","",INDEX(数据录入!$B$5:$B$4999,$S395))</f>
      </c>
      <c r="B395" s="44">
        <f>IF($S395="","",INDEX(数据录入!$C$5:$C$4999,$S395)&amp;"")</f>
      </c>
      <c r="C395" s="165">
        <f>IF($S395="","",IF(N($F395)&gt;0,"收款",IF(N($G395)&gt;0,"付款","")))</f>
      </c>
      <c r="D395" s="44">
        <f>IF($S395="","",IF((INDEX(数据录入!$I$5:$I$4999,$S395)&amp;"")&lt;&gt;"",INDEX(数据录入!$I$5:$I$4999,$S395)&amp;"",INDEX(数据录入!$J$5:$J$4999,$S395)&amp;""))</f>
      </c>
      <c r="E395" s="108">
        <f>IF($S395="","",INDEX(数据录入!$E$5:$E$4999,$S395)&amp;"")</f>
      </c>
      <c r="F395" s="114">
        <f>IF($S395="","",N(INDEX(数据录入!$F$5:$F$4999,$S395)))</f>
      </c>
      <c r="G395" s="114">
        <f>IF($S395="","",N(INDEX(数据录入!$G$5:$G$4999,$S395)))</f>
      </c>
      <c r="H395" s="114">
        <f>IF($S395="","",$G$2+SUM($F$8:$F395)-SUM($G$8:$G395))</f>
      </c>
      <c r="Q395" s="44">
        <f>IF(数据录入!$B395="",0,IF(OR(数据录入!$D395="投标保证金",数据录入!$D395="合同履约保证金",ISNUMBER(FIND("保证金",数据录入!$E395))),1,0))</f>
      </c>
      <c r="R395" s="44">
        <f>IF(AND($Q395=1,数据录入!$B395&gt;=$B$2,数据录入!$B395&lt;=$D$2),N(R394)+1,N(R394))</f>
      </c>
      <c r="S395" s="44">
        <f>IFERROR(MATCH(388,$R$5:$R$4999,0),"")</f>
      </c>
    </row>
    <row r="396" s="44" customFormat="1" spans="1:23">
      <c r="A396" s="116">
        <f>IF($S396="","",INDEX(数据录入!$B$5:$B$4999,$S396))</f>
      </c>
      <c r="B396" s="44">
        <f>IF($S396="","",INDEX(数据录入!$C$5:$C$4999,$S396)&amp;"")</f>
      </c>
      <c r="C396" s="165">
        <f>IF($S396="","",IF(N($F396)&gt;0,"收款",IF(N($G396)&gt;0,"付款","")))</f>
      </c>
      <c r="D396" s="44">
        <f>IF($S396="","",IF((INDEX(数据录入!$I$5:$I$4999,$S396)&amp;"")&lt;&gt;"",INDEX(数据录入!$I$5:$I$4999,$S396)&amp;"",INDEX(数据录入!$J$5:$J$4999,$S396)&amp;""))</f>
      </c>
      <c r="E396" s="108">
        <f>IF($S396="","",INDEX(数据录入!$E$5:$E$4999,$S396)&amp;"")</f>
      </c>
      <c r="F396" s="114">
        <f>IF($S396="","",N(INDEX(数据录入!$F$5:$F$4999,$S396)))</f>
      </c>
      <c r="G396" s="114">
        <f>IF($S396="","",N(INDEX(数据录入!$G$5:$G$4999,$S396)))</f>
      </c>
      <c r="H396" s="114">
        <f>IF($S396="","",$G$2+SUM($F$8:$F396)-SUM($G$8:$G396))</f>
      </c>
      <c r="Q396" s="44">
        <f>IF(数据录入!$B396="",0,IF(OR(数据录入!$D396="投标保证金",数据录入!$D396="合同履约保证金",ISNUMBER(FIND("保证金",数据录入!$E396))),1,0))</f>
      </c>
      <c r="R396" s="44">
        <f>IF(AND($Q396=1,数据录入!$B396&gt;=$B$2,数据录入!$B396&lt;=$D$2),N(R395)+1,N(R395))</f>
      </c>
      <c r="S396" s="44">
        <f>IFERROR(MATCH(389,$R$5:$R$4999,0),"")</f>
      </c>
    </row>
    <row r="397" s="44" customFormat="1" spans="1:23">
      <c r="A397" s="116">
        <f>IF($S397="","",INDEX(数据录入!$B$5:$B$4999,$S397))</f>
      </c>
      <c r="B397" s="44">
        <f>IF($S397="","",INDEX(数据录入!$C$5:$C$4999,$S397)&amp;"")</f>
      </c>
      <c r="C397" s="165">
        <f>IF($S397="","",IF(N($F397)&gt;0,"收款",IF(N($G397)&gt;0,"付款","")))</f>
      </c>
      <c r="D397" s="44">
        <f>IF($S397="","",IF((INDEX(数据录入!$I$5:$I$4999,$S397)&amp;"")&lt;&gt;"",INDEX(数据录入!$I$5:$I$4999,$S397)&amp;"",INDEX(数据录入!$J$5:$J$4999,$S397)&amp;""))</f>
      </c>
      <c r="E397" s="108">
        <f>IF($S397="","",INDEX(数据录入!$E$5:$E$4999,$S397)&amp;"")</f>
      </c>
      <c r="F397" s="114">
        <f>IF($S397="","",N(INDEX(数据录入!$F$5:$F$4999,$S397)))</f>
      </c>
      <c r="G397" s="114">
        <f>IF($S397="","",N(INDEX(数据录入!$G$5:$G$4999,$S397)))</f>
      </c>
      <c r="H397" s="114">
        <f>IF($S397="","",$G$2+SUM($F$8:$F397)-SUM($G$8:$G397))</f>
      </c>
      <c r="Q397" s="44">
        <f>IF(数据录入!$B397="",0,IF(OR(数据录入!$D397="投标保证金",数据录入!$D397="合同履约保证金",ISNUMBER(FIND("保证金",数据录入!$E397))),1,0))</f>
      </c>
      <c r="R397" s="44">
        <f>IF(AND($Q397=1,数据录入!$B397&gt;=$B$2,数据录入!$B397&lt;=$D$2),N(R396)+1,N(R396))</f>
      </c>
      <c r="S397" s="44">
        <f>IFERROR(MATCH(390,$R$5:$R$4999,0),"")</f>
      </c>
    </row>
    <row r="398" s="44" customFormat="1" spans="1:23">
      <c r="A398" s="116">
        <f>IF($S398="","",INDEX(数据录入!$B$5:$B$4999,$S398))</f>
      </c>
      <c r="B398" s="44">
        <f>IF($S398="","",INDEX(数据录入!$C$5:$C$4999,$S398)&amp;"")</f>
      </c>
      <c r="C398" s="165">
        <f>IF($S398="","",IF(N($F398)&gt;0,"收款",IF(N($G398)&gt;0,"付款","")))</f>
      </c>
      <c r="D398" s="44">
        <f>IF($S398="","",IF((INDEX(数据录入!$I$5:$I$4999,$S398)&amp;"")&lt;&gt;"",INDEX(数据录入!$I$5:$I$4999,$S398)&amp;"",INDEX(数据录入!$J$5:$J$4999,$S398)&amp;""))</f>
      </c>
      <c r="E398" s="108">
        <f>IF($S398="","",INDEX(数据录入!$E$5:$E$4999,$S398)&amp;"")</f>
      </c>
      <c r="F398" s="114">
        <f>IF($S398="","",N(INDEX(数据录入!$F$5:$F$4999,$S398)))</f>
      </c>
      <c r="G398" s="114">
        <f>IF($S398="","",N(INDEX(数据录入!$G$5:$G$4999,$S398)))</f>
      </c>
      <c r="H398" s="114">
        <f>IF($S398="","",$G$2+SUM($F$8:$F398)-SUM($G$8:$G398))</f>
      </c>
      <c r="Q398" s="44">
        <f>IF(数据录入!$B398="",0,IF(OR(数据录入!$D398="投标保证金",数据录入!$D398="合同履约保证金",ISNUMBER(FIND("保证金",数据录入!$E398))),1,0))</f>
      </c>
      <c r="R398" s="44">
        <f>IF(AND($Q398=1,数据录入!$B398&gt;=$B$2,数据录入!$B398&lt;=$D$2),N(R397)+1,N(R397))</f>
      </c>
      <c r="S398" s="44">
        <f>IFERROR(MATCH(391,$R$5:$R$4999,0),"")</f>
      </c>
    </row>
    <row r="399" s="44" customFormat="1" spans="1:23">
      <c r="A399" s="116">
        <f>IF($S399="","",INDEX(数据录入!$B$5:$B$4999,$S399))</f>
      </c>
      <c r="B399" s="44">
        <f>IF($S399="","",INDEX(数据录入!$C$5:$C$4999,$S399)&amp;"")</f>
      </c>
      <c r="C399" s="165">
        <f>IF($S399="","",IF(N($F399)&gt;0,"收款",IF(N($G399)&gt;0,"付款","")))</f>
      </c>
      <c r="D399" s="44">
        <f>IF($S399="","",IF((INDEX(数据录入!$I$5:$I$4999,$S399)&amp;"")&lt;&gt;"",INDEX(数据录入!$I$5:$I$4999,$S399)&amp;"",INDEX(数据录入!$J$5:$J$4999,$S399)&amp;""))</f>
      </c>
      <c r="E399" s="108">
        <f>IF($S399="","",INDEX(数据录入!$E$5:$E$4999,$S399)&amp;"")</f>
      </c>
      <c r="F399" s="114">
        <f>IF($S399="","",N(INDEX(数据录入!$F$5:$F$4999,$S399)))</f>
      </c>
      <c r="G399" s="114">
        <f>IF($S399="","",N(INDEX(数据录入!$G$5:$G$4999,$S399)))</f>
      </c>
      <c r="H399" s="114">
        <f>IF($S399="","",$G$2+SUM($F$8:$F399)-SUM($G$8:$G399))</f>
      </c>
      <c r="Q399" s="44">
        <f>IF(数据录入!$B399="",0,IF(OR(数据录入!$D399="投标保证金",数据录入!$D399="合同履约保证金",ISNUMBER(FIND("保证金",数据录入!$E399))),1,0))</f>
      </c>
      <c r="R399" s="44">
        <f>IF(AND($Q399=1,数据录入!$B399&gt;=$B$2,数据录入!$B399&lt;=$D$2),N(R398)+1,N(R398))</f>
      </c>
      <c r="S399" s="44">
        <f>IFERROR(MATCH(392,$R$5:$R$4999,0),"")</f>
      </c>
    </row>
    <row r="400" s="44" customFormat="1" spans="1:23">
      <c r="A400" s="116">
        <f>IF($S400="","",INDEX(数据录入!$B$5:$B$4999,$S400))</f>
      </c>
      <c r="B400" s="44">
        <f>IF($S400="","",INDEX(数据录入!$C$5:$C$4999,$S400)&amp;"")</f>
      </c>
      <c r="C400" s="165">
        <f>IF($S400="","",IF(N($F400)&gt;0,"收款",IF(N($G400)&gt;0,"付款","")))</f>
      </c>
      <c r="D400" s="44">
        <f>IF($S400="","",IF((INDEX(数据录入!$I$5:$I$4999,$S400)&amp;"")&lt;&gt;"",INDEX(数据录入!$I$5:$I$4999,$S400)&amp;"",INDEX(数据录入!$J$5:$J$4999,$S400)&amp;""))</f>
      </c>
      <c r="E400" s="108">
        <f>IF($S400="","",INDEX(数据录入!$E$5:$E$4999,$S400)&amp;"")</f>
      </c>
      <c r="F400" s="114">
        <f>IF($S400="","",N(INDEX(数据录入!$F$5:$F$4999,$S400)))</f>
      </c>
      <c r="G400" s="114">
        <f>IF($S400="","",N(INDEX(数据录入!$G$5:$G$4999,$S400)))</f>
      </c>
      <c r="H400" s="114">
        <f>IF($S400="","",$G$2+SUM($F$8:$F400)-SUM($G$8:$G400))</f>
      </c>
      <c r="Q400" s="44">
        <f>IF(数据录入!$B400="",0,IF(OR(数据录入!$D400="投标保证金",数据录入!$D400="合同履约保证金",ISNUMBER(FIND("保证金",数据录入!$E400))),1,0))</f>
      </c>
      <c r="R400" s="44">
        <f>IF(AND($Q400=1,数据录入!$B400&gt;=$B$2,数据录入!$B400&lt;=$D$2),N(R399)+1,N(R399))</f>
      </c>
      <c r="S400" s="44">
        <f>IFERROR(MATCH(393,$R$5:$R$4999,0),"")</f>
      </c>
    </row>
    <row r="401" s="44" customFormat="1" spans="1:23">
      <c r="A401" s="116">
        <f>IF($S401="","",INDEX(数据录入!$B$5:$B$4999,$S401))</f>
      </c>
      <c r="B401" s="44">
        <f>IF($S401="","",INDEX(数据录入!$C$5:$C$4999,$S401)&amp;"")</f>
      </c>
      <c r="C401" s="165">
        <f>IF($S401="","",IF(N($F401)&gt;0,"收款",IF(N($G401)&gt;0,"付款","")))</f>
      </c>
      <c r="D401" s="44">
        <f>IF($S401="","",IF((INDEX(数据录入!$I$5:$I$4999,$S401)&amp;"")&lt;&gt;"",INDEX(数据录入!$I$5:$I$4999,$S401)&amp;"",INDEX(数据录入!$J$5:$J$4999,$S401)&amp;""))</f>
      </c>
      <c r="E401" s="108">
        <f>IF($S401="","",INDEX(数据录入!$E$5:$E$4999,$S401)&amp;"")</f>
      </c>
      <c r="F401" s="114">
        <f>IF($S401="","",N(INDEX(数据录入!$F$5:$F$4999,$S401)))</f>
      </c>
      <c r="G401" s="114">
        <f>IF($S401="","",N(INDEX(数据录入!$G$5:$G$4999,$S401)))</f>
      </c>
      <c r="H401" s="114">
        <f>IF($S401="","",$G$2+SUM($F$8:$F401)-SUM($G$8:$G401))</f>
      </c>
      <c r="Q401" s="44">
        <f>IF(数据录入!$B401="",0,IF(OR(数据录入!$D401="投标保证金",数据录入!$D401="合同履约保证金",ISNUMBER(FIND("保证金",数据录入!$E401))),1,0))</f>
      </c>
      <c r="R401" s="44">
        <f>IF(AND($Q401=1,数据录入!$B401&gt;=$B$2,数据录入!$B401&lt;=$D$2),N(R400)+1,N(R400))</f>
      </c>
      <c r="S401" s="44">
        <f>IFERROR(MATCH(394,$R$5:$R$4999,0),"")</f>
      </c>
    </row>
    <row r="402" s="44" customFormat="1" spans="1:23">
      <c r="A402" s="116">
        <f>IF($S402="","",INDEX(数据录入!$B$5:$B$4999,$S402))</f>
      </c>
      <c r="B402" s="44">
        <f>IF($S402="","",INDEX(数据录入!$C$5:$C$4999,$S402)&amp;"")</f>
      </c>
      <c r="C402" s="165">
        <f>IF($S402="","",IF(N($F402)&gt;0,"收款",IF(N($G402)&gt;0,"付款","")))</f>
      </c>
      <c r="D402" s="44">
        <f>IF($S402="","",IF((INDEX(数据录入!$I$5:$I$4999,$S402)&amp;"")&lt;&gt;"",INDEX(数据录入!$I$5:$I$4999,$S402)&amp;"",INDEX(数据录入!$J$5:$J$4999,$S402)&amp;""))</f>
      </c>
      <c r="E402" s="108">
        <f>IF($S402="","",INDEX(数据录入!$E$5:$E$4999,$S402)&amp;"")</f>
      </c>
      <c r="F402" s="114">
        <f>IF($S402="","",N(INDEX(数据录入!$F$5:$F$4999,$S402)))</f>
      </c>
      <c r="G402" s="114">
        <f>IF($S402="","",N(INDEX(数据录入!$G$5:$G$4999,$S402)))</f>
      </c>
      <c r="H402" s="114">
        <f>IF($S402="","",$G$2+SUM($F$8:$F402)-SUM($G$8:$G402))</f>
      </c>
      <c r="Q402" s="44">
        <f>IF(数据录入!$B402="",0,IF(OR(数据录入!$D402="投标保证金",数据录入!$D402="合同履约保证金",ISNUMBER(FIND("保证金",数据录入!$E402))),1,0))</f>
      </c>
      <c r="R402" s="44">
        <f>IF(AND($Q402=1,数据录入!$B402&gt;=$B$2,数据录入!$B402&lt;=$D$2),N(R401)+1,N(R401))</f>
      </c>
      <c r="S402" s="44">
        <f>IFERROR(MATCH(395,$R$5:$R$4999,0),"")</f>
      </c>
    </row>
    <row r="403" s="44" customFormat="1" spans="1:23">
      <c r="A403" s="116">
        <f>IF($S403="","",INDEX(数据录入!$B$5:$B$4999,$S403))</f>
      </c>
      <c r="B403" s="44">
        <f>IF($S403="","",INDEX(数据录入!$C$5:$C$4999,$S403)&amp;"")</f>
      </c>
      <c r="C403" s="165">
        <f>IF($S403="","",IF(N($F403)&gt;0,"收款",IF(N($G403)&gt;0,"付款","")))</f>
      </c>
      <c r="D403" s="44">
        <f>IF($S403="","",IF((INDEX(数据录入!$I$5:$I$4999,$S403)&amp;"")&lt;&gt;"",INDEX(数据录入!$I$5:$I$4999,$S403)&amp;"",INDEX(数据录入!$J$5:$J$4999,$S403)&amp;""))</f>
      </c>
      <c r="E403" s="108">
        <f>IF($S403="","",INDEX(数据录入!$E$5:$E$4999,$S403)&amp;"")</f>
      </c>
      <c r="F403" s="114">
        <f>IF($S403="","",N(INDEX(数据录入!$F$5:$F$4999,$S403)))</f>
      </c>
      <c r="G403" s="114">
        <f>IF($S403="","",N(INDEX(数据录入!$G$5:$G$4999,$S403)))</f>
      </c>
      <c r="H403" s="114">
        <f>IF($S403="","",$G$2+SUM($F$8:$F403)-SUM($G$8:$G403))</f>
      </c>
      <c r="Q403" s="44">
        <f>IF(数据录入!$B403="",0,IF(OR(数据录入!$D403="投标保证金",数据录入!$D403="合同履约保证金",ISNUMBER(FIND("保证金",数据录入!$E403))),1,0))</f>
      </c>
      <c r="R403" s="44">
        <f>IF(AND($Q403=1,数据录入!$B403&gt;=$B$2,数据录入!$B403&lt;=$D$2),N(R402)+1,N(R402))</f>
      </c>
      <c r="S403" s="44">
        <f>IFERROR(MATCH(396,$R$5:$R$4999,0),"")</f>
      </c>
    </row>
    <row r="404" s="44" customFormat="1" spans="1:23">
      <c r="A404" s="116">
        <f>IF($S404="","",INDEX(数据录入!$B$5:$B$4999,$S404))</f>
      </c>
      <c r="B404" s="44">
        <f>IF($S404="","",INDEX(数据录入!$C$5:$C$4999,$S404)&amp;"")</f>
      </c>
      <c r="C404" s="165">
        <f>IF($S404="","",IF(N($F404)&gt;0,"收款",IF(N($G404)&gt;0,"付款","")))</f>
      </c>
      <c r="D404" s="44">
        <f>IF($S404="","",IF((INDEX(数据录入!$I$5:$I$4999,$S404)&amp;"")&lt;&gt;"",INDEX(数据录入!$I$5:$I$4999,$S404)&amp;"",INDEX(数据录入!$J$5:$J$4999,$S404)&amp;""))</f>
      </c>
      <c r="E404" s="108">
        <f>IF($S404="","",INDEX(数据录入!$E$5:$E$4999,$S404)&amp;"")</f>
      </c>
      <c r="F404" s="114">
        <f>IF($S404="","",N(INDEX(数据录入!$F$5:$F$4999,$S404)))</f>
      </c>
      <c r="G404" s="114">
        <f>IF($S404="","",N(INDEX(数据录入!$G$5:$G$4999,$S404)))</f>
      </c>
      <c r="H404" s="114">
        <f>IF($S404="","",$G$2+SUM($F$8:$F404)-SUM($G$8:$G404))</f>
      </c>
      <c r="Q404" s="44">
        <f>IF(数据录入!$B404="",0,IF(OR(数据录入!$D404="投标保证金",数据录入!$D404="合同履约保证金",ISNUMBER(FIND("保证金",数据录入!$E404))),1,0))</f>
      </c>
      <c r="R404" s="44">
        <f>IF(AND($Q404=1,数据录入!$B404&gt;=$B$2,数据录入!$B404&lt;=$D$2),N(R403)+1,N(R403))</f>
      </c>
      <c r="S404" s="44">
        <f>IFERROR(MATCH(397,$R$5:$R$4999,0),"")</f>
      </c>
    </row>
    <row r="405" s="44" customFormat="1" spans="1:23">
      <c r="A405" s="116">
        <f>IF($S405="","",INDEX(数据录入!$B$5:$B$4999,$S405))</f>
      </c>
      <c r="B405" s="44">
        <f>IF($S405="","",INDEX(数据录入!$C$5:$C$4999,$S405)&amp;"")</f>
      </c>
      <c r="C405" s="165">
        <f>IF($S405="","",IF(N($F405)&gt;0,"收款",IF(N($G405)&gt;0,"付款","")))</f>
      </c>
      <c r="D405" s="44">
        <f>IF($S405="","",IF((INDEX(数据录入!$I$5:$I$4999,$S405)&amp;"")&lt;&gt;"",INDEX(数据录入!$I$5:$I$4999,$S405)&amp;"",INDEX(数据录入!$J$5:$J$4999,$S405)&amp;""))</f>
      </c>
      <c r="E405" s="108">
        <f>IF($S405="","",INDEX(数据录入!$E$5:$E$4999,$S405)&amp;"")</f>
      </c>
      <c r="F405" s="114">
        <f>IF($S405="","",N(INDEX(数据录入!$F$5:$F$4999,$S405)))</f>
      </c>
      <c r="G405" s="114">
        <f>IF($S405="","",N(INDEX(数据录入!$G$5:$G$4999,$S405)))</f>
      </c>
      <c r="H405" s="114">
        <f>IF($S405="","",$G$2+SUM($F$8:$F405)-SUM($G$8:$G405))</f>
      </c>
      <c r="Q405" s="44">
        <f>IF(数据录入!$B405="",0,IF(OR(数据录入!$D405="投标保证金",数据录入!$D405="合同履约保证金",ISNUMBER(FIND("保证金",数据录入!$E405))),1,0))</f>
      </c>
      <c r="R405" s="44">
        <f>IF(AND($Q405=1,数据录入!$B405&gt;=$B$2,数据录入!$B405&lt;=$D$2),N(R404)+1,N(R404))</f>
      </c>
      <c r="S405" s="44">
        <f>IFERROR(MATCH(398,$R$5:$R$4999,0),"")</f>
      </c>
    </row>
    <row r="406" s="44" customFormat="1" spans="1:23">
      <c r="A406" s="116">
        <f>IF($S406="","",INDEX(数据录入!$B$5:$B$4999,$S406))</f>
      </c>
      <c r="B406" s="44">
        <f>IF($S406="","",INDEX(数据录入!$C$5:$C$4999,$S406)&amp;"")</f>
      </c>
      <c r="C406" s="165">
        <f>IF($S406="","",IF(N($F406)&gt;0,"收款",IF(N($G406)&gt;0,"付款","")))</f>
      </c>
      <c r="D406" s="44">
        <f>IF($S406="","",IF((INDEX(数据录入!$I$5:$I$4999,$S406)&amp;"")&lt;&gt;"",INDEX(数据录入!$I$5:$I$4999,$S406)&amp;"",INDEX(数据录入!$J$5:$J$4999,$S406)&amp;""))</f>
      </c>
      <c r="E406" s="108">
        <f>IF($S406="","",INDEX(数据录入!$E$5:$E$4999,$S406)&amp;"")</f>
      </c>
      <c r="F406" s="114">
        <f>IF($S406="","",N(INDEX(数据录入!$F$5:$F$4999,$S406)))</f>
      </c>
      <c r="G406" s="114">
        <f>IF($S406="","",N(INDEX(数据录入!$G$5:$G$4999,$S406)))</f>
      </c>
      <c r="H406" s="114">
        <f>IF($S406="","",$G$2+SUM($F$8:$F406)-SUM($G$8:$G406))</f>
      </c>
      <c r="Q406" s="44">
        <f>IF(数据录入!$B406="",0,IF(OR(数据录入!$D406="投标保证金",数据录入!$D406="合同履约保证金",ISNUMBER(FIND("保证金",数据录入!$E406))),1,0))</f>
      </c>
      <c r="R406" s="44">
        <f>IF(AND($Q406=1,数据录入!$B406&gt;=$B$2,数据录入!$B406&lt;=$D$2),N(R405)+1,N(R405))</f>
      </c>
      <c r="S406" s="44">
        <f>IFERROR(MATCH(399,$R$5:$R$4999,0),"")</f>
      </c>
    </row>
    <row r="407" s="44" customFormat="1" spans="1:23">
      <c r="A407" s="116">
        <f>IF($S407="","",INDEX(数据录入!$B$5:$B$4999,$S407))</f>
      </c>
      <c r="B407" s="44">
        <f>IF($S407="","",INDEX(数据录入!$C$5:$C$4999,$S407)&amp;"")</f>
      </c>
      <c r="C407" s="165">
        <f>IF($S407="","",IF(N($F407)&gt;0,"收款",IF(N($G407)&gt;0,"付款","")))</f>
      </c>
      <c r="D407" s="44">
        <f>IF($S407="","",IF((INDEX(数据录入!$I$5:$I$4999,$S407)&amp;"")&lt;&gt;"",INDEX(数据录入!$I$5:$I$4999,$S407)&amp;"",INDEX(数据录入!$J$5:$J$4999,$S407)&amp;""))</f>
      </c>
      <c r="E407" s="108">
        <f>IF($S407="","",INDEX(数据录入!$E$5:$E$4999,$S407)&amp;"")</f>
      </c>
      <c r="F407" s="114">
        <f>IF($S407="","",N(INDEX(数据录入!$F$5:$F$4999,$S407)))</f>
      </c>
      <c r="G407" s="114">
        <f>IF($S407="","",N(INDEX(数据录入!$G$5:$G$4999,$S407)))</f>
      </c>
      <c r="H407" s="114">
        <f>IF($S407="","",$G$2+SUM($F$8:$F407)-SUM($G$8:$G407))</f>
      </c>
      <c r="Q407" s="44">
        <f>IF(数据录入!$B407="",0,IF(OR(数据录入!$D407="投标保证金",数据录入!$D407="合同履约保证金",ISNUMBER(FIND("保证金",数据录入!$E407))),1,0))</f>
      </c>
      <c r="R407" s="44">
        <f>IF(AND($Q407=1,数据录入!$B407&gt;=$B$2,数据录入!$B407&lt;=$D$2),N(R406)+1,N(R406))</f>
      </c>
      <c r="S407" s="44">
        <f>IFERROR(MATCH(400,$R$5:$R$4999,0),"")</f>
      </c>
    </row>
    <row r="408" s="44" customFormat="1" spans="1:23">
      <c r="A408" s="116">
        <f>IF($S408="","",INDEX(数据录入!$B$5:$B$4999,$S408))</f>
      </c>
      <c r="B408" s="44">
        <f>IF($S408="","",INDEX(数据录入!$C$5:$C$4999,$S408)&amp;"")</f>
      </c>
      <c r="C408" s="165">
        <f>IF($S408="","",IF(N($F408)&gt;0,"收款",IF(N($G408)&gt;0,"付款","")))</f>
      </c>
      <c r="D408" s="44">
        <f>IF($S408="","",IF((INDEX(数据录入!$I$5:$I$4999,$S408)&amp;"")&lt;&gt;"",INDEX(数据录入!$I$5:$I$4999,$S408)&amp;"",INDEX(数据录入!$J$5:$J$4999,$S408)&amp;""))</f>
      </c>
      <c r="E408" s="108">
        <f>IF($S408="","",INDEX(数据录入!$E$5:$E$4999,$S408)&amp;"")</f>
      </c>
      <c r="F408" s="114">
        <f>IF($S408="","",N(INDEX(数据录入!$F$5:$F$4999,$S408)))</f>
      </c>
      <c r="G408" s="114">
        <f>IF($S408="","",N(INDEX(数据录入!$G$5:$G$4999,$S408)))</f>
      </c>
      <c r="H408" s="114">
        <f>IF($S408="","",$G$2+SUM($F$8:$F408)-SUM($G$8:$G408))</f>
      </c>
      <c r="Q408" s="44">
        <f>IF(数据录入!$B408="",0,IF(OR(数据录入!$D408="投标保证金",数据录入!$D408="合同履约保证金",ISNUMBER(FIND("保证金",数据录入!$E408))),1,0))</f>
      </c>
      <c r="R408" s="44">
        <f>IF(AND($Q408=1,数据录入!$B408&gt;=$B$2,数据录入!$B408&lt;=$D$2),N(R407)+1,N(R407))</f>
      </c>
      <c r="S408" s="44">
        <f>IFERROR(MATCH(401,$R$5:$R$4999,0),"")</f>
      </c>
    </row>
    <row r="409" s="44" customFormat="1" spans="1:23">
      <c r="A409" s="116">
        <f>IF($S409="","",INDEX(数据录入!$B$5:$B$4999,$S409))</f>
      </c>
      <c r="B409" s="44">
        <f>IF($S409="","",INDEX(数据录入!$C$5:$C$4999,$S409)&amp;"")</f>
      </c>
      <c r="C409" s="165">
        <f>IF($S409="","",IF(N($F409)&gt;0,"收款",IF(N($G409)&gt;0,"付款","")))</f>
      </c>
      <c r="D409" s="44">
        <f>IF($S409="","",IF((INDEX(数据录入!$I$5:$I$4999,$S409)&amp;"")&lt;&gt;"",INDEX(数据录入!$I$5:$I$4999,$S409)&amp;"",INDEX(数据录入!$J$5:$J$4999,$S409)&amp;""))</f>
      </c>
      <c r="E409" s="108">
        <f>IF($S409="","",INDEX(数据录入!$E$5:$E$4999,$S409)&amp;"")</f>
      </c>
      <c r="F409" s="114">
        <f>IF($S409="","",N(INDEX(数据录入!$F$5:$F$4999,$S409)))</f>
      </c>
      <c r="G409" s="114">
        <f>IF($S409="","",N(INDEX(数据录入!$G$5:$G$4999,$S409)))</f>
      </c>
      <c r="H409" s="114">
        <f>IF($S409="","",$G$2+SUM($F$8:$F409)-SUM($G$8:$G409))</f>
      </c>
      <c r="Q409" s="44">
        <f>IF(数据录入!$B409="",0,IF(OR(数据录入!$D409="投标保证金",数据录入!$D409="合同履约保证金",ISNUMBER(FIND("保证金",数据录入!$E409))),1,0))</f>
      </c>
      <c r="R409" s="44">
        <f>IF(AND($Q409=1,数据录入!$B409&gt;=$B$2,数据录入!$B409&lt;=$D$2),N(R408)+1,N(R408))</f>
      </c>
      <c r="S409" s="44">
        <f>IFERROR(MATCH(402,$R$5:$R$4999,0),"")</f>
      </c>
    </row>
    <row r="410" s="44" customFormat="1" spans="1:23">
      <c r="A410" s="116">
        <f>IF($S410="","",INDEX(数据录入!$B$5:$B$4999,$S410))</f>
      </c>
      <c r="B410" s="44">
        <f>IF($S410="","",INDEX(数据录入!$C$5:$C$4999,$S410)&amp;"")</f>
      </c>
      <c r="C410" s="165">
        <f>IF($S410="","",IF(N($F410)&gt;0,"收款",IF(N($G410)&gt;0,"付款","")))</f>
      </c>
      <c r="D410" s="44">
        <f>IF($S410="","",IF((INDEX(数据录入!$I$5:$I$4999,$S410)&amp;"")&lt;&gt;"",INDEX(数据录入!$I$5:$I$4999,$S410)&amp;"",INDEX(数据录入!$J$5:$J$4999,$S410)&amp;""))</f>
      </c>
      <c r="E410" s="108">
        <f>IF($S410="","",INDEX(数据录入!$E$5:$E$4999,$S410)&amp;"")</f>
      </c>
      <c r="F410" s="114">
        <f>IF($S410="","",N(INDEX(数据录入!$F$5:$F$4999,$S410)))</f>
      </c>
      <c r="G410" s="114">
        <f>IF($S410="","",N(INDEX(数据录入!$G$5:$G$4999,$S410)))</f>
      </c>
      <c r="H410" s="114">
        <f>IF($S410="","",$G$2+SUM($F$8:$F410)-SUM($G$8:$G410))</f>
      </c>
      <c r="Q410" s="44">
        <f>IF(数据录入!$B410="",0,IF(OR(数据录入!$D410="投标保证金",数据录入!$D410="合同履约保证金",ISNUMBER(FIND("保证金",数据录入!$E410))),1,0))</f>
      </c>
      <c r="R410" s="44">
        <f>IF(AND($Q410=1,数据录入!$B410&gt;=$B$2,数据录入!$B410&lt;=$D$2),N(R409)+1,N(R409))</f>
      </c>
      <c r="S410" s="44">
        <f>IFERROR(MATCH(403,$R$5:$R$4999,0),"")</f>
      </c>
    </row>
    <row r="411" s="44" customFormat="1" spans="1:23">
      <c r="A411" s="116">
        <f>IF($S411="","",INDEX(数据录入!$B$5:$B$4999,$S411))</f>
      </c>
      <c r="B411" s="44">
        <f>IF($S411="","",INDEX(数据录入!$C$5:$C$4999,$S411)&amp;"")</f>
      </c>
      <c r="C411" s="165">
        <f>IF($S411="","",IF(N($F411)&gt;0,"收款",IF(N($G411)&gt;0,"付款","")))</f>
      </c>
      <c r="D411" s="44">
        <f>IF($S411="","",IF((INDEX(数据录入!$I$5:$I$4999,$S411)&amp;"")&lt;&gt;"",INDEX(数据录入!$I$5:$I$4999,$S411)&amp;"",INDEX(数据录入!$J$5:$J$4999,$S411)&amp;""))</f>
      </c>
      <c r="E411" s="108">
        <f>IF($S411="","",INDEX(数据录入!$E$5:$E$4999,$S411)&amp;"")</f>
      </c>
      <c r="F411" s="114">
        <f>IF($S411="","",N(INDEX(数据录入!$F$5:$F$4999,$S411)))</f>
      </c>
      <c r="G411" s="114">
        <f>IF($S411="","",N(INDEX(数据录入!$G$5:$G$4999,$S411)))</f>
      </c>
      <c r="H411" s="114">
        <f>IF($S411="","",$G$2+SUM($F$8:$F411)-SUM($G$8:$G411))</f>
      </c>
      <c r="Q411" s="44">
        <f>IF(数据录入!$B411="",0,IF(OR(数据录入!$D411="投标保证金",数据录入!$D411="合同履约保证金",ISNUMBER(FIND("保证金",数据录入!$E411))),1,0))</f>
      </c>
      <c r="R411" s="44">
        <f>IF(AND($Q411=1,数据录入!$B411&gt;=$B$2,数据录入!$B411&lt;=$D$2),N(R410)+1,N(R410))</f>
      </c>
      <c r="S411" s="44">
        <f>IFERROR(MATCH(404,$R$5:$R$4999,0),"")</f>
      </c>
    </row>
    <row r="412" s="44" customFormat="1" spans="1:23">
      <c r="A412" s="116">
        <f>IF($S412="","",INDEX(数据录入!$B$5:$B$4999,$S412))</f>
      </c>
      <c r="B412" s="44">
        <f>IF($S412="","",INDEX(数据录入!$C$5:$C$4999,$S412)&amp;"")</f>
      </c>
      <c r="C412" s="165">
        <f>IF($S412="","",IF(N($F412)&gt;0,"收款",IF(N($G412)&gt;0,"付款","")))</f>
      </c>
      <c r="D412" s="44">
        <f>IF($S412="","",IF((INDEX(数据录入!$I$5:$I$4999,$S412)&amp;"")&lt;&gt;"",INDEX(数据录入!$I$5:$I$4999,$S412)&amp;"",INDEX(数据录入!$J$5:$J$4999,$S412)&amp;""))</f>
      </c>
      <c r="E412" s="108">
        <f>IF($S412="","",INDEX(数据录入!$E$5:$E$4999,$S412)&amp;"")</f>
      </c>
      <c r="F412" s="114">
        <f>IF($S412="","",N(INDEX(数据录入!$F$5:$F$4999,$S412)))</f>
      </c>
      <c r="G412" s="114">
        <f>IF($S412="","",N(INDEX(数据录入!$G$5:$G$4999,$S412)))</f>
      </c>
      <c r="H412" s="114">
        <f>IF($S412="","",$G$2+SUM($F$8:$F412)-SUM($G$8:$G412))</f>
      </c>
      <c r="Q412" s="44">
        <f>IF(数据录入!$B412="",0,IF(OR(数据录入!$D412="投标保证金",数据录入!$D412="合同履约保证金",ISNUMBER(FIND("保证金",数据录入!$E412))),1,0))</f>
      </c>
      <c r="R412" s="44">
        <f>IF(AND($Q412=1,数据录入!$B412&gt;=$B$2,数据录入!$B412&lt;=$D$2),N(R411)+1,N(R411))</f>
      </c>
      <c r="S412" s="44">
        <f>IFERROR(MATCH(405,$R$5:$R$4999,0),"")</f>
      </c>
    </row>
    <row r="413" s="44" customFormat="1" spans="1:23">
      <c r="A413" s="116">
        <f>IF($S413="","",INDEX(数据录入!$B$5:$B$4999,$S413))</f>
      </c>
      <c r="B413" s="44">
        <f>IF($S413="","",INDEX(数据录入!$C$5:$C$4999,$S413)&amp;"")</f>
      </c>
      <c r="C413" s="165">
        <f>IF($S413="","",IF(N($F413)&gt;0,"收款",IF(N($G413)&gt;0,"付款","")))</f>
      </c>
      <c r="D413" s="44">
        <f>IF($S413="","",IF((INDEX(数据录入!$I$5:$I$4999,$S413)&amp;"")&lt;&gt;"",INDEX(数据录入!$I$5:$I$4999,$S413)&amp;"",INDEX(数据录入!$J$5:$J$4999,$S413)&amp;""))</f>
      </c>
      <c r="E413" s="108">
        <f>IF($S413="","",INDEX(数据录入!$E$5:$E$4999,$S413)&amp;"")</f>
      </c>
      <c r="F413" s="114">
        <f>IF($S413="","",N(INDEX(数据录入!$F$5:$F$4999,$S413)))</f>
      </c>
      <c r="G413" s="114">
        <f>IF($S413="","",N(INDEX(数据录入!$G$5:$G$4999,$S413)))</f>
      </c>
      <c r="H413" s="114">
        <f>IF($S413="","",$G$2+SUM($F$8:$F413)-SUM($G$8:$G413))</f>
      </c>
      <c r="Q413" s="44">
        <f>IF(数据录入!$B413="",0,IF(OR(数据录入!$D413="投标保证金",数据录入!$D413="合同履约保证金",ISNUMBER(FIND("保证金",数据录入!$E413))),1,0))</f>
      </c>
      <c r="R413" s="44">
        <f>IF(AND($Q413=1,数据录入!$B413&gt;=$B$2,数据录入!$B413&lt;=$D$2),N(R412)+1,N(R412))</f>
      </c>
      <c r="S413" s="44">
        <f>IFERROR(MATCH(406,$R$5:$R$4999,0),"")</f>
      </c>
    </row>
    <row r="414" s="44" customFormat="1" spans="1:23">
      <c r="A414" s="116">
        <f>IF($S414="","",INDEX(数据录入!$B$5:$B$4999,$S414))</f>
      </c>
      <c r="B414" s="44">
        <f>IF($S414="","",INDEX(数据录入!$C$5:$C$4999,$S414)&amp;"")</f>
      </c>
      <c r="C414" s="165">
        <f>IF($S414="","",IF(N($F414)&gt;0,"收款",IF(N($G414)&gt;0,"付款","")))</f>
      </c>
      <c r="D414" s="44">
        <f>IF($S414="","",IF((INDEX(数据录入!$I$5:$I$4999,$S414)&amp;"")&lt;&gt;"",INDEX(数据录入!$I$5:$I$4999,$S414)&amp;"",INDEX(数据录入!$J$5:$J$4999,$S414)&amp;""))</f>
      </c>
      <c r="E414" s="108">
        <f>IF($S414="","",INDEX(数据录入!$E$5:$E$4999,$S414)&amp;"")</f>
      </c>
      <c r="F414" s="114">
        <f>IF($S414="","",N(INDEX(数据录入!$F$5:$F$4999,$S414)))</f>
      </c>
      <c r="G414" s="114">
        <f>IF($S414="","",N(INDEX(数据录入!$G$5:$G$4999,$S414)))</f>
      </c>
      <c r="H414" s="114">
        <f>IF($S414="","",$G$2+SUM($F$8:$F414)-SUM($G$8:$G414))</f>
      </c>
      <c r="Q414" s="44">
        <f>IF(数据录入!$B414="",0,IF(OR(数据录入!$D414="投标保证金",数据录入!$D414="合同履约保证金",ISNUMBER(FIND("保证金",数据录入!$E414))),1,0))</f>
      </c>
      <c r="R414" s="44">
        <f>IF(AND($Q414=1,数据录入!$B414&gt;=$B$2,数据录入!$B414&lt;=$D$2),N(R413)+1,N(R413))</f>
      </c>
      <c r="S414" s="44">
        <f>IFERROR(MATCH(407,$R$5:$R$4999,0),"")</f>
      </c>
    </row>
    <row r="415" s="44" customFormat="1" spans="1:23">
      <c r="A415" s="116">
        <f>IF($S415="","",INDEX(数据录入!$B$5:$B$4999,$S415))</f>
      </c>
      <c r="B415" s="44">
        <f>IF($S415="","",INDEX(数据录入!$C$5:$C$4999,$S415)&amp;"")</f>
      </c>
      <c r="C415" s="165">
        <f>IF($S415="","",IF(N($F415)&gt;0,"收款",IF(N($G415)&gt;0,"付款","")))</f>
      </c>
      <c r="D415" s="44">
        <f>IF($S415="","",IF((INDEX(数据录入!$I$5:$I$4999,$S415)&amp;"")&lt;&gt;"",INDEX(数据录入!$I$5:$I$4999,$S415)&amp;"",INDEX(数据录入!$J$5:$J$4999,$S415)&amp;""))</f>
      </c>
      <c r="E415" s="108">
        <f>IF($S415="","",INDEX(数据录入!$E$5:$E$4999,$S415)&amp;"")</f>
      </c>
      <c r="F415" s="114">
        <f>IF($S415="","",N(INDEX(数据录入!$F$5:$F$4999,$S415)))</f>
      </c>
      <c r="G415" s="114">
        <f>IF($S415="","",N(INDEX(数据录入!$G$5:$G$4999,$S415)))</f>
      </c>
      <c r="H415" s="114">
        <f>IF($S415="","",$G$2+SUM($F$8:$F415)-SUM($G$8:$G415))</f>
      </c>
      <c r="Q415" s="44">
        <f>IF(数据录入!$B415="",0,IF(OR(数据录入!$D415="投标保证金",数据录入!$D415="合同履约保证金",ISNUMBER(FIND("保证金",数据录入!$E415))),1,0))</f>
      </c>
      <c r="R415" s="44">
        <f>IF(AND($Q415=1,数据录入!$B415&gt;=$B$2,数据录入!$B415&lt;=$D$2),N(R414)+1,N(R414))</f>
      </c>
      <c r="S415" s="44">
        <f>IFERROR(MATCH(408,$R$5:$R$4999,0),"")</f>
      </c>
    </row>
    <row r="416" s="44" customFormat="1" spans="1:23">
      <c r="A416" s="116">
        <f>IF($S416="","",INDEX(数据录入!$B$5:$B$4999,$S416))</f>
      </c>
      <c r="B416" s="44">
        <f>IF($S416="","",INDEX(数据录入!$C$5:$C$4999,$S416)&amp;"")</f>
      </c>
      <c r="C416" s="165">
        <f>IF($S416="","",IF(N($F416)&gt;0,"收款",IF(N($G416)&gt;0,"付款","")))</f>
      </c>
      <c r="D416" s="44">
        <f>IF($S416="","",IF((INDEX(数据录入!$I$5:$I$4999,$S416)&amp;"")&lt;&gt;"",INDEX(数据录入!$I$5:$I$4999,$S416)&amp;"",INDEX(数据录入!$J$5:$J$4999,$S416)&amp;""))</f>
      </c>
      <c r="E416" s="108">
        <f>IF($S416="","",INDEX(数据录入!$E$5:$E$4999,$S416)&amp;"")</f>
      </c>
      <c r="F416" s="114">
        <f>IF($S416="","",N(INDEX(数据录入!$F$5:$F$4999,$S416)))</f>
      </c>
      <c r="G416" s="114">
        <f>IF($S416="","",N(INDEX(数据录入!$G$5:$G$4999,$S416)))</f>
      </c>
      <c r="H416" s="114">
        <f>IF($S416="","",$G$2+SUM($F$8:$F416)-SUM($G$8:$G416))</f>
      </c>
      <c r="Q416" s="44">
        <f>IF(数据录入!$B416="",0,IF(OR(数据录入!$D416="投标保证金",数据录入!$D416="合同履约保证金",ISNUMBER(FIND("保证金",数据录入!$E416))),1,0))</f>
      </c>
      <c r="R416" s="44">
        <f>IF(AND($Q416=1,数据录入!$B416&gt;=$B$2,数据录入!$B416&lt;=$D$2),N(R415)+1,N(R415))</f>
      </c>
      <c r="S416" s="44">
        <f>IFERROR(MATCH(409,$R$5:$R$4999,0),"")</f>
      </c>
    </row>
    <row r="417" s="44" customFormat="1" spans="1:23">
      <c r="A417" s="116">
        <f>IF($S417="","",INDEX(数据录入!$B$5:$B$4999,$S417))</f>
      </c>
      <c r="B417" s="44">
        <f>IF($S417="","",INDEX(数据录入!$C$5:$C$4999,$S417)&amp;"")</f>
      </c>
      <c r="C417" s="165">
        <f>IF($S417="","",IF(N($F417)&gt;0,"收款",IF(N($G417)&gt;0,"付款","")))</f>
      </c>
      <c r="D417" s="44">
        <f>IF($S417="","",IF((INDEX(数据录入!$I$5:$I$4999,$S417)&amp;"")&lt;&gt;"",INDEX(数据录入!$I$5:$I$4999,$S417)&amp;"",INDEX(数据录入!$J$5:$J$4999,$S417)&amp;""))</f>
      </c>
      <c r="E417" s="108">
        <f>IF($S417="","",INDEX(数据录入!$E$5:$E$4999,$S417)&amp;"")</f>
      </c>
      <c r="F417" s="114">
        <f>IF($S417="","",N(INDEX(数据录入!$F$5:$F$4999,$S417)))</f>
      </c>
      <c r="G417" s="114">
        <f>IF($S417="","",N(INDEX(数据录入!$G$5:$G$4999,$S417)))</f>
      </c>
      <c r="H417" s="114">
        <f>IF($S417="","",$G$2+SUM($F$8:$F417)-SUM($G$8:$G417))</f>
      </c>
      <c r="Q417" s="44">
        <f>IF(数据录入!$B417="",0,IF(OR(数据录入!$D417="投标保证金",数据录入!$D417="合同履约保证金",ISNUMBER(FIND("保证金",数据录入!$E417))),1,0))</f>
      </c>
      <c r="R417" s="44">
        <f>IF(AND($Q417=1,数据录入!$B417&gt;=$B$2,数据录入!$B417&lt;=$D$2),N(R416)+1,N(R416))</f>
      </c>
      <c r="S417" s="44">
        <f>IFERROR(MATCH(410,$R$5:$R$4999,0),"")</f>
      </c>
    </row>
    <row r="418" s="44" customFormat="1" spans="1:23">
      <c r="A418" s="116">
        <f>IF($S418="","",INDEX(数据录入!$B$5:$B$4999,$S418))</f>
      </c>
      <c r="B418" s="44">
        <f>IF($S418="","",INDEX(数据录入!$C$5:$C$4999,$S418)&amp;"")</f>
      </c>
      <c r="C418" s="165">
        <f>IF($S418="","",IF(N($F418)&gt;0,"收款",IF(N($G418)&gt;0,"付款","")))</f>
      </c>
      <c r="D418" s="44">
        <f>IF($S418="","",IF((INDEX(数据录入!$I$5:$I$4999,$S418)&amp;"")&lt;&gt;"",INDEX(数据录入!$I$5:$I$4999,$S418)&amp;"",INDEX(数据录入!$J$5:$J$4999,$S418)&amp;""))</f>
      </c>
      <c r="E418" s="108">
        <f>IF($S418="","",INDEX(数据录入!$E$5:$E$4999,$S418)&amp;"")</f>
      </c>
      <c r="F418" s="114">
        <f>IF($S418="","",N(INDEX(数据录入!$F$5:$F$4999,$S418)))</f>
      </c>
      <c r="G418" s="114">
        <f>IF($S418="","",N(INDEX(数据录入!$G$5:$G$4999,$S418)))</f>
      </c>
      <c r="H418" s="114">
        <f>IF($S418="","",$G$2+SUM($F$8:$F418)-SUM($G$8:$G418))</f>
      </c>
      <c r="Q418" s="44">
        <f>IF(数据录入!$B418="",0,IF(OR(数据录入!$D418="投标保证金",数据录入!$D418="合同履约保证金",ISNUMBER(FIND("保证金",数据录入!$E418))),1,0))</f>
      </c>
      <c r="R418" s="44">
        <f>IF(AND($Q418=1,数据录入!$B418&gt;=$B$2,数据录入!$B418&lt;=$D$2),N(R417)+1,N(R417))</f>
      </c>
      <c r="S418" s="44">
        <f>IFERROR(MATCH(411,$R$5:$R$4999,0),"")</f>
      </c>
    </row>
    <row r="419" s="44" customFormat="1" spans="1:23">
      <c r="A419" s="116">
        <f>IF($S419="","",INDEX(数据录入!$B$5:$B$4999,$S419))</f>
      </c>
      <c r="B419" s="44">
        <f>IF($S419="","",INDEX(数据录入!$C$5:$C$4999,$S419)&amp;"")</f>
      </c>
      <c r="C419" s="165">
        <f>IF($S419="","",IF(N($F419)&gt;0,"收款",IF(N($G419)&gt;0,"付款","")))</f>
      </c>
      <c r="D419" s="44">
        <f>IF($S419="","",IF((INDEX(数据录入!$I$5:$I$4999,$S419)&amp;"")&lt;&gt;"",INDEX(数据录入!$I$5:$I$4999,$S419)&amp;"",INDEX(数据录入!$J$5:$J$4999,$S419)&amp;""))</f>
      </c>
      <c r="E419" s="108">
        <f>IF($S419="","",INDEX(数据录入!$E$5:$E$4999,$S419)&amp;"")</f>
      </c>
      <c r="F419" s="114">
        <f>IF($S419="","",N(INDEX(数据录入!$F$5:$F$4999,$S419)))</f>
      </c>
      <c r="G419" s="114">
        <f>IF($S419="","",N(INDEX(数据录入!$G$5:$G$4999,$S419)))</f>
      </c>
      <c r="H419" s="114">
        <f>IF($S419="","",$G$2+SUM($F$8:$F419)-SUM($G$8:$G419))</f>
      </c>
      <c r="Q419" s="44">
        <f>IF(数据录入!$B419="",0,IF(OR(数据录入!$D419="投标保证金",数据录入!$D419="合同履约保证金",ISNUMBER(FIND("保证金",数据录入!$E419))),1,0))</f>
      </c>
      <c r="R419" s="44">
        <f>IF(AND($Q419=1,数据录入!$B419&gt;=$B$2,数据录入!$B419&lt;=$D$2),N(R418)+1,N(R418))</f>
      </c>
      <c r="S419" s="44">
        <f>IFERROR(MATCH(412,$R$5:$R$4999,0),"")</f>
      </c>
    </row>
    <row r="420" s="44" customFormat="1" spans="1:23">
      <c r="A420" s="116">
        <f>IF($S420="","",INDEX(数据录入!$B$5:$B$4999,$S420))</f>
      </c>
      <c r="B420" s="44">
        <f>IF($S420="","",INDEX(数据录入!$C$5:$C$4999,$S420)&amp;"")</f>
      </c>
      <c r="C420" s="165">
        <f>IF($S420="","",IF(N($F420)&gt;0,"收款",IF(N($G420)&gt;0,"付款","")))</f>
      </c>
      <c r="D420" s="44">
        <f>IF($S420="","",IF((INDEX(数据录入!$I$5:$I$4999,$S420)&amp;"")&lt;&gt;"",INDEX(数据录入!$I$5:$I$4999,$S420)&amp;"",INDEX(数据录入!$J$5:$J$4999,$S420)&amp;""))</f>
      </c>
      <c r="E420" s="108">
        <f>IF($S420="","",INDEX(数据录入!$E$5:$E$4999,$S420)&amp;"")</f>
      </c>
      <c r="F420" s="114">
        <f>IF($S420="","",N(INDEX(数据录入!$F$5:$F$4999,$S420)))</f>
      </c>
      <c r="G420" s="114">
        <f>IF($S420="","",N(INDEX(数据录入!$G$5:$G$4999,$S420)))</f>
      </c>
      <c r="H420" s="114">
        <f>IF($S420="","",$G$2+SUM($F$8:$F420)-SUM($G$8:$G420))</f>
      </c>
      <c r="Q420" s="44">
        <f>IF(数据录入!$B420="",0,IF(OR(数据录入!$D420="投标保证金",数据录入!$D420="合同履约保证金",ISNUMBER(FIND("保证金",数据录入!$E420))),1,0))</f>
      </c>
      <c r="R420" s="44">
        <f>IF(AND($Q420=1,数据录入!$B420&gt;=$B$2,数据录入!$B420&lt;=$D$2),N(R419)+1,N(R419))</f>
      </c>
      <c r="S420" s="44">
        <f>IFERROR(MATCH(413,$R$5:$R$4999,0),"")</f>
      </c>
    </row>
    <row r="421" s="44" customFormat="1" spans="1:23">
      <c r="A421" s="116">
        <f>IF($S421="","",INDEX(数据录入!$B$5:$B$4999,$S421))</f>
      </c>
      <c r="B421" s="44">
        <f>IF($S421="","",INDEX(数据录入!$C$5:$C$4999,$S421)&amp;"")</f>
      </c>
      <c r="C421" s="165">
        <f>IF($S421="","",IF(N($F421)&gt;0,"收款",IF(N($G421)&gt;0,"付款","")))</f>
      </c>
      <c r="D421" s="44">
        <f>IF($S421="","",IF((INDEX(数据录入!$I$5:$I$4999,$S421)&amp;"")&lt;&gt;"",INDEX(数据录入!$I$5:$I$4999,$S421)&amp;"",INDEX(数据录入!$J$5:$J$4999,$S421)&amp;""))</f>
      </c>
      <c r="E421" s="108">
        <f>IF($S421="","",INDEX(数据录入!$E$5:$E$4999,$S421)&amp;"")</f>
      </c>
      <c r="F421" s="114">
        <f>IF($S421="","",N(INDEX(数据录入!$F$5:$F$4999,$S421)))</f>
      </c>
      <c r="G421" s="114">
        <f>IF($S421="","",N(INDEX(数据录入!$G$5:$G$4999,$S421)))</f>
      </c>
      <c r="H421" s="114">
        <f>IF($S421="","",$G$2+SUM($F$8:$F421)-SUM($G$8:$G421))</f>
      </c>
      <c r="Q421" s="44">
        <f>IF(数据录入!$B421="",0,IF(OR(数据录入!$D421="投标保证金",数据录入!$D421="合同履约保证金",ISNUMBER(FIND("保证金",数据录入!$E421))),1,0))</f>
      </c>
      <c r="R421" s="44">
        <f>IF(AND($Q421=1,数据录入!$B421&gt;=$B$2,数据录入!$B421&lt;=$D$2),N(R420)+1,N(R420))</f>
      </c>
      <c r="S421" s="44">
        <f>IFERROR(MATCH(414,$R$5:$R$4999,0),"")</f>
      </c>
    </row>
    <row r="422" s="44" customFormat="1" spans="1:23">
      <c r="A422" s="116">
        <f>IF($S422="","",INDEX(数据录入!$B$5:$B$4999,$S422))</f>
      </c>
      <c r="B422" s="44">
        <f>IF($S422="","",INDEX(数据录入!$C$5:$C$4999,$S422)&amp;"")</f>
      </c>
      <c r="C422" s="165">
        <f>IF($S422="","",IF(N($F422)&gt;0,"收款",IF(N($G422)&gt;0,"付款","")))</f>
      </c>
      <c r="D422" s="44">
        <f>IF($S422="","",IF((INDEX(数据录入!$I$5:$I$4999,$S422)&amp;"")&lt;&gt;"",INDEX(数据录入!$I$5:$I$4999,$S422)&amp;"",INDEX(数据录入!$J$5:$J$4999,$S422)&amp;""))</f>
      </c>
      <c r="E422" s="108">
        <f>IF($S422="","",INDEX(数据录入!$E$5:$E$4999,$S422)&amp;"")</f>
      </c>
      <c r="F422" s="114">
        <f>IF($S422="","",N(INDEX(数据录入!$F$5:$F$4999,$S422)))</f>
      </c>
      <c r="G422" s="114">
        <f>IF($S422="","",N(INDEX(数据录入!$G$5:$G$4999,$S422)))</f>
      </c>
      <c r="H422" s="114">
        <f>IF($S422="","",$G$2+SUM($F$8:$F422)-SUM($G$8:$G422))</f>
      </c>
      <c r="Q422" s="44">
        <f>IF(数据录入!$B422="",0,IF(OR(数据录入!$D422="投标保证金",数据录入!$D422="合同履约保证金",ISNUMBER(FIND("保证金",数据录入!$E422))),1,0))</f>
      </c>
      <c r="R422" s="44">
        <f>IF(AND($Q422=1,数据录入!$B422&gt;=$B$2,数据录入!$B422&lt;=$D$2),N(R421)+1,N(R421))</f>
      </c>
      <c r="S422" s="44">
        <f>IFERROR(MATCH(415,$R$5:$R$4999,0),"")</f>
      </c>
    </row>
    <row r="423" s="44" customFormat="1" spans="1:23">
      <c r="A423" s="116">
        <f>IF($S423="","",INDEX(数据录入!$B$5:$B$4999,$S423))</f>
      </c>
      <c r="B423" s="44">
        <f>IF($S423="","",INDEX(数据录入!$C$5:$C$4999,$S423)&amp;"")</f>
      </c>
      <c r="C423" s="165">
        <f>IF($S423="","",IF(N($F423)&gt;0,"收款",IF(N($G423)&gt;0,"付款","")))</f>
      </c>
      <c r="D423" s="44">
        <f>IF($S423="","",IF((INDEX(数据录入!$I$5:$I$4999,$S423)&amp;"")&lt;&gt;"",INDEX(数据录入!$I$5:$I$4999,$S423)&amp;"",INDEX(数据录入!$J$5:$J$4999,$S423)&amp;""))</f>
      </c>
      <c r="E423" s="108">
        <f>IF($S423="","",INDEX(数据录入!$E$5:$E$4999,$S423)&amp;"")</f>
      </c>
      <c r="F423" s="114">
        <f>IF($S423="","",N(INDEX(数据录入!$F$5:$F$4999,$S423)))</f>
      </c>
      <c r="G423" s="114">
        <f>IF($S423="","",N(INDEX(数据录入!$G$5:$G$4999,$S423)))</f>
      </c>
      <c r="H423" s="114">
        <f>IF($S423="","",$G$2+SUM($F$8:$F423)-SUM($G$8:$G423))</f>
      </c>
      <c r="Q423" s="44">
        <f>IF(数据录入!$B423="",0,IF(OR(数据录入!$D423="投标保证金",数据录入!$D423="合同履约保证金",ISNUMBER(FIND("保证金",数据录入!$E423))),1,0))</f>
      </c>
      <c r="R423" s="44">
        <f>IF(AND($Q423=1,数据录入!$B423&gt;=$B$2,数据录入!$B423&lt;=$D$2),N(R422)+1,N(R422))</f>
      </c>
      <c r="S423" s="44">
        <f>IFERROR(MATCH(416,$R$5:$R$4999,0),"")</f>
      </c>
    </row>
    <row r="424" s="44" customFormat="1" spans="1:23">
      <c r="A424" s="116">
        <f>IF($S424="","",INDEX(数据录入!$B$5:$B$4999,$S424))</f>
      </c>
      <c r="B424" s="44">
        <f>IF($S424="","",INDEX(数据录入!$C$5:$C$4999,$S424)&amp;"")</f>
      </c>
      <c r="C424" s="165">
        <f>IF($S424="","",IF(N($F424)&gt;0,"收款",IF(N($G424)&gt;0,"付款","")))</f>
      </c>
      <c r="D424" s="44">
        <f>IF($S424="","",IF((INDEX(数据录入!$I$5:$I$4999,$S424)&amp;"")&lt;&gt;"",INDEX(数据录入!$I$5:$I$4999,$S424)&amp;"",INDEX(数据录入!$J$5:$J$4999,$S424)&amp;""))</f>
      </c>
      <c r="E424" s="108">
        <f>IF($S424="","",INDEX(数据录入!$E$5:$E$4999,$S424)&amp;"")</f>
      </c>
      <c r="F424" s="114">
        <f>IF($S424="","",N(INDEX(数据录入!$F$5:$F$4999,$S424)))</f>
      </c>
      <c r="G424" s="114">
        <f>IF($S424="","",N(INDEX(数据录入!$G$5:$G$4999,$S424)))</f>
      </c>
      <c r="H424" s="114">
        <f>IF($S424="","",$G$2+SUM($F$8:$F424)-SUM($G$8:$G424))</f>
      </c>
      <c r="Q424" s="44">
        <f>IF(数据录入!$B424="",0,IF(OR(数据录入!$D424="投标保证金",数据录入!$D424="合同履约保证金",ISNUMBER(FIND("保证金",数据录入!$E424))),1,0))</f>
      </c>
      <c r="R424" s="44">
        <f>IF(AND($Q424=1,数据录入!$B424&gt;=$B$2,数据录入!$B424&lt;=$D$2),N(R423)+1,N(R423))</f>
      </c>
      <c r="S424" s="44">
        <f>IFERROR(MATCH(417,$R$5:$R$4999,0),"")</f>
      </c>
    </row>
    <row r="425" s="44" customFormat="1" spans="1:23">
      <c r="A425" s="116">
        <f>IF($S425="","",INDEX(数据录入!$B$5:$B$4999,$S425))</f>
      </c>
      <c r="B425" s="44">
        <f>IF($S425="","",INDEX(数据录入!$C$5:$C$4999,$S425)&amp;"")</f>
      </c>
      <c r="C425" s="165">
        <f>IF($S425="","",IF(N($F425)&gt;0,"收款",IF(N($G425)&gt;0,"付款","")))</f>
      </c>
      <c r="D425" s="44">
        <f>IF($S425="","",IF((INDEX(数据录入!$I$5:$I$4999,$S425)&amp;"")&lt;&gt;"",INDEX(数据录入!$I$5:$I$4999,$S425)&amp;"",INDEX(数据录入!$J$5:$J$4999,$S425)&amp;""))</f>
      </c>
      <c r="E425" s="108">
        <f>IF($S425="","",INDEX(数据录入!$E$5:$E$4999,$S425)&amp;"")</f>
      </c>
      <c r="F425" s="114">
        <f>IF($S425="","",N(INDEX(数据录入!$F$5:$F$4999,$S425)))</f>
      </c>
      <c r="G425" s="114">
        <f>IF($S425="","",N(INDEX(数据录入!$G$5:$G$4999,$S425)))</f>
      </c>
      <c r="H425" s="114">
        <f>IF($S425="","",$G$2+SUM($F$8:$F425)-SUM($G$8:$G425))</f>
      </c>
      <c r="Q425" s="44">
        <f>IF(数据录入!$B425="",0,IF(OR(数据录入!$D425="投标保证金",数据录入!$D425="合同履约保证金",ISNUMBER(FIND("保证金",数据录入!$E425))),1,0))</f>
      </c>
      <c r="R425" s="44">
        <f>IF(AND($Q425=1,数据录入!$B425&gt;=$B$2,数据录入!$B425&lt;=$D$2),N(R424)+1,N(R424))</f>
      </c>
      <c r="S425" s="44">
        <f>IFERROR(MATCH(418,$R$5:$R$4999,0),"")</f>
      </c>
    </row>
    <row r="426" s="44" customFormat="1" spans="1:23">
      <c r="A426" s="116">
        <f>IF($S426="","",INDEX(数据录入!$B$5:$B$4999,$S426))</f>
      </c>
      <c r="B426" s="44">
        <f>IF($S426="","",INDEX(数据录入!$C$5:$C$4999,$S426)&amp;"")</f>
      </c>
      <c r="C426" s="165">
        <f>IF($S426="","",IF(N($F426)&gt;0,"收款",IF(N($G426)&gt;0,"付款","")))</f>
      </c>
      <c r="D426" s="44">
        <f>IF($S426="","",IF((INDEX(数据录入!$I$5:$I$4999,$S426)&amp;"")&lt;&gt;"",INDEX(数据录入!$I$5:$I$4999,$S426)&amp;"",INDEX(数据录入!$J$5:$J$4999,$S426)&amp;""))</f>
      </c>
      <c r="E426" s="108">
        <f>IF($S426="","",INDEX(数据录入!$E$5:$E$4999,$S426)&amp;"")</f>
      </c>
      <c r="F426" s="114">
        <f>IF($S426="","",N(INDEX(数据录入!$F$5:$F$4999,$S426)))</f>
      </c>
      <c r="G426" s="114">
        <f>IF($S426="","",N(INDEX(数据录入!$G$5:$G$4999,$S426)))</f>
      </c>
      <c r="H426" s="114">
        <f>IF($S426="","",$G$2+SUM($F$8:$F426)-SUM($G$8:$G426))</f>
      </c>
      <c r="Q426" s="44">
        <f>IF(数据录入!$B426="",0,IF(OR(数据录入!$D426="投标保证金",数据录入!$D426="合同履约保证金",ISNUMBER(FIND("保证金",数据录入!$E426))),1,0))</f>
      </c>
      <c r="R426" s="44">
        <f>IF(AND($Q426=1,数据录入!$B426&gt;=$B$2,数据录入!$B426&lt;=$D$2),N(R425)+1,N(R425))</f>
      </c>
      <c r="S426" s="44">
        <f>IFERROR(MATCH(419,$R$5:$R$4999,0),"")</f>
      </c>
    </row>
    <row r="427" s="44" customFormat="1" spans="1:23">
      <c r="A427" s="116">
        <f>IF($S427="","",INDEX(数据录入!$B$5:$B$4999,$S427))</f>
      </c>
      <c r="B427" s="44">
        <f>IF($S427="","",INDEX(数据录入!$C$5:$C$4999,$S427)&amp;"")</f>
      </c>
      <c r="C427" s="165">
        <f>IF($S427="","",IF(N($F427)&gt;0,"收款",IF(N($G427)&gt;0,"付款","")))</f>
      </c>
      <c r="D427" s="44">
        <f>IF($S427="","",IF((INDEX(数据录入!$I$5:$I$4999,$S427)&amp;"")&lt;&gt;"",INDEX(数据录入!$I$5:$I$4999,$S427)&amp;"",INDEX(数据录入!$J$5:$J$4999,$S427)&amp;""))</f>
      </c>
      <c r="E427" s="108">
        <f>IF($S427="","",INDEX(数据录入!$E$5:$E$4999,$S427)&amp;"")</f>
      </c>
      <c r="F427" s="114">
        <f>IF($S427="","",N(INDEX(数据录入!$F$5:$F$4999,$S427)))</f>
      </c>
      <c r="G427" s="114">
        <f>IF($S427="","",N(INDEX(数据录入!$G$5:$G$4999,$S427)))</f>
      </c>
      <c r="H427" s="114">
        <f>IF($S427="","",$G$2+SUM($F$8:$F427)-SUM($G$8:$G427))</f>
      </c>
      <c r="Q427" s="44">
        <f>IF(数据录入!$B427="",0,IF(OR(数据录入!$D427="投标保证金",数据录入!$D427="合同履约保证金",ISNUMBER(FIND("保证金",数据录入!$E427))),1,0))</f>
      </c>
      <c r="R427" s="44">
        <f>IF(AND($Q427=1,数据录入!$B427&gt;=$B$2,数据录入!$B427&lt;=$D$2),N(R426)+1,N(R426))</f>
      </c>
      <c r="S427" s="44">
        <f>IFERROR(MATCH(420,$R$5:$R$4999,0),"")</f>
      </c>
    </row>
    <row r="428" s="44" customFormat="1" spans="1:23">
      <c r="A428" s="116">
        <f>IF($S428="","",INDEX(数据录入!$B$5:$B$4999,$S428))</f>
      </c>
      <c r="B428" s="44">
        <f>IF($S428="","",INDEX(数据录入!$C$5:$C$4999,$S428)&amp;"")</f>
      </c>
      <c r="C428" s="165">
        <f>IF($S428="","",IF(N($F428)&gt;0,"收款",IF(N($G428)&gt;0,"付款","")))</f>
      </c>
      <c r="D428" s="44">
        <f>IF($S428="","",IF((INDEX(数据录入!$I$5:$I$4999,$S428)&amp;"")&lt;&gt;"",INDEX(数据录入!$I$5:$I$4999,$S428)&amp;"",INDEX(数据录入!$J$5:$J$4999,$S428)&amp;""))</f>
      </c>
      <c r="E428" s="108">
        <f>IF($S428="","",INDEX(数据录入!$E$5:$E$4999,$S428)&amp;"")</f>
      </c>
      <c r="F428" s="114">
        <f>IF($S428="","",N(INDEX(数据录入!$F$5:$F$4999,$S428)))</f>
      </c>
      <c r="G428" s="114">
        <f>IF($S428="","",N(INDEX(数据录入!$G$5:$G$4999,$S428)))</f>
      </c>
      <c r="H428" s="114">
        <f>IF($S428="","",$G$2+SUM($F$8:$F428)-SUM($G$8:$G428))</f>
      </c>
      <c r="Q428" s="44">
        <f>IF(数据录入!$B428="",0,IF(OR(数据录入!$D428="投标保证金",数据录入!$D428="合同履约保证金",ISNUMBER(FIND("保证金",数据录入!$E428))),1,0))</f>
      </c>
      <c r="R428" s="44">
        <f>IF(AND($Q428=1,数据录入!$B428&gt;=$B$2,数据录入!$B428&lt;=$D$2),N(R427)+1,N(R427))</f>
      </c>
      <c r="S428" s="44">
        <f>IFERROR(MATCH(421,$R$5:$R$4999,0),"")</f>
      </c>
    </row>
    <row r="429" s="44" customFormat="1" spans="1:23">
      <c r="A429" s="116">
        <f>IF($S429="","",INDEX(数据录入!$B$5:$B$4999,$S429))</f>
      </c>
      <c r="B429" s="44">
        <f>IF($S429="","",INDEX(数据录入!$C$5:$C$4999,$S429)&amp;"")</f>
      </c>
      <c r="C429" s="165">
        <f>IF($S429="","",IF(N($F429)&gt;0,"收款",IF(N($G429)&gt;0,"付款","")))</f>
      </c>
      <c r="D429" s="44">
        <f>IF($S429="","",IF((INDEX(数据录入!$I$5:$I$4999,$S429)&amp;"")&lt;&gt;"",INDEX(数据录入!$I$5:$I$4999,$S429)&amp;"",INDEX(数据录入!$J$5:$J$4999,$S429)&amp;""))</f>
      </c>
      <c r="E429" s="108">
        <f>IF($S429="","",INDEX(数据录入!$E$5:$E$4999,$S429)&amp;"")</f>
      </c>
      <c r="F429" s="114">
        <f>IF($S429="","",N(INDEX(数据录入!$F$5:$F$4999,$S429)))</f>
      </c>
      <c r="G429" s="114">
        <f>IF($S429="","",N(INDEX(数据录入!$G$5:$G$4999,$S429)))</f>
      </c>
      <c r="H429" s="114">
        <f>IF($S429="","",$G$2+SUM($F$8:$F429)-SUM($G$8:$G429))</f>
      </c>
      <c r="Q429" s="44">
        <f>IF(数据录入!$B429="",0,IF(OR(数据录入!$D429="投标保证金",数据录入!$D429="合同履约保证金",ISNUMBER(FIND("保证金",数据录入!$E429))),1,0))</f>
      </c>
      <c r="R429" s="44">
        <f>IF(AND($Q429=1,数据录入!$B429&gt;=$B$2,数据录入!$B429&lt;=$D$2),N(R428)+1,N(R428))</f>
      </c>
      <c r="S429" s="44">
        <f>IFERROR(MATCH(422,$R$5:$R$4999,0),"")</f>
      </c>
    </row>
    <row r="430" s="44" customFormat="1" spans="1:23">
      <c r="A430" s="116">
        <f>IF($S430="","",INDEX(数据录入!$B$5:$B$4999,$S430))</f>
      </c>
      <c r="B430" s="44">
        <f>IF($S430="","",INDEX(数据录入!$C$5:$C$4999,$S430)&amp;"")</f>
      </c>
      <c r="C430" s="165">
        <f>IF($S430="","",IF(N($F430)&gt;0,"收款",IF(N($G430)&gt;0,"付款","")))</f>
      </c>
      <c r="D430" s="44">
        <f>IF($S430="","",IF((INDEX(数据录入!$I$5:$I$4999,$S430)&amp;"")&lt;&gt;"",INDEX(数据录入!$I$5:$I$4999,$S430)&amp;"",INDEX(数据录入!$J$5:$J$4999,$S430)&amp;""))</f>
      </c>
      <c r="E430" s="108">
        <f>IF($S430="","",INDEX(数据录入!$E$5:$E$4999,$S430)&amp;"")</f>
      </c>
      <c r="F430" s="114">
        <f>IF($S430="","",N(INDEX(数据录入!$F$5:$F$4999,$S430)))</f>
      </c>
      <c r="G430" s="114">
        <f>IF($S430="","",N(INDEX(数据录入!$G$5:$G$4999,$S430)))</f>
      </c>
      <c r="H430" s="114">
        <f>IF($S430="","",$G$2+SUM($F$8:$F430)-SUM($G$8:$G430))</f>
      </c>
      <c r="Q430" s="44">
        <f>IF(数据录入!$B430="",0,IF(OR(数据录入!$D430="投标保证金",数据录入!$D430="合同履约保证金",ISNUMBER(FIND("保证金",数据录入!$E430))),1,0))</f>
      </c>
      <c r="R430" s="44">
        <f>IF(AND($Q430=1,数据录入!$B430&gt;=$B$2,数据录入!$B430&lt;=$D$2),N(R429)+1,N(R429))</f>
      </c>
      <c r="S430" s="44">
        <f>IFERROR(MATCH(423,$R$5:$R$4999,0),"")</f>
      </c>
    </row>
    <row r="431" s="44" customFormat="1" spans="1:23">
      <c r="A431" s="116">
        <f>IF($S431="","",INDEX(数据录入!$B$5:$B$4999,$S431))</f>
      </c>
      <c r="B431" s="44">
        <f>IF($S431="","",INDEX(数据录入!$C$5:$C$4999,$S431)&amp;"")</f>
      </c>
      <c r="C431" s="165">
        <f>IF($S431="","",IF(N($F431)&gt;0,"收款",IF(N($G431)&gt;0,"付款","")))</f>
      </c>
      <c r="D431" s="44">
        <f>IF($S431="","",IF((INDEX(数据录入!$I$5:$I$4999,$S431)&amp;"")&lt;&gt;"",INDEX(数据录入!$I$5:$I$4999,$S431)&amp;"",INDEX(数据录入!$J$5:$J$4999,$S431)&amp;""))</f>
      </c>
      <c r="E431" s="108">
        <f>IF($S431="","",INDEX(数据录入!$E$5:$E$4999,$S431)&amp;"")</f>
      </c>
      <c r="F431" s="114">
        <f>IF($S431="","",N(INDEX(数据录入!$F$5:$F$4999,$S431)))</f>
      </c>
      <c r="G431" s="114">
        <f>IF($S431="","",N(INDEX(数据录入!$G$5:$G$4999,$S431)))</f>
      </c>
      <c r="H431" s="114">
        <f>IF($S431="","",$G$2+SUM($F$8:$F431)-SUM($G$8:$G431))</f>
      </c>
      <c r="Q431" s="44">
        <f>IF(数据录入!$B431="",0,IF(OR(数据录入!$D431="投标保证金",数据录入!$D431="合同履约保证金",ISNUMBER(FIND("保证金",数据录入!$E431))),1,0))</f>
      </c>
      <c r="R431" s="44">
        <f>IF(AND($Q431=1,数据录入!$B431&gt;=$B$2,数据录入!$B431&lt;=$D$2),N(R430)+1,N(R430))</f>
      </c>
      <c r="S431" s="44">
        <f>IFERROR(MATCH(424,$R$5:$R$4999,0),"")</f>
      </c>
    </row>
    <row r="432" s="44" customFormat="1" spans="1:23">
      <c r="A432" s="116">
        <f>IF($S432="","",INDEX(数据录入!$B$5:$B$4999,$S432))</f>
      </c>
      <c r="B432" s="44">
        <f>IF($S432="","",INDEX(数据录入!$C$5:$C$4999,$S432)&amp;"")</f>
      </c>
      <c r="C432" s="165">
        <f>IF($S432="","",IF(N($F432)&gt;0,"收款",IF(N($G432)&gt;0,"付款","")))</f>
      </c>
      <c r="D432" s="44">
        <f>IF($S432="","",IF((INDEX(数据录入!$I$5:$I$4999,$S432)&amp;"")&lt;&gt;"",INDEX(数据录入!$I$5:$I$4999,$S432)&amp;"",INDEX(数据录入!$J$5:$J$4999,$S432)&amp;""))</f>
      </c>
      <c r="E432" s="108">
        <f>IF($S432="","",INDEX(数据录入!$E$5:$E$4999,$S432)&amp;"")</f>
      </c>
      <c r="F432" s="114">
        <f>IF($S432="","",N(INDEX(数据录入!$F$5:$F$4999,$S432)))</f>
      </c>
      <c r="G432" s="114">
        <f>IF($S432="","",N(INDEX(数据录入!$G$5:$G$4999,$S432)))</f>
      </c>
      <c r="H432" s="114">
        <f>IF($S432="","",$G$2+SUM($F$8:$F432)-SUM($G$8:$G432))</f>
      </c>
      <c r="Q432" s="44">
        <f>IF(数据录入!$B432="",0,IF(OR(数据录入!$D432="投标保证金",数据录入!$D432="合同履约保证金",ISNUMBER(FIND("保证金",数据录入!$E432))),1,0))</f>
      </c>
      <c r="R432" s="44">
        <f>IF(AND($Q432=1,数据录入!$B432&gt;=$B$2,数据录入!$B432&lt;=$D$2),N(R431)+1,N(R431))</f>
      </c>
      <c r="S432" s="44">
        <f>IFERROR(MATCH(425,$R$5:$R$4999,0),"")</f>
      </c>
    </row>
    <row r="433" s="44" customFormat="1" spans="1:23">
      <c r="A433" s="116">
        <f>IF($S433="","",INDEX(数据录入!$B$5:$B$4999,$S433))</f>
      </c>
      <c r="B433" s="44">
        <f>IF($S433="","",INDEX(数据录入!$C$5:$C$4999,$S433)&amp;"")</f>
      </c>
      <c r="C433" s="165">
        <f>IF($S433="","",IF(N($F433)&gt;0,"收款",IF(N($G433)&gt;0,"付款","")))</f>
      </c>
      <c r="D433" s="44">
        <f>IF($S433="","",IF((INDEX(数据录入!$I$5:$I$4999,$S433)&amp;"")&lt;&gt;"",INDEX(数据录入!$I$5:$I$4999,$S433)&amp;"",INDEX(数据录入!$J$5:$J$4999,$S433)&amp;""))</f>
      </c>
      <c r="E433" s="108">
        <f>IF($S433="","",INDEX(数据录入!$E$5:$E$4999,$S433)&amp;"")</f>
      </c>
      <c r="F433" s="114">
        <f>IF($S433="","",N(INDEX(数据录入!$F$5:$F$4999,$S433)))</f>
      </c>
      <c r="G433" s="114">
        <f>IF($S433="","",N(INDEX(数据录入!$G$5:$G$4999,$S433)))</f>
      </c>
      <c r="H433" s="114">
        <f>IF($S433="","",$G$2+SUM($F$8:$F433)-SUM($G$8:$G433))</f>
      </c>
      <c r="Q433" s="44">
        <f>IF(数据录入!$B433="",0,IF(OR(数据录入!$D433="投标保证金",数据录入!$D433="合同履约保证金",ISNUMBER(FIND("保证金",数据录入!$E433))),1,0))</f>
      </c>
      <c r="R433" s="44">
        <f>IF(AND($Q433=1,数据录入!$B433&gt;=$B$2,数据录入!$B433&lt;=$D$2),N(R432)+1,N(R432))</f>
      </c>
      <c r="S433" s="44">
        <f>IFERROR(MATCH(426,$R$5:$R$4999,0),"")</f>
      </c>
    </row>
    <row r="434" s="44" customFormat="1" spans="1:23">
      <c r="A434" s="116">
        <f>IF($S434="","",INDEX(数据录入!$B$5:$B$4999,$S434))</f>
      </c>
      <c r="B434" s="44">
        <f>IF($S434="","",INDEX(数据录入!$C$5:$C$4999,$S434)&amp;"")</f>
      </c>
      <c r="C434" s="165">
        <f>IF($S434="","",IF(N($F434)&gt;0,"收款",IF(N($G434)&gt;0,"付款","")))</f>
      </c>
      <c r="D434" s="44">
        <f>IF($S434="","",IF((INDEX(数据录入!$I$5:$I$4999,$S434)&amp;"")&lt;&gt;"",INDEX(数据录入!$I$5:$I$4999,$S434)&amp;"",INDEX(数据录入!$J$5:$J$4999,$S434)&amp;""))</f>
      </c>
      <c r="E434" s="108">
        <f>IF($S434="","",INDEX(数据录入!$E$5:$E$4999,$S434)&amp;"")</f>
      </c>
      <c r="F434" s="114">
        <f>IF($S434="","",N(INDEX(数据录入!$F$5:$F$4999,$S434)))</f>
      </c>
      <c r="G434" s="114">
        <f>IF($S434="","",N(INDEX(数据录入!$G$5:$G$4999,$S434)))</f>
      </c>
      <c r="H434" s="114">
        <f>IF($S434="","",$G$2+SUM($F$8:$F434)-SUM($G$8:$G434))</f>
      </c>
      <c r="Q434" s="44">
        <f>IF(数据录入!$B434="",0,IF(OR(数据录入!$D434="投标保证金",数据录入!$D434="合同履约保证金",ISNUMBER(FIND("保证金",数据录入!$E434))),1,0))</f>
      </c>
      <c r="R434" s="44">
        <f>IF(AND($Q434=1,数据录入!$B434&gt;=$B$2,数据录入!$B434&lt;=$D$2),N(R433)+1,N(R433))</f>
      </c>
      <c r="S434" s="44">
        <f>IFERROR(MATCH(427,$R$5:$R$4999,0),"")</f>
      </c>
    </row>
    <row r="435" s="44" customFormat="1" spans="1:23">
      <c r="A435" s="116">
        <f>IF($S435="","",INDEX(数据录入!$B$5:$B$4999,$S435))</f>
      </c>
      <c r="B435" s="44">
        <f>IF($S435="","",INDEX(数据录入!$C$5:$C$4999,$S435)&amp;"")</f>
      </c>
      <c r="C435" s="165">
        <f>IF($S435="","",IF(N($F435)&gt;0,"收款",IF(N($G435)&gt;0,"付款","")))</f>
      </c>
      <c r="D435" s="44">
        <f>IF($S435="","",IF((INDEX(数据录入!$I$5:$I$4999,$S435)&amp;"")&lt;&gt;"",INDEX(数据录入!$I$5:$I$4999,$S435)&amp;"",INDEX(数据录入!$J$5:$J$4999,$S435)&amp;""))</f>
      </c>
      <c r="E435" s="108">
        <f>IF($S435="","",INDEX(数据录入!$E$5:$E$4999,$S435)&amp;"")</f>
      </c>
      <c r="F435" s="114">
        <f>IF($S435="","",N(INDEX(数据录入!$F$5:$F$4999,$S435)))</f>
      </c>
      <c r="G435" s="114">
        <f>IF($S435="","",N(INDEX(数据录入!$G$5:$G$4999,$S435)))</f>
      </c>
      <c r="H435" s="114">
        <f>IF($S435="","",$G$2+SUM($F$8:$F435)-SUM($G$8:$G435))</f>
      </c>
      <c r="Q435" s="44">
        <f>IF(数据录入!$B435="",0,IF(OR(数据录入!$D435="投标保证金",数据录入!$D435="合同履约保证金",ISNUMBER(FIND("保证金",数据录入!$E435))),1,0))</f>
      </c>
      <c r="R435" s="44">
        <f>IF(AND($Q435=1,数据录入!$B435&gt;=$B$2,数据录入!$B435&lt;=$D$2),N(R434)+1,N(R434))</f>
      </c>
      <c r="S435" s="44">
        <f>IFERROR(MATCH(428,$R$5:$R$4999,0),"")</f>
      </c>
    </row>
    <row r="436" s="44" customFormat="1" spans="1:23">
      <c r="A436" s="116">
        <f>IF($S436="","",INDEX(数据录入!$B$5:$B$4999,$S436))</f>
      </c>
      <c r="B436" s="44">
        <f>IF($S436="","",INDEX(数据录入!$C$5:$C$4999,$S436)&amp;"")</f>
      </c>
      <c r="C436" s="165">
        <f>IF($S436="","",IF(N($F436)&gt;0,"收款",IF(N($G436)&gt;0,"付款","")))</f>
      </c>
      <c r="D436" s="44">
        <f>IF($S436="","",IF((INDEX(数据录入!$I$5:$I$4999,$S436)&amp;"")&lt;&gt;"",INDEX(数据录入!$I$5:$I$4999,$S436)&amp;"",INDEX(数据录入!$J$5:$J$4999,$S436)&amp;""))</f>
      </c>
      <c r="E436" s="108">
        <f>IF($S436="","",INDEX(数据录入!$E$5:$E$4999,$S436)&amp;"")</f>
      </c>
      <c r="F436" s="114">
        <f>IF($S436="","",N(INDEX(数据录入!$F$5:$F$4999,$S436)))</f>
      </c>
      <c r="G436" s="114">
        <f>IF($S436="","",N(INDEX(数据录入!$G$5:$G$4999,$S436)))</f>
      </c>
      <c r="H436" s="114">
        <f>IF($S436="","",$G$2+SUM($F$8:$F436)-SUM($G$8:$G436))</f>
      </c>
      <c r="Q436" s="44">
        <f>IF(数据录入!$B436="",0,IF(OR(数据录入!$D436="投标保证金",数据录入!$D436="合同履约保证金",ISNUMBER(FIND("保证金",数据录入!$E436))),1,0))</f>
      </c>
      <c r="R436" s="44">
        <f>IF(AND($Q436=1,数据录入!$B436&gt;=$B$2,数据录入!$B436&lt;=$D$2),N(R435)+1,N(R435))</f>
      </c>
      <c r="S436" s="44">
        <f>IFERROR(MATCH(429,$R$5:$R$4999,0),"")</f>
      </c>
    </row>
    <row r="437" s="44" customFormat="1" spans="1:23">
      <c r="A437" s="116">
        <f>IF($S437="","",INDEX(数据录入!$B$5:$B$4999,$S437))</f>
      </c>
      <c r="B437" s="44">
        <f>IF($S437="","",INDEX(数据录入!$C$5:$C$4999,$S437)&amp;"")</f>
      </c>
      <c r="C437" s="165">
        <f>IF($S437="","",IF(N($F437)&gt;0,"收款",IF(N($G437)&gt;0,"付款","")))</f>
      </c>
      <c r="D437" s="44">
        <f>IF($S437="","",IF((INDEX(数据录入!$I$5:$I$4999,$S437)&amp;"")&lt;&gt;"",INDEX(数据录入!$I$5:$I$4999,$S437)&amp;"",INDEX(数据录入!$J$5:$J$4999,$S437)&amp;""))</f>
      </c>
      <c r="E437" s="108">
        <f>IF($S437="","",INDEX(数据录入!$E$5:$E$4999,$S437)&amp;"")</f>
      </c>
      <c r="F437" s="114">
        <f>IF($S437="","",N(INDEX(数据录入!$F$5:$F$4999,$S437)))</f>
      </c>
      <c r="G437" s="114">
        <f>IF($S437="","",N(INDEX(数据录入!$G$5:$G$4999,$S437)))</f>
      </c>
      <c r="H437" s="114">
        <f>IF($S437="","",$G$2+SUM($F$8:$F437)-SUM($G$8:$G437))</f>
      </c>
      <c r="Q437" s="44">
        <f>IF(数据录入!$B437="",0,IF(OR(数据录入!$D437="投标保证金",数据录入!$D437="合同履约保证金",ISNUMBER(FIND("保证金",数据录入!$E437))),1,0))</f>
      </c>
      <c r="R437" s="44">
        <f>IF(AND($Q437=1,数据录入!$B437&gt;=$B$2,数据录入!$B437&lt;=$D$2),N(R436)+1,N(R436))</f>
      </c>
      <c r="S437" s="44">
        <f>IFERROR(MATCH(430,$R$5:$R$4999,0),"")</f>
      </c>
    </row>
    <row r="438" s="44" customFormat="1" spans="1:23">
      <c r="A438" s="116">
        <f>IF($S438="","",INDEX(数据录入!$B$5:$B$4999,$S438))</f>
      </c>
      <c r="B438" s="44">
        <f>IF($S438="","",INDEX(数据录入!$C$5:$C$4999,$S438)&amp;"")</f>
      </c>
      <c r="C438" s="165">
        <f>IF($S438="","",IF(N($F438)&gt;0,"收款",IF(N($G438)&gt;0,"付款","")))</f>
      </c>
      <c r="D438" s="44">
        <f>IF($S438="","",IF((INDEX(数据录入!$I$5:$I$4999,$S438)&amp;"")&lt;&gt;"",INDEX(数据录入!$I$5:$I$4999,$S438)&amp;"",INDEX(数据录入!$J$5:$J$4999,$S438)&amp;""))</f>
      </c>
      <c r="E438" s="108">
        <f>IF($S438="","",INDEX(数据录入!$E$5:$E$4999,$S438)&amp;"")</f>
      </c>
      <c r="F438" s="114">
        <f>IF($S438="","",N(INDEX(数据录入!$F$5:$F$4999,$S438)))</f>
      </c>
      <c r="G438" s="114">
        <f>IF($S438="","",N(INDEX(数据录入!$G$5:$G$4999,$S438)))</f>
      </c>
      <c r="H438" s="114">
        <f>IF($S438="","",$G$2+SUM($F$8:$F438)-SUM($G$8:$G438))</f>
      </c>
      <c r="Q438" s="44">
        <f>IF(数据录入!$B438="",0,IF(OR(数据录入!$D438="投标保证金",数据录入!$D438="合同履约保证金",ISNUMBER(FIND("保证金",数据录入!$E438))),1,0))</f>
      </c>
      <c r="R438" s="44">
        <f>IF(AND($Q438=1,数据录入!$B438&gt;=$B$2,数据录入!$B438&lt;=$D$2),N(R437)+1,N(R437))</f>
      </c>
      <c r="S438" s="44">
        <f>IFERROR(MATCH(431,$R$5:$R$4999,0),"")</f>
      </c>
    </row>
    <row r="439" s="44" customFormat="1" spans="1:23">
      <c r="A439" s="116">
        <f>IF($S439="","",INDEX(数据录入!$B$5:$B$4999,$S439))</f>
      </c>
      <c r="B439" s="44">
        <f>IF($S439="","",INDEX(数据录入!$C$5:$C$4999,$S439)&amp;"")</f>
      </c>
      <c r="C439" s="165">
        <f>IF($S439="","",IF(N($F439)&gt;0,"收款",IF(N($G439)&gt;0,"付款","")))</f>
      </c>
      <c r="D439" s="44">
        <f>IF($S439="","",IF((INDEX(数据录入!$I$5:$I$4999,$S439)&amp;"")&lt;&gt;"",INDEX(数据录入!$I$5:$I$4999,$S439)&amp;"",INDEX(数据录入!$J$5:$J$4999,$S439)&amp;""))</f>
      </c>
      <c r="E439" s="108">
        <f>IF($S439="","",INDEX(数据录入!$E$5:$E$4999,$S439)&amp;"")</f>
      </c>
      <c r="F439" s="114">
        <f>IF($S439="","",N(INDEX(数据录入!$F$5:$F$4999,$S439)))</f>
      </c>
      <c r="G439" s="114">
        <f>IF($S439="","",N(INDEX(数据录入!$G$5:$G$4999,$S439)))</f>
      </c>
      <c r="H439" s="114">
        <f>IF($S439="","",$G$2+SUM($F$8:$F439)-SUM($G$8:$G439))</f>
      </c>
      <c r="Q439" s="44">
        <f>IF(数据录入!$B439="",0,IF(OR(数据录入!$D439="投标保证金",数据录入!$D439="合同履约保证金",ISNUMBER(FIND("保证金",数据录入!$E439))),1,0))</f>
      </c>
      <c r="R439" s="44">
        <f>IF(AND($Q439=1,数据录入!$B439&gt;=$B$2,数据录入!$B439&lt;=$D$2),N(R438)+1,N(R438))</f>
      </c>
      <c r="S439" s="44">
        <f>IFERROR(MATCH(432,$R$5:$R$4999,0),"")</f>
      </c>
    </row>
    <row r="440" s="44" customFormat="1" spans="1:23">
      <c r="A440" s="116">
        <f>IF($S440="","",INDEX(数据录入!$B$5:$B$4999,$S440))</f>
      </c>
      <c r="B440" s="44">
        <f>IF($S440="","",INDEX(数据录入!$C$5:$C$4999,$S440)&amp;"")</f>
      </c>
      <c r="C440" s="165">
        <f>IF($S440="","",IF(N($F440)&gt;0,"收款",IF(N($G440)&gt;0,"付款","")))</f>
      </c>
      <c r="D440" s="44">
        <f>IF($S440="","",IF((INDEX(数据录入!$I$5:$I$4999,$S440)&amp;"")&lt;&gt;"",INDEX(数据录入!$I$5:$I$4999,$S440)&amp;"",INDEX(数据录入!$J$5:$J$4999,$S440)&amp;""))</f>
      </c>
      <c r="E440" s="108">
        <f>IF($S440="","",INDEX(数据录入!$E$5:$E$4999,$S440)&amp;"")</f>
      </c>
      <c r="F440" s="114">
        <f>IF($S440="","",N(INDEX(数据录入!$F$5:$F$4999,$S440)))</f>
      </c>
      <c r="G440" s="114">
        <f>IF($S440="","",N(INDEX(数据录入!$G$5:$G$4999,$S440)))</f>
      </c>
      <c r="H440" s="114">
        <f>IF($S440="","",$G$2+SUM($F$8:$F440)-SUM($G$8:$G440))</f>
      </c>
      <c r="Q440" s="44">
        <f>IF(数据录入!$B440="",0,IF(OR(数据录入!$D440="投标保证金",数据录入!$D440="合同履约保证金",ISNUMBER(FIND("保证金",数据录入!$E440))),1,0))</f>
      </c>
      <c r="R440" s="44">
        <f>IF(AND($Q440=1,数据录入!$B440&gt;=$B$2,数据录入!$B440&lt;=$D$2),N(R439)+1,N(R439))</f>
      </c>
      <c r="S440" s="44">
        <f>IFERROR(MATCH(433,$R$5:$R$4999,0),"")</f>
      </c>
    </row>
    <row r="441" s="44" customFormat="1" spans="1:23">
      <c r="A441" s="116">
        <f>IF($S441="","",INDEX(数据录入!$B$5:$B$4999,$S441))</f>
      </c>
      <c r="B441" s="44">
        <f>IF($S441="","",INDEX(数据录入!$C$5:$C$4999,$S441)&amp;"")</f>
      </c>
      <c r="C441" s="165">
        <f>IF($S441="","",IF(N($F441)&gt;0,"收款",IF(N($G441)&gt;0,"付款","")))</f>
      </c>
      <c r="D441" s="44">
        <f>IF($S441="","",IF((INDEX(数据录入!$I$5:$I$4999,$S441)&amp;"")&lt;&gt;"",INDEX(数据录入!$I$5:$I$4999,$S441)&amp;"",INDEX(数据录入!$J$5:$J$4999,$S441)&amp;""))</f>
      </c>
      <c r="E441" s="108">
        <f>IF($S441="","",INDEX(数据录入!$E$5:$E$4999,$S441)&amp;"")</f>
      </c>
      <c r="F441" s="114">
        <f>IF($S441="","",N(INDEX(数据录入!$F$5:$F$4999,$S441)))</f>
      </c>
      <c r="G441" s="114">
        <f>IF($S441="","",N(INDEX(数据录入!$G$5:$G$4999,$S441)))</f>
      </c>
      <c r="H441" s="114">
        <f>IF($S441="","",$G$2+SUM($F$8:$F441)-SUM($G$8:$G441))</f>
      </c>
      <c r="Q441" s="44">
        <f>IF(数据录入!$B441="",0,IF(OR(数据录入!$D441="投标保证金",数据录入!$D441="合同履约保证金",ISNUMBER(FIND("保证金",数据录入!$E441))),1,0))</f>
      </c>
      <c r="R441" s="44">
        <f>IF(AND($Q441=1,数据录入!$B441&gt;=$B$2,数据录入!$B441&lt;=$D$2),N(R440)+1,N(R440))</f>
      </c>
      <c r="S441" s="44">
        <f>IFERROR(MATCH(434,$R$5:$R$4999,0),"")</f>
      </c>
    </row>
    <row r="442" s="44" customFormat="1" spans="1:23">
      <c r="A442" s="116">
        <f>IF($S442="","",INDEX(数据录入!$B$5:$B$4999,$S442))</f>
      </c>
      <c r="B442" s="44">
        <f>IF($S442="","",INDEX(数据录入!$C$5:$C$4999,$S442)&amp;"")</f>
      </c>
      <c r="C442" s="165">
        <f>IF($S442="","",IF(N($F442)&gt;0,"收款",IF(N($G442)&gt;0,"付款","")))</f>
      </c>
      <c r="D442" s="44">
        <f>IF($S442="","",IF((INDEX(数据录入!$I$5:$I$4999,$S442)&amp;"")&lt;&gt;"",INDEX(数据录入!$I$5:$I$4999,$S442)&amp;"",INDEX(数据录入!$J$5:$J$4999,$S442)&amp;""))</f>
      </c>
      <c r="E442" s="108">
        <f>IF($S442="","",INDEX(数据录入!$E$5:$E$4999,$S442)&amp;"")</f>
      </c>
      <c r="F442" s="114">
        <f>IF($S442="","",N(INDEX(数据录入!$F$5:$F$4999,$S442)))</f>
      </c>
      <c r="G442" s="114">
        <f>IF($S442="","",N(INDEX(数据录入!$G$5:$G$4999,$S442)))</f>
      </c>
      <c r="H442" s="114">
        <f>IF($S442="","",$G$2+SUM($F$8:$F442)-SUM($G$8:$G442))</f>
      </c>
      <c r="Q442" s="44">
        <f>IF(数据录入!$B442="",0,IF(OR(数据录入!$D442="投标保证金",数据录入!$D442="合同履约保证金",ISNUMBER(FIND("保证金",数据录入!$E442))),1,0))</f>
      </c>
      <c r="R442" s="44">
        <f>IF(AND($Q442=1,数据录入!$B442&gt;=$B$2,数据录入!$B442&lt;=$D$2),N(R441)+1,N(R441))</f>
      </c>
      <c r="S442" s="44">
        <f>IFERROR(MATCH(435,$R$5:$R$4999,0),"")</f>
      </c>
    </row>
    <row r="443" s="44" customFormat="1" spans="1:23">
      <c r="A443" s="116">
        <f>IF($S443="","",INDEX(数据录入!$B$5:$B$4999,$S443))</f>
      </c>
      <c r="B443" s="44">
        <f>IF($S443="","",INDEX(数据录入!$C$5:$C$4999,$S443)&amp;"")</f>
      </c>
      <c r="C443" s="165">
        <f>IF($S443="","",IF(N($F443)&gt;0,"收款",IF(N($G443)&gt;0,"付款","")))</f>
      </c>
      <c r="D443" s="44">
        <f>IF($S443="","",IF((INDEX(数据录入!$I$5:$I$4999,$S443)&amp;"")&lt;&gt;"",INDEX(数据录入!$I$5:$I$4999,$S443)&amp;"",INDEX(数据录入!$J$5:$J$4999,$S443)&amp;""))</f>
      </c>
      <c r="E443" s="108">
        <f>IF($S443="","",INDEX(数据录入!$E$5:$E$4999,$S443)&amp;"")</f>
      </c>
      <c r="F443" s="114">
        <f>IF($S443="","",N(INDEX(数据录入!$F$5:$F$4999,$S443)))</f>
      </c>
      <c r="G443" s="114">
        <f>IF($S443="","",N(INDEX(数据录入!$G$5:$G$4999,$S443)))</f>
      </c>
      <c r="H443" s="114">
        <f>IF($S443="","",$G$2+SUM($F$8:$F443)-SUM($G$8:$G443))</f>
      </c>
      <c r="Q443" s="44">
        <f>IF(数据录入!$B443="",0,IF(OR(数据录入!$D443="投标保证金",数据录入!$D443="合同履约保证金",ISNUMBER(FIND("保证金",数据录入!$E443))),1,0))</f>
      </c>
      <c r="R443" s="44">
        <f>IF(AND($Q443=1,数据录入!$B443&gt;=$B$2,数据录入!$B443&lt;=$D$2),N(R442)+1,N(R442))</f>
      </c>
      <c r="S443" s="44">
        <f>IFERROR(MATCH(436,$R$5:$R$4999,0),"")</f>
      </c>
    </row>
    <row r="444" s="44" customFormat="1" spans="1:23">
      <c r="A444" s="116">
        <f>IF($S444="","",INDEX(数据录入!$B$5:$B$4999,$S444))</f>
      </c>
      <c r="B444" s="44">
        <f>IF($S444="","",INDEX(数据录入!$C$5:$C$4999,$S444)&amp;"")</f>
      </c>
      <c r="C444" s="165">
        <f>IF($S444="","",IF(N($F444)&gt;0,"收款",IF(N($G444)&gt;0,"付款","")))</f>
      </c>
      <c r="D444" s="44">
        <f>IF($S444="","",IF((INDEX(数据录入!$I$5:$I$4999,$S444)&amp;"")&lt;&gt;"",INDEX(数据录入!$I$5:$I$4999,$S444)&amp;"",INDEX(数据录入!$J$5:$J$4999,$S444)&amp;""))</f>
      </c>
      <c r="E444" s="108">
        <f>IF($S444="","",INDEX(数据录入!$E$5:$E$4999,$S444)&amp;"")</f>
      </c>
      <c r="F444" s="114">
        <f>IF($S444="","",N(INDEX(数据录入!$F$5:$F$4999,$S444)))</f>
      </c>
      <c r="G444" s="114">
        <f>IF($S444="","",N(INDEX(数据录入!$G$5:$G$4999,$S444)))</f>
      </c>
      <c r="H444" s="114">
        <f>IF($S444="","",$G$2+SUM($F$8:$F444)-SUM($G$8:$G444))</f>
      </c>
      <c r="Q444" s="44">
        <f>IF(数据录入!$B444="",0,IF(OR(数据录入!$D444="投标保证金",数据录入!$D444="合同履约保证金",ISNUMBER(FIND("保证金",数据录入!$E444))),1,0))</f>
      </c>
      <c r="R444" s="44">
        <f>IF(AND($Q444=1,数据录入!$B444&gt;=$B$2,数据录入!$B444&lt;=$D$2),N(R443)+1,N(R443))</f>
      </c>
      <c r="S444" s="44">
        <f>IFERROR(MATCH(437,$R$5:$R$4999,0),"")</f>
      </c>
    </row>
    <row r="445" s="44" customFormat="1" spans="1:23">
      <c r="A445" s="116">
        <f>IF($S445="","",INDEX(数据录入!$B$5:$B$4999,$S445))</f>
      </c>
      <c r="B445" s="44">
        <f>IF($S445="","",INDEX(数据录入!$C$5:$C$4999,$S445)&amp;"")</f>
      </c>
      <c r="C445" s="165">
        <f>IF($S445="","",IF(N($F445)&gt;0,"收款",IF(N($G445)&gt;0,"付款","")))</f>
      </c>
      <c r="D445" s="44">
        <f>IF($S445="","",IF((INDEX(数据录入!$I$5:$I$4999,$S445)&amp;"")&lt;&gt;"",INDEX(数据录入!$I$5:$I$4999,$S445)&amp;"",INDEX(数据录入!$J$5:$J$4999,$S445)&amp;""))</f>
      </c>
      <c r="E445" s="108">
        <f>IF($S445="","",INDEX(数据录入!$E$5:$E$4999,$S445)&amp;"")</f>
      </c>
      <c r="F445" s="114">
        <f>IF($S445="","",N(INDEX(数据录入!$F$5:$F$4999,$S445)))</f>
      </c>
      <c r="G445" s="114">
        <f>IF($S445="","",N(INDEX(数据录入!$G$5:$G$4999,$S445)))</f>
      </c>
      <c r="H445" s="114">
        <f>IF($S445="","",$G$2+SUM($F$8:$F445)-SUM($G$8:$G445))</f>
      </c>
      <c r="Q445" s="44">
        <f>IF(数据录入!$B445="",0,IF(OR(数据录入!$D445="投标保证金",数据录入!$D445="合同履约保证金",ISNUMBER(FIND("保证金",数据录入!$E445))),1,0))</f>
      </c>
      <c r="R445" s="44">
        <f>IF(AND($Q445=1,数据录入!$B445&gt;=$B$2,数据录入!$B445&lt;=$D$2),N(R444)+1,N(R444))</f>
      </c>
      <c r="S445" s="44">
        <f>IFERROR(MATCH(438,$R$5:$R$4999,0),"")</f>
      </c>
    </row>
    <row r="446" s="44" customFormat="1" spans="1:23">
      <c r="A446" s="116">
        <f>IF($S446="","",INDEX(数据录入!$B$5:$B$4999,$S446))</f>
      </c>
      <c r="B446" s="44">
        <f>IF($S446="","",INDEX(数据录入!$C$5:$C$4999,$S446)&amp;"")</f>
      </c>
      <c r="C446" s="165">
        <f>IF($S446="","",IF(N($F446)&gt;0,"收款",IF(N($G446)&gt;0,"付款","")))</f>
      </c>
      <c r="D446" s="44">
        <f>IF($S446="","",IF((INDEX(数据录入!$I$5:$I$4999,$S446)&amp;"")&lt;&gt;"",INDEX(数据录入!$I$5:$I$4999,$S446)&amp;"",INDEX(数据录入!$J$5:$J$4999,$S446)&amp;""))</f>
      </c>
      <c r="E446" s="108">
        <f>IF($S446="","",INDEX(数据录入!$E$5:$E$4999,$S446)&amp;"")</f>
      </c>
      <c r="F446" s="114">
        <f>IF($S446="","",N(INDEX(数据录入!$F$5:$F$4999,$S446)))</f>
      </c>
      <c r="G446" s="114">
        <f>IF($S446="","",N(INDEX(数据录入!$G$5:$G$4999,$S446)))</f>
      </c>
      <c r="H446" s="114">
        <f>IF($S446="","",$G$2+SUM($F$8:$F446)-SUM($G$8:$G446))</f>
      </c>
      <c r="Q446" s="44">
        <f>IF(数据录入!$B446="",0,IF(OR(数据录入!$D446="投标保证金",数据录入!$D446="合同履约保证金",ISNUMBER(FIND("保证金",数据录入!$E446))),1,0))</f>
      </c>
      <c r="R446" s="44">
        <f>IF(AND($Q446=1,数据录入!$B446&gt;=$B$2,数据录入!$B446&lt;=$D$2),N(R445)+1,N(R445))</f>
      </c>
      <c r="S446" s="44">
        <f>IFERROR(MATCH(439,$R$5:$R$4999,0),"")</f>
      </c>
    </row>
    <row r="447" s="44" customFormat="1" spans="1:23">
      <c r="A447" s="116">
        <f>IF($S447="","",INDEX(数据录入!$B$5:$B$4999,$S447))</f>
      </c>
      <c r="B447" s="44">
        <f>IF($S447="","",INDEX(数据录入!$C$5:$C$4999,$S447)&amp;"")</f>
      </c>
      <c r="C447" s="165">
        <f>IF($S447="","",IF(N($F447)&gt;0,"收款",IF(N($G447)&gt;0,"付款","")))</f>
      </c>
      <c r="D447" s="44">
        <f>IF($S447="","",IF((INDEX(数据录入!$I$5:$I$4999,$S447)&amp;"")&lt;&gt;"",INDEX(数据录入!$I$5:$I$4999,$S447)&amp;"",INDEX(数据录入!$J$5:$J$4999,$S447)&amp;""))</f>
      </c>
      <c r="E447" s="108">
        <f>IF($S447="","",INDEX(数据录入!$E$5:$E$4999,$S447)&amp;"")</f>
      </c>
      <c r="F447" s="114">
        <f>IF($S447="","",N(INDEX(数据录入!$F$5:$F$4999,$S447)))</f>
      </c>
      <c r="G447" s="114">
        <f>IF($S447="","",N(INDEX(数据录入!$G$5:$G$4999,$S447)))</f>
      </c>
      <c r="H447" s="114">
        <f>IF($S447="","",$G$2+SUM($F$8:$F447)-SUM($G$8:$G447))</f>
      </c>
      <c r="Q447" s="44">
        <f>IF(数据录入!$B447="",0,IF(OR(数据录入!$D447="投标保证金",数据录入!$D447="合同履约保证金",ISNUMBER(FIND("保证金",数据录入!$E447))),1,0))</f>
      </c>
      <c r="R447" s="44">
        <f>IF(AND($Q447=1,数据录入!$B447&gt;=$B$2,数据录入!$B447&lt;=$D$2),N(R446)+1,N(R446))</f>
      </c>
      <c r="S447" s="44">
        <f>IFERROR(MATCH(440,$R$5:$R$4999,0),"")</f>
      </c>
    </row>
    <row r="448" s="44" customFormat="1" spans="1:23">
      <c r="A448" s="116">
        <f>IF($S448="","",INDEX(数据录入!$B$5:$B$4999,$S448))</f>
      </c>
      <c r="B448" s="44">
        <f>IF($S448="","",INDEX(数据录入!$C$5:$C$4999,$S448)&amp;"")</f>
      </c>
      <c r="C448" s="165">
        <f>IF($S448="","",IF(N($F448)&gt;0,"收款",IF(N($G448)&gt;0,"付款","")))</f>
      </c>
      <c r="D448" s="44">
        <f>IF($S448="","",IF((INDEX(数据录入!$I$5:$I$4999,$S448)&amp;"")&lt;&gt;"",INDEX(数据录入!$I$5:$I$4999,$S448)&amp;"",INDEX(数据录入!$J$5:$J$4999,$S448)&amp;""))</f>
      </c>
      <c r="E448" s="108">
        <f>IF($S448="","",INDEX(数据录入!$E$5:$E$4999,$S448)&amp;"")</f>
      </c>
      <c r="F448" s="114">
        <f>IF($S448="","",N(INDEX(数据录入!$F$5:$F$4999,$S448)))</f>
      </c>
      <c r="G448" s="114">
        <f>IF($S448="","",N(INDEX(数据录入!$G$5:$G$4999,$S448)))</f>
      </c>
      <c r="H448" s="114">
        <f>IF($S448="","",$G$2+SUM($F$8:$F448)-SUM($G$8:$G448))</f>
      </c>
      <c r="Q448" s="44">
        <f>IF(数据录入!$B448="",0,IF(OR(数据录入!$D448="投标保证金",数据录入!$D448="合同履约保证金",ISNUMBER(FIND("保证金",数据录入!$E448))),1,0))</f>
      </c>
      <c r="R448" s="44">
        <f>IF(AND($Q448=1,数据录入!$B448&gt;=$B$2,数据录入!$B448&lt;=$D$2),N(R447)+1,N(R447))</f>
      </c>
      <c r="S448" s="44">
        <f>IFERROR(MATCH(441,$R$5:$R$4999,0),"")</f>
      </c>
    </row>
    <row r="449" s="44" customFormat="1" spans="1:23">
      <c r="A449" s="116">
        <f>IF($S449="","",INDEX(数据录入!$B$5:$B$4999,$S449))</f>
      </c>
      <c r="B449" s="44">
        <f>IF($S449="","",INDEX(数据录入!$C$5:$C$4999,$S449)&amp;"")</f>
      </c>
      <c r="C449" s="165">
        <f>IF($S449="","",IF(N($F449)&gt;0,"收款",IF(N($G449)&gt;0,"付款","")))</f>
      </c>
      <c r="D449" s="44">
        <f>IF($S449="","",IF((INDEX(数据录入!$I$5:$I$4999,$S449)&amp;"")&lt;&gt;"",INDEX(数据录入!$I$5:$I$4999,$S449)&amp;"",INDEX(数据录入!$J$5:$J$4999,$S449)&amp;""))</f>
      </c>
      <c r="E449" s="108">
        <f>IF($S449="","",INDEX(数据录入!$E$5:$E$4999,$S449)&amp;"")</f>
      </c>
      <c r="F449" s="114">
        <f>IF($S449="","",N(INDEX(数据录入!$F$5:$F$4999,$S449)))</f>
      </c>
      <c r="G449" s="114">
        <f>IF($S449="","",N(INDEX(数据录入!$G$5:$G$4999,$S449)))</f>
      </c>
      <c r="H449" s="114">
        <f>IF($S449="","",$G$2+SUM($F$8:$F449)-SUM($G$8:$G449))</f>
      </c>
      <c r="Q449" s="44">
        <f>IF(数据录入!$B449="",0,IF(OR(数据录入!$D449="投标保证金",数据录入!$D449="合同履约保证金",ISNUMBER(FIND("保证金",数据录入!$E449))),1,0))</f>
      </c>
      <c r="R449" s="44">
        <f>IF(AND($Q449=1,数据录入!$B449&gt;=$B$2,数据录入!$B449&lt;=$D$2),N(R448)+1,N(R448))</f>
      </c>
      <c r="S449" s="44">
        <f>IFERROR(MATCH(442,$R$5:$R$4999,0),"")</f>
      </c>
    </row>
    <row r="450" s="44" customFormat="1" spans="1:23">
      <c r="A450" s="116">
        <f>IF($S450="","",INDEX(数据录入!$B$5:$B$4999,$S450))</f>
      </c>
      <c r="B450" s="44">
        <f>IF($S450="","",INDEX(数据录入!$C$5:$C$4999,$S450)&amp;"")</f>
      </c>
      <c r="C450" s="165">
        <f>IF($S450="","",IF(N($F450)&gt;0,"收款",IF(N($G450)&gt;0,"付款","")))</f>
      </c>
      <c r="D450" s="44">
        <f>IF($S450="","",IF((INDEX(数据录入!$I$5:$I$4999,$S450)&amp;"")&lt;&gt;"",INDEX(数据录入!$I$5:$I$4999,$S450)&amp;"",INDEX(数据录入!$J$5:$J$4999,$S450)&amp;""))</f>
      </c>
      <c r="E450" s="108">
        <f>IF($S450="","",INDEX(数据录入!$E$5:$E$4999,$S450)&amp;"")</f>
      </c>
      <c r="F450" s="114">
        <f>IF($S450="","",N(INDEX(数据录入!$F$5:$F$4999,$S450)))</f>
      </c>
      <c r="G450" s="114">
        <f>IF($S450="","",N(INDEX(数据录入!$G$5:$G$4999,$S450)))</f>
      </c>
      <c r="H450" s="114">
        <f>IF($S450="","",$G$2+SUM($F$8:$F450)-SUM($G$8:$G450))</f>
      </c>
      <c r="Q450" s="44">
        <f>IF(数据录入!$B450="",0,IF(OR(数据录入!$D450="投标保证金",数据录入!$D450="合同履约保证金",ISNUMBER(FIND("保证金",数据录入!$E450))),1,0))</f>
      </c>
      <c r="R450" s="44">
        <f>IF(AND($Q450=1,数据录入!$B450&gt;=$B$2,数据录入!$B450&lt;=$D$2),N(R449)+1,N(R449))</f>
      </c>
      <c r="S450" s="44">
        <f>IFERROR(MATCH(443,$R$5:$R$4999,0),"")</f>
      </c>
    </row>
    <row r="451" s="44" customFormat="1" spans="1:23">
      <c r="A451" s="116">
        <f>IF($S451="","",INDEX(数据录入!$B$5:$B$4999,$S451))</f>
      </c>
      <c r="B451" s="44">
        <f>IF($S451="","",INDEX(数据录入!$C$5:$C$4999,$S451)&amp;"")</f>
      </c>
      <c r="C451" s="165">
        <f>IF($S451="","",IF(N($F451)&gt;0,"收款",IF(N($G451)&gt;0,"付款","")))</f>
      </c>
      <c r="D451" s="44">
        <f>IF($S451="","",IF((INDEX(数据录入!$I$5:$I$4999,$S451)&amp;"")&lt;&gt;"",INDEX(数据录入!$I$5:$I$4999,$S451)&amp;"",INDEX(数据录入!$J$5:$J$4999,$S451)&amp;""))</f>
      </c>
      <c r="E451" s="108">
        <f>IF($S451="","",INDEX(数据录入!$E$5:$E$4999,$S451)&amp;"")</f>
      </c>
      <c r="F451" s="114">
        <f>IF($S451="","",N(INDEX(数据录入!$F$5:$F$4999,$S451)))</f>
      </c>
      <c r="G451" s="114">
        <f>IF($S451="","",N(INDEX(数据录入!$G$5:$G$4999,$S451)))</f>
      </c>
      <c r="H451" s="114">
        <f>IF($S451="","",$G$2+SUM($F$8:$F451)-SUM($G$8:$G451))</f>
      </c>
      <c r="Q451" s="44">
        <f>IF(数据录入!$B451="",0,IF(OR(数据录入!$D451="投标保证金",数据录入!$D451="合同履约保证金",ISNUMBER(FIND("保证金",数据录入!$E451))),1,0))</f>
      </c>
      <c r="R451" s="44">
        <f>IF(AND($Q451=1,数据录入!$B451&gt;=$B$2,数据录入!$B451&lt;=$D$2),N(R450)+1,N(R450))</f>
      </c>
      <c r="S451" s="44">
        <f>IFERROR(MATCH(444,$R$5:$R$4999,0),"")</f>
      </c>
    </row>
    <row r="452" s="44" customFormat="1" spans="1:23">
      <c r="A452" s="116">
        <f>IF($S452="","",INDEX(数据录入!$B$5:$B$4999,$S452))</f>
      </c>
      <c r="B452" s="44">
        <f>IF($S452="","",INDEX(数据录入!$C$5:$C$4999,$S452)&amp;"")</f>
      </c>
      <c r="C452" s="165">
        <f>IF($S452="","",IF(N($F452)&gt;0,"收款",IF(N($G452)&gt;0,"付款","")))</f>
      </c>
      <c r="D452" s="44">
        <f>IF($S452="","",IF((INDEX(数据录入!$I$5:$I$4999,$S452)&amp;"")&lt;&gt;"",INDEX(数据录入!$I$5:$I$4999,$S452)&amp;"",INDEX(数据录入!$J$5:$J$4999,$S452)&amp;""))</f>
      </c>
      <c r="E452" s="108">
        <f>IF($S452="","",INDEX(数据录入!$E$5:$E$4999,$S452)&amp;"")</f>
      </c>
      <c r="F452" s="114">
        <f>IF($S452="","",N(INDEX(数据录入!$F$5:$F$4999,$S452)))</f>
      </c>
      <c r="G452" s="114">
        <f>IF($S452="","",N(INDEX(数据录入!$G$5:$G$4999,$S452)))</f>
      </c>
      <c r="H452" s="114">
        <f>IF($S452="","",$G$2+SUM($F$8:$F452)-SUM($G$8:$G452))</f>
      </c>
      <c r="Q452" s="44">
        <f>IF(数据录入!$B452="",0,IF(OR(数据录入!$D452="投标保证金",数据录入!$D452="合同履约保证金",ISNUMBER(FIND("保证金",数据录入!$E452))),1,0))</f>
      </c>
      <c r="R452" s="44">
        <f>IF(AND($Q452=1,数据录入!$B452&gt;=$B$2,数据录入!$B452&lt;=$D$2),N(R451)+1,N(R451))</f>
      </c>
      <c r="S452" s="44">
        <f>IFERROR(MATCH(445,$R$5:$R$4999,0),"")</f>
      </c>
    </row>
    <row r="453" s="44" customFormat="1" spans="1:23">
      <c r="A453" s="116">
        <f>IF($S453="","",INDEX(数据录入!$B$5:$B$4999,$S453))</f>
      </c>
      <c r="B453" s="44">
        <f>IF($S453="","",INDEX(数据录入!$C$5:$C$4999,$S453)&amp;"")</f>
      </c>
      <c r="C453" s="165">
        <f>IF($S453="","",IF(N($F453)&gt;0,"收款",IF(N($G453)&gt;0,"付款","")))</f>
      </c>
      <c r="D453" s="44">
        <f>IF($S453="","",IF((INDEX(数据录入!$I$5:$I$4999,$S453)&amp;"")&lt;&gt;"",INDEX(数据录入!$I$5:$I$4999,$S453)&amp;"",INDEX(数据录入!$J$5:$J$4999,$S453)&amp;""))</f>
      </c>
      <c r="E453" s="108">
        <f>IF($S453="","",INDEX(数据录入!$E$5:$E$4999,$S453)&amp;"")</f>
      </c>
      <c r="F453" s="114">
        <f>IF($S453="","",N(INDEX(数据录入!$F$5:$F$4999,$S453)))</f>
      </c>
      <c r="G453" s="114">
        <f>IF($S453="","",N(INDEX(数据录入!$G$5:$G$4999,$S453)))</f>
      </c>
      <c r="H453" s="114">
        <f>IF($S453="","",$G$2+SUM($F$8:$F453)-SUM($G$8:$G453))</f>
      </c>
      <c r="Q453" s="44">
        <f>IF(数据录入!$B453="",0,IF(OR(数据录入!$D453="投标保证金",数据录入!$D453="合同履约保证金",ISNUMBER(FIND("保证金",数据录入!$E453))),1,0))</f>
      </c>
      <c r="R453" s="44">
        <f>IF(AND($Q453=1,数据录入!$B453&gt;=$B$2,数据录入!$B453&lt;=$D$2),N(R452)+1,N(R452))</f>
      </c>
      <c r="S453" s="44">
        <f>IFERROR(MATCH(446,$R$5:$R$4999,0),"")</f>
      </c>
    </row>
    <row r="454" s="44" customFormat="1" spans="1:23">
      <c r="A454" s="116">
        <f>IF($S454="","",INDEX(数据录入!$B$5:$B$4999,$S454))</f>
      </c>
      <c r="B454" s="44">
        <f>IF($S454="","",INDEX(数据录入!$C$5:$C$4999,$S454)&amp;"")</f>
      </c>
      <c r="C454" s="165">
        <f>IF($S454="","",IF(N($F454)&gt;0,"收款",IF(N($G454)&gt;0,"付款","")))</f>
      </c>
      <c r="D454" s="44">
        <f>IF($S454="","",IF((INDEX(数据录入!$I$5:$I$4999,$S454)&amp;"")&lt;&gt;"",INDEX(数据录入!$I$5:$I$4999,$S454)&amp;"",INDEX(数据录入!$J$5:$J$4999,$S454)&amp;""))</f>
      </c>
      <c r="E454" s="108">
        <f>IF($S454="","",INDEX(数据录入!$E$5:$E$4999,$S454)&amp;"")</f>
      </c>
      <c r="F454" s="114">
        <f>IF($S454="","",N(INDEX(数据录入!$F$5:$F$4999,$S454)))</f>
      </c>
      <c r="G454" s="114">
        <f>IF($S454="","",N(INDEX(数据录入!$G$5:$G$4999,$S454)))</f>
      </c>
      <c r="H454" s="114">
        <f>IF($S454="","",$G$2+SUM($F$8:$F454)-SUM($G$8:$G454))</f>
      </c>
      <c r="Q454" s="44">
        <f>IF(数据录入!$B454="",0,IF(OR(数据录入!$D454="投标保证金",数据录入!$D454="合同履约保证金",ISNUMBER(FIND("保证金",数据录入!$E454))),1,0))</f>
      </c>
      <c r="R454" s="44">
        <f>IF(AND($Q454=1,数据录入!$B454&gt;=$B$2,数据录入!$B454&lt;=$D$2),N(R453)+1,N(R453))</f>
      </c>
      <c r="S454" s="44">
        <f>IFERROR(MATCH(447,$R$5:$R$4999,0),"")</f>
      </c>
    </row>
    <row r="455" s="44" customFormat="1" spans="1:23">
      <c r="A455" s="116">
        <f>IF($S455="","",INDEX(数据录入!$B$5:$B$4999,$S455))</f>
      </c>
      <c r="B455" s="44">
        <f>IF($S455="","",INDEX(数据录入!$C$5:$C$4999,$S455)&amp;"")</f>
      </c>
      <c r="C455" s="165">
        <f>IF($S455="","",IF(N($F455)&gt;0,"收款",IF(N($G455)&gt;0,"付款","")))</f>
      </c>
      <c r="D455" s="44">
        <f>IF($S455="","",IF((INDEX(数据录入!$I$5:$I$4999,$S455)&amp;"")&lt;&gt;"",INDEX(数据录入!$I$5:$I$4999,$S455)&amp;"",INDEX(数据录入!$J$5:$J$4999,$S455)&amp;""))</f>
      </c>
      <c r="E455" s="108">
        <f>IF($S455="","",INDEX(数据录入!$E$5:$E$4999,$S455)&amp;"")</f>
      </c>
      <c r="F455" s="114">
        <f>IF($S455="","",N(INDEX(数据录入!$F$5:$F$4999,$S455)))</f>
      </c>
      <c r="G455" s="114">
        <f>IF($S455="","",N(INDEX(数据录入!$G$5:$G$4999,$S455)))</f>
      </c>
      <c r="H455" s="114">
        <f>IF($S455="","",$G$2+SUM($F$8:$F455)-SUM($G$8:$G455))</f>
      </c>
      <c r="Q455" s="44">
        <f>IF(数据录入!$B455="",0,IF(OR(数据录入!$D455="投标保证金",数据录入!$D455="合同履约保证金",ISNUMBER(FIND("保证金",数据录入!$E455))),1,0))</f>
      </c>
      <c r="R455" s="44">
        <f>IF(AND($Q455=1,数据录入!$B455&gt;=$B$2,数据录入!$B455&lt;=$D$2),N(R454)+1,N(R454))</f>
      </c>
      <c r="S455" s="44">
        <f>IFERROR(MATCH(448,$R$5:$R$4999,0),"")</f>
      </c>
    </row>
    <row r="456" s="44" customFormat="1" spans="1:23">
      <c r="A456" s="116">
        <f>IF($S456="","",INDEX(数据录入!$B$5:$B$4999,$S456))</f>
      </c>
      <c r="B456" s="44">
        <f>IF($S456="","",INDEX(数据录入!$C$5:$C$4999,$S456)&amp;"")</f>
      </c>
      <c r="C456" s="165">
        <f>IF($S456="","",IF(N($F456)&gt;0,"收款",IF(N($G456)&gt;0,"付款","")))</f>
      </c>
      <c r="D456" s="44">
        <f>IF($S456="","",IF((INDEX(数据录入!$I$5:$I$4999,$S456)&amp;"")&lt;&gt;"",INDEX(数据录入!$I$5:$I$4999,$S456)&amp;"",INDEX(数据录入!$J$5:$J$4999,$S456)&amp;""))</f>
      </c>
      <c r="E456" s="108">
        <f>IF($S456="","",INDEX(数据录入!$E$5:$E$4999,$S456)&amp;"")</f>
      </c>
      <c r="F456" s="114">
        <f>IF($S456="","",N(INDEX(数据录入!$F$5:$F$4999,$S456)))</f>
      </c>
      <c r="G456" s="114">
        <f>IF($S456="","",N(INDEX(数据录入!$G$5:$G$4999,$S456)))</f>
      </c>
      <c r="H456" s="114">
        <f>IF($S456="","",$G$2+SUM($F$8:$F456)-SUM($G$8:$G456))</f>
      </c>
      <c r="Q456" s="44">
        <f>IF(数据录入!$B456="",0,IF(OR(数据录入!$D456="投标保证金",数据录入!$D456="合同履约保证金",ISNUMBER(FIND("保证金",数据录入!$E456))),1,0))</f>
      </c>
      <c r="R456" s="44">
        <f>IF(AND($Q456=1,数据录入!$B456&gt;=$B$2,数据录入!$B456&lt;=$D$2),N(R455)+1,N(R455))</f>
      </c>
      <c r="S456" s="44">
        <f>IFERROR(MATCH(449,$R$5:$R$4999,0),"")</f>
      </c>
    </row>
    <row r="457" s="44" customFormat="1" spans="1:23">
      <c r="A457" s="116">
        <f>IF($S457="","",INDEX(数据录入!$B$5:$B$4999,$S457))</f>
      </c>
      <c r="B457" s="44">
        <f>IF($S457="","",INDEX(数据录入!$C$5:$C$4999,$S457)&amp;"")</f>
      </c>
      <c r="C457" s="165">
        <f>IF($S457="","",IF(N($F457)&gt;0,"收款",IF(N($G457)&gt;0,"付款","")))</f>
      </c>
      <c r="D457" s="44">
        <f>IF($S457="","",IF((INDEX(数据录入!$I$5:$I$4999,$S457)&amp;"")&lt;&gt;"",INDEX(数据录入!$I$5:$I$4999,$S457)&amp;"",INDEX(数据录入!$J$5:$J$4999,$S457)&amp;""))</f>
      </c>
      <c r="E457" s="108">
        <f>IF($S457="","",INDEX(数据录入!$E$5:$E$4999,$S457)&amp;"")</f>
      </c>
      <c r="F457" s="114">
        <f>IF($S457="","",N(INDEX(数据录入!$F$5:$F$4999,$S457)))</f>
      </c>
      <c r="G457" s="114">
        <f>IF($S457="","",N(INDEX(数据录入!$G$5:$G$4999,$S457)))</f>
      </c>
      <c r="H457" s="114">
        <f>IF($S457="","",$G$2+SUM($F$8:$F457)-SUM($G$8:$G457))</f>
      </c>
      <c r="Q457" s="44">
        <f>IF(数据录入!$B457="",0,IF(OR(数据录入!$D457="投标保证金",数据录入!$D457="合同履约保证金",ISNUMBER(FIND("保证金",数据录入!$E457))),1,0))</f>
      </c>
      <c r="R457" s="44">
        <f>IF(AND($Q457=1,数据录入!$B457&gt;=$B$2,数据录入!$B457&lt;=$D$2),N(R456)+1,N(R456))</f>
      </c>
      <c r="S457" s="44">
        <f>IFERROR(MATCH(450,$R$5:$R$4999,0),"")</f>
      </c>
    </row>
    <row r="458" s="44" customFormat="1" spans="1:23">
      <c r="A458" s="116">
        <f>IF($S458="","",INDEX(数据录入!$B$5:$B$4999,$S458))</f>
      </c>
      <c r="B458" s="44">
        <f>IF($S458="","",INDEX(数据录入!$C$5:$C$4999,$S458)&amp;"")</f>
      </c>
      <c r="C458" s="165">
        <f>IF($S458="","",IF(N($F458)&gt;0,"收款",IF(N($G458)&gt;0,"付款","")))</f>
      </c>
      <c r="D458" s="44">
        <f>IF($S458="","",IF((INDEX(数据录入!$I$5:$I$4999,$S458)&amp;"")&lt;&gt;"",INDEX(数据录入!$I$5:$I$4999,$S458)&amp;"",INDEX(数据录入!$J$5:$J$4999,$S458)&amp;""))</f>
      </c>
      <c r="E458" s="108">
        <f>IF($S458="","",INDEX(数据录入!$E$5:$E$4999,$S458)&amp;"")</f>
      </c>
      <c r="F458" s="114">
        <f>IF($S458="","",N(INDEX(数据录入!$F$5:$F$4999,$S458)))</f>
      </c>
      <c r="G458" s="114">
        <f>IF($S458="","",N(INDEX(数据录入!$G$5:$G$4999,$S458)))</f>
      </c>
      <c r="H458" s="114">
        <f>IF($S458="","",$G$2+SUM($F$8:$F458)-SUM($G$8:$G458))</f>
      </c>
      <c r="Q458" s="44">
        <f>IF(数据录入!$B458="",0,IF(OR(数据录入!$D458="投标保证金",数据录入!$D458="合同履约保证金",ISNUMBER(FIND("保证金",数据录入!$E458))),1,0))</f>
      </c>
      <c r="R458" s="44">
        <f>IF(AND($Q458=1,数据录入!$B458&gt;=$B$2,数据录入!$B458&lt;=$D$2),N(R457)+1,N(R457))</f>
      </c>
      <c r="S458" s="44">
        <f>IFERROR(MATCH(451,$R$5:$R$4999,0),"")</f>
      </c>
    </row>
    <row r="459" s="44" customFormat="1" spans="1:23">
      <c r="A459" s="116">
        <f>IF($S459="","",INDEX(数据录入!$B$5:$B$4999,$S459))</f>
      </c>
      <c r="B459" s="44">
        <f>IF($S459="","",INDEX(数据录入!$C$5:$C$4999,$S459)&amp;"")</f>
      </c>
      <c r="C459" s="165">
        <f>IF($S459="","",IF(N($F459)&gt;0,"收款",IF(N($G459)&gt;0,"付款","")))</f>
      </c>
      <c r="D459" s="44">
        <f>IF($S459="","",IF((INDEX(数据录入!$I$5:$I$4999,$S459)&amp;"")&lt;&gt;"",INDEX(数据录入!$I$5:$I$4999,$S459)&amp;"",INDEX(数据录入!$J$5:$J$4999,$S459)&amp;""))</f>
      </c>
      <c r="E459" s="108">
        <f>IF($S459="","",INDEX(数据录入!$E$5:$E$4999,$S459)&amp;"")</f>
      </c>
      <c r="F459" s="114">
        <f>IF($S459="","",N(INDEX(数据录入!$F$5:$F$4999,$S459)))</f>
      </c>
      <c r="G459" s="114">
        <f>IF($S459="","",N(INDEX(数据录入!$G$5:$G$4999,$S459)))</f>
      </c>
      <c r="H459" s="114">
        <f>IF($S459="","",$G$2+SUM($F$8:$F459)-SUM($G$8:$G459))</f>
      </c>
      <c r="Q459" s="44">
        <f>IF(数据录入!$B459="",0,IF(OR(数据录入!$D459="投标保证金",数据录入!$D459="合同履约保证金",ISNUMBER(FIND("保证金",数据录入!$E459))),1,0))</f>
      </c>
      <c r="R459" s="44">
        <f>IF(AND($Q459=1,数据录入!$B459&gt;=$B$2,数据录入!$B459&lt;=$D$2),N(R458)+1,N(R458))</f>
      </c>
      <c r="S459" s="44">
        <f>IFERROR(MATCH(452,$R$5:$R$4999,0),"")</f>
      </c>
    </row>
    <row r="460" s="44" customFormat="1" spans="1:23">
      <c r="A460" s="116">
        <f>IF($S460="","",INDEX(数据录入!$B$5:$B$4999,$S460))</f>
      </c>
      <c r="B460" s="44">
        <f>IF($S460="","",INDEX(数据录入!$C$5:$C$4999,$S460)&amp;"")</f>
      </c>
      <c r="C460" s="165">
        <f>IF($S460="","",IF(N($F460)&gt;0,"收款",IF(N($G460)&gt;0,"付款","")))</f>
      </c>
      <c r="D460" s="44">
        <f>IF($S460="","",IF((INDEX(数据录入!$I$5:$I$4999,$S460)&amp;"")&lt;&gt;"",INDEX(数据录入!$I$5:$I$4999,$S460)&amp;"",INDEX(数据录入!$J$5:$J$4999,$S460)&amp;""))</f>
      </c>
      <c r="E460" s="108">
        <f>IF($S460="","",INDEX(数据录入!$E$5:$E$4999,$S460)&amp;"")</f>
      </c>
      <c r="F460" s="114">
        <f>IF($S460="","",N(INDEX(数据录入!$F$5:$F$4999,$S460)))</f>
      </c>
      <c r="G460" s="114">
        <f>IF($S460="","",N(INDEX(数据录入!$G$5:$G$4999,$S460)))</f>
      </c>
      <c r="H460" s="114">
        <f>IF($S460="","",$G$2+SUM($F$8:$F460)-SUM($G$8:$G460))</f>
      </c>
      <c r="Q460" s="44">
        <f>IF(数据录入!$B460="",0,IF(OR(数据录入!$D460="投标保证金",数据录入!$D460="合同履约保证金",ISNUMBER(FIND("保证金",数据录入!$E460))),1,0))</f>
      </c>
      <c r="R460" s="44">
        <f>IF(AND($Q460=1,数据录入!$B460&gt;=$B$2,数据录入!$B460&lt;=$D$2),N(R459)+1,N(R459))</f>
      </c>
      <c r="S460" s="44">
        <f>IFERROR(MATCH(453,$R$5:$R$4999,0),"")</f>
      </c>
    </row>
    <row r="461" s="44" customFormat="1" spans="1:23">
      <c r="A461" s="116">
        <f>IF($S461="","",INDEX(数据录入!$B$5:$B$4999,$S461))</f>
      </c>
      <c r="B461" s="44">
        <f>IF($S461="","",INDEX(数据录入!$C$5:$C$4999,$S461)&amp;"")</f>
      </c>
      <c r="C461" s="165">
        <f>IF($S461="","",IF(N($F461)&gt;0,"收款",IF(N($G461)&gt;0,"付款","")))</f>
      </c>
      <c r="D461" s="44">
        <f>IF($S461="","",IF((INDEX(数据录入!$I$5:$I$4999,$S461)&amp;"")&lt;&gt;"",INDEX(数据录入!$I$5:$I$4999,$S461)&amp;"",INDEX(数据录入!$J$5:$J$4999,$S461)&amp;""))</f>
      </c>
      <c r="E461" s="108">
        <f>IF($S461="","",INDEX(数据录入!$E$5:$E$4999,$S461)&amp;"")</f>
      </c>
      <c r="F461" s="114">
        <f>IF($S461="","",N(INDEX(数据录入!$F$5:$F$4999,$S461)))</f>
      </c>
      <c r="G461" s="114">
        <f>IF($S461="","",N(INDEX(数据录入!$G$5:$G$4999,$S461)))</f>
      </c>
      <c r="H461" s="114">
        <f>IF($S461="","",$G$2+SUM($F$8:$F461)-SUM($G$8:$G461))</f>
      </c>
      <c r="Q461" s="44">
        <f>IF(数据录入!$B461="",0,IF(OR(数据录入!$D461="投标保证金",数据录入!$D461="合同履约保证金",ISNUMBER(FIND("保证金",数据录入!$E461))),1,0))</f>
      </c>
      <c r="R461" s="44">
        <f>IF(AND($Q461=1,数据录入!$B461&gt;=$B$2,数据录入!$B461&lt;=$D$2),N(R460)+1,N(R460))</f>
      </c>
      <c r="S461" s="44">
        <f>IFERROR(MATCH(454,$R$5:$R$4999,0),"")</f>
      </c>
    </row>
    <row r="462" s="44" customFormat="1" spans="1:23">
      <c r="A462" s="116">
        <f>IF($S462="","",INDEX(数据录入!$B$5:$B$4999,$S462))</f>
      </c>
      <c r="B462" s="44">
        <f>IF($S462="","",INDEX(数据录入!$C$5:$C$4999,$S462)&amp;"")</f>
      </c>
      <c r="C462" s="165">
        <f>IF($S462="","",IF(N($F462)&gt;0,"收款",IF(N($G462)&gt;0,"付款","")))</f>
      </c>
      <c r="D462" s="44">
        <f>IF($S462="","",IF((INDEX(数据录入!$I$5:$I$4999,$S462)&amp;"")&lt;&gt;"",INDEX(数据录入!$I$5:$I$4999,$S462)&amp;"",INDEX(数据录入!$J$5:$J$4999,$S462)&amp;""))</f>
      </c>
      <c r="E462" s="108">
        <f>IF($S462="","",INDEX(数据录入!$E$5:$E$4999,$S462)&amp;"")</f>
      </c>
      <c r="F462" s="114">
        <f>IF($S462="","",N(INDEX(数据录入!$F$5:$F$4999,$S462)))</f>
      </c>
      <c r="G462" s="114">
        <f>IF($S462="","",N(INDEX(数据录入!$G$5:$G$4999,$S462)))</f>
      </c>
      <c r="H462" s="114">
        <f>IF($S462="","",$G$2+SUM($F$8:$F462)-SUM($G$8:$G462))</f>
      </c>
      <c r="Q462" s="44">
        <f>IF(数据录入!$B462="",0,IF(OR(数据录入!$D462="投标保证金",数据录入!$D462="合同履约保证金",ISNUMBER(FIND("保证金",数据录入!$E462))),1,0))</f>
      </c>
      <c r="R462" s="44">
        <f>IF(AND($Q462=1,数据录入!$B462&gt;=$B$2,数据录入!$B462&lt;=$D$2),N(R461)+1,N(R461))</f>
      </c>
      <c r="S462" s="44">
        <f>IFERROR(MATCH(455,$R$5:$R$4999,0),"")</f>
      </c>
    </row>
    <row r="463" s="44" customFormat="1" spans="1:23">
      <c r="A463" s="116">
        <f>IF($S463="","",INDEX(数据录入!$B$5:$B$4999,$S463))</f>
      </c>
      <c r="B463" s="44">
        <f>IF($S463="","",INDEX(数据录入!$C$5:$C$4999,$S463)&amp;"")</f>
      </c>
      <c r="C463" s="165">
        <f>IF($S463="","",IF(N($F463)&gt;0,"收款",IF(N($G463)&gt;0,"付款","")))</f>
      </c>
      <c r="D463" s="44">
        <f>IF($S463="","",IF((INDEX(数据录入!$I$5:$I$4999,$S463)&amp;"")&lt;&gt;"",INDEX(数据录入!$I$5:$I$4999,$S463)&amp;"",INDEX(数据录入!$J$5:$J$4999,$S463)&amp;""))</f>
      </c>
      <c r="E463" s="108">
        <f>IF($S463="","",INDEX(数据录入!$E$5:$E$4999,$S463)&amp;"")</f>
      </c>
      <c r="F463" s="114">
        <f>IF($S463="","",N(INDEX(数据录入!$F$5:$F$4999,$S463)))</f>
      </c>
      <c r="G463" s="114">
        <f>IF($S463="","",N(INDEX(数据录入!$G$5:$G$4999,$S463)))</f>
      </c>
      <c r="H463" s="114">
        <f>IF($S463="","",$G$2+SUM($F$8:$F463)-SUM($G$8:$G463))</f>
      </c>
      <c r="Q463" s="44">
        <f>IF(数据录入!$B463="",0,IF(OR(数据录入!$D463="投标保证金",数据录入!$D463="合同履约保证金",ISNUMBER(FIND("保证金",数据录入!$E463))),1,0))</f>
      </c>
      <c r="R463" s="44">
        <f>IF(AND($Q463=1,数据录入!$B463&gt;=$B$2,数据录入!$B463&lt;=$D$2),N(R462)+1,N(R462))</f>
      </c>
      <c r="S463" s="44">
        <f>IFERROR(MATCH(456,$R$5:$R$4999,0),"")</f>
      </c>
    </row>
    <row r="464" s="44" customFormat="1" spans="1:23">
      <c r="A464" s="116">
        <f>IF($S464="","",INDEX(数据录入!$B$5:$B$4999,$S464))</f>
      </c>
      <c r="B464" s="44">
        <f>IF($S464="","",INDEX(数据录入!$C$5:$C$4999,$S464)&amp;"")</f>
      </c>
      <c r="C464" s="165">
        <f>IF($S464="","",IF(N($F464)&gt;0,"收款",IF(N($G464)&gt;0,"付款","")))</f>
      </c>
      <c r="D464" s="44">
        <f>IF($S464="","",IF((INDEX(数据录入!$I$5:$I$4999,$S464)&amp;"")&lt;&gt;"",INDEX(数据录入!$I$5:$I$4999,$S464)&amp;"",INDEX(数据录入!$J$5:$J$4999,$S464)&amp;""))</f>
      </c>
      <c r="E464" s="108">
        <f>IF($S464="","",INDEX(数据录入!$E$5:$E$4999,$S464)&amp;"")</f>
      </c>
      <c r="F464" s="114">
        <f>IF($S464="","",N(INDEX(数据录入!$F$5:$F$4999,$S464)))</f>
      </c>
      <c r="G464" s="114">
        <f>IF($S464="","",N(INDEX(数据录入!$G$5:$G$4999,$S464)))</f>
      </c>
      <c r="H464" s="114">
        <f>IF($S464="","",$G$2+SUM($F$8:$F464)-SUM($G$8:$G464))</f>
      </c>
      <c r="Q464" s="44">
        <f>IF(数据录入!$B464="",0,IF(OR(数据录入!$D464="投标保证金",数据录入!$D464="合同履约保证金",ISNUMBER(FIND("保证金",数据录入!$E464))),1,0))</f>
      </c>
      <c r="R464" s="44">
        <f>IF(AND($Q464=1,数据录入!$B464&gt;=$B$2,数据录入!$B464&lt;=$D$2),N(R463)+1,N(R463))</f>
      </c>
      <c r="S464" s="44">
        <f>IFERROR(MATCH(457,$R$5:$R$4999,0),"")</f>
      </c>
    </row>
    <row r="465" s="44" customFormat="1" spans="1:23">
      <c r="A465" s="116">
        <f>IF($S465="","",INDEX(数据录入!$B$5:$B$4999,$S465))</f>
      </c>
      <c r="B465" s="44">
        <f>IF($S465="","",INDEX(数据录入!$C$5:$C$4999,$S465)&amp;"")</f>
      </c>
      <c r="C465" s="165">
        <f>IF($S465="","",IF(N($F465)&gt;0,"收款",IF(N($G465)&gt;0,"付款","")))</f>
      </c>
      <c r="D465" s="44">
        <f>IF($S465="","",IF((INDEX(数据录入!$I$5:$I$4999,$S465)&amp;"")&lt;&gt;"",INDEX(数据录入!$I$5:$I$4999,$S465)&amp;"",INDEX(数据录入!$J$5:$J$4999,$S465)&amp;""))</f>
      </c>
      <c r="E465" s="108">
        <f>IF($S465="","",INDEX(数据录入!$E$5:$E$4999,$S465)&amp;"")</f>
      </c>
      <c r="F465" s="114">
        <f>IF($S465="","",N(INDEX(数据录入!$F$5:$F$4999,$S465)))</f>
      </c>
      <c r="G465" s="114">
        <f>IF($S465="","",N(INDEX(数据录入!$G$5:$G$4999,$S465)))</f>
      </c>
      <c r="H465" s="114">
        <f>IF($S465="","",$G$2+SUM($F$8:$F465)-SUM($G$8:$G465))</f>
      </c>
      <c r="Q465" s="44">
        <f>IF(数据录入!$B465="",0,IF(OR(数据录入!$D465="投标保证金",数据录入!$D465="合同履约保证金",ISNUMBER(FIND("保证金",数据录入!$E465))),1,0))</f>
      </c>
      <c r="R465" s="44">
        <f>IF(AND($Q465=1,数据录入!$B465&gt;=$B$2,数据录入!$B465&lt;=$D$2),N(R464)+1,N(R464))</f>
      </c>
      <c r="S465" s="44">
        <f>IFERROR(MATCH(458,$R$5:$R$4999,0),"")</f>
      </c>
    </row>
    <row r="466" s="44" customFormat="1" spans="1:23">
      <c r="A466" s="116">
        <f>IF($S466="","",INDEX(数据录入!$B$5:$B$4999,$S466))</f>
      </c>
      <c r="B466" s="44">
        <f>IF($S466="","",INDEX(数据录入!$C$5:$C$4999,$S466)&amp;"")</f>
      </c>
      <c r="C466" s="165">
        <f>IF($S466="","",IF(N($F466)&gt;0,"收款",IF(N($G466)&gt;0,"付款","")))</f>
      </c>
      <c r="D466" s="44">
        <f>IF($S466="","",IF((INDEX(数据录入!$I$5:$I$4999,$S466)&amp;"")&lt;&gt;"",INDEX(数据录入!$I$5:$I$4999,$S466)&amp;"",INDEX(数据录入!$J$5:$J$4999,$S466)&amp;""))</f>
      </c>
      <c r="E466" s="108">
        <f>IF($S466="","",INDEX(数据录入!$E$5:$E$4999,$S466)&amp;"")</f>
      </c>
      <c r="F466" s="114">
        <f>IF($S466="","",N(INDEX(数据录入!$F$5:$F$4999,$S466)))</f>
      </c>
      <c r="G466" s="114">
        <f>IF($S466="","",N(INDEX(数据录入!$G$5:$G$4999,$S466)))</f>
      </c>
      <c r="H466" s="114">
        <f>IF($S466="","",$G$2+SUM($F$8:$F466)-SUM($G$8:$G466))</f>
      </c>
      <c r="Q466" s="44">
        <f>IF(数据录入!$B466="",0,IF(OR(数据录入!$D466="投标保证金",数据录入!$D466="合同履约保证金",ISNUMBER(FIND("保证金",数据录入!$E466))),1,0))</f>
      </c>
      <c r="R466" s="44">
        <f>IF(AND($Q466=1,数据录入!$B466&gt;=$B$2,数据录入!$B466&lt;=$D$2),N(R465)+1,N(R465))</f>
      </c>
      <c r="S466" s="44">
        <f>IFERROR(MATCH(459,$R$5:$R$4999,0),"")</f>
      </c>
    </row>
    <row r="467" s="44" customFormat="1" spans="1:23">
      <c r="A467" s="116">
        <f>IF($S467="","",INDEX(数据录入!$B$5:$B$4999,$S467))</f>
      </c>
      <c r="B467" s="44">
        <f>IF($S467="","",INDEX(数据录入!$C$5:$C$4999,$S467)&amp;"")</f>
      </c>
      <c r="C467" s="165">
        <f>IF($S467="","",IF(N($F467)&gt;0,"收款",IF(N($G467)&gt;0,"付款","")))</f>
      </c>
      <c r="D467" s="44">
        <f>IF($S467="","",IF((INDEX(数据录入!$I$5:$I$4999,$S467)&amp;"")&lt;&gt;"",INDEX(数据录入!$I$5:$I$4999,$S467)&amp;"",INDEX(数据录入!$J$5:$J$4999,$S467)&amp;""))</f>
      </c>
      <c r="E467" s="108">
        <f>IF($S467="","",INDEX(数据录入!$E$5:$E$4999,$S467)&amp;"")</f>
      </c>
      <c r="F467" s="114">
        <f>IF($S467="","",N(INDEX(数据录入!$F$5:$F$4999,$S467)))</f>
      </c>
      <c r="G467" s="114">
        <f>IF($S467="","",N(INDEX(数据录入!$G$5:$G$4999,$S467)))</f>
      </c>
      <c r="H467" s="114">
        <f>IF($S467="","",$G$2+SUM($F$8:$F467)-SUM($G$8:$G467))</f>
      </c>
      <c r="Q467" s="44">
        <f>IF(数据录入!$B467="",0,IF(OR(数据录入!$D467="投标保证金",数据录入!$D467="合同履约保证金",ISNUMBER(FIND("保证金",数据录入!$E467))),1,0))</f>
      </c>
      <c r="R467" s="44">
        <f>IF(AND($Q467=1,数据录入!$B467&gt;=$B$2,数据录入!$B467&lt;=$D$2),N(R466)+1,N(R466))</f>
      </c>
      <c r="S467" s="44">
        <f>IFERROR(MATCH(460,$R$5:$R$4999,0),"")</f>
      </c>
    </row>
    <row r="468" s="44" customFormat="1" spans="1:23">
      <c r="A468" s="116">
        <f>IF($S468="","",INDEX(数据录入!$B$5:$B$4999,$S468))</f>
      </c>
      <c r="B468" s="44">
        <f>IF($S468="","",INDEX(数据录入!$C$5:$C$4999,$S468)&amp;"")</f>
      </c>
      <c r="C468" s="165">
        <f>IF($S468="","",IF(N($F468)&gt;0,"收款",IF(N($G468)&gt;0,"付款","")))</f>
      </c>
      <c r="D468" s="44">
        <f>IF($S468="","",IF((INDEX(数据录入!$I$5:$I$4999,$S468)&amp;"")&lt;&gt;"",INDEX(数据录入!$I$5:$I$4999,$S468)&amp;"",INDEX(数据录入!$J$5:$J$4999,$S468)&amp;""))</f>
      </c>
      <c r="E468" s="108">
        <f>IF($S468="","",INDEX(数据录入!$E$5:$E$4999,$S468)&amp;"")</f>
      </c>
      <c r="F468" s="114">
        <f>IF($S468="","",N(INDEX(数据录入!$F$5:$F$4999,$S468)))</f>
      </c>
      <c r="G468" s="114">
        <f>IF($S468="","",N(INDEX(数据录入!$G$5:$G$4999,$S468)))</f>
      </c>
      <c r="H468" s="114">
        <f>IF($S468="","",$G$2+SUM($F$8:$F468)-SUM($G$8:$G468))</f>
      </c>
      <c r="Q468" s="44">
        <f>IF(数据录入!$B468="",0,IF(OR(数据录入!$D468="投标保证金",数据录入!$D468="合同履约保证金",ISNUMBER(FIND("保证金",数据录入!$E468))),1,0))</f>
      </c>
      <c r="R468" s="44">
        <f>IF(AND($Q468=1,数据录入!$B468&gt;=$B$2,数据录入!$B468&lt;=$D$2),N(R467)+1,N(R467))</f>
      </c>
      <c r="S468" s="44">
        <f>IFERROR(MATCH(461,$R$5:$R$4999,0),"")</f>
      </c>
    </row>
    <row r="469" s="44" customFormat="1" spans="1:23">
      <c r="A469" s="116">
        <f>IF($S469="","",INDEX(数据录入!$B$5:$B$4999,$S469))</f>
      </c>
      <c r="B469" s="44">
        <f>IF($S469="","",INDEX(数据录入!$C$5:$C$4999,$S469)&amp;"")</f>
      </c>
      <c r="C469" s="165">
        <f>IF($S469="","",IF(N($F469)&gt;0,"收款",IF(N($G469)&gt;0,"付款","")))</f>
      </c>
      <c r="D469" s="44">
        <f>IF($S469="","",IF((INDEX(数据录入!$I$5:$I$4999,$S469)&amp;"")&lt;&gt;"",INDEX(数据录入!$I$5:$I$4999,$S469)&amp;"",INDEX(数据录入!$J$5:$J$4999,$S469)&amp;""))</f>
      </c>
      <c r="E469" s="108">
        <f>IF($S469="","",INDEX(数据录入!$E$5:$E$4999,$S469)&amp;"")</f>
      </c>
      <c r="F469" s="114">
        <f>IF($S469="","",N(INDEX(数据录入!$F$5:$F$4999,$S469)))</f>
      </c>
      <c r="G469" s="114">
        <f>IF($S469="","",N(INDEX(数据录入!$G$5:$G$4999,$S469)))</f>
      </c>
      <c r="H469" s="114">
        <f>IF($S469="","",$G$2+SUM($F$8:$F469)-SUM($G$8:$G469))</f>
      </c>
      <c r="Q469" s="44">
        <f>IF(数据录入!$B469="",0,IF(OR(数据录入!$D469="投标保证金",数据录入!$D469="合同履约保证金",ISNUMBER(FIND("保证金",数据录入!$E469))),1,0))</f>
      </c>
      <c r="R469" s="44">
        <f>IF(AND($Q469=1,数据录入!$B469&gt;=$B$2,数据录入!$B469&lt;=$D$2),N(R468)+1,N(R468))</f>
      </c>
      <c r="S469" s="44">
        <f>IFERROR(MATCH(462,$R$5:$R$4999,0),"")</f>
      </c>
    </row>
    <row r="470" s="44" customFormat="1" spans="1:23">
      <c r="A470" s="116">
        <f>IF($S470="","",INDEX(数据录入!$B$5:$B$4999,$S470))</f>
      </c>
      <c r="B470" s="44">
        <f>IF($S470="","",INDEX(数据录入!$C$5:$C$4999,$S470)&amp;"")</f>
      </c>
      <c r="C470" s="165">
        <f>IF($S470="","",IF(N($F470)&gt;0,"收款",IF(N($G470)&gt;0,"付款","")))</f>
      </c>
      <c r="D470" s="44">
        <f>IF($S470="","",IF((INDEX(数据录入!$I$5:$I$4999,$S470)&amp;"")&lt;&gt;"",INDEX(数据录入!$I$5:$I$4999,$S470)&amp;"",INDEX(数据录入!$J$5:$J$4999,$S470)&amp;""))</f>
      </c>
      <c r="E470" s="108">
        <f>IF($S470="","",INDEX(数据录入!$E$5:$E$4999,$S470)&amp;"")</f>
      </c>
      <c r="F470" s="114">
        <f>IF($S470="","",N(INDEX(数据录入!$F$5:$F$4999,$S470)))</f>
      </c>
      <c r="G470" s="114">
        <f>IF($S470="","",N(INDEX(数据录入!$G$5:$G$4999,$S470)))</f>
      </c>
      <c r="H470" s="114">
        <f>IF($S470="","",$G$2+SUM($F$8:$F470)-SUM($G$8:$G470))</f>
      </c>
      <c r="Q470" s="44">
        <f>IF(数据录入!$B470="",0,IF(OR(数据录入!$D470="投标保证金",数据录入!$D470="合同履约保证金",ISNUMBER(FIND("保证金",数据录入!$E470))),1,0))</f>
      </c>
      <c r="R470" s="44">
        <f>IF(AND($Q470=1,数据录入!$B470&gt;=$B$2,数据录入!$B470&lt;=$D$2),N(R469)+1,N(R469))</f>
      </c>
      <c r="S470" s="44">
        <f>IFERROR(MATCH(463,$R$5:$R$4999,0),"")</f>
      </c>
    </row>
    <row r="471" s="44" customFormat="1" spans="1:23">
      <c r="A471" s="116">
        <f>IF($S471="","",INDEX(数据录入!$B$5:$B$4999,$S471))</f>
      </c>
      <c r="B471" s="44">
        <f>IF($S471="","",INDEX(数据录入!$C$5:$C$4999,$S471)&amp;"")</f>
      </c>
      <c r="C471" s="165">
        <f>IF($S471="","",IF(N($F471)&gt;0,"收款",IF(N($G471)&gt;0,"付款","")))</f>
      </c>
      <c r="D471" s="44">
        <f>IF($S471="","",IF((INDEX(数据录入!$I$5:$I$4999,$S471)&amp;"")&lt;&gt;"",INDEX(数据录入!$I$5:$I$4999,$S471)&amp;"",INDEX(数据录入!$J$5:$J$4999,$S471)&amp;""))</f>
      </c>
      <c r="E471" s="108">
        <f>IF($S471="","",INDEX(数据录入!$E$5:$E$4999,$S471)&amp;"")</f>
      </c>
      <c r="F471" s="114">
        <f>IF($S471="","",N(INDEX(数据录入!$F$5:$F$4999,$S471)))</f>
      </c>
      <c r="G471" s="114">
        <f>IF($S471="","",N(INDEX(数据录入!$G$5:$G$4999,$S471)))</f>
      </c>
      <c r="H471" s="114">
        <f>IF($S471="","",$G$2+SUM($F$8:$F471)-SUM($G$8:$G471))</f>
      </c>
      <c r="Q471" s="44">
        <f>IF(数据录入!$B471="",0,IF(OR(数据录入!$D471="投标保证金",数据录入!$D471="合同履约保证金",ISNUMBER(FIND("保证金",数据录入!$E471))),1,0))</f>
      </c>
      <c r="R471" s="44">
        <f>IF(AND($Q471=1,数据录入!$B471&gt;=$B$2,数据录入!$B471&lt;=$D$2),N(R470)+1,N(R470))</f>
      </c>
      <c r="S471" s="44">
        <f>IFERROR(MATCH(464,$R$5:$R$4999,0),"")</f>
      </c>
    </row>
    <row r="472" s="44" customFormat="1" spans="1:23">
      <c r="A472" s="116">
        <f>IF($S472="","",INDEX(数据录入!$B$5:$B$4999,$S472))</f>
      </c>
      <c r="B472" s="44">
        <f>IF($S472="","",INDEX(数据录入!$C$5:$C$4999,$S472)&amp;"")</f>
      </c>
      <c r="C472" s="165">
        <f>IF($S472="","",IF(N($F472)&gt;0,"收款",IF(N($G472)&gt;0,"付款","")))</f>
      </c>
      <c r="D472" s="44">
        <f>IF($S472="","",IF((INDEX(数据录入!$I$5:$I$4999,$S472)&amp;"")&lt;&gt;"",INDEX(数据录入!$I$5:$I$4999,$S472)&amp;"",INDEX(数据录入!$J$5:$J$4999,$S472)&amp;""))</f>
      </c>
      <c r="E472" s="108">
        <f>IF($S472="","",INDEX(数据录入!$E$5:$E$4999,$S472)&amp;"")</f>
      </c>
      <c r="F472" s="114">
        <f>IF($S472="","",N(INDEX(数据录入!$F$5:$F$4999,$S472)))</f>
      </c>
      <c r="G472" s="114">
        <f>IF($S472="","",N(INDEX(数据录入!$G$5:$G$4999,$S472)))</f>
      </c>
      <c r="H472" s="114">
        <f>IF($S472="","",$G$2+SUM($F$8:$F472)-SUM($G$8:$G472))</f>
      </c>
      <c r="Q472" s="44">
        <f>IF(数据录入!$B472="",0,IF(OR(数据录入!$D472="投标保证金",数据录入!$D472="合同履约保证金",ISNUMBER(FIND("保证金",数据录入!$E472))),1,0))</f>
      </c>
      <c r="R472" s="44">
        <f>IF(AND($Q472=1,数据录入!$B472&gt;=$B$2,数据录入!$B472&lt;=$D$2),N(R471)+1,N(R471))</f>
      </c>
      <c r="S472" s="44">
        <f>IFERROR(MATCH(465,$R$5:$R$4999,0),"")</f>
      </c>
    </row>
    <row r="473" s="44" customFormat="1" spans="1:23">
      <c r="A473" s="116">
        <f>IF($S473="","",INDEX(数据录入!$B$5:$B$4999,$S473))</f>
      </c>
      <c r="B473" s="44">
        <f>IF($S473="","",INDEX(数据录入!$C$5:$C$4999,$S473)&amp;"")</f>
      </c>
      <c r="C473" s="165">
        <f>IF($S473="","",IF(N($F473)&gt;0,"收款",IF(N($G473)&gt;0,"付款","")))</f>
      </c>
      <c r="D473" s="44">
        <f>IF($S473="","",IF((INDEX(数据录入!$I$5:$I$4999,$S473)&amp;"")&lt;&gt;"",INDEX(数据录入!$I$5:$I$4999,$S473)&amp;"",INDEX(数据录入!$J$5:$J$4999,$S473)&amp;""))</f>
      </c>
      <c r="E473" s="108">
        <f>IF($S473="","",INDEX(数据录入!$E$5:$E$4999,$S473)&amp;"")</f>
      </c>
      <c r="F473" s="114">
        <f>IF($S473="","",N(INDEX(数据录入!$F$5:$F$4999,$S473)))</f>
      </c>
      <c r="G473" s="114">
        <f>IF($S473="","",N(INDEX(数据录入!$G$5:$G$4999,$S473)))</f>
      </c>
      <c r="H473" s="114">
        <f>IF($S473="","",$G$2+SUM($F$8:$F473)-SUM($G$8:$G473))</f>
      </c>
      <c r="Q473" s="44">
        <f>IF(数据录入!$B473="",0,IF(OR(数据录入!$D473="投标保证金",数据录入!$D473="合同履约保证金",ISNUMBER(FIND("保证金",数据录入!$E473))),1,0))</f>
      </c>
      <c r="R473" s="44">
        <f>IF(AND($Q473=1,数据录入!$B473&gt;=$B$2,数据录入!$B473&lt;=$D$2),N(R472)+1,N(R472))</f>
      </c>
      <c r="S473" s="44">
        <f>IFERROR(MATCH(466,$R$5:$R$4999,0),"")</f>
      </c>
    </row>
    <row r="474" s="44" customFormat="1" spans="1:23">
      <c r="A474" s="116">
        <f>IF($S474="","",INDEX(数据录入!$B$5:$B$4999,$S474))</f>
      </c>
      <c r="B474" s="44">
        <f>IF($S474="","",INDEX(数据录入!$C$5:$C$4999,$S474)&amp;"")</f>
      </c>
      <c r="C474" s="165">
        <f>IF($S474="","",IF(N($F474)&gt;0,"收款",IF(N($G474)&gt;0,"付款","")))</f>
      </c>
      <c r="D474" s="44">
        <f>IF($S474="","",IF((INDEX(数据录入!$I$5:$I$4999,$S474)&amp;"")&lt;&gt;"",INDEX(数据录入!$I$5:$I$4999,$S474)&amp;"",INDEX(数据录入!$J$5:$J$4999,$S474)&amp;""))</f>
      </c>
      <c r="E474" s="108">
        <f>IF($S474="","",INDEX(数据录入!$E$5:$E$4999,$S474)&amp;"")</f>
      </c>
      <c r="F474" s="114">
        <f>IF($S474="","",N(INDEX(数据录入!$F$5:$F$4999,$S474)))</f>
      </c>
      <c r="G474" s="114">
        <f>IF($S474="","",N(INDEX(数据录入!$G$5:$G$4999,$S474)))</f>
      </c>
      <c r="H474" s="114">
        <f>IF($S474="","",$G$2+SUM($F$8:$F474)-SUM($G$8:$G474))</f>
      </c>
      <c r="Q474" s="44">
        <f>IF(数据录入!$B474="",0,IF(OR(数据录入!$D474="投标保证金",数据录入!$D474="合同履约保证金",ISNUMBER(FIND("保证金",数据录入!$E474))),1,0))</f>
      </c>
      <c r="R474" s="44">
        <f>IF(AND($Q474=1,数据录入!$B474&gt;=$B$2,数据录入!$B474&lt;=$D$2),N(R473)+1,N(R473))</f>
      </c>
      <c r="S474" s="44">
        <f>IFERROR(MATCH(467,$R$5:$R$4999,0),"")</f>
      </c>
    </row>
    <row r="475" s="44" customFormat="1" spans="1:23">
      <c r="A475" s="116">
        <f>IF($S475="","",INDEX(数据录入!$B$5:$B$4999,$S475))</f>
      </c>
      <c r="B475" s="44">
        <f>IF($S475="","",INDEX(数据录入!$C$5:$C$4999,$S475)&amp;"")</f>
      </c>
      <c r="C475" s="165">
        <f>IF($S475="","",IF(N($F475)&gt;0,"收款",IF(N($G475)&gt;0,"付款","")))</f>
      </c>
      <c r="D475" s="44">
        <f>IF($S475="","",IF((INDEX(数据录入!$I$5:$I$4999,$S475)&amp;"")&lt;&gt;"",INDEX(数据录入!$I$5:$I$4999,$S475)&amp;"",INDEX(数据录入!$J$5:$J$4999,$S475)&amp;""))</f>
      </c>
      <c r="E475" s="108">
        <f>IF($S475="","",INDEX(数据录入!$E$5:$E$4999,$S475)&amp;"")</f>
      </c>
      <c r="F475" s="114">
        <f>IF($S475="","",N(INDEX(数据录入!$F$5:$F$4999,$S475)))</f>
      </c>
      <c r="G475" s="114">
        <f>IF($S475="","",N(INDEX(数据录入!$G$5:$G$4999,$S475)))</f>
      </c>
      <c r="H475" s="114">
        <f>IF($S475="","",$G$2+SUM($F$8:$F475)-SUM($G$8:$G475))</f>
      </c>
      <c r="Q475" s="44">
        <f>IF(数据录入!$B475="",0,IF(OR(数据录入!$D475="投标保证金",数据录入!$D475="合同履约保证金",ISNUMBER(FIND("保证金",数据录入!$E475))),1,0))</f>
      </c>
      <c r="R475" s="44">
        <f>IF(AND($Q475=1,数据录入!$B475&gt;=$B$2,数据录入!$B475&lt;=$D$2),N(R474)+1,N(R474))</f>
      </c>
      <c r="S475" s="44">
        <f>IFERROR(MATCH(468,$R$5:$R$4999,0),"")</f>
      </c>
    </row>
    <row r="476" s="44" customFormat="1" spans="1:23">
      <c r="A476" s="116">
        <f>IF($S476="","",INDEX(数据录入!$B$5:$B$4999,$S476))</f>
      </c>
      <c r="B476" s="44">
        <f>IF($S476="","",INDEX(数据录入!$C$5:$C$4999,$S476)&amp;"")</f>
      </c>
      <c r="C476" s="165">
        <f>IF($S476="","",IF(N($F476)&gt;0,"收款",IF(N($G476)&gt;0,"付款","")))</f>
      </c>
      <c r="D476" s="44">
        <f>IF($S476="","",IF((INDEX(数据录入!$I$5:$I$4999,$S476)&amp;"")&lt;&gt;"",INDEX(数据录入!$I$5:$I$4999,$S476)&amp;"",INDEX(数据录入!$J$5:$J$4999,$S476)&amp;""))</f>
      </c>
      <c r="E476" s="108">
        <f>IF($S476="","",INDEX(数据录入!$E$5:$E$4999,$S476)&amp;"")</f>
      </c>
      <c r="F476" s="114">
        <f>IF($S476="","",N(INDEX(数据录入!$F$5:$F$4999,$S476)))</f>
      </c>
      <c r="G476" s="114">
        <f>IF($S476="","",N(INDEX(数据录入!$G$5:$G$4999,$S476)))</f>
      </c>
      <c r="H476" s="114">
        <f>IF($S476="","",$G$2+SUM($F$8:$F476)-SUM($G$8:$G476))</f>
      </c>
      <c r="Q476" s="44">
        <f>IF(数据录入!$B476="",0,IF(OR(数据录入!$D476="投标保证金",数据录入!$D476="合同履约保证金",ISNUMBER(FIND("保证金",数据录入!$E476))),1,0))</f>
      </c>
      <c r="R476" s="44">
        <f>IF(AND($Q476=1,数据录入!$B476&gt;=$B$2,数据录入!$B476&lt;=$D$2),N(R475)+1,N(R475))</f>
      </c>
      <c r="S476" s="44">
        <f>IFERROR(MATCH(469,$R$5:$R$4999,0),"")</f>
      </c>
    </row>
    <row r="477" s="44" customFormat="1" spans="1:23">
      <c r="A477" s="116">
        <f>IF($S477="","",INDEX(数据录入!$B$5:$B$4999,$S477))</f>
      </c>
      <c r="B477" s="44">
        <f>IF($S477="","",INDEX(数据录入!$C$5:$C$4999,$S477)&amp;"")</f>
      </c>
      <c r="C477" s="165">
        <f>IF($S477="","",IF(N($F477)&gt;0,"收款",IF(N($G477)&gt;0,"付款","")))</f>
      </c>
      <c r="D477" s="44">
        <f>IF($S477="","",IF((INDEX(数据录入!$I$5:$I$4999,$S477)&amp;"")&lt;&gt;"",INDEX(数据录入!$I$5:$I$4999,$S477)&amp;"",INDEX(数据录入!$J$5:$J$4999,$S477)&amp;""))</f>
      </c>
      <c r="E477" s="108">
        <f>IF($S477="","",INDEX(数据录入!$E$5:$E$4999,$S477)&amp;"")</f>
      </c>
      <c r="F477" s="114">
        <f>IF($S477="","",N(INDEX(数据录入!$F$5:$F$4999,$S477)))</f>
      </c>
      <c r="G477" s="114">
        <f>IF($S477="","",N(INDEX(数据录入!$G$5:$G$4999,$S477)))</f>
      </c>
      <c r="H477" s="114">
        <f>IF($S477="","",$G$2+SUM($F$8:$F477)-SUM($G$8:$G477))</f>
      </c>
      <c r="Q477" s="44">
        <f>IF(数据录入!$B477="",0,IF(OR(数据录入!$D477="投标保证金",数据录入!$D477="合同履约保证金",ISNUMBER(FIND("保证金",数据录入!$E477))),1,0))</f>
      </c>
      <c r="R477" s="44">
        <f>IF(AND($Q477=1,数据录入!$B477&gt;=$B$2,数据录入!$B477&lt;=$D$2),N(R476)+1,N(R476))</f>
      </c>
      <c r="S477" s="44">
        <f>IFERROR(MATCH(470,$R$5:$R$4999,0),"")</f>
      </c>
    </row>
    <row r="478" s="44" customFormat="1" spans="1:23">
      <c r="A478" s="116">
        <f>IF($S478="","",INDEX(数据录入!$B$5:$B$4999,$S478))</f>
      </c>
      <c r="B478" s="44">
        <f>IF($S478="","",INDEX(数据录入!$C$5:$C$4999,$S478)&amp;"")</f>
      </c>
      <c r="C478" s="165">
        <f>IF($S478="","",IF(N($F478)&gt;0,"收款",IF(N($G478)&gt;0,"付款","")))</f>
      </c>
      <c r="D478" s="44">
        <f>IF($S478="","",IF((INDEX(数据录入!$I$5:$I$4999,$S478)&amp;"")&lt;&gt;"",INDEX(数据录入!$I$5:$I$4999,$S478)&amp;"",INDEX(数据录入!$J$5:$J$4999,$S478)&amp;""))</f>
      </c>
      <c r="E478" s="108">
        <f>IF($S478="","",INDEX(数据录入!$E$5:$E$4999,$S478)&amp;"")</f>
      </c>
      <c r="F478" s="114">
        <f>IF($S478="","",N(INDEX(数据录入!$F$5:$F$4999,$S478)))</f>
      </c>
      <c r="G478" s="114">
        <f>IF($S478="","",N(INDEX(数据录入!$G$5:$G$4999,$S478)))</f>
      </c>
      <c r="H478" s="114">
        <f>IF($S478="","",$G$2+SUM($F$8:$F478)-SUM($G$8:$G478))</f>
      </c>
      <c r="Q478" s="44">
        <f>IF(数据录入!$B478="",0,IF(OR(数据录入!$D478="投标保证金",数据录入!$D478="合同履约保证金",ISNUMBER(FIND("保证金",数据录入!$E478))),1,0))</f>
      </c>
      <c r="R478" s="44">
        <f>IF(AND($Q478=1,数据录入!$B478&gt;=$B$2,数据录入!$B478&lt;=$D$2),N(R477)+1,N(R477))</f>
      </c>
      <c r="S478" s="44">
        <f>IFERROR(MATCH(471,$R$5:$R$4999,0),"")</f>
      </c>
    </row>
    <row r="479" s="44" customFormat="1" spans="1:23">
      <c r="A479" s="116">
        <f>IF($S479="","",INDEX(数据录入!$B$5:$B$4999,$S479))</f>
      </c>
      <c r="B479" s="44">
        <f>IF($S479="","",INDEX(数据录入!$C$5:$C$4999,$S479)&amp;"")</f>
      </c>
      <c r="C479" s="165">
        <f>IF($S479="","",IF(N($F479)&gt;0,"收款",IF(N($G479)&gt;0,"付款","")))</f>
      </c>
      <c r="D479" s="44">
        <f>IF($S479="","",IF((INDEX(数据录入!$I$5:$I$4999,$S479)&amp;"")&lt;&gt;"",INDEX(数据录入!$I$5:$I$4999,$S479)&amp;"",INDEX(数据录入!$J$5:$J$4999,$S479)&amp;""))</f>
      </c>
      <c r="E479" s="108">
        <f>IF($S479="","",INDEX(数据录入!$E$5:$E$4999,$S479)&amp;"")</f>
      </c>
      <c r="F479" s="114">
        <f>IF($S479="","",N(INDEX(数据录入!$F$5:$F$4999,$S479)))</f>
      </c>
      <c r="G479" s="114">
        <f>IF($S479="","",N(INDEX(数据录入!$G$5:$G$4999,$S479)))</f>
      </c>
      <c r="H479" s="114">
        <f>IF($S479="","",$G$2+SUM($F$8:$F479)-SUM($G$8:$G479))</f>
      </c>
      <c r="Q479" s="44">
        <f>IF(数据录入!$B479="",0,IF(OR(数据录入!$D479="投标保证金",数据录入!$D479="合同履约保证金",ISNUMBER(FIND("保证金",数据录入!$E479))),1,0))</f>
      </c>
      <c r="R479" s="44">
        <f>IF(AND($Q479=1,数据录入!$B479&gt;=$B$2,数据录入!$B479&lt;=$D$2),N(R478)+1,N(R478))</f>
      </c>
      <c r="S479" s="44">
        <f>IFERROR(MATCH(472,$R$5:$R$4999,0),"")</f>
      </c>
    </row>
    <row r="480" s="44" customFormat="1" spans="1:23">
      <c r="A480" s="116">
        <f>IF($S480="","",INDEX(数据录入!$B$5:$B$4999,$S480))</f>
      </c>
      <c r="B480" s="44">
        <f>IF($S480="","",INDEX(数据录入!$C$5:$C$4999,$S480)&amp;"")</f>
      </c>
      <c r="C480" s="165">
        <f>IF($S480="","",IF(N($F480)&gt;0,"收款",IF(N($G480)&gt;0,"付款","")))</f>
      </c>
      <c r="D480" s="44">
        <f>IF($S480="","",IF((INDEX(数据录入!$I$5:$I$4999,$S480)&amp;"")&lt;&gt;"",INDEX(数据录入!$I$5:$I$4999,$S480)&amp;"",INDEX(数据录入!$J$5:$J$4999,$S480)&amp;""))</f>
      </c>
      <c r="E480" s="108">
        <f>IF($S480="","",INDEX(数据录入!$E$5:$E$4999,$S480)&amp;"")</f>
      </c>
      <c r="F480" s="114">
        <f>IF($S480="","",N(INDEX(数据录入!$F$5:$F$4999,$S480)))</f>
      </c>
      <c r="G480" s="114">
        <f>IF($S480="","",N(INDEX(数据录入!$G$5:$G$4999,$S480)))</f>
      </c>
      <c r="H480" s="114">
        <f>IF($S480="","",$G$2+SUM($F$8:$F480)-SUM($G$8:$G480))</f>
      </c>
      <c r="Q480" s="44">
        <f>IF(数据录入!$B480="",0,IF(OR(数据录入!$D480="投标保证金",数据录入!$D480="合同履约保证金",ISNUMBER(FIND("保证金",数据录入!$E480))),1,0))</f>
      </c>
      <c r="R480" s="44">
        <f>IF(AND($Q480=1,数据录入!$B480&gt;=$B$2,数据录入!$B480&lt;=$D$2),N(R479)+1,N(R479))</f>
      </c>
      <c r="S480" s="44">
        <f>IFERROR(MATCH(473,$R$5:$R$4999,0),"")</f>
      </c>
    </row>
    <row r="481" s="44" customFormat="1" spans="1:23">
      <c r="A481" s="116">
        <f>IF($S481="","",INDEX(数据录入!$B$5:$B$4999,$S481))</f>
      </c>
      <c r="B481" s="44">
        <f>IF($S481="","",INDEX(数据录入!$C$5:$C$4999,$S481)&amp;"")</f>
      </c>
      <c r="C481" s="165">
        <f>IF($S481="","",IF(N($F481)&gt;0,"收款",IF(N($G481)&gt;0,"付款","")))</f>
      </c>
      <c r="D481" s="44">
        <f>IF($S481="","",IF((INDEX(数据录入!$I$5:$I$4999,$S481)&amp;"")&lt;&gt;"",INDEX(数据录入!$I$5:$I$4999,$S481)&amp;"",INDEX(数据录入!$J$5:$J$4999,$S481)&amp;""))</f>
      </c>
      <c r="E481" s="108">
        <f>IF($S481="","",INDEX(数据录入!$E$5:$E$4999,$S481)&amp;"")</f>
      </c>
      <c r="F481" s="114">
        <f>IF($S481="","",N(INDEX(数据录入!$F$5:$F$4999,$S481)))</f>
      </c>
      <c r="G481" s="114">
        <f>IF($S481="","",N(INDEX(数据录入!$G$5:$G$4999,$S481)))</f>
      </c>
      <c r="H481" s="114">
        <f>IF($S481="","",$G$2+SUM($F$8:$F481)-SUM($G$8:$G481))</f>
      </c>
      <c r="Q481" s="44">
        <f>IF(数据录入!$B481="",0,IF(OR(数据录入!$D481="投标保证金",数据录入!$D481="合同履约保证金",ISNUMBER(FIND("保证金",数据录入!$E481))),1,0))</f>
      </c>
      <c r="R481" s="44">
        <f>IF(AND($Q481=1,数据录入!$B481&gt;=$B$2,数据录入!$B481&lt;=$D$2),N(R480)+1,N(R480))</f>
      </c>
      <c r="S481" s="44">
        <f>IFERROR(MATCH(474,$R$5:$R$4999,0),"")</f>
      </c>
    </row>
    <row r="482" s="44" customFormat="1" spans="1:23">
      <c r="A482" s="116">
        <f>IF($S482="","",INDEX(数据录入!$B$5:$B$4999,$S482))</f>
      </c>
      <c r="B482" s="44">
        <f>IF($S482="","",INDEX(数据录入!$C$5:$C$4999,$S482)&amp;"")</f>
      </c>
      <c r="C482" s="165">
        <f>IF($S482="","",IF(N($F482)&gt;0,"收款",IF(N($G482)&gt;0,"付款","")))</f>
      </c>
      <c r="D482" s="44">
        <f>IF($S482="","",IF((INDEX(数据录入!$I$5:$I$4999,$S482)&amp;"")&lt;&gt;"",INDEX(数据录入!$I$5:$I$4999,$S482)&amp;"",INDEX(数据录入!$J$5:$J$4999,$S482)&amp;""))</f>
      </c>
      <c r="E482" s="108">
        <f>IF($S482="","",INDEX(数据录入!$E$5:$E$4999,$S482)&amp;"")</f>
      </c>
      <c r="F482" s="114">
        <f>IF($S482="","",N(INDEX(数据录入!$F$5:$F$4999,$S482)))</f>
      </c>
      <c r="G482" s="114">
        <f>IF($S482="","",N(INDEX(数据录入!$G$5:$G$4999,$S482)))</f>
      </c>
      <c r="H482" s="114">
        <f>IF($S482="","",$G$2+SUM($F$8:$F482)-SUM($G$8:$G482))</f>
      </c>
      <c r="Q482" s="44">
        <f>IF(数据录入!$B482="",0,IF(OR(数据录入!$D482="投标保证金",数据录入!$D482="合同履约保证金",ISNUMBER(FIND("保证金",数据录入!$E482))),1,0))</f>
      </c>
      <c r="R482" s="44">
        <f>IF(AND($Q482=1,数据录入!$B482&gt;=$B$2,数据录入!$B482&lt;=$D$2),N(R481)+1,N(R481))</f>
      </c>
      <c r="S482" s="44">
        <f>IFERROR(MATCH(475,$R$5:$R$4999,0),"")</f>
      </c>
    </row>
    <row r="483" s="44" customFormat="1" spans="1:23">
      <c r="A483" s="116">
        <f>IF($S483="","",INDEX(数据录入!$B$5:$B$4999,$S483))</f>
      </c>
      <c r="B483" s="44">
        <f>IF($S483="","",INDEX(数据录入!$C$5:$C$4999,$S483)&amp;"")</f>
      </c>
      <c r="C483" s="165">
        <f>IF($S483="","",IF(N($F483)&gt;0,"收款",IF(N($G483)&gt;0,"付款","")))</f>
      </c>
      <c r="D483" s="44">
        <f>IF($S483="","",IF((INDEX(数据录入!$I$5:$I$4999,$S483)&amp;"")&lt;&gt;"",INDEX(数据录入!$I$5:$I$4999,$S483)&amp;"",INDEX(数据录入!$J$5:$J$4999,$S483)&amp;""))</f>
      </c>
      <c r="E483" s="108">
        <f>IF($S483="","",INDEX(数据录入!$E$5:$E$4999,$S483)&amp;"")</f>
      </c>
      <c r="F483" s="114">
        <f>IF($S483="","",N(INDEX(数据录入!$F$5:$F$4999,$S483)))</f>
      </c>
      <c r="G483" s="114">
        <f>IF($S483="","",N(INDEX(数据录入!$G$5:$G$4999,$S483)))</f>
      </c>
      <c r="H483" s="114">
        <f>IF($S483="","",$G$2+SUM($F$8:$F483)-SUM($G$8:$G483))</f>
      </c>
      <c r="Q483" s="44">
        <f>IF(数据录入!$B483="",0,IF(OR(数据录入!$D483="投标保证金",数据录入!$D483="合同履约保证金",ISNUMBER(FIND("保证金",数据录入!$E483))),1,0))</f>
      </c>
      <c r="R483" s="44">
        <f>IF(AND($Q483=1,数据录入!$B483&gt;=$B$2,数据录入!$B483&lt;=$D$2),N(R482)+1,N(R482))</f>
      </c>
      <c r="S483" s="44">
        <f>IFERROR(MATCH(476,$R$5:$R$4999,0),"")</f>
      </c>
    </row>
    <row r="484" s="44" customFormat="1" spans="1:23">
      <c r="A484" s="116">
        <f>IF($S484="","",INDEX(数据录入!$B$5:$B$4999,$S484))</f>
      </c>
      <c r="B484" s="44">
        <f>IF($S484="","",INDEX(数据录入!$C$5:$C$4999,$S484)&amp;"")</f>
      </c>
      <c r="C484" s="165">
        <f>IF($S484="","",IF(N($F484)&gt;0,"收款",IF(N($G484)&gt;0,"付款","")))</f>
      </c>
      <c r="D484" s="44">
        <f>IF($S484="","",IF((INDEX(数据录入!$I$5:$I$4999,$S484)&amp;"")&lt;&gt;"",INDEX(数据录入!$I$5:$I$4999,$S484)&amp;"",INDEX(数据录入!$J$5:$J$4999,$S484)&amp;""))</f>
      </c>
      <c r="E484" s="108">
        <f>IF($S484="","",INDEX(数据录入!$E$5:$E$4999,$S484)&amp;"")</f>
      </c>
      <c r="F484" s="114">
        <f>IF($S484="","",N(INDEX(数据录入!$F$5:$F$4999,$S484)))</f>
      </c>
      <c r="G484" s="114">
        <f>IF($S484="","",N(INDEX(数据录入!$G$5:$G$4999,$S484)))</f>
      </c>
      <c r="H484" s="114">
        <f>IF($S484="","",$G$2+SUM($F$8:$F484)-SUM($G$8:$G484))</f>
      </c>
      <c r="Q484" s="44">
        <f>IF(数据录入!$B484="",0,IF(OR(数据录入!$D484="投标保证金",数据录入!$D484="合同履约保证金",ISNUMBER(FIND("保证金",数据录入!$E484))),1,0))</f>
      </c>
      <c r="R484" s="44">
        <f>IF(AND($Q484=1,数据录入!$B484&gt;=$B$2,数据录入!$B484&lt;=$D$2),N(R483)+1,N(R483))</f>
      </c>
      <c r="S484" s="44">
        <f>IFERROR(MATCH(477,$R$5:$R$4999,0),"")</f>
      </c>
    </row>
    <row r="485" s="44" customFormat="1" spans="1:23">
      <c r="A485" s="116">
        <f>IF($S485="","",INDEX(数据录入!$B$5:$B$4999,$S485))</f>
      </c>
      <c r="B485" s="44">
        <f>IF($S485="","",INDEX(数据录入!$C$5:$C$4999,$S485)&amp;"")</f>
      </c>
      <c r="C485" s="165">
        <f>IF($S485="","",IF(N($F485)&gt;0,"收款",IF(N($G485)&gt;0,"付款","")))</f>
      </c>
      <c r="D485" s="44">
        <f>IF($S485="","",IF((INDEX(数据录入!$I$5:$I$4999,$S485)&amp;"")&lt;&gt;"",INDEX(数据录入!$I$5:$I$4999,$S485)&amp;"",INDEX(数据录入!$J$5:$J$4999,$S485)&amp;""))</f>
      </c>
      <c r="E485" s="108">
        <f>IF($S485="","",INDEX(数据录入!$E$5:$E$4999,$S485)&amp;"")</f>
      </c>
      <c r="F485" s="114">
        <f>IF($S485="","",N(INDEX(数据录入!$F$5:$F$4999,$S485)))</f>
      </c>
      <c r="G485" s="114">
        <f>IF($S485="","",N(INDEX(数据录入!$G$5:$G$4999,$S485)))</f>
      </c>
      <c r="H485" s="114">
        <f>IF($S485="","",$G$2+SUM($F$8:$F485)-SUM($G$8:$G485))</f>
      </c>
      <c r="Q485" s="44">
        <f>IF(数据录入!$B485="",0,IF(OR(数据录入!$D485="投标保证金",数据录入!$D485="合同履约保证金",ISNUMBER(FIND("保证金",数据录入!$E485))),1,0))</f>
      </c>
      <c r="R485" s="44">
        <f>IF(AND($Q485=1,数据录入!$B485&gt;=$B$2,数据录入!$B485&lt;=$D$2),N(R484)+1,N(R484))</f>
      </c>
      <c r="S485" s="44">
        <f>IFERROR(MATCH(478,$R$5:$R$4999,0),"")</f>
      </c>
    </row>
    <row r="486" s="44" customFormat="1" spans="1:23">
      <c r="A486" s="116">
        <f>IF($S486="","",INDEX(数据录入!$B$5:$B$4999,$S486))</f>
      </c>
      <c r="B486" s="44">
        <f>IF($S486="","",INDEX(数据录入!$C$5:$C$4999,$S486)&amp;"")</f>
      </c>
      <c r="C486" s="165">
        <f>IF($S486="","",IF(N($F486)&gt;0,"收款",IF(N($G486)&gt;0,"付款","")))</f>
      </c>
      <c r="D486" s="44">
        <f>IF($S486="","",IF((INDEX(数据录入!$I$5:$I$4999,$S486)&amp;"")&lt;&gt;"",INDEX(数据录入!$I$5:$I$4999,$S486)&amp;"",INDEX(数据录入!$J$5:$J$4999,$S486)&amp;""))</f>
      </c>
      <c r="E486" s="108">
        <f>IF($S486="","",INDEX(数据录入!$E$5:$E$4999,$S486)&amp;"")</f>
      </c>
      <c r="F486" s="114">
        <f>IF($S486="","",N(INDEX(数据录入!$F$5:$F$4999,$S486)))</f>
      </c>
      <c r="G486" s="114">
        <f>IF($S486="","",N(INDEX(数据录入!$G$5:$G$4999,$S486)))</f>
      </c>
      <c r="H486" s="114">
        <f>IF($S486="","",$G$2+SUM($F$8:$F486)-SUM($G$8:$G486))</f>
      </c>
      <c r="Q486" s="44">
        <f>IF(数据录入!$B486="",0,IF(OR(数据录入!$D486="投标保证金",数据录入!$D486="合同履约保证金",ISNUMBER(FIND("保证金",数据录入!$E486))),1,0))</f>
      </c>
      <c r="R486" s="44">
        <f>IF(AND($Q486=1,数据录入!$B486&gt;=$B$2,数据录入!$B486&lt;=$D$2),N(R485)+1,N(R485))</f>
      </c>
      <c r="S486" s="44">
        <f>IFERROR(MATCH(479,$R$5:$R$4999,0),"")</f>
      </c>
    </row>
    <row r="487" s="44" customFormat="1" spans="1:23">
      <c r="A487" s="116">
        <f>IF($S487="","",INDEX(数据录入!$B$5:$B$4999,$S487))</f>
      </c>
      <c r="B487" s="44">
        <f>IF($S487="","",INDEX(数据录入!$C$5:$C$4999,$S487)&amp;"")</f>
      </c>
      <c r="C487" s="165">
        <f>IF($S487="","",IF(N($F487)&gt;0,"收款",IF(N($G487)&gt;0,"付款","")))</f>
      </c>
      <c r="D487" s="44">
        <f>IF($S487="","",IF((INDEX(数据录入!$I$5:$I$4999,$S487)&amp;"")&lt;&gt;"",INDEX(数据录入!$I$5:$I$4999,$S487)&amp;"",INDEX(数据录入!$J$5:$J$4999,$S487)&amp;""))</f>
      </c>
      <c r="E487" s="108">
        <f>IF($S487="","",INDEX(数据录入!$E$5:$E$4999,$S487)&amp;"")</f>
      </c>
      <c r="F487" s="114">
        <f>IF($S487="","",N(INDEX(数据录入!$F$5:$F$4999,$S487)))</f>
      </c>
      <c r="G487" s="114">
        <f>IF($S487="","",N(INDEX(数据录入!$G$5:$G$4999,$S487)))</f>
      </c>
      <c r="H487" s="114">
        <f>IF($S487="","",$G$2+SUM($F$8:$F487)-SUM($G$8:$G487))</f>
      </c>
      <c r="Q487" s="44">
        <f>IF(数据录入!$B487="",0,IF(OR(数据录入!$D487="投标保证金",数据录入!$D487="合同履约保证金",ISNUMBER(FIND("保证金",数据录入!$E487))),1,0))</f>
      </c>
      <c r="R487" s="44">
        <f>IF(AND($Q487=1,数据录入!$B487&gt;=$B$2,数据录入!$B487&lt;=$D$2),N(R486)+1,N(R486))</f>
      </c>
      <c r="S487" s="44">
        <f>IFERROR(MATCH(480,$R$5:$R$4999,0),"")</f>
      </c>
    </row>
    <row r="488" s="44" customFormat="1" spans="1:23">
      <c r="A488" s="116">
        <f>IF($S488="","",INDEX(数据录入!$B$5:$B$4999,$S488))</f>
      </c>
      <c r="B488" s="44">
        <f>IF($S488="","",INDEX(数据录入!$C$5:$C$4999,$S488)&amp;"")</f>
      </c>
      <c r="C488" s="165">
        <f>IF($S488="","",IF(N($F488)&gt;0,"收款",IF(N($G488)&gt;0,"付款","")))</f>
      </c>
      <c r="D488" s="44">
        <f>IF($S488="","",IF((INDEX(数据录入!$I$5:$I$4999,$S488)&amp;"")&lt;&gt;"",INDEX(数据录入!$I$5:$I$4999,$S488)&amp;"",INDEX(数据录入!$J$5:$J$4999,$S488)&amp;""))</f>
      </c>
      <c r="E488" s="108">
        <f>IF($S488="","",INDEX(数据录入!$E$5:$E$4999,$S488)&amp;"")</f>
      </c>
      <c r="F488" s="114">
        <f>IF($S488="","",N(INDEX(数据录入!$F$5:$F$4999,$S488)))</f>
      </c>
      <c r="G488" s="114">
        <f>IF($S488="","",N(INDEX(数据录入!$G$5:$G$4999,$S488)))</f>
      </c>
      <c r="H488" s="114">
        <f>IF($S488="","",$G$2+SUM($F$8:$F488)-SUM($G$8:$G488))</f>
      </c>
      <c r="Q488" s="44">
        <f>IF(数据录入!$B488="",0,IF(OR(数据录入!$D488="投标保证金",数据录入!$D488="合同履约保证金",ISNUMBER(FIND("保证金",数据录入!$E488))),1,0))</f>
      </c>
      <c r="R488" s="44">
        <f>IF(AND($Q488=1,数据录入!$B488&gt;=$B$2,数据录入!$B488&lt;=$D$2),N(R487)+1,N(R487))</f>
      </c>
      <c r="S488" s="44">
        <f>IFERROR(MATCH(481,$R$5:$R$4999,0),"")</f>
      </c>
    </row>
    <row r="489" s="44" customFormat="1" spans="1:23">
      <c r="A489" s="116">
        <f>IF($S489="","",INDEX(数据录入!$B$5:$B$4999,$S489))</f>
      </c>
      <c r="B489" s="44">
        <f>IF($S489="","",INDEX(数据录入!$C$5:$C$4999,$S489)&amp;"")</f>
      </c>
      <c r="C489" s="165">
        <f>IF($S489="","",IF(N($F489)&gt;0,"收款",IF(N($G489)&gt;0,"付款","")))</f>
      </c>
      <c r="D489" s="44">
        <f>IF($S489="","",IF((INDEX(数据录入!$I$5:$I$4999,$S489)&amp;"")&lt;&gt;"",INDEX(数据录入!$I$5:$I$4999,$S489)&amp;"",INDEX(数据录入!$J$5:$J$4999,$S489)&amp;""))</f>
      </c>
      <c r="E489" s="108">
        <f>IF($S489="","",INDEX(数据录入!$E$5:$E$4999,$S489)&amp;"")</f>
      </c>
      <c r="F489" s="114">
        <f>IF($S489="","",N(INDEX(数据录入!$F$5:$F$4999,$S489)))</f>
      </c>
      <c r="G489" s="114">
        <f>IF($S489="","",N(INDEX(数据录入!$G$5:$G$4999,$S489)))</f>
      </c>
      <c r="H489" s="114">
        <f>IF($S489="","",$G$2+SUM($F$8:$F489)-SUM($G$8:$G489))</f>
      </c>
      <c r="Q489" s="44">
        <f>IF(数据录入!$B489="",0,IF(OR(数据录入!$D489="投标保证金",数据录入!$D489="合同履约保证金",ISNUMBER(FIND("保证金",数据录入!$E489))),1,0))</f>
      </c>
      <c r="R489" s="44">
        <f>IF(AND($Q489=1,数据录入!$B489&gt;=$B$2,数据录入!$B489&lt;=$D$2),N(R488)+1,N(R488))</f>
      </c>
      <c r="S489" s="44">
        <f>IFERROR(MATCH(482,$R$5:$R$4999,0),"")</f>
      </c>
    </row>
    <row r="490" s="44" customFormat="1" spans="1:23">
      <c r="A490" s="116">
        <f>IF($S490="","",INDEX(数据录入!$B$5:$B$4999,$S490))</f>
      </c>
      <c r="B490" s="44">
        <f>IF($S490="","",INDEX(数据录入!$C$5:$C$4999,$S490)&amp;"")</f>
      </c>
      <c r="C490" s="165">
        <f>IF($S490="","",IF(N($F490)&gt;0,"收款",IF(N($G490)&gt;0,"付款","")))</f>
      </c>
      <c r="D490" s="44">
        <f>IF($S490="","",IF((INDEX(数据录入!$I$5:$I$4999,$S490)&amp;"")&lt;&gt;"",INDEX(数据录入!$I$5:$I$4999,$S490)&amp;"",INDEX(数据录入!$J$5:$J$4999,$S490)&amp;""))</f>
      </c>
      <c r="E490" s="108">
        <f>IF($S490="","",INDEX(数据录入!$E$5:$E$4999,$S490)&amp;"")</f>
      </c>
      <c r="F490" s="114">
        <f>IF($S490="","",N(INDEX(数据录入!$F$5:$F$4999,$S490)))</f>
      </c>
      <c r="G490" s="114">
        <f>IF($S490="","",N(INDEX(数据录入!$G$5:$G$4999,$S490)))</f>
      </c>
      <c r="H490" s="114">
        <f>IF($S490="","",$G$2+SUM($F$8:$F490)-SUM($G$8:$G490))</f>
      </c>
      <c r="Q490" s="44">
        <f>IF(数据录入!$B490="",0,IF(OR(数据录入!$D490="投标保证金",数据录入!$D490="合同履约保证金",ISNUMBER(FIND("保证金",数据录入!$E490))),1,0))</f>
      </c>
      <c r="R490" s="44">
        <f>IF(AND($Q490=1,数据录入!$B490&gt;=$B$2,数据录入!$B490&lt;=$D$2),N(R489)+1,N(R489))</f>
      </c>
      <c r="S490" s="44">
        <f>IFERROR(MATCH(483,$R$5:$R$4999,0),"")</f>
      </c>
    </row>
    <row r="491" s="44" customFormat="1" spans="1:23">
      <c r="A491" s="116">
        <f>IF($S491="","",INDEX(数据录入!$B$5:$B$4999,$S491))</f>
      </c>
      <c r="B491" s="44">
        <f>IF($S491="","",INDEX(数据录入!$C$5:$C$4999,$S491)&amp;"")</f>
      </c>
      <c r="C491" s="165">
        <f>IF($S491="","",IF(N($F491)&gt;0,"收款",IF(N($G491)&gt;0,"付款","")))</f>
      </c>
      <c r="D491" s="44">
        <f>IF($S491="","",IF((INDEX(数据录入!$I$5:$I$4999,$S491)&amp;"")&lt;&gt;"",INDEX(数据录入!$I$5:$I$4999,$S491)&amp;"",INDEX(数据录入!$J$5:$J$4999,$S491)&amp;""))</f>
      </c>
      <c r="E491" s="108">
        <f>IF($S491="","",INDEX(数据录入!$E$5:$E$4999,$S491)&amp;"")</f>
      </c>
      <c r="F491" s="114">
        <f>IF($S491="","",N(INDEX(数据录入!$F$5:$F$4999,$S491)))</f>
      </c>
      <c r="G491" s="114">
        <f>IF($S491="","",N(INDEX(数据录入!$G$5:$G$4999,$S491)))</f>
      </c>
      <c r="H491" s="114">
        <f>IF($S491="","",$G$2+SUM($F$8:$F491)-SUM($G$8:$G491))</f>
      </c>
      <c r="Q491" s="44">
        <f>IF(数据录入!$B491="",0,IF(OR(数据录入!$D491="投标保证金",数据录入!$D491="合同履约保证金",ISNUMBER(FIND("保证金",数据录入!$E491))),1,0))</f>
      </c>
      <c r="R491" s="44">
        <f>IF(AND($Q491=1,数据录入!$B491&gt;=$B$2,数据录入!$B491&lt;=$D$2),N(R490)+1,N(R490))</f>
      </c>
      <c r="S491" s="44">
        <f>IFERROR(MATCH(484,$R$5:$R$4999,0),"")</f>
      </c>
    </row>
    <row r="492" s="44" customFormat="1" spans="1:23">
      <c r="A492" s="116">
        <f>IF($S492="","",INDEX(数据录入!$B$5:$B$4999,$S492))</f>
      </c>
      <c r="B492" s="44">
        <f>IF($S492="","",INDEX(数据录入!$C$5:$C$4999,$S492)&amp;"")</f>
      </c>
      <c r="C492" s="165">
        <f>IF($S492="","",IF(N($F492)&gt;0,"收款",IF(N($G492)&gt;0,"付款","")))</f>
      </c>
      <c r="D492" s="44">
        <f>IF($S492="","",IF((INDEX(数据录入!$I$5:$I$4999,$S492)&amp;"")&lt;&gt;"",INDEX(数据录入!$I$5:$I$4999,$S492)&amp;"",INDEX(数据录入!$J$5:$J$4999,$S492)&amp;""))</f>
      </c>
      <c r="E492" s="108">
        <f>IF($S492="","",INDEX(数据录入!$E$5:$E$4999,$S492)&amp;"")</f>
      </c>
      <c r="F492" s="114">
        <f>IF($S492="","",N(INDEX(数据录入!$F$5:$F$4999,$S492)))</f>
      </c>
      <c r="G492" s="114">
        <f>IF($S492="","",N(INDEX(数据录入!$G$5:$G$4999,$S492)))</f>
      </c>
      <c r="H492" s="114">
        <f>IF($S492="","",$G$2+SUM($F$8:$F492)-SUM($G$8:$G492))</f>
      </c>
      <c r="Q492" s="44">
        <f>IF(数据录入!$B492="",0,IF(OR(数据录入!$D492="投标保证金",数据录入!$D492="合同履约保证金",ISNUMBER(FIND("保证金",数据录入!$E492))),1,0))</f>
      </c>
      <c r="R492" s="44">
        <f>IF(AND($Q492=1,数据录入!$B492&gt;=$B$2,数据录入!$B492&lt;=$D$2),N(R491)+1,N(R491))</f>
      </c>
      <c r="S492" s="44">
        <f>IFERROR(MATCH(485,$R$5:$R$4999,0),"")</f>
      </c>
    </row>
    <row r="493" s="44" customFormat="1" spans="1:23">
      <c r="A493" s="116">
        <f>IF($S493="","",INDEX(数据录入!$B$5:$B$4999,$S493))</f>
      </c>
      <c r="B493" s="44">
        <f>IF($S493="","",INDEX(数据录入!$C$5:$C$4999,$S493)&amp;"")</f>
      </c>
      <c r="C493" s="165">
        <f>IF($S493="","",IF(N($F493)&gt;0,"收款",IF(N($G493)&gt;0,"付款","")))</f>
      </c>
      <c r="D493" s="44">
        <f>IF($S493="","",IF((INDEX(数据录入!$I$5:$I$4999,$S493)&amp;"")&lt;&gt;"",INDEX(数据录入!$I$5:$I$4999,$S493)&amp;"",INDEX(数据录入!$J$5:$J$4999,$S493)&amp;""))</f>
      </c>
      <c r="E493" s="108">
        <f>IF($S493="","",INDEX(数据录入!$E$5:$E$4999,$S493)&amp;"")</f>
      </c>
      <c r="F493" s="114">
        <f>IF($S493="","",N(INDEX(数据录入!$F$5:$F$4999,$S493)))</f>
      </c>
      <c r="G493" s="114">
        <f>IF($S493="","",N(INDEX(数据录入!$G$5:$G$4999,$S493)))</f>
      </c>
      <c r="H493" s="114">
        <f>IF($S493="","",$G$2+SUM($F$8:$F493)-SUM($G$8:$G493))</f>
      </c>
      <c r="Q493" s="44">
        <f>IF(数据录入!$B493="",0,IF(OR(数据录入!$D493="投标保证金",数据录入!$D493="合同履约保证金",ISNUMBER(FIND("保证金",数据录入!$E493))),1,0))</f>
      </c>
      <c r="R493" s="44">
        <f>IF(AND($Q493=1,数据录入!$B493&gt;=$B$2,数据录入!$B493&lt;=$D$2),N(R492)+1,N(R492))</f>
      </c>
      <c r="S493" s="44">
        <f>IFERROR(MATCH(486,$R$5:$R$4999,0),"")</f>
      </c>
    </row>
    <row r="494" s="44" customFormat="1" spans="1:23">
      <c r="A494" s="116">
        <f>IF($S494="","",INDEX(数据录入!$B$5:$B$4999,$S494))</f>
      </c>
      <c r="B494" s="44">
        <f>IF($S494="","",INDEX(数据录入!$C$5:$C$4999,$S494)&amp;"")</f>
      </c>
      <c r="C494" s="165">
        <f>IF($S494="","",IF(N($F494)&gt;0,"收款",IF(N($G494)&gt;0,"付款","")))</f>
      </c>
      <c r="D494" s="44">
        <f>IF($S494="","",IF((INDEX(数据录入!$I$5:$I$4999,$S494)&amp;"")&lt;&gt;"",INDEX(数据录入!$I$5:$I$4999,$S494)&amp;"",INDEX(数据录入!$J$5:$J$4999,$S494)&amp;""))</f>
      </c>
      <c r="E494" s="108">
        <f>IF($S494="","",INDEX(数据录入!$E$5:$E$4999,$S494)&amp;"")</f>
      </c>
      <c r="F494" s="114">
        <f>IF($S494="","",N(INDEX(数据录入!$F$5:$F$4999,$S494)))</f>
      </c>
      <c r="G494" s="114">
        <f>IF($S494="","",N(INDEX(数据录入!$G$5:$G$4999,$S494)))</f>
      </c>
      <c r="H494" s="114">
        <f>IF($S494="","",$G$2+SUM($F$8:$F494)-SUM($G$8:$G494))</f>
      </c>
      <c r="Q494" s="44">
        <f>IF(数据录入!$B494="",0,IF(OR(数据录入!$D494="投标保证金",数据录入!$D494="合同履约保证金",ISNUMBER(FIND("保证金",数据录入!$E494))),1,0))</f>
      </c>
      <c r="R494" s="44">
        <f>IF(AND($Q494=1,数据录入!$B494&gt;=$B$2,数据录入!$B494&lt;=$D$2),N(R493)+1,N(R493))</f>
      </c>
      <c r="S494" s="44">
        <f>IFERROR(MATCH(487,$R$5:$R$4999,0),"")</f>
      </c>
    </row>
    <row r="495" s="44" customFormat="1" spans="1:23">
      <c r="A495" s="116">
        <f>IF($S495="","",INDEX(数据录入!$B$5:$B$4999,$S495))</f>
      </c>
      <c r="B495" s="44">
        <f>IF($S495="","",INDEX(数据录入!$C$5:$C$4999,$S495)&amp;"")</f>
      </c>
      <c r="C495" s="165">
        <f>IF($S495="","",IF(N($F495)&gt;0,"收款",IF(N($G495)&gt;0,"付款","")))</f>
      </c>
      <c r="D495" s="44">
        <f>IF($S495="","",IF((INDEX(数据录入!$I$5:$I$4999,$S495)&amp;"")&lt;&gt;"",INDEX(数据录入!$I$5:$I$4999,$S495)&amp;"",INDEX(数据录入!$J$5:$J$4999,$S495)&amp;""))</f>
      </c>
      <c r="E495" s="108">
        <f>IF($S495="","",INDEX(数据录入!$E$5:$E$4999,$S495)&amp;"")</f>
      </c>
      <c r="F495" s="114">
        <f>IF($S495="","",N(INDEX(数据录入!$F$5:$F$4999,$S495)))</f>
      </c>
      <c r="G495" s="114">
        <f>IF($S495="","",N(INDEX(数据录入!$G$5:$G$4999,$S495)))</f>
      </c>
      <c r="H495" s="114">
        <f>IF($S495="","",$G$2+SUM($F$8:$F495)-SUM($G$8:$G495))</f>
      </c>
      <c r="Q495" s="44">
        <f>IF(数据录入!$B495="",0,IF(OR(数据录入!$D495="投标保证金",数据录入!$D495="合同履约保证金",ISNUMBER(FIND("保证金",数据录入!$E495))),1,0))</f>
      </c>
      <c r="R495" s="44">
        <f>IF(AND($Q495=1,数据录入!$B495&gt;=$B$2,数据录入!$B495&lt;=$D$2),N(R494)+1,N(R494))</f>
      </c>
      <c r="S495" s="44">
        <f>IFERROR(MATCH(488,$R$5:$R$4999,0),"")</f>
      </c>
    </row>
    <row r="496" s="44" customFormat="1" spans="1:23">
      <c r="A496" s="116">
        <f>IF($S496="","",INDEX(数据录入!$B$5:$B$4999,$S496))</f>
      </c>
      <c r="B496" s="44">
        <f>IF($S496="","",INDEX(数据录入!$C$5:$C$4999,$S496)&amp;"")</f>
      </c>
      <c r="C496" s="165">
        <f>IF($S496="","",IF(N($F496)&gt;0,"收款",IF(N($G496)&gt;0,"付款","")))</f>
      </c>
      <c r="D496" s="44">
        <f>IF($S496="","",IF((INDEX(数据录入!$I$5:$I$4999,$S496)&amp;"")&lt;&gt;"",INDEX(数据录入!$I$5:$I$4999,$S496)&amp;"",INDEX(数据录入!$J$5:$J$4999,$S496)&amp;""))</f>
      </c>
      <c r="E496" s="108">
        <f>IF($S496="","",INDEX(数据录入!$E$5:$E$4999,$S496)&amp;"")</f>
      </c>
      <c r="F496" s="114">
        <f>IF($S496="","",N(INDEX(数据录入!$F$5:$F$4999,$S496)))</f>
      </c>
      <c r="G496" s="114">
        <f>IF($S496="","",N(INDEX(数据录入!$G$5:$G$4999,$S496)))</f>
      </c>
      <c r="H496" s="114">
        <f>IF($S496="","",$G$2+SUM($F$8:$F496)-SUM($G$8:$G496))</f>
      </c>
      <c r="Q496" s="44">
        <f>IF(数据录入!$B496="",0,IF(OR(数据录入!$D496="投标保证金",数据录入!$D496="合同履约保证金",ISNUMBER(FIND("保证金",数据录入!$E496))),1,0))</f>
      </c>
      <c r="R496" s="44">
        <f>IF(AND($Q496=1,数据录入!$B496&gt;=$B$2,数据录入!$B496&lt;=$D$2),N(R495)+1,N(R495))</f>
      </c>
      <c r="S496" s="44">
        <f>IFERROR(MATCH(489,$R$5:$R$4999,0),"")</f>
      </c>
    </row>
    <row r="497" s="44" customFormat="1" spans="1:23">
      <c r="A497" s="116">
        <f>IF($S497="","",INDEX(数据录入!$B$5:$B$4999,$S497))</f>
      </c>
      <c r="B497" s="44">
        <f>IF($S497="","",INDEX(数据录入!$C$5:$C$4999,$S497)&amp;"")</f>
      </c>
      <c r="C497" s="165">
        <f>IF($S497="","",IF(N($F497)&gt;0,"收款",IF(N($G497)&gt;0,"付款","")))</f>
      </c>
      <c r="D497" s="44">
        <f>IF($S497="","",IF((INDEX(数据录入!$I$5:$I$4999,$S497)&amp;"")&lt;&gt;"",INDEX(数据录入!$I$5:$I$4999,$S497)&amp;"",INDEX(数据录入!$J$5:$J$4999,$S497)&amp;""))</f>
      </c>
      <c r="E497" s="108">
        <f>IF($S497="","",INDEX(数据录入!$E$5:$E$4999,$S497)&amp;"")</f>
      </c>
      <c r="F497" s="114">
        <f>IF($S497="","",N(INDEX(数据录入!$F$5:$F$4999,$S497)))</f>
      </c>
      <c r="G497" s="114">
        <f>IF($S497="","",N(INDEX(数据录入!$G$5:$G$4999,$S497)))</f>
      </c>
      <c r="H497" s="114">
        <f>IF($S497="","",$G$2+SUM($F$8:$F497)-SUM($G$8:$G497))</f>
      </c>
      <c r="Q497" s="44">
        <f>IF(数据录入!$B497="",0,IF(OR(数据录入!$D497="投标保证金",数据录入!$D497="合同履约保证金",ISNUMBER(FIND("保证金",数据录入!$E497))),1,0))</f>
      </c>
      <c r="R497" s="44">
        <f>IF(AND($Q497=1,数据录入!$B497&gt;=$B$2,数据录入!$B497&lt;=$D$2),N(R496)+1,N(R496))</f>
      </c>
      <c r="S497" s="44">
        <f>IFERROR(MATCH(490,$R$5:$R$4999,0),"")</f>
      </c>
    </row>
    <row r="498" s="44" customFormat="1" spans="1:23">
      <c r="A498" s="116">
        <f>IF($S498="","",INDEX(数据录入!$B$5:$B$4999,$S498))</f>
      </c>
      <c r="B498" s="44">
        <f>IF($S498="","",INDEX(数据录入!$C$5:$C$4999,$S498)&amp;"")</f>
      </c>
      <c r="C498" s="165">
        <f>IF($S498="","",IF(N($F498)&gt;0,"收款",IF(N($G498)&gt;0,"付款","")))</f>
      </c>
      <c r="D498" s="44">
        <f>IF($S498="","",IF((INDEX(数据录入!$I$5:$I$4999,$S498)&amp;"")&lt;&gt;"",INDEX(数据录入!$I$5:$I$4999,$S498)&amp;"",INDEX(数据录入!$J$5:$J$4999,$S498)&amp;""))</f>
      </c>
      <c r="E498" s="108">
        <f>IF($S498="","",INDEX(数据录入!$E$5:$E$4999,$S498)&amp;"")</f>
      </c>
      <c r="F498" s="114">
        <f>IF($S498="","",N(INDEX(数据录入!$F$5:$F$4999,$S498)))</f>
      </c>
      <c r="G498" s="114">
        <f>IF($S498="","",N(INDEX(数据录入!$G$5:$G$4999,$S498)))</f>
      </c>
      <c r="H498" s="114">
        <f>IF($S498="","",$G$2+SUM($F$8:$F498)-SUM($G$8:$G498))</f>
      </c>
      <c r="Q498" s="44">
        <f>IF(数据录入!$B498="",0,IF(OR(数据录入!$D498="投标保证金",数据录入!$D498="合同履约保证金",ISNUMBER(FIND("保证金",数据录入!$E498))),1,0))</f>
      </c>
      <c r="R498" s="44">
        <f>IF(AND($Q498=1,数据录入!$B498&gt;=$B$2,数据录入!$B498&lt;=$D$2),N(R497)+1,N(R497))</f>
      </c>
      <c r="S498" s="44">
        <f>IFERROR(MATCH(491,$R$5:$R$4999,0),"")</f>
      </c>
    </row>
    <row r="499" s="44" customFormat="1" spans="1:23">
      <c r="A499" s="116">
        <f>IF($S499="","",INDEX(数据录入!$B$5:$B$4999,$S499))</f>
      </c>
      <c r="B499" s="44">
        <f>IF($S499="","",INDEX(数据录入!$C$5:$C$4999,$S499)&amp;"")</f>
      </c>
      <c r="C499" s="165">
        <f>IF($S499="","",IF(N($F499)&gt;0,"收款",IF(N($G499)&gt;0,"付款","")))</f>
      </c>
      <c r="D499" s="44">
        <f>IF($S499="","",IF((INDEX(数据录入!$I$5:$I$4999,$S499)&amp;"")&lt;&gt;"",INDEX(数据录入!$I$5:$I$4999,$S499)&amp;"",INDEX(数据录入!$J$5:$J$4999,$S499)&amp;""))</f>
      </c>
      <c r="E499" s="108">
        <f>IF($S499="","",INDEX(数据录入!$E$5:$E$4999,$S499)&amp;"")</f>
      </c>
      <c r="F499" s="114">
        <f>IF($S499="","",N(INDEX(数据录入!$F$5:$F$4999,$S499)))</f>
      </c>
      <c r="G499" s="114">
        <f>IF($S499="","",N(INDEX(数据录入!$G$5:$G$4999,$S499)))</f>
      </c>
      <c r="H499" s="114">
        <f>IF($S499="","",$G$2+SUM($F$8:$F499)-SUM($G$8:$G499))</f>
      </c>
      <c r="Q499" s="44">
        <f>IF(数据录入!$B499="",0,IF(OR(数据录入!$D499="投标保证金",数据录入!$D499="合同履约保证金",ISNUMBER(FIND("保证金",数据录入!$E499))),1,0))</f>
      </c>
      <c r="R499" s="44">
        <f>IF(AND($Q499=1,数据录入!$B499&gt;=$B$2,数据录入!$B499&lt;=$D$2),N(R498)+1,N(R498))</f>
      </c>
      <c r="S499" s="44">
        <f>IFERROR(MATCH(492,$R$5:$R$4999,0),"")</f>
      </c>
    </row>
    <row r="500" s="44" customFormat="1" spans="1:23">
      <c r="A500" s="116">
        <f>IF($S500="","",INDEX(数据录入!$B$5:$B$4999,$S500))</f>
      </c>
      <c r="B500" s="44">
        <f>IF($S500="","",INDEX(数据录入!$C$5:$C$4999,$S500)&amp;"")</f>
      </c>
      <c r="C500" s="165">
        <f>IF($S500="","",IF(N($F500)&gt;0,"收款",IF(N($G500)&gt;0,"付款","")))</f>
      </c>
      <c r="D500" s="44">
        <f>IF($S500="","",IF((INDEX(数据录入!$I$5:$I$4999,$S500)&amp;"")&lt;&gt;"",INDEX(数据录入!$I$5:$I$4999,$S500)&amp;"",INDEX(数据录入!$J$5:$J$4999,$S500)&amp;""))</f>
      </c>
      <c r="E500" s="108">
        <f>IF($S500="","",INDEX(数据录入!$E$5:$E$4999,$S500)&amp;"")</f>
      </c>
      <c r="F500" s="114">
        <f>IF($S500="","",N(INDEX(数据录入!$F$5:$F$4999,$S500)))</f>
      </c>
      <c r="G500" s="114">
        <f>IF($S500="","",N(INDEX(数据录入!$G$5:$G$4999,$S500)))</f>
      </c>
      <c r="H500" s="114">
        <f>IF($S500="","",$G$2+SUM($F$8:$F500)-SUM($G$8:$G500))</f>
      </c>
      <c r="Q500" s="44">
        <f>IF(数据录入!$B500="",0,IF(OR(数据录入!$D500="投标保证金",数据录入!$D500="合同履约保证金",ISNUMBER(FIND("保证金",数据录入!$E500))),1,0))</f>
      </c>
      <c r="R500" s="44">
        <f>IF(AND($Q500=1,数据录入!$B500&gt;=$B$2,数据录入!$B500&lt;=$D$2),N(R499)+1,N(R499))</f>
      </c>
      <c r="S500" s="44">
        <f>IFERROR(MATCH(493,$R$5:$R$4999,0),"")</f>
      </c>
    </row>
    <row r="501" s="44" customFormat="1" spans="1:23">
      <c r="A501" s="116">
        <f>IF($S501="","",INDEX(数据录入!$B$5:$B$4999,$S501))</f>
      </c>
      <c r="B501" s="44">
        <f>IF($S501="","",INDEX(数据录入!$C$5:$C$4999,$S501)&amp;"")</f>
      </c>
      <c r="C501" s="165">
        <f>IF($S501="","",IF(N($F501)&gt;0,"收款",IF(N($G501)&gt;0,"付款","")))</f>
      </c>
      <c r="D501" s="44">
        <f>IF($S501="","",IF((INDEX(数据录入!$I$5:$I$4999,$S501)&amp;"")&lt;&gt;"",INDEX(数据录入!$I$5:$I$4999,$S501)&amp;"",INDEX(数据录入!$J$5:$J$4999,$S501)&amp;""))</f>
      </c>
      <c r="E501" s="108">
        <f>IF($S501="","",INDEX(数据录入!$E$5:$E$4999,$S501)&amp;"")</f>
      </c>
      <c r="F501" s="114">
        <f>IF($S501="","",N(INDEX(数据录入!$F$5:$F$4999,$S501)))</f>
      </c>
      <c r="G501" s="114">
        <f>IF($S501="","",N(INDEX(数据录入!$G$5:$G$4999,$S501)))</f>
      </c>
      <c r="H501" s="114">
        <f>IF($S501="","",$G$2+SUM($F$8:$F501)-SUM($G$8:$G501))</f>
      </c>
      <c r="Q501" s="44">
        <f>IF(数据录入!$B501="",0,IF(OR(数据录入!$D501="投标保证金",数据录入!$D501="合同履约保证金",ISNUMBER(FIND("保证金",数据录入!$E501))),1,0))</f>
      </c>
      <c r="R501" s="44">
        <f>IF(AND($Q501=1,数据录入!$B501&gt;=$B$2,数据录入!$B501&lt;=$D$2),N(R500)+1,N(R500))</f>
      </c>
      <c r="S501" s="44">
        <f>IFERROR(MATCH(494,$R$5:$R$4999,0),"")</f>
      </c>
    </row>
    <row r="502" s="44" customFormat="1" spans="1:23">
      <c r="A502" s="116">
        <f>IF($S502="","",INDEX(数据录入!$B$5:$B$4999,$S502))</f>
      </c>
      <c r="B502" s="44">
        <f>IF($S502="","",INDEX(数据录入!$C$5:$C$4999,$S502)&amp;"")</f>
      </c>
      <c r="C502" s="165">
        <f>IF($S502="","",IF(N($F502)&gt;0,"收款",IF(N($G502)&gt;0,"付款","")))</f>
      </c>
      <c r="D502" s="44">
        <f>IF($S502="","",IF((INDEX(数据录入!$I$5:$I$4999,$S502)&amp;"")&lt;&gt;"",INDEX(数据录入!$I$5:$I$4999,$S502)&amp;"",INDEX(数据录入!$J$5:$J$4999,$S502)&amp;""))</f>
      </c>
      <c r="E502" s="108">
        <f>IF($S502="","",INDEX(数据录入!$E$5:$E$4999,$S502)&amp;"")</f>
      </c>
      <c r="F502" s="114">
        <f>IF($S502="","",N(INDEX(数据录入!$F$5:$F$4999,$S502)))</f>
      </c>
      <c r="G502" s="114">
        <f>IF($S502="","",N(INDEX(数据录入!$G$5:$G$4999,$S502)))</f>
      </c>
      <c r="H502" s="114">
        <f>IF($S502="","",$G$2+SUM($F$8:$F502)-SUM($G$8:$G502))</f>
      </c>
      <c r="Q502" s="44">
        <f>IF(数据录入!$B502="",0,IF(OR(数据录入!$D502="投标保证金",数据录入!$D502="合同履约保证金",ISNUMBER(FIND("保证金",数据录入!$E502))),1,0))</f>
      </c>
      <c r="R502" s="44">
        <f>IF(AND($Q502=1,数据录入!$B502&gt;=$B$2,数据录入!$B502&lt;=$D$2),N(R501)+1,N(R501))</f>
      </c>
      <c r="S502" s="44">
        <f>IFERROR(MATCH(495,$R$5:$R$4999,0),"")</f>
      </c>
    </row>
    <row r="503" s="44" customFormat="1" spans="1:23">
      <c r="A503" s="116">
        <f>IF($S503="","",INDEX(数据录入!$B$5:$B$4999,$S503))</f>
      </c>
      <c r="B503" s="44">
        <f>IF($S503="","",INDEX(数据录入!$C$5:$C$4999,$S503)&amp;"")</f>
      </c>
      <c r="C503" s="165">
        <f>IF($S503="","",IF(N($F503)&gt;0,"收款",IF(N($G503)&gt;0,"付款","")))</f>
      </c>
      <c r="D503" s="44">
        <f>IF($S503="","",IF((INDEX(数据录入!$I$5:$I$4999,$S503)&amp;"")&lt;&gt;"",INDEX(数据录入!$I$5:$I$4999,$S503)&amp;"",INDEX(数据录入!$J$5:$J$4999,$S503)&amp;""))</f>
      </c>
      <c r="E503" s="108">
        <f>IF($S503="","",INDEX(数据录入!$E$5:$E$4999,$S503)&amp;"")</f>
      </c>
      <c r="F503" s="114">
        <f>IF($S503="","",N(INDEX(数据录入!$F$5:$F$4999,$S503)))</f>
      </c>
      <c r="G503" s="114">
        <f>IF($S503="","",N(INDEX(数据录入!$G$5:$G$4999,$S503)))</f>
      </c>
      <c r="H503" s="114">
        <f>IF($S503="","",$G$2+SUM($F$8:$F503)-SUM($G$8:$G503))</f>
      </c>
      <c r="Q503" s="44">
        <f>IF(数据录入!$B503="",0,IF(OR(数据录入!$D503="投标保证金",数据录入!$D503="合同履约保证金",ISNUMBER(FIND("保证金",数据录入!$E503))),1,0))</f>
      </c>
      <c r="R503" s="44">
        <f>IF(AND($Q503=1,数据录入!$B503&gt;=$B$2,数据录入!$B503&lt;=$D$2),N(R502)+1,N(R502))</f>
      </c>
      <c r="S503" s="44">
        <f>IFERROR(MATCH(496,$R$5:$R$4999,0),"")</f>
      </c>
    </row>
    <row r="504" s="44" customFormat="1" spans="1:23">
      <c r="A504" s="116">
        <f>IF($S504="","",INDEX(数据录入!$B$5:$B$4999,$S504))</f>
      </c>
      <c r="B504" s="44">
        <f>IF($S504="","",INDEX(数据录入!$C$5:$C$4999,$S504)&amp;"")</f>
      </c>
      <c r="C504" s="165">
        <f>IF($S504="","",IF(N($F504)&gt;0,"收款",IF(N($G504)&gt;0,"付款","")))</f>
      </c>
      <c r="D504" s="44">
        <f>IF($S504="","",IF((INDEX(数据录入!$I$5:$I$4999,$S504)&amp;"")&lt;&gt;"",INDEX(数据录入!$I$5:$I$4999,$S504)&amp;"",INDEX(数据录入!$J$5:$J$4999,$S504)&amp;""))</f>
      </c>
      <c r="E504" s="108">
        <f>IF($S504="","",INDEX(数据录入!$E$5:$E$4999,$S504)&amp;"")</f>
      </c>
      <c r="F504" s="114">
        <f>IF($S504="","",N(INDEX(数据录入!$F$5:$F$4999,$S504)))</f>
      </c>
      <c r="G504" s="114">
        <f>IF($S504="","",N(INDEX(数据录入!$G$5:$G$4999,$S504)))</f>
      </c>
      <c r="H504" s="114">
        <f>IF($S504="","",$G$2+SUM($F$8:$F504)-SUM($G$8:$G504))</f>
      </c>
      <c r="Q504" s="44">
        <f>IF(数据录入!$B504="",0,IF(OR(数据录入!$D504="投标保证金",数据录入!$D504="合同履约保证金",ISNUMBER(FIND("保证金",数据录入!$E504))),1,0))</f>
      </c>
      <c r="R504" s="44">
        <f>IF(AND($Q504=1,数据录入!$B504&gt;=$B$2,数据录入!$B504&lt;=$D$2),N(R503)+1,N(R503))</f>
      </c>
      <c r="S504" s="44">
        <f>IFERROR(MATCH(497,$R$5:$R$4999,0),"")</f>
      </c>
    </row>
    <row r="505" s="44" customFormat="1" spans="1:23">
      <c r="A505" s="116">
        <f>IF($S505="","",INDEX(数据录入!$B$5:$B$4999,$S505))</f>
      </c>
      <c r="B505" s="44">
        <f>IF($S505="","",INDEX(数据录入!$C$5:$C$4999,$S505)&amp;"")</f>
      </c>
      <c r="C505" s="165">
        <f>IF($S505="","",IF(N($F505)&gt;0,"收款",IF(N($G505)&gt;0,"付款","")))</f>
      </c>
      <c r="D505" s="44">
        <f>IF($S505="","",IF((INDEX(数据录入!$I$5:$I$4999,$S505)&amp;"")&lt;&gt;"",INDEX(数据录入!$I$5:$I$4999,$S505)&amp;"",INDEX(数据录入!$J$5:$J$4999,$S505)&amp;""))</f>
      </c>
      <c r="E505" s="108">
        <f>IF($S505="","",INDEX(数据录入!$E$5:$E$4999,$S505)&amp;"")</f>
      </c>
      <c r="F505" s="114">
        <f>IF($S505="","",N(INDEX(数据录入!$F$5:$F$4999,$S505)))</f>
      </c>
      <c r="G505" s="114">
        <f>IF($S505="","",N(INDEX(数据录入!$G$5:$G$4999,$S505)))</f>
      </c>
      <c r="H505" s="114">
        <f>IF($S505="","",$G$2+SUM($F$8:$F505)-SUM($G$8:$G505))</f>
      </c>
      <c r="Q505" s="44">
        <f>IF(数据录入!$B505="",0,IF(OR(数据录入!$D505="投标保证金",数据录入!$D505="合同履约保证金",ISNUMBER(FIND("保证金",数据录入!$E505))),1,0))</f>
      </c>
      <c r="R505" s="44">
        <f>IF(AND($Q505=1,数据录入!$B505&gt;=$B$2,数据录入!$B505&lt;=$D$2),N(R504)+1,N(R504))</f>
      </c>
      <c r="S505" s="44">
        <f>IFERROR(MATCH(498,$R$5:$R$4999,0),"")</f>
      </c>
    </row>
    <row r="506" s="44" customFormat="1" spans="1:23">
      <c r="A506" s="116">
        <f>IF($S506="","",INDEX(数据录入!$B$5:$B$4999,$S506))</f>
      </c>
      <c r="B506" s="44">
        <f>IF($S506="","",INDEX(数据录入!$C$5:$C$4999,$S506)&amp;"")</f>
      </c>
      <c r="C506" s="165">
        <f>IF($S506="","",IF(N($F506)&gt;0,"收款",IF(N($G506)&gt;0,"付款","")))</f>
      </c>
      <c r="D506" s="44">
        <f>IF($S506="","",IF((INDEX(数据录入!$I$5:$I$4999,$S506)&amp;"")&lt;&gt;"",INDEX(数据录入!$I$5:$I$4999,$S506)&amp;"",INDEX(数据录入!$J$5:$J$4999,$S506)&amp;""))</f>
      </c>
      <c r="E506" s="108">
        <f>IF($S506="","",INDEX(数据录入!$E$5:$E$4999,$S506)&amp;"")</f>
      </c>
      <c r="F506" s="114">
        <f>IF($S506="","",N(INDEX(数据录入!$F$5:$F$4999,$S506)))</f>
      </c>
      <c r="G506" s="114">
        <f>IF($S506="","",N(INDEX(数据录入!$G$5:$G$4999,$S506)))</f>
      </c>
      <c r="H506" s="114">
        <f>IF($S506="","",$G$2+SUM($F$8:$F506)-SUM($G$8:$G506))</f>
      </c>
      <c r="Q506" s="44">
        <f>IF(数据录入!$B506="",0,IF(OR(数据录入!$D506="投标保证金",数据录入!$D506="合同履约保证金",ISNUMBER(FIND("保证金",数据录入!$E506))),1,0))</f>
      </c>
      <c r="R506" s="44">
        <f>IF(AND($Q506=1,数据录入!$B506&gt;=$B$2,数据录入!$B506&lt;=$D$2),N(R505)+1,N(R505))</f>
      </c>
      <c r="S506" s="44">
        <f>IFERROR(MATCH(499,$R$5:$R$4999,0),"")</f>
      </c>
    </row>
    <row r="507" s="44" customFormat="1" spans="1:23">
      <c r="A507" s="116">
        <f>IF($S507="","",INDEX(数据录入!$B$5:$B$4999,$S507))</f>
      </c>
      <c r="B507" s="44">
        <f>IF($S507="","",INDEX(数据录入!$C$5:$C$4999,$S507)&amp;"")</f>
      </c>
      <c r="C507" s="165">
        <f>IF($S507="","",IF(N($F507)&gt;0,"收款",IF(N($G507)&gt;0,"付款","")))</f>
      </c>
      <c r="D507" s="44">
        <f>IF($S507="","",IF((INDEX(数据录入!$I$5:$I$4999,$S507)&amp;"")&lt;&gt;"",INDEX(数据录入!$I$5:$I$4999,$S507)&amp;"",INDEX(数据录入!$J$5:$J$4999,$S507)&amp;""))</f>
      </c>
      <c r="E507" s="108">
        <f>IF($S507="","",INDEX(数据录入!$E$5:$E$4999,$S507)&amp;"")</f>
      </c>
      <c r="F507" s="114">
        <f>IF($S507="","",N(INDEX(数据录入!$F$5:$F$4999,$S507)))</f>
      </c>
      <c r="G507" s="114">
        <f>IF($S507="","",N(INDEX(数据录入!$G$5:$G$4999,$S507)))</f>
      </c>
      <c r="H507" s="114">
        <f>IF($S507="","",$G$2+SUM($F$8:$F507)-SUM($G$8:$G507))</f>
      </c>
      <c r="Q507" s="44">
        <f>IF(数据录入!$B507="",0,IF(OR(数据录入!$D507="投标保证金",数据录入!$D507="合同履约保证金",ISNUMBER(FIND("保证金",数据录入!$E507))),1,0))</f>
      </c>
      <c r="R507" s="44">
        <f>IF(AND($Q507=1,数据录入!$B507&gt;=$B$2,数据录入!$B507&lt;=$D$2),N(R506)+1,N(R506))</f>
      </c>
      <c r="S507" s="44">
        <f>IFERROR(MATCH(500,$R$5:$R$4999,0),"")</f>
      </c>
    </row>
    <row r="508" s="44" customFormat="1" spans="1:23">
      <c r="A508" s="116"/>
      <c r="E508" s="108"/>
      <c r="F508" s="114"/>
      <c r="G508" s="114"/>
      <c r="H508" s="114"/>
      <c r="Q508" s="44">
        <f>IF(数据录入!$B508="",0,IF(OR(数据录入!$D508="投标保证金",数据录入!$D508="合同履约保证金",ISNUMBER(FIND("保证金",数据录入!$E508))),1,0))</f>
      </c>
      <c r="R508" s="44">
        <f>IF(AND($Q508=1,数据录入!$B508&gt;=$B$2,数据录入!$B508&lt;=$D$2),N(R507)+1,N(R507))</f>
      </c>
    </row>
    <row r="509" s="44" customFormat="1" spans="1:23">
      <c r="A509" s="116"/>
      <c r="E509" s="108"/>
      <c r="F509" s="114"/>
      <c r="G509" s="114"/>
      <c r="H509" s="114"/>
      <c r="Q509" s="44">
        <f>IF(数据录入!$B509="",0,IF(OR(数据录入!$D509="投标保证金",数据录入!$D509="合同履约保证金",ISNUMBER(FIND("保证金",数据录入!$E509))),1,0))</f>
      </c>
      <c r="R509" s="44">
        <f>IF(AND($Q509=1,数据录入!$B509&gt;=$B$2,数据录入!$B509&lt;=$D$2),N(R508)+1,N(R508))</f>
      </c>
    </row>
    <row r="510" s="44" customFormat="1" spans="1:23">
      <c r="A510" s="116"/>
      <c r="E510" s="108"/>
      <c r="F510" s="114"/>
      <c r="G510" s="114"/>
      <c r="H510" s="114"/>
      <c r="Q510" s="44">
        <f>IF(数据录入!$B510="",0,IF(OR(数据录入!$D510="投标保证金",数据录入!$D510="合同履约保证金",ISNUMBER(FIND("保证金",数据录入!$E510))),1,0))</f>
      </c>
      <c r="R510" s="44">
        <f>IF(AND($Q510=1,数据录入!$B510&gt;=$B$2,数据录入!$B510&lt;=$D$2),N(R509)+1,N(R509))</f>
      </c>
    </row>
    <row r="511" s="44" customFormat="1" spans="1:23">
      <c r="A511" s="116"/>
      <c r="E511" s="108"/>
      <c r="F511" s="114"/>
      <c r="G511" s="114"/>
      <c r="H511" s="114"/>
      <c r="Q511" s="44">
        <f>IF(数据录入!$B511="",0,IF(OR(数据录入!$D511="投标保证金",数据录入!$D511="合同履约保证金",ISNUMBER(FIND("保证金",数据录入!$E511))),1,0))</f>
      </c>
      <c r="R511" s="44">
        <f>IF(AND($Q511=1,数据录入!$B511&gt;=$B$2,数据录入!$B511&lt;=$D$2),N(R510)+1,N(R510))</f>
      </c>
    </row>
    <row r="512" s="44" customFormat="1" spans="1:23">
      <c r="A512" s="116"/>
      <c r="E512" s="108"/>
      <c r="F512" s="114"/>
      <c r="G512" s="114"/>
      <c r="H512" s="114"/>
      <c r="Q512" s="44">
        <f>IF(数据录入!$B512="",0,IF(OR(数据录入!$D512="投标保证金",数据录入!$D512="合同履约保证金",ISNUMBER(FIND("保证金",数据录入!$E512))),1,0))</f>
      </c>
      <c r="R512" s="44">
        <f>IF(AND($Q512=1,数据录入!$B512&gt;=$B$2,数据录入!$B512&lt;=$D$2),N(R511)+1,N(R511))</f>
      </c>
    </row>
    <row r="513" s="44" customFormat="1" spans="1:23">
      <c r="A513" s="116"/>
      <c r="E513" s="108"/>
      <c r="F513" s="114"/>
      <c r="G513" s="114"/>
      <c r="H513" s="114"/>
      <c r="Q513" s="44">
        <f>IF(数据录入!$B513="",0,IF(OR(数据录入!$D513="投标保证金",数据录入!$D513="合同履约保证金",ISNUMBER(FIND("保证金",数据录入!$E513))),1,0))</f>
      </c>
      <c r="R513" s="44">
        <f>IF(AND($Q513=1,数据录入!$B513&gt;=$B$2,数据录入!$B513&lt;=$D$2),N(R512)+1,N(R512))</f>
      </c>
    </row>
    <row r="514" s="44" customFormat="1" spans="1:23">
      <c r="A514" s="116"/>
      <c r="E514" s="108"/>
      <c r="F514" s="114"/>
      <c r="G514" s="114"/>
      <c r="H514" s="114"/>
      <c r="Q514" s="44">
        <f>IF(数据录入!$B514="",0,IF(OR(数据录入!$D514="投标保证金",数据录入!$D514="合同履约保证金",ISNUMBER(FIND("保证金",数据录入!$E514))),1,0))</f>
      </c>
      <c r="R514" s="44">
        <f>IF(AND($Q514=1,数据录入!$B514&gt;=$B$2,数据录入!$B514&lt;=$D$2),N(R513)+1,N(R513))</f>
      </c>
    </row>
    <row r="515" s="44" customFormat="1" spans="1:23">
      <c r="A515" s="116"/>
      <c r="E515" s="108"/>
      <c r="F515" s="114"/>
      <c r="G515" s="114"/>
      <c r="H515" s="114"/>
      <c r="Q515" s="44">
        <f>IF(数据录入!$B515="",0,IF(OR(数据录入!$D515="投标保证金",数据录入!$D515="合同履约保证金",ISNUMBER(FIND("保证金",数据录入!$E515))),1,0))</f>
      </c>
      <c r="R515" s="44">
        <f>IF(AND($Q515=1,数据录入!$B515&gt;=$B$2,数据录入!$B515&lt;=$D$2),N(R514)+1,N(R514))</f>
      </c>
    </row>
    <row r="516" s="44" customFormat="1" spans="1:23">
      <c r="A516" s="116"/>
      <c r="E516" s="108"/>
      <c r="F516" s="114"/>
      <c r="G516" s="114"/>
      <c r="H516" s="114"/>
      <c r="Q516" s="44">
        <f>IF(数据录入!$B516="",0,IF(OR(数据录入!$D516="投标保证金",数据录入!$D516="合同履约保证金",ISNUMBER(FIND("保证金",数据录入!$E516))),1,0))</f>
      </c>
      <c r="R516" s="44">
        <f>IF(AND($Q516=1,数据录入!$B516&gt;=$B$2,数据录入!$B516&lt;=$D$2),N(R515)+1,N(R515))</f>
      </c>
    </row>
    <row r="517" s="44" customFormat="1" spans="1:23">
      <c r="A517" s="116"/>
      <c r="E517" s="108"/>
      <c r="F517" s="114"/>
      <c r="G517" s="114"/>
      <c r="H517" s="114"/>
      <c r="Q517" s="44">
        <f>IF(数据录入!$B517="",0,IF(OR(数据录入!$D517="投标保证金",数据录入!$D517="合同履约保证金",ISNUMBER(FIND("保证金",数据录入!$E517))),1,0))</f>
      </c>
      <c r="R517" s="44">
        <f>IF(AND($Q517=1,数据录入!$B517&gt;=$B$2,数据录入!$B517&lt;=$D$2),N(R516)+1,N(R516))</f>
      </c>
    </row>
    <row r="518" s="44" customFormat="1" spans="1:23">
      <c r="A518" s="116"/>
      <c r="E518" s="108"/>
      <c r="F518" s="114"/>
      <c r="G518" s="114"/>
      <c r="H518" s="114"/>
      <c r="Q518" s="44">
        <f>IF(数据录入!$B518="",0,IF(OR(数据录入!$D518="投标保证金",数据录入!$D518="合同履约保证金",ISNUMBER(FIND("保证金",数据录入!$E518))),1,0))</f>
      </c>
      <c r="R518" s="44">
        <f>IF(AND($Q518=1,数据录入!$B518&gt;=$B$2,数据录入!$B518&lt;=$D$2),N(R517)+1,N(R517))</f>
      </c>
    </row>
    <row r="519" s="44" customFormat="1" spans="1:23">
      <c r="A519" s="116"/>
      <c r="E519" s="108"/>
      <c r="F519" s="114"/>
      <c r="G519" s="114"/>
      <c r="H519" s="114"/>
      <c r="Q519" s="44">
        <f>IF(数据录入!$B519="",0,IF(OR(数据录入!$D519="投标保证金",数据录入!$D519="合同履约保证金",ISNUMBER(FIND("保证金",数据录入!$E519))),1,0))</f>
      </c>
      <c r="R519" s="44">
        <f>IF(AND($Q519=1,数据录入!$B519&gt;=$B$2,数据录入!$B519&lt;=$D$2),N(R518)+1,N(R518))</f>
      </c>
    </row>
    <row r="520" s="44" customFormat="1" spans="1:23">
      <c r="A520" s="116"/>
      <c r="E520" s="108"/>
      <c r="F520" s="114"/>
      <c r="G520" s="114"/>
      <c r="H520" s="114"/>
      <c r="Q520" s="44">
        <f>IF(数据录入!$B520="",0,IF(OR(数据录入!$D520="投标保证金",数据录入!$D520="合同履约保证金",ISNUMBER(FIND("保证金",数据录入!$E520))),1,0))</f>
      </c>
      <c r="R520" s="44">
        <f>IF(AND($Q520=1,数据录入!$B520&gt;=$B$2,数据录入!$B520&lt;=$D$2),N(R519)+1,N(R519))</f>
      </c>
    </row>
    <row r="521" s="44" customFormat="1" spans="1:23">
      <c r="A521" s="116"/>
      <c r="E521" s="108"/>
      <c r="F521" s="114"/>
      <c r="G521" s="114"/>
      <c r="H521" s="114"/>
      <c r="Q521" s="44">
        <f>IF(数据录入!$B521="",0,IF(OR(数据录入!$D521="投标保证金",数据录入!$D521="合同履约保证金",ISNUMBER(FIND("保证金",数据录入!$E521))),1,0))</f>
      </c>
      <c r="R521" s="44">
        <f>IF(AND($Q521=1,数据录入!$B521&gt;=$B$2,数据录入!$B521&lt;=$D$2),N(R520)+1,N(R520))</f>
      </c>
    </row>
    <row r="522" s="44" customFormat="1" spans="1:23">
      <c r="A522" s="116"/>
      <c r="E522" s="108"/>
      <c r="F522" s="114"/>
      <c r="G522" s="114"/>
      <c r="H522" s="114"/>
      <c r="Q522" s="44">
        <f>IF(数据录入!$B522="",0,IF(OR(数据录入!$D522="投标保证金",数据录入!$D522="合同履约保证金",ISNUMBER(FIND("保证金",数据录入!$E522))),1,0))</f>
      </c>
      <c r="R522" s="44">
        <f>IF(AND($Q522=1,数据录入!$B522&gt;=$B$2,数据录入!$B522&lt;=$D$2),N(R521)+1,N(R521))</f>
      </c>
    </row>
    <row r="523" s="44" customFormat="1" spans="1:23">
      <c r="A523" s="116"/>
      <c r="E523" s="108"/>
      <c r="F523" s="114"/>
      <c r="G523" s="114"/>
      <c r="H523" s="114"/>
      <c r="Q523" s="44">
        <f>IF(数据录入!$B523="",0,IF(OR(数据录入!$D523="投标保证金",数据录入!$D523="合同履约保证金",ISNUMBER(FIND("保证金",数据录入!$E523))),1,0))</f>
      </c>
      <c r="R523" s="44">
        <f>IF(AND($Q523=1,数据录入!$B523&gt;=$B$2,数据录入!$B523&lt;=$D$2),N(R522)+1,N(R522))</f>
      </c>
    </row>
    <row r="524" s="44" customFormat="1" spans="1:23">
      <c r="A524" s="116"/>
      <c r="E524" s="108"/>
      <c r="F524" s="114"/>
      <c r="G524" s="114"/>
      <c r="H524" s="114"/>
      <c r="Q524" s="44">
        <f>IF(数据录入!$B524="",0,IF(OR(数据录入!$D524="投标保证金",数据录入!$D524="合同履约保证金",ISNUMBER(FIND("保证金",数据录入!$E524))),1,0))</f>
      </c>
      <c r="R524" s="44">
        <f>IF(AND($Q524=1,数据录入!$B524&gt;=$B$2,数据录入!$B524&lt;=$D$2),N(R523)+1,N(R523))</f>
      </c>
    </row>
    <row r="525" s="44" customFormat="1" spans="1:23">
      <c r="A525" s="116"/>
      <c r="E525" s="108"/>
      <c r="F525" s="114"/>
      <c r="G525" s="114"/>
      <c r="H525" s="114"/>
      <c r="Q525" s="44">
        <f>IF(数据录入!$B525="",0,IF(OR(数据录入!$D525="投标保证金",数据录入!$D525="合同履约保证金",ISNUMBER(FIND("保证金",数据录入!$E525))),1,0))</f>
      </c>
      <c r="R525" s="44">
        <f>IF(AND($Q525=1,数据录入!$B525&gt;=$B$2,数据录入!$B525&lt;=$D$2),N(R524)+1,N(R524))</f>
      </c>
    </row>
    <row r="526" s="44" customFormat="1" spans="1:23">
      <c r="A526" s="116"/>
      <c r="E526" s="108"/>
      <c r="F526" s="114"/>
      <c r="G526" s="114"/>
      <c r="H526" s="114"/>
      <c r="Q526" s="44">
        <f>IF(数据录入!$B526="",0,IF(OR(数据录入!$D526="投标保证金",数据录入!$D526="合同履约保证金",ISNUMBER(FIND("保证金",数据录入!$E526))),1,0))</f>
      </c>
      <c r="R526" s="44">
        <f>IF(AND($Q526=1,数据录入!$B526&gt;=$B$2,数据录入!$B526&lt;=$D$2),N(R525)+1,N(R525))</f>
      </c>
    </row>
    <row r="527" s="44" customFormat="1" spans="1:23">
      <c r="A527" s="116"/>
      <c r="E527" s="108"/>
      <c r="F527" s="114"/>
      <c r="G527" s="114"/>
      <c r="H527" s="114"/>
      <c r="Q527" s="44">
        <f>IF(数据录入!$B527="",0,IF(OR(数据录入!$D527="投标保证金",数据录入!$D527="合同履约保证金",ISNUMBER(FIND("保证金",数据录入!$E527))),1,0))</f>
      </c>
      <c r="R527" s="44">
        <f>IF(AND($Q527=1,数据录入!$B527&gt;=$B$2,数据录入!$B527&lt;=$D$2),N(R526)+1,N(R526))</f>
      </c>
    </row>
    <row r="528" s="44" customFormat="1" spans="1:23">
      <c r="A528" s="116"/>
      <c r="E528" s="108"/>
      <c r="F528" s="114"/>
      <c r="G528" s="114"/>
      <c r="H528" s="114"/>
      <c r="Q528" s="44">
        <f>IF(数据录入!$B528="",0,IF(OR(数据录入!$D528="投标保证金",数据录入!$D528="合同履约保证金",ISNUMBER(FIND("保证金",数据录入!$E528))),1,0))</f>
      </c>
      <c r="R528" s="44">
        <f>IF(AND($Q528=1,数据录入!$B528&gt;=$B$2,数据录入!$B528&lt;=$D$2),N(R527)+1,N(R527))</f>
      </c>
    </row>
    <row r="529" s="44" customFormat="1" spans="1:23">
      <c r="A529" s="116"/>
      <c r="E529" s="108"/>
      <c r="F529" s="114"/>
      <c r="G529" s="114"/>
      <c r="H529" s="114"/>
      <c r="Q529" s="44">
        <f>IF(数据录入!$B529="",0,IF(OR(数据录入!$D529="投标保证金",数据录入!$D529="合同履约保证金",ISNUMBER(FIND("保证金",数据录入!$E529))),1,0))</f>
      </c>
      <c r="R529" s="44">
        <f>IF(AND($Q529=1,数据录入!$B529&gt;=$B$2,数据录入!$B529&lt;=$D$2),N(R528)+1,N(R528))</f>
      </c>
    </row>
    <row r="530" s="44" customFormat="1" spans="1:23">
      <c r="A530" s="116"/>
      <c r="E530" s="108"/>
      <c r="F530" s="114"/>
      <c r="G530" s="114"/>
      <c r="H530" s="114"/>
      <c r="Q530" s="44">
        <f>IF(数据录入!$B530="",0,IF(OR(数据录入!$D530="投标保证金",数据录入!$D530="合同履约保证金",ISNUMBER(FIND("保证金",数据录入!$E530))),1,0))</f>
      </c>
      <c r="R530" s="44">
        <f>IF(AND($Q530=1,数据录入!$B530&gt;=$B$2,数据录入!$B530&lt;=$D$2),N(R529)+1,N(R529))</f>
      </c>
    </row>
    <row r="531" s="44" customFormat="1" spans="1:23">
      <c r="A531" s="116"/>
      <c r="E531" s="108"/>
      <c r="F531" s="114"/>
      <c r="G531" s="114"/>
      <c r="H531" s="114"/>
      <c r="Q531" s="44">
        <f>IF(数据录入!$B531="",0,IF(OR(数据录入!$D531="投标保证金",数据录入!$D531="合同履约保证金",ISNUMBER(FIND("保证金",数据录入!$E531))),1,0))</f>
      </c>
      <c r="R531" s="44">
        <f>IF(AND($Q531=1,数据录入!$B531&gt;=$B$2,数据录入!$B531&lt;=$D$2),N(R530)+1,N(R530))</f>
      </c>
    </row>
    <row r="532" s="44" customFormat="1" spans="1:23">
      <c r="A532" s="116"/>
      <c r="E532" s="108"/>
      <c r="F532" s="114"/>
      <c r="G532" s="114"/>
      <c r="H532" s="114"/>
      <c r="Q532" s="44">
        <f>IF(数据录入!$B532="",0,IF(OR(数据录入!$D532="投标保证金",数据录入!$D532="合同履约保证金",ISNUMBER(FIND("保证金",数据录入!$E532))),1,0))</f>
      </c>
      <c r="R532" s="44">
        <f>IF(AND($Q532=1,数据录入!$B532&gt;=$B$2,数据录入!$B532&lt;=$D$2),N(R531)+1,N(R531))</f>
      </c>
    </row>
    <row r="533" s="44" customFormat="1" spans="1:23">
      <c r="A533" s="116"/>
      <c r="E533" s="108"/>
      <c r="F533" s="114"/>
      <c r="G533" s="114"/>
      <c r="H533" s="114"/>
      <c r="Q533" s="44">
        <f>IF(数据录入!$B533="",0,IF(OR(数据录入!$D533="投标保证金",数据录入!$D533="合同履约保证金",ISNUMBER(FIND("保证金",数据录入!$E533))),1,0))</f>
      </c>
      <c r="R533" s="44">
        <f>IF(AND($Q533=1,数据录入!$B533&gt;=$B$2,数据录入!$B533&lt;=$D$2),N(R532)+1,N(R532))</f>
      </c>
    </row>
    <row r="534" s="44" customFormat="1" spans="1:23">
      <c r="A534" s="116"/>
      <c r="E534" s="108"/>
      <c r="F534" s="114"/>
      <c r="G534" s="114"/>
      <c r="H534" s="114"/>
      <c r="Q534" s="44">
        <f>IF(数据录入!$B534="",0,IF(OR(数据录入!$D534="投标保证金",数据录入!$D534="合同履约保证金",ISNUMBER(FIND("保证金",数据录入!$E534))),1,0))</f>
      </c>
      <c r="R534" s="44">
        <f>IF(AND($Q534=1,数据录入!$B534&gt;=$B$2,数据录入!$B534&lt;=$D$2),N(R533)+1,N(R533))</f>
      </c>
    </row>
    <row r="535" s="44" customFormat="1" spans="1:23">
      <c r="A535" s="116"/>
      <c r="E535" s="108"/>
      <c r="F535" s="114"/>
      <c r="G535" s="114"/>
      <c r="H535" s="114"/>
      <c r="Q535" s="44">
        <f>IF(数据录入!$B535="",0,IF(OR(数据录入!$D535="投标保证金",数据录入!$D535="合同履约保证金",ISNUMBER(FIND("保证金",数据录入!$E535))),1,0))</f>
      </c>
      <c r="R535" s="44">
        <f>IF(AND($Q535=1,数据录入!$B535&gt;=$B$2,数据录入!$B535&lt;=$D$2),N(R534)+1,N(R534))</f>
      </c>
    </row>
    <row r="536" s="44" customFormat="1" spans="1:23">
      <c r="A536" s="116"/>
      <c r="E536" s="108"/>
      <c r="F536" s="114"/>
      <c r="G536" s="114"/>
      <c r="H536" s="114"/>
      <c r="Q536" s="44">
        <f>IF(数据录入!$B536="",0,IF(OR(数据录入!$D536="投标保证金",数据录入!$D536="合同履约保证金",ISNUMBER(FIND("保证金",数据录入!$E536))),1,0))</f>
      </c>
      <c r="R536" s="44">
        <f>IF(AND($Q536=1,数据录入!$B536&gt;=$B$2,数据录入!$B536&lt;=$D$2),N(R535)+1,N(R535))</f>
      </c>
    </row>
    <row r="537" s="44" customFormat="1" spans="1:23">
      <c r="A537" s="116"/>
      <c r="E537" s="108"/>
      <c r="F537" s="114"/>
      <c r="G537" s="114"/>
      <c r="H537" s="114"/>
      <c r="Q537" s="44">
        <f>IF(数据录入!$B537="",0,IF(OR(数据录入!$D537="投标保证金",数据录入!$D537="合同履约保证金",ISNUMBER(FIND("保证金",数据录入!$E537))),1,0))</f>
      </c>
      <c r="R537" s="44">
        <f>IF(AND($Q537=1,数据录入!$B537&gt;=$B$2,数据录入!$B537&lt;=$D$2),N(R536)+1,N(R536))</f>
      </c>
    </row>
    <row r="538" s="44" customFormat="1" spans="1:23">
      <c r="A538" s="116"/>
      <c r="E538" s="108"/>
      <c r="F538" s="114"/>
      <c r="G538" s="114"/>
      <c r="H538" s="114"/>
      <c r="Q538" s="44">
        <f>IF(数据录入!$B538="",0,IF(OR(数据录入!$D538="投标保证金",数据录入!$D538="合同履约保证金",ISNUMBER(FIND("保证金",数据录入!$E538))),1,0))</f>
      </c>
      <c r="R538" s="44">
        <f>IF(AND($Q538=1,数据录入!$B538&gt;=$B$2,数据录入!$B538&lt;=$D$2),N(R537)+1,N(R537))</f>
      </c>
    </row>
    <row r="539" s="44" customFormat="1" spans="1:23">
      <c r="A539" s="116"/>
      <c r="E539" s="108"/>
      <c r="F539" s="114"/>
      <c r="G539" s="114"/>
      <c r="H539" s="114"/>
      <c r="Q539" s="44">
        <f>IF(数据录入!$B539="",0,IF(OR(数据录入!$D539="投标保证金",数据录入!$D539="合同履约保证金",ISNUMBER(FIND("保证金",数据录入!$E539))),1,0))</f>
      </c>
      <c r="R539" s="44">
        <f>IF(AND($Q539=1,数据录入!$B539&gt;=$B$2,数据录入!$B539&lt;=$D$2),N(R538)+1,N(R538))</f>
      </c>
    </row>
    <row r="540" s="44" customFormat="1" spans="1:23">
      <c r="A540" s="116"/>
      <c r="E540" s="108"/>
      <c r="F540" s="114"/>
      <c r="G540" s="114"/>
      <c r="H540" s="114"/>
      <c r="Q540" s="44">
        <f>IF(数据录入!$B540="",0,IF(OR(数据录入!$D540="投标保证金",数据录入!$D540="合同履约保证金",ISNUMBER(FIND("保证金",数据录入!$E540))),1,0))</f>
      </c>
      <c r="R540" s="44">
        <f>IF(AND($Q540=1,数据录入!$B540&gt;=$B$2,数据录入!$B540&lt;=$D$2),N(R539)+1,N(R539))</f>
      </c>
    </row>
    <row r="541" s="44" customFormat="1" spans="1:23">
      <c r="A541" s="116"/>
      <c r="E541" s="108"/>
      <c r="F541" s="114"/>
      <c r="G541" s="114"/>
      <c r="H541" s="114"/>
      <c r="Q541" s="44">
        <f>IF(数据录入!$B541="",0,IF(OR(数据录入!$D541="投标保证金",数据录入!$D541="合同履约保证金",ISNUMBER(FIND("保证金",数据录入!$E541))),1,0))</f>
      </c>
      <c r="R541" s="44">
        <f>IF(AND($Q541=1,数据录入!$B541&gt;=$B$2,数据录入!$B541&lt;=$D$2),N(R540)+1,N(R540))</f>
      </c>
    </row>
    <row r="542" s="44" customFormat="1" spans="1:23">
      <c r="A542" s="116"/>
      <c r="E542" s="108"/>
      <c r="F542" s="114"/>
      <c r="G542" s="114"/>
      <c r="H542" s="114"/>
      <c r="Q542" s="44">
        <f>IF(数据录入!$B542="",0,IF(OR(数据录入!$D542="投标保证金",数据录入!$D542="合同履约保证金",ISNUMBER(FIND("保证金",数据录入!$E542))),1,0))</f>
      </c>
      <c r="R542" s="44">
        <f>IF(AND($Q542=1,数据录入!$B542&gt;=$B$2,数据录入!$B542&lt;=$D$2),N(R541)+1,N(R541))</f>
      </c>
    </row>
    <row r="543" s="44" customFormat="1" spans="1:23">
      <c r="A543" s="116"/>
      <c r="E543" s="108"/>
      <c r="F543" s="114"/>
      <c r="G543" s="114"/>
      <c r="H543" s="114"/>
      <c r="Q543" s="44">
        <f>IF(数据录入!$B543="",0,IF(OR(数据录入!$D543="投标保证金",数据录入!$D543="合同履约保证金",ISNUMBER(FIND("保证金",数据录入!$E543))),1,0))</f>
      </c>
      <c r="R543" s="44">
        <f>IF(AND($Q543=1,数据录入!$B543&gt;=$B$2,数据录入!$B543&lt;=$D$2),N(R542)+1,N(R542))</f>
      </c>
    </row>
    <row r="544" s="44" customFormat="1" spans="1:23">
      <c r="A544" s="116"/>
      <c r="E544" s="108"/>
      <c r="F544" s="114"/>
      <c r="G544" s="114"/>
      <c r="H544" s="114"/>
      <c r="Q544" s="44">
        <f>IF(数据录入!$B544="",0,IF(OR(数据录入!$D544="投标保证金",数据录入!$D544="合同履约保证金",ISNUMBER(FIND("保证金",数据录入!$E544))),1,0))</f>
      </c>
      <c r="R544" s="44">
        <f>IF(AND($Q544=1,数据录入!$B544&gt;=$B$2,数据录入!$B544&lt;=$D$2),N(R543)+1,N(R543))</f>
      </c>
    </row>
    <row r="545" s="44" customFormat="1" spans="1:23">
      <c r="A545" s="116"/>
      <c r="E545" s="108"/>
      <c r="F545" s="114"/>
      <c r="G545" s="114"/>
      <c r="H545" s="114"/>
      <c r="Q545" s="44">
        <f>IF(数据录入!$B545="",0,IF(OR(数据录入!$D545="投标保证金",数据录入!$D545="合同履约保证金",ISNUMBER(FIND("保证金",数据录入!$E545))),1,0))</f>
      </c>
      <c r="R545" s="44">
        <f>IF(AND($Q545=1,数据录入!$B545&gt;=$B$2,数据录入!$B545&lt;=$D$2),N(R544)+1,N(R544))</f>
      </c>
    </row>
    <row r="546" s="44" customFormat="1" spans="1:23">
      <c r="A546" s="116"/>
      <c r="E546" s="108"/>
      <c r="F546" s="114"/>
      <c r="G546" s="114"/>
      <c r="H546" s="114"/>
      <c r="Q546" s="44">
        <f>IF(数据录入!$B546="",0,IF(OR(数据录入!$D546="投标保证金",数据录入!$D546="合同履约保证金",ISNUMBER(FIND("保证金",数据录入!$E546))),1,0))</f>
      </c>
      <c r="R546" s="44">
        <f>IF(AND($Q546=1,数据录入!$B546&gt;=$B$2,数据录入!$B546&lt;=$D$2),N(R545)+1,N(R545))</f>
      </c>
    </row>
    <row r="547" s="44" customFormat="1" spans="1:23">
      <c r="A547" s="116"/>
      <c r="E547" s="108"/>
      <c r="F547" s="114"/>
      <c r="G547" s="114"/>
      <c r="H547" s="114"/>
      <c r="Q547" s="44">
        <f>IF(数据录入!$B547="",0,IF(OR(数据录入!$D547="投标保证金",数据录入!$D547="合同履约保证金",ISNUMBER(FIND("保证金",数据录入!$E547))),1,0))</f>
      </c>
      <c r="R547" s="44">
        <f>IF(AND($Q547=1,数据录入!$B547&gt;=$B$2,数据录入!$B547&lt;=$D$2),N(R546)+1,N(R546))</f>
      </c>
    </row>
    <row r="548" s="44" customFormat="1" spans="1:23">
      <c r="A548" s="116"/>
      <c r="E548" s="108"/>
      <c r="F548" s="114"/>
      <c r="G548" s="114"/>
      <c r="H548" s="114"/>
      <c r="Q548" s="44">
        <f>IF(数据录入!$B548="",0,IF(OR(数据录入!$D548="投标保证金",数据录入!$D548="合同履约保证金",ISNUMBER(FIND("保证金",数据录入!$E548))),1,0))</f>
      </c>
      <c r="R548" s="44">
        <f>IF(AND($Q548=1,数据录入!$B548&gt;=$B$2,数据录入!$B548&lt;=$D$2),N(R547)+1,N(R547))</f>
      </c>
    </row>
    <row r="549" s="44" customFormat="1" spans="1:23">
      <c r="A549" s="116"/>
      <c r="E549" s="108"/>
      <c r="F549" s="114"/>
      <c r="G549" s="114"/>
      <c r="H549" s="114"/>
      <c r="Q549" s="44">
        <f>IF(数据录入!$B549="",0,IF(OR(数据录入!$D549="投标保证金",数据录入!$D549="合同履约保证金",ISNUMBER(FIND("保证金",数据录入!$E549))),1,0))</f>
      </c>
      <c r="R549" s="44">
        <f>IF(AND($Q549=1,数据录入!$B549&gt;=$B$2,数据录入!$B549&lt;=$D$2),N(R548)+1,N(R548))</f>
      </c>
    </row>
    <row r="550" s="44" customFormat="1" spans="1:23">
      <c r="A550" s="116"/>
      <c r="E550" s="108"/>
      <c r="F550" s="114"/>
      <c r="G550" s="114"/>
      <c r="H550" s="114"/>
      <c r="Q550" s="44">
        <f>IF(数据录入!$B550="",0,IF(OR(数据录入!$D550="投标保证金",数据录入!$D550="合同履约保证金",ISNUMBER(FIND("保证金",数据录入!$E550))),1,0))</f>
      </c>
      <c r="R550" s="44">
        <f>IF(AND($Q550=1,数据录入!$B550&gt;=$B$2,数据录入!$B550&lt;=$D$2),N(R549)+1,N(R549))</f>
      </c>
    </row>
    <row r="551" s="44" customFormat="1" spans="1:23">
      <c r="A551" s="116"/>
      <c r="E551" s="108"/>
      <c r="F551" s="114"/>
      <c r="G551" s="114"/>
      <c r="H551" s="114"/>
      <c r="Q551" s="44">
        <f>IF(数据录入!$B551="",0,IF(OR(数据录入!$D551="投标保证金",数据录入!$D551="合同履约保证金",ISNUMBER(FIND("保证金",数据录入!$E551))),1,0))</f>
      </c>
      <c r="R551" s="44">
        <f>IF(AND($Q551=1,数据录入!$B551&gt;=$B$2,数据录入!$B551&lt;=$D$2),N(R550)+1,N(R550))</f>
      </c>
    </row>
    <row r="552" s="44" customFormat="1" spans="1:23">
      <c r="A552" s="116"/>
      <c r="E552" s="108"/>
      <c r="F552" s="114"/>
      <c r="G552" s="114"/>
      <c r="H552" s="114"/>
      <c r="Q552" s="44">
        <f>IF(数据录入!$B552="",0,IF(OR(数据录入!$D552="投标保证金",数据录入!$D552="合同履约保证金",ISNUMBER(FIND("保证金",数据录入!$E552))),1,0))</f>
      </c>
      <c r="R552" s="44">
        <f>IF(AND($Q552=1,数据录入!$B552&gt;=$B$2,数据录入!$B552&lt;=$D$2),N(R551)+1,N(R551))</f>
      </c>
    </row>
    <row r="553" s="44" customFormat="1" spans="1:23">
      <c r="A553" s="116"/>
      <c r="E553" s="108"/>
      <c r="F553" s="114"/>
      <c r="G553" s="114"/>
      <c r="H553" s="114"/>
      <c r="Q553" s="44">
        <f>IF(数据录入!$B553="",0,IF(OR(数据录入!$D553="投标保证金",数据录入!$D553="合同履约保证金",ISNUMBER(FIND("保证金",数据录入!$E553))),1,0))</f>
      </c>
      <c r="R553" s="44">
        <f>IF(AND($Q553=1,数据录入!$B553&gt;=$B$2,数据录入!$B553&lt;=$D$2),N(R552)+1,N(R552))</f>
      </c>
    </row>
    <row r="554" s="44" customFormat="1" spans="1:23">
      <c r="A554" s="116"/>
      <c r="E554" s="108"/>
      <c r="F554" s="114"/>
      <c r="G554" s="114"/>
      <c r="H554" s="114"/>
      <c r="Q554" s="44">
        <f>IF(数据录入!$B554="",0,IF(OR(数据录入!$D554="投标保证金",数据录入!$D554="合同履约保证金",ISNUMBER(FIND("保证金",数据录入!$E554))),1,0))</f>
      </c>
      <c r="R554" s="44">
        <f>IF(AND($Q554=1,数据录入!$B554&gt;=$B$2,数据录入!$B554&lt;=$D$2),N(R553)+1,N(R553))</f>
      </c>
    </row>
    <row r="555" s="44" customFormat="1" spans="1:23">
      <c r="A555" s="116"/>
      <c r="E555" s="108"/>
      <c r="F555" s="114"/>
      <c r="G555" s="114"/>
      <c r="H555" s="114"/>
      <c r="Q555" s="44">
        <f>IF(数据录入!$B555="",0,IF(OR(数据录入!$D555="投标保证金",数据录入!$D555="合同履约保证金",ISNUMBER(FIND("保证金",数据录入!$E555))),1,0))</f>
      </c>
      <c r="R555" s="44">
        <f>IF(AND($Q555=1,数据录入!$B555&gt;=$B$2,数据录入!$B555&lt;=$D$2),N(R554)+1,N(R554))</f>
      </c>
    </row>
    <row r="556" s="44" customFormat="1" spans="1:23">
      <c r="A556" s="116"/>
      <c r="E556" s="108"/>
      <c r="F556" s="114"/>
      <c r="G556" s="114"/>
      <c r="H556" s="114"/>
      <c r="Q556" s="44">
        <f>IF(数据录入!$B556="",0,IF(OR(数据录入!$D556="投标保证金",数据录入!$D556="合同履约保证金",ISNUMBER(FIND("保证金",数据录入!$E556))),1,0))</f>
      </c>
      <c r="R556" s="44">
        <f>IF(AND($Q556=1,数据录入!$B556&gt;=$B$2,数据录入!$B556&lt;=$D$2),N(R555)+1,N(R555))</f>
      </c>
    </row>
    <row r="557" s="44" customFormat="1" spans="1:23">
      <c r="A557" s="116"/>
      <c r="E557" s="108"/>
      <c r="F557" s="114"/>
      <c r="G557" s="114"/>
      <c r="H557" s="114"/>
      <c r="Q557" s="44">
        <f>IF(数据录入!$B557="",0,IF(OR(数据录入!$D557="投标保证金",数据录入!$D557="合同履约保证金",ISNUMBER(FIND("保证金",数据录入!$E557))),1,0))</f>
      </c>
      <c r="R557" s="44">
        <f>IF(AND($Q557=1,数据录入!$B557&gt;=$B$2,数据录入!$B557&lt;=$D$2),N(R556)+1,N(R556))</f>
      </c>
    </row>
    <row r="558" s="44" customFormat="1" spans="1:23">
      <c r="A558" s="116"/>
      <c r="E558" s="108"/>
      <c r="F558" s="114"/>
      <c r="G558" s="114"/>
      <c r="H558" s="114"/>
      <c r="Q558" s="44">
        <f>IF(数据录入!$B558="",0,IF(OR(数据录入!$D558="投标保证金",数据录入!$D558="合同履约保证金",ISNUMBER(FIND("保证金",数据录入!$E558))),1,0))</f>
      </c>
      <c r="R558" s="44">
        <f>IF(AND($Q558=1,数据录入!$B558&gt;=$B$2,数据录入!$B558&lt;=$D$2),N(R557)+1,N(R557))</f>
      </c>
    </row>
    <row r="559" s="44" customFormat="1" spans="1:23">
      <c r="A559" s="116"/>
      <c r="E559" s="108"/>
      <c r="F559" s="114"/>
      <c r="G559" s="114"/>
      <c r="H559" s="114"/>
      <c r="Q559" s="44">
        <f>IF(数据录入!$B559="",0,IF(OR(数据录入!$D559="投标保证金",数据录入!$D559="合同履约保证金",ISNUMBER(FIND("保证金",数据录入!$E559))),1,0))</f>
      </c>
      <c r="R559" s="44">
        <f>IF(AND($Q559=1,数据录入!$B559&gt;=$B$2,数据录入!$B559&lt;=$D$2),N(R558)+1,N(R558))</f>
      </c>
    </row>
    <row r="560" s="44" customFormat="1" spans="1:23">
      <c r="A560" s="116"/>
      <c r="E560" s="108"/>
      <c r="F560" s="114"/>
      <c r="G560" s="114"/>
      <c r="H560" s="114"/>
      <c r="Q560" s="44">
        <f>IF(数据录入!$B560="",0,IF(OR(数据录入!$D560="投标保证金",数据录入!$D560="合同履约保证金",ISNUMBER(FIND("保证金",数据录入!$E560))),1,0))</f>
      </c>
      <c r="R560" s="44">
        <f>IF(AND($Q560=1,数据录入!$B560&gt;=$B$2,数据录入!$B560&lt;=$D$2),N(R559)+1,N(R559))</f>
      </c>
    </row>
    <row r="561" s="44" customFormat="1" spans="1:23">
      <c r="A561" s="116"/>
      <c r="E561" s="108"/>
      <c r="F561" s="114"/>
      <c r="G561" s="114"/>
      <c r="H561" s="114"/>
      <c r="Q561" s="44">
        <f>IF(数据录入!$B561="",0,IF(OR(数据录入!$D561="投标保证金",数据录入!$D561="合同履约保证金",ISNUMBER(FIND("保证金",数据录入!$E561))),1,0))</f>
      </c>
      <c r="R561" s="44">
        <f>IF(AND($Q561=1,数据录入!$B561&gt;=$B$2,数据录入!$B561&lt;=$D$2),N(R560)+1,N(R560))</f>
      </c>
    </row>
    <row r="562" s="44" customFormat="1" spans="1:23">
      <c r="A562" s="116"/>
      <c r="E562" s="108"/>
      <c r="F562" s="114"/>
      <c r="G562" s="114"/>
      <c r="H562" s="114"/>
      <c r="Q562" s="44">
        <f>IF(数据录入!$B562="",0,IF(OR(数据录入!$D562="投标保证金",数据录入!$D562="合同履约保证金",ISNUMBER(FIND("保证金",数据录入!$E562))),1,0))</f>
      </c>
      <c r="R562" s="44">
        <f>IF(AND($Q562=1,数据录入!$B562&gt;=$B$2,数据录入!$B562&lt;=$D$2),N(R561)+1,N(R561))</f>
      </c>
    </row>
    <row r="563" s="44" customFormat="1" spans="1:23">
      <c r="A563" s="116"/>
      <c r="E563" s="108"/>
      <c r="F563" s="114"/>
      <c r="G563" s="114"/>
      <c r="H563" s="114"/>
      <c r="Q563" s="44">
        <f>IF(数据录入!$B563="",0,IF(OR(数据录入!$D563="投标保证金",数据录入!$D563="合同履约保证金",ISNUMBER(FIND("保证金",数据录入!$E563))),1,0))</f>
      </c>
      <c r="R563" s="44">
        <f>IF(AND($Q563=1,数据录入!$B563&gt;=$B$2,数据录入!$B563&lt;=$D$2),N(R562)+1,N(R562))</f>
      </c>
    </row>
    <row r="564" s="44" customFormat="1" spans="1:23">
      <c r="A564" s="116"/>
      <c r="E564" s="108"/>
      <c r="F564" s="114"/>
      <c r="G564" s="114"/>
      <c r="H564" s="114"/>
      <c r="Q564" s="44">
        <f>IF(数据录入!$B564="",0,IF(OR(数据录入!$D564="投标保证金",数据录入!$D564="合同履约保证金",ISNUMBER(FIND("保证金",数据录入!$E564))),1,0))</f>
      </c>
      <c r="R564" s="44">
        <f>IF(AND($Q564=1,数据录入!$B564&gt;=$B$2,数据录入!$B564&lt;=$D$2),N(R563)+1,N(R563))</f>
      </c>
    </row>
    <row r="565" s="44" customFormat="1" spans="1:23">
      <c r="A565" s="116"/>
      <c r="E565" s="108"/>
      <c r="F565" s="114"/>
      <c r="G565" s="114"/>
      <c r="H565" s="114"/>
      <c r="Q565" s="44">
        <f>IF(数据录入!$B565="",0,IF(OR(数据录入!$D565="投标保证金",数据录入!$D565="合同履约保证金",ISNUMBER(FIND("保证金",数据录入!$E565))),1,0))</f>
      </c>
      <c r="R565" s="44">
        <f>IF(AND($Q565=1,数据录入!$B565&gt;=$B$2,数据录入!$B565&lt;=$D$2),N(R564)+1,N(R564))</f>
      </c>
    </row>
    <row r="566" s="44" customFormat="1" spans="1:23">
      <c r="A566" s="116"/>
      <c r="E566" s="108"/>
      <c r="F566" s="114"/>
      <c r="G566" s="114"/>
      <c r="H566" s="114"/>
      <c r="Q566" s="44">
        <f>IF(数据录入!$B566="",0,IF(OR(数据录入!$D566="投标保证金",数据录入!$D566="合同履约保证金",ISNUMBER(FIND("保证金",数据录入!$E566))),1,0))</f>
      </c>
      <c r="R566" s="44">
        <f>IF(AND($Q566=1,数据录入!$B566&gt;=$B$2,数据录入!$B566&lt;=$D$2),N(R565)+1,N(R565))</f>
      </c>
    </row>
    <row r="567" s="44" customFormat="1" spans="1:23">
      <c r="A567" s="116"/>
      <c r="E567" s="108"/>
      <c r="F567" s="114"/>
      <c r="G567" s="114"/>
      <c r="H567" s="114"/>
      <c r="Q567" s="44">
        <f>IF(数据录入!$B567="",0,IF(OR(数据录入!$D567="投标保证金",数据录入!$D567="合同履约保证金",ISNUMBER(FIND("保证金",数据录入!$E567))),1,0))</f>
      </c>
      <c r="R567" s="44">
        <f>IF(AND($Q567=1,数据录入!$B567&gt;=$B$2,数据录入!$B567&lt;=$D$2),N(R566)+1,N(R566))</f>
      </c>
    </row>
    <row r="568" s="44" customFormat="1" spans="1:23">
      <c r="A568" s="116"/>
      <c r="E568" s="108"/>
      <c r="F568" s="114"/>
      <c r="G568" s="114"/>
      <c r="H568" s="114"/>
      <c r="Q568" s="44">
        <f>IF(数据录入!$B568="",0,IF(OR(数据录入!$D568="投标保证金",数据录入!$D568="合同履约保证金",ISNUMBER(FIND("保证金",数据录入!$E568))),1,0))</f>
      </c>
      <c r="R568" s="44">
        <f>IF(AND($Q568=1,数据录入!$B568&gt;=$B$2,数据录入!$B568&lt;=$D$2),N(R567)+1,N(R567))</f>
      </c>
    </row>
    <row r="569" s="44" customFormat="1" spans="1:23">
      <c r="A569" s="116"/>
      <c r="E569" s="108"/>
      <c r="F569" s="114"/>
      <c r="G569" s="114"/>
      <c r="H569" s="114"/>
      <c r="Q569" s="44">
        <f>IF(数据录入!$B569="",0,IF(OR(数据录入!$D569="投标保证金",数据录入!$D569="合同履约保证金",ISNUMBER(FIND("保证金",数据录入!$E569))),1,0))</f>
      </c>
      <c r="R569" s="44">
        <f>IF(AND($Q569=1,数据录入!$B569&gt;=$B$2,数据录入!$B569&lt;=$D$2),N(R568)+1,N(R568))</f>
      </c>
    </row>
    <row r="570" s="44" customFormat="1" spans="1:23">
      <c r="A570" s="116"/>
      <c r="E570" s="108"/>
      <c r="F570" s="114"/>
      <c r="G570" s="114"/>
      <c r="H570" s="114"/>
      <c r="Q570" s="44">
        <f>IF(数据录入!$B570="",0,IF(OR(数据录入!$D570="投标保证金",数据录入!$D570="合同履约保证金",ISNUMBER(FIND("保证金",数据录入!$E570))),1,0))</f>
      </c>
      <c r="R570" s="44">
        <f>IF(AND($Q570=1,数据录入!$B570&gt;=$B$2,数据录入!$B570&lt;=$D$2),N(R569)+1,N(R569))</f>
      </c>
    </row>
    <row r="571" s="44" customFormat="1" spans="1:23">
      <c r="A571" s="116"/>
      <c r="E571" s="108"/>
      <c r="F571" s="114"/>
      <c r="G571" s="114"/>
      <c r="H571" s="114"/>
      <c r="Q571" s="44">
        <f>IF(数据录入!$B571="",0,IF(OR(数据录入!$D571="投标保证金",数据录入!$D571="合同履约保证金",ISNUMBER(FIND("保证金",数据录入!$E571))),1,0))</f>
      </c>
      <c r="R571" s="44">
        <f>IF(AND($Q571=1,数据录入!$B571&gt;=$B$2,数据录入!$B571&lt;=$D$2),N(R570)+1,N(R570))</f>
      </c>
    </row>
    <row r="572" s="44" customFormat="1" spans="1:23">
      <c r="A572" s="116"/>
      <c r="E572" s="108"/>
      <c r="F572" s="114"/>
      <c r="G572" s="114"/>
      <c r="H572" s="114"/>
      <c r="Q572" s="44">
        <f>IF(数据录入!$B572="",0,IF(OR(数据录入!$D572="投标保证金",数据录入!$D572="合同履约保证金",ISNUMBER(FIND("保证金",数据录入!$E572))),1,0))</f>
      </c>
      <c r="R572" s="44">
        <f>IF(AND($Q572=1,数据录入!$B572&gt;=$B$2,数据录入!$B572&lt;=$D$2),N(R571)+1,N(R571))</f>
      </c>
    </row>
    <row r="573" s="44" customFormat="1" spans="1:23">
      <c r="A573" s="116"/>
      <c r="E573" s="108"/>
      <c r="F573" s="114"/>
      <c r="G573" s="114"/>
      <c r="H573" s="114"/>
      <c r="Q573" s="44">
        <f>IF(数据录入!$B573="",0,IF(OR(数据录入!$D573="投标保证金",数据录入!$D573="合同履约保证金",ISNUMBER(FIND("保证金",数据录入!$E573))),1,0))</f>
      </c>
      <c r="R573" s="44">
        <f>IF(AND($Q573=1,数据录入!$B573&gt;=$B$2,数据录入!$B573&lt;=$D$2),N(R572)+1,N(R572))</f>
      </c>
    </row>
    <row r="574" s="44" customFormat="1" spans="1:23">
      <c r="A574" s="116"/>
      <c r="E574" s="108"/>
      <c r="F574" s="114"/>
      <c r="G574" s="114"/>
      <c r="H574" s="114"/>
      <c r="Q574" s="44">
        <f>IF(数据录入!$B574="",0,IF(OR(数据录入!$D574="投标保证金",数据录入!$D574="合同履约保证金",ISNUMBER(FIND("保证金",数据录入!$E574))),1,0))</f>
      </c>
      <c r="R574" s="44">
        <f>IF(AND($Q574=1,数据录入!$B574&gt;=$B$2,数据录入!$B574&lt;=$D$2),N(R573)+1,N(R573))</f>
      </c>
    </row>
    <row r="575" s="44" customFormat="1" spans="1:23">
      <c r="A575" s="116"/>
      <c r="E575" s="108"/>
      <c r="F575" s="114"/>
      <c r="G575" s="114"/>
      <c r="H575" s="114"/>
      <c r="Q575" s="44">
        <f>IF(数据录入!$B575="",0,IF(OR(数据录入!$D575="投标保证金",数据录入!$D575="合同履约保证金",ISNUMBER(FIND("保证金",数据录入!$E575))),1,0))</f>
      </c>
      <c r="R575" s="44">
        <f>IF(AND($Q575=1,数据录入!$B575&gt;=$B$2,数据录入!$B575&lt;=$D$2),N(R574)+1,N(R574))</f>
      </c>
    </row>
    <row r="576" s="44" customFormat="1" spans="1:23">
      <c r="A576" s="116"/>
      <c r="E576" s="108"/>
      <c r="F576" s="114"/>
      <c r="G576" s="114"/>
      <c r="H576" s="114"/>
      <c r="Q576" s="44">
        <f>IF(数据录入!$B576="",0,IF(OR(数据录入!$D576="投标保证金",数据录入!$D576="合同履约保证金",ISNUMBER(FIND("保证金",数据录入!$E576))),1,0))</f>
      </c>
      <c r="R576" s="44">
        <f>IF(AND($Q576=1,数据录入!$B576&gt;=$B$2,数据录入!$B576&lt;=$D$2),N(R575)+1,N(R575))</f>
      </c>
    </row>
    <row r="577" s="44" customFormat="1" spans="1:23">
      <c r="A577" s="116"/>
      <c r="E577" s="108"/>
      <c r="F577" s="114"/>
      <c r="G577" s="114"/>
      <c r="H577" s="114"/>
      <c r="Q577" s="44">
        <f>IF(数据录入!$B577="",0,IF(OR(数据录入!$D577="投标保证金",数据录入!$D577="合同履约保证金",ISNUMBER(FIND("保证金",数据录入!$E577))),1,0))</f>
      </c>
      <c r="R577" s="44">
        <f>IF(AND($Q577=1,数据录入!$B577&gt;=$B$2,数据录入!$B577&lt;=$D$2),N(R576)+1,N(R576))</f>
      </c>
    </row>
    <row r="578" s="44" customFormat="1" spans="1:23">
      <c r="A578" s="116"/>
      <c r="E578" s="108"/>
      <c r="F578" s="114"/>
      <c r="G578" s="114"/>
      <c r="H578" s="114"/>
      <c r="Q578" s="44">
        <f>IF(数据录入!$B578="",0,IF(OR(数据录入!$D578="投标保证金",数据录入!$D578="合同履约保证金",ISNUMBER(FIND("保证金",数据录入!$E578))),1,0))</f>
      </c>
      <c r="R578" s="44">
        <f>IF(AND($Q578=1,数据录入!$B578&gt;=$B$2,数据录入!$B578&lt;=$D$2),N(R577)+1,N(R577))</f>
      </c>
    </row>
    <row r="579" s="44" customFormat="1" spans="1:23">
      <c r="A579" s="116"/>
      <c r="E579" s="108"/>
      <c r="F579" s="114"/>
      <c r="G579" s="114"/>
      <c r="H579" s="114"/>
      <c r="Q579" s="44">
        <f>IF(数据录入!$B579="",0,IF(OR(数据录入!$D579="投标保证金",数据录入!$D579="合同履约保证金",ISNUMBER(FIND("保证金",数据录入!$E579))),1,0))</f>
      </c>
      <c r="R579" s="44">
        <f>IF(AND($Q579=1,数据录入!$B579&gt;=$B$2,数据录入!$B579&lt;=$D$2),N(R578)+1,N(R578))</f>
      </c>
    </row>
    <row r="580" s="44" customFormat="1" spans="1:23">
      <c r="A580" s="116"/>
      <c r="E580" s="108"/>
      <c r="F580" s="114"/>
      <c r="G580" s="114"/>
      <c r="H580" s="114"/>
      <c r="Q580" s="44">
        <f>IF(数据录入!$B580="",0,IF(OR(数据录入!$D580="投标保证金",数据录入!$D580="合同履约保证金",ISNUMBER(FIND("保证金",数据录入!$E580))),1,0))</f>
      </c>
      <c r="R580" s="44">
        <f>IF(AND($Q580=1,数据录入!$B580&gt;=$B$2,数据录入!$B580&lt;=$D$2),N(R579)+1,N(R579))</f>
      </c>
    </row>
    <row r="581" s="44" customFormat="1" spans="1:23">
      <c r="A581" s="116"/>
      <c r="E581" s="108"/>
      <c r="F581" s="114"/>
      <c r="G581" s="114"/>
      <c r="H581" s="114"/>
      <c r="Q581" s="44">
        <f>IF(数据录入!$B581="",0,IF(OR(数据录入!$D581="投标保证金",数据录入!$D581="合同履约保证金",ISNUMBER(FIND("保证金",数据录入!$E581))),1,0))</f>
      </c>
      <c r="R581" s="44">
        <f>IF(AND($Q581=1,数据录入!$B581&gt;=$B$2,数据录入!$B581&lt;=$D$2),N(R580)+1,N(R580))</f>
      </c>
    </row>
    <row r="582" s="44" customFormat="1" spans="1:23">
      <c r="A582" s="116"/>
      <c r="E582" s="108"/>
      <c r="F582" s="114"/>
      <c r="G582" s="114"/>
      <c r="H582" s="114"/>
      <c r="Q582" s="44">
        <f>IF(数据录入!$B582="",0,IF(OR(数据录入!$D582="投标保证金",数据录入!$D582="合同履约保证金",ISNUMBER(FIND("保证金",数据录入!$E582))),1,0))</f>
      </c>
      <c r="R582" s="44">
        <f>IF(AND($Q582=1,数据录入!$B582&gt;=$B$2,数据录入!$B582&lt;=$D$2),N(R581)+1,N(R581))</f>
      </c>
    </row>
    <row r="583" s="44" customFormat="1" spans="1:23">
      <c r="A583" s="116"/>
      <c r="E583" s="108"/>
      <c r="F583" s="114"/>
      <c r="G583" s="114"/>
      <c r="H583" s="114"/>
      <c r="Q583" s="44">
        <f>IF(数据录入!$B583="",0,IF(OR(数据录入!$D583="投标保证金",数据录入!$D583="合同履约保证金",ISNUMBER(FIND("保证金",数据录入!$E583))),1,0))</f>
      </c>
      <c r="R583" s="44">
        <f>IF(AND($Q583=1,数据录入!$B583&gt;=$B$2,数据录入!$B583&lt;=$D$2),N(R582)+1,N(R582))</f>
      </c>
    </row>
    <row r="584" s="44" customFormat="1" spans="1:23">
      <c r="A584" s="116"/>
      <c r="E584" s="108"/>
      <c r="F584" s="114"/>
      <c r="G584" s="114"/>
      <c r="H584" s="114"/>
      <c r="Q584" s="44">
        <f>IF(数据录入!$B584="",0,IF(OR(数据录入!$D584="投标保证金",数据录入!$D584="合同履约保证金",ISNUMBER(FIND("保证金",数据录入!$E584))),1,0))</f>
      </c>
      <c r="R584" s="44">
        <f>IF(AND($Q584=1,数据录入!$B584&gt;=$B$2,数据录入!$B584&lt;=$D$2),N(R583)+1,N(R583))</f>
      </c>
    </row>
    <row r="585" s="44" customFormat="1" spans="1:23">
      <c r="A585" s="116"/>
      <c r="E585" s="108"/>
      <c r="F585" s="114"/>
      <c r="G585" s="114"/>
      <c r="H585" s="114"/>
      <c r="Q585" s="44">
        <f>IF(数据录入!$B585="",0,IF(OR(数据录入!$D585="投标保证金",数据录入!$D585="合同履约保证金",ISNUMBER(FIND("保证金",数据录入!$E585))),1,0))</f>
      </c>
      <c r="R585" s="44">
        <f>IF(AND($Q585=1,数据录入!$B585&gt;=$B$2,数据录入!$B585&lt;=$D$2),N(R584)+1,N(R584))</f>
      </c>
    </row>
    <row r="586" s="44" customFormat="1" spans="1:23">
      <c r="A586" s="116"/>
      <c r="E586" s="108"/>
      <c r="F586" s="114"/>
      <c r="G586" s="114"/>
      <c r="H586" s="114"/>
      <c r="Q586" s="44">
        <f>IF(数据录入!$B586="",0,IF(OR(数据录入!$D586="投标保证金",数据录入!$D586="合同履约保证金",ISNUMBER(FIND("保证金",数据录入!$E586))),1,0))</f>
      </c>
      <c r="R586" s="44">
        <f>IF(AND($Q586=1,数据录入!$B586&gt;=$B$2,数据录入!$B586&lt;=$D$2),N(R585)+1,N(R585))</f>
      </c>
    </row>
    <row r="587" s="44" customFormat="1" spans="1:23">
      <c r="A587" s="116"/>
      <c r="E587" s="108"/>
      <c r="F587" s="114"/>
      <c r="G587" s="114"/>
      <c r="H587" s="114"/>
      <c r="Q587" s="44">
        <f>IF(数据录入!$B587="",0,IF(OR(数据录入!$D587="投标保证金",数据录入!$D587="合同履约保证金",ISNUMBER(FIND("保证金",数据录入!$E587))),1,0))</f>
      </c>
      <c r="R587" s="44">
        <f>IF(AND($Q587=1,数据录入!$B587&gt;=$B$2,数据录入!$B587&lt;=$D$2),N(R586)+1,N(R586))</f>
      </c>
    </row>
    <row r="588" s="44" customFormat="1" spans="1:23">
      <c r="A588" s="116"/>
      <c r="E588" s="108"/>
      <c r="F588" s="114"/>
      <c r="G588" s="114"/>
      <c r="H588" s="114"/>
      <c r="Q588" s="44">
        <f>IF(数据录入!$B588="",0,IF(OR(数据录入!$D588="投标保证金",数据录入!$D588="合同履约保证金",ISNUMBER(FIND("保证金",数据录入!$E588))),1,0))</f>
      </c>
      <c r="R588" s="44">
        <f>IF(AND($Q588=1,数据录入!$B588&gt;=$B$2,数据录入!$B588&lt;=$D$2),N(R587)+1,N(R587))</f>
      </c>
    </row>
    <row r="589" s="44" customFormat="1" spans="1:23">
      <c r="A589" s="116"/>
      <c r="E589" s="108"/>
      <c r="F589" s="114"/>
      <c r="G589" s="114"/>
      <c r="H589" s="114"/>
      <c r="Q589" s="44">
        <f>IF(数据录入!$B589="",0,IF(OR(数据录入!$D589="投标保证金",数据录入!$D589="合同履约保证金",ISNUMBER(FIND("保证金",数据录入!$E589))),1,0))</f>
      </c>
      <c r="R589" s="44">
        <f>IF(AND($Q589=1,数据录入!$B589&gt;=$B$2,数据录入!$B589&lt;=$D$2),N(R588)+1,N(R588))</f>
      </c>
    </row>
    <row r="590" s="44" customFormat="1" spans="1:23">
      <c r="A590" s="116"/>
      <c r="E590" s="108"/>
      <c r="F590" s="114"/>
      <c r="G590" s="114"/>
      <c r="H590" s="114"/>
      <c r="Q590" s="44">
        <f>IF(数据录入!$B590="",0,IF(OR(数据录入!$D590="投标保证金",数据录入!$D590="合同履约保证金",ISNUMBER(FIND("保证金",数据录入!$E590))),1,0))</f>
      </c>
      <c r="R590" s="44">
        <f>IF(AND($Q590=1,数据录入!$B590&gt;=$B$2,数据录入!$B590&lt;=$D$2),N(R589)+1,N(R589))</f>
      </c>
    </row>
    <row r="591" s="44" customFormat="1" spans="1:23">
      <c r="A591" s="116"/>
      <c r="E591" s="108"/>
      <c r="F591" s="114"/>
      <c r="G591" s="114"/>
      <c r="H591" s="114"/>
      <c r="Q591" s="44">
        <f>IF(数据录入!$B591="",0,IF(OR(数据录入!$D591="投标保证金",数据录入!$D591="合同履约保证金",ISNUMBER(FIND("保证金",数据录入!$E591))),1,0))</f>
      </c>
      <c r="R591" s="44">
        <f>IF(AND($Q591=1,数据录入!$B591&gt;=$B$2,数据录入!$B591&lt;=$D$2),N(R590)+1,N(R590))</f>
      </c>
    </row>
    <row r="592" s="44" customFormat="1" spans="1:23">
      <c r="A592" s="116"/>
      <c r="E592" s="108"/>
      <c r="F592" s="114"/>
      <c r="G592" s="114"/>
      <c r="H592" s="114"/>
      <c r="Q592" s="44">
        <f>IF(数据录入!$B592="",0,IF(OR(数据录入!$D592="投标保证金",数据录入!$D592="合同履约保证金",ISNUMBER(FIND("保证金",数据录入!$E592))),1,0))</f>
      </c>
      <c r="R592" s="44">
        <f>IF(AND($Q592=1,数据录入!$B592&gt;=$B$2,数据录入!$B592&lt;=$D$2),N(R591)+1,N(R591))</f>
      </c>
    </row>
    <row r="593" s="44" customFormat="1" spans="1:23">
      <c r="A593" s="116"/>
      <c r="E593" s="108"/>
      <c r="F593" s="114"/>
      <c r="G593" s="114"/>
      <c r="H593" s="114"/>
      <c r="Q593" s="44">
        <f>IF(数据录入!$B593="",0,IF(OR(数据录入!$D593="投标保证金",数据录入!$D593="合同履约保证金",ISNUMBER(FIND("保证金",数据录入!$E593))),1,0))</f>
      </c>
      <c r="R593" s="44">
        <f>IF(AND($Q593=1,数据录入!$B593&gt;=$B$2,数据录入!$B593&lt;=$D$2),N(R592)+1,N(R592))</f>
      </c>
    </row>
    <row r="594" s="44" customFormat="1" spans="1:23">
      <c r="A594" s="116"/>
      <c r="E594" s="108"/>
      <c r="F594" s="114"/>
      <c r="G594" s="114"/>
      <c r="H594" s="114"/>
      <c r="Q594" s="44">
        <f>IF(数据录入!$B594="",0,IF(OR(数据录入!$D594="投标保证金",数据录入!$D594="合同履约保证金",ISNUMBER(FIND("保证金",数据录入!$E594))),1,0))</f>
      </c>
      <c r="R594" s="44">
        <f>IF(AND($Q594=1,数据录入!$B594&gt;=$B$2,数据录入!$B594&lt;=$D$2),N(R593)+1,N(R593))</f>
      </c>
    </row>
    <row r="595" s="44" customFormat="1" spans="1:23">
      <c r="A595" s="116"/>
      <c r="E595" s="108"/>
      <c r="F595" s="114"/>
      <c r="G595" s="114"/>
      <c r="H595" s="114"/>
      <c r="Q595" s="44">
        <f>IF(数据录入!$B595="",0,IF(OR(数据录入!$D595="投标保证金",数据录入!$D595="合同履约保证金",ISNUMBER(FIND("保证金",数据录入!$E595))),1,0))</f>
      </c>
      <c r="R595" s="44">
        <f>IF(AND($Q595=1,数据录入!$B595&gt;=$B$2,数据录入!$B595&lt;=$D$2),N(R594)+1,N(R594))</f>
      </c>
    </row>
    <row r="596" s="44" customFormat="1" spans="1:23">
      <c r="A596" s="116"/>
      <c r="E596" s="108"/>
      <c r="F596" s="114"/>
      <c r="G596" s="114"/>
      <c r="H596" s="114"/>
      <c r="Q596" s="44">
        <f>IF(数据录入!$B596="",0,IF(OR(数据录入!$D596="投标保证金",数据录入!$D596="合同履约保证金",ISNUMBER(FIND("保证金",数据录入!$E596))),1,0))</f>
      </c>
      <c r="R596" s="44">
        <f>IF(AND($Q596=1,数据录入!$B596&gt;=$B$2,数据录入!$B596&lt;=$D$2),N(R595)+1,N(R595))</f>
      </c>
    </row>
    <row r="597" s="44" customFormat="1" spans="1:23">
      <c r="A597" s="116"/>
      <c r="E597" s="108"/>
      <c r="F597" s="114"/>
      <c r="G597" s="114"/>
      <c r="H597" s="114"/>
      <c r="Q597" s="44">
        <f>IF(数据录入!$B597="",0,IF(OR(数据录入!$D597="投标保证金",数据录入!$D597="合同履约保证金",ISNUMBER(FIND("保证金",数据录入!$E597))),1,0))</f>
      </c>
      <c r="R597" s="44">
        <f>IF(AND($Q597=1,数据录入!$B597&gt;=$B$2,数据录入!$B597&lt;=$D$2),N(R596)+1,N(R596))</f>
      </c>
    </row>
    <row r="598" s="44" customFormat="1" spans="1:23">
      <c r="A598" s="116"/>
      <c r="E598" s="108"/>
      <c r="F598" s="114"/>
      <c r="G598" s="114"/>
      <c r="H598" s="114"/>
      <c r="Q598" s="44">
        <f>IF(数据录入!$B598="",0,IF(OR(数据录入!$D598="投标保证金",数据录入!$D598="合同履约保证金",ISNUMBER(FIND("保证金",数据录入!$E598))),1,0))</f>
      </c>
      <c r="R598" s="44">
        <f>IF(AND($Q598=1,数据录入!$B598&gt;=$B$2,数据录入!$B598&lt;=$D$2),N(R597)+1,N(R597))</f>
      </c>
    </row>
    <row r="599" s="44" customFormat="1" spans="1:23">
      <c r="A599" s="116"/>
      <c r="E599" s="108"/>
      <c r="F599" s="114"/>
      <c r="G599" s="114"/>
      <c r="H599" s="114"/>
      <c r="Q599" s="44">
        <f>IF(数据录入!$B599="",0,IF(OR(数据录入!$D599="投标保证金",数据录入!$D599="合同履约保证金",ISNUMBER(FIND("保证金",数据录入!$E599))),1,0))</f>
      </c>
      <c r="R599" s="44">
        <f>IF(AND($Q599=1,数据录入!$B599&gt;=$B$2,数据录入!$B599&lt;=$D$2),N(R598)+1,N(R598))</f>
      </c>
    </row>
    <row r="600" s="44" customFormat="1" spans="1:23">
      <c r="A600" s="116"/>
      <c r="E600" s="108"/>
      <c r="F600" s="114"/>
      <c r="G600" s="114"/>
      <c r="H600" s="114"/>
      <c r="Q600" s="44">
        <f>IF(数据录入!$B600="",0,IF(OR(数据录入!$D600="投标保证金",数据录入!$D600="合同履约保证金",ISNUMBER(FIND("保证金",数据录入!$E600))),1,0))</f>
      </c>
      <c r="R600" s="44">
        <f>IF(AND($Q600=1,数据录入!$B600&gt;=$B$2,数据录入!$B600&lt;=$D$2),N(R599)+1,N(R599))</f>
      </c>
    </row>
    <row r="601" s="44" customFormat="1" spans="1:23">
      <c r="A601" s="116"/>
      <c r="E601" s="108"/>
      <c r="F601" s="114"/>
      <c r="G601" s="114"/>
      <c r="H601" s="114"/>
      <c r="Q601" s="44">
        <f>IF(数据录入!$B601="",0,IF(OR(数据录入!$D601="投标保证金",数据录入!$D601="合同履约保证金",ISNUMBER(FIND("保证金",数据录入!$E601))),1,0))</f>
      </c>
      <c r="R601" s="44">
        <f>IF(AND($Q601=1,数据录入!$B601&gt;=$B$2,数据录入!$B601&lt;=$D$2),N(R600)+1,N(R600))</f>
      </c>
    </row>
    <row r="602" s="44" customFormat="1" spans="1:23">
      <c r="A602" s="116"/>
      <c r="E602" s="108"/>
      <c r="F602" s="114"/>
      <c r="G602" s="114"/>
      <c r="H602" s="114"/>
      <c r="Q602" s="44">
        <f>IF(数据录入!$B602="",0,IF(OR(数据录入!$D602="投标保证金",数据录入!$D602="合同履约保证金",ISNUMBER(FIND("保证金",数据录入!$E602))),1,0))</f>
      </c>
      <c r="R602" s="44">
        <f>IF(AND($Q602=1,数据录入!$B602&gt;=$B$2,数据录入!$B602&lt;=$D$2),N(R601)+1,N(R601))</f>
      </c>
    </row>
    <row r="603" s="44" customFormat="1" spans="1:23">
      <c r="A603" s="116"/>
      <c r="E603" s="108"/>
      <c r="F603" s="114"/>
      <c r="G603" s="114"/>
      <c r="H603" s="114"/>
      <c r="Q603" s="44">
        <f>IF(数据录入!$B603="",0,IF(OR(数据录入!$D603="投标保证金",数据录入!$D603="合同履约保证金",ISNUMBER(FIND("保证金",数据录入!$E603))),1,0))</f>
      </c>
      <c r="R603" s="44">
        <f>IF(AND($Q603=1,数据录入!$B603&gt;=$B$2,数据录入!$B603&lt;=$D$2),N(R602)+1,N(R602))</f>
      </c>
    </row>
    <row r="604" s="44" customFormat="1" spans="1:23">
      <c r="A604" s="116"/>
      <c r="E604" s="108"/>
      <c r="F604" s="114"/>
      <c r="G604" s="114"/>
      <c r="H604" s="114"/>
      <c r="Q604" s="44">
        <f>IF(数据录入!$B604="",0,IF(OR(数据录入!$D604="投标保证金",数据录入!$D604="合同履约保证金",ISNUMBER(FIND("保证金",数据录入!$E604))),1,0))</f>
      </c>
      <c r="R604" s="44">
        <f>IF(AND($Q604=1,数据录入!$B604&gt;=$B$2,数据录入!$B604&lt;=$D$2),N(R603)+1,N(R603))</f>
      </c>
    </row>
    <row r="605" s="44" customFormat="1" spans="1:23">
      <c r="A605" s="116"/>
      <c r="E605" s="108"/>
      <c r="F605" s="114"/>
      <c r="G605" s="114"/>
      <c r="H605" s="114"/>
      <c r="Q605" s="44">
        <f>IF(数据录入!$B605="",0,IF(OR(数据录入!$D605="投标保证金",数据录入!$D605="合同履约保证金",ISNUMBER(FIND("保证金",数据录入!$E605))),1,0))</f>
      </c>
      <c r="R605" s="44">
        <f>IF(AND($Q605=1,数据录入!$B605&gt;=$B$2,数据录入!$B605&lt;=$D$2),N(R604)+1,N(R604))</f>
      </c>
    </row>
    <row r="606" s="44" customFormat="1" spans="1:23">
      <c r="A606" s="116"/>
      <c r="E606" s="108"/>
      <c r="F606" s="114"/>
      <c r="G606" s="114"/>
      <c r="H606" s="114"/>
      <c r="Q606" s="44">
        <f>IF(数据录入!$B606="",0,IF(OR(数据录入!$D606="投标保证金",数据录入!$D606="合同履约保证金",ISNUMBER(FIND("保证金",数据录入!$E606))),1,0))</f>
      </c>
      <c r="R606" s="44">
        <f>IF(AND($Q606=1,数据录入!$B606&gt;=$B$2,数据录入!$B606&lt;=$D$2),N(R605)+1,N(R605))</f>
      </c>
    </row>
    <row r="607" s="44" customFormat="1" spans="1:23">
      <c r="A607" s="116"/>
      <c r="E607" s="108"/>
      <c r="F607" s="114"/>
      <c r="G607" s="114"/>
      <c r="H607" s="114"/>
      <c r="Q607" s="44">
        <f>IF(数据录入!$B607="",0,IF(OR(数据录入!$D607="投标保证金",数据录入!$D607="合同履约保证金",ISNUMBER(FIND("保证金",数据录入!$E607))),1,0))</f>
      </c>
      <c r="R607" s="44">
        <f>IF(AND($Q607=1,数据录入!$B607&gt;=$B$2,数据录入!$B607&lt;=$D$2),N(R606)+1,N(R606))</f>
      </c>
    </row>
    <row r="608" s="44" customFormat="1" spans="1:23">
      <c r="A608" s="116"/>
      <c r="E608" s="108"/>
      <c r="F608" s="114"/>
      <c r="G608" s="114"/>
      <c r="H608" s="114"/>
      <c r="Q608" s="44">
        <f>IF(数据录入!$B608="",0,IF(OR(数据录入!$D608="投标保证金",数据录入!$D608="合同履约保证金",ISNUMBER(FIND("保证金",数据录入!$E608))),1,0))</f>
      </c>
      <c r="R608" s="44">
        <f>IF(AND($Q608=1,数据录入!$B608&gt;=$B$2,数据录入!$B608&lt;=$D$2),N(R607)+1,N(R607))</f>
      </c>
    </row>
    <row r="609" s="44" customFormat="1" spans="1:23">
      <c r="A609" s="116"/>
      <c r="E609" s="108"/>
      <c r="F609" s="114"/>
      <c r="G609" s="114"/>
      <c r="H609" s="114"/>
      <c r="Q609" s="44">
        <f>IF(数据录入!$B609="",0,IF(OR(数据录入!$D609="投标保证金",数据录入!$D609="合同履约保证金",ISNUMBER(FIND("保证金",数据录入!$E609))),1,0))</f>
      </c>
      <c r="R609" s="44">
        <f>IF(AND($Q609=1,数据录入!$B609&gt;=$B$2,数据录入!$B609&lt;=$D$2),N(R608)+1,N(R608))</f>
      </c>
    </row>
    <row r="610" s="44" customFormat="1" spans="1:23">
      <c r="A610" s="116"/>
      <c r="E610" s="108"/>
      <c r="F610" s="114"/>
      <c r="G610" s="114"/>
      <c r="H610" s="114"/>
      <c r="Q610" s="44">
        <f>IF(数据录入!$B610="",0,IF(OR(数据录入!$D610="投标保证金",数据录入!$D610="合同履约保证金",ISNUMBER(FIND("保证金",数据录入!$E610))),1,0))</f>
      </c>
      <c r="R610" s="44">
        <f>IF(AND($Q610=1,数据录入!$B610&gt;=$B$2,数据录入!$B610&lt;=$D$2),N(R609)+1,N(R609))</f>
      </c>
    </row>
    <row r="611" s="44" customFormat="1" spans="1:23">
      <c r="A611" s="116"/>
      <c r="E611" s="108"/>
      <c r="F611" s="114"/>
      <c r="G611" s="114"/>
      <c r="H611" s="114"/>
      <c r="Q611" s="44">
        <f>IF(数据录入!$B611="",0,IF(OR(数据录入!$D611="投标保证金",数据录入!$D611="合同履约保证金",ISNUMBER(FIND("保证金",数据录入!$E611))),1,0))</f>
      </c>
      <c r="R611" s="44">
        <f>IF(AND($Q611=1,数据录入!$B611&gt;=$B$2,数据录入!$B611&lt;=$D$2),N(R610)+1,N(R610))</f>
      </c>
    </row>
    <row r="612" s="44" customFormat="1" spans="1:23">
      <c r="A612" s="116"/>
      <c r="E612" s="108"/>
      <c r="F612" s="114"/>
      <c r="G612" s="114"/>
      <c r="H612" s="114"/>
      <c r="Q612" s="44">
        <f>IF(数据录入!$B612="",0,IF(OR(数据录入!$D612="投标保证金",数据录入!$D612="合同履约保证金",ISNUMBER(FIND("保证金",数据录入!$E612))),1,0))</f>
      </c>
      <c r="R612" s="44">
        <f>IF(AND($Q612=1,数据录入!$B612&gt;=$B$2,数据录入!$B612&lt;=$D$2),N(R611)+1,N(R611))</f>
      </c>
    </row>
    <row r="613" s="44" customFormat="1" spans="1:23">
      <c r="A613" s="116"/>
      <c r="E613" s="108"/>
      <c r="F613" s="114"/>
      <c r="G613" s="114"/>
      <c r="H613" s="114"/>
      <c r="Q613" s="44">
        <f>IF(数据录入!$B613="",0,IF(OR(数据录入!$D613="投标保证金",数据录入!$D613="合同履约保证金",ISNUMBER(FIND("保证金",数据录入!$E613))),1,0))</f>
      </c>
      <c r="R613" s="44">
        <f>IF(AND($Q613=1,数据录入!$B613&gt;=$B$2,数据录入!$B613&lt;=$D$2),N(R612)+1,N(R612))</f>
      </c>
    </row>
    <row r="614" s="44" customFormat="1" spans="1:23">
      <c r="A614" s="116"/>
      <c r="E614" s="108"/>
      <c r="F614" s="114"/>
      <c r="G614" s="114"/>
      <c r="H614" s="114"/>
      <c r="Q614" s="44">
        <f>IF(数据录入!$B614="",0,IF(OR(数据录入!$D614="投标保证金",数据录入!$D614="合同履约保证金",ISNUMBER(FIND("保证金",数据录入!$E614))),1,0))</f>
      </c>
      <c r="R614" s="44">
        <f>IF(AND($Q614=1,数据录入!$B614&gt;=$B$2,数据录入!$B614&lt;=$D$2),N(R613)+1,N(R613))</f>
      </c>
    </row>
    <row r="615" s="44" customFormat="1" spans="1:23">
      <c r="A615" s="116"/>
      <c r="E615" s="108"/>
      <c r="F615" s="114"/>
      <c r="G615" s="114"/>
      <c r="H615" s="114"/>
      <c r="Q615" s="44">
        <f>IF(数据录入!$B615="",0,IF(OR(数据录入!$D615="投标保证金",数据录入!$D615="合同履约保证金",ISNUMBER(FIND("保证金",数据录入!$E615))),1,0))</f>
      </c>
      <c r="R615" s="44">
        <f>IF(AND($Q615=1,数据录入!$B615&gt;=$B$2,数据录入!$B615&lt;=$D$2),N(R614)+1,N(R614))</f>
      </c>
    </row>
    <row r="616" s="44" customFormat="1" spans="1:23">
      <c r="A616" s="116"/>
      <c r="E616" s="108"/>
      <c r="F616" s="114"/>
      <c r="G616" s="114"/>
      <c r="H616" s="114"/>
      <c r="Q616" s="44">
        <f>IF(数据录入!$B616="",0,IF(OR(数据录入!$D616="投标保证金",数据录入!$D616="合同履约保证金",ISNUMBER(FIND("保证金",数据录入!$E616))),1,0))</f>
      </c>
      <c r="R616" s="44">
        <f>IF(AND($Q616=1,数据录入!$B616&gt;=$B$2,数据录入!$B616&lt;=$D$2),N(R615)+1,N(R615))</f>
      </c>
    </row>
    <row r="617" s="44" customFormat="1" spans="1:23">
      <c r="A617" s="116"/>
      <c r="E617" s="108"/>
      <c r="F617" s="114"/>
      <c r="G617" s="114"/>
      <c r="H617" s="114"/>
      <c r="Q617" s="44">
        <f>IF(数据录入!$B617="",0,IF(OR(数据录入!$D617="投标保证金",数据录入!$D617="合同履约保证金",ISNUMBER(FIND("保证金",数据录入!$E617))),1,0))</f>
      </c>
      <c r="R617" s="44">
        <f>IF(AND($Q617=1,数据录入!$B617&gt;=$B$2,数据录入!$B617&lt;=$D$2),N(R616)+1,N(R616))</f>
      </c>
    </row>
    <row r="618" s="44" customFormat="1" spans="1:23">
      <c r="A618" s="116"/>
      <c r="E618" s="108"/>
      <c r="F618" s="114"/>
      <c r="G618" s="114"/>
      <c r="H618" s="114"/>
      <c r="Q618" s="44">
        <f>IF(数据录入!$B618="",0,IF(OR(数据录入!$D618="投标保证金",数据录入!$D618="合同履约保证金",ISNUMBER(FIND("保证金",数据录入!$E618))),1,0))</f>
      </c>
      <c r="R618" s="44">
        <f>IF(AND($Q618=1,数据录入!$B618&gt;=$B$2,数据录入!$B618&lt;=$D$2),N(R617)+1,N(R617))</f>
      </c>
    </row>
    <row r="619" s="44" customFormat="1" spans="1:23">
      <c r="A619" s="116"/>
      <c r="E619" s="108"/>
      <c r="F619" s="114"/>
      <c r="G619" s="114"/>
      <c r="H619" s="114"/>
      <c r="Q619" s="44">
        <f>IF(数据录入!$B619="",0,IF(OR(数据录入!$D619="投标保证金",数据录入!$D619="合同履约保证金",ISNUMBER(FIND("保证金",数据录入!$E619))),1,0))</f>
      </c>
      <c r="R619" s="44">
        <f>IF(AND($Q619=1,数据录入!$B619&gt;=$B$2,数据录入!$B619&lt;=$D$2),N(R618)+1,N(R618))</f>
      </c>
    </row>
    <row r="620" s="44" customFormat="1" spans="1:23">
      <c r="A620" s="116"/>
      <c r="E620" s="108"/>
      <c r="F620" s="114"/>
      <c r="G620" s="114"/>
      <c r="H620" s="114"/>
      <c r="Q620" s="44">
        <f>IF(数据录入!$B620="",0,IF(OR(数据录入!$D620="投标保证金",数据录入!$D620="合同履约保证金",ISNUMBER(FIND("保证金",数据录入!$E620))),1,0))</f>
      </c>
      <c r="R620" s="44">
        <f>IF(AND($Q620=1,数据录入!$B620&gt;=$B$2,数据录入!$B620&lt;=$D$2),N(R619)+1,N(R619))</f>
      </c>
    </row>
    <row r="621" s="44" customFormat="1" spans="1:23">
      <c r="A621" s="116"/>
      <c r="E621" s="108"/>
      <c r="F621" s="114"/>
      <c r="G621" s="114"/>
      <c r="H621" s="114"/>
      <c r="Q621" s="44">
        <f>IF(数据录入!$B621="",0,IF(OR(数据录入!$D621="投标保证金",数据录入!$D621="合同履约保证金",ISNUMBER(FIND("保证金",数据录入!$E621))),1,0))</f>
      </c>
      <c r="R621" s="44">
        <f>IF(AND($Q621=1,数据录入!$B621&gt;=$B$2,数据录入!$B621&lt;=$D$2),N(R620)+1,N(R620))</f>
      </c>
    </row>
    <row r="622" s="44" customFormat="1" spans="1:23">
      <c r="A622" s="116"/>
      <c r="E622" s="108"/>
      <c r="F622" s="114"/>
      <c r="G622" s="114"/>
      <c r="H622" s="114"/>
      <c r="Q622" s="44">
        <f>IF(数据录入!$B622="",0,IF(OR(数据录入!$D622="投标保证金",数据录入!$D622="合同履约保证金",ISNUMBER(FIND("保证金",数据录入!$E622))),1,0))</f>
      </c>
      <c r="R622" s="44">
        <f>IF(AND($Q622=1,数据录入!$B622&gt;=$B$2,数据录入!$B622&lt;=$D$2),N(R621)+1,N(R621))</f>
      </c>
    </row>
    <row r="623" s="44" customFormat="1" spans="1:23">
      <c r="A623" s="116"/>
      <c r="E623" s="108"/>
      <c r="F623" s="114"/>
      <c r="G623" s="114"/>
      <c r="H623" s="114"/>
      <c r="Q623" s="44">
        <f>IF(数据录入!$B623="",0,IF(OR(数据录入!$D623="投标保证金",数据录入!$D623="合同履约保证金",ISNUMBER(FIND("保证金",数据录入!$E623))),1,0))</f>
      </c>
      <c r="R623" s="44">
        <f>IF(AND($Q623=1,数据录入!$B623&gt;=$B$2,数据录入!$B623&lt;=$D$2),N(R622)+1,N(R622))</f>
      </c>
    </row>
    <row r="624" s="44" customFormat="1" spans="1:23">
      <c r="A624" s="116"/>
      <c r="E624" s="108"/>
      <c r="F624" s="114"/>
      <c r="G624" s="114"/>
      <c r="H624" s="114"/>
      <c r="Q624" s="44">
        <f>IF(数据录入!$B624="",0,IF(OR(数据录入!$D624="投标保证金",数据录入!$D624="合同履约保证金",ISNUMBER(FIND("保证金",数据录入!$E624))),1,0))</f>
      </c>
      <c r="R624" s="44">
        <f>IF(AND($Q624=1,数据录入!$B624&gt;=$B$2,数据录入!$B624&lt;=$D$2),N(R623)+1,N(R623))</f>
      </c>
    </row>
    <row r="625" s="44" customFormat="1" spans="1:23">
      <c r="A625" s="116"/>
      <c r="E625" s="108"/>
      <c r="F625" s="114"/>
      <c r="G625" s="114"/>
      <c r="H625" s="114"/>
      <c r="Q625" s="44">
        <f>IF(数据录入!$B625="",0,IF(OR(数据录入!$D625="投标保证金",数据录入!$D625="合同履约保证金",ISNUMBER(FIND("保证金",数据录入!$E625))),1,0))</f>
      </c>
      <c r="R625" s="44">
        <f>IF(AND($Q625=1,数据录入!$B625&gt;=$B$2,数据录入!$B625&lt;=$D$2),N(R624)+1,N(R624))</f>
      </c>
    </row>
    <row r="626" s="44" customFormat="1" spans="1:23">
      <c r="A626" s="116"/>
      <c r="E626" s="108"/>
      <c r="F626" s="114"/>
      <c r="G626" s="114"/>
      <c r="H626" s="114"/>
      <c r="Q626" s="44">
        <f>IF(数据录入!$B626="",0,IF(OR(数据录入!$D626="投标保证金",数据录入!$D626="合同履约保证金",ISNUMBER(FIND("保证金",数据录入!$E626))),1,0))</f>
      </c>
      <c r="R626" s="44">
        <f>IF(AND($Q626=1,数据录入!$B626&gt;=$B$2,数据录入!$B626&lt;=$D$2),N(R625)+1,N(R625))</f>
      </c>
    </row>
    <row r="627" s="44" customFormat="1" spans="1:23">
      <c r="A627" s="116"/>
      <c r="E627" s="108"/>
      <c r="F627" s="114"/>
      <c r="G627" s="114"/>
      <c r="H627" s="114"/>
      <c r="Q627" s="44">
        <f>IF(数据录入!$B627="",0,IF(OR(数据录入!$D627="投标保证金",数据录入!$D627="合同履约保证金",ISNUMBER(FIND("保证金",数据录入!$E627))),1,0))</f>
      </c>
      <c r="R627" s="44">
        <f>IF(AND($Q627=1,数据录入!$B627&gt;=$B$2,数据录入!$B627&lt;=$D$2),N(R626)+1,N(R626))</f>
      </c>
    </row>
    <row r="628" s="44" customFormat="1" spans="1:23">
      <c r="A628" s="116"/>
      <c r="E628" s="108"/>
      <c r="F628" s="114"/>
      <c r="G628" s="114"/>
      <c r="H628" s="114"/>
      <c r="Q628" s="44">
        <f>IF(数据录入!$B628="",0,IF(OR(数据录入!$D628="投标保证金",数据录入!$D628="合同履约保证金",ISNUMBER(FIND("保证金",数据录入!$E628))),1,0))</f>
      </c>
      <c r="R628" s="44">
        <f>IF(AND($Q628=1,数据录入!$B628&gt;=$B$2,数据录入!$B628&lt;=$D$2),N(R627)+1,N(R627))</f>
      </c>
    </row>
    <row r="629" s="44" customFormat="1" spans="1:23">
      <c r="A629" s="116"/>
      <c r="E629" s="108"/>
      <c r="F629" s="114"/>
      <c r="G629" s="114"/>
      <c r="H629" s="114"/>
      <c r="Q629" s="44">
        <f>IF(数据录入!$B629="",0,IF(OR(数据录入!$D629="投标保证金",数据录入!$D629="合同履约保证金",ISNUMBER(FIND("保证金",数据录入!$E629))),1,0))</f>
      </c>
      <c r="R629" s="44">
        <f>IF(AND($Q629=1,数据录入!$B629&gt;=$B$2,数据录入!$B629&lt;=$D$2),N(R628)+1,N(R628))</f>
      </c>
    </row>
    <row r="630" s="44" customFormat="1" spans="1:23">
      <c r="A630" s="116"/>
      <c r="E630" s="108"/>
      <c r="F630" s="114"/>
      <c r="G630" s="114"/>
      <c r="H630" s="114"/>
      <c r="Q630" s="44">
        <f>IF(数据录入!$B630="",0,IF(OR(数据录入!$D630="投标保证金",数据录入!$D630="合同履约保证金",ISNUMBER(FIND("保证金",数据录入!$E630))),1,0))</f>
      </c>
      <c r="R630" s="44">
        <f>IF(AND($Q630=1,数据录入!$B630&gt;=$B$2,数据录入!$B630&lt;=$D$2),N(R629)+1,N(R629))</f>
      </c>
    </row>
    <row r="631" s="44" customFormat="1" spans="1:23">
      <c r="A631" s="116"/>
      <c r="E631" s="108"/>
      <c r="F631" s="114"/>
      <c r="G631" s="114"/>
      <c r="H631" s="114"/>
      <c r="Q631" s="44">
        <f>IF(数据录入!$B631="",0,IF(OR(数据录入!$D631="投标保证金",数据录入!$D631="合同履约保证金",ISNUMBER(FIND("保证金",数据录入!$E631))),1,0))</f>
      </c>
      <c r="R631" s="44">
        <f>IF(AND($Q631=1,数据录入!$B631&gt;=$B$2,数据录入!$B631&lt;=$D$2),N(R630)+1,N(R630))</f>
      </c>
    </row>
    <row r="632" s="44" customFormat="1" spans="1:23">
      <c r="A632" s="116"/>
      <c r="E632" s="108"/>
      <c r="F632" s="114"/>
      <c r="G632" s="114"/>
      <c r="H632" s="114"/>
      <c r="Q632" s="44">
        <f>IF(数据录入!$B632="",0,IF(OR(数据录入!$D632="投标保证金",数据录入!$D632="合同履约保证金",ISNUMBER(FIND("保证金",数据录入!$E632))),1,0))</f>
      </c>
      <c r="R632" s="44">
        <f>IF(AND($Q632=1,数据录入!$B632&gt;=$B$2,数据录入!$B632&lt;=$D$2),N(R631)+1,N(R631))</f>
      </c>
    </row>
    <row r="633" s="44" customFormat="1" spans="1:23">
      <c r="A633" s="116"/>
      <c r="E633" s="108"/>
      <c r="F633" s="114"/>
      <c r="G633" s="114"/>
      <c r="H633" s="114"/>
      <c r="Q633" s="44">
        <f>IF(数据录入!$B633="",0,IF(OR(数据录入!$D633="投标保证金",数据录入!$D633="合同履约保证金",ISNUMBER(FIND("保证金",数据录入!$E633))),1,0))</f>
      </c>
      <c r="R633" s="44">
        <f>IF(AND($Q633=1,数据录入!$B633&gt;=$B$2,数据录入!$B633&lt;=$D$2),N(R632)+1,N(R632))</f>
      </c>
    </row>
    <row r="634" s="44" customFormat="1" spans="1:23">
      <c r="A634" s="116"/>
      <c r="E634" s="108"/>
      <c r="F634" s="114"/>
      <c r="G634" s="114"/>
      <c r="H634" s="114"/>
      <c r="Q634" s="44">
        <f>IF(数据录入!$B634="",0,IF(OR(数据录入!$D634="投标保证金",数据录入!$D634="合同履约保证金",ISNUMBER(FIND("保证金",数据录入!$E634))),1,0))</f>
      </c>
      <c r="R634" s="44">
        <f>IF(AND($Q634=1,数据录入!$B634&gt;=$B$2,数据录入!$B634&lt;=$D$2),N(R633)+1,N(R633))</f>
      </c>
    </row>
    <row r="635" s="44" customFormat="1" spans="1:23">
      <c r="A635" s="116"/>
      <c r="E635" s="108"/>
      <c r="F635" s="114"/>
      <c r="G635" s="114"/>
      <c r="H635" s="114"/>
      <c r="Q635" s="44">
        <f>IF(数据录入!$B635="",0,IF(OR(数据录入!$D635="投标保证金",数据录入!$D635="合同履约保证金",ISNUMBER(FIND("保证金",数据录入!$E635))),1,0))</f>
      </c>
      <c r="R635" s="44">
        <f>IF(AND($Q635=1,数据录入!$B635&gt;=$B$2,数据录入!$B635&lt;=$D$2),N(R634)+1,N(R634))</f>
      </c>
    </row>
    <row r="636" s="44" customFormat="1" spans="1:23">
      <c r="A636" s="116"/>
      <c r="E636" s="108"/>
      <c r="F636" s="114"/>
      <c r="G636" s="114"/>
      <c r="H636" s="114"/>
      <c r="Q636" s="44">
        <f>IF(数据录入!$B636="",0,IF(OR(数据录入!$D636="投标保证金",数据录入!$D636="合同履约保证金",ISNUMBER(FIND("保证金",数据录入!$E636))),1,0))</f>
      </c>
      <c r="R636" s="44">
        <f>IF(AND($Q636=1,数据录入!$B636&gt;=$B$2,数据录入!$B636&lt;=$D$2),N(R635)+1,N(R635))</f>
      </c>
    </row>
    <row r="637" s="44" customFormat="1" spans="1:23">
      <c r="A637" s="116"/>
      <c r="E637" s="108"/>
      <c r="F637" s="114"/>
      <c r="G637" s="114"/>
      <c r="H637" s="114"/>
      <c r="Q637" s="44">
        <f>IF(数据录入!$B637="",0,IF(OR(数据录入!$D637="投标保证金",数据录入!$D637="合同履约保证金",ISNUMBER(FIND("保证金",数据录入!$E637))),1,0))</f>
      </c>
      <c r="R637" s="44">
        <f>IF(AND($Q637=1,数据录入!$B637&gt;=$B$2,数据录入!$B637&lt;=$D$2),N(R636)+1,N(R636))</f>
      </c>
    </row>
    <row r="638" s="44" customFormat="1" spans="1:23">
      <c r="A638" s="116"/>
      <c r="E638" s="108"/>
      <c r="F638" s="114"/>
      <c r="G638" s="114"/>
      <c r="H638" s="114"/>
      <c r="Q638" s="44">
        <f>IF(数据录入!$B638="",0,IF(OR(数据录入!$D638="投标保证金",数据录入!$D638="合同履约保证金",ISNUMBER(FIND("保证金",数据录入!$E638))),1,0))</f>
      </c>
      <c r="R638" s="44">
        <f>IF(AND($Q638=1,数据录入!$B638&gt;=$B$2,数据录入!$B638&lt;=$D$2),N(R637)+1,N(R637))</f>
      </c>
    </row>
    <row r="639" s="44" customFormat="1" spans="1:23">
      <c r="A639" s="116"/>
      <c r="E639" s="108"/>
      <c r="F639" s="114"/>
      <c r="G639" s="114"/>
      <c r="H639" s="114"/>
      <c r="Q639" s="44">
        <f>IF(数据录入!$B639="",0,IF(OR(数据录入!$D639="投标保证金",数据录入!$D639="合同履约保证金",ISNUMBER(FIND("保证金",数据录入!$E639))),1,0))</f>
      </c>
      <c r="R639" s="44">
        <f>IF(AND($Q639=1,数据录入!$B639&gt;=$B$2,数据录入!$B639&lt;=$D$2),N(R638)+1,N(R638))</f>
      </c>
    </row>
    <row r="640" s="44" customFormat="1" spans="1:23">
      <c r="A640" s="116"/>
      <c r="E640" s="108"/>
      <c r="F640" s="114"/>
      <c r="G640" s="114"/>
      <c r="H640" s="114"/>
      <c r="Q640" s="44">
        <f>IF(数据录入!$B640="",0,IF(OR(数据录入!$D640="投标保证金",数据录入!$D640="合同履约保证金",ISNUMBER(FIND("保证金",数据录入!$E640))),1,0))</f>
      </c>
      <c r="R640" s="44">
        <f>IF(AND($Q640=1,数据录入!$B640&gt;=$B$2,数据录入!$B640&lt;=$D$2),N(R639)+1,N(R639))</f>
      </c>
    </row>
    <row r="641" s="44" customFormat="1" spans="1:23">
      <c r="A641" s="116"/>
      <c r="E641" s="108"/>
      <c r="F641" s="114"/>
      <c r="G641" s="114"/>
      <c r="H641" s="114"/>
      <c r="Q641" s="44">
        <f>IF(数据录入!$B641="",0,IF(OR(数据录入!$D641="投标保证金",数据录入!$D641="合同履约保证金",ISNUMBER(FIND("保证金",数据录入!$E641))),1,0))</f>
      </c>
      <c r="R641" s="44">
        <f>IF(AND($Q641=1,数据录入!$B641&gt;=$B$2,数据录入!$B641&lt;=$D$2),N(R640)+1,N(R640))</f>
      </c>
    </row>
    <row r="642" s="44" customFormat="1" spans="1:23">
      <c r="A642" s="116"/>
      <c r="E642" s="108"/>
      <c r="F642" s="114"/>
      <c r="G642" s="114"/>
      <c r="H642" s="114"/>
      <c r="Q642" s="44">
        <f>IF(数据录入!$B642="",0,IF(OR(数据录入!$D642="投标保证金",数据录入!$D642="合同履约保证金",ISNUMBER(FIND("保证金",数据录入!$E642))),1,0))</f>
      </c>
      <c r="R642" s="44">
        <f>IF(AND($Q642=1,数据录入!$B642&gt;=$B$2,数据录入!$B642&lt;=$D$2),N(R641)+1,N(R641))</f>
      </c>
    </row>
    <row r="643" s="44" customFormat="1" spans="1:23">
      <c r="A643" s="116"/>
      <c r="E643" s="108"/>
      <c r="F643" s="114"/>
      <c r="G643" s="114"/>
      <c r="H643" s="114"/>
      <c r="Q643" s="44">
        <f>IF(数据录入!$B643="",0,IF(OR(数据录入!$D643="投标保证金",数据录入!$D643="合同履约保证金",ISNUMBER(FIND("保证金",数据录入!$E643))),1,0))</f>
      </c>
      <c r="R643" s="44">
        <f>IF(AND($Q643=1,数据录入!$B643&gt;=$B$2,数据录入!$B643&lt;=$D$2),N(R642)+1,N(R642))</f>
      </c>
    </row>
    <row r="644" s="44" customFormat="1" spans="1:23">
      <c r="A644" s="116"/>
      <c r="E644" s="108"/>
      <c r="F644" s="114"/>
      <c r="G644" s="114"/>
      <c r="H644" s="114"/>
      <c r="Q644" s="44">
        <f>IF(数据录入!$B644="",0,IF(OR(数据录入!$D644="投标保证金",数据录入!$D644="合同履约保证金",ISNUMBER(FIND("保证金",数据录入!$E644))),1,0))</f>
      </c>
      <c r="R644" s="44">
        <f>IF(AND($Q644=1,数据录入!$B644&gt;=$B$2,数据录入!$B644&lt;=$D$2),N(R643)+1,N(R643))</f>
      </c>
    </row>
    <row r="645" s="44" customFormat="1" spans="1:23">
      <c r="A645" s="116"/>
      <c r="E645" s="108"/>
      <c r="F645" s="114"/>
      <c r="G645" s="114"/>
      <c r="H645" s="114"/>
      <c r="Q645" s="44">
        <f>IF(数据录入!$B645="",0,IF(OR(数据录入!$D645="投标保证金",数据录入!$D645="合同履约保证金",ISNUMBER(FIND("保证金",数据录入!$E645))),1,0))</f>
      </c>
      <c r="R645" s="44">
        <f>IF(AND($Q645=1,数据录入!$B645&gt;=$B$2,数据录入!$B645&lt;=$D$2),N(R644)+1,N(R644))</f>
      </c>
    </row>
    <row r="646" s="44" customFormat="1" spans="1:23">
      <c r="A646" s="116"/>
      <c r="E646" s="108"/>
      <c r="F646" s="114"/>
      <c r="G646" s="114"/>
      <c r="H646" s="114"/>
      <c r="Q646" s="44">
        <f>IF(数据录入!$B646="",0,IF(OR(数据录入!$D646="投标保证金",数据录入!$D646="合同履约保证金",ISNUMBER(FIND("保证金",数据录入!$E646))),1,0))</f>
      </c>
      <c r="R646" s="44">
        <f>IF(AND($Q646=1,数据录入!$B646&gt;=$B$2,数据录入!$B646&lt;=$D$2),N(R645)+1,N(R645))</f>
      </c>
    </row>
    <row r="647" s="44" customFormat="1" spans="1:23">
      <c r="A647" s="116"/>
      <c r="E647" s="108"/>
      <c r="F647" s="114"/>
      <c r="G647" s="114"/>
      <c r="H647" s="114"/>
      <c r="Q647" s="44">
        <f>IF(数据录入!$B647="",0,IF(OR(数据录入!$D647="投标保证金",数据录入!$D647="合同履约保证金",ISNUMBER(FIND("保证金",数据录入!$E647))),1,0))</f>
      </c>
      <c r="R647" s="44">
        <f>IF(AND($Q647=1,数据录入!$B647&gt;=$B$2,数据录入!$B647&lt;=$D$2),N(R646)+1,N(R646))</f>
      </c>
    </row>
    <row r="648" s="44" customFormat="1" spans="1:23">
      <c r="A648" s="116"/>
      <c r="E648" s="108"/>
      <c r="F648" s="114"/>
      <c r="G648" s="114"/>
      <c r="H648" s="114"/>
      <c r="Q648" s="44">
        <f>IF(数据录入!$B648="",0,IF(OR(数据录入!$D648="投标保证金",数据录入!$D648="合同履约保证金",ISNUMBER(FIND("保证金",数据录入!$E648))),1,0))</f>
      </c>
      <c r="R648" s="44">
        <f>IF(AND($Q648=1,数据录入!$B648&gt;=$B$2,数据录入!$B648&lt;=$D$2),N(R647)+1,N(R647))</f>
      </c>
    </row>
    <row r="649" s="44" customFormat="1" spans="1:23">
      <c r="A649" s="116"/>
      <c r="E649" s="108"/>
      <c r="F649" s="114"/>
      <c r="G649" s="114"/>
      <c r="H649" s="114"/>
      <c r="Q649" s="44">
        <f>IF(数据录入!$B649="",0,IF(OR(数据录入!$D649="投标保证金",数据录入!$D649="合同履约保证金",ISNUMBER(FIND("保证金",数据录入!$E649))),1,0))</f>
      </c>
      <c r="R649" s="44">
        <f>IF(AND($Q649=1,数据录入!$B649&gt;=$B$2,数据录入!$B649&lt;=$D$2),N(R648)+1,N(R648))</f>
      </c>
    </row>
    <row r="650" s="44" customFormat="1" spans="1:23">
      <c r="A650" s="116"/>
      <c r="E650" s="108"/>
      <c r="F650" s="114"/>
      <c r="G650" s="114"/>
      <c r="H650" s="114"/>
      <c r="Q650" s="44">
        <f>IF(数据录入!$B650="",0,IF(OR(数据录入!$D650="投标保证金",数据录入!$D650="合同履约保证金",ISNUMBER(FIND("保证金",数据录入!$E650))),1,0))</f>
      </c>
      <c r="R650" s="44">
        <f>IF(AND($Q650=1,数据录入!$B650&gt;=$B$2,数据录入!$B650&lt;=$D$2),N(R649)+1,N(R649))</f>
      </c>
    </row>
    <row r="651" s="44" customFormat="1" spans="1:23">
      <c r="A651" s="116"/>
      <c r="E651" s="108"/>
      <c r="F651" s="114"/>
      <c r="G651" s="114"/>
      <c r="H651" s="114"/>
      <c r="Q651" s="44">
        <f>IF(数据录入!$B651="",0,IF(OR(数据录入!$D651="投标保证金",数据录入!$D651="合同履约保证金",ISNUMBER(FIND("保证金",数据录入!$E651))),1,0))</f>
      </c>
      <c r="R651" s="44">
        <f>IF(AND($Q651=1,数据录入!$B651&gt;=$B$2,数据录入!$B651&lt;=$D$2),N(R650)+1,N(R650))</f>
      </c>
    </row>
    <row r="652" s="44" customFormat="1" spans="1:23">
      <c r="A652" s="116"/>
      <c r="E652" s="108"/>
      <c r="F652" s="114"/>
      <c r="G652" s="114"/>
      <c r="H652" s="114"/>
      <c r="Q652" s="44">
        <f>IF(数据录入!$B652="",0,IF(OR(数据录入!$D652="投标保证金",数据录入!$D652="合同履约保证金",ISNUMBER(FIND("保证金",数据录入!$E652))),1,0))</f>
      </c>
      <c r="R652" s="44">
        <f>IF(AND($Q652=1,数据录入!$B652&gt;=$B$2,数据录入!$B652&lt;=$D$2),N(R651)+1,N(R651))</f>
      </c>
    </row>
    <row r="653" s="44" customFormat="1" spans="1:23">
      <c r="A653" s="116"/>
      <c r="E653" s="108"/>
      <c r="F653" s="114"/>
      <c r="G653" s="114"/>
      <c r="H653" s="114"/>
      <c r="Q653" s="44">
        <f>IF(数据录入!$B653="",0,IF(OR(数据录入!$D653="投标保证金",数据录入!$D653="合同履约保证金",ISNUMBER(FIND("保证金",数据录入!$E653))),1,0))</f>
      </c>
      <c r="R653" s="44">
        <f>IF(AND($Q653=1,数据录入!$B653&gt;=$B$2,数据录入!$B653&lt;=$D$2),N(R652)+1,N(R652))</f>
      </c>
    </row>
    <row r="654" s="44" customFormat="1" spans="1:23">
      <c r="A654" s="116"/>
      <c r="E654" s="108"/>
      <c r="F654" s="114"/>
      <c r="G654" s="114"/>
      <c r="H654" s="114"/>
      <c r="Q654" s="44">
        <f>IF(数据录入!$B654="",0,IF(OR(数据录入!$D654="投标保证金",数据录入!$D654="合同履约保证金",ISNUMBER(FIND("保证金",数据录入!$E654))),1,0))</f>
      </c>
      <c r="R654" s="44">
        <f>IF(AND($Q654=1,数据录入!$B654&gt;=$B$2,数据录入!$B654&lt;=$D$2),N(R653)+1,N(R653))</f>
      </c>
    </row>
    <row r="655" s="44" customFormat="1" spans="1:23">
      <c r="A655" s="116"/>
      <c r="E655" s="108"/>
      <c r="F655" s="114"/>
      <c r="G655" s="114"/>
      <c r="H655" s="114"/>
      <c r="Q655" s="44">
        <f>IF(数据录入!$B655="",0,IF(OR(数据录入!$D655="投标保证金",数据录入!$D655="合同履约保证金",ISNUMBER(FIND("保证金",数据录入!$E655))),1,0))</f>
      </c>
      <c r="R655" s="44">
        <f>IF(AND($Q655=1,数据录入!$B655&gt;=$B$2,数据录入!$B655&lt;=$D$2),N(R654)+1,N(R654))</f>
      </c>
    </row>
    <row r="656" s="44" customFormat="1" spans="1:23">
      <c r="A656" s="116"/>
      <c r="E656" s="108"/>
      <c r="F656" s="114"/>
      <c r="G656" s="114"/>
      <c r="H656" s="114"/>
      <c r="Q656" s="44">
        <f>IF(数据录入!$B656="",0,IF(OR(数据录入!$D656="投标保证金",数据录入!$D656="合同履约保证金",ISNUMBER(FIND("保证金",数据录入!$E656))),1,0))</f>
      </c>
      <c r="R656" s="44">
        <f>IF(AND($Q656=1,数据录入!$B656&gt;=$B$2,数据录入!$B656&lt;=$D$2),N(R655)+1,N(R655))</f>
      </c>
    </row>
    <row r="657" s="44" customFormat="1" spans="1:23">
      <c r="A657" s="116"/>
      <c r="E657" s="108"/>
      <c r="F657" s="114"/>
      <c r="G657" s="114"/>
      <c r="H657" s="114"/>
      <c r="Q657" s="44">
        <f>IF(数据录入!$B657="",0,IF(OR(数据录入!$D657="投标保证金",数据录入!$D657="合同履约保证金",ISNUMBER(FIND("保证金",数据录入!$E657))),1,0))</f>
      </c>
      <c r="R657" s="44">
        <f>IF(AND($Q657=1,数据录入!$B657&gt;=$B$2,数据录入!$B657&lt;=$D$2),N(R656)+1,N(R656))</f>
      </c>
    </row>
    <row r="658" s="44" customFormat="1" spans="1:23">
      <c r="A658" s="116"/>
      <c r="E658" s="108"/>
      <c r="F658" s="114"/>
      <c r="G658" s="114"/>
      <c r="H658" s="114"/>
      <c r="Q658" s="44">
        <f>IF(数据录入!$B658="",0,IF(OR(数据录入!$D658="投标保证金",数据录入!$D658="合同履约保证金",ISNUMBER(FIND("保证金",数据录入!$E658))),1,0))</f>
      </c>
      <c r="R658" s="44">
        <f>IF(AND($Q658=1,数据录入!$B658&gt;=$B$2,数据录入!$B658&lt;=$D$2),N(R657)+1,N(R657))</f>
      </c>
    </row>
    <row r="659" s="44" customFormat="1" spans="1:23">
      <c r="A659" s="116"/>
      <c r="E659" s="108"/>
      <c r="F659" s="114"/>
      <c r="G659" s="114"/>
      <c r="H659" s="114"/>
      <c r="Q659" s="44">
        <f>IF(数据录入!$B659="",0,IF(OR(数据录入!$D659="投标保证金",数据录入!$D659="合同履约保证金",ISNUMBER(FIND("保证金",数据录入!$E659))),1,0))</f>
      </c>
      <c r="R659" s="44">
        <f>IF(AND($Q659=1,数据录入!$B659&gt;=$B$2,数据录入!$B659&lt;=$D$2),N(R658)+1,N(R658))</f>
      </c>
    </row>
    <row r="660" s="44" customFormat="1" spans="1:23">
      <c r="A660" s="116"/>
      <c r="E660" s="108"/>
      <c r="F660" s="114"/>
      <c r="G660" s="114"/>
      <c r="H660" s="114"/>
      <c r="Q660" s="44">
        <f>IF(数据录入!$B660="",0,IF(OR(数据录入!$D660="投标保证金",数据录入!$D660="合同履约保证金",ISNUMBER(FIND("保证金",数据录入!$E660))),1,0))</f>
      </c>
      <c r="R660" s="44">
        <f>IF(AND($Q660=1,数据录入!$B660&gt;=$B$2,数据录入!$B660&lt;=$D$2),N(R659)+1,N(R659))</f>
      </c>
    </row>
    <row r="661" s="44" customFormat="1" spans="1:23">
      <c r="A661" s="116"/>
      <c r="E661" s="108"/>
      <c r="F661" s="114"/>
      <c r="G661" s="114"/>
      <c r="H661" s="114"/>
      <c r="Q661" s="44">
        <f>IF(数据录入!$B661="",0,IF(OR(数据录入!$D661="投标保证金",数据录入!$D661="合同履约保证金",ISNUMBER(FIND("保证金",数据录入!$E661))),1,0))</f>
      </c>
      <c r="R661" s="44">
        <f>IF(AND($Q661=1,数据录入!$B661&gt;=$B$2,数据录入!$B661&lt;=$D$2),N(R660)+1,N(R660))</f>
      </c>
    </row>
    <row r="662" s="44" customFormat="1" spans="1:23">
      <c r="A662" s="116"/>
      <c r="E662" s="108"/>
      <c r="F662" s="114"/>
      <c r="G662" s="114"/>
      <c r="H662" s="114"/>
      <c r="Q662" s="44">
        <f>IF(数据录入!$B662="",0,IF(OR(数据录入!$D662="投标保证金",数据录入!$D662="合同履约保证金",ISNUMBER(FIND("保证金",数据录入!$E662))),1,0))</f>
      </c>
      <c r="R662" s="44">
        <f>IF(AND($Q662=1,数据录入!$B662&gt;=$B$2,数据录入!$B662&lt;=$D$2),N(R661)+1,N(R661))</f>
      </c>
    </row>
    <row r="663" s="44" customFormat="1" spans="1:23">
      <c r="A663" s="116"/>
      <c r="E663" s="108"/>
      <c r="F663" s="114"/>
      <c r="G663" s="114"/>
      <c r="H663" s="114"/>
      <c r="Q663" s="44">
        <f>IF(数据录入!$B663="",0,IF(OR(数据录入!$D663="投标保证金",数据录入!$D663="合同履约保证金",ISNUMBER(FIND("保证金",数据录入!$E663))),1,0))</f>
      </c>
      <c r="R663" s="44">
        <f>IF(AND($Q663=1,数据录入!$B663&gt;=$B$2,数据录入!$B663&lt;=$D$2),N(R662)+1,N(R662))</f>
      </c>
    </row>
    <row r="664" s="44" customFormat="1" spans="1:23">
      <c r="A664" s="116"/>
      <c r="E664" s="108"/>
      <c r="F664" s="114"/>
      <c r="G664" s="114"/>
      <c r="H664" s="114"/>
      <c r="Q664" s="44">
        <f>IF(数据录入!$B664="",0,IF(OR(数据录入!$D664="投标保证金",数据录入!$D664="合同履约保证金",ISNUMBER(FIND("保证金",数据录入!$E664))),1,0))</f>
      </c>
      <c r="R664" s="44">
        <f>IF(AND($Q664=1,数据录入!$B664&gt;=$B$2,数据录入!$B664&lt;=$D$2),N(R663)+1,N(R663))</f>
      </c>
    </row>
    <row r="665" s="44" customFormat="1" spans="1:23">
      <c r="A665" s="116"/>
      <c r="E665" s="108"/>
      <c r="F665" s="114"/>
      <c r="G665" s="114"/>
      <c r="H665" s="114"/>
      <c r="Q665" s="44">
        <f>IF(数据录入!$B665="",0,IF(OR(数据录入!$D665="投标保证金",数据录入!$D665="合同履约保证金",ISNUMBER(FIND("保证金",数据录入!$E665))),1,0))</f>
      </c>
      <c r="R665" s="44">
        <f>IF(AND($Q665=1,数据录入!$B665&gt;=$B$2,数据录入!$B665&lt;=$D$2),N(R664)+1,N(R664))</f>
      </c>
    </row>
    <row r="666" s="44" customFormat="1" spans="1:23">
      <c r="A666" s="116"/>
      <c r="E666" s="108"/>
      <c r="F666" s="114"/>
      <c r="G666" s="114"/>
      <c r="H666" s="114"/>
      <c r="Q666" s="44">
        <f>IF(数据录入!$B666="",0,IF(OR(数据录入!$D666="投标保证金",数据录入!$D666="合同履约保证金",ISNUMBER(FIND("保证金",数据录入!$E666))),1,0))</f>
      </c>
      <c r="R666" s="44">
        <f>IF(AND($Q666=1,数据录入!$B666&gt;=$B$2,数据录入!$B666&lt;=$D$2),N(R665)+1,N(R665))</f>
      </c>
    </row>
    <row r="667" s="44" customFormat="1" spans="1:23">
      <c r="A667" s="116"/>
      <c r="E667" s="108"/>
      <c r="F667" s="114"/>
      <c r="G667" s="114"/>
      <c r="H667" s="114"/>
      <c r="Q667" s="44">
        <f>IF(数据录入!$B667="",0,IF(OR(数据录入!$D667="投标保证金",数据录入!$D667="合同履约保证金",ISNUMBER(FIND("保证金",数据录入!$E667))),1,0))</f>
      </c>
      <c r="R667" s="44">
        <f>IF(AND($Q667=1,数据录入!$B667&gt;=$B$2,数据录入!$B667&lt;=$D$2),N(R666)+1,N(R666))</f>
      </c>
    </row>
    <row r="668" s="44" customFormat="1" spans="1:23">
      <c r="A668" s="116"/>
      <c r="E668" s="108"/>
      <c r="F668" s="114"/>
      <c r="G668" s="114"/>
      <c r="H668" s="114"/>
      <c r="Q668" s="44">
        <f>IF(数据录入!$B668="",0,IF(OR(数据录入!$D668="投标保证金",数据录入!$D668="合同履约保证金",ISNUMBER(FIND("保证金",数据录入!$E668))),1,0))</f>
      </c>
      <c r="R668" s="44">
        <f>IF(AND($Q668=1,数据录入!$B668&gt;=$B$2,数据录入!$B668&lt;=$D$2),N(R667)+1,N(R667))</f>
      </c>
    </row>
    <row r="669" s="44" customFormat="1" spans="1:23">
      <c r="A669" s="116"/>
      <c r="E669" s="108"/>
      <c r="F669" s="114"/>
      <c r="G669" s="114"/>
      <c r="H669" s="114"/>
      <c r="Q669" s="44">
        <f>IF(数据录入!$B669="",0,IF(OR(数据录入!$D669="投标保证金",数据录入!$D669="合同履约保证金",ISNUMBER(FIND("保证金",数据录入!$E669))),1,0))</f>
      </c>
      <c r="R669" s="44">
        <f>IF(AND($Q669=1,数据录入!$B669&gt;=$B$2,数据录入!$B669&lt;=$D$2),N(R668)+1,N(R668))</f>
      </c>
    </row>
    <row r="670" s="44" customFormat="1" spans="1:23">
      <c r="A670" s="116"/>
      <c r="E670" s="108"/>
      <c r="F670" s="114"/>
      <c r="G670" s="114"/>
      <c r="H670" s="114"/>
      <c r="Q670" s="44">
        <f>IF(数据录入!$B670="",0,IF(OR(数据录入!$D670="投标保证金",数据录入!$D670="合同履约保证金",ISNUMBER(FIND("保证金",数据录入!$E670))),1,0))</f>
      </c>
      <c r="R670" s="44">
        <f>IF(AND($Q670=1,数据录入!$B670&gt;=$B$2,数据录入!$B670&lt;=$D$2),N(R669)+1,N(R669))</f>
      </c>
    </row>
    <row r="671" s="44" customFormat="1" spans="1:23">
      <c r="A671" s="116"/>
      <c r="E671" s="108"/>
      <c r="F671" s="114"/>
      <c r="G671" s="114"/>
      <c r="H671" s="114"/>
      <c r="Q671" s="44">
        <f>IF(数据录入!$B671="",0,IF(OR(数据录入!$D671="投标保证金",数据录入!$D671="合同履约保证金",ISNUMBER(FIND("保证金",数据录入!$E671))),1,0))</f>
      </c>
      <c r="R671" s="44">
        <f>IF(AND($Q671=1,数据录入!$B671&gt;=$B$2,数据录入!$B671&lt;=$D$2),N(R670)+1,N(R670))</f>
      </c>
    </row>
    <row r="672" s="44" customFormat="1" spans="1:23">
      <c r="A672" s="116"/>
      <c r="E672" s="108"/>
      <c r="F672" s="114"/>
      <c r="G672" s="114"/>
      <c r="H672" s="114"/>
      <c r="Q672" s="44">
        <f>IF(数据录入!$B672="",0,IF(OR(数据录入!$D672="投标保证金",数据录入!$D672="合同履约保证金",ISNUMBER(FIND("保证金",数据录入!$E672))),1,0))</f>
      </c>
      <c r="R672" s="44">
        <f>IF(AND($Q672=1,数据录入!$B672&gt;=$B$2,数据录入!$B672&lt;=$D$2),N(R671)+1,N(R671))</f>
      </c>
    </row>
    <row r="673" s="44" customFormat="1" spans="1:23">
      <c r="A673" s="116"/>
      <c r="E673" s="108"/>
      <c r="F673" s="114"/>
      <c r="G673" s="114"/>
      <c r="H673" s="114"/>
      <c r="Q673" s="44">
        <f>IF(数据录入!$B673="",0,IF(OR(数据录入!$D673="投标保证金",数据录入!$D673="合同履约保证金",ISNUMBER(FIND("保证金",数据录入!$E673))),1,0))</f>
      </c>
      <c r="R673" s="44">
        <f>IF(AND($Q673=1,数据录入!$B673&gt;=$B$2,数据录入!$B673&lt;=$D$2),N(R672)+1,N(R672))</f>
      </c>
    </row>
    <row r="674" s="44" customFormat="1" spans="1:23">
      <c r="A674" s="116"/>
      <c r="E674" s="108"/>
      <c r="F674" s="114"/>
      <c r="G674" s="114"/>
      <c r="H674" s="114"/>
      <c r="Q674" s="44">
        <f>IF(数据录入!$B674="",0,IF(OR(数据录入!$D674="投标保证金",数据录入!$D674="合同履约保证金",ISNUMBER(FIND("保证金",数据录入!$E674))),1,0))</f>
      </c>
      <c r="R674" s="44">
        <f>IF(AND($Q674=1,数据录入!$B674&gt;=$B$2,数据录入!$B674&lt;=$D$2),N(R673)+1,N(R673))</f>
      </c>
    </row>
    <row r="675" s="44" customFormat="1" spans="1:23">
      <c r="A675" s="116"/>
      <c r="E675" s="108"/>
      <c r="F675" s="114"/>
      <c r="G675" s="114"/>
      <c r="H675" s="114"/>
      <c r="Q675" s="44">
        <f>IF(数据录入!$B675="",0,IF(OR(数据录入!$D675="投标保证金",数据录入!$D675="合同履约保证金",ISNUMBER(FIND("保证金",数据录入!$E675))),1,0))</f>
      </c>
      <c r="R675" s="44">
        <f>IF(AND($Q675=1,数据录入!$B675&gt;=$B$2,数据录入!$B675&lt;=$D$2),N(R674)+1,N(R674))</f>
      </c>
    </row>
    <row r="676" s="44" customFormat="1" spans="1:23">
      <c r="A676" s="116"/>
      <c r="E676" s="108"/>
      <c r="F676" s="114"/>
      <c r="G676" s="114"/>
      <c r="H676" s="114"/>
      <c r="Q676" s="44">
        <f>IF(数据录入!$B676="",0,IF(OR(数据录入!$D676="投标保证金",数据录入!$D676="合同履约保证金",ISNUMBER(FIND("保证金",数据录入!$E676))),1,0))</f>
      </c>
      <c r="R676" s="44">
        <f>IF(AND($Q676=1,数据录入!$B676&gt;=$B$2,数据录入!$B676&lt;=$D$2),N(R675)+1,N(R675))</f>
      </c>
    </row>
    <row r="677" s="44" customFormat="1" spans="1:23">
      <c r="A677" s="116"/>
      <c r="E677" s="108"/>
      <c r="F677" s="114"/>
      <c r="G677" s="114"/>
      <c r="H677" s="114"/>
      <c r="Q677" s="44">
        <f>IF(数据录入!$B677="",0,IF(OR(数据录入!$D677="投标保证金",数据录入!$D677="合同履约保证金",ISNUMBER(FIND("保证金",数据录入!$E677))),1,0))</f>
      </c>
      <c r="R677" s="44">
        <f>IF(AND($Q677=1,数据录入!$B677&gt;=$B$2,数据录入!$B677&lt;=$D$2),N(R676)+1,N(R676))</f>
      </c>
    </row>
    <row r="678" s="44" customFormat="1" spans="1:23">
      <c r="A678" s="116"/>
      <c r="E678" s="108"/>
      <c r="F678" s="114"/>
      <c r="G678" s="114"/>
      <c r="H678" s="114"/>
      <c r="Q678" s="44">
        <f>IF(数据录入!$B678="",0,IF(OR(数据录入!$D678="投标保证金",数据录入!$D678="合同履约保证金",ISNUMBER(FIND("保证金",数据录入!$E678))),1,0))</f>
      </c>
      <c r="R678" s="44">
        <f>IF(AND($Q678=1,数据录入!$B678&gt;=$B$2,数据录入!$B678&lt;=$D$2),N(R677)+1,N(R677))</f>
      </c>
    </row>
    <row r="679" s="44" customFormat="1" spans="1:23">
      <c r="A679" s="116"/>
      <c r="E679" s="108"/>
      <c r="F679" s="114"/>
      <c r="G679" s="114"/>
      <c r="H679" s="114"/>
      <c r="Q679" s="44">
        <f>IF(数据录入!$B679="",0,IF(OR(数据录入!$D679="投标保证金",数据录入!$D679="合同履约保证金",ISNUMBER(FIND("保证金",数据录入!$E679))),1,0))</f>
      </c>
      <c r="R679" s="44">
        <f>IF(AND($Q679=1,数据录入!$B679&gt;=$B$2,数据录入!$B679&lt;=$D$2),N(R678)+1,N(R678))</f>
      </c>
    </row>
    <row r="680" s="44" customFormat="1" spans="1:23">
      <c r="A680" s="116"/>
      <c r="E680" s="108"/>
      <c r="F680" s="114"/>
      <c r="G680" s="114"/>
      <c r="H680" s="114"/>
      <c r="Q680" s="44">
        <f>IF(数据录入!$B680="",0,IF(OR(数据录入!$D680="投标保证金",数据录入!$D680="合同履约保证金",ISNUMBER(FIND("保证金",数据录入!$E680))),1,0))</f>
      </c>
      <c r="R680" s="44">
        <f>IF(AND($Q680=1,数据录入!$B680&gt;=$B$2,数据录入!$B680&lt;=$D$2),N(R679)+1,N(R679))</f>
      </c>
    </row>
    <row r="681" s="44" customFormat="1" spans="1:23">
      <c r="A681" s="116"/>
      <c r="E681" s="108"/>
      <c r="F681" s="114"/>
      <c r="G681" s="114"/>
      <c r="H681" s="114"/>
      <c r="Q681" s="44">
        <f>IF(数据录入!$B681="",0,IF(OR(数据录入!$D681="投标保证金",数据录入!$D681="合同履约保证金",ISNUMBER(FIND("保证金",数据录入!$E681))),1,0))</f>
      </c>
      <c r="R681" s="44">
        <f>IF(AND($Q681=1,数据录入!$B681&gt;=$B$2,数据录入!$B681&lt;=$D$2),N(R680)+1,N(R680))</f>
      </c>
    </row>
    <row r="682" s="44" customFormat="1" spans="1:23">
      <c r="A682" s="116"/>
      <c r="E682" s="108"/>
      <c r="F682" s="114"/>
      <c r="G682" s="114"/>
      <c r="H682" s="114"/>
      <c r="Q682" s="44">
        <f>IF(数据录入!$B682="",0,IF(OR(数据录入!$D682="投标保证金",数据录入!$D682="合同履约保证金",ISNUMBER(FIND("保证金",数据录入!$E682))),1,0))</f>
      </c>
      <c r="R682" s="44">
        <f>IF(AND($Q682=1,数据录入!$B682&gt;=$B$2,数据录入!$B682&lt;=$D$2),N(R681)+1,N(R681))</f>
      </c>
    </row>
    <row r="683" s="44" customFormat="1" spans="1:23">
      <c r="A683" s="116"/>
      <c r="E683" s="108"/>
      <c r="F683" s="114"/>
      <c r="G683" s="114"/>
      <c r="H683" s="114"/>
      <c r="Q683" s="44">
        <f>IF(数据录入!$B683="",0,IF(OR(数据录入!$D683="投标保证金",数据录入!$D683="合同履约保证金",ISNUMBER(FIND("保证金",数据录入!$E683))),1,0))</f>
      </c>
      <c r="R683" s="44">
        <f>IF(AND($Q683=1,数据录入!$B683&gt;=$B$2,数据录入!$B683&lt;=$D$2),N(R682)+1,N(R682))</f>
      </c>
    </row>
    <row r="684" s="44" customFormat="1" spans="1:23">
      <c r="A684" s="116"/>
      <c r="E684" s="108"/>
      <c r="F684" s="114"/>
      <c r="G684" s="114"/>
      <c r="H684" s="114"/>
      <c r="Q684" s="44">
        <f>IF(数据录入!$B684="",0,IF(OR(数据录入!$D684="投标保证金",数据录入!$D684="合同履约保证金",ISNUMBER(FIND("保证金",数据录入!$E684))),1,0))</f>
      </c>
      <c r="R684" s="44">
        <f>IF(AND($Q684=1,数据录入!$B684&gt;=$B$2,数据录入!$B684&lt;=$D$2),N(R683)+1,N(R683))</f>
      </c>
    </row>
    <row r="685" s="44" customFormat="1" spans="1:23">
      <c r="A685" s="116"/>
      <c r="E685" s="108"/>
      <c r="F685" s="114"/>
      <c r="G685" s="114"/>
      <c r="H685" s="114"/>
      <c r="Q685" s="44">
        <f>IF(数据录入!$B685="",0,IF(OR(数据录入!$D685="投标保证金",数据录入!$D685="合同履约保证金",ISNUMBER(FIND("保证金",数据录入!$E685))),1,0))</f>
      </c>
      <c r="R685" s="44">
        <f>IF(AND($Q685=1,数据录入!$B685&gt;=$B$2,数据录入!$B685&lt;=$D$2),N(R684)+1,N(R684))</f>
      </c>
    </row>
    <row r="686" s="44" customFormat="1" spans="1:23">
      <c r="A686" s="116"/>
      <c r="E686" s="108"/>
      <c r="F686" s="114"/>
      <c r="G686" s="114"/>
      <c r="H686" s="114"/>
      <c r="Q686" s="44">
        <f>IF(数据录入!$B686="",0,IF(OR(数据录入!$D686="投标保证金",数据录入!$D686="合同履约保证金",ISNUMBER(FIND("保证金",数据录入!$E686))),1,0))</f>
      </c>
      <c r="R686" s="44">
        <f>IF(AND($Q686=1,数据录入!$B686&gt;=$B$2,数据录入!$B686&lt;=$D$2),N(R685)+1,N(R685))</f>
      </c>
    </row>
    <row r="687" s="44" customFormat="1" spans="1:23">
      <c r="A687" s="116"/>
      <c r="E687" s="108"/>
      <c r="F687" s="114"/>
      <c r="G687" s="114"/>
      <c r="H687" s="114"/>
      <c r="Q687" s="44">
        <f>IF(数据录入!$B687="",0,IF(OR(数据录入!$D687="投标保证金",数据录入!$D687="合同履约保证金",ISNUMBER(FIND("保证金",数据录入!$E687))),1,0))</f>
      </c>
      <c r="R687" s="44">
        <f>IF(AND($Q687=1,数据录入!$B687&gt;=$B$2,数据录入!$B687&lt;=$D$2),N(R686)+1,N(R686))</f>
      </c>
    </row>
    <row r="688" s="44" customFormat="1" spans="1:23">
      <c r="A688" s="116"/>
      <c r="E688" s="108"/>
      <c r="F688" s="114"/>
      <c r="G688" s="114"/>
      <c r="H688" s="114"/>
      <c r="Q688" s="44">
        <f>IF(数据录入!$B688="",0,IF(OR(数据录入!$D688="投标保证金",数据录入!$D688="合同履约保证金",ISNUMBER(FIND("保证金",数据录入!$E688))),1,0))</f>
      </c>
      <c r="R688" s="44">
        <f>IF(AND($Q688=1,数据录入!$B688&gt;=$B$2,数据录入!$B688&lt;=$D$2),N(R687)+1,N(R687))</f>
      </c>
    </row>
    <row r="689" s="44" customFormat="1" spans="1:23">
      <c r="A689" s="116"/>
      <c r="E689" s="108"/>
      <c r="F689" s="114"/>
      <c r="G689" s="114"/>
      <c r="H689" s="114"/>
      <c r="Q689" s="44">
        <f>IF(数据录入!$B689="",0,IF(OR(数据录入!$D689="投标保证金",数据录入!$D689="合同履约保证金",ISNUMBER(FIND("保证金",数据录入!$E689))),1,0))</f>
      </c>
      <c r="R689" s="44">
        <f>IF(AND($Q689=1,数据录入!$B689&gt;=$B$2,数据录入!$B689&lt;=$D$2),N(R688)+1,N(R688))</f>
      </c>
    </row>
    <row r="690" s="44" customFormat="1" spans="1:23">
      <c r="A690" s="116"/>
      <c r="E690" s="108"/>
      <c r="F690" s="114"/>
      <c r="G690" s="114"/>
      <c r="H690" s="114"/>
      <c r="Q690" s="44">
        <f>IF(数据录入!$B690="",0,IF(OR(数据录入!$D690="投标保证金",数据录入!$D690="合同履约保证金",ISNUMBER(FIND("保证金",数据录入!$E690))),1,0))</f>
      </c>
      <c r="R690" s="44">
        <f>IF(AND($Q690=1,数据录入!$B690&gt;=$B$2,数据录入!$B690&lt;=$D$2),N(R689)+1,N(R689))</f>
      </c>
    </row>
    <row r="691" s="44" customFormat="1" spans="1:23">
      <c r="A691" s="116"/>
      <c r="E691" s="108"/>
      <c r="F691" s="114"/>
      <c r="G691" s="114"/>
      <c r="H691" s="114"/>
      <c r="Q691" s="44">
        <f>IF(数据录入!$B691="",0,IF(OR(数据录入!$D691="投标保证金",数据录入!$D691="合同履约保证金",ISNUMBER(FIND("保证金",数据录入!$E691))),1,0))</f>
      </c>
      <c r="R691" s="44">
        <f>IF(AND($Q691=1,数据录入!$B691&gt;=$B$2,数据录入!$B691&lt;=$D$2),N(R690)+1,N(R690))</f>
      </c>
    </row>
    <row r="692" s="44" customFormat="1" spans="1:23">
      <c r="A692" s="116"/>
      <c r="E692" s="108"/>
      <c r="F692" s="114"/>
      <c r="G692" s="114"/>
      <c r="H692" s="114"/>
      <c r="Q692" s="44">
        <f>IF(数据录入!$B692="",0,IF(OR(数据录入!$D692="投标保证金",数据录入!$D692="合同履约保证金",ISNUMBER(FIND("保证金",数据录入!$E692))),1,0))</f>
      </c>
      <c r="R692" s="44">
        <f>IF(AND($Q692=1,数据录入!$B692&gt;=$B$2,数据录入!$B692&lt;=$D$2),N(R691)+1,N(R691))</f>
      </c>
    </row>
    <row r="693" s="44" customFormat="1" spans="1:23">
      <c r="A693" s="116"/>
      <c r="E693" s="108"/>
      <c r="F693" s="114"/>
      <c r="G693" s="114"/>
      <c r="H693" s="114"/>
      <c r="Q693" s="44">
        <f>IF(数据录入!$B693="",0,IF(OR(数据录入!$D693="投标保证金",数据录入!$D693="合同履约保证金",ISNUMBER(FIND("保证金",数据录入!$E693))),1,0))</f>
      </c>
      <c r="R693" s="44">
        <f>IF(AND($Q693=1,数据录入!$B693&gt;=$B$2,数据录入!$B693&lt;=$D$2),N(R692)+1,N(R692))</f>
      </c>
    </row>
    <row r="694" s="44" customFormat="1" spans="1:23">
      <c r="A694" s="116"/>
      <c r="E694" s="108"/>
      <c r="F694" s="114"/>
      <c r="G694" s="114"/>
      <c r="H694" s="114"/>
      <c r="Q694" s="44">
        <f>IF(数据录入!$B694="",0,IF(OR(数据录入!$D694="投标保证金",数据录入!$D694="合同履约保证金",ISNUMBER(FIND("保证金",数据录入!$E694))),1,0))</f>
      </c>
      <c r="R694" s="44">
        <f>IF(AND($Q694=1,数据录入!$B694&gt;=$B$2,数据录入!$B694&lt;=$D$2),N(R693)+1,N(R693))</f>
      </c>
    </row>
    <row r="695" s="44" customFormat="1" spans="1:23">
      <c r="A695" s="116"/>
      <c r="E695" s="108"/>
      <c r="F695" s="114"/>
      <c r="G695" s="114"/>
      <c r="H695" s="114"/>
      <c r="Q695" s="44">
        <f>IF(数据录入!$B695="",0,IF(OR(数据录入!$D695="投标保证金",数据录入!$D695="合同履约保证金",ISNUMBER(FIND("保证金",数据录入!$E695))),1,0))</f>
      </c>
      <c r="R695" s="44">
        <f>IF(AND($Q695=1,数据录入!$B695&gt;=$B$2,数据录入!$B695&lt;=$D$2),N(R694)+1,N(R694))</f>
      </c>
    </row>
    <row r="696" s="44" customFormat="1" spans="1:23">
      <c r="A696" s="116"/>
      <c r="E696" s="108"/>
      <c r="F696" s="114"/>
      <c r="G696" s="114"/>
      <c r="H696" s="114"/>
      <c r="Q696" s="44">
        <f>IF(数据录入!$B696="",0,IF(OR(数据录入!$D696="投标保证金",数据录入!$D696="合同履约保证金",ISNUMBER(FIND("保证金",数据录入!$E696))),1,0))</f>
      </c>
      <c r="R696" s="44">
        <f>IF(AND($Q696=1,数据录入!$B696&gt;=$B$2,数据录入!$B696&lt;=$D$2),N(R695)+1,N(R695))</f>
      </c>
    </row>
    <row r="697" s="44" customFormat="1" spans="1:23">
      <c r="A697" s="116"/>
      <c r="E697" s="108"/>
      <c r="F697" s="114"/>
      <c r="G697" s="114"/>
      <c r="H697" s="114"/>
      <c r="Q697" s="44">
        <f>IF(数据录入!$B697="",0,IF(OR(数据录入!$D697="投标保证金",数据录入!$D697="合同履约保证金",ISNUMBER(FIND("保证金",数据录入!$E697))),1,0))</f>
      </c>
      <c r="R697" s="44">
        <f>IF(AND($Q697=1,数据录入!$B697&gt;=$B$2,数据录入!$B697&lt;=$D$2),N(R696)+1,N(R696))</f>
      </c>
    </row>
    <row r="698" s="44" customFormat="1" spans="1:23">
      <c r="A698" s="116"/>
      <c r="E698" s="108"/>
      <c r="F698" s="114"/>
      <c r="G698" s="114"/>
      <c r="H698" s="114"/>
      <c r="Q698" s="44">
        <f>IF(数据录入!$B698="",0,IF(OR(数据录入!$D698="投标保证金",数据录入!$D698="合同履约保证金",ISNUMBER(FIND("保证金",数据录入!$E698))),1,0))</f>
      </c>
      <c r="R698" s="44">
        <f>IF(AND($Q698=1,数据录入!$B698&gt;=$B$2,数据录入!$B698&lt;=$D$2),N(R697)+1,N(R697))</f>
      </c>
    </row>
    <row r="699" s="44" customFormat="1" spans="1:23">
      <c r="A699" s="116"/>
      <c r="E699" s="108"/>
      <c r="F699" s="114"/>
      <c r="G699" s="114"/>
      <c r="H699" s="114"/>
      <c r="Q699" s="44">
        <f>IF(数据录入!$B699="",0,IF(OR(数据录入!$D699="投标保证金",数据录入!$D699="合同履约保证金",ISNUMBER(FIND("保证金",数据录入!$E699))),1,0))</f>
      </c>
      <c r="R699" s="44">
        <f>IF(AND($Q699=1,数据录入!$B699&gt;=$B$2,数据录入!$B699&lt;=$D$2),N(R698)+1,N(R698))</f>
      </c>
    </row>
    <row r="700" s="44" customFormat="1" spans="1:23">
      <c r="A700" s="116"/>
      <c r="E700" s="108"/>
      <c r="F700" s="114"/>
      <c r="G700" s="114"/>
      <c r="H700" s="114"/>
      <c r="Q700" s="44">
        <f>IF(数据录入!$B700="",0,IF(OR(数据录入!$D700="投标保证金",数据录入!$D700="合同履约保证金",ISNUMBER(FIND("保证金",数据录入!$E700))),1,0))</f>
      </c>
      <c r="R700" s="44">
        <f>IF(AND($Q700=1,数据录入!$B700&gt;=$B$2,数据录入!$B700&lt;=$D$2),N(R699)+1,N(R699))</f>
      </c>
    </row>
    <row r="701" s="44" customFormat="1" spans="1:23">
      <c r="A701" s="116"/>
      <c r="E701" s="108"/>
      <c r="F701" s="114"/>
      <c r="G701" s="114"/>
      <c r="H701" s="114"/>
      <c r="Q701" s="44">
        <f>IF(数据录入!$B701="",0,IF(OR(数据录入!$D701="投标保证金",数据录入!$D701="合同履约保证金",ISNUMBER(FIND("保证金",数据录入!$E701))),1,0))</f>
      </c>
      <c r="R701" s="44">
        <f>IF(AND($Q701=1,数据录入!$B701&gt;=$B$2,数据录入!$B701&lt;=$D$2),N(R700)+1,N(R700))</f>
      </c>
    </row>
    <row r="702" s="44" customFormat="1" spans="1:23">
      <c r="A702" s="116"/>
      <c r="E702" s="108"/>
      <c r="F702" s="114"/>
      <c r="G702" s="114"/>
      <c r="H702" s="114"/>
      <c r="Q702" s="44">
        <f>IF(数据录入!$B702="",0,IF(OR(数据录入!$D702="投标保证金",数据录入!$D702="合同履约保证金",ISNUMBER(FIND("保证金",数据录入!$E702))),1,0))</f>
      </c>
      <c r="R702" s="44">
        <f>IF(AND($Q702=1,数据录入!$B702&gt;=$B$2,数据录入!$B702&lt;=$D$2),N(R701)+1,N(R701))</f>
      </c>
    </row>
    <row r="703" s="44" customFormat="1" spans="1:23">
      <c r="A703" s="116"/>
      <c r="E703" s="108"/>
      <c r="F703" s="114"/>
      <c r="G703" s="114"/>
      <c r="H703" s="114"/>
      <c r="Q703" s="44">
        <f>IF(数据录入!$B703="",0,IF(OR(数据录入!$D703="投标保证金",数据录入!$D703="合同履约保证金",ISNUMBER(FIND("保证金",数据录入!$E703))),1,0))</f>
      </c>
      <c r="R703" s="44">
        <f>IF(AND($Q703=1,数据录入!$B703&gt;=$B$2,数据录入!$B703&lt;=$D$2),N(R702)+1,N(R702))</f>
      </c>
    </row>
    <row r="704" s="44" customFormat="1" spans="1:23">
      <c r="A704" s="116"/>
      <c r="E704" s="108"/>
      <c r="F704" s="114"/>
      <c r="G704" s="114"/>
      <c r="H704" s="114"/>
      <c r="Q704" s="44">
        <f>IF(数据录入!$B704="",0,IF(OR(数据录入!$D704="投标保证金",数据录入!$D704="合同履约保证金",ISNUMBER(FIND("保证金",数据录入!$E704))),1,0))</f>
      </c>
      <c r="R704" s="44">
        <f>IF(AND($Q704=1,数据录入!$B704&gt;=$B$2,数据录入!$B704&lt;=$D$2),N(R703)+1,N(R703))</f>
      </c>
    </row>
    <row r="705" s="44" customFormat="1" spans="1:23">
      <c r="A705" s="116"/>
      <c r="E705" s="108"/>
      <c r="F705" s="114"/>
      <c r="G705" s="114"/>
      <c r="H705" s="114"/>
      <c r="Q705" s="44">
        <f>IF(数据录入!$B705="",0,IF(OR(数据录入!$D705="投标保证金",数据录入!$D705="合同履约保证金",ISNUMBER(FIND("保证金",数据录入!$E705))),1,0))</f>
      </c>
      <c r="R705" s="44">
        <f>IF(AND($Q705=1,数据录入!$B705&gt;=$B$2,数据录入!$B705&lt;=$D$2),N(R704)+1,N(R704))</f>
      </c>
    </row>
    <row r="706" s="44" customFormat="1" spans="1:23">
      <c r="A706" s="116"/>
      <c r="E706" s="108"/>
      <c r="F706" s="114"/>
      <c r="G706" s="114"/>
      <c r="H706" s="114"/>
      <c r="Q706" s="44">
        <f>IF(数据录入!$B706="",0,IF(OR(数据录入!$D706="投标保证金",数据录入!$D706="合同履约保证金",ISNUMBER(FIND("保证金",数据录入!$E706))),1,0))</f>
      </c>
      <c r="R706" s="44">
        <f>IF(AND($Q706=1,数据录入!$B706&gt;=$B$2,数据录入!$B706&lt;=$D$2),N(R705)+1,N(R705))</f>
      </c>
    </row>
    <row r="707" s="44" customFormat="1" spans="1:23">
      <c r="A707" s="116"/>
      <c r="E707" s="108"/>
      <c r="F707" s="114"/>
      <c r="G707" s="114"/>
      <c r="H707" s="114"/>
      <c r="Q707" s="44">
        <f>IF(数据录入!$B707="",0,IF(OR(数据录入!$D707="投标保证金",数据录入!$D707="合同履约保证金",ISNUMBER(FIND("保证金",数据录入!$E707))),1,0))</f>
      </c>
      <c r="R707" s="44">
        <f>IF(AND($Q707=1,数据录入!$B707&gt;=$B$2,数据录入!$B707&lt;=$D$2),N(R706)+1,N(R706))</f>
      </c>
    </row>
    <row r="708" s="44" customFormat="1" spans="1:23">
      <c r="A708" s="116"/>
      <c r="E708" s="108"/>
      <c r="F708" s="114"/>
      <c r="G708" s="114"/>
      <c r="H708" s="114"/>
      <c r="Q708" s="44">
        <f>IF(数据录入!$B708="",0,IF(OR(数据录入!$D708="投标保证金",数据录入!$D708="合同履约保证金",ISNUMBER(FIND("保证金",数据录入!$E708))),1,0))</f>
      </c>
      <c r="R708" s="44">
        <f>IF(AND($Q708=1,数据录入!$B708&gt;=$B$2,数据录入!$B708&lt;=$D$2),N(R707)+1,N(R707))</f>
      </c>
    </row>
    <row r="709" s="44" customFormat="1" spans="1:23">
      <c r="A709" s="116"/>
      <c r="E709" s="108"/>
      <c r="F709" s="114"/>
      <c r="G709" s="114"/>
      <c r="H709" s="114"/>
      <c r="Q709" s="44">
        <f>IF(数据录入!$B709="",0,IF(OR(数据录入!$D709="投标保证金",数据录入!$D709="合同履约保证金",ISNUMBER(FIND("保证金",数据录入!$E709))),1,0))</f>
      </c>
      <c r="R709" s="44">
        <f>IF(AND($Q709=1,数据录入!$B709&gt;=$B$2,数据录入!$B709&lt;=$D$2),N(R708)+1,N(R708))</f>
      </c>
    </row>
    <row r="710" s="44" customFormat="1" spans="1:23">
      <c r="A710" s="116"/>
      <c r="E710" s="108"/>
      <c r="F710" s="114"/>
      <c r="G710" s="114"/>
      <c r="H710" s="114"/>
      <c r="Q710" s="44">
        <f>IF(数据录入!$B710="",0,IF(OR(数据录入!$D710="投标保证金",数据录入!$D710="合同履约保证金",ISNUMBER(FIND("保证金",数据录入!$E710))),1,0))</f>
      </c>
      <c r="R710" s="44">
        <f>IF(AND($Q710=1,数据录入!$B710&gt;=$B$2,数据录入!$B710&lt;=$D$2),N(R709)+1,N(R709))</f>
      </c>
    </row>
    <row r="711" s="44" customFormat="1" spans="1:23">
      <c r="A711" s="116"/>
      <c r="E711" s="108"/>
      <c r="F711" s="114"/>
      <c r="G711" s="114"/>
      <c r="H711" s="114"/>
      <c r="Q711" s="44">
        <f>IF(数据录入!$B711="",0,IF(OR(数据录入!$D711="投标保证金",数据录入!$D711="合同履约保证金",ISNUMBER(FIND("保证金",数据录入!$E711))),1,0))</f>
      </c>
      <c r="R711" s="44">
        <f>IF(AND($Q711=1,数据录入!$B711&gt;=$B$2,数据录入!$B711&lt;=$D$2),N(R710)+1,N(R710))</f>
      </c>
    </row>
    <row r="712" s="44" customFormat="1" spans="1:23">
      <c r="A712" s="116"/>
      <c r="E712" s="108"/>
      <c r="F712" s="114"/>
      <c r="G712" s="114"/>
      <c r="H712" s="114"/>
      <c r="Q712" s="44">
        <f>IF(数据录入!$B712="",0,IF(OR(数据录入!$D712="投标保证金",数据录入!$D712="合同履约保证金",ISNUMBER(FIND("保证金",数据录入!$E712))),1,0))</f>
      </c>
      <c r="R712" s="44">
        <f>IF(AND($Q712=1,数据录入!$B712&gt;=$B$2,数据录入!$B712&lt;=$D$2),N(R711)+1,N(R711))</f>
      </c>
    </row>
    <row r="713" s="44" customFormat="1" spans="1:23">
      <c r="A713" s="116"/>
      <c r="E713" s="108"/>
      <c r="F713" s="114"/>
      <c r="G713" s="114"/>
      <c r="H713" s="114"/>
      <c r="Q713" s="44">
        <f>IF(数据录入!$B713="",0,IF(OR(数据录入!$D713="投标保证金",数据录入!$D713="合同履约保证金",ISNUMBER(FIND("保证金",数据录入!$E713))),1,0))</f>
      </c>
      <c r="R713" s="44">
        <f>IF(AND($Q713=1,数据录入!$B713&gt;=$B$2,数据录入!$B713&lt;=$D$2),N(R712)+1,N(R712))</f>
      </c>
    </row>
    <row r="714" s="44" customFormat="1" spans="1:23">
      <c r="A714" s="116"/>
      <c r="E714" s="108"/>
      <c r="F714" s="114"/>
      <c r="G714" s="114"/>
      <c r="H714" s="114"/>
      <c r="Q714" s="44">
        <f>IF(数据录入!$B714="",0,IF(OR(数据录入!$D714="投标保证金",数据录入!$D714="合同履约保证金",ISNUMBER(FIND("保证金",数据录入!$E714))),1,0))</f>
      </c>
      <c r="R714" s="44">
        <f>IF(AND($Q714=1,数据录入!$B714&gt;=$B$2,数据录入!$B714&lt;=$D$2),N(R713)+1,N(R713))</f>
      </c>
    </row>
    <row r="715" s="44" customFormat="1" spans="1:23">
      <c r="A715" s="116"/>
      <c r="E715" s="108"/>
      <c r="F715" s="114"/>
      <c r="G715" s="114"/>
      <c r="H715" s="114"/>
      <c r="Q715" s="44">
        <f>IF(数据录入!$B715="",0,IF(OR(数据录入!$D715="投标保证金",数据录入!$D715="合同履约保证金",ISNUMBER(FIND("保证金",数据录入!$E715))),1,0))</f>
      </c>
      <c r="R715" s="44">
        <f>IF(AND($Q715=1,数据录入!$B715&gt;=$B$2,数据录入!$B715&lt;=$D$2),N(R714)+1,N(R714))</f>
      </c>
    </row>
    <row r="716" s="44" customFormat="1" spans="1:23">
      <c r="A716" s="116"/>
      <c r="E716" s="108"/>
      <c r="F716" s="114"/>
      <c r="G716" s="114"/>
      <c r="H716" s="114"/>
      <c r="Q716" s="44">
        <f>IF(数据录入!$B716="",0,IF(OR(数据录入!$D716="投标保证金",数据录入!$D716="合同履约保证金",ISNUMBER(FIND("保证金",数据录入!$E716))),1,0))</f>
      </c>
      <c r="R716" s="44">
        <f>IF(AND($Q716=1,数据录入!$B716&gt;=$B$2,数据录入!$B716&lt;=$D$2),N(R715)+1,N(R715))</f>
      </c>
    </row>
    <row r="717" s="44" customFormat="1" spans="1:23">
      <c r="A717" s="116"/>
      <c r="E717" s="108"/>
      <c r="F717" s="114"/>
      <c r="G717" s="114"/>
      <c r="H717" s="114"/>
      <c r="Q717" s="44">
        <f>IF(数据录入!$B717="",0,IF(OR(数据录入!$D717="投标保证金",数据录入!$D717="合同履约保证金",ISNUMBER(FIND("保证金",数据录入!$E717))),1,0))</f>
      </c>
      <c r="R717" s="44">
        <f>IF(AND($Q717=1,数据录入!$B717&gt;=$B$2,数据录入!$B717&lt;=$D$2),N(R716)+1,N(R716))</f>
      </c>
    </row>
    <row r="718" s="44" customFormat="1" spans="1:23">
      <c r="A718" s="116"/>
      <c r="E718" s="108"/>
      <c r="F718" s="114"/>
      <c r="G718" s="114"/>
      <c r="H718" s="114"/>
      <c r="Q718" s="44">
        <f>IF(数据录入!$B718="",0,IF(OR(数据录入!$D718="投标保证金",数据录入!$D718="合同履约保证金",ISNUMBER(FIND("保证金",数据录入!$E718))),1,0))</f>
      </c>
      <c r="R718" s="44">
        <f>IF(AND($Q718=1,数据录入!$B718&gt;=$B$2,数据录入!$B718&lt;=$D$2),N(R717)+1,N(R717))</f>
      </c>
    </row>
    <row r="719" s="44" customFormat="1" spans="1:23">
      <c r="A719" s="116"/>
      <c r="E719" s="108"/>
      <c r="F719" s="114"/>
      <c r="G719" s="114"/>
      <c r="H719" s="114"/>
      <c r="Q719" s="44">
        <f>IF(数据录入!$B719="",0,IF(OR(数据录入!$D719="投标保证金",数据录入!$D719="合同履约保证金",ISNUMBER(FIND("保证金",数据录入!$E719))),1,0))</f>
      </c>
      <c r="R719" s="44">
        <f>IF(AND($Q719=1,数据录入!$B719&gt;=$B$2,数据录入!$B719&lt;=$D$2),N(R718)+1,N(R718))</f>
      </c>
    </row>
    <row r="720" s="44" customFormat="1" spans="1:23">
      <c r="A720" s="116"/>
      <c r="E720" s="108"/>
      <c r="F720" s="114"/>
      <c r="G720" s="114"/>
      <c r="H720" s="114"/>
      <c r="Q720" s="44">
        <f>IF(数据录入!$B720="",0,IF(OR(数据录入!$D720="投标保证金",数据录入!$D720="合同履约保证金",ISNUMBER(FIND("保证金",数据录入!$E720))),1,0))</f>
      </c>
      <c r="R720" s="44">
        <f>IF(AND($Q720=1,数据录入!$B720&gt;=$B$2,数据录入!$B720&lt;=$D$2),N(R719)+1,N(R719))</f>
      </c>
    </row>
    <row r="721" s="44" customFormat="1" spans="1:23">
      <c r="A721" s="116"/>
      <c r="E721" s="108"/>
      <c r="F721" s="114"/>
      <c r="G721" s="114"/>
      <c r="H721" s="114"/>
      <c r="Q721" s="44">
        <f>IF(数据录入!$B721="",0,IF(OR(数据录入!$D721="投标保证金",数据录入!$D721="合同履约保证金",ISNUMBER(FIND("保证金",数据录入!$E721))),1,0))</f>
      </c>
      <c r="R721" s="44">
        <f>IF(AND($Q721=1,数据录入!$B721&gt;=$B$2,数据录入!$B721&lt;=$D$2),N(R720)+1,N(R720))</f>
      </c>
    </row>
    <row r="722" s="44" customFormat="1" spans="1:23">
      <c r="A722" s="116"/>
      <c r="E722" s="108"/>
      <c r="F722" s="114"/>
      <c r="G722" s="114"/>
      <c r="H722" s="114"/>
      <c r="Q722" s="44">
        <f>IF(数据录入!$B722="",0,IF(OR(数据录入!$D722="投标保证金",数据录入!$D722="合同履约保证金",ISNUMBER(FIND("保证金",数据录入!$E722))),1,0))</f>
      </c>
      <c r="R722" s="44">
        <f>IF(AND($Q722=1,数据录入!$B722&gt;=$B$2,数据录入!$B722&lt;=$D$2),N(R721)+1,N(R721))</f>
      </c>
    </row>
    <row r="723" s="44" customFormat="1" spans="1:23">
      <c r="A723" s="116"/>
      <c r="E723" s="108"/>
      <c r="F723" s="114"/>
      <c r="G723" s="114"/>
      <c r="H723" s="114"/>
      <c r="Q723" s="44">
        <f>IF(数据录入!$B723="",0,IF(OR(数据录入!$D723="投标保证金",数据录入!$D723="合同履约保证金",ISNUMBER(FIND("保证金",数据录入!$E723))),1,0))</f>
      </c>
      <c r="R723" s="44">
        <f>IF(AND($Q723=1,数据录入!$B723&gt;=$B$2,数据录入!$B723&lt;=$D$2),N(R722)+1,N(R722))</f>
      </c>
    </row>
    <row r="724" s="44" customFormat="1" spans="1:23">
      <c r="A724" s="116"/>
      <c r="E724" s="108"/>
      <c r="F724" s="114"/>
      <c r="G724" s="114"/>
      <c r="H724" s="114"/>
      <c r="Q724" s="44">
        <f>IF(数据录入!$B724="",0,IF(OR(数据录入!$D724="投标保证金",数据录入!$D724="合同履约保证金",ISNUMBER(FIND("保证金",数据录入!$E724))),1,0))</f>
      </c>
      <c r="R724" s="44">
        <f>IF(AND($Q724=1,数据录入!$B724&gt;=$B$2,数据录入!$B724&lt;=$D$2),N(R723)+1,N(R723))</f>
      </c>
    </row>
    <row r="725" s="44" customFormat="1" spans="1:23">
      <c r="A725" s="116"/>
      <c r="E725" s="108"/>
      <c r="F725" s="114"/>
      <c r="G725" s="114"/>
      <c r="H725" s="114"/>
      <c r="Q725" s="44">
        <f>IF(数据录入!$B725="",0,IF(OR(数据录入!$D725="投标保证金",数据录入!$D725="合同履约保证金",ISNUMBER(FIND("保证金",数据录入!$E725))),1,0))</f>
      </c>
      <c r="R725" s="44">
        <f>IF(AND($Q725=1,数据录入!$B725&gt;=$B$2,数据录入!$B725&lt;=$D$2),N(R724)+1,N(R724))</f>
      </c>
    </row>
    <row r="726" s="44" customFormat="1" spans="1:23">
      <c r="A726" s="116"/>
      <c r="E726" s="108"/>
      <c r="F726" s="114"/>
      <c r="G726" s="114"/>
      <c r="H726" s="114"/>
      <c r="Q726" s="44">
        <f>IF(数据录入!$B726="",0,IF(OR(数据录入!$D726="投标保证金",数据录入!$D726="合同履约保证金",ISNUMBER(FIND("保证金",数据录入!$E726))),1,0))</f>
      </c>
      <c r="R726" s="44">
        <f>IF(AND($Q726=1,数据录入!$B726&gt;=$B$2,数据录入!$B726&lt;=$D$2),N(R725)+1,N(R725))</f>
      </c>
    </row>
    <row r="727" s="44" customFormat="1" spans="1:23">
      <c r="A727" s="116"/>
      <c r="E727" s="108"/>
      <c r="F727" s="114"/>
      <c r="G727" s="114"/>
      <c r="H727" s="114"/>
      <c r="Q727" s="44">
        <f>IF(数据录入!$B727="",0,IF(OR(数据录入!$D727="投标保证金",数据录入!$D727="合同履约保证金",ISNUMBER(FIND("保证金",数据录入!$E727))),1,0))</f>
      </c>
      <c r="R727" s="44">
        <f>IF(AND($Q727=1,数据录入!$B727&gt;=$B$2,数据录入!$B727&lt;=$D$2),N(R726)+1,N(R726))</f>
      </c>
    </row>
    <row r="728" s="44" customFormat="1" spans="1:23">
      <c r="A728" s="116"/>
      <c r="E728" s="108"/>
      <c r="F728" s="114"/>
      <c r="G728" s="114"/>
      <c r="H728" s="114"/>
      <c r="Q728" s="44">
        <f>IF(数据录入!$B728="",0,IF(OR(数据录入!$D728="投标保证金",数据录入!$D728="合同履约保证金",ISNUMBER(FIND("保证金",数据录入!$E728))),1,0))</f>
      </c>
      <c r="R728" s="44">
        <f>IF(AND($Q728=1,数据录入!$B728&gt;=$B$2,数据录入!$B728&lt;=$D$2),N(R727)+1,N(R727))</f>
      </c>
    </row>
    <row r="729" s="44" customFormat="1" spans="1:23">
      <c r="A729" s="116"/>
      <c r="E729" s="108"/>
      <c r="F729" s="114"/>
      <c r="G729" s="114"/>
      <c r="H729" s="114"/>
      <c r="Q729" s="44">
        <f>IF(数据录入!$B729="",0,IF(OR(数据录入!$D729="投标保证金",数据录入!$D729="合同履约保证金",ISNUMBER(FIND("保证金",数据录入!$E729))),1,0))</f>
      </c>
      <c r="R729" s="44">
        <f>IF(AND($Q729=1,数据录入!$B729&gt;=$B$2,数据录入!$B729&lt;=$D$2),N(R728)+1,N(R728))</f>
      </c>
    </row>
    <row r="730" s="44" customFormat="1" spans="1:23">
      <c r="A730" s="116"/>
      <c r="E730" s="108"/>
      <c r="F730" s="114"/>
      <c r="G730" s="114"/>
      <c r="H730" s="114"/>
      <c r="Q730" s="44">
        <f>IF(数据录入!$B730="",0,IF(OR(数据录入!$D730="投标保证金",数据录入!$D730="合同履约保证金",ISNUMBER(FIND("保证金",数据录入!$E730))),1,0))</f>
      </c>
      <c r="R730" s="44">
        <f>IF(AND($Q730=1,数据录入!$B730&gt;=$B$2,数据录入!$B730&lt;=$D$2),N(R729)+1,N(R729))</f>
      </c>
    </row>
    <row r="731" s="44" customFormat="1" spans="1:23">
      <c r="A731" s="116"/>
      <c r="E731" s="108"/>
      <c r="F731" s="114"/>
      <c r="G731" s="114"/>
      <c r="H731" s="114"/>
      <c r="Q731" s="44">
        <f>IF(数据录入!$B731="",0,IF(OR(数据录入!$D731="投标保证金",数据录入!$D731="合同履约保证金",ISNUMBER(FIND("保证金",数据录入!$E731))),1,0))</f>
      </c>
      <c r="R731" s="44">
        <f>IF(AND($Q731=1,数据录入!$B731&gt;=$B$2,数据录入!$B731&lt;=$D$2),N(R730)+1,N(R730))</f>
      </c>
    </row>
    <row r="732" s="44" customFormat="1" spans="1:23">
      <c r="A732" s="116"/>
      <c r="E732" s="108"/>
      <c r="F732" s="114"/>
      <c r="G732" s="114"/>
      <c r="H732" s="114"/>
      <c r="Q732" s="44">
        <f>IF(数据录入!$B732="",0,IF(OR(数据录入!$D732="投标保证金",数据录入!$D732="合同履约保证金",ISNUMBER(FIND("保证金",数据录入!$E732))),1,0))</f>
      </c>
      <c r="R732" s="44">
        <f>IF(AND($Q732=1,数据录入!$B732&gt;=$B$2,数据录入!$B732&lt;=$D$2),N(R731)+1,N(R731))</f>
      </c>
    </row>
    <row r="733" s="44" customFormat="1" spans="1:23">
      <c r="A733" s="116"/>
      <c r="E733" s="108"/>
      <c r="F733" s="114"/>
      <c r="G733" s="114"/>
      <c r="H733" s="114"/>
      <c r="Q733" s="44">
        <f>IF(数据录入!$B733="",0,IF(OR(数据录入!$D733="投标保证金",数据录入!$D733="合同履约保证金",ISNUMBER(FIND("保证金",数据录入!$E733))),1,0))</f>
      </c>
      <c r="R733" s="44">
        <f>IF(AND($Q733=1,数据录入!$B733&gt;=$B$2,数据录入!$B733&lt;=$D$2),N(R732)+1,N(R732))</f>
      </c>
    </row>
    <row r="734" s="44" customFormat="1" spans="1:23">
      <c r="A734" s="116"/>
      <c r="E734" s="108"/>
      <c r="F734" s="114"/>
      <c r="G734" s="114"/>
      <c r="H734" s="114"/>
      <c r="Q734" s="44">
        <f>IF(数据录入!$B734="",0,IF(OR(数据录入!$D734="投标保证金",数据录入!$D734="合同履约保证金",ISNUMBER(FIND("保证金",数据录入!$E734))),1,0))</f>
      </c>
      <c r="R734" s="44">
        <f>IF(AND($Q734=1,数据录入!$B734&gt;=$B$2,数据录入!$B734&lt;=$D$2),N(R733)+1,N(R733))</f>
      </c>
    </row>
    <row r="735" s="44" customFormat="1" spans="1:23">
      <c r="A735" s="116"/>
      <c r="E735" s="108"/>
      <c r="F735" s="114"/>
      <c r="G735" s="114"/>
      <c r="H735" s="114"/>
      <c r="Q735" s="44">
        <f>IF(数据录入!$B735="",0,IF(OR(数据录入!$D735="投标保证金",数据录入!$D735="合同履约保证金",ISNUMBER(FIND("保证金",数据录入!$E735))),1,0))</f>
      </c>
      <c r="R735" s="44">
        <f>IF(AND($Q735=1,数据录入!$B735&gt;=$B$2,数据录入!$B735&lt;=$D$2),N(R734)+1,N(R734))</f>
      </c>
    </row>
    <row r="736" s="44" customFormat="1" spans="1:23">
      <c r="A736" s="116"/>
      <c r="E736" s="108"/>
      <c r="F736" s="114"/>
      <c r="G736" s="114"/>
      <c r="H736" s="114"/>
      <c r="Q736" s="44">
        <f>IF(数据录入!$B736="",0,IF(OR(数据录入!$D736="投标保证金",数据录入!$D736="合同履约保证金",ISNUMBER(FIND("保证金",数据录入!$E736))),1,0))</f>
      </c>
      <c r="R736" s="44">
        <f>IF(AND($Q736=1,数据录入!$B736&gt;=$B$2,数据录入!$B736&lt;=$D$2),N(R735)+1,N(R735))</f>
      </c>
    </row>
    <row r="737" s="44" customFormat="1" spans="1:23">
      <c r="A737" s="116"/>
      <c r="E737" s="108"/>
      <c r="F737" s="114"/>
      <c r="G737" s="114"/>
      <c r="H737" s="114"/>
      <c r="Q737" s="44">
        <f>IF(数据录入!$B737="",0,IF(OR(数据录入!$D737="投标保证金",数据录入!$D737="合同履约保证金",ISNUMBER(FIND("保证金",数据录入!$E737))),1,0))</f>
      </c>
      <c r="R737" s="44">
        <f>IF(AND($Q737=1,数据录入!$B737&gt;=$B$2,数据录入!$B737&lt;=$D$2),N(R736)+1,N(R736))</f>
      </c>
    </row>
    <row r="738" s="44" customFormat="1" spans="1:23">
      <c r="A738" s="116"/>
      <c r="E738" s="108"/>
      <c r="F738" s="114"/>
      <c r="G738" s="114"/>
      <c r="H738" s="114"/>
      <c r="Q738" s="44">
        <f>IF(数据录入!$B738="",0,IF(OR(数据录入!$D738="投标保证金",数据录入!$D738="合同履约保证金",ISNUMBER(FIND("保证金",数据录入!$E738))),1,0))</f>
      </c>
      <c r="R738" s="44">
        <f>IF(AND($Q738=1,数据录入!$B738&gt;=$B$2,数据录入!$B738&lt;=$D$2),N(R737)+1,N(R737))</f>
      </c>
    </row>
    <row r="739" s="44" customFormat="1" spans="1:23">
      <c r="A739" s="116"/>
      <c r="E739" s="108"/>
      <c r="F739" s="114"/>
      <c r="G739" s="114"/>
      <c r="H739" s="114"/>
      <c r="Q739" s="44">
        <f>IF(数据录入!$B739="",0,IF(OR(数据录入!$D739="投标保证金",数据录入!$D739="合同履约保证金",ISNUMBER(FIND("保证金",数据录入!$E739))),1,0))</f>
      </c>
      <c r="R739" s="44">
        <f>IF(AND($Q739=1,数据录入!$B739&gt;=$B$2,数据录入!$B739&lt;=$D$2),N(R738)+1,N(R738))</f>
      </c>
    </row>
    <row r="740" s="44" customFormat="1" spans="1:23">
      <c r="A740" s="116"/>
      <c r="E740" s="108"/>
      <c r="F740" s="114"/>
      <c r="G740" s="114"/>
      <c r="H740" s="114"/>
      <c r="Q740" s="44">
        <f>IF(数据录入!$B740="",0,IF(OR(数据录入!$D740="投标保证金",数据录入!$D740="合同履约保证金",ISNUMBER(FIND("保证金",数据录入!$E740))),1,0))</f>
      </c>
      <c r="R740" s="44">
        <f>IF(AND($Q740=1,数据录入!$B740&gt;=$B$2,数据录入!$B740&lt;=$D$2),N(R739)+1,N(R739))</f>
      </c>
    </row>
    <row r="741" s="44" customFormat="1" spans="1:23">
      <c r="A741" s="116"/>
      <c r="E741" s="108"/>
      <c r="F741" s="114"/>
      <c r="G741" s="114"/>
      <c r="H741" s="114"/>
      <c r="Q741" s="44">
        <f>IF(数据录入!$B741="",0,IF(OR(数据录入!$D741="投标保证金",数据录入!$D741="合同履约保证金",ISNUMBER(FIND("保证金",数据录入!$E741))),1,0))</f>
      </c>
      <c r="R741" s="44">
        <f>IF(AND($Q741=1,数据录入!$B741&gt;=$B$2,数据录入!$B741&lt;=$D$2),N(R740)+1,N(R740))</f>
      </c>
    </row>
    <row r="742" s="44" customFormat="1" spans="1:23">
      <c r="A742" s="116"/>
      <c r="E742" s="108"/>
      <c r="F742" s="114"/>
      <c r="G742" s="114"/>
      <c r="H742" s="114"/>
      <c r="Q742" s="44">
        <f>IF(数据录入!$B742="",0,IF(OR(数据录入!$D742="投标保证金",数据录入!$D742="合同履约保证金",ISNUMBER(FIND("保证金",数据录入!$E742))),1,0))</f>
      </c>
      <c r="R742" s="44">
        <f>IF(AND($Q742=1,数据录入!$B742&gt;=$B$2,数据录入!$B742&lt;=$D$2),N(R741)+1,N(R741))</f>
      </c>
    </row>
    <row r="743" s="44" customFormat="1" spans="1:23">
      <c r="A743" s="116"/>
      <c r="E743" s="108"/>
      <c r="F743" s="114"/>
      <c r="G743" s="114"/>
      <c r="H743" s="114"/>
      <c r="Q743" s="44">
        <f>IF(数据录入!$B743="",0,IF(OR(数据录入!$D743="投标保证金",数据录入!$D743="合同履约保证金",ISNUMBER(FIND("保证金",数据录入!$E743))),1,0))</f>
      </c>
      <c r="R743" s="44">
        <f>IF(AND($Q743=1,数据录入!$B743&gt;=$B$2,数据录入!$B743&lt;=$D$2),N(R742)+1,N(R742))</f>
      </c>
    </row>
    <row r="744" s="44" customFormat="1" spans="1:23">
      <c r="A744" s="116"/>
      <c r="E744" s="108"/>
      <c r="F744" s="114"/>
      <c r="G744" s="114"/>
      <c r="H744" s="114"/>
      <c r="Q744" s="44">
        <f>IF(数据录入!$B744="",0,IF(OR(数据录入!$D744="投标保证金",数据录入!$D744="合同履约保证金",ISNUMBER(FIND("保证金",数据录入!$E744))),1,0))</f>
      </c>
      <c r="R744" s="44">
        <f>IF(AND($Q744=1,数据录入!$B744&gt;=$B$2,数据录入!$B744&lt;=$D$2),N(R743)+1,N(R743))</f>
      </c>
    </row>
    <row r="745" s="44" customFormat="1" spans="1:23">
      <c r="A745" s="116"/>
      <c r="E745" s="108"/>
      <c r="F745" s="114"/>
      <c r="G745" s="114"/>
      <c r="H745" s="114"/>
      <c r="Q745" s="44">
        <f>IF(数据录入!$B745="",0,IF(OR(数据录入!$D745="投标保证金",数据录入!$D745="合同履约保证金",ISNUMBER(FIND("保证金",数据录入!$E745))),1,0))</f>
      </c>
      <c r="R745" s="44">
        <f>IF(AND($Q745=1,数据录入!$B745&gt;=$B$2,数据录入!$B745&lt;=$D$2),N(R744)+1,N(R744))</f>
      </c>
    </row>
    <row r="746" s="44" customFormat="1" spans="1:23">
      <c r="A746" s="116"/>
      <c r="E746" s="108"/>
      <c r="F746" s="114"/>
      <c r="G746" s="114"/>
      <c r="H746" s="114"/>
      <c r="Q746" s="44">
        <f>IF(数据录入!$B746="",0,IF(OR(数据录入!$D746="投标保证金",数据录入!$D746="合同履约保证金",ISNUMBER(FIND("保证金",数据录入!$E746))),1,0))</f>
      </c>
      <c r="R746" s="44">
        <f>IF(AND($Q746=1,数据录入!$B746&gt;=$B$2,数据录入!$B746&lt;=$D$2),N(R745)+1,N(R745))</f>
      </c>
    </row>
    <row r="747" s="44" customFormat="1" spans="1:23">
      <c r="A747" s="116"/>
      <c r="E747" s="108"/>
      <c r="F747" s="114"/>
      <c r="G747" s="114"/>
      <c r="H747" s="114"/>
      <c r="Q747" s="44">
        <f>IF(数据录入!$B747="",0,IF(OR(数据录入!$D747="投标保证金",数据录入!$D747="合同履约保证金",ISNUMBER(FIND("保证金",数据录入!$E747))),1,0))</f>
      </c>
      <c r="R747" s="44">
        <f>IF(AND($Q747=1,数据录入!$B747&gt;=$B$2,数据录入!$B747&lt;=$D$2),N(R746)+1,N(R746))</f>
      </c>
    </row>
    <row r="748" s="44" customFormat="1" spans="1:23">
      <c r="A748" s="116"/>
      <c r="E748" s="108"/>
      <c r="F748" s="114"/>
      <c r="G748" s="114"/>
      <c r="H748" s="114"/>
      <c r="Q748" s="44">
        <f>IF(数据录入!$B748="",0,IF(OR(数据录入!$D748="投标保证金",数据录入!$D748="合同履约保证金",ISNUMBER(FIND("保证金",数据录入!$E748))),1,0))</f>
      </c>
      <c r="R748" s="44">
        <f>IF(AND($Q748=1,数据录入!$B748&gt;=$B$2,数据录入!$B748&lt;=$D$2),N(R747)+1,N(R747))</f>
      </c>
    </row>
    <row r="749" s="44" customFormat="1" spans="1:23">
      <c r="A749" s="116"/>
      <c r="E749" s="108"/>
      <c r="F749" s="114"/>
      <c r="G749" s="114"/>
      <c r="H749" s="114"/>
      <c r="Q749" s="44">
        <f>IF(数据录入!$B749="",0,IF(OR(数据录入!$D749="投标保证金",数据录入!$D749="合同履约保证金",ISNUMBER(FIND("保证金",数据录入!$E749))),1,0))</f>
      </c>
      <c r="R749" s="44">
        <f>IF(AND($Q749=1,数据录入!$B749&gt;=$B$2,数据录入!$B749&lt;=$D$2),N(R748)+1,N(R748))</f>
      </c>
    </row>
    <row r="750" s="44" customFormat="1" spans="1:23">
      <c r="A750" s="116"/>
      <c r="E750" s="108"/>
      <c r="F750" s="114"/>
      <c r="G750" s="114"/>
      <c r="H750" s="114"/>
      <c r="Q750" s="44">
        <f>IF(数据录入!$B750="",0,IF(OR(数据录入!$D750="投标保证金",数据录入!$D750="合同履约保证金",ISNUMBER(FIND("保证金",数据录入!$E750))),1,0))</f>
      </c>
      <c r="R750" s="44">
        <f>IF(AND($Q750=1,数据录入!$B750&gt;=$B$2,数据录入!$B750&lt;=$D$2),N(R749)+1,N(R749))</f>
      </c>
    </row>
    <row r="751" s="44" customFormat="1" spans="1:23">
      <c r="A751" s="116"/>
      <c r="E751" s="108"/>
      <c r="F751" s="114"/>
      <c r="G751" s="114"/>
      <c r="H751" s="114"/>
      <c r="Q751" s="44">
        <f>IF(数据录入!$B751="",0,IF(OR(数据录入!$D751="投标保证金",数据录入!$D751="合同履约保证金",ISNUMBER(FIND("保证金",数据录入!$E751))),1,0))</f>
      </c>
      <c r="R751" s="44">
        <f>IF(AND($Q751=1,数据录入!$B751&gt;=$B$2,数据录入!$B751&lt;=$D$2),N(R750)+1,N(R750))</f>
      </c>
    </row>
    <row r="752" s="44" customFormat="1" spans="1:23">
      <c r="A752" s="116"/>
      <c r="E752" s="108"/>
      <c r="F752" s="114"/>
      <c r="G752" s="114"/>
      <c r="H752" s="114"/>
      <c r="Q752" s="44">
        <f>IF(数据录入!$B752="",0,IF(OR(数据录入!$D752="投标保证金",数据录入!$D752="合同履约保证金",ISNUMBER(FIND("保证金",数据录入!$E752))),1,0))</f>
      </c>
      <c r="R752" s="44">
        <f>IF(AND($Q752=1,数据录入!$B752&gt;=$B$2,数据录入!$B752&lt;=$D$2),N(R751)+1,N(R751))</f>
      </c>
    </row>
    <row r="753" s="44" customFormat="1" spans="1:23">
      <c r="A753" s="116"/>
      <c r="E753" s="108"/>
      <c r="F753" s="114"/>
      <c r="G753" s="114"/>
      <c r="H753" s="114"/>
      <c r="Q753" s="44">
        <f>IF(数据录入!$B753="",0,IF(OR(数据录入!$D753="投标保证金",数据录入!$D753="合同履约保证金",ISNUMBER(FIND("保证金",数据录入!$E753))),1,0))</f>
      </c>
      <c r="R753" s="44">
        <f>IF(AND($Q753=1,数据录入!$B753&gt;=$B$2,数据录入!$B753&lt;=$D$2),N(R752)+1,N(R752))</f>
      </c>
    </row>
    <row r="754" s="44" customFormat="1" spans="1:23">
      <c r="A754" s="116"/>
      <c r="E754" s="108"/>
      <c r="F754" s="114"/>
      <c r="G754" s="114"/>
      <c r="H754" s="114"/>
      <c r="Q754" s="44">
        <f>IF(数据录入!$B754="",0,IF(OR(数据录入!$D754="投标保证金",数据录入!$D754="合同履约保证金",ISNUMBER(FIND("保证金",数据录入!$E754))),1,0))</f>
      </c>
      <c r="R754" s="44">
        <f>IF(AND($Q754=1,数据录入!$B754&gt;=$B$2,数据录入!$B754&lt;=$D$2),N(R753)+1,N(R753))</f>
      </c>
    </row>
    <row r="755" s="44" customFormat="1" spans="1:23">
      <c r="A755" s="116"/>
      <c r="E755" s="108"/>
      <c r="F755" s="114"/>
      <c r="G755" s="114"/>
      <c r="H755" s="114"/>
      <c r="Q755" s="44">
        <f>IF(数据录入!$B755="",0,IF(OR(数据录入!$D755="投标保证金",数据录入!$D755="合同履约保证金",ISNUMBER(FIND("保证金",数据录入!$E755))),1,0))</f>
      </c>
      <c r="R755" s="44">
        <f>IF(AND($Q755=1,数据录入!$B755&gt;=$B$2,数据录入!$B755&lt;=$D$2),N(R754)+1,N(R754))</f>
      </c>
    </row>
    <row r="756" s="44" customFormat="1" spans="1:23">
      <c r="A756" s="116"/>
      <c r="E756" s="108"/>
      <c r="F756" s="114"/>
      <c r="G756" s="114"/>
      <c r="H756" s="114"/>
      <c r="Q756" s="44">
        <f>IF(数据录入!$B756="",0,IF(OR(数据录入!$D756="投标保证金",数据录入!$D756="合同履约保证金",ISNUMBER(FIND("保证金",数据录入!$E756))),1,0))</f>
      </c>
      <c r="R756" s="44">
        <f>IF(AND($Q756=1,数据录入!$B756&gt;=$B$2,数据录入!$B756&lt;=$D$2),N(R755)+1,N(R755))</f>
      </c>
    </row>
    <row r="757" s="44" customFormat="1" spans="1:23">
      <c r="A757" s="116"/>
      <c r="E757" s="108"/>
      <c r="F757" s="114"/>
      <c r="G757" s="114"/>
      <c r="H757" s="114"/>
      <c r="Q757" s="44">
        <f>IF(数据录入!$B757="",0,IF(OR(数据录入!$D757="投标保证金",数据录入!$D757="合同履约保证金",ISNUMBER(FIND("保证金",数据录入!$E757))),1,0))</f>
      </c>
      <c r="R757" s="44">
        <f>IF(AND($Q757=1,数据录入!$B757&gt;=$B$2,数据录入!$B757&lt;=$D$2),N(R756)+1,N(R756))</f>
      </c>
    </row>
    <row r="758" s="44" customFormat="1" spans="1:23">
      <c r="A758" s="116"/>
      <c r="E758" s="108"/>
      <c r="F758" s="114"/>
      <c r="G758" s="114"/>
      <c r="H758" s="114"/>
      <c r="Q758" s="44">
        <f>IF(数据录入!$B758="",0,IF(OR(数据录入!$D758="投标保证金",数据录入!$D758="合同履约保证金",ISNUMBER(FIND("保证金",数据录入!$E758))),1,0))</f>
      </c>
      <c r="R758" s="44">
        <f>IF(AND($Q758=1,数据录入!$B758&gt;=$B$2,数据录入!$B758&lt;=$D$2),N(R757)+1,N(R757))</f>
      </c>
    </row>
    <row r="759" s="44" customFormat="1" spans="1:23">
      <c r="A759" s="116"/>
      <c r="E759" s="108"/>
      <c r="F759" s="114"/>
      <c r="G759" s="114"/>
      <c r="H759" s="114"/>
      <c r="Q759" s="44">
        <f>IF(数据录入!$B759="",0,IF(OR(数据录入!$D759="投标保证金",数据录入!$D759="合同履约保证金",ISNUMBER(FIND("保证金",数据录入!$E759))),1,0))</f>
      </c>
      <c r="R759" s="44">
        <f>IF(AND($Q759=1,数据录入!$B759&gt;=$B$2,数据录入!$B759&lt;=$D$2),N(R758)+1,N(R758))</f>
      </c>
    </row>
    <row r="760" s="44" customFormat="1" spans="1:23">
      <c r="A760" s="116"/>
      <c r="E760" s="108"/>
      <c r="F760" s="114"/>
      <c r="G760" s="114"/>
      <c r="H760" s="114"/>
      <c r="Q760" s="44">
        <f>IF(数据录入!$B760="",0,IF(OR(数据录入!$D760="投标保证金",数据录入!$D760="合同履约保证金",ISNUMBER(FIND("保证金",数据录入!$E760))),1,0))</f>
      </c>
      <c r="R760" s="44">
        <f>IF(AND($Q760=1,数据录入!$B760&gt;=$B$2,数据录入!$B760&lt;=$D$2),N(R759)+1,N(R759))</f>
      </c>
    </row>
    <row r="761" s="44" customFormat="1" spans="1:23">
      <c r="A761" s="116"/>
      <c r="E761" s="108"/>
      <c r="F761" s="114"/>
      <c r="G761" s="114"/>
      <c r="H761" s="114"/>
      <c r="Q761" s="44">
        <f>IF(数据录入!$B761="",0,IF(OR(数据录入!$D761="投标保证金",数据录入!$D761="合同履约保证金",ISNUMBER(FIND("保证金",数据录入!$E761))),1,0))</f>
      </c>
      <c r="R761" s="44">
        <f>IF(AND($Q761=1,数据录入!$B761&gt;=$B$2,数据录入!$B761&lt;=$D$2),N(R760)+1,N(R760))</f>
      </c>
    </row>
    <row r="762" s="44" customFormat="1" spans="1:23">
      <c r="A762" s="116"/>
      <c r="E762" s="108"/>
      <c r="F762" s="114"/>
      <c r="G762" s="114"/>
      <c r="H762" s="114"/>
      <c r="Q762" s="44">
        <f>IF(数据录入!$B762="",0,IF(OR(数据录入!$D762="投标保证金",数据录入!$D762="合同履约保证金",ISNUMBER(FIND("保证金",数据录入!$E762))),1,0))</f>
      </c>
      <c r="R762" s="44">
        <f>IF(AND($Q762=1,数据录入!$B762&gt;=$B$2,数据录入!$B762&lt;=$D$2),N(R761)+1,N(R761))</f>
      </c>
    </row>
    <row r="763" s="44" customFormat="1" spans="1:23">
      <c r="A763" s="116"/>
      <c r="E763" s="108"/>
      <c r="F763" s="114"/>
      <c r="G763" s="114"/>
      <c r="H763" s="114"/>
      <c r="Q763" s="44">
        <f>IF(数据录入!$B763="",0,IF(OR(数据录入!$D763="投标保证金",数据录入!$D763="合同履约保证金",ISNUMBER(FIND("保证金",数据录入!$E763))),1,0))</f>
      </c>
      <c r="R763" s="44">
        <f>IF(AND($Q763=1,数据录入!$B763&gt;=$B$2,数据录入!$B763&lt;=$D$2),N(R762)+1,N(R762))</f>
      </c>
    </row>
    <row r="764" s="44" customFormat="1" spans="1:23">
      <c r="A764" s="116"/>
      <c r="E764" s="108"/>
      <c r="F764" s="114"/>
      <c r="G764" s="114"/>
      <c r="H764" s="114"/>
      <c r="Q764" s="44">
        <f>IF(数据录入!$B764="",0,IF(OR(数据录入!$D764="投标保证金",数据录入!$D764="合同履约保证金",ISNUMBER(FIND("保证金",数据录入!$E764))),1,0))</f>
      </c>
      <c r="R764" s="44">
        <f>IF(AND($Q764=1,数据录入!$B764&gt;=$B$2,数据录入!$B764&lt;=$D$2),N(R763)+1,N(R763))</f>
      </c>
    </row>
    <row r="765" s="44" customFormat="1" spans="1:23">
      <c r="A765" s="116"/>
      <c r="E765" s="108"/>
      <c r="F765" s="114"/>
      <c r="G765" s="114"/>
      <c r="H765" s="114"/>
      <c r="Q765" s="44">
        <f>IF(数据录入!$B765="",0,IF(OR(数据录入!$D765="投标保证金",数据录入!$D765="合同履约保证金",ISNUMBER(FIND("保证金",数据录入!$E765))),1,0))</f>
      </c>
      <c r="R765" s="44">
        <f>IF(AND($Q765=1,数据录入!$B765&gt;=$B$2,数据录入!$B765&lt;=$D$2),N(R764)+1,N(R764))</f>
      </c>
    </row>
    <row r="766" s="44" customFormat="1" spans="1:23">
      <c r="A766" s="116"/>
      <c r="E766" s="108"/>
      <c r="F766" s="114"/>
      <c r="G766" s="114"/>
      <c r="H766" s="114"/>
      <c r="Q766" s="44">
        <f>IF(数据录入!$B766="",0,IF(OR(数据录入!$D766="投标保证金",数据录入!$D766="合同履约保证金",ISNUMBER(FIND("保证金",数据录入!$E766))),1,0))</f>
      </c>
      <c r="R766" s="44">
        <f>IF(AND($Q766=1,数据录入!$B766&gt;=$B$2,数据录入!$B766&lt;=$D$2),N(R765)+1,N(R765))</f>
      </c>
    </row>
    <row r="767" s="44" customFormat="1" spans="1:23">
      <c r="A767" s="116"/>
      <c r="E767" s="108"/>
      <c r="F767" s="114"/>
      <c r="G767" s="114"/>
      <c r="H767" s="114"/>
      <c r="Q767" s="44">
        <f>IF(数据录入!$B767="",0,IF(OR(数据录入!$D767="投标保证金",数据录入!$D767="合同履约保证金",ISNUMBER(FIND("保证金",数据录入!$E767))),1,0))</f>
      </c>
      <c r="R767" s="44">
        <f>IF(AND($Q767=1,数据录入!$B767&gt;=$B$2,数据录入!$B767&lt;=$D$2),N(R766)+1,N(R766))</f>
      </c>
    </row>
    <row r="768" s="44" customFormat="1" spans="1:23">
      <c r="A768" s="116"/>
      <c r="E768" s="108"/>
      <c r="F768" s="114"/>
      <c r="G768" s="114"/>
      <c r="H768" s="114"/>
      <c r="Q768" s="44">
        <f>IF(数据录入!$B768="",0,IF(OR(数据录入!$D768="投标保证金",数据录入!$D768="合同履约保证金",ISNUMBER(FIND("保证金",数据录入!$E768))),1,0))</f>
      </c>
      <c r="R768" s="44">
        <f>IF(AND($Q768=1,数据录入!$B768&gt;=$B$2,数据录入!$B768&lt;=$D$2),N(R767)+1,N(R767))</f>
      </c>
    </row>
    <row r="769" s="44" customFormat="1" spans="1:23">
      <c r="A769" s="116"/>
      <c r="E769" s="108"/>
      <c r="F769" s="114"/>
      <c r="G769" s="114"/>
      <c r="H769" s="114"/>
      <c r="Q769" s="44">
        <f>IF(数据录入!$B769="",0,IF(OR(数据录入!$D769="投标保证金",数据录入!$D769="合同履约保证金",ISNUMBER(FIND("保证金",数据录入!$E769))),1,0))</f>
      </c>
      <c r="R769" s="44">
        <f>IF(AND($Q769=1,数据录入!$B769&gt;=$B$2,数据录入!$B769&lt;=$D$2),N(R768)+1,N(R768))</f>
      </c>
    </row>
    <row r="770" s="44" customFormat="1" spans="1:23">
      <c r="A770" s="116"/>
      <c r="E770" s="108"/>
      <c r="F770" s="114"/>
      <c r="G770" s="114"/>
      <c r="H770" s="114"/>
      <c r="Q770" s="44">
        <f>IF(数据录入!$B770="",0,IF(OR(数据录入!$D770="投标保证金",数据录入!$D770="合同履约保证金",ISNUMBER(FIND("保证金",数据录入!$E770))),1,0))</f>
      </c>
      <c r="R770" s="44">
        <f>IF(AND($Q770=1,数据录入!$B770&gt;=$B$2,数据录入!$B770&lt;=$D$2),N(R769)+1,N(R769))</f>
      </c>
    </row>
    <row r="771" s="44" customFormat="1" spans="1:23">
      <c r="A771" s="116"/>
      <c r="E771" s="108"/>
      <c r="F771" s="114"/>
      <c r="G771" s="114"/>
      <c r="H771" s="114"/>
      <c r="Q771" s="44">
        <f>IF(数据录入!$B771="",0,IF(OR(数据录入!$D771="投标保证金",数据录入!$D771="合同履约保证金",ISNUMBER(FIND("保证金",数据录入!$E771))),1,0))</f>
      </c>
      <c r="R771" s="44">
        <f>IF(AND($Q771=1,数据录入!$B771&gt;=$B$2,数据录入!$B771&lt;=$D$2),N(R770)+1,N(R770))</f>
      </c>
    </row>
    <row r="772" s="44" customFormat="1" spans="1:23">
      <c r="A772" s="116"/>
      <c r="E772" s="108"/>
      <c r="F772" s="114"/>
      <c r="G772" s="114"/>
      <c r="H772" s="114"/>
      <c r="Q772" s="44">
        <f>IF(数据录入!$B772="",0,IF(OR(数据录入!$D772="投标保证金",数据录入!$D772="合同履约保证金",ISNUMBER(FIND("保证金",数据录入!$E772))),1,0))</f>
      </c>
      <c r="R772" s="44">
        <f>IF(AND($Q772=1,数据录入!$B772&gt;=$B$2,数据录入!$B772&lt;=$D$2),N(R771)+1,N(R771))</f>
      </c>
    </row>
    <row r="773" s="44" customFormat="1" spans="1:23">
      <c r="A773" s="116"/>
      <c r="E773" s="108"/>
      <c r="F773" s="114"/>
      <c r="G773" s="114"/>
      <c r="H773" s="114"/>
      <c r="Q773" s="44">
        <f>IF(数据录入!$B773="",0,IF(OR(数据录入!$D773="投标保证金",数据录入!$D773="合同履约保证金",ISNUMBER(FIND("保证金",数据录入!$E773))),1,0))</f>
      </c>
      <c r="R773" s="44">
        <f>IF(AND($Q773=1,数据录入!$B773&gt;=$B$2,数据录入!$B773&lt;=$D$2),N(R772)+1,N(R772))</f>
      </c>
    </row>
    <row r="774" s="44" customFormat="1" spans="1:23">
      <c r="A774" s="116"/>
      <c r="E774" s="108"/>
      <c r="F774" s="114"/>
      <c r="G774" s="114"/>
      <c r="H774" s="114"/>
      <c r="Q774" s="44">
        <f>IF(数据录入!$B774="",0,IF(OR(数据录入!$D774="投标保证金",数据录入!$D774="合同履约保证金",ISNUMBER(FIND("保证金",数据录入!$E774))),1,0))</f>
      </c>
      <c r="R774" s="44">
        <f>IF(AND($Q774=1,数据录入!$B774&gt;=$B$2,数据录入!$B774&lt;=$D$2),N(R773)+1,N(R773))</f>
      </c>
    </row>
    <row r="775" s="44" customFormat="1" spans="1:23">
      <c r="A775" s="116"/>
      <c r="E775" s="108"/>
      <c r="F775" s="114"/>
      <c r="G775" s="114"/>
      <c r="H775" s="114"/>
      <c r="Q775" s="44">
        <f>IF(数据录入!$B775="",0,IF(OR(数据录入!$D775="投标保证金",数据录入!$D775="合同履约保证金",ISNUMBER(FIND("保证金",数据录入!$E775))),1,0))</f>
      </c>
      <c r="R775" s="44">
        <f>IF(AND($Q775=1,数据录入!$B775&gt;=$B$2,数据录入!$B775&lt;=$D$2),N(R774)+1,N(R774))</f>
      </c>
    </row>
    <row r="776" s="44" customFormat="1" spans="1:23">
      <c r="A776" s="116"/>
      <c r="E776" s="108"/>
      <c r="F776" s="114"/>
      <c r="G776" s="114"/>
      <c r="H776" s="114"/>
      <c r="Q776" s="44">
        <f>IF(数据录入!$B776="",0,IF(OR(数据录入!$D776="投标保证金",数据录入!$D776="合同履约保证金",ISNUMBER(FIND("保证金",数据录入!$E776))),1,0))</f>
      </c>
      <c r="R776" s="44">
        <f>IF(AND($Q776=1,数据录入!$B776&gt;=$B$2,数据录入!$B776&lt;=$D$2),N(R775)+1,N(R775))</f>
      </c>
    </row>
    <row r="777" s="44" customFormat="1" spans="1:23">
      <c r="A777" s="116"/>
      <c r="E777" s="108"/>
      <c r="F777" s="114"/>
      <c r="G777" s="114"/>
      <c r="H777" s="114"/>
      <c r="Q777" s="44">
        <f>IF(数据录入!$B777="",0,IF(OR(数据录入!$D777="投标保证金",数据录入!$D777="合同履约保证金",ISNUMBER(FIND("保证金",数据录入!$E777))),1,0))</f>
      </c>
      <c r="R777" s="44">
        <f>IF(AND($Q777=1,数据录入!$B777&gt;=$B$2,数据录入!$B777&lt;=$D$2),N(R776)+1,N(R776))</f>
      </c>
    </row>
    <row r="778" s="44" customFormat="1" spans="1:23">
      <c r="A778" s="116"/>
      <c r="E778" s="108"/>
      <c r="F778" s="114"/>
      <c r="G778" s="114"/>
      <c r="H778" s="114"/>
      <c r="Q778" s="44">
        <f>IF(数据录入!$B778="",0,IF(OR(数据录入!$D778="投标保证金",数据录入!$D778="合同履约保证金",ISNUMBER(FIND("保证金",数据录入!$E778))),1,0))</f>
      </c>
      <c r="R778" s="44">
        <f>IF(AND($Q778=1,数据录入!$B778&gt;=$B$2,数据录入!$B778&lt;=$D$2),N(R777)+1,N(R777))</f>
      </c>
    </row>
    <row r="779" s="44" customFormat="1" spans="1:23">
      <c r="A779" s="116"/>
      <c r="E779" s="108"/>
      <c r="F779" s="114"/>
      <c r="G779" s="114"/>
      <c r="H779" s="114"/>
      <c r="Q779" s="44">
        <f>IF(数据录入!$B779="",0,IF(OR(数据录入!$D779="投标保证金",数据录入!$D779="合同履约保证金",ISNUMBER(FIND("保证金",数据录入!$E779))),1,0))</f>
      </c>
      <c r="R779" s="44">
        <f>IF(AND($Q779=1,数据录入!$B779&gt;=$B$2,数据录入!$B779&lt;=$D$2),N(R778)+1,N(R778))</f>
      </c>
    </row>
    <row r="780" s="44" customFormat="1" spans="1:23">
      <c r="A780" s="116"/>
      <c r="E780" s="108"/>
      <c r="F780" s="114"/>
      <c r="G780" s="114"/>
      <c r="H780" s="114"/>
      <c r="Q780" s="44">
        <f>IF(数据录入!$B780="",0,IF(OR(数据录入!$D780="投标保证金",数据录入!$D780="合同履约保证金",ISNUMBER(FIND("保证金",数据录入!$E780))),1,0))</f>
      </c>
      <c r="R780" s="44">
        <f>IF(AND($Q780=1,数据录入!$B780&gt;=$B$2,数据录入!$B780&lt;=$D$2),N(R779)+1,N(R779))</f>
      </c>
    </row>
    <row r="781" s="44" customFormat="1" spans="1:23">
      <c r="A781" s="116"/>
      <c r="E781" s="108"/>
      <c r="F781" s="114"/>
      <c r="G781" s="114"/>
      <c r="H781" s="114"/>
      <c r="Q781" s="44">
        <f>IF(数据录入!$B781="",0,IF(OR(数据录入!$D781="投标保证金",数据录入!$D781="合同履约保证金",ISNUMBER(FIND("保证金",数据录入!$E781))),1,0))</f>
      </c>
      <c r="R781" s="44">
        <f>IF(AND($Q781=1,数据录入!$B781&gt;=$B$2,数据录入!$B781&lt;=$D$2),N(R780)+1,N(R780))</f>
      </c>
    </row>
    <row r="782" s="44" customFormat="1" spans="1:23">
      <c r="A782" s="116"/>
      <c r="E782" s="108"/>
      <c r="F782" s="114"/>
      <c r="G782" s="114"/>
      <c r="H782" s="114"/>
      <c r="Q782" s="44">
        <f>IF(数据录入!$B782="",0,IF(OR(数据录入!$D782="投标保证金",数据录入!$D782="合同履约保证金",ISNUMBER(FIND("保证金",数据录入!$E782))),1,0))</f>
      </c>
      <c r="R782" s="44">
        <f>IF(AND($Q782=1,数据录入!$B782&gt;=$B$2,数据录入!$B782&lt;=$D$2),N(R781)+1,N(R781))</f>
      </c>
    </row>
    <row r="783" s="44" customFormat="1" spans="1:23">
      <c r="A783" s="116"/>
      <c r="E783" s="108"/>
      <c r="F783" s="114"/>
      <c r="G783" s="114"/>
      <c r="H783" s="114"/>
      <c r="Q783" s="44">
        <f>IF(数据录入!$B783="",0,IF(OR(数据录入!$D783="投标保证金",数据录入!$D783="合同履约保证金",ISNUMBER(FIND("保证金",数据录入!$E783))),1,0))</f>
      </c>
      <c r="R783" s="44">
        <f>IF(AND($Q783=1,数据录入!$B783&gt;=$B$2,数据录入!$B783&lt;=$D$2),N(R782)+1,N(R782))</f>
      </c>
    </row>
    <row r="784" s="44" customFormat="1" spans="1:23">
      <c r="A784" s="116"/>
      <c r="E784" s="108"/>
      <c r="F784" s="114"/>
      <c r="G784" s="114"/>
      <c r="H784" s="114"/>
      <c r="Q784" s="44">
        <f>IF(数据录入!$B784="",0,IF(OR(数据录入!$D784="投标保证金",数据录入!$D784="合同履约保证金",ISNUMBER(FIND("保证金",数据录入!$E784))),1,0))</f>
      </c>
      <c r="R784" s="44">
        <f>IF(AND($Q784=1,数据录入!$B784&gt;=$B$2,数据录入!$B784&lt;=$D$2),N(R783)+1,N(R783))</f>
      </c>
    </row>
    <row r="785" s="44" customFormat="1" spans="1:23">
      <c r="A785" s="116"/>
      <c r="E785" s="108"/>
      <c r="F785" s="114"/>
      <c r="G785" s="114"/>
      <c r="H785" s="114"/>
      <c r="Q785" s="44">
        <f>IF(数据录入!$B785="",0,IF(OR(数据录入!$D785="投标保证金",数据录入!$D785="合同履约保证金",ISNUMBER(FIND("保证金",数据录入!$E785))),1,0))</f>
      </c>
      <c r="R785" s="44">
        <f>IF(AND($Q785=1,数据录入!$B785&gt;=$B$2,数据录入!$B785&lt;=$D$2),N(R784)+1,N(R784))</f>
      </c>
    </row>
    <row r="786" s="44" customFormat="1" spans="1:23">
      <c r="A786" s="116"/>
      <c r="E786" s="108"/>
      <c r="F786" s="114"/>
      <c r="G786" s="114"/>
      <c r="H786" s="114"/>
      <c r="Q786" s="44">
        <f>IF(数据录入!$B786="",0,IF(OR(数据录入!$D786="投标保证金",数据录入!$D786="合同履约保证金",ISNUMBER(FIND("保证金",数据录入!$E786))),1,0))</f>
      </c>
      <c r="R786" s="44">
        <f>IF(AND($Q786=1,数据录入!$B786&gt;=$B$2,数据录入!$B786&lt;=$D$2),N(R785)+1,N(R785))</f>
      </c>
    </row>
    <row r="787" s="44" customFormat="1" spans="1:23">
      <c r="A787" s="116"/>
      <c r="E787" s="108"/>
      <c r="F787" s="114"/>
      <c r="G787" s="114"/>
      <c r="H787" s="114"/>
      <c r="Q787" s="44">
        <f>IF(数据录入!$B787="",0,IF(OR(数据录入!$D787="投标保证金",数据录入!$D787="合同履约保证金",ISNUMBER(FIND("保证金",数据录入!$E787))),1,0))</f>
      </c>
      <c r="R787" s="44">
        <f>IF(AND($Q787=1,数据录入!$B787&gt;=$B$2,数据录入!$B787&lt;=$D$2),N(R786)+1,N(R786))</f>
      </c>
    </row>
    <row r="788" s="44" customFormat="1" spans="1:23">
      <c r="A788" s="116"/>
      <c r="E788" s="108"/>
      <c r="F788" s="114"/>
      <c r="G788" s="114"/>
      <c r="H788" s="114"/>
      <c r="Q788" s="44">
        <f>IF(数据录入!$B788="",0,IF(OR(数据录入!$D788="投标保证金",数据录入!$D788="合同履约保证金",ISNUMBER(FIND("保证金",数据录入!$E788))),1,0))</f>
      </c>
      <c r="R788" s="44">
        <f>IF(AND($Q788=1,数据录入!$B788&gt;=$B$2,数据录入!$B788&lt;=$D$2),N(R787)+1,N(R787))</f>
      </c>
    </row>
    <row r="789" s="44" customFormat="1" spans="1:23">
      <c r="A789" s="116"/>
      <c r="E789" s="108"/>
      <c r="F789" s="114"/>
      <c r="G789" s="114"/>
      <c r="H789" s="114"/>
      <c r="Q789" s="44">
        <f>IF(数据录入!$B789="",0,IF(OR(数据录入!$D789="投标保证金",数据录入!$D789="合同履约保证金",ISNUMBER(FIND("保证金",数据录入!$E789))),1,0))</f>
      </c>
      <c r="R789" s="44">
        <f>IF(AND($Q789=1,数据录入!$B789&gt;=$B$2,数据录入!$B789&lt;=$D$2),N(R788)+1,N(R788))</f>
      </c>
    </row>
    <row r="790" s="44" customFormat="1" spans="1:23">
      <c r="A790" s="116"/>
      <c r="E790" s="108"/>
      <c r="F790" s="114"/>
      <c r="G790" s="114"/>
      <c r="H790" s="114"/>
      <c r="Q790" s="44">
        <f>IF(数据录入!$B790="",0,IF(OR(数据录入!$D790="投标保证金",数据录入!$D790="合同履约保证金",ISNUMBER(FIND("保证金",数据录入!$E790))),1,0))</f>
      </c>
      <c r="R790" s="44">
        <f>IF(AND($Q790=1,数据录入!$B790&gt;=$B$2,数据录入!$B790&lt;=$D$2),N(R789)+1,N(R789))</f>
      </c>
    </row>
    <row r="791" s="44" customFormat="1" spans="1:23">
      <c r="A791" s="116"/>
      <c r="E791" s="108"/>
      <c r="F791" s="114"/>
      <c r="G791" s="114"/>
      <c r="H791" s="114"/>
      <c r="Q791" s="44">
        <f>IF(数据录入!$B791="",0,IF(OR(数据录入!$D791="投标保证金",数据录入!$D791="合同履约保证金",ISNUMBER(FIND("保证金",数据录入!$E791))),1,0))</f>
      </c>
      <c r="R791" s="44">
        <f>IF(AND($Q791=1,数据录入!$B791&gt;=$B$2,数据录入!$B791&lt;=$D$2),N(R790)+1,N(R790))</f>
      </c>
    </row>
    <row r="792" s="44" customFormat="1" spans="1:23">
      <c r="A792" s="116"/>
      <c r="E792" s="108"/>
      <c r="F792" s="114"/>
      <c r="G792" s="114"/>
      <c r="H792" s="114"/>
      <c r="Q792" s="44">
        <f>IF(数据录入!$B792="",0,IF(OR(数据录入!$D792="投标保证金",数据录入!$D792="合同履约保证金",ISNUMBER(FIND("保证金",数据录入!$E792))),1,0))</f>
      </c>
      <c r="R792" s="44">
        <f>IF(AND($Q792=1,数据录入!$B792&gt;=$B$2,数据录入!$B792&lt;=$D$2),N(R791)+1,N(R791))</f>
      </c>
    </row>
    <row r="793" s="44" customFormat="1" spans="1:23">
      <c r="A793" s="116"/>
      <c r="E793" s="108"/>
      <c r="F793" s="114"/>
      <c r="G793" s="114"/>
      <c r="H793" s="114"/>
      <c r="Q793" s="44">
        <f>IF(数据录入!$B793="",0,IF(OR(数据录入!$D793="投标保证金",数据录入!$D793="合同履约保证金",ISNUMBER(FIND("保证金",数据录入!$E793))),1,0))</f>
      </c>
      <c r="R793" s="44">
        <f>IF(AND($Q793=1,数据录入!$B793&gt;=$B$2,数据录入!$B793&lt;=$D$2),N(R792)+1,N(R792))</f>
      </c>
    </row>
    <row r="794" s="44" customFormat="1" spans="1:23">
      <c r="A794" s="116"/>
      <c r="E794" s="108"/>
      <c r="F794" s="114"/>
      <c r="G794" s="114"/>
      <c r="H794" s="114"/>
      <c r="Q794" s="44">
        <f>IF(数据录入!$B794="",0,IF(OR(数据录入!$D794="投标保证金",数据录入!$D794="合同履约保证金",ISNUMBER(FIND("保证金",数据录入!$E794))),1,0))</f>
      </c>
      <c r="R794" s="44">
        <f>IF(AND($Q794=1,数据录入!$B794&gt;=$B$2,数据录入!$B794&lt;=$D$2),N(R793)+1,N(R793))</f>
      </c>
    </row>
    <row r="795" s="44" customFormat="1" spans="1:23">
      <c r="A795" s="116"/>
      <c r="E795" s="108"/>
      <c r="F795" s="114"/>
      <c r="G795" s="114"/>
      <c r="H795" s="114"/>
      <c r="Q795" s="44">
        <f>IF(数据录入!$B795="",0,IF(OR(数据录入!$D795="投标保证金",数据录入!$D795="合同履约保证金",ISNUMBER(FIND("保证金",数据录入!$E795))),1,0))</f>
      </c>
      <c r="R795" s="44">
        <f>IF(AND($Q795=1,数据录入!$B795&gt;=$B$2,数据录入!$B795&lt;=$D$2),N(R794)+1,N(R794))</f>
      </c>
    </row>
    <row r="796" s="44" customFormat="1" spans="1:23">
      <c r="A796" s="116"/>
      <c r="E796" s="108"/>
      <c r="F796" s="114"/>
      <c r="G796" s="114"/>
      <c r="H796" s="114"/>
      <c r="Q796" s="44">
        <f>IF(数据录入!$B796="",0,IF(OR(数据录入!$D796="投标保证金",数据录入!$D796="合同履约保证金",ISNUMBER(FIND("保证金",数据录入!$E796))),1,0))</f>
      </c>
      <c r="R796" s="44">
        <f>IF(AND($Q796=1,数据录入!$B796&gt;=$B$2,数据录入!$B796&lt;=$D$2),N(R795)+1,N(R795))</f>
      </c>
    </row>
    <row r="797" s="44" customFormat="1" spans="1:23">
      <c r="A797" s="116"/>
      <c r="E797" s="108"/>
      <c r="F797" s="114"/>
      <c r="G797" s="114"/>
      <c r="H797" s="114"/>
      <c r="Q797" s="44">
        <f>IF(数据录入!$B797="",0,IF(OR(数据录入!$D797="投标保证金",数据录入!$D797="合同履约保证金",ISNUMBER(FIND("保证金",数据录入!$E797))),1,0))</f>
      </c>
      <c r="R797" s="44">
        <f>IF(AND($Q797=1,数据录入!$B797&gt;=$B$2,数据录入!$B797&lt;=$D$2),N(R796)+1,N(R796))</f>
      </c>
    </row>
    <row r="798" s="44" customFormat="1" spans="1:23">
      <c r="A798" s="116"/>
      <c r="E798" s="108"/>
      <c r="F798" s="114"/>
      <c r="G798" s="114"/>
      <c r="H798" s="114"/>
      <c r="Q798" s="44">
        <f>IF(数据录入!$B798="",0,IF(OR(数据录入!$D798="投标保证金",数据录入!$D798="合同履约保证金",ISNUMBER(FIND("保证金",数据录入!$E798))),1,0))</f>
      </c>
      <c r="R798" s="44">
        <f>IF(AND($Q798=1,数据录入!$B798&gt;=$B$2,数据录入!$B798&lt;=$D$2),N(R797)+1,N(R797))</f>
      </c>
    </row>
    <row r="799" s="44" customFormat="1" spans="1:23">
      <c r="A799" s="116"/>
      <c r="E799" s="108"/>
      <c r="F799" s="114"/>
      <c r="G799" s="114"/>
      <c r="H799" s="114"/>
      <c r="Q799" s="44">
        <f>IF(数据录入!$B799="",0,IF(OR(数据录入!$D799="投标保证金",数据录入!$D799="合同履约保证金",ISNUMBER(FIND("保证金",数据录入!$E799))),1,0))</f>
      </c>
      <c r="R799" s="44">
        <f>IF(AND($Q799=1,数据录入!$B799&gt;=$B$2,数据录入!$B799&lt;=$D$2),N(R798)+1,N(R798))</f>
      </c>
    </row>
    <row r="800" s="44" customFormat="1" spans="1:23">
      <c r="A800" s="116"/>
      <c r="E800" s="108"/>
      <c r="F800" s="114"/>
      <c r="G800" s="114"/>
      <c r="H800" s="114"/>
      <c r="Q800" s="44">
        <f>IF(数据录入!$B800="",0,IF(OR(数据录入!$D800="投标保证金",数据录入!$D800="合同履约保证金",ISNUMBER(FIND("保证金",数据录入!$E800))),1,0))</f>
      </c>
      <c r="R800" s="44">
        <f>IF(AND($Q800=1,数据录入!$B800&gt;=$B$2,数据录入!$B800&lt;=$D$2),N(R799)+1,N(R799))</f>
      </c>
    </row>
    <row r="801" s="44" customFormat="1" spans="1:23">
      <c r="A801" s="116"/>
      <c r="E801" s="108"/>
      <c r="F801" s="114"/>
      <c r="G801" s="114"/>
      <c r="H801" s="114"/>
      <c r="Q801" s="44">
        <f>IF(数据录入!$B801="",0,IF(OR(数据录入!$D801="投标保证金",数据录入!$D801="合同履约保证金",ISNUMBER(FIND("保证金",数据录入!$E801))),1,0))</f>
      </c>
      <c r="R801" s="44">
        <f>IF(AND($Q801=1,数据录入!$B801&gt;=$B$2,数据录入!$B801&lt;=$D$2),N(R800)+1,N(R800))</f>
      </c>
    </row>
    <row r="802" s="44" customFormat="1" spans="1:23">
      <c r="A802" s="116"/>
      <c r="E802" s="108"/>
      <c r="F802" s="114"/>
      <c r="G802" s="114"/>
      <c r="H802" s="114"/>
      <c r="Q802" s="44">
        <f>IF(数据录入!$B802="",0,IF(OR(数据录入!$D802="投标保证金",数据录入!$D802="合同履约保证金",ISNUMBER(FIND("保证金",数据录入!$E802))),1,0))</f>
      </c>
      <c r="R802" s="44">
        <f>IF(AND($Q802=1,数据录入!$B802&gt;=$B$2,数据录入!$B802&lt;=$D$2),N(R801)+1,N(R801))</f>
      </c>
    </row>
    <row r="803" s="44" customFormat="1" spans="1:23">
      <c r="A803" s="116"/>
      <c r="E803" s="108"/>
      <c r="F803" s="114"/>
      <c r="G803" s="114"/>
      <c r="H803" s="114"/>
      <c r="Q803" s="44">
        <f>IF(数据录入!$B803="",0,IF(OR(数据录入!$D803="投标保证金",数据录入!$D803="合同履约保证金",ISNUMBER(FIND("保证金",数据录入!$E803))),1,0))</f>
      </c>
      <c r="R803" s="44">
        <f>IF(AND($Q803=1,数据录入!$B803&gt;=$B$2,数据录入!$B803&lt;=$D$2),N(R802)+1,N(R802))</f>
      </c>
    </row>
    <row r="804" s="44" customFormat="1" spans="1:23">
      <c r="A804" s="116"/>
      <c r="E804" s="108"/>
      <c r="F804" s="114"/>
      <c r="G804" s="114"/>
      <c r="H804" s="114"/>
      <c r="Q804" s="44">
        <f>IF(数据录入!$B804="",0,IF(OR(数据录入!$D804="投标保证金",数据录入!$D804="合同履约保证金",ISNUMBER(FIND("保证金",数据录入!$E804))),1,0))</f>
      </c>
      <c r="R804" s="44">
        <f>IF(AND($Q804=1,数据录入!$B804&gt;=$B$2,数据录入!$B804&lt;=$D$2),N(R803)+1,N(R803))</f>
      </c>
    </row>
    <row r="805" s="44" customFormat="1" spans="1:23">
      <c r="A805" s="116"/>
      <c r="E805" s="108"/>
      <c r="F805" s="114"/>
      <c r="G805" s="114"/>
      <c r="H805" s="114"/>
      <c r="Q805" s="44">
        <f>IF(数据录入!$B805="",0,IF(OR(数据录入!$D805="投标保证金",数据录入!$D805="合同履约保证金",ISNUMBER(FIND("保证金",数据录入!$E805))),1,0))</f>
      </c>
      <c r="R805" s="44">
        <f>IF(AND($Q805=1,数据录入!$B805&gt;=$B$2,数据录入!$B805&lt;=$D$2),N(R804)+1,N(R804))</f>
      </c>
    </row>
    <row r="806" s="44" customFormat="1" spans="1:23">
      <c r="A806" s="116"/>
      <c r="E806" s="108"/>
      <c r="F806" s="114"/>
      <c r="G806" s="114"/>
      <c r="H806" s="114"/>
      <c r="Q806" s="44">
        <f>IF(数据录入!$B806="",0,IF(OR(数据录入!$D806="投标保证金",数据录入!$D806="合同履约保证金",ISNUMBER(FIND("保证金",数据录入!$E806))),1,0))</f>
      </c>
      <c r="R806" s="44">
        <f>IF(AND($Q806=1,数据录入!$B806&gt;=$B$2,数据录入!$B806&lt;=$D$2),N(R805)+1,N(R805))</f>
      </c>
    </row>
    <row r="807" s="44" customFormat="1" spans="1:23">
      <c r="A807" s="116"/>
      <c r="E807" s="108"/>
      <c r="F807" s="114"/>
      <c r="G807" s="114"/>
      <c r="H807" s="114"/>
      <c r="Q807" s="44">
        <f>IF(数据录入!$B807="",0,IF(OR(数据录入!$D807="投标保证金",数据录入!$D807="合同履约保证金",ISNUMBER(FIND("保证金",数据录入!$E807))),1,0))</f>
      </c>
      <c r="R807" s="44">
        <f>IF(AND($Q807=1,数据录入!$B807&gt;=$B$2,数据录入!$B807&lt;=$D$2),N(R806)+1,N(R806))</f>
      </c>
    </row>
    <row r="808" s="44" customFormat="1" spans="1:23">
      <c r="A808" s="116"/>
      <c r="E808" s="108"/>
      <c r="F808" s="114"/>
      <c r="G808" s="114"/>
      <c r="H808" s="114"/>
      <c r="Q808" s="44">
        <f>IF(数据录入!$B808="",0,IF(OR(数据录入!$D808="投标保证金",数据录入!$D808="合同履约保证金",ISNUMBER(FIND("保证金",数据录入!$E808))),1,0))</f>
      </c>
      <c r="R808" s="44">
        <f>IF(AND($Q808=1,数据录入!$B808&gt;=$B$2,数据录入!$B808&lt;=$D$2),N(R807)+1,N(R807))</f>
      </c>
    </row>
    <row r="809" s="44" customFormat="1" spans="1:23">
      <c r="A809" s="116"/>
      <c r="E809" s="108"/>
      <c r="F809" s="114"/>
      <c r="G809" s="114"/>
      <c r="H809" s="114"/>
      <c r="Q809" s="44">
        <f>IF(数据录入!$B809="",0,IF(OR(数据录入!$D809="投标保证金",数据录入!$D809="合同履约保证金",ISNUMBER(FIND("保证金",数据录入!$E809))),1,0))</f>
      </c>
      <c r="R809" s="44">
        <f>IF(AND($Q809=1,数据录入!$B809&gt;=$B$2,数据录入!$B809&lt;=$D$2),N(R808)+1,N(R808))</f>
      </c>
    </row>
    <row r="810" s="44" customFormat="1" spans="1:23">
      <c r="A810" s="116"/>
      <c r="E810" s="108"/>
      <c r="F810" s="114"/>
      <c r="G810" s="114"/>
      <c r="H810" s="114"/>
      <c r="Q810" s="44">
        <f>IF(数据录入!$B810="",0,IF(OR(数据录入!$D810="投标保证金",数据录入!$D810="合同履约保证金",ISNUMBER(FIND("保证金",数据录入!$E810))),1,0))</f>
      </c>
      <c r="R810" s="44">
        <f>IF(AND($Q810=1,数据录入!$B810&gt;=$B$2,数据录入!$B810&lt;=$D$2),N(R809)+1,N(R809))</f>
      </c>
    </row>
    <row r="811" s="44" customFormat="1" spans="1:23">
      <c r="A811" s="116"/>
      <c r="E811" s="108"/>
      <c r="F811" s="114"/>
      <c r="G811" s="114"/>
      <c r="H811" s="114"/>
      <c r="Q811" s="44">
        <f>IF(数据录入!$B811="",0,IF(OR(数据录入!$D811="投标保证金",数据录入!$D811="合同履约保证金",ISNUMBER(FIND("保证金",数据录入!$E811))),1,0))</f>
      </c>
      <c r="R811" s="44">
        <f>IF(AND($Q811=1,数据录入!$B811&gt;=$B$2,数据录入!$B811&lt;=$D$2),N(R810)+1,N(R810))</f>
      </c>
    </row>
    <row r="812" s="44" customFormat="1" spans="1:23">
      <c r="A812" s="116"/>
      <c r="E812" s="108"/>
      <c r="F812" s="114"/>
      <c r="G812" s="114"/>
      <c r="H812" s="114"/>
      <c r="Q812" s="44">
        <f>IF(数据录入!$B812="",0,IF(OR(数据录入!$D812="投标保证金",数据录入!$D812="合同履约保证金",ISNUMBER(FIND("保证金",数据录入!$E812))),1,0))</f>
      </c>
      <c r="R812" s="44">
        <f>IF(AND($Q812=1,数据录入!$B812&gt;=$B$2,数据录入!$B812&lt;=$D$2),N(R811)+1,N(R811))</f>
      </c>
    </row>
    <row r="813" s="44" customFormat="1" spans="1:23">
      <c r="A813" s="116"/>
      <c r="E813" s="108"/>
      <c r="F813" s="114"/>
      <c r="G813" s="114"/>
      <c r="H813" s="114"/>
      <c r="Q813" s="44">
        <f>IF(数据录入!$B813="",0,IF(OR(数据录入!$D813="投标保证金",数据录入!$D813="合同履约保证金",ISNUMBER(FIND("保证金",数据录入!$E813))),1,0))</f>
      </c>
      <c r="R813" s="44">
        <f>IF(AND($Q813=1,数据录入!$B813&gt;=$B$2,数据录入!$B813&lt;=$D$2),N(R812)+1,N(R812))</f>
      </c>
    </row>
    <row r="814" s="44" customFormat="1" spans="1:23">
      <c r="A814" s="116"/>
      <c r="E814" s="108"/>
      <c r="F814" s="114"/>
      <c r="G814" s="114"/>
      <c r="H814" s="114"/>
      <c r="Q814" s="44">
        <f>IF(数据录入!$B814="",0,IF(OR(数据录入!$D814="投标保证金",数据录入!$D814="合同履约保证金",ISNUMBER(FIND("保证金",数据录入!$E814))),1,0))</f>
      </c>
      <c r="R814" s="44">
        <f>IF(AND($Q814=1,数据录入!$B814&gt;=$B$2,数据录入!$B814&lt;=$D$2),N(R813)+1,N(R813))</f>
      </c>
    </row>
    <row r="815" s="44" customFormat="1" spans="1:23">
      <c r="A815" s="116"/>
      <c r="E815" s="108"/>
      <c r="F815" s="114"/>
      <c r="G815" s="114"/>
      <c r="H815" s="114"/>
      <c r="Q815" s="44">
        <f>IF(数据录入!$B815="",0,IF(OR(数据录入!$D815="投标保证金",数据录入!$D815="合同履约保证金",ISNUMBER(FIND("保证金",数据录入!$E815))),1,0))</f>
      </c>
      <c r="R815" s="44">
        <f>IF(AND($Q815=1,数据录入!$B815&gt;=$B$2,数据录入!$B815&lt;=$D$2),N(R814)+1,N(R814))</f>
      </c>
    </row>
    <row r="816" s="44" customFormat="1" spans="1:23">
      <c r="A816" s="116"/>
      <c r="E816" s="108"/>
      <c r="F816" s="114"/>
      <c r="G816" s="114"/>
      <c r="H816" s="114"/>
      <c r="Q816" s="44">
        <f>IF(数据录入!$B816="",0,IF(OR(数据录入!$D816="投标保证金",数据录入!$D816="合同履约保证金",ISNUMBER(FIND("保证金",数据录入!$E816))),1,0))</f>
      </c>
      <c r="R816" s="44">
        <f>IF(AND($Q816=1,数据录入!$B816&gt;=$B$2,数据录入!$B816&lt;=$D$2),N(R815)+1,N(R815))</f>
      </c>
    </row>
    <row r="817" s="44" customFormat="1" spans="1:23">
      <c r="A817" s="116"/>
      <c r="E817" s="108"/>
      <c r="F817" s="114"/>
      <c r="G817" s="114"/>
      <c r="H817" s="114"/>
      <c r="Q817" s="44">
        <f>IF(数据录入!$B817="",0,IF(OR(数据录入!$D817="投标保证金",数据录入!$D817="合同履约保证金",ISNUMBER(FIND("保证金",数据录入!$E817))),1,0))</f>
      </c>
      <c r="R817" s="44">
        <f>IF(AND($Q817=1,数据录入!$B817&gt;=$B$2,数据录入!$B817&lt;=$D$2),N(R816)+1,N(R816))</f>
      </c>
    </row>
    <row r="818" s="44" customFormat="1" spans="1:23">
      <c r="A818" s="116"/>
      <c r="E818" s="108"/>
      <c r="F818" s="114"/>
      <c r="G818" s="114"/>
      <c r="H818" s="114"/>
      <c r="Q818" s="44">
        <f>IF(数据录入!$B818="",0,IF(OR(数据录入!$D818="投标保证金",数据录入!$D818="合同履约保证金",ISNUMBER(FIND("保证金",数据录入!$E818))),1,0))</f>
      </c>
      <c r="R818" s="44">
        <f>IF(AND($Q818=1,数据录入!$B818&gt;=$B$2,数据录入!$B818&lt;=$D$2),N(R817)+1,N(R817))</f>
      </c>
    </row>
    <row r="819" s="44" customFormat="1" spans="1:23">
      <c r="A819" s="116"/>
      <c r="E819" s="108"/>
      <c r="F819" s="114"/>
      <c r="G819" s="114"/>
      <c r="H819" s="114"/>
      <c r="Q819" s="44">
        <f>IF(数据录入!$B819="",0,IF(OR(数据录入!$D819="投标保证金",数据录入!$D819="合同履约保证金",ISNUMBER(FIND("保证金",数据录入!$E819))),1,0))</f>
      </c>
      <c r="R819" s="44">
        <f>IF(AND($Q819=1,数据录入!$B819&gt;=$B$2,数据录入!$B819&lt;=$D$2),N(R818)+1,N(R818))</f>
      </c>
    </row>
    <row r="820" s="44" customFormat="1" spans="1:23">
      <c r="A820" s="116"/>
      <c r="E820" s="108"/>
      <c r="F820" s="114"/>
      <c r="G820" s="114"/>
      <c r="H820" s="114"/>
      <c r="Q820" s="44">
        <f>IF(数据录入!$B820="",0,IF(OR(数据录入!$D820="投标保证金",数据录入!$D820="合同履约保证金",ISNUMBER(FIND("保证金",数据录入!$E820))),1,0))</f>
      </c>
      <c r="R820" s="44">
        <f>IF(AND($Q820=1,数据录入!$B820&gt;=$B$2,数据录入!$B820&lt;=$D$2),N(R819)+1,N(R819))</f>
      </c>
    </row>
    <row r="821" s="44" customFormat="1" spans="1:23">
      <c r="A821" s="116"/>
      <c r="E821" s="108"/>
      <c r="F821" s="114"/>
      <c r="G821" s="114"/>
      <c r="H821" s="114"/>
      <c r="Q821" s="44">
        <f>IF(数据录入!$B821="",0,IF(OR(数据录入!$D821="投标保证金",数据录入!$D821="合同履约保证金",ISNUMBER(FIND("保证金",数据录入!$E821))),1,0))</f>
      </c>
      <c r="R821" s="44">
        <f>IF(AND($Q821=1,数据录入!$B821&gt;=$B$2,数据录入!$B821&lt;=$D$2),N(R820)+1,N(R820))</f>
      </c>
    </row>
    <row r="822" s="44" customFormat="1" spans="1:23">
      <c r="A822" s="116"/>
      <c r="E822" s="108"/>
      <c r="F822" s="114"/>
      <c r="G822" s="114"/>
      <c r="H822" s="114"/>
      <c r="Q822" s="44">
        <f>IF(数据录入!$B822="",0,IF(OR(数据录入!$D822="投标保证金",数据录入!$D822="合同履约保证金",ISNUMBER(FIND("保证金",数据录入!$E822))),1,0))</f>
      </c>
      <c r="R822" s="44">
        <f>IF(AND($Q822=1,数据录入!$B822&gt;=$B$2,数据录入!$B822&lt;=$D$2),N(R821)+1,N(R821))</f>
      </c>
    </row>
    <row r="823" s="44" customFormat="1" spans="1:23">
      <c r="A823" s="116"/>
      <c r="E823" s="108"/>
      <c r="F823" s="114"/>
      <c r="G823" s="114"/>
      <c r="H823" s="114"/>
      <c r="Q823" s="44">
        <f>IF(数据录入!$B823="",0,IF(OR(数据录入!$D823="投标保证金",数据录入!$D823="合同履约保证金",ISNUMBER(FIND("保证金",数据录入!$E823))),1,0))</f>
      </c>
      <c r="R823" s="44">
        <f>IF(AND($Q823=1,数据录入!$B823&gt;=$B$2,数据录入!$B823&lt;=$D$2),N(R822)+1,N(R822))</f>
      </c>
    </row>
    <row r="824" s="44" customFormat="1" spans="1:23">
      <c r="A824" s="116"/>
      <c r="E824" s="108"/>
      <c r="F824" s="114"/>
      <c r="G824" s="114"/>
      <c r="H824" s="114"/>
      <c r="Q824" s="44">
        <f>IF(数据录入!$B824="",0,IF(OR(数据录入!$D824="投标保证金",数据录入!$D824="合同履约保证金",ISNUMBER(FIND("保证金",数据录入!$E824))),1,0))</f>
      </c>
      <c r="R824" s="44">
        <f>IF(AND($Q824=1,数据录入!$B824&gt;=$B$2,数据录入!$B824&lt;=$D$2),N(R823)+1,N(R823))</f>
      </c>
    </row>
    <row r="825" s="44" customFormat="1" spans="1:23">
      <c r="A825" s="116"/>
      <c r="E825" s="108"/>
      <c r="F825" s="114"/>
      <c r="G825" s="114"/>
      <c r="H825" s="114"/>
      <c r="Q825" s="44">
        <f>IF(数据录入!$B825="",0,IF(OR(数据录入!$D825="投标保证金",数据录入!$D825="合同履约保证金",ISNUMBER(FIND("保证金",数据录入!$E825))),1,0))</f>
      </c>
      <c r="R825" s="44">
        <f>IF(AND($Q825=1,数据录入!$B825&gt;=$B$2,数据录入!$B825&lt;=$D$2),N(R824)+1,N(R824))</f>
      </c>
    </row>
    <row r="826" s="44" customFormat="1" spans="1:23">
      <c r="A826" s="116"/>
      <c r="E826" s="108"/>
      <c r="F826" s="114"/>
      <c r="G826" s="114"/>
      <c r="H826" s="114"/>
      <c r="Q826" s="44">
        <f>IF(数据录入!$B826="",0,IF(OR(数据录入!$D826="投标保证金",数据录入!$D826="合同履约保证金",ISNUMBER(FIND("保证金",数据录入!$E826))),1,0))</f>
      </c>
      <c r="R826" s="44">
        <f>IF(AND($Q826=1,数据录入!$B826&gt;=$B$2,数据录入!$B826&lt;=$D$2),N(R825)+1,N(R825))</f>
      </c>
    </row>
    <row r="827" s="44" customFormat="1" spans="1:23">
      <c r="A827" s="116"/>
      <c r="E827" s="108"/>
      <c r="F827" s="114"/>
      <c r="G827" s="114"/>
      <c r="H827" s="114"/>
      <c r="Q827" s="44">
        <f>IF(数据录入!$B827="",0,IF(OR(数据录入!$D827="投标保证金",数据录入!$D827="合同履约保证金",ISNUMBER(FIND("保证金",数据录入!$E827))),1,0))</f>
      </c>
      <c r="R827" s="44">
        <f>IF(AND($Q827=1,数据录入!$B827&gt;=$B$2,数据录入!$B827&lt;=$D$2),N(R826)+1,N(R826))</f>
      </c>
    </row>
    <row r="828" s="44" customFormat="1" spans="1:23">
      <c r="A828" s="116"/>
      <c r="E828" s="108"/>
      <c r="F828" s="114"/>
      <c r="G828" s="114"/>
      <c r="H828" s="114"/>
      <c r="Q828" s="44">
        <f>IF(数据录入!$B828="",0,IF(OR(数据录入!$D828="投标保证金",数据录入!$D828="合同履约保证金",ISNUMBER(FIND("保证金",数据录入!$E828))),1,0))</f>
      </c>
      <c r="R828" s="44">
        <f>IF(AND($Q828=1,数据录入!$B828&gt;=$B$2,数据录入!$B828&lt;=$D$2),N(R827)+1,N(R827))</f>
      </c>
    </row>
    <row r="829" s="44" customFormat="1" spans="1:23">
      <c r="A829" s="116"/>
      <c r="E829" s="108"/>
      <c r="F829" s="114"/>
      <c r="G829" s="114"/>
      <c r="H829" s="114"/>
      <c r="Q829" s="44">
        <f>IF(数据录入!$B829="",0,IF(OR(数据录入!$D829="投标保证金",数据录入!$D829="合同履约保证金",ISNUMBER(FIND("保证金",数据录入!$E829))),1,0))</f>
      </c>
      <c r="R829" s="44">
        <f>IF(AND($Q829=1,数据录入!$B829&gt;=$B$2,数据录入!$B829&lt;=$D$2),N(R828)+1,N(R828))</f>
      </c>
    </row>
    <row r="830" s="44" customFormat="1" spans="1:23">
      <c r="A830" s="116"/>
      <c r="E830" s="108"/>
      <c r="F830" s="114"/>
      <c r="G830" s="114"/>
      <c r="H830" s="114"/>
      <c r="Q830" s="44">
        <f>IF(数据录入!$B830="",0,IF(OR(数据录入!$D830="投标保证金",数据录入!$D830="合同履约保证金",ISNUMBER(FIND("保证金",数据录入!$E830))),1,0))</f>
      </c>
      <c r="R830" s="44">
        <f>IF(AND($Q830=1,数据录入!$B830&gt;=$B$2,数据录入!$B830&lt;=$D$2),N(R829)+1,N(R829))</f>
      </c>
    </row>
    <row r="831" s="44" customFormat="1" spans="1:23">
      <c r="A831" s="116"/>
      <c r="E831" s="108"/>
      <c r="F831" s="114"/>
      <c r="G831" s="114"/>
      <c r="H831" s="114"/>
      <c r="Q831" s="44">
        <f>IF(数据录入!$B831="",0,IF(OR(数据录入!$D831="投标保证金",数据录入!$D831="合同履约保证金",ISNUMBER(FIND("保证金",数据录入!$E831))),1,0))</f>
      </c>
      <c r="R831" s="44">
        <f>IF(AND($Q831=1,数据录入!$B831&gt;=$B$2,数据录入!$B831&lt;=$D$2),N(R830)+1,N(R830))</f>
      </c>
    </row>
    <row r="832" s="44" customFormat="1" spans="1:23">
      <c r="A832" s="116"/>
      <c r="E832" s="108"/>
      <c r="F832" s="114"/>
      <c r="G832" s="114"/>
      <c r="H832" s="114"/>
      <c r="Q832" s="44">
        <f>IF(数据录入!$B832="",0,IF(OR(数据录入!$D832="投标保证金",数据录入!$D832="合同履约保证金",ISNUMBER(FIND("保证金",数据录入!$E832))),1,0))</f>
      </c>
      <c r="R832" s="44">
        <f>IF(AND($Q832=1,数据录入!$B832&gt;=$B$2,数据录入!$B832&lt;=$D$2),N(R831)+1,N(R831))</f>
      </c>
    </row>
    <row r="833" s="44" customFormat="1" spans="1:23">
      <c r="A833" s="116"/>
      <c r="E833" s="108"/>
      <c r="F833" s="114"/>
      <c r="G833" s="114"/>
      <c r="H833" s="114"/>
      <c r="Q833" s="44">
        <f>IF(数据录入!$B833="",0,IF(OR(数据录入!$D833="投标保证金",数据录入!$D833="合同履约保证金",ISNUMBER(FIND("保证金",数据录入!$E833))),1,0))</f>
      </c>
      <c r="R833" s="44">
        <f>IF(AND($Q833=1,数据录入!$B833&gt;=$B$2,数据录入!$B833&lt;=$D$2),N(R832)+1,N(R832))</f>
      </c>
    </row>
    <row r="834" s="44" customFormat="1" spans="1:23">
      <c r="A834" s="116"/>
      <c r="E834" s="108"/>
      <c r="F834" s="114"/>
      <c r="G834" s="114"/>
      <c r="H834" s="114"/>
      <c r="Q834" s="44">
        <f>IF(数据录入!$B834="",0,IF(OR(数据录入!$D834="投标保证金",数据录入!$D834="合同履约保证金",ISNUMBER(FIND("保证金",数据录入!$E834))),1,0))</f>
      </c>
      <c r="R834" s="44">
        <f>IF(AND($Q834=1,数据录入!$B834&gt;=$B$2,数据录入!$B834&lt;=$D$2),N(R833)+1,N(R833))</f>
      </c>
    </row>
    <row r="835" s="44" customFormat="1" spans="1:23">
      <c r="A835" s="116"/>
      <c r="E835" s="108"/>
      <c r="F835" s="114"/>
      <c r="G835" s="114"/>
      <c r="H835" s="114"/>
      <c r="Q835" s="44">
        <f>IF(数据录入!$B835="",0,IF(OR(数据录入!$D835="投标保证金",数据录入!$D835="合同履约保证金",ISNUMBER(FIND("保证金",数据录入!$E835))),1,0))</f>
      </c>
      <c r="R835" s="44">
        <f>IF(AND($Q835=1,数据录入!$B835&gt;=$B$2,数据录入!$B835&lt;=$D$2),N(R834)+1,N(R834))</f>
      </c>
    </row>
    <row r="836" s="44" customFormat="1" spans="1:23">
      <c r="A836" s="116"/>
      <c r="E836" s="108"/>
      <c r="F836" s="114"/>
      <c r="G836" s="114"/>
      <c r="H836" s="114"/>
      <c r="Q836" s="44">
        <f>IF(数据录入!$B836="",0,IF(OR(数据录入!$D836="投标保证金",数据录入!$D836="合同履约保证金",ISNUMBER(FIND("保证金",数据录入!$E836))),1,0))</f>
      </c>
      <c r="R836" s="44">
        <f>IF(AND($Q836=1,数据录入!$B836&gt;=$B$2,数据录入!$B836&lt;=$D$2),N(R835)+1,N(R835))</f>
      </c>
    </row>
    <row r="837" s="44" customFormat="1" spans="1:23">
      <c r="A837" s="116"/>
      <c r="E837" s="108"/>
      <c r="F837" s="114"/>
      <c r="G837" s="114"/>
      <c r="H837" s="114"/>
      <c r="Q837" s="44">
        <f>IF(数据录入!$B837="",0,IF(OR(数据录入!$D837="投标保证金",数据录入!$D837="合同履约保证金",ISNUMBER(FIND("保证金",数据录入!$E837))),1,0))</f>
      </c>
      <c r="R837" s="44">
        <f>IF(AND($Q837=1,数据录入!$B837&gt;=$B$2,数据录入!$B837&lt;=$D$2),N(R836)+1,N(R836))</f>
      </c>
    </row>
    <row r="838" s="44" customFormat="1" spans="1:23">
      <c r="A838" s="116"/>
      <c r="E838" s="108"/>
      <c r="F838" s="114"/>
      <c r="G838" s="114"/>
      <c r="H838" s="114"/>
      <c r="Q838" s="44">
        <f>IF(数据录入!$B838="",0,IF(OR(数据录入!$D838="投标保证金",数据录入!$D838="合同履约保证金",ISNUMBER(FIND("保证金",数据录入!$E838))),1,0))</f>
      </c>
      <c r="R838" s="44">
        <f>IF(AND($Q838=1,数据录入!$B838&gt;=$B$2,数据录入!$B838&lt;=$D$2),N(R837)+1,N(R837))</f>
      </c>
    </row>
    <row r="839" s="44" customFormat="1" spans="1:23">
      <c r="A839" s="116"/>
      <c r="E839" s="108"/>
      <c r="F839" s="114"/>
      <c r="G839" s="114"/>
      <c r="H839" s="114"/>
      <c r="Q839" s="44">
        <f>IF(数据录入!$B839="",0,IF(OR(数据录入!$D839="投标保证金",数据录入!$D839="合同履约保证金",ISNUMBER(FIND("保证金",数据录入!$E839))),1,0))</f>
      </c>
      <c r="R839" s="44">
        <f>IF(AND($Q839=1,数据录入!$B839&gt;=$B$2,数据录入!$B839&lt;=$D$2),N(R838)+1,N(R838))</f>
      </c>
    </row>
    <row r="840" s="44" customFormat="1" spans="1:23">
      <c r="A840" s="116"/>
      <c r="E840" s="108"/>
      <c r="F840" s="114"/>
      <c r="G840" s="114"/>
      <c r="H840" s="114"/>
      <c r="Q840" s="44">
        <f>IF(数据录入!$B840="",0,IF(OR(数据录入!$D840="投标保证金",数据录入!$D840="合同履约保证金",ISNUMBER(FIND("保证金",数据录入!$E840))),1,0))</f>
      </c>
      <c r="R840" s="44">
        <f>IF(AND($Q840=1,数据录入!$B840&gt;=$B$2,数据录入!$B840&lt;=$D$2),N(R839)+1,N(R839))</f>
      </c>
    </row>
    <row r="841" s="44" customFormat="1" spans="1:23">
      <c r="A841" s="116"/>
      <c r="E841" s="108"/>
      <c r="F841" s="114"/>
      <c r="G841" s="114"/>
      <c r="H841" s="114"/>
      <c r="Q841" s="44">
        <f>IF(数据录入!$B841="",0,IF(OR(数据录入!$D841="投标保证金",数据录入!$D841="合同履约保证金",ISNUMBER(FIND("保证金",数据录入!$E841))),1,0))</f>
      </c>
      <c r="R841" s="44">
        <f>IF(AND($Q841=1,数据录入!$B841&gt;=$B$2,数据录入!$B841&lt;=$D$2),N(R840)+1,N(R840))</f>
      </c>
    </row>
    <row r="842" s="44" customFormat="1" spans="1:23">
      <c r="A842" s="116"/>
      <c r="E842" s="108"/>
      <c r="F842" s="114"/>
      <c r="G842" s="114"/>
      <c r="H842" s="114"/>
      <c r="Q842" s="44">
        <f>IF(数据录入!$B842="",0,IF(OR(数据录入!$D842="投标保证金",数据录入!$D842="合同履约保证金",ISNUMBER(FIND("保证金",数据录入!$E842))),1,0))</f>
      </c>
      <c r="R842" s="44">
        <f>IF(AND($Q842=1,数据录入!$B842&gt;=$B$2,数据录入!$B842&lt;=$D$2),N(R841)+1,N(R841))</f>
      </c>
    </row>
    <row r="843" s="44" customFormat="1" spans="1:23">
      <c r="A843" s="116"/>
      <c r="E843" s="108"/>
      <c r="F843" s="114"/>
      <c r="G843" s="114"/>
      <c r="H843" s="114"/>
      <c r="Q843" s="44">
        <f>IF(数据录入!$B843="",0,IF(OR(数据录入!$D843="投标保证金",数据录入!$D843="合同履约保证金",ISNUMBER(FIND("保证金",数据录入!$E843))),1,0))</f>
      </c>
      <c r="R843" s="44">
        <f>IF(AND($Q843=1,数据录入!$B843&gt;=$B$2,数据录入!$B843&lt;=$D$2),N(R842)+1,N(R842))</f>
      </c>
    </row>
    <row r="844" s="44" customFormat="1" spans="1:23">
      <c r="A844" s="116"/>
      <c r="E844" s="108"/>
      <c r="F844" s="114"/>
      <c r="G844" s="114"/>
      <c r="H844" s="114"/>
      <c r="Q844" s="44">
        <f>IF(数据录入!$B844="",0,IF(OR(数据录入!$D844="投标保证金",数据录入!$D844="合同履约保证金",ISNUMBER(FIND("保证金",数据录入!$E844))),1,0))</f>
      </c>
      <c r="R844" s="44">
        <f>IF(AND($Q844=1,数据录入!$B844&gt;=$B$2,数据录入!$B844&lt;=$D$2),N(R843)+1,N(R843))</f>
      </c>
    </row>
    <row r="845" s="44" customFormat="1" spans="1:23">
      <c r="A845" s="116"/>
      <c r="E845" s="108"/>
      <c r="F845" s="114"/>
      <c r="G845" s="114"/>
      <c r="H845" s="114"/>
      <c r="Q845" s="44">
        <f>IF(数据录入!$B845="",0,IF(OR(数据录入!$D845="投标保证金",数据录入!$D845="合同履约保证金",ISNUMBER(FIND("保证金",数据录入!$E845))),1,0))</f>
      </c>
      <c r="R845" s="44">
        <f>IF(AND($Q845=1,数据录入!$B845&gt;=$B$2,数据录入!$B845&lt;=$D$2),N(R844)+1,N(R844))</f>
      </c>
    </row>
    <row r="846" s="44" customFormat="1" spans="1:23">
      <c r="A846" s="116"/>
      <c r="E846" s="108"/>
      <c r="F846" s="114"/>
      <c r="G846" s="114"/>
      <c r="H846" s="114"/>
      <c r="Q846" s="44">
        <f>IF(数据录入!$B846="",0,IF(OR(数据录入!$D846="投标保证金",数据录入!$D846="合同履约保证金",ISNUMBER(FIND("保证金",数据录入!$E846))),1,0))</f>
      </c>
      <c r="R846" s="44">
        <f>IF(AND($Q846=1,数据录入!$B846&gt;=$B$2,数据录入!$B846&lt;=$D$2),N(R845)+1,N(R845))</f>
      </c>
    </row>
    <row r="847" s="44" customFormat="1" spans="1:23">
      <c r="A847" s="116"/>
      <c r="E847" s="108"/>
      <c r="F847" s="114"/>
      <c r="G847" s="114"/>
      <c r="H847" s="114"/>
      <c r="Q847" s="44">
        <f>IF(数据录入!$B847="",0,IF(OR(数据录入!$D847="投标保证金",数据录入!$D847="合同履约保证金",ISNUMBER(FIND("保证金",数据录入!$E847))),1,0))</f>
      </c>
      <c r="R847" s="44">
        <f>IF(AND($Q847=1,数据录入!$B847&gt;=$B$2,数据录入!$B847&lt;=$D$2),N(R846)+1,N(R846))</f>
      </c>
    </row>
    <row r="848" s="44" customFormat="1" spans="1:23">
      <c r="A848" s="116"/>
      <c r="E848" s="108"/>
      <c r="F848" s="114"/>
      <c r="G848" s="114"/>
      <c r="H848" s="114"/>
      <c r="Q848" s="44">
        <f>IF(数据录入!$B848="",0,IF(OR(数据录入!$D848="投标保证金",数据录入!$D848="合同履约保证金",ISNUMBER(FIND("保证金",数据录入!$E848))),1,0))</f>
      </c>
      <c r="R848" s="44">
        <f>IF(AND($Q848=1,数据录入!$B848&gt;=$B$2,数据录入!$B848&lt;=$D$2),N(R847)+1,N(R847))</f>
      </c>
    </row>
    <row r="849" s="44" customFormat="1" spans="1:23">
      <c r="A849" s="116"/>
      <c r="E849" s="108"/>
      <c r="F849" s="114"/>
      <c r="G849" s="114"/>
      <c r="H849" s="114"/>
      <c r="Q849" s="44">
        <f>IF(数据录入!$B849="",0,IF(OR(数据录入!$D849="投标保证金",数据录入!$D849="合同履约保证金",ISNUMBER(FIND("保证金",数据录入!$E849))),1,0))</f>
      </c>
      <c r="R849" s="44">
        <f>IF(AND($Q849=1,数据录入!$B849&gt;=$B$2,数据录入!$B849&lt;=$D$2),N(R848)+1,N(R848))</f>
      </c>
    </row>
    <row r="850" s="44" customFormat="1" spans="1:23">
      <c r="A850" s="116"/>
      <c r="E850" s="108"/>
      <c r="F850" s="114"/>
      <c r="G850" s="114"/>
      <c r="H850" s="114"/>
      <c r="Q850" s="44">
        <f>IF(数据录入!$B850="",0,IF(OR(数据录入!$D850="投标保证金",数据录入!$D850="合同履约保证金",ISNUMBER(FIND("保证金",数据录入!$E850))),1,0))</f>
      </c>
      <c r="R850" s="44">
        <f>IF(AND($Q850=1,数据录入!$B850&gt;=$B$2,数据录入!$B850&lt;=$D$2),N(R849)+1,N(R849))</f>
      </c>
    </row>
    <row r="851" s="44" customFormat="1" spans="1:23">
      <c r="A851" s="116"/>
      <c r="E851" s="108"/>
      <c r="F851" s="114"/>
      <c r="G851" s="114"/>
      <c r="H851" s="114"/>
      <c r="Q851" s="44">
        <f>IF(数据录入!$B851="",0,IF(OR(数据录入!$D851="投标保证金",数据录入!$D851="合同履约保证金",ISNUMBER(FIND("保证金",数据录入!$E851))),1,0))</f>
      </c>
      <c r="R851" s="44">
        <f>IF(AND($Q851=1,数据录入!$B851&gt;=$B$2,数据录入!$B851&lt;=$D$2),N(R850)+1,N(R850))</f>
      </c>
    </row>
    <row r="852" s="44" customFormat="1" spans="1:23">
      <c r="A852" s="116"/>
      <c r="E852" s="108"/>
      <c r="F852" s="114"/>
      <c r="G852" s="114"/>
      <c r="H852" s="114"/>
      <c r="Q852" s="44">
        <f>IF(数据录入!$B852="",0,IF(OR(数据录入!$D852="投标保证金",数据录入!$D852="合同履约保证金",ISNUMBER(FIND("保证金",数据录入!$E852))),1,0))</f>
      </c>
      <c r="R852" s="44">
        <f>IF(AND($Q852=1,数据录入!$B852&gt;=$B$2,数据录入!$B852&lt;=$D$2),N(R851)+1,N(R851))</f>
      </c>
    </row>
    <row r="853" s="44" customFormat="1" spans="1:23">
      <c r="A853" s="116"/>
      <c r="E853" s="108"/>
      <c r="F853" s="114"/>
      <c r="G853" s="114"/>
      <c r="H853" s="114"/>
      <c r="Q853" s="44">
        <f>IF(数据录入!$B853="",0,IF(OR(数据录入!$D853="投标保证金",数据录入!$D853="合同履约保证金",ISNUMBER(FIND("保证金",数据录入!$E853))),1,0))</f>
      </c>
      <c r="R853" s="44">
        <f>IF(AND($Q853=1,数据录入!$B853&gt;=$B$2,数据录入!$B853&lt;=$D$2),N(R852)+1,N(R852))</f>
      </c>
    </row>
    <row r="854" s="44" customFormat="1" spans="1:23">
      <c r="A854" s="116"/>
      <c r="E854" s="108"/>
      <c r="F854" s="114"/>
      <c r="G854" s="114"/>
      <c r="H854" s="114"/>
      <c r="Q854" s="44">
        <f>IF(数据录入!$B854="",0,IF(OR(数据录入!$D854="投标保证金",数据录入!$D854="合同履约保证金",ISNUMBER(FIND("保证金",数据录入!$E854))),1,0))</f>
      </c>
      <c r="R854" s="44">
        <f>IF(AND($Q854=1,数据录入!$B854&gt;=$B$2,数据录入!$B854&lt;=$D$2),N(R853)+1,N(R853))</f>
      </c>
    </row>
    <row r="855" s="44" customFormat="1" spans="1:23">
      <c r="A855" s="116"/>
      <c r="E855" s="108"/>
      <c r="F855" s="114"/>
      <c r="G855" s="114"/>
      <c r="H855" s="114"/>
      <c r="Q855" s="44">
        <f>IF(数据录入!$B855="",0,IF(OR(数据录入!$D855="投标保证金",数据录入!$D855="合同履约保证金",ISNUMBER(FIND("保证金",数据录入!$E855))),1,0))</f>
      </c>
      <c r="R855" s="44">
        <f>IF(AND($Q855=1,数据录入!$B855&gt;=$B$2,数据录入!$B855&lt;=$D$2),N(R854)+1,N(R854))</f>
      </c>
    </row>
    <row r="856" s="44" customFormat="1" spans="1:23">
      <c r="A856" s="116"/>
      <c r="E856" s="108"/>
      <c r="F856" s="114"/>
      <c r="G856" s="114"/>
      <c r="H856" s="114"/>
      <c r="Q856" s="44">
        <f>IF(数据录入!$B856="",0,IF(OR(数据录入!$D856="投标保证金",数据录入!$D856="合同履约保证金",ISNUMBER(FIND("保证金",数据录入!$E856))),1,0))</f>
      </c>
      <c r="R856" s="44">
        <f>IF(AND($Q856=1,数据录入!$B856&gt;=$B$2,数据录入!$B856&lt;=$D$2),N(R855)+1,N(R855))</f>
      </c>
    </row>
    <row r="857" s="44" customFormat="1" spans="1:23">
      <c r="A857" s="116"/>
      <c r="E857" s="108"/>
      <c r="F857" s="114"/>
      <c r="G857" s="114"/>
      <c r="H857" s="114"/>
      <c r="Q857" s="44">
        <f>IF(数据录入!$B857="",0,IF(OR(数据录入!$D857="投标保证金",数据录入!$D857="合同履约保证金",ISNUMBER(FIND("保证金",数据录入!$E857))),1,0))</f>
      </c>
      <c r="R857" s="44">
        <f>IF(AND($Q857=1,数据录入!$B857&gt;=$B$2,数据录入!$B857&lt;=$D$2),N(R856)+1,N(R856))</f>
      </c>
    </row>
    <row r="858" s="44" customFormat="1" spans="1:23">
      <c r="A858" s="116"/>
      <c r="E858" s="108"/>
      <c r="F858" s="114"/>
      <c r="G858" s="114"/>
      <c r="H858" s="114"/>
      <c r="Q858" s="44">
        <f>IF(数据录入!$B858="",0,IF(OR(数据录入!$D858="投标保证金",数据录入!$D858="合同履约保证金",ISNUMBER(FIND("保证金",数据录入!$E858))),1,0))</f>
      </c>
      <c r="R858" s="44">
        <f>IF(AND($Q858=1,数据录入!$B858&gt;=$B$2,数据录入!$B858&lt;=$D$2),N(R857)+1,N(R857))</f>
      </c>
    </row>
    <row r="859" s="44" customFormat="1" spans="1:23">
      <c r="A859" s="116"/>
      <c r="E859" s="108"/>
      <c r="F859" s="114"/>
      <c r="G859" s="114"/>
      <c r="H859" s="114"/>
      <c r="Q859" s="44">
        <f>IF(数据录入!$B859="",0,IF(OR(数据录入!$D859="投标保证金",数据录入!$D859="合同履约保证金",ISNUMBER(FIND("保证金",数据录入!$E859))),1,0))</f>
      </c>
      <c r="R859" s="44">
        <f>IF(AND($Q859=1,数据录入!$B859&gt;=$B$2,数据录入!$B859&lt;=$D$2),N(R858)+1,N(R858))</f>
      </c>
    </row>
    <row r="860" s="44" customFormat="1" spans="1:23">
      <c r="A860" s="116"/>
      <c r="E860" s="108"/>
      <c r="F860" s="114"/>
      <c r="G860" s="114"/>
      <c r="H860" s="114"/>
      <c r="Q860" s="44">
        <f>IF(数据录入!$B860="",0,IF(OR(数据录入!$D860="投标保证金",数据录入!$D860="合同履约保证金",ISNUMBER(FIND("保证金",数据录入!$E860))),1,0))</f>
      </c>
      <c r="R860" s="44">
        <f>IF(AND($Q860=1,数据录入!$B860&gt;=$B$2,数据录入!$B860&lt;=$D$2),N(R859)+1,N(R859))</f>
      </c>
    </row>
    <row r="861" s="44" customFormat="1" spans="1:23">
      <c r="A861" s="116"/>
      <c r="E861" s="108"/>
      <c r="F861" s="114"/>
      <c r="G861" s="114"/>
      <c r="H861" s="114"/>
      <c r="Q861" s="44">
        <f>IF(数据录入!$B861="",0,IF(OR(数据录入!$D861="投标保证金",数据录入!$D861="合同履约保证金",ISNUMBER(FIND("保证金",数据录入!$E861))),1,0))</f>
      </c>
      <c r="R861" s="44">
        <f>IF(AND($Q861=1,数据录入!$B861&gt;=$B$2,数据录入!$B861&lt;=$D$2),N(R860)+1,N(R860))</f>
      </c>
    </row>
    <row r="862" s="44" customFormat="1" spans="1:23">
      <c r="A862" s="116"/>
      <c r="E862" s="108"/>
      <c r="F862" s="114"/>
      <c r="G862" s="114"/>
      <c r="H862" s="114"/>
      <c r="Q862" s="44">
        <f>IF(数据录入!$B862="",0,IF(OR(数据录入!$D862="投标保证金",数据录入!$D862="合同履约保证金",ISNUMBER(FIND("保证金",数据录入!$E862))),1,0))</f>
      </c>
      <c r="R862" s="44">
        <f>IF(AND($Q862=1,数据录入!$B862&gt;=$B$2,数据录入!$B862&lt;=$D$2),N(R861)+1,N(R861))</f>
      </c>
    </row>
    <row r="863" s="44" customFormat="1" spans="1:23">
      <c r="A863" s="116"/>
      <c r="E863" s="108"/>
      <c r="F863" s="114"/>
      <c r="G863" s="114"/>
      <c r="H863" s="114"/>
      <c r="Q863" s="44">
        <f>IF(数据录入!$B863="",0,IF(OR(数据录入!$D863="投标保证金",数据录入!$D863="合同履约保证金",ISNUMBER(FIND("保证金",数据录入!$E863))),1,0))</f>
      </c>
      <c r="R863" s="44">
        <f>IF(AND($Q863=1,数据录入!$B863&gt;=$B$2,数据录入!$B863&lt;=$D$2),N(R862)+1,N(R862))</f>
      </c>
    </row>
    <row r="864" s="44" customFormat="1" spans="1:23">
      <c r="A864" s="116"/>
      <c r="E864" s="108"/>
      <c r="F864" s="114"/>
      <c r="G864" s="114"/>
      <c r="H864" s="114"/>
      <c r="Q864" s="44">
        <f>IF(数据录入!$B864="",0,IF(OR(数据录入!$D864="投标保证金",数据录入!$D864="合同履约保证金",ISNUMBER(FIND("保证金",数据录入!$E864))),1,0))</f>
      </c>
      <c r="R864" s="44">
        <f>IF(AND($Q864=1,数据录入!$B864&gt;=$B$2,数据录入!$B864&lt;=$D$2),N(R863)+1,N(R863))</f>
      </c>
    </row>
    <row r="865" s="44" customFormat="1" spans="1:23">
      <c r="A865" s="116"/>
      <c r="E865" s="108"/>
      <c r="F865" s="114"/>
      <c r="G865" s="114"/>
      <c r="H865" s="114"/>
      <c r="Q865" s="44">
        <f>IF(数据录入!$B865="",0,IF(OR(数据录入!$D865="投标保证金",数据录入!$D865="合同履约保证金",ISNUMBER(FIND("保证金",数据录入!$E865))),1,0))</f>
      </c>
      <c r="R865" s="44">
        <f>IF(AND($Q865=1,数据录入!$B865&gt;=$B$2,数据录入!$B865&lt;=$D$2),N(R864)+1,N(R864))</f>
      </c>
    </row>
    <row r="866" s="44" customFormat="1" spans="1:23">
      <c r="A866" s="116"/>
      <c r="E866" s="108"/>
      <c r="F866" s="114"/>
      <c r="G866" s="114"/>
      <c r="H866" s="114"/>
      <c r="Q866" s="44">
        <f>IF(数据录入!$B866="",0,IF(OR(数据录入!$D866="投标保证金",数据录入!$D866="合同履约保证金",ISNUMBER(FIND("保证金",数据录入!$E866))),1,0))</f>
      </c>
      <c r="R866" s="44">
        <f>IF(AND($Q866=1,数据录入!$B866&gt;=$B$2,数据录入!$B866&lt;=$D$2),N(R865)+1,N(R865))</f>
      </c>
    </row>
    <row r="867" s="44" customFormat="1" spans="1:23">
      <c r="A867" s="116"/>
      <c r="E867" s="108"/>
      <c r="F867" s="114"/>
      <c r="G867" s="114"/>
      <c r="H867" s="114"/>
      <c r="Q867" s="44">
        <f>IF(数据录入!$B867="",0,IF(OR(数据录入!$D867="投标保证金",数据录入!$D867="合同履约保证金",ISNUMBER(FIND("保证金",数据录入!$E867))),1,0))</f>
      </c>
      <c r="R867" s="44">
        <f>IF(AND($Q867=1,数据录入!$B867&gt;=$B$2,数据录入!$B867&lt;=$D$2),N(R866)+1,N(R866))</f>
      </c>
    </row>
    <row r="868" s="44" customFormat="1" spans="1:23">
      <c r="A868" s="116"/>
      <c r="E868" s="108"/>
      <c r="F868" s="114"/>
      <c r="G868" s="114"/>
      <c r="H868" s="114"/>
      <c r="Q868" s="44">
        <f>IF(数据录入!$B868="",0,IF(OR(数据录入!$D868="投标保证金",数据录入!$D868="合同履约保证金",ISNUMBER(FIND("保证金",数据录入!$E868))),1,0))</f>
      </c>
      <c r="R868" s="44">
        <f>IF(AND($Q868=1,数据录入!$B868&gt;=$B$2,数据录入!$B868&lt;=$D$2),N(R867)+1,N(R867))</f>
      </c>
    </row>
    <row r="869" s="44" customFormat="1" spans="1:23">
      <c r="A869" s="116"/>
      <c r="E869" s="108"/>
      <c r="F869" s="114"/>
      <c r="G869" s="114"/>
      <c r="H869" s="114"/>
      <c r="Q869" s="44">
        <f>IF(数据录入!$B869="",0,IF(OR(数据录入!$D869="投标保证金",数据录入!$D869="合同履约保证金",ISNUMBER(FIND("保证金",数据录入!$E869))),1,0))</f>
      </c>
      <c r="R869" s="44">
        <f>IF(AND($Q869=1,数据录入!$B869&gt;=$B$2,数据录入!$B869&lt;=$D$2),N(R868)+1,N(R868))</f>
      </c>
    </row>
    <row r="870" s="44" customFormat="1" spans="1:23">
      <c r="A870" s="116"/>
      <c r="E870" s="108"/>
      <c r="F870" s="114"/>
      <c r="G870" s="114"/>
      <c r="H870" s="114"/>
      <c r="Q870" s="44">
        <f>IF(数据录入!$B870="",0,IF(OR(数据录入!$D870="投标保证金",数据录入!$D870="合同履约保证金",ISNUMBER(FIND("保证金",数据录入!$E870))),1,0))</f>
      </c>
      <c r="R870" s="44">
        <f>IF(AND($Q870=1,数据录入!$B870&gt;=$B$2,数据录入!$B870&lt;=$D$2),N(R869)+1,N(R869))</f>
      </c>
    </row>
    <row r="871" s="44" customFormat="1" spans="1:23">
      <c r="A871" s="116"/>
      <c r="E871" s="108"/>
      <c r="F871" s="114"/>
      <c r="G871" s="114"/>
      <c r="H871" s="114"/>
      <c r="Q871" s="44">
        <f>IF(数据录入!$B871="",0,IF(OR(数据录入!$D871="投标保证金",数据录入!$D871="合同履约保证金",ISNUMBER(FIND("保证金",数据录入!$E871))),1,0))</f>
      </c>
      <c r="R871" s="44">
        <f>IF(AND($Q871=1,数据录入!$B871&gt;=$B$2,数据录入!$B871&lt;=$D$2),N(R870)+1,N(R870))</f>
      </c>
    </row>
    <row r="872" s="44" customFormat="1" spans="1:23">
      <c r="A872" s="116"/>
      <c r="E872" s="108"/>
      <c r="F872" s="114"/>
      <c r="G872" s="114"/>
      <c r="H872" s="114"/>
      <c r="Q872" s="44">
        <f>IF(数据录入!$B872="",0,IF(OR(数据录入!$D872="投标保证金",数据录入!$D872="合同履约保证金",ISNUMBER(FIND("保证金",数据录入!$E872))),1,0))</f>
      </c>
      <c r="R872" s="44">
        <f>IF(AND($Q872=1,数据录入!$B872&gt;=$B$2,数据录入!$B872&lt;=$D$2),N(R871)+1,N(R871))</f>
      </c>
    </row>
    <row r="873" s="44" customFormat="1" spans="1:23">
      <c r="A873" s="116"/>
      <c r="E873" s="108"/>
      <c r="F873" s="114"/>
      <c r="G873" s="114"/>
      <c r="H873" s="114"/>
      <c r="Q873" s="44">
        <f>IF(数据录入!$B873="",0,IF(OR(数据录入!$D873="投标保证金",数据录入!$D873="合同履约保证金",ISNUMBER(FIND("保证金",数据录入!$E873))),1,0))</f>
      </c>
      <c r="R873" s="44">
        <f>IF(AND($Q873=1,数据录入!$B873&gt;=$B$2,数据录入!$B873&lt;=$D$2),N(R872)+1,N(R872))</f>
      </c>
    </row>
    <row r="874" s="44" customFormat="1" spans="1:23">
      <c r="A874" s="116"/>
      <c r="E874" s="108"/>
      <c r="F874" s="114"/>
      <c r="G874" s="114"/>
      <c r="H874" s="114"/>
      <c r="Q874" s="44">
        <f>IF(数据录入!$B874="",0,IF(OR(数据录入!$D874="投标保证金",数据录入!$D874="合同履约保证金",ISNUMBER(FIND("保证金",数据录入!$E874))),1,0))</f>
      </c>
      <c r="R874" s="44">
        <f>IF(AND($Q874=1,数据录入!$B874&gt;=$B$2,数据录入!$B874&lt;=$D$2),N(R873)+1,N(R873))</f>
      </c>
    </row>
    <row r="875" s="44" customFormat="1" spans="1:23">
      <c r="A875" s="116"/>
      <c r="E875" s="108"/>
      <c r="F875" s="114"/>
      <c r="G875" s="114"/>
      <c r="H875" s="114"/>
      <c r="Q875" s="44">
        <f>IF(数据录入!$B875="",0,IF(OR(数据录入!$D875="投标保证金",数据录入!$D875="合同履约保证金",ISNUMBER(FIND("保证金",数据录入!$E875))),1,0))</f>
      </c>
      <c r="R875" s="44">
        <f>IF(AND($Q875=1,数据录入!$B875&gt;=$B$2,数据录入!$B875&lt;=$D$2),N(R874)+1,N(R874))</f>
      </c>
    </row>
    <row r="876" s="44" customFormat="1" spans="1:23">
      <c r="A876" s="116"/>
      <c r="E876" s="108"/>
      <c r="F876" s="114"/>
      <c r="G876" s="114"/>
      <c r="H876" s="114"/>
      <c r="Q876" s="44">
        <f>IF(数据录入!$B876="",0,IF(OR(数据录入!$D876="投标保证金",数据录入!$D876="合同履约保证金",ISNUMBER(FIND("保证金",数据录入!$E876))),1,0))</f>
      </c>
      <c r="R876" s="44">
        <f>IF(AND($Q876=1,数据录入!$B876&gt;=$B$2,数据录入!$B876&lt;=$D$2),N(R875)+1,N(R875))</f>
      </c>
    </row>
    <row r="877" s="44" customFormat="1" spans="1:23">
      <c r="A877" s="116"/>
      <c r="E877" s="108"/>
      <c r="F877" s="114"/>
      <c r="G877" s="114"/>
      <c r="H877" s="114"/>
      <c r="Q877" s="44">
        <f>IF(数据录入!$B877="",0,IF(OR(数据录入!$D877="投标保证金",数据录入!$D877="合同履约保证金",ISNUMBER(FIND("保证金",数据录入!$E877))),1,0))</f>
      </c>
      <c r="R877" s="44">
        <f>IF(AND($Q877=1,数据录入!$B877&gt;=$B$2,数据录入!$B877&lt;=$D$2),N(R876)+1,N(R876))</f>
      </c>
    </row>
    <row r="878" s="44" customFormat="1" spans="1:23">
      <c r="A878" s="116"/>
      <c r="E878" s="108"/>
      <c r="F878" s="114"/>
      <c r="G878" s="114"/>
      <c r="H878" s="114"/>
      <c r="Q878" s="44">
        <f>IF(数据录入!$B878="",0,IF(OR(数据录入!$D878="投标保证金",数据录入!$D878="合同履约保证金",ISNUMBER(FIND("保证金",数据录入!$E878))),1,0))</f>
      </c>
      <c r="R878" s="44">
        <f>IF(AND($Q878=1,数据录入!$B878&gt;=$B$2,数据录入!$B878&lt;=$D$2),N(R877)+1,N(R877))</f>
      </c>
    </row>
    <row r="879" s="44" customFormat="1" spans="1:23">
      <c r="A879" s="116"/>
      <c r="E879" s="108"/>
      <c r="F879" s="114"/>
      <c r="G879" s="114"/>
      <c r="H879" s="114"/>
      <c r="Q879" s="44">
        <f>IF(数据录入!$B879="",0,IF(OR(数据录入!$D879="投标保证金",数据录入!$D879="合同履约保证金",ISNUMBER(FIND("保证金",数据录入!$E879))),1,0))</f>
      </c>
      <c r="R879" s="44">
        <f>IF(AND($Q879=1,数据录入!$B879&gt;=$B$2,数据录入!$B879&lt;=$D$2),N(R878)+1,N(R878))</f>
      </c>
    </row>
    <row r="880" s="44" customFormat="1" spans="1:23">
      <c r="A880" s="116"/>
      <c r="E880" s="108"/>
      <c r="F880" s="114"/>
      <c r="G880" s="114"/>
      <c r="H880" s="114"/>
      <c r="Q880" s="44">
        <f>IF(数据录入!$B880="",0,IF(OR(数据录入!$D880="投标保证金",数据录入!$D880="合同履约保证金",ISNUMBER(FIND("保证金",数据录入!$E880))),1,0))</f>
      </c>
      <c r="R880" s="44">
        <f>IF(AND($Q880=1,数据录入!$B880&gt;=$B$2,数据录入!$B880&lt;=$D$2),N(R879)+1,N(R879))</f>
      </c>
    </row>
    <row r="881" s="44" customFormat="1" spans="1:23">
      <c r="A881" s="116"/>
      <c r="E881" s="108"/>
      <c r="F881" s="114"/>
      <c r="G881" s="114"/>
      <c r="H881" s="114"/>
      <c r="Q881" s="44">
        <f>IF(数据录入!$B881="",0,IF(OR(数据录入!$D881="投标保证金",数据录入!$D881="合同履约保证金",ISNUMBER(FIND("保证金",数据录入!$E881))),1,0))</f>
      </c>
      <c r="R881" s="44">
        <f>IF(AND($Q881=1,数据录入!$B881&gt;=$B$2,数据录入!$B881&lt;=$D$2),N(R880)+1,N(R880))</f>
      </c>
    </row>
    <row r="882" s="44" customFormat="1" spans="1:23">
      <c r="A882" s="116"/>
      <c r="E882" s="108"/>
      <c r="F882" s="114"/>
      <c r="G882" s="114"/>
      <c r="H882" s="114"/>
      <c r="Q882" s="44">
        <f>IF(数据录入!$B882="",0,IF(OR(数据录入!$D882="投标保证金",数据录入!$D882="合同履约保证金",ISNUMBER(FIND("保证金",数据录入!$E882))),1,0))</f>
      </c>
      <c r="R882" s="44">
        <f>IF(AND($Q882=1,数据录入!$B882&gt;=$B$2,数据录入!$B882&lt;=$D$2),N(R881)+1,N(R881))</f>
      </c>
    </row>
    <row r="883" s="44" customFormat="1" spans="1:23">
      <c r="A883" s="116"/>
      <c r="E883" s="108"/>
      <c r="F883" s="114"/>
      <c r="G883" s="114"/>
      <c r="H883" s="114"/>
      <c r="Q883" s="44">
        <f>IF(数据录入!$B883="",0,IF(OR(数据录入!$D883="投标保证金",数据录入!$D883="合同履约保证金",ISNUMBER(FIND("保证金",数据录入!$E883))),1,0))</f>
      </c>
      <c r="R883" s="44">
        <f>IF(AND($Q883=1,数据录入!$B883&gt;=$B$2,数据录入!$B883&lt;=$D$2),N(R882)+1,N(R882))</f>
      </c>
    </row>
    <row r="884" s="44" customFormat="1" spans="1:23">
      <c r="A884" s="116"/>
      <c r="E884" s="108"/>
      <c r="F884" s="114"/>
      <c r="G884" s="114"/>
      <c r="H884" s="114"/>
      <c r="Q884" s="44">
        <f>IF(数据录入!$B884="",0,IF(OR(数据录入!$D884="投标保证金",数据录入!$D884="合同履约保证金",ISNUMBER(FIND("保证金",数据录入!$E884))),1,0))</f>
      </c>
      <c r="R884" s="44">
        <f>IF(AND($Q884=1,数据录入!$B884&gt;=$B$2,数据录入!$B884&lt;=$D$2),N(R883)+1,N(R883))</f>
      </c>
    </row>
    <row r="885" s="44" customFormat="1" spans="1:23">
      <c r="A885" s="116"/>
      <c r="E885" s="108"/>
      <c r="F885" s="114"/>
      <c r="G885" s="114"/>
      <c r="H885" s="114"/>
      <c r="Q885" s="44">
        <f>IF(数据录入!$B885="",0,IF(OR(数据录入!$D885="投标保证金",数据录入!$D885="合同履约保证金",ISNUMBER(FIND("保证金",数据录入!$E885))),1,0))</f>
      </c>
      <c r="R885" s="44">
        <f>IF(AND($Q885=1,数据录入!$B885&gt;=$B$2,数据录入!$B885&lt;=$D$2),N(R884)+1,N(R884))</f>
      </c>
    </row>
    <row r="886" s="44" customFormat="1" spans="1:23">
      <c r="A886" s="116"/>
      <c r="E886" s="108"/>
      <c r="F886" s="114"/>
      <c r="G886" s="114"/>
      <c r="H886" s="114"/>
      <c r="Q886" s="44">
        <f>IF(数据录入!$B886="",0,IF(OR(数据录入!$D886="投标保证金",数据录入!$D886="合同履约保证金",ISNUMBER(FIND("保证金",数据录入!$E886))),1,0))</f>
      </c>
      <c r="R886" s="44">
        <f>IF(AND($Q886=1,数据录入!$B886&gt;=$B$2,数据录入!$B886&lt;=$D$2),N(R885)+1,N(R885))</f>
      </c>
    </row>
    <row r="887" s="44" customFormat="1" spans="1:23">
      <c r="A887" s="116"/>
      <c r="E887" s="108"/>
      <c r="F887" s="114"/>
      <c r="G887" s="114"/>
      <c r="H887" s="114"/>
      <c r="Q887" s="44">
        <f>IF(数据录入!$B887="",0,IF(OR(数据录入!$D887="投标保证金",数据录入!$D887="合同履约保证金",ISNUMBER(FIND("保证金",数据录入!$E887))),1,0))</f>
      </c>
      <c r="R887" s="44">
        <f>IF(AND($Q887=1,数据录入!$B887&gt;=$B$2,数据录入!$B887&lt;=$D$2),N(R886)+1,N(R886))</f>
      </c>
    </row>
    <row r="888" s="44" customFormat="1" spans="1:23">
      <c r="A888" s="116"/>
      <c r="E888" s="108"/>
      <c r="F888" s="114"/>
      <c r="G888" s="114"/>
      <c r="H888" s="114"/>
      <c r="Q888" s="44">
        <f>IF(数据录入!$B888="",0,IF(OR(数据录入!$D888="投标保证金",数据录入!$D888="合同履约保证金",ISNUMBER(FIND("保证金",数据录入!$E888))),1,0))</f>
      </c>
      <c r="R888" s="44">
        <f>IF(AND($Q888=1,数据录入!$B888&gt;=$B$2,数据录入!$B888&lt;=$D$2),N(R887)+1,N(R887))</f>
      </c>
    </row>
    <row r="889" s="44" customFormat="1" spans="1:23">
      <c r="A889" s="116"/>
      <c r="E889" s="108"/>
      <c r="F889" s="114"/>
      <c r="G889" s="114"/>
      <c r="H889" s="114"/>
      <c r="Q889" s="44">
        <f>IF(数据录入!$B889="",0,IF(OR(数据录入!$D889="投标保证金",数据录入!$D889="合同履约保证金",ISNUMBER(FIND("保证金",数据录入!$E889))),1,0))</f>
      </c>
      <c r="R889" s="44">
        <f>IF(AND($Q889=1,数据录入!$B889&gt;=$B$2,数据录入!$B889&lt;=$D$2),N(R888)+1,N(R888))</f>
      </c>
    </row>
    <row r="890" s="44" customFormat="1" spans="1:23">
      <c r="A890" s="116"/>
      <c r="E890" s="108"/>
      <c r="F890" s="114"/>
      <c r="G890" s="114"/>
      <c r="H890" s="114"/>
      <c r="Q890" s="44">
        <f>IF(数据录入!$B890="",0,IF(OR(数据录入!$D890="投标保证金",数据录入!$D890="合同履约保证金",ISNUMBER(FIND("保证金",数据录入!$E890))),1,0))</f>
      </c>
      <c r="R890" s="44">
        <f>IF(AND($Q890=1,数据录入!$B890&gt;=$B$2,数据录入!$B890&lt;=$D$2),N(R889)+1,N(R889))</f>
      </c>
    </row>
    <row r="891" s="44" customFormat="1" spans="1:23">
      <c r="A891" s="116"/>
      <c r="E891" s="108"/>
      <c r="F891" s="114"/>
      <c r="G891" s="114"/>
      <c r="H891" s="114"/>
      <c r="Q891" s="44">
        <f>IF(数据录入!$B891="",0,IF(OR(数据录入!$D891="投标保证金",数据录入!$D891="合同履约保证金",ISNUMBER(FIND("保证金",数据录入!$E891))),1,0))</f>
      </c>
      <c r="R891" s="44">
        <f>IF(AND($Q891=1,数据录入!$B891&gt;=$B$2,数据录入!$B891&lt;=$D$2),N(R890)+1,N(R890))</f>
      </c>
    </row>
    <row r="892" s="44" customFormat="1" spans="1:23">
      <c r="A892" s="116"/>
      <c r="E892" s="108"/>
      <c r="F892" s="114"/>
      <c r="G892" s="114"/>
      <c r="H892" s="114"/>
      <c r="Q892" s="44">
        <f>IF(数据录入!$B892="",0,IF(OR(数据录入!$D892="投标保证金",数据录入!$D892="合同履约保证金",ISNUMBER(FIND("保证金",数据录入!$E892))),1,0))</f>
      </c>
      <c r="R892" s="44">
        <f>IF(AND($Q892=1,数据录入!$B892&gt;=$B$2,数据录入!$B892&lt;=$D$2),N(R891)+1,N(R891))</f>
      </c>
    </row>
    <row r="893" s="44" customFormat="1" spans="1:23">
      <c r="A893" s="116"/>
      <c r="E893" s="108"/>
      <c r="F893" s="114"/>
      <c r="G893" s="114"/>
      <c r="H893" s="114"/>
      <c r="Q893" s="44">
        <f>IF(数据录入!$B893="",0,IF(OR(数据录入!$D893="投标保证金",数据录入!$D893="合同履约保证金",ISNUMBER(FIND("保证金",数据录入!$E893))),1,0))</f>
      </c>
      <c r="R893" s="44">
        <f>IF(AND($Q893=1,数据录入!$B893&gt;=$B$2,数据录入!$B893&lt;=$D$2),N(R892)+1,N(R892))</f>
      </c>
    </row>
    <row r="894" s="44" customFormat="1" spans="1:23">
      <c r="A894" s="116"/>
      <c r="E894" s="108"/>
      <c r="F894" s="114"/>
      <c r="G894" s="114"/>
      <c r="H894" s="114"/>
      <c r="Q894" s="44">
        <f>IF(数据录入!$B894="",0,IF(OR(数据录入!$D894="投标保证金",数据录入!$D894="合同履约保证金",ISNUMBER(FIND("保证金",数据录入!$E894))),1,0))</f>
      </c>
      <c r="R894" s="44">
        <f>IF(AND($Q894=1,数据录入!$B894&gt;=$B$2,数据录入!$B894&lt;=$D$2),N(R893)+1,N(R893))</f>
      </c>
    </row>
    <row r="895" s="44" customFormat="1" spans="1:23">
      <c r="A895" s="116"/>
      <c r="E895" s="108"/>
      <c r="F895" s="114"/>
      <c r="G895" s="114"/>
      <c r="H895" s="114"/>
      <c r="Q895" s="44">
        <f>IF(数据录入!$B895="",0,IF(OR(数据录入!$D895="投标保证金",数据录入!$D895="合同履约保证金",ISNUMBER(FIND("保证金",数据录入!$E895))),1,0))</f>
      </c>
      <c r="R895" s="44">
        <f>IF(AND($Q895=1,数据录入!$B895&gt;=$B$2,数据录入!$B895&lt;=$D$2),N(R894)+1,N(R894))</f>
      </c>
    </row>
    <row r="896" s="44" customFormat="1" spans="1:23">
      <c r="A896" s="116"/>
      <c r="E896" s="108"/>
      <c r="F896" s="114"/>
      <c r="G896" s="114"/>
      <c r="H896" s="114"/>
      <c r="Q896" s="44">
        <f>IF(数据录入!$B896="",0,IF(OR(数据录入!$D896="投标保证金",数据录入!$D896="合同履约保证金",ISNUMBER(FIND("保证金",数据录入!$E896))),1,0))</f>
      </c>
      <c r="R896" s="44">
        <f>IF(AND($Q896=1,数据录入!$B896&gt;=$B$2,数据录入!$B896&lt;=$D$2),N(R895)+1,N(R895))</f>
      </c>
    </row>
    <row r="897" s="44" customFormat="1" spans="1:23">
      <c r="A897" s="116"/>
      <c r="E897" s="108"/>
      <c r="F897" s="114"/>
      <c r="G897" s="114"/>
      <c r="H897" s="114"/>
      <c r="Q897" s="44">
        <f>IF(数据录入!$B897="",0,IF(OR(数据录入!$D897="投标保证金",数据录入!$D897="合同履约保证金",ISNUMBER(FIND("保证金",数据录入!$E897))),1,0))</f>
      </c>
      <c r="R897" s="44">
        <f>IF(AND($Q897=1,数据录入!$B897&gt;=$B$2,数据录入!$B897&lt;=$D$2),N(R896)+1,N(R896))</f>
      </c>
    </row>
    <row r="898" s="44" customFormat="1" spans="1:23">
      <c r="A898" s="116"/>
      <c r="E898" s="108"/>
      <c r="F898" s="114"/>
      <c r="G898" s="114"/>
      <c r="H898" s="114"/>
      <c r="Q898" s="44">
        <f>IF(数据录入!$B898="",0,IF(OR(数据录入!$D898="投标保证金",数据录入!$D898="合同履约保证金",ISNUMBER(FIND("保证金",数据录入!$E898))),1,0))</f>
      </c>
      <c r="R898" s="44">
        <f>IF(AND($Q898=1,数据录入!$B898&gt;=$B$2,数据录入!$B898&lt;=$D$2),N(R897)+1,N(R897))</f>
      </c>
    </row>
    <row r="899" s="44" customFormat="1" spans="1:23">
      <c r="A899" s="116"/>
      <c r="E899" s="108"/>
      <c r="F899" s="114"/>
      <c r="G899" s="114"/>
      <c r="H899" s="114"/>
      <c r="Q899" s="44">
        <f>IF(数据录入!$B899="",0,IF(OR(数据录入!$D899="投标保证金",数据录入!$D899="合同履约保证金",ISNUMBER(FIND("保证金",数据录入!$E899))),1,0))</f>
      </c>
      <c r="R899" s="44">
        <f>IF(AND($Q899=1,数据录入!$B899&gt;=$B$2,数据录入!$B899&lt;=$D$2),N(R898)+1,N(R898))</f>
      </c>
    </row>
    <row r="900" s="44" customFormat="1" spans="1:23">
      <c r="A900" s="116"/>
      <c r="E900" s="108"/>
      <c r="F900" s="114"/>
      <c r="G900" s="114"/>
      <c r="H900" s="114"/>
      <c r="Q900" s="44">
        <f>IF(数据录入!$B900="",0,IF(OR(数据录入!$D900="投标保证金",数据录入!$D900="合同履约保证金",ISNUMBER(FIND("保证金",数据录入!$E900))),1,0))</f>
      </c>
      <c r="R900" s="44">
        <f>IF(AND($Q900=1,数据录入!$B900&gt;=$B$2,数据录入!$B900&lt;=$D$2),N(R899)+1,N(R899))</f>
      </c>
    </row>
    <row r="901" s="44" customFormat="1" spans="1:23">
      <c r="A901" s="116"/>
      <c r="E901" s="108"/>
      <c r="F901" s="114"/>
      <c r="G901" s="114"/>
      <c r="H901" s="114"/>
      <c r="Q901" s="44">
        <f>IF(数据录入!$B901="",0,IF(OR(数据录入!$D901="投标保证金",数据录入!$D901="合同履约保证金",ISNUMBER(FIND("保证金",数据录入!$E901))),1,0))</f>
      </c>
      <c r="R901" s="44">
        <f>IF(AND($Q901=1,数据录入!$B901&gt;=$B$2,数据录入!$B901&lt;=$D$2),N(R900)+1,N(R900))</f>
      </c>
    </row>
    <row r="902" s="44" customFormat="1" spans="1:23">
      <c r="A902" s="116"/>
      <c r="E902" s="108"/>
      <c r="F902" s="114"/>
      <c r="G902" s="114"/>
      <c r="H902" s="114"/>
      <c r="Q902" s="44">
        <f>IF(数据录入!$B902="",0,IF(OR(数据录入!$D902="投标保证金",数据录入!$D902="合同履约保证金",ISNUMBER(FIND("保证金",数据录入!$E902))),1,0))</f>
      </c>
      <c r="R902" s="44">
        <f>IF(AND($Q902=1,数据录入!$B902&gt;=$B$2,数据录入!$B902&lt;=$D$2),N(R901)+1,N(R901))</f>
      </c>
    </row>
    <row r="903" s="44" customFormat="1" spans="1:23">
      <c r="A903" s="116"/>
      <c r="E903" s="108"/>
      <c r="F903" s="114"/>
      <c r="G903" s="114"/>
      <c r="H903" s="114"/>
      <c r="Q903" s="44">
        <f>IF(数据录入!$B903="",0,IF(OR(数据录入!$D903="投标保证金",数据录入!$D903="合同履约保证金",ISNUMBER(FIND("保证金",数据录入!$E903))),1,0))</f>
      </c>
      <c r="R903" s="44">
        <f>IF(AND($Q903=1,数据录入!$B903&gt;=$B$2,数据录入!$B903&lt;=$D$2),N(R902)+1,N(R902))</f>
      </c>
    </row>
    <row r="904" s="44" customFormat="1" spans="1:23">
      <c r="A904" s="116"/>
      <c r="E904" s="108"/>
      <c r="F904" s="114"/>
      <c r="G904" s="114"/>
      <c r="H904" s="114"/>
      <c r="Q904" s="44">
        <f>IF(数据录入!$B904="",0,IF(OR(数据录入!$D904="投标保证金",数据录入!$D904="合同履约保证金",ISNUMBER(FIND("保证金",数据录入!$E904))),1,0))</f>
      </c>
      <c r="R904" s="44">
        <f>IF(AND($Q904=1,数据录入!$B904&gt;=$B$2,数据录入!$B904&lt;=$D$2),N(R903)+1,N(R903))</f>
      </c>
    </row>
    <row r="905" s="44" customFormat="1" spans="1:23">
      <c r="A905" s="116"/>
      <c r="E905" s="108"/>
      <c r="F905" s="114"/>
      <c r="G905" s="114"/>
      <c r="H905" s="114"/>
      <c r="Q905" s="44">
        <f>IF(数据录入!$B905="",0,IF(OR(数据录入!$D905="投标保证金",数据录入!$D905="合同履约保证金",ISNUMBER(FIND("保证金",数据录入!$E905))),1,0))</f>
      </c>
      <c r="R905" s="44">
        <f>IF(AND($Q905=1,数据录入!$B905&gt;=$B$2,数据录入!$B905&lt;=$D$2),N(R904)+1,N(R904))</f>
      </c>
    </row>
    <row r="906" s="44" customFormat="1" spans="1:23">
      <c r="A906" s="116"/>
      <c r="E906" s="108"/>
      <c r="F906" s="114"/>
      <c r="G906" s="114"/>
      <c r="H906" s="114"/>
      <c r="Q906" s="44">
        <f>IF(数据录入!$B906="",0,IF(OR(数据录入!$D906="投标保证金",数据录入!$D906="合同履约保证金",ISNUMBER(FIND("保证金",数据录入!$E906))),1,0))</f>
      </c>
      <c r="R906" s="44">
        <f>IF(AND($Q906=1,数据录入!$B906&gt;=$B$2,数据录入!$B906&lt;=$D$2),N(R905)+1,N(R905))</f>
      </c>
    </row>
    <row r="907" s="44" customFormat="1" spans="1:23">
      <c r="A907" s="116"/>
      <c r="E907" s="108"/>
      <c r="F907" s="114"/>
      <c r="G907" s="114"/>
      <c r="H907" s="114"/>
      <c r="Q907" s="44">
        <f>IF(数据录入!$B907="",0,IF(OR(数据录入!$D907="投标保证金",数据录入!$D907="合同履约保证金",ISNUMBER(FIND("保证金",数据录入!$E907))),1,0))</f>
      </c>
      <c r="R907" s="44">
        <f>IF(AND($Q907=1,数据录入!$B907&gt;=$B$2,数据录入!$B907&lt;=$D$2),N(R906)+1,N(R906))</f>
      </c>
    </row>
    <row r="908" s="44" customFormat="1" spans="1:23">
      <c r="A908" s="116"/>
      <c r="E908" s="108"/>
      <c r="F908" s="114"/>
      <c r="G908" s="114"/>
      <c r="H908" s="114"/>
      <c r="Q908" s="44">
        <f>IF(数据录入!$B908="",0,IF(OR(数据录入!$D908="投标保证金",数据录入!$D908="合同履约保证金",ISNUMBER(FIND("保证金",数据录入!$E908))),1,0))</f>
      </c>
      <c r="R908" s="44">
        <f>IF(AND($Q908=1,数据录入!$B908&gt;=$B$2,数据录入!$B908&lt;=$D$2),N(R907)+1,N(R907))</f>
      </c>
    </row>
    <row r="909" s="44" customFormat="1" spans="1:23">
      <c r="A909" s="116"/>
      <c r="E909" s="108"/>
      <c r="F909" s="114"/>
      <c r="G909" s="114"/>
      <c r="H909" s="114"/>
      <c r="Q909" s="44">
        <f>IF(数据录入!$B909="",0,IF(OR(数据录入!$D909="投标保证金",数据录入!$D909="合同履约保证金",ISNUMBER(FIND("保证金",数据录入!$E909))),1,0))</f>
      </c>
      <c r="R909" s="44">
        <f>IF(AND($Q909=1,数据录入!$B909&gt;=$B$2,数据录入!$B909&lt;=$D$2),N(R908)+1,N(R908))</f>
      </c>
    </row>
    <row r="910" s="44" customFormat="1" spans="1:23">
      <c r="A910" s="116"/>
      <c r="E910" s="108"/>
      <c r="F910" s="114"/>
      <c r="G910" s="114"/>
      <c r="H910" s="114"/>
      <c r="Q910" s="44">
        <f>IF(数据录入!$B910="",0,IF(OR(数据录入!$D910="投标保证金",数据录入!$D910="合同履约保证金",ISNUMBER(FIND("保证金",数据录入!$E910))),1,0))</f>
      </c>
      <c r="R910" s="44">
        <f>IF(AND($Q910=1,数据录入!$B910&gt;=$B$2,数据录入!$B910&lt;=$D$2),N(R909)+1,N(R909))</f>
      </c>
    </row>
    <row r="911" s="44" customFormat="1" spans="1:23">
      <c r="A911" s="116"/>
      <c r="E911" s="108"/>
      <c r="F911" s="114"/>
      <c r="G911" s="114"/>
      <c r="H911" s="114"/>
      <c r="Q911" s="44">
        <f>IF(数据录入!$B911="",0,IF(OR(数据录入!$D911="投标保证金",数据录入!$D911="合同履约保证金",ISNUMBER(FIND("保证金",数据录入!$E911))),1,0))</f>
      </c>
      <c r="R911" s="44">
        <f>IF(AND($Q911=1,数据录入!$B911&gt;=$B$2,数据录入!$B911&lt;=$D$2),N(R910)+1,N(R910))</f>
      </c>
    </row>
    <row r="912" s="44" customFormat="1" spans="1:23">
      <c r="A912" s="116"/>
      <c r="E912" s="108"/>
      <c r="F912" s="114"/>
      <c r="G912" s="114"/>
      <c r="H912" s="114"/>
      <c r="Q912" s="44">
        <f>IF(数据录入!$B912="",0,IF(OR(数据录入!$D912="投标保证金",数据录入!$D912="合同履约保证金",ISNUMBER(FIND("保证金",数据录入!$E912))),1,0))</f>
      </c>
      <c r="R912" s="44">
        <f>IF(AND($Q912=1,数据录入!$B912&gt;=$B$2,数据录入!$B912&lt;=$D$2),N(R911)+1,N(R911))</f>
      </c>
    </row>
    <row r="913" s="44" customFormat="1" spans="1:23">
      <c r="A913" s="116"/>
      <c r="E913" s="108"/>
      <c r="F913" s="114"/>
      <c r="G913" s="114"/>
      <c r="H913" s="114"/>
      <c r="Q913" s="44">
        <f>IF(数据录入!$B913="",0,IF(OR(数据录入!$D913="投标保证金",数据录入!$D913="合同履约保证金",ISNUMBER(FIND("保证金",数据录入!$E913))),1,0))</f>
      </c>
      <c r="R913" s="44">
        <f>IF(AND($Q913=1,数据录入!$B913&gt;=$B$2,数据录入!$B913&lt;=$D$2),N(R912)+1,N(R912))</f>
      </c>
    </row>
    <row r="914" s="44" customFormat="1" spans="1:23">
      <c r="A914" s="116"/>
      <c r="E914" s="108"/>
      <c r="F914" s="114"/>
      <c r="G914" s="114"/>
      <c r="H914" s="114"/>
      <c r="Q914" s="44">
        <f>IF(数据录入!$B914="",0,IF(OR(数据录入!$D914="投标保证金",数据录入!$D914="合同履约保证金",ISNUMBER(FIND("保证金",数据录入!$E914))),1,0))</f>
      </c>
      <c r="R914" s="44">
        <f>IF(AND($Q914=1,数据录入!$B914&gt;=$B$2,数据录入!$B914&lt;=$D$2),N(R913)+1,N(R913))</f>
      </c>
    </row>
    <row r="915" s="44" customFormat="1" spans="1:23">
      <c r="A915" s="116"/>
      <c r="E915" s="108"/>
      <c r="F915" s="114"/>
      <c r="G915" s="114"/>
      <c r="H915" s="114"/>
      <c r="Q915" s="44">
        <f>IF(数据录入!$B915="",0,IF(OR(数据录入!$D915="投标保证金",数据录入!$D915="合同履约保证金",ISNUMBER(FIND("保证金",数据录入!$E915))),1,0))</f>
      </c>
      <c r="R915" s="44">
        <f>IF(AND($Q915=1,数据录入!$B915&gt;=$B$2,数据录入!$B915&lt;=$D$2),N(R914)+1,N(R914))</f>
      </c>
    </row>
    <row r="916" s="44" customFormat="1" spans="1:23">
      <c r="A916" s="116"/>
      <c r="E916" s="108"/>
      <c r="F916" s="114"/>
      <c r="G916" s="114"/>
      <c r="H916" s="114"/>
      <c r="Q916" s="44">
        <f>IF(数据录入!$B916="",0,IF(OR(数据录入!$D916="投标保证金",数据录入!$D916="合同履约保证金",ISNUMBER(FIND("保证金",数据录入!$E916))),1,0))</f>
      </c>
      <c r="R916" s="44">
        <f>IF(AND($Q916=1,数据录入!$B916&gt;=$B$2,数据录入!$B916&lt;=$D$2),N(R915)+1,N(R915))</f>
      </c>
    </row>
    <row r="917" s="44" customFormat="1" spans="1:23">
      <c r="A917" s="116"/>
      <c r="E917" s="108"/>
      <c r="F917" s="114"/>
      <c r="G917" s="114"/>
      <c r="H917" s="114"/>
      <c r="Q917" s="44">
        <f>IF(数据录入!$B917="",0,IF(OR(数据录入!$D917="投标保证金",数据录入!$D917="合同履约保证金",ISNUMBER(FIND("保证金",数据录入!$E917))),1,0))</f>
      </c>
      <c r="R917" s="44">
        <f>IF(AND($Q917=1,数据录入!$B917&gt;=$B$2,数据录入!$B917&lt;=$D$2),N(R916)+1,N(R916))</f>
      </c>
    </row>
    <row r="918" s="44" customFormat="1" spans="1:23">
      <c r="A918" s="116"/>
      <c r="E918" s="108"/>
      <c r="F918" s="114"/>
      <c r="G918" s="114"/>
      <c r="H918" s="114"/>
      <c r="Q918" s="44">
        <f>IF(数据录入!$B918="",0,IF(OR(数据录入!$D918="投标保证金",数据录入!$D918="合同履约保证金",ISNUMBER(FIND("保证金",数据录入!$E918))),1,0))</f>
      </c>
      <c r="R918" s="44">
        <f>IF(AND($Q918=1,数据录入!$B918&gt;=$B$2,数据录入!$B918&lt;=$D$2),N(R917)+1,N(R917))</f>
      </c>
    </row>
    <row r="919" s="44" customFormat="1" spans="1:23">
      <c r="A919" s="116"/>
      <c r="E919" s="108"/>
      <c r="F919" s="114"/>
      <c r="G919" s="114"/>
      <c r="H919" s="114"/>
      <c r="Q919" s="44">
        <f>IF(数据录入!$B919="",0,IF(OR(数据录入!$D919="投标保证金",数据录入!$D919="合同履约保证金",ISNUMBER(FIND("保证金",数据录入!$E919))),1,0))</f>
      </c>
      <c r="R919" s="44">
        <f>IF(AND($Q919=1,数据录入!$B919&gt;=$B$2,数据录入!$B919&lt;=$D$2),N(R918)+1,N(R918))</f>
      </c>
    </row>
    <row r="920" s="44" customFormat="1" spans="1:23">
      <c r="A920" s="116"/>
      <c r="E920" s="108"/>
      <c r="F920" s="114"/>
      <c r="G920" s="114"/>
      <c r="H920" s="114"/>
      <c r="Q920" s="44">
        <f>IF(数据录入!$B920="",0,IF(OR(数据录入!$D920="投标保证金",数据录入!$D920="合同履约保证金",ISNUMBER(FIND("保证金",数据录入!$E920))),1,0))</f>
      </c>
      <c r="R920" s="44">
        <f>IF(AND($Q920=1,数据录入!$B920&gt;=$B$2,数据录入!$B920&lt;=$D$2),N(R919)+1,N(R919))</f>
      </c>
    </row>
    <row r="921" s="44" customFormat="1" spans="1:23">
      <c r="A921" s="116"/>
      <c r="E921" s="108"/>
      <c r="F921" s="114"/>
      <c r="G921" s="114"/>
      <c r="H921" s="114"/>
      <c r="Q921" s="44">
        <f>IF(数据录入!$B921="",0,IF(OR(数据录入!$D921="投标保证金",数据录入!$D921="合同履约保证金",ISNUMBER(FIND("保证金",数据录入!$E921))),1,0))</f>
      </c>
      <c r="R921" s="44">
        <f>IF(AND($Q921=1,数据录入!$B921&gt;=$B$2,数据录入!$B921&lt;=$D$2),N(R920)+1,N(R920))</f>
      </c>
    </row>
    <row r="922" s="44" customFormat="1" spans="1:23">
      <c r="A922" s="116"/>
      <c r="E922" s="108"/>
      <c r="F922" s="114"/>
      <c r="G922" s="114"/>
      <c r="H922" s="114"/>
      <c r="Q922" s="44">
        <f>IF(数据录入!$B922="",0,IF(OR(数据录入!$D922="投标保证金",数据录入!$D922="合同履约保证金",ISNUMBER(FIND("保证金",数据录入!$E922))),1,0))</f>
      </c>
      <c r="R922" s="44">
        <f>IF(AND($Q922=1,数据录入!$B922&gt;=$B$2,数据录入!$B922&lt;=$D$2),N(R921)+1,N(R921))</f>
      </c>
    </row>
    <row r="923" s="44" customFormat="1" spans="1:23">
      <c r="A923" s="116"/>
      <c r="E923" s="108"/>
      <c r="F923" s="114"/>
      <c r="G923" s="114"/>
      <c r="H923" s="114"/>
      <c r="Q923" s="44">
        <f>IF(数据录入!$B923="",0,IF(OR(数据录入!$D923="投标保证金",数据录入!$D923="合同履约保证金",ISNUMBER(FIND("保证金",数据录入!$E923))),1,0))</f>
      </c>
      <c r="R923" s="44">
        <f>IF(AND($Q923=1,数据录入!$B923&gt;=$B$2,数据录入!$B923&lt;=$D$2),N(R922)+1,N(R922))</f>
      </c>
    </row>
    <row r="924" s="44" customFormat="1" spans="1:23">
      <c r="A924" s="116"/>
      <c r="E924" s="108"/>
      <c r="F924" s="114"/>
      <c r="G924" s="114"/>
      <c r="H924" s="114"/>
      <c r="Q924" s="44">
        <f>IF(数据录入!$B924="",0,IF(OR(数据录入!$D924="投标保证金",数据录入!$D924="合同履约保证金",ISNUMBER(FIND("保证金",数据录入!$E924))),1,0))</f>
      </c>
      <c r="R924" s="44">
        <f>IF(AND($Q924=1,数据录入!$B924&gt;=$B$2,数据录入!$B924&lt;=$D$2),N(R923)+1,N(R923))</f>
      </c>
    </row>
    <row r="925" s="44" customFormat="1" spans="1:23">
      <c r="A925" s="116"/>
      <c r="E925" s="108"/>
      <c r="F925" s="114"/>
      <c r="G925" s="114"/>
      <c r="H925" s="114"/>
      <c r="Q925" s="44">
        <f>IF(数据录入!$B925="",0,IF(OR(数据录入!$D925="投标保证金",数据录入!$D925="合同履约保证金",ISNUMBER(FIND("保证金",数据录入!$E925))),1,0))</f>
      </c>
      <c r="R925" s="44">
        <f>IF(AND($Q925=1,数据录入!$B925&gt;=$B$2,数据录入!$B925&lt;=$D$2),N(R924)+1,N(R924))</f>
      </c>
    </row>
    <row r="926" s="44" customFormat="1" spans="1:23">
      <c r="A926" s="116"/>
      <c r="E926" s="108"/>
      <c r="F926" s="114"/>
      <c r="G926" s="114"/>
      <c r="H926" s="114"/>
      <c r="Q926" s="44">
        <f>IF(数据录入!$B926="",0,IF(OR(数据录入!$D926="投标保证金",数据录入!$D926="合同履约保证金",ISNUMBER(FIND("保证金",数据录入!$E926))),1,0))</f>
      </c>
      <c r="R926" s="44">
        <f>IF(AND($Q926=1,数据录入!$B926&gt;=$B$2,数据录入!$B926&lt;=$D$2),N(R925)+1,N(R925))</f>
      </c>
    </row>
    <row r="927" s="44" customFormat="1" spans="1:23">
      <c r="A927" s="116"/>
      <c r="E927" s="108"/>
      <c r="F927" s="114"/>
      <c r="G927" s="114"/>
      <c r="H927" s="114"/>
      <c r="Q927" s="44">
        <f>IF(数据录入!$B927="",0,IF(OR(数据录入!$D927="投标保证金",数据录入!$D927="合同履约保证金",ISNUMBER(FIND("保证金",数据录入!$E927))),1,0))</f>
      </c>
      <c r="R927" s="44">
        <f>IF(AND($Q927=1,数据录入!$B927&gt;=$B$2,数据录入!$B927&lt;=$D$2),N(R926)+1,N(R926))</f>
      </c>
    </row>
    <row r="928" s="44" customFormat="1" spans="1:23">
      <c r="A928" s="116"/>
      <c r="E928" s="108"/>
      <c r="F928" s="114"/>
      <c r="G928" s="114"/>
      <c r="H928" s="114"/>
      <c r="Q928" s="44">
        <f>IF(数据录入!$B928="",0,IF(OR(数据录入!$D928="投标保证金",数据录入!$D928="合同履约保证金",ISNUMBER(FIND("保证金",数据录入!$E928))),1,0))</f>
      </c>
      <c r="R928" s="44">
        <f>IF(AND($Q928=1,数据录入!$B928&gt;=$B$2,数据录入!$B928&lt;=$D$2),N(R927)+1,N(R927))</f>
      </c>
    </row>
    <row r="929" s="44" customFormat="1" spans="1:23">
      <c r="A929" s="116"/>
      <c r="E929" s="108"/>
      <c r="F929" s="114"/>
      <c r="G929" s="114"/>
      <c r="H929" s="114"/>
      <c r="Q929" s="44">
        <f>IF(数据录入!$B929="",0,IF(OR(数据录入!$D929="投标保证金",数据录入!$D929="合同履约保证金",ISNUMBER(FIND("保证金",数据录入!$E929))),1,0))</f>
      </c>
      <c r="R929" s="44">
        <f>IF(AND($Q929=1,数据录入!$B929&gt;=$B$2,数据录入!$B929&lt;=$D$2),N(R928)+1,N(R928))</f>
      </c>
    </row>
    <row r="930" s="44" customFormat="1" spans="1:23">
      <c r="A930" s="116"/>
      <c r="E930" s="108"/>
      <c r="F930" s="114"/>
      <c r="G930" s="114"/>
      <c r="H930" s="114"/>
      <c r="Q930" s="44">
        <f>IF(数据录入!$B930="",0,IF(OR(数据录入!$D930="投标保证金",数据录入!$D930="合同履约保证金",ISNUMBER(FIND("保证金",数据录入!$E930))),1,0))</f>
      </c>
      <c r="R930" s="44">
        <f>IF(AND($Q930=1,数据录入!$B930&gt;=$B$2,数据录入!$B930&lt;=$D$2),N(R929)+1,N(R929))</f>
      </c>
    </row>
    <row r="931" s="44" customFormat="1" spans="1:23">
      <c r="A931" s="116"/>
      <c r="E931" s="108"/>
      <c r="F931" s="114"/>
      <c r="G931" s="114"/>
      <c r="H931" s="114"/>
      <c r="Q931" s="44">
        <f>IF(数据录入!$B931="",0,IF(OR(数据录入!$D931="投标保证金",数据录入!$D931="合同履约保证金",ISNUMBER(FIND("保证金",数据录入!$E931))),1,0))</f>
      </c>
      <c r="R931" s="44">
        <f>IF(AND($Q931=1,数据录入!$B931&gt;=$B$2,数据录入!$B931&lt;=$D$2),N(R930)+1,N(R930))</f>
      </c>
    </row>
    <row r="932" s="44" customFormat="1" spans="1:23">
      <c r="A932" s="116"/>
      <c r="E932" s="108"/>
      <c r="F932" s="114"/>
      <c r="G932" s="114"/>
      <c r="H932" s="114"/>
      <c r="Q932" s="44">
        <f>IF(数据录入!$B932="",0,IF(OR(数据录入!$D932="投标保证金",数据录入!$D932="合同履约保证金",ISNUMBER(FIND("保证金",数据录入!$E932))),1,0))</f>
      </c>
      <c r="R932" s="44">
        <f>IF(AND($Q932=1,数据录入!$B932&gt;=$B$2,数据录入!$B932&lt;=$D$2),N(R931)+1,N(R931))</f>
      </c>
    </row>
    <row r="933" s="44" customFormat="1" spans="1:23">
      <c r="A933" s="116"/>
      <c r="E933" s="108"/>
      <c r="F933" s="114"/>
      <c r="G933" s="114"/>
      <c r="H933" s="114"/>
      <c r="Q933" s="44">
        <f>IF(数据录入!$B933="",0,IF(OR(数据录入!$D933="投标保证金",数据录入!$D933="合同履约保证金",ISNUMBER(FIND("保证金",数据录入!$E933))),1,0))</f>
      </c>
      <c r="R933" s="44">
        <f>IF(AND($Q933=1,数据录入!$B933&gt;=$B$2,数据录入!$B933&lt;=$D$2),N(R932)+1,N(R932))</f>
      </c>
    </row>
    <row r="934" s="44" customFormat="1" spans="1:23">
      <c r="A934" s="116"/>
      <c r="E934" s="108"/>
      <c r="F934" s="114"/>
      <c r="G934" s="114"/>
      <c r="H934" s="114"/>
      <c r="Q934" s="44">
        <f>IF(数据录入!$B934="",0,IF(OR(数据录入!$D934="投标保证金",数据录入!$D934="合同履约保证金",ISNUMBER(FIND("保证金",数据录入!$E934))),1,0))</f>
      </c>
      <c r="R934" s="44">
        <f>IF(AND($Q934=1,数据录入!$B934&gt;=$B$2,数据录入!$B934&lt;=$D$2),N(R933)+1,N(R933))</f>
      </c>
    </row>
    <row r="935" s="44" customFormat="1" spans="1:23">
      <c r="A935" s="116"/>
      <c r="E935" s="108"/>
      <c r="F935" s="114"/>
      <c r="G935" s="114"/>
      <c r="H935" s="114"/>
      <c r="Q935" s="44">
        <f>IF(数据录入!$B935="",0,IF(OR(数据录入!$D935="投标保证金",数据录入!$D935="合同履约保证金",ISNUMBER(FIND("保证金",数据录入!$E935))),1,0))</f>
      </c>
      <c r="R935" s="44">
        <f>IF(AND($Q935=1,数据录入!$B935&gt;=$B$2,数据录入!$B935&lt;=$D$2),N(R934)+1,N(R934))</f>
      </c>
    </row>
    <row r="936" s="44" customFormat="1" spans="1:23">
      <c r="A936" s="116"/>
      <c r="E936" s="108"/>
      <c r="F936" s="114"/>
      <c r="G936" s="114"/>
      <c r="H936" s="114"/>
      <c r="Q936" s="44">
        <f>IF(数据录入!$B936="",0,IF(OR(数据录入!$D936="投标保证金",数据录入!$D936="合同履约保证金",ISNUMBER(FIND("保证金",数据录入!$E936))),1,0))</f>
      </c>
      <c r="R936" s="44">
        <f>IF(AND($Q936=1,数据录入!$B936&gt;=$B$2,数据录入!$B936&lt;=$D$2),N(R935)+1,N(R935))</f>
      </c>
    </row>
    <row r="937" s="44" customFormat="1" spans="1:23">
      <c r="A937" s="116"/>
      <c r="E937" s="108"/>
      <c r="F937" s="114"/>
      <c r="G937" s="114"/>
      <c r="H937" s="114"/>
      <c r="Q937" s="44">
        <f>IF(数据录入!$B937="",0,IF(OR(数据录入!$D937="投标保证金",数据录入!$D937="合同履约保证金",ISNUMBER(FIND("保证金",数据录入!$E937))),1,0))</f>
      </c>
      <c r="R937" s="44">
        <f>IF(AND($Q937=1,数据录入!$B937&gt;=$B$2,数据录入!$B937&lt;=$D$2),N(R936)+1,N(R936))</f>
      </c>
    </row>
    <row r="938" s="44" customFormat="1" spans="1:23">
      <c r="A938" s="116"/>
      <c r="E938" s="108"/>
      <c r="F938" s="114"/>
      <c r="G938" s="114"/>
      <c r="H938" s="114"/>
      <c r="Q938" s="44">
        <f>IF(数据录入!$B938="",0,IF(OR(数据录入!$D938="投标保证金",数据录入!$D938="合同履约保证金",ISNUMBER(FIND("保证金",数据录入!$E938))),1,0))</f>
      </c>
      <c r="R938" s="44">
        <f>IF(AND($Q938=1,数据录入!$B938&gt;=$B$2,数据录入!$B938&lt;=$D$2),N(R937)+1,N(R937))</f>
      </c>
    </row>
    <row r="939" s="44" customFormat="1" spans="1:23">
      <c r="A939" s="116"/>
      <c r="E939" s="108"/>
      <c r="F939" s="114"/>
      <c r="G939" s="114"/>
      <c r="H939" s="114"/>
      <c r="Q939" s="44">
        <f>IF(数据录入!$B939="",0,IF(OR(数据录入!$D939="投标保证金",数据录入!$D939="合同履约保证金",ISNUMBER(FIND("保证金",数据录入!$E939))),1,0))</f>
      </c>
      <c r="R939" s="44">
        <f>IF(AND($Q939=1,数据录入!$B939&gt;=$B$2,数据录入!$B939&lt;=$D$2),N(R938)+1,N(R938))</f>
      </c>
    </row>
    <row r="940" s="44" customFormat="1" spans="1:23">
      <c r="A940" s="116"/>
      <c r="E940" s="108"/>
      <c r="F940" s="114"/>
      <c r="G940" s="114"/>
      <c r="H940" s="114"/>
      <c r="Q940" s="44">
        <f>IF(数据录入!$B940="",0,IF(OR(数据录入!$D940="投标保证金",数据录入!$D940="合同履约保证金",ISNUMBER(FIND("保证金",数据录入!$E940))),1,0))</f>
      </c>
      <c r="R940" s="44">
        <f>IF(AND($Q940=1,数据录入!$B940&gt;=$B$2,数据录入!$B940&lt;=$D$2),N(R939)+1,N(R939))</f>
      </c>
    </row>
    <row r="941" s="44" customFormat="1" spans="1:23">
      <c r="A941" s="116"/>
      <c r="E941" s="108"/>
      <c r="F941" s="114"/>
      <c r="G941" s="114"/>
      <c r="H941" s="114"/>
      <c r="Q941" s="44">
        <f>IF(数据录入!$B941="",0,IF(OR(数据录入!$D941="投标保证金",数据录入!$D941="合同履约保证金",ISNUMBER(FIND("保证金",数据录入!$E941))),1,0))</f>
      </c>
      <c r="R941" s="44">
        <f>IF(AND($Q941=1,数据录入!$B941&gt;=$B$2,数据录入!$B941&lt;=$D$2),N(R940)+1,N(R940))</f>
      </c>
    </row>
    <row r="942" s="44" customFormat="1" spans="1:23">
      <c r="A942" s="116"/>
      <c r="E942" s="108"/>
      <c r="F942" s="114"/>
      <c r="G942" s="114"/>
      <c r="H942" s="114"/>
      <c r="Q942" s="44">
        <f>IF(数据录入!$B942="",0,IF(OR(数据录入!$D942="投标保证金",数据录入!$D942="合同履约保证金",ISNUMBER(FIND("保证金",数据录入!$E942))),1,0))</f>
      </c>
      <c r="R942" s="44">
        <f>IF(AND($Q942=1,数据录入!$B942&gt;=$B$2,数据录入!$B942&lt;=$D$2),N(R941)+1,N(R941))</f>
      </c>
    </row>
    <row r="943" s="44" customFormat="1" spans="1:23">
      <c r="A943" s="116"/>
      <c r="E943" s="108"/>
      <c r="F943" s="114"/>
      <c r="G943" s="114"/>
      <c r="H943" s="114"/>
      <c r="Q943" s="44">
        <f>IF(数据录入!$B943="",0,IF(OR(数据录入!$D943="投标保证金",数据录入!$D943="合同履约保证金",ISNUMBER(FIND("保证金",数据录入!$E943))),1,0))</f>
      </c>
      <c r="R943" s="44">
        <f>IF(AND($Q943=1,数据录入!$B943&gt;=$B$2,数据录入!$B943&lt;=$D$2),N(R942)+1,N(R942))</f>
      </c>
    </row>
    <row r="944" s="44" customFormat="1" spans="1:23">
      <c r="A944" s="116"/>
      <c r="E944" s="108"/>
      <c r="F944" s="114"/>
      <c r="G944" s="114"/>
      <c r="H944" s="114"/>
      <c r="Q944" s="44">
        <f>IF(数据录入!$B944="",0,IF(OR(数据录入!$D944="投标保证金",数据录入!$D944="合同履约保证金",ISNUMBER(FIND("保证金",数据录入!$E944))),1,0))</f>
      </c>
      <c r="R944" s="44">
        <f>IF(AND($Q944=1,数据录入!$B944&gt;=$B$2,数据录入!$B944&lt;=$D$2),N(R943)+1,N(R943))</f>
      </c>
    </row>
    <row r="945" s="44" customFormat="1" spans="1:23">
      <c r="A945" s="116"/>
      <c r="E945" s="108"/>
      <c r="F945" s="114"/>
      <c r="G945" s="114"/>
      <c r="H945" s="114"/>
      <c r="Q945" s="44">
        <f>IF(数据录入!$B945="",0,IF(OR(数据录入!$D945="投标保证金",数据录入!$D945="合同履约保证金",ISNUMBER(FIND("保证金",数据录入!$E945))),1,0))</f>
      </c>
      <c r="R945" s="44">
        <f>IF(AND($Q945=1,数据录入!$B945&gt;=$B$2,数据录入!$B945&lt;=$D$2),N(R944)+1,N(R944))</f>
      </c>
    </row>
    <row r="946" s="44" customFormat="1" spans="1:23">
      <c r="A946" s="116"/>
      <c r="E946" s="108"/>
      <c r="F946" s="114"/>
      <c r="G946" s="114"/>
      <c r="H946" s="114"/>
      <c r="Q946" s="44">
        <f>IF(数据录入!$B946="",0,IF(OR(数据录入!$D946="投标保证金",数据录入!$D946="合同履约保证金",ISNUMBER(FIND("保证金",数据录入!$E946))),1,0))</f>
      </c>
      <c r="R946" s="44">
        <f>IF(AND($Q946=1,数据录入!$B946&gt;=$B$2,数据录入!$B946&lt;=$D$2),N(R945)+1,N(R945))</f>
      </c>
    </row>
    <row r="947" s="44" customFormat="1" spans="1:23">
      <c r="A947" s="116"/>
      <c r="E947" s="108"/>
      <c r="F947" s="114"/>
      <c r="G947" s="114"/>
      <c r="H947" s="114"/>
      <c r="Q947" s="44">
        <f>IF(数据录入!$B947="",0,IF(OR(数据录入!$D947="投标保证金",数据录入!$D947="合同履约保证金",ISNUMBER(FIND("保证金",数据录入!$E947))),1,0))</f>
      </c>
      <c r="R947" s="44">
        <f>IF(AND($Q947=1,数据录入!$B947&gt;=$B$2,数据录入!$B947&lt;=$D$2),N(R946)+1,N(R946))</f>
      </c>
    </row>
    <row r="948" s="44" customFormat="1" spans="1:23">
      <c r="A948" s="116"/>
      <c r="E948" s="108"/>
      <c r="F948" s="114"/>
      <c r="G948" s="114"/>
      <c r="H948" s="114"/>
      <c r="Q948" s="44">
        <f>IF(数据录入!$B948="",0,IF(OR(数据录入!$D948="投标保证金",数据录入!$D948="合同履约保证金",ISNUMBER(FIND("保证金",数据录入!$E948))),1,0))</f>
      </c>
      <c r="R948" s="44">
        <f>IF(AND($Q948=1,数据录入!$B948&gt;=$B$2,数据录入!$B948&lt;=$D$2),N(R947)+1,N(R947))</f>
      </c>
    </row>
    <row r="949" s="44" customFormat="1" spans="1:23">
      <c r="A949" s="116"/>
      <c r="E949" s="108"/>
      <c r="F949" s="114"/>
      <c r="G949" s="114"/>
      <c r="H949" s="114"/>
      <c r="Q949" s="44">
        <f>IF(数据录入!$B949="",0,IF(OR(数据录入!$D949="投标保证金",数据录入!$D949="合同履约保证金",ISNUMBER(FIND("保证金",数据录入!$E949))),1,0))</f>
      </c>
      <c r="R949" s="44">
        <f>IF(AND($Q949=1,数据录入!$B949&gt;=$B$2,数据录入!$B949&lt;=$D$2),N(R948)+1,N(R948))</f>
      </c>
    </row>
    <row r="950" s="44" customFormat="1" spans="1:23">
      <c r="A950" s="116"/>
      <c r="E950" s="108"/>
      <c r="F950" s="114"/>
      <c r="G950" s="114"/>
      <c r="H950" s="114"/>
      <c r="Q950" s="44">
        <f>IF(数据录入!$B950="",0,IF(OR(数据录入!$D950="投标保证金",数据录入!$D950="合同履约保证金",ISNUMBER(FIND("保证金",数据录入!$E950))),1,0))</f>
      </c>
      <c r="R950" s="44">
        <f>IF(AND($Q950=1,数据录入!$B950&gt;=$B$2,数据录入!$B950&lt;=$D$2),N(R949)+1,N(R949))</f>
      </c>
    </row>
    <row r="951" s="44" customFormat="1" spans="1:23">
      <c r="A951" s="116"/>
      <c r="E951" s="108"/>
      <c r="F951" s="114"/>
      <c r="G951" s="114"/>
      <c r="H951" s="114"/>
      <c r="Q951" s="44">
        <f>IF(数据录入!$B951="",0,IF(OR(数据录入!$D951="投标保证金",数据录入!$D951="合同履约保证金",ISNUMBER(FIND("保证金",数据录入!$E951))),1,0))</f>
      </c>
      <c r="R951" s="44">
        <f>IF(AND($Q951=1,数据录入!$B951&gt;=$B$2,数据录入!$B951&lt;=$D$2),N(R950)+1,N(R950))</f>
      </c>
    </row>
    <row r="952" s="44" customFormat="1" spans="1:23">
      <c r="A952" s="116"/>
      <c r="E952" s="108"/>
      <c r="F952" s="114"/>
      <c r="G952" s="114"/>
      <c r="H952" s="114"/>
      <c r="Q952" s="44">
        <f>IF(数据录入!$B952="",0,IF(OR(数据录入!$D952="投标保证金",数据录入!$D952="合同履约保证金",ISNUMBER(FIND("保证金",数据录入!$E952))),1,0))</f>
      </c>
      <c r="R952" s="44">
        <f>IF(AND($Q952=1,数据录入!$B952&gt;=$B$2,数据录入!$B952&lt;=$D$2),N(R951)+1,N(R951))</f>
      </c>
    </row>
    <row r="953" s="44" customFormat="1" spans="1:23">
      <c r="A953" s="116"/>
      <c r="E953" s="108"/>
      <c r="F953" s="114"/>
      <c r="G953" s="114"/>
      <c r="H953" s="114"/>
      <c r="Q953" s="44">
        <f>IF(数据录入!$B953="",0,IF(OR(数据录入!$D953="投标保证金",数据录入!$D953="合同履约保证金",ISNUMBER(FIND("保证金",数据录入!$E953))),1,0))</f>
      </c>
      <c r="R953" s="44">
        <f>IF(AND($Q953=1,数据录入!$B953&gt;=$B$2,数据录入!$B953&lt;=$D$2),N(R952)+1,N(R952))</f>
      </c>
    </row>
    <row r="954" s="44" customFormat="1" spans="1:23">
      <c r="A954" s="116"/>
      <c r="E954" s="108"/>
      <c r="F954" s="114"/>
      <c r="G954" s="114"/>
      <c r="H954" s="114"/>
      <c r="Q954" s="44">
        <f>IF(数据录入!$B954="",0,IF(OR(数据录入!$D954="投标保证金",数据录入!$D954="合同履约保证金",ISNUMBER(FIND("保证金",数据录入!$E954))),1,0))</f>
      </c>
      <c r="R954" s="44">
        <f>IF(AND($Q954=1,数据录入!$B954&gt;=$B$2,数据录入!$B954&lt;=$D$2),N(R953)+1,N(R953))</f>
      </c>
    </row>
    <row r="955" s="44" customFormat="1" spans="1:23">
      <c r="A955" s="116"/>
      <c r="E955" s="108"/>
      <c r="F955" s="114"/>
      <c r="G955" s="114"/>
      <c r="H955" s="114"/>
      <c r="Q955" s="44">
        <f>IF(数据录入!$B955="",0,IF(OR(数据录入!$D955="投标保证金",数据录入!$D955="合同履约保证金",ISNUMBER(FIND("保证金",数据录入!$E955))),1,0))</f>
      </c>
      <c r="R955" s="44">
        <f>IF(AND($Q955=1,数据录入!$B955&gt;=$B$2,数据录入!$B955&lt;=$D$2),N(R954)+1,N(R954))</f>
      </c>
    </row>
    <row r="956" s="44" customFormat="1" spans="1:23">
      <c r="A956" s="116"/>
      <c r="E956" s="108"/>
      <c r="F956" s="114"/>
      <c r="G956" s="114"/>
      <c r="H956" s="114"/>
      <c r="Q956" s="44">
        <f>IF(数据录入!$B956="",0,IF(OR(数据录入!$D956="投标保证金",数据录入!$D956="合同履约保证金",ISNUMBER(FIND("保证金",数据录入!$E956))),1,0))</f>
      </c>
      <c r="R956" s="44">
        <f>IF(AND($Q956=1,数据录入!$B956&gt;=$B$2,数据录入!$B956&lt;=$D$2),N(R955)+1,N(R955))</f>
      </c>
    </row>
    <row r="957" s="44" customFormat="1" spans="1:23">
      <c r="A957" s="116"/>
      <c r="E957" s="108"/>
      <c r="F957" s="114"/>
      <c r="G957" s="114"/>
      <c r="H957" s="114"/>
      <c r="Q957" s="44">
        <f>IF(数据录入!$B957="",0,IF(OR(数据录入!$D957="投标保证金",数据录入!$D957="合同履约保证金",ISNUMBER(FIND("保证金",数据录入!$E957))),1,0))</f>
      </c>
      <c r="R957" s="44">
        <f>IF(AND($Q957=1,数据录入!$B957&gt;=$B$2,数据录入!$B957&lt;=$D$2),N(R956)+1,N(R956))</f>
      </c>
    </row>
    <row r="958" s="44" customFormat="1" spans="1:23">
      <c r="A958" s="116"/>
      <c r="E958" s="108"/>
      <c r="F958" s="114"/>
      <c r="G958" s="114"/>
      <c r="H958" s="114"/>
      <c r="Q958" s="44">
        <f>IF(数据录入!$B958="",0,IF(OR(数据录入!$D958="投标保证金",数据录入!$D958="合同履约保证金",ISNUMBER(FIND("保证金",数据录入!$E958))),1,0))</f>
      </c>
      <c r="R958" s="44">
        <f>IF(AND($Q958=1,数据录入!$B958&gt;=$B$2,数据录入!$B958&lt;=$D$2),N(R957)+1,N(R957))</f>
      </c>
    </row>
    <row r="959" s="44" customFormat="1" spans="1:23">
      <c r="A959" s="116"/>
      <c r="E959" s="108"/>
      <c r="F959" s="114"/>
      <c r="G959" s="114"/>
      <c r="H959" s="114"/>
      <c r="Q959" s="44">
        <f>IF(数据录入!$B959="",0,IF(OR(数据录入!$D959="投标保证金",数据录入!$D959="合同履约保证金",ISNUMBER(FIND("保证金",数据录入!$E959))),1,0))</f>
      </c>
      <c r="R959" s="44">
        <f>IF(AND($Q959=1,数据录入!$B959&gt;=$B$2,数据录入!$B959&lt;=$D$2),N(R958)+1,N(R958))</f>
      </c>
    </row>
    <row r="960" s="44" customFormat="1" spans="1:23">
      <c r="A960" s="116"/>
      <c r="E960" s="108"/>
      <c r="F960" s="114"/>
      <c r="G960" s="114"/>
      <c r="H960" s="114"/>
      <c r="Q960" s="44">
        <f>IF(数据录入!$B960="",0,IF(OR(数据录入!$D960="投标保证金",数据录入!$D960="合同履约保证金",ISNUMBER(FIND("保证金",数据录入!$E960))),1,0))</f>
      </c>
      <c r="R960" s="44">
        <f>IF(AND($Q960=1,数据录入!$B960&gt;=$B$2,数据录入!$B960&lt;=$D$2),N(R959)+1,N(R959))</f>
      </c>
    </row>
    <row r="961" s="44" customFormat="1" spans="1:23">
      <c r="A961" s="116"/>
      <c r="E961" s="108"/>
      <c r="F961" s="114"/>
      <c r="G961" s="114"/>
      <c r="H961" s="114"/>
      <c r="Q961" s="44">
        <f>IF(数据录入!$B961="",0,IF(OR(数据录入!$D961="投标保证金",数据录入!$D961="合同履约保证金",ISNUMBER(FIND("保证金",数据录入!$E961))),1,0))</f>
      </c>
      <c r="R961" s="44">
        <f>IF(AND($Q961=1,数据录入!$B961&gt;=$B$2,数据录入!$B961&lt;=$D$2),N(R960)+1,N(R960))</f>
      </c>
    </row>
    <row r="962" s="44" customFormat="1" spans="1:23">
      <c r="A962" s="116"/>
      <c r="E962" s="108"/>
      <c r="F962" s="114"/>
      <c r="G962" s="114"/>
      <c r="H962" s="114"/>
      <c r="Q962" s="44">
        <f>IF(数据录入!$B962="",0,IF(OR(数据录入!$D962="投标保证金",数据录入!$D962="合同履约保证金",ISNUMBER(FIND("保证金",数据录入!$E962))),1,0))</f>
      </c>
      <c r="R962" s="44">
        <f>IF(AND($Q962=1,数据录入!$B962&gt;=$B$2,数据录入!$B962&lt;=$D$2),N(R961)+1,N(R961))</f>
      </c>
    </row>
    <row r="963" s="44" customFormat="1" spans="1:23">
      <c r="A963" s="116"/>
      <c r="E963" s="108"/>
      <c r="F963" s="114"/>
      <c r="G963" s="114"/>
      <c r="H963" s="114"/>
      <c r="Q963" s="44">
        <f>IF(数据录入!$B963="",0,IF(OR(数据录入!$D963="投标保证金",数据录入!$D963="合同履约保证金",ISNUMBER(FIND("保证金",数据录入!$E963))),1,0))</f>
      </c>
      <c r="R963" s="44">
        <f>IF(AND($Q963=1,数据录入!$B963&gt;=$B$2,数据录入!$B963&lt;=$D$2),N(R962)+1,N(R962))</f>
      </c>
    </row>
    <row r="964" s="44" customFormat="1" spans="1:23">
      <c r="A964" s="116"/>
      <c r="E964" s="108"/>
      <c r="F964" s="114"/>
      <c r="G964" s="114"/>
      <c r="H964" s="114"/>
      <c r="Q964" s="44">
        <f>IF(数据录入!$B964="",0,IF(OR(数据录入!$D964="投标保证金",数据录入!$D964="合同履约保证金",ISNUMBER(FIND("保证金",数据录入!$E964))),1,0))</f>
      </c>
      <c r="R964" s="44">
        <f>IF(AND($Q964=1,数据录入!$B964&gt;=$B$2,数据录入!$B964&lt;=$D$2),N(R963)+1,N(R963))</f>
      </c>
    </row>
    <row r="965" s="44" customFormat="1" spans="1:23">
      <c r="A965" s="116"/>
      <c r="E965" s="108"/>
      <c r="F965" s="114"/>
      <c r="G965" s="114"/>
      <c r="H965" s="114"/>
      <c r="Q965" s="44">
        <f>IF(数据录入!$B965="",0,IF(OR(数据录入!$D965="投标保证金",数据录入!$D965="合同履约保证金",ISNUMBER(FIND("保证金",数据录入!$E965))),1,0))</f>
      </c>
      <c r="R965" s="44">
        <f>IF(AND($Q965=1,数据录入!$B965&gt;=$B$2,数据录入!$B965&lt;=$D$2),N(R964)+1,N(R964))</f>
      </c>
    </row>
    <row r="966" s="44" customFormat="1" spans="1:23">
      <c r="A966" s="116"/>
      <c r="E966" s="108"/>
      <c r="F966" s="114"/>
      <c r="G966" s="114"/>
      <c r="H966" s="114"/>
      <c r="Q966" s="44">
        <f>IF(数据录入!$B966="",0,IF(OR(数据录入!$D966="投标保证金",数据录入!$D966="合同履约保证金",ISNUMBER(FIND("保证金",数据录入!$E966))),1,0))</f>
      </c>
      <c r="R966" s="44">
        <f>IF(AND($Q966=1,数据录入!$B966&gt;=$B$2,数据录入!$B966&lt;=$D$2),N(R965)+1,N(R965))</f>
      </c>
    </row>
    <row r="967" s="44" customFormat="1" spans="1:23">
      <c r="A967" s="116"/>
      <c r="E967" s="108"/>
      <c r="F967" s="114"/>
      <c r="G967" s="114"/>
      <c r="H967" s="114"/>
      <c r="Q967" s="44">
        <f>IF(数据录入!$B967="",0,IF(OR(数据录入!$D967="投标保证金",数据录入!$D967="合同履约保证金",ISNUMBER(FIND("保证金",数据录入!$E967))),1,0))</f>
      </c>
      <c r="R967" s="44">
        <f>IF(AND($Q967=1,数据录入!$B967&gt;=$B$2,数据录入!$B967&lt;=$D$2),N(R966)+1,N(R966))</f>
      </c>
    </row>
    <row r="968" s="44" customFormat="1" spans="1:23">
      <c r="A968" s="116"/>
      <c r="E968" s="108"/>
      <c r="F968" s="114"/>
      <c r="G968" s="114"/>
      <c r="H968" s="114"/>
      <c r="Q968" s="44">
        <f>IF(数据录入!$B968="",0,IF(OR(数据录入!$D968="投标保证金",数据录入!$D968="合同履约保证金",ISNUMBER(FIND("保证金",数据录入!$E968))),1,0))</f>
      </c>
      <c r="R968" s="44">
        <f>IF(AND($Q968=1,数据录入!$B968&gt;=$B$2,数据录入!$B968&lt;=$D$2),N(R967)+1,N(R967))</f>
      </c>
    </row>
    <row r="969" s="44" customFormat="1" spans="1:23">
      <c r="A969" s="116"/>
      <c r="E969" s="108"/>
      <c r="F969" s="114"/>
      <c r="G969" s="114"/>
      <c r="H969" s="114"/>
      <c r="Q969" s="44">
        <f>IF(数据录入!$B969="",0,IF(OR(数据录入!$D969="投标保证金",数据录入!$D969="合同履约保证金",ISNUMBER(FIND("保证金",数据录入!$E969))),1,0))</f>
      </c>
      <c r="R969" s="44">
        <f>IF(AND($Q969=1,数据录入!$B969&gt;=$B$2,数据录入!$B969&lt;=$D$2),N(R968)+1,N(R968))</f>
      </c>
    </row>
    <row r="970" s="44" customFormat="1" spans="1:23">
      <c r="A970" s="116"/>
      <c r="E970" s="108"/>
      <c r="F970" s="114"/>
      <c r="G970" s="114"/>
      <c r="H970" s="114"/>
      <c r="Q970" s="44">
        <f>IF(数据录入!$B970="",0,IF(OR(数据录入!$D970="投标保证金",数据录入!$D970="合同履约保证金",ISNUMBER(FIND("保证金",数据录入!$E970))),1,0))</f>
      </c>
      <c r="R970" s="44">
        <f>IF(AND($Q970=1,数据录入!$B970&gt;=$B$2,数据录入!$B970&lt;=$D$2),N(R969)+1,N(R969))</f>
      </c>
    </row>
    <row r="971" s="44" customFormat="1" spans="1:23">
      <c r="A971" s="116"/>
      <c r="E971" s="108"/>
      <c r="F971" s="114"/>
      <c r="G971" s="114"/>
      <c r="H971" s="114"/>
      <c r="Q971" s="44">
        <f>IF(数据录入!$B971="",0,IF(OR(数据录入!$D971="投标保证金",数据录入!$D971="合同履约保证金",ISNUMBER(FIND("保证金",数据录入!$E971))),1,0))</f>
      </c>
      <c r="R971" s="44">
        <f>IF(AND($Q971=1,数据录入!$B971&gt;=$B$2,数据录入!$B971&lt;=$D$2),N(R970)+1,N(R970))</f>
      </c>
    </row>
    <row r="972" s="44" customFormat="1" spans="1:23">
      <c r="A972" s="116"/>
      <c r="E972" s="108"/>
      <c r="F972" s="114"/>
      <c r="G972" s="114"/>
      <c r="H972" s="114"/>
      <c r="Q972" s="44">
        <f>IF(数据录入!$B972="",0,IF(OR(数据录入!$D972="投标保证金",数据录入!$D972="合同履约保证金",ISNUMBER(FIND("保证金",数据录入!$E972))),1,0))</f>
      </c>
      <c r="R972" s="44">
        <f>IF(AND($Q972=1,数据录入!$B972&gt;=$B$2,数据录入!$B972&lt;=$D$2),N(R971)+1,N(R971))</f>
      </c>
    </row>
    <row r="973" s="44" customFormat="1" spans="1:23">
      <c r="A973" s="116"/>
      <c r="E973" s="108"/>
      <c r="F973" s="114"/>
      <c r="G973" s="114"/>
      <c r="H973" s="114"/>
      <c r="Q973" s="44">
        <f>IF(数据录入!$B973="",0,IF(OR(数据录入!$D973="投标保证金",数据录入!$D973="合同履约保证金",ISNUMBER(FIND("保证金",数据录入!$E973))),1,0))</f>
      </c>
      <c r="R973" s="44">
        <f>IF(AND($Q973=1,数据录入!$B973&gt;=$B$2,数据录入!$B973&lt;=$D$2),N(R972)+1,N(R972))</f>
      </c>
    </row>
    <row r="974" s="44" customFormat="1" spans="1:23">
      <c r="A974" s="116"/>
      <c r="E974" s="108"/>
      <c r="F974" s="114"/>
      <c r="G974" s="114"/>
      <c r="H974" s="114"/>
      <c r="Q974" s="44">
        <f>IF(数据录入!$B974="",0,IF(OR(数据录入!$D974="投标保证金",数据录入!$D974="合同履约保证金",ISNUMBER(FIND("保证金",数据录入!$E974))),1,0))</f>
      </c>
      <c r="R974" s="44">
        <f>IF(AND($Q974=1,数据录入!$B974&gt;=$B$2,数据录入!$B974&lt;=$D$2),N(R973)+1,N(R973))</f>
      </c>
    </row>
    <row r="975" s="44" customFormat="1" spans="1:23">
      <c r="A975" s="116"/>
      <c r="E975" s="108"/>
      <c r="F975" s="114"/>
      <c r="G975" s="114"/>
      <c r="H975" s="114"/>
      <c r="Q975" s="44">
        <f>IF(数据录入!$B975="",0,IF(OR(数据录入!$D975="投标保证金",数据录入!$D975="合同履约保证金",ISNUMBER(FIND("保证金",数据录入!$E975))),1,0))</f>
      </c>
      <c r="R975" s="44">
        <f>IF(AND($Q975=1,数据录入!$B975&gt;=$B$2,数据录入!$B975&lt;=$D$2),N(R974)+1,N(R974))</f>
      </c>
    </row>
    <row r="976" s="44" customFormat="1" spans="1:23">
      <c r="A976" s="116"/>
      <c r="E976" s="108"/>
      <c r="F976" s="114"/>
      <c r="G976" s="114"/>
      <c r="H976" s="114"/>
      <c r="Q976" s="44">
        <f>IF(数据录入!$B976="",0,IF(OR(数据录入!$D976="投标保证金",数据录入!$D976="合同履约保证金",ISNUMBER(FIND("保证金",数据录入!$E976))),1,0))</f>
      </c>
      <c r="R976" s="44">
        <f>IF(AND($Q976=1,数据录入!$B976&gt;=$B$2,数据录入!$B976&lt;=$D$2),N(R975)+1,N(R975))</f>
      </c>
    </row>
    <row r="977" s="44" customFormat="1" spans="1:23">
      <c r="A977" s="116"/>
      <c r="E977" s="108"/>
      <c r="F977" s="114"/>
      <c r="G977" s="114"/>
      <c r="H977" s="114"/>
      <c r="Q977" s="44">
        <f>IF(数据录入!$B977="",0,IF(OR(数据录入!$D977="投标保证金",数据录入!$D977="合同履约保证金",ISNUMBER(FIND("保证金",数据录入!$E977))),1,0))</f>
      </c>
      <c r="R977" s="44">
        <f>IF(AND($Q977=1,数据录入!$B977&gt;=$B$2,数据录入!$B977&lt;=$D$2),N(R976)+1,N(R976))</f>
      </c>
    </row>
    <row r="978" s="44" customFormat="1" spans="1:23">
      <c r="A978" s="116"/>
      <c r="E978" s="108"/>
      <c r="F978" s="114"/>
      <c r="G978" s="114"/>
      <c r="H978" s="114"/>
      <c r="Q978" s="44">
        <f>IF(数据录入!$B978="",0,IF(OR(数据录入!$D978="投标保证金",数据录入!$D978="合同履约保证金",ISNUMBER(FIND("保证金",数据录入!$E978))),1,0))</f>
      </c>
      <c r="R978" s="44">
        <f>IF(AND($Q978=1,数据录入!$B978&gt;=$B$2,数据录入!$B978&lt;=$D$2),N(R977)+1,N(R977))</f>
      </c>
    </row>
    <row r="979" s="44" customFormat="1" spans="1:23">
      <c r="A979" s="116"/>
      <c r="E979" s="108"/>
      <c r="F979" s="114"/>
      <c r="G979" s="114"/>
      <c r="H979" s="114"/>
      <c r="Q979" s="44">
        <f>IF(数据录入!$B979="",0,IF(OR(数据录入!$D979="投标保证金",数据录入!$D979="合同履约保证金",ISNUMBER(FIND("保证金",数据录入!$E979))),1,0))</f>
      </c>
      <c r="R979" s="44">
        <f>IF(AND($Q979=1,数据录入!$B979&gt;=$B$2,数据录入!$B979&lt;=$D$2),N(R978)+1,N(R978))</f>
      </c>
    </row>
    <row r="980" s="44" customFormat="1" spans="1:23">
      <c r="A980" s="116"/>
      <c r="E980" s="108"/>
      <c r="F980" s="114"/>
      <c r="G980" s="114"/>
      <c r="H980" s="114"/>
      <c r="Q980" s="44">
        <f>IF(数据录入!$B980="",0,IF(OR(数据录入!$D980="投标保证金",数据录入!$D980="合同履约保证金",ISNUMBER(FIND("保证金",数据录入!$E980))),1,0))</f>
      </c>
      <c r="R980" s="44">
        <f>IF(AND($Q980=1,数据录入!$B980&gt;=$B$2,数据录入!$B980&lt;=$D$2),N(R979)+1,N(R979))</f>
      </c>
    </row>
    <row r="981" s="44" customFormat="1" spans="1:23">
      <c r="A981" s="116"/>
      <c r="E981" s="108"/>
      <c r="F981" s="114"/>
      <c r="G981" s="114"/>
      <c r="H981" s="114"/>
      <c r="Q981" s="44">
        <f>IF(数据录入!$B981="",0,IF(OR(数据录入!$D981="投标保证金",数据录入!$D981="合同履约保证金",ISNUMBER(FIND("保证金",数据录入!$E981))),1,0))</f>
      </c>
      <c r="R981" s="44">
        <f>IF(AND($Q981=1,数据录入!$B981&gt;=$B$2,数据录入!$B981&lt;=$D$2),N(R980)+1,N(R980))</f>
      </c>
    </row>
    <row r="982" s="44" customFormat="1" spans="1:23">
      <c r="A982" s="116"/>
      <c r="E982" s="108"/>
      <c r="F982" s="114"/>
      <c r="G982" s="114"/>
      <c r="H982" s="114"/>
      <c r="Q982" s="44">
        <f>IF(数据录入!$B982="",0,IF(OR(数据录入!$D982="投标保证金",数据录入!$D982="合同履约保证金",ISNUMBER(FIND("保证金",数据录入!$E982))),1,0))</f>
      </c>
      <c r="R982" s="44">
        <f>IF(AND($Q982=1,数据录入!$B982&gt;=$B$2,数据录入!$B982&lt;=$D$2),N(R981)+1,N(R981))</f>
      </c>
    </row>
    <row r="983" s="44" customFormat="1" spans="1:23">
      <c r="A983" s="116"/>
      <c r="E983" s="108"/>
      <c r="F983" s="114"/>
      <c r="G983" s="114"/>
      <c r="H983" s="114"/>
      <c r="Q983" s="44">
        <f>IF(数据录入!$B983="",0,IF(OR(数据录入!$D983="投标保证金",数据录入!$D983="合同履约保证金",ISNUMBER(FIND("保证金",数据录入!$E983))),1,0))</f>
      </c>
      <c r="R983" s="44">
        <f>IF(AND($Q983=1,数据录入!$B983&gt;=$B$2,数据录入!$B983&lt;=$D$2),N(R982)+1,N(R982))</f>
      </c>
    </row>
    <row r="984" s="44" customFormat="1" spans="1:23">
      <c r="A984" s="116"/>
      <c r="E984" s="108"/>
      <c r="F984" s="114"/>
      <c r="G984" s="114"/>
      <c r="H984" s="114"/>
      <c r="Q984" s="44">
        <f>IF(数据录入!$B984="",0,IF(OR(数据录入!$D984="投标保证金",数据录入!$D984="合同履约保证金",ISNUMBER(FIND("保证金",数据录入!$E984))),1,0))</f>
      </c>
      <c r="R984" s="44">
        <f>IF(AND($Q984=1,数据录入!$B984&gt;=$B$2,数据录入!$B984&lt;=$D$2),N(R983)+1,N(R983))</f>
      </c>
    </row>
    <row r="985" s="44" customFormat="1" spans="1:23">
      <c r="A985" s="116"/>
      <c r="E985" s="108"/>
      <c r="F985" s="114"/>
      <c r="G985" s="114"/>
      <c r="H985" s="114"/>
      <c r="Q985" s="44">
        <f>IF(数据录入!$B985="",0,IF(OR(数据录入!$D985="投标保证金",数据录入!$D985="合同履约保证金",ISNUMBER(FIND("保证金",数据录入!$E985))),1,0))</f>
      </c>
      <c r="R985" s="44">
        <f>IF(AND($Q985=1,数据录入!$B985&gt;=$B$2,数据录入!$B985&lt;=$D$2),N(R984)+1,N(R984))</f>
      </c>
    </row>
    <row r="986" s="44" customFormat="1" spans="1:23">
      <c r="A986" s="116"/>
      <c r="E986" s="108"/>
      <c r="F986" s="114"/>
      <c r="G986" s="114"/>
      <c r="H986" s="114"/>
      <c r="Q986" s="44">
        <f>IF(数据录入!$B986="",0,IF(OR(数据录入!$D986="投标保证金",数据录入!$D986="合同履约保证金",ISNUMBER(FIND("保证金",数据录入!$E986))),1,0))</f>
      </c>
      <c r="R986" s="44">
        <f>IF(AND($Q986=1,数据录入!$B986&gt;=$B$2,数据录入!$B986&lt;=$D$2),N(R985)+1,N(R985))</f>
      </c>
    </row>
    <row r="987" s="44" customFormat="1" spans="1:23">
      <c r="A987" s="116"/>
      <c r="E987" s="108"/>
      <c r="F987" s="114"/>
      <c r="G987" s="114"/>
      <c r="H987" s="114"/>
      <c r="Q987" s="44">
        <f>IF(数据录入!$B987="",0,IF(OR(数据录入!$D987="投标保证金",数据录入!$D987="合同履约保证金",ISNUMBER(FIND("保证金",数据录入!$E987))),1,0))</f>
      </c>
      <c r="R987" s="44">
        <f>IF(AND($Q987=1,数据录入!$B987&gt;=$B$2,数据录入!$B987&lt;=$D$2),N(R986)+1,N(R986))</f>
      </c>
    </row>
    <row r="988" s="44" customFormat="1" spans="1:23">
      <c r="A988" s="116"/>
      <c r="E988" s="108"/>
      <c r="F988" s="114"/>
      <c r="G988" s="114"/>
      <c r="H988" s="114"/>
      <c r="Q988" s="44">
        <f>IF(数据录入!$B988="",0,IF(OR(数据录入!$D988="投标保证金",数据录入!$D988="合同履约保证金",ISNUMBER(FIND("保证金",数据录入!$E988))),1,0))</f>
      </c>
      <c r="R988" s="44">
        <f>IF(AND($Q988=1,数据录入!$B988&gt;=$B$2,数据录入!$B988&lt;=$D$2),N(R987)+1,N(R987))</f>
      </c>
    </row>
    <row r="989" s="44" customFormat="1" spans="1:23">
      <c r="A989" s="116"/>
      <c r="E989" s="108"/>
      <c r="F989" s="114"/>
      <c r="G989" s="114"/>
      <c r="H989" s="114"/>
      <c r="Q989" s="44">
        <f>IF(数据录入!$B989="",0,IF(OR(数据录入!$D989="投标保证金",数据录入!$D989="合同履约保证金",ISNUMBER(FIND("保证金",数据录入!$E989))),1,0))</f>
      </c>
      <c r="R989" s="44">
        <f>IF(AND($Q989=1,数据录入!$B989&gt;=$B$2,数据录入!$B989&lt;=$D$2),N(R988)+1,N(R988))</f>
      </c>
    </row>
    <row r="990" s="44" customFormat="1" spans="1:23">
      <c r="A990" s="116"/>
      <c r="E990" s="108"/>
      <c r="F990" s="114"/>
      <c r="G990" s="114"/>
      <c r="H990" s="114"/>
      <c r="Q990" s="44">
        <f>IF(数据录入!$B990="",0,IF(OR(数据录入!$D990="投标保证金",数据录入!$D990="合同履约保证金",ISNUMBER(FIND("保证金",数据录入!$E990))),1,0))</f>
      </c>
      <c r="R990" s="44">
        <f>IF(AND($Q990=1,数据录入!$B990&gt;=$B$2,数据录入!$B990&lt;=$D$2),N(R989)+1,N(R989))</f>
      </c>
    </row>
    <row r="991" s="44" customFormat="1" spans="1:23">
      <c r="A991" s="116"/>
      <c r="E991" s="108"/>
      <c r="F991" s="114"/>
      <c r="G991" s="114"/>
      <c r="H991" s="114"/>
      <c r="Q991" s="44">
        <f>IF(数据录入!$B991="",0,IF(OR(数据录入!$D991="投标保证金",数据录入!$D991="合同履约保证金",ISNUMBER(FIND("保证金",数据录入!$E991))),1,0))</f>
      </c>
      <c r="R991" s="44">
        <f>IF(AND($Q991=1,数据录入!$B991&gt;=$B$2,数据录入!$B991&lt;=$D$2),N(R990)+1,N(R990))</f>
      </c>
    </row>
    <row r="992" s="44" customFormat="1" spans="1:23">
      <c r="A992" s="116"/>
      <c r="E992" s="108"/>
      <c r="F992" s="114"/>
      <c r="G992" s="114"/>
      <c r="H992" s="114"/>
      <c r="Q992" s="44">
        <f>IF(数据录入!$B992="",0,IF(OR(数据录入!$D992="投标保证金",数据录入!$D992="合同履约保证金",ISNUMBER(FIND("保证金",数据录入!$E992))),1,0))</f>
      </c>
      <c r="R992" s="44">
        <f>IF(AND($Q992=1,数据录入!$B992&gt;=$B$2,数据录入!$B992&lt;=$D$2),N(R991)+1,N(R991))</f>
      </c>
    </row>
    <row r="993" s="44" customFormat="1" spans="1:23">
      <c r="A993" s="116"/>
      <c r="E993" s="108"/>
      <c r="F993" s="114"/>
      <c r="G993" s="114"/>
      <c r="H993" s="114"/>
      <c r="Q993" s="44">
        <f>IF(数据录入!$B993="",0,IF(OR(数据录入!$D993="投标保证金",数据录入!$D993="合同履约保证金",ISNUMBER(FIND("保证金",数据录入!$E993))),1,0))</f>
      </c>
      <c r="R993" s="44">
        <f>IF(AND($Q993=1,数据录入!$B993&gt;=$B$2,数据录入!$B993&lt;=$D$2),N(R992)+1,N(R992))</f>
      </c>
    </row>
    <row r="994" s="44" customFormat="1" spans="1:23">
      <c r="A994" s="116"/>
      <c r="E994" s="108"/>
      <c r="F994" s="114"/>
      <c r="G994" s="114"/>
      <c r="H994" s="114"/>
      <c r="Q994" s="44">
        <f>IF(数据录入!$B994="",0,IF(OR(数据录入!$D994="投标保证金",数据录入!$D994="合同履约保证金",ISNUMBER(FIND("保证金",数据录入!$E994))),1,0))</f>
      </c>
      <c r="R994" s="44">
        <f>IF(AND($Q994=1,数据录入!$B994&gt;=$B$2,数据录入!$B994&lt;=$D$2),N(R993)+1,N(R993))</f>
      </c>
    </row>
    <row r="995" s="44" customFormat="1" spans="1:23">
      <c r="A995" s="116"/>
      <c r="E995" s="108"/>
      <c r="F995" s="114"/>
      <c r="G995" s="114"/>
      <c r="H995" s="114"/>
      <c r="Q995" s="44">
        <f>IF(数据录入!$B995="",0,IF(OR(数据录入!$D995="投标保证金",数据录入!$D995="合同履约保证金",ISNUMBER(FIND("保证金",数据录入!$E995))),1,0))</f>
      </c>
      <c r="R995" s="44">
        <f>IF(AND($Q995=1,数据录入!$B995&gt;=$B$2,数据录入!$B995&lt;=$D$2),N(R994)+1,N(R994))</f>
      </c>
    </row>
    <row r="996" s="44" customFormat="1" spans="1:23">
      <c r="A996" s="116"/>
      <c r="E996" s="108"/>
      <c r="F996" s="114"/>
      <c r="G996" s="114"/>
      <c r="H996" s="114"/>
      <c r="Q996" s="44">
        <f>IF(数据录入!$B996="",0,IF(OR(数据录入!$D996="投标保证金",数据录入!$D996="合同履约保证金",ISNUMBER(FIND("保证金",数据录入!$E996))),1,0))</f>
      </c>
      <c r="R996" s="44">
        <f>IF(AND($Q996=1,数据录入!$B996&gt;=$B$2,数据录入!$B996&lt;=$D$2),N(R995)+1,N(R995))</f>
      </c>
    </row>
    <row r="997" s="44" customFormat="1" spans="1:23">
      <c r="A997" s="116"/>
      <c r="E997" s="108"/>
      <c r="F997" s="114"/>
      <c r="G997" s="114"/>
      <c r="H997" s="114"/>
      <c r="Q997" s="44">
        <f>IF(数据录入!$B997="",0,IF(OR(数据录入!$D997="投标保证金",数据录入!$D997="合同履约保证金",ISNUMBER(FIND("保证金",数据录入!$E997))),1,0))</f>
      </c>
      <c r="R997" s="44">
        <f>IF(AND($Q997=1,数据录入!$B997&gt;=$B$2,数据录入!$B997&lt;=$D$2),N(R996)+1,N(R996))</f>
      </c>
    </row>
    <row r="998" s="44" customFormat="1" spans="1:23">
      <c r="A998" s="116"/>
      <c r="E998" s="108"/>
      <c r="F998" s="114"/>
      <c r="G998" s="114"/>
      <c r="H998" s="114"/>
      <c r="Q998" s="44">
        <f>IF(数据录入!$B998="",0,IF(OR(数据录入!$D998="投标保证金",数据录入!$D998="合同履约保证金",ISNUMBER(FIND("保证金",数据录入!$E998))),1,0))</f>
      </c>
      <c r="R998" s="44">
        <f>IF(AND($Q998=1,数据录入!$B998&gt;=$B$2,数据录入!$B998&lt;=$D$2),N(R997)+1,N(R997))</f>
      </c>
    </row>
    <row r="999" s="44" customFormat="1" spans="1:23">
      <c r="A999" s="116"/>
      <c r="E999" s="108"/>
      <c r="F999" s="114"/>
      <c r="G999" s="114"/>
      <c r="H999" s="114"/>
      <c r="Q999" s="44">
        <f>IF(数据录入!$B999="",0,IF(OR(数据录入!$D999="投标保证金",数据录入!$D999="合同履约保证金",ISNUMBER(FIND("保证金",数据录入!$E999))),1,0))</f>
      </c>
      <c r="R999" s="44">
        <f>IF(AND($Q999=1,数据录入!$B999&gt;=$B$2,数据录入!$B999&lt;=$D$2),N(R998)+1,N(R998))</f>
      </c>
    </row>
    <row r="1000" s="44" customFormat="1" spans="1:23">
      <c r="A1000" s="116"/>
      <c r="E1000" s="108"/>
      <c r="F1000" s="114"/>
      <c r="G1000" s="114"/>
      <c r="H1000" s="114"/>
      <c r="Q1000" s="44">
        <f>IF(数据录入!$B1000="",0,IF(OR(数据录入!$D1000="投标保证金",数据录入!$D1000="合同履约保证金",ISNUMBER(FIND("保证金",数据录入!$E1000))),1,0))</f>
      </c>
      <c r="R1000" s="44">
        <f>IF(AND($Q1000=1,数据录入!$B1000&gt;=$B$2,数据录入!$B1000&lt;=$D$2),N(R999)+1,N(R999))</f>
      </c>
    </row>
    <row r="1001" s="44" customFormat="1" spans="1:23">
      <c r="A1001" s="116"/>
      <c r="E1001" s="108"/>
      <c r="F1001" s="114"/>
      <c r="G1001" s="114"/>
      <c r="H1001" s="114"/>
      <c r="Q1001" s="44">
        <f>IF(数据录入!$B1001="",0,IF(OR(数据录入!$D1001="投标保证金",数据录入!$D1001="合同履约保证金",ISNUMBER(FIND("保证金",数据录入!$E1001))),1,0))</f>
      </c>
      <c r="R1001" s="44">
        <f>IF(AND($Q1001=1,数据录入!$B1001&gt;=$B$2,数据录入!$B1001&lt;=$D$2),N(R1000)+1,N(R1000))</f>
      </c>
    </row>
    <row r="1002" s="44" customFormat="1" spans="1:23">
      <c r="A1002" s="116"/>
      <c r="E1002" s="108"/>
      <c r="F1002" s="114"/>
      <c r="G1002" s="114"/>
      <c r="H1002" s="114"/>
      <c r="Q1002" s="44">
        <f>IF(数据录入!$B1002="",0,IF(OR(数据录入!$D1002="投标保证金",数据录入!$D1002="合同履约保证金",ISNUMBER(FIND("保证金",数据录入!$E1002))),1,0))</f>
      </c>
      <c r="R1002" s="44">
        <f>IF(AND($Q1002=1,数据录入!$B1002&gt;=$B$2,数据录入!$B1002&lt;=$D$2),N(R1001)+1,N(R1001))</f>
      </c>
    </row>
    <row r="1003" s="44" customFormat="1" spans="1:23">
      <c r="A1003" s="116"/>
      <c r="E1003" s="108"/>
      <c r="F1003" s="114"/>
      <c r="G1003" s="114"/>
      <c r="H1003" s="114"/>
      <c r="Q1003" s="44">
        <f>IF(数据录入!$B1003="",0,IF(OR(数据录入!$D1003="投标保证金",数据录入!$D1003="合同履约保证金",ISNUMBER(FIND("保证金",数据录入!$E1003))),1,0))</f>
      </c>
      <c r="R1003" s="44">
        <f>IF(AND($Q1003=1,数据录入!$B1003&gt;=$B$2,数据录入!$B1003&lt;=$D$2),N(R1002)+1,N(R1002))</f>
      </c>
    </row>
    <row r="1004" s="44" customFormat="1" spans="1:23">
      <c r="A1004" s="116"/>
      <c r="E1004" s="108"/>
      <c r="F1004" s="114"/>
      <c r="G1004" s="114"/>
      <c r="H1004" s="114"/>
      <c r="Q1004" s="44">
        <f>IF(数据录入!$B1004="",0,IF(OR(数据录入!$D1004="投标保证金",数据录入!$D1004="合同履约保证金",ISNUMBER(FIND("保证金",数据录入!$E1004))),1,0))</f>
      </c>
      <c r="R1004" s="44">
        <f>IF(AND($Q1004=1,数据录入!$B1004&gt;=$B$2,数据录入!$B1004&lt;=$D$2),N(R1003)+1,N(R1003))</f>
      </c>
    </row>
    <row r="1005" s="44" customFormat="1" spans="1:23">
      <c r="A1005" s="116"/>
      <c r="E1005" s="108"/>
      <c r="F1005" s="114"/>
      <c r="G1005" s="114"/>
      <c r="H1005" s="114"/>
      <c r="Q1005" s="44">
        <f>IF(数据录入!$B1005="",0,IF(OR(数据录入!$D1005="投标保证金",数据录入!$D1005="合同履约保证金",ISNUMBER(FIND("保证金",数据录入!$E1005))),1,0))</f>
      </c>
      <c r="R1005" s="44">
        <f>IF(AND($Q1005=1,数据录入!$B1005&gt;=$B$2,数据录入!$B1005&lt;=$D$2),N(R1004)+1,N(R1004))</f>
      </c>
    </row>
    <row r="1006" s="44" customFormat="1" spans="1:23">
      <c r="A1006" s="116"/>
      <c r="E1006" s="108"/>
      <c r="F1006" s="114"/>
      <c r="G1006" s="114"/>
      <c r="H1006" s="114"/>
      <c r="Q1006" s="44">
        <f>IF(数据录入!$B1006="",0,IF(OR(数据录入!$D1006="投标保证金",数据录入!$D1006="合同履约保证金",ISNUMBER(FIND("保证金",数据录入!$E1006))),1,0))</f>
      </c>
      <c r="R1006" s="44">
        <f>IF(AND($Q1006=1,数据录入!$B1006&gt;=$B$2,数据录入!$B1006&lt;=$D$2),N(R1005)+1,N(R1005))</f>
      </c>
    </row>
    <row r="1007" s="44" customFormat="1" spans="1:23">
      <c r="A1007" s="116"/>
      <c r="E1007" s="108"/>
      <c r="F1007" s="114"/>
      <c r="G1007" s="114"/>
      <c r="H1007" s="114"/>
      <c r="Q1007" s="44">
        <f>IF(数据录入!$B1007="",0,IF(OR(数据录入!$D1007="投标保证金",数据录入!$D1007="合同履约保证金",ISNUMBER(FIND("保证金",数据录入!$E1007))),1,0))</f>
      </c>
      <c r="R1007" s="44">
        <f>IF(AND($Q1007=1,数据录入!$B1007&gt;=$B$2,数据录入!$B1007&lt;=$D$2),N(R1006)+1,N(R1006))</f>
      </c>
    </row>
    <row r="1008" s="44" customFormat="1" spans="1:23">
      <c r="A1008" s="116"/>
      <c r="E1008" s="108"/>
      <c r="F1008" s="114"/>
      <c r="G1008" s="114"/>
      <c r="H1008" s="114"/>
      <c r="Q1008" s="44">
        <f>IF(数据录入!$B1008="",0,IF(OR(数据录入!$D1008="投标保证金",数据录入!$D1008="合同履约保证金",ISNUMBER(FIND("保证金",数据录入!$E1008))),1,0))</f>
      </c>
      <c r="R1008" s="44">
        <f>IF(AND($Q1008=1,数据录入!$B1008&gt;=$B$2,数据录入!$B1008&lt;=$D$2),N(R1007)+1,N(R1007))</f>
      </c>
    </row>
    <row r="1009" s="44" customFormat="1" spans="1:23">
      <c r="A1009" s="116"/>
      <c r="E1009" s="108"/>
      <c r="F1009" s="114"/>
      <c r="G1009" s="114"/>
      <c r="H1009" s="114"/>
      <c r="Q1009" s="44">
        <f>IF(数据录入!$B1009="",0,IF(OR(数据录入!$D1009="投标保证金",数据录入!$D1009="合同履约保证金",ISNUMBER(FIND("保证金",数据录入!$E1009))),1,0))</f>
      </c>
      <c r="R1009" s="44">
        <f>IF(AND($Q1009=1,数据录入!$B1009&gt;=$B$2,数据录入!$B1009&lt;=$D$2),N(R1008)+1,N(R1008))</f>
      </c>
    </row>
    <row r="1010" s="44" customFormat="1" spans="1:23">
      <c r="A1010" s="116"/>
      <c r="E1010" s="108"/>
      <c r="F1010" s="114"/>
      <c r="G1010" s="114"/>
      <c r="H1010" s="114"/>
      <c r="Q1010" s="44">
        <f>IF(数据录入!$B1010="",0,IF(OR(数据录入!$D1010="投标保证金",数据录入!$D1010="合同履约保证金",ISNUMBER(FIND("保证金",数据录入!$E1010))),1,0))</f>
      </c>
      <c r="R1010" s="44">
        <f>IF(AND($Q1010=1,数据录入!$B1010&gt;=$B$2,数据录入!$B1010&lt;=$D$2),N(R1009)+1,N(R1009))</f>
      </c>
    </row>
    <row r="1011" s="44" customFormat="1" spans="1:23">
      <c r="A1011" s="116"/>
      <c r="E1011" s="108"/>
      <c r="F1011" s="114"/>
      <c r="G1011" s="114"/>
      <c r="H1011" s="114"/>
      <c r="Q1011" s="44">
        <f>IF(数据录入!$B1011="",0,IF(OR(数据录入!$D1011="投标保证金",数据录入!$D1011="合同履约保证金",ISNUMBER(FIND("保证金",数据录入!$E1011))),1,0))</f>
      </c>
      <c r="R1011" s="44">
        <f>IF(AND($Q1011=1,数据录入!$B1011&gt;=$B$2,数据录入!$B1011&lt;=$D$2),N(R1010)+1,N(R1010))</f>
      </c>
    </row>
    <row r="1012" s="44" customFormat="1" spans="1:23">
      <c r="A1012" s="116"/>
      <c r="E1012" s="108"/>
      <c r="F1012" s="114"/>
      <c r="G1012" s="114"/>
      <c r="H1012" s="114"/>
      <c r="Q1012" s="44">
        <f>IF(数据录入!$B1012="",0,IF(OR(数据录入!$D1012="投标保证金",数据录入!$D1012="合同履约保证金",ISNUMBER(FIND("保证金",数据录入!$E1012))),1,0))</f>
      </c>
      <c r="R1012" s="44">
        <f>IF(AND($Q1012=1,数据录入!$B1012&gt;=$B$2,数据录入!$B1012&lt;=$D$2),N(R1011)+1,N(R1011))</f>
      </c>
    </row>
    <row r="1013" s="44" customFormat="1" spans="1:23">
      <c r="A1013" s="116"/>
      <c r="E1013" s="108"/>
      <c r="F1013" s="114"/>
      <c r="G1013" s="114"/>
      <c r="H1013" s="114"/>
      <c r="Q1013" s="44">
        <f>IF(数据录入!$B1013="",0,IF(OR(数据录入!$D1013="投标保证金",数据录入!$D1013="合同履约保证金",ISNUMBER(FIND("保证金",数据录入!$E1013))),1,0))</f>
      </c>
      <c r="R1013" s="44">
        <f>IF(AND($Q1013=1,数据录入!$B1013&gt;=$B$2,数据录入!$B1013&lt;=$D$2),N(R1012)+1,N(R1012))</f>
      </c>
    </row>
    <row r="1014" s="44" customFormat="1" spans="1:23">
      <c r="A1014" s="116"/>
      <c r="E1014" s="108"/>
      <c r="F1014" s="114"/>
      <c r="G1014" s="114"/>
      <c r="H1014" s="114"/>
      <c r="Q1014" s="44">
        <f>IF(数据录入!$B1014="",0,IF(OR(数据录入!$D1014="投标保证金",数据录入!$D1014="合同履约保证金",ISNUMBER(FIND("保证金",数据录入!$E1014))),1,0))</f>
      </c>
      <c r="R1014" s="44">
        <f>IF(AND($Q1014=1,数据录入!$B1014&gt;=$B$2,数据录入!$B1014&lt;=$D$2),N(R1013)+1,N(R1013))</f>
      </c>
    </row>
    <row r="1015" s="44" customFormat="1" spans="1:23">
      <c r="A1015" s="116"/>
      <c r="E1015" s="108"/>
      <c r="F1015" s="114"/>
      <c r="G1015" s="114"/>
      <c r="H1015" s="114"/>
      <c r="Q1015" s="44">
        <f>IF(数据录入!$B1015="",0,IF(OR(数据录入!$D1015="投标保证金",数据录入!$D1015="合同履约保证金",ISNUMBER(FIND("保证金",数据录入!$E1015))),1,0))</f>
      </c>
      <c r="R1015" s="44">
        <f>IF(AND($Q1015=1,数据录入!$B1015&gt;=$B$2,数据录入!$B1015&lt;=$D$2),N(R1014)+1,N(R1014))</f>
      </c>
    </row>
    <row r="1016" s="44" customFormat="1" spans="1:23">
      <c r="A1016" s="116"/>
      <c r="E1016" s="108"/>
      <c r="F1016" s="114"/>
      <c r="G1016" s="114"/>
      <c r="H1016" s="114"/>
      <c r="Q1016" s="44">
        <f>IF(数据录入!$B1016="",0,IF(OR(数据录入!$D1016="投标保证金",数据录入!$D1016="合同履约保证金",ISNUMBER(FIND("保证金",数据录入!$E1016))),1,0))</f>
      </c>
      <c r="R1016" s="44">
        <f>IF(AND($Q1016=1,数据录入!$B1016&gt;=$B$2,数据录入!$B1016&lt;=$D$2),N(R1015)+1,N(R1015))</f>
      </c>
    </row>
    <row r="1017" s="44" customFormat="1" spans="1:23">
      <c r="A1017" s="116"/>
      <c r="E1017" s="108"/>
      <c r="F1017" s="114"/>
      <c r="G1017" s="114"/>
      <c r="H1017" s="114"/>
      <c r="Q1017" s="44">
        <f>IF(数据录入!$B1017="",0,IF(OR(数据录入!$D1017="投标保证金",数据录入!$D1017="合同履约保证金",ISNUMBER(FIND("保证金",数据录入!$E1017))),1,0))</f>
      </c>
      <c r="R1017" s="44">
        <f>IF(AND($Q1017=1,数据录入!$B1017&gt;=$B$2,数据录入!$B1017&lt;=$D$2),N(R1016)+1,N(R1016))</f>
      </c>
    </row>
    <row r="1018" s="44" customFormat="1" spans="1:23">
      <c r="A1018" s="116"/>
      <c r="E1018" s="108"/>
      <c r="F1018" s="114"/>
      <c r="G1018" s="114"/>
      <c r="H1018" s="114"/>
      <c r="Q1018" s="44">
        <f>IF(数据录入!$B1018="",0,IF(OR(数据录入!$D1018="投标保证金",数据录入!$D1018="合同履约保证金",ISNUMBER(FIND("保证金",数据录入!$E1018))),1,0))</f>
      </c>
      <c r="R1018" s="44">
        <f>IF(AND($Q1018=1,数据录入!$B1018&gt;=$B$2,数据录入!$B1018&lt;=$D$2),N(R1017)+1,N(R1017))</f>
      </c>
    </row>
    <row r="1019" s="44" customFormat="1" spans="1:23">
      <c r="A1019" s="116"/>
      <c r="E1019" s="108"/>
      <c r="F1019" s="114"/>
      <c r="G1019" s="114"/>
      <c r="H1019" s="114"/>
      <c r="Q1019" s="44">
        <f>IF(数据录入!$B1019="",0,IF(OR(数据录入!$D1019="投标保证金",数据录入!$D1019="合同履约保证金",ISNUMBER(FIND("保证金",数据录入!$E1019))),1,0))</f>
      </c>
      <c r="R1019" s="44">
        <f>IF(AND($Q1019=1,数据录入!$B1019&gt;=$B$2,数据录入!$B1019&lt;=$D$2),N(R1018)+1,N(R1018))</f>
      </c>
    </row>
    <row r="1020" s="44" customFormat="1" spans="1:23">
      <c r="A1020" s="116"/>
      <c r="E1020" s="108"/>
      <c r="F1020" s="114"/>
      <c r="G1020" s="114"/>
      <c r="H1020" s="114"/>
      <c r="Q1020" s="44">
        <f>IF(数据录入!$B1020="",0,IF(OR(数据录入!$D1020="投标保证金",数据录入!$D1020="合同履约保证金",ISNUMBER(FIND("保证金",数据录入!$E1020))),1,0))</f>
      </c>
      <c r="R1020" s="44">
        <f>IF(AND($Q1020=1,数据录入!$B1020&gt;=$B$2,数据录入!$B1020&lt;=$D$2),N(R1019)+1,N(R1019))</f>
      </c>
    </row>
    <row r="1021" s="44" customFormat="1" spans="1:23">
      <c r="A1021" s="116"/>
      <c r="E1021" s="108"/>
      <c r="F1021" s="114"/>
      <c r="G1021" s="114"/>
      <c r="H1021" s="114"/>
      <c r="Q1021" s="44">
        <f>IF(数据录入!$B1021="",0,IF(OR(数据录入!$D1021="投标保证金",数据录入!$D1021="合同履约保证金",ISNUMBER(FIND("保证金",数据录入!$E1021))),1,0))</f>
      </c>
      <c r="R1021" s="44">
        <f>IF(AND($Q1021=1,数据录入!$B1021&gt;=$B$2,数据录入!$B1021&lt;=$D$2),N(R1020)+1,N(R1020))</f>
      </c>
    </row>
    <row r="1022" s="44" customFormat="1" spans="1:23">
      <c r="A1022" s="116"/>
      <c r="E1022" s="108"/>
      <c r="F1022" s="114"/>
      <c r="G1022" s="114"/>
      <c r="H1022" s="114"/>
      <c r="Q1022" s="44">
        <f>IF(数据录入!$B1022="",0,IF(OR(数据录入!$D1022="投标保证金",数据录入!$D1022="合同履约保证金",ISNUMBER(FIND("保证金",数据录入!$E1022))),1,0))</f>
      </c>
      <c r="R1022" s="44">
        <f>IF(AND($Q1022=1,数据录入!$B1022&gt;=$B$2,数据录入!$B1022&lt;=$D$2),N(R1021)+1,N(R1021))</f>
      </c>
    </row>
    <row r="1023" s="44" customFormat="1" spans="1:23">
      <c r="A1023" s="116"/>
      <c r="E1023" s="108"/>
      <c r="F1023" s="114"/>
      <c r="G1023" s="114"/>
      <c r="H1023" s="114"/>
      <c r="Q1023" s="44">
        <f>IF(数据录入!$B1023="",0,IF(OR(数据录入!$D1023="投标保证金",数据录入!$D1023="合同履约保证金",ISNUMBER(FIND("保证金",数据录入!$E1023))),1,0))</f>
      </c>
      <c r="R1023" s="44">
        <f>IF(AND($Q1023=1,数据录入!$B1023&gt;=$B$2,数据录入!$B1023&lt;=$D$2),N(R1022)+1,N(R1022))</f>
      </c>
    </row>
    <row r="1024" s="44" customFormat="1" spans="1:23">
      <c r="A1024" s="116"/>
      <c r="E1024" s="108"/>
      <c r="F1024" s="114"/>
      <c r="G1024" s="114"/>
      <c r="H1024" s="114"/>
      <c r="Q1024" s="44">
        <f>IF(数据录入!$B1024="",0,IF(OR(数据录入!$D1024="投标保证金",数据录入!$D1024="合同履约保证金",ISNUMBER(FIND("保证金",数据录入!$E1024))),1,0))</f>
      </c>
      <c r="R1024" s="44">
        <f>IF(AND($Q1024=1,数据录入!$B1024&gt;=$B$2,数据录入!$B1024&lt;=$D$2),N(R1023)+1,N(R1023))</f>
      </c>
    </row>
    <row r="1025" s="44" customFormat="1" spans="1:23">
      <c r="A1025" s="116"/>
      <c r="E1025" s="108"/>
      <c r="F1025" s="114"/>
      <c r="G1025" s="114"/>
      <c r="H1025" s="114"/>
      <c r="Q1025" s="44">
        <f>IF(数据录入!$B1025="",0,IF(OR(数据录入!$D1025="投标保证金",数据录入!$D1025="合同履约保证金",ISNUMBER(FIND("保证金",数据录入!$E1025))),1,0))</f>
      </c>
      <c r="R1025" s="44">
        <f>IF(AND($Q1025=1,数据录入!$B1025&gt;=$B$2,数据录入!$B1025&lt;=$D$2),N(R1024)+1,N(R1024))</f>
      </c>
    </row>
    <row r="1026" s="44" customFormat="1" spans="1:23">
      <c r="A1026" s="116"/>
      <c r="E1026" s="108"/>
      <c r="F1026" s="114"/>
      <c r="G1026" s="114"/>
      <c r="H1026" s="114"/>
      <c r="Q1026" s="44">
        <f>IF(数据录入!$B1026="",0,IF(OR(数据录入!$D1026="投标保证金",数据录入!$D1026="合同履约保证金",ISNUMBER(FIND("保证金",数据录入!$E1026))),1,0))</f>
      </c>
      <c r="R1026" s="44">
        <f>IF(AND($Q1026=1,数据录入!$B1026&gt;=$B$2,数据录入!$B1026&lt;=$D$2),N(R1025)+1,N(R1025))</f>
      </c>
    </row>
    <row r="1027" s="44" customFormat="1" spans="1:23">
      <c r="A1027" s="116"/>
      <c r="E1027" s="108"/>
      <c r="F1027" s="114"/>
      <c r="G1027" s="114"/>
      <c r="H1027" s="114"/>
      <c r="Q1027" s="44">
        <f>IF(数据录入!$B1027="",0,IF(OR(数据录入!$D1027="投标保证金",数据录入!$D1027="合同履约保证金",ISNUMBER(FIND("保证金",数据录入!$E1027))),1,0))</f>
      </c>
      <c r="R1027" s="44">
        <f>IF(AND($Q1027=1,数据录入!$B1027&gt;=$B$2,数据录入!$B1027&lt;=$D$2),N(R1026)+1,N(R1026))</f>
      </c>
    </row>
    <row r="1028" s="44" customFormat="1" spans="1:23">
      <c r="A1028" s="116"/>
      <c r="E1028" s="108"/>
      <c r="F1028" s="114"/>
      <c r="G1028" s="114"/>
      <c r="H1028" s="114"/>
      <c r="Q1028" s="44">
        <f>IF(数据录入!$B1028="",0,IF(OR(数据录入!$D1028="投标保证金",数据录入!$D1028="合同履约保证金",ISNUMBER(FIND("保证金",数据录入!$E1028))),1,0))</f>
      </c>
      <c r="R1028" s="44">
        <f>IF(AND($Q1028=1,数据录入!$B1028&gt;=$B$2,数据录入!$B1028&lt;=$D$2),N(R1027)+1,N(R1027))</f>
      </c>
    </row>
    <row r="1029" s="44" customFormat="1" spans="1:23">
      <c r="A1029" s="116"/>
      <c r="E1029" s="108"/>
      <c r="F1029" s="114"/>
      <c r="G1029" s="114"/>
      <c r="H1029" s="114"/>
      <c r="Q1029" s="44">
        <f>IF(数据录入!$B1029="",0,IF(OR(数据录入!$D1029="投标保证金",数据录入!$D1029="合同履约保证金",ISNUMBER(FIND("保证金",数据录入!$E1029))),1,0))</f>
      </c>
      <c r="R1029" s="44">
        <f>IF(AND($Q1029=1,数据录入!$B1029&gt;=$B$2,数据录入!$B1029&lt;=$D$2),N(R1028)+1,N(R1028))</f>
      </c>
    </row>
    <row r="1030" s="44" customFormat="1" spans="1:23">
      <c r="A1030" s="116"/>
      <c r="E1030" s="108"/>
      <c r="F1030" s="114"/>
      <c r="G1030" s="114"/>
      <c r="H1030" s="114"/>
      <c r="Q1030" s="44">
        <f>IF(数据录入!$B1030="",0,IF(OR(数据录入!$D1030="投标保证金",数据录入!$D1030="合同履约保证金",ISNUMBER(FIND("保证金",数据录入!$E1030))),1,0))</f>
      </c>
      <c r="R1030" s="44">
        <f>IF(AND($Q1030=1,数据录入!$B1030&gt;=$B$2,数据录入!$B1030&lt;=$D$2),N(R1029)+1,N(R1029))</f>
      </c>
    </row>
    <row r="1031" s="44" customFormat="1" spans="1:23">
      <c r="A1031" s="116"/>
      <c r="E1031" s="108"/>
      <c r="F1031" s="114"/>
      <c r="G1031" s="114"/>
      <c r="H1031" s="114"/>
      <c r="Q1031" s="44">
        <f>IF(数据录入!$B1031="",0,IF(OR(数据录入!$D1031="投标保证金",数据录入!$D1031="合同履约保证金",ISNUMBER(FIND("保证金",数据录入!$E1031))),1,0))</f>
      </c>
      <c r="R1031" s="44">
        <f>IF(AND($Q1031=1,数据录入!$B1031&gt;=$B$2,数据录入!$B1031&lt;=$D$2),N(R1030)+1,N(R1030))</f>
      </c>
    </row>
    <row r="1032" s="44" customFormat="1" spans="1:23">
      <c r="A1032" s="116"/>
      <c r="E1032" s="108"/>
      <c r="F1032" s="114"/>
      <c r="G1032" s="114"/>
      <c r="H1032" s="114"/>
      <c r="Q1032" s="44">
        <f>IF(数据录入!$B1032="",0,IF(OR(数据录入!$D1032="投标保证金",数据录入!$D1032="合同履约保证金",ISNUMBER(FIND("保证金",数据录入!$E1032))),1,0))</f>
      </c>
      <c r="R1032" s="44">
        <f>IF(AND($Q1032=1,数据录入!$B1032&gt;=$B$2,数据录入!$B1032&lt;=$D$2),N(R1031)+1,N(R1031))</f>
      </c>
    </row>
    <row r="1033" s="44" customFormat="1" spans="1:23">
      <c r="A1033" s="116"/>
      <c r="E1033" s="108"/>
      <c r="F1033" s="114"/>
      <c r="G1033" s="114"/>
      <c r="H1033" s="114"/>
      <c r="Q1033" s="44">
        <f>IF(数据录入!$B1033="",0,IF(OR(数据录入!$D1033="投标保证金",数据录入!$D1033="合同履约保证金",ISNUMBER(FIND("保证金",数据录入!$E1033))),1,0))</f>
      </c>
      <c r="R1033" s="44">
        <f>IF(AND($Q1033=1,数据录入!$B1033&gt;=$B$2,数据录入!$B1033&lt;=$D$2),N(R1032)+1,N(R1032))</f>
      </c>
    </row>
    <row r="1034" s="44" customFormat="1" spans="1:23">
      <c r="A1034" s="116"/>
      <c r="E1034" s="108"/>
      <c r="F1034" s="114"/>
      <c r="G1034" s="114"/>
      <c r="H1034" s="114"/>
      <c r="Q1034" s="44">
        <f>IF(数据录入!$B1034="",0,IF(OR(数据录入!$D1034="投标保证金",数据录入!$D1034="合同履约保证金",ISNUMBER(FIND("保证金",数据录入!$E1034))),1,0))</f>
      </c>
      <c r="R1034" s="44">
        <f>IF(AND($Q1034=1,数据录入!$B1034&gt;=$B$2,数据录入!$B1034&lt;=$D$2),N(R1033)+1,N(R1033))</f>
      </c>
    </row>
    <row r="1035" s="44" customFormat="1" spans="1:23">
      <c r="A1035" s="116"/>
      <c r="E1035" s="108"/>
      <c r="F1035" s="114"/>
      <c r="G1035" s="114"/>
      <c r="H1035" s="114"/>
      <c r="Q1035" s="44">
        <f>IF(数据录入!$B1035="",0,IF(OR(数据录入!$D1035="投标保证金",数据录入!$D1035="合同履约保证金",ISNUMBER(FIND("保证金",数据录入!$E1035))),1,0))</f>
      </c>
      <c r="R1035" s="44">
        <f>IF(AND($Q1035=1,数据录入!$B1035&gt;=$B$2,数据录入!$B1035&lt;=$D$2),N(R1034)+1,N(R1034))</f>
      </c>
    </row>
    <row r="1036" s="44" customFormat="1" spans="1:23">
      <c r="A1036" s="116"/>
      <c r="E1036" s="108"/>
      <c r="F1036" s="114"/>
      <c r="G1036" s="114"/>
      <c r="H1036" s="114"/>
      <c r="Q1036" s="44">
        <f>IF(数据录入!$B1036="",0,IF(OR(数据录入!$D1036="投标保证金",数据录入!$D1036="合同履约保证金",ISNUMBER(FIND("保证金",数据录入!$E1036))),1,0))</f>
      </c>
      <c r="R1036" s="44">
        <f>IF(AND($Q1036=1,数据录入!$B1036&gt;=$B$2,数据录入!$B1036&lt;=$D$2),N(R1035)+1,N(R1035))</f>
      </c>
    </row>
    <row r="1037" s="44" customFormat="1" spans="1:23">
      <c r="A1037" s="116"/>
      <c r="E1037" s="108"/>
      <c r="F1037" s="114"/>
      <c r="G1037" s="114"/>
      <c r="H1037" s="114"/>
      <c r="Q1037" s="44">
        <f>IF(数据录入!$B1037="",0,IF(OR(数据录入!$D1037="投标保证金",数据录入!$D1037="合同履约保证金",ISNUMBER(FIND("保证金",数据录入!$E1037))),1,0))</f>
      </c>
      <c r="R1037" s="44">
        <f>IF(AND($Q1037=1,数据录入!$B1037&gt;=$B$2,数据录入!$B1037&lt;=$D$2),N(R1036)+1,N(R1036))</f>
      </c>
    </row>
    <row r="1038" s="44" customFormat="1" spans="1:23">
      <c r="A1038" s="116"/>
      <c r="E1038" s="108"/>
      <c r="F1038" s="114"/>
      <c r="G1038" s="114"/>
      <c r="H1038" s="114"/>
      <c r="Q1038" s="44">
        <f>IF(数据录入!$B1038="",0,IF(OR(数据录入!$D1038="投标保证金",数据录入!$D1038="合同履约保证金",ISNUMBER(FIND("保证金",数据录入!$E1038))),1,0))</f>
      </c>
      <c r="R1038" s="44">
        <f>IF(AND($Q1038=1,数据录入!$B1038&gt;=$B$2,数据录入!$B1038&lt;=$D$2),N(R1037)+1,N(R1037))</f>
      </c>
    </row>
    <row r="1039" s="44" customFormat="1" spans="1:23">
      <c r="A1039" s="116"/>
      <c r="E1039" s="108"/>
      <c r="F1039" s="114"/>
      <c r="G1039" s="114"/>
      <c r="H1039" s="114"/>
      <c r="Q1039" s="44">
        <f>IF(数据录入!$B1039="",0,IF(OR(数据录入!$D1039="投标保证金",数据录入!$D1039="合同履约保证金",ISNUMBER(FIND("保证金",数据录入!$E1039))),1,0))</f>
      </c>
      <c r="R1039" s="44">
        <f>IF(AND($Q1039=1,数据录入!$B1039&gt;=$B$2,数据录入!$B1039&lt;=$D$2),N(R1038)+1,N(R1038))</f>
      </c>
    </row>
    <row r="1040" s="44" customFormat="1" spans="1:23">
      <c r="A1040" s="116"/>
      <c r="E1040" s="108"/>
      <c r="F1040" s="114"/>
      <c r="G1040" s="114"/>
      <c r="H1040" s="114"/>
      <c r="Q1040" s="44">
        <f>IF(数据录入!$B1040="",0,IF(OR(数据录入!$D1040="投标保证金",数据录入!$D1040="合同履约保证金",ISNUMBER(FIND("保证金",数据录入!$E1040))),1,0))</f>
      </c>
      <c r="R1040" s="44">
        <f>IF(AND($Q1040=1,数据录入!$B1040&gt;=$B$2,数据录入!$B1040&lt;=$D$2),N(R1039)+1,N(R1039))</f>
      </c>
    </row>
    <row r="1041" s="44" customFormat="1" spans="1:23">
      <c r="A1041" s="116"/>
      <c r="E1041" s="108"/>
      <c r="F1041" s="114"/>
      <c r="G1041" s="114"/>
      <c r="H1041" s="114"/>
      <c r="Q1041" s="44">
        <f>IF(数据录入!$B1041="",0,IF(OR(数据录入!$D1041="投标保证金",数据录入!$D1041="合同履约保证金",ISNUMBER(FIND("保证金",数据录入!$E1041))),1,0))</f>
      </c>
      <c r="R1041" s="44">
        <f>IF(AND($Q1041=1,数据录入!$B1041&gt;=$B$2,数据录入!$B1041&lt;=$D$2),N(R1040)+1,N(R1040))</f>
      </c>
    </row>
    <row r="1042" s="44" customFormat="1" spans="1:23">
      <c r="A1042" s="116"/>
      <c r="E1042" s="108"/>
      <c r="F1042" s="114"/>
      <c r="G1042" s="114"/>
      <c r="H1042" s="114"/>
      <c r="Q1042" s="44">
        <f>IF(数据录入!$B1042="",0,IF(OR(数据录入!$D1042="投标保证金",数据录入!$D1042="合同履约保证金",ISNUMBER(FIND("保证金",数据录入!$E1042))),1,0))</f>
      </c>
      <c r="R1042" s="44">
        <f>IF(AND($Q1042=1,数据录入!$B1042&gt;=$B$2,数据录入!$B1042&lt;=$D$2),N(R1041)+1,N(R1041))</f>
      </c>
    </row>
    <row r="1043" s="44" customFormat="1" spans="1:23">
      <c r="A1043" s="116"/>
      <c r="E1043" s="108"/>
      <c r="F1043" s="114"/>
      <c r="G1043" s="114"/>
      <c r="H1043" s="114"/>
      <c r="Q1043" s="44">
        <f>IF(数据录入!$B1043="",0,IF(OR(数据录入!$D1043="投标保证金",数据录入!$D1043="合同履约保证金",ISNUMBER(FIND("保证金",数据录入!$E1043))),1,0))</f>
      </c>
      <c r="R1043" s="44">
        <f>IF(AND($Q1043=1,数据录入!$B1043&gt;=$B$2,数据录入!$B1043&lt;=$D$2),N(R1042)+1,N(R1042))</f>
      </c>
    </row>
    <row r="1044" s="44" customFormat="1" spans="1:23">
      <c r="A1044" s="116"/>
      <c r="E1044" s="108"/>
      <c r="F1044" s="114"/>
      <c r="G1044" s="114"/>
      <c r="H1044" s="114"/>
      <c r="Q1044" s="44">
        <f>IF(数据录入!$B1044="",0,IF(OR(数据录入!$D1044="投标保证金",数据录入!$D1044="合同履约保证金",ISNUMBER(FIND("保证金",数据录入!$E1044))),1,0))</f>
      </c>
      <c r="R1044" s="44">
        <f>IF(AND($Q1044=1,数据录入!$B1044&gt;=$B$2,数据录入!$B1044&lt;=$D$2),N(R1043)+1,N(R1043))</f>
      </c>
    </row>
    <row r="1045" s="44" customFormat="1" spans="1:23">
      <c r="A1045" s="116"/>
      <c r="E1045" s="108"/>
      <c r="F1045" s="114"/>
      <c r="G1045" s="114"/>
      <c r="H1045" s="114"/>
      <c r="Q1045" s="44">
        <f>IF(数据录入!$B1045="",0,IF(OR(数据录入!$D1045="投标保证金",数据录入!$D1045="合同履约保证金",ISNUMBER(FIND("保证金",数据录入!$E1045))),1,0))</f>
      </c>
      <c r="R1045" s="44">
        <f>IF(AND($Q1045=1,数据录入!$B1045&gt;=$B$2,数据录入!$B1045&lt;=$D$2),N(R1044)+1,N(R1044))</f>
      </c>
    </row>
    <row r="1046" s="44" customFormat="1" spans="1:23">
      <c r="A1046" s="116"/>
      <c r="E1046" s="108"/>
      <c r="F1046" s="114"/>
      <c r="G1046" s="114"/>
      <c r="H1046" s="114"/>
      <c r="Q1046" s="44">
        <f>IF(数据录入!$B1046="",0,IF(OR(数据录入!$D1046="投标保证金",数据录入!$D1046="合同履约保证金",ISNUMBER(FIND("保证金",数据录入!$E1046))),1,0))</f>
      </c>
      <c r="R1046" s="44">
        <f>IF(AND($Q1046=1,数据录入!$B1046&gt;=$B$2,数据录入!$B1046&lt;=$D$2),N(R1045)+1,N(R1045))</f>
      </c>
    </row>
    <row r="1047" s="44" customFormat="1" spans="1:23">
      <c r="A1047" s="116"/>
      <c r="E1047" s="108"/>
      <c r="F1047" s="114"/>
      <c r="G1047" s="114"/>
      <c r="H1047" s="114"/>
      <c r="Q1047" s="44">
        <f>IF(数据录入!$B1047="",0,IF(OR(数据录入!$D1047="投标保证金",数据录入!$D1047="合同履约保证金",ISNUMBER(FIND("保证金",数据录入!$E1047))),1,0))</f>
      </c>
      <c r="R1047" s="44">
        <f>IF(AND($Q1047=1,数据录入!$B1047&gt;=$B$2,数据录入!$B1047&lt;=$D$2),N(R1046)+1,N(R1046))</f>
      </c>
    </row>
    <row r="1048" s="44" customFormat="1" spans="1:23">
      <c r="A1048" s="116"/>
      <c r="E1048" s="108"/>
      <c r="F1048" s="114"/>
      <c r="G1048" s="114"/>
      <c r="H1048" s="114"/>
      <c r="Q1048" s="44">
        <f>IF(数据录入!$B1048="",0,IF(OR(数据录入!$D1048="投标保证金",数据录入!$D1048="合同履约保证金",ISNUMBER(FIND("保证金",数据录入!$E1048))),1,0))</f>
      </c>
      <c r="R1048" s="44">
        <f>IF(AND($Q1048=1,数据录入!$B1048&gt;=$B$2,数据录入!$B1048&lt;=$D$2),N(R1047)+1,N(R1047))</f>
      </c>
    </row>
    <row r="1049" s="44" customFormat="1" spans="1:23">
      <c r="A1049" s="116"/>
      <c r="E1049" s="108"/>
      <c r="F1049" s="114"/>
      <c r="G1049" s="114"/>
      <c r="H1049" s="114"/>
      <c r="Q1049" s="44">
        <f>IF(数据录入!$B1049="",0,IF(OR(数据录入!$D1049="投标保证金",数据录入!$D1049="合同履约保证金",ISNUMBER(FIND("保证金",数据录入!$E1049))),1,0))</f>
      </c>
      <c r="R1049" s="44">
        <f>IF(AND($Q1049=1,数据录入!$B1049&gt;=$B$2,数据录入!$B1049&lt;=$D$2),N(R1048)+1,N(R1048))</f>
      </c>
    </row>
    <row r="1050" s="44" customFormat="1" spans="1:23">
      <c r="A1050" s="116"/>
      <c r="E1050" s="108"/>
      <c r="F1050" s="114"/>
      <c r="G1050" s="114"/>
      <c r="H1050" s="114"/>
      <c r="Q1050" s="44">
        <f>IF(数据录入!$B1050="",0,IF(OR(数据录入!$D1050="投标保证金",数据录入!$D1050="合同履约保证金",ISNUMBER(FIND("保证金",数据录入!$E1050))),1,0))</f>
      </c>
      <c r="R1050" s="44">
        <f>IF(AND($Q1050=1,数据录入!$B1050&gt;=$B$2,数据录入!$B1050&lt;=$D$2),N(R1049)+1,N(R1049))</f>
      </c>
    </row>
    <row r="1051" s="44" customFormat="1" spans="1:23">
      <c r="A1051" s="116"/>
      <c r="E1051" s="108"/>
      <c r="F1051" s="114"/>
      <c r="G1051" s="114"/>
      <c r="H1051" s="114"/>
      <c r="Q1051" s="44">
        <f>IF(数据录入!$B1051="",0,IF(OR(数据录入!$D1051="投标保证金",数据录入!$D1051="合同履约保证金",ISNUMBER(FIND("保证金",数据录入!$E1051))),1,0))</f>
      </c>
      <c r="R1051" s="44">
        <f>IF(AND($Q1051=1,数据录入!$B1051&gt;=$B$2,数据录入!$B1051&lt;=$D$2),N(R1050)+1,N(R1050))</f>
      </c>
    </row>
    <row r="1052" s="44" customFormat="1" spans="1:23">
      <c r="A1052" s="116"/>
      <c r="E1052" s="108"/>
      <c r="F1052" s="114"/>
      <c r="G1052" s="114"/>
      <c r="H1052" s="114"/>
      <c r="Q1052" s="44">
        <f>IF(数据录入!$B1052="",0,IF(OR(数据录入!$D1052="投标保证金",数据录入!$D1052="合同履约保证金",ISNUMBER(FIND("保证金",数据录入!$E1052))),1,0))</f>
      </c>
      <c r="R1052" s="44">
        <f>IF(AND($Q1052=1,数据录入!$B1052&gt;=$B$2,数据录入!$B1052&lt;=$D$2),N(R1051)+1,N(R1051))</f>
      </c>
    </row>
    <row r="1053" s="44" customFormat="1" spans="1:23">
      <c r="A1053" s="116"/>
      <c r="E1053" s="108"/>
      <c r="F1053" s="114"/>
      <c r="G1053" s="114"/>
      <c r="H1053" s="114"/>
      <c r="Q1053" s="44">
        <f>IF(数据录入!$B1053="",0,IF(OR(数据录入!$D1053="投标保证金",数据录入!$D1053="合同履约保证金",ISNUMBER(FIND("保证金",数据录入!$E1053))),1,0))</f>
      </c>
      <c r="R1053" s="44">
        <f>IF(AND($Q1053=1,数据录入!$B1053&gt;=$B$2,数据录入!$B1053&lt;=$D$2),N(R1052)+1,N(R1052))</f>
      </c>
    </row>
    <row r="1054" s="44" customFormat="1" spans="1:23">
      <c r="A1054" s="116"/>
      <c r="E1054" s="108"/>
      <c r="F1054" s="114"/>
      <c r="G1054" s="114"/>
      <c r="H1054" s="114"/>
      <c r="Q1054" s="44">
        <f>IF(数据录入!$B1054="",0,IF(OR(数据录入!$D1054="投标保证金",数据录入!$D1054="合同履约保证金",ISNUMBER(FIND("保证金",数据录入!$E1054))),1,0))</f>
      </c>
      <c r="R1054" s="44">
        <f>IF(AND($Q1054=1,数据录入!$B1054&gt;=$B$2,数据录入!$B1054&lt;=$D$2),N(R1053)+1,N(R1053))</f>
      </c>
    </row>
    <row r="1055" s="44" customFormat="1" spans="1:23">
      <c r="A1055" s="116"/>
      <c r="E1055" s="108"/>
      <c r="F1055" s="114"/>
      <c r="G1055" s="114"/>
      <c r="H1055" s="114"/>
      <c r="Q1055" s="44">
        <f>IF(数据录入!$B1055="",0,IF(OR(数据录入!$D1055="投标保证金",数据录入!$D1055="合同履约保证金",ISNUMBER(FIND("保证金",数据录入!$E1055))),1,0))</f>
      </c>
      <c r="R1055" s="44">
        <f>IF(AND($Q1055=1,数据录入!$B1055&gt;=$B$2,数据录入!$B1055&lt;=$D$2),N(R1054)+1,N(R1054))</f>
      </c>
    </row>
    <row r="1056" s="44" customFormat="1" spans="1:23">
      <c r="A1056" s="116"/>
      <c r="E1056" s="108"/>
      <c r="F1056" s="114"/>
      <c r="G1056" s="114"/>
      <c r="H1056" s="114"/>
      <c r="Q1056" s="44">
        <f>IF(数据录入!$B1056="",0,IF(OR(数据录入!$D1056="投标保证金",数据录入!$D1056="合同履约保证金",ISNUMBER(FIND("保证金",数据录入!$E1056))),1,0))</f>
      </c>
      <c r="R1056" s="44">
        <f>IF(AND($Q1056=1,数据录入!$B1056&gt;=$B$2,数据录入!$B1056&lt;=$D$2),N(R1055)+1,N(R1055))</f>
      </c>
    </row>
    <row r="1057" s="44" customFormat="1" spans="1:23">
      <c r="A1057" s="116"/>
      <c r="E1057" s="108"/>
      <c r="F1057" s="114"/>
      <c r="G1057" s="114"/>
      <c r="H1057" s="114"/>
      <c r="Q1057" s="44">
        <f>IF(数据录入!$B1057="",0,IF(OR(数据录入!$D1057="投标保证金",数据录入!$D1057="合同履约保证金",ISNUMBER(FIND("保证金",数据录入!$E1057))),1,0))</f>
      </c>
      <c r="R1057" s="44">
        <f>IF(AND($Q1057=1,数据录入!$B1057&gt;=$B$2,数据录入!$B1057&lt;=$D$2),N(R1056)+1,N(R1056))</f>
      </c>
    </row>
    <row r="1058" s="44" customFormat="1" spans="1:23">
      <c r="A1058" s="116"/>
      <c r="E1058" s="108"/>
      <c r="F1058" s="114"/>
      <c r="G1058" s="114"/>
      <c r="H1058" s="114"/>
      <c r="Q1058" s="44">
        <f>IF(数据录入!$B1058="",0,IF(OR(数据录入!$D1058="投标保证金",数据录入!$D1058="合同履约保证金",ISNUMBER(FIND("保证金",数据录入!$E1058))),1,0))</f>
      </c>
      <c r="R1058" s="44">
        <f>IF(AND($Q1058=1,数据录入!$B1058&gt;=$B$2,数据录入!$B1058&lt;=$D$2),N(R1057)+1,N(R1057))</f>
      </c>
    </row>
    <row r="1059" s="44" customFormat="1" spans="1:23">
      <c r="A1059" s="116"/>
      <c r="E1059" s="108"/>
      <c r="F1059" s="114"/>
      <c r="G1059" s="114"/>
      <c r="H1059" s="114"/>
      <c r="Q1059" s="44">
        <f>IF(数据录入!$B1059="",0,IF(OR(数据录入!$D1059="投标保证金",数据录入!$D1059="合同履约保证金",ISNUMBER(FIND("保证金",数据录入!$E1059))),1,0))</f>
      </c>
      <c r="R1059" s="44">
        <f>IF(AND($Q1059=1,数据录入!$B1059&gt;=$B$2,数据录入!$B1059&lt;=$D$2),N(R1058)+1,N(R1058))</f>
      </c>
    </row>
    <row r="1060" s="44" customFormat="1" spans="1:23">
      <c r="A1060" s="116"/>
      <c r="E1060" s="108"/>
      <c r="F1060" s="114"/>
      <c r="G1060" s="114"/>
      <c r="H1060" s="114"/>
      <c r="Q1060" s="44">
        <f>IF(数据录入!$B1060="",0,IF(OR(数据录入!$D1060="投标保证金",数据录入!$D1060="合同履约保证金",ISNUMBER(FIND("保证金",数据录入!$E1060))),1,0))</f>
      </c>
      <c r="R1060" s="44">
        <f>IF(AND($Q1060=1,数据录入!$B1060&gt;=$B$2,数据录入!$B1060&lt;=$D$2),N(R1059)+1,N(R1059))</f>
      </c>
    </row>
    <row r="1061" s="44" customFormat="1" spans="1:23">
      <c r="A1061" s="116"/>
      <c r="E1061" s="108"/>
      <c r="F1061" s="114"/>
      <c r="G1061" s="114"/>
      <c r="H1061" s="114"/>
      <c r="Q1061" s="44">
        <f>IF(数据录入!$B1061="",0,IF(OR(数据录入!$D1061="投标保证金",数据录入!$D1061="合同履约保证金",ISNUMBER(FIND("保证金",数据录入!$E1061))),1,0))</f>
      </c>
      <c r="R1061" s="44">
        <f>IF(AND($Q1061=1,数据录入!$B1061&gt;=$B$2,数据录入!$B1061&lt;=$D$2),N(R1060)+1,N(R1060))</f>
      </c>
    </row>
    <row r="1062" s="44" customFormat="1" spans="1:23">
      <c r="A1062" s="116"/>
      <c r="E1062" s="108"/>
      <c r="F1062" s="114"/>
      <c r="G1062" s="114"/>
      <c r="H1062" s="114"/>
      <c r="Q1062" s="44">
        <f>IF(数据录入!$B1062="",0,IF(OR(数据录入!$D1062="投标保证金",数据录入!$D1062="合同履约保证金",ISNUMBER(FIND("保证金",数据录入!$E1062))),1,0))</f>
      </c>
      <c r="R1062" s="44">
        <f>IF(AND($Q1062=1,数据录入!$B1062&gt;=$B$2,数据录入!$B1062&lt;=$D$2),N(R1061)+1,N(R1061))</f>
      </c>
    </row>
    <row r="1063" s="44" customFormat="1" spans="1:23">
      <c r="A1063" s="116"/>
      <c r="E1063" s="108"/>
      <c r="F1063" s="114"/>
      <c r="G1063" s="114"/>
      <c r="H1063" s="114"/>
      <c r="Q1063" s="44">
        <f>IF(数据录入!$B1063="",0,IF(OR(数据录入!$D1063="投标保证金",数据录入!$D1063="合同履约保证金",ISNUMBER(FIND("保证金",数据录入!$E1063))),1,0))</f>
      </c>
      <c r="R1063" s="44">
        <f>IF(AND($Q1063=1,数据录入!$B1063&gt;=$B$2,数据录入!$B1063&lt;=$D$2),N(R1062)+1,N(R1062))</f>
      </c>
    </row>
    <row r="1064" s="44" customFormat="1" spans="1:23">
      <c r="A1064" s="116"/>
      <c r="E1064" s="108"/>
      <c r="F1064" s="114"/>
      <c r="G1064" s="114"/>
      <c r="H1064" s="114"/>
      <c r="Q1064" s="44">
        <f>IF(数据录入!$B1064="",0,IF(OR(数据录入!$D1064="投标保证金",数据录入!$D1064="合同履约保证金",ISNUMBER(FIND("保证金",数据录入!$E1064))),1,0))</f>
      </c>
      <c r="R1064" s="44">
        <f>IF(AND($Q1064=1,数据录入!$B1064&gt;=$B$2,数据录入!$B1064&lt;=$D$2),N(R1063)+1,N(R1063))</f>
      </c>
    </row>
    <row r="1065" s="44" customFormat="1" spans="1:23">
      <c r="A1065" s="116"/>
      <c r="E1065" s="108"/>
      <c r="F1065" s="114"/>
      <c r="G1065" s="114"/>
      <c r="H1065" s="114"/>
      <c r="Q1065" s="44">
        <f>IF(数据录入!$B1065="",0,IF(OR(数据录入!$D1065="投标保证金",数据录入!$D1065="合同履约保证金",ISNUMBER(FIND("保证金",数据录入!$E1065))),1,0))</f>
      </c>
      <c r="R1065" s="44">
        <f>IF(AND($Q1065=1,数据录入!$B1065&gt;=$B$2,数据录入!$B1065&lt;=$D$2),N(R1064)+1,N(R1064))</f>
      </c>
    </row>
    <row r="1066" s="44" customFormat="1" spans="1:23">
      <c r="A1066" s="116"/>
      <c r="E1066" s="108"/>
      <c r="F1066" s="114"/>
      <c r="G1066" s="114"/>
      <c r="H1066" s="114"/>
      <c r="Q1066" s="44">
        <f>IF(数据录入!$B1066="",0,IF(OR(数据录入!$D1066="投标保证金",数据录入!$D1066="合同履约保证金",ISNUMBER(FIND("保证金",数据录入!$E1066))),1,0))</f>
      </c>
      <c r="R1066" s="44">
        <f>IF(AND($Q1066=1,数据录入!$B1066&gt;=$B$2,数据录入!$B1066&lt;=$D$2),N(R1065)+1,N(R1065))</f>
      </c>
    </row>
    <row r="1067" s="44" customFormat="1" spans="1:23">
      <c r="A1067" s="116"/>
      <c r="E1067" s="108"/>
      <c r="F1067" s="114"/>
      <c r="G1067" s="114"/>
      <c r="H1067" s="114"/>
      <c r="Q1067" s="44">
        <f>IF(数据录入!$B1067="",0,IF(OR(数据录入!$D1067="投标保证金",数据录入!$D1067="合同履约保证金",ISNUMBER(FIND("保证金",数据录入!$E1067))),1,0))</f>
      </c>
      <c r="R1067" s="44">
        <f>IF(AND($Q1067=1,数据录入!$B1067&gt;=$B$2,数据录入!$B1067&lt;=$D$2),N(R1066)+1,N(R1066))</f>
      </c>
    </row>
    <row r="1068" s="44" customFormat="1" spans="1:23">
      <c r="A1068" s="116"/>
      <c r="E1068" s="108"/>
      <c r="F1068" s="114"/>
      <c r="G1068" s="114"/>
      <c r="H1068" s="114"/>
      <c r="Q1068" s="44">
        <f>IF(数据录入!$B1068="",0,IF(OR(数据录入!$D1068="投标保证金",数据录入!$D1068="合同履约保证金",ISNUMBER(FIND("保证金",数据录入!$E1068))),1,0))</f>
      </c>
      <c r="R1068" s="44">
        <f>IF(AND($Q1068=1,数据录入!$B1068&gt;=$B$2,数据录入!$B1068&lt;=$D$2),N(R1067)+1,N(R1067))</f>
      </c>
    </row>
    <row r="1069" s="44" customFormat="1" spans="1:23">
      <c r="A1069" s="116"/>
      <c r="E1069" s="108"/>
      <c r="F1069" s="114"/>
      <c r="G1069" s="114"/>
      <c r="H1069" s="114"/>
      <c r="Q1069" s="44">
        <f>IF(数据录入!$B1069="",0,IF(OR(数据录入!$D1069="投标保证金",数据录入!$D1069="合同履约保证金",ISNUMBER(FIND("保证金",数据录入!$E1069))),1,0))</f>
      </c>
      <c r="R1069" s="44">
        <f>IF(AND($Q1069=1,数据录入!$B1069&gt;=$B$2,数据录入!$B1069&lt;=$D$2),N(R1068)+1,N(R1068))</f>
      </c>
    </row>
    <row r="1070" s="44" customFormat="1" spans="1:23">
      <c r="A1070" s="116"/>
      <c r="E1070" s="108"/>
      <c r="F1070" s="114"/>
      <c r="G1070" s="114"/>
      <c r="H1070" s="114"/>
      <c r="Q1070" s="44">
        <f>IF(数据录入!$B1070="",0,IF(OR(数据录入!$D1070="投标保证金",数据录入!$D1070="合同履约保证金",ISNUMBER(FIND("保证金",数据录入!$E1070))),1,0))</f>
      </c>
      <c r="R1070" s="44">
        <f>IF(AND($Q1070=1,数据录入!$B1070&gt;=$B$2,数据录入!$B1070&lt;=$D$2),N(R1069)+1,N(R1069))</f>
      </c>
    </row>
    <row r="1071" s="44" customFormat="1" spans="1:23">
      <c r="A1071" s="116"/>
      <c r="E1071" s="108"/>
      <c r="F1071" s="114"/>
      <c r="G1071" s="114"/>
      <c r="H1071" s="114"/>
      <c r="Q1071" s="44">
        <f>IF(数据录入!$B1071="",0,IF(OR(数据录入!$D1071="投标保证金",数据录入!$D1071="合同履约保证金",ISNUMBER(FIND("保证金",数据录入!$E1071))),1,0))</f>
      </c>
      <c r="R1071" s="44">
        <f>IF(AND($Q1071=1,数据录入!$B1071&gt;=$B$2,数据录入!$B1071&lt;=$D$2),N(R1070)+1,N(R1070))</f>
      </c>
    </row>
    <row r="1072" s="44" customFormat="1" spans="1:23">
      <c r="A1072" s="116"/>
      <c r="E1072" s="108"/>
      <c r="F1072" s="114"/>
      <c r="G1072" s="114"/>
      <c r="H1072" s="114"/>
      <c r="Q1072" s="44">
        <f>IF(数据录入!$B1072="",0,IF(OR(数据录入!$D1072="投标保证金",数据录入!$D1072="合同履约保证金",ISNUMBER(FIND("保证金",数据录入!$E1072))),1,0))</f>
      </c>
      <c r="R1072" s="44">
        <f>IF(AND($Q1072=1,数据录入!$B1072&gt;=$B$2,数据录入!$B1072&lt;=$D$2),N(R1071)+1,N(R1071))</f>
      </c>
    </row>
    <row r="1073" s="44" customFormat="1" spans="1:23">
      <c r="A1073" s="116"/>
      <c r="E1073" s="108"/>
      <c r="F1073" s="114"/>
      <c r="G1073" s="114"/>
      <c r="H1073" s="114"/>
      <c r="Q1073" s="44">
        <f>IF(数据录入!$B1073="",0,IF(OR(数据录入!$D1073="投标保证金",数据录入!$D1073="合同履约保证金",ISNUMBER(FIND("保证金",数据录入!$E1073))),1,0))</f>
      </c>
      <c r="R1073" s="44">
        <f>IF(AND($Q1073=1,数据录入!$B1073&gt;=$B$2,数据录入!$B1073&lt;=$D$2),N(R1072)+1,N(R1072))</f>
      </c>
    </row>
    <row r="1074" s="44" customFormat="1" spans="1:23">
      <c r="A1074" s="116"/>
      <c r="E1074" s="108"/>
      <c r="F1074" s="114"/>
      <c r="G1074" s="114"/>
      <c r="H1074" s="114"/>
      <c r="Q1074" s="44">
        <f>IF(数据录入!$B1074="",0,IF(OR(数据录入!$D1074="投标保证金",数据录入!$D1074="合同履约保证金",ISNUMBER(FIND("保证金",数据录入!$E1074))),1,0))</f>
      </c>
      <c r="R1074" s="44">
        <f>IF(AND($Q1074=1,数据录入!$B1074&gt;=$B$2,数据录入!$B1074&lt;=$D$2),N(R1073)+1,N(R1073))</f>
      </c>
    </row>
    <row r="1075" s="44" customFormat="1" spans="1:23">
      <c r="A1075" s="116"/>
      <c r="E1075" s="108"/>
      <c r="F1075" s="114"/>
      <c r="G1075" s="114"/>
      <c r="H1075" s="114"/>
      <c r="Q1075" s="44">
        <f>IF(数据录入!$B1075="",0,IF(OR(数据录入!$D1075="投标保证金",数据录入!$D1075="合同履约保证金",ISNUMBER(FIND("保证金",数据录入!$E1075))),1,0))</f>
      </c>
      <c r="R1075" s="44">
        <f>IF(AND($Q1075=1,数据录入!$B1075&gt;=$B$2,数据录入!$B1075&lt;=$D$2),N(R1074)+1,N(R1074))</f>
      </c>
    </row>
    <row r="1076" s="44" customFormat="1" spans="1:23">
      <c r="A1076" s="116"/>
      <c r="E1076" s="108"/>
      <c r="F1076" s="114"/>
      <c r="G1076" s="114"/>
      <c r="H1076" s="114"/>
      <c r="Q1076" s="44">
        <f>IF(数据录入!$B1076="",0,IF(OR(数据录入!$D1076="投标保证金",数据录入!$D1076="合同履约保证金",ISNUMBER(FIND("保证金",数据录入!$E1076))),1,0))</f>
      </c>
      <c r="R1076" s="44">
        <f>IF(AND($Q1076=1,数据录入!$B1076&gt;=$B$2,数据录入!$B1076&lt;=$D$2),N(R1075)+1,N(R1075))</f>
      </c>
    </row>
    <row r="1077" s="44" customFormat="1" spans="1:23">
      <c r="A1077" s="116"/>
      <c r="E1077" s="108"/>
      <c r="F1077" s="114"/>
      <c r="G1077" s="114"/>
      <c r="H1077" s="114"/>
      <c r="Q1077" s="44">
        <f>IF(数据录入!$B1077="",0,IF(OR(数据录入!$D1077="投标保证金",数据录入!$D1077="合同履约保证金",ISNUMBER(FIND("保证金",数据录入!$E1077))),1,0))</f>
      </c>
      <c r="R1077" s="44">
        <f>IF(AND($Q1077=1,数据录入!$B1077&gt;=$B$2,数据录入!$B1077&lt;=$D$2),N(R1076)+1,N(R1076))</f>
      </c>
    </row>
    <row r="1078" s="44" customFormat="1" spans="1:23">
      <c r="A1078" s="116"/>
      <c r="E1078" s="108"/>
      <c r="F1078" s="114"/>
      <c r="G1078" s="114"/>
      <c r="H1078" s="114"/>
      <c r="Q1078" s="44">
        <f>IF(数据录入!$B1078="",0,IF(OR(数据录入!$D1078="投标保证金",数据录入!$D1078="合同履约保证金",ISNUMBER(FIND("保证金",数据录入!$E1078))),1,0))</f>
      </c>
      <c r="R1078" s="44">
        <f>IF(AND($Q1078=1,数据录入!$B1078&gt;=$B$2,数据录入!$B1078&lt;=$D$2),N(R1077)+1,N(R1077))</f>
      </c>
    </row>
    <row r="1079" s="44" customFormat="1" spans="1:23">
      <c r="A1079" s="116"/>
      <c r="E1079" s="108"/>
      <c r="F1079" s="114"/>
      <c r="G1079" s="114"/>
      <c r="H1079" s="114"/>
      <c r="Q1079" s="44">
        <f>IF(数据录入!$B1079="",0,IF(OR(数据录入!$D1079="投标保证金",数据录入!$D1079="合同履约保证金",ISNUMBER(FIND("保证金",数据录入!$E1079))),1,0))</f>
      </c>
      <c r="R1079" s="44">
        <f>IF(AND($Q1079=1,数据录入!$B1079&gt;=$B$2,数据录入!$B1079&lt;=$D$2),N(R1078)+1,N(R1078))</f>
      </c>
    </row>
    <row r="1080" s="44" customFormat="1" spans="1:23">
      <c r="A1080" s="116"/>
      <c r="E1080" s="108"/>
      <c r="F1080" s="114"/>
      <c r="G1080" s="114"/>
      <c r="H1080" s="114"/>
      <c r="Q1080" s="44">
        <f>IF(数据录入!$B1080="",0,IF(OR(数据录入!$D1080="投标保证金",数据录入!$D1080="合同履约保证金",ISNUMBER(FIND("保证金",数据录入!$E1080))),1,0))</f>
      </c>
      <c r="R1080" s="44">
        <f>IF(AND($Q1080=1,数据录入!$B1080&gt;=$B$2,数据录入!$B1080&lt;=$D$2),N(R1079)+1,N(R1079))</f>
      </c>
    </row>
    <row r="1081" s="44" customFormat="1" spans="1:23">
      <c r="A1081" s="116"/>
      <c r="E1081" s="108"/>
      <c r="F1081" s="114"/>
      <c r="G1081" s="114"/>
      <c r="H1081" s="114"/>
      <c r="Q1081" s="44">
        <f>IF(数据录入!$B1081="",0,IF(OR(数据录入!$D1081="投标保证金",数据录入!$D1081="合同履约保证金",ISNUMBER(FIND("保证金",数据录入!$E1081))),1,0))</f>
      </c>
      <c r="R1081" s="44">
        <f>IF(AND($Q1081=1,数据录入!$B1081&gt;=$B$2,数据录入!$B1081&lt;=$D$2),N(R1080)+1,N(R1080))</f>
      </c>
    </row>
    <row r="1082" s="44" customFormat="1" spans="1:23">
      <c r="A1082" s="116"/>
      <c r="E1082" s="108"/>
      <c r="F1082" s="114"/>
      <c r="G1082" s="114"/>
      <c r="H1082" s="114"/>
      <c r="Q1082" s="44">
        <f>IF(数据录入!$B1082="",0,IF(OR(数据录入!$D1082="投标保证金",数据录入!$D1082="合同履约保证金",ISNUMBER(FIND("保证金",数据录入!$E1082))),1,0))</f>
      </c>
      <c r="R1082" s="44">
        <f>IF(AND($Q1082=1,数据录入!$B1082&gt;=$B$2,数据录入!$B1082&lt;=$D$2),N(R1081)+1,N(R1081))</f>
      </c>
    </row>
    <row r="1083" s="44" customFormat="1" spans="1:23">
      <c r="A1083" s="116"/>
      <c r="E1083" s="108"/>
      <c r="F1083" s="114"/>
      <c r="G1083" s="114"/>
      <c r="H1083" s="114"/>
      <c r="Q1083" s="44">
        <f>IF(数据录入!$B1083="",0,IF(OR(数据录入!$D1083="投标保证金",数据录入!$D1083="合同履约保证金",ISNUMBER(FIND("保证金",数据录入!$E1083))),1,0))</f>
      </c>
      <c r="R1083" s="44">
        <f>IF(AND($Q1083=1,数据录入!$B1083&gt;=$B$2,数据录入!$B1083&lt;=$D$2),N(R1082)+1,N(R1082))</f>
      </c>
    </row>
    <row r="1084" s="44" customFormat="1" spans="1:23">
      <c r="A1084" s="116"/>
      <c r="E1084" s="108"/>
      <c r="F1084" s="114"/>
      <c r="G1084" s="114"/>
      <c r="H1084" s="114"/>
      <c r="Q1084" s="44">
        <f>IF(数据录入!$B1084="",0,IF(OR(数据录入!$D1084="投标保证金",数据录入!$D1084="合同履约保证金",ISNUMBER(FIND("保证金",数据录入!$E1084))),1,0))</f>
      </c>
      <c r="R1084" s="44">
        <f>IF(AND($Q1084=1,数据录入!$B1084&gt;=$B$2,数据录入!$B1084&lt;=$D$2),N(R1083)+1,N(R1083))</f>
      </c>
    </row>
    <row r="1085" s="44" customFormat="1" spans="1:23">
      <c r="A1085" s="116"/>
      <c r="E1085" s="108"/>
      <c r="F1085" s="114"/>
      <c r="G1085" s="114"/>
      <c r="H1085" s="114"/>
      <c r="Q1085" s="44">
        <f>IF(数据录入!$B1085="",0,IF(OR(数据录入!$D1085="投标保证金",数据录入!$D1085="合同履约保证金",ISNUMBER(FIND("保证金",数据录入!$E1085))),1,0))</f>
      </c>
      <c r="R1085" s="44">
        <f>IF(AND($Q1085=1,数据录入!$B1085&gt;=$B$2,数据录入!$B1085&lt;=$D$2),N(R1084)+1,N(R1084))</f>
      </c>
    </row>
    <row r="1086" s="44" customFormat="1" spans="1:23">
      <c r="A1086" s="116"/>
      <c r="E1086" s="108"/>
      <c r="F1086" s="114"/>
      <c r="G1086" s="114"/>
      <c r="H1086" s="114"/>
      <c r="Q1086" s="44">
        <f>IF(数据录入!$B1086="",0,IF(OR(数据录入!$D1086="投标保证金",数据录入!$D1086="合同履约保证金",ISNUMBER(FIND("保证金",数据录入!$E1086))),1,0))</f>
      </c>
      <c r="R1086" s="44">
        <f>IF(AND($Q1086=1,数据录入!$B1086&gt;=$B$2,数据录入!$B1086&lt;=$D$2),N(R1085)+1,N(R1085))</f>
      </c>
    </row>
    <row r="1087" s="44" customFormat="1" spans="1:23">
      <c r="A1087" s="116"/>
      <c r="E1087" s="108"/>
      <c r="F1087" s="114"/>
      <c r="G1087" s="114"/>
      <c r="H1087" s="114"/>
      <c r="Q1087" s="44">
        <f>IF(数据录入!$B1087="",0,IF(OR(数据录入!$D1087="投标保证金",数据录入!$D1087="合同履约保证金",ISNUMBER(FIND("保证金",数据录入!$E1087))),1,0))</f>
      </c>
      <c r="R1087" s="44">
        <f>IF(AND($Q1087=1,数据录入!$B1087&gt;=$B$2,数据录入!$B1087&lt;=$D$2),N(R1086)+1,N(R1086))</f>
      </c>
    </row>
    <row r="1088" s="44" customFormat="1" spans="1:23">
      <c r="A1088" s="116"/>
      <c r="E1088" s="108"/>
      <c r="F1088" s="114"/>
      <c r="G1088" s="114"/>
      <c r="H1088" s="114"/>
      <c r="Q1088" s="44">
        <f>IF(数据录入!$B1088="",0,IF(OR(数据录入!$D1088="投标保证金",数据录入!$D1088="合同履约保证金",ISNUMBER(FIND("保证金",数据录入!$E1088))),1,0))</f>
      </c>
      <c r="R1088" s="44">
        <f>IF(AND($Q1088=1,数据录入!$B1088&gt;=$B$2,数据录入!$B1088&lt;=$D$2),N(R1087)+1,N(R1087))</f>
      </c>
    </row>
    <row r="1089" s="44" customFormat="1" spans="1:23">
      <c r="A1089" s="116"/>
      <c r="E1089" s="108"/>
      <c r="F1089" s="114"/>
      <c r="G1089" s="114"/>
      <c r="H1089" s="114"/>
      <c r="Q1089" s="44">
        <f>IF(数据录入!$B1089="",0,IF(OR(数据录入!$D1089="投标保证金",数据录入!$D1089="合同履约保证金",ISNUMBER(FIND("保证金",数据录入!$E1089))),1,0))</f>
      </c>
      <c r="R1089" s="44">
        <f>IF(AND($Q1089=1,数据录入!$B1089&gt;=$B$2,数据录入!$B1089&lt;=$D$2),N(R1088)+1,N(R1088))</f>
      </c>
    </row>
    <row r="1090" s="44" customFormat="1" spans="1:23">
      <c r="A1090" s="116"/>
      <c r="E1090" s="108"/>
      <c r="F1090" s="114"/>
      <c r="G1090" s="114"/>
      <c r="H1090" s="114"/>
      <c r="Q1090" s="44">
        <f>IF(数据录入!$B1090="",0,IF(OR(数据录入!$D1090="投标保证金",数据录入!$D1090="合同履约保证金",ISNUMBER(FIND("保证金",数据录入!$E1090))),1,0))</f>
      </c>
      <c r="R1090" s="44">
        <f>IF(AND($Q1090=1,数据录入!$B1090&gt;=$B$2,数据录入!$B1090&lt;=$D$2),N(R1089)+1,N(R1089))</f>
      </c>
    </row>
    <row r="1091" s="44" customFormat="1" spans="1:23">
      <c r="A1091" s="116"/>
      <c r="E1091" s="108"/>
      <c r="F1091" s="114"/>
      <c r="G1091" s="114"/>
      <c r="H1091" s="114"/>
      <c r="Q1091" s="44">
        <f>IF(数据录入!$B1091="",0,IF(OR(数据录入!$D1091="投标保证金",数据录入!$D1091="合同履约保证金",ISNUMBER(FIND("保证金",数据录入!$E1091))),1,0))</f>
      </c>
      <c r="R1091" s="44">
        <f>IF(AND($Q1091=1,数据录入!$B1091&gt;=$B$2,数据录入!$B1091&lt;=$D$2),N(R1090)+1,N(R1090))</f>
      </c>
    </row>
    <row r="1092" s="44" customFormat="1" spans="1:23">
      <c r="A1092" s="116"/>
      <c r="E1092" s="108"/>
      <c r="F1092" s="114"/>
      <c r="G1092" s="114"/>
      <c r="H1092" s="114"/>
      <c r="Q1092" s="44">
        <f>IF(数据录入!$B1092="",0,IF(OR(数据录入!$D1092="投标保证金",数据录入!$D1092="合同履约保证金",ISNUMBER(FIND("保证金",数据录入!$E1092))),1,0))</f>
      </c>
      <c r="R1092" s="44">
        <f>IF(AND($Q1092=1,数据录入!$B1092&gt;=$B$2,数据录入!$B1092&lt;=$D$2),N(R1091)+1,N(R1091))</f>
      </c>
    </row>
    <row r="1093" s="44" customFormat="1" spans="1:23">
      <c r="A1093" s="116"/>
      <c r="E1093" s="108"/>
      <c r="F1093" s="114"/>
      <c r="G1093" s="114"/>
      <c r="H1093" s="114"/>
      <c r="Q1093" s="44">
        <f>IF(数据录入!$B1093="",0,IF(OR(数据录入!$D1093="投标保证金",数据录入!$D1093="合同履约保证金",ISNUMBER(FIND("保证金",数据录入!$E1093))),1,0))</f>
      </c>
      <c r="R1093" s="44">
        <f>IF(AND($Q1093=1,数据录入!$B1093&gt;=$B$2,数据录入!$B1093&lt;=$D$2),N(R1092)+1,N(R1092))</f>
      </c>
    </row>
    <row r="1094" s="44" customFormat="1" spans="1:23">
      <c r="A1094" s="116"/>
      <c r="E1094" s="108"/>
      <c r="F1094" s="114"/>
      <c r="G1094" s="114"/>
      <c r="H1094" s="114"/>
      <c r="Q1094" s="44">
        <f>IF(数据录入!$B1094="",0,IF(OR(数据录入!$D1094="投标保证金",数据录入!$D1094="合同履约保证金",ISNUMBER(FIND("保证金",数据录入!$E1094))),1,0))</f>
      </c>
      <c r="R1094" s="44">
        <f>IF(AND($Q1094=1,数据录入!$B1094&gt;=$B$2,数据录入!$B1094&lt;=$D$2),N(R1093)+1,N(R1093))</f>
      </c>
    </row>
    <row r="1095" s="44" customFormat="1" spans="1:23">
      <c r="A1095" s="116"/>
      <c r="E1095" s="108"/>
      <c r="F1095" s="114"/>
      <c r="G1095" s="114"/>
      <c r="H1095" s="114"/>
      <c r="Q1095" s="44">
        <f>IF(数据录入!$B1095="",0,IF(OR(数据录入!$D1095="投标保证金",数据录入!$D1095="合同履约保证金",ISNUMBER(FIND("保证金",数据录入!$E1095))),1,0))</f>
      </c>
      <c r="R1095" s="44">
        <f>IF(AND($Q1095=1,数据录入!$B1095&gt;=$B$2,数据录入!$B1095&lt;=$D$2),N(R1094)+1,N(R1094))</f>
      </c>
    </row>
    <row r="1096" s="44" customFormat="1" spans="1:23">
      <c r="A1096" s="116"/>
      <c r="E1096" s="108"/>
      <c r="F1096" s="114"/>
      <c r="G1096" s="114"/>
      <c r="H1096" s="114"/>
      <c r="Q1096" s="44">
        <f>IF(数据录入!$B1096="",0,IF(OR(数据录入!$D1096="投标保证金",数据录入!$D1096="合同履约保证金",ISNUMBER(FIND("保证金",数据录入!$E1096))),1,0))</f>
      </c>
      <c r="R1096" s="44">
        <f>IF(AND($Q1096=1,数据录入!$B1096&gt;=$B$2,数据录入!$B1096&lt;=$D$2),N(R1095)+1,N(R1095))</f>
      </c>
    </row>
    <row r="1097" s="44" customFormat="1" spans="1:23">
      <c r="A1097" s="116"/>
      <c r="E1097" s="108"/>
      <c r="F1097" s="114"/>
      <c r="G1097" s="114"/>
      <c r="H1097" s="114"/>
      <c r="Q1097" s="44">
        <f>IF(数据录入!$B1097="",0,IF(OR(数据录入!$D1097="投标保证金",数据录入!$D1097="合同履约保证金",ISNUMBER(FIND("保证金",数据录入!$E1097))),1,0))</f>
      </c>
      <c r="R1097" s="44">
        <f>IF(AND($Q1097=1,数据录入!$B1097&gt;=$B$2,数据录入!$B1097&lt;=$D$2),N(R1096)+1,N(R1096))</f>
      </c>
    </row>
    <row r="1098" s="44" customFormat="1" spans="1:23">
      <c r="A1098" s="116"/>
      <c r="E1098" s="108"/>
      <c r="F1098" s="114"/>
      <c r="G1098" s="114"/>
      <c r="H1098" s="114"/>
      <c r="Q1098" s="44">
        <f>IF(数据录入!$B1098="",0,IF(OR(数据录入!$D1098="投标保证金",数据录入!$D1098="合同履约保证金",ISNUMBER(FIND("保证金",数据录入!$E1098))),1,0))</f>
      </c>
      <c r="R1098" s="44">
        <f>IF(AND($Q1098=1,数据录入!$B1098&gt;=$B$2,数据录入!$B1098&lt;=$D$2),N(R1097)+1,N(R1097))</f>
      </c>
    </row>
    <row r="1099" s="44" customFormat="1" spans="1:23">
      <c r="A1099" s="116"/>
      <c r="E1099" s="108"/>
      <c r="F1099" s="114"/>
      <c r="G1099" s="114"/>
      <c r="H1099" s="114"/>
      <c r="Q1099" s="44">
        <f>IF(数据录入!$B1099="",0,IF(OR(数据录入!$D1099="投标保证金",数据录入!$D1099="合同履约保证金",ISNUMBER(FIND("保证金",数据录入!$E1099))),1,0))</f>
      </c>
      <c r="R1099" s="44">
        <f>IF(AND($Q1099=1,数据录入!$B1099&gt;=$B$2,数据录入!$B1099&lt;=$D$2),N(R1098)+1,N(R1098))</f>
      </c>
    </row>
    <row r="1100" s="44" customFormat="1" spans="1:23">
      <c r="A1100" s="116"/>
      <c r="E1100" s="108"/>
      <c r="F1100" s="114"/>
      <c r="G1100" s="114"/>
      <c r="H1100" s="114"/>
      <c r="Q1100" s="44">
        <f>IF(数据录入!$B1100="",0,IF(OR(数据录入!$D1100="投标保证金",数据录入!$D1100="合同履约保证金",ISNUMBER(FIND("保证金",数据录入!$E1100))),1,0))</f>
      </c>
      <c r="R1100" s="44">
        <f>IF(AND($Q1100=1,数据录入!$B1100&gt;=$B$2,数据录入!$B1100&lt;=$D$2),N(R1099)+1,N(R1099))</f>
      </c>
    </row>
    <row r="1101" s="44" customFormat="1" spans="1:23">
      <c r="A1101" s="116"/>
      <c r="E1101" s="108"/>
      <c r="F1101" s="114"/>
      <c r="G1101" s="114"/>
      <c r="H1101" s="114"/>
      <c r="Q1101" s="44">
        <f>IF(数据录入!$B1101="",0,IF(OR(数据录入!$D1101="投标保证金",数据录入!$D1101="合同履约保证金",ISNUMBER(FIND("保证金",数据录入!$E1101))),1,0))</f>
      </c>
      <c r="R1101" s="44">
        <f>IF(AND($Q1101=1,数据录入!$B1101&gt;=$B$2,数据录入!$B1101&lt;=$D$2),N(R1100)+1,N(R1100))</f>
      </c>
    </row>
    <row r="1102" s="44" customFormat="1" spans="1:23">
      <c r="A1102" s="116"/>
      <c r="E1102" s="108"/>
      <c r="F1102" s="114"/>
      <c r="G1102" s="114"/>
      <c r="H1102" s="114"/>
      <c r="Q1102" s="44">
        <f>IF(数据录入!$B1102="",0,IF(OR(数据录入!$D1102="投标保证金",数据录入!$D1102="合同履约保证金",ISNUMBER(FIND("保证金",数据录入!$E1102))),1,0))</f>
      </c>
      <c r="R1102" s="44">
        <f>IF(AND($Q1102=1,数据录入!$B1102&gt;=$B$2,数据录入!$B1102&lt;=$D$2),N(R1101)+1,N(R1101))</f>
      </c>
    </row>
    <row r="1103" s="44" customFormat="1" spans="1:23">
      <c r="A1103" s="116"/>
      <c r="E1103" s="108"/>
      <c r="F1103" s="114"/>
      <c r="G1103" s="114"/>
      <c r="H1103" s="114"/>
      <c r="Q1103" s="44">
        <f>IF(数据录入!$B1103="",0,IF(OR(数据录入!$D1103="投标保证金",数据录入!$D1103="合同履约保证金",ISNUMBER(FIND("保证金",数据录入!$E1103))),1,0))</f>
      </c>
      <c r="R1103" s="44">
        <f>IF(AND($Q1103=1,数据录入!$B1103&gt;=$B$2,数据录入!$B1103&lt;=$D$2),N(R1102)+1,N(R1102))</f>
      </c>
    </row>
    <row r="1104" s="44" customFormat="1" spans="1:23">
      <c r="A1104" s="116"/>
      <c r="E1104" s="108"/>
      <c r="F1104" s="114"/>
      <c r="G1104" s="114"/>
      <c r="H1104" s="114"/>
      <c r="Q1104" s="44">
        <f>IF(数据录入!$B1104="",0,IF(OR(数据录入!$D1104="投标保证金",数据录入!$D1104="合同履约保证金",ISNUMBER(FIND("保证金",数据录入!$E1104))),1,0))</f>
      </c>
      <c r="R1104" s="44">
        <f>IF(AND($Q1104=1,数据录入!$B1104&gt;=$B$2,数据录入!$B1104&lt;=$D$2),N(R1103)+1,N(R1103))</f>
      </c>
    </row>
    <row r="1105" s="44" customFormat="1" spans="1:23">
      <c r="A1105" s="116"/>
      <c r="E1105" s="108"/>
      <c r="F1105" s="114"/>
      <c r="G1105" s="114"/>
      <c r="H1105" s="114"/>
      <c r="Q1105" s="44">
        <f>IF(数据录入!$B1105="",0,IF(OR(数据录入!$D1105="投标保证金",数据录入!$D1105="合同履约保证金",ISNUMBER(FIND("保证金",数据录入!$E1105))),1,0))</f>
      </c>
      <c r="R1105" s="44">
        <f>IF(AND($Q1105=1,数据录入!$B1105&gt;=$B$2,数据录入!$B1105&lt;=$D$2),N(R1104)+1,N(R1104))</f>
      </c>
    </row>
    <row r="1106" s="44" customFormat="1" spans="1:23">
      <c r="A1106" s="116"/>
      <c r="E1106" s="108"/>
      <c r="F1106" s="114"/>
      <c r="G1106" s="114"/>
      <c r="H1106" s="114"/>
      <c r="Q1106" s="44">
        <f>IF(数据录入!$B1106="",0,IF(OR(数据录入!$D1106="投标保证金",数据录入!$D1106="合同履约保证金",ISNUMBER(FIND("保证金",数据录入!$E1106))),1,0))</f>
      </c>
      <c r="R1106" s="44">
        <f>IF(AND($Q1106=1,数据录入!$B1106&gt;=$B$2,数据录入!$B1106&lt;=$D$2),N(R1105)+1,N(R1105))</f>
      </c>
    </row>
    <row r="1107" s="44" customFormat="1" spans="1:23">
      <c r="A1107" s="116"/>
      <c r="E1107" s="108"/>
      <c r="F1107" s="114"/>
      <c r="G1107" s="114"/>
      <c r="H1107" s="114"/>
      <c r="Q1107" s="44">
        <f>IF(数据录入!$B1107="",0,IF(OR(数据录入!$D1107="投标保证金",数据录入!$D1107="合同履约保证金",ISNUMBER(FIND("保证金",数据录入!$E1107))),1,0))</f>
      </c>
      <c r="R1107" s="44">
        <f>IF(AND($Q1107=1,数据录入!$B1107&gt;=$B$2,数据录入!$B1107&lt;=$D$2),N(R1106)+1,N(R1106))</f>
      </c>
    </row>
    <row r="1108" s="44" customFormat="1" spans="1:23">
      <c r="A1108" s="116"/>
      <c r="E1108" s="108"/>
      <c r="F1108" s="114"/>
      <c r="G1108" s="114"/>
      <c r="H1108" s="114"/>
      <c r="Q1108" s="44">
        <f>IF(数据录入!$B1108="",0,IF(OR(数据录入!$D1108="投标保证金",数据录入!$D1108="合同履约保证金",ISNUMBER(FIND("保证金",数据录入!$E1108))),1,0))</f>
      </c>
      <c r="R1108" s="44">
        <f>IF(AND($Q1108=1,数据录入!$B1108&gt;=$B$2,数据录入!$B1108&lt;=$D$2),N(R1107)+1,N(R1107))</f>
      </c>
    </row>
    <row r="1109" s="44" customFormat="1" spans="1:23">
      <c r="A1109" s="116"/>
      <c r="E1109" s="108"/>
      <c r="F1109" s="114"/>
      <c r="G1109" s="114"/>
      <c r="H1109" s="114"/>
      <c r="Q1109" s="44">
        <f>IF(数据录入!$B1109="",0,IF(OR(数据录入!$D1109="投标保证金",数据录入!$D1109="合同履约保证金",ISNUMBER(FIND("保证金",数据录入!$E1109))),1,0))</f>
      </c>
      <c r="R1109" s="44">
        <f>IF(AND($Q1109=1,数据录入!$B1109&gt;=$B$2,数据录入!$B1109&lt;=$D$2),N(R1108)+1,N(R1108))</f>
      </c>
    </row>
    <row r="1110" s="44" customFormat="1" spans="1:23">
      <c r="A1110" s="116"/>
      <c r="E1110" s="108"/>
      <c r="F1110" s="114"/>
      <c r="G1110" s="114"/>
      <c r="H1110" s="114"/>
      <c r="Q1110" s="44">
        <f>IF(数据录入!$B1110="",0,IF(OR(数据录入!$D1110="投标保证金",数据录入!$D1110="合同履约保证金",ISNUMBER(FIND("保证金",数据录入!$E1110))),1,0))</f>
      </c>
      <c r="R1110" s="44">
        <f>IF(AND($Q1110=1,数据录入!$B1110&gt;=$B$2,数据录入!$B1110&lt;=$D$2),N(R1109)+1,N(R1109))</f>
      </c>
    </row>
    <row r="1111" s="44" customFormat="1" spans="1:23">
      <c r="A1111" s="116"/>
      <c r="E1111" s="108"/>
      <c r="F1111" s="114"/>
      <c r="G1111" s="114"/>
      <c r="H1111" s="114"/>
      <c r="Q1111" s="44">
        <f>IF(数据录入!$B1111="",0,IF(OR(数据录入!$D1111="投标保证金",数据录入!$D1111="合同履约保证金",ISNUMBER(FIND("保证金",数据录入!$E1111))),1,0))</f>
      </c>
      <c r="R1111" s="44">
        <f>IF(AND($Q1111=1,数据录入!$B1111&gt;=$B$2,数据录入!$B1111&lt;=$D$2),N(R1110)+1,N(R1110))</f>
      </c>
    </row>
    <row r="1112" s="44" customFormat="1" spans="1:23">
      <c r="A1112" s="116"/>
      <c r="E1112" s="108"/>
      <c r="F1112" s="114"/>
      <c r="G1112" s="114"/>
      <c r="H1112" s="114"/>
      <c r="Q1112" s="44">
        <f>IF(数据录入!$B1112="",0,IF(OR(数据录入!$D1112="投标保证金",数据录入!$D1112="合同履约保证金",ISNUMBER(FIND("保证金",数据录入!$E1112))),1,0))</f>
      </c>
      <c r="R1112" s="44">
        <f>IF(AND($Q1112=1,数据录入!$B1112&gt;=$B$2,数据录入!$B1112&lt;=$D$2),N(R1111)+1,N(R1111))</f>
      </c>
    </row>
    <row r="1113" s="44" customFormat="1" spans="1:23">
      <c r="A1113" s="116"/>
      <c r="E1113" s="108"/>
      <c r="F1113" s="114"/>
      <c r="G1113" s="114"/>
      <c r="H1113" s="114"/>
      <c r="Q1113" s="44">
        <f>IF(数据录入!$B1113="",0,IF(OR(数据录入!$D1113="投标保证金",数据录入!$D1113="合同履约保证金",ISNUMBER(FIND("保证金",数据录入!$E1113))),1,0))</f>
      </c>
      <c r="R1113" s="44">
        <f>IF(AND($Q1113=1,数据录入!$B1113&gt;=$B$2,数据录入!$B1113&lt;=$D$2),N(R1112)+1,N(R1112))</f>
      </c>
    </row>
    <row r="1114" s="44" customFormat="1" spans="1:23">
      <c r="A1114" s="116"/>
      <c r="E1114" s="108"/>
      <c r="F1114" s="114"/>
      <c r="G1114" s="114"/>
      <c r="H1114" s="114"/>
      <c r="Q1114" s="44">
        <f>IF(数据录入!$B1114="",0,IF(OR(数据录入!$D1114="投标保证金",数据录入!$D1114="合同履约保证金",ISNUMBER(FIND("保证金",数据录入!$E1114))),1,0))</f>
      </c>
      <c r="R1114" s="44">
        <f>IF(AND($Q1114=1,数据录入!$B1114&gt;=$B$2,数据录入!$B1114&lt;=$D$2),N(R1113)+1,N(R1113))</f>
      </c>
    </row>
    <row r="1115" s="44" customFormat="1" spans="1:23">
      <c r="A1115" s="116"/>
      <c r="E1115" s="108"/>
      <c r="F1115" s="114"/>
      <c r="G1115" s="114"/>
      <c r="H1115" s="114"/>
      <c r="Q1115" s="44">
        <f>IF(数据录入!$B1115="",0,IF(OR(数据录入!$D1115="投标保证金",数据录入!$D1115="合同履约保证金",ISNUMBER(FIND("保证金",数据录入!$E1115))),1,0))</f>
      </c>
      <c r="R1115" s="44">
        <f>IF(AND($Q1115=1,数据录入!$B1115&gt;=$B$2,数据录入!$B1115&lt;=$D$2),N(R1114)+1,N(R1114))</f>
      </c>
    </row>
    <row r="1116" s="44" customFormat="1" spans="1:23">
      <c r="A1116" s="116"/>
      <c r="E1116" s="108"/>
      <c r="F1116" s="114"/>
      <c r="G1116" s="114"/>
      <c r="H1116" s="114"/>
      <c r="Q1116" s="44">
        <f>IF(数据录入!$B1116="",0,IF(OR(数据录入!$D1116="投标保证金",数据录入!$D1116="合同履约保证金",ISNUMBER(FIND("保证金",数据录入!$E1116))),1,0))</f>
      </c>
      <c r="R1116" s="44">
        <f>IF(AND($Q1116=1,数据录入!$B1116&gt;=$B$2,数据录入!$B1116&lt;=$D$2),N(R1115)+1,N(R1115))</f>
      </c>
    </row>
    <row r="1117" s="44" customFormat="1" spans="1:23">
      <c r="A1117" s="116"/>
      <c r="E1117" s="108"/>
      <c r="F1117" s="114"/>
      <c r="G1117" s="114"/>
      <c r="H1117" s="114"/>
      <c r="Q1117" s="44">
        <f>IF(数据录入!$B1117="",0,IF(OR(数据录入!$D1117="投标保证金",数据录入!$D1117="合同履约保证金",ISNUMBER(FIND("保证金",数据录入!$E1117))),1,0))</f>
      </c>
      <c r="R1117" s="44">
        <f>IF(AND($Q1117=1,数据录入!$B1117&gt;=$B$2,数据录入!$B1117&lt;=$D$2),N(R1116)+1,N(R1116))</f>
      </c>
    </row>
    <row r="1118" s="44" customFormat="1" spans="1:23">
      <c r="A1118" s="116"/>
      <c r="E1118" s="108"/>
      <c r="F1118" s="114"/>
      <c r="G1118" s="114"/>
      <c r="H1118" s="114"/>
      <c r="Q1118" s="44">
        <f>IF(数据录入!$B1118="",0,IF(OR(数据录入!$D1118="投标保证金",数据录入!$D1118="合同履约保证金",ISNUMBER(FIND("保证金",数据录入!$E1118))),1,0))</f>
      </c>
      <c r="R1118" s="44">
        <f>IF(AND($Q1118=1,数据录入!$B1118&gt;=$B$2,数据录入!$B1118&lt;=$D$2),N(R1117)+1,N(R1117))</f>
      </c>
    </row>
    <row r="1119" s="44" customFormat="1" spans="1:23">
      <c r="A1119" s="116"/>
      <c r="E1119" s="108"/>
      <c r="F1119" s="114"/>
      <c r="G1119" s="114"/>
      <c r="H1119" s="114"/>
      <c r="Q1119" s="44">
        <f>IF(数据录入!$B1119="",0,IF(OR(数据录入!$D1119="投标保证金",数据录入!$D1119="合同履约保证金",ISNUMBER(FIND("保证金",数据录入!$E1119))),1,0))</f>
      </c>
      <c r="R1119" s="44">
        <f>IF(AND($Q1119=1,数据录入!$B1119&gt;=$B$2,数据录入!$B1119&lt;=$D$2),N(R1118)+1,N(R1118))</f>
      </c>
    </row>
    <row r="1120" s="44" customFormat="1" spans="1:23">
      <c r="A1120" s="116"/>
      <c r="E1120" s="108"/>
      <c r="F1120" s="114"/>
      <c r="G1120" s="114"/>
      <c r="H1120" s="114"/>
      <c r="Q1120" s="44">
        <f>IF(数据录入!$B1120="",0,IF(OR(数据录入!$D1120="投标保证金",数据录入!$D1120="合同履约保证金",ISNUMBER(FIND("保证金",数据录入!$E1120))),1,0))</f>
      </c>
      <c r="R1120" s="44">
        <f>IF(AND($Q1120=1,数据录入!$B1120&gt;=$B$2,数据录入!$B1120&lt;=$D$2),N(R1119)+1,N(R1119))</f>
      </c>
    </row>
    <row r="1121" s="44" customFormat="1" spans="1:23">
      <c r="A1121" s="116"/>
      <c r="E1121" s="108"/>
      <c r="F1121" s="114"/>
      <c r="G1121" s="114"/>
      <c r="H1121" s="114"/>
      <c r="Q1121" s="44">
        <f>IF(数据录入!$B1121="",0,IF(OR(数据录入!$D1121="投标保证金",数据录入!$D1121="合同履约保证金",ISNUMBER(FIND("保证金",数据录入!$E1121))),1,0))</f>
      </c>
      <c r="R1121" s="44">
        <f>IF(AND($Q1121=1,数据录入!$B1121&gt;=$B$2,数据录入!$B1121&lt;=$D$2),N(R1120)+1,N(R1120))</f>
      </c>
    </row>
    <row r="1122" s="44" customFormat="1" spans="1:23">
      <c r="A1122" s="116"/>
      <c r="E1122" s="108"/>
      <c r="F1122" s="114"/>
      <c r="G1122" s="114"/>
      <c r="H1122" s="114"/>
      <c r="Q1122" s="44">
        <f>IF(数据录入!$B1122="",0,IF(OR(数据录入!$D1122="投标保证金",数据录入!$D1122="合同履约保证金",ISNUMBER(FIND("保证金",数据录入!$E1122))),1,0))</f>
      </c>
      <c r="R1122" s="44">
        <f>IF(AND($Q1122=1,数据录入!$B1122&gt;=$B$2,数据录入!$B1122&lt;=$D$2),N(R1121)+1,N(R1121))</f>
      </c>
    </row>
    <row r="1123" s="44" customFormat="1" spans="1:23">
      <c r="A1123" s="116"/>
      <c r="E1123" s="108"/>
      <c r="F1123" s="114"/>
      <c r="G1123" s="114"/>
      <c r="H1123" s="114"/>
      <c r="Q1123" s="44">
        <f>IF(数据录入!$B1123="",0,IF(OR(数据录入!$D1123="投标保证金",数据录入!$D1123="合同履约保证金",ISNUMBER(FIND("保证金",数据录入!$E1123))),1,0))</f>
      </c>
      <c r="R1123" s="44">
        <f>IF(AND($Q1123=1,数据录入!$B1123&gt;=$B$2,数据录入!$B1123&lt;=$D$2),N(R1122)+1,N(R1122))</f>
      </c>
    </row>
    <row r="1124" s="44" customFormat="1" spans="1:23">
      <c r="A1124" s="116"/>
      <c r="E1124" s="108"/>
      <c r="F1124" s="114"/>
      <c r="G1124" s="114"/>
      <c r="H1124" s="114"/>
      <c r="Q1124" s="44">
        <f>IF(数据录入!$B1124="",0,IF(OR(数据录入!$D1124="投标保证金",数据录入!$D1124="合同履约保证金",ISNUMBER(FIND("保证金",数据录入!$E1124))),1,0))</f>
      </c>
      <c r="R1124" s="44">
        <f>IF(AND($Q1124=1,数据录入!$B1124&gt;=$B$2,数据录入!$B1124&lt;=$D$2),N(R1123)+1,N(R1123))</f>
      </c>
    </row>
    <row r="1125" s="44" customFormat="1" spans="1:23">
      <c r="A1125" s="116"/>
      <c r="E1125" s="108"/>
      <c r="F1125" s="114"/>
      <c r="G1125" s="114"/>
      <c r="H1125" s="114"/>
      <c r="Q1125" s="44">
        <f>IF(数据录入!$B1125="",0,IF(OR(数据录入!$D1125="投标保证金",数据录入!$D1125="合同履约保证金",ISNUMBER(FIND("保证金",数据录入!$E1125))),1,0))</f>
      </c>
      <c r="R1125" s="44">
        <f>IF(AND($Q1125=1,数据录入!$B1125&gt;=$B$2,数据录入!$B1125&lt;=$D$2),N(R1124)+1,N(R1124))</f>
      </c>
    </row>
    <row r="1126" s="44" customFormat="1" spans="1:23">
      <c r="A1126" s="116"/>
      <c r="E1126" s="108"/>
      <c r="F1126" s="114"/>
      <c r="G1126" s="114"/>
      <c r="H1126" s="114"/>
      <c r="Q1126" s="44">
        <f>IF(数据录入!$B1126="",0,IF(OR(数据录入!$D1126="投标保证金",数据录入!$D1126="合同履约保证金",ISNUMBER(FIND("保证金",数据录入!$E1126))),1,0))</f>
      </c>
      <c r="R1126" s="44">
        <f>IF(AND($Q1126=1,数据录入!$B1126&gt;=$B$2,数据录入!$B1126&lt;=$D$2),N(R1125)+1,N(R1125))</f>
      </c>
    </row>
    <row r="1127" s="44" customFormat="1" spans="1:23">
      <c r="A1127" s="116"/>
      <c r="E1127" s="108"/>
      <c r="F1127" s="114"/>
      <c r="G1127" s="114"/>
      <c r="H1127" s="114"/>
      <c r="Q1127" s="44">
        <f>IF(数据录入!$B1127="",0,IF(OR(数据录入!$D1127="投标保证金",数据录入!$D1127="合同履约保证金",ISNUMBER(FIND("保证金",数据录入!$E1127))),1,0))</f>
      </c>
      <c r="R1127" s="44">
        <f>IF(AND($Q1127=1,数据录入!$B1127&gt;=$B$2,数据录入!$B1127&lt;=$D$2),N(R1126)+1,N(R1126))</f>
      </c>
    </row>
    <row r="1128" s="44" customFormat="1" spans="1:23">
      <c r="A1128" s="116"/>
      <c r="E1128" s="108"/>
      <c r="F1128" s="114"/>
      <c r="G1128" s="114"/>
      <c r="H1128" s="114"/>
      <c r="Q1128" s="44">
        <f>IF(数据录入!$B1128="",0,IF(OR(数据录入!$D1128="投标保证金",数据录入!$D1128="合同履约保证金",ISNUMBER(FIND("保证金",数据录入!$E1128))),1,0))</f>
      </c>
      <c r="R1128" s="44">
        <f>IF(AND($Q1128=1,数据录入!$B1128&gt;=$B$2,数据录入!$B1128&lt;=$D$2),N(R1127)+1,N(R1127))</f>
      </c>
    </row>
    <row r="1129" s="44" customFormat="1" spans="1:23">
      <c r="A1129" s="116"/>
      <c r="E1129" s="108"/>
      <c r="F1129" s="114"/>
      <c r="G1129" s="114"/>
      <c r="H1129" s="114"/>
      <c r="Q1129" s="44">
        <f>IF(数据录入!$B1129="",0,IF(OR(数据录入!$D1129="投标保证金",数据录入!$D1129="合同履约保证金",ISNUMBER(FIND("保证金",数据录入!$E1129))),1,0))</f>
      </c>
      <c r="R1129" s="44">
        <f>IF(AND($Q1129=1,数据录入!$B1129&gt;=$B$2,数据录入!$B1129&lt;=$D$2),N(R1128)+1,N(R1128))</f>
      </c>
    </row>
    <row r="1130" s="44" customFormat="1" spans="1:23">
      <c r="A1130" s="116"/>
      <c r="E1130" s="108"/>
      <c r="F1130" s="114"/>
      <c r="G1130" s="114"/>
      <c r="H1130" s="114"/>
      <c r="Q1130" s="44">
        <f>IF(数据录入!$B1130="",0,IF(OR(数据录入!$D1130="投标保证金",数据录入!$D1130="合同履约保证金",ISNUMBER(FIND("保证金",数据录入!$E1130))),1,0))</f>
      </c>
      <c r="R1130" s="44">
        <f>IF(AND($Q1130=1,数据录入!$B1130&gt;=$B$2,数据录入!$B1130&lt;=$D$2),N(R1129)+1,N(R1129))</f>
      </c>
    </row>
    <row r="1131" s="44" customFormat="1" spans="1:23">
      <c r="A1131" s="116"/>
      <c r="E1131" s="108"/>
      <c r="F1131" s="114"/>
      <c r="G1131" s="114"/>
      <c r="H1131" s="114"/>
      <c r="Q1131" s="44">
        <f>IF(数据录入!$B1131="",0,IF(OR(数据录入!$D1131="投标保证金",数据录入!$D1131="合同履约保证金",ISNUMBER(FIND("保证金",数据录入!$E1131))),1,0))</f>
      </c>
      <c r="R1131" s="44">
        <f>IF(AND($Q1131=1,数据录入!$B1131&gt;=$B$2,数据录入!$B1131&lt;=$D$2),N(R1130)+1,N(R1130))</f>
      </c>
    </row>
    <row r="1132" s="44" customFormat="1" spans="1:23">
      <c r="A1132" s="116"/>
      <c r="E1132" s="108"/>
      <c r="F1132" s="114"/>
      <c r="G1132" s="114"/>
      <c r="H1132" s="114"/>
      <c r="Q1132" s="44">
        <f>IF(数据录入!$B1132="",0,IF(OR(数据录入!$D1132="投标保证金",数据录入!$D1132="合同履约保证金",ISNUMBER(FIND("保证金",数据录入!$E1132))),1,0))</f>
      </c>
      <c r="R1132" s="44">
        <f>IF(AND($Q1132=1,数据录入!$B1132&gt;=$B$2,数据录入!$B1132&lt;=$D$2),N(R1131)+1,N(R1131))</f>
      </c>
    </row>
    <row r="1133" s="44" customFormat="1" spans="1:23">
      <c r="A1133" s="116"/>
      <c r="E1133" s="108"/>
      <c r="F1133" s="114"/>
      <c r="G1133" s="114"/>
      <c r="H1133" s="114"/>
      <c r="Q1133" s="44">
        <f>IF(数据录入!$B1133="",0,IF(OR(数据录入!$D1133="投标保证金",数据录入!$D1133="合同履约保证金",ISNUMBER(FIND("保证金",数据录入!$E1133))),1,0))</f>
      </c>
      <c r="R1133" s="44">
        <f>IF(AND($Q1133=1,数据录入!$B1133&gt;=$B$2,数据录入!$B1133&lt;=$D$2),N(R1132)+1,N(R1132))</f>
      </c>
    </row>
    <row r="1134" s="44" customFormat="1" spans="1:23">
      <c r="A1134" s="116"/>
      <c r="E1134" s="108"/>
      <c r="F1134" s="114"/>
      <c r="G1134" s="114"/>
      <c r="H1134" s="114"/>
      <c r="Q1134" s="44">
        <f>IF(数据录入!$B1134="",0,IF(OR(数据录入!$D1134="投标保证金",数据录入!$D1134="合同履约保证金",ISNUMBER(FIND("保证金",数据录入!$E1134))),1,0))</f>
      </c>
      <c r="R1134" s="44">
        <f>IF(AND($Q1134=1,数据录入!$B1134&gt;=$B$2,数据录入!$B1134&lt;=$D$2),N(R1133)+1,N(R1133))</f>
      </c>
    </row>
    <row r="1135" s="44" customFormat="1" spans="1:23">
      <c r="A1135" s="116"/>
      <c r="E1135" s="108"/>
      <c r="F1135" s="114"/>
      <c r="G1135" s="114"/>
      <c r="H1135" s="114"/>
      <c r="Q1135" s="44">
        <f>IF(数据录入!$B1135="",0,IF(OR(数据录入!$D1135="投标保证金",数据录入!$D1135="合同履约保证金",ISNUMBER(FIND("保证金",数据录入!$E1135))),1,0))</f>
      </c>
      <c r="R1135" s="44">
        <f>IF(AND($Q1135=1,数据录入!$B1135&gt;=$B$2,数据录入!$B1135&lt;=$D$2),N(R1134)+1,N(R1134))</f>
      </c>
    </row>
    <row r="1136" s="44" customFormat="1" spans="1:23">
      <c r="A1136" s="116"/>
      <c r="E1136" s="108"/>
      <c r="F1136" s="114"/>
      <c r="G1136" s="114"/>
      <c r="H1136" s="114"/>
      <c r="Q1136" s="44">
        <f>IF(数据录入!$B1136="",0,IF(OR(数据录入!$D1136="投标保证金",数据录入!$D1136="合同履约保证金",ISNUMBER(FIND("保证金",数据录入!$E1136))),1,0))</f>
      </c>
      <c r="R1136" s="44">
        <f>IF(AND($Q1136=1,数据录入!$B1136&gt;=$B$2,数据录入!$B1136&lt;=$D$2),N(R1135)+1,N(R1135))</f>
      </c>
    </row>
    <row r="1137" s="44" customFormat="1" spans="1:23">
      <c r="A1137" s="116"/>
      <c r="E1137" s="108"/>
      <c r="F1137" s="114"/>
      <c r="G1137" s="114"/>
      <c r="H1137" s="114"/>
      <c r="Q1137" s="44">
        <f>IF(数据录入!$B1137="",0,IF(OR(数据录入!$D1137="投标保证金",数据录入!$D1137="合同履约保证金",ISNUMBER(FIND("保证金",数据录入!$E1137))),1,0))</f>
      </c>
      <c r="R1137" s="44">
        <f>IF(AND($Q1137=1,数据录入!$B1137&gt;=$B$2,数据录入!$B1137&lt;=$D$2),N(R1136)+1,N(R1136))</f>
      </c>
    </row>
    <row r="1138" s="44" customFormat="1" spans="1:23">
      <c r="A1138" s="116"/>
      <c r="E1138" s="108"/>
      <c r="F1138" s="114"/>
      <c r="G1138" s="114"/>
      <c r="H1138" s="114"/>
      <c r="Q1138" s="44">
        <f>IF(数据录入!$B1138="",0,IF(OR(数据录入!$D1138="投标保证金",数据录入!$D1138="合同履约保证金",ISNUMBER(FIND("保证金",数据录入!$E1138))),1,0))</f>
      </c>
      <c r="R1138" s="44">
        <f>IF(AND($Q1138=1,数据录入!$B1138&gt;=$B$2,数据录入!$B1138&lt;=$D$2),N(R1137)+1,N(R1137))</f>
      </c>
    </row>
    <row r="1139" s="44" customFormat="1" spans="1:23">
      <c r="A1139" s="116"/>
      <c r="E1139" s="108"/>
      <c r="F1139" s="114"/>
      <c r="G1139" s="114"/>
      <c r="H1139" s="114"/>
      <c r="Q1139" s="44">
        <f>IF(数据录入!$B1139="",0,IF(OR(数据录入!$D1139="投标保证金",数据录入!$D1139="合同履约保证金",ISNUMBER(FIND("保证金",数据录入!$E1139))),1,0))</f>
      </c>
      <c r="R1139" s="44">
        <f>IF(AND($Q1139=1,数据录入!$B1139&gt;=$B$2,数据录入!$B1139&lt;=$D$2),N(R1138)+1,N(R1138))</f>
      </c>
    </row>
    <row r="1140" s="44" customFormat="1" spans="1:23">
      <c r="A1140" s="116"/>
      <c r="E1140" s="108"/>
      <c r="F1140" s="114"/>
      <c r="G1140" s="114"/>
      <c r="H1140" s="114"/>
      <c r="Q1140" s="44">
        <f>IF(数据录入!$B1140="",0,IF(OR(数据录入!$D1140="投标保证金",数据录入!$D1140="合同履约保证金",ISNUMBER(FIND("保证金",数据录入!$E1140))),1,0))</f>
      </c>
      <c r="R1140" s="44">
        <f>IF(AND($Q1140=1,数据录入!$B1140&gt;=$B$2,数据录入!$B1140&lt;=$D$2),N(R1139)+1,N(R1139))</f>
      </c>
    </row>
    <row r="1141" s="44" customFormat="1" spans="1:23">
      <c r="A1141" s="116"/>
      <c r="E1141" s="108"/>
      <c r="F1141" s="114"/>
      <c r="G1141" s="114"/>
      <c r="H1141" s="114"/>
      <c r="Q1141" s="44">
        <f>IF(数据录入!$B1141="",0,IF(OR(数据录入!$D1141="投标保证金",数据录入!$D1141="合同履约保证金",ISNUMBER(FIND("保证金",数据录入!$E1141))),1,0))</f>
      </c>
      <c r="R1141" s="44">
        <f>IF(AND($Q1141=1,数据录入!$B1141&gt;=$B$2,数据录入!$B1141&lt;=$D$2),N(R1140)+1,N(R1140))</f>
      </c>
    </row>
    <row r="1142" s="44" customFormat="1" spans="1:23">
      <c r="A1142" s="116"/>
      <c r="E1142" s="108"/>
      <c r="F1142" s="114"/>
      <c r="G1142" s="114"/>
      <c r="H1142" s="114"/>
      <c r="Q1142" s="44">
        <f>IF(数据录入!$B1142="",0,IF(OR(数据录入!$D1142="投标保证金",数据录入!$D1142="合同履约保证金",ISNUMBER(FIND("保证金",数据录入!$E1142))),1,0))</f>
      </c>
      <c r="R1142" s="44">
        <f>IF(AND($Q1142=1,数据录入!$B1142&gt;=$B$2,数据录入!$B1142&lt;=$D$2),N(R1141)+1,N(R1141))</f>
      </c>
    </row>
    <row r="1143" s="44" customFormat="1" spans="1:23">
      <c r="A1143" s="116"/>
      <c r="E1143" s="108"/>
      <c r="F1143" s="114"/>
      <c r="G1143" s="114"/>
      <c r="H1143" s="114"/>
      <c r="Q1143" s="44">
        <f>IF(数据录入!$B1143="",0,IF(OR(数据录入!$D1143="投标保证金",数据录入!$D1143="合同履约保证金",ISNUMBER(FIND("保证金",数据录入!$E1143))),1,0))</f>
      </c>
      <c r="R1143" s="44">
        <f>IF(AND($Q1143=1,数据录入!$B1143&gt;=$B$2,数据录入!$B1143&lt;=$D$2),N(R1142)+1,N(R1142))</f>
      </c>
    </row>
    <row r="1144" s="44" customFormat="1" spans="1:23">
      <c r="A1144" s="116"/>
      <c r="E1144" s="108"/>
      <c r="F1144" s="114"/>
      <c r="G1144" s="114"/>
      <c r="H1144" s="114"/>
      <c r="Q1144" s="44">
        <f>IF(数据录入!$B1144="",0,IF(OR(数据录入!$D1144="投标保证金",数据录入!$D1144="合同履约保证金",ISNUMBER(FIND("保证金",数据录入!$E1144))),1,0))</f>
      </c>
      <c r="R1144" s="44">
        <f>IF(AND($Q1144=1,数据录入!$B1144&gt;=$B$2,数据录入!$B1144&lt;=$D$2),N(R1143)+1,N(R1143))</f>
      </c>
    </row>
    <row r="1145" s="44" customFormat="1" spans="1:23">
      <c r="A1145" s="116"/>
      <c r="E1145" s="108"/>
      <c r="F1145" s="114"/>
      <c r="G1145" s="114"/>
      <c r="H1145" s="114"/>
      <c r="Q1145" s="44">
        <f>IF(数据录入!$B1145="",0,IF(OR(数据录入!$D1145="投标保证金",数据录入!$D1145="合同履约保证金",ISNUMBER(FIND("保证金",数据录入!$E1145))),1,0))</f>
      </c>
      <c r="R1145" s="44">
        <f>IF(AND($Q1145=1,数据录入!$B1145&gt;=$B$2,数据录入!$B1145&lt;=$D$2),N(R1144)+1,N(R1144))</f>
      </c>
    </row>
    <row r="1146" s="44" customFormat="1" spans="1:23">
      <c r="A1146" s="116"/>
      <c r="E1146" s="108"/>
      <c r="F1146" s="114"/>
      <c r="G1146" s="114"/>
      <c r="H1146" s="114"/>
      <c r="Q1146" s="44">
        <f>IF(数据录入!$B1146="",0,IF(OR(数据录入!$D1146="投标保证金",数据录入!$D1146="合同履约保证金",ISNUMBER(FIND("保证金",数据录入!$E1146))),1,0))</f>
      </c>
      <c r="R1146" s="44">
        <f>IF(AND($Q1146=1,数据录入!$B1146&gt;=$B$2,数据录入!$B1146&lt;=$D$2),N(R1145)+1,N(R1145))</f>
      </c>
    </row>
    <row r="1147" s="44" customFormat="1" spans="1:23">
      <c r="A1147" s="116"/>
      <c r="E1147" s="108"/>
      <c r="F1147" s="114"/>
      <c r="G1147" s="114"/>
      <c r="H1147" s="114"/>
      <c r="Q1147" s="44">
        <f>IF(数据录入!$B1147="",0,IF(OR(数据录入!$D1147="投标保证金",数据录入!$D1147="合同履约保证金",ISNUMBER(FIND("保证金",数据录入!$E1147))),1,0))</f>
      </c>
      <c r="R1147" s="44">
        <f>IF(AND($Q1147=1,数据录入!$B1147&gt;=$B$2,数据录入!$B1147&lt;=$D$2),N(R1146)+1,N(R1146))</f>
      </c>
    </row>
    <row r="1148" s="44" customFormat="1" spans="1:23">
      <c r="A1148" s="116"/>
      <c r="E1148" s="108"/>
      <c r="F1148" s="114"/>
      <c r="G1148" s="114"/>
      <c r="H1148" s="114"/>
      <c r="Q1148" s="44">
        <f>IF(数据录入!$B1148="",0,IF(OR(数据录入!$D1148="投标保证金",数据录入!$D1148="合同履约保证金",ISNUMBER(FIND("保证金",数据录入!$E1148))),1,0))</f>
      </c>
      <c r="R1148" s="44">
        <f>IF(AND($Q1148=1,数据录入!$B1148&gt;=$B$2,数据录入!$B1148&lt;=$D$2),N(R1147)+1,N(R1147))</f>
      </c>
    </row>
    <row r="1149" s="44" customFormat="1" spans="1:23">
      <c r="A1149" s="116"/>
      <c r="E1149" s="108"/>
      <c r="F1149" s="114"/>
      <c r="G1149" s="114"/>
      <c r="H1149" s="114"/>
      <c r="Q1149" s="44">
        <f>IF(数据录入!$B1149="",0,IF(OR(数据录入!$D1149="投标保证金",数据录入!$D1149="合同履约保证金",ISNUMBER(FIND("保证金",数据录入!$E1149))),1,0))</f>
      </c>
      <c r="R1149" s="44">
        <f>IF(AND($Q1149=1,数据录入!$B1149&gt;=$B$2,数据录入!$B1149&lt;=$D$2),N(R1148)+1,N(R1148))</f>
      </c>
    </row>
    <row r="1150" s="44" customFormat="1" spans="1:23">
      <c r="A1150" s="116"/>
      <c r="E1150" s="108"/>
      <c r="F1150" s="114"/>
      <c r="G1150" s="114"/>
      <c r="H1150" s="114"/>
      <c r="Q1150" s="44">
        <f>IF(数据录入!$B1150="",0,IF(OR(数据录入!$D1150="投标保证金",数据录入!$D1150="合同履约保证金",ISNUMBER(FIND("保证金",数据录入!$E1150))),1,0))</f>
      </c>
      <c r="R1150" s="44">
        <f>IF(AND($Q1150=1,数据录入!$B1150&gt;=$B$2,数据录入!$B1150&lt;=$D$2),N(R1149)+1,N(R1149))</f>
      </c>
    </row>
    <row r="1151" s="44" customFormat="1" spans="1:23">
      <c r="A1151" s="116"/>
      <c r="E1151" s="108"/>
      <c r="F1151" s="114"/>
      <c r="G1151" s="114"/>
      <c r="H1151" s="114"/>
      <c r="Q1151" s="44">
        <f>IF(数据录入!$B1151="",0,IF(OR(数据录入!$D1151="投标保证金",数据录入!$D1151="合同履约保证金",ISNUMBER(FIND("保证金",数据录入!$E1151))),1,0))</f>
      </c>
      <c r="R1151" s="44">
        <f>IF(AND($Q1151=1,数据录入!$B1151&gt;=$B$2,数据录入!$B1151&lt;=$D$2),N(R1150)+1,N(R1150))</f>
      </c>
    </row>
    <row r="1152" s="44" customFormat="1" spans="1:23">
      <c r="A1152" s="116"/>
      <c r="E1152" s="108"/>
      <c r="F1152" s="114"/>
      <c r="G1152" s="114"/>
      <c r="H1152" s="114"/>
      <c r="Q1152" s="44">
        <f>IF(数据录入!$B1152="",0,IF(OR(数据录入!$D1152="投标保证金",数据录入!$D1152="合同履约保证金",ISNUMBER(FIND("保证金",数据录入!$E1152))),1,0))</f>
      </c>
      <c r="R1152" s="44">
        <f>IF(AND($Q1152=1,数据录入!$B1152&gt;=$B$2,数据录入!$B1152&lt;=$D$2),N(R1151)+1,N(R1151))</f>
      </c>
    </row>
    <row r="1153" s="44" customFormat="1" spans="1:23">
      <c r="A1153" s="116"/>
      <c r="E1153" s="108"/>
      <c r="F1153" s="114"/>
      <c r="G1153" s="114"/>
      <c r="H1153" s="114"/>
      <c r="Q1153" s="44">
        <f>IF(数据录入!$B1153="",0,IF(OR(数据录入!$D1153="投标保证金",数据录入!$D1153="合同履约保证金",ISNUMBER(FIND("保证金",数据录入!$E1153))),1,0))</f>
      </c>
      <c r="R1153" s="44">
        <f>IF(AND($Q1153=1,数据录入!$B1153&gt;=$B$2,数据录入!$B1153&lt;=$D$2),N(R1152)+1,N(R1152))</f>
      </c>
    </row>
    <row r="1154" s="44" customFormat="1" spans="1:23">
      <c r="A1154" s="116"/>
      <c r="E1154" s="108"/>
      <c r="F1154" s="114"/>
      <c r="G1154" s="114"/>
      <c r="H1154" s="114"/>
      <c r="Q1154" s="44">
        <f>IF(数据录入!$B1154="",0,IF(OR(数据录入!$D1154="投标保证金",数据录入!$D1154="合同履约保证金",ISNUMBER(FIND("保证金",数据录入!$E1154))),1,0))</f>
      </c>
      <c r="R1154" s="44">
        <f>IF(AND($Q1154=1,数据录入!$B1154&gt;=$B$2,数据录入!$B1154&lt;=$D$2),N(R1153)+1,N(R1153))</f>
      </c>
    </row>
    <row r="1155" s="44" customFormat="1" spans="1:23">
      <c r="A1155" s="116"/>
      <c r="E1155" s="108"/>
      <c r="F1155" s="114"/>
      <c r="G1155" s="114"/>
      <c r="H1155" s="114"/>
      <c r="Q1155" s="44">
        <f>IF(数据录入!$B1155="",0,IF(OR(数据录入!$D1155="投标保证金",数据录入!$D1155="合同履约保证金",ISNUMBER(FIND("保证金",数据录入!$E1155))),1,0))</f>
      </c>
      <c r="R1155" s="44">
        <f>IF(AND($Q1155=1,数据录入!$B1155&gt;=$B$2,数据录入!$B1155&lt;=$D$2),N(R1154)+1,N(R1154))</f>
      </c>
    </row>
    <row r="1156" s="44" customFormat="1" spans="1:23">
      <c r="A1156" s="116"/>
      <c r="E1156" s="108"/>
      <c r="F1156" s="114"/>
      <c r="G1156" s="114"/>
      <c r="H1156" s="114"/>
      <c r="Q1156" s="44">
        <f>IF(数据录入!$B1156="",0,IF(OR(数据录入!$D1156="投标保证金",数据录入!$D1156="合同履约保证金",ISNUMBER(FIND("保证金",数据录入!$E1156))),1,0))</f>
      </c>
      <c r="R1156" s="44">
        <f>IF(AND($Q1156=1,数据录入!$B1156&gt;=$B$2,数据录入!$B1156&lt;=$D$2),N(R1155)+1,N(R1155))</f>
      </c>
    </row>
    <row r="1157" s="44" customFormat="1" spans="1:23">
      <c r="A1157" s="116"/>
      <c r="E1157" s="108"/>
      <c r="F1157" s="114"/>
      <c r="G1157" s="114"/>
      <c r="H1157" s="114"/>
      <c r="Q1157" s="44">
        <f>IF(数据录入!$B1157="",0,IF(OR(数据录入!$D1157="投标保证金",数据录入!$D1157="合同履约保证金",ISNUMBER(FIND("保证金",数据录入!$E1157))),1,0))</f>
      </c>
      <c r="R1157" s="44">
        <f>IF(AND($Q1157=1,数据录入!$B1157&gt;=$B$2,数据录入!$B1157&lt;=$D$2),N(R1156)+1,N(R1156))</f>
      </c>
    </row>
    <row r="1158" s="44" customFormat="1" spans="1:23">
      <c r="A1158" s="116"/>
      <c r="E1158" s="108"/>
      <c r="F1158" s="114"/>
      <c r="G1158" s="114"/>
      <c r="H1158" s="114"/>
      <c r="Q1158" s="44">
        <f>IF(数据录入!$B1158="",0,IF(OR(数据录入!$D1158="投标保证金",数据录入!$D1158="合同履约保证金",ISNUMBER(FIND("保证金",数据录入!$E1158))),1,0))</f>
      </c>
      <c r="R1158" s="44">
        <f>IF(AND($Q1158=1,数据录入!$B1158&gt;=$B$2,数据录入!$B1158&lt;=$D$2),N(R1157)+1,N(R1157))</f>
      </c>
    </row>
    <row r="1159" s="44" customFormat="1" spans="1:23">
      <c r="A1159" s="116"/>
      <c r="E1159" s="108"/>
      <c r="F1159" s="114"/>
      <c r="G1159" s="114"/>
      <c r="H1159" s="114"/>
      <c r="Q1159" s="44">
        <f>IF(数据录入!$B1159="",0,IF(OR(数据录入!$D1159="投标保证金",数据录入!$D1159="合同履约保证金",ISNUMBER(FIND("保证金",数据录入!$E1159))),1,0))</f>
      </c>
      <c r="R1159" s="44">
        <f>IF(AND($Q1159=1,数据录入!$B1159&gt;=$B$2,数据录入!$B1159&lt;=$D$2),N(R1158)+1,N(R1158))</f>
      </c>
    </row>
    <row r="1160" s="44" customFormat="1" spans="1:23">
      <c r="A1160" s="116"/>
      <c r="E1160" s="108"/>
      <c r="F1160" s="114"/>
      <c r="G1160" s="114"/>
      <c r="H1160" s="114"/>
      <c r="Q1160" s="44">
        <f>IF(数据录入!$B1160="",0,IF(OR(数据录入!$D1160="投标保证金",数据录入!$D1160="合同履约保证金",ISNUMBER(FIND("保证金",数据录入!$E1160))),1,0))</f>
      </c>
      <c r="R1160" s="44">
        <f>IF(AND($Q1160=1,数据录入!$B1160&gt;=$B$2,数据录入!$B1160&lt;=$D$2),N(R1159)+1,N(R1159))</f>
      </c>
    </row>
    <row r="1161" s="44" customFormat="1" spans="1:23">
      <c r="A1161" s="116"/>
      <c r="E1161" s="108"/>
      <c r="F1161" s="114"/>
      <c r="G1161" s="114"/>
      <c r="H1161" s="114"/>
      <c r="Q1161" s="44">
        <f>IF(数据录入!$B1161="",0,IF(OR(数据录入!$D1161="投标保证金",数据录入!$D1161="合同履约保证金",ISNUMBER(FIND("保证金",数据录入!$E1161))),1,0))</f>
      </c>
      <c r="R1161" s="44">
        <f>IF(AND($Q1161=1,数据录入!$B1161&gt;=$B$2,数据录入!$B1161&lt;=$D$2),N(R1160)+1,N(R1160))</f>
      </c>
    </row>
    <row r="1162" s="44" customFormat="1" spans="1:23">
      <c r="A1162" s="116"/>
      <c r="E1162" s="108"/>
      <c r="F1162" s="114"/>
      <c r="G1162" s="114"/>
      <c r="H1162" s="114"/>
      <c r="Q1162" s="44">
        <f>IF(数据录入!$B1162="",0,IF(OR(数据录入!$D1162="投标保证金",数据录入!$D1162="合同履约保证金",ISNUMBER(FIND("保证金",数据录入!$E1162))),1,0))</f>
      </c>
      <c r="R1162" s="44">
        <f>IF(AND($Q1162=1,数据录入!$B1162&gt;=$B$2,数据录入!$B1162&lt;=$D$2),N(R1161)+1,N(R1161))</f>
      </c>
    </row>
    <row r="1163" s="44" customFormat="1" spans="1:23">
      <c r="A1163" s="116"/>
      <c r="E1163" s="108"/>
      <c r="F1163" s="114"/>
      <c r="G1163" s="114"/>
      <c r="H1163" s="114"/>
      <c r="Q1163" s="44">
        <f>IF(数据录入!$B1163="",0,IF(OR(数据录入!$D1163="投标保证金",数据录入!$D1163="合同履约保证金",ISNUMBER(FIND("保证金",数据录入!$E1163))),1,0))</f>
      </c>
      <c r="R1163" s="44">
        <f>IF(AND($Q1163=1,数据录入!$B1163&gt;=$B$2,数据录入!$B1163&lt;=$D$2),N(R1162)+1,N(R1162))</f>
      </c>
    </row>
    <row r="1164" s="44" customFormat="1" spans="1:23">
      <c r="A1164" s="116"/>
      <c r="E1164" s="108"/>
      <c r="F1164" s="114"/>
      <c r="G1164" s="114"/>
      <c r="H1164" s="114"/>
      <c r="Q1164" s="44">
        <f>IF(数据录入!$B1164="",0,IF(OR(数据录入!$D1164="投标保证金",数据录入!$D1164="合同履约保证金",ISNUMBER(FIND("保证金",数据录入!$E1164))),1,0))</f>
      </c>
      <c r="R1164" s="44">
        <f>IF(AND($Q1164=1,数据录入!$B1164&gt;=$B$2,数据录入!$B1164&lt;=$D$2),N(R1163)+1,N(R1163))</f>
      </c>
    </row>
    <row r="1165" s="44" customFormat="1" spans="1:23">
      <c r="A1165" s="116"/>
      <c r="E1165" s="108"/>
      <c r="F1165" s="114"/>
      <c r="G1165" s="114"/>
      <c r="H1165" s="114"/>
      <c r="Q1165" s="44">
        <f>IF(数据录入!$B1165="",0,IF(OR(数据录入!$D1165="投标保证金",数据录入!$D1165="合同履约保证金",ISNUMBER(FIND("保证金",数据录入!$E1165))),1,0))</f>
      </c>
      <c r="R1165" s="44">
        <f>IF(AND($Q1165=1,数据录入!$B1165&gt;=$B$2,数据录入!$B1165&lt;=$D$2),N(R1164)+1,N(R1164))</f>
      </c>
    </row>
    <row r="1166" s="44" customFormat="1" spans="1:23">
      <c r="A1166" s="116"/>
      <c r="E1166" s="108"/>
      <c r="F1166" s="114"/>
      <c r="G1166" s="114"/>
      <c r="H1166" s="114"/>
      <c r="Q1166" s="44">
        <f>IF(数据录入!$B1166="",0,IF(OR(数据录入!$D1166="投标保证金",数据录入!$D1166="合同履约保证金",ISNUMBER(FIND("保证金",数据录入!$E1166))),1,0))</f>
      </c>
      <c r="R1166" s="44">
        <f>IF(AND($Q1166=1,数据录入!$B1166&gt;=$B$2,数据录入!$B1166&lt;=$D$2),N(R1165)+1,N(R1165))</f>
      </c>
    </row>
    <row r="1167" s="44" customFormat="1" spans="1:23">
      <c r="A1167" s="116"/>
      <c r="E1167" s="108"/>
      <c r="F1167" s="114"/>
      <c r="G1167" s="114"/>
      <c r="H1167" s="114"/>
      <c r="Q1167" s="44">
        <f>IF(数据录入!$B1167="",0,IF(OR(数据录入!$D1167="投标保证金",数据录入!$D1167="合同履约保证金",ISNUMBER(FIND("保证金",数据录入!$E1167))),1,0))</f>
      </c>
      <c r="R1167" s="44">
        <f>IF(AND($Q1167=1,数据录入!$B1167&gt;=$B$2,数据录入!$B1167&lt;=$D$2),N(R1166)+1,N(R1166))</f>
      </c>
    </row>
    <row r="1168" s="44" customFormat="1" spans="1:23">
      <c r="A1168" s="116"/>
      <c r="E1168" s="108"/>
      <c r="F1168" s="114"/>
      <c r="G1168" s="114"/>
      <c r="H1168" s="114"/>
      <c r="Q1168" s="44">
        <f>IF(数据录入!$B1168="",0,IF(OR(数据录入!$D1168="投标保证金",数据录入!$D1168="合同履约保证金",ISNUMBER(FIND("保证金",数据录入!$E1168))),1,0))</f>
      </c>
      <c r="R1168" s="44">
        <f>IF(AND($Q1168=1,数据录入!$B1168&gt;=$B$2,数据录入!$B1168&lt;=$D$2),N(R1167)+1,N(R1167))</f>
      </c>
    </row>
    <row r="1169" s="44" customFormat="1" spans="1:23">
      <c r="A1169" s="116"/>
      <c r="E1169" s="108"/>
      <c r="F1169" s="114"/>
      <c r="G1169" s="114"/>
      <c r="H1169" s="114"/>
      <c r="Q1169" s="44">
        <f>IF(数据录入!$B1169="",0,IF(OR(数据录入!$D1169="投标保证金",数据录入!$D1169="合同履约保证金",ISNUMBER(FIND("保证金",数据录入!$E1169))),1,0))</f>
      </c>
      <c r="R1169" s="44">
        <f>IF(AND($Q1169=1,数据录入!$B1169&gt;=$B$2,数据录入!$B1169&lt;=$D$2),N(R1168)+1,N(R1168))</f>
      </c>
    </row>
    <row r="1170" s="44" customFormat="1" spans="1:23">
      <c r="A1170" s="116"/>
      <c r="E1170" s="108"/>
      <c r="F1170" s="114"/>
      <c r="G1170" s="114"/>
      <c r="H1170" s="114"/>
      <c r="Q1170" s="44">
        <f>IF(数据录入!$B1170="",0,IF(OR(数据录入!$D1170="投标保证金",数据录入!$D1170="合同履约保证金",ISNUMBER(FIND("保证金",数据录入!$E1170))),1,0))</f>
      </c>
      <c r="R1170" s="44">
        <f>IF(AND($Q1170=1,数据录入!$B1170&gt;=$B$2,数据录入!$B1170&lt;=$D$2),N(R1169)+1,N(R1169))</f>
      </c>
    </row>
    <row r="1171" s="44" customFormat="1" spans="1:23">
      <c r="A1171" s="116"/>
      <c r="E1171" s="108"/>
      <c r="F1171" s="114"/>
      <c r="G1171" s="114"/>
      <c r="H1171" s="114"/>
      <c r="Q1171" s="44">
        <f>IF(数据录入!$B1171="",0,IF(OR(数据录入!$D1171="投标保证金",数据录入!$D1171="合同履约保证金",ISNUMBER(FIND("保证金",数据录入!$E1171))),1,0))</f>
      </c>
      <c r="R1171" s="44">
        <f>IF(AND($Q1171=1,数据录入!$B1171&gt;=$B$2,数据录入!$B1171&lt;=$D$2),N(R1170)+1,N(R1170))</f>
      </c>
    </row>
    <row r="1172" s="44" customFormat="1" spans="1:23">
      <c r="A1172" s="116"/>
      <c r="E1172" s="108"/>
      <c r="F1172" s="114"/>
      <c r="G1172" s="114"/>
      <c r="H1172" s="114"/>
      <c r="Q1172" s="44">
        <f>IF(数据录入!$B1172="",0,IF(OR(数据录入!$D1172="投标保证金",数据录入!$D1172="合同履约保证金",ISNUMBER(FIND("保证金",数据录入!$E1172))),1,0))</f>
      </c>
      <c r="R1172" s="44">
        <f>IF(AND($Q1172=1,数据录入!$B1172&gt;=$B$2,数据录入!$B1172&lt;=$D$2),N(R1171)+1,N(R1171))</f>
      </c>
    </row>
    <row r="1173" s="44" customFormat="1" spans="1:23">
      <c r="A1173" s="116"/>
      <c r="E1173" s="108"/>
      <c r="F1173" s="114"/>
      <c r="G1173" s="114"/>
      <c r="H1173" s="114"/>
      <c r="Q1173" s="44">
        <f>IF(数据录入!$B1173="",0,IF(OR(数据录入!$D1173="投标保证金",数据录入!$D1173="合同履约保证金",ISNUMBER(FIND("保证金",数据录入!$E1173))),1,0))</f>
      </c>
      <c r="R1173" s="44">
        <f>IF(AND($Q1173=1,数据录入!$B1173&gt;=$B$2,数据录入!$B1173&lt;=$D$2),N(R1172)+1,N(R1172))</f>
      </c>
    </row>
    <row r="1174" s="44" customFormat="1" spans="1:23">
      <c r="A1174" s="116"/>
      <c r="E1174" s="108"/>
      <c r="F1174" s="114"/>
      <c r="G1174" s="114"/>
      <c r="H1174" s="114"/>
      <c r="Q1174" s="44">
        <f>IF(数据录入!$B1174="",0,IF(OR(数据录入!$D1174="投标保证金",数据录入!$D1174="合同履约保证金",ISNUMBER(FIND("保证金",数据录入!$E1174))),1,0))</f>
      </c>
      <c r="R1174" s="44">
        <f>IF(AND($Q1174=1,数据录入!$B1174&gt;=$B$2,数据录入!$B1174&lt;=$D$2),N(R1173)+1,N(R1173))</f>
      </c>
    </row>
    <row r="1175" s="44" customFormat="1" spans="1:23">
      <c r="A1175" s="116"/>
      <c r="E1175" s="108"/>
      <c r="F1175" s="114"/>
      <c r="G1175" s="114"/>
      <c r="H1175" s="114"/>
      <c r="Q1175" s="44">
        <f>IF(数据录入!$B1175="",0,IF(OR(数据录入!$D1175="投标保证金",数据录入!$D1175="合同履约保证金",ISNUMBER(FIND("保证金",数据录入!$E1175))),1,0))</f>
      </c>
      <c r="R1175" s="44">
        <f>IF(AND($Q1175=1,数据录入!$B1175&gt;=$B$2,数据录入!$B1175&lt;=$D$2),N(R1174)+1,N(R1174))</f>
      </c>
    </row>
    <row r="1176" s="44" customFormat="1" spans="1:23">
      <c r="A1176" s="116"/>
      <c r="E1176" s="108"/>
      <c r="F1176" s="114"/>
      <c r="G1176" s="114"/>
      <c r="H1176" s="114"/>
      <c r="Q1176" s="44">
        <f>IF(数据录入!$B1176="",0,IF(OR(数据录入!$D1176="投标保证金",数据录入!$D1176="合同履约保证金",ISNUMBER(FIND("保证金",数据录入!$E1176))),1,0))</f>
      </c>
      <c r="R1176" s="44">
        <f>IF(AND($Q1176=1,数据录入!$B1176&gt;=$B$2,数据录入!$B1176&lt;=$D$2),N(R1175)+1,N(R1175))</f>
      </c>
    </row>
    <row r="1177" s="44" customFormat="1" spans="1:23">
      <c r="A1177" s="116"/>
      <c r="E1177" s="108"/>
      <c r="F1177" s="114"/>
      <c r="G1177" s="114"/>
      <c r="H1177" s="114"/>
      <c r="Q1177" s="44">
        <f>IF(数据录入!$B1177="",0,IF(OR(数据录入!$D1177="投标保证金",数据录入!$D1177="合同履约保证金",ISNUMBER(FIND("保证金",数据录入!$E1177))),1,0))</f>
      </c>
      <c r="R1177" s="44">
        <f>IF(AND($Q1177=1,数据录入!$B1177&gt;=$B$2,数据录入!$B1177&lt;=$D$2),N(R1176)+1,N(R1176))</f>
      </c>
    </row>
    <row r="1178" s="44" customFormat="1" spans="1:23">
      <c r="A1178" s="116"/>
      <c r="E1178" s="108"/>
      <c r="F1178" s="114"/>
      <c r="G1178" s="114"/>
      <c r="H1178" s="114"/>
      <c r="Q1178" s="44">
        <f>IF(数据录入!$B1178="",0,IF(OR(数据录入!$D1178="投标保证金",数据录入!$D1178="合同履约保证金",ISNUMBER(FIND("保证金",数据录入!$E1178))),1,0))</f>
      </c>
      <c r="R1178" s="44">
        <f>IF(AND($Q1178=1,数据录入!$B1178&gt;=$B$2,数据录入!$B1178&lt;=$D$2),N(R1177)+1,N(R1177))</f>
      </c>
    </row>
    <row r="1179" s="44" customFormat="1" spans="1:23">
      <c r="A1179" s="116"/>
      <c r="E1179" s="108"/>
      <c r="F1179" s="114"/>
      <c r="G1179" s="114"/>
      <c r="H1179" s="114"/>
      <c r="Q1179" s="44">
        <f>IF(数据录入!$B1179="",0,IF(OR(数据录入!$D1179="投标保证金",数据录入!$D1179="合同履约保证金",ISNUMBER(FIND("保证金",数据录入!$E1179))),1,0))</f>
      </c>
      <c r="R1179" s="44">
        <f>IF(AND($Q1179=1,数据录入!$B1179&gt;=$B$2,数据录入!$B1179&lt;=$D$2),N(R1178)+1,N(R1178))</f>
      </c>
    </row>
    <row r="1180" s="44" customFormat="1" spans="1:23">
      <c r="A1180" s="116"/>
      <c r="E1180" s="108"/>
      <c r="F1180" s="114"/>
      <c r="G1180" s="114"/>
      <c r="H1180" s="114"/>
      <c r="Q1180" s="44">
        <f>IF(数据录入!$B1180="",0,IF(OR(数据录入!$D1180="投标保证金",数据录入!$D1180="合同履约保证金",ISNUMBER(FIND("保证金",数据录入!$E1180))),1,0))</f>
      </c>
      <c r="R1180" s="44">
        <f>IF(AND($Q1180=1,数据录入!$B1180&gt;=$B$2,数据录入!$B1180&lt;=$D$2),N(R1179)+1,N(R1179))</f>
      </c>
    </row>
    <row r="1181" s="44" customFormat="1" spans="1:23">
      <c r="A1181" s="116"/>
      <c r="E1181" s="108"/>
      <c r="F1181" s="114"/>
      <c r="G1181" s="114"/>
      <c r="H1181" s="114"/>
      <c r="Q1181" s="44">
        <f>IF(数据录入!$B1181="",0,IF(OR(数据录入!$D1181="投标保证金",数据录入!$D1181="合同履约保证金",ISNUMBER(FIND("保证金",数据录入!$E1181))),1,0))</f>
      </c>
      <c r="R1181" s="44">
        <f>IF(AND($Q1181=1,数据录入!$B1181&gt;=$B$2,数据录入!$B1181&lt;=$D$2),N(R1180)+1,N(R1180))</f>
      </c>
    </row>
    <row r="1182" s="44" customFormat="1" spans="1:23">
      <c r="A1182" s="116"/>
      <c r="E1182" s="108"/>
      <c r="F1182" s="114"/>
      <c r="G1182" s="114"/>
      <c r="H1182" s="114"/>
      <c r="Q1182" s="44">
        <f>IF(数据录入!$B1182="",0,IF(OR(数据录入!$D1182="投标保证金",数据录入!$D1182="合同履约保证金",ISNUMBER(FIND("保证金",数据录入!$E1182))),1,0))</f>
      </c>
      <c r="R1182" s="44">
        <f>IF(AND($Q1182=1,数据录入!$B1182&gt;=$B$2,数据录入!$B1182&lt;=$D$2),N(R1181)+1,N(R1181))</f>
      </c>
    </row>
    <row r="1183" s="44" customFormat="1" spans="1:23">
      <c r="A1183" s="116"/>
      <c r="E1183" s="108"/>
      <c r="F1183" s="114"/>
      <c r="G1183" s="114"/>
      <c r="H1183" s="114"/>
      <c r="Q1183" s="44">
        <f>IF(数据录入!$B1183="",0,IF(OR(数据录入!$D1183="投标保证金",数据录入!$D1183="合同履约保证金",ISNUMBER(FIND("保证金",数据录入!$E1183))),1,0))</f>
      </c>
      <c r="R1183" s="44">
        <f>IF(AND($Q1183=1,数据录入!$B1183&gt;=$B$2,数据录入!$B1183&lt;=$D$2),N(R1182)+1,N(R1182))</f>
      </c>
    </row>
    <row r="1184" s="44" customFormat="1" spans="1:23">
      <c r="A1184" s="116"/>
      <c r="E1184" s="108"/>
      <c r="F1184" s="114"/>
      <c r="G1184" s="114"/>
      <c r="H1184" s="114"/>
      <c r="Q1184" s="44">
        <f>IF(数据录入!$B1184="",0,IF(OR(数据录入!$D1184="投标保证金",数据录入!$D1184="合同履约保证金",ISNUMBER(FIND("保证金",数据录入!$E1184))),1,0))</f>
      </c>
      <c r="R1184" s="44">
        <f>IF(AND($Q1184=1,数据录入!$B1184&gt;=$B$2,数据录入!$B1184&lt;=$D$2),N(R1183)+1,N(R1183))</f>
      </c>
    </row>
    <row r="1185" s="44" customFormat="1" spans="1:23">
      <c r="A1185" s="116"/>
      <c r="E1185" s="108"/>
      <c r="F1185" s="114"/>
      <c r="G1185" s="114"/>
      <c r="H1185" s="114"/>
      <c r="Q1185" s="44">
        <f>IF(数据录入!$B1185="",0,IF(OR(数据录入!$D1185="投标保证金",数据录入!$D1185="合同履约保证金",ISNUMBER(FIND("保证金",数据录入!$E1185))),1,0))</f>
      </c>
      <c r="R1185" s="44">
        <f>IF(AND($Q1185=1,数据录入!$B1185&gt;=$B$2,数据录入!$B1185&lt;=$D$2),N(R1184)+1,N(R1184))</f>
      </c>
    </row>
    <row r="1186" s="44" customFormat="1" spans="1:23">
      <c r="A1186" s="116"/>
      <c r="E1186" s="108"/>
      <c r="F1186" s="114"/>
      <c r="G1186" s="114"/>
      <c r="H1186" s="114"/>
      <c r="Q1186" s="44">
        <f>IF(数据录入!$B1186="",0,IF(OR(数据录入!$D1186="投标保证金",数据录入!$D1186="合同履约保证金",ISNUMBER(FIND("保证金",数据录入!$E1186))),1,0))</f>
      </c>
      <c r="R1186" s="44">
        <f>IF(AND($Q1186=1,数据录入!$B1186&gt;=$B$2,数据录入!$B1186&lt;=$D$2),N(R1185)+1,N(R1185))</f>
      </c>
    </row>
    <row r="1187" s="44" customFormat="1" spans="1:23">
      <c r="A1187" s="116"/>
      <c r="E1187" s="108"/>
      <c r="F1187" s="114"/>
      <c r="G1187" s="114"/>
      <c r="H1187" s="114"/>
      <c r="Q1187" s="44">
        <f>IF(数据录入!$B1187="",0,IF(OR(数据录入!$D1187="投标保证金",数据录入!$D1187="合同履约保证金",ISNUMBER(FIND("保证金",数据录入!$E1187))),1,0))</f>
      </c>
      <c r="R1187" s="44">
        <f>IF(AND($Q1187=1,数据录入!$B1187&gt;=$B$2,数据录入!$B1187&lt;=$D$2),N(R1186)+1,N(R1186))</f>
      </c>
    </row>
    <row r="1188" s="44" customFormat="1" spans="1:23">
      <c r="A1188" s="116"/>
      <c r="E1188" s="108"/>
      <c r="F1188" s="114"/>
      <c r="G1188" s="114"/>
      <c r="H1188" s="114"/>
      <c r="Q1188" s="44">
        <f>IF(数据录入!$B1188="",0,IF(OR(数据录入!$D1188="投标保证金",数据录入!$D1188="合同履约保证金",ISNUMBER(FIND("保证金",数据录入!$E1188))),1,0))</f>
      </c>
      <c r="R1188" s="44">
        <f>IF(AND($Q1188=1,数据录入!$B1188&gt;=$B$2,数据录入!$B1188&lt;=$D$2),N(R1187)+1,N(R1187))</f>
      </c>
    </row>
    <row r="1189" s="44" customFormat="1" spans="1:23">
      <c r="A1189" s="116"/>
      <c r="E1189" s="108"/>
      <c r="F1189" s="114"/>
      <c r="G1189" s="114"/>
      <c r="H1189" s="114"/>
      <c r="Q1189" s="44">
        <f>IF(数据录入!$B1189="",0,IF(OR(数据录入!$D1189="投标保证金",数据录入!$D1189="合同履约保证金",ISNUMBER(FIND("保证金",数据录入!$E1189))),1,0))</f>
      </c>
      <c r="R1189" s="44">
        <f>IF(AND($Q1189=1,数据录入!$B1189&gt;=$B$2,数据录入!$B1189&lt;=$D$2),N(R1188)+1,N(R1188))</f>
      </c>
    </row>
    <row r="1190" s="44" customFormat="1" spans="1:23">
      <c r="A1190" s="116"/>
      <c r="E1190" s="108"/>
      <c r="F1190" s="114"/>
      <c r="G1190" s="114"/>
      <c r="H1190" s="114"/>
      <c r="Q1190" s="44">
        <f>IF(数据录入!$B1190="",0,IF(OR(数据录入!$D1190="投标保证金",数据录入!$D1190="合同履约保证金",ISNUMBER(FIND("保证金",数据录入!$E1190))),1,0))</f>
      </c>
      <c r="R1190" s="44">
        <f>IF(AND($Q1190=1,数据录入!$B1190&gt;=$B$2,数据录入!$B1190&lt;=$D$2),N(R1189)+1,N(R1189))</f>
      </c>
    </row>
    <row r="1191" s="44" customFormat="1" spans="1:23">
      <c r="A1191" s="116"/>
      <c r="E1191" s="108"/>
      <c r="F1191" s="114"/>
      <c r="G1191" s="114"/>
      <c r="H1191" s="114"/>
      <c r="Q1191" s="44">
        <f>IF(数据录入!$B1191="",0,IF(OR(数据录入!$D1191="投标保证金",数据录入!$D1191="合同履约保证金",ISNUMBER(FIND("保证金",数据录入!$E1191))),1,0))</f>
      </c>
      <c r="R1191" s="44">
        <f>IF(AND($Q1191=1,数据录入!$B1191&gt;=$B$2,数据录入!$B1191&lt;=$D$2),N(R1190)+1,N(R1190))</f>
      </c>
    </row>
    <row r="1192" s="44" customFormat="1" spans="1:23">
      <c r="A1192" s="116"/>
      <c r="E1192" s="108"/>
      <c r="F1192" s="114"/>
      <c r="G1192" s="114"/>
      <c r="H1192" s="114"/>
      <c r="Q1192" s="44">
        <f>IF(数据录入!$B1192="",0,IF(OR(数据录入!$D1192="投标保证金",数据录入!$D1192="合同履约保证金",ISNUMBER(FIND("保证金",数据录入!$E1192))),1,0))</f>
      </c>
      <c r="R1192" s="44">
        <f>IF(AND($Q1192=1,数据录入!$B1192&gt;=$B$2,数据录入!$B1192&lt;=$D$2),N(R1191)+1,N(R1191))</f>
      </c>
    </row>
    <row r="1193" s="44" customFormat="1" spans="1:23">
      <c r="A1193" s="116"/>
      <c r="E1193" s="108"/>
      <c r="F1193" s="114"/>
      <c r="G1193" s="114"/>
      <c r="H1193" s="114"/>
      <c r="Q1193" s="44">
        <f>IF(数据录入!$B1193="",0,IF(OR(数据录入!$D1193="投标保证金",数据录入!$D1193="合同履约保证金",ISNUMBER(FIND("保证金",数据录入!$E1193))),1,0))</f>
      </c>
      <c r="R1193" s="44">
        <f>IF(AND($Q1193=1,数据录入!$B1193&gt;=$B$2,数据录入!$B1193&lt;=$D$2),N(R1192)+1,N(R1192))</f>
      </c>
    </row>
    <row r="1194" s="44" customFormat="1" spans="1:23">
      <c r="A1194" s="116"/>
      <c r="E1194" s="108"/>
      <c r="F1194" s="114"/>
      <c r="G1194" s="114"/>
      <c r="H1194" s="114"/>
      <c r="Q1194" s="44">
        <f>IF(数据录入!$B1194="",0,IF(OR(数据录入!$D1194="投标保证金",数据录入!$D1194="合同履约保证金",ISNUMBER(FIND("保证金",数据录入!$E1194))),1,0))</f>
      </c>
      <c r="R1194" s="44">
        <f>IF(AND($Q1194=1,数据录入!$B1194&gt;=$B$2,数据录入!$B1194&lt;=$D$2),N(R1193)+1,N(R1193))</f>
      </c>
    </row>
    <row r="1195" s="44" customFormat="1" spans="1:23">
      <c r="A1195" s="116"/>
      <c r="E1195" s="108"/>
      <c r="F1195" s="114"/>
      <c r="G1195" s="114"/>
      <c r="H1195" s="114"/>
      <c r="Q1195" s="44">
        <f>IF(数据录入!$B1195="",0,IF(OR(数据录入!$D1195="投标保证金",数据录入!$D1195="合同履约保证金",ISNUMBER(FIND("保证金",数据录入!$E1195))),1,0))</f>
      </c>
      <c r="R1195" s="44">
        <f>IF(AND($Q1195=1,数据录入!$B1195&gt;=$B$2,数据录入!$B1195&lt;=$D$2),N(R1194)+1,N(R1194))</f>
      </c>
    </row>
    <row r="1196" s="44" customFormat="1" spans="1:23">
      <c r="A1196" s="116"/>
      <c r="E1196" s="108"/>
      <c r="F1196" s="114"/>
      <c r="G1196" s="114"/>
      <c r="H1196" s="114"/>
      <c r="Q1196" s="44">
        <f>IF(数据录入!$B1196="",0,IF(OR(数据录入!$D1196="投标保证金",数据录入!$D1196="合同履约保证金",ISNUMBER(FIND("保证金",数据录入!$E1196))),1,0))</f>
      </c>
      <c r="R1196" s="44">
        <f>IF(AND($Q1196=1,数据录入!$B1196&gt;=$B$2,数据录入!$B1196&lt;=$D$2),N(R1195)+1,N(R1195))</f>
      </c>
    </row>
    <row r="1197" s="44" customFormat="1" spans="1:23">
      <c r="A1197" s="116"/>
      <c r="E1197" s="108"/>
      <c r="F1197" s="114"/>
      <c r="G1197" s="114"/>
      <c r="H1197" s="114"/>
      <c r="Q1197" s="44">
        <f>IF(数据录入!$B1197="",0,IF(OR(数据录入!$D1197="投标保证金",数据录入!$D1197="合同履约保证金",ISNUMBER(FIND("保证金",数据录入!$E1197))),1,0))</f>
      </c>
      <c r="R1197" s="44">
        <f>IF(AND($Q1197=1,数据录入!$B1197&gt;=$B$2,数据录入!$B1197&lt;=$D$2),N(R1196)+1,N(R1196))</f>
      </c>
    </row>
    <row r="1198" s="44" customFormat="1" spans="1:23">
      <c r="A1198" s="116"/>
      <c r="E1198" s="108"/>
      <c r="F1198" s="114"/>
      <c r="G1198" s="114"/>
      <c r="H1198" s="114"/>
      <c r="Q1198" s="44">
        <f>IF(数据录入!$B1198="",0,IF(OR(数据录入!$D1198="投标保证金",数据录入!$D1198="合同履约保证金",ISNUMBER(FIND("保证金",数据录入!$E1198))),1,0))</f>
      </c>
      <c r="R1198" s="44">
        <f>IF(AND($Q1198=1,数据录入!$B1198&gt;=$B$2,数据录入!$B1198&lt;=$D$2),N(R1197)+1,N(R1197))</f>
      </c>
    </row>
    <row r="1199" s="44" customFormat="1" spans="1:23">
      <c r="A1199" s="116"/>
      <c r="E1199" s="108"/>
      <c r="F1199" s="114"/>
      <c r="G1199" s="114"/>
      <c r="H1199" s="114"/>
      <c r="Q1199" s="44">
        <f>IF(数据录入!$B1199="",0,IF(OR(数据录入!$D1199="投标保证金",数据录入!$D1199="合同履约保证金",ISNUMBER(FIND("保证金",数据录入!$E1199))),1,0))</f>
      </c>
      <c r="R1199" s="44">
        <f>IF(AND($Q1199=1,数据录入!$B1199&gt;=$B$2,数据录入!$B1199&lt;=$D$2),N(R1198)+1,N(R1198))</f>
      </c>
    </row>
    <row r="1200" s="44" customFormat="1" spans="1:23">
      <c r="A1200" s="116"/>
      <c r="E1200" s="108"/>
      <c r="F1200" s="114"/>
      <c r="G1200" s="114"/>
      <c r="H1200" s="114"/>
      <c r="Q1200" s="44">
        <f>IF(数据录入!$B1200="",0,IF(OR(数据录入!$D1200="投标保证金",数据录入!$D1200="合同履约保证金",ISNUMBER(FIND("保证金",数据录入!$E1200))),1,0))</f>
      </c>
      <c r="R1200" s="44">
        <f>IF(AND($Q1200=1,数据录入!$B1200&gt;=$B$2,数据录入!$B1200&lt;=$D$2),N(R1199)+1,N(R1199))</f>
      </c>
    </row>
    <row r="1201" s="44" customFormat="1" spans="1:23">
      <c r="A1201" s="116"/>
      <c r="E1201" s="108"/>
      <c r="F1201" s="114"/>
      <c r="G1201" s="114"/>
      <c r="H1201" s="114"/>
      <c r="Q1201" s="44">
        <f>IF(数据录入!$B1201="",0,IF(OR(数据录入!$D1201="投标保证金",数据录入!$D1201="合同履约保证金",ISNUMBER(FIND("保证金",数据录入!$E1201))),1,0))</f>
      </c>
      <c r="R1201" s="44">
        <f>IF(AND($Q1201=1,数据录入!$B1201&gt;=$B$2,数据录入!$B1201&lt;=$D$2),N(R1200)+1,N(R1200))</f>
      </c>
    </row>
    <row r="1202" s="44" customFormat="1" spans="1:23">
      <c r="A1202" s="116"/>
      <c r="E1202" s="108"/>
      <c r="F1202" s="114"/>
      <c r="G1202" s="114"/>
      <c r="H1202" s="114"/>
      <c r="Q1202" s="44">
        <f>IF(数据录入!$B1202="",0,IF(OR(数据录入!$D1202="投标保证金",数据录入!$D1202="合同履约保证金",ISNUMBER(FIND("保证金",数据录入!$E1202))),1,0))</f>
      </c>
      <c r="R1202" s="44">
        <f>IF(AND($Q1202=1,数据录入!$B1202&gt;=$B$2,数据录入!$B1202&lt;=$D$2),N(R1201)+1,N(R1201))</f>
      </c>
    </row>
    <row r="1203" s="44" customFormat="1" spans="1:23">
      <c r="A1203" s="116"/>
      <c r="E1203" s="108"/>
      <c r="F1203" s="114"/>
      <c r="G1203" s="114"/>
      <c r="H1203" s="114"/>
      <c r="Q1203" s="44">
        <f>IF(数据录入!$B1203="",0,IF(OR(数据录入!$D1203="投标保证金",数据录入!$D1203="合同履约保证金",ISNUMBER(FIND("保证金",数据录入!$E1203))),1,0))</f>
      </c>
      <c r="R1203" s="44">
        <f>IF(AND($Q1203=1,数据录入!$B1203&gt;=$B$2,数据录入!$B1203&lt;=$D$2),N(R1202)+1,N(R1202))</f>
      </c>
    </row>
    <row r="1204" s="44" customFormat="1" spans="1:23">
      <c r="A1204" s="116"/>
      <c r="E1204" s="108"/>
      <c r="F1204" s="114"/>
      <c r="G1204" s="114"/>
      <c r="H1204" s="114"/>
      <c r="Q1204" s="44">
        <f>IF(数据录入!$B1204="",0,IF(OR(数据录入!$D1204="投标保证金",数据录入!$D1204="合同履约保证金",ISNUMBER(FIND("保证金",数据录入!$E1204))),1,0))</f>
      </c>
      <c r="R1204" s="44">
        <f>IF(AND($Q1204=1,数据录入!$B1204&gt;=$B$2,数据录入!$B1204&lt;=$D$2),N(R1203)+1,N(R1203))</f>
      </c>
    </row>
    <row r="1205" s="44" customFormat="1" spans="1:23">
      <c r="A1205" s="116"/>
      <c r="E1205" s="108"/>
      <c r="F1205" s="114"/>
      <c r="G1205" s="114"/>
      <c r="H1205" s="114"/>
      <c r="Q1205" s="44">
        <f>IF(数据录入!$B1205="",0,IF(OR(数据录入!$D1205="投标保证金",数据录入!$D1205="合同履约保证金",ISNUMBER(FIND("保证金",数据录入!$E1205))),1,0))</f>
      </c>
      <c r="R1205" s="44">
        <f>IF(AND($Q1205=1,数据录入!$B1205&gt;=$B$2,数据录入!$B1205&lt;=$D$2),N(R1204)+1,N(R1204))</f>
      </c>
    </row>
    <row r="1206" s="44" customFormat="1" spans="1:23">
      <c r="A1206" s="116"/>
      <c r="E1206" s="108"/>
      <c r="F1206" s="114"/>
      <c r="G1206" s="114"/>
      <c r="H1206" s="114"/>
      <c r="Q1206" s="44">
        <f>IF(数据录入!$B1206="",0,IF(OR(数据录入!$D1206="投标保证金",数据录入!$D1206="合同履约保证金",ISNUMBER(FIND("保证金",数据录入!$E1206))),1,0))</f>
      </c>
      <c r="R1206" s="44">
        <f>IF(AND($Q1206=1,数据录入!$B1206&gt;=$B$2,数据录入!$B1206&lt;=$D$2),N(R1205)+1,N(R1205))</f>
      </c>
    </row>
    <row r="1207" s="44" customFormat="1" spans="1:23">
      <c r="A1207" s="116"/>
      <c r="E1207" s="108"/>
      <c r="F1207" s="114"/>
      <c r="G1207" s="114"/>
      <c r="H1207" s="114"/>
      <c r="Q1207" s="44">
        <f>IF(数据录入!$B1207="",0,IF(OR(数据录入!$D1207="投标保证金",数据录入!$D1207="合同履约保证金",ISNUMBER(FIND("保证金",数据录入!$E1207))),1,0))</f>
      </c>
      <c r="R1207" s="44">
        <f>IF(AND($Q1207=1,数据录入!$B1207&gt;=$B$2,数据录入!$B1207&lt;=$D$2),N(R1206)+1,N(R1206))</f>
      </c>
    </row>
    <row r="1208" s="44" customFormat="1" spans="1:23">
      <c r="A1208" s="116"/>
      <c r="E1208" s="108"/>
      <c r="F1208" s="114"/>
      <c r="G1208" s="114"/>
      <c r="H1208" s="114"/>
      <c r="Q1208" s="44">
        <f>IF(数据录入!$B1208="",0,IF(OR(数据录入!$D1208="投标保证金",数据录入!$D1208="合同履约保证金",ISNUMBER(FIND("保证金",数据录入!$E1208))),1,0))</f>
      </c>
      <c r="R1208" s="44">
        <f>IF(AND($Q1208=1,数据录入!$B1208&gt;=$B$2,数据录入!$B1208&lt;=$D$2),N(R1207)+1,N(R1207))</f>
      </c>
    </row>
    <row r="1209" s="44" customFormat="1" spans="1:23">
      <c r="A1209" s="116"/>
      <c r="E1209" s="108"/>
      <c r="F1209" s="114"/>
      <c r="G1209" s="114"/>
      <c r="H1209" s="114"/>
      <c r="Q1209" s="44">
        <f>IF(数据录入!$B1209="",0,IF(OR(数据录入!$D1209="投标保证金",数据录入!$D1209="合同履约保证金",ISNUMBER(FIND("保证金",数据录入!$E1209))),1,0))</f>
      </c>
      <c r="R1209" s="44">
        <f>IF(AND($Q1209=1,数据录入!$B1209&gt;=$B$2,数据录入!$B1209&lt;=$D$2),N(R1208)+1,N(R1208))</f>
      </c>
    </row>
    <row r="1210" s="44" customFormat="1" spans="1:23">
      <c r="A1210" s="116"/>
      <c r="E1210" s="108"/>
      <c r="F1210" s="114"/>
      <c r="G1210" s="114"/>
      <c r="H1210" s="114"/>
      <c r="Q1210" s="44">
        <f>IF(数据录入!$B1210="",0,IF(OR(数据录入!$D1210="投标保证金",数据录入!$D1210="合同履约保证金",ISNUMBER(FIND("保证金",数据录入!$E1210))),1,0))</f>
      </c>
      <c r="R1210" s="44">
        <f>IF(AND($Q1210=1,数据录入!$B1210&gt;=$B$2,数据录入!$B1210&lt;=$D$2),N(R1209)+1,N(R1209))</f>
      </c>
    </row>
    <row r="1211" s="44" customFormat="1" spans="1:23">
      <c r="A1211" s="116"/>
      <c r="E1211" s="108"/>
      <c r="F1211" s="114"/>
      <c r="G1211" s="114"/>
      <c r="H1211" s="114"/>
      <c r="Q1211" s="44">
        <f>IF(数据录入!$B1211="",0,IF(OR(数据录入!$D1211="投标保证金",数据录入!$D1211="合同履约保证金",ISNUMBER(FIND("保证金",数据录入!$E1211))),1,0))</f>
      </c>
      <c r="R1211" s="44">
        <f>IF(AND($Q1211=1,数据录入!$B1211&gt;=$B$2,数据录入!$B1211&lt;=$D$2),N(R1210)+1,N(R1210))</f>
      </c>
    </row>
    <row r="1212" s="44" customFormat="1" spans="1:23">
      <c r="A1212" s="116"/>
      <c r="E1212" s="108"/>
      <c r="F1212" s="114"/>
      <c r="G1212" s="114"/>
      <c r="H1212" s="114"/>
      <c r="Q1212" s="44">
        <f>IF(数据录入!$B1212="",0,IF(OR(数据录入!$D1212="投标保证金",数据录入!$D1212="合同履约保证金",ISNUMBER(FIND("保证金",数据录入!$E1212))),1,0))</f>
      </c>
      <c r="R1212" s="44">
        <f>IF(AND($Q1212=1,数据录入!$B1212&gt;=$B$2,数据录入!$B1212&lt;=$D$2),N(R1211)+1,N(R1211))</f>
      </c>
    </row>
    <row r="1213" s="44" customFormat="1" spans="1:23">
      <c r="A1213" s="116"/>
      <c r="E1213" s="108"/>
      <c r="F1213" s="114"/>
      <c r="G1213" s="114"/>
      <c r="H1213" s="114"/>
      <c r="Q1213" s="44">
        <f>IF(数据录入!$B1213="",0,IF(OR(数据录入!$D1213="投标保证金",数据录入!$D1213="合同履约保证金",ISNUMBER(FIND("保证金",数据录入!$E1213))),1,0))</f>
      </c>
      <c r="R1213" s="44">
        <f>IF(AND($Q1213=1,数据录入!$B1213&gt;=$B$2,数据录入!$B1213&lt;=$D$2),N(R1212)+1,N(R1212))</f>
      </c>
    </row>
    <row r="1214" s="44" customFormat="1" spans="1:23">
      <c r="A1214" s="116"/>
      <c r="E1214" s="108"/>
      <c r="F1214" s="114"/>
      <c r="G1214" s="114"/>
      <c r="H1214" s="114"/>
      <c r="Q1214" s="44">
        <f>IF(数据录入!$B1214="",0,IF(OR(数据录入!$D1214="投标保证金",数据录入!$D1214="合同履约保证金",ISNUMBER(FIND("保证金",数据录入!$E1214))),1,0))</f>
      </c>
      <c r="R1214" s="44">
        <f>IF(AND($Q1214=1,数据录入!$B1214&gt;=$B$2,数据录入!$B1214&lt;=$D$2),N(R1213)+1,N(R1213))</f>
      </c>
    </row>
    <row r="1215" s="44" customFormat="1" spans="1:23">
      <c r="A1215" s="116"/>
      <c r="E1215" s="108"/>
      <c r="F1215" s="114"/>
      <c r="G1215" s="114"/>
      <c r="H1215" s="114"/>
      <c r="Q1215" s="44">
        <f>IF(数据录入!$B1215="",0,IF(OR(数据录入!$D1215="投标保证金",数据录入!$D1215="合同履约保证金",ISNUMBER(FIND("保证金",数据录入!$E1215))),1,0))</f>
      </c>
      <c r="R1215" s="44">
        <f>IF(AND($Q1215=1,数据录入!$B1215&gt;=$B$2,数据录入!$B1215&lt;=$D$2),N(R1214)+1,N(R1214))</f>
      </c>
    </row>
    <row r="1216" s="44" customFormat="1" spans="1:23">
      <c r="A1216" s="116"/>
      <c r="E1216" s="108"/>
      <c r="F1216" s="114"/>
      <c r="G1216" s="114"/>
      <c r="H1216" s="114"/>
      <c r="Q1216" s="44">
        <f>IF(数据录入!$B1216="",0,IF(OR(数据录入!$D1216="投标保证金",数据录入!$D1216="合同履约保证金",ISNUMBER(FIND("保证金",数据录入!$E1216))),1,0))</f>
      </c>
      <c r="R1216" s="44">
        <f>IF(AND($Q1216=1,数据录入!$B1216&gt;=$B$2,数据录入!$B1216&lt;=$D$2),N(R1215)+1,N(R1215))</f>
      </c>
    </row>
    <row r="1217" s="44" customFormat="1" spans="1:23">
      <c r="A1217" s="116"/>
      <c r="E1217" s="108"/>
      <c r="F1217" s="114"/>
      <c r="G1217" s="114"/>
      <c r="H1217" s="114"/>
      <c r="Q1217" s="44">
        <f>IF(数据录入!$B1217="",0,IF(OR(数据录入!$D1217="投标保证金",数据录入!$D1217="合同履约保证金",ISNUMBER(FIND("保证金",数据录入!$E1217))),1,0))</f>
      </c>
      <c r="R1217" s="44">
        <f>IF(AND($Q1217=1,数据录入!$B1217&gt;=$B$2,数据录入!$B1217&lt;=$D$2),N(R1216)+1,N(R1216))</f>
      </c>
    </row>
    <row r="1218" s="44" customFormat="1" spans="1:23">
      <c r="A1218" s="116"/>
      <c r="E1218" s="108"/>
      <c r="F1218" s="114"/>
      <c r="G1218" s="114"/>
      <c r="H1218" s="114"/>
      <c r="Q1218" s="44">
        <f>IF(数据录入!$B1218="",0,IF(OR(数据录入!$D1218="投标保证金",数据录入!$D1218="合同履约保证金",ISNUMBER(FIND("保证金",数据录入!$E1218))),1,0))</f>
      </c>
      <c r="R1218" s="44">
        <f>IF(AND($Q1218=1,数据录入!$B1218&gt;=$B$2,数据录入!$B1218&lt;=$D$2),N(R1217)+1,N(R1217))</f>
      </c>
    </row>
    <row r="1219" s="44" customFormat="1" spans="1:23">
      <c r="A1219" s="116"/>
      <c r="E1219" s="108"/>
      <c r="F1219" s="114"/>
      <c r="G1219" s="114"/>
      <c r="H1219" s="114"/>
      <c r="Q1219" s="44">
        <f>IF(数据录入!$B1219="",0,IF(OR(数据录入!$D1219="投标保证金",数据录入!$D1219="合同履约保证金",ISNUMBER(FIND("保证金",数据录入!$E1219))),1,0))</f>
      </c>
      <c r="R1219" s="44">
        <f>IF(AND($Q1219=1,数据录入!$B1219&gt;=$B$2,数据录入!$B1219&lt;=$D$2),N(R1218)+1,N(R1218))</f>
      </c>
    </row>
    <row r="1220" s="44" customFormat="1" spans="1:23">
      <c r="A1220" s="116"/>
      <c r="E1220" s="108"/>
      <c r="F1220" s="114"/>
      <c r="G1220" s="114"/>
      <c r="H1220" s="114"/>
      <c r="Q1220" s="44">
        <f>IF(数据录入!$B1220="",0,IF(OR(数据录入!$D1220="投标保证金",数据录入!$D1220="合同履约保证金",ISNUMBER(FIND("保证金",数据录入!$E1220))),1,0))</f>
      </c>
      <c r="R1220" s="44">
        <f>IF(AND($Q1220=1,数据录入!$B1220&gt;=$B$2,数据录入!$B1220&lt;=$D$2),N(R1219)+1,N(R1219))</f>
      </c>
    </row>
    <row r="1221" s="44" customFormat="1" spans="1:23">
      <c r="A1221" s="116"/>
      <c r="E1221" s="108"/>
      <c r="F1221" s="114"/>
      <c r="G1221" s="114"/>
      <c r="H1221" s="114"/>
      <c r="Q1221" s="44">
        <f>IF(数据录入!$B1221="",0,IF(OR(数据录入!$D1221="投标保证金",数据录入!$D1221="合同履约保证金",ISNUMBER(FIND("保证金",数据录入!$E1221))),1,0))</f>
      </c>
      <c r="R1221" s="44">
        <f>IF(AND($Q1221=1,数据录入!$B1221&gt;=$B$2,数据录入!$B1221&lt;=$D$2),N(R1220)+1,N(R1220))</f>
      </c>
    </row>
    <row r="1222" s="44" customFormat="1" spans="1:23">
      <c r="A1222" s="116"/>
      <c r="E1222" s="108"/>
      <c r="F1222" s="114"/>
      <c r="G1222" s="114"/>
      <c r="H1222" s="114"/>
      <c r="Q1222" s="44">
        <f>IF(数据录入!$B1222="",0,IF(OR(数据录入!$D1222="投标保证金",数据录入!$D1222="合同履约保证金",ISNUMBER(FIND("保证金",数据录入!$E1222))),1,0))</f>
      </c>
      <c r="R1222" s="44">
        <f>IF(AND($Q1222=1,数据录入!$B1222&gt;=$B$2,数据录入!$B1222&lt;=$D$2),N(R1221)+1,N(R1221))</f>
      </c>
    </row>
    <row r="1223" s="44" customFormat="1" spans="1:23">
      <c r="A1223" s="116"/>
      <c r="E1223" s="108"/>
      <c r="F1223" s="114"/>
      <c r="G1223" s="114"/>
      <c r="H1223" s="114"/>
      <c r="Q1223" s="44">
        <f>IF(数据录入!$B1223="",0,IF(OR(数据录入!$D1223="投标保证金",数据录入!$D1223="合同履约保证金",ISNUMBER(FIND("保证金",数据录入!$E1223))),1,0))</f>
      </c>
      <c r="R1223" s="44">
        <f>IF(AND($Q1223=1,数据录入!$B1223&gt;=$B$2,数据录入!$B1223&lt;=$D$2),N(R1222)+1,N(R1222))</f>
      </c>
    </row>
    <row r="1224" s="44" customFormat="1" spans="1:23">
      <c r="A1224" s="116"/>
      <c r="E1224" s="108"/>
      <c r="F1224" s="114"/>
      <c r="G1224" s="114"/>
      <c r="H1224" s="114"/>
      <c r="Q1224" s="44">
        <f>IF(数据录入!$B1224="",0,IF(OR(数据录入!$D1224="投标保证金",数据录入!$D1224="合同履约保证金",ISNUMBER(FIND("保证金",数据录入!$E1224))),1,0))</f>
      </c>
      <c r="R1224" s="44">
        <f>IF(AND($Q1224=1,数据录入!$B1224&gt;=$B$2,数据录入!$B1224&lt;=$D$2),N(R1223)+1,N(R1223))</f>
      </c>
    </row>
    <row r="1225" s="44" customFormat="1" spans="1:23">
      <c r="A1225" s="116"/>
      <c r="E1225" s="108"/>
      <c r="F1225" s="114"/>
      <c r="G1225" s="114"/>
      <c r="H1225" s="114"/>
      <c r="Q1225" s="44">
        <f>IF(数据录入!$B1225="",0,IF(OR(数据录入!$D1225="投标保证金",数据录入!$D1225="合同履约保证金",ISNUMBER(FIND("保证金",数据录入!$E1225))),1,0))</f>
      </c>
      <c r="R1225" s="44">
        <f>IF(AND($Q1225=1,数据录入!$B1225&gt;=$B$2,数据录入!$B1225&lt;=$D$2),N(R1224)+1,N(R1224))</f>
      </c>
    </row>
    <row r="1226" s="44" customFormat="1" spans="1:23">
      <c r="A1226" s="116"/>
      <c r="E1226" s="108"/>
      <c r="F1226" s="114"/>
      <c r="G1226" s="114"/>
      <c r="H1226" s="114"/>
      <c r="Q1226" s="44">
        <f>IF(数据录入!$B1226="",0,IF(OR(数据录入!$D1226="投标保证金",数据录入!$D1226="合同履约保证金",ISNUMBER(FIND("保证金",数据录入!$E1226))),1,0))</f>
      </c>
      <c r="R1226" s="44">
        <f>IF(AND($Q1226=1,数据录入!$B1226&gt;=$B$2,数据录入!$B1226&lt;=$D$2),N(R1225)+1,N(R1225))</f>
      </c>
    </row>
    <row r="1227" s="44" customFormat="1" spans="1:23">
      <c r="A1227" s="116"/>
      <c r="E1227" s="108"/>
      <c r="F1227" s="114"/>
      <c r="G1227" s="114"/>
      <c r="H1227" s="114"/>
      <c r="Q1227" s="44">
        <f>IF(数据录入!$B1227="",0,IF(OR(数据录入!$D1227="投标保证金",数据录入!$D1227="合同履约保证金",ISNUMBER(FIND("保证金",数据录入!$E1227))),1,0))</f>
      </c>
      <c r="R1227" s="44">
        <f>IF(AND($Q1227=1,数据录入!$B1227&gt;=$B$2,数据录入!$B1227&lt;=$D$2),N(R1226)+1,N(R1226))</f>
      </c>
    </row>
    <row r="1228" s="44" customFormat="1" spans="1:23">
      <c r="A1228" s="116"/>
      <c r="E1228" s="108"/>
      <c r="F1228" s="114"/>
      <c r="G1228" s="114"/>
      <c r="H1228" s="114"/>
      <c r="Q1228" s="44">
        <f>IF(数据录入!$B1228="",0,IF(OR(数据录入!$D1228="投标保证金",数据录入!$D1228="合同履约保证金",ISNUMBER(FIND("保证金",数据录入!$E1228))),1,0))</f>
      </c>
      <c r="R1228" s="44">
        <f>IF(AND($Q1228=1,数据录入!$B1228&gt;=$B$2,数据录入!$B1228&lt;=$D$2),N(R1227)+1,N(R1227))</f>
      </c>
    </row>
    <row r="1229" s="44" customFormat="1" spans="1:23">
      <c r="A1229" s="116"/>
      <c r="E1229" s="108"/>
      <c r="F1229" s="114"/>
      <c r="G1229" s="114"/>
      <c r="H1229" s="114"/>
      <c r="Q1229" s="44">
        <f>IF(数据录入!$B1229="",0,IF(OR(数据录入!$D1229="投标保证金",数据录入!$D1229="合同履约保证金",ISNUMBER(FIND("保证金",数据录入!$E1229))),1,0))</f>
      </c>
      <c r="R1229" s="44">
        <f>IF(AND($Q1229=1,数据录入!$B1229&gt;=$B$2,数据录入!$B1229&lt;=$D$2),N(R1228)+1,N(R1228))</f>
      </c>
    </row>
    <row r="1230" s="44" customFormat="1" spans="1:23">
      <c r="A1230" s="116"/>
      <c r="E1230" s="108"/>
      <c r="F1230" s="114"/>
      <c r="G1230" s="114"/>
      <c r="H1230" s="114"/>
      <c r="Q1230" s="44">
        <f>IF(数据录入!$B1230="",0,IF(OR(数据录入!$D1230="投标保证金",数据录入!$D1230="合同履约保证金",ISNUMBER(FIND("保证金",数据录入!$E1230))),1,0))</f>
      </c>
      <c r="R1230" s="44">
        <f>IF(AND($Q1230=1,数据录入!$B1230&gt;=$B$2,数据录入!$B1230&lt;=$D$2),N(R1229)+1,N(R1229))</f>
      </c>
    </row>
    <row r="1231" s="44" customFormat="1" spans="1:23">
      <c r="A1231" s="116"/>
      <c r="E1231" s="108"/>
      <c r="F1231" s="114"/>
      <c r="G1231" s="114"/>
      <c r="H1231" s="114"/>
      <c r="Q1231" s="44">
        <f>IF(数据录入!$B1231="",0,IF(OR(数据录入!$D1231="投标保证金",数据录入!$D1231="合同履约保证金",ISNUMBER(FIND("保证金",数据录入!$E1231))),1,0))</f>
      </c>
      <c r="R1231" s="44">
        <f>IF(AND($Q1231=1,数据录入!$B1231&gt;=$B$2,数据录入!$B1231&lt;=$D$2),N(R1230)+1,N(R1230))</f>
      </c>
    </row>
    <row r="1232" s="44" customFormat="1" spans="1:23">
      <c r="A1232" s="116"/>
      <c r="E1232" s="108"/>
      <c r="F1232" s="114"/>
      <c r="G1232" s="114"/>
      <c r="H1232" s="114"/>
      <c r="Q1232" s="44">
        <f>IF(数据录入!$B1232="",0,IF(OR(数据录入!$D1232="投标保证金",数据录入!$D1232="合同履约保证金",ISNUMBER(FIND("保证金",数据录入!$E1232))),1,0))</f>
      </c>
      <c r="R1232" s="44">
        <f>IF(AND($Q1232=1,数据录入!$B1232&gt;=$B$2,数据录入!$B1232&lt;=$D$2),N(R1231)+1,N(R1231))</f>
      </c>
    </row>
    <row r="1233" s="44" customFormat="1" spans="1:23">
      <c r="A1233" s="116"/>
      <c r="E1233" s="108"/>
      <c r="F1233" s="114"/>
      <c r="G1233" s="114"/>
      <c r="H1233" s="114"/>
      <c r="Q1233" s="44">
        <f>IF(数据录入!$B1233="",0,IF(OR(数据录入!$D1233="投标保证金",数据录入!$D1233="合同履约保证金",ISNUMBER(FIND("保证金",数据录入!$E1233))),1,0))</f>
      </c>
      <c r="R1233" s="44">
        <f>IF(AND($Q1233=1,数据录入!$B1233&gt;=$B$2,数据录入!$B1233&lt;=$D$2),N(R1232)+1,N(R1232))</f>
      </c>
    </row>
    <row r="1234" s="44" customFormat="1" spans="1:23">
      <c r="A1234" s="116"/>
      <c r="E1234" s="108"/>
      <c r="F1234" s="114"/>
      <c r="G1234" s="114"/>
      <c r="H1234" s="114"/>
      <c r="Q1234" s="44">
        <f>IF(数据录入!$B1234="",0,IF(OR(数据录入!$D1234="投标保证金",数据录入!$D1234="合同履约保证金",ISNUMBER(FIND("保证金",数据录入!$E1234))),1,0))</f>
      </c>
      <c r="R1234" s="44">
        <f>IF(AND($Q1234=1,数据录入!$B1234&gt;=$B$2,数据录入!$B1234&lt;=$D$2),N(R1233)+1,N(R1233))</f>
      </c>
    </row>
    <row r="1235" s="44" customFormat="1" spans="1:23">
      <c r="A1235" s="116"/>
      <c r="E1235" s="108"/>
      <c r="F1235" s="114"/>
      <c r="G1235" s="114"/>
      <c r="H1235" s="114"/>
      <c r="Q1235" s="44">
        <f>IF(数据录入!$B1235="",0,IF(OR(数据录入!$D1235="投标保证金",数据录入!$D1235="合同履约保证金",ISNUMBER(FIND("保证金",数据录入!$E1235))),1,0))</f>
      </c>
      <c r="R1235" s="44">
        <f>IF(AND($Q1235=1,数据录入!$B1235&gt;=$B$2,数据录入!$B1235&lt;=$D$2),N(R1234)+1,N(R1234))</f>
      </c>
    </row>
    <row r="1236" s="44" customFormat="1" spans="1:23">
      <c r="A1236" s="116"/>
      <c r="E1236" s="108"/>
      <c r="F1236" s="114"/>
      <c r="G1236" s="114"/>
      <c r="H1236" s="114"/>
      <c r="Q1236" s="44">
        <f>IF(数据录入!$B1236="",0,IF(OR(数据录入!$D1236="投标保证金",数据录入!$D1236="合同履约保证金",ISNUMBER(FIND("保证金",数据录入!$E1236))),1,0))</f>
      </c>
      <c r="R1236" s="44">
        <f>IF(AND($Q1236=1,数据录入!$B1236&gt;=$B$2,数据录入!$B1236&lt;=$D$2),N(R1235)+1,N(R1235))</f>
      </c>
    </row>
    <row r="1237" s="44" customFormat="1" spans="1:23">
      <c r="A1237" s="116"/>
      <c r="E1237" s="108"/>
      <c r="F1237" s="114"/>
      <c r="G1237" s="114"/>
      <c r="H1237" s="114"/>
      <c r="Q1237" s="44">
        <f>IF(数据录入!$B1237="",0,IF(OR(数据录入!$D1237="投标保证金",数据录入!$D1237="合同履约保证金",ISNUMBER(FIND("保证金",数据录入!$E1237))),1,0))</f>
      </c>
      <c r="R1237" s="44">
        <f>IF(AND($Q1237=1,数据录入!$B1237&gt;=$B$2,数据录入!$B1237&lt;=$D$2),N(R1236)+1,N(R1236))</f>
      </c>
    </row>
    <row r="1238" s="44" customFormat="1" spans="1:23">
      <c r="A1238" s="116"/>
      <c r="E1238" s="108"/>
      <c r="F1238" s="114"/>
      <c r="G1238" s="114"/>
      <c r="H1238" s="114"/>
      <c r="Q1238" s="44">
        <f>IF(数据录入!$B1238="",0,IF(OR(数据录入!$D1238="投标保证金",数据录入!$D1238="合同履约保证金",ISNUMBER(FIND("保证金",数据录入!$E1238))),1,0))</f>
      </c>
      <c r="R1238" s="44">
        <f>IF(AND($Q1238=1,数据录入!$B1238&gt;=$B$2,数据录入!$B1238&lt;=$D$2),N(R1237)+1,N(R1237))</f>
      </c>
    </row>
    <row r="1239" s="44" customFormat="1" spans="1:23">
      <c r="A1239" s="116"/>
      <c r="E1239" s="108"/>
      <c r="F1239" s="114"/>
      <c r="G1239" s="114"/>
      <c r="H1239" s="114"/>
      <c r="Q1239" s="44">
        <f>IF(数据录入!$B1239="",0,IF(OR(数据录入!$D1239="投标保证金",数据录入!$D1239="合同履约保证金",ISNUMBER(FIND("保证金",数据录入!$E1239))),1,0))</f>
      </c>
      <c r="R1239" s="44">
        <f>IF(AND($Q1239=1,数据录入!$B1239&gt;=$B$2,数据录入!$B1239&lt;=$D$2),N(R1238)+1,N(R1238))</f>
      </c>
    </row>
    <row r="1240" s="44" customFormat="1" spans="1:23">
      <c r="A1240" s="116"/>
      <c r="E1240" s="108"/>
      <c r="F1240" s="114"/>
      <c r="G1240" s="114"/>
      <c r="H1240" s="114"/>
      <c r="Q1240" s="44">
        <f>IF(数据录入!$B1240="",0,IF(OR(数据录入!$D1240="投标保证金",数据录入!$D1240="合同履约保证金",ISNUMBER(FIND("保证金",数据录入!$E1240))),1,0))</f>
      </c>
      <c r="R1240" s="44">
        <f>IF(AND($Q1240=1,数据录入!$B1240&gt;=$B$2,数据录入!$B1240&lt;=$D$2),N(R1239)+1,N(R1239))</f>
      </c>
    </row>
    <row r="1241" s="44" customFormat="1" spans="1:23">
      <c r="A1241" s="116"/>
      <c r="E1241" s="108"/>
      <c r="F1241" s="114"/>
      <c r="G1241" s="114"/>
      <c r="H1241" s="114"/>
      <c r="Q1241" s="44">
        <f>IF(数据录入!$B1241="",0,IF(OR(数据录入!$D1241="投标保证金",数据录入!$D1241="合同履约保证金",ISNUMBER(FIND("保证金",数据录入!$E1241))),1,0))</f>
      </c>
      <c r="R1241" s="44">
        <f>IF(AND($Q1241=1,数据录入!$B1241&gt;=$B$2,数据录入!$B1241&lt;=$D$2),N(R1240)+1,N(R1240))</f>
      </c>
    </row>
    <row r="1242" s="44" customFormat="1" spans="1:23">
      <c r="A1242" s="116"/>
      <c r="E1242" s="108"/>
      <c r="F1242" s="114"/>
      <c r="G1242" s="114"/>
      <c r="H1242" s="114"/>
      <c r="Q1242" s="44">
        <f>IF(数据录入!$B1242="",0,IF(OR(数据录入!$D1242="投标保证金",数据录入!$D1242="合同履约保证金",ISNUMBER(FIND("保证金",数据录入!$E1242))),1,0))</f>
      </c>
      <c r="R1242" s="44">
        <f>IF(AND($Q1242=1,数据录入!$B1242&gt;=$B$2,数据录入!$B1242&lt;=$D$2),N(R1241)+1,N(R1241))</f>
      </c>
    </row>
    <row r="1243" s="44" customFormat="1" spans="1:23">
      <c r="A1243" s="116"/>
      <c r="E1243" s="108"/>
      <c r="F1243" s="114"/>
      <c r="G1243" s="114"/>
      <c r="H1243" s="114"/>
      <c r="Q1243" s="44">
        <f>IF(数据录入!$B1243="",0,IF(OR(数据录入!$D1243="投标保证金",数据录入!$D1243="合同履约保证金",ISNUMBER(FIND("保证金",数据录入!$E1243))),1,0))</f>
      </c>
      <c r="R1243" s="44">
        <f>IF(AND($Q1243=1,数据录入!$B1243&gt;=$B$2,数据录入!$B1243&lt;=$D$2),N(R1242)+1,N(R1242))</f>
      </c>
    </row>
    <row r="1244" s="44" customFormat="1" spans="1:23">
      <c r="A1244" s="116"/>
      <c r="E1244" s="108"/>
      <c r="F1244" s="114"/>
      <c r="G1244" s="114"/>
      <c r="H1244" s="114"/>
      <c r="Q1244" s="44">
        <f>IF(数据录入!$B1244="",0,IF(OR(数据录入!$D1244="投标保证金",数据录入!$D1244="合同履约保证金",ISNUMBER(FIND("保证金",数据录入!$E1244))),1,0))</f>
      </c>
      <c r="R1244" s="44">
        <f>IF(AND($Q1244=1,数据录入!$B1244&gt;=$B$2,数据录入!$B1244&lt;=$D$2),N(R1243)+1,N(R1243))</f>
      </c>
    </row>
    <row r="1245" s="44" customFormat="1" spans="1:23">
      <c r="A1245" s="116"/>
      <c r="E1245" s="108"/>
      <c r="F1245" s="114"/>
      <c r="G1245" s="114"/>
      <c r="H1245" s="114"/>
      <c r="Q1245" s="44">
        <f>IF(数据录入!$B1245="",0,IF(OR(数据录入!$D1245="投标保证金",数据录入!$D1245="合同履约保证金",ISNUMBER(FIND("保证金",数据录入!$E1245))),1,0))</f>
      </c>
      <c r="R1245" s="44">
        <f>IF(AND($Q1245=1,数据录入!$B1245&gt;=$B$2,数据录入!$B1245&lt;=$D$2),N(R1244)+1,N(R1244))</f>
      </c>
    </row>
    <row r="1246" s="44" customFormat="1" spans="1:23">
      <c r="A1246" s="116"/>
      <c r="E1246" s="108"/>
      <c r="F1246" s="114"/>
      <c r="G1246" s="114"/>
      <c r="H1246" s="114"/>
      <c r="Q1246" s="44">
        <f>IF(数据录入!$B1246="",0,IF(OR(数据录入!$D1246="投标保证金",数据录入!$D1246="合同履约保证金",ISNUMBER(FIND("保证金",数据录入!$E1246))),1,0))</f>
      </c>
      <c r="R1246" s="44">
        <f>IF(AND($Q1246=1,数据录入!$B1246&gt;=$B$2,数据录入!$B1246&lt;=$D$2),N(R1245)+1,N(R1245))</f>
      </c>
    </row>
    <row r="1247" s="44" customFormat="1" spans="1:23">
      <c r="A1247" s="116"/>
      <c r="E1247" s="108"/>
      <c r="F1247" s="114"/>
      <c r="G1247" s="114"/>
      <c r="H1247" s="114"/>
      <c r="Q1247" s="44">
        <f>IF(数据录入!$B1247="",0,IF(OR(数据录入!$D1247="投标保证金",数据录入!$D1247="合同履约保证金",ISNUMBER(FIND("保证金",数据录入!$E1247))),1,0))</f>
      </c>
      <c r="R1247" s="44">
        <f>IF(AND($Q1247=1,数据录入!$B1247&gt;=$B$2,数据录入!$B1247&lt;=$D$2),N(R1246)+1,N(R1246))</f>
      </c>
    </row>
    <row r="1248" s="44" customFormat="1" spans="1:23">
      <c r="A1248" s="116"/>
      <c r="E1248" s="108"/>
      <c r="F1248" s="114"/>
      <c r="G1248" s="114"/>
      <c r="H1248" s="114"/>
      <c r="Q1248" s="44">
        <f>IF(数据录入!$B1248="",0,IF(OR(数据录入!$D1248="投标保证金",数据录入!$D1248="合同履约保证金",ISNUMBER(FIND("保证金",数据录入!$E1248))),1,0))</f>
      </c>
      <c r="R1248" s="44">
        <f>IF(AND($Q1248=1,数据录入!$B1248&gt;=$B$2,数据录入!$B1248&lt;=$D$2),N(R1247)+1,N(R1247))</f>
      </c>
    </row>
    <row r="1249" s="44" customFormat="1" spans="1:23">
      <c r="A1249" s="116"/>
      <c r="E1249" s="108"/>
      <c r="F1249" s="114"/>
      <c r="G1249" s="114"/>
      <c r="H1249" s="114"/>
      <c r="Q1249" s="44">
        <f>IF(数据录入!$B1249="",0,IF(OR(数据录入!$D1249="投标保证金",数据录入!$D1249="合同履约保证金",ISNUMBER(FIND("保证金",数据录入!$E1249))),1,0))</f>
      </c>
      <c r="R1249" s="44">
        <f>IF(AND($Q1249=1,数据录入!$B1249&gt;=$B$2,数据录入!$B1249&lt;=$D$2),N(R1248)+1,N(R1248))</f>
      </c>
    </row>
    <row r="1250" s="44" customFormat="1" spans="1:23">
      <c r="A1250" s="116"/>
      <c r="E1250" s="108"/>
      <c r="F1250" s="114"/>
      <c r="G1250" s="114"/>
      <c r="H1250" s="114"/>
      <c r="Q1250" s="44">
        <f>IF(数据录入!$B1250="",0,IF(OR(数据录入!$D1250="投标保证金",数据录入!$D1250="合同履约保证金",ISNUMBER(FIND("保证金",数据录入!$E1250))),1,0))</f>
      </c>
      <c r="R1250" s="44">
        <f>IF(AND($Q1250=1,数据录入!$B1250&gt;=$B$2,数据录入!$B1250&lt;=$D$2),N(R1249)+1,N(R1249))</f>
      </c>
    </row>
    <row r="1251" s="44" customFormat="1" spans="1:23">
      <c r="A1251" s="116"/>
      <c r="E1251" s="108"/>
      <c r="F1251" s="114"/>
      <c r="G1251" s="114"/>
      <c r="H1251" s="114"/>
      <c r="Q1251" s="44">
        <f>IF(数据录入!$B1251="",0,IF(OR(数据录入!$D1251="投标保证金",数据录入!$D1251="合同履约保证金",ISNUMBER(FIND("保证金",数据录入!$E1251))),1,0))</f>
      </c>
      <c r="R1251" s="44">
        <f>IF(AND($Q1251=1,数据录入!$B1251&gt;=$B$2,数据录入!$B1251&lt;=$D$2),N(R1250)+1,N(R1250))</f>
      </c>
    </row>
    <row r="1252" s="44" customFormat="1" spans="1:23">
      <c r="A1252" s="116"/>
      <c r="E1252" s="108"/>
      <c r="F1252" s="114"/>
      <c r="G1252" s="114"/>
      <c r="H1252" s="114"/>
      <c r="Q1252" s="44">
        <f>IF(数据录入!$B1252="",0,IF(OR(数据录入!$D1252="投标保证金",数据录入!$D1252="合同履约保证金",ISNUMBER(FIND("保证金",数据录入!$E1252))),1,0))</f>
      </c>
      <c r="R1252" s="44">
        <f>IF(AND($Q1252=1,数据录入!$B1252&gt;=$B$2,数据录入!$B1252&lt;=$D$2),N(R1251)+1,N(R1251))</f>
      </c>
    </row>
    <row r="1253" s="44" customFormat="1" spans="1:23">
      <c r="A1253" s="116"/>
      <c r="E1253" s="108"/>
      <c r="F1253" s="114"/>
      <c r="G1253" s="114"/>
      <c r="H1253" s="114"/>
      <c r="Q1253" s="44">
        <f>IF(数据录入!$B1253="",0,IF(OR(数据录入!$D1253="投标保证金",数据录入!$D1253="合同履约保证金",ISNUMBER(FIND("保证金",数据录入!$E1253))),1,0))</f>
      </c>
      <c r="R1253" s="44">
        <f>IF(AND($Q1253=1,数据录入!$B1253&gt;=$B$2,数据录入!$B1253&lt;=$D$2),N(R1252)+1,N(R1252))</f>
      </c>
    </row>
    <row r="1254" s="44" customFormat="1" spans="1:23">
      <c r="A1254" s="116"/>
      <c r="E1254" s="108"/>
      <c r="F1254" s="114"/>
      <c r="G1254" s="114"/>
      <c r="H1254" s="114"/>
      <c r="Q1254" s="44">
        <f>IF(数据录入!$B1254="",0,IF(OR(数据录入!$D1254="投标保证金",数据录入!$D1254="合同履约保证金",ISNUMBER(FIND("保证金",数据录入!$E1254))),1,0))</f>
      </c>
      <c r="R1254" s="44">
        <f>IF(AND($Q1254=1,数据录入!$B1254&gt;=$B$2,数据录入!$B1254&lt;=$D$2),N(R1253)+1,N(R1253))</f>
      </c>
    </row>
    <row r="1255" s="44" customFormat="1" spans="1:23">
      <c r="A1255" s="116"/>
      <c r="E1255" s="108"/>
      <c r="F1255" s="114"/>
      <c r="G1255" s="114"/>
      <c r="H1255" s="114"/>
      <c r="Q1255" s="44">
        <f>IF(数据录入!$B1255="",0,IF(OR(数据录入!$D1255="投标保证金",数据录入!$D1255="合同履约保证金",ISNUMBER(FIND("保证金",数据录入!$E1255))),1,0))</f>
      </c>
      <c r="R1255" s="44">
        <f>IF(AND($Q1255=1,数据录入!$B1255&gt;=$B$2,数据录入!$B1255&lt;=$D$2),N(R1254)+1,N(R1254))</f>
      </c>
    </row>
    <row r="1256" s="44" customFormat="1" spans="1:23">
      <c r="A1256" s="116"/>
      <c r="E1256" s="108"/>
      <c r="F1256" s="114"/>
      <c r="G1256" s="114"/>
      <c r="H1256" s="114"/>
      <c r="Q1256" s="44">
        <f>IF(数据录入!$B1256="",0,IF(OR(数据录入!$D1256="投标保证金",数据录入!$D1256="合同履约保证金",ISNUMBER(FIND("保证金",数据录入!$E1256))),1,0))</f>
      </c>
      <c r="R1256" s="44">
        <f>IF(AND($Q1256=1,数据录入!$B1256&gt;=$B$2,数据录入!$B1256&lt;=$D$2),N(R1255)+1,N(R1255))</f>
      </c>
    </row>
    <row r="1257" s="44" customFormat="1" spans="1:23">
      <c r="A1257" s="116"/>
      <c r="E1257" s="108"/>
      <c r="F1257" s="114"/>
      <c r="G1257" s="114"/>
      <c r="H1257" s="114"/>
      <c r="Q1257" s="44">
        <f>IF(数据录入!$B1257="",0,IF(OR(数据录入!$D1257="投标保证金",数据录入!$D1257="合同履约保证金",ISNUMBER(FIND("保证金",数据录入!$E1257))),1,0))</f>
      </c>
      <c r="R1257" s="44">
        <f>IF(AND($Q1257=1,数据录入!$B1257&gt;=$B$2,数据录入!$B1257&lt;=$D$2),N(R1256)+1,N(R1256))</f>
      </c>
    </row>
    <row r="1258" s="44" customFormat="1" spans="1:23">
      <c r="A1258" s="116"/>
      <c r="E1258" s="108"/>
      <c r="F1258" s="114"/>
      <c r="G1258" s="114"/>
      <c r="H1258" s="114"/>
      <c r="Q1258" s="44">
        <f>IF(数据录入!$B1258="",0,IF(OR(数据录入!$D1258="投标保证金",数据录入!$D1258="合同履约保证金",ISNUMBER(FIND("保证金",数据录入!$E1258))),1,0))</f>
      </c>
      <c r="R1258" s="44">
        <f>IF(AND($Q1258=1,数据录入!$B1258&gt;=$B$2,数据录入!$B1258&lt;=$D$2),N(R1257)+1,N(R1257))</f>
      </c>
    </row>
    <row r="1259" s="44" customFormat="1" spans="1:23">
      <c r="A1259" s="116"/>
      <c r="E1259" s="108"/>
      <c r="F1259" s="114"/>
      <c r="G1259" s="114"/>
      <c r="H1259" s="114"/>
      <c r="Q1259" s="44">
        <f>IF(数据录入!$B1259="",0,IF(OR(数据录入!$D1259="投标保证金",数据录入!$D1259="合同履约保证金",ISNUMBER(FIND("保证金",数据录入!$E1259))),1,0))</f>
      </c>
      <c r="R1259" s="44">
        <f>IF(AND($Q1259=1,数据录入!$B1259&gt;=$B$2,数据录入!$B1259&lt;=$D$2),N(R1258)+1,N(R1258))</f>
      </c>
    </row>
    <row r="1260" s="44" customFormat="1" spans="1:23">
      <c r="A1260" s="116"/>
      <c r="E1260" s="108"/>
      <c r="F1260" s="114"/>
      <c r="G1260" s="114"/>
      <c r="H1260" s="114"/>
      <c r="Q1260" s="44">
        <f>IF(数据录入!$B1260="",0,IF(OR(数据录入!$D1260="投标保证金",数据录入!$D1260="合同履约保证金",ISNUMBER(FIND("保证金",数据录入!$E1260))),1,0))</f>
      </c>
      <c r="R1260" s="44">
        <f>IF(AND($Q1260=1,数据录入!$B1260&gt;=$B$2,数据录入!$B1260&lt;=$D$2),N(R1259)+1,N(R1259))</f>
      </c>
    </row>
    <row r="1261" s="44" customFormat="1" spans="1:23">
      <c r="A1261" s="116"/>
      <c r="E1261" s="108"/>
      <c r="F1261" s="114"/>
      <c r="G1261" s="114"/>
      <c r="H1261" s="114"/>
      <c r="Q1261" s="44">
        <f>IF(数据录入!$B1261="",0,IF(OR(数据录入!$D1261="投标保证金",数据录入!$D1261="合同履约保证金",ISNUMBER(FIND("保证金",数据录入!$E1261))),1,0))</f>
      </c>
      <c r="R1261" s="44">
        <f>IF(AND($Q1261=1,数据录入!$B1261&gt;=$B$2,数据录入!$B1261&lt;=$D$2),N(R1260)+1,N(R1260))</f>
      </c>
    </row>
    <row r="1262" s="44" customFormat="1" spans="1:23">
      <c r="A1262" s="116"/>
      <c r="E1262" s="108"/>
      <c r="F1262" s="114"/>
      <c r="G1262" s="114"/>
      <c r="H1262" s="114"/>
      <c r="Q1262" s="44">
        <f>IF(数据录入!$B1262="",0,IF(OR(数据录入!$D1262="投标保证金",数据录入!$D1262="合同履约保证金",ISNUMBER(FIND("保证金",数据录入!$E1262))),1,0))</f>
      </c>
      <c r="R1262" s="44">
        <f>IF(AND($Q1262=1,数据录入!$B1262&gt;=$B$2,数据录入!$B1262&lt;=$D$2),N(R1261)+1,N(R1261))</f>
      </c>
    </row>
    <row r="1263" s="44" customFormat="1" spans="1:23">
      <c r="A1263" s="116"/>
      <c r="E1263" s="108"/>
      <c r="F1263" s="114"/>
      <c r="G1263" s="114"/>
      <c r="H1263" s="114"/>
      <c r="Q1263" s="44">
        <f>IF(数据录入!$B1263="",0,IF(OR(数据录入!$D1263="投标保证金",数据录入!$D1263="合同履约保证金",ISNUMBER(FIND("保证金",数据录入!$E1263))),1,0))</f>
      </c>
      <c r="R1263" s="44">
        <f>IF(AND($Q1263=1,数据录入!$B1263&gt;=$B$2,数据录入!$B1263&lt;=$D$2),N(R1262)+1,N(R1262))</f>
      </c>
    </row>
    <row r="1264" s="44" customFormat="1" spans="1:23">
      <c r="A1264" s="116"/>
      <c r="E1264" s="108"/>
      <c r="F1264" s="114"/>
      <c r="G1264" s="114"/>
      <c r="H1264" s="114"/>
      <c r="Q1264" s="44">
        <f>IF(数据录入!$B1264="",0,IF(OR(数据录入!$D1264="投标保证金",数据录入!$D1264="合同履约保证金",ISNUMBER(FIND("保证金",数据录入!$E1264))),1,0))</f>
      </c>
      <c r="R1264" s="44">
        <f>IF(AND($Q1264=1,数据录入!$B1264&gt;=$B$2,数据录入!$B1264&lt;=$D$2),N(R1263)+1,N(R1263))</f>
      </c>
    </row>
    <row r="1265" s="44" customFormat="1" spans="1:23">
      <c r="A1265" s="116"/>
      <c r="E1265" s="108"/>
      <c r="F1265" s="114"/>
      <c r="G1265" s="114"/>
      <c r="H1265" s="114"/>
      <c r="Q1265" s="44">
        <f>IF(数据录入!$B1265="",0,IF(OR(数据录入!$D1265="投标保证金",数据录入!$D1265="合同履约保证金",ISNUMBER(FIND("保证金",数据录入!$E1265))),1,0))</f>
      </c>
      <c r="R1265" s="44">
        <f>IF(AND($Q1265=1,数据录入!$B1265&gt;=$B$2,数据录入!$B1265&lt;=$D$2),N(R1264)+1,N(R1264))</f>
      </c>
    </row>
    <row r="1266" s="44" customFormat="1" spans="1:23">
      <c r="A1266" s="116"/>
      <c r="E1266" s="108"/>
      <c r="F1266" s="114"/>
      <c r="G1266" s="114"/>
      <c r="H1266" s="114"/>
      <c r="Q1266" s="44">
        <f>IF(数据录入!$B1266="",0,IF(OR(数据录入!$D1266="投标保证金",数据录入!$D1266="合同履约保证金",ISNUMBER(FIND("保证金",数据录入!$E1266))),1,0))</f>
      </c>
      <c r="R1266" s="44">
        <f>IF(AND($Q1266=1,数据录入!$B1266&gt;=$B$2,数据录入!$B1266&lt;=$D$2),N(R1265)+1,N(R1265))</f>
      </c>
    </row>
    <row r="1267" s="44" customFormat="1" spans="1:23">
      <c r="A1267" s="116"/>
      <c r="E1267" s="108"/>
      <c r="F1267" s="114"/>
      <c r="G1267" s="114"/>
      <c r="H1267" s="114"/>
      <c r="Q1267" s="44">
        <f>IF(数据录入!$B1267="",0,IF(OR(数据录入!$D1267="投标保证金",数据录入!$D1267="合同履约保证金",ISNUMBER(FIND("保证金",数据录入!$E1267))),1,0))</f>
      </c>
      <c r="R1267" s="44">
        <f>IF(AND($Q1267=1,数据录入!$B1267&gt;=$B$2,数据录入!$B1267&lt;=$D$2),N(R1266)+1,N(R1266))</f>
      </c>
    </row>
    <row r="1268" s="44" customFormat="1" spans="1:23">
      <c r="A1268" s="116"/>
      <c r="E1268" s="108"/>
      <c r="F1268" s="114"/>
      <c r="G1268" s="114"/>
      <c r="H1268" s="114"/>
      <c r="Q1268" s="44">
        <f>IF(数据录入!$B1268="",0,IF(OR(数据录入!$D1268="投标保证金",数据录入!$D1268="合同履约保证金",ISNUMBER(FIND("保证金",数据录入!$E1268))),1,0))</f>
      </c>
      <c r="R1268" s="44">
        <f>IF(AND($Q1268=1,数据录入!$B1268&gt;=$B$2,数据录入!$B1268&lt;=$D$2),N(R1267)+1,N(R1267))</f>
      </c>
    </row>
    <row r="1269" s="44" customFormat="1" spans="1:23">
      <c r="A1269" s="116"/>
      <c r="E1269" s="108"/>
      <c r="F1269" s="114"/>
      <c r="G1269" s="114"/>
      <c r="H1269" s="114"/>
      <c r="Q1269" s="44">
        <f>IF(数据录入!$B1269="",0,IF(OR(数据录入!$D1269="投标保证金",数据录入!$D1269="合同履约保证金",ISNUMBER(FIND("保证金",数据录入!$E1269))),1,0))</f>
      </c>
      <c r="R1269" s="44">
        <f>IF(AND($Q1269=1,数据录入!$B1269&gt;=$B$2,数据录入!$B1269&lt;=$D$2),N(R1268)+1,N(R1268))</f>
      </c>
    </row>
    <row r="1270" s="44" customFormat="1" spans="1:23">
      <c r="A1270" s="116"/>
      <c r="E1270" s="108"/>
      <c r="F1270" s="114"/>
      <c r="G1270" s="114"/>
      <c r="H1270" s="114"/>
      <c r="Q1270" s="44">
        <f>IF(数据录入!$B1270="",0,IF(OR(数据录入!$D1270="投标保证金",数据录入!$D1270="合同履约保证金",ISNUMBER(FIND("保证金",数据录入!$E1270))),1,0))</f>
      </c>
      <c r="R1270" s="44">
        <f>IF(AND($Q1270=1,数据录入!$B1270&gt;=$B$2,数据录入!$B1270&lt;=$D$2),N(R1269)+1,N(R1269))</f>
      </c>
    </row>
    <row r="1271" s="44" customFormat="1" spans="1:23">
      <c r="A1271" s="116"/>
      <c r="E1271" s="108"/>
      <c r="F1271" s="114"/>
      <c r="G1271" s="114"/>
      <c r="H1271" s="114"/>
      <c r="Q1271" s="44">
        <f>IF(数据录入!$B1271="",0,IF(OR(数据录入!$D1271="投标保证金",数据录入!$D1271="合同履约保证金",ISNUMBER(FIND("保证金",数据录入!$E1271))),1,0))</f>
      </c>
      <c r="R1271" s="44">
        <f>IF(AND($Q1271=1,数据录入!$B1271&gt;=$B$2,数据录入!$B1271&lt;=$D$2),N(R1270)+1,N(R1270))</f>
      </c>
    </row>
    <row r="1272" s="44" customFormat="1" spans="1:23">
      <c r="A1272" s="116"/>
      <c r="E1272" s="108"/>
      <c r="F1272" s="114"/>
      <c r="G1272" s="114"/>
      <c r="H1272" s="114"/>
      <c r="Q1272" s="44">
        <f>IF(数据录入!$B1272="",0,IF(OR(数据录入!$D1272="投标保证金",数据录入!$D1272="合同履约保证金",ISNUMBER(FIND("保证金",数据录入!$E1272))),1,0))</f>
      </c>
      <c r="R1272" s="44">
        <f>IF(AND($Q1272=1,数据录入!$B1272&gt;=$B$2,数据录入!$B1272&lt;=$D$2),N(R1271)+1,N(R1271))</f>
      </c>
    </row>
    <row r="1273" s="44" customFormat="1" spans="1:23">
      <c r="A1273" s="116"/>
      <c r="E1273" s="108"/>
      <c r="F1273" s="114"/>
      <c r="G1273" s="114"/>
      <c r="H1273" s="114"/>
      <c r="Q1273" s="44">
        <f>IF(数据录入!$B1273="",0,IF(OR(数据录入!$D1273="投标保证金",数据录入!$D1273="合同履约保证金",ISNUMBER(FIND("保证金",数据录入!$E1273))),1,0))</f>
      </c>
      <c r="R1273" s="44">
        <f>IF(AND($Q1273=1,数据录入!$B1273&gt;=$B$2,数据录入!$B1273&lt;=$D$2),N(R1272)+1,N(R1272))</f>
      </c>
    </row>
    <row r="1274" s="44" customFormat="1" spans="1:23">
      <c r="A1274" s="116"/>
      <c r="E1274" s="108"/>
      <c r="F1274" s="114"/>
      <c r="G1274" s="114"/>
      <c r="H1274" s="114"/>
      <c r="Q1274" s="44">
        <f>IF(数据录入!$B1274="",0,IF(OR(数据录入!$D1274="投标保证金",数据录入!$D1274="合同履约保证金",ISNUMBER(FIND("保证金",数据录入!$E1274))),1,0))</f>
      </c>
      <c r="R1274" s="44">
        <f>IF(AND($Q1274=1,数据录入!$B1274&gt;=$B$2,数据录入!$B1274&lt;=$D$2),N(R1273)+1,N(R1273))</f>
      </c>
    </row>
    <row r="1275" s="44" customFormat="1" spans="1:23">
      <c r="A1275" s="116"/>
      <c r="E1275" s="108"/>
      <c r="F1275" s="114"/>
      <c r="G1275" s="114"/>
      <c r="H1275" s="114"/>
      <c r="Q1275" s="44">
        <f>IF(数据录入!$B1275="",0,IF(OR(数据录入!$D1275="投标保证金",数据录入!$D1275="合同履约保证金",ISNUMBER(FIND("保证金",数据录入!$E1275))),1,0))</f>
      </c>
      <c r="R1275" s="44">
        <f>IF(AND($Q1275=1,数据录入!$B1275&gt;=$B$2,数据录入!$B1275&lt;=$D$2),N(R1274)+1,N(R1274))</f>
      </c>
    </row>
    <row r="1276" s="44" customFormat="1" spans="1:23">
      <c r="A1276" s="116"/>
      <c r="E1276" s="108"/>
      <c r="F1276" s="114"/>
      <c r="G1276" s="114"/>
      <c r="H1276" s="114"/>
      <c r="Q1276" s="44">
        <f>IF(数据录入!$B1276="",0,IF(OR(数据录入!$D1276="投标保证金",数据录入!$D1276="合同履约保证金",ISNUMBER(FIND("保证金",数据录入!$E1276))),1,0))</f>
      </c>
      <c r="R1276" s="44">
        <f>IF(AND($Q1276=1,数据录入!$B1276&gt;=$B$2,数据录入!$B1276&lt;=$D$2),N(R1275)+1,N(R1275))</f>
      </c>
    </row>
    <row r="1277" s="44" customFormat="1" spans="1:23">
      <c r="A1277" s="116"/>
      <c r="E1277" s="108"/>
      <c r="F1277" s="114"/>
      <c r="G1277" s="114"/>
      <c r="H1277" s="114"/>
      <c r="Q1277" s="44">
        <f>IF(数据录入!$B1277="",0,IF(OR(数据录入!$D1277="投标保证金",数据录入!$D1277="合同履约保证金",ISNUMBER(FIND("保证金",数据录入!$E1277))),1,0))</f>
      </c>
      <c r="R1277" s="44">
        <f>IF(AND($Q1277=1,数据录入!$B1277&gt;=$B$2,数据录入!$B1277&lt;=$D$2),N(R1276)+1,N(R1276))</f>
      </c>
    </row>
    <row r="1278" s="44" customFormat="1" spans="1:23">
      <c r="A1278" s="116"/>
      <c r="E1278" s="108"/>
      <c r="F1278" s="114"/>
      <c r="G1278" s="114"/>
      <c r="H1278" s="114"/>
      <c r="Q1278" s="44">
        <f>IF(数据录入!$B1278="",0,IF(OR(数据录入!$D1278="投标保证金",数据录入!$D1278="合同履约保证金",ISNUMBER(FIND("保证金",数据录入!$E1278))),1,0))</f>
      </c>
      <c r="R1278" s="44">
        <f>IF(AND($Q1278=1,数据录入!$B1278&gt;=$B$2,数据录入!$B1278&lt;=$D$2),N(R1277)+1,N(R1277))</f>
      </c>
    </row>
    <row r="1279" s="44" customFormat="1" spans="1:23">
      <c r="A1279" s="116"/>
      <c r="E1279" s="108"/>
      <c r="F1279" s="114"/>
      <c r="G1279" s="114"/>
      <c r="H1279" s="114"/>
      <c r="Q1279" s="44">
        <f>IF(数据录入!$B1279="",0,IF(OR(数据录入!$D1279="投标保证金",数据录入!$D1279="合同履约保证金",ISNUMBER(FIND("保证金",数据录入!$E1279))),1,0))</f>
      </c>
      <c r="R1279" s="44">
        <f>IF(AND($Q1279=1,数据录入!$B1279&gt;=$B$2,数据录入!$B1279&lt;=$D$2),N(R1278)+1,N(R1278))</f>
      </c>
    </row>
    <row r="1280" s="44" customFormat="1" spans="1:23">
      <c r="A1280" s="116"/>
      <c r="E1280" s="108"/>
      <c r="F1280" s="114"/>
      <c r="G1280" s="114"/>
      <c r="H1280" s="114"/>
      <c r="Q1280" s="44">
        <f>IF(数据录入!$B1280="",0,IF(OR(数据录入!$D1280="投标保证金",数据录入!$D1280="合同履约保证金",ISNUMBER(FIND("保证金",数据录入!$E1280))),1,0))</f>
      </c>
      <c r="R1280" s="44">
        <f>IF(AND($Q1280=1,数据录入!$B1280&gt;=$B$2,数据录入!$B1280&lt;=$D$2),N(R1279)+1,N(R1279))</f>
      </c>
    </row>
    <row r="1281" s="44" customFormat="1" spans="1:23">
      <c r="A1281" s="116"/>
      <c r="E1281" s="108"/>
      <c r="F1281" s="114"/>
      <c r="G1281" s="114"/>
      <c r="H1281" s="114"/>
      <c r="Q1281" s="44">
        <f>IF(数据录入!$B1281="",0,IF(OR(数据录入!$D1281="投标保证金",数据录入!$D1281="合同履约保证金",ISNUMBER(FIND("保证金",数据录入!$E1281))),1,0))</f>
      </c>
      <c r="R1281" s="44">
        <f>IF(AND($Q1281=1,数据录入!$B1281&gt;=$B$2,数据录入!$B1281&lt;=$D$2),N(R1280)+1,N(R1280))</f>
      </c>
    </row>
    <row r="1282" s="44" customFormat="1" spans="1:23">
      <c r="A1282" s="116"/>
      <c r="E1282" s="108"/>
      <c r="F1282" s="114"/>
      <c r="G1282" s="114"/>
      <c r="H1282" s="114"/>
      <c r="Q1282" s="44">
        <f>IF(数据录入!$B1282="",0,IF(OR(数据录入!$D1282="投标保证金",数据录入!$D1282="合同履约保证金",ISNUMBER(FIND("保证金",数据录入!$E1282))),1,0))</f>
      </c>
      <c r="R1282" s="44">
        <f>IF(AND($Q1282=1,数据录入!$B1282&gt;=$B$2,数据录入!$B1282&lt;=$D$2),N(R1281)+1,N(R1281))</f>
      </c>
    </row>
    <row r="1283" s="44" customFormat="1" spans="1:23">
      <c r="A1283" s="116"/>
      <c r="E1283" s="108"/>
      <c r="F1283" s="114"/>
      <c r="G1283" s="114"/>
      <c r="H1283" s="114"/>
      <c r="Q1283" s="44">
        <f>IF(数据录入!$B1283="",0,IF(OR(数据录入!$D1283="投标保证金",数据录入!$D1283="合同履约保证金",ISNUMBER(FIND("保证金",数据录入!$E1283))),1,0))</f>
      </c>
      <c r="R1283" s="44">
        <f>IF(AND($Q1283=1,数据录入!$B1283&gt;=$B$2,数据录入!$B1283&lt;=$D$2),N(R1282)+1,N(R1282))</f>
      </c>
    </row>
    <row r="1284" s="44" customFormat="1" spans="1:23">
      <c r="A1284" s="116"/>
      <c r="E1284" s="108"/>
      <c r="F1284" s="114"/>
      <c r="G1284" s="114"/>
      <c r="H1284" s="114"/>
      <c r="Q1284" s="44">
        <f>IF(数据录入!$B1284="",0,IF(OR(数据录入!$D1284="投标保证金",数据录入!$D1284="合同履约保证金",ISNUMBER(FIND("保证金",数据录入!$E1284))),1,0))</f>
      </c>
      <c r="R1284" s="44">
        <f>IF(AND($Q1284=1,数据录入!$B1284&gt;=$B$2,数据录入!$B1284&lt;=$D$2),N(R1283)+1,N(R1283))</f>
      </c>
    </row>
    <row r="1285" s="44" customFormat="1" spans="1:23">
      <c r="A1285" s="116"/>
      <c r="E1285" s="108"/>
      <c r="F1285" s="114"/>
      <c r="G1285" s="114"/>
      <c r="H1285" s="114"/>
      <c r="Q1285" s="44">
        <f>IF(数据录入!$B1285="",0,IF(OR(数据录入!$D1285="投标保证金",数据录入!$D1285="合同履约保证金",ISNUMBER(FIND("保证金",数据录入!$E1285))),1,0))</f>
      </c>
      <c r="R1285" s="44">
        <f>IF(AND($Q1285=1,数据录入!$B1285&gt;=$B$2,数据录入!$B1285&lt;=$D$2),N(R1284)+1,N(R1284))</f>
      </c>
    </row>
    <row r="1286" s="44" customFormat="1" spans="1:23">
      <c r="A1286" s="116"/>
      <c r="E1286" s="108"/>
      <c r="F1286" s="114"/>
      <c r="G1286" s="114"/>
      <c r="H1286" s="114"/>
      <c r="Q1286" s="44">
        <f>IF(数据录入!$B1286="",0,IF(OR(数据录入!$D1286="投标保证金",数据录入!$D1286="合同履约保证金",ISNUMBER(FIND("保证金",数据录入!$E1286))),1,0))</f>
      </c>
      <c r="R1286" s="44">
        <f>IF(AND($Q1286=1,数据录入!$B1286&gt;=$B$2,数据录入!$B1286&lt;=$D$2),N(R1285)+1,N(R1285))</f>
      </c>
    </row>
    <row r="1287" s="44" customFormat="1" spans="1:23">
      <c r="A1287" s="116"/>
      <c r="E1287" s="108"/>
      <c r="F1287" s="114"/>
      <c r="G1287" s="114"/>
      <c r="H1287" s="114"/>
      <c r="Q1287" s="44">
        <f>IF(数据录入!$B1287="",0,IF(OR(数据录入!$D1287="投标保证金",数据录入!$D1287="合同履约保证金",ISNUMBER(FIND("保证金",数据录入!$E1287))),1,0))</f>
      </c>
      <c r="R1287" s="44">
        <f>IF(AND($Q1287=1,数据录入!$B1287&gt;=$B$2,数据录入!$B1287&lt;=$D$2),N(R1286)+1,N(R1286))</f>
      </c>
    </row>
    <row r="1288" s="44" customFormat="1" spans="1:23">
      <c r="A1288" s="116"/>
      <c r="E1288" s="108"/>
      <c r="F1288" s="114"/>
      <c r="G1288" s="114"/>
      <c r="H1288" s="114"/>
      <c r="Q1288" s="44">
        <f>IF(数据录入!$B1288="",0,IF(OR(数据录入!$D1288="投标保证金",数据录入!$D1288="合同履约保证金",ISNUMBER(FIND("保证金",数据录入!$E1288))),1,0))</f>
      </c>
      <c r="R1288" s="44">
        <f>IF(AND($Q1288=1,数据录入!$B1288&gt;=$B$2,数据录入!$B1288&lt;=$D$2),N(R1287)+1,N(R1287))</f>
      </c>
    </row>
    <row r="1289" s="44" customFormat="1" spans="1:23">
      <c r="A1289" s="116"/>
      <c r="E1289" s="108"/>
      <c r="F1289" s="114"/>
      <c r="G1289" s="114"/>
      <c r="H1289" s="114"/>
      <c r="Q1289" s="44">
        <f>IF(数据录入!$B1289="",0,IF(OR(数据录入!$D1289="投标保证金",数据录入!$D1289="合同履约保证金",ISNUMBER(FIND("保证金",数据录入!$E1289))),1,0))</f>
      </c>
      <c r="R1289" s="44">
        <f>IF(AND($Q1289=1,数据录入!$B1289&gt;=$B$2,数据录入!$B1289&lt;=$D$2),N(R1288)+1,N(R1288))</f>
      </c>
    </row>
    <row r="1290" s="44" customFormat="1" spans="1:23">
      <c r="A1290" s="116"/>
      <c r="E1290" s="108"/>
      <c r="F1290" s="114"/>
      <c r="G1290" s="114"/>
      <c r="H1290" s="114"/>
      <c r="Q1290" s="44">
        <f>IF(数据录入!$B1290="",0,IF(OR(数据录入!$D1290="投标保证金",数据录入!$D1290="合同履约保证金",ISNUMBER(FIND("保证金",数据录入!$E1290))),1,0))</f>
      </c>
      <c r="R1290" s="44">
        <f>IF(AND($Q1290=1,数据录入!$B1290&gt;=$B$2,数据录入!$B1290&lt;=$D$2),N(R1289)+1,N(R1289))</f>
      </c>
    </row>
    <row r="1291" s="44" customFormat="1" spans="1:23">
      <c r="A1291" s="116"/>
      <c r="E1291" s="108"/>
      <c r="F1291" s="114"/>
      <c r="G1291" s="114"/>
      <c r="H1291" s="114"/>
      <c r="Q1291" s="44">
        <f>IF(数据录入!$B1291="",0,IF(OR(数据录入!$D1291="投标保证金",数据录入!$D1291="合同履约保证金",ISNUMBER(FIND("保证金",数据录入!$E1291))),1,0))</f>
      </c>
      <c r="R1291" s="44">
        <f>IF(AND($Q1291=1,数据录入!$B1291&gt;=$B$2,数据录入!$B1291&lt;=$D$2),N(R1290)+1,N(R1290))</f>
      </c>
    </row>
    <row r="1292" s="44" customFormat="1" spans="1:23">
      <c r="A1292" s="116"/>
      <c r="E1292" s="108"/>
      <c r="F1292" s="114"/>
      <c r="G1292" s="114"/>
      <c r="H1292" s="114"/>
      <c r="Q1292" s="44">
        <f>IF(数据录入!$B1292="",0,IF(OR(数据录入!$D1292="投标保证金",数据录入!$D1292="合同履约保证金",ISNUMBER(FIND("保证金",数据录入!$E1292))),1,0))</f>
      </c>
      <c r="R1292" s="44">
        <f>IF(AND($Q1292=1,数据录入!$B1292&gt;=$B$2,数据录入!$B1292&lt;=$D$2),N(R1291)+1,N(R1291))</f>
      </c>
    </row>
    <row r="1293" s="44" customFormat="1" spans="1:23">
      <c r="A1293" s="116"/>
      <c r="E1293" s="108"/>
      <c r="F1293" s="114"/>
      <c r="G1293" s="114"/>
      <c r="H1293" s="114"/>
      <c r="Q1293" s="44">
        <f>IF(数据录入!$B1293="",0,IF(OR(数据录入!$D1293="投标保证金",数据录入!$D1293="合同履约保证金",ISNUMBER(FIND("保证金",数据录入!$E1293))),1,0))</f>
      </c>
      <c r="R1293" s="44">
        <f>IF(AND($Q1293=1,数据录入!$B1293&gt;=$B$2,数据录入!$B1293&lt;=$D$2),N(R1292)+1,N(R1292))</f>
      </c>
    </row>
    <row r="1294" s="44" customFormat="1" spans="1:23">
      <c r="A1294" s="116"/>
      <c r="E1294" s="108"/>
      <c r="F1294" s="114"/>
      <c r="G1294" s="114"/>
      <c r="H1294" s="114"/>
      <c r="Q1294" s="44">
        <f>IF(数据录入!$B1294="",0,IF(OR(数据录入!$D1294="投标保证金",数据录入!$D1294="合同履约保证金",ISNUMBER(FIND("保证金",数据录入!$E1294))),1,0))</f>
      </c>
      <c r="R1294" s="44">
        <f>IF(AND($Q1294=1,数据录入!$B1294&gt;=$B$2,数据录入!$B1294&lt;=$D$2),N(R1293)+1,N(R1293))</f>
      </c>
    </row>
    <row r="1295" s="44" customFormat="1" spans="1:23">
      <c r="A1295" s="116"/>
      <c r="E1295" s="108"/>
      <c r="F1295" s="114"/>
      <c r="G1295" s="114"/>
      <c r="H1295" s="114"/>
      <c r="Q1295" s="44">
        <f>IF(数据录入!$B1295="",0,IF(OR(数据录入!$D1295="投标保证金",数据录入!$D1295="合同履约保证金",ISNUMBER(FIND("保证金",数据录入!$E1295))),1,0))</f>
      </c>
      <c r="R1295" s="44">
        <f>IF(AND($Q1295=1,数据录入!$B1295&gt;=$B$2,数据录入!$B1295&lt;=$D$2),N(R1294)+1,N(R1294))</f>
      </c>
    </row>
    <row r="1296" s="44" customFormat="1" spans="1:23">
      <c r="A1296" s="116"/>
      <c r="E1296" s="108"/>
      <c r="F1296" s="114"/>
      <c r="G1296" s="114"/>
      <c r="H1296" s="114"/>
      <c r="Q1296" s="44">
        <f>IF(数据录入!$B1296="",0,IF(OR(数据录入!$D1296="投标保证金",数据录入!$D1296="合同履约保证金",ISNUMBER(FIND("保证金",数据录入!$E1296))),1,0))</f>
      </c>
      <c r="R1296" s="44">
        <f>IF(AND($Q1296=1,数据录入!$B1296&gt;=$B$2,数据录入!$B1296&lt;=$D$2),N(R1295)+1,N(R1295))</f>
      </c>
    </row>
    <row r="1297" s="44" customFormat="1" spans="1:23">
      <c r="A1297" s="116"/>
      <c r="E1297" s="108"/>
      <c r="F1297" s="114"/>
      <c r="G1297" s="114"/>
      <c r="H1297" s="114"/>
      <c r="Q1297" s="44">
        <f>IF(数据录入!$B1297="",0,IF(OR(数据录入!$D1297="投标保证金",数据录入!$D1297="合同履约保证金",ISNUMBER(FIND("保证金",数据录入!$E1297))),1,0))</f>
      </c>
      <c r="R1297" s="44">
        <f>IF(AND($Q1297=1,数据录入!$B1297&gt;=$B$2,数据录入!$B1297&lt;=$D$2),N(R1296)+1,N(R1296))</f>
      </c>
    </row>
    <row r="1298" s="44" customFormat="1" spans="1:23">
      <c r="A1298" s="116"/>
      <c r="E1298" s="108"/>
      <c r="F1298" s="114"/>
      <c r="G1298" s="114"/>
      <c r="H1298" s="114"/>
      <c r="Q1298" s="44">
        <f>IF(数据录入!$B1298="",0,IF(OR(数据录入!$D1298="投标保证金",数据录入!$D1298="合同履约保证金",ISNUMBER(FIND("保证金",数据录入!$E1298))),1,0))</f>
      </c>
      <c r="R1298" s="44">
        <f>IF(AND($Q1298=1,数据录入!$B1298&gt;=$B$2,数据录入!$B1298&lt;=$D$2),N(R1297)+1,N(R1297))</f>
      </c>
    </row>
    <row r="1299" s="44" customFormat="1" spans="1:23">
      <c r="A1299" s="116"/>
      <c r="E1299" s="108"/>
      <c r="F1299" s="114"/>
      <c r="G1299" s="114"/>
      <c r="H1299" s="114"/>
      <c r="Q1299" s="44">
        <f>IF(数据录入!$B1299="",0,IF(OR(数据录入!$D1299="投标保证金",数据录入!$D1299="合同履约保证金",ISNUMBER(FIND("保证金",数据录入!$E1299))),1,0))</f>
      </c>
      <c r="R1299" s="44">
        <f>IF(AND($Q1299=1,数据录入!$B1299&gt;=$B$2,数据录入!$B1299&lt;=$D$2),N(R1298)+1,N(R1298))</f>
      </c>
    </row>
    <row r="1300" s="44" customFormat="1" spans="1:23">
      <c r="A1300" s="116"/>
      <c r="E1300" s="108"/>
      <c r="F1300" s="114"/>
      <c r="G1300" s="114"/>
      <c r="H1300" s="114"/>
      <c r="Q1300" s="44">
        <f>IF(数据录入!$B1300="",0,IF(OR(数据录入!$D1300="投标保证金",数据录入!$D1300="合同履约保证金",ISNUMBER(FIND("保证金",数据录入!$E1300))),1,0))</f>
      </c>
      <c r="R1300" s="44">
        <f>IF(AND($Q1300=1,数据录入!$B1300&gt;=$B$2,数据录入!$B1300&lt;=$D$2),N(R1299)+1,N(R1299))</f>
      </c>
    </row>
    <row r="1301" s="44" customFormat="1" spans="1:23">
      <c r="A1301" s="116"/>
      <c r="E1301" s="108"/>
      <c r="F1301" s="114"/>
      <c r="G1301" s="114"/>
      <c r="H1301" s="114"/>
      <c r="Q1301" s="44">
        <f>IF(数据录入!$B1301="",0,IF(OR(数据录入!$D1301="投标保证金",数据录入!$D1301="合同履约保证金",ISNUMBER(FIND("保证金",数据录入!$E1301))),1,0))</f>
      </c>
      <c r="R1301" s="44">
        <f>IF(AND($Q1301=1,数据录入!$B1301&gt;=$B$2,数据录入!$B1301&lt;=$D$2),N(R1300)+1,N(R1300))</f>
      </c>
    </row>
    <row r="1302" s="44" customFormat="1" spans="1:23">
      <c r="A1302" s="116"/>
      <c r="E1302" s="108"/>
      <c r="F1302" s="114"/>
      <c r="G1302" s="114"/>
      <c r="H1302" s="114"/>
      <c r="Q1302" s="44">
        <f>IF(数据录入!$B1302="",0,IF(OR(数据录入!$D1302="投标保证金",数据录入!$D1302="合同履约保证金",ISNUMBER(FIND("保证金",数据录入!$E1302))),1,0))</f>
      </c>
      <c r="R1302" s="44">
        <f>IF(AND($Q1302=1,数据录入!$B1302&gt;=$B$2,数据录入!$B1302&lt;=$D$2),N(R1301)+1,N(R1301))</f>
      </c>
    </row>
    <row r="1303" s="44" customFormat="1" spans="1:23">
      <c r="A1303" s="116"/>
      <c r="E1303" s="108"/>
      <c r="F1303" s="114"/>
      <c r="G1303" s="114"/>
      <c r="H1303" s="114"/>
      <c r="Q1303" s="44">
        <f>IF(数据录入!$B1303="",0,IF(OR(数据录入!$D1303="投标保证金",数据录入!$D1303="合同履约保证金",ISNUMBER(FIND("保证金",数据录入!$E1303))),1,0))</f>
      </c>
      <c r="R1303" s="44">
        <f>IF(AND($Q1303=1,数据录入!$B1303&gt;=$B$2,数据录入!$B1303&lt;=$D$2),N(R1302)+1,N(R1302))</f>
      </c>
    </row>
    <row r="1304" s="44" customFormat="1" spans="1:23">
      <c r="A1304" s="116"/>
      <c r="E1304" s="108"/>
      <c r="F1304" s="114"/>
      <c r="G1304" s="114"/>
      <c r="H1304" s="114"/>
      <c r="Q1304" s="44">
        <f>IF(数据录入!$B1304="",0,IF(OR(数据录入!$D1304="投标保证金",数据录入!$D1304="合同履约保证金",ISNUMBER(FIND("保证金",数据录入!$E1304))),1,0))</f>
      </c>
      <c r="R1304" s="44">
        <f>IF(AND($Q1304=1,数据录入!$B1304&gt;=$B$2,数据录入!$B1304&lt;=$D$2),N(R1303)+1,N(R1303))</f>
      </c>
    </row>
    <row r="1305" s="44" customFormat="1" spans="1:23">
      <c r="A1305" s="116"/>
      <c r="E1305" s="108"/>
      <c r="F1305" s="114"/>
      <c r="G1305" s="114"/>
      <c r="H1305" s="114"/>
      <c r="Q1305" s="44">
        <f>IF(数据录入!$B1305="",0,IF(OR(数据录入!$D1305="投标保证金",数据录入!$D1305="合同履约保证金",ISNUMBER(FIND("保证金",数据录入!$E1305))),1,0))</f>
      </c>
      <c r="R1305" s="44">
        <f>IF(AND($Q1305=1,数据录入!$B1305&gt;=$B$2,数据录入!$B1305&lt;=$D$2),N(R1304)+1,N(R1304))</f>
      </c>
    </row>
    <row r="1306" s="44" customFormat="1" spans="1:23">
      <c r="A1306" s="116"/>
      <c r="E1306" s="108"/>
      <c r="F1306" s="114"/>
      <c r="G1306" s="114"/>
      <c r="H1306" s="114"/>
      <c r="Q1306" s="44">
        <f>IF(数据录入!$B1306="",0,IF(OR(数据录入!$D1306="投标保证金",数据录入!$D1306="合同履约保证金",ISNUMBER(FIND("保证金",数据录入!$E1306))),1,0))</f>
      </c>
      <c r="R1306" s="44">
        <f>IF(AND($Q1306=1,数据录入!$B1306&gt;=$B$2,数据录入!$B1306&lt;=$D$2),N(R1305)+1,N(R1305))</f>
      </c>
    </row>
    <row r="1307" s="44" customFormat="1" spans="1:23">
      <c r="A1307" s="116"/>
      <c r="E1307" s="108"/>
      <c r="F1307" s="114"/>
      <c r="G1307" s="114"/>
      <c r="H1307" s="114"/>
      <c r="Q1307" s="44">
        <f>IF(数据录入!$B1307="",0,IF(OR(数据录入!$D1307="投标保证金",数据录入!$D1307="合同履约保证金",ISNUMBER(FIND("保证金",数据录入!$E1307))),1,0))</f>
      </c>
      <c r="R1307" s="44">
        <f>IF(AND($Q1307=1,数据录入!$B1307&gt;=$B$2,数据录入!$B1307&lt;=$D$2),N(R1306)+1,N(R1306))</f>
      </c>
    </row>
    <row r="1308" s="44" customFormat="1" spans="1:23">
      <c r="A1308" s="116"/>
      <c r="E1308" s="108"/>
      <c r="F1308" s="114"/>
      <c r="G1308" s="114"/>
      <c r="H1308" s="114"/>
      <c r="Q1308" s="44">
        <f>IF(数据录入!$B1308="",0,IF(OR(数据录入!$D1308="投标保证金",数据录入!$D1308="合同履约保证金",ISNUMBER(FIND("保证金",数据录入!$E1308))),1,0))</f>
      </c>
      <c r="R1308" s="44">
        <f>IF(AND($Q1308=1,数据录入!$B1308&gt;=$B$2,数据录入!$B1308&lt;=$D$2),N(R1307)+1,N(R1307))</f>
      </c>
    </row>
    <row r="1309" s="44" customFormat="1" spans="1:23">
      <c r="A1309" s="116"/>
      <c r="E1309" s="108"/>
      <c r="F1309" s="114"/>
      <c r="G1309" s="114"/>
      <c r="H1309" s="114"/>
      <c r="Q1309" s="44">
        <f>IF(数据录入!$B1309="",0,IF(OR(数据录入!$D1309="投标保证金",数据录入!$D1309="合同履约保证金",ISNUMBER(FIND("保证金",数据录入!$E1309))),1,0))</f>
      </c>
      <c r="R1309" s="44">
        <f>IF(AND($Q1309=1,数据录入!$B1309&gt;=$B$2,数据录入!$B1309&lt;=$D$2),N(R1308)+1,N(R1308))</f>
      </c>
    </row>
    <row r="1310" s="44" customFormat="1" spans="1:23">
      <c r="A1310" s="116"/>
      <c r="E1310" s="108"/>
      <c r="F1310" s="114"/>
      <c r="G1310" s="114"/>
      <c r="H1310" s="114"/>
      <c r="Q1310" s="44">
        <f>IF(数据录入!$B1310="",0,IF(OR(数据录入!$D1310="投标保证金",数据录入!$D1310="合同履约保证金",ISNUMBER(FIND("保证金",数据录入!$E1310))),1,0))</f>
      </c>
      <c r="R1310" s="44">
        <f>IF(AND($Q1310=1,数据录入!$B1310&gt;=$B$2,数据录入!$B1310&lt;=$D$2),N(R1309)+1,N(R1309))</f>
      </c>
    </row>
    <row r="1311" s="44" customFormat="1" spans="1:23">
      <c r="A1311" s="116"/>
      <c r="E1311" s="108"/>
      <c r="F1311" s="114"/>
      <c r="G1311" s="114"/>
      <c r="H1311" s="114"/>
      <c r="Q1311" s="44">
        <f>IF(数据录入!$B1311="",0,IF(OR(数据录入!$D1311="投标保证金",数据录入!$D1311="合同履约保证金",ISNUMBER(FIND("保证金",数据录入!$E1311))),1,0))</f>
      </c>
      <c r="R1311" s="44">
        <f>IF(AND($Q1311=1,数据录入!$B1311&gt;=$B$2,数据录入!$B1311&lt;=$D$2),N(R1310)+1,N(R1310))</f>
      </c>
    </row>
    <row r="1312" s="44" customFormat="1" spans="1:23">
      <c r="A1312" s="116"/>
      <c r="E1312" s="108"/>
      <c r="F1312" s="114"/>
      <c r="G1312" s="114"/>
      <c r="H1312" s="114"/>
      <c r="Q1312" s="44">
        <f>IF(数据录入!$B1312="",0,IF(OR(数据录入!$D1312="投标保证金",数据录入!$D1312="合同履约保证金",ISNUMBER(FIND("保证金",数据录入!$E1312))),1,0))</f>
      </c>
      <c r="R1312" s="44">
        <f>IF(AND($Q1312=1,数据录入!$B1312&gt;=$B$2,数据录入!$B1312&lt;=$D$2),N(R1311)+1,N(R1311))</f>
      </c>
    </row>
    <row r="1313" s="44" customFormat="1" spans="1:23">
      <c r="A1313" s="116"/>
      <c r="E1313" s="108"/>
      <c r="F1313" s="114"/>
      <c r="G1313" s="114"/>
      <c r="H1313" s="114"/>
      <c r="Q1313" s="44">
        <f>IF(数据录入!$B1313="",0,IF(OR(数据录入!$D1313="投标保证金",数据录入!$D1313="合同履约保证金",ISNUMBER(FIND("保证金",数据录入!$E1313))),1,0))</f>
      </c>
      <c r="R1313" s="44">
        <f>IF(AND($Q1313=1,数据录入!$B1313&gt;=$B$2,数据录入!$B1313&lt;=$D$2),N(R1312)+1,N(R1312))</f>
      </c>
    </row>
    <row r="1314" s="44" customFormat="1" spans="1:23">
      <c r="A1314" s="116"/>
      <c r="E1314" s="108"/>
      <c r="F1314" s="114"/>
      <c r="G1314" s="114"/>
      <c r="H1314" s="114"/>
      <c r="Q1314" s="44">
        <f>IF(数据录入!$B1314="",0,IF(OR(数据录入!$D1314="投标保证金",数据录入!$D1314="合同履约保证金",ISNUMBER(FIND("保证金",数据录入!$E1314))),1,0))</f>
      </c>
      <c r="R1314" s="44">
        <f>IF(AND($Q1314=1,数据录入!$B1314&gt;=$B$2,数据录入!$B1314&lt;=$D$2),N(R1313)+1,N(R1313))</f>
      </c>
    </row>
    <row r="1315" s="44" customFormat="1" spans="1:23">
      <c r="A1315" s="116"/>
      <c r="E1315" s="108"/>
      <c r="F1315" s="114"/>
      <c r="G1315" s="114"/>
      <c r="H1315" s="114"/>
      <c r="Q1315" s="44">
        <f>IF(数据录入!$B1315="",0,IF(OR(数据录入!$D1315="投标保证金",数据录入!$D1315="合同履约保证金",ISNUMBER(FIND("保证金",数据录入!$E1315))),1,0))</f>
      </c>
      <c r="R1315" s="44">
        <f>IF(AND($Q1315=1,数据录入!$B1315&gt;=$B$2,数据录入!$B1315&lt;=$D$2),N(R1314)+1,N(R1314))</f>
      </c>
    </row>
    <row r="1316" s="44" customFormat="1" spans="1:23">
      <c r="A1316" s="116"/>
      <c r="E1316" s="108"/>
      <c r="F1316" s="114"/>
      <c r="G1316" s="114"/>
      <c r="H1316" s="114"/>
      <c r="Q1316" s="44">
        <f>IF(数据录入!$B1316="",0,IF(OR(数据录入!$D1316="投标保证金",数据录入!$D1316="合同履约保证金",ISNUMBER(FIND("保证金",数据录入!$E1316))),1,0))</f>
      </c>
      <c r="R1316" s="44">
        <f>IF(AND($Q1316=1,数据录入!$B1316&gt;=$B$2,数据录入!$B1316&lt;=$D$2),N(R1315)+1,N(R1315))</f>
      </c>
    </row>
    <row r="1317" s="44" customFormat="1" spans="1:23">
      <c r="A1317" s="116"/>
      <c r="E1317" s="108"/>
      <c r="F1317" s="114"/>
      <c r="G1317" s="114"/>
      <c r="H1317" s="114"/>
      <c r="Q1317" s="44">
        <f>IF(数据录入!$B1317="",0,IF(OR(数据录入!$D1317="投标保证金",数据录入!$D1317="合同履约保证金",ISNUMBER(FIND("保证金",数据录入!$E1317))),1,0))</f>
      </c>
      <c r="R1317" s="44">
        <f>IF(AND($Q1317=1,数据录入!$B1317&gt;=$B$2,数据录入!$B1317&lt;=$D$2),N(R1316)+1,N(R1316))</f>
      </c>
    </row>
    <row r="1318" s="44" customFormat="1" spans="1:23">
      <c r="A1318" s="116"/>
      <c r="E1318" s="108"/>
      <c r="F1318" s="114"/>
      <c r="G1318" s="114"/>
      <c r="H1318" s="114"/>
      <c r="Q1318" s="44">
        <f>IF(数据录入!$B1318="",0,IF(OR(数据录入!$D1318="投标保证金",数据录入!$D1318="合同履约保证金",ISNUMBER(FIND("保证金",数据录入!$E1318))),1,0))</f>
      </c>
      <c r="R1318" s="44">
        <f>IF(AND($Q1318=1,数据录入!$B1318&gt;=$B$2,数据录入!$B1318&lt;=$D$2),N(R1317)+1,N(R1317))</f>
      </c>
    </row>
    <row r="1319" s="44" customFormat="1" spans="1:23">
      <c r="A1319" s="116"/>
      <c r="E1319" s="108"/>
      <c r="F1319" s="114"/>
      <c r="G1319" s="114"/>
      <c r="H1319" s="114"/>
      <c r="Q1319" s="44">
        <f>IF(数据录入!$B1319="",0,IF(OR(数据录入!$D1319="投标保证金",数据录入!$D1319="合同履约保证金",ISNUMBER(FIND("保证金",数据录入!$E1319))),1,0))</f>
      </c>
      <c r="R1319" s="44">
        <f>IF(AND($Q1319=1,数据录入!$B1319&gt;=$B$2,数据录入!$B1319&lt;=$D$2),N(R1318)+1,N(R1318))</f>
      </c>
    </row>
    <row r="1320" s="44" customFormat="1" spans="1:23">
      <c r="A1320" s="116"/>
      <c r="E1320" s="108"/>
      <c r="F1320" s="114"/>
      <c r="G1320" s="114"/>
      <c r="H1320" s="114"/>
      <c r="Q1320" s="44">
        <f>IF(数据录入!$B1320="",0,IF(OR(数据录入!$D1320="投标保证金",数据录入!$D1320="合同履约保证金",ISNUMBER(FIND("保证金",数据录入!$E1320))),1,0))</f>
      </c>
      <c r="R1320" s="44">
        <f>IF(AND($Q1320=1,数据录入!$B1320&gt;=$B$2,数据录入!$B1320&lt;=$D$2),N(R1319)+1,N(R1319))</f>
      </c>
    </row>
    <row r="1321" s="44" customFormat="1" spans="1:23">
      <c r="A1321" s="116"/>
      <c r="E1321" s="108"/>
      <c r="F1321" s="114"/>
      <c r="G1321" s="114"/>
      <c r="H1321" s="114"/>
      <c r="Q1321" s="44">
        <f>IF(数据录入!$B1321="",0,IF(OR(数据录入!$D1321="投标保证金",数据录入!$D1321="合同履约保证金",ISNUMBER(FIND("保证金",数据录入!$E1321))),1,0))</f>
      </c>
      <c r="R1321" s="44">
        <f>IF(AND($Q1321=1,数据录入!$B1321&gt;=$B$2,数据录入!$B1321&lt;=$D$2),N(R1320)+1,N(R1320))</f>
      </c>
    </row>
    <row r="1322" s="44" customFormat="1" spans="1:23">
      <c r="A1322" s="116"/>
      <c r="E1322" s="108"/>
      <c r="F1322" s="114"/>
      <c r="G1322" s="114"/>
      <c r="H1322" s="114"/>
      <c r="Q1322" s="44">
        <f>IF(数据录入!$B1322="",0,IF(OR(数据录入!$D1322="投标保证金",数据录入!$D1322="合同履约保证金",ISNUMBER(FIND("保证金",数据录入!$E1322))),1,0))</f>
      </c>
      <c r="R1322" s="44">
        <f>IF(AND($Q1322=1,数据录入!$B1322&gt;=$B$2,数据录入!$B1322&lt;=$D$2),N(R1321)+1,N(R1321))</f>
      </c>
    </row>
    <row r="1323" s="44" customFormat="1" spans="1:23">
      <c r="A1323" s="116"/>
      <c r="E1323" s="108"/>
      <c r="F1323" s="114"/>
      <c r="G1323" s="114"/>
      <c r="H1323" s="114"/>
      <c r="Q1323" s="44">
        <f>IF(数据录入!$B1323="",0,IF(OR(数据录入!$D1323="投标保证金",数据录入!$D1323="合同履约保证金",ISNUMBER(FIND("保证金",数据录入!$E1323))),1,0))</f>
      </c>
      <c r="R1323" s="44">
        <f>IF(AND($Q1323=1,数据录入!$B1323&gt;=$B$2,数据录入!$B1323&lt;=$D$2),N(R1322)+1,N(R1322))</f>
      </c>
    </row>
    <row r="1324" s="44" customFormat="1" spans="1:23">
      <c r="A1324" s="116"/>
      <c r="E1324" s="108"/>
      <c r="F1324" s="114"/>
      <c r="G1324" s="114"/>
      <c r="H1324" s="114"/>
      <c r="Q1324" s="44">
        <f>IF(数据录入!$B1324="",0,IF(OR(数据录入!$D1324="投标保证金",数据录入!$D1324="合同履约保证金",ISNUMBER(FIND("保证金",数据录入!$E1324))),1,0))</f>
      </c>
      <c r="R1324" s="44">
        <f>IF(AND($Q1324=1,数据录入!$B1324&gt;=$B$2,数据录入!$B1324&lt;=$D$2),N(R1323)+1,N(R1323))</f>
      </c>
    </row>
    <row r="1325" s="44" customFormat="1" spans="1:23">
      <c r="A1325" s="116"/>
      <c r="E1325" s="108"/>
      <c r="F1325" s="114"/>
      <c r="G1325" s="114"/>
      <c r="H1325" s="114"/>
      <c r="Q1325" s="44">
        <f>IF(数据录入!$B1325="",0,IF(OR(数据录入!$D1325="投标保证金",数据录入!$D1325="合同履约保证金",ISNUMBER(FIND("保证金",数据录入!$E1325))),1,0))</f>
      </c>
      <c r="R1325" s="44">
        <f>IF(AND($Q1325=1,数据录入!$B1325&gt;=$B$2,数据录入!$B1325&lt;=$D$2),N(R1324)+1,N(R1324))</f>
      </c>
    </row>
    <row r="1326" s="44" customFormat="1" spans="1:23">
      <c r="A1326" s="116"/>
      <c r="E1326" s="108"/>
      <c r="F1326" s="114"/>
      <c r="G1326" s="114"/>
      <c r="H1326" s="114"/>
      <c r="Q1326" s="44">
        <f>IF(数据录入!$B1326="",0,IF(OR(数据录入!$D1326="投标保证金",数据录入!$D1326="合同履约保证金",ISNUMBER(FIND("保证金",数据录入!$E1326))),1,0))</f>
      </c>
      <c r="R1326" s="44">
        <f>IF(AND($Q1326=1,数据录入!$B1326&gt;=$B$2,数据录入!$B1326&lt;=$D$2),N(R1325)+1,N(R1325))</f>
      </c>
    </row>
    <row r="1327" s="44" customFormat="1" spans="1:23">
      <c r="A1327" s="116"/>
      <c r="E1327" s="108"/>
      <c r="F1327" s="114"/>
      <c r="G1327" s="114"/>
      <c r="H1327" s="114"/>
      <c r="Q1327" s="44">
        <f>IF(数据录入!$B1327="",0,IF(OR(数据录入!$D1327="投标保证金",数据录入!$D1327="合同履约保证金",ISNUMBER(FIND("保证金",数据录入!$E1327))),1,0))</f>
      </c>
      <c r="R1327" s="44">
        <f>IF(AND($Q1327=1,数据录入!$B1327&gt;=$B$2,数据录入!$B1327&lt;=$D$2),N(R1326)+1,N(R1326))</f>
      </c>
    </row>
    <row r="1328" s="44" customFormat="1" spans="1:23">
      <c r="A1328" s="116"/>
      <c r="E1328" s="108"/>
      <c r="F1328" s="114"/>
      <c r="G1328" s="114"/>
      <c r="H1328" s="114"/>
      <c r="Q1328" s="44">
        <f>IF(数据录入!$B1328="",0,IF(OR(数据录入!$D1328="投标保证金",数据录入!$D1328="合同履约保证金",ISNUMBER(FIND("保证金",数据录入!$E1328))),1,0))</f>
      </c>
      <c r="R1328" s="44">
        <f>IF(AND($Q1328=1,数据录入!$B1328&gt;=$B$2,数据录入!$B1328&lt;=$D$2),N(R1327)+1,N(R1327))</f>
      </c>
    </row>
    <row r="1329" s="44" customFormat="1" spans="1:23">
      <c r="A1329" s="116"/>
      <c r="E1329" s="108"/>
      <c r="F1329" s="114"/>
      <c r="G1329" s="114"/>
      <c r="H1329" s="114"/>
      <c r="Q1329" s="44">
        <f>IF(数据录入!$B1329="",0,IF(OR(数据录入!$D1329="投标保证金",数据录入!$D1329="合同履约保证金",ISNUMBER(FIND("保证金",数据录入!$E1329))),1,0))</f>
      </c>
      <c r="R1329" s="44">
        <f>IF(AND($Q1329=1,数据录入!$B1329&gt;=$B$2,数据录入!$B1329&lt;=$D$2),N(R1328)+1,N(R1328))</f>
      </c>
    </row>
    <row r="1330" s="44" customFormat="1" spans="1:23">
      <c r="A1330" s="116"/>
      <c r="E1330" s="108"/>
      <c r="F1330" s="114"/>
      <c r="G1330" s="114"/>
      <c r="H1330" s="114"/>
      <c r="Q1330" s="44">
        <f>IF(数据录入!$B1330="",0,IF(OR(数据录入!$D1330="投标保证金",数据录入!$D1330="合同履约保证金",ISNUMBER(FIND("保证金",数据录入!$E1330))),1,0))</f>
      </c>
      <c r="R1330" s="44">
        <f>IF(AND($Q1330=1,数据录入!$B1330&gt;=$B$2,数据录入!$B1330&lt;=$D$2),N(R1329)+1,N(R1329))</f>
      </c>
    </row>
    <row r="1331" s="44" customFormat="1" spans="1:23">
      <c r="A1331" s="116"/>
      <c r="E1331" s="108"/>
      <c r="F1331" s="114"/>
      <c r="G1331" s="114"/>
      <c r="H1331" s="114"/>
      <c r="Q1331" s="44">
        <f>IF(数据录入!$B1331="",0,IF(OR(数据录入!$D1331="投标保证金",数据录入!$D1331="合同履约保证金",ISNUMBER(FIND("保证金",数据录入!$E1331))),1,0))</f>
      </c>
      <c r="R1331" s="44">
        <f>IF(AND($Q1331=1,数据录入!$B1331&gt;=$B$2,数据录入!$B1331&lt;=$D$2),N(R1330)+1,N(R1330))</f>
      </c>
    </row>
    <row r="1332" s="44" customFormat="1" spans="1:23">
      <c r="A1332" s="116"/>
      <c r="E1332" s="108"/>
      <c r="F1332" s="114"/>
      <c r="G1332" s="114"/>
      <c r="H1332" s="114"/>
      <c r="Q1332" s="44">
        <f>IF(数据录入!$B1332="",0,IF(OR(数据录入!$D1332="投标保证金",数据录入!$D1332="合同履约保证金",ISNUMBER(FIND("保证金",数据录入!$E1332))),1,0))</f>
      </c>
      <c r="R1332" s="44">
        <f>IF(AND($Q1332=1,数据录入!$B1332&gt;=$B$2,数据录入!$B1332&lt;=$D$2),N(R1331)+1,N(R1331))</f>
      </c>
    </row>
    <row r="1333" s="44" customFormat="1" spans="1:23">
      <c r="A1333" s="116"/>
      <c r="E1333" s="108"/>
      <c r="F1333" s="114"/>
      <c r="G1333" s="114"/>
      <c r="H1333" s="114"/>
      <c r="Q1333" s="44">
        <f>IF(数据录入!$B1333="",0,IF(OR(数据录入!$D1333="投标保证金",数据录入!$D1333="合同履约保证金",ISNUMBER(FIND("保证金",数据录入!$E1333))),1,0))</f>
      </c>
      <c r="R1333" s="44">
        <f>IF(AND($Q1333=1,数据录入!$B1333&gt;=$B$2,数据录入!$B1333&lt;=$D$2),N(R1332)+1,N(R1332))</f>
      </c>
    </row>
    <row r="1334" s="44" customFormat="1" spans="1:23">
      <c r="A1334" s="116"/>
      <c r="E1334" s="108"/>
      <c r="F1334" s="114"/>
      <c r="G1334" s="114"/>
      <c r="H1334" s="114"/>
      <c r="Q1334" s="44">
        <f>IF(数据录入!$B1334="",0,IF(OR(数据录入!$D1334="投标保证金",数据录入!$D1334="合同履约保证金",ISNUMBER(FIND("保证金",数据录入!$E1334))),1,0))</f>
      </c>
      <c r="R1334" s="44">
        <f>IF(AND($Q1334=1,数据录入!$B1334&gt;=$B$2,数据录入!$B1334&lt;=$D$2),N(R1333)+1,N(R1333))</f>
      </c>
    </row>
    <row r="1335" s="44" customFormat="1" spans="1:23">
      <c r="A1335" s="116"/>
      <c r="E1335" s="108"/>
      <c r="F1335" s="114"/>
      <c r="G1335" s="114"/>
      <c r="H1335" s="114"/>
      <c r="Q1335" s="44">
        <f>IF(数据录入!$B1335="",0,IF(OR(数据录入!$D1335="投标保证金",数据录入!$D1335="合同履约保证金",ISNUMBER(FIND("保证金",数据录入!$E1335))),1,0))</f>
      </c>
      <c r="R1335" s="44">
        <f>IF(AND($Q1335=1,数据录入!$B1335&gt;=$B$2,数据录入!$B1335&lt;=$D$2),N(R1334)+1,N(R1334))</f>
      </c>
    </row>
    <row r="1336" s="44" customFormat="1" spans="1:23">
      <c r="A1336" s="116"/>
      <c r="E1336" s="108"/>
      <c r="F1336" s="114"/>
      <c r="G1336" s="114"/>
      <c r="H1336" s="114"/>
      <c r="Q1336" s="44">
        <f>IF(数据录入!$B1336="",0,IF(OR(数据录入!$D1336="投标保证金",数据录入!$D1336="合同履约保证金",ISNUMBER(FIND("保证金",数据录入!$E1336))),1,0))</f>
      </c>
      <c r="R1336" s="44">
        <f>IF(AND($Q1336=1,数据录入!$B1336&gt;=$B$2,数据录入!$B1336&lt;=$D$2),N(R1335)+1,N(R1335))</f>
      </c>
    </row>
    <row r="1337" s="44" customFormat="1" spans="1:23">
      <c r="A1337" s="116"/>
      <c r="E1337" s="108"/>
      <c r="F1337" s="114"/>
      <c r="G1337" s="114"/>
      <c r="H1337" s="114"/>
      <c r="Q1337" s="44">
        <f>IF(数据录入!$B1337="",0,IF(OR(数据录入!$D1337="投标保证金",数据录入!$D1337="合同履约保证金",ISNUMBER(FIND("保证金",数据录入!$E1337))),1,0))</f>
      </c>
      <c r="R1337" s="44">
        <f>IF(AND($Q1337=1,数据录入!$B1337&gt;=$B$2,数据录入!$B1337&lt;=$D$2),N(R1336)+1,N(R1336))</f>
      </c>
    </row>
    <row r="1338" s="44" customFormat="1" spans="1:23">
      <c r="A1338" s="116"/>
      <c r="E1338" s="108"/>
      <c r="F1338" s="114"/>
      <c r="G1338" s="114"/>
      <c r="H1338" s="114"/>
      <c r="Q1338" s="44">
        <f>IF(数据录入!$B1338="",0,IF(OR(数据录入!$D1338="投标保证金",数据录入!$D1338="合同履约保证金",ISNUMBER(FIND("保证金",数据录入!$E1338))),1,0))</f>
      </c>
      <c r="R1338" s="44">
        <f>IF(AND($Q1338=1,数据录入!$B1338&gt;=$B$2,数据录入!$B1338&lt;=$D$2),N(R1337)+1,N(R1337))</f>
      </c>
    </row>
    <row r="1339" s="44" customFormat="1" spans="1:23">
      <c r="A1339" s="116"/>
      <c r="E1339" s="108"/>
      <c r="F1339" s="114"/>
      <c r="G1339" s="114"/>
      <c r="H1339" s="114"/>
      <c r="Q1339" s="44">
        <f>IF(数据录入!$B1339="",0,IF(OR(数据录入!$D1339="投标保证金",数据录入!$D1339="合同履约保证金",ISNUMBER(FIND("保证金",数据录入!$E1339))),1,0))</f>
      </c>
      <c r="R1339" s="44">
        <f>IF(AND($Q1339=1,数据录入!$B1339&gt;=$B$2,数据录入!$B1339&lt;=$D$2),N(R1338)+1,N(R1338))</f>
      </c>
    </row>
    <row r="1340" s="44" customFormat="1" spans="1:23">
      <c r="A1340" s="116"/>
      <c r="E1340" s="108"/>
      <c r="F1340" s="114"/>
      <c r="G1340" s="114"/>
      <c r="H1340" s="114"/>
      <c r="Q1340" s="44">
        <f>IF(数据录入!$B1340="",0,IF(OR(数据录入!$D1340="投标保证金",数据录入!$D1340="合同履约保证金",ISNUMBER(FIND("保证金",数据录入!$E1340))),1,0))</f>
      </c>
      <c r="R1340" s="44">
        <f>IF(AND($Q1340=1,数据录入!$B1340&gt;=$B$2,数据录入!$B1340&lt;=$D$2),N(R1339)+1,N(R1339))</f>
      </c>
    </row>
    <row r="1341" s="44" customFormat="1" spans="1:23">
      <c r="A1341" s="116"/>
      <c r="E1341" s="108"/>
      <c r="F1341" s="114"/>
      <c r="G1341" s="114"/>
      <c r="H1341" s="114"/>
      <c r="Q1341" s="44">
        <f>IF(数据录入!$B1341="",0,IF(OR(数据录入!$D1341="投标保证金",数据录入!$D1341="合同履约保证金",ISNUMBER(FIND("保证金",数据录入!$E1341))),1,0))</f>
      </c>
      <c r="R1341" s="44">
        <f>IF(AND($Q1341=1,数据录入!$B1341&gt;=$B$2,数据录入!$B1341&lt;=$D$2),N(R1340)+1,N(R1340))</f>
      </c>
    </row>
    <row r="1342" s="44" customFormat="1" spans="1:23">
      <c r="A1342" s="116"/>
      <c r="E1342" s="108"/>
      <c r="F1342" s="114"/>
      <c r="G1342" s="114"/>
      <c r="H1342" s="114"/>
      <c r="Q1342" s="44">
        <f>IF(数据录入!$B1342="",0,IF(OR(数据录入!$D1342="投标保证金",数据录入!$D1342="合同履约保证金",ISNUMBER(FIND("保证金",数据录入!$E1342))),1,0))</f>
      </c>
      <c r="R1342" s="44">
        <f>IF(AND($Q1342=1,数据录入!$B1342&gt;=$B$2,数据录入!$B1342&lt;=$D$2),N(R1341)+1,N(R1341))</f>
      </c>
    </row>
    <row r="1343" s="44" customFormat="1" spans="1:23">
      <c r="A1343" s="116"/>
      <c r="E1343" s="108"/>
      <c r="F1343" s="114"/>
      <c r="G1343" s="114"/>
      <c r="H1343" s="114"/>
      <c r="Q1343" s="44">
        <f>IF(数据录入!$B1343="",0,IF(OR(数据录入!$D1343="投标保证金",数据录入!$D1343="合同履约保证金",ISNUMBER(FIND("保证金",数据录入!$E1343))),1,0))</f>
      </c>
      <c r="R1343" s="44">
        <f>IF(AND($Q1343=1,数据录入!$B1343&gt;=$B$2,数据录入!$B1343&lt;=$D$2),N(R1342)+1,N(R1342))</f>
      </c>
    </row>
    <row r="1344" s="44" customFormat="1" spans="1:23">
      <c r="A1344" s="116"/>
      <c r="E1344" s="108"/>
      <c r="F1344" s="114"/>
      <c r="G1344" s="114"/>
      <c r="H1344" s="114"/>
      <c r="Q1344" s="44">
        <f>IF(数据录入!$B1344="",0,IF(OR(数据录入!$D1344="投标保证金",数据录入!$D1344="合同履约保证金",ISNUMBER(FIND("保证金",数据录入!$E1344))),1,0))</f>
      </c>
      <c r="R1344" s="44">
        <f>IF(AND($Q1344=1,数据录入!$B1344&gt;=$B$2,数据录入!$B1344&lt;=$D$2),N(R1343)+1,N(R1343))</f>
      </c>
    </row>
    <row r="1345" s="44" customFormat="1" spans="1:23">
      <c r="A1345" s="116"/>
      <c r="E1345" s="108"/>
      <c r="F1345" s="114"/>
      <c r="G1345" s="114"/>
      <c r="H1345" s="114"/>
      <c r="Q1345" s="44">
        <f>IF(数据录入!$B1345="",0,IF(OR(数据录入!$D1345="投标保证金",数据录入!$D1345="合同履约保证金",ISNUMBER(FIND("保证金",数据录入!$E1345))),1,0))</f>
      </c>
      <c r="R1345" s="44">
        <f>IF(AND($Q1345=1,数据录入!$B1345&gt;=$B$2,数据录入!$B1345&lt;=$D$2),N(R1344)+1,N(R1344))</f>
      </c>
    </row>
    <row r="1346" s="44" customFormat="1" spans="1:23">
      <c r="A1346" s="116"/>
      <c r="E1346" s="108"/>
      <c r="F1346" s="114"/>
      <c r="G1346" s="114"/>
      <c r="H1346" s="114"/>
      <c r="Q1346" s="44">
        <f>IF(数据录入!$B1346="",0,IF(OR(数据录入!$D1346="投标保证金",数据录入!$D1346="合同履约保证金",ISNUMBER(FIND("保证金",数据录入!$E1346))),1,0))</f>
      </c>
      <c r="R1346" s="44">
        <f>IF(AND($Q1346=1,数据录入!$B1346&gt;=$B$2,数据录入!$B1346&lt;=$D$2),N(R1345)+1,N(R1345))</f>
      </c>
    </row>
    <row r="1347" s="44" customFormat="1" spans="1:23">
      <c r="A1347" s="116"/>
      <c r="E1347" s="108"/>
      <c r="F1347" s="114"/>
      <c r="G1347" s="114"/>
      <c r="H1347" s="114"/>
      <c r="Q1347" s="44">
        <f>IF(数据录入!$B1347="",0,IF(OR(数据录入!$D1347="投标保证金",数据录入!$D1347="合同履约保证金",ISNUMBER(FIND("保证金",数据录入!$E1347))),1,0))</f>
      </c>
      <c r="R1347" s="44">
        <f>IF(AND($Q1347=1,数据录入!$B1347&gt;=$B$2,数据录入!$B1347&lt;=$D$2),N(R1346)+1,N(R1346))</f>
      </c>
    </row>
    <row r="1348" s="44" customFormat="1" spans="1:23">
      <c r="A1348" s="116"/>
      <c r="E1348" s="108"/>
      <c r="F1348" s="114"/>
      <c r="G1348" s="114"/>
      <c r="H1348" s="114"/>
      <c r="Q1348" s="44">
        <f>IF(数据录入!$B1348="",0,IF(OR(数据录入!$D1348="投标保证金",数据录入!$D1348="合同履约保证金",ISNUMBER(FIND("保证金",数据录入!$E1348))),1,0))</f>
      </c>
      <c r="R1348" s="44">
        <f>IF(AND($Q1348=1,数据录入!$B1348&gt;=$B$2,数据录入!$B1348&lt;=$D$2),N(R1347)+1,N(R1347))</f>
      </c>
    </row>
    <row r="1349" s="44" customFormat="1" spans="1:23">
      <c r="A1349" s="116"/>
      <c r="E1349" s="108"/>
      <c r="F1349" s="114"/>
      <c r="G1349" s="114"/>
      <c r="H1349" s="114"/>
      <c r="Q1349" s="44">
        <f>IF(数据录入!$B1349="",0,IF(OR(数据录入!$D1349="投标保证金",数据录入!$D1349="合同履约保证金",ISNUMBER(FIND("保证金",数据录入!$E1349))),1,0))</f>
      </c>
      <c r="R1349" s="44">
        <f>IF(AND($Q1349=1,数据录入!$B1349&gt;=$B$2,数据录入!$B1349&lt;=$D$2),N(R1348)+1,N(R1348))</f>
      </c>
    </row>
    <row r="1350" s="44" customFormat="1" spans="1:23">
      <c r="A1350" s="116"/>
      <c r="E1350" s="108"/>
      <c r="F1350" s="114"/>
      <c r="G1350" s="114"/>
      <c r="H1350" s="114"/>
      <c r="Q1350" s="44">
        <f>IF(数据录入!$B1350="",0,IF(OR(数据录入!$D1350="投标保证金",数据录入!$D1350="合同履约保证金",ISNUMBER(FIND("保证金",数据录入!$E1350))),1,0))</f>
      </c>
      <c r="R1350" s="44">
        <f>IF(AND($Q1350=1,数据录入!$B1350&gt;=$B$2,数据录入!$B1350&lt;=$D$2),N(R1349)+1,N(R1349))</f>
      </c>
    </row>
    <row r="1351" s="44" customFormat="1" spans="1:23">
      <c r="A1351" s="116"/>
      <c r="E1351" s="108"/>
      <c r="F1351" s="114"/>
      <c r="G1351" s="114"/>
      <c r="H1351" s="114"/>
      <c r="Q1351" s="44">
        <f>IF(数据录入!$B1351="",0,IF(OR(数据录入!$D1351="投标保证金",数据录入!$D1351="合同履约保证金",ISNUMBER(FIND("保证金",数据录入!$E1351))),1,0))</f>
      </c>
      <c r="R1351" s="44">
        <f>IF(AND($Q1351=1,数据录入!$B1351&gt;=$B$2,数据录入!$B1351&lt;=$D$2),N(R1350)+1,N(R1350))</f>
      </c>
    </row>
    <row r="1352" s="44" customFormat="1" spans="1:23">
      <c r="A1352" s="116"/>
      <c r="E1352" s="108"/>
      <c r="F1352" s="114"/>
      <c r="G1352" s="114"/>
      <c r="H1352" s="114"/>
      <c r="Q1352" s="44">
        <f>IF(数据录入!$B1352="",0,IF(OR(数据录入!$D1352="投标保证金",数据录入!$D1352="合同履约保证金",ISNUMBER(FIND("保证金",数据录入!$E1352))),1,0))</f>
      </c>
      <c r="R1352" s="44">
        <f>IF(AND($Q1352=1,数据录入!$B1352&gt;=$B$2,数据录入!$B1352&lt;=$D$2),N(R1351)+1,N(R1351))</f>
      </c>
    </row>
    <row r="1353" s="44" customFormat="1" spans="1:23">
      <c r="A1353" s="116"/>
      <c r="E1353" s="108"/>
      <c r="F1353" s="114"/>
      <c r="G1353" s="114"/>
      <c r="H1353" s="114"/>
      <c r="Q1353" s="44">
        <f>IF(数据录入!$B1353="",0,IF(OR(数据录入!$D1353="投标保证金",数据录入!$D1353="合同履约保证金",ISNUMBER(FIND("保证金",数据录入!$E1353))),1,0))</f>
      </c>
      <c r="R1353" s="44">
        <f>IF(AND($Q1353=1,数据录入!$B1353&gt;=$B$2,数据录入!$B1353&lt;=$D$2),N(R1352)+1,N(R1352))</f>
      </c>
    </row>
    <row r="1354" s="44" customFormat="1" spans="1:23">
      <c r="A1354" s="116"/>
      <c r="E1354" s="108"/>
      <c r="F1354" s="114"/>
      <c r="G1354" s="114"/>
      <c r="H1354" s="114"/>
      <c r="Q1354" s="44">
        <f>IF(数据录入!$B1354="",0,IF(OR(数据录入!$D1354="投标保证金",数据录入!$D1354="合同履约保证金",ISNUMBER(FIND("保证金",数据录入!$E1354))),1,0))</f>
      </c>
      <c r="R1354" s="44">
        <f>IF(AND($Q1354=1,数据录入!$B1354&gt;=$B$2,数据录入!$B1354&lt;=$D$2),N(R1353)+1,N(R1353))</f>
      </c>
    </row>
    <row r="1355" s="44" customFormat="1" spans="1:23">
      <c r="A1355" s="116"/>
      <c r="E1355" s="108"/>
      <c r="F1355" s="114"/>
      <c r="G1355" s="114"/>
      <c r="H1355" s="114"/>
      <c r="Q1355" s="44">
        <f>IF(数据录入!$B1355="",0,IF(OR(数据录入!$D1355="投标保证金",数据录入!$D1355="合同履约保证金",ISNUMBER(FIND("保证金",数据录入!$E1355))),1,0))</f>
      </c>
      <c r="R1355" s="44">
        <f>IF(AND($Q1355=1,数据录入!$B1355&gt;=$B$2,数据录入!$B1355&lt;=$D$2),N(R1354)+1,N(R1354))</f>
      </c>
    </row>
    <row r="1356" s="44" customFormat="1" spans="1:23">
      <c r="A1356" s="116"/>
      <c r="E1356" s="108"/>
      <c r="F1356" s="114"/>
      <c r="G1356" s="114"/>
      <c r="H1356" s="114"/>
      <c r="Q1356" s="44">
        <f>IF(数据录入!$B1356="",0,IF(OR(数据录入!$D1356="投标保证金",数据录入!$D1356="合同履约保证金",ISNUMBER(FIND("保证金",数据录入!$E1356))),1,0))</f>
      </c>
      <c r="R1356" s="44">
        <f>IF(AND($Q1356=1,数据录入!$B1356&gt;=$B$2,数据录入!$B1356&lt;=$D$2),N(R1355)+1,N(R1355))</f>
      </c>
    </row>
    <row r="1357" s="44" customFormat="1" spans="1:23">
      <c r="A1357" s="116"/>
      <c r="E1357" s="108"/>
      <c r="F1357" s="114"/>
      <c r="G1357" s="114"/>
      <c r="H1357" s="114"/>
      <c r="Q1357" s="44">
        <f>IF(数据录入!$B1357="",0,IF(OR(数据录入!$D1357="投标保证金",数据录入!$D1357="合同履约保证金",ISNUMBER(FIND("保证金",数据录入!$E1357))),1,0))</f>
      </c>
      <c r="R1357" s="44">
        <f>IF(AND($Q1357=1,数据录入!$B1357&gt;=$B$2,数据录入!$B1357&lt;=$D$2),N(R1356)+1,N(R1356))</f>
      </c>
    </row>
    <row r="1358" s="44" customFormat="1" spans="1:23">
      <c r="A1358" s="116"/>
      <c r="E1358" s="108"/>
      <c r="F1358" s="114"/>
      <c r="G1358" s="114"/>
      <c r="H1358" s="114"/>
      <c r="Q1358" s="44">
        <f>IF(数据录入!$B1358="",0,IF(OR(数据录入!$D1358="投标保证金",数据录入!$D1358="合同履约保证金",ISNUMBER(FIND("保证金",数据录入!$E1358))),1,0))</f>
      </c>
      <c r="R1358" s="44">
        <f>IF(AND($Q1358=1,数据录入!$B1358&gt;=$B$2,数据录入!$B1358&lt;=$D$2),N(R1357)+1,N(R1357))</f>
      </c>
    </row>
    <row r="1359" s="44" customFormat="1" spans="1:23">
      <c r="A1359" s="116"/>
      <c r="E1359" s="108"/>
      <c r="F1359" s="114"/>
      <c r="G1359" s="114"/>
      <c r="H1359" s="114"/>
      <c r="Q1359" s="44">
        <f>IF(数据录入!$B1359="",0,IF(OR(数据录入!$D1359="投标保证金",数据录入!$D1359="合同履约保证金",ISNUMBER(FIND("保证金",数据录入!$E1359))),1,0))</f>
      </c>
      <c r="R1359" s="44">
        <f>IF(AND($Q1359=1,数据录入!$B1359&gt;=$B$2,数据录入!$B1359&lt;=$D$2),N(R1358)+1,N(R1358))</f>
      </c>
    </row>
    <row r="1360" s="44" customFormat="1" spans="1:23">
      <c r="A1360" s="116"/>
      <c r="E1360" s="108"/>
      <c r="F1360" s="114"/>
      <c r="G1360" s="114"/>
      <c r="H1360" s="114"/>
      <c r="Q1360" s="44">
        <f>IF(数据录入!$B1360="",0,IF(OR(数据录入!$D1360="投标保证金",数据录入!$D1360="合同履约保证金",ISNUMBER(FIND("保证金",数据录入!$E1360))),1,0))</f>
      </c>
      <c r="R1360" s="44">
        <f>IF(AND($Q1360=1,数据录入!$B1360&gt;=$B$2,数据录入!$B1360&lt;=$D$2),N(R1359)+1,N(R1359))</f>
      </c>
    </row>
    <row r="1361" s="44" customFormat="1" spans="1:23">
      <c r="A1361" s="116"/>
      <c r="E1361" s="108"/>
      <c r="F1361" s="114"/>
      <c r="G1361" s="114"/>
      <c r="H1361" s="114"/>
      <c r="Q1361" s="44">
        <f>IF(数据录入!$B1361="",0,IF(OR(数据录入!$D1361="投标保证金",数据录入!$D1361="合同履约保证金",ISNUMBER(FIND("保证金",数据录入!$E1361))),1,0))</f>
      </c>
      <c r="R1361" s="44">
        <f>IF(AND($Q1361=1,数据录入!$B1361&gt;=$B$2,数据录入!$B1361&lt;=$D$2),N(R1360)+1,N(R1360))</f>
      </c>
    </row>
    <row r="1362" s="44" customFormat="1" spans="1:23">
      <c r="A1362" s="116"/>
      <c r="E1362" s="108"/>
      <c r="F1362" s="114"/>
      <c r="G1362" s="114"/>
      <c r="H1362" s="114"/>
      <c r="Q1362" s="44">
        <f>IF(数据录入!$B1362="",0,IF(OR(数据录入!$D1362="投标保证金",数据录入!$D1362="合同履约保证金",ISNUMBER(FIND("保证金",数据录入!$E1362))),1,0))</f>
      </c>
      <c r="R1362" s="44">
        <f>IF(AND($Q1362=1,数据录入!$B1362&gt;=$B$2,数据录入!$B1362&lt;=$D$2),N(R1361)+1,N(R1361))</f>
      </c>
    </row>
    <row r="1363" s="44" customFormat="1" spans="1:23">
      <c r="A1363" s="116"/>
      <c r="E1363" s="108"/>
      <c r="F1363" s="114"/>
      <c r="G1363" s="114"/>
      <c r="H1363" s="114"/>
      <c r="Q1363" s="44">
        <f>IF(数据录入!$B1363="",0,IF(OR(数据录入!$D1363="投标保证金",数据录入!$D1363="合同履约保证金",ISNUMBER(FIND("保证金",数据录入!$E1363))),1,0))</f>
      </c>
      <c r="R1363" s="44">
        <f>IF(AND($Q1363=1,数据录入!$B1363&gt;=$B$2,数据录入!$B1363&lt;=$D$2),N(R1362)+1,N(R1362))</f>
      </c>
    </row>
    <row r="1364" s="44" customFormat="1" spans="1:23">
      <c r="A1364" s="116"/>
      <c r="E1364" s="108"/>
      <c r="F1364" s="114"/>
      <c r="G1364" s="114"/>
      <c r="H1364" s="114"/>
      <c r="Q1364" s="44">
        <f>IF(数据录入!$B1364="",0,IF(OR(数据录入!$D1364="投标保证金",数据录入!$D1364="合同履约保证金",ISNUMBER(FIND("保证金",数据录入!$E1364))),1,0))</f>
      </c>
      <c r="R1364" s="44">
        <f>IF(AND($Q1364=1,数据录入!$B1364&gt;=$B$2,数据录入!$B1364&lt;=$D$2),N(R1363)+1,N(R1363))</f>
      </c>
    </row>
    <row r="1365" s="44" customFormat="1" spans="1:23">
      <c r="A1365" s="116"/>
      <c r="E1365" s="108"/>
      <c r="F1365" s="114"/>
      <c r="G1365" s="114"/>
      <c r="H1365" s="114"/>
      <c r="Q1365" s="44">
        <f>IF(数据录入!$B1365="",0,IF(OR(数据录入!$D1365="投标保证金",数据录入!$D1365="合同履约保证金",ISNUMBER(FIND("保证金",数据录入!$E1365))),1,0))</f>
      </c>
      <c r="R1365" s="44">
        <f>IF(AND($Q1365=1,数据录入!$B1365&gt;=$B$2,数据录入!$B1365&lt;=$D$2),N(R1364)+1,N(R1364))</f>
      </c>
    </row>
    <row r="1366" s="44" customFormat="1" spans="1:23">
      <c r="A1366" s="116"/>
      <c r="E1366" s="108"/>
      <c r="F1366" s="114"/>
      <c r="G1366" s="114"/>
      <c r="H1366" s="114"/>
      <c r="Q1366" s="44">
        <f>IF(数据录入!$B1366="",0,IF(OR(数据录入!$D1366="投标保证金",数据录入!$D1366="合同履约保证金",ISNUMBER(FIND("保证金",数据录入!$E1366))),1,0))</f>
      </c>
      <c r="R1366" s="44">
        <f>IF(AND($Q1366=1,数据录入!$B1366&gt;=$B$2,数据录入!$B1366&lt;=$D$2),N(R1365)+1,N(R1365))</f>
      </c>
    </row>
    <row r="1367" s="44" customFormat="1" spans="1:23">
      <c r="A1367" s="116"/>
      <c r="E1367" s="108"/>
      <c r="F1367" s="114"/>
      <c r="G1367" s="114"/>
      <c r="H1367" s="114"/>
      <c r="Q1367" s="44">
        <f>IF(数据录入!$B1367="",0,IF(OR(数据录入!$D1367="投标保证金",数据录入!$D1367="合同履约保证金",ISNUMBER(FIND("保证金",数据录入!$E1367))),1,0))</f>
      </c>
      <c r="R1367" s="44">
        <f>IF(AND($Q1367=1,数据录入!$B1367&gt;=$B$2,数据录入!$B1367&lt;=$D$2),N(R1366)+1,N(R1366))</f>
      </c>
    </row>
    <row r="1368" s="44" customFormat="1" spans="1:23">
      <c r="A1368" s="116"/>
      <c r="E1368" s="108"/>
      <c r="F1368" s="114"/>
      <c r="G1368" s="114"/>
      <c r="H1368" s="114"/>
      <c r="Q1368" s="44">
        <f>IF(数据录入!$B1368="",0,IF(OR(数据录入!$D1368="投标保证金",数据录入!$D1368="合同履约保证金",ISNUMBER(FIND("保证金",数据录入!$E1368))),1,0))</f>
      </c>
      <c r="R1368" s="44">
        <f>IF(AND($Q1368=1,数据录入!$B1368&gt;=$B$2,数据录入!$B1368&lt;=$D$2),N(R1367)+1,N(R1367))</f>
      </c>
    </row>
    <row r="1369" s="44" customFormat="1" spans="1:23">
      <c r="A1369" s="116"/>
      <c r="E1369" s="108"/>
      <c r="F1369" s="114"/>
      <c r="G1369" s="114"/>
      <c r="H1369" s="114"/>
      <c r="Q1369" s="44">
        <f>IF(数据录入!$B1369="",0,IF(OR(数据录入!$D1369="投标保证金",数据录入!$D1369="合同履约保证金",ISNUMBER(FIND("保证金",数据录入!$E1369))),1,0))</f>
      </c>
      <c r="R1369" s="44">
        <f>IF(AND($Q1369=1,数据录入!$B1369&gt;=$B$2,数据录入!$B1369&lt;=$D$2),N(R1368)+1,N(R1368))</f>
      </c>
    </row>
    <row r="1370" s="44" customFormat="1" spans="1:23">
      <c r="A1370" s="116"/>
      <c r="E1370" s="108"/>
      <c r="F1370" s="114"/>
      <c r="G1370" s="114"/>
      <c r="H1370" s="114"/>
      <c r="Q1370" s="44">
        <f>IF(数据录入!$B1370="",0,IF(OR(数据录入!$D1370="投标保证金",数据录入!$D1370="合同履约保证金",ISNUMBER(FIND("保证金",数据录入!$E1370))),1,0))</f>
      </c>
      <c r="R1370" s="44">
        <f>IF(AND($Q1370=1,数据录入!$B1370&gt;=$B$2,数据录入!$B1370&lt;=$D$2),N(R1369)+1,N(R1369))</f>
      </c>
    </row>
    <row r="1371" s="44" customFormat="1" spans="1:23">
      <c r="A1371" s="116"/>
      <c r="E1371" s="108"/>
      <c r="F1371" s="114"/>
      <c r="G1371" s="114"/>
      <c r="H1371" s="114"/>
      <c r="Q1371" s="44">
        <f>IF(数据录入!$B1371="",0,IF(OR(数据录入!$D1371="投标保证金",数据录入!$D1371="合同履约保证金",ISNUMBER(FIND("保证金",数据录入!$E1371))),1,0))</f>
      </c>
      <c r="R1371" s="44">
        <f>IF(AND($Q1371=1,数据录入!$B1371&gt;=$B$2,数据录入!$B1371&lt;=$D$2),N(R1370)+1,N(R1370))</f>
      </c>
    </row>
    <row r="1372" s="44" customFormat="1" spans="1:23">
      <c r="A1372" s="116"/>
      <c r="E1372" s="108"/>
      <c r="F1372" s="114"/>
      <c r="G1372" s="114"/>
      <c r="H1372" s="114"/>
      <c r="Q1372" s="44">
        <f>IF(数据录入!$B1372="",0,IF(OR(数据录入!$D1372="投标保证金",数据录入!$D1372="合同履约保证金",ISNUMBER(FIND("保证金",数据录入!$E1372))),1,0))</f>
      </c>
      <c r="R1372" s="44">
        <f>IF(AND($Q1372=1,数据录入!$B1372&gt;=$B$2,数据录入!$B1372&lt;=$D$2),N(R1371)+1,N(R1371))</f>
      </c>
    </row>
    <row r="1373" s="44" customFormat="1" spans="1:23">
      <c r="A1373" s="116"/>
      <c r="E1373" s="108"/>
      <c r="F1373" s="114"/>
      <c r="G1373" s="114"/>
      <c r="H1373" s="114"/>
      <c r="Q1373" s="44">
        <f>IF(数据录入!$B1373="",0,IF(OR(数据录入!$D1373="投标保证金",数据录入!$D1373="合同履约保证金",ISNUMBER(FIND("保证金",数据录入!$E1373))),1,0))</f>
      </c>
      <c r="R1373" s="44">
        <f>IF(AND($Q1373=1,数据录入!$B1373&gt;=$B$2,数据录入!$B1373&lt;=$D$2),N(R1372)+1,N(R1372))</f>
      </c>
    </row>
    <row r="1374" s="44" customFormat="1" spans="1:23">
      <c r="A1374" s="116"/>
      <c r="E1374" s="108"/>
      <c r="F1374" s="114"/>
      <c r="G1374" s="114"/>
      <c r="H1374" s="114"/>
      <c r="Q1374" s="44">
        <f>IF(数据录入!$B1374="",0,IF(OR(数据录入!$D1374="投标保证金",数据录入!$D1374="合同履约保证金",ISNUMBER(FIND("保证金",数据录入!$E1374))),1,0))</f>
      </c>
      <c r="R1374" s="44">
        <f>IF(AND($Q1374=1,数据录入!$B1374&gt;=$B$2,数据录入!$B1374&lt;=$D$2),N(R1373)+1,N(R1373))</f>
      </c>
    </row>
    <row r="1375" s="44" customFormat="1" spans="1:23">
      <c r="A1375" s="116"/>
      <c r="E1375" s="108"/>
      <c r="F1375" s="114"/>
      <c r="G1375" s="114"/>
      <c r="H1375" s="114"/>
      <c r="Q1375" s="44">
        <f>IF(数据录入!$B1375="",0,IF(OR(数据录入!$D1375="投标保证金",数据录入!$D1375="合同履约保证金",ISNUMBER(FIND("保证金",数据录入!$E1375))),1,0))</f>
      </c>
      <c r="R1375" s="44">
        <f>IF(AND($Q1375=1,数据录入!$B1375&gt;=$B$2,数据录入!$B1375&lt;=$D$2),N(R1374)+1,N(R1374))</f>
      </c>
    </row>
    <row r="1376" s="44" customFormat="1" spans="1:23">
      <c r="A1376" s="116"/>
      <c r="E1376" s="108"/>
      <c r="F1376" s="114"/>
      <c r="G1376" s="114"/>
      <c r="H1376" s="114"/>
      <c r="Q1376" s="44">
        <f>IF(数据录入!$B1376="",0,IF(OR(数据录入!$D1376="投标保证金",数据录入!$D1376="合同履约保证金",ISNUMBER(FIND("保证金",数据录入!$E1376))),1,0))</f>
      </c>
      <c r="R1376" s="44">
        <f>IF(AND($Q1376=1,数据录入!$B1376&gt;=$B$2,数据录入!$B1376&lt;=$D$2),N(R1375)+1,N(R1375))</f>
      </c>
    </row>
    <row r="1377" s="44" customFormat="1" spans="1:23">
      <c r="A1377" s="116"/>
      <c r="E1377" s="108"/>
      <c r="F1377" s="114"/>
      <c r="G1377" s="114"/>
      <c r="H1377" s="114"/>
      <c r="Q1377" s="44">
        <f>IF(数据录入!$B1377="",0,IF(OR(数据录入!$D1377="投标保证金",数据录入!$D1377="合同履约保证金",ISNUMBER(FIND("保证金",数据录入!$E1377))),1,0))</f>
      </c>
      <c r="R1377" s="44">
        <f>IF(AND($Q1377=1,数据录入!$B1377&gt;=$B$2,数据录入!$B1377&lt;=$D$2),N(R1376)+1,N(R1376))</f>
      </c>
    </row>
    <row r="1378" s="44" customFormat="1" spans="1:23">
      <c r="A1378" s="116"/>
      <c r="E1378" s="108"/>
      <c r="F1378" s="114"/>
      <c r="G1378" s="114"/>
      <c r="H1378" s="114"/>
      <c r="Q1378" s="44">
        <f>IF(数据录入!$B1378="",0,IF(OR(数据录入!$D1378="投标保证金",数据录入!$D1378="合同履约保证金",ISNUMBER(FIND("保证金",数据录入!$E1378))),1,0))</f>
      </c>
      <c r="R1378" s="44">
        <f>IF(AND($Q1378=1,数据录入!$B1378&gt;=$B$2,数据录入!$B1378&lt;=$D$2),N(R1377)+1,N(R1377))</f>
      </c>
    </row>
    <row r="1379" s="44" customFormat="1" spans="1:23">
      <c r="A1379" s="116"/>
      <c r="E1379" s="108"/>
      <c r="F1379" s="114"/>
      <c r="G1379" s="114"/>
      <c r="H1379" s="114"/>
      <c r="Q1379" s="44">
        <f>IF(数据录入!$B1379="",0,IF(OR(数据录入!$D1379="投标保证金",数据录入!$D1379="合同履约保证金",ISNUMBER(FIND("保证金",数据录入!$E1379))),1,0))</f>
      </c>
      <c r="R1379" s="44">
        <f>IF(AND($Q1379=1,数据录入!$B1379&gt;=$B$2,数据录入!$B1379&lt;=$D$2),N(R1378)+1,N(R1378))</f>
      </c>
    </row>
    <row r="1380" s="44" customFormat="1" spans="1:23">
      <c r="A1380" s="116"/>
      <c r="E1380" s="108"/>
      <c r="F1380" s="114"/>
      <c r="G1380" s="114"/>
      <c r="H1380" s="114"/>
      <c r="Q1380" s="44">
        <f>IF(数据录入!$B1380="",0,IF(OR(数据录入!$D1380="投标保证金",数据录入!$D1380="合同履约保证金",ISNUMBER(FIND("保证金",数据录入!$E1380))),1,0))</f>
      </c>
      <c r="R1380" s="44">
        <f>IF(AND($Q1380=1,数据录入!$B1380&gt;=$B$2,数据录入!$B1380&lt;=$D$2),N(R1379)+1,N(R1379))</f>
      </c>
    </row>
    <row r="1381" s="44" customFormat="1" spans="1:23">
      <c r="A1381" s="116"/>
      <c r="E1381" s="108"/>
      <c r="F1381" s="114"/>
      <c r="G1381" s="114"/>
      <c r="H1381" s="114"/>
      <c r="Q1381" s="44">
        <f>IF(数据录入!$B1381="",0,IF(OR(数据录入!$D1381="投标保证金",数据录入!$D1381="合同履约保证金",ISNUMBER(FIND("保证金",数据录入!$E1381))),1,0))</f>
      </c>
      <c r="R1381" s="44">
        <f>IF(AND($Q1381=1,数据录入!$B1381&gt;=$B$2,数据录入!$B1381&lt;=$D$2),N(R1380)+1,N(R1380))</f>
      </c>
    </row>
    <row r="1382" s="44" customFormat="1" spans="1:23">
      <c r="A1382" s="116"/>
      <c r="E1382" s="108"/>
      <c r="F1382" s="114"/>
      <c r="G1382" s="114"/>
      <c r="H1382" s="114"/>
      <c r="Q1382" s="44">
        <f>IF(数据录入!$B1382="",0,IF(OR(数据录入!$D1382="投标保证金",数据录入!$D1382="合同履约保证金",ISNUMBER(FIND("保证金",数据录入!$E1382))),1,0))</f>
      </c>
      <c r="R1382" s="44">
        <f>IF(AND($Q1382=1,数据录入!$B1382&gt;=$B$2,数据录入!$B1382&lt;=$D$2),N(R1381)+1,N(R1381))</f>
      </c>
    </row>
    <row r="1383" s="44" customFormat="1" spans="1:23">
      <c r="A1383" s="116"/>
      <c r="E1383" s="108"/>
      <c r="F1383" s="114"/>
      <c r="G1383" s="114"/>
      <c r="H1383" s="114"/>
      <c r="Q1383" s="44">
        <f>IF(数据录入!$B1383="",0,IF(OR(数据录入!$D1383="投标保证金",数据录入!$D1383="合同履约保证金",ISNUMBER(FIND("保证金",数据录入!$E1383))),1,0))</f>
      </c>
      <c r="R1383" s="44">
        <f>IF(AND($Q1383=1,数据录入!$B1383&gt;=$B$2,数据录入!$B1383&lt;=$D$2),N(R1382)+1,N(R1382))</f>
      </c>
    </row>
    <row r="1384" s="44" customFormat="1" spans="1:23">
      <c r="A1384" s="116"/>
      <c r="E1384" s="108"/>
      <c r="F1384" s="114"/>
      <c r="G1384" s="114"/>
      <c r="H1384" s="114"/>
      <c r="Q1384" s="44">
        <f>IF(数据录入!$B1384="",0,IF(OR(数据录入!$D1384="投标保证金",数据录入!$D1384="合同履约保证金",ISNUMBER(FIND("保证金",数据录入!$E1384))),1,0))</f>
      </c>
      <c r="R1384" s="44">
        <f>IF(AND($Q1384=1,数据录入!$B1384&gt;=$B$2,数据录入!$B1384&lt;=$D$2),N(R1383)+1,N(R1383))</f>
      </c>
    </row>
    <row r="1385" s="44" customFormat="1" spans="1:23">
      <c r="A1385" s="116"/>
      <c r="E1385" s="108"/>
      <c r="F1385" s="114"/>
      <c r="G1385" s="114"/>
      <c r="H1385" s="114"/>
      <c r="Q1385" s="44">
        <f>IF(数据录入!$B1385="",0,IF(OR(数据录入!$D1385="投标保证金",数据录入!$D1385="合同履约保证金",ISNUMBER(FIND("保证金",数据录入!$E1385))),1,0))</f>
      </c>
      <c r="R1385" s="44">
        <f>IF(AND($Q1385=1,数据录入!$B1385&gt;=$B$2,数据录入!$B1385&lt;=$D$2),N(R1384)+1,N(R1384))</f>
      </c>
    </row>
    <row r="1386" s="44" customFormat="1" spans="1:23">
      <c r="A1386" s="116"/>
      <c r="E1386" s="108"/>
      <c r="F1386" s="114"/>
      <c r="G1386" s="114"/>
      <c r="H1386" s="114"/>
      <c r="Q1386" s="44">
        <f>IF(数据录入!$B1386="",0,IF(OR(数据录入!$D1386="投标保证金",数据录入!$D1386="合同履约保证金",ISNUMBER(FIND("保证金",数据录入!$E1386))),1,0))</f>
      </c>
      <c r="R1386" s="44">
        <f>IF(AND($Q1386=1,数据录入!$B1386&gt;=$B$2,数据录入!$B1386&lt;=$D$2),N(R1385)+1,N(R1385))</f>
      </c>
    </row>
    <row r="1387" s="44" customFormat="1" spans="1:23">
      <c r="A1387" s="116"/>
      <c r="E1387" s="108"/>
      <c r="F1387" s="114"/>
      <c r="G1387" s="114"/>
      <c r="H1387" s="114"/>
      <c r="Q1387" s="44">
        <f>IF(数据录入!$B1387="",0,IF(OR(数据录入!$D1387="投标保证金",数据录入!$D1387="合同履约保证金",ISNUMBER(FIND("保证金",数据录入!$E1387))),1,0))</f>
      </c>
      <c r="R1387" s="44">
        <f>IF(AND($Q1387=1,数据录入!$B1387&gt;=$B$2,数据录入!$B1387&lt;=$D$2),N(R1386)+1,N(R1386))</f>
      </c>
    </row>
    <row r="1388" s="44" customFormat="1" spans="1:23">
      <c r="A1388" s="116"/>
      <c r="E1388" s="108"/>
      <c r="F1388" s="114"/>
      <c r="G1388" s="114"/>
      <c r="H1388" s="114"/>
      <c r="Q1388" s="44">
        <f>IF(数据录入!$B1388="",0,IF(OR(数据录入!$D1388="投标保证金",数据录入!$D1388="合同履约保证金",ISNUMBER(FIND("保证金",数据录入!$E1388))),1,0))</f>
      </c>
      <c r="R1388" s="44">
        <f>IF(AND($Q1388=1,数据录入!$B1388&gt;=$B$2,数据录入!$B1388&lt;=$D$2),N(R1387)+1,N(R1387))</f>
      </c>
    </row>
    <row r="1389" s="44" customFormat="1" spans="1:23">
      <c r="A1389" s="116"/>
      <c r="E1389" s="108"/>
      <c r="F1389" s="114"/>
      <c r="G1389" s="114"/>
      <c r="H1389" s="114"/>
      <c r="Q1389" s="44">
        <f>IF(数据录入!$B1389="",0,IF(OR(数据录入!$D1389="投标保证金",数据录入!$D1389="合同履约保证金",ISNUMBER(FIND("保证金",数据录入!$E1389))),1,0))</f>
      </c>
      <c r="R1389" s="44">
        <f>IF(AND($Q1389=1,数据录入!$B1389&gt;=$B$2,数据录入!$B1389&lt;=$D$2),N(R1388)+1,N(R1388))</f>
      </c>
    </row>
    <row r="1390" s="44" customFormat="1" spans="1:23">
      <c r="A1390" s="116"/>
      <c r="E1390" s="108"/>
      <c r="F1390" s="114"/>
      <c r="G1390" s="114"/>
      <c r="H1390" s="114"/>
      <c r="Q1390" s="44">
        <f>IF(数据录入!$B1390="",0,IF(OR(数据录入!$D1390="投标保证金",数据录入!$D1390="合同履约保证金",ISNUMBER(FIND("保证金",数据录入!$E1390))),1,0))</f>
      </c>
      <c r="R1390" s="44">
        <f>IF(AND($Q1390=1,数据录入!$B1390&gt;=$B$2,数据录入!$B1390&lt;=$D$2),N(R1389)+1,N(R1389))</f>
      </c>
    </row>
    <row r="1391" s="44" customFormat="1" spans="1:23">
      <c r="A1391" s="116"/>
      <c r="E1391" s="108"/>
      <c r="F1391" s="114"/>
      <c r="G1391" s="114"/>
      <c r="H1391" s="114"/>
      <c r="Q1391" s="44">
        <f>IF(数据录入!$B1391="",0,IF(OR(数据录入!$D1391="投标保证金",数据录入!$D1391="合同履约保证金",ISNUMBER(FIND("保证金",数据录入!$E1391))),1,0))</f>
      </c>
      <c r="R1391" s="44">
        <f>IF(AND($Q1391=1,数据录入!$B1391&gt;=$B$2,数据录入!$B1391&lt;=$D$2),N(R1390)+1,N(R1390))</f>
      </c>
    </row>
    <row r="1392" s="44" customFormat="1" spans="1:23">
      <c r="A1392" s="116"/>
      <c r="E1392" s="108"/>
      <c r="F1392" s="114"/>
      <c r="G1392" s="114"/>
      <c r="H1392" s="114"/>
      <c r="Q1392" s="44">
        <f>IF(数据录入!$B1392="",0,IF(OR(数据录入!$D1392="投标保证金",数据录入!$D1392="合同履约保证金",ISNUMBER(FIND("保证金",数据录入!$E1392))),1,0))</f>
      </c>
      <c r="R1392" s="44">
        <f>IF(AND($Q1392=1,数据录入!$B1392&gt;=$B$2,数据录入!$B1392&lt;=$D$2),N(R1391)+1,N(R1391))</f>
      </c>
    </row>
    <row r="1393" s="44" customFormat="1" spans="1:23">
      <c r="A1393" s="116"/>
      <c r="E1393" s="108"/>
      <c r="F1393" s="114"/>
      <c r="G1393" s="114"/>
      <c r="H1393" s="114"/>
      <c r="Q1393" s="44">
        <f>IF(数据录入!$B1393="",0,IF(OR(数据录入!$D1393="投标保证金",数据录入!$D1393="合同履约保证金",ISNUMBER(FIND("保证金",数据录入!$E1393))),1,0))</f>
      </c>
      <c r="R1393" s="44">
        <f>IF(AND($Q1393=1,数据录入!$B1393&gt;=$B$2,数据录入!$B1393&lt;=$D$2),N(R1392)+1,N(R1392))</f>
      </c>
    </row>
    <row r="1394" s="44" customFormat="1" spans="1:23">
      <c r="A1394" s="116"/>
      <c r="E1394" s="108"/>
      <c r="F1394" s="114"/>
      <c r="G1394" s="114"/>
      <c r="H1394" s="114"/>
      <c r="Q1394" s="44">
        <f>IF(数据录入!$B1394="",0,IF(OR(数据录入!$D1394="投标保证金",数据录入!$D1394="合同履约保证金",ISNUMBER(FIND("保证金",数据录入!$E1394))),1,0))</f>
      </c>
      <c r="R1394" s="44">
        <f>IF(AND($Q1394=1,数据录入!$B1394&gt;=$B$2,数据录入!$B1394&lt;=$D$2),N(R1393)+1,N(R1393))</f>
      </c>
    </row>
    <row r="1395" s="44" customFormat="1" spans="1:23">
      <c r="A1395" s="116"/>
      <c r="E1395" s="108"/>
      <c r="F1395" s="114"/>
      <c r="G1395" s="114"/>
      <c r="H1395" s="114"/>
      <c r="Q1395" s="44">
        <f>IF(数据录入!$B1395="",0,IF(OR(数据录入!$D1395="投标保证金",数据录入!$D1395="合同履约保证金",ISNUMBER(FIND("保证金",数据录入!$E1395))),1,0))</f>
      </c>
      <c r="R1395" s="44">
        <f>IF(AND($Q1395=1,数据录入!$B1395&gt;=$B$2,数据录入!$B1395&lt;=$D$2),N(R1394)+1,N(R1394))</f>
      </c>
    </row>
    <row r="1396" s="44" customFormat="1" spans="1:23">
      <c r="A1396" s="116"/>
      <c r="E1396" s="108"/>
      <c r="F1396" s="114"/>
      <c r="G1396" s="114"/>
      <c r="H1396" s="114"/>
      <c r="Q1396" s="44">
        <f>IF(数据录入!$B1396="",0,IF(OR(数据录入!$D1396="投标保证金",数据录入!$D1396="合同履约保证金",ISNUMBER(FIND("保证金",数据录入!$E1396))),1,0))</f>
      </c>
      <c r="R1396" s="44">
        <f>IF(AND($Q1396=1,数据录入!$B1396&gt;=$B$2,数据录入!$B1396&lt;=$D$2),N(R1395)+1,N(R1395))</f>
      </c>
    </row>
    <row r="1397" s="44" customFormat="1" spans="1:23">
      <c r="A1397" s="116"/>
      <c r="E1397" s="108"/>
      <c r="F1397" s="114"/>
      <c r="G1397" s="114"/>
      <c r="H1397" s="114"/>
      <c r="Q1397" s="44">
        <f>IF(数据录入!$B1397="",0,IF(OR(数据录入!$D1397="投标保证金",数据录入!$D1397="合同履约保证金",ISNUMBER(FIND("保证金",数据录入!$E1397))),1,0))</f>
      </c>
      <c r="R1397" s="44">
        <f>IF(AND($Q1397=1,数据录入!$B1397&gt;=$B$2,数据录入!$B1397&lt;=$D$2),N(R1396)+1,N(R1396))</f>
      </c>
    </row>
    <row r="1398" s="44" customFormat="1" spans="1:23">
      <c r="A1398" s="116"/>
      <c r="E1398" s="108"/>
      <c r="F1398" s="114"/>
      <c r="G1398" s="114"/>
      <c r="H1398" s="114"/>
      <c r="Q1398" s="44">
        <f>IF(数据录入!$B1398="",0,IF(OR(数据录入!$D1398="投标保证金",数据录入!$D1398="合同履约保证金",ISNUMBER(FIND("保证金",数据录入!$E1398))),1,0))</f>
      </c>
      <c r="R1398" s="44">
        <f>IF(AND($Q1398=1,数据录入!$B1398&gt;=$B$2,数据录入!$B1398&lt;=$D$2),N(R1397)+1,N(R1397))</f>
      </c>
    </row>
    <row r="1399" s="44" customFormat="1" spans="1:23">
      <c r="A1399" s="116"/>
      <c r="E1399" s="108"/>
      <c r="F1399" s="114"/>
      <c r="G1399" s="114"/>
      <c r="H1399" s="114"/>
      <c r="Q1399" s="44">
        <f>IF(数据录入!$B1399="",0,IF(OR(数据录入!$D1399="投标保证金",数据录入!$D1399="合同履约保证金",ISNUMBER(FIND("保证金",数据录入!$E1399))),1,0))</f>
      </c>
      <c r="R1399" s="44">
        <f>IF(AND($Q1399=1,数据录入!$B1399&gt;=$B$2,数据录入!$B1399&lt;=$D$2),N(R1398)+1,N(R1398))</f>
      </c>
    </row>
    <row r="1400" s="44" customFormat="1" spans="1:23">
      <c r="A1400" s="116"/>
      <c r="E1400" s="108"/>
      <c r="F1400" s="114"/>
      <c r="G1400" s="114"/>
      <c r="H1400" s="114"/>
      <c r="Q1400" s="44">
        <f>IF(数据录入!$B1400="",0,IF(OR(数据录入!$D1400="投标保证金",数据录入!$D1400="合同履约保证金",ISNUMBER(FIND("保证金",数据录入!$E1400))),1,0))</f>
      </c>
      <c r="R1400" s="44">
        <f>IF(AND($Q1400=1,数据录入!$B1400&gt;=$B$2,数据录入!$B1400&lt;=$D$2),N(R1399)+1,N(R1399))</f>
      </c>
    </row>
    <row r="1401" s="44" customFormat="1" spans="1:23">
      <c r="A1401" s="116"/>
      <c r="E1401" s="108"/>
      <c r="F1401" s="114"/>
      <c r="G1401" s="114"/>
      <c r="H1401" s="114"/>
      <c r="Q1401" s="44">
        <f>IF(数据录入!$B1401="",0,IF(OR(数据录入!$D1401="投标保证金",数据录入!$D1401="合同履约保证金",ISNUMBER(FIND("保证金",数据录入!$E1401))),1,0))</f>
      </c>
      <c r="R1401" s="44">
        <f>IF(AND($Q1401=1,数据录入!$B1401&gt;=$B$2,数据录入!$B1401&lt;=$D$2),N(R1400)+1,N(R1400))</f>
      </c>
    </row>
    <row r="1402" s="44" customFormat="1" spans="1:23">
      <c r="A1402" s="116"/>
      <c r="E1402" s="108"/>
      <c r="F1402" s="114"/>
      <c r="G1402" s="114"/>
      <c r="H1402" s="114"/>
      <c r="Q1402" s="44">
        <f>IF(数据录入!$B1402="",0,IF(OR(数据录入!$D1402="投标保证金",数据录入!$D1402="合同履约保证金",ISNUMBER(FIND("保证金",数据录入!$E1402))),1,0))</f>
      </c>
      <c r="R1402" s="44">
        <f>IF(AND($Q1402=1,数据录入!$B1402&gt;=$B$2,数据录入!$B1402&lt;=$D$2),N(R1401)+1,N(R1401))</f>
      </c>
    </row>
    <row r="1403" s="44" customFormat="1" spans="1:23">
      <c r="A1403" s="116"/>
      <c r="E1403" s="108"/>
      <c r="F1403" s="114"/>
      <c r="G1403" s="114"/>
      <c r="H1403" s="114"/>
      <c r="Q1403" s="44">
        <f>IF(数据录入!$B1403="",0,IF(OR(数据录入!$D1403="投标保证金",数据录入!$D1403="合同履约保证金",ISNUMBER(FIND("保证金",数据录入!$E1403))),1,0))</f>
      </c>
      <c r="R1403" s="44">
        <f>IF(AND($Q1403=1,数据录入!$B1403&gt;=$B$2,数据录入!$B1403&lt;=$D$2),N(R1402)+1,N(R1402))</f>
      </c>
    </row>
    <row r="1404" s="44" customFormat="1" spans="1:23">
      <c r="A1404" s="116"/>
      <c r="E1404" s="108"/>
      <c r="F1404" s="114"/>
      <c r="G1404" s="114"/>
      <c r="H1404" s="114"/>
      <c r="Q1404" s="44">
        <f>IF(数据录入!$B1404="",0,IF(OR(数据录入!$D1404="投标保证金",数据录入!$D1404="合同履约保证金",ISNUMBER(FIND("保证金",数据录入!$E1404))),1,0))</f>
      </c>
      <c r="R1404" s="44">
        <f>IF(AND($Q1404=1,数据录入!$B1404&gt;=$B$2,数据录入!$B1404&lt;=$D$2),N(R1403)+1,N(R1403))</f>
      </c>
    </row>
    <row r="1405" s="44" customFormat="1" spans="1:23">
      <c r="A1405" s="116"/>
      <c r="E1405" s="108"/>
      <c r="F1405" s="114"/>
      <c r="G1405" s="114"/>
      <c r="H1405" s="114"/>
      <c r="Q1405" s="44">
        <f>IF(数据录入!$B1405="",0,IF(OR(数据录入!$D1405="投标保证金",数据录入!$D1405="合同履约保证金",ISNUMBER(FIND("保证金",数据录入!$E1405))),1,0))</f>
      </c>
      <c r="R1405" s="44">
        <f>IF(AND($Q1405=1,数据录入!$B1405&gt;=$B$2,数据录入!$B1405&lt;=$D$2),N(R1404)+1,N(R1404))</f>
      </c>
    </row>
    <row r="1406" s="44" customFormat="1" spans="1:23">
      <c r="A1406" s="116"/>
      <c r="E1406" s="108"/>
      <c r="F1406" s="114"/>
      <c r="G1406" s="114"/>
      <c r="H1406" s="114"/>
      <c r="Q1406" s="44">
        <f>IF(数据录入!$B1406="",0,IF(OR(数据录入!$D1406="投标保证金",数据录入!$D1406="合同履约保证金",ISNUMBER(FIND("保证金",数据录入!$E1406))),1,0))</f>
      </c>
      <c r="R1406" s="44">
        <f>IF(AND($Q1406=1,数据录入!$B1406&gt;=$B$2,数据录入!$B1406&lt;=$D$2),N(R1405)+1,N(R1405))</f>
      </c>
    </row>
    <row r="1407" s="44" customFormat="1" spans="1:23">
      <c r="A1407" s="116"/>
      <c r="E1407" s="108"/>
      <c r="F1407" s="114"/>
      <c r="G1407" s="114"/>
      <c r="H1407" s="114"/>
      <c r="Q1407" s="44">
        <f>IF(数据录入!$B1407="",0,IF(OR(数据录入!$D1407="投标保证金",数据录入!$D1407="合同履约保证金",ISNUMBER(FIND("保证金",数据录入!$E1407))),1,0))</f>
      </c>
      <c r="R1407" s="44">
        <f>IF(AND($Q1407=1,数据录入!$B1407&gt;=$B$2,数据录入!$B1407&lt;=$D$2),N(R1406)+1,N(R1406))</f>
      </c>
    </row>
    <row r="1408" s="44" customFormat="1" spans="1:23">
      <c r="A1408" s="116"/>
      <c r="E1408" s="108"/>
      <c r="F1408" s="114"/>
      <c r="G1408" s="114"/>
      <c r="H1408" s="114"/>
      <c r="Q1408" s="44">
        <f>IF(数据录入!$B1408="",0,IF(OR(数据录入!$D1408="投标保证金",数据录入!$D1408="合同履约保证金",ISNUMBER(FIND("保证金",数据录入!$E1408))),1,0))</f>
      </c>
      <c r="R1408" s="44">
        <f>IF(AND($Q1408=1,数据录入!$B1408&gt;=$B$2,数据录入!$B1408&lt;=$D$2),N(R1407)+1,N(R1407))</f>
      </c>
    </row>
    <row r="1409" s="44" customFormat="1" spans="1:23">
      <c r="A1409" s="116"/>
      <c r="E1409" s="108"/>
      <c r="F1409" s="114"/>
      <c r="G1409" s="114"/>
      <c r="H1409" s="114"/>
      <c r="Q1409" s="44">
        <f>IF(数据录入!$B1409="",0,IF(OR(数据录入!$D1409="投标保证金",数据录入!$D1409="合同履约保证金",ISNUMBER(FIND("保证金",数据录入!$E1409))),1,0))</f>
      </c>
      <c r="R1409" s="44">
        <f>IF(AND($Q1409=1,数据录入!$B1409&gt;=$B$2,数据录入!$B1409&lt;=$D$2),N(R1408)+1,N(R1408))</f>
      </c>
    </row>
    <row r="1410" s="44" customFormat="1" spans="1:23">
      <c r="A1410" s="116"/>
      <c r="E1410" s="108"/>
      <c r="F1410" s="114"/>
      <c r="G1410" s="114"/>
      <c r="H1410" s="114"/>
      <c r="Q1410" s="44">
        <f>IF(数据录入!$B1410="",0,IF(OR(数据录入!$D1410="投标保证金",数据录入!$D1410="合同履约保证金",ISNUMBER(FIND("保证金",数据录入!$E1410))),1,0))</f>
      </c>
      <c r="R1410" s="44">
        <f>IF(AND($Q1410=1,数据录入!$B1410&gt;=$B$2,数据录入!$B1410&lt;=$D$2),N(R1409)+1,N(R1409))</f>
      </c>
    </row>
    <row r="1411" s="44" customFormat="1" spans="1:23">
      <c r="A1411" s="116"/>
      <c r="E1411" s="108"/>
      <c r="F1411" s="114"/>
      <c r="G1411" s="114"/>
      <c r="H1411" s="114"/>
      <c r="Q1411" s="44">
        <f>IF(数据录入!$B1411="",0,IF(OR(数据录入!$D1411="投标保证金",数据录入!$D1411="合同履约保证金",ISNUMBER(FIND("保证金",数据录入!$E1411))),1,0))</f>
      </c>
      <c r="R1411" s="44">
        <f>IF(AND($Q1411=1,数据录入!$B1411&gt;=$B$2,数据录入!$B1411&lt;=$D$2),N(R1410)+1,N(R1410))</f>
      </c>
    </row>
    <row r="1412" s="44" customFormat="1" spans="1:23">
      <c r="A1412" s="116"/>
      <c r="E1412" s="108"/>
      <c r="F1412" s="114"/>
      <c r="G1412" s="114"/>
      <c r="H1412" s="114"/>
      <c r="Q1412" s="44">
        <f>IF(数据录入!$B1412="",0,IF(OR(数据录入!$D1412="投标保证金",数据录入!$D1412="合同履约保证金",ISNUMBER(FIND("保证金",数据录入!$E1412))),1,0))</f>
      </c>
      <c r="R1412" s="44">
        <f>IF(AND($Q1412=1,数据录入!$B1412&gt;=$B$2,数据录入!$B1412&lt;=$D$2),N(R1411)+1,N(R1411))</f>
      </c>
    </row>
    <row r="1413" s="44" customFormat="1" spans="1:23">
      <c r="A1413" s="116"/>
      <c r="E1413" s="108"/>
      <c r="F1413" s="114"/>
      <c r="G1413" s="114"/>
      <c r="H1413" s="114"/>
      <c r="Q1413" s="44">
        <f>IF(数据录入!$B1413="",0,IF(OR(数据录入!$D1413="投标保证金",数据录入!$D1413="合同履约保证金",ISNUMBER(FIND("保证金",数据录入!$E1413))),1,0))</f>
      </c>
      <c r="R1413" s="44">
        <f>IF(AND($Q1413=1,数据录入!$B1413&gt;=$B$2,数据录入!$B1413&lt;=$D$2),N(R1412)+1,N(R1412))</f>
      </c>
    </row>
    <row r="1414" s="44" customFormat="1" spans="1:23">
      <c r="A1414" s="116"/>
      <c r="E1414" s="108"/>
      <c r="F1414" s="114"/>
      <c r="G1414" s="114"/>
      <c r="H1414" s="114"/>
      <c r="Q1414" s="44">
        <f>IF(数据录入!$B1414="",0,IF(OR(数据录入!$D1414="投标保证金",数据录入!$D1414="合同履约保证金",ISNUMBER(FIND("保证金",数据录入!$E1414))),1,0))</f>
      </c>
      <c r="R1414" s="44">
        <f>IF(AND($Q1414=1,数据录入!$B1414&gt;=$B$2,数据录入!$B1414&lt;=$D$2),N(R1413)+1,N(R1413))</f>
      </c>
    </row>
    <row r="1415" s="44" customFormat="1" spans="1:23">
      <c r="A1415" s="116"/>
      <c r="E1415" s="108"/>
      <c r="F1415" s="114"/>
      <c r="G1415" s="114"/>
      <c r="H1415" s="114"/>
      <c r="Q1415" s="44">
        <f>IF(数据录入!$B1415="",0,IF(OR(数据录入!$D1415="投标保证金",数据录入!$D1415="合同履约保证金",ISNUMBER(FIND("保证金",数据录入!$E1415))),1,0))</f>
      </c>
      <c r="R1415" s="44">
        <f>IF(AND($Q1415=1,数据录入!$B1415&gt;=$B$2,数据录入!$B1415&lt;=$D$2),N(R1414)+1,N(R1414))</f>
      </c>
    </row>
    <row r="1416" s="44" customFormat="1" spans="1:23">
      <c r="A1416" s="116"/>
      <c r="E1416" s="108"/>
      <c r="F1416" s="114"/>
      <c r="G1416" s="114"/>
      <c r="H1416" s="114"/>
      <c r="Q1416" s="44">
        <f>IF(数据录入!$B1416="",0,IF(OR(数据录入!$D1416="投标保证金",数据录入!$D1416="合同履约保证金",ISNUMBER(FIND("保证金",数据录入!$E1416))),1,0))</f>
      </c>
      <c r="R1416" s="44">
        <f>IF(AND($Q1416=1,数据录入!$B1416&gt;=$B$2,数据录入!$B1416&lt;=$D$2),N(R1415)+1,N(R1415))</f>
      </c>
    </row>
    <row r="1417" s="44" customFormat="1" spans="1:23">
      <c r="A1417" s="116"/>
      <c r="E1417" s="108"/>
      <c r="F1417" s="114"/>
      <c r="G1417" s="114"/>
      <c r="H1417" s="114"/>
      <c r="Q1417" s="44">
        <f>IF(数据录入!$B1417="",0,IF(OR(数据录入!$D1417="投标保证金",数据录入!$D1417="合同履约保证金",ISNUMBER(FIND("保证金",数据录入!$E1417))),1,0))</f>
      </c>
      <c r="R1417" s="44">
        <f>IF(AND($Q1417=1,数据录入!$B1417&gt;=$B$2,数据录入!$B1417&lt;=$D$2),N(R1416)+1,N(R1416))</f>
      </c>
    </row>
    <row r="1418" s="44" customFormat="1" spans="1:23">
      <c r="A1418" s="116"/>
      <c r="E1418" s="108"/>
      <c r="F1418" s="114"/>
      <c r="G1418" s="114"/>
      <c r="H1418" s="114"/>
      <c r="Q1418" s="44">
        <f>IF(数据录入!$B1418="",0,IF(OR(数据录入!$D1418="投标保证金",数据录入!$D1418="合同履约保证金",ISNUMBER(FIND("保证金",数据录入!$E1418))),1,0))</f>
      </c>
      <c r="R1418" s="44">
        <f>IF(AND($Q1418=1,数据录入!$B1418&gt;=$B$2,数据录入!$B1418&lt;=$D$2),N(R1417)+1,N(R1417))</f>
      </c>
    </row>
    <row r="1419" s="44" customFormat="1" spans="1:23">
      <c r="A1419" s="116"/>
      <c r="E1419" s="108"/>
      <c r="F1419" s="114"/>
      <c r="G1419" s="114"/>
      <c r="H1419" s="114"/>
      <c r="Q1419" s="44">
        <f>IF(数据录入!$B1419="",0,IF(OR(数据录入!$D1419="投标保证金",数据录入!$D1419="合同履约保证金",ISNUMBER(FIND("保证金",数据录入!$E1419))),1,0))</f>
      </c>
      <c r="R1419" s="44">
        <f>IF(AND($Q1419=1,数据录入!$B1419&gt;=$B$2,数据录入!$B1419&lt;=$D$2),N(R1418)+1,N(R1418))</f>
      </c>
    </row>
    <row r="1420" s="44" customFormat="1" spans="1:23">
      <c r="A1420" s="116"/>
      <c r="E1420" s="108"/>
      <c r="F1420" s="114"/>
      <c r="G1420" s="114"/>
      <c r="H1420" s="114"/>
      <c r="Q1420" s="44">
        <f>IF(数据录入!$B1420="",0,IF(OR(数据录入!$D1420="投标保证金",数据录入!$D1420="合同履约保证金",ISNUMBER(FIND("保证金",数据录入!$E1420))),1,0))</f>
      </c>
      <c r="R1420" s="44">
        <f>IF(AND($Q1420=1,数据录入!$B1420&gt;=$B$2,数据录入!$B1420&lt;=$D$2),N(R1419)+1,N(R1419))</f>
      </c>
    </row>
    <row r="1421" s="44" customFormat="1" spans="1:23">
      <c r="A1421" s="116"/>
      <c r="E1421" s="108"/>
      <c r="F1421" s="114"/>
      <c r="G1421" s="114"/>
      <c r="H1421" s="114"/>
      <c r="Q1421" s="44">
        <f>IF(数据录入!$B1421="",0,IF(OR(数据录入!$D1421="投标保证金",数据录入!$D1421="合同履约保证金",ISNUMBER(FIND("保证金",数据录入!$E1421))),1,0))</f>
      </c>
      <c r="R1421" s="44">
        <f>IF(AND($Q1421=1,数据录入!$B1421&gt;=$B$2,数据录入!$B1421&lt;=$D$2),N(R1420)+1,N(R1420))</f>
      </c>
    </row>
    <row r="1422" s="44" customFormat="1" spans="1:23">
      <c r="A1422" s="116"/>
      <c r="E1422" s="108"/>
      <c r="F1422" s="114"/>
      <c r="G1422" s="114"/>
      <c r="H1422" s="114"/>
      <c r="Q1422" s="44">
        <f>IF(数据录入!$B1422="",0,IF(OR(数据录入!$D1422="投标保证金",数据录入!$D1422="合同履约保证金",ISNUMBER(FIND("保证金",数据录入!$E1422))),1,0))</f>
      </c>
      <c r="R1422" s="44">
        <f>IF(AND($Q1422=1,数据录入!$B1422&gt;=$B$2,数据录入!$B1422&lt;=$D$2),N(R1421)+1,N(R1421))</f>
      </c>
    </row>
    <row r="1423" s="44" customFormat="1" spans="1:23">
      <c r="A1423" s="116"/>
      <c r="E1423" s="108"/>
      <c r="F1423" s="114"/>
      <c r="G1423" s="114"/>
      <c r="H1423" s="114"/>
      <c r="Q1423" s="44">
        <f>IF(数据录入!$B1423="",0,IF(OR(数据录入!$D1423="投标保证金",数据录入!$D1423="合同履约保证金",ISNUMBER(FIND("保证金",数据录入!$E1423))),1,0))</f>
      </c>
      <c r="R1423" s="44">
        <f>IF(AND($Q1423=1,数据录入!$B1423&gt;=$B$2,数据录入!$B1423&lt;=$D$2),N(R1422)+1,N(R1422))</f>
      </c>
    </row>
    <row r="1424" s="44" customFormat="1" spans="1:23">
      <c r="A1424" s="116"/>
      <c r="E1424" s="108"/>
      <c r="F1424" s="114"/>
      <c r="G1424" s="114"/>
      <c r="H1424" s="114"/>
      <c r="Q1424" s="44">
        <f>IF(数据录入!$B1424="",0,IF(OR(数据录入!$D1424="投标保证金",数据录入!$D1424="合同履约保证金",ISNUMBER(FIND("保证金",数据录入!$E1424))),1,0))</f>
      </c>
      <c r="R1424" s="44">
        <f>IF(AND($Q1424=1,数据录入!$B1424&gt;=$B$2,数据录入!$B1424&lt;=$D$2),N(R1423)+1,N(R1423))</f>
      </c>
    </row>
    <row r="1425" s="44" customFormat="1" spans="1:23">
      <c r="A1425" s="116"/>
      <c r="E1425" s="108"/>
      <c r="F1425" s="114"/>
      <c r="G1425" s="114"/>
      <c r="H1425" s="114"/>
      <c r="Q1425" s="44">
        <f>IF(数据录入!$B1425="",0,IF(OR(数据录入!$D1425="投标保证金",数据录入!$D1425="合同履约保证金",ISNUMBER(FIND("保证金",数据录入!$E1425))),1,0))</f>
      </c>
      <c r="R1425" s="44">
        <f>IF(AND($Q1425=1,数据录入!$B1425&gt;=$B$2,数据录入!$B1425&lt;=$D$2),N(R1424)+1,N(R1424))</f>
      </c>
    </row>
    <row r="1426" s="44" customFormat="1" spans="1:23">
      <c r="A1426" s="116"/>
      <c r="E1426" s="108"/>
      <c r="F1426" s="114"/>
      <c r="G1426" s="114"/>
      <c r="H1426" s="114"/>
      <c r="Q1426" s="44">
        <f>IF(数据录入!$B1426="",0,IF(OR(数据录入!$D1426="投标保证金",数据录入!$D1426="合同履约保证金",ISNUMBER(FIND("保证金",数据录入!$E1426))),1,0))</f>
      </c>
      <c r="R1426" s="44">
        <f>IF(AND($Q1426=1,数据录入!$B1426&gt;=$B$2,数据录入!$B1426&lt;=$D$2),N(R1425)+1,N(R1425))</f>
      </c>
    </row>
    <row r="1427" s="44" customFormat="1" spans="1:23">
      <c r="A1427" s="116"/>
      <c r="E1427" s="108"/>
      <c r="F1427" s="114"/>
      <c r="G1427" s="114"/>
      <c r="H1427" s="114"/>
      <c r="Q1427" s="44">
        <f>IF(数据录入!$B1427="",0,IF(OR(数据录入!$D1427="投标保证金",数据录入!$D1427="合同履约保证金",ISNUMBER(FIND("保证金",数据录入!$E1427))),1,0))</f>
      </c>
      <c r="R1427" s="44">
        <f>IF(AND($Q1427=1,数据录入!$B1427&gt;=$B$2,数据录入!$B1427&lt;=$D$2),N(R1426)+1,N(R1426))</f>
      </c>
    </row>
    <row r="1428" s="44" customFormat="1" spans="1:23">
      <c r="A1428" s="116"/>
      <c r="E1428" s="108"/>
      <c r="F1428" s="114"/>
      <c r="G1428" s="114"/>
      <c r="H1428" s="114"/>
      <c r="Q1428" s="44">
        <f>IF(数据录入!$B1428="",0,IF(OR(数据录入!$D1428="投标保证金",数据录入!$D1428="合同履约保证金",ISNUMBER(FIND("保证金",数据录入!$E1428))),1,0))</f>
      </c>
      <c r="R1428" s="44">
        <f>IF(AND($Q1428=1,数据录入!$B1428&gt;=$B$2,数据录入!$B1428&lt;=$D$2),N(R1427)+1,N(R1427))</f>
      </c>
    </row>
    <row r="1429" s="44" customFormat="1" spans="1:23">
      <c r="A1429" s="116"/>
      <c r="E1429" s="108"/>
      <c r="F1429" s="114"/>
      <c r="G1429" s="114"/>
      <c r="H1429" s="114"/>
      <c r="Q1429" s="44">
        <f>IF(数据录入!$B1429="",0,IF(OR(数据录入!$D1429="投标保证金",数据录入!$D1429="合同履约保证金",ISNUMBER(FIND("保证金",数据录入!$E1429))),1,0))</f>
      </c>
      <c r="R1429" s="44">
        <f>IF(AND($Q1429=1,数据录入!$B1429&gt;=$B$2,数据录入!$B1429&lt;=$D$2),N(R1428)+1,N(R1428))</f>
      </c>
    </row>
    <row r="1430" s="44" customFormat="1" spans="1:23">
      <c r="A1430" s="116"/>
      <c r="E1430" s="108"/>
      <c r="F1430" s="114"/>
      <c r="G1430" s="114"/>
      <c r="H1430" s="114"/>
      <c r="Q1430" s="44">
        <f>IF(数据录入!$B1430="",0,IF(OR(数据录入!$D1430="投标保证金",数据录入!$D1430="合同履约保证金",ISNUMBER(FIND("保证金",数据录入!$E1430))),1,0))</f>
      </c>
      <c r="R1430" s="44">
        <f>IF(AND($Q1430=1,数据录入!$B1430&gt;=$B$2,数据录入!$B1430&lt;=$D$2),N(R1429)+1,N(R1429))</f>
      </c>
    </row>
    <row r="1431" s="44" customFormat="1" spans="1:23">
      <c r="A1431" s="116"/>
      <c r="E1431" s="108"/>
      <c r="F1431" s="114"/>
      <c r="G1431" s="114"/>
      <c r="H1431" s="114"/>
      <c r="Q1431" s="44">
        <f>IF(数据录入!$B1431="",0,IF(OR(数据录入!$D1431="投标保证金",数据录入!$D1431="合同履约保证金",ISNUMBER(FIND("保证金",数据录入!$E1431))),1,0))</f>
      </c>
      <c r="R1431" s="44">
        <f>IF(AND($Q1431=1,数据录入!$B1431&gt;=$B$2,数据录入!$B1431&lt;=$D$2),N(R1430)+1,N(R1430))</f>
      </c>
    </row>
    <row r="1432" s="44" customFormat="1" spans="1:23">
      <c r="A1432" s="116"/>
      <c r="E1432" s="108"/>
      <c r="F1432" s="114"/>
      <c r="G1432" s="114"/>
      <c r="H1432" s="114"/>
      <c r="Q1432" s="44">
        <f>IF(数据录入!$B1432="",0,IF(OR(数据录入!$D1432="投标保证金",数据录入!$D1432="合同履约保证金",ISNUMBER(FIND("保证金",数据录入!$E1432))),1,0))</f>
      </c>
      <c r="R1432" s="44">
        <f>IF(AND($Q1432=1,数据录入!$B1432&gt;=$B$2,数据录入!$B1432&lt;=$D$2),N(R1431)+1,N(R1431))</f>
      </c>
    </row>
    <row r="1433" s="44" customFormat="1" spans="1:23">
      <c r="A1433" s="116"/>
      <c r="E1433" s="108"/>
      <c r="F1433" s="114"/>
      <c r="G1433" s="114"/>
      <c r="H1433" s="114"/>
      <c r="Q1433" s="44">
        <f>IF(数据录入!$B1433="",0,IF(OR(数据录入!$D1433="投标保证金",数据录入!$D1433="合同履约保证金",ISNUMBER(FIND("保证金",数据录入!$E1433))),1,0))</f>
      </c>
      <c r="R1433" s="44">
        <f>IF(AND($Q1433=1,数据录入!$B1433&gt;=$B$2,数据录入!$B1433&lt;=$D$2),N(R1432)+1,N(R1432))</f>
      </c>
    </row>
    <row r="1434" s="44" customFormat="1" spans="1:23">
      <c r="A1434" s="116"/>
      <c r="E1434" s="108"/>
      <c r="F1434" s="114"/>
      <c r="G1434" s="114"/>
      <c r="H1434" s="114"/>
      <c r="Q1434" s="44">
        <f>IF(数据录入!$B1434="",0,IF(OR(数据录入!$D1434="投标保证金",数据录入!$D1434="合同履约保证金",ISNUMBER(FIND("保证金",数据录入!$E1434))),1,0))</f>
      </c>
      <c r="R1434" s="44">
        <f>IF(AND($Q1434=1,数据录入!$B1434&gt;=$B$2,数据录入!$B1434&lt;=$D$2),N(R1433)+1,N(R1433))</f>
      </c>
    </row>
    <row r="1435" s="44" customFormat="1" spans="1:23">
      <c r="A1435" s="116"/>
      <c r="E1435" s="108"/>
      <c r="F1435" s="114"/>
      <c r="G1435" s="114"/>
      <c r="H1435" s="114"/>
      <c r="Q1435" s="44">
        <f>IF(数据录入!$B1435="",0,IF(OR(数据录入!$D1435="投标保证金",数据录入!$D1435="合同履约保证金",ISNUMBER(FIND("保证金",数据录入!$E1435))),1,0))</f>
      </c>
      <c r="R1435" s="44">
        <f>IF(AND($Q1435=1,数据录入!$B1435&gt;=$B$2,数据录入!$B1435&lt;=$D$2),N(R1434)+1,N(R1434))</f>
      </c>
    </row>
    <row r="1436" s="44" customFormat="1" spans="1:23">
      <c r="A1436" s="116"/>
      <c r="E1436" s="108"/>
      <c r="F1436" s="114"/>
      <c r="G1436" s="114"/>
      <c r="H1436" s="114"/>
      <c r="Q1436" s="44">
        <f>IF(数据录入!$B1436="",0,IF(OR(数据录入!$D1436="投标保证金",数据录入!$D1436="合同履约保证金",ISNUMBER(FIND("保证金",数据录入!$E1436))),1,0))</f>
      </c>
      <c r="R1436" s="44">
        <f>IF(AND($Q1436=1,数据录入!$B1436&gt;=$B$2,数据录入!$B1436&lt;=$D$2),N(R1435)+1,N(R1435))</f>
      </c>
    </row>
    <row r="1437" s="44" customFormat="1" spans="1:23">
      <c r="A1437" s="116"/>
      <c r="E1437" s="108"/>
      <c r="F1437" s="114"/>
      <c r="G1437" s="114"/>
      <c r="H1437" s="114"/>
      <c r="Q1437" s="44">
        <f>IF(数据录入!$B1437="",0,IF(OR(数据录入!$D1437="投标保证金",数据录入!$D1437="合同履约保证金",ISNUMBER(FIND("保证金",数据录入!$E1437))),1,0))</f>
      </c>
      <c r="R1437" s="44">
        <f>IF(AND($Q1437=1,数据录入!$B1437&gt;=$B$2,数据录入!$B1437&lt;=$D$2),N(R1436)+1,N(R1436))</f>
      </c>
    </row>
    <row r="1438" s="44" customFormat="1" spans="1:23">
      <c r="A1438" s="116"/>
      <c r="E1438" s="108"/>
      <c r="F1438" s="114"/>
      <c r="G1438" s="114"/>
      <c r="H1438" s="114"/>
      <c r="Q1438" s="44">
        <f>IF(数据录入!$B1438="",0,IF(OR(数据录入!$D1438="投标保证金",数据录入!$D1438="合同履约保证金",ISNUMBER(FIND("保证金",数据录入!$E1438))),1,0))</f>
      </c>
      <c r="R1438" s="44">
        <f>IF(AND($Q1438=1,数据录入!$B1438&gt;=$B$2,数据录入!$B1438&lt;=$D$2),N(R1437)+1,N(R1437))</f>
      </c>
    </row>
    <row r="1439" s="44" customFormat="1" spans="1:23">
      <c r="A1439" s="116"/>
      <c r="E1439" s="108"/>
      <c r="F1439" s="114"/>
      <c r="G1439" s="114"/>
      <c r="H1439" s="114"/>
      <c r="Q1439" s="44">
        <f>IF(数据录入!$B1439="",0,IF(OR(数据录入!$D1439="投标保证金",数据录入!$D1439="合同履约保证金",ISNUMBER(FIND("保证金",数据录入!$E1439))),1,0))</f>
      </c>
      <c r="R1439" s="44">
        <f>IF(AND($Q1439=1,数据录入!$B1439&gt;=$B$2,数据录入!$B1439&lt;=$D$2),N(R1438)+1,N(R1438))</f>
      </c>
    </row>
    <row r="1440" s="44" customFormat="1" spans="1:23">
      <c r="A1440" s="116"/>
      <c r="E1440" s="108"/>
      <c r="F1440" s="114"/>
      <c r="G1440" s="114"/>
      <c r="H1440" s="114"/>
      <c r="Q1440" s="44">
        <f>IF(数据录入!$B1440="",0,IF(OR(数据录入!$D1440="投标保证金",数据录入!$D1440="合同履约保证金",ISNUMBER(FIND("保证金",数据录入!$E1440))),1,0))</f>
      </c>
      <c r="R1440" s="44">
        <f>IF(AND($Q1440=1,数据录入!$B1440&gt;=$B$2,数据录入!$B1440&lt;=$D$2),N(R1439)+1,N(R1439))</f>
      </c>
    </row>
    <row r="1441" s="44" customFormat="1" spans="1:23">
      <c r="A1441" s="116"/>
      <c r="E1441" s="108"/>
      <c r="F1441" s="114"/>
      <c r="G1441" s="114"/>
      <c r="H1441" s="114"/>
      <c r="Q1441" s="44">
        <f>IF(数据录入!$B1441="",0,IF(OR(数据录入!$D1441="投标保证金",数据录入!$D1441="合同履约保证金",ISNUMBER(FIND("保证金",数据录入!$E1441))),1,0))</f>
      </c>
      <c r="R1441" s="44">
        <f>IF(AND($Q1441=1,数据录入!$B1441&gt;=$B$2,数据录入!$B1441&lt;=$D$2),N(R1440)+1,N(R1440))</f>
      </c>
    </row>
    <row r="1442" s="44" customFormat="1" spans="1:23">
      <c r="A1442" s="116"/>
      <c r="E1442" s="108"/>
      <c r="F1442" s="114"/>
      <c r="G1442" s="114"/>
      <c r="H1442" s="114"/>
      <c r="Q1442" s="44">
        <f>IF(数据录入!$B1442="",0,IF(OR(数据录入!$D1442="投标保证金",数据录入!$D1442="合同履约保证金",ISNUMBER(FIND("保证金",数据录入!$E1442))),1,0))</f>
      </c>
      <c r="R1442" s="44">
        <f>IF(AND($Q1442=1,数据录入!$B1442&gt;=$B$2,数据录入!$B1442&lt;=$D$2),N(R1441)+1,N(R1441))</f>
      </c>
    </row>
    <row r="1443" s="44" customFormat="1" spans="1:23">
      <c r="A1443" s="116"/>
      <c r="E1443" s="108"/>
      <c r="F1443" s="114"/>
      <c r="G1443" s="114"/>
      <c r="H1443" s="114"/>
      <c r="Q1443" s="44">
        <f>IF(数据录入!$B1443="",0,IF(OR(数据录入!$D1443="投标保证金",数据录入!$D1443="合同履约保证金",ISNUMBER(FIND("保证金",数据录入!$E1443))),1,0))</f>
      </c>
      <c r="R1443" s="44">
        <f>IF(AND($Q1443=1,数据录入!$B1443&gt;=$B$2,数据录入!$B1443&lt;=$D$2),N(R1442)+1,N(R1442))</f>
      </c>
    </row>
    <row r="1444" s="44" customFormat="1" spans="1:23">
      <c r="A1444" s="116"/>
      <c r="E1444" s="108"/>
      <c r="F1444" s="114"/>
      <c r="G1444" s="114"/>
      <c r="H1444" s="114"/>
      <c r="Q1444" s="44">
        <f>IF(数据录入!$B1444="",0,IF(OR(数据录入!$D1444="投标保证金",数据录入!$D1444="合同履约保证金",ISNUMBER(FIND("保证金",数据录入!$E1444))),1,0))</f>
      </c>
      <c r="R1444" s="44">
        <f>IF(AND($Q1444=1,数据录入!$B1444&gt;=$B$2,数据录入!$B1444&lt;=$D$2),N(R1443)+1,N(R1443))</f>
      </c>
    </row>
    <row r="1445" s="44" customFormat="1" spans="1:23">
      <c r="A1445" s="116"/>
      <c r="E1445" s="108"/>
      <c r="F1445" s="114"/>
      <c r="G1445" s="114"/>
      <c r="H1445" s="114"/>
      <c r="Q1445" s="44">
        <f>IF(数据录入!$B1445="",0,IF(OR(数据录入!$D1445="投标保证金",数据录入!$D1445="合同履约保证金",ISNUMBER(FIND("保证金",数据录入!$E1445))),1,0))</f>
      </c>
      <c r="R1445" s="44">
        <f>IF(AND($Q1445=1,数据录入!$B1445&gt;=$B$2,数据录入!$B1445&lt;=$D$2),N(R1444)+1,N(R1444))</f>
      </c>
    </row>
    <row r="1446" s="44" customFormat="1" spans="1:23">
      <c r="A1446" s="116"/>
      <c r="E1446" s="108"/>
      <c r="F1446" s="114"/>
      <c r="G1446" s="114"/>
      <c r="H1446" s="114"/>
      <c r="Q1446" s="44">
        <f>IF(数据录入!$B1446="",0,IF(OR(数据录入!$D1446="投标保证金",数据录入!$D1446="合同履约保证金",ISNUMBER(FIND("保证金",数据录入!$E1446))),1,0))</f>
      </c>
      <c r="R1446" s="44">
        <f>IF(AND($Q1446=1,数据录入!$B1446&gt;=$B$2,数据录入!$B1446&lt;=$D$2),N(R1445)+1,N(R1445))</f>
      </c>
    </row>
    <row r="1447" s="44" customFormat="1" spans="1:23">
      <c r="A1447" s="116"/>
      <c r="E1447" s="108"/>
      <c r="F1447" s="114"/>
      <c r="G1447" s="114"/>
      <c r="H1447" s="114"/>
      <c r="Q1447" s="44">
        <f>IF(数据录入!$B1447="",0,IF(OR(数据录入!$D1447="投标保证金",数据录入!$D1447="合同履约保证金",ISNUMBER(FIND("保证金",数据录入!$E1447))),1,0))</f>
      </c>
      <c r="R1447" s="44">
        <f>IF(AND($Q1447=1,数据录入!$B1447&gt;=$B$2,数据录入!$B1447&lt;=$D$2),N(R1446)+1,N(R1446))</f>
      </c>
    </row>
    <row r="1448" s="44" customFormat="1" spans="1:23">
      <c r="A1448" s="116"/>
      <c r="E1448" s="108"/>
      <c r="F1448" s="114"/>
      <c r="G1448" s="114"/>
      <c r="H1448" s="114"/>
      <c r="Q1448" s="44">
        <f>IF(数据录入!$B1448="",0,IF(OR(数据录入!$D1448="投标保证金",数据录入!$D1448="合同履约保证金",ISNUMBER(FIND("保证金",数据录入!$E1448))),1,0))</f>
      </c>
      <c r="R1448" s="44">
        <f>IF(AND($Q1448=1,数据录入!$B1448&gt;=$B$2,数据录入!$B1448&lt;=$D$2),N(R1447)+1,N(R1447))</f>
      </c>
    </row>
    <row r="1449" s="44" customFormat="1" spans="1:23">
      <c r="A1449" s="116"/>
      <c r="E1449" s="108"/>
      <c r="F1449" s="114"/>
      <c r="G1449" s="114"/>
      <c r="H1449" s="114"/>
      <c r="Q1449" s="44">
        <f>IF(数据录入!$B1449="",0,IF(OR(数据录入!$D1449="投标保证金",数据录入!$D1449="合同履约保证金",ISNUMBER(FIND("保证金",数据录入!$E1449))),1,0))</f>
      </c>
      <c r="R1449" s="44">
        <f>IF(AND($Q1449=1,数据录入!$B1449&gt;=$B$2,数据录入!$B1449&lt;=$D$2),N(R1448)+1,N(R1448))</f>
      </c>
    </row>
    <row r="1450" s="44" customFormat="1" spans="1:23">
      <c r="A1450" s="116"/>
      <c r="E1450" s="108"/>
      <c r="F1450" s="114"/>
      <c r="G1450" s="114"/>
      <c r="H1450" s="114"/>
      <c r="Q1450" s="44">
        <f>IF(数据录入!$B1450="",0,IF(OR(数据录入!$D1450="投标保证金",数据录入!$D1450="合同履约保证金",ISNUMBER(FIND("保证金",数据录入!$E1450))),1,0))</f>
      </c>
      <c r="R1450" s="44">
        <f>IF(AND($Q1450=1,数据录入!$B1450&gt;=$B$2,数据录入!$B1450&lt;=$D$2),N(R1449)+1,N(R1449))</f>
      </c>
    </row>
    <row r="1451" s="44" customFormat="1" spans="1:23">
      <c r="A1451" s="116"/>
      <c r="E1451" s="108"/>
      <c r="F1451" s="114"/>
      <c r="G1451" s="114"/>
      <c r="H1451" s="114"/>
      <c r="Q1451" s="44">
        <f>IF(数据录入!$B1451="",0,IF(OR(数据录入!$D1451="投标保证金",数据录入!$D1451="合同履约保证金",ISNUMBER(FIND("保证金",数据录入!$E1451))),1,0))</f>
      </c>
      <c r="R1451" s="44">
        <f>IF(AND($Q1451=1,数据录入!$B1451&gt;=$B$2,数据录入!$B1451&lt;=$D$2),N(R1450)+1,N(R1450))</f>
      </c>
    </row>
    <row r="1452" s="44" customFormat="1" spans="1:23">
      <c r="A1452" s="116"/>
      <c r="E1452" s="108"/>
      <c r="F1452" s="114"/>
      <c r="G1452" s="114"/>
      <c r="H1452" s="114"/>
      <c r="Q1452" s="44">
        <f>IF(数据录入!$B1452="",0,IF(OR(数据录入!$D1452="投标保证金",数据录入!$D1452="合同履约保证金",ISNUMBER(FIND("保证金",数据录入!$E1452))),1,0))</f>
      </c>
      <c r="R1452" s="44">
        <f>IF(AND($Q1452=1,数据录入!$B1452&gt;=$B$2,数据录入!$B1452&lt;=$D$2),N(R1451)+1,N(R1451))</f>
      </c>
    </row>
    <row r="1453" s="44" customFormat="1" spans="1:23">
      <c r="A1453" s="116"/>
      <c r="E1453" s="108"/>
      <c r="F1453" s="114"/>
      <c r="G1453" s="114"/>
      <c r="H1453" s="114"/>
      <c r="Q1453" s="44">
        <f>IF(数据录入!$B1453="",0,IF(OR(数据录入!$D1453="投标保证金",数据录入!$D1453="合同履约保证金",ISNUMBER(FIND("保证金",数据录入!$E1453))),1,0))</f>
      </c>
      <c r="R1453" s="44">
        <f>IF(AND($Q1453=1,数据录入!$B1453&gt;=$B$2,数据录入!$B1453&lt;=$D$2),N(R1452)+1,N(R1452))</f>
      </c>
    </row>
    <row r="1454" s="44" customFormat="1" spans="1:23">
      <c r="A1454" s="116"/>
      <c r="E1454" s="108"/>
      <c r="F1454" s="114"/>
      <c r="G1454" s="114"/>
      <c r="H1454" s="114"/>
      <c r="Q1454" s="44">
        <f>IF(数据录入!$B1454="",0,IF(OR(数据录入!$D1454="投标保证金",数据录入!$D1454="合同履约保证金",ISNUMBER(FIND("保证金",数据录入!$E1454))),1,0))</f>
      </c>
      <c r="R1454" s="44">
        <f>IF(AND($Q1454=1,数据录入!$B1454&gt;=$B$2,数据录入!$B1454&lt;=$D$2),N(R1453)+1,N(R1453))</f>
      </c>
    </row>
    <row r="1455" s="44" customFormat="1" spans="1:23">
      <c r="A1455" s="116"/>
      <c r="E1455" s="108"/>
      <c r="F1455" s="114"/>
      <c r="G1455" s="114"/>
      <c r="H1455" s="114"/>
      <c r="Q1455" s="44">
        <f>IF(数据录入!$B1455="",0,IF(OR(数据录入!$D1455="投标保证金",数据录入!$D1455="合同履约保证金",ISNUMBER(FIND("保证金",数据录入!$E1455))),1,0))</f>
      </c>
      <c r="R1455" s="44">
        <f>IF(AND($Q1455=1,数据录入!$B1455&gt;=$B$2,数据录入!$B1455&lt;=$D$2),N(R1454)+1,N(R1454))</f>
      </c>
    </row>
    <row r="1456" s="44" customFormat="1" spans="1:23">
      <c r="A1456" s="116"/>
      <c r="E1456" s="108"/>
      <c r="F1456" s="114"/>
      <c r="G1456" s="114"/>
      <c r="H1456" s="114"/>
      <c r="Q1456" s="44">
        <f>IF(数据录入!$B1456="",0,IF(OR(数据录入!$D1456="投标保证金",数据录入!$D1456="合同履约保证金",ISNUMBER(FIND("保证金",数据录入!$E1456))),1,0))</f>
      </c>
      <c r="R1456" s="44">
        <f>IF(AND($Q1456=1,数据录入!$B1456&gt;=$B$2,数据录入!$B1456&lt;=$D$2),N(R1455)+1,N(R1455))</f>
      </c>
    </row>
    <row r="1457" s="44" customFormat="1" spans="1:23">
      <c r="A1457" s="116"/>
      <c r="E1457" s="108"/>
      <c r="F1457" s="114"/>
      <c r="G1457" s="114"/>
      <c r="H1457" s="114"/>
      <c r="Q1457" s="44">
        <f>IF(数据录入!$B1457="",0,IF(OR(数据录入!$D1457="投标保证金",数据录入!$D1457="合同履约保证金",ISNUMBER(FIND("保证金",数据录入!$E1457))),1,0))</f>
      </c>
      <c r="R1457" s="44">
        <f>IF(AND($Q1457=1,数据录入!$B1457&gt;=$B$2,数据录入!$B1457&lt;=$D$2),N(R1456)+1,N(R1456))</f>
      </c>
    </row>
    <row r="1458" s="44" customFormat="1" spans="1:23">
      <c r="A1458" s="116"/>
      <c r="E1458" s="108"/>
      <c r="F1458" s="114"/>
      <c r="G1458" s="114"/>
      <c r="H1458" s="114"/>
      <c r="Q1458" s="44">
        <f>IF(数据录入!$B1458="",0,IF(OR(数据录入!$D1458="投标保证金",数据录入!$D1458="合同履约保证金",ISNUMBER(FIND("保证金",数据录入!$E1458))),1,0))</f>
      </c>
      <c r="R1458" s="44">
        <f>IF(AND($Q1458=1,数据录入!$B1458&gt;=$B$2,数据录入!$B1458&lt;=$D$2),N(R1457)+1,N(R1457))</f>
      </c>
    </row>
    <row r="1459" s="44" customFormat="1" spans="1:23">
      <c r="A1459" s="116"/>
      <c r="E1459" s="108"/>
      <c r="F1459" s="114"/>
      <c r="G1459" s="114"/>
      <c r="H1459" s="114"/>
      <c r="Q1459" s="44">
        <f>IF(数据录入!$B1459="",0,IF(OR(数据录入!$D1459="投标保证金",数据录入!$D1459="合同履约保证金",ISNUMBER(FIND("保证金",数据录入!$E1459))),1,0))</f>
      </c>
      <c r="R1459" s="44">
        <f>IF(AND($Q1459=1,数据录入!$B1459&gt;=$B$2,数据录入!$B1459&lt;=$D$2),N(R1458)+1,N(R1458))</f>
      </c>
    </row>
    <row r="1460" s="44" customFormat="1" spans="1:23">
      <c r="A1460" s="116"/>
      <c r="E1460" s="108"/>
      <c r="F1460" s="114"/>
      <c r="G1460" s="114"/>
      <c r="H1460" s="114"/>
      <c r="Q1460" s="44">
        <f>IF(数据录入!$B1460="",0,IF(OR(数据录入!$D1460="投标保证金",数据录入!$D1460="合同履约保证金",ISNUMBER(FIND("保证金",数据录入!$E1460))),1,0))</f>
      </c>
      <c r="R1460" s="44">
        <f>IF(AND($Q1460=1,数据录入!$B1460&gt;=$B$2,数据录入!$B1460&lt;=$D$2),N(R1459)+1,N(R1459))</f>
      </c>
    </row>
    <row r="1461" s="44" customFormat="1" spans="1:23">
      <c r="A1461" s="116"/>
      <c r="E1461" s="108"/>
      <c r="F1461" s="114"/>
      <c r="G1461" s="114"/>
      <c r="H1461" s="114"/>
      <c r="Q1461" s="44">
        <f>IF(数据录入!$B1461="",0,IF(OR(数据录入!$D1461="投标保证金",数据录入!$D1461="合同履约保证金",ISNUMBER(FIND("保证金",数据录入!$E1461))),1,0))</f>
      </c>
      <c r="R1461" s="44">
        <f>IF(AND($Q1461=1,数据录入!$B1461&gt;=$B$2,数据录入!$B1461&lt;=$D$2),N(R1460)+1,N(R1460))</f>
      </c>
    </row>
    <row r="1462" s="44" customFormat="1" spans="1:23">
      <c r="A1462" s="116"/>
      <c r="E1462" s="108"/>
      <c r="F1462" s="114"/>
      <c r="G1462" s="114"/>
      <c r="H1462" s="114"/>
      <c r="Q1462" s="44">
        <f>IF(数据录入!$B1462="",0,IF(OR(数据录入!$D1462="投标保证金",数据录入!$D1462="合同履约保证金",ISNUMBER(FIND("保证金",数据录入!$E1462))),1,0))</f>
      </c>
      <c r="R1462" s="44">
        <f>IF(AND($Q1462=1,数据录入!$B1462&gt;=$B$2,数据录入!$B1462&lt;=$D$2),N(R1461)+1,N(R1461))</f>
      </c>
    </row>
    <row r="1463" s="44" customFormat="1" spans="1:23">
      <c r="A1463" s="116"/>
      <c r="E1463" s="108"/>
      <c r="F1463" s="114"/>
      <c r="G1463" s="114"/>
      <c r="H1463" s="114"/>
      <c r="Q1463" s="44">
        <f>IF(数据录入!$B1463="",0,IF(OR(数据录入!$D1463="投标保证金",数据录入!$D1463="合同履约保证金",ISNUMBER(FIND("保证金",数据录入!$E1463))),1,0))</f>
      </c>
      <c r="R1463" s="44">
        <f>IF(AND($Q1463=1,数据录入!$B1463&gt;=$B$2,数据录入!$B1463&lt;=$D$2),N(R1462)+1,N(R1462))</f>
      </c>
    </row>
    <row r="1464" s="44" customFormat="1" spans="1:23">
      <c r="A1464" s="116"/>
      <c r="E1464" s="108"/>
      <c r="F1464" s="114"/>
      <c r="G1464" s="114"/>
      <c r="H1464" s="114"/>
      <c r="Q1464" s="44">
        <f>IF(数据录入!$B1464="",0,IF(OR(数据录入!$D1464="投标保证金",数据录入!$D1464="合同履约保证金",ISNUMBER(FIND("保证金",数据录入!$E1464))),1,0))</f>
      </c>
      <c r="R1464" s="44">
        <f>IF(AND($Q1464=1,数据录入!$B1464&gt;=$B$2,数据录入!$B1464&lt;=$D$2),N(R1463)+1,N(R1463))</f>
      </c>
    </row>
    <row r="1465" s="44" customFormat="1" spans="1:23">
      <c r="A1465" s="116"/>
      <c r="E1465" s="108"/>
      <c r="F1465" s="114"/>
      <c r="G1465" s="114"/>
      <c r="H1465" s="114"/>
      <c r="Q1465" s="44">
        <f>IF(数据录入!$B1465="",0,IF(OR(数据录入!$D1465="投标保证金",数据录入!$D1465="合同履约保证金",ISNUMBER(FIND("保证金",数据录入!$E1465))),1,0))</f>
      </c>
      <c r="R1465" s="44">
        <f>IF(AND($Q1465=1,数据录入!$B1465&gt;=$B$2,数据录入!$B1465&lt;=$D$2),N(R1464)+1,N(R1464))</f>
      </c>
    </row>
    <row r="1466" s="44" customFormat="1" spans="1:23">
      <c r="A1466" s="116"/>
      <c r="E1466" s="108"/>
      <c r="F1466" s="114"/>
      <c r="G1466" s="114"/>
      <c r="H1466" s="114"/>
      <c r="Q1466" s="44">
        <f>IF(数据录入!$B1466="",0,IF(OR(数据录入!$D1466="投标保证金",数据录入!$D1466="合同履约保证金",ISNUMBER(FIND("保证金",数据录入!$E1466))),1,0))</f>
      </c>
      <c r="R1466" s="44">
        <f>IF(AND($Q1466=1,数据录入!$B1466&gt;=$B$2,数据录入!$B1466&lt;=$D$2),N(R1465)+1,N(R1465))</f>
      </c>
    </row>
    <row r="1467" s="44" customFormat="1" spans="1:23">
      <c r="A1467" s="116"/>
      <c r="E1467" s="108"/>
      <c r="F1467" s="114"/>
      <c r="G1467" s="114"/>
      <c r="H1467" s="114"/>
      <c r="Q1467" s="44">
        <f>IF(数据录入!$B1467="",0,IF(OR(数据录入!$D1467="投标保证金",数据录入!$D1467="合同履约保证金",ISNUMBER(FIND("保证金",数据录入!$E1467))),1,0))</f>
      </c>
      <c r="R1467" s="44">
        <f>IF(AND($Q1467=1,数据录入!$B1467&gt;=$B$2,数据录入!$B1467&lt;=$D$2),N(R1466)+1,N(R1466))</f>
      </c>
    </row>
    <row r="1468" s="44" customFormat="1" spans="1:23">
      <c r="A1468" s="116"/>
      <c r="E1468" s="108"/>
      <c r="F1468" s="114"/>
      <c r="G1468" s="114"/>
      <c r="H1468" s="114"/>
      <c r="Q1468" s="44">
        <f>IF(数据录入!$B1468="",0,IF(OR(数据录入!$D1468="投标保证金",数据录入!$D1468="合同履约保证金",ISNUMBER(FIND("保证金",数据录入!$E1468))),1,0))</f>
      </c>
      <c r="R1468" s="44">
        <f>IF(AND($Q1468=1,数据录入!$B1468&gt;=$B$2,数据录入!$B1468&lt;=$D$2),N(R1467)+1,N(R1467))</f>
      </c>
    </row>
    <row r="1469" s="44" customFormat="1" spans="1:23">
      <c r="A1469" s="116"/>
      <c r="E1469" s="108"/>
      <c r="F1469" s="114"/>
      <c r="G1469" s="114"/>
      <c r="H1469" s="114"/>
      <c r="Q1469" s="44">
        <f>IF(数据录入!$B1469="",0,IF(OR(数据录入!$D1469="投标保证金",数据录入!$D1469="合同履约保证金",ISNUMBER(FIND("保证金",数据录入!$E1469))),1,0))</f>
      </c>
      <c r="R1469" s="44">
        <f>IF(AND($Q1469=1,数据录入!$B1469&gt;=$B$2,数据录入!$B1469&lt;=$D$2),N(R1468)+1,N(R1468))</f>
      </c>
    </row>
    <row r="1470" s="44" customFormat="1" spans="1:23">
      <c r="A1470" s="116"/>
      <c r="E1470" s="108"/>
      <c r="F1470" s="114"/>
      <c r="G1470" s="114"/>
      <c r="H1470" s="114"/>
      <c r="Q1470" s="44">
        <f>IF(数据录入!$B1470="",0,IF(OR(数据录入!$D1470="投标保证金",数据录入!$D1470="合同履约保证金",ISNUMBER(FIND("保证金",数据录入!$E1470))),1,0))</f>
      </c>
      <c r="R1470" s="44">
        <f>IF(AND($Q1470=1,数据录入!$B1470&gt;=$B$2,数据录入!$B1470&lt;=$D$2),N(R1469)+1,N(R1469))</f>
      </c>
    </row>
    <row r="1471" s="44" customFormat="1" spans="1:23">
      <c r="A1471" s="116"/>
      <c r="E1471" s="108"/>
      <c r="F1471" s="114"/>
      <c r="G1471" s="114"/>
      <c r="H1471" s="114"/>
      <c r="Q1471" s="44">
        <f>IF(数据录入!$B1471="",0,IF(OR(数据录入!$D1471="投标保证金",数据录入!$D1471="合同履约保证金",ISNUMBER(FIND("保证金",数据录入!$E1471))),1,0))</f>
      </c>
      <c r="R1471" s="44">
        <f>IF(AND($Q1471=1,数据录入!$B1471&gt;=$B$2,数据录入!$B1471&lt;=$D$2),N(R1470)+1,N(R1470))</f>
      </c>
    </row>
    <row r="1472" s="44" customFormat="1" spans="1:23">
      <c r="A1472" s="116"/>
      <c r="E1472" s="108"/>
      <c r="F1472" s="114"/>
      <c r="G1472" s="114"/>
      <c r="H1472" s="114"/>
      <c r="Q1472" s="44">
        <f>IF(数据录入!$B1472="",0,IF(OR(数据录入!$D1472="投标保证金",数据录入!$D1472="合同履约保证金",ISNUMBER(FIND("保证金",数据录入!$E1472))),1,0))</f>
      </c>
      <c r="R1472" s="44">
        <f>IF(AND($Q1472=1,数据录入!$B1472&gt;=$B$2,数据录入!$B1472&lt;=$D$2),N(R1471)+1,N(R1471))</f>
      </c>
    </row>
    <row r="1473" s="44" customFormat="1" spans="1:23">
      <c r="A1473" s="116"/>
      <c r="E1473" s="108"/>
      <c r="F1473" s="114"/>
      <c r="G1473" s="114"/>
      <c r="H1473" s="114"/>
      <c r="Q1473" s="44">
        <f>IF(数据录入!$B1473="",0,IF(OR(数据录入!$D1473="投标保证金",数据录入!$D1473="合同履约保证金",ISNUMBER(FIND("保证金",数据录入!$E1473))),1,0))</f>
      </c>
      <c r="R1473" s="44">
        <f>IF(AND($Q1473=1,数据录入!$B1473&gt;=$B$2,数据录入!$B1473&lt;=$D$2),N(R1472)+1,N(R1472))</f>
      </c>
    </row>
    <row r="1474" s="44" customFormat="1" spans="1:23">
      <c r="A1474" s="116"/>
      <c r="E1474" s="108"/>
      <c r="F1474" s="114"/>
      <c r="G1474" s="114"/>
      <c r="H1474" s="114"/>
      <c r="Q1474" s="44">
        <f>IF(数据录入!$B1474="",0,IF(OR(数据录入!$D1474="投标保证金",数据录入!$D1474="合同履约保证金",ISNUMBER(FIND("保证金",数据录入!$E1474))),1,0))</f>
      </c>
      <c r="R1474" s="44">
        <f>IF(AND($Q1474=1,数据录入!$B1474&gt;=$B$2,数据录入!$B1474&lt;=$D$2),N(R1473)+1,N(R1473))</f>
      </c>
    </row>
    <row r="1475" s="44" customFormat="1" spans="1:23">
      <c r="A1475" s="116"/>
      <c r="E1475" s="108"/>
      <c r="F1475" s="114"/>
      <c r="G1475" s="114"/>
      <c r="H1475" s="114"/>
      <c r="Q1475" s="44">
        <f>IF(数据录入!$B1475="",0,IF(OR(数据录入!$D1475="投标保证金",数据录入!$D1475="合同履约保证金",ISNUMBER(FIND("保证金",数据录入!$E1475))),1,0))</f>
      </c>
      <c r="R1475" s="44">
        <f>IF(AND($Q1475=1,数据录入!$B1475&gt;=$B$2,数据录入!$B1475&lt;=$D$2),N(R1474)+1,N(R1474))</f>
      </c>
    </row>
    <row r="1476" s="44" customFormat="1" spans="1:23">
      <c r="A1476" s="116"/>
      <c r="E1476" s="108"/>
      <c r="F1476" s="114"/>
      <c r="G1476" s="114"/>
      <c r="H1476" s="114"/>
      <c r="Q1476" s="44">
        <f>IF(数据录入!$B1476="",0,IF(OR(数据录入!$D1476="投标保证金",数据录入!$D1476="合同履约保证金",ISNUMBER(FIND("保证金",数据录入!$E1476))),1,0))</f>
      </c>
      <c r="R1476" s="44">
        <f>IF(AND($Q1476=1,数据录入!$B1476&gt;=$B$2,数据录入!$B1476&lt;=$D$2),N(R1475)+1,N(R1475))</f>
      </c>
    </row>
    <row r="1477" s="44" customFormat="1" spans="1:23">
      <c r="A1477" s="116"/>
      <c r="E1477" s="108"/>
      <c r="F1477" s="114"/>
      <c r="G1477" s="114"/>
      <c r="H1477" s="114"/>
      <c r="Q1477" s="44">
        <f>IF(数据录入!$B1477="",0,IF(OR(数据录入!$D1477="投标保证金",数据录入!$D1477="合同履约保证金",ISNUMBER(FIND("保证金",数据录入!$E1477))),1,0))</f>
      </c>
      <c r="R1477" s="44">
        <f>IF(AND($Q1477=1,数据录入!$B1477&gt;=$B$2,数据录入!$B1477&lt;=$D$2),N(R1476)+1,N(R1476))</f>
      </c>
    </row>
    <row r="1478" s="44" customFormat="1" spans="1:23">
      <c r="A1478" s="116"/>
      <c r="E1478" s="108"/>
      <c r="F1478" s="114"/>
      <c r="G1478" s="114"/>
      <c r="H1478" s="114"/>
      <c r="Q1478" s="44">
        <f>IF(数据录入!$B1478="",0,IF(OR(数据录入!$D1478="投标保证金",数据录入!$D1478="合同履约保证金",ISNUMBER(FIND("保证金",数据录入!$E1478))),1,0))</f>
      </c>
      <c r="R1478" s="44">
        <f>IF(AND($Q1478=1,数据录入!$B1478&gt;=$B$2,数据录入!$B1478&lt;=$D$2),N(R1477)+1,N(R1477))</f>
      </c>
    </row>
    <row r="1479" s="44" customFormat="1" spans="1:23">
      <c r="A1479" s="116"/>
      <c r="E1479" s="108"/>
      <c r="F1479" s="114"/>
      <c r="G1479" s="114"/>
      <c r="H1479" s="114"/>
      <c r="Q1479" s="44">
        <f>IF(数据录入!$B1479="",0,IF(OR(数据录入!$D1479="投标保证金",数据录入!$D1479="合同履约保证金",ISNUMBER(FIND("保证金",数据录入!$E1479))),1,0))</f>
      </c>
      <c r="R1479" s="44">
        <f>IF(AND($Q1479=1,数据录入!$B1479&gt;=$B$2,数据录入!$B1479&lt;=$D$2),N(R1478)+1,N(R1478))</f>
      </c>
    </row>
    <row r="1480" s="44" customFormat="1" spans="1:23">
      <c r="A1480" s="116"/>
      <c r="E1480" s="108"/>
      <c r="F1480" s="114"/>
      <c r="G1480" s="114"/>
      <c r="H1480" s="114"/>
      <c r="Q1480" s="44">
        <f>IF(数据录入!$B1480="",0,IF(OR(数据录入!$D1480="投标保证金",数据录入!$D1480="合同履约保证金",ISNUMBER(FIND("保证金",数据录入!$E1480))),1,0))</f>
      </c>
      <c r="R1480" s="44">
        <f>IF(AND($Q1480=1,数据录入!$B1480&gt;=$B$2,数据录入!$B1480&lt;=$D$2),N(R1479)+1,N(R1479))</f>
      </c>
    </row>
    <row r="1481" s="44" customFormat="1" spans="1:23">
      <c r="A1481" s="116"/>
      <c r="E1481" s="108"/>
      <c r="F1481" s="114"/>
      <c r="G1481" s="114"/>
      <c r="H1481" s="114"/>
      <c r="Q1481" s="44">
        <f>IF(数据录入!$B1481="",0,IF(OR(数据录入!$D1481="投标保证金",数据录入!$D1481="合同履约保证金",ISNUMBER(FIND("保证金",数据录入!$E1481))),1,0))</f>
      </c>
      <c r="R1481" s="44">
        <f>IF(AND($Q1481=1,数据录入!$B1481&gt;=$B$2,数据录入!$B1481&lt;=$D$2),N(R1480)+1,N(R1480))</f>
      </c>
    </row>
    <row r="1482" s="44" customFormat="1" spans="1:23">
      <c r="A1482" s="116"/>
      <c r="E1482" s="108"/>
      <c r="F1482" s="114"/>
      <c r="G1482" s="114"/>
      <c r="H1482" s="114"/>
      <c r="Q1482" s="44">
        <f>IF(数据录入!$B1482="",0,IF(OR(数据录入!$D1482="投标保证金",数据录入!$D1482="合同履约保证金",ISNUMBER(FIND("保证金",数据录入!$E1482))),1,0))</f>
      </c>
      <c r="R1482" s="44">
        <f>IF(AND($Q1482=1,数据录入!$B1482&gt;=$B$2,数据录入!$B1482&lt;=$D$2),N(R1481)+1,N(R1481))</f>
      </c>
    </row>
    <row r="1483" s="44" customFormat="1" spans="1:23">
      <c r="A1483" s="116"/>
      <c r="E1483" s="108"/>
      <c r="F1483" s="114"/>
      <c r="G1483" s="114"/>
      <c r="H1483" s="114"/>
      <c r="Q1483" s="44">
        <f>IF(数据录入!$B1483="",0,IF(OR(数据录入!$D1483="投标保证金",数据录入!$D1483="合同履约保证金",ISNUMBER(FIND("保证金",数据录入!$E1483))),1,0))</f>
      </c>
      <c r="R1483" s="44">
        <f>IF(AND($Q1483=1,数据录入!$B1483&gt;=$B$2,数据录入!$B1483&lt;=$D$2),N(R1482)+1,N(R1482))</f>
      </c>
    </row>
    <row r="1484" s="44" customFormat="1" spans="1:23">
      <c r="A1484" s="116"/>
      <c r="E1484" s="108"/>
      <c r="F1484" s="114"/>
      <c r="G1484" s="114"/>
      <c r="H1484" s="114"/>
      <c r="Q1484" s="44">
        <f>IF(数据录入!$B1484="",0,IF(OR(数据录入!$D1484="投标保证金",数据录入!$D1484="合同履约保证金",ISNUMBER(FIND("保证金",数据录入!$E1484))),1,0))</f>
      </c>
      <c r="R1484" s="44">
        <f>IF(AND($Q1484=1,数据录入!$B1484&gt;=$B$2,数据录入!$B1484&lt;=$D$2),N(R1483)+1,N(R1483))</f>
      </c>
    </row>
    <row r="1485" s="44" customFormat="1" spans="1:23">
      <c r="A1485" s="116"/>
      <c r="E1485" s="108"/>
      <c r="F1485" s="114"/>
      <c r="G1485" s="114"/>
      <c r="H1485" s="114"/>
      <c r="Q1485" s="44">
        <f>IF(数据录入!$B1485="",0,IF(OR(数据录入!$D1485="投标保证金",数据录入!$D1485="合同履约保证金",ISNUMBER(FIND("保证金",数据录入!$E1485))),1,0))</f>
      </c>
      <c r="R1485" s="44">
        <f>IF(AND($Q1485=1,数据录入!$B1485&gt;=$B$2,数据录入!$B1485&lt;=$D$2),N(R1484)+1,N(R1484))</f>
      </c>
    </row>
    <row r="1486" s="44" customFormat="1" spans="1:23">
      <c r="A1486" s="116"/>
      <c r="E1486" s="108"/>
      <c r="F1486" s="114"/>
      <c r="G1486" s="114"/>
      <c r="H1486" s="114"/>
      <c r="Q1486" s="44">
        <f>IF(数据录入!$B1486="",0,IF(OR(数据录入!$D1486="投标保证金",数据录入!$D1486="合同履约保证金",ISNUMBER(FIND("保证金",数据录入!$E1486))),1,0))</f>
      </c>
      <c r="R1486" s="44">
        <f>IF(AND($Q1486=1,数据录入!$B1486&gt;=$B$2,数据录入!$B1486&lt;=$D$2),N(R1485)+1,N(R1485))</f>
      </c>
    </row>
    <row r="1487" s="44" customFormat="1" spans="1:23">
      <c r="A1487" s="116"/>
      <c r="E1487" s="108"/>
      <c r="F1487" s="114"/>
      <c r="G1487" s="114"/>
      <c r="H1487" s="114"/>
      <c r="Q1487" s="44">
        <f>IF(数据录入!$B1487="",0,IF(OR(数据录入!$D1487="投标保证金",数据录入!$D1487="合同履约保证金",ISNUMBER(FIND("保证金",数据录入!$E1487))),1,0))</f>
      </c>
      <c r="R1487" s="44">
        <f>IF(AND($Q1487=1,数据录入!$B1487&gt;=$B$2,数据录入!$B1487&lt;=$D$2),N(R1486)+1,N(R1486))</f>
      </c>
    </row>
    <row r="1488" s="44" customFormat="1" spans="1:23">
      <c r="A1488" s="116"/>
      <c r="E1488" s="108"/>
      <c r="F1488" s="114"/>
      <c r="G1488" s="114"/>
      <c r="H1488" s="114"/>
      <c r="Q1488" s="44">
        <f>IF(数据录入!$B1488="",0,IF(OR(数据录入!$D1488="投标保证金",数据录入!$D1488="合同履约保证金",ISNUMBER(FIND("保证金",数据录入!$E1488))),1,0))</f>
      </c>
      <c r="R1488" s="44">
        <f>IF(AND($Q1488=1,数据录入!$B1488&gt;=$B$2,数据录入!$B1488&lt;=$D$2),N(R1487)+1,N(R1487))</f>
      </c>
    </row>
    <row r="1489" s="44" customFormat="1" spans="1:23">
      <c r="A1489" s="116"/>
      <c r="E1489" s="108"/>
      <c r="F1489" s="114"/>
      <c r="G1489" s="114"/>
      <c r="H1489" s="114"/>
      <c r="Q1489" s="44">
        <f>IF(数据录入!$B1489="",0,IF(OR(数据录入!$D1489="投标保证金",数据录入!$D1489="合同履约保证金",ISNUMBER(FIND("保证金",数据录入!$E1489))),1,0))</f>
      </c>
      <c r="R1489" s="44">
        <f>IF(AND($Q1489=1,数据录入!$B1489&gt;=$B$2,数据录入!$B1489&lt;=$D$2),N(R1488)+1,N(R1488))</f>
      </c>
    </row>
    <row r="1490" s="44" customFormat="1" spans="1:23">
      <c r="A1490" s="116"/>
      <c r="E1490" s="108"/>
      <c r="F1490" s="114"/>
      <c r="G1490" s="114"/>
      <c r="H1490" s="114"/>
      <c r="Q1490" s="44">
        <f>IF(数据录入!$B1490="",0,IF(OR(数据录入!$D1490="投标保证金",数据录入!$D1490="合同履约保证金",ISNUMBER(FIND("保证金",数据录入!$E1490))),1,0))</f>
      </c>
      <c r="R1490" s="44">
        <f>IF(AND($Q1490=1,数据录入!$B1490&gt;=$B$2,数据录入!$B1490&lt;=$D$2),N(R1489)+1,N(R1489))</f>
      </c>
    </row>
    <row r="1491" s="44" customFormat="1" spans="1:23">
      <c r="A1491" s="116"/>
      <c r="E1491" s="108"/>
      <c r="F1491" s="114"/>
      <c r="G1491" s="114"/>
      <c r="H1491" s="114"/>
      <c r="Q1491" s="44">
        <f>IF(数据录入!$B1491="",0,IF(OR(数据录入!$D1491="投标保证金",数据录入!$D1491="合同履约保证金",ISNUMBER(FIND("保证金",数据录入!$E1491))),1,0))</f>
      </c>
      <c r="R1491" s="44">
        <f>IF(AND($Q1491=1,数据录入!$B1491&gt;=$B$2,数据录入!$B1491&lt;=$D$2),N(R1490)+1,N(R1490))</f>
      </c>
    </row>
    <row r="1492" s="44" customFormat="1" spans="1:23">
      <c r="A1492" s="116"/>
      <c r="E1492" s="108"/>
      <c r="F1492" s="114"/>
      <c r="G1492" s="114"/>
      <c r="H1492" s="114"/>
      <c r="Q1492" s="44">
        <f>IF(数据录入!$B1492="",0,IF(OR(数据录入!$D1492="投标保证金",数据录入!$D1492="合同履约保证金",ISNUMBER(FIND("保证金",数据录入!$E1492))),1,0))</f>
      </c>
      <c r="R1492" s="44">
        <f>IF(AND($Q1492=1,数据录入!$B1492&gt;=$B$2,数据录入!$B1492&lt;=$D$2),N(R1491)+1,N(R1491))</f>
      </c>
    </row>
    <row r="1493" s="44" customFormat="1" spans="1:23">
      <c r="A1493" s="116"/>
      <c r="E1493" s="108"/>
      <c r="F1493" s="114"/>
      <c r="G1493" s="114"/>
      <c r="H1493" s="114"/>
      <c r="Q1493" s="44">
        <f>IF(数据录入!$B1493="",0,IF(OR(数据录入!$D1493="投标保证金",数据录入!$D1493="合同履约保证金",ISNUMBER(FIND("保证金",数据录入!$E1493))),1,0))</f>
      </c>
      <c r="R1493" s="44">
        <f>IF(AND($Q1493=1,数据录入!$B1493&gt;=$B$2,数据录入!$B1493&lt;=$D$2),N(R1492)+1,N(R1492))</f>
      </c>
    </row>
    <row r="1494" s="44" customFormat="1" spans="1:23">
      <c r="A1494" s="116"/>
      <c r="E1494" s="108"/>
      <c r="F1494" s="114"/>
      <c r="G1494" s="114"/>
      <c r="H1494" s="114"/>
      <c r="Q1494" s="44">
        <f>IF(数据录入!$B1494="",0,IF(OR(数据录入!$D1494="投标保证金",数据录入!$D1494="合同履约保证金",ISNUMBER(FIND("保证金",数据录入!$E1494))),1,0))</f>
      </c>
      <c r="R1494" s="44">
        <f>IF(AND($Q1494=1,数据录入!$B1494&gt;=$B$2,数据录入!$B1494&lt;=$D$2),N(R1493)+1,N(R1493))</f>
      </c>
    </row>
    <row r="1495" s="44" customFormat="1" spans="1:23">
      <c r="A1495" s="116"/>
      <c r="E1495" s="108"/>
      <c r="F1495" s="114"/>
      <c r="G1495" s="114"/>
      <c r="H1495" s="114"/>
      <c r="Q1495" s="44">
        <f>IF(数据录入!$B1495="",0,IF(OR(数据录入!$D1495="投标保证金",数据录入!$D1495="合同履约保证金",ISNUMBER(FIND("保证金",数据录入!$E1495))),1,0))</f>
      </c>
      <c r="R1495" s="44">
        <f>IF(AND($Q1495=1,数据录入!$B1495&gt;=$B$2,数据录入!$B1495&lt;=$D$2),N(R1494)+1,N(R1494))</f>
      </c>
    </row>
    <row r="1496" s="44" customFormat="1" spans="1:23">
      <c r="A1496" s="116"/>
      <c r="E1496" s="108"/>
      <c r="F1496" s="114"/>
      <c r="G1496" s="114"/>
      <c r="H1496" s="114"/>
      <c r="Q1496" s="44">
        <f>IF(数据录入!$B1496="",0,IF(OR(数据录入!$D1496="投标保证金",数据录入!$D1496="合同履约保证金",ISNUMBER(FIND("保证金",数据录入!$E1496))),1,0))</f>
      </c>
      <c r="R1496" s="44">
        <f>IF(AND($Q1496=1,数据录入!$B1496&gt;=$B$2,数据录入!$B1496&lt;=$D$2),N(R1495)+1,N(R1495))</f>
      </c>
    </row>
    <row r="1497" s="44" customFormat="1" spans="1:23">
      <c r="A1497" s="116"/>
      <c r="E1497" s="108"/>
      <c r="F1497" s="114"/>
      <c r="G1497" s="114"/>
      <c r="H1497" s="114"/>
      <c r="Q1497" s="44">
        <f>IF(数据录入!$B1497="",0,IF(OR(数据录入!$D1497="投标保证金",数据录入!$D1497="合同履约保证金",ISNUMBER(FIND("保证金",数据录入!$E1497))),1,0))</f>
      </c>
      <c r="R1497" s="44">
        <f>IF(AND($Q1497=1,数据录入!$B1497&gt;=$B$2,数据录入!$B1497&lt;=$D$2),N(R1496)+1,N(R1496))</f>
      </c>
    </row>
    <row r="1498" s="44" customFormat="1" spans="1:23">
      <c r="A1498" s="116"/>
      <c r="E1498" s="108"/>
      <c r="F1498" s="114"/>
      <c r="G1498" s="114"/>
      <c r="H1498" s="114"/>
      <c r="Q1498" s="44">
        <f>IF(数据录入!$B1498="",0,IF(OR(数据录入!$D1498="投标保证金",数据录入!$D1498="合同履约保证金",ISNUMBER(FIND("保证金",数据录入!$E1498))),1,0))</f>
      </c>
      <c r="R1498" s="44">
        <f>IF(AND($Q1498=1,数据录入!$B1498&gt;=$B$2,数据录入!$B1498&lt;=$D$2),N(R1497)+1,N(R1497))</f>
      </c>
    </row>
    <row r="1499" s="44" customFormat="1" spans="1:23">
      <c r="A1499" s="116"/>
      <c r="E1499" s="108"/>
      <c r="F1499" s="114"/>
      <c r="G1499" s="114"/>
      <c r="H1499" s="114"/>
      <c r="Q1499" s="44">
        <f>IF(数据录入!$B1499="",0,IF(OR(数据录入!$D1499="投标保证金",数据录入!$D1499="合同履约保证金",ISNUMBER(FIND("保证金",数据录入!$E1499))),1,0))</f>
      </c>
      <c r="R1499" s="44">
        <f>IF(AND($Q1499=1,数据录入!$B1499&gt;=$B$2,数据录入!$B1499&lt;=$D$2),N(R1498)+1,N(R1498))</f>
      </c>
    </row>
    <row r="1500" s="44" customFormat="1" spans="1:23">
      <c r="A1500" s="116"/>
      <c r="E1500" s="108"/>
      <c r="F1500" s="114"/>
      <c r="G1500" s="114"/>
      <c r="H1500" s="114"/>
      <c r="Q1500" s="44">
        <f>IF(数据录入!$B1500="",0,IF(OR(数据录入!$D1500="投标保证金",数据录入!$D1500="合同履约保证金",ISNUMBER(FIND("保证金",数据录入!$E1500))),1,0))</f>
      </c>
      <c r="R1500" s="44">
        <f>IF(AND($Q1500=1,数据录入!$B1500&gt;=$B$2,数据录入!$B1500&lt;=$D$2),N(R1499)+1,N(R1499))</f>
      </c>
    </row>
    <row r="1501" s="44" customFormat="1" spans="1:23">
      <c r="A1501" s="116"/>
      <c r="E1501" s="108"/>
      <c r="F1501" s="114"/>
      <c r="G1501" s="114"/>
      <c r="H1501" s="114"/>
      <c r="Q1501" s="44">
        <f>IF(数据录入!$B1501="",0,IF(OR(数据录入!$D1501="投标保证金",数据录入!$D1501="合同履约保证金",ISNUMBER(FIND("保证金",数据录入!$E1501))),1,0))</f>
      </c>
      <c r="R1501" s="44">
        <f>IF(AND($Q1501=1,数据录入!$B1501&gt;=$B$2,数据录入!$B1501&lt;=$D$2),N(R1500)+1,N(R1500))</f>
      </c>
    </row>
    <row r="1502" s="44" customFormat="1" spans="1:23">
      <c r="A1502" s="116"/>
      <c r="E1502" s="108"/>
      <c r="F1502" s="114"/>
      <c r="G1502" s="114"/>
      <c r="H1502" s="114"/>
      <c r="Q1502" s="44">
        <f>IF(数据录入!$B1502="",0,IF(OR(数据录入!$D1502="投标保证金",数据录入!$D1502="合同履约保证金",ISNUMBER(FIND("保证金",数据录入!$E1502))),1,0))</f>
      </c>
      <c r="R1502" s="44">
        <f>IF(AND($Q1502=1,数据录入!$B1502&gt;=$B$2,数据录入!$B1502&lt;=$D$2),N(R1501)+1,N(R1501))</f>
      </c>
    </row>
    <row r="1503" s="44" customFormat="1" spans="1:23">
      <c r="A1503" s="116"/>
      <c r="E1503" s="108"/>
      <c r="F1503" s="114"/>
      <c r="G1503" s="114"/>
      <c r="H1503" s="114"/>
      <c r="Q1503" s="44">
        <f>IF(数据录入!$B1503="",0,IF(OR(数据录入!$D1503="投标保证金",数据录入!$D1503="合同履约保证金",ISNUMBER(FIND("保证金",数据录入!$E1503))),1,0))</f>
      </c>
      <c r="R1503" s="44">
        <f>IF(AND($Q1503=1,数据录入!$B1503&gt;=$B$2,数据录入!$B1503&lt;=$D$2),N(R1502)+1,N(R1502))</f>
      </c>
    </row>
    <row r="1504" s="44" customFormat="1" spans="1:23">
      <c r="A1504" s="116"/>
      <c r="E1504" s="108"/>
      <c r="F1504" s="114"/>
      <c r="G1504" s="114"/>
      <c r="H1504" s="114"/>
      <c r="Q1504" s="44">
        <f>IF(数据录入!$B1504="",0,IF(OR(数据录入!$D1504="投标保证金",数据录入!$D1504="合同履约保证金",ISNUMBER(FIND("保证金",数据录入!$E1504))),1,0))</f>
      </c>
      <c r="R1504" s="44">
        <f>IF(AND($Q1504=1,数据录入!$B1504&gt;=$B$2,数据录入!$B1504&lt;=$D$2),N(R1503)+1,N(R1503))</f>
      </c>
    </row>
    <row r="1505" s="44" customFormat="1" spans="1:23">
      <c r="A1505" s="116"/>
      <c r="E1505" s="108"/>
      <c r="F1505" s="114"/>
      <c r="G1505" s="114"/>
      <c r="H1505" s="114"/>
      <c r="Q1505" s="44">
        <f>IF(数据录入!$B1505="",0,IF(OR(数据录入!$D1505="投标保证金",数据录入!$D1505="合同履约保证金",ISNUMBER(FIND("保证金",数据录入!$E1505))),1,0))</f>
      </c>
      <c r="R1505" s="44">
        <f>IF(AND($Q1505=1,数据录入!$B1505&gt;=$B$2,数据录入!$B1505&lt;=$D$2),N(R1504)+1,N(R1504))</f>
      </c>
    </row>
    <row r="1506" s="44" customFormat="1" spans="1:23">
      <c r="A1506" s="116"/>
      <c r="E1506" s="108"/>
      <c r="F1506" s="114"/>
      <c r="G1506" s="114"/>
      <c r="H1506" s="114"/>
      <c r="Q1506" s="44">
        <f>IF(数据录入!$B1506="",0,IF(OR(数据录入!$D1506="投标保证金",数据录入!$D1506="合同履约保证金",ISNUMBER(FIND("保证金",数据录入!$E1506))),1,0))</f>
      </c>
      <c r="R1506" s="44">
        <f>IF(AND($Q1506=1,数据录入!$B1506&gt;=$B$2,数据录入!$B1506&lt;=$D$2),N(R1505)+1,N(R1505))</f>
      </c>
    </row>
    <row r="1507" s="44" customFormat="1" spans="1:23">
      <c r="A1507" s="116"/>
      <c r="E1507" s="108"/>
      <c r="F1507" s="114"/>
      <c r="G1507" s="114"/>
      <c r="H1507" s="114"/>
      <c r="Q1507" s="44">
        <f>IF(数据录入!$B1507="",0,IF(OR(数据录入!$D1507="投标保证金",数据录入!$D1507="合同履约保证金",ISNUMBER(FIND("保证金",数据录入!$E1507))),1,0))</f>
      </c>
      <c r="R1507" s="44">
        <f>IF(AND($Q1507=1,数据录入!$B1507&gt;=$B$2,数据录入!$B1507&lt;=$D$2),N(R1506)+1,N(R1506))</f>
      </c>
    </row>
    <row r="1508" s="44" customFormat="1" spans="1:23">
      <c r="A1508" s="116"/>
      <c r="E1508" s="108"/>
      <c r="F1508" s="114"/>
      <c r="G1508" s="114"/>
      <c r="H1508" s="114"/>
      <c r="Q1508" s="44">
        <f>IF(数据录入!$B1508="",0,IF(OR(数据录入!$D1508="投标保证金",数据录入!$D1508="合同履约保证金",ISNUMBER(FIND("保证金",数据录入!$E1508))),1,0))</f>
      </c>
      <c r="R1508" s="44">
        <f>IF(AND($Q1508=1,数据录入!$B1508&gt;=$B$2,数据录入!$B1508&lt;=$D$2),N(R1507)+1,N(R1507))</f>
      </c>
    </row>
    <row r="1509" s="44" customFormat="1" spans="1:23">
      <c r="A1509" s="116"/>
      <c r="E1509" s="108"/>
      <c r="F1509" s="114"/>
      <c r="G1509" s="114"/>
      <c r="H1509" s="114"/>
      <c r="Q1509" s="44">
        <f>IF(数据录入!$B1509="",0,IF(OR(数据录入!$D1509="投标保证金",数据录入!$D1509="合同履约保证金",ISNUMBER(FIND("保证金",数据录入!$E1509))),1,0))</f>
      </c>
      <c r="R1509" s="44">
        <f>IF(AND($Q1509=1,数据录入!$B1509&gt;=$B$2,数据录入!$B1509&lt;=$D$2),N(R1508)+1,N(R1508))</f>
      </c>
    </row>
    <row r="1510" s="44" customFormat="1" spans="1:23">
      <c r="A1510" s="116"/>
      <c r="E1510" s="108"/>
      <c r="F1510" s="114"/>
      <c r="G1510" s="114"/>
      <c r="H1510" s="114"/>
      <c r="Q1510" s="44">
        <f>IF(数据录入!$B1510="",0,IF(OR(数据录入!$D1510="投标保证金",数据录入!$D1510="合同履约保证金",ISNUMBER(FIND("保证金",数据录入!$E1510))),1,0))</f>
      </c>
      <c r="R1510" s="44">
        <f>IF(AND($Q1510=1,数据录入!$B1510&gt;=$B$2,数据录入!$B1510&lt;=$D$2),N(R1509)+1,N(R1509))</f>
      </c>
    </row>
    <row r="1511" s="44" customFormat="1" spans="1:23">
      <c r="A1511" s="116"/>
      <c r="E1511" s="108"/>
      <c r="F1511" s="114"/>
      <c r="G1511" s="114"/>
      <c r="H1511" s="114"/>
      <c r="Q1511" s="44">
        <f>IF(数据录入!$B1511="",0,IF(OR(数据录入!$D1511="投标保证金",数据录入!$D1511="合同履约保证金",ISNUMBER(FIND("保证金",数据录入!$E1511))),1,0))</f>
      </c>
      <c r="R1511" s="44">
        <f>IF(AND($Q1511=1,数据录入!$B1511&gt;=$B$2,数据录入!$B1511&lt;=$D$2),N(R1510)+1,N(R1510))</f>
      </c>
    </row>
    <row r="1512" s="44" customFormat="1" spans="1:23">
      <c r="A1512" s="116"/>
      <c r="E1512" s="108"/>
      <c r="F1512" s="114"/>
      <c r="G1512" s="114"/>
      <c r="H1512" s="114"/>
      <c r="Q1512" s="44">
        <f>IF(数据录入!$B1512="",0,IF(OR(数据录入!$D1512="投标保证金",数据录入!$D1512="合同履约保证金",ISNUMBER(FIND("保证金",数据录入!$E1512))),1,0))</f>
      </c>
      <c r="R1512" s="44">
        <f>IF(AND($Q1512=1,数据录入!$B1512&gt;=$B$2,数据录入!$B1512&lt;=$D$2),N(R1511)+1,N(R1511))</f>
      </c>
    </row>
    <row r="1513" s="44" customFormat="1" spans="1:23">
      <c r="A1513" s="116"/>
      <c r="E1513" s="108"/>
      <c r="F1513" s="114"/>
      <c r="G1513" s="114"/>
      <c r="H1513" s="114"/>
      <c r="Q1513" s="44">
        <f>IF(数据录入!$B1513="",0,IF(OR(数据录入!$D1513="投标保证金",数据录入!$D1513="合同履约保证金",ISNUMBER(FIND("保证金",数据录入!$E1513))),1,0))</f>
      </c>
      <c r="R1513" s="44">
        <f>IF(AND($Q1513=1,数据录入!$B1513&gt;=$B$2,数据录入!$B1513&lt;=$D$2),N(R1512)+1,N(R1512))</f>
      </c>
    </row>
    <row r="1514" s="44" customFormat="1" spans="1:23">
      <c r="A1514" s="116"/>
      <c r="E1514" s="108"/>
      <c r="F1514" s="114"/>
      <c r="G1514" s="114"/>
      <c r="H1514" s="114"/>
      <c r="Q1514" s="44">
        <f>IF(数据录入!$B1514="",0,IF(OR(数据录入!$D1514="投标保证金",数据录入!$D1514="合同履约保证金",ISNUMBER(FIND("保证金",数据录入!$E1514))),1,0))</f>
      </c>
      <c r="R1514" s="44">
        <f>IF(AND($Q1514=1,数据录入!$B1514&gt;=$B$2,数据录入!$B1514&lt;=$D$2),N(R1513)+1,N(R1513))</f>
      </c>
    </row>
    <row r="1515" s="44" customFormat="1" spans="1:23">
      <c r="A1515" s="116"/>
      <c r="E1515" s="108"/>
      <c r="F1515" s="114"/>
      <c r="G1515" s="114"/>
      <c r="H1515" s="114"/>
      <c r="Q1515" s="44">
        <f>IF(数据录入!$B1515="",0,IF(OR(数据录入!$D1515="投标保证金",数据录入!$D1515="合同履约保证金",ISNUMBER(FIND("保证金",数据录入!$E1515))),1,0))</f>
      </c>
      <c r="R1515" s="44">
        <f>IF(AND($Q1515=1,数据录入!$B1515&gt;=$B$2,数据录入!$B1515&lt;=$D$2),N(R1514)+1,N(R1514))</f>
      </c>
    </row>
    <row r="1516" s="44" customFormat="1" spans="1:23">
      <c r="A1516" s="116"/>
      <c r="E1516" s="108"/>
      <c r="F1516" s="114"/>
      <c r="G1516" s="114"/>
      <c r="H1516" s="114"/>
      <c r="Q1516" s="44">
        <f>IF(数据录入!$B1516="",0,IF(OR(数据录入!$D1516="投标保证金",数据录入!$D1516="合同履约保证金",ISNUMBER(FIND("保证金",数据录入!$E1516))),1,0))</f>
      </c>
      <c r="R1516" s="44">
        <f>IF(AND($Q1516=1,数据录入!$B1516&gt;=$B$2,数据录入!$B1516&lt;=$D$2),N(R1515)+1,N(R1515))</f>
      </c>
    </row>
    <row r="1517" s="44" customFormat="1" spans="1:23">
      <c r="A1517" s="116"/>
      <c r="E1517" s="108"/>
      <c r="F1517" s="114"/>
      <c r="G1517" s="114"/>
      <c r="H1517" s="114"/>
      <c r="Q1517" s="44">
        <f>IF(数据录入!$B1517="",0,IF(OR(数据录入!$D1517="投标保证金",数据录入!$D1517="合同履约保证金",ISNUMBER(FIND("保证金",数据录入!$E1517))),1,0))</f>
      </c>
      <c r="R1517" s="44">
        <f>IF(AND($Q1517=1,数据录入!$B1517&gt;=$B$2,数据录入!$B1517&lt;=$D$2),N(R1516)+1,N(R1516))</f>
      </c>
    </row>
    <row r="1518" s="44" customFormat="1" spans="1:23">
      <c r="A1518" s="116"/>
      <c r="E1518" s="108"/>
      <c r="F1518" s="114"/>
      <c r="G1518" s="114"/>
      <c r="H1518" s="114"/>
      <c r="Q1518" s="44">
        <f>IF(数据录入!$B1518="",0,IF(OR(数据录入!$D1518="投标保证金",数据录入!$D1518="合同履约保证金",ISNUMBER(FIND("保证金",数据录入!$E1518))),1,0))</f>
      </c>
      <c r="R1518" s="44">
        <f>IF(AND($Q1518=1,数据录入!$B1518&gt;=$B$2,数据录入!$B1518&lt;=$D$2),N(R1517)+1,N(R1517))</f>
      </c>
    </row>
    <row r="1519" s="44" customFormat="1" spans="1:23">
      <c r="A1519" s="116"/>
      <c r="E1519" s="108"/>
      <c r="F1519" s="114"/>
      <c r="G1519" s="114"/>
      <c r="H1519" s="114"/>
      <c r="Q1519" s="44">
        <f>IF(数据录入!$B1519="",0,IF(OR(数据录入!$D1519="投标保证金",数据录入!$D1519="合同履约保证金",ISNUMBER(FIND("保证金",数据录入!$E1519))),1,0))</f>
      </c>
      <c r="R1519" s="44">
        <f>IF(AND($Q1519=1,数据录入!$B1519&gt;=$B$2,数据录入!$B1519&lt;=$D$2),N(R1518)+1,N(R1518))</f>
      </c>
    </row>
    <row r="1520" s="44" customFormat="1" spans="1:23">
      <c r="A1520" s="116"/>
      <c r="E1520" s="108"/>
      <c r="F1520" s="114"/>
      <c r="G1520" s="114"/>
      <c r="H1520" s="114"/>
      <c r="Q1520" s="44">
        <f>IF(数据录入!$B1520="",0,IF(OR(数据录入!$D1520="投标保证金",数据录入!$D1520="合同履约保证金",ISNUMBER(FIND("保证金",数据录入!$E1520))),1,0))</f>
      </c>
      <c r="R1520" s="44">
        <f>IF(AND($Q1520=1,数据录入!$B1520&gt;=$B$2,数据录入!$B1520&lt;=$D$2),N(R1519)+1,N(R1519))</f>
      </c>
    </row>
    <row r="1521" s="44" customFormat="1" spans="1:23">
      <c r="A1521" s="116"/>
      <c r="E1521" s="108"/>
      <c r="F1521" s="114"/>
      <c r="G1521" s="114"/>
      <c r="H1521" s="114"/>
      <c r="Q1521" s="44">
        <f>IF(数据录入!$B1521="",0,IF(OR(数据录入!$D1521="投标保证金",数据录入!$D1521="合同履约保证金",ISNUMBER(FIND("保证金",数据录入!$E1521))),1,0))</f>
      </c>
      <c r="R1521" s="44">
        <f>IF(AND($Q1521=1,数据录入!$B1521&gt;=$B$2,数据录入!$B1521&lt;=$D$2),N(R1520)+1,N(R1520))</f>
      </c>
    </row>
    <row r="1522" s="44" customFormat="1" spans="1:23">
      <c r="A1522" s="116"/>
      <c r="E1522" s="108"/>
      <c r="F1522" s="114"/>
      <c r="G1522" s="114"/>
      <c r="H1522" s="114"/>
      <c r="Q1522" s="44">
        <f>IF(数据录入!$B1522="",0,IF(OR(数据录入!$D1522="投标保证金",数据录入!$D1522="合同履约保证金",ISNUMBER(FIND("保证金",数据录入!$E1522))),1,0))</f>
      </c>
      <c r="R1522" s="44">
        <f>IF(AND($Q1522=1,数据录入!$B1522&gt;=$B$2,数据录入!$B1522&lt;=$D$2),N(R1521)+1,N(R1521))</f>
      </c>
    </row>
    <row r="1523" s="44" customFormat="1" spans="1:23">
      <c r="A1523" s="116"/>
      <c r="E1523" s="108"/>
      <c r="F1523" s="114"/>
      <c r="G1523" s="114"/>
      <c r="H1523" s="114"/>
      <c r="Q1523" s="44">
        <f>IF(数据录入!$B1523="",0,IF(OR(数据录入!$D1523="投标保证金",数据录入!$D1523="合同履约保证金",ISNUMBER(FIND("保证金",数据录入!$E1523))),1,0))</f>
      </c>
      <c r="R1523" s="44">
        <f>IF(AND($Q1523=1,数据录入!$B1523&gt;=$B$2,数据录入!$B1523&lt;=$D$2),N(R1522)+1,N(R1522))</f>
      </c>
    </row>
    <row r="1524" s="44" customFormat="1" spans="1:23">
      <c r="A1524" s="116"/>
      <c r="E1524" s="108"/>
      <c r="F1524" s="114"/>
      <c r="G1524" s="114"/>
      <c r="H1524" s="114"/>
      <c r="Q1524" s="44">
        <f>IF(数据录入!$B1524="",0,IF(OR(数据录入!$D1524="投标保证金",数据录入!$D1524="合同履约保证金",ISNUMBER(FIND("保证金",数据录入!$E1524))),1,0))</f>
      </c>
      <c r="R1524" s="44">
        <f>IF(AND($Q1524=1,数据录入!$B1524&gt;=$B$2,数据录入!$B1524&lt;=$D$2),N(R1523)+1,N(R1523))</f>
      </c>
    </row>
    <row r="1525" s="44" customFormat="1" spans="1:23">
      <c r="A1525" s="116"/>
      <c r="E1525" s="108"/>
      <c r="F1525" s="114"/>
      <c r="G1525" s="114"/>
      <c r="H1525" s="114"/>
      <c r="Q1525" s="44">
        <f>IF(数据录入!$B1525="",0,IF(OR(数据录入!$D1525="投标保证金",数据录入!$D1525="合同履约保证金",ISNUMBER(FIND("保证金",数据录入!$E1525))),1,0))</f>
      </c>
      <c r="R1525" s="44">
        <f>IF(AND($Q1525=1,数据录入!$B1525&gt;=$B$2,数据录入!$B1525&lt;=$D$2),N(R1524)+1,N(R1524))</f>
      </c>
    </row>
    <row r="1526" s="44" customFormat="1" spans="1:23">
      <c r="A1526" s="116"/>
      <c r="E1526" s="108"/>
      <c r="F1526" s="114"/>
      <c r="G1526" s="114"/>
      <c r="H1526" s="114"/>
      <c r="Q1526" s="44">
        <f>IF(数据录入!$B1526="",0,IF(OR(数据录入!$D1526="投标保证金",数据录入!$D1526="合同履约保证金",ISNUMBER(FIND("保证金",数据录入!$E1526))),1,0))</f>
      </c>
      <c r="R1526" s="44">
        <f>IF(AND($Q1526=1,数据录入!$B1526&gt;=$B$2,数据录入!$B1526&lt;=$D$2),N(R1525)+1,N(R1525))</f>
      </c>
    </row>
    <row r="1527" s="44" customFormat="1" spans="1:23">
      <c r="A1527" s="116"/>
      <c r="E1527" s="108"/>
      <c r="F1527" s="114"/>
      <c r="G1527" s="114"/>
      <c r="H1527" s="114"/>
      <c r="Q1527" s="44">
        <f>IF(数据录入!$B1527="",0,IF(OR(数据录入!$D1527="投标保证金",数据录入!$D1527="合同履约保证金",ISNUMBER(FIND("保证金",数据录入!$E1527))),1,0))</f>
      </c>
      <c r="R1527" s="44">
        <f>IF(AND($Q1527=1,数据录入!$B1527&gt;=$B$2,数据录入!$B1527&lt;=$D$2),N(R1526)+1,N(R1526))</f>
      </c>
    </row>
    <row r="1528" s="44" customFormat="1" spans="1:23">
      <c r="A1528" s="116"/>
      <c r="E1528" s="108"/>
      <c r="F1528" s="114"/>
      <c r="G1528" s="114"/>
      <c r="H1528" s="114"/>
      <c r="Q1528" s="44">
        <f>IF(数据录入!$B1528="",0,IF(OR(数据录入!$D1528="投标保证金",数据录入!$D1528="合同履约保证金",ISNUMBER(FIND("保证金",数据录入!$E1528))),1,0))</f>
      </c>
      <c r="R1528" s="44">
        <f>IF(AND($Q1528=1,数据录入!$B1528&gt;=$B$2,数据录入!$B1528&lt;=$D$2),N(R1527)+1,N(R1527))</f>
      </c>
    </row>
    <row r="1529" s="44" customFormat="1" spans="1:23">
      <c r="A1529" s="116"/>
      <c r="E1529" s="108"/>
      <c r="F1529" s="114"/>
      <c r="G1529" s="114"/>
      <c r="H1529" s="114"/>
      <c r="Q1529" s="44">
        <f>IF(数据录入!$B1529="",0,IF(OR(数据录入!$D1529="投标保证金",数据录入!$D1529="合同履约保证金",ISNUMBER(FIND("保证金",数据录入!$E1529))),1,0))</f>
      </c>
      <c r="R1529" s="44">
        <f>IF(AND($Q1529=1,数据录入!$B1529&gt;=$B$2,数据录入!$B1529&lt;=$D$2),N(R1528)+1,N(R1528))</f>
      </c>
    </row>
    <row r="1530" s="44" customFormat="1" spans="1:23">
      <c r="A1530" s="116"/>
      <c r="E1530" s="108"/>
      <c r="F1530" s="114"/>
      <c r="G1530" s="114"/>
      <c r="H1530" s="114"/>
      <c r="Q1530" s="44">
        <f>IF(数据录入!$B1530="",0,IF(OR(数据录入!$D1530="投标保证金",数据录入!$D1530="合同履约保证金",ISNUMBER(FIND("保证金",数据录入!$E1530))),1,0))</f>
      </c>
      <c r="R1530" s="44">
        <f>IF(AND($Q1530=1,数据录入!$B1530&gt;=$B$2,数据录入!$B1530&lt;=$D$2),N(R1529)+1,N(R1529))</f>
      </c>
    </row>
    <row r="1531" s="44" customFormat="1" spans="1:23">
      <c r="A1531" s="116"/>
      <c r="E1531" s="108"/>
      <c r="F1531" s="114"/>
      <c r="G1531" s="114"/>
      <c r="H1531" s="114"/>
      <c r="Q1531" s="44">
        <f>IF(数据录入!$B1531="",0,IF(OR(数据录入!$D1531="投标保证金",数据录入!$D1531="合同履约保证金",ISNUMBER(FIND("保证金",数据录入!$E1531))),1,0))</f>
      </c>
      <c r="R1531" s="44">
        <f>IF(AND($Q1531=1,数据录入!$B1531&gt;=$B$2,数据录入!$B1531&lt;=$D$2),N(R1530)+1,N(R1530))</f>
      </c>
    </row>
    <row r="1532" s="44" customFormat="1" spans="1:23">
      <c r="A1532" s="116"/>
      <c r="E1532" s="108"/>
      <c r="F1532" s="114"/>
      <c r="G1532" s="114"/>
      <c r="H1532" s="114"/>
      <c r="Q1532" s="44">
        <f>IF(数据录入!$B1532="",0,IF(OR(数据录入!$D1532="投标保证金",数据录入!$D1532="合同履约保证金",ISNUMBER(FIND("保证金",数据录入!$E1532))),1,0))</f>
      </c>
      <c r="R1532" s="44">
        <f>IF(AND($Q1532=1,数据录入!$B1532&gt;=$B$2,数据录入!$B1532&lt;=$D$2),N(R1531)+1,N(R1531))</f>
      </c>
    </row>
    <row r="1533" s="44" customFormat="1" spans="1:23">
      <c r="A1533" s="116"/>
      <c r="E1533" s="108"/>
      <c r="F1533" s="114"/>
      <c r="G1533" s="114"/>
      <c r="H1533" s="114"/>
      <c r="Q1533" s="44">
        <f>IF(数据录入!$B1533="",0,IF(OR(数据录入!$D1533="投标保证金",数据录入!$D1533="合同履约保证金",ISNUMBER(FIND("保证金",数据录入!$E1533))),1,0))</f>
      </c>
      <c r="R1533" s="44">
        <f>IF(AND($Q1533=1,数据录入!$B1533&gt;=$B$2,数据录入!$B1533&lt;=$D$2),N(R1532)+1,N(R1532))</f>
      </c>
    </row>
    <row r="1534" s="44" customFormat="1" spans="1:23">
      <c r="A1534" s="116"/>
      <c r="E1534" s="108"/>
      <c r="F1534" s="114"/>
      <c r="G1534" s="114"/>
      <c r="H1534" s="114"/>
      <c r="Q1534" s="44">
        <f>IF(数据录入!$B1534="",0,IF(OR(数据录入!$D1534="投标保证金",数据录入!$D1534="合同履约保证金",ISNUMBER(FIND("保证金",数据录入!$E1534))),1,0))</f>
      </c>
      <c r="R1534" s="44">
        <f>IF(AND($Q1534=1,数据录入!$B1534&gt;=$B$2,数据录入!$B1534&lt;=$D$2),N(R1533)+1,N(R1533))</f>
      </c>
    </row>
    <row r="1535" s="44" customFormat="1" spans="1:23">
      <c r="A1535" s="116"/>
      <c r="E1535" s="108"/>
      <c r="F1535" s="114"/>
      <c r="G1535" s="114"/>
      <c r="H1535" s="114"/>
      <c r="Q1535" s="44">
        <f>IF(数据录入!$B1535="",0,IF(OR(数据录入!$D1535="投标保证金",数据录入!$D1535="合同履约保证金",ISNUMBER(FIND("保证金",数据录入!$E1535))),1,0))</f>
      </c>
      <c r="R1535" s="44">
        <f>IF(AND($Q1535=1,数据录入!$B1535&gt;=$B$2,数据录入!$B1535&lt;=$D$2),N(R1534)+1,N(R1534))</f>
      </c>
    </row>
    <row r="1536" s="44" customFormat="1" spans="1:23">
      <c r="A1536" s="116"/>
      <c r="E1536" s="108"/>
      <c r="F1536" s="114"/>
      <c r="G1536" s="114"/>
      <c r="H1536" s="114"/>
      <c r="Q1536" s="44">
        <f>IF(数据录入!$B1536="",0,IF(OR(数据录入!$D1536="投标保证金",数据录入!$D1536="合同履约保证金",ISNUMBER(FIND("保证金",数据录入!$E1536))),1,0))</f>
      </c>
      <c r="R1536" s="44">
        <f>IF(AND($Q1536=1,数据录入!$B1536&gt;=$B$2,数据录入!$B1536&lt;=$D$2),N(R1535)+1,N(R1535))</f>
      </c>
    </row>
    <row r="1537" s="44" customFormat="1" spans="1:23">
      <c r="A1537" s="116"/>
      <c r="E1537" s="108"/>
      <c r="F1537" s="114"/>
      <c r="G1537" s="114"/>
      <c r="H1537" s="114"/>
      <c r="Q1537" s="44">
        <f>IF(数据录入!$B1537="",0,IF(OR(数据录入!$D1537="投标保证金",数据录入!$D1537="合同履约保证金",ISNUMBER(FIND("保证金",数据录入!$E1537))),1,0))</f>
      </c>
      <c r="R1537" s="44">
        <f>IF(AND($Q1537=1,数据录入!$B1537&gt;=$B$2,数据录入!$B1537&lt;=$D$2),N(R1536)+1,N(R1536))</f>
      </c>
    </row>
    <row r="1538" s="44" customFormat="1" spans="1:23">
      <c r="A1538" s="116"/>
      <c r="E1538" s="108"/>
      <c r="F1538" s="114"/>
      <c r="G1538" s="114"/>
      <c r="H1538" s="114"/>
      <c r="Q1538" s="44">
        <f>IF(数据录入!$B1538="",0,IF(OR(数据录入!$D1538="投标保证金",数据录入!$D1538="合同履约保证金",ISNUMBER(FIND("保证金",数据录入!$E1538))),1,0))</f>
      </c>
      <c r="R1538" s="44">
        <f>IF(AND($Q1538=1,数据录入!$B1538&gt;=$B$2,数据录入!$B1538&lt;=$D$2),N(R1537)+1,N(R1537))</f>
      </c>
    </row>
    <row r="1539" s="44" customFormat="1" spans="1:23">
      <c r="A1539" s="116"/>
      <c r="E1539" s="108"/>
      <c r="F1539" s="114"/>
      <c r="G1539" s="114"/>
      <c r="H1539" s="114"/>
      <c r="Q1539" s="44">
        <f>IF(数据录入!$B1539="",0,IF(OR(数据录入!$D1539="投标保证金",数据录入!$D1539="合同履约保证金",ISNUMBER(FIND("保证金",数据录入!$E1539))),1,0))</f>
      </c>
      <c r="R1539" s="44">
        <f>IF(AND($Q1539=1,数据录入!$B1539&gt;=$B$2,数据录入!$B1539&lt;=$D$2),N(R1538)+1,N(R1538))</f>
      </c>
    </row>
    <row r="1540" s="44" customFormat="1" spans="1:23">
      <c r="A1540" s="116"/>
      <c r="E1540" s="108"/>
      <c r="F1540" s="114"/>
      <c r="G1540" s="114"/>
      <c r="H1540" s="114"/>
      <c r="Q1540" s="44">
        <f>IF(数据录入!$B1540="",0,IF(OR(数据录入!$D1540="投标保证金",数据录入!$D1540="合同履约保证金",ISNUMBER(FIND("保证金",数据录入!$E1540))),1,0))</f>
      </c>
      <c r="R1540" s="44">
        <f>IF(AND($Q1540=1,数据录入!$B1540&gt;=$B$2,数据录入!$B1540&lt;=$D$2),N(R1539)+1,N(R1539))</f>
      </c>
    </row>
    <row r="1541" s="44" customFormat="1" spans="1:23">
      <c r="A1541" s="116"/>
      <c r="E1541" s="108"/>
      <c r="F1541" s="114"/>
      <c r="G1541" s="114"/>
      <c r="H1541" s="114"/>
      <c r="Q1541" s="44">
        <f>IF(数据录入!$B1541="",0,IF(OR(数据录入!$D1541="投标保证金",数据录入!$D1541="合同履约保证金",ISNUMBER(FIND("保证金",数据录入!$E1541))),1,0))</f>
      </c>
      <c r="R1541" s="44">
        <f>IF(AND($Q1541=1,数据录入!$B1541&gt;=$B$2,数据录入!$B1541&lt;=$D$2),N(R1540)+1,N(R1540))</f>
      </c>
    </row>
    <row r="1542" s="44" customFormat="1" spans="1:23">
      <c r="A1542" s="116"/>
      <c r="E1542" s="108"/>
      <c r="F1542" s="114"/>
      <c r="G1542" s="114"/>
      <c r="H1542" s="114"/>
      <c r="Q1542" s="44">
        <f>IF(数据录入!$B1542="",0,IF(OR(数据录入!$D1542="投标保证金",数据录入!$D1542="合同履约保证金",ISNUMBER(FIND("保证金",数据录入!$E1542))),1,0))</f>
      </c>
      <c r="R1542" s="44">
        <f>IF(AND($Q1542=1,数据录入!$B1542&gt;=$B$2,数据录入!$B1542&lt;=$D$2),N(R1541)+1,N(R1541))</f>
      </c>
    </row>
    <row r="1543" s="44" customFormat="1" spans="1:23">
      <c r="A1543" s="116"/>
      <c r="E1543" s="108"/>
      <c r="F1543" s="114"/>
      <c r="G1543" s="114"/>
      <c r="H1543" s="114"/>
      <c r="Q1543" s="44">
        <f>IF(数据录入!$B1543="",0,IF(OR(数据录入!$D1543="投标保证金",数据录入!$D1543="合同履约保证金",ISNUMBER(FIND("保证金",数据录入!$E1543))),1,0))</f>
      </c>
      <c r="R1543" s="44">
        <f>IF(AND($Q1543=1,数据录入!$B1543&gt;=$B$2,数据录入!$B1543&lt;=$D$2),N(R1542)+1,N(R1542))</f>
      </c>
    </row>
    <row r="1544" s="44" customFormat="1" spans="1:23">
      <c r="A1544" s="116"/>
      <c r="E1544" s="108"/>
      <c r="F1544" s="114"/>
      <c r="G1544" s="114"/>
      <c r="H1544" s="114"/>
      <c r="Q1544" s="44">
        <f>IF(数据录入!$B1544="",0,IF(OR(数据录入!$D1544="投标保证金",数据录入!$D1544="合同履约保证金",ISNUMBER(FIND("保证金",数据录入!$E1544))),1,0))</f>
      </c>
      <c r="R1544" s="44">
        <f>IF(AND($Q1544=1,数据录入!$B1544&gt;=$B$2,数据录入!$B1544&lt;=$D$2),N(R1543)+1,N(R1543))</f>
      </c>
    </row>
    <row r="1545" s="44" customFormat="1" spans="1:23">
      <c r="A1545" s="116"/>
      <c r="E1545" s="108"/>
      <c r="F1545" s="114"/>
      <c r="G1545" s="114"/>
      <c r="H1545" s="114"/>
      <c r="Q1545" s="44">
        <f>IF(数据录入!$B1545="",0,IF(OR(数据录入!$D1545="投标保证金",数据录入!$D1545="合同履约保证金",ISNUMBER(FIND("保证金",数据录入!$E1545))),1,0))</f>
      </c>
      <c r="R1545" s="44">
        <f>IF(AND($Q1545=1,数据录入!$B1545&gt;=$B$2,数据录入!$B1545&lt;=$D$2),N(R1544)+1,N(R1544))</f>
      </c>
    </row>
    <row r="1546" s="44" customFormat="1" spans="1:23">
      <c r="A1546" s="116"/>
      <c r="E1546" s="108"/>
      <c r="F1546" s="114"/>
      <c r="G1546" s="114"/>
      <c r="H1546" s="114"/>
      <c r="Q1546" s="44">
        <f>IF(数据录入!$B1546="",0,IF(OR(数据录入!$D1546="投标保证金",数据录入!$D1546="合同履约保证金",ISNUMBER(FIND("保证金",数据录入!$E1546))),1,0))</f>
      </c>
      <c r="R1546" s="44">
        <f>IF(AND($Q1546=1,数据录入!$B1546&gt;=$B$2,数据录入!$B1546&lt;=$D$2),N(R1545)+1,N(R1545))</f>
      </c>
    </row>
    <row r="1547" s="44" customFormat="1" spans="1:23">
      <c r="A1547" s="116"/>
      <c r="E1547" s="108"/>
      <c r="F1547" s="114"/>
      <c r="G1547" s="114"/>
      <c r="H1547" s="114"/>
      <c r="Q1547" s="44">
        <f>IF(数据录入!$B1547="",0,IF(OR(数据录入!$D1547="投标保证金",数据录入!$D1547="合同履约保证金",ISNUMBER(FIND("保证金",数据录入!$E1547))),1,0))</f>
      </c>
      <c r="R1547" s="44">
        <f>IF(AND($Q1547=1,数据录入!$B1547&gt;=$B$2,数据录入!$B1547&lt;=$D$2),N(R1546)+1,N(R1546))</f>
      </c>
    </row>
    <row r="1548" s="44" customFormat="1" spans="1:23">
      <c r="A1548" s="116"/>
      <c r="E1548" s="108"/>
      <c r="F1548" s="114"/>
      <c r="G1548" s="114"/>
      <c r="H1548" s="114"/>
      <c r="Q1548" s="44">
        <f>IF(数据录入!$B1548="",0,IF(OR(数据录入!$D1548="投标保证金",数据录入!$D1548="合同履约保证金",ISNUMBER(FIND("保证金",数据录入!$E1548))),1,0))</f>
      </c>
      <c r="R1548" s="44">
        <f>IF(AND($Q1548=1,数据录入!$B1548&gt;=$B$2,数据录入!$B1548&lt;=$D$2),N(R1547)+1,N(R1547))</f>
      </c>
    </row>
    <row r="1549" s="44" customFormat="1" spans="1:23">
      <c r="A1549" s="116"/>
      <c r="E1549" s="108"/>
      <c r="F1549" s="114"/>
      <c r="G1549" s="114"/>
      <c r="H1549" s="114"/>
      <c r="Q1549" s="44">
        <f>IF(数据录入!$B1549="",0,IF(OR(数据录入!$D1549="投标保证金",数据录入!$D1549="合同履约保证金",ISNUMBER(FIND("保证金",数据录入!$E1549))),1,0))</f>
      </c>
      <c r="R1549" s="44">
        <f>IF(AND($Q1549=1,数据录入!$B1549&gt;=$B$2,数据录入!$B1549&lt;=$D$2),N(R1548)+1,N(R1548))</f>
      </c>
    </row>
    <row r="1550" s="44" customFormat="1" spans="1:23">
      <c r="A1550" s="116"/>
      <c r="E1550" s="108"/>
      <c r="F1550" s="114"/>
      <c r="G1550" s="114"/>
      <c r="H1550" s="114"/>
      <c r="Q1550" s="44">
        <f>IF(数据录入!$B1550="",0,IF(OR(数据录入!$D1550="投标保证金",数据录入!$D1550="合同履约保证金",ISNUMBER(FIND("保证金",数据录入!$E1550))),1,0))</f>
      </c>
      <c r="R1550" s="44">
        <f>IF(AND($Q1550=1,数据录入!$B1550&gt;=$B$2,数据录入!$B1550&lt;=$D$2),N(R1549)+1,N(R1549))</f>
      </c>
    </row>
    <row r="1551" s="44" customFormat="1" spans="1:23">
      <c r="A1551" s="116"/>
      <c r="E1551" s="108"/>
      <c r="F1551" s="114"/>
      <c r="G1551" s="114"/>
      <c r="H1551" s="114"/>
      <c r="Q1551" s="44">
        <f>IF(数据录入!$B1551="",0,IF(OR(数据录入!$D1551="投标保证金",数据录入!$D1551="合同履约保证金",ISNUMBER(FIND("保证金",数据录入!$E1551))),1,0))</f>
      </c>
      <c r="R1551" s="44">
        <f>IF(AND($Q1551=1,数据录入!$B1551&gt;=$B$2,数据录入!$B1551&lt;=$D$2),N(R1550)+1,N(R1550))</f>
      </c>
    </row>
    <row r="1552" s="44" customFormat="1" spans="1:23">
      <c r="A1552" s="116"/>
      <c r="E1552" s="108"/>
      <c r="F1552" s="114"/>
      <c r="G1552" s="114"/>
      <c r="H1552" s="114"/>
      <c r="Q1552" s="44">
        <f>IF(数据录入!$B1552="",0,IF(OR(数据录入!$D1552="投标保证金",数据录入!$D1552="合同履约保证金",ISNUMBER(FIND("保证金",数据录入!$E1552))),1,0))</f>
      </c>
      <c r="R1552" s="44">
        <f>IF(AND($Q1552=1,数据录入!$B1552&gt;=$B$2,数据录入!$B1552&lt;=$D$2),N(R1551)+1,N(R1551))</f>
      </c>
    </row>
    <row r="1553" s="44" customFormat="1" spans="1:23">
      <c r="A1553" s="116"/>
      <c r="E1553" s="108"/>
      <c r="F1553" s="114"/>
      <c r="G1553" s="114"/>
      <c r="H1553" s="114"/>
      <c r="Q1553" s="44">
        <f>IF(数据录入!$B1553="",0,IF(OR(数据录入!$D1553="投标保证金",数据录入!$D1553="合同履约保证金",ISNUMBER(FIND("保证金",数据录入!$E1553))),1,0))</f>
      </c>
      <c r="R1553" s="44">
        <f>IF(AND($Q1553=1,数据录入!$B1553&gt;=$B$2,数据录入!$B1553&lt;=$D$2),N(R1552)+1,N(R1552))</f>
      </c>
    </row>
    <row r="1554" s="44" customFormat="1" spans="1:23">
      <c r="A1554" s="116"/>
      <c r="E1554" s="108"/>
      <c r="F1554" s="114"/>
      <c r="G1554" s="114"/>
      <c r="H1554" s="114"/>
      <c r="Q1554" s="44">
        <f>IF(数据录入!$B1554="",0,IF(OR(数据录入!$D1554="投标保证金",数据录入!$D1554="合同履约保证金",ISNUMBER(FIND("保证金",数据录入!$E1554))),1,0))</f>
      </c>
      <c r="R1554" s="44">
        <f>IF(AND($Q1554=1,数据录入!$B1554&gt;=$B$2,数据录入!$B1554&lt;=$D$2),N(R1553)+1,N(R1553))</f>
      </c>
    </row>
    <row r="1555" s="44" customFormat="1" spans="1:23">
      <c r="A1555" s="116"/>
      <c r="E1555" s="108"/>
      <c r="F1555" s="114"/>
      <c r="G1555" s="114"/>
      <c r="H1555" s="114"/>
      <c r="Q1555" s="44">
        <f>IF(数据录入!$B1555="",0,IF(OR(数据录入!$D1555="投标保证金",数据录入!$D1555="合同履约保证金",ISNUMBER(FIND("保证金",数据录入!$E1555))),1,0))</f>
      </c>
      <c r="R1555" s="44">
        <f>IF(AND($Q1555=1,数据录入!$B1555&gt;=$B$2,数据录入!$B1555&lt;=$D$2),N(R1554)+1,N(R1554))</f>
      </c>
    </row>
    <row r="1556" s="44" customFormat="1" spans="1:23">
      <c r="A1556" s="116"/>
      <c r="E1556" s="108"/>
      <c r="F1556" s="114"/>
      <c r="G1556" s="114"/>
      <c r="H1556" s="114"/>
      <c r="Q1556" s="44">
        <f>IF(数据录入!$B1556="",0,IF(OR(数据录入!$D1556="投标保证金",数据录入!$D1556="合同履约保证金",ISNUMBER(FIND("保证金",数据录入!$E1556))),1,0))</f>
      </c>
      <c r="R1556" s="44">
        <f>IF(AND($Q1556=1,数据录入!$B1556&gt;=$B$2,数据录入!$B1556&lt;=$D$2),N(R1555)+1,N(R1555))</f>
      </c>
    </row>
    <row r="1557" s="44" customFormat="1" spans="1:23">
      <c r="A1557" s="116"/>
      <c r="E1557" s="108"/>
      <c r="F1557" s="114"/>
      <c r="G1557" s="114"/>
      <c r="H1557" s="114"/>
      <c r="Q1557" s="44">
        <f>IF(数据录入!$B1557="",0,IF(OR(数据录入!$D1557="投标保证金",数据录入!$D1557="合同履约保证金",ISNUMBER(FIND("保证金",数据录入!$E1557))),1,0))</f>
      </c>
      <c r="R1557" s="44">
        <f>IF(AND($Q1557=1,数据录入!$B1557&gt;=$B$2,数据录入!$B1557&lt;=$D$2),N(R1556)+1,N(R1556))</f>
      </c>
    </row>
    <row r="1558" s="44" customFormat="1" spans="1:23">
      <c r="A1558" s="116"/>
      <c r="E1558" s="108"/>
      <c r="F1558" s="114"/>
      <c r="G1558" s="114"/>
      <c r="H1558" s="114"/>
      <c r="Q1558" s="44">
        <f>IF(数据录入!$B1558="",0,IF(OR(数据录入!$D1558="投标保证金",数据录入!$D1558="合同履约保证金",ISNUMBER(FIND("保证金",数据录入!$E1558))),1,0))</f>
      </c>
      <c r="R1558" s="44">
        <f>IF(AND($Q1558=1,数据录入!$B1558&gt;=$B$2,数据录入!$B1558&lt;=$D$2),N(R1557)+1,N(R1557))</f>
      </c>
    </row>
    <row r="1559" s="44" customFormat="1" spans="1:23">
      <c r="A1559" s="116"/>
      <c r="E1559" s="108"/>
      <c r="F1559" s="114"/>
      <c r="G1559" s="114"/>
      <c r="H1559" s="114"/>
      <c r="Q1559" s="44">
        <f>IF(数据录入!$B1559="",0,IF(OR(数据录入!$D1559="投标保证金",数据录入!$D1559="合同履约保证金",ISNUMBER(FIND("保证金",数据录入!$E1559))),1,0))</f>
      </c>
      <c r="R1559" s="44">
        <f>IF(AND($Q1559=1,数据录入!$B1559&gt;=$B$2,数据录入!$B1559&lt;=$D$2),N(R1558)+1,N(R1558))</f>
      </c>
    </row>
    <row r="1560" s="44" customFormat="1" spans="1:23">
      <c r="A1560" s="116"/>
      <c r="E1560" s="108"/>
      <c r="F1560" s="114"/>
      <c r="G1560" s="114"/>
      <c r="H1560" s="114"/>
      <c r="Q1560" s="44">
        <f>IF(数据录入!$B1560="",0,IF(OR(数据录入!$D1560="投标保证金",数据录入!$D1560="合同履约保证金",ISNUMBER(FIND("保证金",数据录入!$E1560))),1,0))</f>
      </c>
      <c r="R1560" s="44">
        <f>IF(AND($Q1560=1,数据录入!$B1560&gt;=$B$2,数据录入!$B1560&lt;=$D$2),N(R1559)+1,N(R1559))</f>
      </c>
    </row>
    <row r="1561" s="44" customFormat="1" spans="1:23">
      <c r="A1561" s="116"/>
      <c r="E1561" s="108"/>
      <c r="F1561" s="114"/>
      <c r="G1561" s="114"/>
      <c r="H1561" s="114"/>
      <c r="Q1561" s="44">
        <f>IF(数据录入!$B1561="",0,IF(OR(数据录入!$D1561="投标保证金",数据录入!$D1561="合同履约保证金",ISNUMBER(FIND("保证金",数据录入!$E1561))),1,0))</f>
      </c>
      <c r="R1561" s="44">
        <f>IF(AND($Q1561=1,数据录入!$B1561&gt;=$B$2,数据录入!$B1561&lt;=$D$2),N(R1560)+1,N(R1560))</f>
      </c>
    </row>
    <row r="1562" s="44" customFormat="1" spans="1:23">
      <c r="A1562" s="116"/>
      <c r="E1562" s="108"/>
      <c r="F1562" s="114"/>
      <c r="G1562" s="114"/>
      <c r="H1562" s="114"/>
      <c r="Q1562" s="44">
        <f>IF(数据录入!$B1562="",0,IF(OR(数据录入!$D1562="投标保证金",数据录入!$D1562="合同履约保证金",ISNUMBER(FIND("保证金",数据录入!$E1562))),1,0))</f>
      </c>
      <c r="R1562" s="44">
        <f>IF(AND($Q1562=1,数据录入!$B1562&gt;=$B$2,数据录入!$B1562&lt;=$D$2),N(R1561)+1,N(R1561))</f>
      </c>
    </row>
    <row r="1563" s="44" customFormat="1" spans="1:23">
      <c r="A1563" s="116"/>
      <c r="E1563" s="108"/>
      <c r="F1563" s="114"/>
      <c r="G1563" s="114"/>
      <c r="H1563" s="114"/>
      <c r="Q1563" s="44">
        <f>IF(数据录入!$B1563="",0,IF(OR(数据录入!$D1563="投标保证金",数据录入!$D1563="合同履约保证金",ISNUMBER(FIND("保证金",数据录入!$E1563))),1,0))</f>
      </c>
      <c r="R1563" s="44">
        <f>IF(AND($Q1563=1,数据录入!$B1563&gt;=$B$2,数据录入!$B1563&lt;=$D$2),N(R1562)+1,N(R1562))</f>
      </c>
    </row>
    <row r="1564" s="44" customFormat="1" spans="1:23">
      <c r="A1564" s="116"/>
      <c r="E1564" s="108"/>
      <c r="F1564" s="114"/>
      <c r="G1564" s="114"/>
      <c r="H1564" s="114"/>
      <c r="Q1564" s="44">
        <f>IF(数据录入!$B1564="",0,IF(OR(数据录入!$D1564="投标保证金",数据录入!$D1564="合同履约保证金",ISNUMBER(FIND("保证金",数据录入!$E1564))),1,0))</f>
      </c>
      <c r="R1564" s="44">
        <f>IF(AND($Q1564=1,数据录入!$B1564&gt;=$B$2,数据录入!$B1564&lt;=$D$2),N(R1563)+1,N(R1563))</f>
      </c>
    </row>
    <row r="1565" s="44" customFormat="1" spans="1:23">
      <c r="A1565" s="116"/>
      <c r="E1565" s="108"/>
      <c r="F1565" s="114"/>
      <c r="G1565" s="114"/>
      <c r="H1565" s="114"/>
      <c r="Q1565" s="44">
        <f>IF(数据录入!$B1565="",0,IF(OR(数据录入!$D1565="投标保证金",数据录入!$D1565="合同履约保证金",ISNUMBER(FIND("保证金",数据录入!$E1565))),1,0))</f>
      </c>
      <c r="R1565" s="44">
        <f>IF(AND($Q1565=1,数据录入!$B1565&gt;=$B$2,数据录入!$B1565&lt;=$D$2),N(R1564)+1,N(R1564))</f>
      </c>
    </row>
    <row r="1566" s="44" customFormat="1" spans="1:23">
      <c r="A1566" s="116"/>
      <c r="E1566" s="108"/>
      <c r="F1566" s="114"/>
      <c r="G1566" s="114"/>
      <c r="H1566" s="114"/>
      <c r="Q1566" s="44">
        <f>IF(数据录入!$B1566="",0,IF(OR(数据录入!$D1566="投标保证金",数据录入!$D1566="合同履约保证金",ISNUMBER(FIND("保证金",数据录入!$E1566))),1,0))</f>
      </c>
      <c r="R1566" s="44">
        <f>IF(AND($Q1566=1,数据录入!$B1566&gt;=$B$2,数据录入!$B1566&lt;=$D$2),N(R1565)+1,N(R1565))</f>
      </c>
    </row>
    <row r="1567" s="44" customFormat="1" spans="1:23">
      <c r="A1567" s="116"/>
      <c r="E1567" s="108"/>
      <c r="F1567" s="114"/>
      <c r="G1567" s="114"/>
      <c r="H1567" s="114"/>
      <c r="Q1567" s="44">
        <f>IF(数据录入!$B1567="",0,IF(OR(数据录入!$D1567="投标保证金",数据录入!$D1567="合同履约保证金",ISNUMBER(FIND("保证金",数据录入!$E1567))),1,0))</f>
      </c>
      <c r="R1567" s="44">
        <f>IF(AND($Q1567=1,数据录入!$B1567&gt;=$B$2,数据录入!$B1567&lt;=$D$2),N(R1566)+1,N(R1566))</f>
      </c>
    </row>
    <row r="1568" s="44" customFormat="1" spans="1:23">
      <c r="A1568" s="116"/>
      <c r="E1568" s="108"/>
      <c r="F1568" s="114"/>
      <c r="G1568" s="114"/>
      <c r="H1568" s="114"/>
      <c r="Q1568" s="44">
        <f>IF(数据录入!$B1568="",0,IF(OR(数据录入!$D1568="投标保证金",数据录入!$D1568="合同履约保证金",ISNUMBER(FIND("保证金",数据录入!$E1568))),1,0))</f>
      </c>
      <c r="R1568" s="44">
        <f>IF(AND($Q1568=1,数据录入!$B1568&gt;=$B$2,数据录入!$B1568&lt;=$D$2),N(R1567)+1,N(R1567))</f>
      </c>
    </row>
    <row r="1569" s="44" customFormat="1" spans="1:23">
      <c r="A1569" s="116"/>
      <c r="E1569" s="108"/>
      <c r="F1569" s="114"/>
      <c r="G1569" s="114"/>
      <c r="H1569" s="114"/>
      <c r="Q1569" s="44">
        <f>IF(数据录入!$B1569="",0,IF(OR(数据录入!$D1569="投标保证金",数据录入!$D1569="合同履约保证金",ISNUMBER(FIND("保证金",数据录入!$E1569))),1,0))</f>
      </c>
      <c r="R1569" s="44">
        <f>IF(AND($Q1569=1,数据录入!$B1569&gt;=$B$2,数据录入!$B1569&lt;=$D$2),N(R1568)+1,N(R1568))</f>
      </c>
    </row>
    <row r="1570" s="44" customFormat="1" spans="1:23">
      <c r="A1570" s="116"/>
      <c r="E1570" s="108"/>
      <c r="F1570" s="114"/>
      <c r="G1570" s="114"/>
      <c r="H1570" s="114"/>
      <c r="Q1570" s="44">
        <f>IF(数据录入!$B1570="",0,IF(OR(数据录入!$D1570="投标保证金",数据录入!$D1570="合同履约保证金",ISNUMBER(FIND("保证金",数据录入!$E1570))),1,0))</f>
      </c>
      <c r="R1570" s="44">
        <f>IF(AND($Q1570=1,数据录入!$B1570&gt;=$B$2,数据录入!$B1570&lt;=$D$2),N(R1569)+1,N(R1569))</f>
      </c>
    </row>
    <row r="1571" s="44" customFormat="1" spans="1:23">
      <c r="A1571" s="116"/>
      <c r="E1571" s="108"/>
      <c r="F1571" s="114"/>
      <c r="G1571" s="114"/>
      <c r="H1571" s="114"/>
      <c r="Q1571" s="44">
        <f>IF(数据录入!$B1571="",0,IF(OR(数据录入!$D1571="投标保证金",数据录入!$D1571="合同履约保证金",ISNUMBER(FIND("保证金",数据录入!$E1571))),1,0))</f>
      </c>
      <c r="R1571" s="44">
        <f>IF(AND($Q1571=1,数据录入!$B1571&gt;=$B$2,数据录入!$B1571&lt;=$D$2),N(R1570)+1,N(R1570))</f>
      </c>
    </row>
    <row r="1572" s="44" customFormat="1" spans="1:23">
      <c r="A1572" s="116"/>
      <c r="E1572" s="108"/>
      <c r="F1572" s="114"/>
      <c r="G1572" s="114"/>
      <c r="H1572" s="114"/>
      <c r="Q1572" s="44">
        <f>IF(数据录入!$B1572="",0,IF(OR(数据录入!$D1572="投标保证金",数据录入!$D1572="合同履约保证金",ISNUMBER(FIND("保证金",数据录入!$E1572))),1,0))</f>
      </c>
      <c r="R1572" s="44">
        <f>IF(AND($Q1572=1,数据录入!$B1572&gt;=$B$2,数据录入!$B1572&lt;=$D$2),N(R1571)+1,N(R1571))</f>
      </c>
    </row>
    <row r="1573" s="44" customFormat="1" spans="1:23">
      <c r="A1573" s="116"/>
      <c r="E1573" s="108"/>
      <c r="F1573" s="114"/>
      <c r="G1573" s="114"/>
      <c r="H1573" s="114"/>
      <c r="Q1573" s="44">
        <f>IF(数据录入!$B1573="",0,IF(OR(数据录入!$D1573="投标保证金",数据录入!$D1573="合同履约保证金",ISNUMBER(FIND("保证金",数据录入!$E1573))),1,0))</f>
      </c>
      <c r="R1573" s="44">
        <f>IF(AND($Q1573=1,数据录入!$B1573&gt;=$B$2,数据录入!$B1573&lt;=$D$2),N(R1572)+1,N(R1572))</f>
      </c>
    </row>
    <row r="1574" s="44" customFormat="1" spans="1:23">
      <c r="A1574" s="116"/>
      <c r="E1574" s="108"/>
      <c r="F1574" s="114"/>
      <c r="G1574" s="114"/>
      <c r="H1574" s="114"/>
      <c r="Q1574" s="44">
        <f>IF(数据录入!$B1574="",0,IF(OR(数据录入!$D1574="投标保证金",数据录入!$D1574="合同履约保证金",ISNUMBER(FIND("保证金",数据录入!$E1574))),1,0))</f>
      </c>
      <c r="R1574" s="44">
        <f>IF(AND($Q1574=1,数据录入!$B1574&gt;=$B$2,数据录入!$B1574&lt;=$D$2),N(R1573)+1,N(R1573))</f>
      </c>
    </row>
    <row r="1575" s="44" customFormat="1" spans="1:23">
      <c r="A1575" s="116"/>
      <c r="E1575" s="108"/>
      <c r="F1575" s="114"/>
      <c r="G1575" s="114"/>
      <c r="H1575" s="114"/>
      <c r="Q1575" s="44">
        <f>IF(数据录入!$B1575="",0,IF(OR(数据录入!$D1575="投标保证金",数据录入!$D1575="合同履约保证金",ISNUMBER(FIND("保证金",数据录入!$E1575))),1,0))</f>
      </c>
      <c r="R1575" s="44">
        <f>IF(AND($Q1575=1,数据录入!$B1575&gt;=$B$2,数据录入!$B1575&lt;=$D$2),N(R1574)+1,N(R1574))</f>
      </c>
    </row>
    <row r="1576" s="44" customFormat="1" spans="1:23">
      <c r="A1576" s="116"/>
      <c r="E1576" s="108"/>
      <c r="F1576" s="114"/>
      <c r="G1576" s="114"/>
      <c r="H1576" s="114"/>
      <c r="Q1576" s="44">
        <f>IF(数据录入!$B1576="",0,IF(OR(数据录入!$D1576="投标保证金",数据录入!$D1576="合同履约保证金",ISNUMBER(FIND("保证金",数据录入!$E1576))),1,0))</f>
      </c>
      <c r="R1576" s="44">
        <f>IF(AND($Q1576=1,数据录入!$B1576&gt;=$B$2,数据录入!$B1576&lt;=$D$2),N(R1575)+1,N(R1575))</f>
      </c>
    </row>
    <row r="1577" s="44" customFormat="1" spans="1:23">
      <c r="A1577" s="116"/>
      <c r="E1577" s="108"/>
      <c r="F1577" s="114"/>
      <c r="G1577" s="114"/>
      <c r="H1577" s="114"/>
      <c r="Q1577" s="44">
        <f>IF(数据录入!$B1577="",0,IF(OR(数据录入!$D1577="投标保证金",数据录入!$D1577="合同履约保证金",ISNUMBER(FIND("保证金",数据录入!$E1577))),1,0))</f>
      </c>
      <c r="R1577" s="44">
        <f>IF(AND($Q1577=1,数据录入!$B1577&gt;=$B$2,数据录入!$B1577&lt;=$D$2),N(R1576)+1,N(R1576))</f>
      </c>
    </row>
    <row r="1578" s="44" customFormat="1" spans="1:23">
      <c r="A1578" s="116"/>
      <c r="E1578" s="108"/>
      <c r="F1578" s="114"/>
      <c r="G1578" s="114"/>
      <c r="H1578" s="114"/>
      <c r="Q1578" s="44">
        <f>IF(数据录入!$B1578="",0,IF(OR(数据录入!$D1578="投标保证金",数据录入!$D1578="合同履约保证金",ISNUMBER(FIND("保证金",数据录入!$E1578))),1,0))</f>
      </c>
      <c r="R1578" s="44">
        <f>IF(AND($Q1578=1,数据录入!$B1578&gt;=$B$2,数据录入!$B1578&lt;=$D$2),N(R1577)+1,N(R1577))</f>
      </c>
    </row>
    <row r="1579" s="44" customFormat="1" spans="1:23">
      <c r="A1579" s="116"/>
      <c r="E1579" s="108"/>
      <c r="F1579" s="114"/>
      <c r="G1579" s="114"/>
      <c r="H1579" s="114"/>
      <c r="Q1579" s="44">
        <f>IF(数据录入!$B1579="",0,IF(OR(数据录入!$D1579="投标保证金",数据录入!$D1579="合同履约保证金",ISNUMBER(FIND("保证金",数据录入!$E1579))),1,0))</f>
      </c>
      <c r="R1579" s="44">
        <f>IF(AND($Q1579=1,数据录入!$B1579&gt;=$B$2,数据录入!$B1579&lt;=$D$2),N(R1578)+1,N(R1578))</f>
      </c>
    </row>
    <row r="1580" s="44" customFormat="1" spans="1:23">
      <c r="A1580" s="116"/>
      <c r="E1580" s="108"/>
      <c r="F1580" s="114"/>
      <c r="G1580" s="114"/>
      <c r="H1580" s="114"/>
      <c r="Q1580" s="44">
        <f>IF(数据录入!$B1580="",0,IF(OR(数据录入!$D1580="投标保证金",数据录入!$D1580="合同履约保证金",ISNUMBER(FIND("保证金",数据录入!$E1580))),1,0))</f>
      </c>
      <c r="R1580" s="44">
        <f>IF(AND($Q1580=1,数据录入!$B1580&gt;=$B$2,数据录入!$B1580&lt;=$D$2),N(R1579)+1,N(R1579))</f>
      </c>
    </row>
    <row r="1581" s="44" customFormat="1" spans="1:23">
      <c r="A1581" s="116"/>
      <c r="E1581" s="108"/>
      <c r="F1581" s="114"/>
      <c r="G1581" s="114"/>
      <c r="H1581" s="114"/>
      <c r="Q1581" s="44">
        <f>IF(数据录入!$B1581="",0,IF(OR(数据录入!$D1581="投标保证金",数据录入!$D1581="合同履约保证金",ISNUMBER(FIND("保证金",数据录入!$E1581))),1,0))</f>
      </c>
      <c r="R1581" s="44">
        <f>IF(AND($Q1581=1,数据录入!$B1581&gt;=$B$2,数据录入!$B1581&lt;=$D$2),N(R1580)+1,N(R1580))</f>
      </c>
    </row>
    <row r="1582" s="44" customFormat="1" spans="1:23">
      <c r="A1582" s="116"/>
      <c r="E1582" s="108"/>
      <c r="F1582" s="114"/>
      <c r="G1582" s="114"/>
      <c r="H1582" s="114"/>
      <c r="Q1582" s="44">
        <f>IF(数据录入!$B1582="",0,IF(OR(数据录入!$D1582="投标保证金",数据录入!$D1582="合同履约保证金",ISNUMBER(FIND("保证金",数据录入!$E1582))),1,0))</f>
      </c>
      <c r="R1582" s="44">
        <f>IF(AND($Q1582=1,数据录入!$B1582&gt;=$B$2,数据录入!$B1582&lt;=$D$2),N(R1581)+1,N(R1581))</f>
      </c>
    </row>
    <row r="1583" s="44" customFormat="1" spans="1:23">
      <c r="A1583" s="116"/>
      <c r="E1583" s="108"/>
      <c r="F1583" s="114"/>
      <c r="G1583" s="114"/>
      <c r="H1583" s="114"/>
      <c r="Q1583" s="44">
        <f>IF(数据录入!$B1583="",0,IF(OR(数据录入!$D1583="投标保证金",数据录入!$D1583="合同履约保证金",ISNUMBER(FIND("保证金",数据录入!$E1583))),1,0))</f>
      </c>
      <c r="R1583" s="44">
        <f>IF(AND($Q1583=1,数据录入!$B1583&gt;=$B$2,数据录入!$B1583&lt;=$D$2),N(R1582)+1,N(R1582))</f>
      </c>
    </row>
    <row r="1584" s="44" customFormat="1" spans="1:23">
      <c r="A1584" s="116"/>
      <c r="E1584" s="108"/>
      <c r="F1584" s="114"/>
      <c r="G1584" s="114"/>
      <c r="H1584" s="114"/>
      <c r="Q1584" s="44">
        <f>IF(数据录入!$B1584="",0,IF(OR(数据录入!$D1584="投标保证金",数据录入!$D1584="合同履约保证金",ISNUMBER(FIND("保证金",数据录入!$E1584))),1,0))</f>
      </c>
      <c r="R1584" s="44">
        <f>IF(AND($Q1584=1,数据录入!$B1584&gt;=$B$2,数据录入!$B1584&lt;=$D$2),N(R1583)+1,N(R1583))</f>
      </c>
    </row>
    <row r="1585" s="44" customFormat="1" spans="1:23">
      <c r="A1585" s="116"/>
      <c r="E1585" s="108"/>
      <c r="F1585" s="114"/>
      <c r="G1585" s="114"/>
      <c r="H1585" s="114"/>
      <c r="Q1585" s="44">
        <f>IF(数据录入!$B1585="",0,IF(OR(数据录入!$D1585="投标保证金",数据录入!$D1585="合同履约保证金",ISNUMBER(FIND("保证金",数据录入!$E1585))),1,0))</f>
      </c>
      <c r="R1585" s="44">
        <f>IF(AND($Q1585=1,数据录入!$B1585&gt;=$B$2,数据录入!$B1585&lt;=$D$2),N(R1584)+1,N(R1584))</f>
      </c>
    </row>
    <row r="1586" s="44" customFormat="1" spans="1:23">
      <c r="A1586" s="116"/>
      <c r="E1586" s="108"/>
      <c r="F1586" s="114"/>
      <c r="G1586" s="114"/>
      <c r="H1586" s="114"/>
      <c r="Q1586" s="44">
        <f>IF(数据录入!$B1586="",0,IF(OR(数据录入!$D1586="投标保证金",数据录入!$D1586="合同履约保证金",ISNUMBER(FIND("保证金",数据录入!$E1586))),1,0))</f>
      </c>
      <c r="R1586" s="44">
        <f>IF(AND($Q1586=1,数据录入!$B1586&gt;=$B$2,数据录入!$B1586&lt;=$D$2),N(R1585)+1,N(R1585))</f>
      </c>
    </row>
    <row r="1587" s="44" customFormat="1" spans="1:23">
      <c r="A1587" s="116"/>
      <c r="E1587" s="108"/>
      <c r="F1587" s="114"/>
      <c r="G1587" s="114"/>
      <c r="H1587" s="114"/>
      <c r="Q1587" s="44">
        <f>IF(数据录入!$B1587="",0,IF(OR(数据录入!$D1587="投标保证金",数据录入!$D1587="合同履约保证金",ISNUMBER(FIND("保证金",数据录入!$E1587))),1,0))</f>
      </c>
      <c r="R1587" s="44">
        <f>IF(AND($Q1587=1,数据录入!$B1587&gt;=$B$2,数据录入!$B1587&lt;=$D$2),N(R1586)+1,N(R1586))</f>
      </c>
    </row>
    <row r="1588" s="44" customFormat="1" spans="1:23">
      <c r="A1588" s="116"/>
      <c r="E1588" s="108"/>
      <c r="F1588" s="114"/>
      <c r="G1588" s="114"/>
      <c r="H1588" s="114"/>
      <c r="Q1588" s="44">
        <f>IF(数据录入!$B1588="",0,IF(OR(数据录入!$D1588="投标保证金",数据录入!$D1588="合同履约保证金",ISNUMBER(FIND("保证金",数据录入!$E1588))),1,0))</f>
      </c>
      <c r="R1588" s="44">
        <f>IF(AND($Q1588=1,数据录入!$B1588&gt;=$B$2,数据录入!$B1588&lt;=$D$2),N(R1587)+1,N(R1587))</f>
      </c>
    </row>
    <row r="1589" s="44" customFormat="1" spans="1:23">
      <c r="A1589" s="116"/>
      <c r="E1589" s="108"/>
      <c r="F1589" s="114"/>
      <c r="G1589" s="114"/>
      <c r="H1589" s="114"/>
      <c r="Q1589" s="44">
        <f>IF(数据录入!$B1589="",0,IF(OR(数据录入!$D1589="投标保证金",数据录入!$D1589="合同履约保证金",ISNUMBER(FIND("保证金",数据录入!$E1589))),1,0))</f>
      </c>
      <c r="R1589" s="44">
        <f>IF(AND($Q1589=1,数据录入!$B1589&gt;=$B$2,数据录入!$B1589&lt;=$D$2),N(R1588)+1,N(R1588))</f>
      </c>
    </row>
    <row r="1590" s="44" customFormat="1" spans="1:23">
      <c r="A1590" s="116"/>
      <c r="E1590" s="108"/>
      <c r="F1590" s="114"/>
      <c r="G1590" s="114"/>
      <c r="H1590" s="114"/>
      <c r="Q1590" s="44">
        <f>IF(数据录入!$B1590="",0,IF(OR(数据录入!$D1590="投标保证金",数据录入!$D1590="合同履约保证金",ISNUMBER(FIND("保证金",数据录入!$E1590))),1,0))</f>
      </c>
      <c r="R1590" s="44">
        <f>IF(AND($Q1590=1,数据录入!$B1590&gt;=$B$2,数据录入!$B1590&lt;=$D$2),N(R1589)+1,N(R1589))</f>
      </c>
    </row>
    <row r="1591" s="44" customFormat="1" spans="1:23">
      <c r="A1591" s="116"/>
      <c r="E1591" s="108"/>
      <c r="F1591" s="114"/>
      <c r="G1591" s="114"/>
      <c r="H1591" s="114"/>
      <c r="Q1591" s="44">
        <f>IF(数据录入!$B1591="",0,IF(OR(数据录入!$D1591="投标保证金",数据录入!$D1591="合同履约保证金",ISNUMBER(FIND("保证金",数据录入!$E1591))),1,0))</f>
      </c>
      <c r="R1591" s="44">
        <f>IF(AND($Q1591=1,数据录入!$B1591&gt;=$B$2,数据录入!$B1591&lt;=$D$2),N(R1590)+1,N(R1590))</f>
      </c>
    </row>
    <row r="1592" s="44" customFormat="1" spans="1:23">
      <c r="A1592" s="116"/>
      <c r="E1592" s="108"/>
      <c r="F1592" s="114"/>
      <c r="G1592" s="114"/>
      <c r="H1592" s="114"/>
      <c r="Q1592" s="44">
        <f>IF(数据录入!$B1592="",0,IF(OR(数据录入!$D1592="投标保证金",数据录入!$D1592="合同履约保证金",ISNUMBER(FIND("保证金",数据录入!$E1592))),1,0))</f>
      </c>
      <c r="R1592" s="44">
        <f>IF(AND($Q1592=1,数据录入!$B1592&gt;=$B$2,数据录入!$B1592&lt;=$D$2),N(R1591)+1,N(R1591))</f>
      </c>
    </row>
    <row r="1593" s="44" customFormat="1" spans="1:23">
      <c r="A1593" s="116"/>
      <c r="E1593" s="108"/>
      <c r="F1593" s="114"/>
      <c r="G1593" s="114"/>
      <c r="H1593" s="114"/>
      <c r="Q1593" s="44">
        <f>IF(数据录入!$B1593="",0,IF(OR(数据录入!$D1593="投标保证金",数据录入!$D1593="合同履约保证金",ISNUMBER(FIND("保证金",数据录入!$E1593))),1,0))</f>
      </c>
      <c r="R1593" s="44">
        <f>IF(AND($Q1593=1,数据录入!$B1593&gt;=$B$2,数据录入!$B1593&lt;=$D$2),N(R1592)+1,N(R1592))</f>
      </c>
    </row>
    <row r="1594" s="44" customFormat="1" spans="1:23">
      <c r="A1594" s="116"/>
      <c r="E1594" s="108"/>
      <c r="F1594" s="114"/>
      <c r="G1594" s="114"/>
      <c r="H1594" s="114"/>
      <c r="Q1594" s="44">
        <f>IF(数据录入!$B1594="",0,IF(OR(数据录入!$D1594="投标保证金",数据录入!$D1594="合同履约保证金",ISNUMBER(FIND("保证金",数据录入!$E1594))),1,0))</f>
      </c>
      <c r="R1594" s="44">
        <f>IF(AND($Q1594=1,数据录入!$B1594&gt;=$B$2,数据录入!$B1594&lt;=$D$2),N(R1593)+1,N(R1593))</f>
      </c>
    </row>
    <row r="1595" s="44" customFormat="1" spans="1:23">
      <c r="A1595" s="116"/>
      <c r="E1595" s="108"/>
      <c r="F1595" s="114"/>
      <c r="G1595" s="114"/>
      <c r="H1595" s="114"/>
      <c r="Q1595" s="44">
        <f>IF(数据录入!$B1595="",0,IF(OR(数据录入!$D1595="投标保证金",数据录入!$D1595="合同履约保证金",ISNUMBER(FIND("保证金",数据录入!$E1595))),1,0))</f>
      </c>
      <c r="R1595" s="44">
        <f>IF(AND($Q1595=1,数据录入!$B1595&gt;=$B$2,数据录入!$B1595&lt;=$D$2),N(R1594)+1,N(R1594))</f>
      </c>
    </row>
    <row r="1596" s="44" customFormat="1" spans="1:23">
      <c r="A1596" s="116"/>
      <c r="E1596" s="108"/>
      <c r="F1596" s="114"/>
      <c r="G1596" s="114"/>
      <c r="H1596" s="114"/>
      <c r="Q1596" s="44">
        <f>IF(数据录入!$B1596="",0,IF(OR(数据录入!$D1596="投标保证金",数据录入!$D1596="合同履约保证金",ISNUMBER(FIND("保证金",数据录入!$E1596))),1,0))</f>
      </c>
      <c r="R1596" s="44">
        <f>IF(AND($Q1596=1,数据录入!$B1596&gt;=$B$2,数据录入!$B1596&lt;=$D$2),N(R1595)+1,N(R1595))</f>
      </c>
    </row>
    <row r="1597" s="44" customFormat="1" spans="1:23">
      <c r="A1597" s="116"/>
      <c r="E1597" s="108"/>
      <c r="F1597" s="114"/>
      <c r="G1597" s="114"/>
      <c r="H1597" s="114"/>
      <c r="Q1597" s="44">
        <f>IF(数据录入!$B1597="",0,IF(OR(数据录入!$D1597="投标保证金",数据录入!$D1597="合同履约保证金",ISNUMBER(FIND("保证金",数据录入!$E1597))),1,0))</f>
      </c>
      <c r="R1597" s="44">
        <f>IF(AND($Q1597=1,数据录入!$B1597&gt;=$B$2,数据录入!$B1597&lt;=$D$2),N(R1596)+1,N(R1596))</f>
      </c>
    </row>
    <row r="1598" s="44" customFormat="1" spans="1:23">
      <c r="A1598" s="116"/>
      <c r="E1598" s="108"/>
      <c r="F1598" s="114"/>
      <c r="G1598" s="114"/>
      <c r="H1598" s="114"/>
      <c r="Q1598" s="44">
        <f>IF(数据录入!$B1598="",0,IF(OR(数据录入!$D1598="投标保证金",数据录入!$D1598="合同履约保证金",ISNUMBER(FIND("保证金",数据录入!$E1598))),1,0))</f>
      </c>
      <c r="R1598" s="44">
        <f>IF(AND($Q1598=1,数据录入!$B1598&gt;=$B$2,数据录入!$B1598&lt;=$D$2),N(R1597)+1,N(R1597))</f>
      </c>
    </row>
    <row r="1599" s="44" customFormat="1" spans="1:23">
      <c r="A1599" s="116"/>
      <c r="E1599" s="108"/>
      <c r="F1599" s="114"/>
      <c r="G1599" s="114"/>
      <c r="H1599" s="114"/>
      <c r="Q1599" s="44">
        <f>IF(数据录入!$B1599="",0,IF(OR(数据录入!$D1599="投标保证金",数据录入!$D1599="合同履约保证金",ISNUMBER(FIND("保证金",数据录入!$E1599))),1,0))</f>
      </c>
      <c r="R1599" s="44">
        <f>IF(AND($Q1599=1,数据录入!$B1599&gt;=$B$2,数据录入!$B1599&lt;=$D$2),N(R1598)+1,N(R1598))</f>
      </c>
    </row>
    <row r="1600" s="44" customFormat="1" spans="1:23">
      <c r="A1600" s="116"/>
      <c r="E1600" s="108"/>
      <c r="F1600" s="114"/>
      <c r="G1600" s="114"/>
      <c r="H1600" s="114"/>
      <c r="Q1600" s="44">
        <f>IF(数据录入!$B1600="",0,IF(OR(数据录入!$D1600="投标保证金",数据录入!$D1600="合同履约保证金",ISNUMBER(FIND("保证金",数据录入!$E1600))),1,0))</f>
      </c>
      <c r="R1600" s="44">
        <f>IF(AND($Q1600=1,数据录入!$B1600&gt;=$B$2,数据录入!$B1600&lt;=$D$2),N(R1599)+1,N(R1599))</f>
      </c>
    </row>
    <row r="1601" s="44" customFormat="1" spans="1:23">
      <c r="A1601" s="116"/>
      <c r="E1601" s="108"/>
      <c r="F1601" s="114"/>
      <c r="G1601" s="114"/>
      <c r="H1601" s="114"/>
      <c r="Q1601" s="44">
        <f>IF(数据录入!$B1601="",0,IF(OR(数据录入!$D1601="投标保证金",数据录入!$D1601="合同履约保证金",ISNUMBER(FIND("保证金",数据录入!$E1601))),1,0))</f>
      </c>
      <c r="R1601" s="44">
        <f>IF(AND($Q1601=1,数据录入!$B1601&gt;=$B$2,数据录入!$B1601&lt;=$D$2),N(R1600)+1,N(R1600))</f>
      </c>
    </row>
    <row r="1602" s="44" customFormat="1" spans="1:23">
      <c r="A1602" s="116"/>
      <c r="E1602" s="108"/>
      <c r="F1602" s="114"/>
      <c r="G1602" s="114"/>
      <c r="H1602" s="114"/>
      <c r="Q1602" s="44">
        <f>IF(数据录入!$B1602="",0,IF(OR(数据录入!$D1602="投标保证金",数据录入!$D1602="合同履约保证金",ISNUMBER(FIND("保证金",数据录入!$E1602))),1,0))</f>
      </c>
      <c r="R1602" s="44">
        <f>IF(AND($Q1602=1,数据录入!$B1602&gt;=$B$2,数据录入!$B1602&lt;=$D$2),N(R1601)+1,N(R1601))</f>
      </c>
    </row>
    <row r="1603" s="44" customFormat="1" spans="1:23">
      <c r="A1603" s="116"/>
      <c r="E1603" s="108"/>
      <c r="F1603" s="114"/>
      <c r="G1603" s="114"/>
      <c r="H1603" s="114"/>
      <c r="Q1603" s="44">
        <f>IF(数据录入!$B1603="",0,IF(OR(数据录入!$D1603="投标保证金",数据录入!$D1603="合同履约保证金",ISNUMBER(FIND("保证金",数据录入!$E1603))),1,0))</f>
      </c>
      <c r="R1603" s="44">
        <f>IF(AND($Q1603=1,数据录入!$B1603&gt;=$B$2,数据录入!$B1603&lt;=$D$2),N(R1602)+1,N(R1602))</f>
      </c>
    </row>
    <row r="1604" s="44" customFormat="1" spans="1:23">
      <c r="A1604" s="116"/>
      <c r="E1604" s="108"/>
      <c r="F1604" s="114"/>
      <c r="G1604" s="114"/>
      <c r="H1604" s="114"/>
      <c r="Q1604" s="44">
        <f>IF(数据录入!$B1604="",0,IF(OR(数据录入!$D1604="投标保证金",数据录入!$D1604="合同履约保证金",ISNUMBER(FIND("保证金",数据录入!$E1604))),1,0))</f>
      </c>
      <c r="R1604" s="44">
        <f>IF(AND($Q1604=1,数据录入!$B1604&gt;=$B$2,数据录入!$B1604&lt;=$D$2),N(R1603)+1,N(R1603))</f>
      </c>
    </row>
    <row r="1605" s="44" customFormat="1" spans="1:23">
      <c r="A1605" s="116"/>
      <c r="E1605" s="108"/>
      <c r="F1605" s="114"/>
      <c r="G1605" s="114"/>
      <c r="H1605" s="114"/>
      <c r="Q1605" s="44">
        <f>IF(数据录入!$B1605="",0,IF(OR(数据录入!$D1605="投标保证金",数据录入!$D1605="合同履约保证金",ISNUMBER(FIND("保证金",数据录入!$E1605))),1,0))</f>
      </c>
      <c r="R1605" s="44">
        <f>IF(AND($Q1605=1,数据录入!$B1605&gt;=$B$2,数据录入!$B1605&lt;=$D$2),N(R1604)+1,N(R1604))</f>
      </c>
    </row>
    <row r="1606" s="44" customFormat="1" spans="1:23">
      <c r="A1606" s="116"/>
      <c r="E1606" s="108"/>
      <c r="F1606" s="114"/>
      <c r="G1606" s="114"/>
      <c r="H1606" s="114"/>
      <c r="Q1606" s="44">
        <f>IF(数据录入!$B1606="",0,IF(OR(数据录入!$D1606="投标保证金",数据录入!$D1606="合同履约保证金",ISNUMBER(FIND("保证金",数据录入!$E1606))),1,0))</f>
      </c>
      <c r="R1606" s="44">
        <f>IF(AND($Q1606=1,数据录入!$B1606&gt;=$B$2,数据录入!$B1606&lt;=$D$2),N(R1605)+1,N(R1605))</f>
      </c>
    </row>
    <row r="1607" s="44" customFormat="1" spans="1:23">
      <c r="A1607" s="116"/>
      <c r="E1607" s="108"/>
      <c r="F1607" s="114"/>
      <c r="G1607" s="114"/>
      <c r="H1607" s="114"/>
      <c r="Q1607" s="44">
        <f>IF(数据录入!$B1607="",0,IF(OR(数据录入!$D1607="投标保证金",数据录入!$D1607="合同履约保证金",ISNUMBER(FIND("保证金",数据录入!$E1607))),1,0))</f>
      </c>
      <c r="R1607" s="44">
        <f>IF(AND($Q1607=1,数据录入!$B1607&gt;=$B$2,数据录入!$B1607&lt;=$D$2),N(R1606)+1,N(R1606))</f>
      </c>
    </row>
    <row r="1608" s="44" customFormat="1" spans="1:23">
      <c r="A1608" s="116"/>
      <c r="E1608" s="108"/>
      <c r="F1608" s="114"/>
      <c r="G1608" s="114"/>
      <c r="H1608" s="114"/>
      <c r="Q1608" s="44">
        <f>IF(数据录入!$B1608="",0,IF(OR(数据录入!$D1608="投标保证金",数据录入!$D1608="合同履约保证金",ISNUMBER(FIND("保证金",数据录入!$E1608))),1,0))</f>
      </c>
      <c r="R1608" s="44">
        <f>IF(AND($Q1608=1,数据录入!$B1608&gt;=$B$2,数据录入!$B1608&lt;=$D$2),N(R1607)+1,N(R1607))</f>
      </c>
    </row>
    <row r="1609" s="44" customFormat="1" spans="1:23">
      <c r="A1609" s="116"/>
      <c r="E1609" s="108"/>
      <c r="F1609" s="114"/>
      <c r="G1609" s="114"/>
      <c r="H1609" s="114"/>
      <c r="Q1609" s="44">
        <f>IF(数据录入!$B1609="",0,IF(OR(数据录入!$D1609="投标保证金",数据录入!$D1609="合同履约保证金",ISNUMBER(FIND("保证金",数据录入!$E1609))),1,0))</f>
      </c>
      <c r="R1609" s="44">
        <f>IF(AND($Q1609=1,数据录入!$B1609&gt;=$B$2,数据录入!$B1609&lt;=$D$2),N(R1608)+1,N(R1608))</f>
      </c>
    </row>
    <row r="1610" s="44" customFormat="1" spans="1:23">
      <c r="A1610" s="116"/>
      <c r="E1610" s="108"/>
      <c r="F1610" s="114"/>
      <c r="G1610" s="114"/>
      <c r="H1610" s="114"/>
      <c r="Q1610" s="44">
        <f>IF(数据录入!$B1610="",0,IF(OR(数据录入!$D1610="投标保证金",数据录入!$D1610="合同履约保证金",ISNUMBER(FIND("保证金",数据录入!$E1610))),1,0))</f>
      </c>
      <c r="R1610" s="44">
        <f>IF(AND($Q1610=1,数据录入!$B1610&gt;=$B$2,数据录入!$B1610&lt;=$D$2),N(R1609)+1,N(R1609))</f>
      </c>
    </row>
    <row r="1611" s="44" customFormat="1" spans="1:23">
      <c r="A1611" s="116"/>
      <c r="E1611" s="108"/>
      <c r="F1611" s="114"/>
      <c r="G1611" s="114"/>
      <c r="H1611" s="114"/>
      <c r="Q1611" s="44">
        <f>IF(数据录入!$B1611="",0,IF(OR(数据录入!$D1611="投标保证金",数据录入!$D1611="合同履约保证金",ISNUMBER(FIND("保证金",数据录入!$E1611))),1,0))</f>
      </c>
      <c r="R1611" s="44">
        <f>IF(AND($Q1611=1,数据录入!$B1611&gt;=$B$2,数据录入!$B1611&lt;=$D$2),N(R1610)+1,N(R1610))</f>
      </c>
    </row>
    <row r="1612" s="44" customFormat="1" spans="1:23">
      <c r="A1612" s="116"/>
      <c r="E1612" s="108"/>
      <c r="F1612" s="114"/>
      <c r="G1612" s="114"/>
      <c r="H1612" s="114"/>
      <c r="Q1612" s="44">
        <f>IF(数据录入!$B1612="",0,IF(OR(数据录入!$D1612="投标保证金",数据录入!$D1612="合同履约保证金",ISNUMBER(FIND("保证金",数据录入!$E1612))),1,0))</f>
      </c>
      <c r="R1612" s="44">
        <f>IF(AND($Q1612=1,数据录入!$B1612&gt;=$B$2,数据录入!$B1612&lt;=$D$2),N(R1611)+1,N(R1611))</f>
      </c>
    </row>
    <row r="1613" s="44" customFormat="1" spans="1:23">
      <c r="A1613" s="116"/>
      <c r="E1613" s="108"/>
      <c r="F1613" s="114"/>
      <c r="G1613" s="114"/>
      <c r="H1613" s="114"/>
      <c r="Q1613" s="44">
        <f>IF(数据录入!$B1613="",0,IF(OR(数据录入!$D1613="投标保证金",数据录入!$D1613="合同履约保证金",ISNUMBER(FIND("保证金",数据录入!$E1613))),1,0))</f>
      </c>
      <c r="R1613" s="44">
        <f>IF(AND($Q1613=1,数据录入!$B1613&gt;=$B$2,数据录入!$B1613&lt;=$D$2),N(R1612)+1,N(R1612))</f>
      </c>
    </row>
    <row r="1614" s="44" customFormat="1" spans="1:23">
      <c r="A1614" s="116"/>
      <c r="E1614" s="108"/>
      <c r="F1614" s="114"/>
      <c r="G1614" s="114"/>
      <c r="H1614" s="114"/>
      <c r="Q1614" s="44">
        <f>IF(数据录入!$B1614="",0,IF(OR(数据录入!$D1614="投标保证金",数据录入!$D1614="合同履约保证金",ISNUMBER(FIND("保证金",数据录入!$E1614))),1,0))</f>
      </c>
      <c r="R1614" s="44">
        <f>IF(AND($Q1614=1,数据录入!$B1614&gt;=$B$2,数据录入!$B1614&lt;=$D$2),N(R1613)+1,N(R1613))</f>
      </c>
    </row>
    <row r="1615" s="44" customFormat="1" spans="1:23">
      <c r="A1615" s="116"/>
      <c r="E1615" s="108"/>
      <c r="F1615" s="114"/>
      <c r="G1615" s="114"/>
      <c r="H1615" s="114"/>
      <c r="Q1615" s="44">
        <f>IF(数据录入!$B1615="",0,IF(OR(数据录入!$D1615="投标保证金",数据录入!$D1615="合同履约保证金",ISNUMBER(FIND("保证金",数据录入!$E1615))),1,0))</f>
      </c>
      <c r="R1615" s="44">
        <f>IF(AND($Q1615=1,数据录入!$B1615&gt;=$B$2,数据录入!$B1615&lt;=$D$2),N(R1614)+1,N(R1614))</f>
      </c>
    </row>
    <row r="1616" s="44" customFormat="1" spans="1:23">
      <c r="A1616" s="116"/>
      <c r="E1616" s="108"/>
      <c r="F1616" s="114"/>
      <c r="G1616" s="114"/>
      <c r="H1616" s="114"/>
      <c r="Q1616" s="44">
        <f>IF(数据录入!$B1616="",0,IF(OR(数据录入!$D1616="投标保证金",数据录入!$D1616="合同履约保证金",ISNUMBER(FIND("保证金",数据录入!$E1616))),1,0))</f>
      </c>
      <c r="R1616" s="44">
        <f>IF(AND($Q1616=1,数据录入!$B1616&gt;=$B$2,数据录入!$B1616&lt;=$D$2),N(R1615)+1,N(R1615))</f>
      </c>
    </row>
    <row r="1617" s="44" customFormat="1" spans="1:23">
      <c r="A1617" s="116"/>
      <c r="E1617" s="108"/>
      <c r="F1617" s="114"/>
      <c r="G1617" s="114"/>
      <c r="H1617" s="114"/>
      <c r="Q1617" s="44">
        <f>IF(数据录入!$B1617="",0,IF(OR(数据录入!$D1617="投标保证金",数据录入!$D1617="合同履约保证金",ISNUMBER(FIND("保证金",数据录入!$E1617))),1,0))</f>
      </c>
      <c r="R1617" s="44">
        <f>IF(AND($Q1617=1,数据录入!$B1617&gt;=$B$2,数据录入!$B1617&lt;=$D$2),N(R1616)+1,N(R1616))</f>
      </c>
    </row>
    <row r="1618" s="44" customFormat="1" spans="1:23">
      <c r="A1618" s="116"/>
      <c r="E1618" s="108"/>
      <c r="F1618" s="114"/>
      <c r="G1618" s="114"/>
      <c r="H1618" s="114"/>
      <c r="Q1618" s="44">
        <f>IF(数据录入!$B1618="",0,IF(OR(数据录入!$D1618="投标保证金",数据录入!$D1618="合同履约保证金",ISNUMBER(FIND("保证金",数据录入!$E1618))),1,0))</f>
      </c>
      <c r="R1618" s="44">
        <f>IF(AND($Q1618=1,数据录入!$B1618&gt;=$B$2,数据录入!$B1618&lt;=$D$2),N(R1617)+1,N(R1617))</f>
      </c>
    </row>
    <row r="1619" s="44" customFormat="1" spans="1:23">
      <c r="A1619" s="116"/>
      <c r="E1619" s="108"/>
      <c r="F1619" s="114"/>
      <c r="G1619" s="114"/>
      <c r="H1619" s="114"/>
      <c r="Q1619" s="44">
        <f>IF(数据录入!$B1619="",0,IF(OR(数据录入!$D1619="投标保证金",数据录入!$D1619="合同履约保证金",ISNUMBER(FIND("保证金",数据录入!$E1619))),1,0))</f>
      </c>
      <c r="R1619" s="44">
        <f>IF(AND($Q1619=1,数据录入!$B1619&gt;=$B$2,数据录入!$B1619&lt;=$D$2),N(R1618)+1,N(R1618))</f>
      </c>
    </row>
    <row r="1620" s="44" customFormat="1" spans="1:23">
      <c r="A1620" s="116"/>
      <c r="E1620" s="108"/>
      <c r="F1620" s="114"/>
      <c r="G1620" s="114"/>
      <c r="H1620" s="114"/>
      <c r="Q1620" s="44">
        <f>IF(数据录入!$B1620="",0,IF(OR(数据录入!$D1620="投标保证金",数据录入!$D1620="合同履约保证金",ISNUMBER(FIND("保证金",数据录入!$E1620))),1,0))</f>
      </c>
      <c r="R1620" s="44">
        <f>IF(AND($Q1620=1,数据录入!$B1620&gt;=$B$2,数据录入!$B1620&lt;=$D$2),N(R1619)+1,N(R1619))</f>
      </c>
    </row>
    <row r="1621" s="44" customFormat="1" spans="1:23">
      <c r="A1621" s="116"/>
      <c r="E1621" s="108"/>
      <c r="F1621" s="114"/>
      <c r="G1621" s="114"/>
      <c r="H1621" s="114"/>
      <c r="Q1621" s="44">
        <f>IF(数据录入!$B1621="",0,IF(OR(数据录入!$D1621="投标保证金",数据录入!$D1621="合同履约保证金",ISNUMBER(FIND("保证金",数据录入!$E1621))),1,0))</f>
      </c>
      <c r="R1621" s="44">
        <f>IF(AND($Q1621=1,数据录入!$B1621&gt;=$B$2,数据录入!$B1621&lt;=$D$2),N(R1620)+1,N(R1620))</f>
      </c>
    </row>
    <row r="1622" s="44" customFormat="1" spans="1:23">
      <c r="A1622" s="116"/>
      <c r="E1622" s="108"/>
      <c r="F1622" s="114"/>
      <c r="G1622" s="114"/>
      <c r="H1622" s="114"/>
      <c r="Q1622" s="44">
        <f>IF(数据录入!$B1622="",0,IF(OR(数据录入!$D1622="投标保证金",数据录入!$D1622="合同履约保证金",ISNUMBER(FIND("保证金",数据录入!$E1622))),1,0))</f>
      </c>
      <c r="R1622" s="44">
        <f>IF(AND($Q1622=1,数据录入!$B1622&gt;=$B$2,数据录入!$B1622&lt;=$D$2),N(R1621)+1,N(R1621))</f>
      </c>
    </row>
    <row r="1623" s="44" customFormat="1" spans="1:23">
      <c r="A1623" s="116"/>
      <c r="E1623" s="108"/>
      <c r="F1623" s="114"/>
      <c r="G1623" s="114"/>
      <c r="H1623" s="114"/>
      <c r="Q1623" s="44">
        <f>IF(数据录入!$B1623="",0,IF(OR(数据录入!$D1623="投标保证金",数据录入!$D1623="合同履约保证金",ISNUMBER(FIND("保证金",数据录入!$E1623))),1,0))</f>
      </c>
      <c r="R1623" s="44">
        <f>IF(AND($Q1623=1,数据录入!$B1623&gt;=$B$2,数据录入!$B1623&lt;=$D$2),N(R1622)+1,N(R1622))</f>
      </c>
    </row>
    <row r="1624" s="44" customFormat="1" spans="1:23">
      <c r="A1624" s="116"/>
      <c r="E1624" s="108"/>
      <c r="F1624" s="114"/>
      <c r="G1624" s="114"/>
      <c r="H1624" s="114"/>
      <c r="Q1624" s="44">
        <f>IF(数据录入!$B1624="",0,IF(OR(数据录入!$D1624="投标保证金",数据录入!$D1624="合同履约保证金",ISNUMBER(FIND("保证金",数据录入!$E1624))),1,0))</f>
      </c>
      <c r="R1624" s="44">
        <f>IF(AND($Q1624=1,数据录入!$B1624&gt;=$B$2,数据录入!$B1624&lt;=$D$2),N(R1623)+1,N(R1623))</f>
      </c>
    </row>
    <row r="1625" s="44" customFormat="1" spans="1:23">
      <c r="A1625" s="116"/>
      <c r="E1625" s="108"/>
      <c r="F1625" s="114"/>
      <c r="G1625" s="114"/>
      <c r="H1625" s="114"/>
      <c r="Q1625" s="44">
        <f>IF(数据录入!$B1625="",0,IF(OR(数据录入!$D1625="投标保证金",数据录入!$D1625="合同履约保证金",ISNUMBER(FIND("保证金",数据录入!$E1625))),1,0))</f>
      </c>
      <c r="R1625" s="44">
        <f>IF(AND($Q1625=1,数据录入!$B1625&gt;=$B$2,数据录入!$B1625&lt;=$D$2),N(R1624)+1,N(R1624))</f>
      </c>
    </row>
    <row r="1626" s="44" customFormat="1" spans="1:23">
      <c r="A1626" s="116"/>
      <c r="E1626" s="108"/>
      <c r="F1626" s="114"/>
      <c r="G1626" s="114"/>
      <c r="H1626" s="114"/>
      <c r="Q1626" s="44">
        <f>IF(数据录入!$B1626="",0,IF(OR(数据录入!$D1626="投标保证金",数据录入!$D1626="合同履约保证金",ISNUMBER(FIND("保证金",数据录入!$E1626))),1,0))</f>
      </c>
      <c r="R1626" s="44">
        <f>IF(AND($Q1626=1,数据录入!$B1626&gt;=$B$2,数据录入!$B1626&lt;=$D$2),N(R1625)+1,N(R1625))</f>
      </c>
    </row>
    <row r="1627" s="44" customFormat="1" spans="1:23">
      <c r="A1627" s="116"/>
      <c r="E1627" s="108"/>
      <c r="F1627" s="114"/>
      <c r="G1627" s="114"/>
      <c r="H1627" s="114"/>
      <c r="Q1627" s="44">
        <f>IF(数据录入!$B1627="",0,IF(OR(数据录入!$D1627="投标保证金",数据录入!$D1627="合同履约保证金",ISNUMBER(FIND("保证金",数据录入!$E1627))),1,0))</f>
      </c>
      <c r="R1627" s="44">
        <f>IF(AND($Q1627=1,数据录入!$B1627&gt;=$B$2,数据录入!$B1627&lt;=$D$2),N(R1626)+1,N(R1626))</f>
      </c>
    </row>
    <row r="1628" s="44" customFormat="1" spans="1:23">
      <c r="A1628" s="116"/>
      <c r="E1628" s="108"/>
      <c r="F1628" s="114"/>
      <c r="G1628" s="114"/>
      <c r="H1628" s="114"/>
      <c r="Q1628" s="44">
        <f>IF(数据录入!$B1628="",0,IF(OR(数据录入!$D1628="投标保证金",数据录入!$D1628="合同履约保证金",ISNUMBER(FIND("保证金",数据录入!$E1628))),1,0))</f>
      </c>
      <c r="R1628" s="44">
        <f>IF(AND($Q1628=1,数据录入!$B1628&gt;=$B$2,数据录入!$B1628&lt;=$D$2),N(R1627)+1,N(R1627))</f>
      </c>
    </row>
    <row r="1629" s="44" customFormat="1" spans="1:23">
      <c r="A1629" s="116"/>
      <c r="E1629" s="108"/>
      <c r="F1629" s="114"/>
      <c r="G1629" s="114"/>
      <c r="H1629" s="114"/>
      <c r="Q1629" s="44">
        <f>IF(数据录入!$B1629="",0,IF(OR(数据录入!$D1629="投标保证金",数据录入!$D1629="合同履约保证金",ISNUMBER(FIND("保证金",数据录入!$E1629))),1,0))</f>
      </c>
      <c r="R1629" s="44">
        <f>IF(AND($Q1629=1,数据录入!$B1629&gt;=$B$2,数据录入!$B1629&lt;=$D$2),N(R1628)+1,N(R1628))</f>
      </c>
    </row>
    <row r="1630" s="44" customFormat="1" spans="1:23">
      <c r="A1630" s="116"/>
      <c r="E1630" s="108"/>
      <c r="F1630" s="114"/>
      <c r="G1630" s="114"/>
      <c r="H1630" s="114"/>
      <c r="Q1630" s="44">
        <f>IF(数据录入!$B1630="",0,IF(OR(数据录入!$D1630="投标保证金",数据录入!$D1630="合同履约保证金",ISNUMBER(FIND("保证金",数据录入!$E1630))),1,0))</f>
      </c>
      <c r="R1630" s="44">
        <f>IF(AND($Q1630=1,数据录入!$B1630&gt;=$B$2,数据录入!$B1630&lt;=$D$2),N(R1629)+1,N(R1629))</f>
      </c>
    </row>
    <row r="1631" s="44" customFormat="1" spans="1:23">
      <c r="A1631" s="116"/>
      <c r="E1631" s="108"/>
      <c r="F1631" s="114"/>
      <c r="G1631" s="114"/>
      <c r="H1631" s="114"/>
      <c r="Q1631" s="44">
        <f>IF(数据录入!$B1631="",0,IF(OR(数据录入!$D1631="投标保证金",数据录入!$D1631="合同履约保证金",ISNUMBER(FIND("保证金",数据录入!$E1631))),1,0))</f>
      </c>
      <c r="R1631" s="44">
        <f>IF(AND($Q1631=1,数据录入!$B1631&gt;=$B$2,数据录入!$B1631&lt;=$D$2),N(R1630)+1,N(R1630))</f>
      </c>
    </row>
    <row r="1632" s="44" customFormat="1" spans="1:23">
      <c r="A1632" s="116"/>
      <c r="E1632" s="108"/>
      <c r="F1632" s="114"/>
      <c r="G1632" s="114"/>
      <c r="H1632" s="114"/>
      <c r="Q1632" s="44">
        <f>IF(数据录入!$B1632="",0,IF(OR(数据录入!$D1632="投标保证金",数据录入!$D1632="合同履约保证金",ISNUMBER(FIND("保证金",数据录入!$E1632))),1,0))</f>
      </c>
      <c r="R1632" s="44">
        <f>IF(AND($Q1632=1,数据录入!$B1632&gt;=$B$2,数据录入!$B1632&lt;=$D$2),N(R1631)+1,N(R1631))</f>
      </c>
    </row>
    <row r="1633" s="44" customFormat="1" spans="1:23">
      <c r="A1633" s="116"/>
      <c r="E1633" s="108"/>
      <c r="F1633" s="114"/>
      <c r="G1633" s="114"/>
      <c r="H1633" s="114"/>
      <c r="Q1633" s="44">
        <f>IF(数据录入!$B1633="",0,IF(OR(数据录入!$D1633="投标保证金",数据录入!$D1633="合同履约保证金",ISNUMBER(FIND("保证金",数据录入!$E1633))),1,0))</f>
      </c>
      <c r="R1633" s="44">
        <f>IF(AND($Q1633=1,数据录入!$B1633&gt;=$B$2,数据录入!$B1633&lt;=$D$2),N(R1632)+1,N(R1632))</f>
      </c>
    </row>
    <row r="1634" s="44" customFormat="1" spans="1:23">
      <c r="A1634" s="116"/>
      <c r="E1634" s="108"/>
      <c r="F1634" s="114"/>
      <c r="G1634" s="114"/>
      <c r="H1634" s="114"/>
      <c r="Q1634" s="44">
        <f>IF(数据录入!$B1634="",0,IF(OR(数据录入!$D1634="投标保证金",数据录入!$D1634="合同履约保证金",ISNUMBER(FIND("保证金",数据录入!$E1634))),1,0))</f>
      </c>
      <c r="R1634" s="44">
        <f>IF(AND($Q1634=1,数据录入!$B1634&gt;=$B$2,数据录入!$B1634&lt;=$D$2),N(R1633)+1,N(R1633))</f>
      </c>
    </row>
    <row r="1635" s="44" customFormat="1" spans="1:23">
      <c r="A1635" s="116"/>
      <c r="E1635" s="108"/>
      <c r="F1635" s="114"/>
      <c r="G1635" s="114"/>
      <c r="H1635" s="114"/>
      <c r="Q1635" s="44">
        <f>IF(数据录入!$B1635="",0,IF(OR(数据录入!$D1635="投标保证金",数据录入!$D1635="合同履约保证金",ISNUMBER(FIND("保证金",数据录入!$E1635))),1,0))</f>
      </c>
      <c r="R1635" s="44">
        <f>IF(AND($Q1635=1,数据录入!$B1635&gt;=$B$2,数据录入!$B1635&lt;=$D$2),N(R1634)+1,N(R1634))</f>
      </c>
    </row>
    <row r="1636" s="44" customFormat="1" spans="1:23">
      <c r="A1636" s="116"/>
      <c r="E1636" s="108"/>
      <c r="F1636" s="114"/>
      <c r="G1636" s="114"/>
      <c r="H1636" s="114"/>
      <c r="Q1636" s="44">
        <f>IF(数据录入!$B1636="",0,IF(OR(数据录入!$D1636="投标保证金",数据录入!$D1636="合同履约保证金",ISNUMBER(FIND("保证金",数据录入!$E1636))),1,0))</f>
      </c>
      <c r="R1636" s="44">
        <f>IF(AND($Q1636=1,数据录入!$B1636&gt;=$B$2,数据录入!$B1636&lt;=$D$2),N(R1635)+1,N(R1635))</f>
      </c>
    </row>
    <row r="1637" s="44" customFormat="1" spans="1:23">
      <c r="A1637" s="116"/>
      <c r="E1637" s="108"/>
      <c r="F1637" s="114"/>
      <c r="G1637" s="114"/>
      <c r="H1637" s="114"/>
      <c r="Q1637" s="44">
        <f>IF(数据录入!$B1637="",0,IF(OR(数据录入!$D1637="投标保证金",数据录入!$D1637="合同履约保证金",ISNUMBER(FIND("保证金",数据录入!$E1637))),1,0))</f>
      </c>
      <c r="R1637" s="44">
        <f>IF(AND($Q1637=1,数据录入!$B1637&gt;=$B$2,数据录入!$B1637&lt;=$D$2),N(R1636)+1,N(R1636))</f>
      </c>
    </row>
    <row r="1638" s="44" customFormat="1" spans="1:23">
      <c r="A1638" s="116"/>
      <c r="E1638" s="108"/>
      <c r="F1638" s="114"/>
      <c r="G1638" s="114"/>
      <c r="H1638" s="114"/>
      <c r="Q1638" s="44">
        <f>IF(数据录入!$B1638="",0,IF(OR(数据录入!$D1638="投标保证金",数据录入!$D1638="合同履约保证金",ISNUMBER(FIND("保证金",数据录入!$E1638))),1,0))</f>
      </c>
      <c r="R1638" s="44">
        <f>IF(AND($Q1638=1,数据录入!$B1638&gt;=$B$2,数据录入!$B1638&lt;=$D$2),N(R1637)+1,N(R1637))</f>
      </c>
    </row>
    <row r="1639" s="44" customFormat="1" spans="1:23">
      <c r="A1639" s="116"/>
      <c r="E1639" s="108"/>
      <c r="F1639" s="114"/>
      <c r="G1639" s="114"/>
      <c r="H1639" s="114"/>
      <c r="Q1639" s="44">
        <f>IF(数据录入!$B1639="",0,IF(OR(数据录入!$D1639="投标保证金",数据录入!$D1639="合同履约保证金",ISNUMBER(FIND("保证金",数据录入!$E1639))),1,0))</f>
      </c>
      <c r="R1639" s="44">
        <f>IF(AND($Q1639=1,数据录入!$B1639&gt;=$B$2,数据录入!$B1639&lt;=$D$2),N(R1638)+1,N(R1638))</f>
      </c>
    </row>
    <row r="1640" s="44" customFormat="1" spans="1:23">
      <c r="A1640" s="116"/>
      <c r="E1640" s="108"/>
      <c r="F1640" s="114"/>
      <c r="G1640" s="114"/>
      <c r="H1640" s="114"/>
      <c r="Q1640" s="44">
        <f>IF(数据录入!$B1640="",0,IF(OR(数据录入!$D1640="投标保证金",数据录入!$D1640="合同履约保证金",ISNUMBER(FIND("保证金",数据录入!$E1640))),1,0))</f>
      </c>
      <c r="R1640" s="44">
        <f>IF(AND($Q1640=1,数据录入!$B1640&gt;=$B$2,数据录入!$B1640&lt;=$D$2),N(R1639)+1,N(R1639))</f>
      </c>
    </row>
    <row r="1641" s="44" customFormat="1" spans="1:23">
      <c r="A1641" s="116"/>
      <c r="E1641" s="108"/>
      <c r="F1641" s="114"/>
      <c r="G1641" s="114"/>
      <c r="H1641" s="114"/>
      <c r="Q1641" s="44">
        <f>IF(数据录入!$B1641="",0,IF(OR(数据录入!$D1641="投标保证金",数据录入!$D1641="合同履约保证金",ISNUMBER(FIND("保证金",数据录入!$E1641))),1,0))</f>
      </c>
      <c r="R1641" s="44">
        <f>IF(AND($Q1641=1,数据录入!$B1641&gt;=$B$2,数据录入!$B1641&lt;=$D$2),N(R1640)+1,N(R1640))</f>
      </c>
    </row>
    <row r="1642" s="44" customFormat="1" spans="1:23">
      <c r="A1642" s="116"/>
      <c r="E1642" s="108"/>
      <c r="F1642" s="114"/>
      <c r="G1642" s="114"/>
      <c r="H1642" s="114"/>
      <c r="Q1642" s="44">
        <f>IF(数据录入!$B1642="",0,IF(OR(数据录入!$D1642="投标保证金",数据录入!$D1642="合同履约保证金",ISNUMBER(FIND("保证金",数据录入!$E1642))),1,0))</f>
      </c>
      <c r="R1642" s="44">
        <f>IF(AND($Q1642=1,数据录入!$B1642&gt;=$B$2,数据录入!$B1642&lt;=$D$2),N(R1641)+1,N(R1641))</f>
      </c>
    </row>
    <row r="1643" s="44" customFormat="1" spans="1:23">
      <c r="A1643" s="116"/>
      <c r="E1643" s="108"/>
      <c r="F1643" s="114"/>
      <c r="G1643" s="114"/>
      <c r="H1643" s="114"/>
      <c r="Q1643" s="44">
        <f>IF(数据录入!$B1643="",0,IF(OR(数据录入!$D1643="投标保证金",数据录入!$D1643="合同履约保证金",ISNUMBER(FIND("保证金",数据录入!$E1643))),1,0))</f>
      </c>
      <c r="R1643" s="44">
        <f>IF(AND($Q1643=1,数据录入!$B1643&gt;=$B$2,数据录入!$B1643&lt;=$D$2),N(R1642)+1,N(R1642))</f>
      </c>
    </row>
    <row r="1644" s="44" customFormat="1" spans="1:23">
      <c r="A1644" s="116"/>
      <c r="E1644" s="108"/>
      <c r="F1644" s="114"/>
      <c r="G1644" s="114"/>
      <c r="H1644" s="114"/>
      <c r="Q1644" s="44">
        <f>IF(数据录入!$B1644="",0,IF(OR(数据录入!$D1644="投标保证金",数据录入!$D1644="合同履约保证金",ISNUMBER(FIND("保证金",数据录入!$E1644))),1,0))</f>
      </c>
      <c r="R1644" s="44">
        <f>IF(AND($Q1644=1,数据录入!$B1644&gt;=$B$2,数据录入!$B1644&lt;=$D$2),N(R1643)+1,N(R1643))</f>
      </c>
    </row>
    <row r="1645" s="44" customFormat="1" spans="1:23">
      <c r="A1645" s="116"/>
      <c r="E1645" s="108"/>
      <c r="F1645" s="114"/>
      <c r="G1645" s="114"/>
      <c r="H1645" s="114"/>
      <c r="Q1645" s="44">
        <f>IF(数据录入!$B1645="",0,IF(OR(数据录入!$D1645="投标保证金",数据录入!$D1645="合同履约保证金",ISNUMBER(FIND("保证金",数据录入!$E1645))),1,0))</f>
      </c>
      <c r="R1645" s="44">
        <f>IF(AND($Q1645=1,数据录入!$B1645&gt;=$B$2,数据录入!$B1645&lt;=$D$2),N(R1644)+1,N(R1644))</f>
      </c>
    </row>
    <row r="1646" s="44" customFormat="1" spans="1:23">
      <c r="A1646" s="116"/>
      <c r="E1646" s="108"/>
      <c r="F1646" s="114"/>
      <c r="G1646" s="114"/>
      <c r="H1646" s="114"/>
      <c r="Q1646" s="44">
        <f>IF(数据录入!$B1646="",0,IF(OR(数据录入!$D1646="投标保证金",数据录入!$D1646="合同履约保证金",ISNUMBER(FIND("保证金",数据录入!$E1646))),1,0))</f>
      </c>
      <c r="R1646" s="44">
        <f>IF(AND($Q1646=1,数据录入!$B1646&gt;=$B$2,数据录入!$B1646&lt;=$D$2),N(R1645)+1,N(R1645))</f>
      </c>
    </row>
    <row r="1647" s="44" customFormat="1" spans="1:23">
      <c r="A1647" s="116"/>
      <c r="E1647" s="108"/>
      <c r="F1647" s="114"/>
      <c r="G1647" s="114"/>
      <c r="H1647" s="114"/>
      <c r="Q1647" s="44">
        <f>IF(数据录入!$B1647="",0,IF(OR(数据录入!$D1647="投标保证金",数据录入!$D1647="合同履约保证金",ISNUMBER(FIND("保证金",数据录入!$E1647))),1,0))</f>
      </c>
      <c r="R1647" s="44">
        <f>IF(AND($Q1647=1,数据录入!$B1647&gt;=$B$2,数据录入!$B1647&lt;=$D$2),N(R1646)+1,N(R1646))</f>
      </c>
    </row>
    <row r="1648" s="44" customFormat="1" spans="1:23">
      <c r="A1648" s="116"/>
      <c r="E1648" s="108"/>
      <c r="F1648" s="114"/>
      <c r="G1648" s="114"/>
      <c r="H1648" s="114"/>
      <c r="Q1648" s="44">
        <f>IF(数据录入!$B1648="",0,IF(OR(数据录入!$D1648="投标保证金",数据录入!$D1648="合同履约保证金",ISNUMBER(FIND("保证金",数据录入!$E1648))),1,0))</f>
      </c>
      <c r="R1648" s="44">
        <f>IF(AND($Q1648=1,数据录入!$B1648&gt;=$B$2,数据录入!$B1648&lt;=$D$2),N(R1647)+1,N(R1647))</f>
      </c>
    </row>
    <row r="1649" s="44" customFormat="1" spans="1:23">
      <c r="A1649" s="116"/>
      <c r="E1649" s="108"/>
      <c r="F1649" s="114"/>
      <c r="G1649" s="114"/>
      <c r="H1649" s="114"/>
      <c r="Q1649" s="44">
        <f>IF(数据录入!$B1649="",0,IF(OR(数据录入!$D1649="投标保证金",数据录入!$D1649="合同履约保证金",ISNUMBER(FIND("保证金",数据录入!$E1649))),1,0))</f>
      </c>
      <c r="R1649" s="44">
        <f>IF(AND($Q1649=1,数据录入!$B1649&gt;=$B$2,数据录入!$B1649&lt;=$D$2),N(R1648)+1,N(R1648))</f>
      </c>
    </row>
    <row r="1650" s="44" customFormat="1" spans="1:23">
      <c r="A1650" s="116"/>
      <c r="E1650" s="108"/>
      <c r="F1650" s="114"/>
      <c r="G1650" s="114"/>
      <c r="H1650" s="114"/>
      <c r="Q1650" s="44">
        <f>IF(数据录入!$B1650="",0,IF(OR(数据录入!$D1650="投标保证金",数据录入!$D1650="合同履约保证金",ISNUMBER(FIND("保证金",数据录入!$E1650))),1,0))</f>
      </c>
      <c r="R1650" s="44">
        <f>IF(AND($Q1650=1,数据录入!$B1650&gt;=$B$2,数据录入!$B1650&lt;=$D$2),N(R1649)+1,N(R1649))</f>
      </c>
    </row>
    <row r="1651" s="44" customFormat="1" spans="1:23">
      <c r="A1651" s="116"/>
      <c r="E1651" s="108"/>
      <c r="F1651" s="114"/>
      <c r="G1651" s="114"/>
      <c r="H1651" s="114"/>
      <c r="Q1651" s="44">
        <f>IF(数据录入!$B1651="",0,IF(OR(数据录入!$D1651="投标保证金",数据录入!$D1651="合同履约保证金",ISNUMBER(FIND("保证金",数据录入!$E1651))),1,0))</f>
      </c>
      <c r="R1651" s="44">
        <f>IF(AND($Q1651=1,数据录入!$B1651&gt;=$B$2,数据录入!$B1651&lt;=$D$2),N(R1650)+1,N(R1650))</f>
      </c>
    </row>
    <row r="1652" s="44" customFormat="1" spans="1:23">
      <c r="A1652" s="116"/>
      <c r="E1652" s="108"/>
      <c r="F1652" s="114"/>
      <c r="G1652" s="114"/>
      <c r="H1652" s="114"/>
      <c r="Q1652" s="44">
        <f>IF(数据录入!$B1652="",0,IF(OR(数据录入!$D1652="投标保证金",数据录入!$D1652="合同履约保证金",ISNUMBER(FIND("保证金",数据录入!$E1652))),1,0))</f>
      </c>
      <c r="R1652" s="44">
        <f>IF(AND($Q1652=1,数据录入!$B1652&gt;=$B$2,数据录入!$B1652&lt;=$D$2),N(R1651)+1,N(R1651))</f>
      </c>
    </row>
    <row r="1653" s="44" customFormat="1" spans="1:23">
      <c r="A1653" s="116"/>
      <c r="E1653" s="108"/>
      <c r="F1653" s="114"/>
      <c r="G1653" s="114"/>
      <c r="H1653" s="114"/>
      <c r="Q1653" s="44">
        <f>IF(数据录入!$B1653="",0,IF(OR(数据录入!$D1653="投标保证金",数据录入!$D1653="合同履约保证金",ISNUMBER(FIND("保证金",数据录入!$E1653))),1,0))</f>
      </c>
      <c r="R1653" s="44">
        <f>IF(AND($Q1653=1,数据录入!$B1653&gt;=$B$2,数据录入!$B1653&lt;=$D$2),N(R1652)+1,N(R1652))</f>
      </c>
    </row>
    <row r="1654" s="44" customFormat="1" spans="1:23">
      <c r="A1654" s="116"/>
      <c r="E1654" s="108"/>
      <c r="F1654" s="114"/>
      <c r="G1654" s="114"/>
      <c r="H1654" s="114"/>
      <c r="Q1654" s="44">
        <f>IF(数据录入!$B1654="",0,IF(OR(数据录入!$D1654="投标保证金",数据录入!$D1654="合同履约保证金",ISNUMBER(FIND("保证金",数据录入!$E1654))),1,0))</f>
      </c>
      <c r="R1654" s="44">
        <f>IF(AND($Q1654=1,数据录入!$B1654&gt;=$B$2,数据录入!$B1654&lt;=$D$2),N(R1653)+1,N(R1653))</f>
      </c>
    </row>
    <row r="1655" s="44" customFormat="1" spans="1:23">
      <c r="A1655" s="116"/>
      <c r="E1655" s="108"/>
      <c r="F1655" s="114"/>
      <c r="G1655" s="114"/>
      <c r="H1655" s="114"/>
      <c r="Q1655" s="44">
        <f>IF(数据录入!$B1655="",0,IF(OR(数据录入!$D1655="投标保证金",数据录入!$D1655="合同履约保证金",ISNUMBER(FIND("保证金",数据录入!$E1655))),1,0))</f>
      </c>
      <c r="R1655" s="44">
        <f>IF(AND($Q1655=1,数据录入!$B1655&gt;=$B$2,数据录入!$B1655&lt;=$D$2),N(R1654)+1,N(R1654))</f>
      </c>
    </row>
    <row r="1656" s="44" customFormat="1" spans="1:23">
      <c r="A1656" s="116"/>
      <c r="E1656" s="108"/>
      <c r="F1656" s="114"/>
      <c r="G1656" s="114"/>
      <c r="H1656" s="114"/>
      <c r="Q1656" s="44">
        <f>IF(数据录入!$B1656="",0,IF(OR(数据录入!$D1656="投标保证金",数据录入!$D1656="合同履约保证金",ISNUMBER(FIND("保证金",数据录入!$E1656))),1,0))</f>
      </c>
      <c r="R1656" s="44">
        <f>IF(AND($Q1656=1,数据录入!$B1656&gt;=$B$2,数据录入!$B1656&lt;=$D$2),N(R1655)+1,N(R1655))</f>
      </c>
    </row>
    <row r="1657" s="44" customFormat="1" spans="1:23">
      <c r="A1657" s="116"/>
      <c r="E1657" s="108"/>
      <c r="F1657" s="114"/>
      <c r="G1657" s="114"/>
      <c r="H1657" s="114"/>
      <c r="Q1657" s="44">
        <f>IF(数据录入!$B1657="",0,IF(OR(数据录入!$D1657="投标保证金",数据录入!$D1657="合同履约保证金",ISNUMBER(FIND("保证金",数据录入!$E1657))),1,0))</f>
      </c>
      <c r="R1657" s="44">
        <f>IF(AND($Q1657=1,数据录入!$B1657&gt;=$B$2,数据录入!$B1657&lt;=$D$2),N(R1656)+1,N(R1656))</f>
      </c>
    </row>
    <row r="1658" s="44" customFormat="1" spans="1:23">
      <c r="A1658" s="116"/>
      <c r="E1658" s="108"/>
      <c r="F1658" s="114"/>
      <c r="G1658" s="114"/>
      <c r="H1658" s="114"/>
      <c r="Q1658" s="44">
        <f>IF(数据录入!$B1658="",0,IF(OR(数据录入!$D1658="投标保证金",数据录入!$D1658="合同履约保证金",ISNUMBER(FIND("保证金",数据录入!$E1658))),1,0))</f>
      </c>
      <c r="R1658" s="44">
        <f>IF(AND($Q1658=1,数据录入!$B1658&gt;=$B$2,数据录入!$B1658&lt;=$D$2),N(R1657)+1,N(R1657))</f>
      </c>
    </row>
    <row r="1659" s="44" customFormat="1" spans="1:23">
      <c r="A1659" s="116"/>
      <c r="E1659" s="108"/>
      <c r="F1659" s="114"/>
      <c r="G1659" s="114"/>
      <c r="H1659" s="114"/>
      <c r="Q1659" s="44">
        <f>IF(数据录入!$B1659="",0,IF(OR(数据录入!$D1659="投标保证金",数据录入!$D1659="合同履约保证金",ISNUMBER(FIND("保证金",数据录入!$E1659))),1,0))</f>
      </c>
      <c r="R1659" s="44">
        <f>IF(AND($Q1659=1,数据录入!$B1659&gt;=$B$2,数据录入!$B1659&lt;=$D$2),N(R1658)+1,N(R1658))</f>
      </c>
    </row>
    <row r="1660" s="44" customFormat="1" spans="1:23">
      <c r="A1660" s="116"/>
      <c r="E1660" s="108"/>
      <c r="F1660" s="114"/>
      <c r="G1660" s="114"/>
      <c r="H1660" s="114"/>
      <c r="Q1660" s="44">
        <f>IF(数据录入!$B1660="",0,IF(OR(数据录入!$D1660="投标保证金",数据录入!$D1660="合同履约保证金",ISNUMBER(FIND("保证金",数据录入!$E1660))),1,0))</f>
      </c>
      <c r="R1660" s="44">
        <f>IF(AND($Q1660=1,数据录入!$B1660&gt;=$B$2,数据录入!$B1660&lt;=$D$2),N(R1659)+1,N(R1659))</f>
      </c>
    </row>
    <row r="1661" s="44" customFormat="1" spans="1:23">
      <c r="A1661" s="116"/>
      <c r="E1661" s="108"/>
      <c r="F1661" s="114"/>
      <c r="G1661" s="114"/>
      <c r="H1661" s="114"/>
      <c r="Q1661" s="44">
        <f>IF(数据录入!$B1661="",0,IF(OR(数据录入!$D1661="投标保证金",数据录入!$D1661="合同履约保证金",ISNUMBER(FIND("保证金",数据录入!$E1661))),1,0))</f>
      </c>
      <c r="R1661" s="44">
        <f>IF(AND($Q1661=1,数据录入!$B1661&gt;=$B$2,数据录入!$B1661&lt;=$D$2),N(R1660)+1,N(R1660))</f>
      </c>
    </row>
    <row r="1662" s="44" customFormat="1" spans="1:23">
      <c r="A1662" s="116"/>
      <c r="E1662" s="108"/>
      <c r="F1662" s="114"/>
      <c r="G1662" s="114"/>
      <c r="H1662" s="114"/>
      <c r="Q1662" s="44">
        <f>IF(数据录入!$B1662="",0,IF(OR(数据录入!$D1662="投标保证金",数据录入!$D1662="合同履约保证金",ISNUMBER(FIND("保证金",数据录入!$E1662))),1,0))</f>
      </c>
      <c r="R1662" s="44">
        <f>IF(AND($Q1662=1,数据录入!$B1662&gt;=$B$2,数据录入!$B1662&lt;=$D$2),N(R1661)+1,N(R1661))</f>
      </c>
    </row>
    <row r="1663" s="44" customFormat="1" spans="1:23">
      <c r="A1663" s="116"/>
      <c r="E1663" s="108"/>
      <c r="F1663" s="114"/>
      <c r="G1663" s="114"/>
      <c r="H1663" s="114"/>
      <c r="Q1663" s="44">
        <f>IF(数据录入!$B1663="",0,IF(OR(数据录入!$D1663="投标保证金",数据录入!$D1663="合同履约保证金",ISNUMBER(FIND("保证金",数据录入!$E1663))),1,0))</f>
      </c>
      <c r="R1663" s="44">
        <f>IF(AND($Q1663=1,数据录入!$B1663&gt;=$B$2,数据录入!$B1663&lt;=$D$2),N(R1662)+1,N(R1662))</f>
      </c>
    </row>
    <row r="1664" s="44" customFormat="1" spans="1:23">
      <c r="A1664" s="116"/>
      <c r="E1664" s="108"/>
      <c r="F1664" s="114"/>
      <c r="G1664" s="114"/>
      <c r="H1664" s="114"/>
      <c r="Q1664" s="44">
        <f>IF(数据录入!$B1664="",0,IF(OR(数据录入!$D1664="投标保证金",数据录入!$D1664="合同履约保证金",ISNUMBER(FIND("保证金",数据录入!$E1664))),1,0))</f>
      </c>
      <c r="R1664" s="44">
        <f>IF(AND($Q1664=1,数据录入!$B1664&gt;=$B$2,数据录入!$B1664&lt;=$D$2),N(R1663)+1,N(R1663))</f>
      </c>
    </row>
    <row r="1665" s="44" customFormat="1" spans="1:23">
      <c r="A1665" s="116"/>
      <c r="E1665" s="108"/>
      <c r="F1665" s="114"/>
      <c r="G1665" s="114"/>
      <c r="H1665" s="114"/>
      <c r="Q1665" s="44">
        <f>IF(数据录入!$B1665="",0,IF(OR(数据录入!$D1665="投标保证金",数据录入!$D1665="合同履约保证金",ISNUMBER(FIND("保证金",数据录入!$E1665))),1,0))</f>
      </c>
      <c r="R1665" s="44">
        <f>IF(AND($Q1665=1,数据录入!$B1665&gt;=$B$2,数据录入!$B1665&lt;=$D$2),N(R1664)+1,N(R1664))</f>
      </c>
    </row>
    <row r="1666" s="44" customFormat="1" spans="1:23">
      <c r="A1666" s="116"/>
      <c r="E1666" s="108"/>
      <c r="F1666" s="114"/>
      <c r="G1666" s="114"/>
      <c r="H1666" s="114"/>
      <c r="Q1666" s="44">
        <f>IF(数据录入!$B1666="",0,IF(OR(数据录入!$D1666="投标保证金",数据录入!$D1666="合同履约保证金",ISNUMBER(FIND("保证金",数据录入!$E1666))),1,0))</f>
      </c>
      <c r="R1666" s="44">
        <f>IF(AND($Q1666=1,数据录入!$B1666&gt;=$B$2,数据录入!$B1666&lt;=$D$2),N(R1665)+1,N(R1665))</f>
      </c>
    </row>
    <row r="1667" s="44" customFormat="1" spans="1:23">
      <c r="A1667" s="116"/>
      <c r="E1667" s="108"/>
      <c r="F1667" s="114"/>
      <c r="G1667" s="114"/>
      <c r="H1667" s="114"/>
      <c r="Q1667" s="44">
        <f>IF(数据录入!$B1667="",0,IF(OR(数据录入!$D1667="投标保证金",数据录入!$D1667="合同履约保证金",ISNUMBER(FIND("保证金",数据录入!$E1667))),1,0))</f>
      </c>
      <c r="R1667" s="44">
        <f>IF(AND($Q1667=1,数据录入!$B1667&gt;=$B$2,数据录入!$B1667&lt;=$D$2),N(R1666)+1,N(R1666))</f>
      </c>
    </row>
    <row r="1668" s="44" customFormat="1" spans="1:23">
      <c r="A1668" s="116"/>
      <c r="E1668" s="108"/>
      <c r="F1668" s="114"/>
      <c r="G1668" s="114"/>
      <c r="H1668" s="114"/>
      <c r="Q1668" s="44">
        <f>IF(数据录入!$B1668="",0,IF(OR(数据录入!$D1668="投标保证金",数据录入!$D1668="合同履约保证金",ISNUMBER(FIND("保证金",数据录入!$E1668))),1,0))</f>
      </c>
      <c r="R1668" s="44">
        <f>IF(AND($Q1668=1,数据录入!$B1668&gt;=$B$2,数据录入!$B1668&lt;=$D$2),N(R1667)+1,N(R1667))</f>
      </c>
    </row>
    <row r="1669" s="44" customFormat="1" spans="1:23">
      <c r="A1669" s="116"/>
      <c r="E1669" s="108"/>
      <c r="F1669" s="114"/>
      <c r="G1669" s="114"/>
      <c r="H1669" s="114"/>
      <c r="Q1669" s="44">
        <f>IF(数据录入!$B1669="",0,IF(OR(数据录入!$D1669="投标保证金",数据录入!$D1669="合同履约保证金",ISNUMBER(FIND("保证金",数据录入!$E1669))),1,0))</f>
      </c>
      <c r="R1669" s="44">
        <f>IF(AND($Q1669=1,数据录入!$B1669&gt;=$B$2,数据录入!$B1669&lt;=$D$2),N(R1668)+1,N(R1668))</f>
      </c>
    </row>
    <row r="1670" s="44" customFormat="1" spans="1:23">
      <c r="A1670" s="116"/>
      <c r="E1670" s="108"/>
      <c r="F1670" s="114"/>
      <c r="G1670" s="114"/>
      <c r="H1670" s="114"/>
      <c r="Q1670" s="44">
        <f>IF(数据录入!$B1670="",0,IF(OR(数据录入!$D1670="投标保证金",数据录入!$D1670="合同履约保证金",ISNUMBER(FIND("保证金",数据录入!$E1670))),1,0))</f>
      </c>
      <c r="R1670" s="44">
        <f>IF(AND($Q1670=1,数据录入!$B1670&gt;=$B$2,数据录入!$B1670&lt;=$D$2),N(R1669)+1,N(R1669))</f>
      </c>
    </row>
    <row r="1671" s="44" customFormat="1" spans="1:23">
      <c r="A1671" s="116"/>
      <c r="E1671" s="108"/>
      <c r="F1671" s="114"/>
      <c r="G1671" s="114"/>
      <c r="H1671" s="114"/>
      <c r="Q1671" s="44">
        <f>IF(数据录入!$B1671="",0,IF(OR(数据录入!$D1671="投标保证金",数据录入!$D1671="合同履约保证金",ISNUMBER(FIND("保证金",数据录入!$E1671))),1,0))</f>
      </c>
      <c r="R1671" s="44">
        <f>IF(AND($Q1671=1,数据录入!$B1671&gt;=$B$2,数据录入!$B1671&lt;=$D$2),N(R1670)+1,N(R1670))</f>
      </c>
    </row>
    <row r="1672" s="44" customFormat="1" spans="1:23">
      <c r="A1672" s="116"/>
      <c r="E1672" s="108"/>
      <c r="F1672" s="114"/>
      <c r="G1672" s="114"/>
      <c r="H1672" s="114"/>
      <c r="Q1672" s="44">
        <f>IF(数据录入!$B1672="",0,IF(OR(数据录入!$D1672="投标保证金",数据录入!$D1672="合同履约保证金",ISNUMBER(FIND("保证金",数据录入!$E1672))),1,0))</f>
      </c>
      <c r="R1672" s="44">
        <f>IF(AND($Q1672=1,数据录入!$B1672&gt;=$B$2,数据录入!$B1672&lt;=$D$2),N(R1671)+1,N(R1671))</f>
      </c>
    </row>
    <row r="1673" s="44" customFormat="1" spans="1:23">
      <c r="A1673" s="116"/>
      <c r="E1673" s="108"/>
      <c r="F1673" s="114"/>
      <c r="G1673" s="114"/>
      <c r="H1673" s="114"/>
      <c r="Q1673" s="44">
        <f>IF(数据录入!$B1673="",0,IF(OR(数据录入!$D1673="投标保证金",数据录入!$D1673="合同履约保证金",ISNUMBER(FIND("保证金",数据录入!$E1673))),1,0))</f>
      </c>
      <c r="R1673" s="44">
        <f>IF(AND($Q1673=1,数据录入!$B1673&gt;=$B$2,数据录入!$B1673&lt;=$D$2),N(R1672)+1,N(R1672))</f>
      </c>
    </row>
    <row r="1674" s="44" customFormat="1" spans="1:23">
      <c r="A1674" s="116"/>
      <c r="E1674" s="108"/>
      <c r="F1674" s="114"/>
      <c r="G1674" s="114"/>
      <c r="H1674" s="114"/>
      <c r="Q1674" s="44">
        <f>IF(数据录入!$B1674="",0,IF(OR(数据录入!$D1674="投标保证金",数据录入!$D1674="合同履约保证金",ISNUMBER(FIND("保证金",数据录入!$E1674))),1,0))</f>
      </c>
      <c r="R1674" s="44">
        <f>IF(AND($Q1674=1,数据录入!$B1674&gt;=$B$2,数据录入!$B1674&lt;=$D$2),N(R1673)+1,N(R1673))</f>
      </c>
    </row>
    <row r="1675" s="44" customFormat="1" spans="1:23">
      <c r="A1675" s="116"/>
      <c r="E1675" s="108"/>
      <c r="F1675" s="114"/>
      <c r="G1675" s="114"/>
      <c r="H1675" s="114"/>
      <c r="Q1675" s="44">
        <f>IF(数据录入!$B1675="",0,IF(OR(数据录入!$D1675="投标保证金",数据录入!$D1675="合同履约保证金",ISNUMBER(FIND("保证金",数据录入!$E1675))),1,0))</f>
      </c>
      <c r="R1675" s="44">
        <f>IF(AND($Q1675=1,数据录入!$B1675&gt;=$B$2,数据录入!$B1675&lt;=$D$2),N(R1674)+1,N(R1674))</f>
      </c>
    </row>
    <row r="1676" s="44" customFormat="1" spans="1:23">
      <c r="A1676" s="116"/>
      <c r="E1676" s="108"/>
      <c r="F1676" s="114"/>
      <c r="G1676" s="114"/>
      <c r="H1676" s="114"/>
      <c r="Q1676" s="44">
        <f>IF(数据录入!$B1676="",0,IF(OR(数据录入!$D1676="投标保证金",数据录入!$D1676="合同履约保证金",ISNUMBER(FIND("保证金",数据录入!$E1676))),1,0))</f>
      </c>
      <c r="R1676" s="44">
        <f>IF(AND($Q1676=1,数据录入!$B1676&gt;=$B$2,数据录入!$B1676&lt;=$D$2),N(R1675)+1,N(R1675))</f>
      </c>
    </row>
    <row r="1677" s="44" customFormat="1" spans="1:23">
      <c r="A1677" s="116"/>
      <c r="E1677" s="108"/>
      <c r="F1677" s="114"/>
      <c r="G1677" s="114"/>
      <c r="H1677" s="114"/>
      <c r="Q1677" s="44">
        <f>IF(数据录入!$B1677="",0,IF(OR(数据录入!$D1677="投标保证金",数据录入!$D1677="合同履约保证金",ISNUMBER(FIND("保证金",数据录入!$E1677))),1,0))</f>
      </c>
      <c r="R1677" s="44">
        <f>IF(AND($Q1677=1,数据录入!$B1677&gt;=$B$2,数据录入!$B1677&lt;=$D$2),N(R1676)+1,N(R1676))</f>
      </c>
    </row>
    <row r="1678" s="44" customFormat="1" spans="1:23">
      <c r="A1678" s="116"/>
      <c r="E1678" s="108"/>
      <c r="F1678" s="114"/>
      <c r="G1678" s="114"/>
      <c r="H1678" s="114"/>
      <c r="Q1678" s="44">
        <f>IF(数据录入!$B1678="",0,IF(OR(数据录入!$D1678="投标保证金",数据录入!$D1678="合同履约保证金",ISNUMBER(FIND("保证金",数据录入!$E1678))),1,0))</f>
      </c>
      <c r="R1678" s="44">
        <f>IF(AND($Q1678=1,数据录入!$B1678&gt;=$B$2,数据录入!$B1678&lt;=$D$2),N(R1677)+1,N(R1677))</f>
      </c>
    </row>
    <row r="1679" s="44" customFormat="1" spans="1:23">
      <c r="A1679" s="116"/>
      <c r="E1679" s="108"/>
      <c r="F1679" s="114"/>
      <c r="G1679" s="114"/>
      <c r="H1679" s="114"/>
      <c r="Q1679" s="44">
        <f>IF(数据录入!$B1679="",0,IF(OR(数据录入!$D1679="投标保证金",数据录入!$D1679="合同履约保证金",ISNUMBER(FIND("保证金",数据录入!$E1679))),1,0))</f>
      </c>
      <c r="R1679" s="44">
        <f>IF(AND($Q1679=1,数据录入!$B1679&gt;=$B$2,数据录入!$B1679&lt;=$D$2),N(R1678)+1,N(R1678))</f>
      </c>
    </row>
    <row r="1680" s="44" customFormat="1" spans="1:23">
      <c r="A1680" s="116"/>
      <c r="E1680" s="108"/>
      <c r="F1680" s="114"/>
      <c r="G1680" s="114"/>
      <c r="H1680" s="114"/>
      <c r="Q1680" s="44">
        <f>IF(数据录入!$B1680="",0,IF(OR(数据录入!$D1680="投标保证金",数据录入!$D1680="合同履约保证金",ISNUMBER(FIND("保证金",数据录入!$E1680))),1,0))</f>
      </c>
      <c r="R1680" s="44">
        <f>IF(AND($Q1680=1,数据录入!$B1680&gt;=$B$2,数据录入!$B1680&lt;=$D$2),N(R1679)+1,N(R1679))</f>
      </c>
    </row>
    <row r="1681" s="44" customFormat="1" spans="1:23">
      <c r="A1681" s="116"/>
      <c r="E1681" s="108"/>
      <c r="F1681" s="114"/>
      <c r="G1681" s="114"/>
      <c r="H1681" s="114"/>
      <c r="Q1681" s="44">
        <f>IF(数据录入!$B1681="",0,IF(OR(数据录入!$D1681="投标保证金",数据录入!$D1681="合同履约保证金",ISNUMBER(FIND("保证金",数据录入!$E1681))),1,0))</f>
      </c>
      <c r="R1681" s="44">
        <f>IF(AND($Q1681=1,数据录入!$B1681&gt;=$B$2,数据录入!$B1681&lt;=$D$2),N(R1680)+1,N(R1680))</f>
      </c>
    </row>
    <row r="1682" s="44" customFormat="1" spans="1:23">
      <c r="A1682" s="116"/>
      <c r="E1682" s="108"/>
      <c r="F1682" s="114"/>
      <c r="G1682" s="114"/>
      <c r="H1682" s="114"/>
      <c r="Q1682" s="44">
        <f>IF(数据录入!$B1682="",0,IF(OR(数据录入!$D1682="投标保证金",数据录入!$D1682="合同履约保证金",ISNUMBER(FIND("保证金",数据录入!$E1682))),1,0))</f>
      </c>
      <c r="R1682" s="44">
        <f>IF(AND($Q1682=1,数据录入!$B1682&gt;=$B$2,数据录入!$B1682&lt;=$D$2),N(R1681)+1,N(R1681))</f>
      </c>
    </row>
    <row r="1683" s="44" customFormat="1" spans="1:23">
      <c r="A1683" s="116"/>
      <c r="E1683" s="108"/>
      <c r="F1683" s="114"/>
      <c r="G1683" s="114"/>
      <c r="H1683" s="114"/>
      <c r="Q1683" s="44">
        <f>IF(数据录入!$B1683="",0,IF(OR(数据录入!$D1683="投标保证金",数据录入!$D1683="合同履约保证金",ISNUMBER(FIND("保证金",数据录入!$E1683))),1,0))</f>
      </c>
      <c r="R1683" s="44">
        <f>IF(AND($Q1683=1,数据录入!$B1683&gt;=$B$2,数据录入!$B1683&lt;=$D$2),N(R1682)+1,N(R1682))</f>
      </c>
    </row>
    <row r="1684" s="44" customFormat="1" spans="1:23">
      <c r="A1684" s="116"/>
      <c r="E1684" s="108"/>
      <c r="F1684" s="114"/>
      <c r="G1684" s="114"/>
      <c r="H1684" s="114"/>
      <c r="Q1684" s="44">
        <f>IF(数据录入!$B1684="",0,IF(OR(数据录入!$D1684="投标保证金",数据录入!$D1684="合同履约保证金",ISNUMBER(FIND("保证金",数据录入!$E1684))),1,0))</f>
      </c>
      <c r="R1684" s="44">
        <f>IF(AND($Q1684=1,数据录入!$B1684&gt;=$B$2,数据录入!$B1684&lt;=$D$2),N(R1683)+1,N(R1683))</f>
      </c>
    </row>
    <row r="1685" s="44" customFormat="1" spans="1:23">
      <c r="A1685" s="116"/>
      <c r="E1685" s="108"/>
      <c r="F1685" s="114"/>
      <c r="G1685" s="114"/>
      <c r="H1685" s="114"/>
      <c r="Q1685" s="44">
        <f>IF(数据录入!$B1685="",0,IF(OR(数据录入!$D1685="投标保证金",数据录入!$D1685="合同履约保证金",ISNUMBER(FIND("保证金",数据录入!$E1685))),1,0))</f>
      </c>
      <c r="R1685" s="44">
        <f>IF(AND($Q1685=1,数据录入!$B1685&gt;=$B$2,数据录入!$B1685&lt;=$D$2),N(R1684)+1,N(R1684))</f>
      </c>
    </row>
    <row r="1686" s="44" customFormat="1" spans="1:23">
      <c r="A1686" s="116"/>
      <c r="E1686" s="108"/>
      <c r="F1686" s="114"/>
      <c r="G1686" s="114"/>
      <c r="H1686" s="114"/>
      <c r="Q1686" s="44">
        <f>IF(数据录入!$B1686="",0,IF(OR(数据录入!$D1686="投标保证金",数据录入!$D1686="合同履约保证金",ISNUMBER(FIND("保证金",数据录入!$E1686))),1,0))</f>
      </c>
      <c r="R1686" s="44">
        <f>IF(AND($Q1686=1,数据录入!$B1686&gt;=$B$2,数据录入!$B1686&lt;=$D$2),N(R1685)+1,N(R1685))</f>
      </c>
    </row>
    <row r="1687" s="44" customFormat="1" spans="1:23">
      <c r="A1687" s="116"/>
      <c r="E1687" s="108"/>
      <c r="F1687" s="114"/>
      <c r="G1687" s="114"/>
      <c r="H1687" s="114"/>
      <c r="Q1687" s="44">
        <f>IF(数据录入!$B1687="",0,IF(OR(数据录入!$D1687="投标保证金",数据录入!$D1687="合同履约保证金",ISNUMBER(FIND("保证金",数据录入!$E1687))),1,0))</f>
      </c>
      <c r="R1687" s="44">
        <f>IF(AND($Q1687=1,数据录入!$B1687&gt;=$B$2,数据录入!$B1687&lt;=$D$2),N(R1686)+1,N(R1686))</f>
      </c>
    </row>
    <row r="1688" s="44" customFormat="1" spans="1:23">
      <c r="A1688" s="116"/>
      <c r="E1688" s="108"/>
      <c r="F1688" s="114"/>
      <c r="G1688" s="114"/>
      <c r="H1688" s="114"/>
      <c r="Q1688" s="44">
        <f>IF(数据录入!$B1688="",0,IF(OR(数据录入!$D1688="投标保证金",数据录入!$D1688="合同履约保证金",ISNUMBER(FIND("保证金",数据录入!$E1688))),1,0))</f>
      </c>
      <c r="R1688" s="44">
        <f>IF(AND($Q1688=1,数据录入!$B1688&gt;=$B$2,数据录入!$B1688&lt;=$D$2),N(R1687)+1,N(R1687))</f>
      </c>
    </row>
    <row r="1689" s="44" customFormat="1" spans="1:23">
      <c r="A1689" s="116"/>
      <c r="E1689" s="108"/>
      <c r="F1689" s="114"/>
      <c r="G1689" s="114"/>
      <c r="H1689" s="114"/>
      <c r="Q1689" s="44">
        <f>IF(数据录入!$B1689="",0,IF(OR(数据录入!$D1689="投标保证金",数据录入!$D1689="合同履约保证金",ISNUMBER(FIND("保证金",数据录入!$E1689))),1,0))</f>
      </c>
      <c r="R1689" s="44">
        <f>IF(AND($Q1689=1,数据录入!$B1689&gt;=$B$2,数据录入!$B1689&lt;=$D$2),N(R1688)+1,N(R1688))</f>
      </c>
    </row>
    <row r="1690" s="44" customFormat="1" spans="1:23">
      <c r="A1690" s="116"/>
      <c r="E1690" s="108"/>
      <c r="F1690" s="114"/>
      <c r="G1690" s="114"/>
      <c r="H1690" s="114"/>
      <c r="Q1690" s="44">
        <f>IF(数据录入!$B1690="",0,IF(OR(数据录入!$D1690="投标保证金",数据录入!$D1690="合同履约保证金",ISNUMBER(FIND("保证金",数据录入!$E1690))),1,0))</f>
      </c>
      <c r="R1690" s="44">
        <f>IF(AND($Q1690=1,数据录入!$B1690&gt;=$B$2,数据录入!$B1690&lt;=$D$2),N(R1689)+1,N(R1689))</f>
      </c>
    </row>
    <row r="1691" s="44" customFormat="1" spans="1:23">
      <c r="A1691" s="116"/>
      <c r="E1691" s="108"/>
      <c r="F1691" s="114"/>
      <c r="G1691" s="114"/>
      <c r="H1691" s="114"/>
      <c r="Q1691" s="44">
        <f>IF(数据录入!$B1691="",0,IF(OR(数据录入!$D1691="投标保证金",数据录入!$D1691="合同履约保证金",ISNUMBER(FIND("保证金",数据录入!$E1691))),1,0))</f>
      </c>
      <c r="R1691" s="44">
        <f>IF(AND($Q1691=1,数据录入!$B1691&gt;=$B$2,数据录入!$B1691&lt;=$D$2),N(R1690)+1,N(R1690))</f>
      </c>
    </row>
    <row r="1692" s="44" customFormat="1" spans="1:23">
      <c r="A1692" s="116"/>
      <c r="E1692" s="108"/>
      <c r="F1692" s="114"/>
      <c r="G1692" s="114"/>
      <c r="H1692" s="114"/>
      <c r="Q1692" s="44">
        <f>IF(数据录入!$B1692="",0,IF(OR(数据录入!$D1692="投标保证金",数据录入!$D1692="合同履约保证金",ISNUMBER(FIND("保证金",数据录入!$E1692))),1,0))</f>
      </c>
      <c r="R1692" s="44">
        <f>IF(AND($Q1692=1,数据录入!$B1692&gt;=$B$2,数据录入!$B1692&lt;=$D$2),N(R1691)+1,N(R1691))</f>
      </c>
    </row>
    <row r="1693" s="44" customFormat="1" spans="1:23">
      <c r="A1693" s="116"/>
      <c r="E1693" s="108"/>
      <c r="F1693" s="114"/>
      <c r="G1693" s="114"/>
      <c r="H1693" s="114"/>
      <c r="Q1693" s="44">
        <f>IF(数据录入!$B1693="",0,IF(OR(数据录入!$D1693="投标保证金",数据录入!$D1693="合同履约保证金",ISNUMBER(FIND("保证金",数据录入!$E1693))),1,0))</f>
      </c>
      <c r="R1693" s="44">
        <f>IF(AND($Q1693=1,数据录入!$B1693&gt;=$B$2,数据录入!$B1693&lt;=$D$2),N(R1692)+1,N(R1692))</f>
      </c>
    </row>
    <row r="1694" s="44" customFormat="1" spans="1:23">
      <c r="A1694" s="116"/>
      <c r="E1694" s="108"/>
      <c r="F1694" s="114"/>
      <c r="G1694" s="114"/>
      <c r="H1694" s="114"/>
      <c r="Q1694" s="44">
        <f>IF(数据录入!$B1694="",0,IF(OR(数据录入!$D1694="投标保证金",数据录入!$D1694="合同履约保证金",ISNUMBER(FIND("保证金",数据录入!$E1694))),1,0))</f>
      </c>
      <c r="R1694" s="44">
        <f>IF(AND($Q1694=1,数据录入!$B1694&gt;=$B$2,数据录入!$B1694&lt;=$D$2),N(R1693)+1,N(R1693))</f>
      </c>
    </row>
    <row r="1695" s="44" customFormat="1" spans="1:23">
      <c r="A1695" s="116"/>
      <c r="E1695" s="108"/>
      <c r="F1695" s="114"/>
      <c r="G1695" s="114"/>
      <c r="H1695" s="114"/>
      <c r="Q1695" s="44">
        <f>IF(数据录入!$B1695="",0,IF(OR(数据录入!$D1695="投标保证金",数据录入!$D1695="合同履约保证金",ISNUMBER(FIND("保证金",数据录入!$E1695))),1,0))</f>
      </c>
      <c r="R1695" s="44">
        <f>IF(AND($Q1695=1,数据录入!$B1695&gt;=$B$2,数据录入!$B1695&lt;=$D$2),N(R1694)+1,N(R1694))</f>
      </c>
    </row>
    <row r="1696" s="44" customFormat="1" spans="1:23">
      <c r="A1696" s="116"/>
      <c r="E1696" s="108"/>
      <c r="F1696" s="114"/>
      <c r="G1696" s="114"/>
      <c r="H1696" s="114"/>
      <c r="Q1696" s="44">
        <f>IF(数据录入!$B1696="",0,IF(OR(数据录入!$D1696="投标保证金",数据录入!$D1696="合同履约保证金",ISNUMBER(FIND("保证金",数据录入!$E1696))),1,0))</f>
      </c>
      <c r="R1696" s="44">
        <f>IF(AND($Q1696=1,数据录入!$B1696&gt;=$B$2,数据录入!$B1696&lt;=$D$2),N(R1695)+1,N(R1695))</f>
      </c>
    </row>
    <row r="1697" s="44" customFormat="1" spans="1:23">
      <c r="A1697" s="116"/>
      <c r="E1697" s="108"/>
      <c r="F1697" s="114"/>
      <c r="G1697" s="114"/>
      <c r="H1697" s="114"/>
      <c r="Q1697" s="44">
        <f>IF(数据录入!$B1697="",0,IF(OR(数据录入!$D1697="投标保证金",数据录入!$D1697="合同履约保证金",ISNUMBER(FIND("保证金",数据录入!$E1697))),1,0))</f>
      </c>
      <c r="R1697" s="44">
        <f>IF(AND($Q1697=1,数据录入!$B1697&gt;=$B$2,数据录入!$B1697&lt;=$D$2),N(R1696)+1,N(R1696))</f>
      </c>
    </row>
    <row r="1698" s="44" customFormat="1" spans="1:23">
      <c r="A1698" s="116"/>
      <c r="E1698" s="108"/>
      <c r="F1698" s="114"/>
      <c r="G1698" s="114"/>
      <c r="H1698" s="114"/>
      <c r="Q1698" s="44">
        <f>IF(数据录入!$B1698="",0,IF(OR(数据录入!$D1698="投标保证金",数据录入!$D1698="合同履约保证金",ISNUMBER(FIND("保证金",数据录入!$E1698))),1,0))</f>
      </c>
      <c r="R1698" s="44">
        <f>IF(AND($Q1698=1,数据录入!$B1698&gt;=$B$2,数据录入!$B1698&lt;=$D$2),N(R1697)+1,N(R1697))</f>
      </c>
    </row>
    <row r="1699" s="44" customFormat="1" spans="1:23">
      <c r="A1699" s="116"/>
      <c r="E1699" s="108"/>
      <c r="F1699" s="114"/>
      <c r="G1699" s="114"/>
      <c r="H1699" s="114"/>
      <c r="Q1699" s="44">
        <f>IF(数据录入!$B1699="",0,IF(OR(数据录入!$D1699="投标保证金",数据录入!$D1699="合同履约保证金",ISNUMBER(FIND("保证金",数据录入!$E1699))),1,0))</f>
      </c>
      <c r="R1699" s="44">
        <f>IF(AND($Q1699=1,数据录入!$B1699&gt;=$B$2,数据录入!$B1699&lt;=$D$2),N(R1698)+1,N(R1698))</f>
      </c>
    </row>
    <row r="1700" s="44" customFormat="1" spans="1:23">
      <c r="A1700" s="116"/>
      <c r="E1700" s="108"/>
      <c r="F1700" s="114"/>
      <c r="G1700" s="114"/>
      <c r="H1700" s="114"/>
      <c r="Q1700" s="44">
        <f>IF(数据录入!$B1700="",0,IF(OR(数据录入!$D1700="投标保证金",数据录入!$D1700="合同履约保证金",ISNUMBER(FIND("保证金",数据录入!$E1700))),1,0))</f>
      </c>
      <c r="R1700" s="44">
        <f>IF(AND($Q1700=1,数据录入!$B1700&gt;=$B$2,数据录入!$B1700&lt;=$D$2),N(R1699)+1,N(R1699))</f>
      </c>
    </row>
    <row r="1701" s="44" customFormat="1" spans="1:23">
      <c r="A1701" s="116"/>
      <c r="E1701" s="108"/>
      <c r="F1701" s="114"/>
      <c r="G1701" s="114"/>
      <c r="H1701" s="114"/>
      <c r="Q1701" s="44">
        <f>IF(数据录入!$B1701="",0,IF(OR(数据录入!$D1701="投标保证金",数据录入!$D1701="合同履约保证金",ISNUMBER(FIND("保证金",数据录入!$E1701))),1,0))</f>
      </c>
      <c r="R1701" s="44">
        <f>IF(AND($Q1701=1,数据录入!$B1701&gt;=$B$2,数据录入!$B1701&lt;=$D$2),N(R1700)+1,N(R1700))</f>
      </c>
    </row>
    <row r="1702" s="44" customFormat="1" spans="1:23">
      <c r="A1702" s="116"/>
      <c r="E1702" s="108"/>
      <c r="F1702" s="114"/>
      <c r="G1702" s="114"/>
      <c r="H1702" s="114"/>
      <c r="Q1702" s="44">
        <f>IF(数据录入!$B1702="",0,IF(OR(数据录入!$D1702="投标保证金",数据录入!$D1702="合同履约保证金",ISNUMBER(FIND("保证金",数据录入!$E1702))),1,0))</f>
      </c>
      <c r="R1702" s="44">
        <f>IF(AND($Q1702=1,数据录入!$B1702&gt;=$B$2,数据录入!$B1702&lt;=$D$2),N(R1701)+1,N(R1701))</f>
      </c>
    </row>
    <row r="1703" s="44" customFormat="1" spans="1:23">
      <c r="A1703" s="116"/>
      <c r="E1703" s="108"/>
      <c r="F1703" s="114"/>
      <c r="G1703" s="114"/>
      <c r="H1703" s="114"/>
      <c r="Q1703" s="44">
        <f>IF(数据录入!$B1703="",0,IF(OR(数据录入!$D1703="投标保证金",数据录入!$D1703="合同履约保证金",ISNUMBER(FIND("保证金",数据录入!$E1703))),1,0))</f>
      </c>
      <c r="R1703" s="44">
        <f>IF(AND($Q1703=1,数据录入!$B1703&gt;=$B$2,数据录入!$B1703&lt;=$D$2),N(R1702)+1,N(R1702))</f>
      </c>
    </row>
    <row r="1704" s="44" customFormat="1" spans="1:23">
      <c r="A1704" s="116"/>
      <c r="E1704" s="108"/>
      <c r="F1704" s="114"/>
      <c r="G1704" s="114"/>
      <c r="H1704" s="114"/>
      <c r="Q1704" s="44">
        <f>IF(数据录入!$B1704="",0,IF(OR(数据录入!$D1704="投标保证金",数据录入!$D1704="合同履约保证金",ISNUMBER(FIND("保证金",数据录入!$E1704))),1,0))</f>
      </c>
      <c r="R1704" s="44">
        <f>IF(AND($Q1704=1,数据录入!$B1704&gt;=$B$2,数据录入!$B1704&lt;=$D$2),N(R1703)+1,N(R1703))</f>
      </c>
    </row>
    <row r="1705" s="44" customFormat="1" spans="1:23">
      <c r="A1705" s="116"/>
      <c r="E1705" s="108"/>
      <c r="F1705" s="114"/>
      <c r="G1705" s="114"/>
      <c r="H1705" s="114"/>
      <c r="Q1705" s="44">
        <f>IF(数据录入!$B1705="",0,IF(OR(数据录入!$D1705="投标保证金",数据录入!$D1705="合同履约保证金",ISNUMBER(FIND("保证金",数据录入!$E1705))),1,0))</f>
      </c>
      <c r="R1705" s="44">
        <f>IF(AND($Q1705=1,数据录入!$B1705&gt;=$B$2,数据录入!$B1705&lt;=$D$2),N(R1704)+1,N(R1704))</f>
      </c>
    </row>
    <row r="1706" s="44" customFormat="1" spans="1:23">
      <c r="A1706" s="116"/>
      <c r="E1706" s="108"/>
      <c r="F1706" s="114"/>
      <c r="G1706" s="114"/>
      <c r="H1706" s="114"/>
      <c r="Q1706" s="44">
        <f>IF(数据录入!$B1706="",0,IF(OR(数据录入!$D1706="投标保证金",数据录入!$D1706="合同履约保证金",ISNUMBER(FIND("保证金",数据录入!$E1706))),1,0))</f>
      </c>
      <c r="R1706" s="44">
        <f>IF(AND($Q1706=1,数据录入!$B1706&gt;=$B$2,数据录入!$B1706&lt;=$D$2),N(R1705)+1,N(R1705))</f>
      </c>
    </row>
    <row r="1707" s="44" customFormat="1" spans="1:23">
      <c r="A1707" s="116"/>
      <c r="E1707" s="108"/>
      <c r="F1707" s="114"/>
      <c r="G1707" s="114"/>
      <c r="H1707" s="114"/>
      <c r="Q1707" s="44">
        <f>IF(数据录入!$B1707="",0,IF(OR(数据录入!$D1707="投标保证金",数据录入!$D1707="合同履约保证金",ISNUMBER(FIND("保证金",数据录入!$E1707))),1,0))</f>
      </c>
      <c r="R1707" s="44">
        <f>IF(AND($Q1707=1,数据录入!$B1707&gt;=$B$2,数据录入!$B1707&lt;=$D$2),N(R1706)+1,N(R1706))</f>
      </c>
    </row>
    <row r="1708" s="44" customFormat="1" spans="1:23">
      <c r="A1708" s="116"/>
      <c r="E1708" s="108"/>
      <c r="F1708" s="114"/>
      <c r="G1708" s="114"/>
      <c r="H1708" s="114"/>
      <c r="Q1708" s="44">
        <f>IF(数据录入!$B1708="",0,IF(OR(数据录入!$D1708="投标保证金",数据录入!$D1708="合同履约保证金",ISNUMBER(FIND("保证金",数据录入!$E1708))),1,0))</f>
      </c>
      <c r="R1708" s="44">
        <f>IF(AND($Q1708=1,数据录入!$B1708&gt;=$B$2,数据录入!$B1708&lt;=$D$2),N(R1707)+1,N(R1707))</f>
      </c>
    </row>
    <row r="1709" s="44" customFormat="1" spans="1:23">
      <c r="A1709" s="116"/>
      <c r="E1709" s="108"/>
      <c r="F1709" s="114"/>
      <c r="G1709" s="114"/>
      <c r="H1709" s="114"/>
      <c r="Q1709" s="44">
        <f>IF(数据录入!$B1709="",0,IF(OR(数据录入!$D1709="投标保证金",数据录入!$D1709="合同履约保证金",ISNUMBER(FIND("保证金",数据录入!$E1709))),1,0))</f>
      </c>
      <c r="R1709" s="44">
        <f>IF(AND($Q1709=1,数据录入!$B1709&gt;=$B$2,数据录入!$B1709&lt;=$D$2),N(R1708)+1,N(R1708))</f>
      </c>
    </row>
    <row r="1710" s="44" customFormat="1" spans="1:23">
      <c r="A1710" s="116"/>
      <c r="E1710" s="108"/>
      <c r="F1710" s="114"/>
      <c r="G1710" s="114"/>
      <c r="H1710" s="114"/>
      <c r="Q1710" s="44">
        <f>IF(数据录入!$B1710="",0,IF(OR(数据录入!$D1710="投标保证金",数据录入!$D1710="合同履约保证金",ISNUMBER(FIND("保证金",数据录入!$E1710))),1,0))</f>
      </c>
      <c r="R1710" s="44">
        <f>IF(AND($Q1710=1,数据录入!$B1710&gt;=$B$2,数据录入!$B1710&lt;=$D$2),N(R1709)+1,N(R1709))</f>
      </c>
    </row>
    <row r="1711" s="44" customFormat="1" spans="1:23">
      <c r="A1711" s="116"/>
      <c r="E1711" s="108"/>
      <c r="F1711" s="114"/>
      <c r="G1711" s="114"/>
      <c r="H1711" s="114"/>
      <c r="Q1711" s="44">
        <f>IF(数据录入!$B1711="",0,IF(OR(数据录入!$D1711="投标保证金",数据录入!$D1711="合同履约保证金",ISNUMBER(FIND("保证金",数据录入!$E1711))),1,0))</f>
      </c>
      <c r="R1711" s="44">
        <f>IF(AND($Q1711=1,数据录入!$B1711&gt;=$B$2,数据录入!$B1711&lt;=$D$2),N(R1710)+1,N(R1710))</f>
      </c>
    </row>
    <row r="1712" s="44" customFormat="1" spans="1:23">
      <c r="A1712" s="116"/>
      <c r="E1712" s="108"/>
      <c r="F1712" s="114"/>
      <c r="G1712" s="114"/>
      <c r="H1712" s="114"/>
      <c r="Q1712" s="44">
        <f>IF(数据录入!$B1712="",0,IF(OR(数据录入!$D1712="投标保证金",数据录入!$D1712="合同履约保证金",ISNUMBER(FIND("保证金",数据录入!$E1712))),1,0))</f>
      </c>
      <c r="R1712" s="44">
        <f>IF(AND($Q1712=1,数据录入!$B1712&gt;=$B$2,数据录入!$B1712&lt;=$D$2),N(R1711)+1,N(R1711))</f>
      </c>
    </row>
    <row r="1713" s="44" customFormat="1" spans="1:23">
      <c r="A1713" s="116"/>
      <c r="E1713" s="108"/>
      <c r="F1713" s="114"/>
      <c r="G1713" s="114"/>
      <c r="H1713" s="114"/>
      <c r="Q1713" s="44">
        <f>IF(数据录入!$B1713="",0,IF(OR(数据录入!$D1713="投标保证金",数据录入!$D1713="合同履约保证金",ISNUMBER(FIND("保证金",数据录入!$E1713))),1,0))</f>
      </c>
      <c r="R1713" s="44">
        <f>IF(AND($Q1713=1,数据录入!$B1713&gt;=$B$2,数据录入!$B1713&lt;=$D$2),N(R1712)+1,N(R1712))</f>
      </c>
    </row>
    <row r="1714" s="44" customFormat="1" spans="1:23">
      <c r="A1714" s="116"/>
      <c r="E1714" s="108"/>
      <c r="F1714" s="114"/>
      <c r="G1714" s="114"/>
      <c r="H1714" s="114"/>
      <c r="Q1714" s="44">
        <f>IF(数据录入!$B1714="",0,IF(OR(数据录入!$D1714="投标保证金",数据录入!$D1714="合同履约保证金",ISNUMBER(FIND("保证金",数据录入!$E1714))),1,0))</f>
      </c>
      <c r="R1714" s="44">
        <f>IF(AND($Q1714=1,数据录入!$B1714&gt;=$B$2,数据录入!$B1714&lt;=$D$2),N(R1713)+1,N(R1713))</f>
      </c>
    </row>
    <row r="1715" s="44" customFormat="1" spans="1:23">
      <c r="A1715" s="116"/>
      <c r="E1715" s="108"/>
      <c r="F1715" s="114"/>
      <c r="G1715" s="114"/>
      <c r="H1715" s="114"/>
      <c r="Q1715" s="44">
        <f>IF(数据录入!$B1715="",0,IF(OR(数据录入!$D1715="投标保证金",数据录入!$D1715="合同履约保证金",ISNUMBER(FIND("保证金",数据录入!$E1715))),1,0))</f>
      </c>
      <c r="R1715" s="44">
        <f>IF(AND($Q1715=1,数据录入!$B1715&gt;=$B$2,数据录入!$B1715&lt;=$D$2),N(R1714)+1,N(R1714))</f>
      </c>
    </row>
    <row r="1716" s="44" customFormat="1" spans="1:23">
      <c r="A1716" s="116"/>
      <c r="E1716" s="108"/>
      <c r="F1716" s="114"/>
      <c r="G1716" s="114"/>
      <c r="H1716" s="114"/>
      <c r="Q1716" s="44">
        <f>IF(数据录入!$B1716="",0,IF(OR(数据录入!$D1716="投标保证金",数据录入!$D1716="合同履约保证金",ISNUMBER(FIND("保证金",数据录入!$E1716))),1,0))</f>
      </c>
      <c r="R1716" s="44">
        <f>IF(AND($Q1716=1,数据录入!$B1716&gt;=$B$2,数据录入!$B1716&lt;=$D$2),N(R1715)+1,N(R1715))</f>
      </c>
    </row>
    <row r="1717" s="44" customFormat="1" spans="1:23">
      <c r="A1717" s="116"/>
      <c r="E1717" s="108"/>
      <c r="F1717" s="114"/>
      <c r="G1717" s="114"/>
      <c r="H1717" s="114"/>
      <c r="Q1717" s="44">
        <f>IF(数据录入!$B1717="",0,IF(OR(数据录入!$D1717="投标保证金",数据录入!$D1717="合同履约保证金",ISNUMBER(FIND("保证金",数据录入!$E1717))),1,0))</f>
      </c>
      <c r="R1717" s="44">
        <f>IF(AND($Q1717=1,数据录入!$B1717&gt;=$B$2,数据录入!$B1717&lt;=$D$2),N(R1716)+1,N(R1716))</f>
      </c>
    </row>
    <row r="1718" s="44" customFormat="1" spans="1:23">
      <c r="A1718" s="116"/>
      <c r="E1718" s="108"/>
      <c r="F1718" s="114"/>
      <c r="G1718" s="114"/>
      <c r="H1718" s="114"/>
      <c r="Q1718" s="44">
        <f>IF(数据录入!$B1718="",0,IF(OR(数据录入!$D1718="投标保证金",数据录入!$D1718="合同履约保证金",ISNUMBER(FIND("保证金",数据录入!$E1718))),1,0))</f>
      </c>
      <c r="R1718" s="44">
        <f>IF(AND($Q1718=1,数据录入!$B1718&gt;=$B$2,数据录入!$B1718&lt;=$D$2),N(R1717)+1,N(R1717))</f>
      </c>
    </row>
    <row r="1719" s="44" customFormat="1" spans="1:23">
      <c r="A1719" s="116"/>
      <c r="E1719" s="108"/>
      <c r="F1719" s="114"/>
      <c r="G1719" s="114"/>
      <c r="H1719" s="114"/>
      <c r="Q1719" s="44">
        <f>IF(数据录入!$B1719="",0,IF(OR(数据录入!$D1719="投标保证金",数据录入!$D1719="合同履约保证金",ISNUMBER(FIND("保证金",数据录入!$E1719))),1,0))</f>
      </c>
      <c r="R1719" s="44">
        <f>IF(AND($Q1719=1,数据录入!$B1719&gt;=$B$2,数据录入!$B1719&lt;=$D$2),N(R1718)+1,N(R1718))</f>
      </c>
    </row>
    <row r="1720" s="44" customFormat="1" spans="1:23">
      <c r="A1720" s="116"/>
      <c r="E1720" s="108"/>
      <c r="F1720" s="114"/>
      <c r="G1720" s="114"/>
      <c r="H1720" s="114"/>
      <c r="Q1720" s="44">
        <f>IF(数据录入!$B1720="",0,IF(OR(数据录入!$D1720="投标保证金",数据录入!$D1720="合同履约保证金",ISNUMBER(FIND("保证金",数据录入!$E1720))),1,0))</f>
      </c>
      <c r="R1720" s="44">
        <f>IF(AND($Q1720=1,数据录入!$B1720&gt;=$B$2,数据录入!$B1720&lt;=$D$2),N(R1719)+1,N(R1719))</f>
      </c>
    </row>
    <row r="1721" s="44" customFormat="1" spans="1:23">
      <c r="A1721" s="116"/>
      <c r="E1721" s="108"/>
      <c r="F1721" s="114"/>
      <c r="G1721" s="114"/>
      <c r="H1721" s="114"/>
      <c r="Q1721" s="44">
        <f>IF(数据录入!$B1721="",0,IF(OR(数据录入!$D1721="投标保证金",数据录入!$D1721="合同履约保证金",ISNUMBER(FIND("保证金",数据录入!$E1721))),1,0))</f>
      </c>
      <c r="R1721" s="44">
        <f>IF(AND($Q1721=1,数据录入!$B1721&gt;=$B$2,数据录入!$B1721&lt;=$D$2),N(R1720)+1,N(R1720))</f>
      </c>
    </row>
    <row r="1722" s="44" customFormat="1" spans="1:23">
      <c r="A1722" s="116"/>
      <c r="E1722" s="108"/>
      <c r="F1722" s="114"/>
      <c r="G1722" s="114"/>
      <c r="H1722" s="114"/>
      <c r="Q1722" s="44">
        <f>IF(数据录入!$B1722="",0,IF(OR(数据录入!$D1722="投标保证金",数据录入!$D1722="合同履约保证金",ISNUMBER(FIND("保证金",数据录入!$E1722))),1,0))</f>
      </c>
      <c r="R1722" s="44">
        <f>IF(AND($Q1722=1,数据录入!$B1722&gt;=$B$2,数据录入!$B1722&lt;=$D$2),N(R1721)+1,N(R1721))</f>
      </c>
    </row>
    <row r="1723" s="44" customFormat="1" spans="1:23">
      <c r="A1723" s="116"/>
      <c r="E1723" s="108"/>
      <c r="F1723" s="114"/>
      <c r="G1723" s="114"/>
      <c r="H1723" s="114"/>
      <c r="Q1723" s="44">
        <f>IF(数据录入!$B1723="",0,IF(OR(数据录入!$D1723="投标保证金",数据录入!$D1723="合同履约保证金",ISNUMBER(FIND("保证金",数据录入!$E1723))),1,0))</f>
      </c>
      <c r="R1723" s="44">
        <f>IF(AND($Q1723=1,数据录入!$B1723&gt;=$B$2,数据录入!$B1723&lt;=$D$2),N(R1722)+1,N(R1722))</f>
      </c>
    </row>
    <row r="1724" s="44" customFormat="1" spans="1:23">
      <c r="A1724" s="116"/>
      <c r="E1724" s="108"/>
      <c r="F1724" s="114"/>
      <c r="G1724" s="114"/>
      <c r="H1724" s="114"/>
      <c r="Q1724" s="44">
        <f>IF(数据录入!$B1724="",0,IF(OR(数据录入!$D1724="投标保证金",数据录入!$D1724="合同履约保证金",ISNUMBER(FIND("保证金",数据录入!$E1724))),1,0))</f>
      </c>
      <c r="R1724" s="44">
        <f>IF(AND($Q1724=1,数据录入!$B1724&gt;=$B$2,数据录入!$B1724&lt;=$D$2),N(R1723)+1,N(R1723))</f>
      </c>
    </row>
    <row r="1725" s="44" customFormat="1" spans="1:23">
      <c r="A1725" s="116"/>
      <c r="E1725" s="108"/>
      <c r="F1725" s="114"/>
      <c r="G1725" s="114"/>
      <c r="H1725" s="114"/>
      <c r="Q1725" s="44">
        <f>IF(数据录入!$B1725="",0,IF(OR(数据录入!$D1725="投标保证金",数据录入!$D1725="合同履约保证金",ISNUMBER(FIND("保证金",数据录入!$E1725))),1,0))</f>
      </c>
      <c r="R1725" s="44">
        <f>IF(AND($Q1725=1,数据录入!$B1725&gt;=$B$2,数据录入!$B1725&lt;=$D$2),N(R1724)+1,N(R1724))</f>
      </c>
    </row>
    <row r="1726" s="44" customFormat="1" spans="1:23">
      <c r="A1726" s="116"/>
      <c r="E1726" s="108"/>
      <c r="F1726" s="114"/>
      <c r="G1726" s="114"/>
      <c r="H1726" s="114"/>
      <c r="Q1726" s="44">
        <f>IF(数据录入!$B1726="",0,IF(OR(数据录入!$D1726="投标保证金",数据录入!$D1726="合同履约保证金",ISNUMBER(FIND("保证金",数据录入!$E1726))),1,0))</f>
      </c>
      <c r="R1726" s="44">
        <f>IF(AND($Q1726=1,数据录入!$B1726&gt;=$B$2,数据录入!$B1726&lt;=$D$2),N(R1725)+1,N(R1725))</f>
      </c>
    </row>
    <row r="1727" s="44" customFormat="1" spans="1:23">
      <c r="A1727" s="116"/>
      <c r="E1727" s="108"/>
      <c r="F1727" s="114"/>
      <c r="G1727" s="114"/>
      <c r="H1727" s="114"/>
      <c r="Q1727" s="44">
        <f>IF(数据录入!$B1727="",0,IF(OR(数据录入!$D1727="投标保证金",数据录入!$D1727="合同履约保证金",ISNUMBER(FIND("保证金",数据录入!$E1727))),1,0))</f>
      </c>
      <c r="R1727" s="44">
        <f>IF(AND($Q1727=1,数据录入!$B1727&gt;=$B$2,数据录入!$B1727&lt;=$D$2),N(R1726)+1,N(R1726))</f>
      </c>
    </row>
    <row r="1728" s="44" customFormat="1" spans="1:23">
      <c r="A1728" s="116"/>
      <c r="E1728" s="108"/>
      <c r="F1728" s="114"/>
      <c r="G1728" s="114"/>
      <c r="H1728" s="114"/>
      <c r="Q1728" s="44">
        <f>IF(数据录入!$B1728="",0,IF(OR(数据录入!$D1728="投标保证金",数据录入!$D1728="合同履约保证金",ISNUMBER(FIND("保证金",数据录入!$E1728))),1,0))</f>
      </c>
      <c r="R1728" s="44">
        <f>IF(AND($Q1728=1,数据录入!$B1728&gt;=$B$2,数据录入!$B1728&lt;=$D$2),N(R1727)+1,N(R1727))</f>
      </c>
    </row>
    <row r="1729" s="44" customFormat="1" spans="1:23">
      <c r="A1729" s="116"/>
      <c r="E1729" s="108"/>
      <c r="F1729" s="114"/>
      <c r="G1729" s="114"/>
      <c r="H1729" s="114"/>
      <c r="Q1729" s="44">
        <f>IF(数据录入!$B1729="",0,IF(OR(数据录入!$D1729="投标保证金",数据录入!$D1729="合同履约保证金",ISNUMBER(FIND("保证金",数据录入!$E1729))),1,0))</f>
      </c>
      <c r="R1729" s="44">
        <f>IF(AND($Q1729=1,数据录入!$B1729&gt;=$B$2,数据录入!$B1729&lt;=$D$2),N(R1728)+1,N(R1728))</f>
      </c>
    </row>
    <row r="1730" s="44" customFormat="1" spans="1:23">
      <c r="A1730" s="116"/>
      <c r="E1730" s="108"/>
      <c r="F1730" s="114"/>
      <c r="G1730" s="114"/>
      <c r="H1730" s="114"/>
      <c r="Q1730" s="44">
        <f>IF(数据录入!$B1730="",0,IF(OR(数据录入!$D1730="投标保证金",数据录入!$D1730="合同履约保证金",ISNUMBER(FIND("保证金",数据录入!$E1730))),1,0))</f>
      </c>
      <c r="R1730" s="44">
        <f>IF(AND($Q1730=1,数据录入!$B1730&gt;=$B$2,数据录入!$B1730&lt;=$D$2),N(R1729)+1,N(R1729))</f>
      </c>
    </row>
    <row r="1731" s="44" customFormat="1" spans="1:23">
      <c r="A1731" s="116"/>
      <c r="E1731" s="108"/>
      <c r="F1731" s="114"/>
      <c r="G1731" s="114"/>
      <c r="H1731" s="114"/>
      <c r="Q1731" s="44">
        <f>IF(数据录入!$B1731="",0,IF(OR(数据录入!$D1731="投标保证金",数据录入!$D1731="合同履约保证金",ISNUMBER(FIND("保证金",数据录入!$E1731))),1,0))</f>
      </c>
      <c r="R1731" s="44">
        <f>IF(AND($Q1731=1,数据录入!$B1731&gt;=$B$2,数据录入!$B1731&lt;=$D$2),N(R1730)+1,N(R1730))</f>
      </c>
    </row>
    <row r="1732" s="44" customFormat="1" spans="1:23">
      <c r="A1732" s="116"/>
      <c r="E1732" s="108"/>
      <c r="F1732" s="114"/>
      <c r="G1732" s="114"/>
      <c r="H1732" s="114"/>
      <c r="Q1732" s="44">
        <f>IF(数据录入!$B1732="",0,IF(OR(数据录入!$D1732="投标保证金",数据录入!$D1732="合同履约保证金",ISNUMBER(FIND("保证金",数据录入!$E1732))),1,0))</f>
      </c>
      <c r="R1732" s="44">
        <f>IF(AND($Q1732=1,数据录入!$B1732&gt;=$B$2,数据录入!$B1732&lt;=$D$2),N(R1731)+1,N(R1731))</f>
      </c>
    </row>
    <row r="1733" s="44" customFormat="1" spans="1:23">
      <c r="A1733" s="116"/>
      <c r="E1733" s="108"/>
      <c r="F1733" s="114"/>
      <c r="G1733" s="114"/>
      <c r="H1733" s="114"/>
      <c r="Q1733" s="44">
        <f>IF(数据录入!$B1733="",0,IF(OR(数据录入!$D1733="投标保证金",数据录入!$D1733="合同履约保证金",ISNUMBER(FIND("保证金",数据录入!$E1733))),1,0))</f>
      </c>
      <c r="R1733" s="44">
        <f>IF(AND($Q1733=1,数据录入!$B1733&gt;=$B$2,数据录入!$B1733&lt;=$D$2),N(R1732)+1,N(R1732))</f>
      </c>
    </row>
    <row r="1734" s="44" customFormat="1" spans="1:23">
      <c r="A1734" s="116"/>
      <c r="E1734" s="108"/>
      <c r="F1734" s="114"/>
      <c r="G1734" s="114"/>
      <c r="H1734" s="114"/>
      <c r="Q1734" s="44">
        <f>IF(数据录入!$B1734="",0,IF(OR(数据录入!$D1734="投标保证金",数据录入!$D1734="合同履约保证金",ISNUMBER(FIND("保证金",数据录入!$E1734))),1,0))</f>
      </c>
      <c r="R1734" s="44">
        <f>IF(AND($Q1734=1,数据录入!$B1734&gt;=$B$2,数据录入!$B1734&lt;=$D$2),N(R1733)+1,N(R1733))</f>
      </c>
    </row>
    <row r="1735" s="44" customFormat="1" spans="1:23">
      <c r="A1735" s="116"/>
      <c r="E1735" s="108"/>
      <c r="F1735" s="114"/>
      <c r="G1735" s="114"/>
      <c r="H1735" s="114"/>
      <c r="Q1735" s="44">
        <f>IF(数据录入!$B1735="",0,IF(OR(数据录入!$D1735="投标保证金",数据录入!$D1735="合同履约保证金",ISNUMBER(FIND("保证金",数据录入!$E1735))),1,0))</f>
      </c>
      <c r="R1735" s="44">
        <f>IF(AND($Q1735=1,数据录入!$B1735&gt;=$B$2,数据录入!$B1735&lt;=$D$2),N(R1734)+1,N(R1734))</f>
      </c>
    </row>
    <row r="1736" s="44" customFormat="1" spans="1:23">
      <c r="A1736" s="116"/>
      <c r="E1736" s="108"/>
      <c r="F1736" s="114"/>
      <c r="G1736" s="114"/>
      <c r="H1736" s="114"/>
      <c r="Q1736" s="44">
        <f>IF(数据录入!$B1736="",0,IF(OR(数据录入!$D1736="投标保证金",数据录入!$D1736="合同履约保证金",ISNUMBER(FIND("保证金",数据录入!$E1736))),1,0))</f>
      </c>
      <c r="R1736" s="44">
        <f>IF(AND($Q1736=1,数据录入!$B1736&gt;=$B$2,数据录入!$B1736&lt;=$D$2),N(R1735)+1,N(R1735))</f>
      </c>
    </row>
    <row r="1737" s="44" customFormat="1" spans="1:23">
      <c r="A1737" s="116"/>
      <c r="E1737" s="108"/>
      <c r="F1737" s="114"/>
      <c r="G1737" s="114"/>
      <c r="H1737" s="114"/>
      <c r="Q1737" s="44">
        <f>IF(数据录入!$B1737="",0,IF(OR(数据录入!$D1737="投标保证金",数据录入!$D1737="合同履约保证金",ISNUMBER(FIND("保证金",数据录入!$E1737))),1,0))</f>
      </c>
      <c r="R1737" s="44">
        <f>IF(AND($Q1737=1,数据录入!$B1737&gt;=$B$2,数据录入!$B1737&lt;=$D$2),N(R1736)+1,N(R1736))</f>
      </c>
    </row>
    <row r="1738" s="44" customFormat="1" spans="1:23">
      <c r="A1738" s="116"/>
      <c r="E1738" s="108"/>
      <c r="F1738" s="114"/>
      <c r="G1738" s="114"/>
      <c r="H1738" s="114"/>
      <c r="Q1738" s="44">
        <f>IF(数据录入!$B1738="",0,IF(OR(数据录入!$D1738="投标保证金",数据录入!$D1738="合同履约保证金",ISNUMBER(FIND("保证金",数据录入!$E1738))),1,0))</f>
      </c>
      <c r="R1738" s="44">
        <f>IF(AND($Q1738=1,数据录入!$B1738&gt;=$B$2,数据录入!$B1738&lt;=$D$2),N(R1737)+1,N(R1737))</f>
      </c>
    </row>
    <row r="1739" s="44" customFormat="1" spans="1:23">
      <c r="A1739" s="116"/>
      <c r="E1739" s="108"/>
      <c r="F1739" s="114"/>
      <c r="G1739" s="114"/>
      <c r="H1739" s="114"/>
      <c r="Q1739" s="44">
        <f>IF(数据录入!$B1739="",0,IF(OR(数据录入!$D1739="投标保证金",数据录入!$D1739="合同履约保证金",ISNUMBER(FIND("保证金",数据录入!$E1739))),1,0))</f>
      </c>
      <c r="R1739" s="44">
        <f>IF(AND($Q1739=1,数据录入!$B1739&gt;=$B$2,数据录入!$B1739&lt;=$D$2),N(R1738)+1,N(R1738))</f>
      </c>
    </row>
    <row r="1740" s="44" customFormat="1" spans="1:23">
      <c r="A1740" s="116"/>
      <c r="E1740" s="108"/>
      <c r="F1740" s="114"/>
      <c r="G1740" s="114"/>
      <c r="H1740" s="114"/>
      <c r="Q1740" s="44">
        <f>IF(数据录入!$B1740="",0,IF(OR(数据录入!$D1740="投标保证金",数据录入!$D1740="合同履约保证金",ISNUMBER(FIND("保证金",数据录入!$E1740))),1,0))</f>
      </c>
      <c r="R1740" s="44">
        <f>IF(AND($Q1740=1,数据录入!$B1740&gt;=$B$2,数据录入!$B1740&lt;=$D$2),N(R1739)+1,N(R1739))</f>
      </c>
    </row>
    <row r="1741" s="44" customFormat="1" spans="1:23">
      <c r="A1741" s="116"/>
      <c r="E1741" s="108"/>
      <c r="F1741" s="114"/>
      <c r="G1741" s="114"/>
      <c r="H1741" s="114"/>
      <c r="Q1741" s="44">
        <f>IF(数据录入!$B1741="",0,IF(OR(数据录入!$D1741="投标保证金",数据录入!$D1741="合同履约保证金",ISNUMBER(FIND("保证金",数据录入!$E1741))),1,0))</f>
      </c>
      <c r="R1741" s="44">
        <f>IF(AND($Q1741=1,数据录入!$B1741&gt;=$B$2,数据录入!$B1741&lt;=$D$2),N(R1740)+1,N(R1740))</f>
      </c>
    </row>
    <row r="1742" s="44" customFormat="1" spans="1:23">
      <c r="A1742" s="116"/>
      <c r="E1742" s="108"/>
      <c r="F1742" s="114"/>
      <c r="G1742" s="114"/>
      <c r="H1742" s="114"/>
      <c r="Q1742" s="44">
        <f>IF(数据录入!$B1742="",0,IF(OR(数据录入!$D1742="投标保证金",数据录入!$D1742="合同履约保证金",ISNUMBER(FIND("保证金",数据录入!$E1742))),1,0))</f>
      </c>
      <c r="R1742" s="44">
        <f>IF(AND($Q1742=1,数据录入!$B1742&gt;=$B$2,数据录入!$B1742&lt;=$D$2),N(R1741)+1,N(R1741))</f>
      </c>
    </row>
    <row r="1743" s="44" customFormat="1" spans="1:23">
      <c r="A1743" s="116"/>
      <c r="E1743" s="108"/>
      <c r="F1743" s="114"/>
      <c r="G1743" s="114"/>
      <c r="H1743" s="114"/>
      <c r="Q1743" s="44">
        <f>IF(数据录入!$B1743="",0,IF(OR(数据录入!$D1743="投标保证金",数据录入!$D1743="合同履约保证金",ISNUMBER(FIND("保证金",数据录入!$E1743))),1,0))</f>
      </c>
      <c r="R1743" s="44">
        <f>IF(AND($Q1743=1,数据录入!$B1743&gt;=$B$2,数据录入!$B1743&lt;=$D$2),N(R1742)+1,N(R1742))</f>
      </c>
    </row>
    <row r="1744" s="44" customFormat="1" spans="1:23">
      <c r="A1744" s="116"/>
      <c r="E1744" s="108"/>
      <c r="F1744" s="114"/>
      <c r="G1744" s="114"/>
      <c r="H1744" s="114"/>
      <c r="Q1744" s="44">
        <f>IF(数据录入!$B1744="",0,IF(OR(数据录入!$D1744="投标保证金",数据录入!$D1744="合同履约保证金",ISNUMBER(FIND("保证金",数据录入!$E1744))),1,0))</f>
      </c>
      <c r="R1744" s="44">
        <f>IF(AND($Q1744=1,数据录入!$B1744&gt;=$B$2,数据录入!$B1744&lt;=$D$2),N(R1743)+1,N(R1743))</f>
      </c>
    </row>
    <row r="1745" s="44" customFormat="1" spans="1:23">
      <c r="A1745" s="116"/>
      <c r="E1745" s="108"/>
      <c r="F1745" s="114"/>
      <c r="G1745" s="114"/>
      <c r="H1745" s="114"/>
      <c r="Q1745" s="44">
        <f>IF(数据录入!$B1745="",0,IF(OR(数据录入!$D1745="投标保证金",数据录入!$D1745="合同履约保证金",ISNUMBER(FIND("保证金",数据录入!$E1745))),1,0))</f>
      </c>
      <c r="R1745" s="44">
        <f>IF(AND($Q1745=1,数据录入!$B1745&gt;=$B$2,数据录入!$B1745&lt;=$D$2),N(R1744)+1,N(R1744))</f>
      </c>
    </row>
    <row r="1746" s="44" customFormat="1" spans="1:23">
      <c r="A1746" s="116"/>
      <c r="E1746" s="108"/>
      <c r="F1746" s="114"/>
      <c r="G1746" s="114"/>
      <c r="H1746" s="114"/>
      <c r="Q1746" s="44">
        <f>IF(数据录入!$B1746="",0,IF(OR(数据录入!$D1746="投标保证金",数据录入!$D1746="合同履约保证金",ISNUMBER(FIND("保证金",数据录入!$E1746))),1,0))</f>
      </c>
      <c r="R1746" s="44">
        <f>IF(AND($Q1746=1,数据录入!$B1746&gt;=$B$2,数据录入!$B1746&lt;=$D$2),N(R1745)+1,N(R1745))</f>
      </c>
    </row>
    <row r="1747" s="44" customFormat="1" spans="1:23">
      <c r="A1747" s="116"/>
      <c r="E1747" s="108"/>
      <c r="F1747" s="114"/>
      <c r="G1747" s="114"/>
      <c r="H1747" s="114"/>
      <c r="Q1747" s="44">
        <f>IF(数据录入!$B1747="",0,IF(OR(数据录入!$D1747="投标保证金",数据录入!$D1747="合同履约保证金",ISNUMBER(FIND("保证金",数据录入!$E1747))),1,0))</f>
      </c>
      <c r="R1747" s="44">
        <f>IF(AND($Q1747=1,数据录入!$B1747&gt;=$B$2,数据录入!$B1747&lt;=$D$2),N(R1746)+1,N(R1746))</f>
      </c>
    </row>
    <row r="1748" s="44" customFormat="1" spans="1:23">
      <c r="A1748" s="116"/>
      <c r="E1748" s="108"/>
      <c r="F1748" s="114"/>
      <c r="G1748" s="114"/>
      <c r="H1748" s="114"/>
      <c r="Q1748" s="44">
        <f>IF(数据录入!$B1748="",0,IF(OR(数据录入!$D1748="投标保证金",数据录入!$D1748="合同履约保证金",ISNUMBER(FIND("保证金",数据录入!$E1748))),1,0))</f>
      </c>
      <c r="R1748" s="44">
        <f>IF(AND($Q1748=1,数据录入!$B1748&gt;=$B$2,数据录入!$B1748&lt;=$D$2),N(R1747)+1,N(R1747))</f>
      </c>
    </row>
    <row r="1749" s="44" customFormat="1" spans="1:23">
      <c r="A1749" s="116"/>
      <c r="E1749" s="108"/>
      <c r="F1749" s="114"/>
      <c r="G1749" s="114"/>
      <c r="H1749" s="114"/>
      <c r="Q1749" s="44">
        <f>IF(数据录入!$B1749="",0,IF(OR(数据录入!$D1749="投标保证金",数据录入!$D1749="合同履约保证金",ISNUMBER(FIND("保证金",数据录入!$E1749))),1,0))</f>
      </c>
      <c r="R1749" s="44">
        <f>IF(AND($Q1749=1,数据录入!$B1749&gt;=$B$2,数据录入!$B1749&lt;=$D$2),N(R1748)+1,N(R1748))</f>
      </c>
    </row>
    <row r="1750" s="44" customFormat="1" spans="1:23">
      <c r="A1750" s="116"/>
      <c r="E1750" s="108"/>
      <c r="F1750" s="114"/>
      <c r="G1750" s="114"/>
      <c r="H1750" s="114"/>
      <c r="Q1750" s="44">
        <f>IF(数据录入!$B1750="",0,IF(OR(数据录入!$D1750="投标保证金",数据录入!$D1750="合同履约保证金",ISNUMBER(FIND("保证金",数据录入!$E1750))),1,0))</f>
      </c>
      <c r="R1750" s="44">
        <f>IF(AND($Q1750=1,数据录入!$B1750&gt;=$B$2,数据录入!$B1750&lt;=$D$2),N(R1749)+1,N(R1749))</f>
      </c>
    </row>
    <row r="1751" s="44" customFormat="1" spans="1:23">
      <c r="A1751" s="116"/>
      <c r="E1751" s="108"/>
      <c r="F1751" s="114"/>
      <c r="G1751" s="114"/>
      <c r="H1751" s="114"/>
      <c r="Q1751" s="44">
        <f>IF(数据录入!$B1751="",0,IF(OR(数据录入!$D1751="投标保证金",数据录入!$D1751="合同履约保证金",ISNUMBER(FIND("保证金",数据录入!$E1751))),1,0))</f>
      </c>
      <c r="R1751" s="44">
        <f>IF(AND($Q1751=1,数据录入!$B1751&gt;=$B$2,数据录入!$B1751&lt;=$D$2),N(R1750)+1,N(R1750))</f>
      </c>
    </row>
    <row r="1752" s="44" customFormat="1" spans="1:23">
      <c r="A1752" s="116"/>
      <c r="E1752" s="108"/>
      <c r="F1752" s="114"/>
      <c r="G1752" s="114"/>
      <c r="H1752" s="114"/>
      <c r="Q1752" s="44">
        <f>IF(数据录入!$B1752="",0,IF(OR(数据录入!$D1752="投标保证金",数据录入!$D1752="合同履约保证金",ISNUMBER(FIND("保证金",数据录入!$E1752))),1,0))</f>
      </c>
      <c r="R1752" s="44">
        <f>IF(AND($Q1752=1,数据录入!$B1752&gt;=$B$2,数据录入!$B1752&lt;=$D$2),N(R1751)+1,N(R1751))</f>
      </c>
    </row>
    <row r="1753" s="44" customFormat="1" spans="1:23">
      <c r="A1753" s="116"/>
      <c r="E1753" s="108"/>
      <c r="F1753" s="114"/>
      <c r="G1753" s="114"/>
      <c r="H1753" s="114"/>
      <c r="Q1753" s="44">
        <f>IF(数据录入!$B1753="",0,IF(OR(数据录入!$D1753="投标保证金",数据录入!$D1753="合同履约保证金",ISNUMBER(FIND("保证金",数据录入!$E1753))),1,0))</f>
      </c>
      <c r="R1753" s="44">
        <f>IF(AND($Q1753=1,数据录入!$B1753&gt;=$B$2,数据录入!$B1753&lt;=$D$2),N(R1752)+1,N(R1752))</f>
      </c>
    </row>
    <row r="1754" s="44" customFormat="1" spans="1:23">
      <c r="A1754" s="116"/>
      <c r="E1754" s="108"/>
      <c r="F1754" s="114"/>
      <c r="G1754" s="114"/>
      <c r="H1754" s="114"/>
      <c r="Q1754" s="44">
        <f>IF(数据录入!$B1754="",0,IF(OR(数据录入!$D1754="投标保证金",数据录入!$D1754="合同履约保证金",ISNUMBER(FIND("保证金",数据录入!$E1754))),1,0))</f>
      </c>
      <c r="R1754" s="44">
        <f>IF(AND($Q1754=1,数据录入!$B1754&gt;=$B$2,数据录入!$B1754&lt;=$D$2),N(R1753)+1,N(R1753))</f>
      </c>
    </row>
    <row r="1755" s="44" customFormat="1" spans="1:23">
      <c r="A1755" s="116"/>
      <c r="E1755" s="108"/>
      <c r="F1755" s="114"/>
      <c r="G1755" s="114"/>
      <c r="H1755" s="114"/>
      <c r="Q1755" s="44">
        <f>IF(数据录入!$B1755="",0,IF(OR(数据录入!$D1755="投标保证金",数据录入!$D1755="合同履约保证金",ISNUMBER(FIND("保证金",数据录入!$E1755))),1,0))</f>
      </c>
      <c r="R1755" s="44">
        <f>IF(AND($Q1755=1,数据录入!$B1755&gt;=$B$2,数据录入!$B1755&lt;=$D$2),N(R1754)+1,N(R1754))</f>
      </c>
    </row>
    <row r="1756" s="44" customFormat="1" spans="1:23">
      <c r="A1756" s="116"/>
      <c r="E1756" s="108"/>
      <c r="F1756" s="114"/>
      <c r="G1756" s="114"/>
      <c r="H1756" s="114"/>
      <c r="Q1756" s="44">
        <f>IF(数据录入!$B1756="",0,IF(OR(数据录入!$D1756="投标保证金",数据录入!$D1756="合同履约保证金",ISNUMBER(FIND("保证金",数据录入!$E1756))),1,0))</f>
      </c>
      <c r="R1756" s="44">
        <f>IF(AND($Q1756=1,数据录入!$B1756&gt;=$B$2,数据录入!$B1756&lt;=$D$2),N(R1755)+1,N(R1755))</f>
      </c>
    </row>
    <row r="1757" s="44" customFormat="1" spans="1:23">
      <c r="A1757" s="116"/>
      <c r="E1757" s="108"/>
      <c r="F1757" s="114"/>
      <c r="G1757" s="114"/>
      <c r="H1757" s="114"/>
      <c r="Q1757" s="44">
        <f>IF(数据录入!$B1757="",0,IF(OR(数据录入!$D1757="投标保证金",数据录入!$D1757="合同履约保证金",ISNUMBER(FIND("保证金",数据录入!$E1757))),1,0))</f>
      </c>
      <c r="R1757" s="44">
        <f>IF(AND($Q1757=1,数据录入!$B1757&gt;=$B$2,数据录入!$B1757&lt;=$D$2),N(R1756)+1,N(R1756))</f>
      </c>
    </row>
    <row r="1758" s="44" customFormat="1" spans="1:23">
      <c r="A1758" s="116"/>
      <c r="E1758" s="108"/>
      <c r="F1758" s="114"/>
      <c r="G1758" s="114"/>
      <c r="H1758" s="114"/>
      <c r="Q1758" s="44">
        <f>IF(数据录入!$B1758="",0,IF(OR(数据录入!$D1758="投标保证金",数据录入!$D1758="合同履约保证金",ISNUMBER(FIND("保证金",数据录入!$E1758))),1,0))</f>
      </c>
      <c r="R1758" s="44">
        <f>IF(AND($Q1758=1,数据录入!$B1758&gt;=$B$2,数据录入!$B1758&lt;=$D$2),N(R1757)+1,N(R1757))</f>
      </c>
    </row>
    <row r="1759" s="44" customFormat="1" spans="1:23">
      <c r="A1759" s="116"/>
      <c r="E1759" s="108"/>
      <c r="F1759" s="114"/>
      <c r="G1759" s="114"/>
      <c r="H1759" s="114"/>
      <c r="Q1759" s="44">
        <f>IF(数据录入!$B1759="",0,IF(OR(数据录入!$D1759="投标保证金",数据录入!$D1759="合同履约保证金",ISNUMBER(FIND("保证金",数据录入!$E1759))),1,0))</f>
      </c>
      <c r="R1759" s="44">
        <f>IF(AND($Q1759=1,数据录入!$B1759&gt;=$B$2,数据录入!$B1759&lt;=$D$2),N(R1758)+1,N(R1758))</f>
      </c>
    </row>
    <row r="1760" s="44" customFormat="1" spans="1:23">
      <c r="A1760" s="116"/>
      <c r="E1760" s="108"/>
      <c r="F1760" s="114"/>
      <c r="G1760" s="114"/>
      <c r="H1760" s="114"/>
      <c r="Q1760" s="44">
        <f>IF(数据录入!$B1760="",0,IF(OR(数据录入!$D1760="投标保证金",数据录入!$D1760="合同履约保证金",ISNUMBER(FIND("保证金",数据录入!$E1760))),1,0))</f>
      </c>
      <c r="R1760" s="44">
        <f>IF(AND($Q1760=1,数据录入!$B1760&gt;=$B$2,数据录入!$B1760&lt;=$D$2),N(R1759)+1,N(R1759))</f>
      </c>
    </row>
    <row r="1761" s="44" customFormat="1" spans="1:23">
      <c r="A1761" s="116"/>
      <c r="E1761" s="108"/>
      <c r="F1761" s="114"/>
      <c r="G1761" s="114"/>
      <c r="H1761" s="114"/>
      <c r="Q1761" s="44">
        <f>IF(数据录入!$B1761="",0,IF(OR(数据录入!$D1761="投标保证金",数据录入!$D1761="合同履约保证金",ISNUMBER(FIND("保证金",数据录入!$E1761))),1,0))</f>
      </c>
      <c r="R1761" s="44">
        <f>IF(AND($Q1761=1,数据录入!$B1761&gt;=$B$2,数据录入!$B1761&lt;=$D$2),N(R1760)+1,N(R1760))</f>
      </c>
    </row>
    <row r="1762" s="44" customFormat="1" spans="1:23">
      <c r="A1762" s="116"/>
      <c r="E1762" s="108"/>
      <c r="F1762" s="114"/>
      <c r="G1762" s="114"/>
      <c r="H1762" s="114"/>
      <c r="Q1762" s="44">
        <f>IF(数据录入!$B1762="",0,IF(OR(数据录入!$D1762="投标保证金",数据录入!$D1762="合同履约保证金",ISNUMBER(FIND("保证金",数据录入!$E1762))),1,0))</f>
      </c>
      <c r="R1762" s="44">
        <f>IF(AND($Q1762=1,数据录入!$B1762&gt;=$B$2,数据录入!$B1762&lt;=$D$2),N(R1761)+1,N(R1761))</f>
      </c>
    </row>
    <row r="1763" s="44" customFormat="1" spans="1:23">
      <c r="A1763" s="116"/>
      <c r="E1763" s="108"/>
      <c r="F1763" s="114"/>
      <c r="G1763" s="114"/>
      <c r="H1763" s="114"/>
      <c r="Q1763" s="44">
        <f>IF(数据录入!$B1763="",0,IF(OR(数据录入!$D1763="投标保证金",数据录入!$D1763="合同履约保证金",ISNUMBER(FIND("保证金",数据录入!$E1763))),1,0))</f>
      </c>
      <c r="R1763" s="44">
        <f>IF(AND($Q1763=1,数据录入!$B1763&gt;=$B$2,数据录入!$B1763&lt;=$D$2),N(R1762)+1,N(R1762))</f>
      </c>
    </row>
    <row r="1764" s="44" customFormat="1" spans="1:23">
      <c r="A1764" s="116"/>
      <c r="E1764" s="108"/>
      <c r="F1764" s="114"/>
      <c r="G1764" s="114"/>
      <c r="H1764" s="114"/>
      <c r="Q1764" s="44">
        <f>IF(数据录入!$B1764="",0,IF(OR(数据录入!$D1764="投标保证金",数据录入!$D1764="合同履约保证金",ISNUMBER(FIND("保证金",数据录入!$E1764))),1,0))</f>
      </c>
      <c r="R1764" s="44">
        <f>IF(AND($Q1764=1,数据录入!$B1764&gt;=$B$2,数据录入!$B1764&lt;=$D$2),N(R1763)+1,N(R1763))</f>
      </c>
    </row>
    <row r="1765" s="44" customFormat="1" spans="1:23">
      <c r="A1765" s="116"/>
      <c r="E1765" s="108"/>
      <c r="F1765" s="114"/>
      <c r="G1765" s="114"/>
      <c r="H1765" s="114"/>
      <c r="Q1765" s="44">
        <f>IF(数据录入!$B1765="",0,IF(OR(数据录入!$D1765="投标保证金",数据录入!$D1765="合同履约保证金",ISNUMBER(FIND("保证金",数据录入!$E1765))),1,0))</f>
      </c>
      <c r="R1765" s="44">
        <f>IF(AND($Q1765=1,数据录入!$B1765&gt;=$B$2,数据录入!$B1765&lt;=$D$2),N(R1764)+1,N(R1764))</f>
      </c>
    </row>
    <row r="1766" s="44" customFormat="1" spans="1:23">
      <c r="A1766" s="116"/>
      <c r="E1766" s="108"/>
      <c r="F1766" s="114"/>
      <c r="G1766" s="114"/>
      <c r="H1766" s="114"/>
      <c r="Q1766" s="44">
        <f>IF(数据录入!$B1766="",0,IF(OR(数据录入!$D1766="投标保证金",数据录入!$D1766="合同履约保证金",ISNUMBER(FIND("保证金",数据录入!$E1766))),1,0))</f>
      </c>
      <c r="R1766" s="44">
        <f>IF(AND($Q1766=1,数据录入!$B1766&gt;=$B$2,数据录入!$B1766&lt;=$D$2),N(R1765)+1,N(R1765))</f>
      </c>
    </row>
    <row r="1767" s="44" customFormat="1" spans="1:23">
      <c r="A1767" s="116"/>
      <c r="E1767" s="108"/>
      <c r="F1767" s="114"/>
      <c r="G1767" s="114"/>
      <c r="H1767" s="114"/>
      <c r="Q1767" s="44">
        <f>IF(数据录入!$B1767="",0,IF(OR(数据录入!$D1767="投标保证金",数据录入!$D1767="合同履约保证金",ISNUMBER(FIND("保证金",数据录入!$E1767))),1,0))</f>
      </c>
      <c r="R1767" s="44">
        <f>IF(AND($Q1767=1,数据录入!$B1767&gt;=$B$2,数据录入!$B1767&lt;=$D$2),N(R1766)+1,N(R1766))</f>
      </c>
    </row>
    <row r="1768" s="44" customFormat="1" spans="1:23">
      <c r="A1768" s="116"/>
      <c r="E1768" s="108"/>
      <c r="F1768" s="114"/>
      <c r="G1768" s="114"/>
      <c r="H1768" s="114"/>
      <c r="Q1768" s="44">
        <f>IF(数据录入!$B1768="",0,IF(OR(数据录入!$D1768="投标保证金",数据录入!$D1768="合同履约保证金",ISNUMBER(FIND("保证金",数据录入!$E1768))),1,0))</f>
      </c>
      <c r="R1768" s="44">
        <f>IF(AND($Q1768=1,数据录入!$B1768&gt;=$B$2,数据录入!$B1768&lt;=$D$2),N(R1767)+1,N(R1767))</f>
      </c>
    </row>
    <row r="1769" s="44" customFormat="1" spans="1:23">
      <c r="A1769" s="116"/>
      <c r="E1769" s="108"/>
      <c r="F1769" s="114"/>
      <c r="G1769" s="114"/>
      <c r="H1769" s="114"/>
      <c r="Q1769" s="44">
        <f>IF(数据录入!$B1769="",0,IF(OR(数据录入!$D1769="投标保证金",数据录入!$D1769="合同履约保证金",ISNUMBER(FIND("保证金",数据录入!$E1769))),1,0))</f>
      </c>
      <c r="R1769" s="44">
        <f>IF(AND($Q1769=1,数据录入!$B1769&gt;=$B$2,数据录入!$B1769&lt;=$D$2),N(R1768)+1,N(R1768))</f>
      </c>
    </row>
    <row r="1770" s="44" customFormat="1" spans="1:23">
      <c r="A1770" s="116"/>
      <c r="E1770" s="108"/>
      <c r="F1770" s="114"/>
      <c r="G1770" s="114"/>
      <c r="H1770" s="114"/>
      <c r="Q1770" s="44">
        <f>IF(数据录入!$B1770="",0,IF(OR(数据录入!$D1770="投标保证金",数据录入!$D1770="合同履约保证金",ISNUMBER(FIND("保证金",数据录入!$E1770))),1,0))</f>
      </c>
      <c r="R1770" s="44">
        <f>IF(AND($Q1770=1,数据录入!$B1770&gt;=$B$2,数据录入!$B1770&lt;=$D$2),N(R1769)+1,N(R1769))</f>
      </c>
    </row>
    <row r="1771" s="44" customFormat="1" spans="1:23">
      <c r="A1771" s="116"/>
      <c r="E1771" s="108"/>
      <c r="F1771" s="114"/>
      <c r="G1771" s="114"/>
      <c r="H1771" s="114"/>
      <c r="Q1771" s="44">
        <f>IF(数据录入!$B1771="",0,IF(OR(数据录入!$D1771="投标保证金",数据录入!$D1771="合同履约保证金",ISNUMBER(FIND("保证金",数据录入!$E1771))),1,0))</f>
      </c>
      <c r="R1771" s="44">
        <f>IF(AND($Q1771=1,数据录入!$B1771&gt;=$B$2,数据录入!$B1771&lt;=$D$2),N(R1770)+1,N(R1770))</f>
      </c>
    </row>
    <row r="1772" s="44" customFormat="1" spans="1:23">
      <c r="A1772" s="116"/>
      <c r="E1772" s="108"/>
      <c r="F1772" s="114"/>
      <c r="G1772" s="114"/>
      <c r="H1772" s="114"/>
      <c r="Q1772" s="44">
        <f>IF(数据录入!$B1772="",0,IF(OR(数据录入!$D1772="投标保证金",数据录入!$D1772="合同履约保证金",ISNUMBER(FIND("保证金",数据录入!$E1772))),1,0))</f>
      </c>
      <c r="R1772" s="44">
        <f>IF(AND($Q1772=1,数据录入!$B1772&gt;=$B$2,数据录入!$B1772&lt;=$D$2),N(R1771)+1,N(R1771))</f>
      </c>
    </row>
    <row r="1773" s="44" customFormat="1" spans="1:23">
      <c r="A1773" s="116"/>
      <c r="E1773" s="108"/>
      <c r="F1773" s="114"/>
      <c r="G1773" s="114"/>
      <c r="H1773" s="114"/>
      <c r="Q1773" s="44">
        <f>IF(数据录入!$B1773="",0,IF(OR(数据录入!$D1773="投标保证金",数据录入!$D1773="合同履约保证金",ISNUMBER(FIND("保证金",数据录入!$E1773))),1,0))</f>
      </c>
      <c r="R1773" s="44">
        <f>IF(AND($Q1773=1,数据录入!$B1773&gt;=$B$2,数据录入!$B1773&lt;=$D$2),N(R1772)+1,N(R1772))</f>
      </c>
    </row>
    <row r="1774" s="44" customFormat="1" spans="1:23">
      <c r="A1774" s="116"/>
      <c r="E1774" s="108"/>
      <c r="F1774" s="114"/>
      <c r="G1774" s="114"/>
      <c r="H1774" s="114"/>
      <c r="Q1774" s="44">
        <f>IF(数据录入!$B1774="",0,IF(OR(数据录入!$D1774="投标保证金",数据录入!$D1774="合同履约保证金",ISNUMBER(FIND("保证金",数据录入!$E1774))),1,0))</f>
      </c>
      <c r="R1774" s="44">
        <f>IF(AND($Q1774=1,数据录入!$B1774&gt;=$B$2,数据录入!$B1774&lt;=$D$2),N(R1773)+1,N(R1773))</f>
      </c>
    </row>
    <row r="1775" s="44" customFormat="1" spans="1:23">
      <c r="A1775" s="116"/>
      <c r="E1775" s="108"/>
      <c r="F1775" s="114"/>
      <c r="G1775" s="114"/>
      <c r="H1775" s="114"/>
      <c r="Q1775" s="44">
        <f>IF(数据录入!$B1775="",0,IF(OR(数据录入!$D1775="投标保证金",数据录入!$D1775="合同履约保证金",ISNUMBER(FIND("保证金",数据录入!$E1775))),1,0))</f>
      </c>
      <c r="R1775" s="44">
        <f>IF(AND($Q1775=1,数据录入!$B1775&gt;=$B$2,数据录入!$B1775&lt;=$D$2),N(R1774)+1,N(R1774))</f>
      </c>
    </row>
    <row r="1776" s="44" customFormat="1" spans="1:23">
      <c r="A1776" s="116"/>
      <c r="E1776" s="108"/>
      <c r="F1776" s="114"/>
      <c r="G1776" s="114"/>
      <c r="H1776" s="114"/>
      <c r="Q1776" s="44">
        <f>IF(数据录入!$B1776="",0,IF(OR(数据录入!$D1776="投标保证金",数据录入!$D1776="合同履约保证金",ISNUMBER(FIND("保证金",数据录入!$E1776))),1,0))</f>
      </c>
      <c r="R1776" s="44">
        <f>IF(AND($Q1776=1,数据录入!$B1776&gt;=$B$2,数据录入!$B1776&lt;=$D$2),N(R1775)+1,N(R1775))</f>
      </c>
    </row>
    <row r="1777" s="44" customFormat="1" spans="1:23">
      <c r="A1777" s="116"/>
      <c r="E1777" s="108"/>
      <c r="F1777" s="114"/>
      <c r="G1777" s="114"/>
      <c r="H1777" s="114"/>
      <c r="Q1777" s="44">
        <f>IF(数据录入!$B1777="",0,IF(OR(数据录入!$D1777="投标保证金",数据录入!$D1777="合同履约保证金",ISNUMBER(FIND("保证金",数据录入!$E1777))),1,0))</f>
      </c>
      <c r="R1777" s="44">
        <f>IF(AND($Q1777=1,数据录入!$B1777&gt;=$B$2,数据录入!$B1777&lt;=$D$2),N(R1776)+1,N(R1776))</f>
      </c>
    </row>
    <row r="1778" s="44" customFormat="1" spans="1:23">
      <c r="A1778" s="116"/>
      <c r="E1778" s="108"/>
      <c r="F1778" s="114"/>
      <c r="G1778" s="114"/>
      <c r="H1778" s="114"/>
      <c r="Q1778" s="44">
        <f>IF(数据录入!$B1778="",0,IF(OR(数据录入!$D1778="投标保证金",数据录入!$D1778="合同履约保证金",ISNUMBER(FIND("保证金",数据录入!$E1778))),1,0))</f>
      </c>
      <c r="R1778" s="44">
        <f>IF(AND($Q1778=1,数据录入!$B1778&gt;=$B$2,数据录入!$B1778&lt;=$D$2),N(R1777)+1,N(R1777))</f>
      </c>
    </row>
    <row r="1779" s="44" customFormat="1" spans="1:23">
      <c r="A1779" s="116"/>
      <c r="E1779" s="108"/>
      <c r="F1779" s="114"/>
      <c r="G1779" s="114"/>
      <c r="H1779" s="114"/>
      <c r="Q1779" s="44">
        <f>IF(数据录入!$B1779="",0,IF(OR(数据录入!$D1779="投标保证金",数据录入!$D1779="合同履约保证金",ISNUMBER(FIND("保证金",数据录入!$E1779))),1,0))</f>
      </c>
      <c r="R1779" s="44">
        <f>IF(AND($Q1779=1,数据录入!$B1779&gt;=$B$2,数据录入!$B1779&lt;=$D$2),N(R1778)+1,N(R1778))</f>
      </c>
    </row>
    <row r="1780" s="44" customFormat="1" spans="1:23">
      <c r="A1780" s="116"/>
      <c r="E1780" s="108"/>
      <c r="F1780" s="114"/>
      <c r="G1780" s="114"/>
      <c r="H1780" s="114"/>
      <c r="Q1780" s="44">
        <f>IF(数据录入!$B1780="",0,IF(OR(数据录入!$D1780="投标保证金",数据录入!$D1780="合同履约保证金",ISNUMBER(FIND("保证金",数据录入!$E1780))),1,0))</f>
      </c>
      <c r="R1780" s="44">
        <f>IF(AND($Q1780=1,数据录入!$B1780&gt;=$B$2,数据录入!$B1780&lt;=$D$2),N(R1779)+1,N(R1779))</f>
      </c>
    </row>
    <row r="1781" s="44" customFormat="1" spans="1:23">
      <c r="A1781" s="116"/>
      <c r="E1781" s="108"/>
      <c r="F1781" s="114"/>
      <c r="G1781" s="114"/>
      <c r="H1781" s="114"/>
      <c r="Q1781" s="44">
        <f>IF(数据录入!$B1781="",0,IF(OR(数据录入!$D1781="投标保证金",数据录入!$D1781="合同履约保证金",ISNUMBER(FIND("保证金",数据录入!$E1781))),1,0))</f>
      </c>
      <c r="R1781" s="44">
        <f>IF(AND($Q1781=1,数据录入!$B1781&gt;=$B$2,数据录入!$B1781&lt;=$D$2),N(R1780)+1,N(R1780))</f>
      </c>
    </row>
    <row r="1782" s="44" customFormat="1" spans="1:23">
      <c r="A1782" s="116"/>
      <c r="E1782" s="108"/>
      <c r="F1782" s="114"/>
      <c r="G1782" s="114"/>
      <c r="H1782" s="114"/>
      <c r="Q1782" s="44">
        <f>IF(数据录入!$B1782="",0,IF(OR(数据录入!$D1782="投标保证金",数据录入!$D1782="合同履约保证金",ISNUMBER(FIND("保证金",数据录入!$E1782))),1,0))</f>
      </c>
      <c r="R1782" s="44">
        <f>IF(AND($Q1782=1,数据录入!$B1782&gt;=$B$2,数据录入!$B1782&lt;=$D$2),N(R1781)+1,N(R1781))</f>
      </c>
    </row>
    <row r="1783" s="44" customFormat="1" spans="1:23">
      <c r="A1783" s="116"/>
      <c r="E1783" s="108"/>
      <c r="F1783" s="114"/>
      <c r="G1783" s="114"/>
      <c r="H1783" s="114"/>
      <c r="Q1783" s="44">
        <f>IF(数据录入!$B1783="",0,IF(OR(数据录入!$D1783="投标保证金",数据录入!$D1783="合同履约保证金",ISNUMBER(FIND("保证金",数据录入!$E1783))),1,0))</f>
      </c>
      <c r="R1783" s="44">
        <f>IF(AND($Q1783=1,数据录入!$B1783&gt;=$B$2,数据录入!$B1783&lt;=$D$2),N(R1782)+1,N(R1782))</f>
      </c>
    </row>
    <row r="1784" s="44" customFormat="1" spans="1:23">
      <c r="A1784" s="116"/>
      <c r="E1784" s="108"/>
      <c r="F1784" s="114"/>
      <c r="G1784" s="114"/>
      <c r="H1784" s="114"/>
      <c r="Q1784" s="44">
        <f>IF(数据录入!$B1784="",0,IF(OR(数据录入!$D1784="投标保证金",数据录入!$D1784="合同履约保证金",ISNUMBER(FIND("保证金",数据录入!$E1784))),1,0))</f>
      </c>
      <c r="R1784" s="44">
        <f>IF(AND($Q1784=1,数据录入!$B1784&gt;=$B$2,数据录入!$B1784&lt;=$D$2),N(R1783)+1,N(R1783))</f>
      </c>
    </row>
    <row r="1785" s="44" customFormat="1" spans="1:23">
      <c r="A1785" s="116"/>
      <c r="E1785" s="108"/>
      <c r="F1785" s="114"/>
      <c r="G1785" s="114"/>
      <c r="H1785" s="114"/>
      <c r="Q1785" s="44">
        <f>IF(数据录入!$B1785="",0,IF(OR(数据录入!$D1785="投标保证金",数据录入!$D1785="合同履约保证金",ISNUMBER(FIND("保证金",数据录入!$E1785))),1,0))</f>
      </c>
      <c r="R1785" s="44">
        <f>IF(AND($Q1785=1,数据录入!$B1785&gt;=$B$2,数据录入!$B1785&lt;=$D$2),N(R1784)+1,N(R1784))</f>
      </c>
    </row>
    <row r="1786" s="44" customFormat="1" spans="1:23">
      <c r="A1786" s="116"/>
      <c r="E1786" s="108"/>
      <c r="F1786" s="114"/>
      <c r="G1786" s="114"/>
      <c r="H1786" s="114"/>
      <c r="Q1786" s="44">
        <f>IF(数据录入!$B1786="",0,IF(OR(数据录入!$D1786="投标保证金",数据录入!$D1786="合同履约保证金",ISNUMBER(FIND("保证金",数据录入!$E1786))),1,0))</f>
      </c>
      <c r="R1786" s="44">
        <f>IF(AND($Q1786=1,数据录入!$B1786&gt;=$B$2,数据录入!$B1786&lt;=$D$2),N(R1785)+1,N(R1785))</f>
      </c>
    </row>
    <row r="1787" s="44" customFormat="1" spans="1:23">
      <c r="A1787" s="116"/>
      <c r="E1787" s="108"/>
      <c r="F1787" s="114"/>
      <c r="G1787" s="114"/>
      <c r="H1787" s="114"/>
      <c r="Q1787" s="44">
        <f>IF(数据录入!$B1787="",0,IF(OR(数据录入!$D1787="投标保证金",数据录入!$D1787="合同履约保证金",ISNUMBER(FIND("保证金",数据录入!$E1787))),1,0))</f>
      </c>
      <c r="R1787" s="44">
        <f>IF(AND($Q1787=1,数据录入!$B1787&gt;=$B$2,数据录入!$B1787&lt;=$D$2),N(R1786)+1,N(R1786))</f>
      </c>
    </row>
    <row r="1788" s="44" customFormat="1" spans="1:23">
      <c r="A1788" s="116"/>
      <c r="E1788" s="108"/>
      <c r="F1788" s="114"/>
      <c r="G1788" s="114"/>
      <c r="H1788" s="114"/>
      <c r="Q1788" s="44">
        <f>IF(数据录入!$B1788="",0,IF(OR(数据录入!$D1788="投标保证金",数据录入!$D1788="合同履约保证金",ISNUMBER(FIND("保证金",数据录入!$E1788))),1,0))</f>
      </c>
      <c r="R1788" s="44">
        <f>IF(AND($Q1788=1,数据录入!$B1788&gt;=$B$2,数据录入!$B1788&lt;=$D$2),N(R1787)+1,N(R1787))</f>
      </c>
    </row>
    <row r="1789" s="44" customFormat="1" spans="1:23">
      <c r="A1789" s="116"/>
      <c r="E1789" s="108"/>
      <c r="F1789" s="114"/>
      <c r="G1789" s="114"/>
      <c r="H1789" s="114"/>
      <c r="Q1789" s="44">
        <f>IF(数据录入!$B1789="",0,IF(OR(数据录入!$D1789="投标保证金",数据录入!$D1789="合同履约保证金",ISNUMBER(FIND("保证金",数据录入!$E1789))),1,0))</f>
      </c>
      <c r="R1789" s="44">
        <f>IF(AND($Q1789=1,数据录入!$B1789&gt;=$B$2,数据录入!$B1789&lt;=$D$2),N(R1788)+1,N(R1788))</f>
      </c>
    </row>
    <row r="1790" s="44" customFormat="1" spans="1:23">
      <c r="A1790" s="116"/>
      <c r="E1790" s="108"/>
      <c r="F1790" s="114"/>
      <c r="G1790" s="114"/>
      <c r="H1790" s="114"/>
      <c r="Q1790" s="44">
        <f>IF(数据录入!$B1790="",0,IF(OR(数据录入!$D1790="投标保证金",数据录入!$D1790="合同履约保证金",ISNUMBER(FIND("保证金",数据录入!$E1790))),1,0))</f>
      </c>
      <c r="R1790" s="44">
        <f>IF(AND($Q1790=1,数据录入!$B1790&gt;=$B$2,数据录入!$B1790&lt;=$D$2),N(R1789)+1,N(R1789))</f>
      </c>
    </row>
    <row r="1791" s="44" customFormat="1" spans="1:23">
      <c r="A1791" s="116"/>
      <c r="E1791" s="108"/>
      <c r="F1791" s="114"/>
      <c r="G1791" s="114"/>
      <c r="H1791" s="114"/>
      <c r="Q1791" s="44">
        <f>IF(数据录入!$B1791="",0,IF(OR(数据录入!$D1791="投标保证金",数据录入!$D1791="合同履约保证金",ISNUMBER(FIND("保证金",数据录入!$E1791))),1,0))</f>
      </c>
      <c r="R1791" s="44">
        <f>IF(AND($Q1791=1,数据录入!$B1791&gt;=$B$2,数据录入!$B1791&lt;=$D$2),N(R1790)+1,N(R1790))</f>
      </c>
    </row>
    <row r="1792" s="44" customFormat="1" spans="1:23">
      <c r="A1792" s="116"/>
      <c r="E1792" s="108"/>
      <c r="F1792" s="114"/>
      <c r="G1792" s="114"/>
      <c r="H1792" s="114"/>
      <c r="Q1792" s="44">
        <f>IF(数据录入!$B1792="",0,IF(OR(数据录入!$D1792="投标保证金",数据录入!$D1792="合同履约保证金",ISNUMBER(FIND("保证金",数据录入!$E1792))),1,0))</f>
      </c>
      <c r="R1792" s="44">
        <f>IF(AND($Q1792=1,数据录入!$B1792&gt;=$B$2,数据录入!$B1792&lt;=$D$2),N(R1791)+1,N(R1791))</f>
      </c>
    </row>
    <row r="1793" s="44" customFormat="1" spans="1:23">
      <c r="A1793" s="116"/>
      <c r="E1793" s="108"/>
      <c r="F1793" s="114"/>
      <c r="G1793" s="114"/>
      <c r="H1793" s="114"/>
      <c r="Q1793" s="44">
        <f>IF(数据录入!$B1793="",0,IF(OR(数据录入!$D1793="投标保证金",数据录入!$D1793="合同履约保证金",ISNUMBER(FIND("保证金",数据录入!$E1793))),1,0))</f>
      </c>
      <c r="R1793" s="44">
        <f>IF(AND($Q1793=1,数据录入!$B1793&gt;=$B$2,数据录入!$B1793&lt;=$D$2),N(R1792)+1,N(R1792))</f>
      </c>
    </row>
    <row r="1794" s="44" customFormat="1" spans="1:23">
      <c r="A1794" s="116"/>
      <c r="E1794" s="108"/>
      <c r="F1794" s="114"/>
      <c r="G1794" s="114"/>
      <c r="H1794" s="114"/>
      <c r="Q1794" s="44">
        <f>IF(数据录入!$B1794="",0,IF(OR(数据录入!$D1794="投标保证金",数据录入!$D1794="合同履约保证金",ISNUMBER(FIND("保证金",数据录入!$E1794))),1,0))</f>
      </c>
      <c r="R1794" s="44">
        <f>IF(AND($Q1794=1,数据录入!$B1794&gt;=$B$2,数据录入!$B1794&lt;=$D$2),N(R1793)+1,N(R1793))</f>
      </c>
    </row>
    <row r="1795" s="44" customFormat="1" spans="1:23">
      <c r="A1795" s="116"/>
      <c r="E1795" s="108"/>
      <c r="F1795" s="114"/>
      <c r="G1795" s="114"/>
      <c r="H1795" s="114"/>
      <c r="Q1795" s="44">
        <f>IF(数据录入!$B1795="",0,IF(OR(数据录入!$D1795="投标保证金",数据录入!$D1795="合同履约保证金",ISNUMBER(FIND("保证金",数据录入!$E1795))),1,0))</f>
      </c>
      <c r="R1795" s="44">
        <f>IF(AND($Q1795=1,数据录入!$B1795&gt;=$B$2,数据录入!$B1795&lt;=$D$2),N(R1794)+1,N(R1794))</f>
      </c>
    </row>
    <row r="1796" s="44" customFormat="1" spans="1:23">
      <c r="A1796" s="116"/>
      <c r="E1796" s="108"/>
      <c r="F1796" s="114"/>
      <c r="G1796" s="114"/>
      <c r="H1796" s="114"/>
      <c r="Q1796" s="44">
        <f>IF(数据录入!$B1796="",0,IF(OR(数据录入!$D1796="投标保证金",数据录入!$D1796="合同履约保证金",ISNUMBER(FIND("保证金",数据录入!$E1796))),1,0))</f>
      </c>
      <c r="R1796" s="44">
        <f>IF(AND($Q1796=1,数据录入!$B1796&gt;=$B$2,数据录入!$B1796&lt;=$D$2),N(R1795)+1,N(R1795))</f>
      </c>
    </row>
    <row r="1797" s="44" customFormat="1" spans="1:23">
      <c r="A1797" s="116"/>
      <c r="E1797" s="108"/>
      <c r="F1797" s="114"/>
      <c r="G1797" s="114"/>
      <c r="H1797" s="114"/>
      <c r="Q1797" s="44">
        <f>IF(数据录入!$B1797="",0,IF(OR(数据录入!$D1797="投标保证金",数据录入!$D1797="合同履约保证金",ISNUMBER(FIND("保证金",数据录入!$E1797))),1,0))</f>
      </c>
      <c r="R1797" s="44">
        <f>IF(AND($Q1797=1,数据录入!$B1797&gt;=$B$2,数据录入!$B1797&lt;=$D$2),N(R1796)+1,N(R1796))</f>
      </c>
    </row>
    <row r="1798" s="44" customFormat="1" spans="1:23">
      <c r="A1798" s="116"/>
      <c r="E1798" s="108"/>
      <c r="F1798" s="114"/>
      <c r="G1798" s="114"/>
      <c r="H1798" s="114"/>
      <c r="Q1798" s="44">
        <f>IF(数据录入!$B1798="",0,IF(OR(数据录入!$D1798="投标保证金",数据录入!$D1798="合同履约保证金",ISNUMBER(FIND("保证金",数据录入!$E1798))),1,0))</f>
      </c>
      <c r="R1798" s="44">
        <f>IF(AND($Q1798=1,数据录入!$B1798&gt;=$B$2,数据录入!$B1798&lt;=$D$2),N(R1797)+1,N(R1797))</f>
      </c>
    </row>
    <row r="1799" s="44" customFormat="1" spans="1:23">
      <c r="A1799" s="116"/>
      <c r="E1799" s="108"/>
      <c r="F1799" s="114"/>
      <c r="G1799" s="114"/>
      <c r="H1799" s="114"/>
      <c r="Q1799" s="44">
        <f>IF(数据录入!$B1799="",0,IF(OR(数据录入!$D1799="投标保证金",数据录入!$D1799="合同履约保证金",ISNUMBER(FIND("保证金",数据录入!$E1799))),1,0))</f>
      </c>
      <c r="R1799" s="44">
        <f>IF(AND($Q1799=1,数据录入!$B1799&gt;=$B$2,数据录入!$B1799&lt;=$D$2),N(R1798)+1,N(R1798))</f>
      </c>
    </row>
    <row r="1800" s="44" customFormat="1" spans="1:23">
      <c r="A1800" s="116"/>
      <c r="E1800" s="108"/>
      <c r="F1800" s="114"/>
      <c r="G1800" s="114"/>
      <c r="H1800" s="114"/>
      <c r="Q1800" s="44">
        <f>IF(数据录入!$B1800="",0,IF(OR(数据录入!$D1800="投标保证金",数据录入!$D1800="合同履约保证金",ISNUMBER(FIND("保证金",数据录入!$E1800))),1,0))</f>
      </c>
      <c r="R1800" s="44">
        <f>IF(AND($Q1800=1,数据录入!$B1800&gt;=$B$2,数据录入!$B1800&lt;=$D$2),N(R1799)+1,N(R1799))</f>
      </c>
    </row>
    <row r="1801" s="44" customFormat="1" spans="1:23">
      <c r="A1801" s="116"/>
      <c r="E1801" s="108"/>
      <c r="F1801" s="114"/>
      <c r="G1801" s="114"/>
      <c r="H1801" s="114"/>
      <c r="Q1801" s="44">
        <f>IF(数据录入!$B1801="",0,IF(OR(数据录入!$D1801="投标保证金",数据录入!$D1801="合同履约保证金",ISNUMBER(FIND("保证金",数据录入!$E1801))),1,0))</f>
      </c>
      <c r="R1801" s="44">
        <f>IF(AND($Q1801=1,数据录入!$B1801&gt;=$B$2,数据录入!$B1801&lt;=$D$2),N(R1800)+1,N(R1800))</f>
      </c>
    </row>
    <row r="1802" s="44" customFormat="1" spans="1:23">
      <c r="A1802" s="116"/>
      <c r="E1802" s="108"/>
      <c r="F1802" s="114"/>
      <c r="G1802" s="114"/>
      <c r="H1802" s="114"/>
      <c r="Q1802" s="44">
        <f>IF(数据录入!$B1802="",0,IF(OR(数据录入!$D1802="投标保证金",数据录入!$D1802="合同履约保证金",ISNUMBER(FIND("保证金",数据录入!$E1802))),1,0))</f>
      </c>
      <c r="R1802" s="44">
        <f>IF(AND($Q1802=1,数据录入!$B1802&gt;=$B$2,数据录入!$B1802&lt;=$D$2),N(R1801)+1,N(R1801))</f>
      </c>
    </row>
    <row r="1803" s="44" customFormat="1" spans="1:23">
      <c r="A1803" s="116"/>
      <c r="E1803" s="108"/>
      <c r="F1803" s="114"/>
      <c r="G1803" s="114"/>
      <c r="H1803" s="114"/>
      <c r="Q1803" s="44">
        <f>IF(数据录入!$B1803="",0,IF(OR(数据录入!$D1803="投标保证金",数据录入!$D1803="合同履约保证金",ISNUMBER(FIND("保证金",数据录入!$E1803))),1,0))</f>
      </c>
      <c r="R1803" s="44">
        <f>IF(AND($Q1803=1,数据录入!$B1803&gt;=$B$2,数据录入!$B1803&lt;=$D$2),N(R1802)+1,N(R1802))</f>
      </c>
    </row>
    <row r="1804" s="44" customFormat="1" spans="1:23">
      <c r="A1804" s="116"/>
      <c r="E1804" s="108"/>
      <c r="F1804" s="114"/>
      <c r="G1804" s="114"/>
      <c r="H1804" s="114"/>
      <c r="Q1804" s="44">
        <f>IF(数据录入!$B1804="",0,IF(OR(数据录入!$D1804="投标保证金",数据录入!$D1804="合同履约保证金",ISNUMBER(FIND("保证金",数据录入!$E1804))),1,0))</f>
      </c>
      <c r="R1804" s="44">
        <f>IF(AND($Q1804=1,数据录入!$B1804&gt;=$B$2,数据录入!$B1804&lt;=$D$2),N(R1803)+1,N(R1803))</f>
      </c>
    </row>
    <row r="1805" s="44" customFormat="1" spans="1:23">
      <c r="A1805" s="116"/>
      <c r="E1805" s="108"/>
      <c r="F1805" s="114"/>
      <c r="G1805" s="114"/>
      <c r="H1805" s="114"/>
      <c r="Q1805" s="44">
        <f>IF(数据录入!$B1805="",0,IF(OR(数据录入!$D1805="投标保证金",数据录入!$D1805="合同履约保证金",ISNUMBER(FIND("保证金",数据录入!$E1805))),1,0))</f>
      </c>
      <c r="R1805" s="44">
        <f>IF(AND($Q1805=1,数据录入!$B1805&gt;=$B$2,数据录入!$B1805&lt;=$D$2),N(R1804)+1,N(R1804))</f>
      </c>
    </row>
    <row r="1806" s="44" customFormat="1" spans="1:23">
      <c r="A1806" s="116"/>
      <c r="E1806" s="108"/>
      <c r="F1806" s="114"/>
      <c r="G1806" s="114"/>
      <c r="H1806" s="114"/>
      <c r="Q1806" s="44">
        <f>IF(数据录入!$B1806="",0,IF(OR(数据录入!$D1806="投标保证金",数据录入!$D1806="合同履约保证金",ISNUMBER(FIND("保证金",数据录入!$E1806))),1,0))</f>
      </c>
      <c r="R1806" s="44">
        <f>IF(AND($Q1806=1,数据录入!$B1806&gt;=$B$2,数据录入!$B1806&lt;=$D$2),N(R1805)+1,N(R1805))</f>
      </c>
    </row>
    <row r="1807" s="44" customFormat="1" spans="1:23">
      <c r="A1807" s="116"/>
      <c r="E1807" s="108"/>
      <c r="F1807" s="114"/>
      <c r="G1807" s="114"/>
      <c r="H1807" s="114"/>
      <c r="Q1807" s="44">
        <f>IF(数据录入!$B1807="",0,IF(OR(数据录入!$D1807="投标保证金",数据录入!$D1807="合同履约保证金",ISNUMBER(FIND("保证金",数据录入!$E1807))),1,0))</f>
      </c>
      <c r="R1807" s="44">
        <f>IF(AND($Q1807=1,数据录入!$B1807&gt;=$B$2,数据录入!$B1807&lt;=$D$2),N(R1806)+1,N(R1806))</f>
      </c>
    </row>
    <row r="1808" s="44" customFormat="1" spans="1:23">
      <c r="A1808" s="116"/>
      <c r="E1808" s="108"/>
      <c r="F1808" s="114"/>
      <c r="G1808" s="114"/>
      <c r="H1808" s="114"/>
      <c r="Q1808" s="44">
        <f>IF(数据录入!$B1808="",0,IF(OR(数据录入!$D1808="投标保证金",数据录入!$D1808="合同履约保证金",ISNUMBER(FIND("保证金",数据录入!$E1808))),1,0))</f>
      </c>
      <c r="R1808" s="44">
        <f>IF(AND($Q1808=1,数据录入!$B1808&gt;=$B$2,数据录入!$B1808&lt;=$D$2),N(R1807)+1,N(R1807))</f>
      </c>
    </row>
    <row r="1809" s="44" customFormat="1" spans="1:23">
      <c r="A1809" s="116"/>
      <c r="E1809" s="108"/>
      <c r="F1809" s="114"/>
      <c r="G1809" s="114"/>
      <c r="H1809" s="114"/>
      <c r="Q1809" s="44">
        <f>IF(数据录入!$B1809="",0,IF(OR(数据录入!$D1809="投标保证金",数据录入!$D1809="合同履约保证金",ISNUMBER(FIND("保证金",数据录入!$E1809))),1,0))</f>
      </c>
      <c r="R1809" s="44">
        <f>IF(AND($Q1809=1,数据录入!$B1809&gt;=$B$2,数据录入!$B1809&lt;=$D$2),N(R1808)+1,N(R1808))</f>
      </c>
    </row>
    <row r="1810" s="44" customFormat="1" spans="1:23">
      <c r="A1810" s="116"/>
      <c r="E1810" s="108"/>
      <c r="F1810" s="114"/>
      <c r="G1810" s="114"/>
      <c r="H1810" s="114"/>
      <c r="Q1810" s="44">
        <f>IF(数据录入!$B1810="",0,IF(OR(数据录入!$D1810="投标保证金",数据录入!$D1810="合同履约保证金",ISNUMBER(FIND("保证金",数据录入!$E1810))),1,0))</f>
      </c>
      <c r="R1810" s="44">
        <f>IF(AND($Q1810=1,数据录入!$B1810&gt;=$B$2,数据录入!$B1810&lt;=$D$2),N(R1809)+1,N(R1809))</f>
      </c>
    </row>
    <row r="1811" s="44" customFormat="1" spans="1:23">
      <c r="A1811" s="116"/>
      <c r="E1811" s="108"/>
      <c r="F1811" s="114"/>
      <c r="G1811" s="114"/>
      <c r="H1811" s="114"/>
      <c r="Q1811" s="44">
        <f>IF(数据录入!$B1811="",0,IF(OR(数据录入!$D1811="投标保证金",数据录入!$D1811="合同履约保证金",ISNUMBER(FIND("保证金",数据录入!$E1811))),1,0))</f>
      </c>
      <c r="R1811" s="44">
        <f>IF(AND($Q1811=1,数据录入!$B1811&gt;=$B$2,数据录入!$B1811&lt;=$D$2),N(R1810)+1,N(R1810))</f>
      </c>
    </row>
    <row r="1812" s="44" customFormat="1" spans="1:23">
      <c r="A1812" s="116"/>
      <c r="E1812" s="108"/>
      <c r="F1812" s="114"/>
      <c r="G1812" s="114"/>
      <c r="H1812" s="114"/>
      <c r="Q1812" s="44">
        <f>IF(数据录入!$B1812="",0,IF(OR(数据录入!$D1812="投标保证金",数据录入!$D1812="合同履约保证金",ISNUMBER(FIND("保证金",数据录入!$E1812))),1,0))</f>
      </c>
      <c r="R1812" s="44">
        <f>IF(AND($Q1812=1,数据录入!$B1812&gt;=$B$2,数据录入!$B1812&lt;=$D$2),N(R1811)+1,N(R1811))</f>
      </c>
    </row>
    <row r="1813" s="44" customFormat="1" spans="1:23">
      <c r="A1813" s="116"/>
      <c r="E1813" s="108"/>
      <c r="F1813" s="114"/>
      <c r="G1813" s="114"/>
      <c r="H1813" s="114"/>
      <c r="Q1813" s="44">
        <f>IF(数据录入!$B1813="",0,IF(OR(数据录入!$D1813="投标保证金",数据录入!$D1813="合同履约保证金",ISNUMBER(FIND("保证金",数据录入!$E1813))),1,0))</f>
      </c>
      <c r="R1813" s="44">
        <f>IF(AND($Q1813=1,数据录入!$B1813&gt;=$B$2,数据录入!$B1813&lt;=$D$2),N(R1812)+1,N(R1812))</f>
      </c>
    </row>
    <row r="1814" s="44" customFormat="1" spans="1:23">
      <c r="A1814" s="116"/>
      <c r="E1814" s="108"/>
      <c r="F1814" s="114"/>
      <c r="G1814" s="114"/>
      <c r="H1814" s="114"/>
      <c r="Q1814" s="44">
        <f>IF(数据录入!$B1814="",0,IF(OR(数据录入!$D1814="投标保证金",数据录入!$D1814="合同履约保证金",ISNUMBER(FIND("保证金",数据录入!$E1814))),1,0))</f>
      </c>
      <c r="R1814" s="44">
        <f>IF(AND($Q1814=1,数据录入!$B1814&gt;=$B$2,数据录入!$B1814&lt;=$D$2),N(R1813)+1,N(R1813))</f>
      </c>
    </row>
    <row r="1815" s="44" customFormat="1" spans="1:23">
      <c r="A1815" s="116"/>
      <c r="E1815" s="108"/>
      <c r="F1815" s="114"/>
      <c r="G1815" s="114"/>
      <c r="H1815" s="114"/>
      <c r="Q1815" s="44">
        <f>IF(数据录入!$B1815="",0,IF(OR(数据录入!$D1815="投标保证金",数据录入!$D1815="合同履约保证金",ISNUMBER(FIND("保证金",数据录入!$E1815))),1,0))</f>
      </c>
      <c r="R1815" s="44">
        <f>IF(AND($Q1815=1,数据录入!$B1815&gt;=$B$2,数据录入!$B1815&lt;=$D$2),N(R1814)+1,N(R1814))</f>
      </c>
    </row>
    <row r="1816" s="44" customFormat="1" spans="1:23">
      <c r="A1816" s="116"/>
      <c r="E1816" s="108"/>
      <c r="F1816" s="114"/>
      <c r="G1816" s="114"/>
      <c r="H1816" s="114"/>
      <c r="Q1816" s="44">
        <f>IF(数据录入!$B1816="",0,IF(OR(数据录入!$D1816="投标保证金",数据录入!$D1816="合同履约保证金",ISNUMBER(FIND("保证金",数据录入!$E1816))),1,0))</f>
      </c>
      <c r="R1816" s="44">
        <f>IF(AND($Q1816=1,数据录入!$B1816&gt;=$B$2,数据录入!$B1816&lt;=$D$2),N(R1815)+1,N(R1815))</f>
      </c>
    </row>
    <row r="1817" s="44" customFormat="1" spans="1:23">
      <c r="A1817" s="116"/>
      <c r="E1817" s="108"/>
      <c r="F1817" s="114"/>
      <c r="G1817" s="114"/>
      <c r="H1817" s="114"/>
      <c r="Q1817" s="44">
        <f>IF(数据录入!$B1817="",0,IF(OR(数据录入!$D1817="投标保证金",数据录入!$D1817="合同履约保证金",ISNUMBER(FIND("保证金",数据录入!$E1817))),1,0))</f>
      </c>
      <c r="R1817" s="44">
        <f>IF(AND($Q1817=1,数据录入!$B1817&gt;=$B$2,数据录入!$B1817&lt;=$D$2),N(R1816)+1,N(R1816))</f>
      </c>
    </row>
    <row r="1818" s="44" customFormat="1" spans="1:23">
      <c r="A1818" s="116"/>
      <c r="E1818" s="108"/>
      <c r="F1818" s="114"/>
      <c r="G1818" s="114"/>
      <c r="H1818" s="114"/>
      <c r="Q1818" s="44">
        <f>IF(数据录入!$B1818="",0,IF(OR(数据录入!$D1818="投标保证金",数据录入!$D1818="合同履约保证金",ISNUMBER(FIND("保证金",数据录入!$E1818))),1,0))</f>
      </c>
      <c r="R1818" s="44">
        <f>IF(AND($Q1818=1,数据录入!$B1818&gt;=$B$2,数据录入!$B1818&lt;=$D$2),N(R1817)+1,N(R1817))</f>
      </c>
    </row>
    <row r="1819" s="44" customFormat="1" spans="1:23">
      <c r="A1819" s="116"/>
      <c r="E1819" s="108"/>
      <c r="F1819" s="114"/>
      <c r="G1819" s="114"/>
      <c r="H1819" s="114"/>
      <c r="Q1819" s="44">
        <f>IF(数据录入!$B1819="",0,IF(OR(数据录入!$D1819="投标保证金",数据录入!$D1819="合同履约保证金",ISNUMBER(FIND("保证金",数据录入!$E1819))),1,0))</f>
      </c>
      <c r="R1819" s="44">
        <f>IF(AND($Q1819=1,数据录入!$B1819&gt;=$B$2,数据录入!$B1819&lt;=$D$2),N(R1818)+1,N(R1818))</f>
      </c>
    </row>
    <row r="1820" s="44" customFormat="1" spans="1:23">
      <c r="A1820" s="116"/>
      <c r="E1820" s="108"/>
      <c r="F1820" s="114"/>
      <c r="G1820" s="114"/>
      <c r="H1820" s="114"/>
      <c r="Q1820" s="44">
        <f>IF(数据录入!$B1820="",0,IF(OR(数据录入!$D1820="投标保证金",数据录入!$D1820="合同履约保证金",ISNUMBER(FIND("保证金",数据录入!$E1820))),1,0))</f>
      </c>
      <c r="R1820" s="44">
        <f>IF(AND($Q1820=1,数据录入!$B1820&gt;=$B$2,数据录入!$B1820&lt;=$D$2),N(R1819)+1,N(R1819))</f>
      </c>
    </row>
    <row r="1821" s="44" customFormat="1" spans="1:23">
      <c r="A1821" s="116"/>
      <c r="E1821" s="108"/>
      <c r="F1821" s="114"/>
      <c r="G1821" s="114"/>
      <c r="H1821" s="114"/>
      <c r="Q1821" s="44">
        <f>IF(数据录入!$B1821="",0,IF(OR(数据录入!$D1821="投标保证金",数据录入!$D1821="合同履约保证金",ISNUMBER(FIND("保证金",数据录入!$E1821))),1,0))</f>
      </c>
      <c r="R1821" s="44">
        <f>IF(AND($Q1821=1,数据录入!$B1821&gt;=$B$2,数据录入!$B1821&lt;=$D$2),N(R1820)+1,N(R1820))</f>
      </c>
    </row>
    <row r="1822" s="44" customFormat="1" spans="1:23">
      <c r="A1822" s="116"/>
      <c r="E1822" s="108"/>
      <c r="F1822" s="114"/>
      <c r="G1822" s="114"/>
      <c r="H1822" s="114"/>
      <c r="Q1822" s="44">
        <f>IF(数据录入!$B1822="",0,IF(OR(数据录入!$D1822="投标保证金",数据录入!$D1822="合同履约保证金",ISNUMBER(FIND("保证金",数据录入!$E1822))),1,0))</f>
      </c>
      <c r="R1822" s="44">
        <f>IF(AND($Q1822=1,数据录入!$B1822&gt;=$B$2,数据录入!$B1822&lt;=$D$2),N(R1821)+1,N(R1821))</f>
      </c>
    </row>
    <row r="1823" s="44" customFormat="1" spans="1:23">
      <c r="A1823" s="116"/>
      <c r="E1823" s="108"/>
      <c r="F1823" s="114"/>
      <c r="G1823" s="114"/>
      <c r="H1823" s="114"/>
      <c r="Q1823" s="44">
        <f>IF(数据录入!$B1823="",0,IF(OR(数据录入!$D1823="投标保证金",数据录入!$D1823="合同履约保证金",ISNUMBER(FIND("保证金",数据录入!$E1823))),1,0))</f>
      </c>
      <c r="R1823" s="44">
        <f>IF(AND($Q1823=1,数据录入!$B1823&gt;=$B$2,数据录入!$B1823&lt;=$D$2),N(R1822)+1,N(R1822))</f>
      </c>
    </row>
    <row r="1824" s="44" customFormat="1" spans="1:23">
      <c r="A1824" s="116"/>
      <c r="E1824" s="108"/>
      <c r="F1824" s="114"/>
      <c r="G1824" s="114"/>
      <c r="H1824" s="114"/>
      <c r="Q1824" s="44">
        <f>IF(数据录入!$B1824="",0,IF(OR(数据录入!$D1824="投标保证金",数据录入!$D1824="合同履约保证金",ISNUMBER(FIND("保证金",数据录入!$E1824))),1,0))</f>
      </c>
      <c r="R1824" s="44">
        <f>IF(AND($Q1824=1,数据录入!$B1824&gt;=$B$2,数据录入!$B1824&lt;=$D$2),N(R1823)+1,N(R1823))</f>
      </c>
    </row>
    <row r="1825" s="44" customFormat="1" spans="1:23">
      <c r="A1825" s="116"/>
      <c r="E1825" s="108"/>
      <c r="F1825" s="114"/>
      <c r="G1825" s="114"/>
      <c r="H1825" s="114"/>
      <c r="Q1825" s="44">
        <f>IF(数据录入!$B1825="",0,IF(OR(数据录入!$D1825="投标保证金",数据录入!$D1825="合同履约保证金",ISNUMBER(FIND("保证金",数据录入!$E1825))),1,0))</f>
      </c>
      <c r="R1825" s="44">
        <f>IF(AND($Q1825=1,数据录入!$B1825&gt;=$B$2,数据录入!$B1825&lt;=$D$2),N(R1824)+1,N(R1824))</f>
      </c>
    </row>
    <row r="1826" s="44" customFormat="1" spans="1:23">
      <c r="A1826" s="116"/>
      <c r="E1826" s="108"/>
      <c r="F1826" s="114"/>
      <c r="G1826" s="114"/>
      <c r="H1826" s="114"/>
      <c r="Q1826" s="44">
        <f>IF(数据录入!$B1826="",0,IF(OR(数据录入!$D1826="投标保证金",数据录入!$D1826="合同履约保证金",ISNUMBER(FIND("保证金",数据录入!$E1826))),1,0))</f>
      </c>
      <c r="R1826" s="44">
        <f>IF(AND($Q1826=1,数据录入!$B1826&gt;=$B$2,数据录入!$B1826&lt;=$D$2),N(R1825)+1,N(R1825))</f>
      </c>
    </row>
    <row r="1827" s="44" customFormat="1" spans="1:23">
      <c r="A1827" s="116"/>
      <c r="E1827" s="108"/>
      <c r="F1827" s="114"/>
      <c r="G1827" s="114"/>
      <c r="H1827" s="114"/>
      <c r="Q1827" s="44">
        <f>IF(数据录入!$B1827="",0,IF(OR(数据录入!$D1827="投标保证金",数据录入!$D1827="合同履约保证金",ISNUMBER(FIND("保证金",数据录入!$E1827))),1,0))</f>
      </c>
      <c r="R1827" s="44">
        <f>IF(AND($Q1827=1,数据录入!$B1827&gt;=$B$2,数据录入!$B1827&lt;=$D$2),N(R1826)+1,N(R1826))</f>
      </c>
    </row>
    <row r="1828" s="44" customFormat="1" spans="1:23">
      <c r="A1828" s="116"/>
      <c r="E1828" s="108"/>
      <c r="F1828" s="114"/>
      <c r="G1828" s="114"/>
      <c r="H1828" s="114"/>
      <c r="Q1828" s="44">
        <f>IF(数据录入!$B1828="",0,IF(OR(数据录入!$D1828="投标保证金",数据录入!$D1828="合同履约保证金",ISNUMBER(FIND("保证金",数据录入!$E1828))),1,0))</f>
      </c>
      <c r="R1828" s="44">
        <f>IF(AND($Q1828=1,数据录入!$B1828&gt;=$B$2,数据录入!$B1828&lt;=$D$2),N(R1827)+1,N(R1827))</f>
      </c>
    </row>
    <row r="1829" s="44" customFormat="1" spans="1:23">
      <c r="A1829" s="116"/>
      <c r="E1829" s="108"/>
      <c r="F1829" s="114"/>
      <c r="G1829" s="114"/>
      <c r="H1829" s="114"/>
      <c r="Q1829" s="44">
        <f>IF(数据录入!$B1829="",0,IF(OR(数据录入!$D1829="投标保证金",数据录入!$D1829="合同履约保证金",ISNUMBER(FIND("保证金",数据录入!$E1829))),1,0))</f>
      </c>
      <c r="R1829" s="44">
        <f>IF(AND($Q1829=1,数据录入!$B1829&gt;=$B$2,数据录入!$B1829&lt;=$D$2),N(R1828)+1,N(R1828))</f>
      </c>
    </row>
    <row r="1830" s="44" customFormat="1" spans="1:23">
      <c r="A1830" s="116"/>
      <c r="E1830" s="108"/>
      <c r="F1830" s="114"/>
      <c r="G1830" s="114"/>
      <c r="H1830" s="114"/>
      <c r="Q1830" s="44">
        <f>IF(数据录入!$B1830="",0,IF(OR(数据录入!$D1830="投标保证金",数据录入!$D1830="合同履约保证金",ISNUMBER(FIND("保证金",数据录入!$E1830))),1,0))</f>
      </c>
      <c r="R1830" s="44">
        <f>IF(AND($Q1830=1,数据录入!$B1830&gt;=$B$2,数据录入!$B1830&lt;=$D$2),N(R1829)+1,N(R1829))</f>
      </c>
    </row>
    <row r="1831" s="44" customFormat="1" spans="1:23">
      <c r="A1831" s="116"/>
      <c r="E1831" s="108"/>
      <c r="F1831" s="114"/>
      <c r="G1831" s="114"/>
      <c r="H1831" s="114"/>
      <c r="Q1831" s="44">
        <f>IF(数据录入!$B1831="",0,IF(OR(数据录入!$D1831="投标保证金",数据录入!$D1831="合同履约保证金",ISNUMBER(FIND("保证金",数据录入!$E1831))),1,0))</f>
      </c>
      <c r="R1831" s="44">
        <f>IF(AND($Q1831=1,数据录入!$B1831&gt;=$B$2,数据录入!$B1831&lt;=$D$2),N(R1830)+1,N(R1830))</f>
      </c>
    </row>
    <row r="1832" s="44" customFormat="1" spans="1:23">
      <c r="A1832" s="116"/>
      <c r="E1832" s="108"/>
      <c r="F1832" s="114"/>
      <c r="G1832" s="114"/>
      <c r="H1832" s="114"/>
      <c r="Q1832" s="44">
        <f>IF(数据录入!$B1832="",0,IF(OR(数据录入!$D1832="投标保证金",数据录入!$D1832="合同履约保证金",ISNUMBER(FIND("保证金",数据录入!$E1832))),1,0))</f>
      </c>
      <c r="R1832" s="44">
        <f>IF(AND($Q1832=1,数据录入!$B1832&gt;=$B$2,数据录入!$B1832&lt;=$D$2),N(R1831)+1,N(R1831))</f>
      </c>
    </row>
    <row r="1833" s="44" customFormat="1" spans="1:23">
      <c r="A1833" s="116"/>
      <c r="E1833" s="108"/>
      <c r="F1833" s="114"/>
      <c r="G1833" s="114"/>
      <c r="H1833" s="114"/>
      <c r="Q1833" s="44">
        <f>IF(数据录入!$B1833="",0,IF(OR(数据录入!$D1833="投标保证金",数据录入!$D1833="合同履约保证金",ISNUMBER(FIND("保证金",数据录入!$E1833))),1,0))</f>
      </c>
      <c r="R1833" s="44">
        <f>IF(AND($Q1833=1,数据录入!$B1833&gt;=$B$2,数据录入!$B1833&lt;=$D$2),N(R1832)+1,N(R1832))</f>
      </c>
    </row>
    <row r="1834" s="44" customFormat="1" spans="1:23">
      <c r="A1834" s="116"/>
      <c r="E1834" s="108"/>
      <c r="F1834" s="114"/>
      <c r="G1834" s="114"/>
      <c r="H1834" s="114"/>
      <c r="Q1834" s="44">
        <f>IF(数据录入!$B1834="",0,IF(OR(数据录入!$D1834="投标保证金",数据录入!$D1834="合同履约保证金",ISNUMBER(FIND("保证金",数据录入!$E1834))),1,0))</f>
      </c>
      <c r="R1834" s="44">
        <f>IF(AND($Q1834=1,数据录入!$B1834&gt;=$B$2,数据录入!$B1834&lt;=$D$2),N(R1833)+1,N(R1833))</f>
      </c>
    </row>
    <row r="1835" s="44" customFormat="1" spans="1:23">
      <c r="A1835" s="116"/>
      <c r="E1835" s="108"/>
      <c r="F1835" s="114"/>
      <c r="G1835" s="114"/>
      <c r="H1835" s="114"/>
      <c r="Q1835" s="44">
        <f>IF(数据录入!$B1835="",0,IF(OR(数据录入!$D1835="投标保证金",数据录入!$D1835="合同履约保证金",ISNUMBER(FIND("保证金",数据录入!$E1835))),1,0))</f>
      </c>
      <c r="R1835" s="44">
        <f>IF(AND($Q1835=1,数据录入!$B1835&gt;=$B$2,数据录入!$B1835&lt;=$D$2),N(R1834)+1,N(R1834))</f>
      </c>
    </row>
    <row r="1836" s="44" customFormat="1" spans="1:23">
      <c r="A1836" s="116"/>
      <c r="E1836" s="108"/>
      <c r="F1836" s="114"/>
      <c r="G1836" s="114"/>
      <c r="H1836" s="114"/>
      <c r="Q1836" s="44">
        <f>IF(数据录入!$B1836="",0,IF(OR(数据录入!$D1836="投标保证金",数据录入!$D1836="合同履约保证金",ISNUMBER(FIND("保证金",数据录入!$E1836))),1,0))</f>
      </c>
      <c r="R1836" s="44">
        <f>IF(AND($Q1836=1,数据录入!$B1836&gt;=$B$2,数据录入!$B1836&lt;=$D$2),N(R1835)+1,N(R1835))</f>
      </c>
    </row>
    <row r="1837" s="44" customFormat="1" spans="1:23">
      <c r="A1837" s="116"/>
      <c r="E1837" s="108"/>
      <c r="F1837" s="114"/>
      <c r="G1837" s="114"/>
      <c r="H1837" s="114"/>
      <c r="Q1837" s="44">
        <f>IF(数据录入!$B1837="",0,IF(OR(数据录入!$D1837="投标保证金",数据录入!$D1837="合同履约保证金",ISNUMBER(FIND("保证金",数据录入!$E1837))),1,0))</f>
      </c>
      <c r="R1837" s="44">
        <f>IF(AND($Q1837=1,数据录入!$B1837&gt;=$B$2,数据录入!$B1837&lt;=$D$2),N(R1836)+1,N(R1836))</f>
      </c>
    </row>
    <row r="1838" s="44" customFormat="1" spans="1:23">
      <c r="A1838" s="116"/>
      <c r="E1838" s="108"/>
      <c r="F1838" s="114"/>
      <c r="G1838" s="114"/>
      <c r="H1838" s="114"/>
      <c r="Q1838" s="44">
        <f>IF(数据录入!$B1838="",0,IF(OR(数据录入!$D1838="投标保证金",数据录入!$D1838="合同履约保证金",ISNUMBER(FIND("保证金",数据录入!$E1838))),1,0))</f>
      </c>
      <c r="R1838" s="44">
        <f>IF(AND($Q1838=1,数据录入!$B1838&gt;=$B$2,数据录入!$B1838&lt;=$D$2),N(R1837)+1,N(R1837))</f>
      </c>
    </row>
    <row r="1839" s="44" customFormat="1" spans="1:23">
      <c r="A1839" s="116"/>
      <c r="E1839" s="108"/>
      <c r="F1839" s="114"/>
      <c r="G1839" s="114"/>
      <c r="H1839" s="114"/>
      <c r="Q1839" s="44">
        <f>IF(数据录入!$B1839="",0,IF(OR(数据录入!$D1839="投标保证金",数据录入!$D1839="合同履约保证金",ISNUMBER(FIND("保证金",数据录入!$E1839))),1,0))</f>
      </c>
      <c r="R1839" s="44">
        <f>IF(AND($Q1839=1,数据录入!$B1839&gt;=$B$2,数据录入!$B1839&lt;=$D$2),N(R1838)+1,N(R1838))</f>
      </c>
    </row>
    <row r="1840" s="44" customFormat="1" spans="1:23">
      <c r="A1840" s="116"/>
      <c r="E1840" s="108"/>
      <c r="F1840" s="114"/>
      <c r="G1840" s="114"/>
      <c r="H1840" s="114"/>
      <c r="Q1840" s="44">
        <f>IF(数据录入!$B1840="",0,IF(OR(数据录入!$D1840="投标保证金",数据录入!$D1840="合同履约保证金",ISNUMBER(FIND("保证金",数据录入!$E1840))),1,0))</f>
      </c>
      <c r="R1840" s="44">
        <f>IF(AND($Q1840=1,数据录入!$B1840&gt;=$B$2,数据录入!$B1840&lt;=$D$2),N(R1839)+1,N(R1839))</f>
      </c>
    </row>
    <row r="1841" s="44" customFormat="1" spans="1:23">
      <c r="A1841" s="116"/>
      <c r="E1841" s="108"/>
      <c r="F1841" s="114"/>
      <c r="G1841" s="114"/>
      <c r="H1841" s="114"/>
      <c r="Q1841" s="44">
        <f>IF(数据录入!$B1841="",0,IF(OR(数据录入!$D1841="投标保证金",数据录入!$D1841="合同履约保证金",ISNUMBER(FIND("保证金",数据录入!$E1841))),1,0))</f>
      </c>
      <c r="R1841" s="44">
        <f>IF(AND($Q1841=1,数据录入!$B1841&gt;=$B$2,数据录入!$B1841&lt;=$D$2),N(R1840)+1,N(R1840))</f>
      </c>
    </row>
    <row r="1842" s="44" customFormat="1" spans="1:23">
      <c r="A1842" s="116"/>
      <c r="E1842" s="108"/>
      <c r="F1842" s="114"/>
      <c r="G1842" s="114"/>
      <c r="H1842" s="114"/>
      <c r="Q1842" s="44">
        <f>IF(数据录入!$B1842="",0,IF(OR(数据录入!$D1842="投标保证金",数据录入!$D1842="合同履约保证金",ISNUMBER(FIND("保证金",数据录入!$E1842))),1,0))</f>
      </c>
      <c r="R1842" s="44">
        <f>IF(AND($Q1842=1,数据录入!$B1842&gt;=$B$2,数据录入!$B1842&lt;=$D$2),N(R1841)+1,N(R1841))</f>
      </c>
    </row>
    <row r="1843" s="44" customFormat="1" spans="1:23">
      <c r="A1843" s="116"/>
      <c r="E1843" s="108"/>
      <c r="F1843" s="114"/>
      <c r="G1843" s="114"/>
      <c r="H1843" s="114"/>
      <c r="Q1843" s="44">
        <f>IF(数据录入!$B1843="",0,IF(OR(数据录入!$D1843="投标保证金",数据录入!$D1843="合同履约保证金",ISNUMBER(FIND("保证金",数据录入!$E1843))),1,0))</f>
      </c>
      <c r="R1843" s="44">
        <f>IF(AND($Q1843=1,数据录入!$B1843&gt;=$B$2,数据录入!$B1843&lt;=$D$2),N(R1842)+1,N(R1842))</f>
      </c>
    </row>
    <row r="1844" s="44" customFormat="1" spans="1:23">
      <c r="A1844" s="116"/>
      <c r="E1844" s="108"/>
      <c r="F1844" s="114"/>
      <c r="G1844" s="114"/>
      <c r="H1844" s="114"/>
      <c r="Q1844" s="44">
        <f>IF(数据录入!$B1844="",0,IF(OR(数据录入!$D1844="投标保证金",数据录入!$D1844="合同履约保证金",ISNUMBER(FIND("保证金",数据录入!$E1844))),1,0))</f>
      </c>
      <c r="R1844" s="44">
        <f>IF(AND($Q1844=1,数据录入!$B1844&gt;=$B$2,数据录入!$B1844&lt;=$D$2),N(R1843)+1,N(R1843))</f>
      </c>
    </row>
    <row r="1845" s="44" customFormat="1" spans="1:23">
      <c r="A1845" s="116"/>
      <c r="E1845" s="108"/>
      <c r="F1845" s="114"/>
      <c r="G1845" s="114"/>
      <c r="H1845" s="114"/>
      <c r="Q1845" s="44">
        <f>IF(数据录入!$B1845="",0,IF(OR(数据录入!$D1845="投标保证金",数据录入!$D1845="合同履约保证金",ISNUMBER(FIND("保证金",数据录入!$E1845))),1,0))</f>
      </c>
      <c r="R1845" s="44">
        <f>IF(AND($Q1845=1,数据录入!$B1845&gt;=$B$2,数据录入!$B1845&lt;=$D$2),N(R1844)+1,N(R1844))</f>
      </c>
    </row>
    <row r="1846" s="44" customFormat="1" spans="1:23">
      <c r="A1846" s="116"/>
      <c r="E1846" s="108"/>
      <c r="F1846" s="114"/>
      <c r="G1846" s="114"/>
      <c r="H1846" s="114"/>
      <c r="Q1846" s="44">
        <f>IF(数据录入!$B1846="",0,IF(OR(数据录入!$D1846="投标保证金",数据录入!$D1846="合同履约保证金",ISNUMBER(FIND("保证金",数据录入!$E1846))),1,0))</f>
      </c>
      <c r="R1846" s="44">
        <f>IF(AND($Q1846=1,数据录入!$B1846&gt;=$B$2,数据录入!$B1846&lt;=$D$2),N(R1845)+1,N(R1845))</f>
      </c>
    </row>
    <row r="1847" s="44" customFormat="1" spans="1:23">
      <c r="A1847" s="116"/>
      <c r="E1847" s="108"/>
      <c r="F1847" s="114"/>
      <c r="G1847" s="114"/>
      <c r="H1847" s="114"/>
      <c r="Q1847" s="44">
        <f>IF(数据录入!$B1847="",0,IF(OR(数据录入!$D1847="投标保证金",数据录入!$D1847="合同履约保证金",ISNUMBER(FIND("保证金",数据录入!$E1847))),1,0))</f>
      </c>
      <c r="R1847" s="44">
        <f>IF(AND($Q1847=1,数据录入!$B1847&gt;=$B$2,数据录入!$B1847&lt;=$D$2),N(R1846)+1,N(R1846))</f>
      </c>
    </row>
    <row r="1848" s="44" customFormat="1" spans="1:23">
      <c r="A1848" s="116"/>
      <c r="E1848" s="108"/>
      <c r="F1848" s="114"/>
      <c r="G1848" s="114"/>
      <c r="H1848" s="114"/>
      <c r="Q1848" s="44">
        <f>IF(数据录入!$B1848="",0,IF(OR(数据录入!$D1848="投标保证金",数据录入!$D1848="合同履约保证金",ISNUMBER(FIND("保证金",数据录入!$E1848))),1,0))</f>
      </c>
      <c r="R1848" s="44">
        <f>IF(AND($Q1848=1,数据录入!$B1848&gt;=$B$2,数据录入!$B1848&lt;=$D$2),N(R1847)+1,N(R1847))</f>
      </c>
    </row>
    <row r="1849" s="44" customFormat="1" spans="1:23">
      <c r="A1849" s="116"/>
      <c r="E1849" s="108"/>
      <c r="F1849" s="114"/>
      <c r="G1849" s="114"/>
      <c r="H1849" s="114"/>
      <c r="Q1849" s="44">
        <f>IF(数据录入!$B1849="",0,IF(OR(数据录入!$D1849="投标保证金",数据录入!$D1849="合同履约保证金",ISNUMBER(FIND("保证金",数据录入!$E1849))),1,0))</f>
      </c>
      <c r="R1849" s="44">
        <f>IF(AND($Q1849=1,数据录入!$B1849&gt;=$B$2,数据录入!$B1849&lt;=$D$2),N(R1848)+1,N(R1848))</f>
      </c>
    </row>
    <row r="1850" s="44" customFormat="1" spans="1:23">
      <c r="A1850" s="116"/>
      <c r="E1850" s="108"/>
      <c r="F1850" s="114"/>
      <c r="G1850" s="114"/>
      <c r="H1850" s="114"/>
      <c r="Q1850" s="44">
        <f>IF(数据录入!$B1850="",0,IF(OR(数据录入!$D1850="投标保证金",数据录入!$D1850="合同履约保证金",ISNUMBER(FIND("保证金",数据录入!$E1850))),1,0))</f>
      </c>
      <c r="R1850" s="44">
        <f>IF(AND($Q1850=1,数据录入!$B1850&gt;=$B$2,数据录入!$B1850&lt;=$D$2),N(R1849)+1,N(R1849))</f>
      </c>
    </row>
    <row r="1851" s="44" customFormat="1" spans="1:23">
      <c r="A1851" s="116"/>
      <c r="E1851" s="108"/>
      <c r="F1851" s="114"/>
      <c r="G1851" s="114"/>
      <c r="H1851" s="114"/>
      <c r="Q1851" s="44">
        <f>IF(数据录入!$B1851="",0,IF(OR(数据录入!$D1851="投标保证金",数据录入!$D1851="合同履约保证金",ISNUMBER(FIND("保证金",数据录入!$E1851))),1,0))</f>
      </c>
      <c r="R1851" s="44">
        <f>IF(AND($Q1851=1,数据录入!$B1851&gt;=$B$2,数据录入!$B1851&lt;=$D$2),N(R1850)+1,N(R1850))</f>
      </c>
    </row>
    <row r="1852" s="44" customFormat="1" spans="1:23">
      <c r="A1852" s="116"/>
      <c r="E1852" s="108"/>
      <c r="F1852" s="114"/>
      <c r="G1852" s="114"/>
      <c r="H1852" s="114"/>
      <c r="Q1852" s="44">
        <f>IF(数据录入!$B1852="",0,IF(OR(数据录入!$D1852="投标保证金",数据录入!$D1852="合同履约保证金",ISNUMBER(FIND("保证金",数据录入!$E1852))),1,0))</f>
      </c>
      <c r="R1852" s="44">
        <f>IF(AND($Q1852=1,数据录入!$B1852&gt;=$B$2,数据录入!$B1852&lt;=$D$2),N(R1851)+1,N(R1851))</f>
      </c>
    </row>
    <row r="1853" s="44" customFormat="1" spans="1:23">
      <c r="A1853" s="116"/>
      <c r="E1853" s="108"/>
      <c r="F1853" s="114"/>
      <c r="G1853" s="114"/>
      <c r="H1853" s="114"/>
      <c r="Q1853" s="44">
        <f>IF(数据录入!$B1853="",0,IF(OR(数据录入!$D1853="投标保证金",数据录入!$D1853="合同履约保证金",ISNUMBER(FIND("保证金",数据录入!$E1853))),1,0))</f>
      </c>
      <c r="R1853" s="44">
        <f>IF(AND($Q1853=1,数据录入!$B1853&gt;=$B$2,数据录入!$B1853&lt;=$D$2),N(R1852)+1,N(R1852))</f>
      </c>
    </row>
    <row r="1854" s="44" customFormat="1" spans="1:23">
      <c r="A1854" s="116"/>
      <c r="E1854" s="108"/>
      <c r="F1854" s="114"/>
      <c r="G1854" s="114"/>
      <c r="H1854" s="114"/>
      <c r="Q1854" s="44">
        <f>IF(数据录入!$B1854="",0,IF(OR(数据录入!$D1854="投标保证金",数据录入!$D1854="合同履约保证金",ISNUMBER(FIND("保证金",数据录入!$E1854))),1,0))</f>
      </c>
      <c r="R1854" s="44">
        <f>IF(AND($Q1854=1,数据录入!$B1854&gt;=$B$2,数据录入!$B1854&lt;=$D$2),N(R1853)+1,N(R1853))</f>
      </c>
    </row>
    <row r="1855" s="44" customFormat="1" spans="1:23">
      <c r="A1855" s="116"/>
      <c r="E1855" s="108"/>
      <c r="F1855" s="114"/>
      <c r="G1855" s="114"/>
      <c r="H1855" s="114"/>
      <c r="Q1855" s="44">
        <f>IF(数据录入!$B1855="",0,IF(OR(数据录入!$D1855="投标保证金",数据录入!$D1855="合同履约保证金",ISNUMBER(FIND("保证金",数据录入!$E1855))),1,0))</f>
      </c>
      <c r="R1855" s="44">
        <f>IF(AND($Q1855=1,数据录入!$B1855&gt;=$B$2,数据录入!$B1855&lt;=$D$2),N(R1854)+1,N(R1854))</f>
      </c>
    </row>
    <row r="1856" s="44" customFormat="1" spans="1:23">
      <c r="A1856" s="116"/>
      <c r="E1856" s="108"/>
      <c r="F1856" s="114"/>
      <c r="G1856" s="114"/>
      <c r="H1856" s="114"/>
      <c r="Q1856" s="44">
        <f>IF(数据录入!$B1856="",0,IF(OR(数据录入!$D1856="投标保证金",数据录入!$D1856="合同履约保证金",ISNUMBER(FIND("保证金",数据录入!$E1856))),1,0))</f>
      </c>
      <c r="R1856" s="44">
        <f>IF(AND($Q1856=1,数据录入!$B1856&gt;=$B$2,数据录入!$B1856&lt;=$D$2),N(R1855)+1,N(R1855))</f>
      </c>
    </row>
    <row r="1857" s="44" customFormat="1" spans="1:23">
      <c r="A1857" s="116"/>
      <c r="E1857" s="108"/>
      <c r="F1857" s="114"/>
      <c r="G1857" s="114"/>
      <c r="H1857" s="114"/>
      <c r="Q1857" s="44">
        <f>IF(数据录入!$B1857="",0,IF(OR(数据录入!$D1857="投标保证金",数据录入!$D1857="合同履约保证金",ISNUMBER(FIND("保证金",数据录入!$E1857))),1,0))</f>
      </c>
      <c r="R1857" s="44">
        <f>IF(AND($Q1857=1,数据录入!$B1857&gt;=$B$2,数据录入!$B1857&lt;=$D$2),N(R1856)+1,N(R1856))</f>
      </c>
    </row>
    <row r="1858" s="44" customFormat="1" spans="1:23">
      <c r="A1858" s="116"/>
      <c r="E1858" s="108"/>
      <c r="F1858" s="114"/>
      <c r="G1858" s="114"/>
      <c r="H1858" s="114"/>
      <c r="Q1858" s="44">
        <f>IF(数据录入!$B1858="",0,IF(OR(数据录入!$D1858="投标保证金",数据录入!$D1858="合同履约保证金",ISNUMBER(FIND("保证金",数据录入!$E1858))),1,0))</f>
      </c>
      <c r="R1858" s="44">
        <f>IF(AND($Q1858=1,数据录入!$B1858&gt;=$B$2,数据录入!$B1858&lt;=$D$2),N(R1857)+1,N(R1857))</f>
      </c>
    </row>
    <row r="1859" s="44" customFormat="1" spans="1:23">
      <c r="A1859" s="116"/>
      <c r="E1859" s="108"/>
      <c r="F1859" s="114"/>
      <c r="G1859" s="114"/>
      <c r="H1859" s="114"/>
      <c r="Q1859" s="44">
        <f>IF(数据录入!$B1859="",0,IF(OR(数据录入!$D1859="投标保证金",数据录入!$D1859="合同履约保证金",ISNUMBER(FIND("保证金",数据录入!$E1859))),1,0))</f>
      </c>
      <c r="R1859" s="44">
        <f>IF(AND($Q1859=1,数据录入!$B1859&gt;=$B$2,数据录入!$B1859&lt;=$D$2),N(R1858)+1,N(R1858))</f>
      </c>
    </row>
    <row r="1860" s="44" customFormat="1" spans="1:23">
      <c r="A1860" s="116"/>
      <c r="E1860" s="108"/>
      <c r="F1860" s="114"/>
      <c r="G1860" s="114"/>
      <c r="H1860" s="114"/>
      <c r="Q1860" s="44">
        <f>IF(数据录入!$B1860="",0,IF(OR(数据录入!$D1860="投标保证金",数据录入!$D1860="合同履约保证金",ISNUMBER(FIND("保证金",数据录入!$E1860))),1,0))</f>
      </c>
      <c r="R1860" s="44">
        <f>IF(AND($Q1860=1,数据录入!$B1860&gt;=$B$2,数据录入!$B1860&lt;=$D$2),N(R1859)+1,N(R1859))</f>
      </c>
    </row>
    <row r="1861" s="44" customFormat="1" spans="1:23">
      <c r="A1861" s="116"/>
      <c r="E1861" s="108"/>
      <c r="F1861" s="114"/>
      <c r="G1861" s="114"/>
      <c r="H1861" s="114"/>
      <c r="Q1861" s="44">
        <f>IF(数据录入!$B1861="",0,IF(OR(数据录入!$D1861="投标保证金",数据录入!$D1861="合同履约保证金",ISNUMBER(FIND("保证金",数据录入!$E1861))),1,0))</f>
      </c>
      <c r="R1861" s="44">
        <f>IF(AND($Q1861=1,数据录入!$B1861&gt;=$B$2,数据录入!$B1861&lt;=$D$2),N(R1860)+1,N(R1860))</f>
      </c>
    </row>
    <row r="1862" s="44" customFormat="1" spans="1:23">
      <c r="A1862" s="116"/>
      <c r="E1862" s="108"/>
      <c r="F1862" s="114"/>
      <c r="G1862" s="114"/>
      <c r="H1862" s="114"/>
      <c r="Q1862" s="44">
        <f>IF(数据录入!$B1862="",0,IF(OR(数据录入!$D1862="投标保证金",数据录入!$D1862="合同履约保证金",ISNUMBER(FIND("保证金",数据录入!$E1862))),1,0))</f>
      </c>
      <c r="R1862" s="44">
        <f>IF(AND($Q1862=1,数据录入!$B1862&gt;=$B$2,数据录入!$B1862&lt;=$D$2),N(R1861)+1,N(R1861))</f>
      </c>
    </row>
    <row r="1863" s="44" customFormat="1" spans="1:23">
      <c r="A1863" s="116"/>
      <c r="E1863" s="108"/>
      <c r="F1863" s="114"/>
      <c r="G1863" s="114"/>
      <c r="H1863" s="114"/>
      <c r="Q1863" s="44">
        <f>IF(数据录入!$B1863="",0,IF(OR(数据录入!$D1863="投标保证金",数据录入!$D1863="合同履约保证金",ISNUMBER(FIND("保证金",数据录入!$E1863))),1,0))</f>
      </c>
      <c r="R1863" s="44">
        <f>IF(AND($Q1863=1,数据录入!$B1863&gt;=$B$2,数据录入!$B1863&lt;=$D$2),N(R1862)+1,N(R1862))</f>
      </c>
    </row>
    <row r="1864" s="44" customFormat="1" spans="1:23">
      <c r="A1864" s="116"/>
      <c r="E1864" s="108"/>
      <c r="F1864" s="114"/>
      <c r="G1864" s="114"/>
      <c r="H1864" s="114"/>
      <c r="Q1864" s="44">
        <f>IF(数据录入!$B1864="",0,IF(OR(数据录入!$D1864="投标保证金",数据录入!$D1864="合同履约保证金",ISNUMBER(FIND("保证金",数据录入!$E1864))),1,0))</f>
      </c>
      <c r="R1864" s="44">
        <f>IF(AND($Q1864=1,数据录入!$B1864&gt;=$B$2,数据录入!$B1864&lt;=$D$2),N(R1863)+1,N(R1863))</f>
      </c>
    </row>
    <row r="1865" s="44" customFormat="1" spans="1:23">
      <c r="A1865" s="116"/>
      <c r="E1865" s="108"/>
      <c r="F1865" s="114"/>
      <c r="G1865" s="114"/>
      <c r="H1865" s="114"/>
      <c r="Q1865" s="44">
        <f>IF(数据录入!$B1865="",0,IF(OR(数据录入!$D1865="投标保证金",数据录入!$D1865="合同履约保证金",ISNUMBER(FIND("保证金",数据录入!$E1865))),1,0))</f>
      </c>
      <c r="R1865" s="44">
        <f>IF(AND($Q1865=1,数据录入!$B1865&gt;=$B$2,数据录入!$B1865&lt;=$D$2),N(R1864)+1,N(R1864))</f>
      </c>
    </row>
    <row r="1866" s="44" customFormat="1" spans="1:23">
      <c r="A1866" s="116"/>
      <c r="E1866" s="108"/>
      <c r="F1866" s="114"/>
      <c r="G1866" s="114"/>
      <c r="H1866" s="114"/>
      <c r="Q1866" s="44">
        <f>IF(数据录入!$B1866="",0,IF(OR(数据录入!$D1866="投标保证金",数据录入!$D1866="合同履约保证金",ISNUMBER(FIND("保证金",数据录入!$E1866))),1,0))</f>
      </c>
      <c r="R1866" s="44">
        <f>IF(AND($Q1866=1,数据录入!$B1866&gt;=$B$2,数据录入!$B1866&lt;=$D$2),N(R1865)+1,N(R1865))</f>
      </c>
    </row>
    <row r="1867" s="44" customFormat="1" spans="1:23">
      <c r="A1867" s="116"/>
      <c r="E1867" s="108"/>
      <c r="F1867" s="114"/>
      <c r="G1867" s="114"/>
      <c r="H1867" s="114"/>
      <c r="Q1867" s="44">
        <f>IF(数据录入!$B1867="",0,IF(OR(数据录入!$D1867="投标保证金",数据录入!$D1867="合同履约保证金",ISNUMBER(FIND("保证金",数据录入!$E1867))),1,0))</f>
      </c>
      <c r="R1867" s="44">
        <f>IF(AND($Q1867=1,数据录入!$B1867&gt;=$B$2,数据录入!$B1867&lt;=$D$2),N(R1866)+1,N(R1866))</f>
      </c>
    </row>
    <row r="1868" s="44" customFormat="1" spans="1:23">
      <c r="A1868" s="116"/>
      <c r="E1868" s="108"/>
      <c r="F1868" s="114"/>
      <c r="G1868" s="114"/>
      <c r="H1868" s="114"/>
      <c r="Q1868" s="44">
        <f>IF(数据录入!$B1868="",0,IF(OR(数据录入!$D1868="投标保证金",数据录入!$D1868="合同履约保证金",ISNUMBER(FIND("保证金",数据录入!$E1868))),1,0))</f>
      </c>
      <c r="R1868" s="44">
        <f>IF(AND($Q1868=1,数据录入!$B1868&gt;=$B$2,数据录入!$B1868&lt;=$D$2),N(R1867)+1,N(R1867))</f>
      </c>
    </row>
    <row r="1869" s="44" customFormat="1" spans="1:23">
      <c r="A1869" s="116"/>
      <c r="E1869" s="108"/>
      <c r="F1869" s="114"/>
      <c r="G1869" s="114"/>
      <c r="H1869" s="114"/>
      <c r="Q1869" s="44">
        <f>IF(数据录入!$B1869="",0,IF(OR(数据录入!$D1869="投标保证金",数据录入!$D1869="合同履约保证金",ISNUMBER(FIND("保证金",数据录入!$E1869))),1,0))</f>
      </c>
      <c r="R1869" s="44">
        <f>IF(AND($Q1869=1,数据录入!$B1869&gt;=$B$2,数据录入!$B1869&lt;=$D$2),N(R1868)+1,N(R1868))</f>
      </c>
    </row>
    <row r="1870" s="44" customFormat="1" spans="1:23">
      <c r="A1870" s="116"/>
      <c r="E1870" s="108"/>
      <c r="F1870" s="114"/>
      <c r="G1870" s="114"/>
      <c r="H1870" s="114"/>
      <c r="Q1870" s="44">
        <f>IF(数据录入!$B1870="",0,IF(OR(数据录入!$D1870="投标保证金",数据录入!$D1870="合同履约保证金",ISNUMBER(FIND("保证金",数据录入!$E1870))),1,0))</f>
      </c>
      <c r="R1870" s="44">
        <f>IF(AND($Q1870=1,数据录入!$B1870&gt;=$B$2,数据录入!$B1870&lt;=$D$2),N(R1869)+1,N(R1869))</f>
      </c>
    </row>
    <row r="1871" s="44" customFormat="1" spans="1:23">
      <c r="A1871" s="116"/>
      <c r="E1871" s="108"/>
      <c r="F1871" s="114"/>
      <c r="G1871" s="114"/>
      <c r="H1871" s="114"/>
      <c r="Q1871" s="44">
        <f>IF(数据录入!$B1871="",0,IF(OR(数据录入!$D1871="投标保证金",数据录入!$D1871="合同履约保证金",ISNUMBER(FIND("保证金",数据录入!$E1871))),1,0))</f>
      </c>
      <c r="R1871" s="44">
        <f>IF(AND($Q1871=1,数据录入!$B1871&gt;=$B$2,数据录入!$B1871&lt;=$D$2),N(R1870)+1,N(R1870))</f>
      </c>
    </row>
    <row r="1872" s="44" customFormat="1" spans="1:23">
      <c r="A1872" s="116"/>
      <c r="E1872" s="108"/>
      <c r="F1872" s="114"/>
      <c r="G1872" s="114"/>
      <c r="H1872" s="114"/>
      <c r="Q1872" s="44">
        <f>IF(数据录入!$B1872="",0,IF(OR(数据录入!$D1872="投标保证金",数据录入!$D1872="合同履约保证金",ISNUMBER(FIND("保证金",数据录入!$E1872))),1,0))</f>
      </c>
      <c r="R1872" s="44">
        <f>IF(AND($Q1872=1,数据录入!$B1872&gt;=$B$2,数据录入!$B1872&lt;=$D$2),N(R1871)+1,N(R1871))</f>
      </c>
    </row>
    <row r="1873" s="44" customFormat="1" spans="1:23">
      <c r="A1873" s="116"/>
      <c r="E1873" s="108"/>
      <c r="F1873" s="114"/>
      <c r="G1873" s="114"/>
      <c r="H1873" s="114"/>
      <c r="Q1873" s="44">
        <f>IF(数据录入!$B1873="",0,IF(OR(数据录入!$D1873="投标保证金",数据录入!$D1873="合同履约保证金",ISNUMBER(FIND("保证金",数据录入!$E1873))),1,0))</f>
      </c>
      <c r="R1873" s="44">
        <f>IF(AND($Q1873=1,数据录入!$B1873&gt;=$B$2,数据录入!$B1873&lt;=$D$2),N(R1872)+1,N(R1872))</f>
      </c>
    </row>
    <row r="1874" s="44" customFormat="1" spans="1:23">
      <c r="A1874" s="116"/>
      <c r="E1874" s="108"/>
      <c r="F1874" s="114"/>
      <c r="G1874" s="114"/>
      <c r="H1874" s="114"/>
      <c r="Q1874" s="44">
        <f>IF(数据录入!$B1874="",0,IF(OR(数据录入!$D1874="投标保证金",数据录入!$D1874="合同履约保证金",ISNUMBER(FIND("保证金",数据录入!$E1874))),1,0))</f>
      </c>
      <c r="R1874" s="44">
        <f>IF(AND($Q1874=1,数据录入!$B1874&gt;=$B$2,数据录入!$B1874&lt;=$D$2),N(R1873)+1,N(R1873))</f>
      </c>
    </row>
    <row r="1875" s="44" customFormat="1" spans="1:23">
      <c r="A1875" s="116"/>
      <c r="E1875" s="108"/>
      <c r="F1875" s="114"/>
      <c r="G1875" s="114"/>
      <c r="H1875" s="114"/>
      <c r="Q1875" s="44">
        <f>IF(数据录入!$B1875="",0,IF(OR(数据录入!$D1875="投标保证金",数据录入!$D1875="合同履约保证金",ISNUMBER(FIND("保证金",数据录入!$E1875))),1,0))</f>
      </c>
      <c r="R1875" s="44">
        <f>IF(AND($Q1875=1,数据录入!$B1875&gt;=$B$2,数据录入!$B1875&lt;=$D$2),N(R1874)+1,N(R1874))</f>
      </c>
    </row>
    <row r="1876" s="44" customFormat="1" spans="1:23">
      <c r="A1876" s="116"/>
      <c r="E1876" s="108"/>
      <c r="F1876" s="114"/>
      <c r="G1876" s="114"/>
      <c r="H1876" s="114"/>
      <c r="Q1876" s="44">
        <f>IF(数据录入!$B1876="",0,IF(OR(数据录入!$D1876="投标保证金",数据录入!$D1876="合同履约保证金",ISNUMBER(FIND("保证金",数据录入!$E1876))),1,0))</f>
      </c>
      <c r="R1876" s="44">
        <f>IF(AND($Q1876=1,数据录入!$B1876&gt;=$B$2,数据录入!$B1876&lt;=$D$2),N(R1875)+1,N(R1875))</f>
      </c>
    </row>
    <row r="1877" s="44" customFormat="1" spans="1:23">
      <c r="A1877" s="116"/>
      <c r="E1877" s="108"/>
      <c r="F1877" s="114"/>
      <c r="G1877" s="114"/>
      <c r="H1877" s="114"/>
      <c r="Q1877" s="44">
        <f>IF(数据录入!$B1877="",0,IF(OR(数据录入!$D1877="投标保证金",数据录入!$D1877="合同履约保证金",ISNUMBER(FIND("保证金",数据录入!$E1877))),1,0))</f>
      </c>
      <c r="R1877" s="44">
        <f>IF(AND($Q1877=1,数据录入!$B1877&gt;=$B$2,数据录入!$B1877&lt;=$D$2),N(R1876)+1,N(R1876))</f>
      </c>
    </row>
    <row r="1878" s="44" customFormat="1" spans="1:23">
      <c r="A1878" s="116"/>
      <c r="E1878" s="108"/>
      <c r="F1878" s="114"/>
      <c r="G1878" s="114"/>
      <c r="H1878" s="114"/>
      <c r="Q1878" s="44">
        <f>IF(数据录入!$B1878="",0,IF(OR(数据录入!$D1878="投标保证金",数据录入!$D1878="合同履约保证金",ISNUMBER(FIND("保证金",数据录入!$E1878))),1,0))</f>
      </c>
      <c r="R1878" s="44">
        <f>IF(AND($Q1878=1,数据录入!$B1878&gt;=$B$2,数据录入!$B1878&lt;=$D$2),N(R1877)+1,N(R1877))</f>
      </c>
    </row>
    <row r="1879" s="44" customFormat="1" spans="1:23">
      <c r="A1879" s="116"/>
      <c r="E1879" s="108"/>
      <c r="F1879" s="114"/>
      <c r="G1879" s="114"/>
      <c r="H1879" s="114"/>
      <c r="Q1879" s="44">
        <f>IF(数据录入!$B1879="",0,IF(OR(数据录入!$D1879="投标保证金",数据录入!$D1879="合同履约保证金",ISNUMBER(FIND("保证金",数据录入!$E1879))),1,0))</f>
      </c>
      <c r="R1879" s="44">
        <f>IF(AND($Q1879=1,数据录入!$B1879&gt;=$B$2,数据录入!$B1879&lt;=$D$2),N(R1878)+1,N(R1878))</f>
      </c>
    </row>
    <row r="1880" s="44" customFormat="1" spans="1:23">
      <c r="A1880" s="116"/>
      <c r="E1880" s="108"/>
      <c r="F1880" s="114"/>
      <c r="G1880" s="114"/>
      <c r="H1880" s="114"/>
      <c r="Q1880" s="44">
        <f>IF(数据录入!$B1880="",0,IF(OR(数据录入!$D1880="投标保证金",数据录入!$D1880="合同履约保证金",ISNUMBER(FIND("保证金",数据录入!$E1880))),1,0))</f>
      </c>
      <c r="R1880" s="44">
        <f>IF(AND($Q1880=1,数据录入!$B1880&gt;=$B$2,数据录入!$B1880&lt;=$D$2),N(R1879)+1,N(R1879))</f>
      </c>
    </row>
    <row r="1881" s="44" customFormat="1" spans="1:23">
      <c r="A1881" s="116"/>
      <c r="E1881" s="108"/>
      <c r="F1881" s="114"/>
      <c r="G1881" s="114"/>
      <c r="H1881" s="114"/>
      <c r="Q1881" s="44">
        <f>IF(数据录入!$B1881="",0,IF(OR(数据录入!$D1881="投标保证金",数据录入!$D1881="合同履约保证金",ISNUMBER(FIND("保证金",数据录入!$E1881))),1,0))</f>
      </c>
      <c r="R1881" s="44">
        <f>IF(AND($Q1881=1,数据录入!$B1881&gt;=$B$2,数据录入!$B1881&lt;=$D$2),N(R1880)+1,N(R1880))</f>
      </c>
    </row>
    <row r="1882" s="44" customFormat="1" spans="1:23">
      <c r="A1882" s="116"/>
      <c r="E1882" s="108"/>
      <c r="F1882" s="114"/>
      <c r="G1882" s="114"/>
      <c r="H1882" s="114"/>
      <c r="Q1882" s="44">
        <f>IF(数据录入!$B1882="",0,IF(OR(数据录入!$D1882="投标保证金",数据录入!$D1882="合同履约保证金",ISNUMBER(FIND("保证金",数据录入!$E1882))),1,0))</f>
      </c>
      <c r="R1882" s="44">
        <f>IF(AND($Q1882=1,数据录入!$B1882&gt;=$B$2,数据录入!$B1882&lt;=$D$2),N(R1881)+1,N(R1881))</f>
      </c>
    </row>
    <row r="1883" s="44" customFormat="1" spans="1:23">
      <c r="A1883" s="116"/>
      <c r="E1883" s="108"/>
      <c r="F1883" s="114"/>
      <c r="G1883" s="114"/>
      <c r="H1883" s="114"/>
      <c r="Q1883" s="44">
        <f>IF(数据录入!$B1883="",0,IF(OR(数据录入!$D1883="投标保证金",数据录入!$D1883="合同履约保证金",ISNUMBER(FIND("保证金",数据录入!$E1883))),1,0))</f>
      </c>
      <c r="R1883" s="44">
        <f>IF(AND($Q1883=1,数据录入!$B1883&gt;=$B$2,数据录入!$B1883&lt;=$D$2),N(R1882)+1,N(R1882))</f>
      </c>
    </row>
    <row r="1884" s="44" customFormat="1" spans="1:23">
      <c r="A1884" s="116"/>
      <c r="E1884" s="108"/>
      <c r="F1884" s="114"/>
      <c r="G1884" s="114"/>
      <c r="H1884" s="114"/>
      <c r="Q1884" s="44">
        <f>IF(数据录入!$B1884="",0,IF(OR(数据录入!$D1884="投标保证金",数据录入!$D1884="合同履约保证金",ISNUMBER(FIND("保证金",数据录入!$E1884))),1,0))</f>
      </c>
      <c r="R1884" s="44">
        <f>IF(AND($Q1884=1,数据录入!$B1884&gt;=$B$2,数据录入!$B1884&lt;=$D$2),N(R1883)+1,N(R1883))</f>
      </c>
    </row>
    <row r="1885" s="44" customFormat="1" spans="1:23">
      <c r="A1885" s="116"/>
      <c r="E1885" s="108"/>
      <c r="F1885" s="114"/>
      <c r="G1885" s="114"/>
      <c r="H1885" s="114"/>
      <c r="Q1885" s="44">
        <f>IF(数据录入!$B1885="",0,IF(OR(数据录入!$D1885="投标保证金",数据录入!$D1885="合同履约保证金",ISNUMBER(FIND("保证金",数据录入!$E1885))),1,0))</f>
      </c>
      <c r="R1885" s="44">
        <f>IF(AND($Q1885=1,数据录入!$B1885&gt;=$B$2,数据录入!$B1885&lt;=$D$2),N(R1884)+1,N(R1884))</f>
      </c>
    </row>
    <row r="1886" s="44" customFormat="1" spans="1:23">
      <c r="A1886" s="116"/>
      <c r="E1886" s="108"/>
      <c r="F1886" s="114"/>
      <c r="G1886" s="114"/>
      <c r="H1886" s="114"/>
      <c r="Q1886" s="44">
        <f>IF(数据录入!$B1886="",0,IF(OR(数据录入!$D1886="投标保证金",数据录入!$D1886="合同履约保证金",ISNUMBER(FIND("保证金",数据录入!$E1886))),1,0))</f>
      </c>
      <c r="R1886" s="44">
        <f>IF(AND($Q1886=1,数据录入!$B1886&gt;=$B$2,数据录入!$B1886&lt;=$D$2),N(R1885)+1,N(R1885))</f>
      </c>
    </row>
    <row r="1887" s="44" customFormat="1" spans="1:23">
      <c r="A1887" s="116"/>
      <c r="E1887" s="108"/>
      <c r="F1887" s="114"/>
      <c r="G1887" s="114"/>
      <c r="H1887" s="114"/>
      <c r="Q1887" s="44">
        <f>IF(数据录入!$B1887="",0,IF(OR(数据录入!$D1887="投标保证金",数据录入!$D1887="合同履约保证金",ISNUMBER(FIND("保证金",数据录入!$E1887))),1,0))</f>
      </c>
      <c r="R1887" s="44">
        <f>IF(AND($Q1887=1,数据录入!$B1887&gt;=$B$2,数据录入!$B1887&lt;=$D$2),N(R1886)+1,N(R1886))</f>
      </c>
    </row>
    <row r="1888" s="44" customFormat="1" spans="1:23">
      <c r="A1888" s="116"/>
      <c r="E1888" s="108"/>
      <c r="F1888" s="114"/>
      <c r="G1888" s="114"/>
      <c r="H1888" s="114"/>
      <c r="Q1888" s="44">
        <f>IF(数据录入!$B1888="",0,IF(OR(数据录入!$D1888="投标保证金",数据录入!$D1888="合同履约保证金",ISNUMBER(FIND("保证金",数据录入!$E1888))),1,0))</f>
      </c>
      <c r="R1888" s="44">
        <f>IF(AND($Q1888=1,数据录入!$B1888&gt;=$B$2,数据录入!$B1888&lt;=$D$2),N(R1887)+1,N(R1887))</f>
      </c>
    </row>
    <row r="1889" s="44" customFormat="1" spans="1:23">
      <c r="A1889" s="116"/>
      <c r="E1889" s="108"/>
      <c r="F1889" s="114"/>
      <c r="G1889" s="114"/>
      <c r="H1889" s="114"/>
      <c r="Q1889" s="44">
        <f>IF(数据录入!$B1889="",0,IF(OR(数据录入!$D1889="投标保证金",数据录入!$D1889="合同履约保证金",ISNUMBER(FIND("保证金",数据录入!$E1889))),1,0))</f>
      </c>
      <c r="R1889" s="44">
        <f>IF(AND($Q1889=1,数据录入!$B1889&gt;=$B$2,数据录入!$B1889&lt;=$D$2),N(R1888)+1,N(R1888))</f>
      </c>
    </row>
    <row r="1890" s="44" customFormat="1" spans="1:23">
      <c r="A1890" s="116"/>
      <c r="E1890" s="108"/>
      <c r="F1890" s="114"/>
      <c r="G1890" s="114"/>
      <c r="H1890" s="114"/>
      <c r="Q1890" s="44">
        <f>IF(数据录入!$B1890="",0,IF(OR(数据录入!$D1890="投标保证金",数据录入!$D1890="合同履约保证金",ISNUMBER(FIND("保证金",数据录入!$E1890))),1,0))</f>
      </c>
      <c r="R1890" s="44">
        <f>IF(AND($Q1890=1,数据录入!$B1890&gt;=$B$2,数据录入!$B1890&lt;=$D$2),N(R1889)+1,N(R1889))</f>
      </c>
    </row>
    <row r="1891" s="44" customFormat="1" spans="1:23">
      <c r="A1891" s="116"/>
      <c r="E1891" s="108"/>
      <c r="F1891" s="114"/>
      <c r="G1891" s="114"/>
      <c r="H1891" s="114"/>
      <c r="Q1891" s="44">
        <f>IF(数据录入!$B1891="",0,IF(OR(数据录入!$D1891="投标保证金",数据录入!$D1891="合同履约保证金",ISNUMBER(FIND("保证金",数据录入!$E1891))),1,0))</f>
      </c>
      <c r="R1891" s="44">
        <f>IF(AND($Q1891=1,数据录入!$B1891&gt;=$B$2,数据录入!$B1891&lt;=$D$2),N(R1890)+1,N(R1890))</f>
      </c>
    </row>
    <row r="1892" s="44" customFormat="1" spans="1:23">
      <c r="A1892" s="116"/>
      <c r="E1892" s="108"/>
      <c r="F1892" s="114"/>
      <c r="G1892" s="114"/>
      <c r="H1892" s="114"/>
      <c r="Q1892" s="44">
        <f>IF(数据录入!$B1892="",0,IF(OR(数据录入!$D1892="投标保证金",数据录入!$D1892="合同履约保证金",ISNUMBER(FIND("保证金",数据录入!$E1892))),1,0))</f>
      </c>
      <c r="R1892" s="44">
        <f>IF(AND($Q1892=1,数据录入!$B1892&gt;=$B$2,数据录入!$B1892&lt;=$D$2),N(R1891)+1,N(R1891))</f>
      </c>
    </row>
    <row r="1893" s="44" customFormat="1" spans="1:23">
      <c r="A1893" s="116"/>
      <c r="E1893" s="108"/>
      <c r="F1893" s="114"/>
      <c r="G1893" s="114"/>
      <c r="H1893" s="114"/>
      <c r="Q1893" s="44">
        <f>IF(数据录入!$B1893="",0,IF(OR(数据录入!$D1893="投标保证金",数据录入!$D1893="合同履约保证金",ISNUMBER(FIND("保证金",数据录入!$E1893))),1,0))</f>
      </c>
      <c r="R1893" s="44">
        <f>IF(AND($Q1893=1,数据录入!$B1893&gt;=$B$2,数据录入!$B1893&lt;=$D$2),N(R1892)+1,N(R1892))</f>
      </c>
    </row>
    <row r="1894" s="44" customFormat="1" spans="1:23">
      <c r="A1894" s="116"/>
      <c r="E1894" s="108"/>
      <c r="F1894" s="114"/>
      <c r="G1894" s="114"/>
      <c r="H1894" s="114"/>
      <c r="Q1894" s="44">
        <f>IF(数据录入!$B1894="",0,IF(OR(数据录入!$D1894="投标保证金",数据录入!$D1894="合同履约保证金",ISNUMBER(FIND("保证金",数据录入!$E1894))),1,0))</f>
      </c>
      <c r="R1894" s="44">
        <f>IF(AND($Q1894=1,数据录入!$B1894&gt;=$B$2,数据录入!$B1894&lt;=$D$2),N(R1893)+1,N(R1893))</f>
      </c>
    </row>
    <row r="1895" s="44" customFormat="1" spans="1:23">
      <c r="A1895" s="116"/>
      <c r="E1895" s="108"/>
      <c r="F1895" s="114"/>
      <c r="G1895" s="114"/>
      <c r="H1895" s="114"/>
      <c r="Q1895" s="44">
        <f>IF(数据录入!$B1895="",0,IF(OR(数据录入!$D1895="投标保证金",数据录入!$D1895="合同履约保证金",ISNUMBER(FIND("保证金",数据录入!$E1895))),1,0))</f>
      </c>
      <c r="R1895" s="44">
        <f>IF(AND($Q1895=1,数据录入!$B1895&gt;=$B$2,数据录入!$B1895&lt;=$D$2),N(R1894)+1,N(R1894))</f>
      </c>
    </row>
    <row r="1896" s="44" customFormat="1" spans="1:23">
      <c r="A1896" s="116"/>
      <c r="E1896" s="108"/>
      <c r="F1896" s="114"/>
      <c r="G1896" s="114"/>
      <c r="H1896" s="114"/>
      <c r="Q1896" s="44">
        <f>IF(数据录入!$B1896="",0,IF(OR(数据录入!$D1896="投标保证金",数据录入!$D1896="合同履约保证金",ISNUMBER(FIND("保证金",数据录入!$E1896))),1,0))</f>
      </c>
      <c r="R1896" s="44">
        <f>IF(AND($Q1896=1,数据录入!$B1896&gt;=$B$2,数据录入!$B1896&lt;=$D$2),N(R1895)+1,N(R1895))</f>
      </c>
    </row>
    <row r="1897" s="44" customFormat="1" spans="1:23">
      <c r="A1897" s="116"/>
      <c r="E1897" s="108"/>
      <c r="F1897" s="114"/>
      <c r="G1897" s="114"/>
      <c r="H1897" s="114"/>
      <c r="Q1897" s="44">
        <f>IF(数据录入!$B1897="",0,IF(OR(数据录入!$D1897="投标保证金",数据录入!$D1897="合同履约保证金",ISNUMBER(FIND("保证金",数据录入!$E1897))),1,0))</f>
      </c>
      <c r="R1897" s="44">
        <f>IF(AND($Q1897=1,数据录入!$B1897&gt;=$B$2,数据录入!$B1897&lt;=$D$2),N(R1896)+1,N(R1896))</f>
      </c>
    </row>
    <row r="1898" s="44" customFormat="1" spans="1:23">
      <c r="A1898" s="116"/>
      <c r="E1898" s="108"/>
      <c r="F1898" s="114"/>
      <c r="G1898" s="114"/>
      <c r="H1898" s="114"/>
      <c r="Q1898" s="44">
        <f>IF(数据录入!$B1898="",0,IF(OR(数据录入!$D1898="投标保证金",数据录入!$D1898="合同履约保证金",ISNUMBER(FIND("保证金",数据录入!$E1898))),1,0))</f>
      </c>
      <c r="R1898" s="44">
        <f>IF(AND($Q1898=1,数据录入!$B1898&gt;=$B$2,数据录入!$B1898&lt;=$D$2),N(R1897)+1,N(R1897))</f>
      </c>
    </row>
    <row r="1899" s="44" customFormat="1" spans="1:23">
      <c r="A1899" s="116"/>
      <c r="E1899" s="108"/>
      <c r="F1899" s="114"/>
      <c r="G1899" s="114"/>
      <c r="H1899" s="114"/>
      <c r="Q1899" s="44">
        <f>IF(数据录入!$B1899="",0,IF(OR(数据录入!$D1899="投标保证金",数据录入!$D1899="合同履约保证金",ISNUMBER(FIND("保证金",数据录入!$E1899))),1,0))</f>
      </c>
      <c r="R1899" s="44">
        <f>IF(AND($Q1899=1,数据录入!$B1899&gt;=$B$2,数据录入!$B1899&lt;=$D$2),N(R1898)+1,N(R1898))</f>
      </c>
    </row>
    <row r="1900" s="44" customFormat="1" spans="1:23">
      <c r="A1900" s="116"/>
      <c r="E1900" s="108"/>
      <c r="F1900" s="114"/>
      <c r="G1900" s="114"/>
      <c r="H1900" s="114"/>
      <c r="Q1900" s="44">
        <f>IF(数据录入!$B1900="",0,IF(OR(数据录入!$D1900="投标保证金",数据录入!$D1900="合同履约保证金",ISNUMBER(FIND("保证金",数据录入!$E1900))),1,0))</f>
      </c>
      <c r="R1900" s="44">
        <f>IF(AND($Q1900=1,数据录入!$B1900&gt;=$B$2,数据录入!$B1900&lt;=$D$2),N(R1899)+1,N(R1899))</f>
      </c>
    </row>
    <row r="1901" s="44" customFormat="1" spans="1:23">
      <c r="A1901" s="116"/>
      <c r="E1901" s="108"/>
      <c r="F1901" s="114"/>
      <c r="G1901" s="114"/>
      <c r="H1901" s="114"/>
      <c r="Q1901" s="44">
        <f>IF(数据录入!$B1901="",0,IF(OR(数据录入!$D1901="投标保证金",数据录入!$D1901="合同履约保证金",ISNUMBER(FIND("保证金",数据录入!$E1901))),1,0))</f>
      </c>
      <c r="R1901" s="44">
        <f>IF(AND($Q1901=1,数据录入!$B1901&gt;=$B$2,数据录入!$B1901&lt;=$D$2),N(R1900)+1,N(R1900))</f>
      </c>
    </row>
    <row r="1902" s="44" customFormat="1" spans="1:23">
      <c r="A1902" s="116"/>
      <c r="E1902" s="108"/>
      <c r="F1902" s="114"/>
      <c r="G1902" s="114"/>
      <c r="H1902" s="114"/>
      <c r="Q1902" s="44">
        <f>IF(数据录入!$B1902="",0,IF(OR(数据录入!$D1902="投标保证金",数据录入!$D1902="合同履约保证金",ISNUMBER(FIND("保证金",数据录入!$E1902))),1,0))</f>
      </c>
      <c r="R1902" s="44">
        <f>IF(AND($Q1902=1,数据录入!$B1902&gt;=$B$2,数据录入!$B1902&lt;=$D$2),N(R1901)+1,N(R1901))</f>
      </c>
    </row>
    <row r="1903" s="44" customFormat="1" spans="1:23">
      <c r="A1903" s="116"/>
      <c r="E1903" s="108"/>
      <c r="F1903" s="114"/>
      <c r="G1903" s="114"/>
      <c r="H1903" s="114"/>
      <c r="Q1903" s="44">
        <f>IF(数据录入!$B1903="",0,IF(OR(数据录入!$D1903="投标保证金",数据录入!$D1903="合同履约保证金",ISNUMBER(FIND("保证金",数据录入!$E1903))),1,0))</f>
      </c>
      <c r="R1903" s="44">
        <f>IF(AND($Q1903=1,数据录入!$B1903&gt;=$B$2,数据录入!$B1903&lt;=$D$2),N(R1902)+1,N(R1902))</f>
      </c>
    </row>
    <row r="1904" s="44" customFormat="1" spans="1:23">
      <c r="A1904" s="116"/>
      <c r="E1904" s="108"/>
      <c r="F1904" s="114"/>
      <c r="G1904" s="114"/>
      <c r="H1904" s="114"/>
      <c r="Q1904" s="44">
        <f>IF(数据录入!$B1904="",0,IF(OR(数据录入!$D1904="投标保证金",数据录入!$D1904="合同履约保证金",ISNUMBER(FIND("保证金",数据录入!$E1904))),1,0))</f>
      </c>
      <c r="R1904" s="44">
        <f>IF(AND($Q1904=1,数据录入!$B1904&gt;=$B$2,数据录入!$B1904&lt;=$D$2),N(R1903)+1,N(R1903))</f>
      </c>
    </row>
    <row r="1905" s="44" customFormat="1" spans="1:23">
      <c r="A1905" s="116"/>
      <c r="E1905" s="108"/>
      <c r="F1905" s="114"/>
      <c r="G1905" s="114"/>
      <c r="H1905" s="114"/>
      <c r="Q1905" s="44">
        <f>IF(数据录入!$B1905="",0,IF(OR(数据录入!$D1905="投标保证金",数据录入!$D1905="合同履约保证金",ISNUMBER(FIND("保证金",数据录入!$E1905))),1,0))</f>
      </c>
      <c r="R1905" s="44">
        <f>IF(AND($Q1905=1,数据录入!$B1905&gt;=$B$2,数据录入!$B1905&lt;=$D$2),N(R1904)+1,N(R1904))</f>
      </c>
    </row>
    <row r="1906" s="44" customFormat="1" spans="1:23">
      <c r="A1906" s="116"/>
      <c r="E1906" s="108"/>
      <c r="F1906" s="114"/>
      <c r="G1906" s="114"/>
      <c r="H1906" s="114"/>
      <c r="Q1906" s="44">
        <f>IF(数据录入!$B1906="",0,IF(OR(数据录入!$D1906="投标保证金",数据录入!$D1906="合同履约保证金",ISNUMBER(FIND("保证金",数据录入!$E1906))),1,0))</f>
      </c>
      <c r="R1906" s="44">
        <f>IF(AND($Q1906=1,数据录入!$B1906&gt;=$B$2,数据录入!$B1906&lt;=$D$2),N(R1905)+1,N(R1905))</f>
      </c>
    </row>
    <row r="1907" s="44" customFormat="1" spans="1:23">
      <c r="A1907" s="116"/>
      <c r="E1907" s="108"/>
      <c r="F1907" s="114"/>
      <c r="G1907" s="114"/>
      <c r="H1907" s="114"/>
      <c r="Q1907" s="44">
        <f>IF(数据录入!$B1907="",0,IF(OR(数据录入!$D1907="投标保证金",数据录入!$D1907="合同履约保证金",ISNUMBER(FIND("保证金",数据录入!$E1907))),1,0))</f>
      </c>
      <c r="R1907" s="44">
        <f>IF(AND($Q1907=1,数据录入!$B1907&gt;=$B$2,数据录入!$B1907&lt;=$D$2),N(R1906)+1,N(R1906))</f>
      </c>
    </row>
    <row r="1908" s="44" customFormat="1" spans="1:23">
      <c r="A1908" s="116"/>
      <c r="E1908" s="108"/>
      <c r="F1908" s="114"/>
      <c r="G1908" s="114"/>
      <c r="H1908" s="114"/>
      <c r="Q1908" s="44">
        <f>IF(数据录入!$B1908="",0,IF(OR(数据录入!$D1908="投标保证金",数据录入!$D1908="合同履约保证金",ISNUMBER(FIND("保证金",数据录入!$E1908))),1,0))</f>
      </c>
      <c r="R1908" s="44">
        <f>IF(AND($Q1908=1,数据录入!$B1908&gt;=$B$2,数据录入!$B1908&lt;=$D$2),N(R1907)+1,N(R1907))</f>
      </c>
    </row>
    <row r="1909" s="44" customFormat="1" spans="1:23">
      <c r="A1909" s="116"/>
      <c r="E1909" s="108"/>
      <c r="F1909" s="114"/>
      <c r="G1909" s="114"/>
      <c r="H1909" s="114"/>
      <c r="Q1909" s="44">
        <f>IF(数据录入!$B1909="",0,IF(OR(数据录入!$D1909="投标保证金",数据录入!$D1909="合同履约保证金",ISNUMBER(FIND("保证金",数据录入!$E1909))),1,0))</f>
      </c>
      <c r="R1909" s="44">
        <f>IF(AND($Q1909=1,数据录入!$B1909&gt;=$B$2,数据录入!$B1909&lt;=$D$2),N(R1908)+1,N(R1908))</f>
      </c>
    </row>
    <row r="1910" s="44" customFormat="1" spans="1:23">
      <c r="A1910" s="116"/>
      <c r="E1910" s="108"/>
      <c r="F1910" s="114"/>
      <c r="G1910" s="114"/>
      <c r="H1910" s="114"/>
      <c r="Q1910" s="44">
        <f>IF(数据录入!$B1910="",0,IF(OR(数据录入!$D1910="投标保证金",数据录入!$D1910="合同履约保证金",ISNUMBER(FIND("保证金",数据录入!$E1910))),1,0))</f>
      </c>
      <c r="R1910" s="44">
        <f>IF(AND($Q1910=1,数据录入!$B1910&gt;=$B$2,数据录入!$B1910&lt;=$D$2),N(R1909)+1,N(R1909))</f>
      </c>
    </row>
    <row r="1911" s="44" customFormat="1" spans="1:23">
      <c r="A1911" s="116"/>
      <c r="E1911" s="108"/>
      <c r="F1911" s="114"/>
      <c r="G1911" s="114"/>
      <c r="H1911" s="114"/>
      <c r="Q1911" s="44">
        <f>IF(数据录入!$B1911="",0,IF(OR(数据录入!$D1911="投标保证金",数据录入!$D1911="合同履约保证金",ISNUMBER(FIND("保证金",数据录入!$E1911))),1,0))</f>
      </c>
      <c r="R1911" s="44">
        <f>IF(AND($Q1911=1,数据录入!$B1911&gt;=$B$2,数据录入!$B1911&lt;=$D$2),N(R1910)+1,N(R1910))</f>
      </c>
    </row>
    <row r="1912" s="44" customFormat="1" spans="1:23">
      <c r="A1912" s="116"/>
      <c r="E1912" s="108"/>
      <c r="F1912" s="114"/>
      <c r="G1912" s="114"/>
      <c r="H1912" s="114"/>
      <c r="Q1912" s="44">
        <f>IF(数据录入!$B1912="",0,IF(OR(数据录入!$D1912="投标保证金",数据录入!$D1912="合同履约保证金",ISNUMBER(FIND("保证金",数据录入!$E1912))),1,0))</f>
      </c>
      <c r="R1912" s="44">
        <f>IF(AND($Q1912=1,数据录入!$B1912&gt;=$B$2,数据录入!$B1912&lt;=$D$2),N(R1911)+1,N(R1911))</f>
      </c>
    </row>
    <row r="1913" s="44" customFormat="1" spans="1:23">
      <c r="A1913" s="116"/>
      <c r="E1913" s="108"/>
      <c r="F1913" s="114"/>
      <c r="G1913" s="114"/>
      <c r="H1913" s="114"/>
      <c r="Q1913" s="44">
        <f>IF(数据录入!$B1913="",0,IF(OR(数据录入!$D1913="投标保证金",数据录入!$D1913="合同履约保证金",ISNUMBER(FIND("保证金",数据录入!$E1913))),1,0))</f>
      </c>
      <c r="R1913" s="44">
        <f>IF(AND($Q1913=1,数据录入!$B1913&gt;=$B$2,数据录入!$B1913&lt;=$D$2),N(R1912)+1,N(R1912))</f>
      </c>
    </row>
    <row r="1914" s="44" customFormat="1" spans="1:23">
      <c r="A1914" s="116"/>
      <c r="E1914" s="108"/>
      <c r="F1914" s="114"/>
      <c r="G1914" s="114"/>
      <c r="H1914" s="114"/>
      <c r="Q1914" s="44">
        <f>IF(数据录入!$B1914="",0,IF(OR(数据录入!$D1914="投标保证金",数据录入!$D1914="合同履约保证金",ISNUMBER(FIND("保证金",数据录入!$E1914))),1,0))</f>
      </c>
      <c r="R1914" s="44">
        <f>IF(AND($Q1914=1,数据录入!$B1914&gt;=$B$2,数据录入!$B1914&lt;=$D$2),N(R1913)+1,N(R1913))</f>
      </c>
    </row>
    <row r="1915" s="44" customFormat="1" spans="1:23">
      <c r="A1915" s="116"/>
      <c r="E1915" s="108"/>
      <c r="F1915" s="114"/>
      <c r="G1915" s="114"/>
      <c r="H1915" s="114"/>
      <c r="Q1915" s="44">
        <f>IF(数据录入!$B1915="",0,IF(OR(数据录入!$D1915="投标保证金",数据录入!$D1915="合同履约保证金",ISNUMBER(FIND("保证金",数据录入!$E1915))),1,0))</f>
      </c>
      <c r="R1915" s="44">
        <f>IF(AND($Q1915=1,数据录入!$B1915&gt;=$B$2,数据录入!$B1915&lt;=$D$2),N(R1914)+1,N(R1914))</f>
      </c>
    </row>
    <row r="1916" s="44" customFormat="1" spans="1:23">
      <c r="A1916" s="116"/>
      <c r="E1916" s="108"/>
      <c r="F1916" s="114"/>
      <c r="G1916" s="114"/>
      <c r="H1916" s="114"/>
      <c r="Q1916" s="44">
        <f>IF(数据录入!$B1916="",0,IF(OR(数据录入!$D1916="投标保证金",数据录入!$D1916="合同履约保证金",ISNUMBER(FIND("保证金",数据录入!$E1916))),1,0))</f>
      </c>
      <c r="R1916" s="44">
        <f>IF(AND($Q1916=1,数据录入!$B1916&gt;=$B$2,数据录入!$B1916&lt;=$D$2),N(R1915)+1,N(R1915))</f>
      </c>
    </row>
    <row r="1917" s="44" customFormat="1" spans="1:23">
      <c r="A1917" s="116"/>
      <c r="E1917" s="108"/>
      <c r="F1917" s="114"/>
      <c r="G1917" s="114"/>
      <c r="H1917" s="114"/>
      <c r="Q1917" s="44">
        <f>IF(数据录入!$B1917="",0,IF(OR(数据录入!$D1917="投标保证金",数据录入!$D1917="合同履约保证金",ISNUMBER(FIND("保证金",数据录入!$E1917))),1,0))</f>
      </c>
      <c r="R1917" s="44">
        <f>IF(AND($Q1917=1,数据录入!$B1917&gt;=$B$2,数据录入!$B1917&lt;=$D$2),N(R1916)+1,N(R1916))</f>
      </c>
    </row>
    <row r="1918" s="44" customFormat="1" spans="1:23">
      <c r="A1918" s="116"/>
      <c r="E1918" s="108"/>
      <c r="F1918" s="114"/>
      <c r="G1918" s="114"/>
      <c r="H1918" s="114"/>
      <c r="Q1918" s="44">
        <f>IF(数据录入!$B1918="",0,IF(OR(数据录入!$D1918="投标保证金",数据录入!$D1918="合同履约保证金",ISNUMBER(FIND("保证金",数据录入!$E1918))),1,0))</f>
      </c>
      <c r="R1918" s="44">
        <f>IF(AND($Q1918=1,数据录入!$B1918&gt;=$B$2,数据录入!$B1918&lt;=$D$2),N(R1917)+1,N(R1917))</f>
      </c>
    </row>
    <row r="1919" s="44" customFormat="1" spans="1:23">
      <c r="A1919" s="116"/>
      <c r="E1919" s="108"/>
      <c r="F1919" s="114"/>
      <c r="G1919" s="114"/>
      <c r="H1919" s="114"/>
      <c r="Q1919" s="44">
        <f>IF(数据录入!$B1919="",0,IF(OR(数据录入!$D1919="投标保证金",数据录入!$D1919="合同履约保证金",ISNUMBER(FIND("保证金",数据录入!$E1919))),1,0))</f>
      </c>
      <c r="R1919" s="44">
        <f>IF(AND($Q1919=1,数据录入!$B1919&gt;=$B$2,数据录入!$B1919&lt;=$D$2),N(R1918)+1,N(R1918))</f>
      </c>
    </row>
    <row r="1920" s="44" customFormat="1" spans="1:23">
      <c r="A1920" s="116"/>
      <c r="E1920" s="108"/>
      <c r="F1920" s="114"/>
      <c r="G1920" s="114"/>
      <c r="H1920" s="114"/>
      <c r="Q1920" s="44">
        <f>IF(数据录入!$B1920="",0,IF(OR(数据录入!$D1920="投标保证金",数据录入!$D1920="合同履约保证金",ISNUMBER(FIND("保证金",数据录入!$E1920))),1,0))</f>
      </c>
      <c r="R1920" s="44">
        <f>IF(AND($Q1920=1,数据录入!$B1920&gt;=$B$2,数据录入!$B1920&lt;=$D$2),N(R1919)+1,N(R1919))</f>
      </c>
    </row>
    <row r="1921" s="44" customFormat="1" spans="1:23">
      <c r="A1921" s="116"/>
      <c r="E1921" s="108"/>
      <c r="F1921" s="114"/>
      <c r="G1921" s="114"/>
      <c r="H1921" s="114"/>
      <c r="Q1921" s="44">
        <f>IF(数据录入!$B1921="",0,IF(OR(数据录入!$D1921="投标保证金",数据录入!$D1921="合同履约保证金",ISNUMBER(FIND("保证金",数据录入!$E1921))),1,0))</f>
      </c>
      <c r="R1921" s="44">
        <f>IF(AND($Q1921=1,数据录入!$B1921&gt;=$B$2,数据录入!$B1921&lt;=$D$2),N(R1920)+1,N(R1920))</f>
      </c>
    </row>
    <row r="1922" s="44" customFormat="1" spans="1:23">
      <c r="A1922" s="116"/>
      <c r="E1922" s="108"/>
      <c r="F1922" s="114"/>
      <c r="G1922" s="114"/>
      <c r="H1922" s="114"/>
      <c r="Q1922" s="44">
        <f>IF(数据录入!$B1922="",0,IF(OR(数据录入!$D1922="投标保证金",数据录入!$D1922="合同履约保证金",ISNUMBER(FIND("保证金",数据录入!$E1922))),1,0))</f>
      </c>
      <c r="R1922" s="44">
        <f>IF(AND($Q1922=1,数据录入!$B1922&gt;=$B$2,数据录入!$B1922&lt;=$D$2),N(R1921)+1,N(R1921))</f>
      </c>
    </row>
    <row r="1923" s="44" customFormat="1" spans="1:23">
      <c r="A1923" s="116"/>
      <c r="E1923" s="108"/>
      <c r="F1923" s="114"/>
      <c r="G1923" s="114"/>
      <c r="H1923" s="114"/>
      <c r="Q1923" s="44">
        <f>IF(数据录入!$B1923="",0,IF(OR(数据录入!$D1923="投标保证金",数据录入!$D1923="合同履约保证金",ISNUMBER(FIND("保证金",数据录入!$E1923))),1,0))</f>
      </c>
      <c r="R1923" s="44">
        <f>IF(AND($Q1923=1,数据录入!$B1923&gt;=$B$2,数据录入!$B1923&lt;=$D$2),N(R1922)+1,N(R1922))</f>
      </c>
    </row>
    <row r="1924" s="44" customFormat="1" spans="1:23">
      <c r="A1924" s="116"/>
      <c r="E1924" s="108"/>
      <c r="F1924" s="114"/>
      <c r="G1924" s="114"/>
      <c r="H1924" s="114"/>
      <c r="Q1924" s="44">
        <f>IF(数据录入!$B1924="",0,IF(OR(数据录入!$D1924="投标保证金",数据录入!$D1924="合同履约保证金",ISNUMBER(FIND("保证金",数据录入!$E1924))),1,0))</f>
      </c>
      <c r="R1924" s="44">
        <f>IF(AND($Q1924=1,数据录入!$B1924&gt;=$B$2,数据录入!$B1924&lt;=$D$2),N(R1923)+1,N(R1923))</f>
      </c>
    </row>
    <row r="1925" s="44" customFormat="1" spans="1:23">
      <c r="A1925" s="116"/>
      <c r="E1925" s="108"/>
      <c r="F1925" s="114"/>
      <c r="G1925" s="114"/>
      <c r="H1925" s="114"/>
      <c r="Q1925" s="44">
        <f>IF(数据录入!$B1925="",0,IF(OR(数据录入!$D1925="投标保证金",数据录入!$D1925="合同履约保证金",ISNUMBER(FIND("保证金",数据录入!$E1925))),1,0))</f>
      </c>
      <c r="R1925" s="44">
        <f>IF(AND($Q1925=1,数据录入!$B1925&gt;=$B$2,数据录入!$B1925&lt;=$D$2),N(R1924)+1,N(R1924))</f>
      </c>
    </row>
    <row r="1926" s="44" customFormat="1" spans="1:23">
      <c r="A1926" s="116"/>
      <c r="E1926" s="108"/>
      <c r="F1926" s="114"/>
      <c r="G1926" s="114"/>
      <c r="H1926" s="114"/>
      <c r="Q1926" s="44">
        <f>IF(数据录入!$B1926="",0,IF(OR(数据录入!$D1926="投标保证金",数据录入!$D1926="合同履约保证金",ISNUMBER(FIND("保证金",数据录入!$E1926))),1,0))</f>
      </c>
      <c r="R1926" s="44">
        <f>IF(AND($Q1926=1,数据录入!$B1926&gt;=$B$2,数据录入!$B1926&lt;=$D$2),N(R1925)+1,N(R1925))</f>
      </c>
    </row>
    <row r="1927" s="44" customFormat="1" spans="1:23">
      <c r="A1927" s="116"/>
      <c r="E1927" s="108"/>
      <c r="F1927" s="114"/>
      <c r="G1927" s="114"/>
      <c r="H1927" s="114"/>
      <c r="Q1927" s="44">
        <f>IF(数据录入!$B1927="",0,IF(OR(数据录入!$D1927="投标保证金",数据录入!$D1927="合同履约保证金",ISNUMBER(FIND("保证金",数据录入!$E1927))),1,0))</f>
      </c>
      <c r="R1927" s="44">
        <f>IF(AND($Q1927=1,数据录入!$B1927&gt;=$B$2,数据录入!$B1927&lt;=$D$2),N(R1926)+1,N(R1926))</f>
      </c>
    </row>
    <row r="1928" s="44" customFormat="1" spans="1:23">
      <c r="A1928" s="116"/>
      <c r="E1928" s="108"/>
      <c r="F1928" s="114"/>
      <c r="G1928" s="114"/>
      <c r="H1928" s="114"/>
      <c r="Q1928" s="44">
        <f>IF(数据录入!$B1928="",0,IF(OR(数据录入!$D1928="投标保证金",数据录入!$D1928="合同履约保证金",ISNUMBER(FIND("保证金",数据录入!$E1928))),1,0))</f>
      </c>
      <c r="R1928" s="44">
        <f>IF(AND($Q1928=1,数据录入!$B1928&gt;=$B$2,数据录入!$B1928&lt;=$D$2),N(R1927)+1,N(R1927))</f>
      </c>
    </row>
    <row r="1929" s="44" customFormat="1" spans="1:23">
      <c r="A1929" s="116"/>
      <c r="E1929" s="108"/>
      <c r="F1929" s="114"/>
      <c r="G1929" s="114"/>
      <c r="H1929" s="114"/>
      <c r="Q1929" s="44">
        <f>IF(数据录入!$B1929="",0,IF(OR(数据录入!$D1929="投标保证金",数据录入!$D1929="合同履约保证金",ISNUMBER(FIND("保证金",数据录入!$E1929))),1,0))</f>
      </c>
      <c r="R1929" s="44">
        <f>IF(AND($Q1929=1,数据录入!$B1929&gt;=$B$2,数据录入!$B1929&lt;=$D$2),N(R1928)+1,N(R1928))</f>
      </c>
    </row>
    <row r="1930" s="44" customFormat="1" spans="1:23">
      <c r="A1930" s="116"/>
      <c r="E1930" s="108"/>
      <c r="F1930" s="114"/>
      <c r="G1930" s="114"/>
      <c r="H1930" s="114"/>
      <c r="Q1930" s="44">
        <f>IF(数据录入!$B1930="",0,IF(OR(数据录入!$D1930="投标保证金",数据录入!$D1930="合同履约保证金",ISNUMBER(FIND("保证金",数据录入!$E1930))),1,0))</f>
      </c>
      <c r="R1930" s="44">
        <f>IF(AND($Q1930=1,数据录入!$B1930&gt;=$B$2,数据录入!$B1930&lt;=$D$2),N(R1929)+1,N(R1929))</f>
      </c>
    </row>
    <row r="1931" s="44" customFormat="1" spans="1:23">
      <c r="A1931" s="116"/>
      <c r="E1931" s="108"/>
      <c r="F1931" s="114"/>
      <c r="G1931" s="114"/>
      <c r="H1931" s="114"/>
      <c r="Q1931" s="44">
        <f>IF(数据录入!$B1931="",0,IF(OR(数据录入!$D1931="投标保证金",数据录入!$D1931="合同履约保证金",ISNUMBER(FIND("保证金",数据录入!$E1931))),1,0))</f>
      </c>
      <c r="R1931" s="44">
        <f>IF(AND($Q1931=1,数据录入!$B1931&gt;=$B$2,数据录入!$B1931&lt;=$D$2),N(R1930)+1,N(R1930))</f>
      </c>
    </row>
    <row r="1932" s="44" customFormat="1" spans="1:23">
      <c r="A1932" s="116"/>
      <c r="E1932" s="108"/>
      <c r="F1932" s="114"/>
      <c r="G1932" s="114"/>
      <c r="H1932" s="114"/>
      <c r="Q1932" s="44">
        <f>IF(数据录入!$B1932="",0,IF(OR(数据录入!$D1932="投标保证金",数据录入!$D1932="合同履约保证金",ISNUMBER(FIND("保证金",数据录入!$E1932))),1,0))</f>
      </c>
      <c r="R1932" s="44">
        <f>IF(AND($Q1932=1,数据录入!$B1932&gt;=$B$2,数据录入!$B1932&lt;=$D$2),N(R1931)+1,N(R1931))</f>
      </c>
    </row>
    <row r="1933" s="44" customFormat="1" spans="1:23">
      <c r="A1933" s="116"/>
      <c r="E1933" s="108"/>
      <c r="F1933" s="114"/>
      <c r="G1933" s="114"/>
      <c r="H1933" s="114"/>
      <c r="Q1933" s="44">
        <f>IF(数据录入!$B1933="",0,IF(OR(数据录入!$D1933="投标保证金",数据录入!$D1933="合同履约保证金",ISNUMBER(FIND("保证金",数据录入!$E1933))),1,0))</f>
      </c>
      <c r="R1933" s="44">
        <f>IF(AND($Q1933=1,数据录入!$B1933&gt;=$B$2,数据录入!$B1933&lt;=$D$2),N(R1932)+1,N(R1932))</f>
      </c>
    </row>
    <row r="1934" s="44" customFormat="1" spans="1:23">
      <c r="A1934" s="116"/>
      <c r="E1934" s="108"/>
      <c r="F1934" s="114"/>
      <c r="G1934" s="114"/>
      <c r="H1934" s="114"/>
      <c r="Q1934" s="44">
        <f>IF(数据录入!$B1934="",0,IF(OR(数据录入!$D1934="投标保证金",数据录入!$D1934="合同履约保证金",ISNUMBER(FIND("保证金",数据录入!$E1934))),1,0))</f>
      </c>
      <c r="R1934" s="44">
        <f>IF(AND($Q1934=1,数据录入!$B1934&gt;=$B$2,数据录入!$B1934&lt;=$D$2),N(R1933)+1,N(R1933))</f>
      </c>
    </row>
    <row r="1935" s="44" customFormat="1" spans="1:23">
      <c r="A1935" s="116"/>
      <c r="E1935" s="108"/>
      <c r="F1935" s="114"/>
      <c r="G1935" s="114"/>
      <c r="H1935" s="114"/>
      <c r="Q1935" s="44">
        <f>IF(数据录入!$B1935="",0,IF(OR(数据录入!$D1935="投标保证金",数据录入!$D1935="合同履约保证金",ISNUMBER(FIND("保证金",数据录入!$E1935))),1,0))</f>
      </c>
      <c r="R1935" s="44">
        <f>IF(AND($Q1935=1,数据录入!$B1935&gt;=$B$2,数据录入!$B1935&lt;=$D$2),N(R1934)+1,N(R1934))</f>
      </c>
    </row>
    <row r="1936" s="44" customFormat="1" spans="1:23">
      <c r="A1936" s="116"/>
      <c r="E1936" s="108"/>
      <c r="F1936" s="114"/>
      <c r="G1936" s="114"/>
      <c r="H1936" s="114"/>
      <c r="Q1936" s="44">
        <f>IF(数据录入!$B1936="",0,IF(OR(数据录入!$D1936="投标保证金",数据录入!$D1936="合同履约保证金",ISNUMBER(FIND("保证金",数据录入!$E1936))),1,0))</f>
      </c>
      <c r="R1936" s="44">
        <f>IF(AND($Q1936=1,数据录入!$B1936&gt;=$B$2,数据录入!$B1936&lt;=$D$2),N(R1935)+1,N(R1935))</f>
      </c>
    </row>
    <row r="1937" s="44" customFormat="1" spans="1:23">
      <c r="A1937" s="116"/>
      <c r="E1937" s="108"/>
      <c r="F1937" s="114"/>
      <c r="G1937" s="114"/>
      <c r="H1937" s="114"/>
      <c r="Q1937" s="44">
        <f>IF(数据录入!$B1937="",0,IF(OR(数据录入!$D1937="投标保证金",数据录入!$D1937="合同履约保证金",ISNUMBER(FIND("保证金",数据录入!$E1937))),1,0))</f>
      </c>
      <c r="R1937" s="44">
        <f>IF(AND($Q1937=1,数据录入!$B1937&gt;=$B$2,数据录入!$B1937&lt;=$D$2),N(R1936)+1,N(R1936))</f>
      </c>
    </row>
    <row r="1938" s="44" customFormat="1" spans="1:23">
      <c r="A1938" s="116"/>
      <c r="E1938" s="108"/>
      <c r="F1938" s="114"/>
      <c r="G1938" s="114"/>
      <c r="H1938" s="114"/>
      <c r="Q1938" s="44">
        <f>IF(数据录入!$B1938="",0,IF(OR(数据录入!$D1938="投标保证金",数据录入!$D1938="合同履约保证金",ISNUMBER(FIND("保证金",数据录入!$E1938))),1,0))</f>
      </c>
      <c r="R1938" s="44">
        <f>IF(AND($Q1938=1,数据录入!$B1938&gt;=$B$2,数据录入!$B1938&lt;=$D$2),N(R1937)+1,N(R1937))</f>
      </c>
    </row>
    <row r="1939" s="44" customFormat="1" spans="1:23">
      <c r="A1939" s="116"/>
      <c r="E1939" s="108"/>
      <c r="F1939" s="114"/>
      <c r="G1939" s="114"/>
      <c r="H1939" s="114"/>
      <c r="Q1939" s="44">
        <f>IF(数据录入!$B1939="",0,IF(OR(数据录入!$D1939="投标保证金",数据录入!$D1939="合同履约保证金",ISNUMBER(FIND("保证金",数据录入!$E1939))),1,0))</f>
      </c>
      <c r="R1939" s="44">
        <f>IF(AND($Q1939=1,数据录入!$B1939&gt;=$B$2,数据录入!$B1939&lt;=$D$2),N(R1938)+1,N(R1938))</f>
      </c>
    </row>
    <row r="1940" s="44" customFormat="1" spans="1:23">
      <c r="A1940" s="116"/>
      <c r="E1940" s="108"/>
      <c r="F1940" s="114"/>
      <c r="G1940" s="114"/>
      <c r="H1940" s="114"/>
      <c r="Q1940" s="44">
        <f>IF(数据录入!$B1940="",0,IF(OR(数据录入!$D1940="投标保证金",数据录入!$D1940="合同履约保证金",ISNUMBER(FIND("保证金",数据录入!$E1940))),1,0))</f>
      </c>
      <c r="R1940" s="44">
        <f>IF(AND($Q1940=1,数据录入!$B1940&gt;=$B$2,数据录入!$B1940&lt;=$D$2),N(R1939)+1,N(R1939))</f>
      </c>
    </row>
    <row r="1941" s="44" customFormat="1" spans="1:23">
      <c r="A1941" s="116"/>
      <c r="E1941" s="108"/>
      <c r="F1941" s="114"/>
      <c r="G1941" s="114"/>
      <c r="H1941" s="114"/>
      <c r="Q1941" s="44">
        <f>IF(数据录入!$B1941="",0,IF(OR(数据录入!$D1941="投标保证金",数据录入!$D1941="合同履约保证金",ISNUMBER(FIND("保证金",数据录入!$E1941))),1,0))</f>
      </c>
      <c r="R1941" s="44">
        <f>IF(AND($Q1941=1,数据录入!$B1941&gt;=$B$2,数据录入!$B1941&lt;=$D$2),N(R1940)+1,N(R1940))</f>
      </c>
    </row>
    <row r="1942" s="44" customFormat="1" spans="1:23">
      <c r="A1942" s="116"/>
      <c r="E1942" s="108"/>
      <c r="F1942" s="114"/>
      <c r="G1942" s="114"/>
      <c r="H1942" s="114"/>
      <c r="Q1942" s="44">
        <f>IF(数据录入!$B1942="",0,IF(OR(数据录入!$D1942="投标保证金",数据录入!$D1942="合同履约保证金",ISNUMBER(FIND("保证金",数据录入!$E1942))),1,0))</f>
      </c>
      <c r="R1942" s="44">
        <f>IF(AND($Q1942=1,数据录入!$B1942&gt;=$B$2,数据录入!$B1942&lt;=$D$2),N(R1941)+1,N(R1941))</f>
      </c>
    </row>
    <row r="1943" s="44" customFormat="1" spans="1:23">
      <c r="A1943" s="116"/>
      <c r="E1943" s="108"/>
      <c r="F1943" s="114"/>
      <c r="G1943" s="114"/>
      <c r="H1943" s="114"/>
      <c r="Q1943" s="44">
        <f>IF(数据录入!$B1943="",0,IF(OR(数据录入!$D1943="投标保证金",数据录入!$D1943="合同履约保证金",ISNUMBER(FIND("保证金",数据录入!$E1943))),1,0))</f>
      </c>
      <c r="R1943" s="44">
        <f>IF(AND($Q1943=1,数据录入!$B1943&gt;=$B$2,数据录入!$B1943&lt;=$D$2),N(R1942)+1,N(R1942))</f>
      </c>
    </row>
    <row r="1944" s="44" customFormat="1" spans="1:23">
      <c r="A1944" s="116"/>
      <c r="E1944" s="108"/>
      <c r="F1944" s="114"/>
      <c r="G1944" s="114"/>
      <c r="H1944" s="114"/>
      <c r="Q1944" s="44">
        <f>IF(数据录入!$B1944="",0,IF(OR(数据录入!$D1944="投标保证金",数据录入!$D1944="合同履约保证金",ISNUMBER(FIND("保证金",数据录入!$E1944))),1,0))</f>
      </c>
      <c r="R1944" s="44">
        <f>IF(AND($Q1944=1,数据录入!$B1944&gt;=$B$2,数据录入!$B1944&lt;=$D$2),N(R1943)+1,N(R1943))</f>
      </c>
    </row>
    <row r="1945" s="44" customFormat="1" spans="1:23">
      <c r="A1945" s="116"/>
      <c r="E1945" s="108"/>
      <c r="F1945" s="114"/>
      <c r="G1945" s="114"/>
      <c r="H1945" s="114"/>
      <c r="Q1945" s="44">
        <f>IF(数据录入!$B1945="",0,IF(OR(数据录入!$D1945="投标保证金",数据录入!$D1945="合同履约保证金",ISNUMBER(FIND("保证金",数据录入!$E1945))),1,0))</f>
      </c>
      <c r="R1945" s="44">
        <f>IF(AND($Q1945=1,数据录入!$B1945&gt;=$B$2,数据录入!$B1945&lt;=$D$2),N(R1944)+1,N(R1944))</f>
      </c>
    </row>
    <row r="1946" s="44" customFormat="1" spans="1:23">
      <c r="A1946" s="116"/>
      <c r="E1946" s="108"/>
      <c r="F1946" s="114"/>
      <c r="G1946" s="114"/>
      <c r="H1946" s="114"/>
      <c r="Q1946" s="44">
        <f>IF(数据录入!$B1946="",0,IF(OR(数据录入!$D1946="投标保证金",数据录入!$D1946="合同履约保证金",ISNUMBER(FIND("保证金",数据录入!$E1946))),1,0))</f>
      </c>
      <c r="R1946" s="44">
        <f>IF(AND($Q1946=1,数据录入!$B1946&gt;=$B$2,数据录入!$B1946&lt;=$D$2),N(R1945)+1,N(R1945))</f>
      </c>
    </row>
    <row r="1947" s="44" customFormat="1" spans="1:23">
      <c r="A1947" s="116"/>
      <c r="E1947" s="108"/>
      <c r="F1947" s="114"/>
      <c r="G1947" s="114"/>
      <c r="H1947" s="114"/>
      <c r="Q1947" s="44">
        <f>IF(数据录入!$B1947="",0,IF(OR(数据录入!$D1947="投标保证金",数据录入!$D1947="合同履约保证金",ISNUMBER(FIND("保证金",数据录入!$E1947))),1,0))</f>
      </c>
      <c r="R1947" s="44">
        <f>IF(AND($Q1947=1,数据录入!$B1947&gt;=$B$2,数据录入!$B1947&lt;=$D$2),N(R1946)+1,N(R1946))</f>
      </c>
    </row>
    <row r="1948" s="44" customFormat="1" spans="1:23">
      <c r="A1948" s="116"/>
      <c r="E1948" s="108"/>
      <c r="F1948" s="114"/>
      <c r="G1948" s="114"/>
      <c r="H1948" s="114"/>
      <c r="Q1948" s="44">
        <f>IF(数据录入!$B1948="",0,IF(OR(数据录入!$D1948="投标保证金",数据录入!$D1948="合同履约保证金",ISNUMBER(FIND("保证金",数据录入!$E1948))),1,0))</f>
      </c>
      <c r="R1948" s="44">
        <f>IF(AND($Q1948=1,数据录入!$B1948&gt;=$B$2,数据录入!$B1948&lt;=$D$2),N(R1947)+1,N(R1947))</f>
      </c>
    </row>
    <row r="1949" s="44" customFormat="1" spans="1:23">
      <c r="A1949" s="116"/>
      <c r="E1949" s="108"/>
      <c r="F1949" s="114"/>
      <c r="G1949" s="114"/>
      <c r="H1949" s="114"/>
      <c r="Q1949" s="44">
        <f>IF(数据录入!$B1949="",0,IF(OR(数据录入!$D1949="投标保证金",数据录入!$D1949="合同履约保证金",ISNUMBER(FIND("保证金",数据录入!$E1949))),1,0))</f>
      </c>
      <c r="R1949" s="44">
        <f>IF(AND($Q1949=1,数据录入!$B1949&gt;=$B$2,数据录入!$B1949&lt;=$D$2),N(R1948)+1,N(R1948))</f>
      </c>
    </row>
    <row r="1950" s="44" customFormat="1" spans="1:23">
      <c r="A1950" s="116"/>
      <c r="E1950" s="108"/>
      <c r="F1950" s="114"/>
      <c r="G1950" s="114"/>
      <c r="H1950" s="114"/>
      <c r="Q1950" s="44">
        <f>IF(数据录入!$B1950="",0,IF(OR(数据录入!$D1950="投标保证金",数据录入!$D1950="合同履约保证金",ISNUMBER(FIND("保证金",数据录入!$E1950))),1,0))</f>
      </c>
      <c r="R1950" s="44">
        <f>IF(AND($Q1950=1,数据录入!$B1950&gt;=$B$2,数据录入!$B1950&lt;=$D$2),N(R1949)+1,N(R1949))</f>
      </c>
    </row>
    <row r="1951" s="44" customFormat="1" spans="1:23">
      <c r="A1951" s="116"/>
      <c r="E1951" s="108"/>
      <c r="F1951" s="114"/>
      <c r="G1951" s="114"/>
      <c r="H1951" s="114"/>
      <c r="Q1951" s="44">
        <f>IF(数据录入!$B1951="",0,IF(OR(数据录入!$D1951="投标保证金",数据录入!$D1951="合同履约保证金",ISNUMBER(FIND("保证金",数据录入!$E1951))),1,0))</f>
      </c>
      <c r="R1951" s="44">
        <f>IF(AND($Q1951=1,数据录入!$B1951&gt;=$B$2,数据录入!$B1951&lt;=$D$2),N(R1950)+1,N(R1950))</f>
      </c>
    </row>
    <row r="1952" s="44" customFormat="1" spans="1:23">
      <c r="A1952" s="116"/>
      <c r="E1952" s="108"/>
      <c r="F1952" s="114"/>
      <c r="G1952" s="114"/>
      <c r="H1952" s="114"/>
      <c r="Q1952" s="44">
        <f>IF(数据录入!$B1952="",0,IF(OR(数据录入!$D1952="投标保证金",数据录入!$D1952="合同履约保证金",ISNUMBER(FIND("保证金",数据录入!$E1952))),1,0))</f>
      </c>
      <c r="R1952" s="44">
        <f>IF(AND($Q1952=1,数据录入!$B1952&gt;=$B$2,数据录入!$B1952&lt;=$D$2),N(R1951)+1,N(R1951))</f>
      </c>
    </row>
    <row r="1953" s="44" customFormat="1" spans="1:23">
      <c r="A1953" s="116"/>
      <c r="E1953" s="108"/>
      <c r="F1953" s="114"/>
      <c r="G1953" s="114"/>
      <c r="H1953" s="114"/>
      <c r="Q1953" s="44">
        <f>IF(数据录入!$B1953="",0,IF(OR(数据录入!$D1953="投标保证金",数据录入!$D1953="合同履约保证金",ISNUMBER(FIND("保证金",数据录入!$E1953))),1,0))</f>
      </c>
      <c r="R1953" s="44">
        <f>IF(AND($Q1953=1,数据录入!$B1953&gt;=$B$2,数据录入!$B1953&lt;=$D$2),N(R1952)+1,N(R1952))</f>
      </c>
    </row>
    <row r="1954" s="44" customFormat="1" spans="1:23">
      <c r="A1954" s="116"/>
      <c r="E1954" s="108"/>
      <c r="F1954" s="114"/>
      <c r="G1954" s="114"/>
      <c r="H1954" s="114"/>
      <c r="Q1954" s="44">
        <f>IF(数据录入!$B1954="",0,IF(OR(数据录入!$D1954="投标保证金",数据录入!$D1954="合同履约保证金",ISNUMBER(FIND("保证金",数据录入!$E1954))),1,0))</f>
      </c>
      <c r="R1954" s="44">
        <f>IF(AND($Q1954=1,数据录入!$B1954&gt;=$B$2,数据录入!$B1954&lt;=$D$2),N(R1953)+1,N(R1953))</f>
      </c>
    </row>
    <row r="1955" s="44" customFormat="1" spans="1:23">
      <c r="A1955" s="116"/>
      <c r="E1955" s="108"/>
      <c r="F1955" s="114"/>
      <c r="G1955" s="114"/>
      <c r="H1955" s="114"/>
      <c r="Q1955" s="44">
        <f>IF(数据录入!$B1955="",0,IF(OR(数据录入!$D1955="投标保证金",数据录入!$D1955="合同履约保证金",ISNUMBER(FIND("保证金",数据录入!$E1955))),1,0))</f>
      </c>
      <c r="R1955" s="44">
        <f>IF(AND($Q1955=1,数据录入!$B1955&gt;=$B$2,数据录入!$B1955&lt;=$D$2),N(R1954)+1,N(R1954))</f>
      </c>
    </row>
    <row r="1956" s="44" customFormat="1" spans="1:23">
      <c r="A1956" s="116"/>
      <c r="E1956" s="108"/>
      <c r="F1956" s="114"/>
      <c r="G1956" s="114"/>
      <c r="H1956" s="114"/>
      <c r="Q1956" s="44">
        <f>IF(数据录入!$B1956="",0,IF(OR(数据录入!$D1956="投标保证金",数据录入!$D1956="合同履约保证金",ISNUMBER(FIND("保证金",数据录入!$E1956))),1,0))</f>
      </c>
      <c r="R1956" s="44">
        <f>IF(AND($Q1956=1,数据录入!$B1956&gt;=$B$2,数据录入!$B1956&lt;=$D$2),N(R1955)+1,N(R1955))</f>
      </c>
    </row>
    <row r="1957" s="44" customFormat="1" spans="1:23">
      <c r="A1957" s="116"/>
      <c r="E1957" s="108"/>
      <c r="F1957" s="114"/>
      <c r="G1957" s="114"/>
      <c r="H1957" s="114"/>
      <c r="Q1957" s="44">
        <f>IF(数据录入!$B1957="",0,IF(OR(数据录入!$D1957="投标保证金",数据录入!$D1957="合同履约保证金",ISNUMBER(FIND("保证金",数据录入!$E1957))),1,0))</f>
      </c>
      <c r="R1957" s="44">
        <f>IF(AND($Q1957=1,数据录入!$B1957&gt;=$B$2,数据录入!$B1957&lt;=$D$2),N(R1956)+1,N(R1956))</f>
      </c>
    </row>
    <row r="1958" s="44" customFormat="1" spans="1:23">
      <c r="A1958" s="116"/>
      <c r="E1958" s="108"/>
      <c r="F1958" s="114"/>
      <c r="G1958" s="114"/>
      <c r="H1958" s="114"/>
      <c r="Q1958" s="44">
        <f>IF(数据录入!$B1958="",0,IF(OR(数据录入!$D1958="投标保证金",数据录入!$D1958="合同履约保证金",ISNUMBER(FIND("保证金",数据录入!$E1958))),1,0))</f>
      </c>
      <c r="R1958" s="44">
        <f>IF(AND($Q1958=1,数据录入!$B1958&gt;=$B$2,数据录入!$B1958&lt;=$D$2),N(R1957)+1,N(R1957))</f>
      </c>
    </row>
    <row r="1959" s="44" customFormat="1" spans="1:23">
      <c r="A1959" s="116"/>
      <c r="E1959" s="108"/>
      <c r="F1959" s="114"/>
      <c r="G1959" s="114"/>
      <c r="H1959" s="114"/>
      <c r="Q1959" s="44">
        <f>IF(数据录入!$B1959="",0,IF(OR(数据录入!$D1959="投标保证金",数据录入!$D1959="合同履约保证金",ISNUMBER(FIND("保证金",数据录入!$E1959))),1,0))</f>
      </c>
      <c r="R1959" s="44">
        <f>IF(AND($Q1959=1,数据录入!$B1959&gt;=$B$2,数据录入!$B1959&lt;=$D$2),N(R1958)+1,N(R1958))</f>
      </c>
    </row>
    <row r="1960" s="44" customFormat="1" spans="1:23">
      <c r="A1960" s="116"/>
      <c r="E1960" s="108"/>
      <c r="F1960" s="114"/>
      <c r="G1960" s="114"/>
      <c r="H1960" s="114"/>
      <c r="Q1960" s="44">
        <f>IF(数据录入!$B1960="",0,IF(OR(数据录入!$D1960="投标保证金",数据录入!$D1960="合同履约保证金",ISNUMBER(FIND("保证金",数据录入!$E1960))),1,0))</f>
      </c>
      <c r="R1960" s="44">
        <f>IF(AND($Q1960=1,数据录入!$B1960&gt;=$B$2,数据录入!$B1960&lt;=$D$2),N(R1959)+1,N(R1959))</f>
      </c>
    </row>
    <row r="1961" s="44" customFormat="1" spans="1:23">
      <c r="A1961" s="116"/>
      <c r="E1961" s="108"/>
      <c r="F1961" s="114"/>
      <c r="G1961" s="114"/>
      <c r="H1961" s="114"/>
      <c r="Q1961" s="44">
        <f>IF(数据录入!$B1961="",0,IF(OR(数据录入!$D1961="投标保证金",数据录入!$D1961="合同履约保证金",ISNUMBER(FIND("保证金",数据录入!$E1961))),1,0))</f>
      </c>
      <c r="R1961" s="44">
        <f>IF(AND($Q1961=1,数据录入!$B1961&gt;=$B$2,数据录入!$B1961&lt;=$D$2),N(R1960)+1,N(R1960))</f>
      </c>
    </row>
    <row r="1962" s="44" customFormat="1" spans="1:23">
      <c r="A1962" s="116"/>
      <c r="E1962" s="108"/>
      <c r="F1962" s="114"/>
      <c r="G1962" s="114"/>
      <c r="H1962" s="114"/>
      <c r="Q1962" s="44">
        <f>IF(数据录入!$B1962="",0,IF(OR(数据录入!$D1962="投标保证金",数据录入!$D1962="合同履约保证金",ISNUMBER(FIND("保证金",数据录入!$E1962))),1,0))</f>
      </c>
      <c r="R1962" s="44">
        <f>IF(AND($Q1962=1,数据录入!$B1962&gt;=$B$2,数据录入!$B1962&lt;=$D$2),N(R1961)+1,N(R1961))</f>
      </c>
    </row>
    <row r="1963" s="44" customFormat="1" spans="1:23">
      <c r="A1963" s="116"/>
      <c r="E1963" s="108"/>
      <c r="F1963" s="114"/>
      <c r="G1963" s="114"/>
      <c r="H1963" s="114"/>
      <c r="Q1963" s="44">
        <f>IF(数据录入!$B1963="",0,IF(OR(数据录入!$D1963="投标保证金",数据录入!$D1963="合同履约保证金",ISNUMBER(FIND("保证金",数据录入!$E1963))),1,0))</f>
      </c>
      <c r="R1963" s="44">
        <f>IF(AND($Q1963=1,数据录入!$B1963&gt;=$B$2,数据录入!$B1963&lt;=$D$2),N(R1962)+1,N(R1962))</f>
      </c>
    </row>
    <row r="1964" s="44" customFormat="1" spans="1:23">
      <c r="A1964" s="116"/>
      <c r="E1964" s="108"/>
      <c r="F1964" s="114"/>
      <c r="G1964" s="114"/>
      <c r="H1964" s="114"/>
      <c r="Q1964" s="44">
        <f>IF(数据录入!$B1964="",0,IF(OR(数据录入!$D1964="投标保证金",数据录入!$D1964="合同履约保证金",ISNUMBER(FIND("保证金",数据录入!$E1964))),1,0))</f>
      </c>
      <c r="R1964" s="44">
        <f>IF(AND($Q1964=1,数据录入!$B1964&gt;=$B$2,数据录入!$B1964&lt;=$D$2),N(R1963)+1,N(R1963))</f>
      </c>
    </row>
    <row r="1965" s="44" customFormat="1" spans="1:23">
      <c r="A1965" s="116"/>
      <c r="E1965" s="108"/>
      <c r="F1965" s="114"/>
      <c r="G1965" s="114"/>
      <c r="H1965" s="114"/>
      <c r="Q1965" s="44">
        <f>IF(数据录入!$B1965="",0,IF(OR(数据录入!$D1965="投标保证金",数据录入!$D1965="合同履约保证金",ISNUMBER(FIND("保证金",数据录入!$E1965))),1,0))</f>
      </c>
      <c r="R1965" s="44">
        <f>IF(AND($Q1965=1,数据录入!$B1965&gt;=$B$2,数据录入!$B1965&lt;=$D$2),N(R1964)+1,N(R1964))</f>
      </c>
    </row>
    <row r="1966" s="44" customFormat="1" spans="1:23">
      <c r="A1966" s="116"/>
      <c r="E1966" s="108"/>
      <c r="F1966" s="114"/>
      <c r="G1966" s="114"/>
      <c r="H1966" s="114"/>
      <c r="Q1966" s="44">
        <f>IF(数据录入!$B1966="",0,IF(OR(数据录入!$D1966="投标保证金",数据录入!$D1966="合同履约保证金",ISNUMBER(FIND("保证金",数据录入!$E1966))),1,0))</f>
      </c>
      <c r="R1966" s="44">
        <f>IF(AND($Q1966=1,数据录入!$B1966&gt;=$B$2,数据录入!$B1966&lt;=$D$2),N(R1965)+1,N(R1965))</f>
      </c>
    </row>
    <row r="1967" s="44" customFormat="1" spans="1:23">
      <c r="A1967" s="116"/>
      <c r="E1967" s="108"/>
      <c r="F1967" s="114"/>
      <c r="G1967" s="114"/>
      <c r="H1967" s="114"/>
      <c r="Q1967" s="44">
        <f>IF(数据录入!$B1967="",0,IF(OR(数据录入!$D1967="投标保证金",数据录入!$D1967="合同履约保证金",ISNUMBER(FIND("保证金",数据录入!$E1967))),1,0))</f>
      </c>
      <c r="R1967" s="44">
        <f>IF(AND($Q1967=1,数据录入!$B1967&gt;=$B$2,数据录入!$B1967&lt;=$D$2),N(R1966)+1,N(R1966))</f>
      </c>
    </row>
    <row r="1968" s="44" customFormat="1" spans="1:23">
      <c r="A1968" s="116"/>
      <c r="E1968" s="108"/>
      <c r="F1968" s="114"/>
      <c r="G1968" s="114"/>
      <c r="H1968" s="114"/>
      <c r="Q1968" s="44">
        <f>IF(数据录入!$B1968="",0,IF(OR(数据录入!$D1968="投标保证金",数据录入!$D1968="合同履约保证金",ISNUMBER(FIND("保证金",数据录入!$E1968))),1,0))</f>
      </c>
      <c r="R1968" s="44">
        <f>IF(AND($Q1968=1,数据录入!$B1968&gt;=$B$2,数据录入!$B1968&lt;=$D$2),N(R1967)+1,N(R1967))</f>
      </c>
    </row>
    <row r="1969" s="44" customFormat="1" spans="1:23">
      <c r="A1969" s="116"/>
      <c r="E1969" s="108"/>
      <c r="F1969" s="114"/>
      <c r="G1969" s="114"/>
      <c r="H1969" s="114"/>
      <c r="Q1969" s="44">
        <f>IF(数据录入!$B1969="",0,IF(OR(数据录入!$D1969="投标保证金",数据录入!$D1969="合同履约保证金",ISNUMBER(FIND("保证金",数据录入!$E1969))),1,0))</f>
      </c>
      <c r="R1969" s="44">
        <f>IF(AND($Q1969=1,数据录入!$B1969&gt;=$B$2,数据录入!$B1969&lt;=$D$2),N(R1968)+1,N(R1968))</f>
      </c>
    </row>
    <row r="1970" s="44" customFormat="1" spans="1:23">
      <c r="A1970" s="116"/>
      <c r="E1970" s="108"/>
      <c r="F1970" s="114"/>
      <c r="G1970" s="114"/>
      <c r="H1970" s="114"/>
      <c r="Q1970" s="44">
        <f>IF(数据录入!$B1970="",0,IF(OR(数据录入!$D1970="投标保证金",数据录入!$D1970="合同履约保证金",ISNUMBER(FIND("保证金",数据录入!$E1970))),1,0))</f>
      </c>
      <c r="R1970" s="44">
        <f>IF(AND($Q1970=1,数据录入!$B1970&gt;=$B$2,数据录入!$B1970&lt;=$D$2),N(R1969)+1,N(R1969))</f>
      </c>
    </row>
    <row r="1971" s="44" customFormat="1" spans="1:23">
      <c r="A1971" s="116"/>
      <c r="E1971" s="108"/>
      <c r="F1971" s="114"/>
      <c r="G1971" s="114"/>
      <c r="H1971" s="114"/>
      <c r="Q1971" s="44">
        <f>IF(数据录入!$B1971="",0,IF(OR(数据录入!$D1971="投标保证金",数据录入!$D1971="合同履约保证金",ISNUMBER(FIND("保证金",数据录入!$E1971))),1,0))</f>
      </c>
      <c r="R1971" s="44">
        <f>IF(AND($Q1971=1,数据录入!$B1971&gt;=$B$2,数据录入!$B1971&lt;=$D$2),N(R1970)+1,N(R1970))</f>
      </c>
    </row>
    <row r="1972" s="44" customFormat="1" spans="1:23">
      <c r="A1972" s="116"/>
      <c r="E1972" s="108"/>
      <c r="F1972" s="114"/>
      <c r="G1972" s="114"/>
      <c r="H1972" s="114"/>
      <c r="Q1972" s="44">
        <f>IF(数据录入!$B1972="",0,IF(OR(数据录入!$D1972="投标保证金",数据录入!$D1972="合同履约保证金",ISNUMBER(FIND("保证金",数据录入!$E1972))),1,0))</f>
      </c>
      <c r="R1972" s="44">
        <f>IF(AND($Q1972=1,数据录入!$B1972&gt;=$B$2,数据录入!$B1972&lt;=$D$2),N(R1971)+1,N(R1971))</f>
      </c>
    </row>
    <row r="1973" s="44" customFormat="1" spans="1:23">
      <c r="A1973" s="116"/>
      <c r="E1973" s="108"/>
      <c r="F1973" s="114"/>
      <c r="G1973" s="114"/>
      <c r="H1973" s="114"/>
      <c r="Q1973" s="44">
        <f>IF(数据录入!$B1973="",0,IF(OR(数据录入!$D1973="投标保证金",数据录入!$D1973="合同履约保证金",ISNUMBER(FIND("保证金",数据录入!$E1973))),1,0))</f>
      </c>
      <c r="R1973" s="44">
        <f>IF(AND($Q1973=1,数据录入!$B1973&gt;=$B$2,数据录入!$B1973&lt;=$D$2),N(R1972)+1,N(R1972))</f>
      </c>
    </row>
    <row r="1974" s="44" customFormat="1" spans="1:23">
      <c r="A1974" s="116"/>
      <c r="E1974" s="108"/>
      <c r="F1974" s="114"/>
      <c r="G1974" s="114"/>
      <c r="H1974" s="114"/>
      <c r="Q1974" s="44">
        <f>IF(数据录入!$B1974="",0,IF(OR(数据录入!$D1974="投标保证金",数据录入!$D1974="合同履约保证金",ISNUMBER(FIND("保证金",数据录入!$E1974))),1,0))</f>
      </c>
      <c r="R1974" s="44">
        <f>IF(AND($Q1974=1,数据录入!$B1974&gt;=$B$2,数据录入!$B1974&lt;=$D$2),N(R1973)+1,N(R1973))</f>
      </c>
    </row>
    <row r="1975" s="44" customFormat="1" spans="1:23">
      <c r="A1975" s="116"/>
      <c r="E1975" s="108"/>
      <c r="F1975" s="114"/>
      <c r="G1975" s="114"/>
      <c r="H1975" s="114"/>
      <c r="Q1975" s="44">
        <f>IF(数据录入!$B1975="",0,IF(OR(数据录入!$D1975="投标保证金",数据录入!$D1975="合同履约保证金",ISNUMBER(FIND("保证金",数据录入!$E1975))),1,0))</f>
      </c>
      <c r="R1975" s="44">
        <f>IF(AND($Q1975=1,数据录入!$B1975&gt;=$B$2,数据录入!$B1975&lt;=$D$2),N(R1974)+1,N(R1974))</f>
      </c>
    </row>
    <row r="1976" s="44" customFormat="1" spans="1:23">
      <c r="A1976" s="116"/>
      <c r="E1976" s="108"/>
      <c r="F1976" s="114"/>
      <c r="G1976" s="114"/>
      <c r="H1976" s="114"/>
      <c r="Q1976" s="44">
        <f>IF(数据录入!$B1976="",0,IF(OR(数据录入!$D1976="投标保证金",数据录入!$D1976="合同履约保证金",ISNUMBER(FIND("保证金",数据录入!$E1976))),1,0))</f>
      </c>
      <c r="R1976" s="44">
        <f>IF(AND($Q1976=1,数据录入!$B1976&gt;=$B$2,数据录入!$B1976&lt;=$D$2),N(R1975)+1,N(R1975))</f>
      </c>
    </row>
    <row r="1977" s="44" customFormat="1" spans="1:23">
      <c r="A1977" s="116"/>
      <c r="E1977" s="108"/>
      <c r="F1977" s="114"/>
      <c r="G1977" s="114"/>
      <c r="H1977" s="114"/>
      <c r="Q1977" s="44">
        <f>IF(数据录入!$B1977="",0,IF(OR(数据录入!$D1977="投标保证金",数据录入!$D1977="合同履约保证金",ISNUMBER(FIND("保证金",数据录入!$E1977))),1,0))</f>
      </c>
      <c r="R1977" s="44">
        <f>IF(AND($Q1977=1,数据录入!$B1977&gt;=$B$2,数据录入!$B1977&lt;=$D$2),N(R1976)+1,N(R1976))</f>
      </c>
    </row>
    <row r="1978" s="44" customFormat="1" spans="1:23">
      <c r="A1978" s="116"/>
      <c r="E1978" s="108"/>
      <c r="F1978" s="114"/>
      <c r="G1978" s="114"/>
      <c r="H1978" s="114"/>
      <c r="Q1978" s="44">
        <f>IF(数据录入!$B1978="",0,IF(OR(数据录入!$D1978="投标保证金",数据录入!$D1978="合同履约保证金",ISNUMBER(FIND("保证金",数据录入!$E1978))),1,0))</f>
      </c>
      <c r="R1978" s="44">
        <f>IF(AND($Q1978=1,数据录入!$B1978&gt;=$B$2,数据录入!$B1978&lt;=$D$2),N(R1977)+1,N(R1977))</f>
      </c>
    </row>
    <row r="1979" s="44" customFormat="1" spans="1:23">
      <c r="A1979" s="116"/>
      <c r="E1979" s="108"/>
      <c r="F1979" s="114"/>
      <c r="G1979" s="114"/>
      <c r="H1979" s="114"/>
      <c r="Q1979" s="44">
        <f>IF(数据录入!$B1979="",0,IF(OR(数据录入!$D1979="投标保证金",数据录入!$D1979="合同履约保证金",ISNUMBER(FIND("保证金",数据录入!$E1979))),1,0))</f>
      </c>
      <c r="R1979" s="44">
        <f>IF(AND($Q1979=1,数据录入!$B1979&gt;=$B$2,数据录入!$B1979&lt;=$D$2),N(R1978)+1,N(R1978))</f>
      </c>
    </row>
    <row r="1980" s="44" customFormat="1" spans="1:23">
      <c r="A1980" s="116"/>
      <c r="E1980" s="108"/>
      <c r="F1980" s="114"/>
      <c r="G1980" s="114"/>
      <c r="H1980" s="114"/>
      <c r="Q1980" s="44">
        <f>IF(数据录入!$B1980="",0,IF(OR(数据录入!$D1980="投标保证金",数据录入!$D1980="合同履约保证金",ISNUMBER(FIND("保证金",数据录入!$E1980))),1,0))</f>
      </c>
      <c r="R1980" s="44">
        <f>IF(AND($Q1980=1,数据录入!$B1980&gt;=$B$2,数据录入!$B1980&lt;=$D$2),N(R1979)+1,N(R1979))</f>
      </c>
    </row>
    <row r="1981" s="44" customFormat="1" spans="1:23">
      <c r="A1981" s="116"/>
      <c r="E1981" s="108"/>
      <c r="F1981" s="114"/>
      <c r="G1981" s="114"/>
      <c r="H1981" s="114"/>
      <c r="Q1981" s="44">
        <f>IF(数据录入!$B1981="",0,IF(OR(数据录入!$D1981="投标保证金",数据录入!$D1981="合同履约保证金",ISNUMBER(FIND("保证金",数据录入!$E1981))),1,0))</f>
      </c>
      <c r="R1981" s="44">
        <f>IF(AND($Q1981=1,数据录入!$B1981&gt;=$B$2,数据录入!$B1981&lt;=$D$2),N(R1980)+1,N(R1980))</f>
      </c>
    </row>
    <row r="1982" s="44" customFormat="1" spans="1:23">
      <c r="A1982" s="116"/>
      <c r="E1982" s="108"/>
      <c r="F1982" s="114"/>
      <c r="G1982" s="114"/>
      <c r="H1982" s="114"/>
      <c r="Q1982" s="44">
        <f>IF(数据录入!$B1982="",0,IF(OR(数据录入!$D1982="投标保证金",数据录入!$D1982="合同履约保证金",ISNUMBER(FIND("保证金",数据录入!$E1982))),1,0))</f>
      </c>
      <c r="R1982" s="44">
        <f>IF(AND($Q1982=1,数据录入!$B1982&gt;=$B$2,数据录入!$B1982&lt;=$D$2),N(R1981)+1,N(R1981))</f>
      </c>
    </row>
    <row r="1983" s="44" customFormat="1" spans="1:23">
      <c r="A1983" s="116"/>
      <c r="E1983" s="108"/>
      <c r="F1983" s="114"/>
      <c r="G1983" s="114"/>
      <c r="H1983" s="114"/>
      <c r="Q1983" s="44">
        <f>IF(数据录入!$B1983="",0,IF(OR(数据录入!$D1983="投标保证金",数据录入!$D1983="合同履约保证金",ISNUMBER(FIND("保证金",数据录入!$E1983))),1,0))</f>
      </c>
      <c r="R1983" s="44">
        <f>IF(AND($Q1983=1,数据录入!$B1983&gt;=$B$2,数据录入!$B1983&lt;=$D$2),N(R1982)+1,N(R1982))</f>
      </c>
    </row>
    <row r="1984" s="44" customFormat="1" spans="1:23">
      <c r="A1984" s="116"/>
      <c r="E1984" s="108"/>
      <c r="F1984" s="114"/>
      <c r="G1984" s="114"/>
      <c r="H1984" s="114"/>
      <c r="Q1984" s="44">
        <f>IF(数据录入!$B1984="",0,IF(OR(数据录入!$D1984="投标保证金",数据录入!$D1984="合同履约保证金",ISNUMBER(FIND("保证金",数据录入!$E1984))),1,0))</f>
      </c>
      <c r="R1984" s="44">
        <f>IF(AND($Q1984=1,数据录入!$B1984&gt;=$B$2,数据录入!$B1984&lt;=$D$2),N(R1983)+1,N(R1983))</f>
      </c>
    </row>
    <row r="1985" s="44" customFormat="1" spans="1:23">
      <c r="A1985" s="116"/>
      <c r="E1985" s="108"/>
      <c r="F1985" s="114"/>
      <c r="G1985" s="114"/>
      <c r="H1985" s="114"/>
      <c r="Q1985" s="44">
        <f>IF(数据录入!$B1985="",0,IF(OR(数据录入!$D1985="投标保证金",数据录入!$D1985="合同履约保证金",ISNUMBER(FIND("保证金",数据录入!$E1985))),1,0))</f>
      </c>
      <c r="R1985" s="44">
        <f>IF(AND($Q1985=1,数据录入!$B1985&gt;=$B$2,数据录入!$B1985&lt;=$D$2),N(R1984)+1,N(R1984))</f>
      </c>
    </row>
    <row r="1986" s="44" customFormat="1" spans="1:23">
      <c r="A1986" s="116"/>
      <c r="E1986" s="108"/>
      <c r="F1986" s="114"/>
      <c r="G1986" s="114"/>
      <c r="H1986" s="114"/>
      <c r="Q1986" s="44">
        <f>IF(数据录入!$B1986="",0,IF(OR(数据录入!$D1986="投标保证金",数据录入!$D1986="合同履约保证金",ISNUMBER(FIND("保证金",数据录入!$E1986))),1,0))</f>
      </c>
      <c r="R1986" s="44">
        <f>IF(AND($Q1986=1,数据录入!$B1986&gt;=$B$2,数据录入!$B1986&lt;=$D$2),N(R1985)+1,N(R1985))</f>
      </c>
    </row>
    <row r="1987" s="44" customFormat="1" spans="1:23">
      <c r="A1987" s="116"/>
      <c r="E1987" s="108"/>
      <c r="F1987" s="114"/>
      <c r="G1987" s="114"/>
      <c r="H1987" s="114"/>
      <c r="Q1987" s="44">
        <f>IF(数据录入!$B1987="",0,IF(OR(数据录入!$D1987="投标保证金",数据录入!$D1987="合同履约保证金",ISNUMBER(FIND("保证金",数据录入!$E1987))),1,0))</f>
      </c>
      <c r="R1987" s="44">
        <f>IF(AND($Q1987=1,数据录入!$B1987&gt;=$B$2,数据录入!$B1987&lt;=$D$2),N(R1986)+1,N(R1986))</f>
      </c>
    </row>
    <row r="1988" s="44" customFormat="1" spans="1:23">
      <c r="A1988" s="116"/>
      <c r="E1988" s="108"/>
      <c r="F1988" s="114"/>
      <c r="G1988" s="114"/>
      <c r="H1988" s="114"/>
      <c r="Q1988" s="44">
        <f>IF(数据录入!$B1988="",0,IF(OR(数据录入!$D1988="投标保证金",数据录入!$D1988="合同履约保证金",ISNUMBER(FIND("保证金",数据录入!$E1988))),1,0))</f>
      </c>
      <c r="R1988" s="44">
        <f>IF(AND($Q1988=1,数据录入!$B1988&gt;=$B$2,数据录入!$B1988&lt;=$D$2),N(R1987)+1,N(R1987))</f>
      </c>
    </row>
    <row r="1989" s="44" customFormat="1" spans="1:23">
      <c r="A1989" s="116"/>
      <c r="E1989" s="108"/>
      <c r="F1989" s="114"/>
      <c r="G1989" s="114"/>
      <c r="H1989" s="114"/>
      <c r="Q1989" s="44">
        <f>IF(数据录入!$B1989="",0,IF(OR(数据录入!$D1989="投标保证金",数据录入!$D1989="合同履约保证金",ISNUMBER(FIND("保证金",数据录入!$E1989))),1,0))</f>
      </c>
      <c r="R1989" s="44">
        <f>IF(AND($Q1989=1,数据录入!$B1989&gt;=$B$2,数据录入!$B1989&lt;=$D$2),N(R1988)+1,N(R1988))</f>
      </c>
    </row>
    <row r="1990" s="44" customFormat="1" spans="1:23">
      <c r="A1990" s="116"/>
      <c r="E1990" s="108"/>
      <c r="F1990" s="114"/>
      <c r="G1990" s="114"/>
      <c r="H1990" s="114"/>
      <c r="Q1990" s="44">
        <f>IF(数据录入!$B1990="",0,IF(OR(数据录入!$D1990="投标保证金",数据录入!$D1990="合同履约保证金",ISNUMBER(FIND("保证金",数据录入!$E1990))),1,0))</f>
      </c>
      <c r="R1990" s="44">
        <f>IF(AND($Q1990=1,数据录入!$B1990&gt;=$B$2,数据录入!$B1990&lt;=$D$2),N(R1989)+1,N(R1989))</f>
      </c>
    </row>
    <row r="1991" s="44" customFormat="1" spans="1:23">
      <c r="A1991" s="116"/>
      <c r="E1991" s="108"/>
      <c r="F1991" s="114"/>
      <c r="G1991" s="114"/>
      <c r="H1991" s="114"/>
      <c r="Q1991" s="44">
        <f>IF(数据录入!$B1991="",0,IF(OR(数据录入!$D1991="投标保证金",数据录入!$D1991="合同履约保证金",ISNUMBER(FIND("保证金",数据录入!$E1991))),1,0))</f>
      </c>
      <c r="R1991" s="44">
        <f>IF(AND($Q1991=1,数据录入!$B1991&gt;=$B$2,数据录入!$B1991&lt;=$D$2),N(R1990)+1,N(R1990))</f>
      </c>
    </row>
    <row r="1992" s="44" customFormat="1" spans="1:23">
      <c r="A1992" s="116"/>
      <c r="E1992" s="108"/>
      <c r="F1992" s="114"/>
      <c r="G1992" s="114"/>
      <c r="H1992" s="114"/>
      <c r="Q1992" s="44">
        <f>IF(数据录入!$B1992="",0,IF(OR(数据录入!$D1992="投标保证金",数据录入!$D1992="合同履约保证金",ISNUMBER(FIND("保证金",数据录入!$E1992))),1,0))</f>
      </c>
      <c r="R1992" s="44">
        <f>IF(AND($Q1992=1,数据录入!$B1992&gt;=$B$2,数据录入!$B1992&lt;=$D$2),N(R1991)+1,N(R1991))</f>
      </c>
    </row>
    <row r="1993" s="44" customFormat="1" spans="1:23">
      <c r="A1993" s="116"/>
      <c r="E1993" s="108"/>
      <c r="F1993" s="114"/>
      <c r="G1993" s="114"/>
      <c r="H1993" s="114"/>
      <c r="Q1993" s="44">
        <f>IF(数据录入!$B1993="",0,IF(OR(数据录入!$D1993="投标保证金",数据录入!$D1993="合同履约保证金",ISNUMBER(FIND("保证金",数据录入!$E1993))),1,0))</f>
      </c>
      <c r="R1993" s="44">
        <f>IF(AND($Q1993=1,数据录入!$B1993&gt;=$B$2,数据录入!$B1993&lt;=$D$2),N(R1992)+1,N(R1992))</f>
      </c>
    </row>
    <row r="1994" s="44" customFormat="1" spans="1:23">
      <c r="A1994" s="116"/>
      <c r="E1994" s="108"/>
      <c r="F1994" s="114"/>
      <c r="G1994" s="114"/>
      <c r="H1994" s="114"/>
      <c r="Q1994" s="44">
        <f>IF(数据录入!$B1994="",0,IF(OR(数据录入!$D1994="投标保证金",数据录入!$D1994="合同履约保证金",ISNUMBER(FIND("保证金",数据录入!$E1994))),1,0))</f>
      </c>
      <c r="R1994" s="44">
        <f>IF(AND($Q1994=1,数据录入!$B1994&gt;=$B$2,数据录入!$B1994&lt;=$D$2),N(R1993)+1,N(R1993))</f>
      </c>
    </row>
    <row r="1995" s="44" customFormat="1" spans="1:23">
      <c r="A1995" s="116"/>
      <c r="E1995" s="108"/>
      <c r="F1995" s="114"/>
      <c r="G1995" s="114"/>
      <c r="H1995" s="114"/>
      <c r="Q1995" s="44">
        <f>IF(数据录入!$B1995="",0,IF(OR(数据录入!$D1995="投标保证金",数据录入!$D1995="合同履约保证金",ISNUMBER(FIND("保证金",数据录入!$E1995))),1,0))</f>
      </c>
      <c r="R1995" s="44">
        <f>IF(AND($Q1995=1,数据录入!$B1995&gt;=$B$2,数据录入!$B1995&lt;=$D$2),N(R1994)+1,N(R1994))</f>
      </c>
    </row>
    <row r="1996" s="44" customFormat="1" spans="1:23">
      <c r="A1996" s="116"/>
      <c r="E1996" s="108"/>
      <c r="F1996" s="114"/>
      <c r="G1996" s="114"/>
      <c r="H1996" s="114"/>
      <c r="Q1996" s="44">
        <f>IF(数据录入!$B1996="",0,IF(OR(数据录入!$D1996="投标保证金",数据录入!$D1996="合同履约保证金",ISNUMBER(FIND("保证金",数据录入!$E1996))),1,0))</f>
      </c>
      <c r="R1996" s="44">
        <f>IF(AND($Q1996=1,数据录入!$B1996&gt;=$B$2,数据录入!$B1996&lt;=$D$2),N(R1995)+1,N(R1995))</f>
      </c>
    </row>
    <row r="1997" s="44" customFormat="1" spans="1:23">
      <c r="A1997" s="116"/>
      <c r="E1997" s="108"/>
      <c r="F1997" s="114"/>
      <c r="G1997" s="114"/>
      <c r="H1997" s="114"/>
      <c r="Q1997" s="44">
        <f>IF(数据录入!$B1997="",0,IF(OR(数据录入!$D1997="投标保证金",数据录入!$D1997="合同履约保证金",ISNUMBER(FIND("保证金",数据录入!$E1997))),1,0))</f>
      </c>
      <c r="R1997" s="44">
        <f>IF(AND($Q1997=1,数据录入!$B1997&gt;=$B$2,数据录入!$B1997&lt;=$D$2),N(R1996)+1,N(R1996))</f>
      </c>
    </row>
    <row r="1998" s="44" customFormat="1" spans="1:23">
      <c r="A1998" s="116"/>
      <c r="E1998" s="108"/>
      <c r="F1998" s="114"/>
      <c r="G1998" s="114"/>
      <c r="H1998" s="114"/>
      <c r="Q1998" s="44">
        <f>IF(数据录入!$B1998="",0,IF(OR(数据录入!$D1998="投标保证金",数据录入!$D1998="合同履约保证金",ISNUMBER(FIND("保证金",数据录入!$E1998))),1,0))</f>
      </c>
      <c r="R1998" s="44">
        <f>IF(AND($Q1998=1,数据录入!$B1998&gt;=$B$2,数据录入!$B1998&lt;=$D$2),N(R1997)+1,N(R1997))</f>
      </c>
    </row>
    <row r="1999" s="44" customFormat="1" spans="1:23">
      <c r="A1999" s="116"/>
      <c r="E1999" s="108"/>
      <c r="F1999" s="114"/>
      <c r="G1999" s="114"/>
      <c r="H1999" s="114"/>
      <c r="Q1999" s="44">
        <f>IF(数据录入!$B1999="",0,IF(OR(数据录入!$D1999="投标保证金",数据录入!$D1999="合同履约保证金",ISNUMBER(FIND("保证金",数据录入!$E1999))),1,0))</f>
      </c>
      <c r="R1999" s="44">
        <f>IF(AND($Q1999=1,数据录入!$B1999&gt;=$B$2,数据录入!$B1999&lt;=$D$2),N(R1998)+1,N(R1998))</f>
      </c>
    </row>
    <row r="2000" s="44" customFormat="1" spans="1:23">
      <c r="A2000" s="116"/>
      <c r="E2000" s="108"/>
      <c r="F2000" s="114"/>
      <c r="G2000" s="114"/>
      <c r="H2000" s="114"/>
      <c r="Q2000" s="44">
        <f>IF(数据录入!$B2000="",0,IF(OR(数据录入!$D2000="投标保证金",数据录入!$D2000="合同履约保证金",ISNUMBER(FIND("保证金",数据录入!$E2000))),1,0))</f>
      </c>
      <c r="R2000" s="44">
        <f>IF(AND($Q2000=1,数据录入!$B2000&gt;=$B$2,数据录入!$B2000&lt;=$D$2),N(R1999)+1,N(R1999))</f>
      </c>
    </row>
    <row r="2001" s="44" customFormat="1" spans="1:23">
      <c r="A2001" s="116"/>
      <c r="E2001" s="108"/>
      <c r="F2001" s="114"/>
      <c r="G2001" s="114"/>
      <c r="H2001" s="114"/>
      <c r="Q2001" s="44">
        <f>IF(数据录入!$B2001="",0,IF(OR(数据录入!$D2001="投标保证金",数据录入!$D2001="合同履约保证金",ISNUMBER(FIND("保证金",数据录入!$E2001))),1,0))</f>
      </c>
      <c r="R2001" s="44">
        <f>IF(AND($Q2001=1,数据录入!$B2001&gt;=$B$2,数据录入!$B2001&lt;=$D$2),N(R2000)+1,N(R2000))</f>
      </c>
    </row>
    <row r="2002" s="44" customFormat="1" spans="1:23">
      <c r="A2002" s="116"/>
      <c r="E2002" s="108"/>
      <c r="F2002" s="114"/>
      <c r="G2002" s="114"/>
      <c r="H2002" s="114"/>
      <c r="Q2002" s="44">
        <f>IF(数据录入!$B2002="",0,IF(OR(数据录入!$D2002="投标保证金",数据录入!$D2002="合同履约保证金",ISNUMBER(FIND("保证金",数据录入!$E2002))),1,0))</f>
      </c>
      <c r="R2002" s="44">
        <f>IF(AND($Q2002=1,数据录入!$B2002&gt;=$B$2,数据录入!$B2002&lt;=$D$2),N(R2001)+1,N(R2001))</f>
      </c>
    </row>
    <row r="2003" s="44" customFormat="1" spans="1:23">
      <c r="A2003" s="116"/>
      <c r="E2003" s="108"/>
      <c r="F2003" s="114"/>
      <c r="G2003" s="114"/>
      <c r="H2003" s="114"/>
      <c r="Q2003" s="44">
        <f>IF(数据录入!$B2003="",0,IF(OR(数据录入!$D2003="投标保证金",数据录入!$D2003="合同履约保证金",ISNUMBER(FIND("保证金",数据录入!$E2003))),1,0))</f>
      </c>
      <c r="R2003" s="44">
        <f>IF(AND($Q2003=1,数据录入!$B2003&gt;=$B$2,数据录入!$B2003&lt;=$D$2),N(R2002)+1,N(R2002))</f>
      </c>
    </row>
    <row r="2004" s="44" customFormat="1" spans="1:23">
      <c r="A2004" s="116"/>
      <c r="E2004" s="108"/>
      <c r="F2004" s="114"/>
      <c r="G2004" s="114"/>
      <c r="H2004" s="114"/>
      <c r="Q2004" s="44">
        <f>IF(数据录入!$B2004="",0,IF(OR(数据录入!$D2004="投标保证金",数据录入!$D2004="合同履约保证金",ISNUMBER(FIND("保证金",数据录入!$E2004))),1,0))</f>
      </c>
      <c r="R2004" s="44">
        <f>IF(AND($Q2004=1,数据录入!$B2004&gt;=$B$2,数据录入!$B2004&lt;=$D$2),N(R2003)+1,N(R2003))</f>
      </c>
    </row>
    <row r="2005" s="44" customFormat="1" spans="1:23">
      <c r="A2005" s="116"/>
      <c r="E2005" s="108"/>
      <c r="F2005" s="114"/>
      <c r="G2005" s="114"/>
      <c r="H2005" s="114"/>
      <c r="Q2005" s="44">
        <f>IF(数据录入!$B2005="",0,IF(OR(数据录入!$D2005="投标保证金",数据录入!$D2005="合同履约保证金",ISNUMBER(FIND("保证金",数据录入!$E2005))),1,0))</f>
      </c>
      <c r="R2005" s="44">
        <f>IF(AND($Q2005=1,数据录入!$B2005&gt;=$B$2,数据录入!$B2005&lt;=$D$2),N(R2004)+1,N(R2004))</f>
      </c>
    </row>
    <row r="2006" s="44" customFormat="1" spans="1:23">
      <c r="A2006" s="116"/>
      <c r="E2006" s="108"/>
      <c r="F2006" s="114"/>
      <c r="G2006" s="114"/>
      <c r="H2006" s="114"/>
      <c r="Q2006" s="44">
        <f>IF(数据录入!$B2006="",0,IF(OR(数据录入!$D2006="投标保证金",数据录入!$D2006="合同履约保证金",ISNUMBER(FIND("保证金",数据录入!$E2006))),1,0))</f>
      </c>
      <c r="R2006" s="44">
        <f>IF(AND($Q2006=1,数据录入!$B2006&gt;=$B$2,数据录入!$B2006&lt;=$D$2),N(R2005)+1,N(R2005))</f>
      </c>
    </row>
    <row r="2007" s="44" customFormat="1" spans="1:23">
      <c r="A2007" s="116"/>
      <c r="E2007" s="108"/>
      <c r="F2007" s="114"/>
      <c r="G2007" s="114"/>
      <c r="H2007" s="114"/>
      <c r="Q2007" s="44">
        <f>IF(数据录入!$B2007="",0,IF(OR(数据录入!$D2007="投标保证金",数据录入!$D2007="合同履约保证金",ISNUMBER(FIND("保证金",数据录入!$E2007))),1,0))</f>
      </c>
      <c r="R2007" s="44">
        <f>IF(AND($Q2007=1,数据录入!$B2007&gt;=$B$2,数据录入!$B2007&lt;=$D$2),N(R2006)+1,N(R2006))</f>
      </c>
    </row>
    <row r="2008" s="44" customFormat="1" spans="1:23">
      <c r="A2008" s="116"/>
      <c r="E2008" s="108"/>
      <c r="F2008" s="114"/>
      <c r="G2008" s="114"/>
      <c r="H2008" s="114"/>
      <c r="Q2008" s="44">
        <f>IF(数据录入!$B2008="",0,IF(OR(数据录入!$D2008="投标保证金",数据录入!$D2008="合同履约保证金",ISNUMBER(FIND("保证金",数据录入!$E2008))),1,0))</f>
      </c>
      <c r="R2008" s="44">
        <f>IF(AND($Q2008=1,数据录入!$B2008&gt;=$B$2,数据录入!$B2008&lt;=$D$2),N(R2007)+1,N(R2007))</f>
      </c>
    </row>
    <row r="2009" s="44" customFormat="1" spans="1:23">
      <c r="A2009" s="116"/>
      <c r="E2009" s="108"/>
      <c r="F2009" s="114"/>
      <c r="G2009" s="114"/>
      <c r="H2009" s="114"/>
      <c r="Q2009" s="44">
        <f>IF(数据录入!$B2009="",0,IF(OR(数据录入!$D2009="投标保证金",数据录入!$D2009="合同履约保证金",ISNUMBER(FIND("保证金",数据录入!$E2009))),1,0))</f>
      </c>
      <c r="R2009" s="44">
        <f>IF(AND($Q2009=1,数据录入!$B2009&gt;=$B$2,数据录入!$B2009&lt;=$D$2),N(R2008)+1,N(R2008))</f>
      </c>
    </row>
    <row r="2010" s="44" customFormat="1" spans="1:23">
      <c r="A2010" s="116"/>
      <c r="E2010" s="108"/>
      <c r="F2010" s="114"/>
      <c r="G2010" s="114"/>
      <c r="H2010" s="114"/>
      <c r="Q2010" s="44">
        <f>IF(数据录入!$B2010="",0,IF(OR(数据录入!$D2010="投标保证金",数据录入!$D2010="合同履约保证金",ISNUMBER(FIND("保证金",数据录入!$E2010))),1,0))</f>
      </c>
      <c r="R2010" s="44">
        <f>IF(AND($Q2010=1,数据录入!$B2010&gt;=$B$2,数据录入!$B2010&lt;=$D$2),N(R2009)+1,N(R2009))</f>
      </c>
    </row>
    <row r="2011" s="44" customFormat="1" spans="1:23">
      <c r="A2011" s="116"/>
      <c r="E2011" s="108"/>
      <c r="F2011" s="114"/>
      <c r="G2011" s="114"/>
      <c r="H2011" s="114"/>
      <c r="Q2011" s="44">
        <f>IF(数据录入!$B2011="",0,IF(OR(数据录入!$D2011="投标保证金",数据录入!$D2011="合同履约保证金",ISNUMBER(FIND("保证金",数据录入!$E2011))),1,0))</f>
      </c>
      <c r="R2011" s="44">
        <f>IF(AND($Q2011=1,数据录入!$B2011&gt;=$B$2,数据录入!$B2011&lt;=$D$2),N(R2010)+1,N(R2010))</f>
      </c>
    </row>
    <row r="2012" s="44" customFormat="1" spans="1:23">
      <c r="A2012" s="116"/>
      <c r="E2012" s="108"/>
      <c r="F2012" s="114"/>
      <c r="G2012" s="114"/>
      <c r="H2012" s="114"/>
      <c r="Q2012" s="44">
        <f>IF(数据录入!$B2012="",0,IF(OR(数据录入!$D2012="投标保证金",数据录入!$D2012="合同履约保证金",ISNUMBER(FIND("保证金",数据录入!$E2012))),1,0))</f>
      </c>
      <c r="R2012" s="44">
        <f>IF(AND($Q2012=1,数据录入!$B2012&gt;=$B$2,数据录入!$B2012&lt;=$D$2),N(R2011)+1,N(R2011))</f>
      </c>
    </row>
    <row r="2013" s="44" customFormat="1" spans="1:23">
      <c r="A2013" s="116"/>
      <c r="E2013" s="108"/>
      <c r="F2013" s="114"/>
      <c r="G2013" s="114"/>
      <c r="H2013" s="114"/>
      <c r="Q2013" s="44">
        <f>IF(数据录入!$B2013="",0,IF(OR(数据录入!$D2013="投标保证金",数据录入!$D2013="合同履约保证金",ISNUMBER(FIND("保证金",数据录入!$E2013))),1,0))</f>
      </c>
      <c r="R2013" s="44">
        <f>IF(AND($Q2013=1,数据录入!$B2013&gt;=$B$2,数据录入!$B2013&lt;=$D$2),N(R2012)+1,N(R2012))</f>
      </c>
    </row>
    <row r="2014" s="44" customFormat="1" spans="1:23">
      <c r="A2014" s="116"/>
      <c r="E2014" s="108"/>
      <c r="F2014" s="114"/>
      <c r="G2014" s="114"/>
      <c r="H2014" s="114"/>
      <c r="Q2014" s="44">
        <f>IF(数据录入!$B2014="",0,IF(OR(数据录入!$D2014="投标保证金",数据录入!$D2014="合同履约保证金",ISNUMBER(FIND("保证金",数据录入!$E2014))),1,0))</f>
      </c>
      <c r="R2014" s="44">
        <f>IF(AND($Q2014=1,数据录入!$B2014&gt;=$B$2,数据录入!$B2014&lt;=$D$2),N(R2013)+1,N(R2013))</f>
      </c>
    </row>
    <row r="2015" s="44" customFormat="1" spans="1:23">
      <c r="A2015" s="116"/>
      <c r="E2015" s="108"/>
      <c r="F2015" s="114"/>
      <c r="G2015" s="114"/>
      <c r="H2015" s="114"/>
      <c r="Q2015" s="44">
        <f>IF(数据录入!$B2015="",0,IF(OR(数据录入!$D2015="投标保证金",数据录入!$D2015="合同履约保证金",ISNUMBER(FIND("保证金",数据录入!$E2015))),1,0))</f>
      </c>
      <c r="R2015" s="44">
        <f>IF(AND($Q2015=1,数据录入!$B2015&gt;=$B$2,数据录入!$B2015&lt;=$D$2),N(R2014)+1,N(R2014))</f>
      </c>
    </row>
    <row r="2016" s="44" customFormat="1" spans="1:23">
      <c r="A2016" s="116"/>
      <c r="E2016" s="108"/>
      <c r="F2016" s="114"/>
      <c r="G2016" s="114"/>
      <c r="H2016" s="114"/>
      <c r="Q2016" s="44">
        <f>IF(数据录入!$B2016="",0,IF(OR(数据录入!$D2016="投标保证金",数据录入!$D2016="合同履约保证金",ISNUMBER(FIND("保证金",数据录入!$E2016))),1,0))</f>
      </c>
      <c r="R2016" s="44">
        <f>IF(AND($Q2016=1,数据录入!$B2016&gt;=$B$2,数据录入!$B2016&lt;=$D$2),N(R2015)+1,N(R2015))</f>
      </c>
    </row>
    <row r="2017" s="44" customFormat="1" spans="1:23">
      <c r="A2017" s="116"/>
      <c r="E2017" s="108"/>
      <c r="F2017" s="114"/>
      <c r="G2017" s="114"/>
      <c r="H2017" s="114"/>
      <c r="Q2017" s="44">
        <f>IF(数据录入!$B2017="",0,IF(OR(数据录入!$D2017="投标保证金",数据录入!$D2017="合同履约保证金",ISNUMBER(FIND("保证金",数据录入!$E2017))),1,0))</f>
      </c>
      <c r="R2017" s="44">
        <f>IF(AND($Q2017=1,数据录入!$B2017&gt;=$B$2,数据录入!$B2017&lt;=$D$2),N(R2016)+1,N(R2016))</f>
      </c>
    </row>
    <row r="2018" s="44" customFormat="1" spans="1:23">
      <c r="A2018" s="116"/>
      <c r="E2018" s="108"/>
      <c r="F2018" s="114"/>
      <c r="G2018" s="114"/>
      <c r="H2018" s="114"/>
      <c r="Q2018" s="44">
        <f>IF(数据录入!$B2018="",0,IF(OR(数据录入!$D2018="投标保证金",数据录入!$D2018="合同履约保证金",ISNUMBER(FIND("保证金",数据录入!$E2018))),1,0))</f>
      </c>
      <c r="R2018" s="44">
        <f>IF(AND($Q2018=1,数据录入!$B2018&gt;=$B$2,数据录入!$B2018&lt;=$D$2),N(R2017)+1,N(R2017))</f>
      </c>
    </row>
    <row r="2019" s="44" customFormat="1" spans="1:23">
      <c r="A2019" s="116"/>
      <c r="E2019" s="108"/>
      <c r="F2019" s="114"/>
      <c r="G2019" s="114"/>
      <c r="H2019" s="114"/>
      <c r="Q2019" s="44">
        <f>IF(数据录入!$B2019="",0,IF(OR(数据录入!$D2019="投标保证金",数据录入!$D2019="合同履约保证金",ISNUMBER(FIND("保证金",数据录入!$E2019))),1,0))</f>
      </c>
      <c r="R2019" s="44">
        <f>IF(AND($Q2019=1,数据录入!$B2019&gt;=$B$2,数据录入!$B2019&lt;=$D$2),N(R2018)+1,N(R2018))</f>
      </c>
    </row>
    <row r="2020" s="44" customFormat="1" spans="1:23">
      <c r="A2020" s="116"/>
      <c r="E2020" s="108"/>
      <c r="F2020" s="114"/>
      <c r="G2020" s="114"/>
      <c r="H2020" s="114"/>
      <c r="Q2020" s="44">
        <f>IF(数据录入!$B2020="",0,IF(OR(数据录入!$D2020="投标保证金",数据录入!$D2020="合同履约保证金",ISNUMBER(FIND("保证金",数据录入!$E2020))),1,0))</f>
      </c>
      <c r="R2020" s="44">
        <f>IF(AND($Q2020=1,数据录入!$B2020&gt;=$B$2,数据录入!$B2020&lt;=$D$2),N(R2019)+1,N(R2019))</f>
      </c>
    </row>
    <row r="2021" s="44" customFormat="1" spans="1:23">
      <c r="A2021" s="116"/>
      <c r="E2021" s="108"/>
      <c r="F2021" s="114"/>
      <c r="G2021" s="114"/>
      <c r="H2021" s="114"/>
      <c r="Q2021" s="44">
        <f>IF(数据录入!$B2021="",0,IF(OR(数据录入!$D2021="投标保证金",数据录入!$D2021="合同履约保证金",ISNUMBER(FIND("保证金",数据录入!$E2021))),1,0))</f>
      </c>
      <c r="R2021" s="44">
        <f>IF(AND($Q2021=1,数据录入!$B2021&gt;=$B$2,数据录入!$B2021&lt;=$D$2),N(R2020)+1,N(R2020))</f>
      </c>
    </row>
    <row r="2022" s="44" customFormat="1" spans="1:23">
      <c r="A2022" s="116"/>
      <c r="E2022" s="108"/>
      <c r="F2022" s="114"/>
      <c r="G2022" s="114"/>
      <c r="H2022" s="114"/>
      <c r="Q2022" s="44">
        <f>IF(数据录入!$B2022="",0,IF(OR(数据录入!$D2022="投标保证金",数据录入!$D2022="合同履约保证金",ISNUMBER(FIND("保证金",数据录入!$E2022))),1,0))</f>
      </c>
      <c r="R2022" s="44">
        <f>IF(AND($Q2022=1,数据录入!$B2022&gt;=$B$2,数据录入!$B2022&lt;=$D$2),N(R2021)+1,N(R2021))</f>
      </c>
    </row>
    <row r="2023" s="44" customFormat="1" spans="1:23">
      <c r="A2023" s="116"/>
      <c r="E2023" s="108"/>
      <c r="F2023" s="114"/>
      <c r="G2023" s="114"/>
      <c r="H2023" s="114"/>
      <c r="Q2023" s="44">
        <f>IF(数据录入!$B2023="",0,IF(OR(数据录入!$D2023="投标保证金",数据录入!$D2023="合同履约保证金",ISNUMBER(FIND("保证金",数据录入!$E2023))),1,0))</f>
      </c>
      <c r="R2023" s="44">
        <f>IF(AND($Q2023=1,数据录入!$B2023&gt;=$B$2,数据录入!$B2023&lt;=$D$2),N(R2022)+1,N(R2022))</f>
      </c>
    </row>
    <row r="2024" s="44" customFormat="1" spans="1:23">
      <c r="A2024" s="116"/>
      <c r="E2024" s="108"/>
      <c r="F2024" s="114"/>
      <c r="G2024" s="114"/>
      <c r="H2024" s="114"/>
      <c r="Q2024" s="44">
        <f>IF(数据录入!$B2024="",0,IF(OR(数据录入!$D2024="投标保证金",数据录入!$D2024="合同履约保证金",ISNUMBER(FIND("保证金",数据录入!$E2024))),1,0))</f>
      </c>
      <c r="R2024" s="44">
        <f>IF(AND($Q2024=1,数据录入!$B2024&gt;=$B$2,数据录入!$B2024&lt;=$D$2),N(R2023)+1,N(R2023))</f>
      </c>
    </row>
    <row r="2025" s="44" customFormat="1" spans="1:23">
      <c r="A2025" s="116"/>
      <c r="E2025" s="108"/>
      <c r="F2025" s="114"/>
      <c r="G2025" s="114"/>
      <c r="H2025" s="114"/>
      <c r="Q2025" s="44">
        <f>IF(数据录入!$B2025="",0,IF(OR(数据录入!$D2025="投标保证金",数据录入!$D2025="合同履约保证金",ISNUMBER(FIND("保证金",数据录入!$E2025))),1,0))</f>
      </c>
      <c r="R2025" s="44">
        <f>IF(AND($Q2025=1,数据录入!$B2025&gt;=$B$2,数据录入!$B2025&lt;=$D$2),N(R2024)+1,N(R2024))</f>
      </c>
    </row>
    <row r="2026" s="44" customFormat="1" spans="1:23">
      <c r="A2026" s="116"/>
      <c r="E2026" s="108"/>
      <c r="F2026" s="114"/>
      <c r="G2026" s="114"/>
      <c r="H2026" s="114"/>
      <c r="Q2026" s="44">
        <f>IF(数据录入!$B2026="",0,IF(OR(数据录入!$D2026="投标保证金",数据录入!$D2026="合同履约保证金",ISNUMBER(FIND("保证金",数据录入!$E2026))),1,0))</f>
      </c>
      <c r="R2026" s="44">
        <f>IF(AND($Q2026=1,数据录入!$B2026&gt;=$B$2,数据录入!$B2026&lt;=$D$2),N(R2025)+1,N(R2025))</f>
      </c>
    </row>
    <row r="2027" s="44" customFormat="1" spans="1:23">
      <c r="A2027" s="116"/>
      <c r="E2027" s="108"/>
      <c r="F2027" s="114"/>
      <c r="G2027" s="114"/>
      <c r="H2027" s="114"/>
      <c r="Q2027" s="44">
        <f>IF(数据录入!$B2027="",0,IF(OR(数据录入!$D2027="投标保证金",数据录入!$D2027="合同履约保证金",ISNUMBER(FIND("保证金",数据录入!$E2027))),1,0))</f>
      </c>
      <c r="R2027" s="44">
        <f>IF(AND($Q2027=1,数据录入!$B2027&gt;=$B$2,数据录入!$B2027&lt;=$D$2),N(R2026)+1,N(R2026))</f>
      </c>
    </row>
    <row r="2028" s="44" customFormat="1" spans="1:23">
      <c r="A2028" s="116"/>
      <c r="E2028" s="108"/>
      <c r="F2028" s="114"/>
      <c r="G2028" s="114"/>
      <c r="H2028" s="114"/>
      <c r="Q2028" s="44">
        <f>IF(数据录入!$B2028="",0,IF(OR(数据录入!$D2028="投标保证金",数据录入!$D2028="合同履约保证金",ISNUMBER(FIND("保证金",数据录入!$E2028))),1,0))</f>
      </c>
      <c r="R2028" s="44">
        <f>IF(AND($Q2028=1,数据录入!$B2028&gt;=$B$2,数据录入!$B2028&lt;=$D$2),N(R2027)+1,N(R2027))</f>
      </c>
    </row>
    <row r="2029" s="44" customFormat="1" spans="1:23">
      <c r="A2029" s="116"/>
      <c r="E2029" s="108"/>
      <c r="F2029" s="114"/>
      <c r="G2029" s="114"/>
      <c r="H2029" s="114"/>
      <c r="Q2029" s="44">
        <f>IF(数据录入!$B2029="",0,IF(OR(数据录入!$D2029="投标保证金",数据录入!$D2029="合同履约保证金",ISNUMBER(FIND("保证金",数据录入!$E2029))),1,0))</f>
      </c>
      <c r="R2029" s="44">
        <f>IF(AND($Q2029=1,数据录入!$B2029&gt;=$B$2,数据录入!$B2029&lt;=$D$2),N(R2028)+1,N(R2028))</f>
      </c>
    </row>
    <row r="2030" s="44" customFormat="1" spans="1:23">
      <c r="A2030" s="116"/>
      <c r="E2030" s="108"/>
      <c r="F2030" s="114"/>
      <c r="G2030" s="114"/>
      <c r="H2030" s="114"/>
      <c r="Q2030" s="44">
        <f>IF(数据录入!$B2030="",0,IF(OR(数据录入!$D2030="投标保证金",数据录入!$D2030="合同履约保证金",ISNUMBER(FIND("保证金",数据录入!$E2030))),1,0))</f>
      </c>
      <c r="R2030" s="44">
        <f>IF(AND($Q2030=1,数据录入!$B2030&gt;=$B$2,数据录入!$B2030&lt;=$D$2),N(R2029)+1,N(R2029))</f>
      </c>
    </row>
    <row r="2031" s="44" customFormat="1" spans="1:23">
      <c r="A2031" s="116"/>
      <c r="E2031" s="108"/>
      <c r="F2031" s="114"/>
      <c r="G2031" s="114"/>
      <c r="H2031" s="114"/>
      <c r="Q2031" s="44">
        <f>IF(数据录入!$B2031="",0,IF(OR(数据录入!$D2031="投标保证金",数据录入!$D2031="合同履约保证金",ISNUMBER(FIND("保证金",数据录入!$E2031))),1,0))</f>
      </c>
      <c r="R2031" s="44">
        <f>IF(AND($Q2031=1,数据录入!$B2031&gt;=$B$2,数据录入!$B2031&lt;=$D$2),N(R2030)+1,N(R2030))</f>
      </c>
    </row>
    <row r="2032" s="44" customFormat="1" spans="1:23">
      <c r="A2032" s="116"/>
      <c r="E2032" s="108"/>
      <c r="F2032" s="114"/>
      <c r="G2032" s="114"/>
      <c r="H2032" s="114"/>
      <c r="Q2032" s="44">
        <f>IF(数据录入!$B2032="",0,IF(OR(数据录入!$D2032="投标保证金",数据录入!$D2032="合同履约保证金",ISNUMBER(FIND("保证金",数据录入!$E2032))),1,0))</f>
      </c>
      <c r="R2032" s="44">
        <f>IF(AND($Q2032=1,数据录入!$B2032&gt;=$B$2,数据录入!$B2032&lt;=$D$2),N(R2031)+1,N(R2031))</f>
      </c>
    </row>
    <row r="2033" s="44" customFormat="1" spans="1:23">
      <c r="A2033" s="116"/>
      <c r="E2033" s="108"/>
      <c r="F2033" s="114"/>
      <c r="G2033" s="114"/>
      <c r="H2033" s="114"/>
      <c r="Q2033" s="44">
        <f>IF(数据录入!$B2033="",0,IF(OR(数据录入!$D2033="投标保证金",数据录入!$D2033="合同履约保证金",ISNUMBER(FIND("保证金",数据录入!$E2033))),1,0))</f>
      </c>
      <c r="R2033" s="44">
        <f>IF(AND($Q2033=1,数据录入!$B2033&gt;=$B$2,数据录入!$B2033&lt;=$D$2),N(R2032)+1,N(R2032))</f>
      </c>
    </row>
    <row r="2034" s="44" customFormat="1" spans="1:23">
      <c r="A2034" s="116"/>
      <c r="E2034" s="108"/>
      <c r="F2034" s="114"/>
      <c r="G2034" s="114"/>
      <c r="H2034" s="114"/>
      <c r="Q2034" s="44">
        <f>IF(数据录入!$B2034="",0,IF(OR(数据录入!$D2034="投标保证金",数据录入!$D2034="合同履约保证金",ISNUMBER(FIND("保证金",数据录入!$E2034))),1,0))</f>
      </c>
      <c r="R2034" s="44">
        <f>IF(AND($Q2034=1,数据录入!$B2034&gt;=$B$2,数据录入!$B2034&lt;=$D$2),N(R2033)+1,N(R2033))</f>
      </c>
    </row>
    <row r="2035" s="44" customFormat="1" spans="1:23">
      <c r="A2035" s="116"/>
      <c r="E2035" s="108"/>
      <c r="F2035" s="114"/>
      <c r="G2035" s="114"/>
      <c r="H2035" s="114"/>
      <c r="Q2035" s="44">
        <f>IF(数据录入!$B2035="",0,IF(OR(数据录入!$D2035="投标保证金",数据录入!$D2035="合同履约保证金",ISNUMBER(FIND("保证金",数据录入!$E2035))),1,0))</f>
      </c>
      <c r="R2035" s="44">
        <f>IF(AND($Q2035=1,数据录入!$B2035&gt;=$B$2,数据录入!$B2035&lt;=$D$2),N(R2034)+1,N(R2034))</f>
      </c>
    </row>
    <row r="2036" s="44" customFormat="1" spans="1:23">
      <c r="A2036" s="116"/>
      <c r="E2036" s="108"/>
      <c r="F2036" s="114"/>
      <c r="G2036" s="114"/>
      <c r="H2036" s="114"/>
      <c r="Q2036" s="44">
        <f>IF(数据录入!$B2036="",0,IF(OR(数据录入!$D2036="投标保证金",数据录入!$D2036="合同履约保证金",ISNUMBER(FIND("保证金",数据录入!$E2036))),1,0))</f>
      </c>
      <c r="R2036" s="44">
        <f>IF(AND($Q2036=1,数据录入!$B2036&gt;=$B$2,数据录入!$B2036&lt;=$D$2),N(R2035)+1,N(R2035))</f>
      </c>
    </row>
    <row r="2037" s="44" customFormat="1" spans="1:23">
      <c r="A2037" s="116"/>
      <c r="E2037" s="108"/>
      <c r="F2037" s="114"/>
      <c r="G2037" s="114"/>
      <c r="H2037" s="114"/>
      <c r="Q2037" s="44">
        <f>IF(数据录入!$B2037="",0,IF(OR(数据录入!$D2037="投标保证金",数据录入!$D2037="合同履约保证金",ISNUMBER(FIND("保证金",数据录入!$E2037))),1,0))</f>
      </c>
      <c r="R2037" s="44">
        <f>IF(AND($Q2037=1,数据录入!$B2037&gt;=$B$2,数据录入!$B2037&lt;=$D$2),N(R2036)+1,N(R2036))</f>
      </c>
    </row>
    <row r="2038" s="44" customFormat="1" spans="1:23">
      <c r="A2038" s="116"/>
      <c r="E2038" s="108"/>
      <c r="F2038" s="114"/>
      <c r="G2038" s="114"/>
      <c r="H2038" s="114"/>
      <c r="Q2038" s="44">
        <f>IF(数据录入!$B2038="",0,IF(OR(数据录入!$D2038="投标保证金",数据录入!$D2038="合同履约保证金",ISNUMBER(FIND("保证金",数据录入!$E2038))),1,0))</f>
      </c>
      <c r="R2038" s="44">
        <f>IF(AND($Q2038=1,数据录入!$B2038&gt;=$B$2,数据录入!$B2038&lt;=$D$2),N(R2037)+1,N(R2037))</f>
      </c>
    </row>
    <row r="2039" s="44" customFormat="1" spans="1:23">
      <c r="A2039" s="116"/>
      <c r="E2039" s="108"/>
      <c r="F2039" s="114"/>
      <c r="G2039" s="114"/>
      <c r="H2039" s="114"/>
      <c r="Q2039" s="44">
        <f>IF(数据录入!$B2039="",0,IF(OR(数据录入!$D2039="投标保证金",数据录入!$D2039="合同履约保证金",ISNUMBER(FIND("保证金",数据录入!$E2039))),1,0))</f>
      </c>
      <c r="R2039" s="44">
        <f>IF(AND($Q2039=1,数据录入!$B2039&gt;=$B$2,数据录入!$B2039&lt;=$D$2),N(R2038)+1,N(R2038))</f>
      </c>
    </row>
    <row r="2040" s="44" customFormat="1" spans="1:23">
      <c r="A2040" s="116"/>
      <c r="E2040" s="108"/>
      <c r="F2040" s="114"/>
      <c r="G2040" s="114"/>
      <c r="H2040" s="114"/>
      <c r="Q2040" s="44">
        <f>IF(数据录入!$B2040="",0,IF(OR(数据录入!$D2040="投标保证金",数据录入!$D2040="合同履约保证金",ISNUMBER(FIND("保证金",数据录入!$E2040))),1,0))</f>
      </c>
      <c r="R2040" s="44">
        <f>IF(AND($Q2040=1,数据录入!$B2040&gt;=$B$2,数据录入!$B2040&lt;=$D$2),N(R2039)+1,N(R2039))</f>
      </c>
    </row>
    <row r="2041" s="44" customFormat="1" spans="1:23">
      <c r="A2041" s="116"/>
      <c r="E2041" s="108"/>
      <c r="F2041" s="114"/>
      <c r="G2041" s="114"/>
      <c r="H2041" s="114"/>
      <c r="Q2041" s="44">
        <f>IF(数据录入!$B2041="",0,IF(OR(数据录入!$D2041="投标保证金",数据录入!$D2041="合同履约保证金",ISNUMBER(FIND("保证金",数据录入!$E2041))),1,0))</f>
      </c>
      <c r="R2041" s="44">
        <f>IF(AND($Q2041=1,数据录入!$B2041&gt;=$B$2,数据录入!$B2041&lt;=$D$2),N(R2040)+1,N(R2040))</f>
      </c>
    </row>
    <row r="2042" s="44" customFormat="1" spans="1:23">
      <c r="A2042" s="116"/>
      <c r="E2042" s="108"/>
      <c r="F2042" s="114"/>
      <c r="G2042" s="114"/>
      <c r="H2042" s="114"/>
      <c r="Q2042" s="44">
        <f>IF(数据录入!$B2042="",0,IF(OR(数据录入!$D2042="投标保证金",数据录入!$D2042="合同履约保证金",ISNUMBER(FIND("保证金",数据录入!$E2042))),1,0))</f>
      </c>
      <c r="R2042" s="44">
        <f>IF(AND($Q2042=1,数据录入!$B2042&gt;=$B$2,数据录入!$B2042&lt;=$D$2),N(R2041)+1,N(R2041))</f>
      </c>
    </row>
    <row r="2043" s="44" customFormat="1" spans="1:23">
      <c r="A2043" s="116"/>
      <c r="E2043" s="108"/>
      <c r="F2043" s="114"/>
      <c r="G2043" s="114"/>
      <c r="H2043" s="114"/>
      <c r="Q2043" s="44">
        <f>IF(数据录入!$B2043="",0,IF(OR(数据录入!$D2043="投标保证金",数据录入!$D2043="合同履约保证金",ISNUMBER(FIND("保证金",数据录入!$E2043))),1,0))</f>
      </c>
      <c r="R2043" s="44">
        <f>IF(AND($Q2043=1,数据录入!$B2043&gt;=$B$2,数据录入!$B2043&lt;=$D$2),N(R2042)+1,N(R2042))</f>
      </c>
    </row>
    <row r="2044" s="44" customFormat="1" spans="1:23">
      <c r="A2044" s="116"/>
      <c r="E2044" s="108"/>
      <c r="F2044" s="114"/>
      <c r="G2044" s="114"/>
      <c r="H2044" s="114"/>
      <c r="Q2044" s="44">
        <f>IF(数据录入!$B2044="",0,IF(OR(数据录入!$D2044="投标保证金",数据录入!$D2044="合同履约保证金",ISNUMBER(FIND("保证金",数据录入!$E2044))),1,0))</f>
      </c>
      <c r="R2044" s="44">
        <f>IF(AND($Q2044=1,数据录入!$B2044&gt;=$B$2,数据录入!$B2044&lt;=$D$2),N(R2043)+1,N(R2043))</f>
      </c>
    </row>
    <row r="2045" s="44" customFormat="1" spans="1:23">
      <c r="A2045" s="116"/>
      <c r="E2045" s="108"/>
      <c r="F2045" s="114"/>
      <c r="G2045" s="114"/>
      <c r="H2045" s="114"/>
      <c r="Q2045" s="44">
        <f>IF(数据录入!$B2045="",0,IF(OR(数据录入!$D2045="投标保证金",数据录入!$D2045="合同履约保证金",ISNUMBER(FIND("保证金",数据录入!$E2045))),1,0))</f>
      </c>
      <c r="R2045" s="44">
        <f>IF(AND($Q2045=1,数据录入!$B2045&gt;=$B$2,数据录入!$B2045&lt;=$D$2),N(R2044)+1,N(R2044))</f>
      </c>
    </row>
    <row r="2046" s="44" customFormat="1" spans="1:23">
      <c r="A2046" s="116"/>
      <c r="E2046" s="108"/>
      <c r="F2046" s="114"/>
      <c r="G2046" s="114"/>
      <c r="H2046" s="114"/>
      <c r="Q2046" s="44">
        <f>IF(数据录入!$B2046="",0,IF(OR(数据录入!$D2046="投标保证金",数据录入!$D2046="合同履约保证金",ISNUMBER(FIND("保证金",数据录入!$E2046))),1,0))</f>
      </c>
      <c r="R2046" s="44">
        <f>IF(AND($Q2046=1,数据录入!$B2046&gt;=$B$2,数据录入!$B2046&lt;=$D$2),N(R2045)+1,N(R2045))</f>
      </c>
    </row>
    <row r="2047" s="44" customFormat="1" spans="1:23">
      <c r="A2047" s="116"/>
      <c r="E2047" s="108"/>
      <c r="F2047" s="114"/>
      <c r="G2047" s="114"/>
      <c r="H2047" s="114"/>
      <c r="Q2047" s="44">
        <f>IF(数据录入!$B2047="",0,IF(OR(数据录入!$D2047="投标保证金",数据录入!$D2047="合同履约保证金",ISNUMBER(FIND("保证金",数据录入!$E2047))),1,0))</f>
      </c>
      <c r="R2047" s="44">
        <f>IF(AND($Q2047=1,数据录入!$B2047&gt;=$B$2,数据录入!$B2047&lt;=$D$2),N(R2046)+1,N(R2046))</f>
      </c>
    </row>
    <row r="2048" s="44" customFormat="1" spans="1:23">
      <c r="A2048" s="116"/>
      <c r="E2048" s="108"/>
      <c r="F2048" s="114"/>
      <c r="G2048" s="114"/>
      <c r="H2048" s="114"/>
      <c r="Q2048" s="44">
        <f>IF(数据录入!$B2048="",0,IF(OR(数据录入!$D2048="投标保证金",数据录入!$D2048="合同履约保证金",ISNUMBER(FIND("保证金",数据录入!$E2048))),1,0))</f>
      </c>
      <c r="R2048" s="44">
        <f>IF(AND($Q2048=1,数据录入!$B2048&gt;=$B$2,数据录入!$B2048&lt;=$D$2),N(R2047)+1,N(R2047))</f>
      </c>
    </row>
    <row r="2049" s="44" customFormat="1" spans="1:23">
      <c r="A2049" s="116"/>
      <c r="E2049" s="108"/>
      <c r="F2049" s="114"/>
      <c r="G2049" s="114"/>
      <c r="H2049" s="114"/>
      <c r="Q2049" s="44">
        <f>IF(数据录入!$B2049="",0,IF(OR(数据录入!$D2049="投标保证金",数据录入!$D2049="合同履约保证金",ISNUMBER(FIND("保证金",数据录入!$E2049))),1,0))</f>
      </c>
      <c r="R2049" s="44">
        <f>IF(AND($Q2049=1,数据录入!$B2049&gt;=$B$2,数据录入!$B2049&lt;=$D$2),N(R2048)+1,N(R2048))</f>
      </c>
    </row>
    <row r="2050" s="44" customFormat="1" spans="1:23">
      <c r="A2050" s="116"/>
      <c r="E2050" s="108"/>
      <c r="F2050" s="114"/>
      <c r="G2050" s="114"/>
      <c r="H2050" s="114"/>
      <c r="Q2050" s="44">
        <f>IF(数据录入!$B2050="",0,IF(OR(数据录入!$D2050="投标保证金",数据录入!$D2050="合同履约保证金",ISNUMBER(FIND("保证金",数据录入!$E2050))),1,0))</f>
      </c>
      <c r="R2050" s="44">
        <f>IF(AND($Q2050=1,数据录入!$B2050&gt;=$B$2,数据录入!$B2050&lt;=$D$2),N(R2049)+1,N(R2049))</f>
      </c>
    </row>
    <row r="2051" s="44" customFormat="1" spans="1:23">
      <c r="A2051" s="116"/>
      <c r="E2051" s="108"/>
      <c r="F2051" s="114"/>
      <c r="G2051" s="114"/>
      <c r="H2051" s="114"/>
      <c r="Q2051" s="44">
        <f>IF(数据录入!$B2051="",0,IF(OR(数据录入!$D2051="投标保证金",数据录入!$D2051="合同履约保证金",ISNUMBER(FIND("保证金",数据录入!$E2051))),1,0))</f>
      </c>
      <c r="R2051" s="44">
        <f>IF(AND($Q2051=1,数据录入!$B2051&gt;=$B$2,数据录入!$B2051&lt;=$D$2),N(R2050)+1,N(R2050))</f>
      </c>
    </row>
    <row r="2052" s="44" customFormat="1" spans="1:23">
      <c r="A2052" s="116"/>
      <c r="E2052" s="108"/>
      <c r="F2052" s="114"/>
      <c r="G2052" s="114"/>
      <c r="H2052" s="114"/>
      <c r="Q2052" s="44">
        <f>IF(数据录入!$B2052="",0,IF(OR(数据录入!$D2052="投标保证金",数据录入!$D2052="合同履约保证金",ISNUMBER(FIND("保证金",数据录入!$E2052))),1,0))</f>
      </c>
      <c r="R2052" s="44">
        <f>IF(AND($Q2052=1,数据录入!$B2052&gt;=$B$2,数据录入!$B2052&lt;=$D$2),N(R2051)+1,N(R2051))</f>
      </c>
    </row>
    <row r="2053" s="44" customFormat="1" spans="1:23">
      <c r="A2053" s="116"/>
      <c r="E2053" s="108"/>
      <c r="F2053" s="114"/>
      <c r="G2053" s="114"/>
      <c r="H2053" s="114"/>
      <c r="Q2053" s="44">
        <f>IF(数据录入!$B2053="",0,IF(OR(数据录入!$D2053="投标保证金",数据录入!$D2053="合同履约保证金",ISNUMBER(FIND("保证金",数据录入!$E2053))),1,0))</f>
      </c>
      <c r="R2053" s="44">
        <f>IF(AND($Q2053=1,数据录入!$B2053&gt;=$B$2,数据录入!$B2053&lt;=$D$2),N(R2052)+1,N(R2052))</f>
      </c>
    </row>
    <row r="2054" s="44" customFormat="1" spans="1:23">
      <c r="A2054" s="116"/>
      <c r="E2054" s="108"/>
      <c r="F2054" s="114"/>
      <c r="G2054" s="114"/>
      <c r="H2054" s="114"/>
      <c r="Q2054" s="44">
        <f>IF(数据录入!$B2054="",0,IF(OR(数据录入!$D2054="投标保证金",数据录入!$D2054="合同履约保证金",ISNUMBER(FIND("保证金",数据录入!$E2054))),1,0))</f>
      </c>
      <c r="R2054" s="44">
        <f>IF(AND($Q2054=1,数据录入!$B2054&gt;=$B$2,数据录入!$B2054&lt;=$D$2),N(R2053)+1,N(R2053))</f>
      </c>
    </row>
    <row r="2055" s="44" customFormat="1" spans="1:23">
      <c r="A2055" s="116"/>
      <c r="E2055" s="108"/>
      <c r="F2055" s="114"/>
      <c r="G2055" s="114"/>
      <c r="H2055" s="114"/>
      <c r="Q2055" s="44">
        <f>IF(数据录入!$B2055="",0,IF(OR(数据录入!$D2055="投标保证金",数据录入!$D2055="合同履约保证金",ISNUMBER(FIND("保证金",数据录入!$E2055))),1,0))</f>
      </c>
      <c r="R2055" s="44">
        <f>IF(AND($Q2055=1,数据录入!$B2055&gt;=$B$2,数据录入!$B2055&lt;=$D$2),N(R2054)+1,N(R2054))</f>
      </c>
    </row>
    <row r="2056" s="44" customFormat="1" spans="1:23">
      <c r="A2056" s="116"/>
      <c r="E2056" s="108"/>
      <c r="F2056" s="114"/>
      <c r="G2056" s="114"/>
      <c r="H2056" s="114"/>
      <c r="Q2056" s="44">
        <f>IF(数据录入!$B2056="",0,IF(OR(数据录入!$D2056="投标保证金",数据录入!$D2056="合同履约保证金",ISNUMBER(FIND("保证金",数据录入!$E2056))),1,0))</f>
      </c>
      <c r="R2056" s="44">
        <f>IF(AND($Q2056=1,数据录入!$B2056&gt;=$B$2,数据录入!$B2056&lt;=$D$2),N(R2055)+1,N(R2055))</f>
      </c>
    </row>
    <row r="2057" s="44" customFormat="1" spans="1:23">
      <c r="A2057" s="116"/>
      <c r="E2057" s="108"/>
      <c r="F2057" s="114"/>
      <c r="G2057" s="114"/>
      <c r="H2057" s="114"/>
      <c r="Q2057" s="44">
        <f>IF(数据录入!$B2057="",0,IF(OR(数据录入!$D2057="投标保证金",数据录入!$D2057="合同履约保证金",ISNUMBER(FIND("保证金",数据录入!$E2057))),1,0))</f>
      </c>
      <c r="R2057" s="44">
        <f>IF(AND($Q2057=1,数据录入!$B2057&gt;=$B$2,数据录入!$B2057&lt;=$D$2),N(R2056)+1,N(R2056))</f>
      </c>
    </row>
    <row r="2058" s="44" customFormat="1" spans="1:23">
      <c r="A2058" s="116"/>
      <c r="E2058" s="108"/>
      <c r="F2058" s="114"/>
      <c r="G2058" s="114"/>
      <c r="H2058" s="114"/>
      <c r="Q2058" s="44">
        <f>IF(数据录入!$B2058="",0,IF(OR(数据录入!$D2058="投标保证金",数据录入!$D2058="合同履约保证金",ISNUMBER(FIND("保证金",数据录入!$E2058))),1,0))</f>
      </c>
      <c r="R2058" s="44">
        <f>IF(AND($Q2058=1,数据录入!$B2058&gt;=$B$2,数据录入!$B2058&lt;=$D$2),N(R2057)+1,N(R2057))</f>
      </c>
    </row>
    <row r="2059" s="44" customFormat="1" spans="1:23">
      <c r="A2059" s="116"/>
      <c r="E2059" s="108"/>
      <c r="F2059" s="114"/>
      <c r="G2059" s="114"/>
      <c r="H2059" s="114"/>
      <c r="Q2059" s="44">
        <f>IF(数据录入!$B2059="",0,IF(OR(数据录入!$D2059="投标保证金",数据录入!$D2059="合同履约保证金",ISNUMBER(FIND("保证金",数据录入!$E2059))),1,0))</f>
      </c>
      <c r="R2059" s="44">
        <f>IF(AND($Q2059=1,数据录入!$B2059&gt;=$B$2,数据录入!$B2059&lt;=$D$2),N(R2058)+1,N(R2058))</f>
      </c>
    </row>
    <row r="2060" s="44" customFormat="1" spans="1:23">
      <c r="A2060" s="116"/>
      <c r="E2060" s="108"/>
      <c r="F2060" s="114"/>
      <c r="G2060" s="114"/>
      <c r="H2060" s="114"/>
      <c r="Q2060" s="44">
        <f>IF(数据录入!$B2060="",0,IF(OR(数据录入!$D2060="投标保证金",数据录入!$D2060="合同履约保证金",ISNUMBER(FIND("保证金",数据录入!$E2060))),1,0))</f>
      </c>
      <c r="R2060" s="44">
        <f>IF(AND($Q2060=1,数据录入!$B2060&gt;=$B$2,数据录入!$B2060&lt;=$D$2),N(R2059)+1,N(R2059))</f>
      </c>
    </row>
    <row r="2061" s="44" customFormat="1" spans="1:23">
      <c r="A2061" s="116"/>
      <c r="E2061" s="108"/>
      <c r="F2061" s="114"/>
      <c r="G2061" s="114"/>
      <c r="H2061" s="114"/>
      <c r="Q2061" s="44">
        <f>IF(数据录入!$B2061="",0,IF(OR(数据录入!$D2061="投标保证金",数据录入!$D2061="合同履约保证金",ISNUMBER(FIND("保证金",数据录入!$E2061))),1,0))</f>
      </c>
      <c r="R2061" s="44">
        <f>IF(AND($Q2061=1,数据录入!$B2061&gt;=$B$2,数据录入!$B2061&lt;=$D$2),N(R2060)+1,N(R2060))</f>
      </c>
    </row>
    <row r="2062" s="44" customFormat="1" spans="1:23">
      <c r="A2062" s="116"/>
      <c r="E2062" s="108"/>
      <c r="F2062" s="114"/>
      <c r="G2062" s="114"/>
      <c r="H2062" s="114"/>
      <c r="Q2062" s="44">
        <f>IF(数据录入!$B2062="",0,IF(OR(数据录入!$D2062="投标保证金",数据录入!$D2062="合同履约保证金",ISNUMBER(FIND("保证金",数据录入!$E2062))),1,0))</f>
      </c>
      <c r="R2062" s="44">
        <f>IF(AND($Q2062=1,数据录入!$B2062&gt;=$B$2,数据录入!$B2062&lt;=$D$2),N(R2061)+1,N(R2061))</f>
      </c>
    </row>
    <row r="2063" s="44" customFormat="1" spans="1:23">
      <c r="A2063" s="116"/>
      <c r="E2063" s="108"/>
      <c r="F2063" s="114"/>
      <c r="G2063" s="114"/>
      <c r="H2063" s="114"/>
      <c r="Q2063" s="44">
        <f>IF(数据录入!$B2063="",0,IF(OR(数据录入!$D2063="投标保证金",数据录入!$D2063="合同履约保证金",ISNUMBER(FIND("保证金",数据录入!$E2063))),1,0))</f>
      </c>
      <c r="R2063" s="44">
        <f>IF(AND($Q2063=1,数据录入!$B2063&gt;=$B$2,数据录入!$B2063&lt;=$D$2),N(R2062)+1,N(R2062))</f>
      </c>
    </row>
    <row r="2064" s="44" customFormat="1" spans="1:23">
      <c r="A2064" s="116"/>
      <c r="E2064" s="108"/>
      <c r="F2064" s="114"/>
      <c r="G2064" s="114"/>
      <c r="H2064" s="114"/>
      <c r="Q2064" s="44">
        <f>IF(数据录入!$B2064="",0,IF(OR(数据录入!$D2064="投标保证金",数据录入!$D2064="合同履约保证金",ISNUMBER(FIND("保证金",数据录入!$E2064))),1,0))</f>
      </c>
      <c r="R2064" s="44">
        <f>IF(AND($Q2064=1,数据录入!$B2064&gt;=$B$2,数据录入!$B2064&lt;=$D$2),N(R2063)+1,N(R2063))</f>
      </c>
    </row>
    <row r="2065" s="44" customFormat="1" spans="1:23">
      <c r="A2065" s="116"/>
      <c r="E2065" s="108"/>
      <c r="F2065" s="114"/>
      <c r="G2065" s="114"/>
      <c r="H2065" s="114"/>
      <c r="Q2065" s="44">
        <f>IF(数据录入!$B2065="",0,IF(OR(数据录入!$D2065="投标保证金",数据录入!$D2065="合同履约保证金",ISNUMBER(FIND("保证金",数据录入!$E2065))),1,0))</f>
      </c>
      <c r="R2065" s="44">
        <f>IF(AND($Q2065=1,数据录入!$B2065&gt;=$B$2,数据录入!$B2065&lt;=$D$2),N(R2064)+1,N(R2064))</f>
      </c>
    </row>
    <row r="2066" s="44" customFormat="1" spans="1:23">
      <c r="A2066" s="116"/>
      <c r="E2066" s="108"/>
      <c r="F2066" s="114"/>
      <c r="G2066" s="114"/>
      <c r="H2066" s="114"/>
      <c r="Q2066" s="44">
        <f>IF(数据录入!$B2066="",0,IF(OR(数据录入!$D2066="投标保证金",数据录入!$D2066="合同履约保证金",ISNUMBER(FIND("保证金",数据录入!$E2066))),1,0))</f>
      </c>
      <c r="R2066" s="44">
        <f>IF(AND($Q2066=1,数据录入!$B2066&gt;=$B$2,数据录入!$B2066&lt;=$D$2),N(R2065)+1,N(R2065))</f>
      </c>
    </row>
    <row r="2067" s="44" customFormat="1" spans="1:23">
      <c r="A2067" s="116"/>
      <c r="E2067" s="108"/>
      <c r="F2067" s="114"/>
      <c r="G2067" s="114"/>
      <c r="H2067" s="114"/>
      <c r="Q2067" s="44">
        <f>IF(数据录入!$B2067="",0,IF(OR(数据录入!$D2067="投标保证金",数据录入!$D2067="合同履约保证金",ISNUMBER(FIND("保证金",数据录入!$E2067))),1,0))</f>
      </c>
      <c r="R2067" s="44">
        <f>IF(AND($Q2067=1,数据录入!$B2067&gt;=$B$2,数据录入!$B2067&lt;=$D$2),N(R2066)+1,N(R2066))</f>
      </c>
    </row>
    <row r="2068" s="44" customFormat="1" spans="1:23">
      <c r="A2068" s="116"/>
      <c r="E2068" s="108"/>
      <c r="F2068" s="114"/>
      <c r="G2068" s="114"/>
      <c r="H2068" s="114"/>
      <c r="Q2068" s="44">
        <f>IF(数据录入!$B2068="",0,IF(OR(数据录入!$D2068="投标保证金",数据录入!$D2068="合同履约保证金",ISNUMBER(FIND("保证金",数据录入!$E2068))),1,0))</f>
      </c>
      <c r="R2068" s="44">
        <f>IF(AND($Q2068=1,数据录入!$B2068&gt;=$B$2,数据录入!$B2068&lt;=$D$2),N(R2067)+1,N(R2067))</f>
      </c>
    </row>
    <row r="2069" s="44" customFormat="1" spans="1:23">
      <c r="A2069" s="116"/>
      <c r="E2069" s="108"/>
      <c r="F2069" s="114"/>
      <c r="G2069" s="114"/>
      <c r="H2069" s="114"/>
      <c r="Q2069" s="44">
        <f>IF(数据录入!$B2069="",0,IF(OR(数据录入!$D2069="投标保证金",数据录入!$D2069="合同履约保证金",ISNUMBER(FIND("保证金",数据录入!$E2069))),1,0))</f>
      </c>
      <c r="R2069" s="44">
        <f>IF(AND($Q2069=1,数据录入!$B2069&gt;=$B$2,数据录入!$B2069&lt;=$D$2),N(R2068)+1,N(R2068))</f>
      </c>
    </row>
    <row r="2070" s="44" customFormat="1" spans="1:23">
      <c r="A2070" s="116"/>
      <c r="E2070" s="108"/>
      <c r="F2070" s="114"/>
      <c r="G2070" s="114"/>
      <c r="H2070" s="114"/>
      <c r="Q2070" s="44">
        <f>IF(数据录入!$B2070="",0,IF(OR(数据录入!$D2070="投标保证金",数据录入!$D2070="合同履约保证金",ISNUMBER(FIND("保证金",数据录入!$E2070))),1,0))</f>
      </c>
      <c r="R2070" s="44">
        <f>IF(AND($Q2070=1,数据录入!$B2070&gt;=$B$2,数据录入!$B2070&lt;=$D$2),N(R2069)+1,N(R2069))</f>
      </c>
    </row>
    <row r="2071" s="44" customFormat="1" spans="1:23">
      <c r="A2071" s="116"/>
      <c r="E2071" s="108"/>
      <c r="F2071" s="114"/>
      <c r="G2071" s="114"/>
      <c r="H2071" s="114"/>
      <c r="Q2071" s="44">
        <f>IF(数据录入!$B2071="",0,IF(OR(数据录入!$D2071="投标保证金",数据录入!$D2071="合同履约保证金",ISNUMBER(FIND("保证金",数据录入!$E2071))),1,0))</f>
      </c>
      <c r="R2071" s="44">
        <f>IF(AND($Q2071=1,数据录入!$B2071&gt;=$B$2,数据录入!$B2071&lt;=$D$2),N(R2070)+1,N(R2070))</f>
      </c>
    </row>
    <row r="2072" s="44" customFormat="1" spans="1:23">
      <c r="A2072" s="116"/>
      <c r="E2072" s="108"/>
      <c r="F2072" s="114"/>
      <c r="G2072" s="114"/>
      <c r="H2072" s="114"/>
      <c r="Q2072" s="44">
        <f>IF(数据录入!$B2072="",0,IF(OR(数据录入!$D2072="投标保证金",数据录入!$D2072="合同履约保证金",ISNUMBER(FIND("保证金",数据录入!$E2072))),1,0))</f>
      </c>
      <c r="R2072" s="44">
        <f>IF(AND($Q2072=1,数据录入!$B2072&gt;=$B$2,数据录入!$B2072&lt;=$D$2),N(R2071)+1,N(R2071))</f>
      </c>
    </row>
    <row r="2073" s="44" customFormat="1" spans="1:23">
      <c r="A2073" s="116"/>
      <c r="E2073" s="108"/>
      <c r="F2073" s="114"/>
      <c r="G2073" s="114"/>
      <c r="H2073" s="114"/>
      <c r="Q2073" s="44">
        <f>IF(数据录入!$B2073="",0,IF(OR(数据录入!$D2073="投标保证金",数据录入!$D2073="合同履约保证金",ISNUMBER(FIND("保证金",数据录入!$E2073))),1,0))</f>
      </c>
      <c r="R2073" s="44">
        <f>IF(AND($Q2073=1,数据录入!$B2073&gt;=$B$2,数据录入!$B2073&lt;=$D$2),N(R2072)+1,N(R2072))</f>
      </c>
    </row>
    <row r="2074" s="44" customFormat="1" spans="1:23">
      <c r="A2074" s="116"/>
      <c r="E2074" s="108"/>
      <c r="F2074" s="114"/>
      <c r="G2074" s="114"/>
      <c r="H2074" s="114"/>
      <c r="Q2074" s="44">
        <f>IF(数据录入!$B2074="",0,IF(OR(数据录入!$D2074="投标保证金",数据录入!$D2074="合同履约保证金",ISNUMBER(FIND("保证金",数据录入!$E2074))),1,0))</f>
      </c>
      <c r="R2074" s="44">
        <f>IF(AND($Q2074=1,数据录入!$B2074&gt;=$B$2,数据录入!$B2074&lt;=$D$2),N(R2073)+1,N(R2073))</f>
      </c>
    </row>
    <row r="2075" s="44" customFormat="1" spans="1:23">
      <c r="A2075" s="116"/>
      <c r="E2075" s="108"/>
      <c r="F2075" s="114"/>
      <c r="G2075" s="114"/>
      <c r="H2075" s="114"/>
      <c r="Q2075" s="44">
        <f>IF(数据录入!$B2075="",0,IF(OR(数据录入!$D2075="投标保证金",数据录入!$D2075="合同履约保证金",ISNUMBER(FIND("保证金",数据录入!$E2075))),1,0))</f>
      </c>
      <c r="R2075" s="44">
        <f>IF(AND($Q2075=1,数据录入!$B2075&gt;=$B$2,数据录入!$B2075&lt;=$D$2),N(R2074)+1,N(R2074))</f>
      </c>
    </row>
    <row r="2076" s="44" customFormat="1" spans="1:23">
      <c r="A2076" s="116"/>
      <c r="E2076" s="108"/>
      <c r="F2076" s="114"/>
      <c r="G2076" s="114"/>
      <c r="H2076" s="114"/>
      <c r="Q2076" s="44">
        <f>IF(数据录入!$B2076="",0,IF(OR(数据录入!$D2076="投标保证金",数据录入!$D2076="合同履约保证金",ISNUMBER(FIND("保证金",数据录入!$E2076))),1,0))</f>
      </c>
      <c r="R2076" s="44">
        <f>IF(AND($Q2076=1,数据录入!$B2076&gt;=$B$2,数据录入!$B2076&lt;=$D$2),N(R2075)+1,N(R2075))</f>
      </c>
    </row>
    <row r="2077" s="44" customFormat="1" spans="1:23">
      <c r="A2077" s="116"/>
      <c r="E2077" s="108"/>
      <c r="F2077" s="114"/>
      <c r="G2077" s="114"/>
      <c r="H2077" s="114"/>
      <c r="Q2077" s="44">
        <f>IF(数据录入!$B2077="",0,IF(OR(数据录入!$D2077="投标保证金",数据录入!$D2077="合同履约保证金",ISNUMBER(FIND("保证金",数据录入!$E2077))),1,0))</f>
      </c>
      <c r="R2077" s="44">
        <f>IF(AND($Q2077=1,数据录入!$B2077&gt;=$B$2,数据录入!$B2077&lt;=$D$2),N(R2076)+1,N(R2076))</f>
      </c>
    </row>
    <row r="2078" s="44" customFormat="1" spans="1:23">
      <c r="A2078" s="116"/>
      <c r="E2078" s="108"/>
      <c r="F2078" s="114"/>
      <c r="G2078" s="114"/>
      <c r="H2078" s="114"/>
      <c r="Q2078" s="44">
        <f>IF(数据录入!$B2078="",0,IF(OR(数据录入!$D2078="投标保证金",数据录入!$D2078="合同履约保证金",ISNUMBER(FIND("保证金",数据录入!$E2078))),1,0))</f>
      </c>
      <c r="R2078" s="44">
        <f>IF(AND($Q2078=1,数据录入!$B2078&gt;=$B$2,数据录入!$B2078&lt;=$D$2),N(R2077)+1,N(R2077))</f>
      </c>
    </row>
    <row r="2079" s="44" customFormat="1" spans="1:23">
      <c r="A2079" s="116"/>
      <c r="E2079" s="108"/>
      <c r="F2079" s="114"/>
      <c r="G2079" s="114"/>
      <c r="H2079" s="114"/>
      <c r="Q2079" s="44">
        <f>IF(数据录入!$B2079="",0,IF(OR(数据录入!$D2079="投标保证金",数据录入!$D2079="合同履约保证金",ISNUMBER(FIND("保证金",数据录入!$E2079))),1,0))</f>
      </c>
      <c r="R2079" s="44">
        <f>IF(AND($Q2079=1,数据录入!$B2079&gt;=$B$2,数据录入!$B2079&lt;=$D$2),N(R2078)+1,N(R2078))</f>
      </c>
    </row>
    <row r="2080" s="44" customFormat="1" spans="1:23">
      <c r="A2080" s="116"/>
      <c r="E2080" s="108"/>
      <c r="F2080" s="114"/>
      <c r="G2080" s="114"/>
      <c r="H2080" s="114"/>
      <c r="Q2080" s="44">
        <f>IF(数据录入!$B2080="",0,IF(OR(数据录入!$D2080="投标保证金",数据录入!$D2080="合同履约保证金",ISNUMBER(FIND("保证金",数据录入!$E2080))),1,0))</f>
      </c>
      <c r="R2080" s="44">
        <f>IF(AND($Q2080=1,数据录入!$B2080&gt;=$B$2,数据录入!$B2080&lt;=$D$2),N(R2079)+1,N(R2079))</f>
      </c>
    </row>
    <row r="2081" s="44" customFormat="1" spans="1:23">
      <c r="A2081" s="116"/>
      <c r="E2081" s="108"/>
      <c r="F2081" s="114"/>
      <c r="G2081" s="114"/>
      <c r="H2081" s="114"/>
      <c r="Q2081" s="44">
        <f>IF(数据录入!$B2081="",0,IF(OR(数据录入!$D2081="投标保证金",数据录入!$D2081="合同履约保证金",ISNUMBER(FIND("保证金",数据录入!$E2081))),1,0))</f>
      </c>
      <c r="R2081" s="44">
        <f>IF(AND($Q2081=1,数据录入!$B2081&gt;=$B$2,数据录入!$B2081&lt;=$D$2),N(R2080)+1,N(R2080))</f>
      </c>
    </row>
    <row r="2082" s="44" customFormat="1" spans="1:23">
      <c r="A2082" s="116"/>
      <c r="E2082" s="108"/>
      <c r="F2082" s="114"/>
      <c r="G2082" s="114"/>
      <c r="H2082" s="114"/>
      <c r="Q2082" s="44">
        <f>IF(数据录入!$B2082="",0,IF(OR(数据录入!$D2082="投标保证金",数据录入!$D2082="合同履约保证金",ISNUMBER(FIND("保证金",数据录入!$E2082))),1,0))</f>
      </c>
      <c r="R2082" s="44">
        <f>IF(AND($Q2082=1,数据录入!$B2082&gt;=$B$2,数据录入!$B2082&lt;=$D$2),N(R2081)+1,N(R2081))</f>
      </c>
    </row>
    <row r="2083" s="44" customFormat="1" spans="1:23">
      <c r="A2083" s="116"/>
      <c r="E2083" s="108"/>
      <c r="F2083" s="114"/>
      <c r="G2083" s="114"/>
      <c r="H2083" s="114"/>
      <c r="Q2083" s="44">
        <f>IF(数据录入!$B2083="",0,IF(OR(数据录入!$D2083="投标保证金",数据录入!$D2083="合同履约保证金",ISNUMBER(FIND("保证金",数据录入!$E2083))),1,0))</f>
      </c>
      <c r="R2083" s="44">
        <f>IF(AND($Q2083=1,数据录入!$B2083&gt;=$B$2,数据录入!$B2083&lt;=$D$2),N(R2082)+1,N(R2082))</f>
      </c>
    </row>
    <row r="2084" s="44" customFormat="1" spans="1:23">
      <c r="A2084" s="116"/>
      <c r="E2084" s="108"/>
      <c r="F2084" s="114"/>
      <c r="G2084" s="114"/>
      <c r="H2084" s="114"/>
      <c r="Q2084" s="44">
        <f>IF(数据录入!$B2084="",0,IF(OR(数据录入!$D2084="投标保证金",数据录入!$D2084="合同履约保证金",ISNUMBER(FIND("保证金",数据录入!$E2084))),1,0))</f>
      </c>
      <c r="R2084" s="44">
        <f>IF(AND($Q2084=1,数据录入!$B2084&gt;=$B$2,数据录入!$B2084&lt;=$D$2),N(R2083)+1,N(R2083))</f>
      </c>
    </row>
    <row r="2085" s="44" customFormat="1" spans="1:23">
      <c r="A2085" s="116"/>
      <c r="E2085" s="108"/>
      <c r="F2085" s="114"/>
      <c r="G2085" s="114"/>
      <c r="H2085" s="114"/>
      <c r="Q2085" s="44">
        <f>IF(数据录入!$B2085="",0,IF(OR(数据录入!$D2085="投标保证金",数据录入!$D2085="合同履约保证金",ISNUMBER(FIND("保证金",数据录入!$E2085))),1,0))</f>
      </c>
      <c r="R2085" s="44">
        <f>IF(AND($Q2085=1,数据录入!$B2085&gt;=$B$2,数据录入!$B2085&lt;=$D$2),N(R2084)+1,N(R2084))</f>
      </c>
    </row>
    <row r="2086" s="44" customFormat="1" spans="1:23">
      <c r="A2086" s="116"/>
      <c r="E2086" s="108"/>
      <c r="F2086" s="114"/>
      <c r="G2086" s="114"/>
      <c r="H2086" s="114"/>
      <c r="Q2086" s="44">
        <f>IF(数据录入!$B2086="",0,IF(OR(数据录入!$D2086="投标保证金",数据录入!$D2086="合同履约保证金",ISNUMBER(FIND("保证金",数据录入!$E2086))),1,0))</f>
      </c>
      <c r="R2086" s="44">
        <f>IF(AND($Q2086=1,数据录入!$B2086&gt;=$B$2,数据录入!$B2086&lt;=$D$2),N(R2085)+1,N(R2085))</f>
      </c>
    </row>
    <row r="2087" s="44" customFormat="1" spans="1:23">
      <c r="A2087" s="116"/>
      <c r="E2087" s="108"/>
      <c r="F2087" s="114"/>
      <c r="G2087" s="114"/>
      <c r="H2087" s="114"/>
      <c r="Q2087" s="44">
        <f>IF(数据录入!$B2087="",0,IF(OR(数据录入!$D2087="投标保证金",数据录入!$D2087="合同履约保证金",ISNUMBER(FIND("保证金",数据录入!$E2087))),1,0))</f>
      </c>
      <c r="R2087" s="44">
        <f>IF(AND($Q2087=1,数据录入!$B2087&gt;=$B$2,数据录入!$B2087&lt;=$D$2),N(R2086)+1,N(R2086))</f>
      </c>
    </row>
    <row r="2088" s="44" customFormat="1" spans="1:23">
      <c r="A2088" s="116"/>
      <c r="E2088" s="108"/>
      <c r="F2088" s="114"/>
      <c r="G2088" s="114"/>
      <c r="H2088" s="114"/>
      <c r="Q2088" s="44">
        <f>IF(数据录入!$B2088="",0,IF(OR(数据录入!$D2088="投标保证金",数据录入!$D2088="合同履约保证金",ISNUMBER(FIND("保证金",数据录入!$E2088))),1,0))</f>
      </c>
      <c r="R2088" s="44">
        <f>IF(AND($Q2088=1,数据录入!$B2088&gt;=$B$2,数据录入!$B2088&lt;=$D$2),N(R2087)+1,N(R2087))</f>
      </c>
    </row>
    <row r="2089" s="44" customFormat="1" spans="1:23">
      <c r="A2089" s="116"/>
      <c r="E2089" s="108"/>
      <c r="F2089" s="114"/>
      <c r="G2089" s="114"/>
      <c r="H2089" s="114"/>
      <c r="Q2089" s="44">
        <f>IF(数据录入!$B2089="",0,IF(OR(数据录入!$D2089="投标保证金",数据录入!$D2089="合同履约保证金",ISNUMBER(FIND("保证金",数据录入!$E2089))),1,0))</f>
      </c>
      <c r="R2089" s="44">
        <f>IF(AND($Q2089=1,数据录入!$B2089&gt;=$B$2,数据录入!$B2089&lt;=$D$2),N(R2088)+1,N(R2088))</f>
      </c>
    </row>
    <row r="2090" s="44" customFormat="1" spans="1:23">
      <c r="A2090" s="116"/>
      <c r="E2090" s="108"/>
      <c r="F2090" s="114"/>
      <c r="G2090" s="114"/>
      <c r="H2090" s="114"/>
      <c r="Q2090" s="44">
        <f>IF(数据录入!$B2090="",0,IF(OR(数据录入!$D2090="投标保证金",数据录入!$D2090="合同履约保证金",ISNUMBER(FIND("保证金",数据录入!$E2090))),1,0))</f>
      </c>
      <c r="R2090" s="44">
        <f>IF(AND($Q2090=1,数据录入!$B2090&gt;=$B$2,数据录入!$B2090&lt;=$D$2),N(R2089)+1,N(R2089))</f>
      </c>
    </row>
    <row r="2091" s="44" customFormat="1" spans="1:23">
      <c r="A2091" s="116"/>
      <c r="E2091" s="108"/>
      <c r="F2091" s="114"/>
      <c r="G2091" s="114"/>
      <c r="H2091" s="114"/>
      <c r="Q2091" s="44">
        <f>IF(数据录入!$B2091="",0,IF(OR(数据录入!$D2091="投标保证金",数据录入!$D2091="合同履约保证金",ISNUMBER(FIND("保证金",数据录入!$E2091))),1,0))</f>
      </c>
      <c r="R2091" s="44">
        <f>IF(AND($Q2091=1,数据录入!$B2091&gt;=$B$2,数据录入!$B2091&lt;=$D$2),N(R2090)+1,N(R2090))</f>
      </c>
    </row>
    <row r="2092" s="44" customFormat="1" spans="1:23">
      <c r="A2092" s="116"/>
      <c r="E2092" s="108"/>
      <c r="F2092" s="114"/>
      <c r="G2092" s="114"/>
      <c r="H2092" s="114"/>
      <c r="Q2092" s="44">
        <f>IF(数据录入!$B2092="",0,IF(OR(数据录入!$D2092="投标保证金",数据录入!$D2092="合同履约保证金",ISNUMBER(FIND("保证金",数据录入!$E2092))),1,0))</f>
      </c>
      <c r="R2092" s="44">
        <f>IF(AND($Q2092=1,数据录入!$B2092&gt;=$B$2,数据录入!$B2092&lt;=$D$2),N(R2091)+1,N(R2091))</f>
      </c>
    </row>
    <row r="2093" s="44" customFormat="1" spans="1:23">
      <c r="A2093" s="116"/>
      <c r="E2093" s="108"/>
      <c r="F2093" s="114"/>
      <c r="G2093" s="114"/>
      <c r="H2093" s="114"/>
      <c r="Q2093" s="44">
        <f>IF(数据录入!$B2093="",0,IF(OR(数据录入!$D2093="投标保证金",数据录入!$D2093="合同履约保证金",ISNUMBER(FIND("保证金",数据录入!$E2093))),1,0))</f>
      </c>
      <c r="R2093" s="44">
        <f>IF(AND($Q2093=1,数据录入!$B2093&gt;=$B$2,数据录入!$B2093&lt;=$D$2),N(R2092)+1,N(R2092))</f>
      </c>
    </row>
    <row r="2094" s="44" customFormat="1" spans="1:23">
      <c r="A2094" s="116"/>
      <c r="E2094" s="108"/>
      <c r="F2094" s="114"/>
      <c r="G2094" s="114"/>
      <c r="H2094" s="114"/>
      <c r="Q2094" s="44">
        <f>IF(数据录入!$B2094="",0,IF(OR(数据录入!$D2094="投标保证金",数据录入!$D2094="合同履约保证金",ISNUMBER(FIND("保证金",数据录入!$E2094))),1,0))</f>
      </c>
      <c r="R2094" s="44">
        <f>IF(AND($Q2094=1,数据录入!$B2094&gt;=$B$2,数据录入!$B2094&lt;=$D$2),N(R2093)+1,N(R2093))</f>
      </c>
    </row>
    <row r="2095" s="44" customFormat="1" spans="1:23">
      <c r="A2095" s="116"/>
      <c r="E2095" s="108"/>
      <c r="F2095" s="114"/>
      <c r="G2095" s="114"/>
      <c r="H2095" s="114"/>
      <c r="Q2095" s="44">
        <f>IF(数据录入!$B2095="",0,IF(OR(数据录入!$D2095="投标保证金",数据录入!$D2095="合同履约保证金",ISNUMBER(FIND("保证金",数据录入!$E2095))),1,0))</f>
      </c>
      <c r="R2095" s="44">
        <f>IF(AND($Q2095=1,数据录入!$B2095&gt;=$B$2,数据录入!$B2095&lt;=$D$2),N(R2094)+1,N(R2094))</f>
      </c>
    </row>
    <row r="2096" s="44" customFormat="1" spans="1:23">
      <c r="A2096" s="116"/>
      <c r="E2096" s="108"/>
      <c r="F2096" s="114"/>
      <c r="G2096" s="114"/>
      <c r="H2096" s="114"/>
      <c r="Q2096" s="44">
        <f>IF(数据录入!$B2096="",0,IF(OR(数据录入!$D2096="投标保证金",数据录入!$D2096="合同履约保证金",ISNUMBER(FIND("保证金",数据录入!$E2096))),1,0))</f>
      </c>
      <c r="R2096" s="44">
        <f>IF(AND($Q2096=1,数据录入!$B2096&gt;=$B$2,数据录入!$B2096&lt;=$D$2),N(R2095)+1,N(R2095))</f>
      </c>
    </row>
    <row r="2097" s="44" customFormat="1" spans="1:23">
      <c r="A2097" s="116"/>
      <c r="E2097" s="108"/>
      <c r="F2097" s="114"/>
      <c r="G2097" s="114"/>
      <c r="H2097" s="114"/>
      <c r="Q2097" s="44">
        <f>IF(数据录入!$B2097="",0,IF(OR(数据录入!$D2097="投标保证金",数据录入!$D2097="合同履约保证金",ISNUMBER(FIND("保证金",数据录入!$E2097))),1,0))</f>
      </c>
      <c r="R2097" s="44">
        <f>IF(AND($Q2097=1,数据录入!$B2097&gt;=$B$2,数据录入!$B2097&lt;=$D$2),N(R2096)+1,N(R2096))</f>
      </c>
    </row>
    <row r="2098" s="44" customFormat="1" spans="1:23">
      <c r="A2098" s="116"/>
      <c r="E2098" s="108"/>
      <c r="F2098" s="114"/>
      <c r="G2098" s="114"/>
      <c r="H2098" s="114"/>
      <c r="Q2098" s="44">
        <f>IF(数据录入!$B2098="",0,IF(OR(数据录入!$D2098="投标保证金",数据录入!$D2098="合同履约保证金",ISNUMBER(FIND("保证金",数据录入!$E2098))),1,0))</f>
      </c>
      <c r="R2098" s="44">
        <f>IF(AND($Q2098=1,数据录入!$B2098&gt;=$B$2,数据录入!$B2098&lt;=$D$2),N(R2097)+1,N(R2097))</f>
      </c>
    </row>
    <row r="2099" s="44" customFormat="1" spans="1:23">
      <c r="A2099" s="116"/>
      <c r="E2099" s="108"/>
      <c r="F2099" s="114"/>
      <c r="G2099" s="114"/>
      <c r="H2099" s="114"/>
      <c r="Q2099" s="44">
        <f>IF(数据录入!$B2099="",0,IF(OR(数据录入!$D2099="投标保证金",数据录入!$D2099="合同履约保证金",ISNUMBER(FIND("保证金",数据录入!$E2099))),1,0))</f>
      </c>
      <c r="R2099" s="44">
        <f>IF(AND($Q2099=1,数据录入!$B2099&gt;=$B$2,数据录入!$B2099&lt;=$D$2),N(R2098)+1,N(R2098))</f>
      </c>
    </row>
    <row r="2100" s="44" customFormat="1" spans="1:23">
      <c r="A2100" s="116"/>
      <c r="E2100" s="108"/>
      <c r="F2100" s="114"/>
      <c r="G2100" s="114"/>
      <c r="H2100" s="114"/>
      <c r="Q2100" s="44">
        <f>IF(数据录入!$B2100="",0,IF(OR(数据录入!$D2100="投标保证金",数据录入!$D2100="合同履约保证金",ISNUMBER(FIND("保证金",数据录入!$E2100))),1,0))</f>
      </c>
      <c r="R2100" s="44">
        <f>IF(AND($Q2100=1,数据录入!$B2100&gt;=$B$2,数据录入!$B2100&lt;=$D$2),N(R2099)+1,N(R2099))</f>
      </c>
    </row>
    <row r="2101" s="44" customFormat="1" spans="1:23">
      <c r="A2101" s="116"/>
      <c r="E2101" s="108"/>
      <c r="F2101" s="114"/>
      <c r="G2101" s="114"/>
      <c r="H2101" s="114"/>
      <c r="Q2101" s="44">
        <f>IF(数据录入!$B2101="",0,IF(OR(数据录入!$D2101="投标保证金",数据录入!$D2101="合同履约保证金",ISNUMBER(FIND("保证金",数据录入!$E2101))),1,0))</f>
      </c>
      <c r="R2101" s="44">
        <f>IF(AND($Q2101=1,数据录入!$B2101&gt;=$B$2,数据录入!$B2101&lt;=$D$2),N(R2100)+1,N(R2100))</f>
      </c>
    </row>
    <row r="2102" s="44" customFormat="1" spans="1:23">
      <c r="A2102" s="116"/>
      <c r="E2102" s="108"/>
      <c r="F2102" s="114"/>
      <c r="G2102" s="114"/>
      <c r="H2102" s="114"/>
      <c r="Q2102" s="44">
        <f>IF(数据录入!$B2102="",0,IF(OR(数据录入!$D2102="投标保证金",数据录入!$D2102="合同履约保证金",ISNUMBER(FIND("保证金",数据录入!$E2102))),1,0))</f>
      </c>
      <c r="R2102" s="44">
        <f>IF(AND($Q2102=1,数据录入!$B2102&gt;=$B$2,数据录入!$B2102&lt;=$D$2),N(R2101)+1,N(R2101))</f>
      </c>
    </row>
    <row r="2103" s="44" customFormat="1" spans="1:23">
      <c r="A2103" s="116"/>
      <c r="E2103" s="108"/>
      <c r="F2103" s="114"/>
      <c r="G2103" s="114"/>
      <c r="H2103" s="114"/>
      <c r="Q2103" s="44">
        <f>IF(数据录入!$B2103="",0,IF(OR(数据录入!$D2103="投标保证金",数据录入!$D2103="合同履约保证金",ISNUMBER(FIND("保证金",数据录入!$E2103))),1,0))</f>
      </c>
      <c r="R2103" s="44">
        <f>IF(AND($Q2103=1,数据录入!$B2103&gt;=$B$2,数据录入!$B2103&lt;=$D$2),N(R2102)+1,N(R2102))</f>
      </c>
    </row>
    <row r="2104" s="44" customFormat="1" spans="1:23">
      <c r="A2104" s="116"/>
      <c r="E2104" s="108"/>
      <c r="F2104" s="114"/>
      <c r="G2104" s="114"/>
      <c r="H2104" s="114"/>
      <c r="Q2104" s="44">
        <f>IF(数据录入!$B2104="",0,IF(OR(数据录入!$D2104="投标保证金",数据录入!$D2104="合同履约保证金",ISNUMBER(FIND("保证金",数据录入!$E2104))),1,0))</f>
      </c>
      <c r="R2104" s="44">
        <f>IF(AND($Q2104=1,数据录入!$B2104&gt;=$B$2,数据录入!$B2104&lt;=$D$2),N(R2103)+1,N(R2103))</f>
      </c>
    </row>
    <row r="2105" s="44" customFormat="1" spans="1:23">
      <c r="A2105" s="116"/>
      <c r="E2105" s="108"/>
      <c r="F2105" s="114"/>
      <c r="G2105" s="114"/>
      <c r="H2105" s="114"/>
      <c r="Q2105" s="44">
        <f>IF(数据录入!$B2105="",0,IF(OR(数据录入!$D2105="投标保证金",数据录入!$D2105="合同履约保证金",ISNUMBER(FIND("保证金",数据录入!$E2105))),1,0))</f>
      </c>
      <c r="R2105" s="44">
        <f>IF(AND($Q2105=1,数据录入!$B2105&gt;=$B$2,数据录入!$B2105&lt;=$D$2),N(R2104)+1,N(R2104))</f>
      </c>
    </row>
    <row r="2106" s="44" customFormat="1" spans="1:23">
      <c r="A2106" s="116"/>
      <c r="E2106" s="108"/>
      <c r="F2106" s="114"/>
      <c r="G2106" s="114"/>
      <c r="H2106" s="114"/>
      <c r="Q2106" s="44">
        <f>IF(数据录入!$B2106="",0,IF(OR(数据录入!$D2106="投标保证金",数据录入!$D2106="合同履约保证金",ISNUMBER(FIND("保证金",数据录入!$E2106))),1,0))</f>
      </c>
      <c r="R2106" s="44">
        <f>IF(AND($Q2106=1,数据录入!$B2106&gt;=$B$2,数据录入!$B2106&lt;=$D$2),N(R2105)+1,N(R2105))</f>
      </c>
    </row>
    <row r="2107" s="44" customFormat="1" spans="1:23">
      <c r="A2107" s="116"/>
      <c r="E2107" s="108"/>
      <c r="F2107" s="114"/>
      <c r="G2107" s="114"/>
      <c r="H2107" s="114"/>
      <c r="Q2107" s="44">
        <f>IF(数据录入!$B2107="",0,IF(OR(数据录入!$D2107="投标保证金",数据录入!$D2107="合同履约保证金",ISNUMBER(FIND("保证金",数据录入!$E2107))),1,0))</f>
      </c>
      <c r="R2107" s="44">
        <f>IF(AND($Q2107=1,数据录入!$B2107&gt;=$B$2,数据录入!$B2107&lt;=$D$2),N(R2106)+1,N(R2106))</f>
      </c>
    </row>
    <row r="2108" s="44" customFormat="1" spans="1:23">
      <c r="A2108" s="116"/>
      <c r="E2108" s="108"/>
      <c r="F2108" s="114"/>
      <c r="G2108" s="114"/>
      <c r="H2108" s="114"/>
      <c r="Q2108" s="44">
        <f>IF(数据录入!$B2108="",0,IF(OR(数据录入!$D2108="投标保证金",数据录入!$D2108="合同履约保证金",ISNUMBER(FIND("保证金",数据录入!$E2108))),1,0))</f>
      </c>
      <c r="R2108" s="44">
        <f>IF(AND($Q2108=1,数据录入!$B2108&gt;=$B$2,数据录入!$B2108&lt;=$D$2),N(R2107)+1,N(R2107))</f>
      </c>
    </row>
    <row r="2109" s="44" customFormat="1" spans="1:23">
      <c r="A2109" s="116"/>
      <c r="E2109" s="108"/>
      <c r="F2109" s="114"/>
      <c r="G2109" s="114"/>
      <c r="H2109" s="114"/>
      <c r="Q2109" s="44">
        <f>IF(数据录入!$B2109="",0,IF(OR(数据录入!$D2109="投标保证金",数据录入!$D2109="合同履约保证金",ISNUMBER(FIND("保证金",数据录入!$E2109))),1,0))</f>
      </c>
      <c r="R2109" s="44">
        <f>IF(AND($Q2109=1,数据录入!$B2109&gt;=$B$2,数据录入!$B2109&lt;=$D$2),N(R2108)+1,N(R2108))</f>
      </c>
    </row>
    <row r="2110" s="44" customFormat="1" spans="1:23">
      <c r="A2110" s="116"/>
      <c r="E2110" s="108"/>
      <c r="F2110" s="114"/>
      <c r="G2110" s="114"/>
      <c r="H2110" s="114"/>
      <c r="Q2110" s="44">
        <f>IF(数据录入!$B2110="",0,IF(OR(数据录入!$D2110="投标保证金",数据录入!$D2110="合同履约保证金",ISNUMBER(FIND("保证金",数据录入!$E2110))),1,0))</f>
      </c>
      <c r="R2110" s="44">
        <f>IF(AND($Q2110=1,数据录入!$B2110&gt;=$B$2,数据录入!$B2110&lt;=$D$2),N(R2109)+1,N(R2109))</f>
      </c>
    </row>
    <row r="2111" s="44" customFormat="1" spans="1:23">
      <c r="A2111" s="116"/>
      <c r="E2111" s="108"/>
      <c r="F2111" s="114"/>
      <c r="G2111" s="114"/>
      <c r="H2111" s="114"/>
      <c r="Q2111" s="44">
        <f>IF(数据录入!$B2111="",0,IF(OR(数据录入!$D2111="投标保证金",数据录入!$D2111="合同履约保证金",ISNUMBER(FIND("保证金",数据录入!$E2111))),1,0))</f>
      </c>
      <c r="R2111" s="44">
        <f>IF(AND($Q2111=1,数据录入!$B2111&gt;=$B$2,数据录入!$B2111&lt;=$D$2),N(R2110)+1,N(R2110))</f>
      </c>
    </row>
    <row r="2112" s="44" customFormat="1" spans="1:23">
      <c r="A2112" s="116"/>
      <c r="E2112" s="108"/>
      <c r="F2112" s="114"/>
      <c r="G2112" s="114"/>
      <c r="H2112" s="114"/>
      <c r="Q2112" s="44">
        <f>IF(数据录入!$B2112="",0,IF(OR(数据录入!$D2112="投标保证金",数据录入!$D2112="合同履约保证金",ISNUMBER(FIND("保证金",数据录入!$E2112))),1,0))</f>
      </c>
      <c r="R2112" s="44">
        <f>IF(AND($Q2112=1,数据录入!$B2112&gt;=$B$2,数据录入!$B2112&lt;=$D$2),N(R2111)+1,N(R2111))</f>
      </c>
    </row>
    <row r="2113" s="44" customFormat="1" spans="1:23">
      <c r="A2113" s="116"/>
      <c r="E2113" s="108"/>
      <c r="F2113" s="114"/>
      <c r="G2113" s="114"/>
      <c r="H2113" s="114"/>
      <c r="Q2113" s="44">
        <f>IF(数据录入!$B2113="",0,IF(OR(数据录入!$D2113="投标保证金",数据录入!$D2113="合同履约保证金",ISNUMBER(FIND("保证金",数据录入!$E2113))),1,0))</f>
      </c>
      <c r="R2113" s="44">
        <f>IF(AND($Q2113=1,数据录入!$B2113&gt;=$B$2,数据录入!$B2113&lt;=$D$2),N(R2112)+1,N(R2112))</f>
      </c>
    </row>
    <row r="2114" s="44" customFormat="1" spans="1:23">
      <c r="A2114" s="116"/>
      <c r="E2114" s="108"/>
      <c r="F2114" s="114"/>
      <c r="G2114" s="114"/>
      <c r="H2114" s="114"/>
      <c r="Q2114" s="44">
        <f>IF(数据录入!$B2114="",0,IF(OR(数据录入!$D2114="投标保证金",数据录入!$D2114="合同履约保证金",ISNUMBER(FIND("保证金",数据录入!$E2114))),1,0))</f>
      </c>
      <c r="R2114" s="44">
        <f>IF(AND($Q2114=1,数据录入!$B2114&gt;=$B$2,数据录入!$B2114&lt;=$D$2),N(R2113)+1,N(R2113))</f>
      </c>
    </row>
    <row r="2115" s="44" customFormat="1" spans="1:23">
      <c r="A2115" s="116"/>
      <c r="E2115" s="108"/>
      <c r="F2115" s="114"/>
      <c r="G2115" s="114"/>
      <c r="H2115" s="114"/>
      <c r="Q2115" s="44">
        <f>IF(数据录入!$B2115="",0,IF(OR(数据录入!$D2115="投标保证金",数据录入!$D2115="合同履约保证金",ISNUMBER(FIND("保证金",数据录入!$E2115))),1,0))</f>
      </c>
      <c r="R2115" s="44">
        <f>IF(AND($Q2115=1,数据录入!$B2115&gt;=$B$2,数据录入!$B2115&lt;=$D$2),N(R2114)+1,N(R2114))</f>
      </c>
    </row>
    <row r="2116" s="44" customFormat="1" spans="1:23">
      <c r="A2116" s="116"/>
      <c r="E2116" s="108"/>
      <c r="F2116" s="114"/>
      <c r="G2116" s="114"/>
      <c r="H2116" s="114"/>
      <c r="Q2116" s="44">
        <f>IF(数据录入!$B2116="",0,IF(OR(数据录入!$D2116="投标保证金",数据录入!$D2116="合同履约保证金",ISNUMBER(FIND("保证金",数据录入!$E2116))),1,0))</f>
      </c>
      <c r="R2116" s="44">
        <f>IF(AND($Q2116=1,数据录入!$B2116&gt;=$B$2,数据录入!$B2116&lt;=$D$2),N(R2115)+1,N(R2115))</f>
      </c>
    </row>
    <row r="2117" s="44" customFormat="1" spans="1:23">
      <c r="A2117" s="116"/>
      <c r="E2117" s="108"/>
      <c r="F2117" s="114"/>
      <c r="G2117" s="114"/>
      <c r="H2117" s="114"/>
      <c r="Q2117" s="44">
        <f>IF(数据录入!$B2117="",0,IF(OR(数据录入!$D2117="投标保证金",数据录入!$D2117="合同履约保证金",ISNUMBER(FIND("保证金",数据录入!$E2117))),1,0))</f>
      </c>
      <c r="R2117" s="44">
        <f>IF(AND($Q2117=1,数据录入!$B2117&gt;=$B$2,数据录入!$B2117&lt;=$D$2),N(R2116)+1,N(R2116))</f>
      </c>
    </row>
    <row r="2118" s="44" customFormat="1" spans="1:23">
      <c r="A2118" s="116"/>
      <c r="E2118" s="108"/>
      <c r="F2118" s="114"/>
      <c r="G2118" s="114"/>
      <c r="H2118" s="114"/>
      <c r="Q2118" s="44">
        <f>IF(数据录入!$B2118="",0,IF(OR(数据录入!$D2118="投标保证金",数据录入!$D2118="合同履约保证金",ISNUMBER(FIND("保证金",数据录入!$E2118))),1,0))</f>
      </c>
      <c r="R2118" s="44">
        <f>IF(AND($Q2118=1,数据录入!$B2118&gt;=$B$2,数据录入!$B2118&lt;=$D$2),N(R2117)+1,N(R2117))</f>
      </c>
    </row>
    <row r="2119" s="44" customFormat="1" spans="1:23">
      <c r="A2119" s="116"/>
      <c r="E2119" s="108"/>
      <c r="F2119" s="114"/>
      <c r="G2119" s="114"/>
      <c r="H2119" s="114"/>
      <c r="Q2119" s="44">
        <f>IF(数据录入!$B2119="",0,IF(OR(数据录入!$D2119="投标保证金",数据录入!$D2119="合同履约保证金",ISNUMBER(FIND("保证金",数据录入!$E2119))),1,0))</f>
      </c>
      <c r="R2119" s="44">
        <f>IF(AND($Q2119=1,数据录入!$B2119&gt;=$B$2,数据录入!$B2119&lt;=$D$2),N(R2118)+1,N(R2118))</f>
      </c>
    </row>
    <row r="2120" s="44" customFormat="1" spans="1:23">
      <c r="A2120" s="116"/>
      <c r="E2120" s="108"/>
      <c r="F2120" s="114"/>
      <c r="G2120" s="114"/>
      <c r="H2120" s="114"/>
      <c r="Q2120" s="44">
        <f>IF(数据录入!$B2120="",0,IF(OR(数据录入!$D2120="投标保证金",数据录入!$D2120="合同履约保证金",ISNUMBER(FIND("保证金",数据录入!$E2120))),1,0))</f>
      </c>
      <c r="R2120" s="44">
        <f>IF(AND($Q2120=1,数据录入!$B2120&gt;=$B$2,数据录入!$B2120&lt;=$D$2),N(R2119)+1,N(R2119))</f>
      </c>
    </row>
    <row r="2121" s="44" customFormat="1" spans="1:23">
      <c r="A2121" s="116"/>
      <c r="E2121" s="108"/>
      <c r="F2121" s="114"/>
      <c r="G2121" s="114"/>
      <c r="H2121" s="114"/>
      <c r="Q2121" s="44">
        <f>IF(数据录入!$B2121="",0,IF(OR(数据录入!$D2121="投标保证金",数据录入!$D2121="合同履约保证金",ISNUMBER(FIND("保证金",数据录入!$E2121))),1,0))</f>
      </c>
      <c r="R2121" s="44">
        <f>IF(AND($Q2121=1,数据录入!$B2121&gt;=$B$2,数据录入!$B2121&lt;=$D$2),N(R2120)+1,N(R2120))</f>
      </c>
    </row>
    <row r="2122" s="44" customFormat="1" spans="1:23">
      <c r="A2122" s="116"/>
      <c r="E2122" s="108"/>
      <c r="F2122" s="114"/>
      <c r="G2122" s="114"/>
      <c r="H2122" s="114"/>
      <c r="Q2122" s="44">
        <f>IF(数据录入!$B2122="",0,IF(OR(数据录入!$D2122="投标保证金",数据录入!$D2122="合同履约保证金",ISNUMBER(FIND("保证金",数据录入!$E2122))),1,0))</f>
      </c>
      <c r="R2122" s="44">
        <f>IF(AND($Q2122=1,数据录入!$B2122&gt;=$B$2,数据录入!$B2122&lt;=$D$2),N(R2121)+1,N(R2121))</f>
      </c>
    </row>
    <row r="2123" s="44" customFormat="1" spans="1:23">
      <c r="A2123" s="116"/>
      <c r="E2123" s="108"/>
      <c r="F2123" s="114"/>
      <c r="G2123" s="114"/>
      <c r="H2123" s="114"/>
      <c r="Q2123" s="44">
        <f>IF(数据录入!$B2123="",0,IF(OR(数据录入!$D2123="投标保证金",数据录入!$D2123="合同履约保证金",ISNUMBER(FIND("保证金",数据录入!$E2123))),1,0))</f>
      </c>
      <c r="R2123" s="44">
        <f>IF(AND($Q2123=1,数据录入!$B2123&gt;=$B$2,数据录入!$B2123&lt;=$D$2),N(R2122)+1,N(R2122))</f>
      </c>
    </row>
    <row r="2124" s="44" customFormat="1" spans="1:23">
      <c r="A2124" s="116"/>
      <c r="E2124" s="108"/>
      <c r="F2124" s="114"/>
      <c r="G2124" s="114"/>
      <c r="H2124" s="114"/>
      <c r="Q2124" s="44">
        <f>IF(数据录入!$B2124="",0,IF(OR(数据录入!$D2124="投标保证金",数据录入!$D2124="合同履约保证金",ISNUMBER(FIND("保证金",数据录入!$E2124))),1,0))</f>
      </c>
      <c r="R2124" s="44">
        <f>IF(AND($Q2124=1,数据录入!$B2124&gt;=$B$2,数据录入!$B2124&lt;=$D$2),N(R2123)+1,N(R2123))</f>
      </c>
    </row>
    <row r="2125" s="44" customFormat="1" spans="1:23">
      <c r="A2125" s="116"/>
      <c r="E2125" s="108"/>
      <c r="F2125" s="114"/>
      <c r="G2125" s="114"/>
      <c r="H2125" s="114"/>
      <c r="Q2125" s="44">
        <f>IF(数据录入!$B2125="",0,IF(OR(数据录入!$D2125="投标保证金",数据录入!$D2125="合同履约保证金",ISNUMBER(FIND("保证金",数据录入!$E2125))),1,0))</f>
      </c>
      <c r="R2125" s="44">
        <f>IF(AND($Q2125=1,数据录入!$B2125&gt;=$B$2,数据录入!$B2125&lt;=$D$2),N(R2124)+1,N(R2124))</f>
      </c>
    </row>
    <row r="2126" s="44" customFormat="1" spans="1:23">
      <c r="A2126" s="116"/>
      <c r="E2126" s="108"/>
      <c r="F2126" s="114"/>
      <c r="G2126" s="114"/>
      <c r="H2126" s="114"/>
      <c r="Q2126" s="44">
        <f>IF(数据录入!$B2126="",0,IF(OR(数据录入!$D2126="投标保证金",数据录入!$D2126="合同履约保证金",ISNUMBER(FIND("保证金",数据录入!$E2126))),1,0))</f>
      </c>
      <c r="R2126" s="44">
        <f>IF(AND($Q2126=1,数据录入!$B2126&gt;=$B$2,数据录入!$B2126&lt;=$D$2),N(R2125)+1,N(R2125))</f>
      </c>
    </row>
    <row r="2127" s="44" customFormat="1" spans="1:23">
      <c r="A2127" s="116"/>
      <c r="E2127" s="108"/>
      <c r="F2127" s="114"/>
      <c r="G2127" s="114"/>
      <c r="H2127" s="114"/>
      <c r="Q2127" s="44">
        <f>IF(数据录入!$B2127="",0,IF(OR(数据录入!$D2127="投标保证金",数据录入!$D2127="合同履约保证金",ISNUMBER(FIND("保证金",数据录入!$E2127))),1,0))</f>
      </c>
      <c r="R2127" s="44">
        <f>IF(AND($Q2127=1,数据录入!$B2127&gt;=$B$2,数据录入!$B2127&lt;=$D$2),N(R2126)+1,N(R2126))</f>
      </c>
    </row>
    <row r="2128" s="44" customFormat="1" spans="1:23">
      <c r="A2128" s="116"/>
      <c r="E2128" s="108"/>
      <c r="F2128" s="114"/>
      <c r="G2128" s="114"/>
      <c r="H2128" s="114"/>
      <c r="Q2128" s="44">
        <f>IF(数据录入!$B2128="",0,IF(OR(数据录入!$D2128="投标保证金",数据录入!$D2128="合同履约保证金",ISNUMBER(FIND("保证金",数据录入!$E2128))),1,0))</f>
      </c>
      <c r="R2128" s="44">
        <f>IF(AND($Q2128=1,数据录入!$B2128&gt;=$B$2,数据录入!$B2128&lt;=$D$2),N(R2127)+1,N(R2127))</f>
      </c>
    </row>
    <row r="2129" s="44" customFormat="1" spans="1:23">
      <c r="A2129" s="116"/>
      <c r="E2129" s="108"/>
      <c r="F2129" s="114"/>
      <c r="G2129" s="114"/>
      <c r="H2129" s="114"/>
      <c r="Q2129" s="44">
        <f>IF(数据录入!$B2129="",0,IF(OR(数据录入!$D2129="投标保证金",数据录入!$D2129="合同履约保证金",ISNUMBER(FIND("保证金",数据录入!$E2129))),1,0))</f>
      </c>
      <c r="R2129" s="44">
        <f>IF(AND($Q2129=1,数据录入!$B2129&gt;=$B$2,数据录入!$B2129&lt;=$D$2),N(R2128)+1,N(R2128))</f>
      </c>
    </row>
    <row r="2130" s="44" customFormat="1" spans="1:23">
      <c r="A2130" s="116"/>
      <c r="E2130" s="108"/>
      <c r="F2130" s="114"/>
      <c r="G2130" s="114"/>
      <c r="H2130" s="114"/>
      <c r="Q2130" s="44">
        <f>IF(数据录入!$B2130="",0,IF(OR(数据录入!$D2130="投标保证金",数据录入!$D2130="合同履约保证金",ISNUMBER(FIND("保证金",数据录入!$E2130))),1,0))</f>
      </c>
      <c r="R2130" s="44">
        <f>IF(AND($Q2130=1,数据录入!$B2130&gt;=$B$2,数据录入!$B2130&lt;=$D$2),N(R2129)+1,N(R2129))</f>
      </c>
    </row>
    <row r="2131" s="44" customFormat="1" spans="1:23">
      <c r="A2131" s="116"/>
      <c r="E2131" s="108"/>
      <c r="F2131" s="114"/>
      <c r="G2131" s="114"/>
      <c r="H2131" s="114"/>
      <c r="Q2131" s="44">
        <f>IF(数据录入!$B2131="",0,IF(OR(数据录入!$D2131="投标保证金",数据录入!$D2131="合同履约保证金",ISNUMBER(FIND("保证金",数据录入!$E2131))),1,0))</f>
      </c>
      <c r="R2131" s="44">
        <f>IF(AND($Q2131=1,数据录入!$B2131&gt;=$B$2,数据录入!$B2131&lt;=$D$2),N(R2130)+1,N(R2130))</f>
      </c>
    </row>
    <row r="2132" s="44" customFormat="1" spans="1:23">
      <c r="A2132" s="116"/>
      <c r="E2132" s="108"/>
      <c r="F2132" s="114"/>
      <c r="G2132" s="114"/>
      <c r="H2132" s="114"/>
      <c r="Q2132" s="44">
        <f>IF(数据录入!$B2132="",0,IF(OR(数据录入!$D2132="投标保证金",数据录入!$D2132="合同履约保证金",ISNUMBER(FIND("保证金",数据录入!$E2132))),1,0))</f>
      </c>
      <c r="R2132" s="44">
        <f>IF(AND($Q2132=1,数据录入!$B2132&gt;=$B$2,数据录入!$B2132&lt;=$D$2),N(R2131)+1,N(R2131))</f>
      </c>
    </row>
    <row r="2133" s="44" customFormat="1" spans="1:23">
      <c r="A2133" s="116"/>
      <c r="E2133" s="108"/>
      <c r="F2133" s="114"/>
      <c r="G2133" s="114"/>
      <c r="H2133" s="114"/>
      <c r="Q2133" s="44">
        <f>IF(数据录入!$B2133="",0,IF(OR(数据录入!$D2133="投标保证金",数据录入!$D2133="合同履约保证金",ISNUMBER(FIND("保证金",数据录入!$E2133))),1,0))</f>
      </c>
      <c r="R2133" s="44">
        <f>IF(AND($Q2133=1,数据录入!$B2133&gt;=$B$2,数据录入!$B2133&lt;=$D$2),N(R2132)+1,N(R2132))</f>
      </c>
    </row>
    <row r="2134" s="44" customFormat="1" spans="1:23">
      <c r="A2134" s="116"/>
      <c r="E2134" s="108"/>
      <c r="F2134" s="114"/>
      <c r="G2134" s="114"/>
      <c r="H2134" s="114"/>
      <c r="Q2134" s="44">
        <f>IF(数据录入!$B2134="",0,IF(OR(数据录入!$D2134="投标保证金",数据录入!$D2134="合同履约保证金",ISNUMBER(FIND("保证金",数据录入!$E2134))),1,0))</f>
      </c>
      <c r="R2134" s="44">
        <f>IF(AND($Q2134=1,数据录入!$B2134&gt;=$B$2,数据录入!$B2134&lt;=$D$2),N(R2133)+1,N(R2133))</f>
      </c>
    </row>
    <row r="2135" s="44" customFormat="1" spans="1:23">
      <c r="A2135" s="116"/>
      <c r="E2135" s="108"/>
      <c r="F2135" s="114"/>
      <c r="G2135" s="114"/>
      <c r="H2135" s="114"/>
      <c r="Q2135" s="44">
        <f>IF(数据录入!$B2135="",0,IF(OR(数据录入!$D2135="投标保证金",数据录入!$D2135="合同履约保证金",ISNUMBER(FIND("保证金",数据录入!$E2135))),1,0))</f>
      </c>
      <c r="R2135" s="44">
        <f>IF(AND($Q2135=1,数据录入!$B2135&gt;=$B$2,数据录入!$B2135&lt;=$D$2),N(R2134)+1,N(R2134))</f>
      </c>
    </row>
    <row r="2136" s="44" customFormat="1" spans="1:23">
      <c r="A2136" s="116"/>
      <c r="E2136" s="108"/>
      <c r="F2136" s="114"/>
      <c r="G2136" s="114"/>
      <c r="H2136" s="114"/>
      <c r="Q2136" s="44">
        <f>IF(数据录入!$B2136="",0,IF(OR(数据录入!$D2136="投标保证金",数据录入!$D2136="合同履约保证金",ISNUMBER(FIND("保证金",数据录入!$E2136))),1,0))</f>
      </c>
      <c r="R2136" s="44">
        <f>IF(AND($Q2136=1,数据录入!$B2136&gt;=$B$2,数据录入!$B2136&lt;=$D$2),N(R2135)+1,N(R2135))</f>
      </c>
    </row>
    <row r="2137" s="44" customFormat="1" spans="1:23">
      <c r="A2137" s="116"/>
      <c r="E2137" s="108"/>
      <c r="F2137" s="114"/>
      <c r="G2137" s="114"/>
      <c r="H2137" s="114"/>
      <c r="Q2137" s="44">
        <f>IF(数据录入!$B2137="",0,IF(OR(数据录入!$D2137="投标保证金",数据录入!$D2137="合同履约保证金",ISNUMBER(FIND("保证金",数据录入!$E2137))),1,0))</f>
      </c>
      <c r="R2137" s="44">
        <f>IF(AND($Q2137=1,数据录入!$B2137&gt;=$B$2,数据录入!$B2137&lt;=$D$2),N(R2136)+1,N(R2136))</f>
      </c>
    </row>
    <row r="2138" s="44" customFormat="1" spans="1:23">
      <c r="A2138" s="116"/>
      <c r="E2138" s="108"/>
      <c r="F2138" s="114"/>
      <c r="G2138" s="114"/>
      <c r="H2138" s="114"/>
      <c r="Q2138" s="44">
        <f>IF(数据录入!$B2138="",0,IF(OR(数据录入!$D2138="投标保证金",数据录入!$D2138="合同履约保证金",ISNUMBER(FIND("保证金",数据录入!$E2138))),1,0))</f>
      </c>
      <c r="R2138" s="44">
        <f>IF(AND($Q2138=1,数据录入!$B2138&gt;=$B$2,数据录入!$B2138&lt;=$D$2),N(R2137)+1,N(R2137))</f>
      </c>
    </row>
    <row r="2139" s="44" customFormat="1" spans="1:23">
      <c r="A2139" s="116"/>
      <c r="E2139" s="108"/>
      <c r="F2139" s="114"/>
      <c r="G2139" s="114"/>
      <c r="H2139" s="114"/>
      <c r="Q2139" s="44">
        <f>IF(数据录入!$B2139="",0,IF(OR(数据录入!$D2139="投标保证金",数据录入!$D2139="合同履约保证金",ISNUMBER(FIND("保证金",数据录入!$E2139))),1,0))</f>
      </c>
      <c r="R2139" s="44">
        <f>IF(AND($Q2139=1,数据录入!$B2139&gt;=$B$2,数据录入!$B2139&lt;=$D$2),N(R2138)+1,N(R2138))</f>
      </c>
    </row>
    <row r="2140" s="44" customFormat="1" spans="1:23">
      <c r="A2140" s="116"/>
      <c r="E2140" s="108"/>
      <c r="F2140" s="114"/>
      <c r="G2140" s="114"/>
      <c r="H2140" s="114"/>
      <c r="Q2140" s="44">
        <f>IF(数据录入!$B2140="",0,IF(OR(数据录入!$D2140="投标保证金",数据录入!$D2140="合同履约保证金",ISNUMBER(FIND("保证金",数据录入!$E2140))),1,0))</f>
      </c>
      <c r="R2140" s="44">
        <f>IF(AND($Q2140=1,数据录入!$B2140&gt;=$B$2,数据录入!$B2140&lt;=$D$2),N(R2139)+1,N(R2139))</f>
      </c>
    </row>
    <row r="2141" s="44" customFormat="1" spans="1:23">
      <c r="A2141" s="116"/>
      <c r="E2141" s="108"/>
      <c r="F2141" s="114"/>
      <c r="G2141" s="114"/>
      <c r="H2141" s="114"/>
      <c r="Q2141" s="44">
        <f>IF(数据录入!$B2141="",0,IF(OR(数据录入!$D2141="投标保证金",数据录入!$D2141="合同履约保证金",ISNUMBER(FIND("保证金",数据录入!$E2141))),1,0))</f>
      </c>
      <c r="R2141" s="44">
        <f>IF(AND($Q2141=1,数据录入!$B2141&gt;=$B$2,数据录入!$B2141&lt;=$D$2),N(R2140)+1,N(R2140))</f>
      </c>
    </row>
    <row r="2142" s="44" customFormat="1" spans="1:23">
      <c r="A2142" s="116"/>
      <c r="E2142" s="108"/>
      <c r="F2142" s="114"/>
      <c r="G2142" s="114"/>
      <c r="H2142" s="114"/>
      <c r="Q2142" s="44">
        <f>IF(数据录入!$B2142="",0,IF(OR(数据录入!$D2142="投标保证金",数据录入!$D2142="合同履约保证金",ISNUMBER(FIND("保证金",数据录入!$E2142))),1,0))</f>
      </c>
      <c r="R2142" s="44">
        <f>IF(AND($Q2142=1,数据录入!$B2142&gt;=$B$2,数据录入!$B2142&lt;=$D$2),N(R2141)+1,N(R2141))</f>
      </c>
    </row>
    <row r="2143" s="44" customFormat="1" spans="1:23">
      <c r="A2143" s="116"/>
      <c r="E2143" s="108"/>
      <c r="F2143" s="114"/>
      <c r="G2143" s="114"/>
      <c r="H2143" s="114"/>
      <c r="Q2143" s="44">
        <f>IF(数据录入!$B2143="",0,IF(OR(数据录入!$D2143="投标保证金",数据录入!$D2143="合同履约保证金",ISNUMBER(FIND("保证金",数据录入!$E2143))),1,0))</f>
      </c>
      <c r="R2143" s="44">
        <f>IF(AND($Q2143=1,数据录入!$B2143&gt;=$B$2,数据录入!$B2143&lt;=$D$2),N(R2142)+1,N(R2142))</f>
      </c>
    </row>
    <row r="2144" s="44" customFormat="1" spans="1:23">
      <c r="A2144" s="116"/>
      <c r="E2144" s="108"/>
      <c r="F2144" s="114"/>
      <c r="G2144" s="114"/>
      <c r="H2144" s="114"/>
      <c r="Q2144" s="44">
        <f>IF(数据录入!$B2144="",0,IF(OR(数据录入!$D2144="投标保证金",数据录入!$D2144="合同履约保证金",ISNUMBER(FIND("保证金",数据录入!$E2144))),1,0))</f>
      </c>
      <c r="R2144" s="44">
        <f>IF(AND($Q2144=1,数据录入!$B2144&gt;=$B$2,数据录入!$B2144&lt;=$D$2),N(R2143)+1,N(R2143))</f>
      </c>
    </row>
    <row r="2145" s="44" customFormat="1" spans="1:23">
      <c r="A2145" s="116"/>
      <c r="E2145" s="108"/>
      <c r="F2145" s="114"/>
      <c r="G2145" s="114"/>
      <c r="H2145" s="114"/>
      <c r="Q2145" s="44">
        <f>IF(数据录入!$B2145="",0,IF(OR(数据录入!$D2145="投标保证金",数据录入!$D2145="合同履约保证金",ISNUMBER(FIND("保证金",数据录入!$E2145))),1,0))</f>
      </c>
      <c r="R2145" s="44">
        <f>IF(AND($Q2145=1,数据录入!$B2145&gt;=$B$2,数据录入!$B2145&lt;=$D$2),N(R2144)+1,N(R2144))</f>
      </c>
    </row>
    <row r="2146" s="44" customFormat="1" spans="1:23">
      <c r="A2146" s="116"/>
      <c r="E2146" s="108"/>
      <c r="F2146" s="114"/>
      <c r="G2146" s="114"/>
      <c r="H2146" s="114"/>
      <c r="Q2146" s="44">
        <f>IF(数据录入!$B2146="",0,IF(OR(数据录入!$D2146="投标保证金",数据录入!$D2146="合同履约保证金",ISNUMBER(FIND("保证金",数据录入!$E2146))),1,0))</f>
      </c>
      <c r="R2146" s="44">
        <f>IF(AND($Q2146=1,数据录入!$B2146&gt;=$B$2,数据录入!$B2146&lt;=$D$2),N(R2145)+1,N(R2145))</f>
      </c>
    </row>
    <row r="2147" s="44" customFormat="1" spans="1:23">
      <c r="A2147" s="116"/>
      <c r="E2147" s="108"/>
      <c r="F2147" s="114"/>
      <c r="G2147" s="114"/>
      <c r="H2147" s="114"/>
      <c r="Q2147" s="44">
        <f>IF(数据录入!$B2147="",0,IF(OR(数据录入!$D2147="投标保证金",数据录入!$D2147="合同履约保证金",ISNUMBER(FIND("保证金",数据录入!$E2147))),1,0))</f>
      </c>
      <c r="R2147" s="44">
        <f>IF(AND($Q2147=1,数据录入!$B2147&gt;=$B$2,数据录入!$B2147&lt;=$D$2),N(R2146)+1,N(R2146))</f>
      </c>
    </row>
    <row r="2148" s="44" customFormat="1" spans="1:23">
      <c r="A2148" s="116"/>
      <c r="E2148" s="108"/>
      <c r="F2148" s="114"/>
      <c r="G2148" s="114"/>
      <c r="H2148" s="114"/>
      <c r="Q2148" s="44">
        <f>IF(数据录入!$B2148="",0,IF(OR(数据录入!$D2148="投标保证金",数据录入!$D2148="合同履约保证金",ISNUMBER(FIND("保证金",数据录入!$E2148))),1,0))</f>
      </c>
      <c r="R2148" s="44">
        <f>IF(AND($Q2148=1,数据录入!$B2148&gt;=$B$2,数据录入!$B2148&lt;=$D$2),N(R2147)+1,N(R2147))</f>
      </c>
    </row>
    <row r="2149" s="44" customFormat="1" spans="1:23">
      <c r="A2149" s="116"/>
      <c r="E2149" s="108"/>
      <c r="F2149" s="114"/>
      <c r="G2149" s="114"/>
      <c r="H2149" s="114"/>
      <c r="Q2149" s="44">
        <f>IF(数据录入!$B2149="",0,IF(OR(数据录入!$D2149="投标保证金",数据录入!$D2149="合同履约保证金",ISNUMBER(FIND("保证金",数据录入!$E2149))),1,0))</f>
      </c>
      <c r="R2149" s="44">
        <f>IF(AND($Q2149=1,数据录入!$B2149&gt;=$B$2,数据录入!$B2149&lt;=$D$2),N(R2148)+1,N(R2148))</f>
      </c>
    </row>
    <row r="2150" s="44" customFormat="1" spans="1:23">
      <c r="A2150" s="116"/>
      <c r="E2150" s="108"/>
      <c r="F2150" s="114"/>
      <c r="G2150" s="114"/>
      <c r="H2150" s="114"/>
      <c r="Q2150" s="44">
        <f>IF(数据录入!$B2150="",0,IF(OR(数据录入!$D2150="投标保证金",数据录入!$D2150="合同履约保证金",ISNUMBER(FIND("保证金",数据录入!$E2150))),1,0))</f>
      </c>
      <c r="R2150" s="44">
        <f>IF(AND($Q2150=1,数据录入!$B2150&gt;=$B$2,数据录入!$B2150&lt;=$D$2),N(R2149)+1,N(R2149))</f>
      </c>
    </row>
    <row r="2151" s="44" customFormat="1" spans="1:23">
      <c r="A2151" s="116"/>
      <c r="E2151" s="108"/>
      <c r="F2151" s="114"/>
      <c r="G2151" s="114"/>
      <c r="H2151" s="114"/>
      <c r="Q2151" s="44">
        <f>IF(数据录入!$B2151="",0,IF(OR(数据录入!$D2151="投标保证金",数据录入!$D2151="合同履约保证金",ISNUMBER(FIND("保证金",数据录入!$E2151))),1,0))</f>
      </c>
      <c r="R2151" s="44">
        <f>IF(AND($Q2151=1,数据录入!$B2151&gt;=$B$2,数据录入!$B2151&lt;=$D$2),N(R2150)+1,N(R2150))</f>
      </c>
    </row>
    <row r="2152" s="44" customFormat="1" spans="1:23">
      <c r="A2152" s="116"/>
      <c r="E2152" s="108"/>
      <c r="F2152" s="114"/>
      <c r="G2152" s="114"/>
      <c r="H2152" s="114"/>
      <c r="Q2152" s="44">
        <f>IF(数据录入!$B2152="",0,IF(OR(数据录入!$D2152="投标保证金",数据录入!$D2152="合同履约保证金",ISNUMBER(FIND("保证金",数据录入!$E2152))),1,0))</f>
      </c>
      <c r="R2152" s="44">
        <f>IF(AND($Q2152=1,数据录入!$B2152&gt;=$B$2,数据录入!$B2152&lt;=$D$2),N(R2151)+1,N(R2151))</f>
      </c>
    </row>
    <row r="2153" s="44" customFormat="1" spans="1:23">
      <c r="A2153" s="116"/>
      <c r="E2153" s="108"/>
      <c r="F2153" s="114"/>
      <c r="G2153" s="114"/>
      <c r="H2153" s="114"/>
      <c r="Q2153" s="44">
        <f>IF(数据录入!$B2153="",0,IF(OR(数据录入!$D2153="投标保证金",数据录入!$D2153="合同履约保证金",ISNUMBER(FIND("保证金",数据录入!$E2153))),1,0))</f>
      </c>
      <c r="R2153" s="44">
        <f>IF(AND($Q2153=1,数据录入!$B2153&gt;=$B$2,数据录入!$B2153&lt;=$D$2),N(R2152)+1,N(R2152))</f>
      </c>
    </row>
    <row r="2154" s="44" customFormat="1" spans="1:23">
      <c r="A2154" s="116"/>
      <c r="E2154" s="108"/>
      <c r="F2154" s="114"/>
      <c r="G2154" s="114"/>
      <c r="H2154" s="114"/>
      <c r="Q2154" s="44">
        <f>IF(数据录入!$B2154="",0,IF(OR(数据录入!$D2154="投标保证金",数据录入!$D2154="合同履约保证金",ISNUMBER(FIND("保证金",数据录入!$E2154))),1,0))</f>
      </c>
      <c r="R2154" s="44">
        <f>IF(AND($Q2154=1,数据录入!$B2154&gt;=$B$2,数据录入!$B2154&lt;=$D$2),N(R2153)+1,N(R2153))</f>
      </c>
    </row>
    <row r="2155" s="44" customFormat="1" spans="1:23">
      <c r="A2155" s="116"/>
      <c r="E2155" s="108"/>
      <c r="F2155" s="114"/>
      <c r="G2155" s="114"/>
      <c r="H2155" s="114"/>
      <c r="Q2155" s="44">
        <f>IF(数据录入!$B2155="",0,IF(OR(数据录入!$D2155="投标保证金",数据录入!$D2155="合同履约保证金",ISNUMBER(FIND("保证金",数据录入!$E2155))),1,0))</f>
      </c>
      <c r="R2155" s="44">
        <f>IF(AND($Q2155=1,数据录入!$B2155&gt;=$B$2,数据录入!$B2155&lt;=$D$2),N(R2154)+1,N(R2154))</f>
      </c>
    </row>
    <row r="2156" s="44" customFormat="1" spans="1:23">
      <c r="A2156" s="116"/>
      <c r="E2156" s="108"/>
      <c r="F2156" s="114"/>
      <c r="G2156" s="114"/>
      <c r="H2156" s="114"/>
      <c r="Q2156" s="44">
        <f>IF(数据录入!$B2156="",0,IF(OR(数据录入!$D2156="投标保证金",数据录入!$D2156="合同履约保证金",ISNUMBER(FIND("保证金",数据录入!$E2156))),1,0))</f>
      </c>
      <c r="R2156" s="44">
        <f>IF(AND($Q2156=1,数据录入!$B2156&gt;=$B$2,数据录入!$B2156&lt;=$D$2),N(R2155)+1,N(R2155))</f>
      </c>
    </row>
    <row r="2157" s="44" customFormat="1" spans="1:23">
      <c r="A2157" s="116"/>
      <c r="E2157" s="108"/>
      <c r="F2157" s="114"/>
      <c r="G2157" s="114"/>
      <c r="H2157" s="114"/>
      <c r="Q2157" s="44">
        <f>IF(数据录入!$B2157="",0,IF(OR(数据录入!$D2157="投标保证金",数据录入!$D2157="合同履约保证金",ISNUMBER(FIND("保证金",数据录入!$E2157))),1,0))</f>
      </c>
      <c r="R2157" s="44">
        <f>IF(AND($Q2157=1,数据录入!$B2157&gt;=$B$2,数据录入!$B2157&lt;=$D$2),N(R2156)+1,N(R2156))</f>
      </c>
    </row>
    <row r="2158" s="44" customFormat="1" spans="1:23">
      <c r="A2158" s="116"/>
      <c r="E2158" s="108"/>
      <c r="F2158" s="114"/>
      <c r="G2158" s="114"/>
      <c r="H2158" s="114"/>
      <c r="Q2158" s="44">
        <f>IF(数据录入!$B2158="",0,IF(OR(数据录入!$D2158="投标保证金",数据录入!$D2158="合同履约保证金",ISNUMBER(FIND("保证金",数据录入!$E2158))),1,0))</f>
      </c>
      <c r="R2158" s="44">
        <f>IF(AND($Q2158=1,数据录入!$B2158&gt;=$B$2,数据录入!$B2158&lt;=$D$2),N(R2157)+1,N(R2157))</f>
      </c>
    </row>
    <row r="2159" s="44" customFormat="1" spans="1:23">
      <c r="A2159" s="116"/>
      <c r="E2159" s="108"/>
      <c r="F2159" s="114"/>
      <c r="G2159" s="114"/>
      <c r="H2159" s="114"/>
      <c r="Q2159" s="44">
        <f>IF(数据录入!$B2159="",0,IF(OR(数据录入!$D2159="投标保证金",数据录入!$D2159="合同履约保证金",ISNUMBER(FIND("保证金",数据录入!$E2159))),1,0))</f>
      </c>
      <c r="R2159" s="44">
        <f>IF(AND($Q2159=1,数据录入!$B2159&gt;=$B$2,数据录入!$B2159&lt;=$D$2),N(R2158)+1,N(R2158))</f>
      </c>
    </row>
    <row r="2160" s="44" customFormat="1" spans="1:23">
      <c r="A2160" s="116"/>
      <c r="E2160" s="108"/>
      <c r="F2160" s="114"/>
      <c r="G2160" s="114"/>
      <c r="H2160" s="114"/>
      <c r="Q2160" s="44">
        <f>IF(数据录入!$B2160="",0,IF(OR(数据录入!$D2160="投标保证金",数据录入!$D2160="合同履约保证金",ISNUMBER(FIND("保证金",数据录入!$E2160))),1,0))</f>
      </c>
      <c r="R2160" s="44">
        <f>IF(AND($Q2160=1,数据录入!$B2160&gt;=$B$2,数据录入!$B2160&lt;=$D$2),N(R2159)+1,N(R2159))</f>
      </c>
    </row>
    <row r="2161" s="44" customFormat="1" spans="1:23">
      <c r="A2161" s="116"/>
      <c r="E2161" s="108"/>
      <c r="F2161" s="114"/>
      <c r="G2161" s="114"/>
      <c r="H2161" s="114"/>
      <c r="Q2161" s="44">
        <f>IF(数据录入!$B2161="",0,IF(OR(数据录入!$D2161="投标保证金",数据录入!$D2161="合同履约保证金",ISNUMBER(FIND("保证金",数据录入!$E2161))),1,0))</f>
      </c>
      <c r="R2161" s="44">
        <f>IF(AND($Q2161=1,数据录入!$B2161&gt;=$B$2,数据录入!$B2161&lt;=$D$2),N(R2160)+1,N(R2160))</f>
      </c>
    </row>
    <row r="2162" s="44" customFormat="1" spans="1:23">
      <c r="A2162" s="116"/>
      <c r="E2162" s="108"/>
      <c r="F2162" s="114"/>
      <c r="G2162" s="114"/>
      <c r="H2162" s="114"/>
      <c r="Q2162" s="44">
        <f>IF(数据录入!$B2162="",0,IF(OR(数据录入!$D2162="投标保证金",数据录入!$D2162="合同履约保证金",ISNUMBER(FIND("保证金",数据录入!$E2162))),1,0))</f>
      </c>
      <c r="R2162" s="44">
        <f>IF(AND($Q2162=1,数据录入!$B2162&gt;=$B$2,数据录入!$B2162&lt;=$D$2),N(R2161)+1,N(R2161))</f>
      </c>
    </row>
    <row r="2163" s="44" customFormat="1" spans="1:23">
      <c r="A2163" s="116"/>
      <c r="E2163" s="108"/>
      <c r="F2163" s="114"/>
      <c r="G2163" s="114"/>
      <c r="H2163" s="114"/>
      <c r="Q2163" s="44">
        <f>IF(数据录入!$B2163="",0,IF(OR(数据录入!$D2163="投标保证金",数据录入!$D2163="合同履约保证金",ISNUMBER(FIND("保证金",数据录入!$E2163))),1,0))</f>
      </c>
      <c r="R2163" s="44">
        <f>IF(AND($Q2163=1,数据录入!$B2163&gt;=$B$2,数据录入!$B2163&lt;=$D$2),N(R2162)+1,N(R2162))</f>
      </c>
    </row>
    <row r="2164" s="44" customFormat="1" spans="1:23">
      <c r="A2164" s="116"/>
      <c r="E2164" s="108"/>
      <c r="F2164" s="114"/>
      <c r="G2164" s="114"/>
      <c r="H2164" s="114"/>
      <c r="Q2164" s="44">
        <f>IF(数据录入!$B2164="",0,IF(OR(数据录入!$D2164="投标保证金",数据录入!$D2164="合同履约保证金",ISNUMBER(FIND("保证金",数据录入!$E2164))),1,0))</f>
      </c>
      <c r="R2164" s="44">
        <f>IF(AND($Q2164=1,数据录入!$B2164&gt;=$B$2,数据录入!$B2164&lt;=$D$2),N(R2163)+1,N(R2163))</f>
      </c>
    </row>
    <row r="2165" s="44" customFormat="1" spans="1:23">
      <c r="A2165" s="116"/>
      <c r="E2165" s="108"/>
      <c r="F2165" s="114"/>
      <c r="G2165" s="114"/>
      <c r="H2165" s="114"/>
      <c r="Q2165" s="44">
        <f>IF(数据录入!$B2165="",0,IF(OR(数据录入!$D2165="投标保证金",数据录入!$D2165="合同履约保证金",ISNUMBER(FIND("保证金",数据录入!$E2165))),1,0))</f>
      </c>
      <c r="R2165" s="44">
        <f>IF(AND($Q2165=1,数据录入!$B2165&gt;=$B$2,数据录入!$B2165&lt;=$D$2),N(R2164)+1,N(R2164))</f>
      </c>
    </row>
    <row r="2166" s="44" customFormat="1" spans="1:23">
      <c r="A2166" s="116"/>
      <c r="E2166" s="108"/>
      <c r="F2166" s="114"/>
      <c r="G2166" s="114"/>
      <c r="H2166" s="114"/>
      <c r="Q2166" s="44">
        <f>IF(数据录入!$B2166="",0,IF(OR(数据录入!$D2166="投标保证金",数据录入!$D2166="合同履约保证金",ISNUMBER(FIND("保证金",数据录入!$E2166))),1,0))</f>
      </c>
      <c r="R2166" s="44">
        <f>IF(AND($Q2166=1,数据录入!$B2166&gt;=$B$2,数据录入!$B2166&lt;=$D$2),N(R2165)+1,N(R2165))</f>
      </c>
    </row>
    <row r="2167" s="44" customFormat="1" spans="1:23">
      <c r="A2167" s="116"/>
      <c r="E2167" s="108"/>
      <c r="F2167" s="114"/>
      <c r="G2167" s="114"/>
      <c r="H2167" s="114"/>
      <c r="Q2167" s="44">
        <f>IF(数据录入!$B2167="",0,IF(OR(数据录入!$D2167="投标保证金",数据录入!$D2167="合同履约保证金",ISNUMBER(FIND("保证金",数据录入!$E2167))),1,0))</f>
      </c>
      <c r="R2167" s="44">
        <f>IF(AND($Q2167=1,数据录入!$B2167&gt;=$B$2,数据录入!$B2167&lt;=$D$2),N(R2166)+1,N(R2166))</f>
      </c>
    </row>
    <row r="2168" s="44" customFormat="1" spans="1:23">
      <c r="A2168" s="116"/>
      <c r="E2168" s="108"/>
      <c r="F2168" s="114"/>
      <c r="G2168" s="114"/>
      <c r="H2168" s="114"/>
      <c r="Q2168" s="44">
        <f>IF(数据录入!$B2168="",0,IF(OR(数据录入!$D2168="投标保证金",数据录入!$D2168="合同履约保证金",ISNUMBER(FIND("保证金",数据录入!$E2168))),1,0))</f>
      </c>
      <c r="R2168" s="44">
        <f>IF(AND($Q2168=1,数据录入!$B2168&gt;=$B$2,数据录入!$B2168&lt;=$D$2),N(R2167)+1,N(R2167))</f>
      </c>
    </row>
    <row r="2169" s="44" customFormat="1" spans="1:23">
      <c r="A2169" s="116"/>
      <c r="E2169" s="108"/>
      <c r="F2169" s="114"/>
      <c r="G2169" s="114"/>
      <c r="H2169" s="114"/>
      <c r="Q2169" s="44">
        <f>IF(数据录入!$B2169="",0,IF(OR(数据录入!$D2169="投标保证金",数据录入!$D2169="合同履约保证金",ISNUMBER(FIND("保证金",数据录入!$E2169))),1,0))</f>
      </c>
      <c r="R2169" s="44">
        <f>IF(AND($Q2169=1,数据录入!$B2169&gt;=$B$2,数据录入!$B2169&lt;=$D$2),N(R2168)+1,N(R2168))</f>
      </c>
    </row>
    <row r="2170" s="44" customFormat="1" spans="1:23">
      <c r="A2170" s="116"/>
      <c r="E2170" s="108"/>
      <c r="F2170" s="114"/>
      <c r="G2170" s="114"/>
      <c r="H2170" s="114"/>
      <c r="Q2170" s="44">
        <f>IF(数据录入!$B2170="",0,IF(OR(数据录入!$D2170="投标保证金",数据录入!$D2170="合同履约保证金",ISNUMBER(FIND("保证金",数据录入!$E2170))),1,0))</f>
      </c>
      <c r="R2170" s="44">
        <f>IF(AND($Q2170=1,数据录入!$B2170&gt;=$B$2,数据录入!$B2170&lt;=$D$2),N(R2169)+1,N(R2169))</f>
      </c>
    </row>
    <row r="2171" s="44" customFormat="1" spans="1:23">
      <c r="A2171" s="116"/>
      <c r="E2171" s="108"/>
      <c r="F2171" s="114"/>
      <c r="G2171" s="114"/>
      <c r="H2171" s="114"/>
      <c r="Q2171" s="44">
        <f>IF(数据录入!$B2171="",0,IF(OR(数据录入!$D2171="投标保证金",数据录入!$D2171="合同履约保证金",ISNUMBER(FIND("保证金",数据录入!$E2171))),1,0))</f>
      </c>
      <c r="R2171" s="44">
        <f>IF(AND($Q2171=1,数据录入!$B2171&gt;=$B$2,数据录入!$B2171&lt;=$D$2),N(R2170)+1,N(R2170))</f>
      </c>
    </row>
    <row r="2172" s="44" customFormat="1" spans="1:23">
      <c r="A2172" s="116"/>
      <c r="E2172" s="108"/>
      <c r="F2172" s="114"/>
      <c r="G2172" s="114"/>
      <c r="H2172" s="114"/>
      <c r="Q2172" s="44">
        <f>IF(数据录入!$B2172="",0,IF(OR(数据录入!$D2172="投标保证金",数据录入!$D2172="合同履约保证金",ISNUMBER(FIND("保证金",数据录入!$E2172))),1,0))</f>
      </c>
      <c r="R2172" s="44">
        <f>IF(AND($Q2172=1,数据录入!$B2172&gt;=$B$2,数据录入!$B2172&lt;=$D$2),N(R2171)+1,N(R2171))</f>
      </c>
    </row>
    <row r="2173" s="44" customFormat="1" spans="1:23">
      <c r="A2173" s="116"/>
      <c r="E2173" s="108"/>
      <c r="F2173" s="114"/>
      <c r="G2173" s="114"/>
      <c r="H2173" s="114"/>
      <c r="Q2173" s="44">
        <f>IF(数据录入!$B2173="",0,IF(OR(数据录入!$D2173="投标保证金",数据录入!$D2173="合同履约保证金",ISNUMBER(FIND("保证金",数据录入!$E2173))),1,0))</f>
      </c>
      <c r="R2173" s="44">
        <f>IF(AND($Q2173=1,数据录入!$B2173&gt;=$B$2,数据录入!$B2173&lt;=$D$2),N(R2172)+1,N(R2172))</f>
      </c>
    </row>
    <row r="2174" s="44" customFormat="1" spans="1:23">
      <c r="A2174" s="116"/>
      <c r="E2174" s="108"/>
      <c r="F2174" s="114"/>
      <c r="G2174" s="114"/>
      <c r="H2174" s="114"/>
      <c r="Q2174" s="44">
        <f>IF(数据录入!$B2174="",0,IF(OR(数据录入!$D2174="投标保证金",数据录入!$D2174="合同履约保证金",ISNUMBER(FIND("保证金",数据录入!$E2174))),1,0))</f>
      </c>
      <c r="R2174" s="44">
        <f>IF(AND($Q2174=1,数据录入!$B2174&gt;=$B$2,数据录入!$B2174&lt;=$D$2),N(R2173)+1,N(R2173))</f>
      </c>
    </row>
    <row r="2175" s="44" customFormat="1" spans="1:23">
      <c r="A2175" s="116"/>
      <c r="E2175" s="108"/>
      <c r="F2175" s="114"/>
      <c r="G2175" s="114"/>
      <c r="H2175" s="114"/>
      <c r="Q2175" s="44">
        <f>IF(数据录入!$B2175="",0,IF(OR(数据录入!$D2175="投标保证金",数据录入!$D2175="合同履约保证金",ISNUMBER(FIND("保证金",数据录入!$E2175))),1,0))</f>
      </c>
      <c r="R2175" s="44">
        <f>IF(AND($Q2175=1,数据录入!$B2175&gt;=$B$2,数据录入!$B2175&lt;=$D$2),N(R2174)+1,N(R2174))</f>
      </c>
    </row>
    <row r="2176" s="44" customFormat="1" spans="1:23">
      <c r="A2176" s="116"/>
      <c r="E2176" s="108"/>
      <c r="F2176" s="114"/>
      <c r="G2176" s="114"/>
      <c r="H2176" s="114"/>
      <c r="Q2176" s="44">
        <f>IF(数据录入!$B2176="",0,IF(OR(数据录入!$D2176="投标保证金",数据录入!$D2176="合同履约保证金",ISNUMBER(FIND("保证金",数据录入!$E2176))),1,0))</f>
      </c>
      <c r="R2176" s="44">
        <f>IF(AND($Q2176=1,数据录入!$B2176&gt;=$B$2,数据录入!$B2176&lt;=$D$2),N(R2175)+1,N(R2175))</f>
      </c>
    </row>
    <row r="2177" s="44" customFormat="1" spans="1:23">
      <c r="A2177" s="116"/>
      <c r="E2177" s="108"/>
      <c r="F2177" s="114"/>
      <c r="G2177" s="114"/>
      <c r="H2177" s="114"/>
      <c r="Q2177" s="44">
        <f>IF(数据录入!$B2177="",0,IF(OR(数据录入!$D2177="投标保证金",数据录入!$D2177="合同履约保证金",ISNUMBER(FIND("保证金",数据录入!$E2177))),1,0))</f>
      </c>
      <c r="R2177" s="44">
        <f>IF(AND($Q2177=1,数据录入!$B2177&gt;=$B$2,数据录入!$B2177&lt;=$D$2),N(R2176)+1,N(R2176))</f>
      </c>
    </row>
    <row r="2178" s="44" customFormat="1" spans="1:23">
      <c r="A2178" s="116"/>
      <c r="E2178" s="108"/>
      <c r="F2178" s="114"/>
      <c r="G2178" s="114"/>
      <c r="H2178" s="114"/>
      <c r="Q2178" s="44">
        <f>IF(数据录入!$B2178="",0,IF(OR(数据录入!$D2178="投标保证金",数据录入!$D2178="合同履约保证金",ISNUMBER(FIND("保证金",数据录入!$E2178))),1,0))</f>
      </c>
      <c r="R2178" s="44">
        <f>IF(AND($Q2178=1,数据录入!$B2178&gt;=$B$2,数据录入!$B2178&lt;=$D$2),N(R2177)+1,N(R2177))</f>
      </c>
    </row>
    <row r="2179" s="44" customFormat="1" spans="1:23">
      <c r="A2179" s="116"/>
      <c r="E2179" s="108"/>
      <c r="F2179" s="114"/>
      <c r="G2179" s="114"/>
      <c r="H2179" s="114"/>
      <c r="Q2179" s="44">
        <f>IF(数据录入!$B2179="",0,IF(OR(数据录入!$D2179="投标保证金",数据录入!$D2179="合同履约保证金",ISNUMBER(FIND("保证金",数据录入!$E2179))),1,0))</f>
      </c>
      <c r="R2179" s="44">
        <f>IF(AND($Q2179=1,数据录入!$B2179&gt;=$B$2,数据录入!$B2179&lt;=$D$2),N(R2178)+1,N(R2178))</f>
      </c>
    </row>
    <row r="2180" s="44" customFormat="1" spans="1:23">
      <c r="A2180" s="116"/>
      <c r="E2180" s="108"/>
      <c r="F2180" s="114"/>
      <c r="G2180" s="114"/>
      <c r="H2180" s="114"/>
      <c r="Q2180" s="44">
        <f>IF(数据录入!$B2180="",0,IF(OR(数据录入!$D2180="投标保证金",数据录入!$D2180="合同履约保证金",ISNUMBER(FIND("保证金",数据录入!$E2180))),1,0))</f>
      </c>
      <c r="R2180" s="44">
        <f>IF(AND($Q2180=1,数据录入!$B2180&gt;=$B$2,数据录入!$B2180&lt;=$D$2),N(R2179)+1,N(R2179))</f>
      </c>
    </row>
    <row r="2181" s="44" customFormat="1" spans="1:23">
      <c r="A2181" s="116"/>
      <c r="E2181" s="108"/>
      <c r="F2181" s="114"/>
      <c r="G2181" s="114"/>
      <c r="H2181" s="114"/>
      <c r="Q2181" s="44">
        <f>IF(数据录入!$B2181="",0,IF(OR(数据录入!$D2181="投标保证金",数据录入!$D2181="合同履约保证金",ISNUMBER(FIND("保证金",数据录入!$E2181))),1,0))</f>
      </c>
      <c r="R2181" s="44">
        <f>IF(AND($Q2181=1,数据录入!$B2181&gt;=$B$2,数据录入!$B2181&lt;=$D$2),N(R2180)+1,N(R2180))</f>
      </c>
    </row>
    <row r="2182" s="44" customFormat="1" spans="1:23">
      <c r="A2182" s="116"/>
      <c r="E2182" s="108"/>
      <c r="F2182" s="114"/>
      <c r="G2182" s="114"/>
      <c r="H2182" s="114"/>
      <c r="Q2182" s="44">
        <f>IF(数据录入!$B2182="",0,IF(OR(数据录入!$D2182="投标保证金",数据录入!$D2182="合同履约保证金",ISNUMBER(FIND("保证金",数据录入!$E2182))),1,0))</f>
      </c>
      <c r="R2182" s="44">
        <f>IF(AND($Q2182=1,数据录入!$B2182&gt;=$B$2,数据录入!$B2182&lt;=$D$2),N(R2181)+1,N(R2181))</f>
      </c>
    </row>
    <row r="2183" s="44" customFormat="1" spans="1:23">
      <c r="A2183" s="116"/>
      <c r="E2183" s="108"/>
      <c r="F2183" s="114"/>
      <c r="G2183" s="114"/>
      <c r="H2183" s="114"/>
      <c r="Q2183" s="44">
        <f>IF(数据录入!$B2183="",0,IF(OR(数据录入!$D2183="投标保证金",数据录入!$D2183="合同履约保证金",ISNUMBER(FIND("保证金",数据录入!$E2183))),1,0))</f>
      </c>
      <c r="R2183" s="44">
        <f>IF(AND($Q2183=1,数据录入!$B2183&gt;=$B$2,数据录入!$B2183&lt;=$D$2),N(R2182)+1,N(R2182))</f>
      </c>
    </row>
    <row r="2184" s="44" customFormat="1" spans="1:23">
      <c r="A2184" s="116"/>
      <c r="E2184" s="108"/>
      <c r="F2184" s="114"/>
      <c r="G2184" s="114"/>
      <c r="H2184" s="114"/>
      <c r="Q2184" s="44">
        <f>IF(数据录入!$B2184="",0,IF(OR(数据录入!$D2184="投标保证金",数据录入!$D2184="合同履约保证金",ISNUMBER(FIND("保证金",数据录入!$E2184))),1,0))</f>
      </c>
      <c r="R2184" s="44">
        <f>IF(AND($Q2184=1,数据录入!$B2184&gt;=$B$2,数据录入!$B2184&lt;=$D$2),N(R2183)+1,N(R2183))</f>
      </c>
    </row>
    <row r="2185" s="44" customFormat="1" spans="1:23">
      <c r="A2185" s="116"/>
      <c r="E2185" s="108"/>
      <c r="F2185" s="114"/>
      <c r="G2185" s="114"/>
      <c r="H2185" s="114"/>
      <c r="Q2185" s="44">
        <f>IF(数据录入!$B2185="",0,IF(OR(数据录入!$D2185="投标保证金",数据录入!$D2185="合同履约保证金",ISNUMBER(FIND("保证金",数据录入!$E2185))),1,0))</f>
      </c>
      <c r="R2185" s="44">
        <f>IF(AND($Q2185=1,数据录入!$B2185&gt;=$B$2,数据录入!$B2185&lt;=$D$2),N(R2184)+1,N(R2184))</f>
      </c>
    </row>
    <row r="2186" s="44" customFormat="1" spans="1:23">
      <c r="A2186" s="116"/>
      <c r="E2186" s="108"/>
      <c r="F2186" s="114"/>
      <c r="G2186" s="114"/>
      <c r="H2186" s="114"/>
      <c r="Q2186" s="44">
        <f>IF(数据录入!$B2186="",0,IF(OR(数据录入!$D2186="投标保证金",数据录入!$D2186="合同履约保证金",ISNUMBER(FIND("保证金",数据录入!$E2186))),1,0))</f>
      </c>
      <c r="R2186" s="44">
        <f>IF(AND($Q2186=1,数据录入!$B2186&gt;=$B$2,数据录入!$B2186&lt;=$D$2),N(R2185)+1,N(R2185))</f>
      </c>
    </row>
    <row r="2187" s="44" customFormat="1" spans="1:23">
      <c r="A2187" s="116"/>
      <c r="E2187" s="108"/>
      <c r="F2187" s="114"/>
      <c r="G2187" s="114"/>
      <c r="H2187" s="114"/>
      <c r="Q2187" s="44">
        <f>IF(数据录入!$B2187="",0,IF(OR(数据录入!$D2187="投标保证金",数据录入!$D2187="合同履约保证金",ISNUMBER(FIND("保证金",数据录入!$E2187))),1,0))</f>
      </c>
      <c r="R2187" s="44">
        <f>IF(AND($Q2187=1,数据录入!$B2187&gt;=$B$2,数据录入!$B2187&lt;=$D$2),N(R2186)+1,N(R2186))</f>
      </c>
    </row>
    <row r="2188" s="44" customFormat="1" spans="1:23">
      <c r="A2188" s="116"/>
      <c r="E2188" s="108"/>
      <c r="F2188" s="114"/>
      <c r="G2188" s="114"/>
      <c r="H2188" s="114"/>
      <c r="Q2188" s="44">
        <f>IF(数据录入!$B2188="",0,IF(OR(数据录入!$D2188="投标保证金",数据录入!$D2188="合同履约保证金",ISNUMBER(FIND("保证金",数据录入!$E2188))),1,0))</f>
      </c>
      <c r="R2188" s="44">
        <f>IF(AND($Q2188=1,数据录入!$B2188&gt;=$B$2,数据录入!$B2188&lt;=$D$2),N(R2187)+1,N(R2187))</f>
      </c>
    </row>
    <row r="2189" s="44" customFormat="1" spans="1:23">
      <c r="A2189" s="116"/>
      <c r="E2189" s="108"/>
      <c r="F2189" s="114"/>
      <c r="G2189" s="114"/>
      <c r="H2189" s="114"/>
      <c r="Q2189" s="44">
        <f>IF(数据录入!$B2189="",0,IF(OR(数据录入!$D2189="投标保证金",数据录入!$D2189="合同履约保证金",ISNUMBER(FIND("保证金",数据录入!$E2189))),1,0))</f>
      </c>
      <c r="R2189" s="44">
        <f>IF(AND($Q2189=1,数据录入!$B2189&gt;=$B$2,数据录入!$B2189&lt;=$D$2),N(R2188)+1,N(R2188))</f>
      </c>
    </row>
    <row r="2190" s="44" customFormat="1" spans="1:23">
      <c r="A2190" s="116"/>
      <c r="E2190" s="108"/>
      <c r="F2190" s="114"/>
      <c r="G2190" s="114"/>
      <c r="H2190" s="114"/>
      <c r="Q2190" s="44">
        <f>IF(数据录入!$B2190="",0,IF(OR(数据录入!$D2190="投标保证金",数据录入!$D2190="合同履约保证金",ISNUMBER(FIND("保证金",数据录入!$E2190))),1,0))</f>
      </c>
      <c r="R2190" s="44">
        <f>IF(AND($Q2190=1,数据录入!$B2190&gt;=$B$2,数据录入!$B2190&lt;=$D$2),N(R2189)+1,N(R2189))</f>
      </c>
    </row>
    <row r="2191" s="44" customFormat="1" spans="1:23">
      <c r="A2191" s="116"/>
      <c r="E2191" s="108"/>
      <c r="F2191" s="114"/>
      <c r="G2191" s="114"/>
      <c r="H2191" s="114"/>
      <c r="Q2191" s="44">
        <f>IF(数据录入!$B2191="",0,IF(OR(数据录入!$D2191="投标保证金",数据录入!$D2191="合同履约保证金",ISNUMBER(FIND("保证金",数据录入!$E2191))),1,0))</f>
      </c>
      <c r="R2191" s="44">
        <f>IF(AND($Q2191=1,数据录入!$B2191&gt;=$B$2,数据录入!$B2191&lt;=$D$2),N(R2190)+1,N(R2190))</f>
      </c>
    </row>
    <row r="2192" s="44" customFormat="1" spans="1:23">
      <c r="A2192" s="116"/>
      <c r="E2192" s="108"/>
      <c r="F2192" s="114"/>
      <c r="G2192" s="114"/>
      <c r="H2192" s="114"/>
      <c r="Q2192" s="44">
        <f>IF(数据录入!$B2192="",0,IF(OR(数据录入!$D2192="投标保证金",数据录入!$D2192="合同履约保证金",ISNUMBER(FIND("保证金",数据录入!$E2192))),1,0))</f>
      </c>
      <c r="R2192" s="44">
        <f>IF(AND($Q2192=1,数据录入!$B2192&gt;=$B$2,数据录入!$B2192&lt;=$D$2),N(R2191)+1,N(R2191))</f>
      </c>
    </row>
    <row r="2193" s="44" customFormat="1" spans="1:23">
      <c r="A2193" s="116"/>
      <c r="E2193" s="108"/>
      <c r="F2193" s="114"/>
      <c r="G2193" s="114"/>
      <c r="H2193" s="114"/>
      <c r="Q2193" s="44">
        <f>IF(数据录入!$B2193="",0,IF(OR(数据录入!$D2193="投标保证金",数据录入!$D2193="合同履约保证金",ISNUMBER(FIND("保证金",数据录入!$E2193))),1,0))</f>
      </c>
      <c r="R2193" s="44">
        <f>IF(AND($Q2193=1,数据录入!$B2193&gt;=$B$2,数据录入!$B2193&lt;=$D$2),N(R2192)+1,N(R2192))</f>
      </c>
    </row>
    <row r="2194" s="44" customFormat="1" spans="1:23">
      <c r="A2194" s="116"/>
      <c r="E2194" s="108"/>
      <c r="F2194" s="114"/>
      <c r="G2194" s="114"/>
      <c r="H2194" s="114"/>
      <c r="Q2194" s="44">
        <f>IF(数据录入!$B2194="",0,IF(OR(数据录入!$D2194="投标保证金",数据录入!$D2194="合同履约保证金",ISNUMBER(FIND("保证金",数据录入!$E2194))),1,0))</f>
      </c>
      <c r="R2194" s="44">
        <f>IF(AND($Q2194=1,数据录入!$B2194&gt;=$B$2,数据录入!$B2194&lt;=$D$2),N(R2193)+1,N(R2193))</f>
      </c>
    </row>
    <row r="2195" s="44" customFormat="1" spans="1:23">
      <c r="A2195" s="116"/>
      <c r="E2195" s="108"/>
      <c r="F2195" s="114"/>
      <c r="G2195" s="114"/>
      <c r="H2195" s="114"/>
      <c r="Q2195" s="44">
        <f>IF(数据录入!$B2195="",0,IF(OR(数据录入!$D2195="投标保证金",数据录入!$D2195="合同履约保证金",ISNUMBER(FIND("保证金",数据录入!$E2195))),1,0))</f>
      </c>
      <c r="R2195" s="44">
        <f>IF(AND($Q2195=1,数据录入!$B2195&gt;=$B$2,数据录入!$B2195&lt;=$D$2),N(R2194)+1,N(R2194))</f>
      </c>
    </row>
    <row r="2196" s="44" customFormat="1" spans="1:23">
      <c r="A2196" s="116"/>
      <c r="E2196" s="108"/>
      <c r="F2196" s="114"/>
      <c r="G2196" s="114"/>
      <c r="H2196" s="114"/>
      <c r="Q2196" s="44">
        <f>IF(数据录入!$B2196="",0,IF(OR(数据录入!$D2196="投标保证金",数据录入!$D2196="合同履约保证金",ISNUMBER(FIND("保证金",数据录入!$E2196))),1,0))</f>
      </c>
      <c r="R2196" s="44">
        <f>IF(AND($Q2196=1,数据录入!$B2196&gt;=$B$2,数据录入!$B2196&lt;=$D$2),N(R2195)+1,N(R2195))</f>
      </c>
    </row>
    <row r="2197" s="44" customFormat="1" spans="1:23">
      <c r="A2197" s="116"/>
      <c r="E2197" s="108"/>
      <c r="F2197" s="114"/>
      <c r="G2197" s="114"/>
      <c r="H2197" s="114"/>
      <c r="Q2197" s="44">
        <f>IF(数据录入!$B2197="",0,IF(OR(数据录入!$D2197="投标保证金",数据录入!$D2197="合同履约保证金",ISNUMBER(FIND("保证金",数据录入!$E2197))),1,0))</f>
      </c>
      <c r="R2197" s="44">
        <f>IF(AND($Q2197=1,数据录入!$B2197&gt;=$B$2,数据录入!$B2197&lt;=$D$2),N(R2196)+1,N(R2196))</f>
      </c>
    </row>
    <row r="2198" s="44" customFormat="1" spans="1:23">
      <c r="A2198" s="116"/>
      <c r="E2198" s="108"/>
      <c r="F2198" s="114"/>
      <c r="G2198" s="114"/>
      <c r="H2198" s="114"/>
      <c r="Q2198" s="44">
        <f>IF(数据录入!$B2198="",0,IF(OR(数据录入!$D2198="投标保证金",数据录入!$D2198="合同履约保证金",ISNUMBER(FIND("保证金",数据录入!$E2198))),1,0))</f>
      </c>
      <c r="R2198" s="44">
        <f>IF(AND($Q2198=1,数据录入!$B2198&gt;=$B$2,数据录入!$B2198&lt;=$D$2),N(R2197)+1,N(R2197))</f>
      </c>
    </row>
    <row r="2199" s="44" customFormat="1" spans="1:23">
      <c r="A2199" s="116"/>
      <c r="E2199" s="108"/>
      <c r="F2199" s="114"/>
      <c r="G2199" s="114"/>
      <c r="H2199" s="114"/>
      <c r="Q2199" s="44">
        <f>IF(数据录入!$B2199="",0,IF(OR(数据录入!$D2199="投标保证金",数据录入!$D2199="合同履约保证金",ISNUMBER(FIND("保证金",数据录入!$E2199))),1,0))</f>
      </c>
      <c r="R2199" s="44">
        <f>IF(AND($Q2199=1,数据录入!$B2199&gt;=$B$2,数据录入!$B2199&lt;=$D$2),N(R2198)+1,N(R2198))</f>
      </c>
    </row>
    <row r="2200" s="44" customFormat="1" spans="1:23">
      <c r="A2200" s="116"/>
      <c r="E2200" s="108"/>
      <c r="F2200" s="114"/>
      <c r="G2200" s="114"/>
      <c r="H2200" s="114"/>
      <c r="Q2200" s="44">
        <f>IF(数据录入!$B2200="",0,IF(OR(数据录入!$D2200="投标保证金",数据录入!$D2200="合同履约保证金",ISNUMBER(FIND("保证金",数据录入!$E2200))),1,0))</f>
      </c>
      <c r="R2200" s="44">
        <f>IF(AND($Q2200=1,数据录入!$B2200&gt;=$B$2,数据录入!$B2200&lt;=$D$2),N(R2199)+1,N(R2199))</f>
      </c>
    </row>
    <row r="2201" s="44" customFormat="1" spans="1:23">
      <c r="A2201" s="116"/>
      <c r="E2201" s="108"/>
      <c r="F2201" s="114"/>
      <c r="G2201" s="114"/>
      <c r="H2201" s="114"/>
      <c r="Q2201" s="44">
        <f>IF(数据录入!$B2201="",0,IF(OR(数据录入!$D2201="投标保证金",数据录入!$D2201="合同履约保证金",ISNUMBER(FIND("保证金",数据录入!$E2201))),1,0))</f>
      </c>
      <c r="R2201" s="44">
        <f>IF(AND($Q2201=1,数据录入!$B2201&gt;=$B$2,数据录入!$B2201&lt;=$D$2),N(R2200)+1,N(R2200))</f>
      </c>
    </row>
    <row r="2202" s="44" customFormat="1" spans="1:23">
      <c r="A2202" s="116"/>
      <c r="E2202" s="108"/>
      <c r="F2202" s="114"/>
      <c r="G2202" s="114"/>
      <c r="H2202" s="114"/>
      <c r="Q2202" s="44">
        <f>IF(数据录入!$B2202="",0,IF(OR(数据录入!$D2202="投标保证金",数据录入!$D2202="合同履约保证金",ISNUMBER(FIND("保证金",数据录入!$E2202))),1,0))</f>
      </c>
      <c r="R2202" s="44">
        <f>IF(AND($Q2202=1,数据录入!$B2202&gt;=$B$2,数据录入!$B2202&lt;=$D$2),N(R2201)+1,N(R2201))</f>
      </c>
    </row>
    <row r="2203" s="44" customFormat="1" spans="1:23">
      <c r="A2203" s="116"/>
      <c r="E2203" s="108"/>
      <c r="F2203" s="114"/>
      <c r="G2203" s="114"/>
      <c r="H2203" s="114"/>
      <c r="Q2203" s="44">
        <f>IF(数据录入!$B2203="",0,IF(OR(数据录入!$D2203="投标保证金",数据录入!$D2203="合同履约保证金",ISNUMBER(FIND("保证金",数据录入!$E2203))),1,0))</f>
      </c>
      <c r="R2203" s="44">
        <f>IF(AND($Q2203=1,数据录入!$B2203&gt;=$B$2,数据录入!$B2203&lt;=$D$2),N(R2202)+1,N(R2202))</f>
      </c>
    </row>
    <row r="2204" s="44" customFormat="1" spans="1:23">
      <c r="A2204" s="116"/>
      <c r="E2204" s="108"/>
      <c r="F2204" s="114"/>
      <c r="G2204" s="114"/>
      <c r="H2204" s="114"/>
      <c r="Q2204" s="44">
        <f>IF(数据录入!$B2204="",0,IF(OR(数据录入!$D2204="投标保证金",数据录入!$D2204="合同履约保证金",ISNUMBER(FIND("保证金",数据录入!$E2204))),1,0))</f>
      </c>
      <c r="R2204" s="44">
        <f>IF(AND($Q2204=1,数据录入!$B2204&gt;=$B$2,数据录入!$B2204&lt;=$D$2),N(R2203)+1,N(R2203))</f>
      </c>
    </row>
    <row r="2205" s="44" customFormat="1" spans="1:23">
      <c r="A2205" s="116"/>
      <c r="E2205" s="108"/>
      <c r="F2205" s="114"/>
      <c r="G2205" s="114"/>
      <c r="H2205" s="114"/>
      <c r="Q2205" s="44">
        <f>IF(数据录入!$B2205="",0,IF(OR(数据录入!$D2205="投标保证金",数据录入!$D2205="合同履约保证金",ISNUMBER(FIND("保证金",数据录入!$E2205))),1,0))</f>
      </c>
      <c r="R2205" s="44">
        <f>IF(AND($Q2205=1,数据录入!$B2205&gt;=$B$2,数据录入!$B2205&lt;=$D$2),N(R2204)+1,N(R2204))</f>
      </c>
    </row>
    <row r="2206" s="44" customFormat="1" spans="1:23">
      <c r="A2206" s="116"/>
      <c r="E2206" s="108"/>
      <c r="F2206" s="114"/>
      <c r="G2206" s="114"/>
      <c r="H2206" s="114"/>
      <c r="Q2206" s="44">
        <f>IF(数据录入!$B2206="",0,IF(OR(数据录入!$D2206="投标保证金",数据录入!$D2206="合同履约保证金",ISNUMBER(FIND("保证金",数据录入!$E2206))),1,0))</f>
      </c>
      <c r="R2206" s="44">
        <f>IF(AND($Q2206=1,数据录入!$B2206&gt;=$B$2,数据录入!$B2206&lt;=$D$2),N(R2205)+1,N(R2205))</f>
      </c>
    </row>
    <row r="2207" s="44" customFormat="1" spans="1:23">
      <c r="A2207" s="116"/>
      <c r="E2207" s="108"/>
      <c r="F2207" s="114"/>
      <c r="G2207" s="114"/>
      <c r="H2207" s="114"/>
      <c r="Q2207" s="44">
        <f>IF(数据录入!$B2207="",0,IF(OR(数据录入!$D2207="投标保证金",数据录入!$D2207="合同履约保证金",ISNUMBER(FIND("保证金",数据录入!$E2207))),1,0))</f>
      </c>
      <c r="R2207" s="44">
        <f>IF(AND($Q2207=1,数据录入!$B2207&gt;=$B$2,数据录入!$B2207&lt;=$D$2),N(R2206)+1,N(R2206))</f>
      </c>
    </row>
    <row r="2208" s="44" customFormat="1" spans="1:23">
      <c r="A2208" s="116"/>
      <c r="E2208" s="108"/>
      <c r="F2208" s="114"/>
      <c r="G2208" s="114"/>
      <c r="H2208" s="114"/>
      <c r="Q2208" s="44">
        <f>IF(数据录入!$B2208="",0,IF(OR(数据录入!$D2208="投标保证金",数据录入!$D2208="合同履约保证金",ISNUMBER(FIND("保证金",数据录入!$E2208))),1,0))</f>
      </c>
      <c r="R2208" s="44">
        <f>IF(AND($Q2208=1,数据录入!$B2208&gt;=$B$2,数据录入!$B2208&lt;=$D$2),N(R2207)+1,N(R2207))</f>
      </c>
    </row>
    <row r="2209" s="44" customFormat="1" spans="1:23">
      <c r="A2209" s="116"/>
      <c r="E2209" s="108"/>
      <c r="F2209" s="114"/>
      <c r="G2209" s="114"/>
      <c r="H2209" s="114"/>
      <c r="Q2209" s="44">
        <f>IF(数据录入!$B2209="",0,IF(OR(数据录入!$D2209="投标保证金",数据录入!$D2209="合同履约保证金",ISNUMBER(FIND("保证金",数据录入!$E2209))),1,0))</f>
      </c>
      <c r="R2209" s="44">
        <f>IF(AND($Q2209=1,数据录入!$B2209&gt;=$B$2,数据录入!$B2209&lt;=$D$2),N(R2208)+1,N(R2208))</f>
      </c>
    </row>
    <row r="2210" s="44" customFormat="1" spans="1:23">
      <c r="A2210" s="116"/>
      <c r="E2210" s="108"/>
      <c r="F2210" s="114"/>
      <c r="G2210" s="114"/>
      <c r="H2210" s="114"/>
      <c r="Q2210" s="44">
        <f>IF(数据录入!$B2210="",0,IF(OR(数据录入!$D2210="投标保证金",数据录入!$D2210="合同履约保证金",ISNUMBER(FIND("保证金",数据录入!$E2210))),1,0))</f>
      </c>
      <c r="R2210" s="44">
        <f>IF(AND($Q2210=1,数据录入!$B2210&gt;=$B$2,数据录入!$B2210&lt;=$D$2),N(R2209)+1,N(R2209))</f>
      </c>
    </row>
    <row r="2211" s="44" customFormat="1" spans="1:23">
      <c r="A2211" s="116"/>
      <c r="E2211" s="108"/>
      <c r="F2211" s="114"/>
      <c r="G2211" s="114"/>
      <c r="H2211" s="114"/>
      <c r="Q2211" s="44">
        <f>IF(数据录入!$B2211="",0,IF(OR(数据录入!$D2211="投标保证金",数据录入!$D2211="合同履约保证金",ISNUMBER(FIND("保证金",数据录入!$E2211))),1,0))</f>
      </c>
      <c r="R2211" s="44">
        <f>IF(AND($Q2211=1,数据录入!$B2211&gt;=$B$2,数据录入!$B2211&lt;=$D$2),N(R2210)+1,N(R2210))</f>
      </c>
    </row>
    <row r="2212" s="44" customFormat="1" spans="1:23">
      <c r="A2212" s="116"/>
      <c r="E2212" s="108"/>
      <c r="F2212" s="114"/>
      <c r="G2212" s="114"/>
      <c r="H2212" s="114"/>
      <c r="Q2212" s="44">
        <f>IF(数据录入!$B2212="",0,IF(OR(数据录入!$D2212="投标保证金",数据录入!$D2212="合同履约保证金",ISNUMBER(FIND("保证金",数据录入!$E2212))),1,0))</f>
      </c>
      <c r="R2212" s="44">
        <f>IF(AND($Q2212=1,数据录入!$B2212&gt;=$B$2,数据录入!$B2212&lt;=$D$2),N(R2211)+1,N(R2211))</f>
      </c>
    </row>
    <row r="2213" s="44" customFormat="1" spans="1:23">
      <c r="A2213" s="116"/>
      <c r="E2213" s="108"/>
      <c r="F2213" s="114"/>
      <c r="G2213" s="114"/>
      <c r="H2213" s="114"/>
      <c r="Q2213" s="44">
        <f>IF(数据录入!$B2213="",0,IF(OR(数据录入!$D2213="投标保证金",数据录入!$D2213="合同履约保证金",ISNUMBER(FIND("保证金",数据录入!$E2213))),1,0))</f>
      </c>
      <c r="R2213" s="44">
        <f>IF(AND($Q2213=1,数据录入!$B2213&gt;=$B$2,数据录入!$B2213&lt;=$D$2),N(R2212)+1,N(R2212))</f>
      </c>
    </row>
    <row r="2214" s="44" customFormat="1" spans="1:23">
      <c r="A2214" s="116"/>
      <c r="E2214" s="108"/>
      <c r="F2214" s="114"/>
      <c r="G2214" s="114"/>
      <c r="H2214" s="114"/>
      <c r="Q2214" s="44">
        <f>IF(数据录入!$B2214="",0,IF(OR(数据录入!$D2214="投标保证金",数据录入!$D2214="合同履约保证金",ISNUMBER(FIND("保证金",数据录入!$E2214))),1,0))</f>
      </c>
      <c r="R2214" s="44">
        <f>IF(AND($Q2214=1,数据录入!$B2214&gt;=$B$2,数据录入!$B2214&lt;=$D$2),N(R2213)+1,N(R2213))</f>
      </c>
    </row>
    <row r="2215" s="44" customFormat="1" spans="1:23">
      <c r="A2215" s="116"/>
      <c r="E2215" s="108"/>
      <c r="F2215" s="114"/>
      <c r="G2215" s="114"/>
      <c r="H2215" s="114"/>
      <c r="Q2215" s="44">
        <f>IF(数据录入!$B2215="",0,IF(OR(数据录入!$D2215="投标保证金",数据录入!$D2215="合同履约保证金",ISNUMBER(FIND("保证金",数据录入!$E2215))),1,0))</f>
      </c>
      <c r="R2215" s="44">
        <f>IF(AND($Q2215=1,数据录入!$B2215&gt;=$B$2,数据录入!$B2215&lt;=$D$2),N(R2214)+1,N(R2214))</f>
      </c>
    </row>
    <row r="2216" s="44" customFormat="1" spans="1:23">
      <c r="A2216" s="116"/>
      <c r="E2216" s="108"/>
      <c r="F2216" s="114"/>
      <c r="G2216" s="114"/>
      <c r="H2216" s="114"/>
      <c r="Q2216" s="44">
        <f>IF(数据录入!$B2216="",0,IF(OR(数据录入!$D2216="投标保证金",数据录入!$D2216="合同履约保证金",ISNUMBER(FIND("保证金",数据录入!$E2216))),1,0))</f>
      </c>
      <c r="R2216" s="44">
        <f>IF(AND($Q2216=1,数据录入!$B2216&gt;=$B$2,数据录入!$B2216&lt;=$D$2),N(R2215)+1,N(R2215))</f>
      </c>
    </row>
    <row r="2217" s="44" customFormat="1" spans="1:23">
      <c r="A2217" s="116"/>
      <c r="E2217" s="108"/>
      <c r="F2217" s="114"/>
      <c r="G2217" s="114"/>
      <c r="H2217" s="114"/>
      <c r="Q2217" s="44">
        <f>IF(数据录入!$B2217="",0,IF(OR(数据录入!$D2217="投标保证金",数据录入!$D2217="合同履约保证金",ISNUMBER(FIND("保证金",数据录入!$E2217))),1,0))</f>
      </c>
      <c r="R2217" s="44">
        <f>IF(AND($Q2217=1,数据录入!$B2217&gt;=$B$2,数据录入!$B2217&lt;=$D$2),N(R2216)+1,N(R2216))</f>
      </c>
    </row>
    <row r="2218" s="44" customFormat="1" spans="1:23">
      <c r="A2218" s="116"/>
      <c r="E2218" s="108"/>
      <c r="F2218" s="114"/>
      <c r="G2218" s="114"/>
      <c r="H2218" s="114"/>
      <c r="Q2218" s="44">
        <f>IF(数据录入!$B2218="",0,IF(OR(数据录入!$D2218="投标保证金",数据录入!$D2218="合同履约保证金",ISNUMBER(FIND("保证金",数据录入!$E2218))),1,0))</f>
      </c>
      <c r="R2218" s="44">
        <f>IF(AND($Q2218=1,数据录入!$B2218&gt;=$B$2,数据录入!$B2218&lt;=$D$2),N(R2217)+1,N(R2217))</f>
      </c>
    </row>
    <row r="2219" s="44" customFormat="1" spans="1:23">
      <c r="A2219" s="116"/>
      <c r="E2219" s="108"/>
      <c r="F2219" s="114"/>
      <c r="G2219" s="114"/>
      <c r="H2219" s="114"/>
      <c r="Q2219" s="44">
        <f>IF(数据录入!$B2219="",0,IF(OR(数据录入!$D2219="投标保证金",数据录入!$D2219="合同履约保证金",ISNUMBER(FIND("保证金",数据录入!$E2219))),1,0))</f>
      </c>
      <c r="R2219" s="44">
        <f>IF(AND($Q2219=1,数据录入!$B2219&gt;=$B$2,数据录入!$B2219&lt;=$D$2),N(R2218)+1,N(R2218))</f>
      </c>
    </row>
    <row r="2220" s="44" customFormat="1" spans="1:23">
      <c r="A2220" s="116"/>
      <c r="E2220" s="108"/>
      <c r="F2220" s="114"/>
      <c r="G2220" s="114"/>
      <c r="H2220" s="114"/>
      <c r="Q2220" s="44">
        <f>IF(数据录入!$B2220="",0,IF(OR(数据录入!$D2220="投标保证金",数据录入!$D2220="合同履约保证金",ISNUMBER(FIND("保证金",数据录入!$E2220))),1,0))</f>
      </c>
      <c r="R2220" s="44">
        <f>IF(AND($Q2220=1,数据录入!$B2220&gt;=$B$2,数据录入!$B2220&lt;=$D$2),N(R2219)+1,N(R2219))</f>
      </c>
    </row>
    <row r="2221" s="44" customFormat="1" spans="1:23">
      <c r="A2221" s="116"/>
      <c r="E2221" s="108"/>
      <c r="F2221" s="114"/>
      <c r="G2221" s="114"/>
      <c r="H2221" s="114"/>
      <c r="Q2221" s="44">
        <f>IF(数据录入!$B2221="",0,IF(OR(数据录入!$D2221="投标保证金",数据录入!$D2221="合同履约保证金",ISNUMBER(FIND("保证金",数据录入!$E2221))),1,0))</f>
      </c>
      <c r="R2221" s="44">
        <f>IF(AND($Q2221=1,数据录入!$B2221&gt;=$B$2,数据录入!$B2221&lt;=$D$2),N(R2220)+1,N(R2220))</f>
      </c>
    </row>
    <row r="2222" s="44" customFormat="1" spans="1:23">
      <c r="A2222" s="116"/>
      <c r="E2222" s="108"/>
      <c r="F2222" s="114"/>
      <c r="G2222" s="114"/>
      <c r="H2222" s="114"/>
      <c r="Q2222" s="44">
        <f>IF(数据录入!$B2222="",0,IF(OR(数据录入!$D2222="投标保证金",数据录入!$D2222="合同履约保证金",ISNUMBER(FIND("保证金",数据录入!$E2222))),1,0))</f>
      </c>
      <c r="R2222" s="44">
        <f>IF(AND($Q2222=1,数据录入!$B2222&gt;=$B$2,数据录入!$B2222&lt;=$D$2),N(R2221)+1,N(R2221))</f>
      </c>
    </row>
    <row r="2223" s="44" customFormat="1" spans="1:23">
      <c r="A2223" s="116"/>
      <c r="E2223" s="108"/>
      <c r="F2223" s="114"/>
      <c r="G2223" s="114"/>
      <c r="H2223" s="114"/>
      <c r="Q2223" s="44">
        <f>IF(数据录入!$B2223="",0,IF(OR(数据录入!$D2223="投标保证金",数据录入!$D2223="合同履约保证金",ISNUMBER(FIND("保证金",数据录入!$E2223))),1,0))</f>
      </c>
      <c r="R2223" s="44">
        <f>IF(AND($Q2223=1,数据录入!$B2223&gt;=$B$2,数据录入!$B2223&lt;=$D$2),N(R2222)+1,N(R2222))</f>
      </c>
    </row>
    <row r="2224" s="44" customFormat="1" spans="1:23">
      <c r="A2224" s="116"/>
      <c r="E2224" s="108"/>
      <c r="F2224" s="114"/>
      <c r="G2224" s="114"/>
      <c r="H2224" s="114"/>
      <c r="Q2224" s="44">
        <f>IF(数据录入!$B2224="",0,IF(OR(数据录入!$D2224="投标保证金",数据录入!$D2224="合同履约保证金",ISNUMBER(FIND("保证金",数据录入!$E2224))),1,0))</f>
      </c>
      <c r="R2224" s="44">
        <f>IF(AND($Q2224=1,数据录入!$B2224&gt;=$B$2,数据录入!$B2224&lt;=$D$2),N(R2223)+1,N(R2223))</f>
      </c>
    </row>
    <row r="2225" s="44" customFormat="1" spans="1:23">
      <c r="A2225" s="116"/>
      <c r="E2225" s="108"/>
      <c r="F2225" s="114"/>
      <c r="G2225" s="114"/>
      <c r="H2225" s="114"/>
      <c r="Q2225" s="44">
        <f>IF(数据录入!$B2225="",0,IF(OR(数据录入!$D2225="投标保证金",数据录入!$D2225="合同履约保证金",ISNUMBER(FIND("保证金",数据录入!$E2225))),1,0))</f>
      </c>
      <c r="R2225" s="44">
        <f>IF(AND($Q2225=1,数据录入!$B2225&gt;=$B$2,数据录入!$B2225&lt;=$D$2),N(R2224)+1,N(R2224))</f>
      </c>
    </row>
    <row r="2226" s="44" customFormat="1" spans="1:23">
      <c r="A2226" s="116"/>
      <c r="E2226" s="108"/>
      <c r="F2226" s="114"/>
      <c r="G2226" s="114"/>
      <c r="H2226" s="114"/>
      <c r="Q2226" s="44">
        <f>IF(数据录入!$B2226="",0,IF(OR(数据录入!$D2226="投标保证金",数据录入!$D2226="合同履约保证金",ISNUMBER(FIND("保证金",数据录入!$E2226))),1,0))</f>
      </c>
      <c r="R2226" s="44">
        <f>IF(AND($Q2226=1,数据录入!$B2226&gt;=$B$2,数据录入!$B2226&lt;=$D$2),N(R2225)+1,N(R2225))</f>
      </c>
    </row>
    <row r="2227" s="44" customFormat="1" spans="1:23">
      <c r="A2227" s="116"/>
      <c r="E2227" s="108"/>
      <c r="F2227" s="114"/>
      <c r="G2227" s="114"/>
      <c r="H2227" s="114"/>
      <c r="Q2227" s="44">
        <f>IF(数据录入!$B2227="",0,IF(OR(数据录入!$D2227="投标保证金",数据录入!$D2227="合同履约保证金",ISNUMBER(FIND("保证金",数据录入!$E2227))),1,0))</f>
      </c>
      <c r="R2227" s="44">
        <f>IF(AND($Q2227=1,数据录入!$B2227&gt;=$B$2,数据录入!$B2227&lt;=$D$2),N(R2226)+1,N(R2226))</f>
      </c>
    </row>
    <row r="2228" s="44" customFormat="1" spans="1:23">
      <c r="A2228" s="116"/>
      <c r="E2228" s="108"/>
      <c r="F2228" s="114"/>
      <c r="G2228" s="114"/>
      <c r="H2228" s="114"/>
      <c r="Q2228" s="44">
        <f>IF(数据录入!$B2228="",0,IF(OR(数据录入!$D2228="投标保证金",数据录入!$D2228="合同履约保证金",ISNUMBER(FIND("保证金",数据录入!$E2228))),1,0))</f>
      </c>
      <c r="R2228" s="44">
        <f>IF(AND($Q2228=1,数据录入!$B2228&gt;=$B$2,数据录入!$B2228&lt;=$D$2),N(R2227)+1,N(R2227))</f>
      </c>
    </row>
    <row r="2229" s="44" customFormat="1" spans="1:23">
      <c r="A2229" s="116"/>
      <c r="E2229" s="108"/>
      <c r="F2229" s="114"/>
      <c r="G2229" s="114"/>
      <c r="H2229" s="114"/>
      <c r="Q2229" s="44">
        <f>IF(数据录入!$B2229="",0,IF(OR(数据录入!$D2229="投标保证金",数据录入!$D2229="合同履约保证金",ISNUMBER(FIND("保证金",数据录入!$E2229))),1,0))</f>
      </c>
      <c r="R2229" s="44">
        <f>IF(AND($Q2229=1,数据录入!$B2229&gt;=$B$2,数据录入!$B2229&lt;=$D$2),N(R2228)+1,N(R2228))</f>
      </c>
    </row>
    <row r="2230" s="44" customFormat="1" spans="1:23">
      <c r="A2230" s="116"/>
      <c r="E2230" s="108"/>
      <c r="F2230" s="114"/>
      <c r="G2230" s="114"/>
      <c r="H2230" s="114"/>
      <c r="Q2230" s="44">
        <f>IF(数据录入!$B2230="",0,IF(OR(数据录入!$D2230="投标保证金",数据录入!$D2230="合同履约保证金",ISNUMBER(FIND("保证金",数据录入!$E2230))),1,0))</f>
      </c>
      <c r="R2230" s="44">
        <f>IF(AND($Q2230=1,数据录入!$B2230&gt;=$B$2,数据录入!$B2230&lt;=$D$2),N(R2229)+1,N(R2229))</f>
      </c>
    </row>
    <row r="2231" s="44" customFormat="1" spans="1:23">
      <c r="A2231" s="116"/>
      <c r="E2231" s="108"/>
      <c r="F2231" s="114"/>
      <c r="G2231" s="114"/>
      <c r="H2231" s="114"/>
      <c r="Q2231" s="44">
        <f>IF(数据录入!$B2231="",0,IF(OR(数据录入!$D2231="投标保证金",数据录入!$D2231="合同履约保证金",ISNUMBER(FIND("保证金",数据录入!$E2231))),1,0))</f>
      </c>
      <c r="R2231" s="44">
        <f>IF(AND($Q2231=1,数据录入!$B2231&gt;=$B$2,数据录入!$B2231&lt;=$D$2),N(R2230)+1,N(R2230))</f>
      </c>
    </row>
    <row r="2232" s="44" customFormat="1" spans="1:23">
      <c r="A2232" s="116"/>
      <c r="E2232" s="108"/>
      <c r="F2232" s="114"/>
      <c r="G2232" s="114"/>
      <c r="H2232" s="114"/>
      <c r="Q2232" s="44">
        <f>IF(数据录入!$B2232="",0,IF(OR(数据录入!$D2232="投标保证金",数据录入!$D2232="合同履约保证金",ISNUMBER(FIND("保证金",数据录入!$E2232))),1,0))</f>
      </c>
      <c r="R2232" s="44">
        <f>IF(AND($Q2232=1,数据录入!$B2232&gt;=$B$2,数据录入!$B2232&lt;=$D$2),N(R2231)+1,N(R2231))</f>
      </c>
    </row>
    <row r="2233" s="44" customFormat="1" spans="1:23">
      <c r="A2233" s="116"/>
      <c r="E2233" s="108"/>
      <c r="F2233" s="114"/>
      <c r="G2233" s="114"/>
      <c r="H2233" s="114"/>
      <c r="Q2233" s="44">
        <f>IF(数据录入!$B2233="",0,IF(OR(数据录入!$D2233="投标保证金",数据录入!$D2233="合同履约保证金",ISNUMBER(FIND("保证金",数据录入!$E2233))),1,0))</f>
      </c>
      <c r="R2233" s="44">
        <f>IF(AND($Q2233=1,数据录入!$B2233&gt;=$B$2,数据录入!$B2233&lt;=$D$2),N(R2232)+1,N(R2232))</f>
      </c>
    </row>
    <row r="2234" s="44" customFormat="1" spans="1:23">
      <c r="A2234" s="116"/>
      <c r="E2234" s="108"/>
      <c r="F2234" s="114"/>
      <c r="G2234" s="114"/>
      <c r="H2234" s="114"/>
      <c r="Q2234" s="44">
        <f>IF(数据录入!$B2234="",0,IF(OR(数据录入!$D2234="投标保证金",数据录入!$D2234="合同履约保证金",ISNUMBER(FIND("保证金",数据录入!$E2234))),1,0))</f>
      </c>
      <c r="R2234" s="44">
        <f>IF(AND($Q2234=1,数据录入!$B2234&gt;=$B$2,数据录入!$B2234&lt;=$D$2),N(R2233)+1,N(R2233))</f>
      </c>
    </row>
    <row r="2235" s="44" customFormat="1" spans="1:23">
      <c r="A2235" s="116"/>
      <c r="E2235" s="108"/>
      <c r="F2235" s="114"/>
      <c r="G2235" s="114"/>
      <c r="H2235" s="114"/>
      <c r="Q2235" s="44">
        <f>IF(数据录入!$B2235="",0,IF(OR(数据录入!$D2235="投标保证金",数据录入!$D2235="合同履约保证金",ISNUMBER(FIND("保证金",数据录入!$E2235))),1,0))</f>
      </c>
      <c r="R2235" s="44">
        <f>IF(AND($Q2235=1,数据录入!$B2235&gt;=$B$2,数据录入!$B2235&lt;=$D$2),N(R2234)+1,N(R2234))</f>
      </c>
    </row>
    <row r="2236" s="44" customFormat="1" spans="1:23">
      <c r="A2236" s="116"/>
      <c r="E2236" s="108"/>
      <c r="F2236" s="114"/>
      <c r="G2236" s="114"/>
      <c r="H2236" s="114"/>
      <c r="Q2236" s="44">
        <f>IF(数据录入!$B2236="",0,IF(OR(数据录入!$D2236="投标保证金",数据录入!$D2236="合同履约保证金",ISNUMBER(FIND("保证金",数据录入!$E2236))),1,0))</f>
      </c>
      <c r="R2236" s="44">
        <f>IF(AND($Q2236=1,数据录入!$B2236&gt;=$B$2,数据录入!$B2236&lt;=$D$2),N(R2235)+1,N(R2235))</f>
      </c>
    </row>
    <row r="2237" s="44" customFormat="1" spans="1:23">
      <c r="A2237" s="116"/>
      <c r="E2237" s="108"/>
      <c r="F2237" s="114"/>
      <c r="G2237" s="114"/>
      <c r="H2237" s="114"/>
      <c r="Q2237" s="44">
        <f>IF(数据录入!$B2237="",0,IF(OR(数据录入!$D2237="投标保证金",数据录入!$D2237="合同履约保证金",ISNUMBER(FIND("保证金",数据录入!$E2237))),1,0))</f>
      </c>
      <c r="R2237" s="44">
        <f>IF(AND($Q2237=1,数据录入!$B2237&gt;=$B$2,数据录入!$B2237&lt;=$D$2),N(R2236)+1,N(R2236))</f>
      </c>
    </row>
    <row r="2238" s="44" customFormat="1" spans="1:23">
      <c r="A2238" s="116"/>
      <c r="E2238" s="108"/>
      <c r="F2238" s="114"/>
      <c r="G2238" s="114"/>
      <c r="H2238" s="114"/>
      <c r="Q2238" s="44">
        <f>IF(数据录入!$B2238="",0,IF(OR(数据录入!$D2238="投标保证金",数据录入!$D2238="合同履约保证金",ISNUMBER(FIND("保证金",数据录入!$E2238))),1,0))</f>
      </c>
      <c r="R2238" s="44">
        <f>IF(AND($Q2238=1,数据录入!$B2238&gt;=$B$2,数据录入!$B2238&lt;=$D$2),N(R2237)+1,N(R2237))</f>
      </c>
    </row>
    <row r="2239" s="44" customFormat="1" spans="1:23">
      <c r="A2239" s="116"/>
      <c r="E2239" s="108"/>
      <c r="F2239" s="114"/>
      <c r="G2239" s="114"/>
      <c r="H2239" s="114"/>
      <c r="Q2239" s="44">
        <f>IF(数据录入!$B2239="",0,IF(OR(数据录入!$D2239="投标保证金",数据录入!$D2239="合同履约保证金",ISNUMBER(FIND("保证金",数据录入!$E2239))),1,0))</f>
      </c>
      <c r="R2239" s="44">
        <f>IF(AND($Q2239=1,数据录入!$B2239&gt;=$B$2,数据录入!$B2239&lt;=$D$2),N(R2238)+1,N(R2238))</f>
      </c>
    </row>
    <row r="2240" s="44" customFormat="1" spans="1:23">
      <c r="A2240" s="116"/>
      <c r="E2240" s="108"/>
      <c r="F2240" s="114"/>
      <c r="G2240" s="114"/>
      <c r="H2240" s="114"/>
      <c r="Q2240" s="44">
        <f>IF(数据录入!$B2240="",0,IF(OR(数据录入!$D2240="投标保证金",数据录入!$D2240="合同履约保证金",ISNUMBER(FIND("保证金",数据录入!$E2240))),1,0))</f>
      </c>
      <c r="R2240" s="44">
        <f>IF(AND($Q2240=1,数据录入!$B2240&gt;=$B$2,数据录入!$B2240&lt;=$D$2),N(R2239)+1,N(R2239))</f>
      </c>
    </row>
    <row r="2241" s="44" customFormat="1" spans="1:23">
      <c r="A2241" s="116"/>
      <c r="E2241" s="108"/>
      <c r="F2241" s="114"/>
      <c r="G2241" s="114"/>
      <c r="H2241" s="114"/>
      <c r="Q2241" s="44">
        <f>IF(数据录入!$B2241="",0,IF(OR(数据录入!$D2241="投标保证金",数据录入!$D2241="合同履约保证金",ISNUMBER(FIND("保证金",数据录入!$E2241))),1,0))</f>
      </c>
      <c r="R2241" s="44">
        <f>IF(AND($Q2241=1,数据录入!$B2241&gt;=$B$2,数据录入!$B2241&lt;=$D$2),N(R2240)+1,N(R2240))</f>
      </c>
    </row>
    <row r="2242" s="44" customFormat="1" spans="1:23">
      <c r="A2242" s="116"/>
      <c r="E2242" s="108"/>
      <c r="F2242" s="114"/>
      <c r="G2242" s="114"/>
      <c r="H2242" s="114"/>
      <c r="Q2242" s="44">
        <f>IF(数据录入!$B2242="",0,IF(OR(数据录入!$D2242="投标保证金",数据录入!$D2242="合同履约保证金",ISNUMBER(FIND("保证金",数据录入!$E2242))),1,0))</f>
      </c>
      <c r="R2242" s="44">
        <f>IF(AND($Q2242=1,数据录入!$B2242&gt;=$B$2,数据录入!$B2242&lt;=$D$2),N(R2241)+1,N(R2241))</f>
      </c>
    </row>
    <row r="2243" s="44" customFormat="1" spans="1:23">
      <c r="A2243" s="116"/>
      <c r="E2243" s="108"/>
      <c r="F2243" s="114"/>
      <c r="G2243" s="114"/>
      <c r="H2243" s="114"/>
      <c r="Q2243" s="44">
        <f>IF(数据录入!$B2243="",0,IF(OR(数据录入!$D2243="投标保证金",数据录入!$D2243="合同履约保证金",ISNUMBER(FIND("保证金",数据录入!$E2243))),1,0))</f>
      </c>
      <c r="R2243" s="44">
        <f>IF(AND($Q2243=1,数据录入!$B2243&gt;=$B$2,数据录入!$B2243&lt;=$D$2),N(R2242)+1,N(R2242))</f>
      </c>
    </row>
    <row r="2244" s="44" customFormat="1" spans="1:23">
      <c r="A2244" s="116"/>
      <c r="E2244" s="108"/>
      <c r="F2244" s="114"/>
      <c r="G2244" s="114"/>
      <c r="H2244" s="114"/>
      <c r="Q2244" s="44">
        <f>IF(数据录入!$B2244="",0,IF(OR(数据录入!$D2244="投标保证金",数据录入!$D2244="合同履约保证金",ISNUMBER(FIND("保证金",数据录入!$E2244))),1,0))</f>
      </c>
      <c r="R2244" s="44">
        <f>IF(AND($Q2244=1,数据录入!$B2244&gt;=$B$2,数据录入!$B2244&lt;=$D$2),N(R2243)+1,N(R2243))</f>
      </c>
    </row>
    <row r="2245" s="44" customFormat="1" spans="1:23">
      <c r="A2245" s="116"/>
      <c r="E2245" s="108"/>
      <c r="F2245" s="114"/>
      <c r="G2245" s="114"/>
      <c r="H2245" s="114"/>
      <c r="Q2245" s="44">
        <f>IF(数据录入!$B2245="",0,IF(OR(数据录入!$D2245="投标保证金",数据录入!$D2245="合同履约保证金",ISNUMBER(FIND("保证金",数据录入!$E2245))),1,0))</f>
      </c>
      <c r="R2245" s="44">
        <f>IF(AND($Q2245=1,数据录入!$B2245&gt;=$B$2,数据录入!$B2245&lt;=$D$2),N(R2244)+1,N(R2244))</f>
      </c>
    </row>
    <row r="2246" s="44" customFormat="1" spans="1:23">
      <c r="A2246" s="116"/>
      <c r="E2246" s="108"/>
      <c r="F2246" s="114"/>
      <c r="G2246" s="114"/>
      <c r="H2246" s="114"/>
      <c r="Q2246" s="44">
        <f>IF(数据录入!$B2246="",0,IF(OR(数据录入!$D2246="投标保证金",数据录入!$D2246="合同履约保证金",ISNUMBER(FIND("保证金",数据录入!$E2246))),1,0))</f>
      </c>
      <c r="R2246" s="44">
        <f>IF(AND($Q2246=1,数据录入!$B2246&gt;=$B$2,数据录入!$B2246&lt;=$D$2),N(R2245)+1,N(R2245))</f>
      </c>
    </row>
    <row r="2247" s="44" customFormat="1" spans="1:23">
      <c r="A2247" s="116"/>
      <c r="E2247" s="108"/>
      <c r="F2247" s="114"/>
      <c r="G2247" s="114"/>
      <c r="H2247" s="114"/>
      <c r="Q2247" s="44">
        <f>IF(数据录入!$B2247="",0,IF(OR(数据录入!$D2247="投标保证金",数据录入!$D2247="合同履约保证金",ISNUMBER(FIND("保证金",数据录入!$E2247))),1,0))</f>
      </c>
      <c r="R2247" s="44">
        <f>IF(AND($Q2247=1,数据录入!$B2247&gt;=$B$2,数据录入!$B2247&lt;=$D$2),N(R2246)+1,N(R2246))</f>
      </c>
    </row>
    <row r="2248" s="44" customFormat="1" spans="1:23">
      <c r="A2248" s="116"/>
      <c r="E2248" s="108"/>
      <c r="F2248" s="114"/>
      <c r="G2248" s="114"/>
      <c r="H2248" s="114"/>
      <c r="Q2248" s="44">
        <f>IF(数据录入!$B2248="",0,IF(OR(数据录入!$D2248="投标保证金",数据录入!$D2248="合同履约保证金",ISNUMBER(FIND("保证金",数据录入!$E2248))),1,0))</f>
      </c>
      <c r="R2248" s="44">
        <f>IF(AND($Q2248=1,数据录入!$B2248&gt;=$B$2,数据录入!$B2248&lt;=$D$2),N(R2247)+1,N(R2247))</f>
      </c>
    </row>
    <row r="2249" s="44" customFormat="1" spans="1:23">
      <c r="A2249" s="116"/>
      <c r="E2249" s="108"/>
      <c r="F2249" s="114"/>
      <c r="G2249" s="114"/>
      <c r="H2249" s="114"/>
      <c r="Q2249" s="44">
        <f>IF(数据录入!$B2249="",0,IF(OR(数据录入!$D2249="投标保证金",数据录入!$D2249="合同履约保证金",ISNUMBER(FIND("保证金",数据录入!$E2249))),1,0))</f>
      </c>
      <c r="R2249" s="44">
        <f>IF(AND($Q2249=1,数据录入!$B2249&gt;=$B$2,数据录入!$B2249&lt;=$D$2),N(R2248)+1,N(R2248))</f>
      </c>
    </row>
    <row r="2250" s="44" customFormat="1" spans="1:23">
      <c r="A2250" s="116"/>
      <c r="E2250" s="108"/>
      <c r="F2250" s="114"/>
      <c r="G2250" s="114"/>
      <c r="H2250" s="114"/>
      <c r="Q2250" s="44">
        <f>IF(数据录入!$B2250="",0,IF(OR(数据录入!$D2250="投标保证金",数据录入!$D2250="合同履约保证金",ISNUMBER(FIND("保证金",数据录入!$E2250))),1,0))</f>
      </c>
      <c r="R2250" s="44">
        <f>IF(AND($Q2250=1,数据录入!$B2250&gt;=$B$2,数据录入!$B2250&lt;=$D$2),N(R2249)+1,N(R2249))</f>
      </c>
    </row>
    <row r="2251" s="44" customFormat="1" spans="1:23">
      <c r="A2251" s="116"/>
      <c r="E2251" s="108"/>
      <c r="F2251" s="114"/>
      <c r="G2251" s="114"/>
      <c r="H2251" s="114"/>
      <c r="Q2251" s="44">
        <f>IF(数据录入!$B2251="",0,IF(OR(数据录入!$D2251="投标保证金",数据录入!$D2251="合同履约保证金",ISNUMBER(FIND("保证金",数据录入!$E2251))),1,0))</f>
      </c>
      <c r="R2251" s="44">
        <f>IF(AND($Q2251=1,数据录入!$B2251&gt;=$B$2,数据录入!$B2251&lt;=$D$2),N(R2250)+1,N(R2250))</f>
      </c>
    </row>
    <row r="2252" s="44" customFormat="1" spans="1:23">
      <c r="A2252" s="116"/>
      <c r="E2252" s="108"/>
      <c r="F2252" s="114"/>
      <c r="G2252" s="114"/>
      <c r="H2252" s="114"/>
      <c r="Q2252" s="44">
        <f>IF(数据录入!$B2252="",0,IF(OR(数据录入!$D2252="投标保证金",数据录入!$D2252="合同履约保证金",ISNUMBER(FIND("保证金",数据录入!$E2252))),1,0))</f>
      </c>
      <c r="R2252" s="44">
        <f>IF(AND($Q2252=1,数据录入!$B2252&gt;=$B$2,数据录入!$B2252&lt;=$D$2),N(R2251)+1,N(R2251))</f>
      </c>
    </row>
    <row r="2253" s="44" customFormat="1" spans="1:23">
      <c r="A2253" s="116"/>
      <c r="E2253" s="108"/>
      <c r="F2253" s="114"/>
      <c r="G2253" s="114"/>
      <c r="H2253" s="114"/>
      <c r="Q2253" s="44">
        <f>IF(数据录入!$B2253="",0,IF(OR(数据录入!$D2253="投标保证金",数据录入!$D2253="合同履约保证金",ISNUMBER(FIND("保证金",数据录入!$E2253))),1,0))</f>
      </c>
      <c r="R2253" s="44">
        <f>IF(AND($Q2253=1,数据录入!$B2253&gt;=$B$2,数据录入!$B2253&lt;=$D$2),N(R2252)+1,N(R2252))</f>
      </c>
    </row>
    <row r="2254" s="44" customFormat="1" spans="1:23">
      <c r="A2254" s="116"/>
      <c r="E2254" s="108"/>
      <c r="F2254" s="114"/>
      <c r="G2254" s="114"/>
      <c r="H2254" s="114"/>
      <c r="Q2254" s="44">
        <f>IF(数据录入!$B2254="",0,IF(OR(数据录入!$D2254="投标保证金",数据录入!$D2254="合同履约保证金",ISNUMBER(FIND("保证金",数据录入!$E2254))),1,0))</f>
      </c>
      <c r="R2254" s="44">
        <f>IF(AND($Q2254=1,数据录入!$B2254&gt;=$B$2,数据录入!$B2254&lt;=$D$2),N(R2253)+1,N(R2253))</f>
      </c>
    </row>
    <row r="2255" s="44" customFormat="1" spans="1:23">
      <c r="A2255" s="116"/>
      <c r="E2255" s="108"/>
      <c r="F2255" s="114"/>
      <c r="G2255" s="114"/>
      <c r="H2255" s="114"/>
      <c r="Q2255" s="44">
        <f>IF(数据录入!$B2255="",0,IF(OR(数据录入!$D2255="投标保证金",数据录入!$D2255="合同履约保证金",ISNUMBER(FIND("保证金",数据录入!$E2255))),1,0))</f>
      </c>
      <c r="R2255" s="44">
        <f>IF(AND($Q2255=1,数据录入!$B2255&gt;=$B$2,数据录入!$B2255&lt;=$D$2),N(R2254)+1,N(R2254))</f>
      </c>
    </row>
    <row r="2256" s="44" customFormat="1" spans="1:23">
      <c r="A2256" s="116"/>
      <c r="E2256" s="108"/>
      <c r="F2256" s="114"/>
      <c r="G2256" s="114"/>
      <c r="H2256" s="114"/>
      <c r="Q2256" s="44">
        <f>IF(数据录入!$B2256="",0,IF(OR(数据录入!$D2256="投标保证金",数据录入!$D2256="合同履约保证金",ISNUMBER(FIND("保证金",数据录入!$E2256))),1,0))</f>
      </c>
      <c r="R2256" s="44">
        <f>IF(AND($Q2256=1,数据录入!$B2256&gt;=$B$2,数据录入!$B2256&lt;=$D$2),N(R2255)+1,N(R2255))</f>
      </c>
    </row>
    <row r="2257" s="44" customFormat="1" spans="1:23">
      <c r="A2257" s="116"/>
      <c r="E2257" s="108"/>
      <c r="F2257" s="114"/>
      <c r="G2257" s="114"/>
      <c r="H2257" s="114"/>
      <c r="Q2257" s="44">
        <f>IF(数据录入!$B2257="",0,IF(OR(数据录入!$D2257="投标保证金",数据录入!$D2257="合同履约保证金",ISNUMBER(FIND("保证金",数据录入!$E2257))),1,0))</f>
      </c>
      <c r="R2257" s="44">
        <f>IF(AND($Q2257=1,数据录入!$B2257&gt;=$B$2,数据录入!$B2257&lt;=$D$2),N(R2256)+1,N(R2256))</f>
      </c>
    </row>
    <row r="2258" s="44" customFormat="1" spans="1:23">
      <c r="A2258" s="116"/>
      <c r="E2258" s="108"/>
      <c r="F2258" s="114"/>
      <c r="G2258" s="114"/>
      <c r="H2258" s="114"/>
      <c r="Q2258" s="44">
        <f>IF(数据录入!$B2258="",0,IF(OR(数据录入!$D2258="投标保证金",数据录入!$D2258="合同履约保证金",ISNUMBER(FIND("保证金",数据录入!$E2258))),1,0))</f>
      </c>
      <c r="R2258" s="44">
        <f>IF(AND($Q2258=1,数据录入!$B2258&gt;=$B$2,数据录入!$B2258&lt;=$D$2),N(R2257)+1,N(R2257))</f>
      </c>
    </row>
    <row r="2259" s="44" customFormat="1" spans="1:23">
      <c r="A2259" s="116"/>
      <c r="E2259" s="108"/>
      <c r="F2259" s="114"/>
      <c r="G2259" s="114"/>
      <c r="H2259" s="114"/>
      <c r="Q2259" s="44">
        <f>IF(数据录入!$B2259="",0,IF(OR(数据录入!$D2259="投标保证金",数据录入!$D2259="合同履约保证金",ISNUMBER(FIND("保证金",数据录入!$E2259))),1,0))</f>
      </c>
      <c r="R2259" s="44">
        <f>IF(AND($Q2259=1,数据录入!$B2259&gt;=$B$2,数据录入!$B2259&lt;=$D$2),N(R2258)+1,N(R2258))</f>
      </c>
    </row>
    <row r="2260" s="44" customFormat="1" spans="1:23">
      <c r="A2260" s="116"/>
      <c r="E2260" s="108"/>
      <c r="F2260" s="114"/>
      <c r="G2260" s="114"/>
      <c r="H2260" s="114"/>
      <c r="Q2260" s="44">
        <f>IF(数据录入!$B2260="",0,IF(OR(数据录入!$D2260="投标保证金",数据录入!$D2260="合同履约保证金",ISNUMBER(FIND("保证金",数据录入!$E2260))),1,0))</f>
      </c>
      <c r="R2260" s="44">
        <f>IF(AND($Q2260=1,数据录入!$B2260&gt;=$B$2,数据录入!$B2260&lt;=$D$2),N(R2259)+1,N(R2259))</f>
      </c>
    </row>
    <row r="2261" s="44" customFormat="1" spans="1:23">
      <c r="A2261" s="116"/>
      <c r="E2261" s="108"/>
      <c r="F2261" s="114"/>
      <c r="G2261" s="114"/>
      <c r="H2261" s="114"/>
      <c r="Q2261" s="44">
        <f>IF(数据录入!$B2261="",0,IF(OR(数据录入!$D2261="投标保证金",数据录入!$D2261="合同履约保证金",ISNUMBER(FIND("保证金",数据录入!$E2261))),1,0))</f>
      </c>
      <c r="R2261" s="44">
        <f>IF(AND($Q2261=1,数据录入!$B2261&gt;=$B$2,数据录入!$B2261&lt;=$D$2),N(R2260)+1,N(R2260))</f>
      </c>
    </row>
    <row r="2262" s="44" customFormat="1" spans="1:23">
      <c r="A2262" s="116"/>
      <c r="E2262" s="108"/>
      <c r="F2262" s="114"/>
      <c r="G2262" s="114"/>
      <c r="H2262" s="114"/>
      <c r="Q2262" s="44">
        <f>IF(数据录入!$B2262="",0,IF(OR(数据录入!$D2262="投标保证金",数据录入!$D2262="合同履约保证金",ISNUMBER(FIND("保证金",数据录入!$E2262))),1,0))</f>
      </c>
      <c r="R2262" s="44">
        <f>IF(AND($Q2262=1,数据录入!$B2262&gt;=$B$2,数据录入!$B2262&lt;=$D$2),N(R2261)+1,N(R2261))</f>
      </c>
    </row>
    <row r="2263" s="44" customFormat="1" spans="1:23">
      <c r="A2263" s="116"/>
      <c r="E2263" s="108"/>
      <c r="F2263" s="114"/>
      <c r="G2263" s="114"/>
      <c r="H2263" s="114"/>
      <c r="Q2263" s="44">
        <f>IF(数据录入!$B2263="",0,IF(OR(数据录入!$D2263="投标保证金",数据录入!$D2263="合同履约保证金",ISNUMBER(FIND("保证金",数据录入!$E2263))),1,0))</f>
      </c>
      <c r="R2263" s="44">
        <f>IF(AND($Q2263=1,数据录入!$B2263&gt;=$B$2,数据录入!$B2263&lt;=$D$2),N(R2262)+1,N(R2262))</f>
      </c>
    </row>
    <row r="2264" s="44" customFormat="1" spans="1:23">
      <c r="A2264" s="116"/>
      <c r="E2264" s="108"/>
      <c r="F2264" s="114"/>
      <c r="G2264" s="114"/>
      <c r="H2264" s="114"/>
      <c r="Q2264" s="44">
        <f>IF(数据录入!$B2264="",0,IF(OR(数据录入!$D2264="投标保证金",数据录入!$D2264="合同履约保证金",ISNUMBER(FIND("保证金",数据录入!$E2264))),1,0))</f>
      </c>
      <c r="R2264" s="44">
        <f>IF(AND($Q2264=1,数据录入!$B2264&gt;=$B$2,数据录入!$B2264&lt;=$D$2),N(R2263)+1,N(R2263))</f>
      </c>
    </row>
    <row r="2265" s="44" customFormat="1" spans="1:23">
      <c r="A2265" s="116"/>
      <c r="E2265" s="108"/>
      <c r="F2265" s="114"/>
      <c r="G2265" s="114"/>
      <c r="H2265" s="114"/>
      <c r="Q2265" s="44">
        <f>IF(数据录入!$B2265="",0,IF(OR(数据录入!$D2265="投标保证金",数据录入!$D2265="合同履约保证金",ISNUMBER(FIND("保证金",数据录入!$E2265))),1,0))</f>
      </c>
      <c r="R2265" s="44">
        <f>IF(AND($Q2265=1,数据录入!$B2265&gt;=$B$2,数据录入!$B2265&lt;=$D$2),N(R2264)+1,N(R2264))</f>
      </c>
    </row>
    <row r="2266" s="44" customFormat="1" spans="1:23">
      <c r="A2266" s="116"/>
      <c r="E2266" s="108"/>
      <c r="F2266" s="114"/>
      <c r="G2266" s="114"/>
      <c r="H2266" s="114"/>
      <c r="Q2266" s="44">
        <f>IF(数据录入!$B2266="",0,IF(OR(数据录入!$D2266="投标保证金",数据录入!$D2266="合同履约保证金",ISNUMBER(FIND("保证金",数据录入!$E2266))),1,0))</f>
      </c>
      <c r="R2266" s="44">
        <f>IF(AND($Q2266=1,数据录入!$B2266&gt;=$B$2,数据录入!$B2266&lt;=$D$2),N(R2265)+1,N(R2265))</f>
      </c>
    </row>
    <row r="2267" s="44" customFormat="1" spans="1:23">
      <c r="A2267" s="116"/>
      <c r="E2267" s="108"/>
      <c r="F2267" s="114"/>
      <c r="G2267" s="114"/>
      <c r="H2267" s="114"/>
      <c r="Q2267" s="44">
        <f>IF(数据录入!$B2267="",0,IF(OR(数据录入!$D2267="投标保证金",数据录入!$D2267="合同履约保证金",ISNUMBER(FIND("保证金",数据录入!$E2267))),1,0))</f>
      </c>
      <c r="R2267" s="44">
        <f>IF(AND($Q2267=1,数据录入!$B2267&gt;=$B$2,数据录入!$B2267&lt;=$D$2),N(R2266)+1,N(R2266))</f>
      </c>
    </row>
    <row r="2268" s="44" customFormat="1" spans="1:23">
      <c r="A2268" s="116"/>
      <c r="E2268" s="108"/>
      <c r="F2268" s="114"/>
      <c r="G2268" s="114"/>
      <c r="H2268" s="114"/>
      <c r="Q2268" s="44">
        <f>IF(数据录入!$B2268="",0,IF(OR(数据录入!$D2268="投标保证金",数据录入!$D2268="合同履约保证金",ISNUMBER(FIND("保证金",数据录入!$E2268))),1,0))</f>
      </c>
      <c r="R2268" s="44">
        <f>IF(AND($Q2268=1,数据录入!$B2268&gt;=$B$2,数据录入!$B2268&lt;=$D$2),N(R2267)+1,N(R2267))</f>
      </c>
    </row>
    <row r="2269" s="44" customFormat="1" spans="1:23">
      <c r="A2269" s="116"/>
      <c r="E2269" s="108"/>
      <c r="F2269" s="114"/>
      <c r="G2269" s="114"/>
      <c r="H2269" s="114"/>
      <c r="Q2269" s="44">
        <f>IF(数据录入!$B2269="",0,IF(OR(数据录入!$D2269="投标保证金",数据录入!$D2269="合同履约保证金",ISNUMBER(FIND("保证金",数据录入!$E2269))),1,0))</f>
      </c>
      <c r="R2269" s="44">
        <f>IF(AND($Q2269=1,数据录入!$B2269&gt;=$B$2,数据录入!$B2269&lt;=$D$2),N(R2268)+1,N(R2268))</f>
      </c>
    </row>
    <row r="2270" s="44" customFormat="1" spans="1:23">
      <c r="A2270" s="116"/>
      <c r="E2270" s="108"/>
      <c r="F2270" s="114"/>
      <c r="G2270" s="114"/>
      <c r="H2270" s="114"/>
      <c r="Q2270" s="44">
        <f>IF(数据录入!$B2270="",0,IF(OR(数据录入!$D2270="投标保证金",数据录入!$D2270="合同履约保证金",ISNUMBER(FIND("保证金",数据录入!$E2270))),1,0))</f>
      </c>
      <c r="R2270" s="44">
        <f>IF(AND($Q2270=1,数据录入!$B2270&gt;=$B$2,数据录入!$B2270&lt;=$D$2),N(R2269)+1,N(R2269))</f>
      </c>
    </row>
    <row r="2271" s="44" customFormat="1" spans="1:23">
      <c r="A2271" s="116"/>
      <c r="E2271" s="108"/>
      <c r="F2271" s="114"/>
      <c r="G2271" s="114"/>
      <c r="H2271" s="114"/>
      <c r="Q2271" s="44">
        <f>IF(数据录入!$B2271="",0,IF(OR(数据录入!$D2271="投标保证金",数据录入!$D2271="合同履约保证金",ISNUMBER(FIND("保证金",数据录入!$E2271))),1,0))</f>
      </c>
      <c r="R2271" s="44">
        <f>IF(AND($Q2271=1,数据录入!$B2271&gt;=$B$2,数据录入!$B2271&lt;=$D$2),N(R2270)+1,N(R2270))</f>
      </c>
    </row>
    <row r="2272" s="44" customFormat="1" spans="1:23">
      <c r="A2272" s="116"/>
      <c r="E2272" s="108"/>
      <c r="F2272" s="114"/>
      <c r="G2272" s="114"/>
      <c r="H2272" s="114"/>
      <c r="Q2272" s="44">
        <f>IF(数据录入!$B2272="",0,IF(OR(数据录入!$D2272="投标保证金",数据录入!$D2272="合同履约保证金",ISNUMBER(FIND("保证金",数据录入!$E2272))),1,0))</f>
      </c>
      <c r="R2272" s="44">
        <f>IF(AND($Q2272=1,数据录入!$B2272&gt;=$B$2,数据录入!$B2272&lt;=$D$2),N(R2271)+1,N(R2271))</f>
      </c>
    </row>
    <row r="2273" s="44" customFormat="1" spans="1:23">
      <c r="A2273" s="116"/>
      <c r="E2273" s="108"/>
      <c r="F2273" s="114"/>
      <c r="G2273" s="114"/>
      <c r="H2273" s="114"/>
      <c r="Q2273" s="44">
        <f>IF(数据录入!$B2273="",0,IF(OR(数据录入!$D2273="投标保证金",数据录入!$D2273="合同履约保证金",ISNUMBER(FIND("保证金",数据录入!$E2273))),1,0))</f>
      </c>
      <c r="R2273" s="44">
        <f>IF(AND($Q2273=1,数据录入!$B2273&gt;=$B$2,数据录入!$B2273&lt;=$D$2),N(R2272)+1,N(R2272))</f>
      </c>
    </row>
    <row r="2274" s="44" customFormat="1" spans="1:23">
      <c r="A2274" s="116"/>
      <c r="E2274" s="108"/>
      <c r="F2274" s="114"/>
      <c r="G2274" s="114"/>
      <c r="H2274" s="114"/>
      <c r="Q2274" s="44">
        <f>IF(数据录入!$B2274="",0,IF(OR(数据录入!$D2274="投标保证金",数据录入!$D2274="合同履约保证金",ISNUMBER(FIND("保证金",数据录入!$E2274))),1,0))</f>
      </c>
      <c r="R2274" s="44">
        <f>IF(AND($Q2274=1,数据录入!$B2274&gt;=$B$2,数据录入!$B2274&lt;=$D$2),N(R2273)+1,N(R2273))</f>
      </c>
    </row>
    <row r="2275" s="44" customFormat="1" spans="1:23">
      <c r="A2275" s="116"/>
      <c r="E2275" s="108"/>
      <c r="F2275" s="114"/>
      <c r="G2275" s="114"/>
      <c r="H2275" s="114"/>
      <c r="Q2275" s="44">
        <f>IF(数据录入!$B2275="",0,IF(OR(数据录入!$D2275="投标保证金",数据录入!$D2275="合同履约保证金",ISNUMBER(FIND("保证金",数据录入!$E2275))),1,0))</f>
      </c>
      <c r="R2275" s="44">
        <f>IF(AND($Q2275=1,数据录入!$B2275&gt;=$B$2,数据录入!$B2275&lt;=$D$2),N(R2274)+1,N(R2274))</f>
      </c>
    </row>
    <row r="2276" s="44" customFormat="1" spans="1:23">
      <c r="A2276" s="116"/>
      <c r="E2276" s="108"/>
      <c r="F2276" s="114"/>
      <c r="G2276" s="114"/>
      <c r="H2276" s="114"/>
      <c r="Q2276" s="44">
        <f>IF(数据录入!$B2276="",0,IF(OR(数据录入!$D2276="投标保证金",数据录入!$D2276="合同履约保证金",ISNUMBER(FIND("保证金",数据录入!$E2276))),1,0))</f>
      </c>
      <c r="R2276" s="44">
        <f>IF(AND($Q2276=1,数据录入!$B2276&gt;=$B$2,数据录入!$B2276&lt;=$D$2),N(R2275)+1,N(R2275))</f>
      </c>
    </row>
    <row r="2277" s="44" customFormat="1" spans="1:23">
      <c r="A2277" s="116"/>
      <c r="E2277" s="108"/>
      <c r="F2277" s="114"/>
      <c r="G2277" s="114"/>
      <c r="H2277" s="114"/>
      <c r="Q2277" s="44">
        <f>IF(数据录入!$B2277="",0,IF(OR(数据录入!$D2277="投标保证金",数据录入!$D2277="合同履约保证金",ISNUMBER(FIND("保证金",数据录入!$E2277))),1,0))</f>
      </c>
      <c r="R2277" s="44">
        <f>IF(AND($Q2277=1,数据录入!$B2277&gt;=$B$2,数据录入!$B2277&lt;=$D$2),N(R2276)+1,N(R2276))</f>
      </c>
    </row>
    <row r="2278" s="44" customFormat="1" spans="1:23">
      <c r="A2278" s="116"/>
      <c r="E2278" s="108"/>
      <c r="F2278" s="114"/>
      <c r="G2278" s="114"/>
      <c r="H2278" s="114"/>
      <c r="Q2278" s="44">
        <f>IF(数据录入!$B2278="",0,IF(OR(数据录入!$D2278="投标保证金",数据录入!$D2278="合同履约保证金",ISNUMBER(FIND("保证金",数据录入!$E2278))),1,0))</f>
      </c>
      <c r="R2278" s="44">
        <f>IF(AND($Q2278=1,数据录入!$B2278&gt;=$B$2,数据录入!$B2278&lt;=$D$2),N(R2277)+1,N(R2277))</f>
      </c>
    </row>
    <row r="2279" s="44" customFormat="1" spans="1:23">
      <c r="A2279" s="116"/>
      <c r="E2279" s="108"/>
      <c r="F2279" s="114"/>
      <c r="G2279" s="114"/>
      <c r="H2279" s="114"/>
      <c r="Q2279" s="44">
        <f>IF(数据录入!$B2279="",0,IF(OR(数据录入!$D2279="投标保证金",数据录入!$D2279="合同履约保证金",ISNUMBER(FIND("保证金",数据录入!$E2279))),1,0))</f>
      </c>
      <c r="R2279" s="44">
        <f>IF(AND($Q2279=1,数据录入!$B2279&gt;=$B$2,数据录入!$B2279&lt;=$D$2),N(R2278)+1,N(R2278))</f>
      </c>
    </row>
    <row r="2280" s="44" customFormat="1" spans="1:23">
      <c r="A2280" s="116"/>
      <c r="E2280" s="108"/>
      <c r="F2280" s="114"/>
      <c r="G2280" s="114"/>
      <c r="H2280" s="114"/>
      <c r="Q2280" s="44">
        <f>IF(数据录入!$B2280="",0,IF(OR(数据录入!$D2280="投标保证金",数据录入!$D2280="合同履约保证金",ISNUMBER(FIND("保证金",数据录入!$E2280))),1,0))</f>
      </c>
      <c r="R2280" s="44">
        <f>IF(AND($Q2280=1,数据录入!$B2280&gt;=$B$2,数据录入!$B2280&lt;=$D$2),N(R2279)+1,N(R2279))</f>
      </c>
    </row>
    <row r="2281" s="44" customFormat="1" spans="1:23">
      <c r="A2281" s="116"/>
      <c r="E2281" s="108"/>
      <c r="F2281" s="114"/>
      <c r="G2281" s="114"/>
      <c r="H2281" s="114"/>
      <c r="Q2281" s="44">
        <f>IF(数据录入!$B2281="",0,IF(OR(数据录入!$D2281="投标保证金",数据录入!$D2281="合同履约保证金",ISNUMBER(FIND("保证金",数据录入!$E2281))),1,0))</f>
      </c>
      <c r="R2281" s="44">
        <f>IF(AND($Q2281=1,数据录入!$B2281&gt;=$B$2,数据录入!$B2281&lt;=$D$2),N(R2280)+1,N(R2280))</f>
      </c>
    </row>
    <row r="2282" s="44" customFormat="1" spans="1:23">
      <c r="A2282" s="116"/>
      <c r="E2282" s="108"/>
      <c r="F2282" s="114"/>
      <c r="G2282" s="114"/>
      <c r="H2282" s="114"/>
      <c r="Q2282" s="44">
        <f>IF(数据录入!$B2282="",0,IF(OR(数据录入!$D2282="投标保证金",数据录入!$D2282="合同履约保证金",ISNUMBER(FIND("保证金",数据录入!$E2282))),1,0))</f>
      </c>
      <c r="R2282" s="44">
        <f>IF(AND($Q2282=1,数据录入!$B2282&gt;=$B$2,数据录入!$B2282&lt;=$D$2),N(R2281)+1,N(R2281))</f>
      </c>
    </row>
    <row r="2283" s="44" customFormat="1" spans="1:23">
      <c r="A2283" s="116"/>
      <c r="E2283" s="108"/>
      <c r="F2283" s="114"/>
      <c r="G2283" s="114"/>
      <c r="H2283" s="114"/>
      <c r="Q2283" s="44">
        <f>IF(数据录入!$B2283="",0,IF(OR(数据录入!$D2283="投标保证金",数据录入!$D2283="合同履约保证金",ISNUMBER(FIND("保证金",数据录入!$E2283))),1,0))</f>
      </c>
      <c r="R2283" s="44">
        <f>IF(AND($Q2283=1,数据录入!$B2283&gt;=$B$2,数据录入!$B2283&lt;=$D$2),N(R2282)+1,N(R2282))</f>
      </c>
    </row>
    <row r="2284" s="44" customFormat="1" spans="1:23">
      <c r="A2284" s="116"/>
      <c r="E2284" s="108"/>
      <c r="F2284" s="114"/>
      <c r="G2284" s="114"/>
      <c r="H2284" s="114"/>
      <c r="Q2284" s="44">
        <f>IF(数据录入!$B2284="",0,IF(OR(数据录入!$D2284="投标保证金",数据录入!$D2284="合同履约保证金",ISNUMBER(FIND("保证金",数据录入!$E2284))),1,0))</f>
      </c>
      <c r="R2284" s="44">
        <f>IF(AND($Q2284=1,数据录入!$B2284&gt;=$B$2,数据录入!$B2284&lt;=$D$2),N(R2283)+1,N(R2283))</f>
      </c>
    </row>
    <row r="2285" s="44" customFormat="1" spans="1:23">
      <c r="A2285" s="116"/>
      <c r="E2285" s="108"/>
      <c r="F2285" s="114"/>
      <c r="G2285" s="114"/>
      <c r="H2285" s="114"/>
      <c r="Q2285" s="44">
        <f>IF(数据录入!$B2285="",0,IF(OR(数据录入!$D2285="投标保证金",数据录入!$D2285="合同履约保证金",ISNUMBER(FIND("保证金",数据录入!$E2285))),1,0))</f>
      </c>
      <c r="R2285" s="44">
        <f>IF(AND($Q2285=1,数据录入!$B2285&gt;=$B$2,数据录入!$B2285&lt;=$D$2),N(R2284)+1,N(R2284))</f>
      </c>
    </row>
    <row r="2286" s="44" customFormat="1" spans="1:23">
      <c r="A2286" s="116"/>
      <c r="E2286" s="108"/>
      <c r="F2286" s="114"/>
      <c r="G2286" s="114"/>
      <c r="H2286" s="114"/>
      <c r="Q2286" s="44">
        <f>IF(数据录入!$B2286="",0,IF(OR(数据录入!$D2286="投标保证金",数据录入!$D2286="合同履约保证金",ISNUMBER(FIND("保证金",数据录入!$E2286))),1,0))</f>
      </c>
      <c r="R2286" s="44">
        <f>IF(AND($Q2286=1,数据录入!$B2286&gt;=$B$2,数据录入!$B2286&lt;=$D$2),N(R2285)+1,N(R2285))</f>
      </c>
    </row>
    <row r="2287" s="44" customFormat="1" spans="1:23">
      <c r="A2287" s="116"/>
      <c r="E2287" s="108"/>
      <c r="F2287" s="114"/>
      <c r="G2287" s="114"/>
      <c r="H2287" s="114"/>
      <c r="Q2287" s="44">
        <f>IF(数据录入!$B2287="",0,IF(OR(数据录入!$D2287="投标保证金",数据录入!$D2287="合同履约保证金",ISNUMBER(FIND("保证金",数据录入!$E2287))),1,0))</f>
      </c>
      <c r="R2287" s="44">
        <f>IF(AND($Q2287=1,数据录入!$B2287&gt;=$B$2,数据录入!$B2287&lt;=$D$2),N(R2286)+1,N(R2286))</f>
      </c>
    </row>
    <row r="2288" s="44" customFormat="1" spans="1:23">
      <c r="A2288" s="116"/>
      <c r="E2288" s="108"/>
      <c r="F2288" s="114"/>
      <c r="G2288" s="114"/>
      <c r="H2288" s="114"/>
      <c r="Q2288" s="44">
        <f>IF(数据录入!$B2288="",0,IF(OR(数据录入!$D2288="投标保证金",数据录入!$D2288="合同履约保证金",ISNUMBER(FIND("保证金",数据录入!$E2288))),1,0))</f>
      </c>
      <c r="R2288" s="44">
        <f>IF(AND($Q2288=1,数据录入!$B2288&gt;=$B$2,数据录入!$B2288&lt;=$D$2),N(R2287)+1,N(R2287))</f>
      </c>
    </row>
    <row r="2289" s="44" customFormat="1" spans="1:23">
      <c r="A2289" s="116"/>
      <c r="E2289" s="108"/>
      <c r="F2289" s="114"/>
      <c r="G2289" s="114"/>
      <c r="H2289" s="114"/>
      <c r="Q2289" s="44">
        <f>IF(数据录入!$B2289="",0,IF(OR(数据录入!$D2289="投标保证金",数据录入!$D2289="合同履约保证金",ISNUMBER(FIND("保证金",数据录入!$E2289))),1,0))</f>
      </c>
      <c r="R2289" s="44">
        <f>IF(AND($Q2289=1,数据录入!$B2289&gt;=$B$2,数据录入!$B2289&lt;=$D$2),N(R2288)+1,N(R2288))</f>
      </c>
    </row>
    <row r="2290" s="44" customFormat="1" spans="1:23">
      <c r="A2290" s="116"/>
      <c r="E2290" s="108"/>
      <c r="F2290" s="114"/>
      <c r="G2290" s="114"/>
      <c r="H2290" s="114"/>
      <c r="Q2290" s="44">
        <f>IF(数据录入!$B2290="",0,IF(OR(数据录入!$D2290="投标保证金",数据录入!$D2290="合同履约保证金",ISNUMBER(FIND("保证金",数据录入!$E2290))),1,0))</f>
      </c>
      <c r="R2290" s="44">
        <f>IF(AND($Q2290=1,数据录入!$B2290&gt;=$B$2,数据录入!$B2290&lt;=$D$2),N(R2289)+1,N(R2289))</f>
      </c>
    </row>
    <row r="2291" s="44" customFormat="1" spans="1:23">
      <c r="A2291" s="116"/>
      <c r="E2291" s="108"/>
      <c r="F2291" s="114"/>
      <c r="G2291" s="114"/>
      <c r="H2291" s="114"/>
      <c r="Q2291" s="44">
        <f>IF(数据录入!$B2291="",0,IF(OR(数据录入!$D2291="投标保证金",数据录入!$D2291="合同履约保证金",ISNUMBER(FIND("保证金",数据录入!$E2291))),1,0))</f>
      </c>
      <c r="R2291" s="44">
        <f>IF(AND($Q2291=1,数据录入!$B2291&gt;=$B$2,数据录入!$B2291&lt;=$D$2),N(R2290)+1,N(R2290))</f>
      </c>
    </row>
    <row r="2292" s="44" customFormat="1" spans="1:23">
      <c r="A2292" s="116"/>
      <c r="E2292" s="108"/>
      <c r="F2292" s="114"/>
      <c r="G2292" s="114"/>
      <c r="H2292" s="114"/>
      <c r="Q2292" s="44">
        <f>IF(数据录入!$B2292="",0,IF(OR(数据录入!$D2292="投标保证金",数据录入!$D2292="合同履约保证金",ISNUMBER(FIND("保证金",数据录入!$E2292))),1,0))</f>
      </c>
      <c r="R2292" s="44">
        <f>IF(AND($Q2292=1,数据录入!$B2292&gt;=$B$2,数据录入!$B2292&lt;=$D$2),N(R2291)+1,N(R2291))</f>
      </c>
    </row>
    <row r="2293" s="44" customFormat="1" spans="1:23">
      <c r="A2293" s="116"/>
      <c r="E2293" s="108"/>
      <c r="F2293" s="114"/>
      <c r="G2293" s="114"/>
      <c r="H2293" s="114"/>
      <c r="Q2293" s="44">
        <f>IF(数据录入!$B2293="",0,IF(OR(数据录入!$D2293="投标保证金",数据录入!$D2293="合同履约保证金",ISNUMBER(FIND("保证金",数据录入!$E2293))),1,0))</f>
      </c>
      <c r="R2293" s="44">
        <f>IF(AND($Q2293=1,数据录入!$B2293&gt;=$B$2,数据录入!$B2293&lt;=$D$2),N(R2292)+1,N(R2292))</f>
      </c>
    </row>
    <row r="2294" s="44" customFormat="1" spans="1:23">
      <c r="A2294" s="116"/>
      <c r="E2294" s="108"/>
      <c r="F2294" s="114"/>
      <c r="G2294" s="114"/>
      <c r="H2294" s="114"/>
      <c r="Q2294" s="44">
        <f>IF(数据录入!$B2294="",0,IF(OR(数据录入!$D2294="投标保证金",数据录入!$D2294="合同履约保证金",ISNUMBER(FIND("保证金",数据录入!$E2294))),1,0))</f>
      </c>
      <c r="R2294" s="44">
        <f>IF(AND($Q2294=1,数据录入!$B2294&gt;=$B$2,数据录入!$B2294&lt;=$D$2),N(R2293)+1,N(R2293))</f>
      </c>
    </row>
    <row r="2295" s="44" customFormat="1" spans="1:23">
      <c r="A2295" s="116"/>
      <c r="E2295" s="108"/>
      <c r="F2295" s="114"/>
      <c r="G2295" s="114"/>
      <c r="H2295" s="114"/>
      <c r="Q2295" s="44">
        <f>IF(数据录入!$B2295="",0,IF(OR(数据录入!$D2295="投标保证金",数据录入!$D2295="合同履约保证金",ISNUMBER(FIND("保证金",数据录入!$E2295))),1,0))</f>
      </c>
      <c r="R2295" s="44">
        <f>IF(AND($Q2295=1,数据录入!$B2295&gt;=$B$2,数据录入!$B2295&lt;=$D$2),N(R2294)+1,N(R2294))</f>
      </c>
    </row>
    <row r="2296" s="44" customFormat="1" spans="1:23">
      <c r="A2296" s="116"/>
      <c r="E2296" s="108"/>
      <c r="F2296" s="114"/>
      <c r="G2296" s="114"/>
      <c r="H2296" s="114"/>
      <c r="Q2296" s="44">
        <f>IF(数据录入!$B2296="",0,IF(OR(数据录入!$D2296="投标保证金",数据录入!$D2296="合同履约保证金",ISNUMBER(FIND("保证金",数据录入!$E2296))),1,0))</f>
      </c>
      <c r="R2296" s="44">
        <f>IF(AND($Q2296=1,数据录入!$B2296&gt;=$B$2,数据录入!$B2296&lt;=$D$2),N(R2295)+1,N(R2295))</f>
      </c>
    </row>
    <row r="2297" s="44" customFormat="1" spans="1:23">
      <c r="A2297" s="116"/>
      <c r="E2297" s="108"/>
      <c r="F2297" s="114"/>
      <c r="G2297" s="114"/>
      <c r="H2297" s="114"/>
      <c r="Q2297" s="44">
        <f>IF(数据录入!$B2297="",0,IF(OR(数据录入!$D2297="投标保证金",数据录入!$D2297="合同履约保证金",ISNUMBER(FIND("保证金",数据录入!$E2297))),1,0))</f>
      </c>
      <c r="R2297" s="44">
        <f>IF(AND($Q2297=1,数据录入!$B2297&gt;=$B$2,数据录入!$B2297&lt;=$D$2),N(R2296)+1,N(R2296))</f>
      </c>
    </row>
    <row r="2298" s="44" customFormat="1" spans="1:23">
      <c r="A2298" s="116"/>
      <c r="E2298" s="108"/>
      <c r="F2298" s="114"/>
      <c r="G2298" s="114"/>
      <c r="H2298" s="114"/>
      <c r="Q2298" s="44">
        <f>IF(数据录入!$B2298="",0,IF(OR(数据录入!$D2298="投标保证金",数据录入!$D2298="合同履约保证金",ISNUMBER(FIND("保证金",数据录入!$E2298))),1,0))</f>
      </c>
      <c r="R2298" s="44">
        <f>IF(AND($Q2298=1,数据录入!$B2298&gt;=$B$2,数据录入!$B2298&lt;=$D$2),N(R2297)+1,N(R2297))</f>
      </c>
    </row>
    <row r="2299" s="44" customFormat="1" spans="1:23">
      <c r="A2299" s="116"/>
      <c r="E2299" s="108"/>
      <c r="F2299" s="114"/>
      <c r="G2299" s="114"/>
      <c r="H2299" s="114"/>
      <c r="Q2299" s="44">
        <f>IF(数据录入!$B2299="",0,IF(OR(数据录入!$D2299="投标保证金",数据录入!$D2299="合同履约保证金",ISNUMBER(FIND("保证金",数据录入!$E2299))),1,0))</f>
      </c>
      <c r="R2299" s="44">
        <f>IF(AND($Q2299=1,数据录入!$B2299&gt;=$B$2,数据录入!$B2299&lt;=$D$2),N(R2298)+1,N(R2298))</f>
      </c>
    </row>
    <row r="2300" s="44" customFormat="1" spans="1:23">
      <c r="A2300" s="116"/>
      <c r="E2300" s="108"/>
      <c r="F2300" s="114"/>
      <c r="G2300" s="114"/>
      <c r="H2300" s="114"/>
      <c r="Q2300" s="44">
        <f>IF(数据录入!$B2300="",0,IF(OR(数据录入!$D2300="投标保证金",数据录入!$D2300="合同履约保证金",ISNUMBER(FIND("保证金",数据录入!$E2300))),1,0))</f>
      </c>
      <c r="R2300" s="44">
        <f>IF(AND($Q2300=1,数据录入!$B2300&gt;=$B$2,数据录入!$B2300&lt;=$D$2),N(R2299)+1,N(R2299))</f>
      </c>
    </row>
    <row r="2301" s="44" customFormat="1" spans="1:23">
      <c r="A2301" s="116"/>
      <c r="E2301" s="108"/>
      <c r="F2301" s="114"/>
      <c r="G2301" s="114"/>
      <c r="H2301" s="114"/>
      <c r="Q2301" s="44">
        <f>IF(数据录入!$B2301="",0,IF(OR(数据录入!$D2301="投标保证金",数据录入!$D2301="合同履约保证金",ISNUMBER(FIND("保证金",数据录入!$E2301))),1,0))</f>
      </c>
      <c r="R2301" s="44">
        <f>IF(AND($Q2301=1,数据录入!$B2301&gt;=$B$2,数据录入!$B2301&lt;=$D$2),N(R2300)+1,N(R2300))</f>
      </c>
    </row>
    <row r="2302" s="44" customFormat="1" spans="1:23">
      <c r="A2302" s="116"/>
      <c r="E2302" s="108"/>
      <c r="F2302" s="114"/>
      <c r="G2302" s="114"/>
      <c r="H2302" s="114"/>
      <c r="Q2302" s="44">
        <f>IF(数据录入!$B2302="",0,IF(OR(数据录入!$D2302="投标保证金",数据录入!$D2302="合同履约保证金",ISNUMBER(FIND("保证金",数据录入!$E2302))),1,0))</f>
      </c>
      <c r="R2302" s="44">
        <f>IF(AND($Q2302=1,数据录入!$B2302&gt;=$B$2,数据录入!$B2302&lt;=$D$2),N(R2301)+1,N(R2301))</f>
      </c>
    </row>
    <row r="2303" s="44" customFormat="1" spans="1:23">
      <c r="A2303" s="116"/>
      <c r="E2303" s="108"/>
      <c r="F2303" s="114"/>
      <c r="G2303" s="114"/>
      <c r="H2303" s="114"/>
      <c r="Q2303" s="44">
        <f>IF(数据录入!$B2303="",0,IF(OR(数据录入!$D2303="投标保证金",数据录入!$D2303="合同履约保证金",ISNUMBER(FIND("保证金",数据录入!$E2303))),1,0))</f>
      </c>
      <c r="R2303" s="44">
        <f>IF(AND($Q2303=1,数据录入!$B2303&gt;=$B$2,数据录入!$B2303&lt;=$D$2),N(R2302)+1,N(R2302))</f>
      </c>
    </row>
    <row r="2304" s="44" customFormat="1" spans="1:23">
      <c r="A2304" s="116"/>
      <c r="E2304" s="108"/>
      <c r="F2304" s="114"/>
      <c r="G2304" s="114"/>
      <c r="H2304" s="114"/>
      <c r="Q2304" s="44">
        <f>IF(数据录入!$B2304="",0,IF(OR(数据录入!$D2304="投标保证金",数据录入!$D2304="合同履约保证金",ISNUMBER(FIND("保证金",数据录入!$E2304))),1,0))</f>
      </c>
      <c r="R2304" s="44">
        <f>IF(AND($Q2304=1,数据录入!$B2304&gt;=$B$2,数据录入!$B2304&lt;=$D$2),N(R2303)+1,N(R2303))</f>
      </c>
    </row>
    <row r="2305" s="44" customFormat="1" spans="1:23">
      <c r="A2305" s="116"/>
      <c r="E2305" s="108"/>
      <c r="F2305" s="114"/>
      <c r="G2305" s="114"/>
      <c r="H2305" s="114"/>
      <c r="Q2305" s="44">
        <f>IF(数据录入!$B2305="",0,IF(OR(数据录入!$D2305="投标保证金",数据录入!$D2305="合同履约保证金",ISNUMBER(FIND("保证金",数据录入!$E2305))),1,0))</f>
      </c>
      <c r="R2305" s="44">
        <f>IF(AND($Q2305=1,数据录入!$B2305&gt;=$B$2,数据录入!$B2305&lt;=$D$2),N(R2304)+1,N(R2304))</f>
      </c>
    </row>
    <row r="2306" s="44" customFormat="1" spans="1:23">
      <c r="A2306" s="116"/>
      <c r="E2306" s="108"/>
      <c r="F2306" s="114"/>
      <c r="G2306" s="114"/>
      <c r="H2306" s="114"/>
      <c r="Q2306" s="44">
        <f>IF(数据录入!$B2306="",0,IF(OR(数据录入!$D2306="投标保证金",数据录入!$D2306="合同履约保证金",ISNUMBER(FIND("保证金",数据录入!$E2306))),1,0))</f>
      </c>
      <c r="R2306" s="44">
        <f>IF(AND($Q2306=1,数据录入!$B2306&gt;=$B$2,数据录入!$B2306&lt;=$D$2),N(R2305)+1,N(R2305))</f>
      </c>
    </row>
    <row r="2307" s="44" customFormat="1" spans="1:23">
      <c r="A2307" s="116"/>
      <c r="E2307" s="108"/>
      <c r="F2307" s="114"/>
      <c r="G2307" s="114"/>
      <c r="H2307" s="114"/>
      <c r="Q2307" s="44">
        <f>IF(数据录入!$B2307="",0,IF(OR(数据录入!$D2307="投标保证金",数据录入!$D2307="合同履约保证金",ISNUMBER(FIND("保证金",数据录入!$E2307))),1,0))</f>
      </c>
      <c r="R2307" s="44">
        <f>IF(AND($Q2307=1,数据录入!$B2307&gt;=$B$2,数据录入!$B2307&lt;=$D$2),N(R2306)+1,N(R2306))</f>
      </c>
    </row>
    <row r="2308" s="44" customFormat="1" spans="1:23">
      <c r="A2308" s="116"/>
      <c r="E2308" s="108"/>
      <c r="F2308" s="114"/>
      <c r="G2308" s="114"/>
      <c r="H2308" s="114"/>
      <c r="Q2308" s="44">
        <f>IF(数据录入!$B2308="",0,IF(OR(数据录入!$D2308="投标保证金",数据录入!$D2308="合同履约保证金",ISNUMBER(FIND("保证金",数据录入!$E2308))),1,0))</f>
      </c>
      <c r="R2308" s="44">
        <f>IF(AND($Q2308=1,数据录入!$B2308&gt;=$B$2,数据录入!$B2308&lt;=$D$2),N(R2307)+1,N(R2307))</f>
      </c>
    </row>
    <row r="2309" s="44" customFormat="1" spans="1:23">
      <c r="A2309" s="116"/>
      <c r="E2309" s="108"/>
      <c r="F2309" s="114"/>
      <c r="G2309" s="114"/>
      <c r="H2309" s="114"/>
      <c r="Q2309" s="44">
        <f>IF(数据录入!$B2309="",0,IF(OR(数据录入!$D2309="投标保证金",数据录入!$D2309="合同履约保证金",ISNUMBER(FIND("保证金",数据录入!$E2309))),1,0))</f>
      </c>
      <c r="R2309" s="44">
        <f>IF(AND($Q2309=1,数据录入!$B2309&gt;=$B$2,数据录入!$B2309&lt;=$D$2),N(R2308)+1,N(R2308))</f>
      </c>
    </row>
    <row r="2310" s="44" customFormat="1" spans="1:23">
      <c r="A2310" s="116"/>
      <c r="E2310" s="108"/>
      <c r="F2310" s="114"/>
      <c r="G2310" s="114"/>
      <c r="H2310" s="114"/>
      <c r="Q2310" s="44">
        <f>IF(数据录入!$B2310="",0,IF(OR(数据录入!$D2310="投标保证金",数据录入!$D2310="合同履约保证金",ISNUMBER(FIND("保证金",数据录入!$E2310))),1,0))</f>
      </c>
      <c r="R2310" s="44">
        <f>IF(AND($Q2310=1,数据录入!$B2310&gt;=$B$2,数据录入!$B2310&lt;=$D$2),N(R2309)+1,N(R2309))</f>
      </c>
    </row>
    <row r="2311" s="44" customFormat="1" spans="1:23">
      <c r="A2311" s="116"/>
      <c r="E2311" s="108"/>
      <c r="F2311" s="114"/>
      <c r="G2311" s="114"/>
      <c r="H2311" s="114"/>
      <c r="Q2311" s="44">
        <f>IF(数据录入!$B2311="",0,IF(OR(数据录入!$D2311="投标保证金",数据录入!$D2311="合同履约保证金",ISNUMBER(FIND("保证金",数据录入!$E2311))),1,0))</f>
      </c>
      <c r="R2311" s="44">
        <f>IF(AND($Q2311=1,数据录入!$B2311&gt;=$B$2,数据录入!$B2311&lt;=$D$2),N(R2310)+1,N(R2310))</f>
      </c>
    </row>
    <row r="2312" s="44" customFormat="1" spans="1:23">
      <c r="A2312" s="116"/>
      <c r="E2312" s="108"/>
      <c r="F2312" s="114"/>
      <c r="G2312" s="114"/>
      <c r="H2312" s="114"/>
      <c r="Q2312" s="44">
        <f>IF(数据录入!$B2312="",0,IF(OR(数据录入!$D2312="投标保证金",数据录入!$D2312="合同履约保证金",ISNUMBER(FIND("保证金",数据录入!$E2312))),1,0))</f>
      </c>
      <c r="R2312" s="44">
        <f>IF(AND($Q2312=1,数据录入!$B2312&gt;=$B$2,数据录入!$B2312&lt;=$D$2),N(R2311)+1,N(R2311))</f>
      </c>
    </row>
    <row r="2313" s="44" customFormat="1" spans="1:23">
      <c r="A2313" s="116"/>
      <c r="E2313" s="108"/>
      <c r="F2313" s="114"/>
      <c r="G2313" s="114"/>
      <c r="H2313" s="114"/>
      <c r="Q2313" s="44">
        <f>IF(数据录入!$B2313="",0,IF(OR(数据录入!$D2313="投标保证金",数据录入!$D2313="合同履约保证金",ISNUMBER(FIND("保证金",数据录入!$E2313))),1,0))</f>
      </c>
      <c r="R2313" s="44">
        <f>IF(AND($Q2313=1,数据录入!$B2313&gt;=$B$2,数据录入!$B2313&lt;=$D$2),N(R2312)+1,N(R2312))</f>
      </c>
    </row>
    <row r="2314" s="44" customFormat="1" spans="1:23">
      <c r="A2314" s="116"/>
      <c r="E2314" s="108"/>
      <c r="F2314" s="114"/>
      <c r="G2314" s="114"/>
      <c r="H2314" s="114"/>
      <c r="Q2314" s="44">
        <f>IF(数据录入!$B2314="",0,IF(OR(数据录入!$D2314="投标保证金",数据录入!$D2314="合同履约保证金",ISNUMBER(FIND("保证金",数据录入!$E2314))),1,0))</f>
      </c>
      <c r="R2314" s="44">
        <f>IF(AND($Q2314=1,数据录入!$B2314&gt;=$B$2,数据录入!$B2314&lt;=$D$2),N(R2313)+1,N(R2313))</f>
      </c>
    </row>
    <row r="2315" s="44" customFormat="1" spans="1:23">
      <c r="A2315" s="116"/>
      <c r="E2315" s="108"/>
      <c r="F2315" s="114"/>
      <c r="G2315" s="114"/>
      <c r="H2315" s="114"/>
      <c r="Q2315" s="44">
        <f>IF(数据录入!$B2315="",0,IF(OR(数据录入!$D2315="投标保证金",数据录入!$D2315="合同履约保证金",ISNUMBER(FIND("保证金",数据录入!$E2315))),1,0))</f>
      </c>
      <c r="R2315" s="44">
        <f>IF(AND($Q2315=1,数据录入!$B2315&gt;=$B$2,数据录入!$B2315&lt;=$D$2),N(R2314)+1,N(R2314))</f>
      </c>
    </row>
    <row r="2316" s="44" customFormat="1" spans="1:23">
      <c r="A2316" s="116"/>
      <c r="E2316" s="108"/>
      <c r="F2316" s="114"/>
      <c r="G2316" s="114"/>
      <c r="H2316" s="114"/>
      <c r="Q2316" s="44">
        <f>IF(数据录入!$B2316="",0,IF(OR(数据录入!$D2316="投标保证金",数据录入!$D2316="合同履约保证金",ISNUMBER(FIND("保证金",数据录入!$E2316))),1,0))</f>
      </c>
      <c r="R2316" s="44">
        <f>IF(AND($Q2316=1,数据录入!$B2316&gt;=$B$2,数据录入!$B2316&lt;=$D$2),N(R2315)+1,N(R2315))</f>
      </c>
    </row>
    <row r="2317" s="44" customFormat="1" spans="1:23">
      <c r="A2317" s="116"/>
      <c r="E2317" s="108"/>
      <c r="F2317" s="114"/>
      <c r="G2317" s="114"/>
      <c r="H2317" s="114"/>
      <c r="Q2317" s="44">
        <f>IF(数据录入!$B2317="",0,IF(OR(数据录入!$D2317="投标保证金",数据录入!$D2317="合同履约保证金",ISNUMBER(FIND("保证金",数据录入!$E2317))),1,0))</f>
      </c>
      <c r="R2317" s="44">
        <f>IF(AND($Q2317=1,数据录入!$B2317&gt;=$B$2,数据录入!$B2317&lt;=$D$2),N(R2316)+1,N(R2316))</f>
      </c>
    </row>
    <row r="2318" s="44" customFormat="1" spans="1:23">
      <c r="A2318" s="116"/>
      <c r="E2318" s="108"/>
      <c r="F2318" s="114"/>
      <c r="G2318" s="114"/>
      <c r="H2318" s="114"/>
      <c r="Q2318" s="44">
        <f>IF(数据录入!$B2318="",0,IF(OR(数据录入!$D2318="投标保证金",数据录入!$D2318="合同履约保证金",ISNUMBER(FIND("保证金",数据录入!$E2318))),1,0))</f>
      </c>
      <c r="R2318" s="44">
        <f>IF(AND($Q2318=1,数据录入!$B2318&gt;=$B$2,数据录入!$B2318&lt;=$D$2),N(R2317)+1,N(R2317))</f>
      </c>
    </row>
    <row r="2319" s="44" customFormat="1" spans="1:23">
      <c r="A2319" s="116"/>
      <c r="E2319" s="108"/>
      <c r="F2319" s="114"/>
      <c r="G2319" s="114"/>
      <c r="H2319" s="114"/>
      <c r="Q2319" s="44">
        <f>IF(数据录入!$B2319="",0,IF(OR(数据录入!$D2319="投标保证金",数据录入!$D2319="合同履约保证金",ISNUMBER(FIND("保证金",数据录入!$E2319))),1,0))</f>
      </c>
      <c r="R2319" s="44">
        <f>IF(AND($Q2319=1,数据录入!$B2319&gt;=$B$2,数据录入!$B2319&lt;=$D$2),N(R2318)+1,N(R2318))</f>
      </c>
    </row>
    <row r="2320" s="44" customFormat="1" spans="1:23">
      <c r="A2320" s="116"/>
      <c r="E2320" s="108"/>
      <c r="F2320" s="114"/>
      <c r="G2320" s="114"/>
      <c r="H2320" s="114"/>
      <c r="Q2320" s="44">
        <f>IF(数据录入!$B2320="",0,IF(OR(数据录入!$D2320="投标保证金",数据录入!$D2320="合同履约保证金",ISNUMBER(FIND("保证金",数据录入!$E2320))),1,0))</f>
      </c>
      <c r="R2320" s="44">
        <f>IF(AND($Q2320=1,数据录入!$B2320&gt;=$B$2,数据录入!$B2320&lt;=$D$2),N(R2319)+1,N(R2319))</f>
      </c>
    </row>
    <row r="2321" s="44" customFormat="1" spans="1:23">
      <c r="A2321" s="116"/>
      <c r="E2321" s="108"/>
      <c r="F2321" s="114"/>
      <c r="G2321" s="114"/>
      <c r="H2321" s="114"/>
      <c r="Q2321" s="44">
        <f>IF(数据录入!$B2321="",0,IF(OR(数据录入!$D2321="投标保证金",数据录入!$D2321="合同履约保证金",ISNUMBER(FIND("保证金",数据录入!$E2321))),1,0))</f>
      </c>
      <c r="R2321" s="44">
        <f>IF(AND($Q2321=1,数据录入!$B2321&gt;=$B$2,数据录入!$B2321&lt;=$D$2),N(R2320)+1,N(R2320))</f>
      </c>
    </row>
    <row r="2322" s="44" customFormat="1" spans="1:23">
      <c r="A2322" s="116"/>
      <c r="E2322" s="108"/>
      <c r="F2322" s="114"/>
      <c r="G2322" s="114"/>
      <c r="H2322" s="114"/>
      <c r="Q2322" s="44">
        <f>IF(数据录入!$B2322="",0,IF(OR(数据录入!$D2322="投标保证金",数据录入!$D2322="合同履约保证金",ISNUMBER(FIND("保证金",数据录入!$E2322))),1,0))</f>
      </c>
      <c r="R2322" s="44">
        <f>IF(AND($Q2322=1,数据录入!$B2322&gt;=$B$2,数据录入!$B2322&lt;=$D$2),N(R2321)+1,N(R2321))</f>
      </c>
    </row>
    <row r="2323" s="44" customFormat="1" spans="1:23">
      <c r="A2323" s="116"/>
      <c r="E2323" s="108"/>
      <c r="F2323" s="114"/>
      <c r="G2323" s="114"/>
      <c r="H2323" s="114"/>
      <c r="Q2323" s="44">
        <f>IF(数据录入!$B2323="",0,IF(OR(数据录入!$D2323="投标保证金",数据录入!$D2323="合同履约保证金",ISNUMBER(FIND("保证金",数据录入!$E2323))),1,0))</f>
      </c>
      <c r="R2323" s="44">
        <f>IF(AND($Q2323=1,数据录入!$B2323&gt;=$B$2,数据录入!$B2323&lt;=$D$2),N(R2322)+1,N(R2322))</f>
      </c>
    </row>
    <row r="2324" s="44" customFormat="1" spans="1:23">
      <c r="A2324" s="116"/>
      <c r="E2324" s="108"/>
      <c r="F2324" s="114"/>
      <c r="G2324" s="114"/>
      <c r="H2324" s="114"/>
      <c r="Q2324" s="44">
        <f>IF(数据录入!$B2324="",0,IF(OR(数据录入!$D2324="投标保证金",数据录入!$D2324="合同履约保证金",ISNUMBER(FIND("保证金",数据录入!$E2324))),1,0))</f>
      </c>
      <c r="R2324" s="44">
        <f>IF(AND($Q2324=1,数据录入!$B2324&gt;=$B$2,数据录入!$B2324&lt;=$D$2),N(R2323)+1,N(R2323))</f>
      </c>
    </row>
    <row r="2325" s="44" customFormat="1" spans="1:23">
      <c r="A2325" s="116"/>
      <c r="E2325" s="108"/>
      <c r="F2325" s="114"/>
      <c r="G2325" s="114"/>
      <c r="H2325" s="114"/>
      <c r="Q2325" s="44">
        <f>IF(数据录入!$B2325="",0,IF(OR(数据录入!$D2325="投标保证金",数据录入!$D2325="合同履约保证金",ISNUMBER(FIND("保证金",数据录入!$E2325))),1,0))</f>
      </c>
      <c r="R2325" s="44">
        <f>IF(AND($Q2325=1,数据录入!$B2325&gt;=$B$2,数据录入!$B2325&lt;=$D$2),N(R2324)+1,N(R2324))</f>
      </c>
    </row>
    <row r="2326" s="44" customFormat="1" spans="1:23">
      <c r="A2326" s="116"/>
      <c r="E2326" s="108"/>
      <c r="F2326" s="114"/>
      <c r="G2326" s="114"/>
      <c r="H2326" s="114"/>
      <c r="Q2326" s="44">
        <f>IF(数据录入!$B2326="",0,IF(OR(数据录入!$D2326="投标保证金",数据录入!$D2326="合同履约保证金",ISNUMBER(FIND("保证金",数据录入!$E2326))),1,0))</f>
      </c>
      <c r="R2326" s="44">
        <f>IF(AND($Q2326=1,数据录入!$B2326&gt;=$B$2,数据录入!$B2326&lt;=$D$2),N(R2325)+1,N(R2325))</f>
      </c>
    </row>
    <row r="2327" s="44" customFormat="1" spans="1:23">
      <c r="A2327" s="116"/>
      <c r="E2327" s="108"/>
      <c r="F2327" s="114"/>
      <c r="G2327" s="114"/>
      <c r="H2327" s="114"/>
      <c r="Q2327" s="44">
        <f>IF(数据录入!$B2327="",0,IF(OR(数据录入!$D2327="投标保证金",数据录入!$D2327="合同履约保证金",ISNUMBER(FIND("保证金",数据录入!$E2327))),1,0))</f>
      </c>
      <c r="R2327" s="44">
        <f>IF(AND($Q2327=1,数据录入!$B2327&gt;=$B$2,数据录入!$B2327&lt;=$D$2),N(R2326)+1,N(R2326))</f>
      </c>
    </row>
    <row r="2328" s="44" customFormat="1" spans="1:23">
      <c r="A2328" s="116"/>
      <c r="E2328" s="108"/>
      <c r="F2328" s="114"/>
      <c r="G2328" s="114"/>
      <c r="H2328" s="114"/>
      <c r="Q2328" s="44">
        <f>IF(数据录入!$B2328="",0,IF(OR(数据录入!$D2328="投标保证金",数据录入!$D2328="合同履约保证金",ISNUMBER(FIND("保证金",数据录入!$E2328))),1,0))</f>
      </c>
      <c r="R2328" s="44">
        <f>IF(AND($Q2328=1,数据录入!$B2328&gt;=$B$2,数据录入!$B2328&lt;=$D$2),N(R2327)+1,N(R2327))</f>
      </c>
    </row>
    <row r="2329" s="44" customFormat="1" spans="1:23">
      <c r="A2329" s="116"/>
      <c r="E2329" s="108"/>
      <c r="F2329" s="114"/>
      <c r="G2329" s="114"/>
      <c r="H2329" s="114"/>
      <c r="Q2329" s="44">
        <f>IF(数据录入!$B2329="",0,IF(OR(数据录入!$D2329="投标保证金",数据录入!$D2329="合同履约保证金",ISNUMBER(FIND("保证金",数据录入!$E2329))),1,0))</f>
      </c>
      <c r="R2329" s="44">
        <f>IF(AND($Q2329=1,数据录入!$B2329&gt;=$B$2,数据录入!$B2329&lt;=$D$2),N(R2328)+1,N(R2328))</f>
      </c>
    </row>
    <row r="2330" s="44" customFormat="1" spans="1:23">
      <c r="A2330" s="116"/>
      <c r="E2330" s="108"/>
      <c r="F2330" s="114"/>
      <c r="G2330" s="114"/>
      <c r="H2330" s="114"/>
      <c r="Q2330" s="44">
        <f>IF(数据录入!$B2330="",0,IF(OR(数据录入!$D2330="投标保证金",数据录入!$D2330="合同履约保证金",ISNUMBER(FIND("保证金",数据录入!$E2330))),1,0))</f>
      </c>
      <c r="R2330" s="44">
        <f>IF(AND($Q2330=1,数据录入!$B2330&gt;=$B$2,数据录入!$B2330&lt;=$D$2),N(R2329)+1,N(R2329))</f>
      </c>
    </row>
    <row r="2331" s="44" customFormat="1" spans="1:23">
      <c r="A2331" s="116"/>
      <c r="E2331" s="108"/>
      <c r="F2331" s="114"/>
      <c r="G2331" s="114"/>
      <c r="H2331" s="114"/>
      <c r="Q2331" s="44">
        <f>IF(数据录入!$B2331="",0,IF(OR(数据录入!$D2331="投标保证金",数据录入!$D2331="合同履约保证金",ISNUMBER(FIND("保证金",数据录入!$E2331))),1,0))</f>
      </c>
      <c r="R2331" s="44">
        <f>IF(AND($Q2331=1,数据录入!$B2331&gt;=$B$2,数据录入!$B2331&lt;=$D$2),N(R2330)+1,N(R2330))</f>
      </c>
    </row>
    <row r="2332" s="44" customFormat="1" spans="1:23">
      <c r="A2332" s="116"/>
      <c r="E2332" s="108"/>
      <c r="F2332" s="114"/>
      <c r="G2332" s="114"/>
      <c r="H2332" s="114"/>
      <c r="Q2332" s="44">
        <f>IF(数据录入!$B2332="",0,IF(OR(数据录入!$D2332="投标保证金",数据录入!$D2332="合同履约保证金",ISNUMBER(FIND("保证金",数据录入!$E2332))),1,0))</f>
      </c>
      <c r="R2332" s="44">
        <f>IF(AND($Q2332=1,数据录入!$B2332&gt;=$B$2,数据录入!$B2332&lt;=$D$2),N(R2331)+1,N(R2331))</f>
      </c>
    </row>
    <row r="2333" s="44" customFormat="1" spans="1:23">
      <c r="A2333" s="116"/>
      <c r="E2333" s="108"/>
      <c r="F2333" s="114"/>
      <c r="G2333" s="114"/>
      <c r="H2333" s="114"/>
      <c r="Q2333" s="44">
        <f>IF(数据录入!$B2333="",0,IF(OR(数据录入!$D2333="投标保证金",数据录入!$D2333="合同履约保证金",ISNUMBER(FIND("保证金",数据录入!$E2333))),1,0))</f>
      </c>
      <c r="R2333" s="44">
        <f>IF(AND($Q2333=1,数据录入!$B2333&gt;=$B$2,数据录入!$B2333&lt;=$D$2),N(R2332)+1,N(R2332))</f>
      </c>
    </row>
    <row r="2334" s="44" customFormat="1" spans="1:23">
      <c r="A2334" s="116"/>
      <c r="E2334" s="108"/>
      <c r="F2334" s="114"/>
      <c r="G2334" s="114"/>
      <c r="H2334" s="114"/>
      <c r="Q2334" s="44">
        <f>IF(数据录入!$B2334="",0,IF(OR(数据录入!$D2334="投标保证金",数据录入!$D2334="合同履约保证金",ISNUMBER(FIND("保证金",数据录入!$E2334))),1,0))</f>
      </c>
      <c r="R2334" s="44">
        <f>IF(AND($Q2334=1,数据录入!$B2334&gt;=$B$2,数据录入!$B2334&lt;=$D$2),N(R2333)+1,N(R2333))</f>
      </c>
    </row>
    <row r="2335" s="44" customFormat="1" spans="1:23">
      <c r="A2335" s="116"/>
      <c r="E2335" s="108"/>
      <c r="F2335" s="114"/>
      <c r="G2335" s="114"/>
      <c r="H2335" s="114"/>
      <c r="Q2335" s="44">
        <f>IF(数据录入!$B2335="",0,IF(OR(数据录入!$D2335="投标保证金",数据录入!$D2335="合同履约保证金",ISNUMBER(FIND("保证金",数据录入!$E2335))),1,0))</f>
      </c>
      <c r="R2335" s="44">
        <f>IF(AND($Q2335=1,数据录入!$B2335&gt;=$B$2,数据录入!$B2335&lt;=$D$2),N(R2334)+1,N(R2334))</f>
      </c>
    </row>
    <row r="2336" s="44" customFormat="1" spans="1:23">
      <c r="A2336" s="116"/>
      <c r="E2336" s="108"/>
      <c r="F2336" s="114"/>
      <c r="G2336" s="114"/>
      <c r="H2336" s="114"/>
      <c r="Q2336" s="44">
        <f>IF(数据录入!$B2336="",0,IF(OR(数据录入!$D2336="投标保证金",数据录入!$D2336="合同履约保证金",ISNUMBER(FIND("保证金",数据录入!$E2336))),1,0))</f>
      </c>
      <c r="R2336" s="44">
        <f>IF(AND($Q2336=1,数据录入!$B2336&gt;=$B$2,数据录入!$B2336&lt;=$D$2),N(R2335)+1,N(R2335))</f>
      </c>
    </row>
    <row r="2337" s="44" customFormat="1" spans="1:23">
      <c r="A2337" s="116"/>
      <c r="E2337" s="108"/>
      <c r="F2337" s="114"/>
      <c r="G2337" s="114"/>
      <c r="H2337" s="114"/>
      <c r="Q2337" s="44">
        <f>IF(数据录入!$B2337="",0,IF(OR(数据录入!$D2337="投标保证金",数据录入!$D2337="合同履约保证金",ISNUMBER(FIND("保证金",数据录入!$E2337))),1,0))</f>
      </c>
      <c r="R2337" s="44">
        <f>IF(AND($Q2337=1,数据录入!$B2337&gt;=$B$2,数据录入!$B2337&lt;=$D$2),N(R2336)+1,N(R2336))</f>
      </c>
    </row>
    <row r="2338" s="44" customFormat="1" spans="1:23">
      <c r="A2338" s="116"/>
      <c r="E2338" s="108"/>
      <c r="F2338" s="114"/>
      <c r="G2338" s="114"/>
      <c r="H2338" s="114"/>
      <c r="Q2338" s="44">
        <f>IF(数据录入!$B2338="",0,IF(OR(数据录入!$D2338="投标保证金",数据录入!$D2338="合同履约保证金",ISNUMBER(FIND("保证金",数据录入!$E2338))),1,0))</f>
      </c>
      <c r="R2338" s="44">
        <f>IF(AND($Q2338=1,数据录入!$B2338&gt;=$B$2,数据录入!$B2338&lt;=$D$2),N(R2337)+1,N(R2337))</f>
      </c>
    </row>
    <row r="2339" s="44" customFormat="1" spans="1:23">
      <c r="A2339" s="116"/>
      <c r="E2339" s="108"/>
      <c r="F2339" s="114"/>
      <c r="G2339" s="114"/>
      <c r="H2339" s="114"/>
      <c r="Q2339" s="44">
        <f>IF(数据录入!$B2339="",0,IF(OR(数据录入!$D2339="投标保证金",数据录入!$D2339="合同履约保证金",ISNUMBER(FIND("保证金",数据录入!$E2339))),1,0))</f>
      </c>
      <c r="R2339" s="44">
        <f>IF(AND($Q2339=1,数据录入!$B2339&gt;=$B$2,数据录入!$B2339&lt;=$D$2),N(R2338)+1,N(R2338))</f>
      </c>
    </row>
    <row r="2340" s="44" customFormat="1" spans="1:23">
      <c r="A2340" s="116"/>
      <c r="E2340" s="108"/>
      <c r="F2340" s="114"/>
      <c r="G2340" s="114"/>
      <c r="H2340" s="114"/>
      <c r="Q2340" s="44">
        <f>IF(数据录入!$B2340="",0,IF(OR(数据录入!$D2340="投标保证金",数据录入!$D2340="合同履约保证金",ISNUMBER(FIND("保证金",数据录入!$E2340))),1,0))</f>
      </c>
      <c r="R2340" s="44">
        <f>IF(AND($Q2340=1,数据录入!$B2340&gt;=$B$2,数据录入!$B2340&lt;=$D$2),N(R2339)+1,N(R2339))</f>
      </c>
    </row>
    <row r="2341" s="44" customFormat="1" spans="1:23">
      <c r="A2341" s="116"/>
      <c r="E2341" s="108"/>
      <c r="F2341" s="114"/>
      <c r="G2341" s="114"/>
      <c r="H2341" s="114"/>
      <c r="Q2341" s="44">
        <f>IF(数据录入!$B2341="",0,IF(OR(数据录入!$D2341="投标保证金",数据录入!$D2341="合同履约保证金",ISNUMBER(FIND("保证金",数据录入!$E2341))),1,0))</f>
      </c>
      <c r="R2341" s="44">
        <f>IF(AND($Q2341=1,数据录入!$B2341&gt;=$B$2,数据录入!$B2341&lt;=$D$2),N(R2340)+1,N(R2340))</f>
      </c>
    </row>
    <row r="2342" s="44" customFormat="1" spans="1:23">
      <c r="A2342" s="116"/>
      <c r="E2342" s="108"/>
      <c r="F2342" s="114"/>
      <c r="G2342" s="114"/>
      <c r="H2342" s="114"/>
      <c r="Q2342" s="44">
        <f>IF(数据录入!$B2342="",0,IF(OR(数据录入!$D2342="投标保证金",数据录入!$D2342="合同履约保证金",ISNUMBER(FIND("保证金",数据录入!$E2342))),1,0))</f>
      </c>
      <c r="R2342" s="44">
        <f>IF(AND($Q2342=1,数据录入!$B2342&gt;=$B$2,数据录入!$B2342&lt;=$D$2),N(R2341)+1,N(R2341))</f>
      </c>
    </row>
    <row r="2343" s="44" customFormat="1" spans="1:23">
      <c r="A2343" s="116"/>
      <c r="E2343" s="108"/>
      <c r="F2343" s="114"/>
      <c r="G2343" s="114"/>
      <c r="H2343" s="114"/>
      <c r="Q2343" s="44">
        <f>IF(数据录入!$B2343="",0,IF(OR(数据录入!$D2343="投标保证金",数据录入!$D2343="合同履约保证金",ISNUMBER(FIND("保证金",数据录入!$E2343))),1,0))</f>
      </c>
      <c r="R2343" s="44">
        <f>IF(AND($Q2343=1,数据录入!$B2343&gt;=$B$2,数据录入!$B2343&lt;=$D$2),N(R2342)+1,N(R2342))</f>
      </c>
    </row>
    <row r="2344" s="44" customFormat="1" spans="1:23">
      <c r="A2344" s="116"/>
      <c r="E2344" s="108"/>
      <c r="F2344" s="114"/>
      <c r="G2344" s="114"/>
      <c r="H2344" s="114"/>
      <c r="Q2344" s="44">
        <f>IF(数据录入!$B2344="",0,IF(OR(数据录入!$D2344="投标保证金",数据录入!$D2344="合同履约保证金",ISNUMBER(FIND("保证金",数据录入!$E2344))),1,0))</f>
      </c>
      <c r="R2344" s="44">
        <f>IF(AND($Q2344=1,数据录入!$B2344&gt;=$B$2,数据录入!$B2344&lt;=$D$2),N(R2343)+1,N(R2343))</f>
      </c>
    </row>
    <row r="2345" s="44" customFormat="1" spans="1:23">
      <c r="A2345" s="116"/>
      <c r="E2345" s="108"/>
      <c r="F2345" s="114"/>
      <c r="G2345" s="114"/>
      <c r="H2345" s="114"/>
      <c r="Q2345" s="44">
        <f>IF(数据录入!$B2345="",0,IF(OR(数据录入!$D2345="投标保证金",数据录入!$D2345="合同履约保证金",ISNUMBER(FIND("保证金",数据录入!$E2345))),1,0))</f>
      </c>
      <c r="R2345" s="44">
        <f>IF(AND($Q2345=1,数据录入!$B2345&gt;=$B$2,数据录入!$B2345&lt;=$D$2),N(R2344)+1,N(R2344))</f>
      </c>
    </row>
    <row r="2346" s="44" customFormat="1" spans="1:23">
      <c r="A2346" s="116"/>
      <c r="E2346" s="108"/>
      <c r="F2346" s="114"/>
      <c r="G2346" s="114"/>
      <c r="H2346" s="114"/>
      <c r="Q2346" s="44">
        <f>IF(数据录入!$B2346="",0,IF(OR(数据录入!$D2346="投标保证金",数据录入!$D2346="合同履约保证金",ISNUMBER(FIND("保证金",数据录入!$E2346))),1,0))</f>
      </c>
      <c r="R2346" s="44">
        <f>IF(AND($Q2346=1,数据录入!$B2346&gt;=$B$2,数据录入!$B2346&lt;=$D$2),N(R2345)+1,N(R2345))</f>
      </c>
    </row>
    <row r="2347" s="44" customFormat="1" spans="1:23">
      <c r="A2347" s="116"/>
      <c r="E2347" s="108"/>
      <c r="F2347" s="114"/>
      <c r="G2347" s="114"/>
      <c r="H2347" s="114"/>
      <c r="Q2347" s="44">
        <f>IF(数据录入!$B2347="",0,IF(OR(数据录入!$D2347="投标保证金",数据录入!$D2347="合同履约保证金",ISNUMBER(FIND("保证金",数据录入!$E2347))),1,0))</f>
      </c>
      <c r="R2347" s="44">
        <f>IF(AND($Q2347=1,数据录入!$B2347&gt;=$B$2,数据录入!$B2347&lt;=$D$2),N(R2346)+1,N(R2346))</f>
      </c>
    </row>
    <row r="2348" s="44" customFormat="1" spans="1:23">
      <c r="A2348" s="116"/>
      <c r="E2348" s="108"/>
      <c r="F2348" s="114"/>
      <c r="G2348" s="114"/>
      <c r="H2348" s="114"/>
      <c r="Q2348" s="44">
        <f>IF(数据录入!$B2348="",0,IF(OR(数据录入!$D2348="投标保证金",数据录入!$D2348="合同履约保证金",ISNUMBER(FIND("保证金",数据录入!$E2348))),1,0))</f>
      </c>
      <c r="R2348" s="44">
        <f>IF(AND($Q2348=1,数据录入!$B2348&gt;=$B$2,数据录入!$B2348&lt;=$D$2),N(R2347)+1,N(R2347))</f>
      </c>
    </row>
    <row r="2349" s="44" customFormat="1" spans="1:23">
      <c r="A2349" s="116"/>
      <c r="E2349" s="108"/>
      <c r="F2349" s="114"/>
      <c r="G2349" s="114"/>
      <c r="H2349" s="114"/>
      <c r="Q2349" s="44">
        <f>IF(数据录入!$B2349="",0,IF(OR(数据录入!$D2349="投标保证金",数据录入!$D2349="合同履约保证金",ISNUMBER(FIND("保证金",数据录入!$E2349))),1,0))</f>
      </c>
      <c r="R2349" s="44">
        <f>IF(AND($Q2349=1,数据录入!$B2349&gt;=$B$2,数据录入!$B2349&lt;=$D$2),N(R2348)+1,N(R2348))</f>
      </c>
    </row>
    <row r="2350" s="44" customFormat="1" spans="1:23">
      <c r="A2350" s="116"/>
      <c r="E2350" s="108"/>
      <c r="F2350" s="114"/>
      <c r="G2350" s="114"/>
      <c r="H2350" s="114"/>
      <c r="Q2350" s="44">
        <f>IF(数据录入!$B2350="",0,IF(OR(数据录入!$D2350="投标保证金",数据录入!$D2350="合同履约保证金",ISNUMBER(FIND("保证金",数据录入!$E2350))),1,0))</f>
      </c>
      <c r="R2350" s="44">
        <f>IF(AND($Q2350=1,数据录入!$B2350&gt;=$B$2,数据录入!$B2350&lt;=$D$2),N(R2349)+1,N(R2349))</f>
      </c>
    </row>
    <row r="2351" s="44" customFormat="1" spans="1:23">
      <c r="A2351" s="116"/>
      <c r="E2351" s="108"/>
      <c r="F2351" s="114"/>
      <c r="G2351" s="114"/>
      <c r="H2351" s="114"/>
      <c r="Q2351" s="44">
        <f>IF(数据录入!$B2351="",0,IF(OR(数据录入!$D2351="投标保证金",数据录入!$D2351="合同履约保证金",ISNUMBER(FIND("保证金",数据录入!$E2351))),1,0))</f>
      </c>
      <c r="R2351" s="44">
        <f>IF(AND($Q2351=1,数据录入!$B2351&gt;=$B$2,数据录入!$B2351&lt;=$D$2),N(R2350)+1,N(R2350))</f>
      </c>
    </row>
    <row r="2352" s="44" customFormat="1" spans="1:23">
      <c r="A2352" s="116"/>
      <c r="E2352" s="108"/>
      <c r="F2352" s="114"/>
      <c r="G2352" s="114"/>
      <c r="H2352" s="114"/>
      <c r="Q2352" s="44">
        <f>IF(数据录入!$B2352="",0,IF(OR(数据录入!$D2352="投标保证金",数据录入!$D2352="合同履约保证金",ISNUMBER(FIND("保证金",数据录入!$E2352))),1,0))</f>
      </c>
      <c r="R2352" s="44">
        <f>IF(AND($Q2352=1,数据录入!$B2352&gt;=$B$2,数据录入!$B2352&lt;=$D$2),N(R2351)+1,N(R2351))</f>
      </c>
    </row>
    <row r="2353" s="44" customFormat="1" spans="1:23">
      <c r="A2353" s="116"/>
      <c r="E2353" s="108"/>
      <c r="F2353" s="114"/>
      <c r="G2353" s="114"/>
      <c r="H2353" s="114"/>
      <c r="Q2353" s="44">
        <f>IF(数据录入!$B2353="",0,IF(OR(数据录入!$D2353="投标保证金",数据录入!$D2353="合同履约保证金",ISNUMBER(FIND("保证金",数据录入!$E2353))),1,0))</f>
      </c>
      <c r="R2353" s="44">
        <f>IF(AND($Q2353=1,数据录入!$B2353&gt;=$B$2,数据录入!$B2353&lt;=$D$2),N(R2352)+1,N(R2352))</f>
      </c>
    </row>
    <row r="2354" s="44" customFormat="1" spans="1:23">
      <c r="A2354" s="116"/>
      <c r="E2354" s="108"/>
      <c r="F2354" s="114"/>
      <c r="G2354" s="114"/>
      <c r="H2354" s="114"/>
      <c r="Q2354" s="44">
        <f>IF(数据录入!$B2354="",0,IF(OR(数据录入!$D2354="投标保证金",数据录入!$D2354="合同履约保证金",ISNUMBER(FIND("保证金",数据录入!$E2354))),1,0))</f>
      </c>
      <c r="R2354" s="44">
        <f>IF(AND($Q2354=1,数据录入!$B2354&gt;=$B$2,数据录入!$B2354&lt;=$D$2),N(R2353)+1,N(R2353))</f>
      </c>
    </row>
    <row r="2355" s="44" customFormat="1" spans="1:23">
      <c r="A2355" s="116"/>
      <c r="E2355" s="108"/>
      <c r="F2355" s="114"/>
      <c r="G2355" s="114"/>
      <c r="H2355" s="114"/>
      <c r="Q2355" s="44">
        <f>IF(数据录入!$B2355="",0,IF(OR(数据录入!$D2355="投标保证金",数据录入!$D2355="合同履约保证金",ISNUMBER(FIND("保证金",数据录入!$E2355))),1,0))</f>
      </c>
      <c r="R2355" s="44">
        <f>IF(AND($Q2355=1,数据录入!$B2355&gt;=$B$2,数据录入!$B2355&lt;=$D$2),N(R2354)+1,N(R2354))</f>
      </c>
    </row>
    <row r="2356" s="44" customFormat="1" spans="1:23">
      <c r="A2356" s="116"/>
      <c r="E2356" s="108"/>
      <c r="F2356" s="114"/>
      <c r="G2356" s="114"/>
      <c r="H2356" s="114"/>
      <c r="Q2356" s="44">
        <f>IF(数据录入!$B2356="",0,IF(OR(数据录入!$D2356="投标保证金",数据录入!$D2356="合同履约保证金",ISNUMBER(FIND("保证金",数据录入!$E2356))),1,0))</f>
      </c>
      <c r="R2356" s="44">
        <f>IF(AND($Q2356=1,数据录入!$B2356&gt;=$B$2,数据录入!$B2356&lt;=$D$2),N(R2355)+1,N(R2355))</f>
      </c>
    </row>
    <row r="2357" s="44" customFormat="1" spans="1:23">
      <c r="A2357" s="116"/>
      <c r="E2357" s="108"/>
      <c r="F2357" s="114"/>
      <c r="G2357" s="114"/>
      <c r="H2357" s="114"/>
      <c r="Q2357" s="44">
        <f>IF(数据录入!$B2357="",0,IF(OR(数据录入!$D2357="投标保证金",数据录入!$D2357="合同履约保证金",ISNUMBER(FIND("保证金",数据录入!$E2357))),1,0))</f>
      </c>
      <c r="R2357" s="44">
        <f>IF(AND($Q2357=1,数据录入!$B2357&gt;=$B$2,数据录入!$B2357&lt;=$D$2),N(R2356)+1,N(R2356))</f>
      </c>
    </row>
    <row r="2358" s="44" customFormat="1" spans="1:23">
      <c r="A2358" s="116"/>
      <c r="E2358" s="108"/>
      <c r="F2358" s="114"/>
      <c r="G2358" s="114"/>
      <c r="H2358" s="114"/>
      <c r="Q2358" s="44">
        <f>IF(数据录入!$B2358="",0,IF(OR(数据录入!$D2358="投标保证金",数据录入!$D2358="合同履约保证金",ISNUMBER(FIND("保证金",数据录入!$E2358))),1,0))</f>
      </c>
      <c r="R2358" s="44">
        <f>IF(AND($Q2358=1,数据录入!$B2358&gt;=$B$2,数据录入!$B2358&lt;=$D$2),N(R2357)+1,N(R2357))</f>
      </c>
    </row>
    <row r="2359" s="44" customFormat="1" spans="1:23">
      <c r="A2359" s="116"/>
      <c r="E2359" s="108"/>
      <c r="F2359" s="114"/>
      <c r="G2359" s="114"/>
      <c r="H2359" s="114"/>
      <c r="Q2359" s="44">
        <f>IF(数据录入!$B2359="",0,IF(OR(数据录入!$D2359="投标保证金",数据录入!$D2359="合同履约保证金",ISNUMBER(FIND("保证金",数据录入!$E2359))),1,0))</f>
      </c>
      <c r="R2359" s="44">
        <f>IF(AND($Q2359=1,数据录入!$B2359&gt;=$B$2,数据录入!$B2359&lt;=$D$2),N(R2358)+1,N(R2358))</f>
      </c>
    </row>
    <row r="2360" s="44" customFormat="1" spans="1:23">
      <c r="A2360" s="116"/>
      <c r="E2360" s="108"/>
      <c r="F2360" s="114"/>
      <c r="G2360" s="114"/>
      <c r="H2360" s="114"/>
      <c r="Q2360" s="44">
        <f>IF(数据录入!$B2360="",0,IF(OR(数据录入!$D2360="投标保证金",数据录入!$D2360="合同履约保证金",ISNUMBER(FIND("保证金",数据录入!$E2360))),1,0))</f>
      </c>
      <c r="R2360" s="44">
        <f>IF(AND($Q2360=1,数据录入!$B2360&gt;=$B$2,数据录入!$B2360&lt;=$D$2),N(R2359)+1,N(R2359))</f>
      </c>
    </row>
    <row r="2361" s="44" customFormat="1" spans="1:23">
      <c r="A2361" s="116"/>
      <c r="E2361" s="108"/>
      <c r="F2361" s="114"/>
      <c r="G2361" s="114"/>
      <c r="H2361" s="114"/>
      <c r="Q2361" s="44">
        <f>IF(数据录入!$B2361="",0,IF(OR(数据录入!$D2361="投标保证金",数据录入!$D2361="合同履约保证金",ISNUMBER(FIND("保证金",数据录入!$E2361))),1,0))</f>
      </c>
      <c r="R2361" s="44">
        <f>IF(AND($Q2361=1,数据录入!$B2361&gt;=$B$2,数据录入!$B2361&lt;=$D$2),N(R2360)+1,N(R2360))</f>
      </c>
    </row>
    <row r="2362" s="44" customFormat="1" spans="1:23">
      <c r="A2362" s="116"/>
      <c r="E2362" s="108"/>
      <c r="F2362" s="114"/>
      <c r="G2362" s="114"/>
      <c r="H2362" s="114"/>
      <c r="Q2362" s="44">
        <f>IF(数据录入!$B2362="",0,IF(OR(数据录入!$D2362="投标保证金",数据录入!$D2362="合同履约保证金",ISNUMBER(FIND("保证金",数据录入!$E2362))),1,0))</f>
      </c>
      <c r="R2362" s="44">
        <f>IF(AND($Q2362=1,数据录入!$B2362&gt;=$B$2,数据录入!$B2362&lt;=$D$2),N(R2361)+1,N(R2361))</f>
      </c>
    </row>
    <row r="2363" s="44" customFormat="1" spans="1:23">
      <c r="A2363" s="116"/>
      <c r="E2363" s="108"/>
      <c r="F2363" s="114"/>
      <c r="G2363" s="114"/>
      <c r="H2363" s="114"/>
      <c r="Q2363" s="44">
        <f>IF(数据录入!$B2363="",0,IF(OR(数据录入!$D2363="投标保证金",数据录入!$D2363="合同履约保证金",ISNUMBER(FIND("保证金",数据录入!$E2363))),1,0))</f>
      </c>
      <c r="R2363" s="44">
        <f>IF(AND($Q2363=1,数据录入!$B2363&gt;=$B$2,数据录入!$B2363&lt;=$D$2),N(R2362)+1,N(R2362))</f>
      </c>
    </row>
    <row r="2364" s="44" customFormat="1" spans="1:23">
      <c r="A2364" s="116"/>
      <c r="E2364" s="108"/>
      <c r="F2364" s="114"/>
      <c r="G2364" s="114"/>
      <c r="H2364" s="114"/>
      <c r="Q2364" s="44">
        <f>IF(数据录入!$B2364="",0,IF(OR(数据录入!$D2364="投标保证金",数据录入!$D2364="合同履约保证金",ISNUMBER(FIND("保证金",数据录入!$E2364))),1,0))</f>
      </c>
      <c r="R2364" s="44">
        <f>IF(AND($Q2364=1,数据录入!$B2364&gt;=$B$2,数据录入!$B2364&lt;=$D$2),N(R2363)+1,N(R2363))</f>
      </c>
    </row>
    <row r="2365" s="44" customFormat="1" spans="1:23">
      <c r="A2365" s="116"/>
      <c r="E2365" s="108"/>
      <c r="F2365" s="114"/>
      <c r="G2365" s="114"/>
      <c r="H2365" s="114"/>
      <c r="Q2365" s="44">
        <f>IF(数据录入!$B2365="",0,IF(OR(数据录入!$D2365="投标保证金",数据录入!$D2365="合同履约保证金",ISNUMBER(FIND("保证金",数据录入!$E2365))),1,0))</f>
      </c>
      <c r="R2365" s="44">
        <f>IF(AND($Q2365=1,数据录入!$B2365&gt;=$B$2,数据录入!$B2365&lt;=$D$2),N(R2364)+1,N(R2364))</f>
      </c>
    </row>
    <row r="2366" s="44" customFormat="1" spans="1:23">
      <c r="A2366" s="116"/>
      <c r="E2366" s="108"/>
      <c r="F2366" s="114"/>
      <c r="G2366" s="114"/>
      <c r="H2366" s="114"/>
      <c r="Q2366" s="44">
        <f>IF(数据录入!$B2366="",0,IF(OR(数据录入!$D2366="投标保证金",数据录入!$D2366="合同履约保证金",ISNUMBER(FIND("保证金",数据录入!$E2366))),1,0))</f>
      </c>
      <c r="R2366" s="44">
        <f>IF(AND($Q2366=1,数据录入!$B2366&gt;=$B$2,数据录入!$B2366&lt;=$D$2),N(R2365)+1,N(R2365))</f>
      </c>
    </row>
    <row r="2367" s="44" customFormat="1" spans="1:23">
      <c r="A2367" s="116"/>
      <c r="E2367" s="108"/>
      <c r="F2367" s="114"/>
      <c r="G2367" s="114"/>
      <c r="H2367" s="114"/>
      <c r="Q2367" s="44">
        <f>IF(数据录入!$B2367="",0,IF(OR(数据录入!$D2367="投标保证金",数据录入!$D2367="合同履约保证金",ISNUMBER(FIND("保证金",数据录入!$E2367))),1,0))</f>
      </c>
      <c r="R2367" s="44">
        <f>IF(AND($Q2367=1,数据录入!$B2367&gt;=$B$2,数据录入!$B2367&lt;=$D$2),N(R2366)+1,N(R2366))</f>
      </c>
    </row>
    <row r="2368" s="44" customFormat="1" spans="1:23">
      <c r="A2368" s="116"/>
      <c r="E2368" s="108"/>
      <c r="F2368" s="114"/>
      <c r="G2368" s="114"/>
      <c r="H2368" s="114"/>
      <c r="Q2368" s="44">
        <f>IF(数据录入!$B2368="",0,IF(OR(数据录入!$D2368="投标保证金",数据录入!$D2368="合同履约保证金",ISNUMBER(FIND("保证金",数据录入!$E2368))),1,0))</f>
      </c>
      <c r="R2368" s="44">
        <f>IF(AND($Q2368=1,数据录入!$B2368&gt;=$B$2,数据录入!$B2368&lt;=$D$2),N(R2367)+1,N(R2367))</f>
      </c>
    </row>
    <row r="2369" s="44" customFormat="1" spans="1:23">
      <c r="A2369" s="116"/>
      <c r="E2369" s="108"/>
      <c r="F2369" s="114"/>
      <c r="G2369" s="114"/>
      <c r="H2369" s="114"/>
      <c r="Q2369" s="44">
        <f>IF(数据录入!$B2369="",0,IF(OR(数据录入!$D2369="投标保证金",数据录入!$D2369="合同履约保证金",ISNUMBER(FIND("保证金",数据录入!$E2369))),1,0))</f>
      </c>
      <c r="R2369" s="44">
        <f>IF(AND($Q2369=1,数据录入!$B2369&gt;=$B$2,数据录入!$B2369&lt;=$D$2),N(R2368)+1,N(R2368))</f>
      </c>
    </row>
    <row r="2370" s="44" customFormat="1" spans="1:23">
      <c r="A2370" s="116"/>
      <c r="E2370" s="108"/>
      <c r="F2370" s="114"/>
      <c r="G2370" s="114"/>
      <c r="H2370" s="114"/>
      <c r="Q2370" s="44">
        <f>IF(数据录入!$B2370="",0,IF(OR(数据录入!$D2370="投标保证金",数据录入!$D2370="合同履约保证金",ISNUMBER(FIND("保证金",数据录入!$E2370))),1,0))</f>
      </c>
      <c r="R2370" s="44">
        <f>IF(AND($Q2370=1,数据录入!$B2370&gt;=$B$2,数据录入!$B2370&lt;=$D$2),N(R2369)+1,N(R2369))</f>
      </c>
    </row>
    <row r="2371" s="44" customFormat="1" spans="1:23">
      <c r="A2371" s="116"/>
      <c r="E2371" s="108"/>
      <c r="F2371" s="114"/>
      <c r="G2371" s="114"/>
      <c r="H2371" s="114"/>
      <c r="Q2371" s="44">
        <f>IF(数据录入!$B2371="",0,IF(OR(数据录入!$D2371="投标保证金",数据录入!$D2371="合同履约保证金",ISNUMBER(FIND("保证金",数据录入!$E2371))),1,0))</f>
      </c>
      <c r="R2371" s="44">
        <f>IF(AND($Q2371=1,数据录入!$B2371&gt;=$B$2,数据录入!$B2371&lt;=$D$2),N(R2370)+1,N(R2370))</f>
      </c>
    </row>
    <row r="2372" s="44" customFormat="1" spans="1:23">
      <c r="A2372" s="116"/>
      <c r="E2372" s="108"/>
      <c r="F2372" s="114"/>
      <c r="G2372" s="114"/>
      <c r="H2372" s="114"/>
      <c r="Q2372" s="44">
        <f>IF(数据录入!$B2372="",0,IF(OR(数据录入!$D2372="投标保证金",数据录入!$D2372="合同履约保证金",ISNUMBER(FIND("保证金",数据录入!$E2372))),1,0))</f>
      </c>
      <c r="R2372" s="44">
        <f>IF(AND($Q2372=1,数据录入!$B2372&gt;=$B$2,数据录入!$B2372&lt;=$D$2),N(R2371)+1,N(R2371))</f>
      </c>
    </row>
    <row r="2373" s="44" customFormat="1" spans="1:23">
      <c r="A2373" s="116"/>
      <c r="E2373" s="108"/>
      <c r="F2373" s="114"/>
      <c r="G2373" s="114"/>
      <c r="H2373" s="114"/>
      <c r="Q2373" s="44">
        <f>IF(数据录入!$B2373="",0,IF(OR(数据录入!$D2373="投标保证金",数据录入!$D2373="合同履约保证金",ISNUMBER(FIND("保证金",数据录入!$E2373))),1,0))</f>
      </c>
      <c r="R2373" s="44">
        <f>IF(AND($Q2373=1,数据录入!$B2373&gt;=$B$2,数据录入!$B2373&lt;=$D$2),N(R2372)+1,N(R2372))</f>
      </c>
    </row>
    <row r="2374" s="44" customFormat="1" spans="1:23">
      <c r="A2374" s="116"/>
      <c r="E2374" s="108"/>
      <c r="F2374" s="114"/>
      <c r="G2374" s="114"/>
      <c r="H2374" s="114"/>
      <c r="Q2374" s="44">
        <f>IF(数据录入!$B2374="",0,IF(OR(数据录入!$D2374="投标保证金",数据录入!$D2374="合同履约保证金",ISNUMBER(FIND("保证金",数据录入!$E2374))),1,0))</f>
      </c>
      <c r="R2374" s="44">
        <f>IF(AND($Q2374=1,数据录入!$B2374&gt;=$B$2,数据录入!$B2374&lt;=$D$2),N(R2373)+1,N(R2373))</f>
      </c>
    </row>
    <row r="2375" s="44" customFormat="1" spans="1:23">
      <c r="A2375" s="116"/>
      <c r="E2375" s="108"/>
      <c r="F2375" s="114"/>
      <c r="G2375" s="114"/>
      <c r="H2375" s="114"/>
      <c r="Q2375" s="44">
        <f>IF(数据录入!$B2375="",0,IF(OR(数据录入!$D2375="投标保证金",数据录入!$D2375="合同履约保证金",ISNUMBER(FIND("保证金",数据录入!$E2375))),1,0))</f>
      </c>
      <c r="R2375" s="44">
        <f>IF(AND($Q2375=1,数据录入!$B2375&gt;=$B$2,数据录入!$B2375&lt;=$D$2),N(R2374)+1,N(R2374))</f>
      </c>
    </row>
    <row r="2376" s="44" customFormat="1" spans="1:23">
      <c r="A2376" s="116"/>
      <c r="E2376" s="108"/>
      <c r="F2376" s="114"/>
      <c r="G2376" s="114"/>
      <c r="H2376" s="114"/>
      <c r="Q2376" s="44">
        <f>IF(数据录入!$B2376="",0,IF(OR(数据录入!$D2376="投标保证金",数据录入!$D2376="合同履约保证金",ISNUMBER(FIND("保证金",数据录入!$E2376))),1,0))</f>
      </c>
      <c r="R2376" s="44">
        <f>IF(AND($Q2376=1,数据录入!$B2376&gt;=$B$2,数据录入!$B2376&lt;=$D$2),N(R2375)+1,N(R2375))</f>
      </c>
    </row>
    <row r="2377" s="44" customFormat="1" spans="1:23">
      <c r="A2377" s="116"/>
      <c r="E2377" s="108"/>
      <c r="F2377" s="114"/>
      <c r="G2377" s="114"/>
      <c r="H2377" s="114"/>
      <c r="Q2377" s="44">
        <f>IF(数据录入!$B2377="",0,IF(OR(数据录入!$D2377="投标保证金",数据录入!$D2377="合同履约保证金",ISNUMBER(FIND("保证金",数据录入!$E2377))),1,0))</f>
      </c>
      <c r="R2377" s="44">
        <f>IF(AND($Q2377=1,数据录入!$B2377&gt;=$B$2,数据录入!$B2377&lt;=$D$2),N(R2376)+1,N(R2376))</f>
      </c>
    </row>
    <row r="2378" s="44" customFormat="1" spans="1:23">
      <c r="A2378" s="116"/>
      <c r="E2378" s="108"/>
      <c r="F2378" s="114"/>
      <c r="G2378" s="114"/>
      <c r="H2378" s="114"/>
      <c r="Q2378" s="44">
        <f>IF(数据录入!$B2378="",0,IF(OR(数据录入!$D2378="投标保证金",数据录入!$D2378="合同履约保证金",ISNUMBER(FIND("保证金",数据录入!$E2378))),1,0))</f>
      </c>
      <c r="R2378" s="44">
        <f>IF(AND($Q2378=1,数据录入!$B2378&gt;=$B$2,数据录入!$B2378&lt;=$D$2),N(R2377)+1,N(R2377))</f>
      </c>
    </row>
    <row r="2379" s="44" customFormat="1" spans="1:23">
      <c r="A2379" s="116"/>
      <c r="E2379" s="108"/>
      <c r="F2379" s="114"/>
      <c r="G2379" s="114"/>
      <c r="H2379" s="114"/>
      <c r="Q2379" s="44">
        <f>IF(数据录入!$B2379="",0,IF(OR(数据录入!$D2379="投标保证金",数据录入!$D2379="合同履约保证金",ISNUMBER(FIND("保证金",数据录入!$E2379))),1,0))</f>
      </c>
      <c r="R2379" s="44">
        <f>IF(AND($Q2379=1,数据录入!$B2379&gt;=$B$2,数据录入!$B2379&lt;=$D$2),N(R2378)+1,N(R2378))</f>
      </c>
    </row>
    <row r="2380" s="44" customFormat="1" spans="1:23">
      <c r="A2380" s="116"/>
      <c r="E2380" s="108"/>
      <c r="F2380" s="114"/>
      <c r="G2380" s="114"/>
      <c r="H2380" s="114"/>
      <c r="Q2380" s="44">
        <f>IF(数据录入!$B2380="",0,IF(OR(数据录入!$D2380="投标保证金",数据录入!$D2380="合同履约保证金",ISNUMBER(FIND("保证金",数据录入!$E2380))),1,0))</f>
      </c>
      <c r="R2380" s="44">
        <f>IF(AND($Q2380=1,数据录入!$B2380&gt;=$B$2,数据录入!$B2380&lt;=$D$2),N(R2379)+1,N(R2379))</f>
      </c>
    </row>
    <row r="2381" s="44" customFormat="1" spans="1:23">
      <c r="A2381" s="116"/>
      <c r="E2381" s="108"/>
      <c r="F2381" s="114"/>
      <c r="G2381" s="114"/>
      <c r="H2381" s="114"/>
      <c r="Q2381" s="44">
        <f>IF(数据录入!$B2381="",0,IF(OR(数据录入!$D2381="投标保证金",数据录入!$D2381="合同履约保证金",ISNUMBER(FIND("保证金",数据录入!$E2381))),1,0))</f>
      </c>
      <c r="R2381" s="44">
        <f>IF(AND($Q2381=1,数据录入!$B2381&gt;=$B$2,数据录入!$B2381&lt;=$D$2),N(R2380)+1,N(R2380))</f>
      </c>
    </row>
    <row r="2382" s="44" customFormat="1" spans="1:23">
      <c r="A2382" s="116"/>
      <c r="E2382" s="108"/>
      <c r="F2382" s="114"/>
      <c r="G2382" s="114"/>
      <c r="H2382" s="114"/>
      <c r="Q2382" s="44">
        <f>IF(数据录入!$B2382="",0,IF(OR(数据录入!$D2382="投标保证金",数据录入!$D2382="合同履约保证金",ISNUMBER(FIND("保证金",数据录入!$E2382))),1,0))</f>
      </c>
      <c r="R2382" s="44">
        <f>IF(AND($Q2382=1,数据录入!$B2382&gt;=$B$2,数据录入!$B2382&lt;=$D$2),N(R2381)+1,N(R2381))</f>
      </c>
    </row>
    <row r="2383" s="44" customFormat="1" spans="1:23">
      <c r="A2383" s="116"/>
      <c r="E2383" s="108"/>
      <c r="F2383" s="114"/>
      <c r="G2383" s="114"/>
      <c r="H2383" s="114"/>
      <c r="Q2383" s="44">
        <f>IF(数据录入!$B2383="",0,IF(OR(数据录入!$D2383="投标保证金",数据录入!$D2383="合同履约保证金",ISNUMBER(FIND("保证金",数据录入!$E2383))),1,0))</f>
      </c>
      <c r="R2383" s="44">
        <f>IF(AND($Q2383=1,数据录入!$B2383&gt;=$B$2,数据录入!$B2383&lt;=$D$2),N(R2382)+1,N(R2382))</f>
      </c>
    </row>
    <row r="2384" s="44" customFormat="1" spans="1:23">
      <c r="A2384" s="116"/>
      <c r="E2384" s="108"/>
      <c r="F2384" s="114"/>
      <c r="G2384" s="114"/>
      <c r="H2384" s="114"/>
      <c r="Q2384" s="44">
        <f>IF(数据录入!$B2384="",0,IF(OR(数据录入!$D2384="投标保证金",数据录入!$D2384="合同履约保证金",ISNUMBER(FIND("保证金",数据录入!$E2384))),1,0))</f>
      </c>
      <c r="R2384" s="44">
        <f>IF(AND($Q2384=1,数据录入!$B2384&gt;=$B$2,数据录入!$B2384&lt;=$D$2),N(R2383)+1,N(R2383))</f>
      </c>
    </row>
    <row r="2385" s="44" customFormat="1" spans="1:23">
      <c r="A2385" s="116"/>
      <c r="E2385" s="108"/>
      <c r="F2385" s="114"/>
      <c r="G2385" s="114"/>
      <c r="H2385" s="114"/>
      <c r="Q2385" s="44">
        <f>IF(数据录入!$B2385="",0,IF(OR(数据录入!$D2385="投标保证金",数据录入!$D2385="合同履约保证金",ISNUMBER(FIND("保证金",数据录入!$E2385))),1,0))</f>
      </c>
      <c r="R2385" s="44">
        <f>IF(AND($Q2385=1,数据录入!$B2385&gt;=$B$2,数据录入!$B2385&lt;=$D$2),N(R2384)+1,N(R2384))</f>
      </c>
    </row>
    <row r="2386" s="44" customFormat="1" spans="1:23">
      <c r="A2386" s="116"/>
      <c r="E2386" s="108"/>
      <c r="F2386" s="114"/>
      <c r="G2386" s="114"/>
      <c r="H2386" s="114"/>
      <c r="Q2386" s="44">
        <f>IF(数据录入!$B2386="",0,IF(OR(数据录入!$D2386="投标保证金",数据录入!$D2386="合同履约保证金",ISNUMBER(FIND("保证金",数据录入!$E2386))),1,0))</f>
      </c>
      <c r="R2386" s="44">
        <f>IF(AND($Q2386=1,数据录入!$B2386&gt;=$B$2,数据录入!$B2386&lt;=$D$2),N(R2385)+1,N(R2385))</f>
      </c>
    </row>
    <row r="2387" s="44" customFormat="1" spans="1:23">
      <c r="A2387" s="116"/>
      <c r="E2387" s="108"/>
      <c r="F2387" s="114"/>
      <c r="G2387" s="114"/>
      <c r="H2387" s="114"/>
      <c r="Q2387" s="44">
        <f>IF(数据录入!$B2387="",0,IF(OR(数据录入!$D2387="投标保证金",数据录入!$D2387="合同履约保证金",ISNUMBER(FIND("保证金",数据录入!$E2387))),1,0))</f>
      </c>
      <c r="R2387" s="44">
        <f>IF(AND($Q2387=1,数据录入!$B2387&gt;=$B$2,数据录入!$B2387&lt;=$D$2),N(R2386)+1,N(R2386))</f>
      </c>
    </row>
    <row r="2388" s="44" customFormat="1" spans="1:23">
      <c r="A2388" s="116"/>
      <c r="E2388" s="108"/>
      <c r="F2388" s="114"/>
      <c r="G2388" s="114"/>
      <c r="H2388" s="114"/>
      <c r="Q2388" s="44">
        <f>IF(数据录入!$B2388="",0,IF(OR(数据录入!$D2388="投标保证金",数据录入!$D2388="合同履约保证金",ISNUMBER(FIND("保证金",数据录入!$E2388))),1,0))</f>
      </c>
      <c r="R2388" s="44">
        <f>IF(AND($Q2388=1,数据录入!$B2388&gt;=$B$2,数据录入!$B2388&lt;=$D$2),N(R2387)+1,N(R2387))</f>
      </c>
    </row>
    <row r="2389" s="44" customFormat="1" spans="1:23">
      <c r="A2389" s="116"/>
      <c r="E2389" s="108"/>
      <c r="F2389" s="114"/>
      <c r="G2389" s="114"/>
      <c r="H2389" s="114"/>
      <c r="Q2389" s="44">
        <f>IF(数据录入!$B2389="",0,IF(OR(数据录入!$D2389="投标保证金",数据录入!$D2389="合同履约保证金",ISNUMBER(FIND("保证金",数据录入!$E2389))),1,0))</f>
      </c>
      <c r="R2389" s="44">
        <f>IF(AND($Q2389=1,数据录入!$B2389&gt;=$B$2,数据录入!$B2389&lt;=$D$2),N(R2388)+1,N(R2388))</f>
      </c>
    </row>
    <row r="2390" s="44" customFormat="1" spans="1:23">
      <c r="A2390" s="116"/>
      <c r="E2390" s="108"/>
      <c r="F2390" s="114"/>
      <c r="G2390" s="114"/>
      <c r="H2390" s="114"/>
      <c r="Q2390" s="44">
        <f>IF(数据录入!$B2390="",0,IF(OR(数据录入!$D2390="投标保证金",数据录入!$D2390="合同履约保证金",ISNUMBER(FIND("保证金",数据录入!$E2390))),1,0))</f>
      </c>
      <c r="R2390" s="44">
        <f>IF(AND($Q2390=1,数据录入!$B2390&gt;=$B$2,数据录入!$B2390&lt;=$D$2),N(R2389)+1,N(R2389))</f>
      </c>
    </row>
    <row r="2391" s="44" customFormat="1" spans="1:23">
      <c r="A2391" s="116"/>
      <c r="E2391" s="108"/>
      <c r="F2391" s="114"/>
      <c r="G2391" s="114"/>
      <c r="H2391" s="114"/>
      <c r="Q2391" s="44">
        <f>IF(数据录入!$B2391="",0,IF(OR(数据录入!$D2391="投标保证金",数据录入!$D2391="合同履约保证金",ISNUMBER(FIND("保证金",数据录入!$E2391))),1,0))</f>
      </c>
      <c r="R2391" s="44">
        <f>IF(AND($Q2391=1,数据录入!$B2391&gt;=$B$2,数据录入!$B2391&lt;=$D$2),N(R2390)+1,N(R2390))</f>
      </c>
    </row>
    <row r="2392" s="44" customFormat="1" spans="1:23">
      <c r="A2392" s="116"/>
      <c r="E2392" s="108"/>
      <c r="F2392" s="114"/>
      <c r="G2392" s="114"/>
      <c r="H2392" s="114"/>
      <c r="Q2392" s="44">
        <f>IF(数据录入!$B2392="",0,IF(OR(数据录入!$D2392="投标保证金",数据录入!$D2392="合同履约保证金",ISNUMBER(FIND("保证金",数据录入!$E2392))),1,0))</f>
      </c>
      <c r="R2392" s="44">
        <f>IF(AND($Q2392=1,数据录入!$B2392&gt;=$B$2,数据录入!$B2392&lt;=$D$2),N(R2391)+1,N(R2391))</f>
      </c>
    </row>
    <row r="2393" s="44" customFormat="1" spans="1:23">
      <c r="A2393" s="116"/>
      <c r="E2393" s="108"/>
      <c r="F2393" s="114"/>
      <c r="G2393" s="114"/>
      <c r="H2393" s="114"/>
      <c r="Q2393" s="44">
        <f>IF(数据录入!$B2393="",0,IF(OR(数据录入!$D2393="投标保证金",数据录入!$D2393="合同履约保证金",ISNUMBER(FIND("保证金",数据录入!$E2393))),1,0))</f>
      </c>
      <c r="R2393" s="44">
        <f>IF(AND($Q2393=1,数据录入!$B2393&gt;=$B$2,数据录入!$B2393&lt;=$D$2),N(R2392)+1,N(R2392))</f>
      </c>
    </row>
    <row r="2394" s="44" customFormat="1" spans="1:23">
      <c r="A2394" s="116"/>
      <c r="E2394" s="108"/>
      <c r="F2394" s="114"/>
      <c r="G2394" s="114"/>
      <c r="H2394" s="114"/>
      <c r="Q2394" s="44">
        <f>IF(数据录入!$B2394="",0,IF(OR(数据录入!$D2394="投标保证金",数据录入!$D2394="合同履约保证金",ISNUMBER(FIND("保证金",数据录入!$E2394))),1,0))</f>
      </c>
      <c r="R2394" s="44">
        <f>IF(AND($Q2394=1,数据录入!$B2394&gt;=$B$2,数据录入!$B2394&lt;=$D$2),N(R2393)+1,N(R2393))</f>
      </c>
    </row>
    <row r="2395" s="44" customFormat="1" spans="1:23">
      <c r="A2395" s="116"/>
      <c r="E2395" s="108"/>
      <c r="F2395" s="114"/>
      <c r="G2395" s="114"/>
      <c r="H2395" s="114"/>
      <c r="Q2395" s="44">
        <f>IF(数据录入!$B2395="",0,IF(OR(数据录入!$D2395="投标保证金",数据录入!$D2395="合同履约保证金",ISNUMBER(FIND("保证金",数据录入!$E2395))),1,0))</f>
      </c>
      <c r="R2395" s="44">
        <f>IF(AND($Q2395=1,数据录入!$B2395&gt;=$B$2,数据录入!$B2395&lt;=$D$2),N(R2394)+1,N(R2394))</f>
      </c>
    </row>
    <row r="2396" s="44" customFormat="1" spans="1:23">
      <c r="A2396" s="116"/>
      <c r="E2396" s="108"/>
      <c r="F2396" s="114"/>
      <c r="G2396" s="114"/>
      <c r="H2396" s="114"/>
      <c r="Q2396" s="44">
        <f>IF(数据录入!$B2396="",0,IF(OR(数据录入!$D2396="投标保证金",数据录入!$D2396="合同履约保证金",ISNUMBER(FIND("保证金",数据录入!$E2396))),1,0))</f>
      </c>
      <c r="R2396" s="44">
        <f>IF(AND($Q2396=1,数据录入!$B2396&gt;=$B$2,数据录入!$B2396&lt;=$D$2),N(R2395)+1,N(R2395))</f>
      </c>
    </row>
    <row r="2397" s="44" customFormat="1" spans="1:23">
      <c r="A2397" s="116"/>
      <c r="E2397" s="108"/>
      <c r="F2397" s="114"/>
      <c r="G2397" s="114"/>
      <c r="H2397" s="114"/>
      <c r="Q2397" s="44">
        <f>IF(数据录入!$B2397="",0,IF(OR(数据录入!$D2397="投标保证金",数据录入!$D2397="合同履约保证金",ISNUMBER(FIND("保证金",数据录入!$E2397))),1,0))</f>
      </c>
      <c r="R2397" s="44">
        <f>IF(AND($Q2397=1,数据录入!$B2397&gt;=$B$2,数据录入!$B2397&lt;=$D$2),N(R2396)+1,N(R2396))</f>
      </c>
    </row>
    <row r="2398" s="44" customFormat="1" spans="1:23">
      <c r="A2398" s="116"/>
      <c r="E2398" s="108"/>
      <c r="F2398" s="114"/>
      <c r="G2398" s="114"/>
      <c r="H2398" s="114"/>
      <c r="Q2398" s="44">
        <f>IF(数据录入!$B2398="",0,IF(OR(数据录入!$D2398="投标保证金",数据录入!$D2398="合同履约保证金",ISNUMBER(FIND("保证金",数据录入!$E2398))),1,0))</f>
      </c>
      <c r="R2398" s="44">
        <f>IF(AND($Q2398=1,数据录入!$B2398&gt;=$B$2,数据录入!$B2398&lt;=$D$2),N(R2397)+1,N(R2397))</f>
      </c>
    </row>
    <row r="2399" s="44" customFormat="1" spans="1:23">
      <c r="A2399" s="116"/>
      <c r="E2399" s="108"/>
      <c r="F2399" s="114"/>
      <c r="G2399" s="114"/>
      <c r="H2399" s="114"/>
      <c r="Q2399" s="44">
        <f>IF(数据录入!$B2399="",0,IF(OR(数据录入!$D2399="投标保证金",数据录入!$D2399="合同履约保证金",ISNUMBER(FIND("保证金",数据录入!$E2399))),1,0))</f>
      </c>
      <c r="R2399" s="44">
        <f>IF(AND($Q2399=1,数据录入!$B2399&gt;=$B$2,数据录入!$B2399&lt;=$D$2),N(R2398)+1,N(R2398))</f>
      </c>
    </row>
    <row r="2400" s="44" customFormat="1" spans="1:23">
      <c r="A2400" s="116"/>
      <c r="E2400" s="108"/>
      <c r="F2400" s="114"/>
      <c r="G2400" s="114"/>
      <c r="H2400" s="114"/>
      <c r="Q2400" s="44">
        <f>IF(数据录入!$B2400="",0,IF(OR(数据录入!$D2400="投标保证金",数据录入!$D2400="合同履约保证金",ISNUMBER(FIND("保证金",数据录入!$E2400))),1,0))</f>
      </c>
      <c r="R2400" s="44">
        <f>IF(AND($Q2400=1,数据录入!$B2400&gt;=$B$2,数据录入!$B2400&lt;=$D$2),N(R2399)+1,N(R2399))</f>
      </c>
    </row>
    <row r="2401" s="44" customFormat="1" spans="1:23">
      <c r="A2401" s="116"/>
      <c r="E2401" s="108"/>
      <c r="F2401" s="114"/>
      <c r="G2401" s="114"/>
      <c r="H2401" s="114"/>
      <c r="Q2401" s="44">
        <f>IF(数据录入!$B2401="",0,IF(OR(数据录入!$D2401="投标保证金",数据录入!$D2401="合同履约保证金",ISNUMBER(FIND("保证金",数据录入!$E2401))),1,0))</f>
      </c>
      <c r="R2401" s="44">
        <f>IF(AND($Q2401=1,数据录入!$B2401&gt;=$B$2,数据录入!$B2401&lt;=$D$2),N(R2400)+1,N(R2400))</f>
      </c>
    </row>
    <row r="2402" s="44" customFormat="1" spans="1:23">
      <c r="A2402" s="116"/>
      <c r="E2402" s="108"/>
      <c r="F2402" s="114"/>
      <c r="G2402" s="114"/>
      <c r="H2402" s="114"/>
      <c r="Q2402" s="44">
        <f>IF(数据录入!$B2402="",0,IF(OR(数据录入!$D2402="投标保证金",数据录入!$D2402="合同履约保证金",ISNUMBER(FIND("保证金",数据录入!$E2402))),1,0))</f>
      </c>
      <c r="R2402" s="44">
        <f>IF(AND($Q2402=1,数据录入!$B2402&gt;=$B$2,数据录入!$B2402&lt;=$D$2),N(R2401)+1,N(R2401))</f>
      </c>
    </row>
    <row r="2403" s="44" customFormat="1" spans="1:23">
      <c r="A2403" s="116"/>
      <c r="E2403" s="108"/>
      <c r="F2403" s="114"/>
      <c r="G2403" s="114"/>
      <c r="H2403" s="114"/>
      <c r="Q2403" s="44">
        <f>IF(数据录入!$B2403="",0,IF(OR(数据录入!$D2403="投标保证金",数据录入!$D2403="合同履约保证金",ISNUMBER(FIND("保证金",数据录入!$E2403))),1,0))</f>
      </c>
      <c r="R2403" s="44">
        <f>IF(AND($Q2403=1,数据录入!$B2403&gt;=$B$2,数据录入!$B2403&lt;=$D$2),N(R2402)+1,N(R2402))</f>
      </c>
    </row>
    <row r="2404" s="44" customFormat="1" spans="1:23">
      <c r="A2404" s="116"/>
      <c r="E2404" s="108"/>
      <c r="F2404" s="114"/>
      <c r="G2404" s="114"/>
      <c r="H2404" s="114"/>
      <c r="Q2404" s="44">
        <f>IF(数据录入!$B2404="",0,IF(OR(数据录入!$D2404="投标保证金",数据录入!$D2404="合同履约保证金",ISNUMBER(FIND("保证金",数据录入!$E2404))),1,0))</f>
      </c>
      <c r="R2404" s="44">
        <f>IF(AND($Q2404=1,数据录入!$B2404&gt;=$B$2,数据录入!$B2404&lt;=$D$2),N(R2403)+1,N(R2403))</f>
      </c>
    </row>
    <row r="2405" s="44" customFormat="1" spans="1:23">
      <c r="A2405" s="116"/>
      <c r="E2405" s="108"/>
      <c r="F2405" s="114"/>
      <c r="G2405" s="114"/>
      <c r="H2405" s="114"/>
      <c r="Q2405" s="44">
        <f>IF(数据录入!$B2405="",0,IF(OR(数据录入!$D2405="投标保证金",数据录入!$D2405="合同履约保证金",ISNUMBER(FIND("保证金",数据录入!$E2405))),1,0))</f>
      </c>
      <c r="R2405" s="44">
        <f>IF(AND($Q2405=1,数据录入!$B2405&gt;=$B$2,数据录入!$B2405&lt;=$D$2),N(R2404)+1,N(R2404))</f>
      </c>
    </row>
    <row r="2406" s="44" customFormat="1" spans="1:23">
      <c r="A2406" s="116"/>
      <c r="E2406" s="108"/>
      <c r="F2406" s="114"/>
      <c r="G2406" s="114"/>
      <c r="H2406" s="114"/>
      <c r="Q2406" s="44">
        <f>IF(数据录入!$B2406="",0,IF(OR(数据录入!$D2406="投标保证金",数据录入!$D2406="合同履约保证金",ISNUMBER(FIND("保证金",数据录入!$E2406))),1,0))</f>
      </c>
      <c r="R2406" s="44">
        <f>IF(AND($Q2406=1,数据录入!$B2406&gt;=$B$2,数据录入!$B2406&lt;=$D$2),N(R2405)+1,N(R2405))</f>
      </c>
    </row>
    <row r="2407" s="44" customFormat="1" spans="1:23">
      <c r="A2407" s="116"/>
      <c r="E2407" s="108"/>
      <c r="F2407" s="114"/>
      <c r="G2407" s="114"/>
      <c r="H2407" s="114"/>
      <c r="Q2407" s="44">
        <f>IF(数据录入!$B2407="",0,IF(OR(数据录入!$D2407="投标保证金",数据录入!$D2407="合同履约保证金",ISNUMBER(FIND("保证金",数据录入!$E2407))),1,0))</f>
      </c>
      <c r="R2407" s="44">
        <f>IF(AND($Q2407=1,数据录入!$B2407&gt;=$B$2,数据录入!$B2407&lt;=$D$2),N(R2406)+1,N(R2406))</f>
      </c>
    </row>
    <row r="2408" s="44" customFormat="1" spans="1:23">
      <c r="A2408" s="116"/>
      <c r="E2408" s="108"/>
      <c r="F2408" s="114"/>
      <c r="G2408" s="114"/>
      <c r="H2408" s="114"/>
      <c r="Q2408" s="44">
        <f>IF(数据录入!$B2408="",0,IF(OR(数据录入!$D2408="投标保证金",数据录入!$D2408="合同履约保证金",ISNUMBER(FIND("保证金",数据录入!$E2408))),1,0))</f>
      </c>
      <c r="R2408" s="44">
        <f>IF(AND($Q2408=1,数据录入!$B2408&gt;=$B$2,数据录入!$B2408&lt;=$D$2),N(R2407)+1,N(R2407))</f>
      </c>
    </row>
    <row r="2409" s="44" customFormat="1" spans="1:23">
      <c r="A2409" s="116"/>
      <c r="E2409" s="108"/>
      <c r="F2409" s="114"/>
      <c r="G2409" s="114"/>
      <c r="H2409" s="114"/>
      <c r="Q2409" s="44">
        <f>IF(数据录入!$B2409="",0,IF(OR(数据录入!$D2409="投标保证金",数据录入!$D2409="合同履约保证金",ISNUMBER(FIND("保证金",数据录入!$E2409))),1,0))</f>
      </c>
      <c r="R2409" s="44">
        <f>IF(AND($Q2409=1,数据录入!$B2409&gt;=$B$2,数据录入!$B2409&lt;=$D$2),N(R2408)+1,N(R2408))</f>
      </c>
    </row>
    <row r="2410" s="44" customFormat="1" spans="1:23">
      <c r="A2410" s="116"/>
      <c r="E2410" s="108"/>
      <c r="F2410" s="114"/>
      <c r="G2410" s="114"/>
      <c r="H2410" s="114"/>
      <c r="Q2410" s="44">
        <f>IF(数据录入!$B2410="",0,IF(OR(数据录入!$D2410="投标保证金",数据录入!$D2410="合同履约保证金",ISNUMBER(FIND("保证金",数据录入!$E2410))),1,0))</f>
      </c>
      <c r="R2410" s="44">
        <f>IF(AND($Q2410=1,数据录入!$B2410&gt;=$B$2,数据录入!$B2410&lt;=$D$2),N(R2409)+1,N(R2409))</f>
      </c>
    </row>
    <row r="2411" s="44" customFormat="1" spans="1:23">
      <c r="A2411" s="116"/>
      <c r="E2411" s="108"/>
      <c r="F2411" s="114"/>
      <c r="G2411" s="114"/>
      <c r="H2411" s="114"/>
      <c r="Q2411" s="44">
        <f>IF(数据录入!$B2411="",0,IF(OR(数据录入!$D2411="投标保证金",数据录入!$D2411="合同履约保证金",ISNUMBER(FIND("保证金",数据录入!$E2411))),1,0))</f>
      </c>
      <c r="R2411" s="44">
        <f>IF(AND($Q2411=1,数据录入!$B2411&gt;=$B$2,数据录入!$B2411&lt;=$D$2),N(R2410)+1,N(R2410))</f>
      </c>
    </row>
    <row r="2412" s="44" customFormat="1" spans="1:23">
      <c r="A2412" s="116"/>
      <c r="E2412" s="108"/>
      <c r="F2412" s="114"/>
      <c r="G2412" s="114"/>
      <c r="H2412" s="114"/>
      <c r="Q2412" s="44">
        <f>IF(数据录入!$B2412="",0,IF(OR(数据录入!$D2412="投标保证金",数据录入!$D2412="合同履约保证金",ISNUMBER(FIND("保证金",数据录入!$E2412))),1,0))</f>
      </c>
      <c r="R2412" s="44">
        <f>IF(AND($Q2412=1,数据录入!$B2412&gt;=$B$2,数据录入!$B2412&lt;=$D$2),N(R2411)+1,N(R2411))</f>
      </c>
    </row>
    <row r="2413" s="44" customFormat="1" spans="1:23">
      <c r="A2413" s="116"/>
      <c r="E2413" s="108"/>
      <c r="F2413" s="114"/>
      <c r="G2413" s="114"/>
      <c r="H2413" s="114"/>
      <c r="Q2413" s="44">
        <f>IF(数据录入!$B2413="",0,IF(OR(数据录入!$D2413="投标保证金",数据录入!$D2413="合同履约保证金",ISNUMBER(FIND("保证金",数据录入!$E2413))),1,0))</f>
      </c>
      <c r="R2413" s="44">
        <f>IF(AND($Q2413=1,数据录入!$B2413&gt;=$B$2,数据录入!$B2413&lt;=$D$2),N(R2412)+1,N(R2412))</f>
      </c>
    </row>
    <row r="2414" s="44" customFormat="1" spans="1:23">
      <c r="A2414" s="116"/>
      <c r="E2414" s="108"/>
      <c r="F2414" s="114"/>
      <c r="G2414" s="114"/>
      <c r="H2414" s="114"/>
      <c r="Q2414" s="44">
        <f>IF(数据录入!$B2414="",0,IF(OR(数据录入!$D2414="投标保证金",数据录入!$D2414="合同履约保证金",ISNUMBER(FIND("保证金",数据录入!$E2414))),1,0))</f>
      </c>
      <c r="R2414" s="44">
        <f>IF(AND($Q2414=1,数据录入!$B2414&gt;=$B$2,数据录入!$B2414&lt;=$D$2),N(R2413)+1,N(R2413))</f>
      </c>
    </row>
    <row r="2415" s="44" customFormat="1" spans="1:23">
      <c r="A2415" s="116"/>
      <c r="E2415" s="108"/>
      <c r="F2415" s="114"/>
      <c r="G2415" s="114"/>
      <c r="H2415" s="114"/>
      <c r="Q2415" s="44">
        <f>IF(数据录入!$B2415="",0,IF(OR(数据录入!$D2415="投标保证金",数据录入!$D2415="合同履约保证金",ISNUMBER(FIND("保证金",数据录入!$E2415))),1,0))</f>
      </c>
      <c r="R2415" s="44">
        <f>IF(AND($Q2415=1,数据录入!$B2415&gt;=$B$2,数据录入!$B2415&lt;=$D$2),N(R2414)+1,N(R2414))</f>
      </c>
    </row>
    <row r="2416" s="44" customFormat="1" spans="1:23">
      <c r="A2416" s="116"/>
      <c r="E2416" s="108"/>
      <c r="F2416" s="114"/>
      <c r="G2416" s="114"/>
      <c r="H2416" s="114"/>
      <c r="Q2416" s="44">
        <f>IF(数据录入!$B2416="",0,IF(OR(数据录入!$D2416="投标保证金",数据录入!$D2416="合同履约保证金",ISNUMBER(FIND("保证金",数据录入!$E2416))),1,0))</f>
      </c>
      <c r="R2416" s="44">
        <f>IF(AND($Q2416=1,数据录入!$B2416&gt;=$B$2,数据录入!$B2416&lt;=$D$2),N(R2415)+1,N(R2415))</f>
      </c>
    </row>
    <row r="2417" s="44" customFormat="1" spans="1:23">
      <c r="A2417" s="116"/>
      <c r="E2417" s="108"/>
      <c r="F2417" s="114"/>
      <c r="G2417" s="114"/>
      <c r="H2417" s="114"/>
      <c r="Q2417" s="44">
        <f>IF(数据录入!$B2417="",0,IF(OR(数据录入!$D2417="投标保证金",数据录入!$D2417="合同履约保证金",ISNUMBER(FIND("保证金",数据录入!$E2417))),1,0))</f>
      </c>
      <c r="R2417" s="44">
        <f>IF(AND($Q2417=1,数据录入!$B2417&gt;=$B$2,数据录入!$B2417&lt;=$D$2),N(R2416)+1,N(R2416))</f>
      </c>
    </row>
    <row r="2418" s="44" customFormat="1" spans="1:23">
      <c r="A2418" s="116"/>
      <c r="E2418" s="108"/>
      <c r="F2418" s="114"/>
      <c r="G2418" s="114"/>
      <c r="H2418" s="114"/>
      <c r="Q2418" s="44">
        <f>IF(数据录入!$B2418="",0,IF(OR(数据录入!$D2418="投标保证金",数据录入!$D2418="合同履约保证金",ISNUMBER(FIND("保证金",数据录入!$E2418))),1,0))</f>
      </c>
      <c r="R2418" s="44">
        <f>IF(AND($Q2418=1,数据录入!$B2418&gt;=$B$2,数据录入!$B2418&lt;=$D$2),N(R2417)+1,N(R2417))</f>
      </c>
    </row>
    <row r="2419" s="44" customFormat="1" spans="1:23">
      <c r="A2419" s="116"/>
      <c r="E2419" s="108"/>
      <c r="F2419" s="114"/>
      <c r="G2419" s="114"/>
      <c r="H2419" s="114"/>
      <c r="Q2419" s="44">
        <f>IF(数据录入!$B2419="",0,IF(OR(数据录入!$D2419="投标保证金",数据录入!$D2419="合同履约保证金",ISNUMBER(FIND("保证金",数据录入!$E2419))),1,0))</f>
      </c>
      <c r="R2419" s="44">
        <f>IF(AND($Q2419=1,数据录入!$B2419&gt;=$B$2,数据录入!$B2419&lt;=$D$2),N(R2418)+1,N(R2418))</f>
      </c>
    </row>
    <row r="2420" s="44" customFormat="1" spans="1:23">
      <c r="A2420" s="116"/>
      <c r="E2420" s="108"/>
      <c r="F2420" s="114"/>
      <c r="G2420" s="114"/>
      <c r="H2420" s="114"/>
      <c r="Q2420" s="44">
        <f>IF(数据录入!$B2420="",0,IF(OR(数据录入!$D2420="投标保证金",数据录入!$D2420="合同履约保证金",ISNUMBER(FIND("保证金",数据录入!$E2420))),1,0))</f>
      </c>
      <c r="R2420" s="44">
        <f>IF(AND($Q2420=1,数据录入!$B2420&gt;=$B$2,数据录入!$B2420&lt;=$D$2),N(R2419)+1,N(R2419))</f>
      </c>
    </row>
    <row r="2421" s="44" customFormat="1" spans="1:23">
      <c r="A2421" s="116"/>
      <c r="E2421" s="108"/>
      <c r="F2421" s="114"/>
      <c r="G2421" s="114"/>
      <c r="H2421" s="114"/>
      <c r="Q2421" s="44">
        <f>IF(数据录入!$B2421="",0,IF(OR(数据录入!$D2421="投标保证金",数据录入!$D2421="合同履约保证金",ISNUMBER(FIND("保证金",数据录入!$E2421))),1,0))</f>
      </c>
      <c r="R2421" s="44">
        <f>IF(AND($Q2421=1,数据录入!$B2421&gt;=$B$2,数据录入!$B2421&lt;=$D$2),N(R2420)+1,N(R2420))</f>
      </c>
    </row>
    <row r="2422" s="44" customFormat="1" spans="1:23">
      <c r="A2422" s="116"/>
      <c r="E2422" s="108"/>
      <c r="F2422" s="114"/>
      <c r="G2422" s="114"/>
      <c r="H2422" s="114"/>
      <c r="Q2422" s="44">
        <f>IF(数据录入!$B2422="",0,IF(OR(数据录入!$D2422="投标保证金",数据录入!$D2422="合同履约保证金",ISNUMBER(FIND("保证金",数据录入!$E2422))),1,0))</f>
      </c>
      <c r="R2422" s="44">
        <f>IF(AND($Q2422=1,数据录入!$B2422&gt;=$B$2,数据录入!$B2422&lt;=$D$2),N(R2421)+1,N(R2421))</f>
      </c>
    </row>
    <row r="2423" s="44" customFormat="1" spans="1:23">
      <c r="A2423" s="116"/>
      <c r="E2423" s="108"/>
      <c r="F2423" s="114"/>
      <c r="G2423" s="114"/>
      <c r="H2423" s="114"/>
      <c r="Q2423" s="44">
        <f>IF(数据录入!$B2423="",0,IF(OR(数据录入!$D2423="投标保证金",数据录入!$D2423="合同履约保证金",ISNUMBER(FIND("保证金",数据录入!$E2423))),1,0))</f>
      </c>
      <c r="R2423" s="44">
        <f>IF(AND($Q2423=1,数据录入!$B2423&gt;=$B$2,数据录入!$B2423&lt;=$D$2),N(R2422)+1,N(R2422))</f>
      </c>
    </row>
    <row r="2424" s="44" customFormat="1" spans="1:23">
      <c r="A2424" s="116"/>
      <c r="E2424" s="108"/>
      <c r="F2424" s="114"/>
      <c r="G2424" s="114"/>
      <c r="H2424" s="114"/>
      <c r="Q2424" s="44">
        <f>IF(数据录入!$B2424="",0,IF(OR(数据录入!$D2424="投标保证金",数据录入!$D2424="合同履约保证金",ISNUMBER(FIND("保证金",数据录入!$E2424))),1,0))</f>
      </c>
      <c r="R2424" s="44">
        <f>IF(AND($Q2424=1,数据录入!$B2424&gt;=$B$2,数据录入!$B2424&lt;=$D$2),N(R2423)+1,N(R2423))</f>
      </c>
    </row>
    <row r="2425" s="44" customFormat="1" spans="1:23">
      <c r="A2425" s="116"/>
      <c r="E2425" s="108"/>
      <c r="F2425" s="114"/>
      <c r="G2425" s="114"/>
      <c r="H2425" s="114"/>
      <c r="Q2425" s="44">
        <f>IF(数据录入!$B2425="",0,IF(OR(数据录入!$D2425="投标保证金",数据录入!$D2425="合同履约保证金",ISNUMBER(FIND("保证金",数据录入!$E2425))),1,0))</f>
      </c>
      <c r="R2425" s="44">
        <f>IF(AND($Q2425=1,数据录入!$B2425&gt;=$B$2,数据录入!$B2425&lt;=$D$2),N(R2424)+1,N(R2424))</f>
      </c>
    </row>
    <row r="2426" s="44" customFormat="1" spans="1:23">
      <c r="A2426" s="116"/>
      <c r="E2426" s="108"/>
      <c r="F2426" s="114"/>
      <c r="G2426" s="114"/>
      <c r="H2426" s="114"/>
      <c r="Q2426" s="44">
        <f>IF(数据录入!$B2426="",0,IF(OR(数据录入!$D2426="投标保证金",数据录入!$D2426="合同履约保证金",ISNUMBER(FIND("保证金",数据录入!$E2426))),1,0))</f>
      </c>
      <c r="R2426" s="44">
        <f>IF(AND($Q2426=1,数据录入!$B2426&gt;=$B$2,数据录入!$B2426&lt;=$D$2),N(R2425)+1,N(R2425))</f>
      </c>
    </row>
    <row r="2427" s="44" customFormat="1" spans="1:23">
      <c r="A2427" s="116"/>
      <c r="E2427" s="108"/>
      <c r="F2427" s="114"/>
      <c r="G2427" s="114"/>
      <c r="H2427" s="114"/>
      <c r="Q2427" s="44">
        <f>IF(数据录入!$B2427="",0,IF(OR(数据录入!$D2427="投标保证金",数据录入!$D2427="合同履约保证金",ISNUMBER(FIND("保证金",数据录入!$E2427))),1,0))</f>
      </c>
      <c r="R2427" s="44">
        <f>IF(AND($Q2427=1,数据录入!$B2427&gt;=$B$2,数据录入!$B2427&lt;=$D$2),N(R2426)+1,N(R2426))</f>
      </c>
    </row>
    <row r="2428" s="44" customFormat="1" spans="1:23">
      <c r="A2428" s="116"/>
      <c r="E2428" s="108"/>
      <c r="F2428" s="114"/>
      <c r="G2428" s="114"/>
      <c r="H2428" s="114"/>
      <c r="Q2428" s="44">
        <f>IF(数据录入!$B2428="",0,IF(OR(数据录入!$D2428="投标保证金",数据录入!$D2428="合同履约保证金",ISNUMBER(FIND("保证金",数据录入!$E2428))),1,0))</f>
      </c>
      <c r="R2428" s="44">
        <f>IF(AND($Q2428=1,数据录入!$B2428&gt;=$B$2,数据录入!$B2428&lt;=$D$2),N(R2427)+1,N(R2427))</f>
      </c>
    </row>
    <row r="2429" s="44" customFormat="1" spans="1:23">
      <c r="A2429" s="116"/>
      <c r="E2429" s="108"/>
      <c r="F2429" s="114"/>
      <c r="G2429" s="114"/>
      <c r="H2429" s="114"/>
      <c r="Q2429" s="44">
        <f>IF(数据录入!$B2429="",0,IF(OR(数据录入!$D2429="投标保证金",数据录入!$D2429="合同履约保证金",ISNUMBER(FIND("保证金",数据录入!$E2429))),1,0))</f>
      </c>
      <c r="R2429" s="44">
        <f>IF(AND($Q2429=1,数据录入!$B2429&gt;=$B$2,数据录入!$B2429&lt;=$D$2),N(R2428)+1,N(R2428))</f>
      </c>
    </row>
    <row r="2430" s="44" customFormat="1" spans="1:23">
      <c r="A2430" s="116"/>
      <c r="E2430" s="108"/>
      <c r="F2430" s="114"/>
      <c r="G2430" s="114"/>
      <c r="H2430" s="114"/>
      <c r="Q2430" s="44">
        <f>IF(数据录入!$B2430="",0,IF(OR(数据录入!$D2430="投标保证金",数据录入!$D2430="合同履约保证金",ISNUMBER(FIND("保证金",数据录入!$E2430))),1,0))</f>
      </c>
      <c r="R2430" s="44">
        <f>IF(AND($Q2430=1,数据录入!$B2430&gt;=$B$2,数据录入!$B2430&lt;=$D$2),N(R2429)+1,N(R2429))</f>
      </c>
    </row>
    <row r="2431" s="44" customFormat="1" spans="1:23">
      <c r="A2431" s="116"/>
      <c r="E2431" s="108"/>
      <c r="F2431" s="114"/>
      <c r="G2431" s="114"/>
      <c r="H2431" s="114"/>
      <c r="Q2431" s="44">
        <f>IF(数据录入!$B2431="",0,IF(OR(数据录入!$D2431="投标保证金",数据录入!$D2431="合同履约保证金",ISNUMBER(FIND("保证金",数据录入!$E2431))),1,0))</f>
      </c>
      <c r="R2431" s="44">
        <f>IF(AND($Q2431=1,数据录入!$B2431&gt;=$B$2,数据录入!$B2431&lt;=$D$2),N(R2430)+1,N(R2430))</f>
      </c>
    </row>
    <row r="2432" s="44" customFormat="1" spans="1:23">
      <c r="A2432" s="116"/>
      <c r="E2432" s="108"/>
      <c r="F2432" s="114"/>
      <c r="G2432" s="114"/>
      <c r="H2432" s="114"/>
      <c r="Q2432" s="44">
        <f>IF(数据录入!$B2432="",0,IF(OR(数据录入!$D2432="投标保证金",数据录入!$D2432="合同履约保证金",ISNUMBER(FIND("保证金",数据录入!$E2432))),1,0))</f>
      </c>
      <c r="R2432" s="44">
        <f>IF(AND($Q2432=1,数据录入!$B2432&gt;=$B$2,数据录入!$B2432&lt;=$D$2),N(R2431)+1,N(R2431))</f>
      </c>
    </row>
    <row r="2433" s="44" customFormat="1" spans="1:23">
      <c r="A2433" s="116"/>
      <c r="E2433" s="108"/>
      <c r="F2433" s="114"/>
      <c r="G2433" s="114"/>
      <c r="H2433" s="114"/>
      <c r="Q2433" s="44">
        <f>IF(数据录入!$B2433="",0,IF(OR(数据录入!$D2433="投标保证金",数据录入!$D2433="合同履约保证金",ISNUMBER(FIND("保证金",数据录入!$E2433))),1,0))</f>
      </c>
      <c r="R2433" s="44">
        <f>IF(AND($Q2433=1,数据录入!$B2433&gt;=$B$2,数据录入!$B2433&lt;=$D$2),N(R2432)+1,N(R2432))</f>
      </c>
    </row>
    <row r="2434" s="44" customFormat="1" spans="1:23">
      <c r="A2434" s="116"/>
      <c r="E2434" s="108"/>
      <c r="F2434" s="114"/>
      <c r="G2434" s="114"/>
      <c r="H2434" s="114"/>
      <c r="Q2434" s="44">
        <f>IF(数据录入!$B2434="",0,IF(OR(数据录入!$D2434="投标保证金",数据录入!$D2434="合同履约保证金",ISNUMBER(FIND("保证金",数据录入!$E2434))),1,0))</f>
      </c>
      <c r="R2434" s="44">
        <f>IF(AND($Q2434=1,数据录入!$B2434&gt;=$B$2,数据录入!$B2434&lt;=$D$2),N(R2433)+1,N(R2433))</f>
      </c>
    </row>
    <row r="2435" s="44" customFormat="1" spans="1:23">
      <c r="A2435" s="116"/>
      <c r="E2435" s="108"/>
      <c r="F2435" s="114"/>
      <c r="G2435" s="114"/>
      <c r="H2435" s="114"/>
      <c r="Q2435" s="44">
        <f>IF(数据录入!$B2435="",0,IF(OR(数据录入!$D2435="投标保证金",数据录入!$D2435="合同履约保证金",ISNUMBER(FIND("保证金",数据录入!$E2435))),1,0))</f>
      </c>
      <c r="R2435" s="44">
        <f>IF(AND($Q2435=1,数据录入!$B2435&gt;=$B$2,数据录入!$B2435&lt;=$D$2),N(R2434)+1,N(R2434))</f>
      </c>
    </row>
    <row r="2436" s="44" customFormat="1" spans="1:23">
      <c r="A2436" s="116"/>
      <c r="E2436" s="108"/>
      <c r="F2436" s="114"/>
      <c r="G2436" s="114"/>
      <c r="H2436" s="114"/>
      <c r="Q2436" s="44">
        <f>IF(数据录入!$B2436="",0,IF(OR(数据录入!$D2436="投标保证金",数据录入!$D2436="合同履约保证金",ISNUMBER(FIND("保证金",数据录入!$E2436))),1,0))</f>
      </c>
      <c r="R2436" s="44">
        <f>IF(AND($Q2436=1,数据录入!$B2436&gt;=$B$2,数据录入!$B2436&lt;=$D$2),N(R2435)+1,N(R2435))</f>
      </c>
    </row>
    <row r="2437" s="44" customFormat="1" spans="1:23">
      <c r="A2437" s="116"/>
      <c r="E2437" s="108"/>
      <c r="F2437" s="114"/>
      <c r="G2437" s="114"/>
      <c r="H2437" s="114"/>
      <c r="Q2437" s="44">
        <f>IF(数据录入!$B2437="",0,IF(OR(数据录入!$D2437="投标保证金",数据录入!$D2437="合同履约保证金",ISNUMBER(FIND("保证金",数据录入!$E2437))),1,0))</f>
      </c>
      <c r="R2437" s="44">
        <f>IF(AND($Q2437=1,数据录入!$B2437&gt;=$B$2,数据录入!$B2437&lt;=$D$2),N(R2436)+1,N(R2436))</f>
      </c>
    </row>
    <row r="2438" s="44" customFormat="1" spans="1:23">
      <c r="A2438" s="116"/>
      <c r="E2438" s="108"/>
      <c r="F2438" s="114"/>
      <c r="G2438" s="114"/>
      <c r="H2438" s="114"/>
      <c r="Q2438" s="44">
        <f>IF(数据录入!$B2438="",0,IF(OR(数据录入!$D2438="投标保证金",数据录入!$D2438="合同履约保证金",ISNUMBER(FIND("保证金",数据录入!$E2438))),1,0))</f>
      </c>
      <c r="R2438" s="44">
        <f>IF(AND($Q2438=1,数据录入!$B2438&gt;=$B$2,数据录入!$B2438&lt;=$D$2),N(R2437)+1,N(R2437))</f>
      </c>
    </row>
    <row r="2439" s="44" customFormat="1" spans="1:23">
      <c r="A2439" s="116"/>
      <c r="E2439" s="108"/>
      <c r="F2439" s="114"/>
      <c r="G2439" s="114"/>
      <c r="H2439" s="114"/>
      <c r="Q2439" s="44">
        <f>IF(数据录入!$B2439="",0,IF(OR(数据录入!$D2439="投标保证金",数据录入!$D2439="合同履约保证金",ISNUMBER(FIND("保证金",数据录入!$E2439))),1,0))</f>
      </c>
      <c r="R2439" s="44">
        <f>IF(AND($Q2439=1,数据录入!$B2439&gt;=$B$2,数据录入!$B2439&lt;=$D$2),N(R2438)+1,N(R2438))</f>
      </c>
    </row>
    <row r="2440" s="44" customFormat="1" spans="1:23">
      <c r="A2440" s="116"/>
      <c r="E2440" s="108"/>
      <c r="F2440" s="114"/>
      <c r="G2440" s="114"/>
      <c r="H2440" s="114"/>
      <c r="Q2440" s="44">
        <f>IF(数据录入!$B2440="",0,IF(OR(数据录入!$D2440="投标保证金",数据录入!$D2440="合同履约保证金",ISNUMBER(FIND("保证金",数据录入!$E2440))),1,0))</f>
      </c>
      <c r="R2440" s="44">
        <f>IF(AND($Q2440=1,数据录入!$B2440&gt;=$B$2,数据录入!$B2440&lt;=$D$2),N(R2439)+1,N(R2439))</f>
      </c>
    </row>
    <row r="2441" s="44" customFormat="1" spans="1:23">
      <c r="A2441" s="116"/>
      <c r="E2441" s="108"/>
      <c r="F2441" s="114"/>
      <c r="G2441" s="114"/>
      <c r="H2441" s="114"/>
      <c r="Q2441" s="44">
        <f>IF(数据录入!$B2441="",0,IF(OR(数据录入!$D2441="投标保证金",数据录入!$D2441="合同履约保证金",ISNUMBER(FIND("保证金",数据录入!$E2441))),1,0))</f>
      </c>
      <c r="R2441" s="44">
        <f>IF(AND($Q2441=1,数据录入!$B2441&gt;=$B$2,数据录入!$B2441&lt;=$D$2),N(R2440)+1,N(R2440))</f>
      </c>
    </row>
    <row r="2442" s="44" customFormat="1" spans="1:23">
      <c r="A2442" s="116"/>
      <c r="E2442" s="108"/>
      <c r="F2442" s="114"/>
      <c r="G2442" s="114"/>
      <c r="H2442" s="114"/>
      <c r="Q2442" s="44">
        <f>IF(数据录入!$B2442="",0,IF(OR(数据录入!$D2442="投标保证金",数据录入!$D2442="合同履约保证金",ISNUMBER(FIND("保证金",数据录入!$E2442))),1,0))</f>
      </c>
      <c r="R2442" s="44">
        <f>IF(AND($Q2442=1,数据录入!$B2442&gt;=$B$2,数据录入!$B2442&lt;=$D$2),N(R2441)+1,N(R2441))</f>
      </c>
    </row>
    <row r="2443" s="44" customFormat="1" spans="1:23">
      <c r="A2443" s="116"/>
      <c r="E2443" s="108"/>
      <c r="F2443" s="114"/>
      <c r="G2443" s="114"/>
      <c r="H2443" s="114"/>
      <c r="Q2443" s="44">
        <f>IF(数据录入!$B2443="",0,IF(OR(数据录入!$D2443="投标保证金",数据录入!$D2443="合同履约保证金",ISNUMBER(FIND("保证金",数据录入!$E2443))),1,0))</f>
      </c>
      <c r="R2443" s="44">
        <f>IF(AND($Q2443=1,数据录入!$B2443&gt;=$B$2,数据录入!$B2443&lt;=$D$2),N(R2442)+1,N(R2442))</f>
      </c>
    </row>
    <row r="2444" s="44" customFormat="1" spans="1:23">
      <c r="A2444" s="116"/>
      <c r="E2444" s="108"/>
      <c r="F2444" s="114"/>
      <c r="G2444" s="114"/>
      <c r="H2444" s="114"/>
      <c r="Q2444" s="44">
        <f>IF(数据录入!$B2444="",0,IF(OR(数据录入!$D2444="投标保证金",数据录入!$D2444="合同履约保证金",ISNUMBER(FIND("保证金",数据录入!$E2444))),1,0))</f>
      </c>
      <c r="R2444" s="44">
        <f>IF(AND($Q2444=1,数据录入!$B2444&gt;=$B$2,数据录入!$B2444&lt;=$D$2),N(R2443)+1,N(R2443))</f>
      </c>
    </row>
    <row r="2445" s="44" customFormat="1" spans="1:23">
      <c r="A2445" s="116"/>
      <c r="E2445" s="108"/>
      <c r="F2445" s="114"/>
      <c r="G2445" s="114"/>
      <c r="H2445" s="114"/>
      <c r="Q2445" s="44">
        <f>IF(数据录入!$B2445="",0,IF(OR(数据录入!$D2445="投标保证金",数据录入!$D2445="合同履约保证金",ISNUMBER(FIND("保证金",数据录入!$E2445))),1,0))</f>
      </c>
      <c r="R2445" s="44">
        <f>IF(AND($Q2445=1,数据录入!$B2445&gt;=$B$2,数据录入!$B2445&lt;=$D$2),N(R2444)+1,N(R2444))</f>
      </c>
    </row>
    <row r="2446" s="44" customFormat="1" spans="1:23">
      <c r="A2446" s="116"/>
      <c r="E2446" s="108"/>
      <c r="F2446" s="114"/>
      <c r="G2446" s="114"/>
      <c r="H2446" s="114"/>
      <c r="Q2446" s="44">
        <f>IF(数据录入!$B2446="",0,IF(OR(数据录入!$D2446="投标保证金",数据录入!$D2446="合同履约保证金",ISNUMBER(FIND("保证金",数据录入!$E2446))),1,0))</f>
      </c>
      <c r="R2446" s="44">
        <f>IF(AND($Q2446=1,数据录入!$B2446&gt;=$B$2,数据录入!$B2446&lt;=$D$2),N(R2445)+1,N(R2445))</f>
      </c>
    </row>
    <row r="2447" s="44" customFormat="1" spans="1:23">
      <c r="A2447" s="116"/>
      <c r="E2447" s="108"/>
      <c r="F2447" s="114"/>
      <c r="G2447" s="114"/>
      <c r="H2447" s="114"/>
      <c r="Q2447" s="44">
        <f>IF(数据录入!$B2447="",0,IF(OR(数据录入!$D2447="投标保证金",数据录入!$D2447="合同履约保证金",ISNUMBER(FIND("保证金",数据录入!$E2447))),1,0))</f>
      </c>
      <c r="R2447" s="44">
        <f>IF(AND($Q2447=1,数据录入!$B2447&gt;=$B$2,数据录入!$B2447&lt;=$D$2),N(R2446)+1,N(R2446))</f>
      </c>
    </row>
    <row r="2448" s="44" customFormat="1" spans="1:23">
      <c r="A2448" s="116"/>
      <c r="E2448" s="108"/>
      <c r="F2448" s="114"/>
      <c r="G2448" s="114"/>
      <c r="H2448" s="114"/>
      <c r="Q2448" s="44">
        <f>IF(数据录入!$B2448="",0,IF(OR(数据录入!$D2448="投标保证金",数据录入!$D2448="合同履约保证金",ISNUMBER(FIND("保证金",数据录入!$E2448))),1,0))</f>
      </c>
      <c r="R2448" s="44">
        <f>IF(AND($Q2448=1,数据录入!$B2448&gt;=$B$2,数据录入!$B2448&lt;=$D$2),N(R2447)+1,N(R2447))</f>
      </c>
    </row>
    <row r="2449" s="44" customFormat="1" spans="1:23">
      <c r="A2449" s="116"/>
      <c r="E2449" s="108"/>
      <c r="F2449" s="114"/>
      <c r="G2449" s="114"/>
      <c r="H2449" s="114"/>
      <c r="Q2449" s="44">
        <f>IF(数据录入!$B2449="",0,IF(OR(数据录入!$D2449="投标保证金",数据录入!$D2449="合同履约保证金",ISNUMBER(FIND("保证金",数据录入!$E2449))),1,0))</f>
      </c>
      <c r="R2449" s="44">
        <f>IF(AND($Q2449=1,数据录入!$B2449&gt;=$B$2,数据录入!$B2449&lt;=$D$2),N(R2448)+1,N(R2448))</f>
      </c>
    </row>
    <row r="2450" s="44" customFormat="1" spans="1:23">
      <c r="A2450" s="116"/>
      <c r="E2450" s="108"/>
      <c r="F2450" s="114"/>
      <c r="G2450" s="114"/>
      <c r="H2450" s="114"/>
      <c r="Q2450" s="44">
        <f>IF(数据录入!$B2450="",0,IF(OR(数据录入!$D2450="投标保证金",数据录入!$D2450="合同履约保证金",ISNUMBER(FIND("保证金",数据录入!$E2450))),1,0))</f>
      </c>
      <c r="R2450" s="44">
        <f>IF(AND($Q2450=1,数据录入!$B2450&gt;=$B$2,数据录入!$B2450&lt;=$D$2),N(R2449)+1,N(R2449))</f>
      </c>
    </row>
    <row r="2451" s="44" customFormat="1" spans="1:23">
      <c r="A2451" s="116"/>
      <c r="E2451" s="108"/>
      <c r="F2451" s="114"/>
      <c r="G2451" s="114"/>
      <c r="H2451" s="114"/>
      <c r="Q2451" s="44">
        <f>IF(数据录入!$B2451="",0,IF(OR(数据录入!$D2451="投标保证金",数据录入!$D2451="合同履约保证金",ISNUMBER(FIND("保证金",数据录入!$E2451))),1,0))</f>
      </c>
      <c r="R2451" s="44">
        <f>IF(AND($Q2451=1,数据录入!$B2451&gt;=$B$2,数据录入!$B2451&lt;=$D$2),N(R2450)+1,N(R2450))</f>
      </c>
    </row>
    <row r="2452" s="44" customFormat="1" spans="1:23">
      <c r="A2452" s="116"/>
      <c r="E2452" s="108"/>
      <c r="F2452" s="114"/>
      <c r="G2452" s="114"/>
      <c r="H2452" s="114"/>
      <c r="Q2452" s="44">
        <f>IF(数据录入!$B2452="",0,IF(OR(数据录入!$D2452="投标保证金",数据录入!$D2452="合同履约保证金",ISNUMBER(FIND("保证金",数据录入!$E2452))),1,0))</f>
      </c>
      <c r="R2452" s="44">
        <f>IF(AND($Q2452=1,数据录入!$B2452&gt;=$B$2,数据录入!$B2452&lt;=$D$2),N(R2451)+1,N(R2451))</f>
      </c>
    </row>
    <row r="2453" s="44" customFormat="1" spans="1:23">
      <c r="A2453" s="116"/>
      <c r="E2453" s="108"/>
      <c r="F2453" s="114"/>
      <c r="G2453" s="114"/>
      <c r="H2453" s="114"/>
      <c r="Q2453" s="44">
        <f>IF(数据录入!$B2453="",0,IF(OR(数据录入!$D2453="投标保证金",数据录入!$D2453="合同履约保证金",ISNUMBER(FIND("保证金",数据录入!$E2453))),1,0))</f>
      </c>
      <c r="R2453" s="44">
        <f>IF(AND($Q2453=1,数据录入!$B2453&gt;=$B$2,数据录入!$B2453&lt;=$D$2),N(R2452)+1,N(R2452))</f>
      </c>
    </row>
    <row r="2454" s="44" customFormat="1" spans="1:23">
      <c r="A2454" s="116"/>
      <c r="E2454" s="108"/>
      <c r="F2454" s="114"/>
      <c r="G2454" s="114"/>
      <c r="H2454" s="114"/>
      <c r="Q2454" s="44">
        <f>IF(数据录入!$B2454="",0,IF(OR(数据录入!$D2454="投标保证金",数据录入!$D2454="合同履约保证金",ISNUMBER(FIND("保证金",数据录入!$E2454))),1,0))</f>
      </c>
      <c r="R2454" s="44">
        <f>IF(AND($Q2454=1,数据录入!$B2454&gt;=$B$2,数据录入!$B2454&lt;=$D$2),N(R2453)+1,N(R2453))</f>
      </c>
    </row>
    <row r="2455" s="44" customFormat="1" spans="1:23">
      <c r="A2455" s="116"/>
      <c r="E2455" s="108"/>
      <c r="F2455" s="114"/>
      <c r="G2455" s="114"/>
      <c r="H2455" s="114"/>
      <c r="Q2455" s="44">
        <f>IF(数据录入!$B2455="",0,IF(OR(数据录入!$D2455="投标保证金",数据录入!$D2455="合同履约保证金",ISNUMBER(FIND("保证金",数据录入!$E2455))),1,0))</f>
      </c>
      <c r="R2455" s="44">
        <f>IF(AND($Q2455=1,数据录入!$B2455&gt;=$B$2,数据录入!$B2455&lt;=$D$2),N(R2454)+1,N(R2454))</f>
      </c>
    </row>
    <row r="2456" s="44" customFormat="1" spans="1:23">
      <c r="A2456" s="116"/>
      <c r="E2456" s="108"/>
      <c r="F2456" s="114"/>
      <c r="G2456" s="114"/>
      <c r="H2456" s="114"/>
      <c r="Q2456" s="44">
        <f>IF(数据录入!$B2456="",0,IF(OR(数据录入!$D2456="投标保证金",数据录入!$D2456="合同履约保证金",ISNUMBER(FIND("保证金",数据录入!$E2456))),1,0))</f>
      </c>
      <c r="R2456" s="44">
        <f>IF(AND($Q2456=1,数据录入!$B2456&gt;=$B$2,数据录入!$B2456&lt;=$D$2),N(R2455)+1,N(R2455))</f>
      </c>
    </row>
    <row r="2457" s="44" customFormat="1" spans="1:23">
      <c r="A2457" s="116"/>
      <c r="E2457" s="108"/>
      <c r="F2457" s="114"/>
      <c r="G2457" s="114"/>
      <c r="H2457" s="114"/>
      <c r="Q2457" s="44">
        <f>IF(数据录入!$B2457="",0,IF(OR(数据录入!$D2457="投标保证金",数据录入!$D2457="合同履约保证金",ISNUMBER(FIND("保证金",数据录入!$E2457))),1,0))</f>
      </c>
      <c r="R2457" s="44">
        <f>IF(AND($Q2457=1,数据录入!$B2457&gt;=$B$2,数据录入!$B2457&lt;=$D$2),N(R2456)+1,N(R2456))</f>
      </c>
    </row>
    <row r="2458" s="44" customFormat="1" spans="1:23">
      <c r="A2458" s="116"/>
      <c r="E2458" s="108"/>
      <c r="F2458" s="114"/>
      <c r="G2458" s="114"/>
      <c r="H2458" s="114"/>
      <c r="Q2458" s="44">
        <f>IF(数据录入!$B2458="",0,IF(OR(数据录入!$D2458="投标保证金",数据录入!$D2458="合同履约保证金",ISNUMBER(FIND("保证金",数据录入!$E2458))),1,0))</f>
      </c>
      <c r="R2458" s="44">
        <f>IF(AND($Q2458=1,数据录入!$B2458&gt;=$B$2,数据录入!$B2458&lt;=$D$2),N(R2457)+1,N(R2457))</f>
      </c>
    </row>
    <row r="2459" s="44" customFormat="1" spans="1:23">
      <c r="A2459" s="116"/>
      <c r="E2459" s="108"/>
      <c r="F2459" s="114"/>
      <c r="G2459" s="114"/>
      <c r="H2459" s="114"/>
      <c r="Q2459" s="44">
        <f>IF(数据录入!$B2459="",0,IF(OR(数据录入!$D2459="投标保证金",数据录入!$D2459="合同履约保证金",ISNUMBER(FIND("保证金",数据录入!$E2459))),1,0))</f>
      </c>
      <c r="R2459" s="44">
        <f>IF(AND($Q2459=1,数据录入!$B2459&gt;=$B$2,数据录入!$B2459&lt;=$D$2),N(R2458)+1,N(R2458))</f>
      </c>
    </row>
    <row r="2460" s="44" customFormat="1" spans="1:23">
      <c r="A2460" s="116"/>
      <c r="E2460" s="108"/>
      <c r="F2460" s="114"/>
      <c r="G2460" s="114"/>
      <c r="H2460" s="114"/>
      <c r="Q2460" s="44">
        <f>IF(数据录入!$B2460="",0,IF(OR(数据录入!$D2460="投标保证金",数据录入!$D2460="合同履约保证金",ISNUMBER(FIND("保证金",数据录入!$E2460))),1,0))</f>
      </c>
      <c r="R2460" s="44">
        <f>IF(AND($Q2460=1,数据录入!$B2460&gt;=$B$2,数据录入!$B2460&lt;=$D$2),N(R2459)+1,N(R2459))</f>
      </c>
    </row>
    <row r="2461" s="44" customFormat="1" spans="1:23">
      <c r="A2461" s="116"/>
      <c r="E2461" s="108"/>
      <c r="F2461" s="114"/>
      <c r="G2461" s="114"/>
      <c r="H2461" s="114"/>
      <c r="Q2461" s="44">
        <f>IF(数据录入!$B2461="",0,IF(OR(数据录入!$D2461="投标保证金",数据录入!$D2461="合同履约保证金",ISNUMBER(FIND("保证金",数据录入!$E2461))),1,0))</f>
      </c>
      <c r="R2461" s="44">
        <f>IF(AND($Q2461=1,数据录入!$B2461&gt;=$B$2,数据录入!$B2461&lt;=$D$2),N(R2460)+1,N(R2460))</f>
      </c>
    </row>
    <row r="2462" s="44" customFormat="1" spans="1:23">
      <c r="A2462" s="116"/>
      <c r="E2462" s="108"/>
      <c r="F2462" s="114"/>
      <c r="G2462" s="114"/>
      <c r="H2462" s="114"/>
      <c r="Q2462" s="44">
        <f>IF(数据录入!$B2462="",0,IF(OR(数据录入!$D2462="投标保证金",数据录入!$D2462="合同履约保证金",ISNUMBER(FIND("保证金",数据录入!$E2462))),1,0))</f>
      </c>
      <c r="R2462" s="44">
        <f>IF(AND($Q2462=1,数据录入!$B2462&gt;=$B$2,数据录入!$B2462&lt;=$D$2),N(R2461)+1,N(R2461))</f>
      </c>
    </row>
    <row r="2463" s="44" customFormat="1" spans="1:23">
      <c r="A2463" s="116"/>
      <c r="E2463" s="108"/>
      <c r="F2463" s="114"/>
      <c r="G2463" s="114"/>
      <c r="H2463" s="114"/>
      <c r="Q2463" s="44">
        <f>IF(数据录入!$B2463="",0,IF(OR(数据录入!$D2463="投标保证金",数据录入!$D2463="合同履约保证金",ISNUMBER(FIND("保证金",数据录入!$E2463))),1,0))</f>
      </c>
      <c r="R2463" s="44">
        <f>IF(AND($Q2463=1,数据录入!$B2463&gt;=$B$2,数据录入!$B2463&lt;=$D$2),N(R2462)+1,N(R2462))</f>
      </c>
    </row>
    <row r="2464" s="44" customFormat="1" spans="1:23">
      <c r="A2464" s="116"/>
      <c r="E2464" s="108"/>
      <c r="F2464" s="114"/>
      <c r="G2464" s="114"/>
      <c r="H2464" s="114"/>
      <c r="Q2464" s="44">
        <f>IF(数据录入!$B2464="",0,IF(OR(数据录入!$D2464="投标保证金",数据录入!$D2464="合同履约保证金",ISNUMBER(FIND("保证金",数据录入!$E2464))),1,0))</f>
      </c>
      <c r="R2464" s="44">
        <f>IF(AND($Q2464=1,数据录入!$B2464&gt;=$B$2,数据录入!$B2464&lt;=$D$2),N(R2463)+1,N(R2463))</f>
      </c>
    </row>
    <row r="2465" s="44" customFormat="1" spans="1:23">
      <c r="A2465" s="116"/>
      <c r="E2465" s="108"/>
      <c r="F2465" s="114"/>
      <c r="G2465" s="114"/>
      <c r="H2465" s="114"/>
      <c r="Q2465" s="44">
        <f>IF(数据录入!$B2465="",0,IF(OR(数据录入!$D2465="投标保证金",数据录入!$D2465="合同履约保证金",ISNUMBER(FIND("保证金",数据录入!$E2465))),1,0))</f>
      </c>
      <c r="R2465" s="44">
        <f>IF(AND($Q2465=1,数据录入!$B2465&gt;=$B$2,数据录入!$B2465&lt;=$D$2),N(R2464)+1,N(R2464))</f>
      </c>
    </row>
    <row r="2466" s="44" customFormat="1" spans="1:23">
      <c r="A2466" s="116"/>
      <c r="E2466" s="108"/>
      <c r="F2466" s="114"/>
      <c r="G2466" s="114"/>
      <c r="H2466" s="114"/>
      <c r="Q2466" s="44">
        <f>IF(数据录入!$B2466="",0,IF(OR(数据录入!$D2466="投标保证金",数据录入!$D2466="合同履约保证金",ISNUMBER(FIND("保证金",数据录入!$E2466))),1,0))</f>
      </c>
      <c r="R2466" s="44">
        <f>IF(AND($Q2466=1,数据录入!$B2466&gt;=$B$2,数据录入!$B2466&lt;=$D$2),N(R2465)+1,N(R2465))</f>
      </c>
    </row>
    <row r="2467" s="44" customFormat="1" spans="1:23">
      <c r="A2467" s="116"/>
      <c r="E2467" s="108"/>
      <c r="F2467" s="114"/>
      <c r="G2467" s="114"/>
      <c r="H2467" s="114"/>
      <c r="Q2467" s="44">
        <f>IF(数据录入!$B2467="",0,IF(OR(数据录入!$D2467="投标保证金",数据录入!$D2467="合同履约保证金",ISNUMBER(FIND("保证金",数据录入!$E2467))),1,0))</f>
      </c>
      <c r="R2467" s="44">
        <f>IF(AND($Q2467=1,数据录入!$B2467&gt;=$B$2,数据录入!$B2467&lt;=$D$2),N(R2466)+1,N(R2466))</f>
      </c>
    </row>
    <row r="2468" s="44" customFormat="1" spans="1:23">
      <c r="A2468" s="116"/>
      <c r="E2468" s="108"/>
      <c r="F2468" s="114"/>
      <c r="G2468" s="114"/>
      <c r="H2468" s="114"/>
      <c r="Q2468" s="44">
        <f>IF(数据录入!$B2468="",0,IF(OR(数据录入!$D2468="投标保证金",数据录入!$D2468="合同履约保证金",ISNUMBER(FIND("保证金",数据录入!$E2468))),1,0))</f>
      </c>
      <c r="R2468" s="44">
        <f>IF(AND($Q2468=1,数据录入!$B2468&gt;=$B$2,数据录入!$B2468&lt;=$D$2),N(R2467)+1,N(R2467))</f>
      </c>
    </row>
    <row r="2469" s="44" customFormat="1" spans="1:23">
      <c r="A2469" s="116"/>
      <c r="E2469" s="108"/>
      <c r="F2469" s="114"/>
      <c r="G2469" s="114"/>
      <c r="H2469" s="114"/>
      <c r="Q2469" s="44">
        <f>IF(数据录入!$B2469="",0,IF(OR(数据录入!$D2469="投标保证金",数据录入!$D2469="合同履约保证金",ISNUMBER(FIND("保证金",数据录入!$E2469))),1,0))</f>
      </c>
      <c r="R2469" s="44">
        <f>IF(AND($Q2469=1,数据录入!$B2469&gt;=$B$2,数据录入!$B2469&lt;=$D$2),N(R2468)+1,N(R2468))</f>
      </c>
    </row>
    <row r="2470" s="44" customFormat="1" spans="1:23">
      <c r="A2470" s="116"/>
      <c r="E2470" s="108"/>
      <c r="F2470" s="114"/>
      <c r="G2470" s="114"/>
      <c r="H2470" s="114"/>
      <c r="Q2470" s="44">
        <f>IF(数据录入!$B2470="",0,IF(OR(数据录入!$D2470="投标保证金",数据录入!$D2470="合同履约保证金",ISNUMBER(FIND("保证金",数据录入!$E2470))),1,0))</f>
      </c>
      <c r="R2470" s="44">
        <f>IF(AND($Q2470=1,数据录入!$B2470&gt;=$B$2,数据录入!$B2470&lt;=$D$2),N(R2469)+1,N(R2469))</f>
      </c>
    </row>
    <row r="2471" s="44" customFormat="1" spans="1:23">
      <c r="A2471" s="116"/>
      <c r="E2471" s="108"/>
      <c r="F2471" s="114"/>
      <c r="G2471" s="114"/>
      <c r="H2471" s="114"/>
      <c r="Q2471" s="44">
        <f>IF(数据录入!$B2471="",0,IF(OR(数据录入!$D2471="投标保证金",数据录入!$D2471="合同履约保证金",ISNUMBER(FIND("保证金",数据录入!$E2471))),1,0))</f>
      </c>
      <c r="R2471" s="44">
        <f>IF(AND($Q2471=1,数据录入!$B2471&gt;=$B$2,数据录入!$B2471&lt;=$D$2),N(R2470)+1,N(R2470))</f>
      </c>
    </row>
    <row r="2472" s="44" customFormat="1" spans="1:23">
      <c r="A2472" s="116"/>
      <c r="E2472" s="108"/>
      <c r="F2472" s="114"/>
      <c r="G2472" s="114"/>
      <c r="H2472" s="114"/>
      <c r="Q2472" s="44">
        <f>IF(数据录入!$B2472="",0,IF(OR(数据录入!$D2472="投标保证金",数据录入!$D2472="合同履约保证金",ISNUMBER(FIND("保证金",数据录入!$E2472))),1,0))</f>
      </c>
      <c r="R2472" s="44">
        <f>IF(AND($Q2472=1,数据录入!$B2472&gt;=$B$2,数据录入!$B2472&lt;=$D$2),N(R2471)+1,N(R2471))</f>
      </c>
    </row>
    <row r="2473" s="44" customFormat="1" spans="1:23">
      <c r="A2473" s="116"/>
      <c r="E2473" s="108"/>
      <c r="F2473" s="114"/>
      <c r="G2473" s="114"/>
      <c r="H2473" s="114"/>
      <c r="Q2473" s="44">
        <f>IF(数据录入!$B2473="",0,IF(OR(数据录入!$D2473="投标保证金",数据录入!$D2473="合同履约保证金",ISNUMBER(FIND("保证金",数据录入!$E2473))),1,0))</f>
      </c>
      <c r="R2473" s="44">
        <f>IF(AND($Q2473=1,数据录入!$B2473&gt;=$B$2,数据录入!$B2473&lt;=$D$2),N(R2472)+1,N(R2472))</f>
      </c>
    </row>
    <row r="2474" s="44" customFormat="1" spans="1:23">
      <c r="A2474" s="116"/>
      <c r="E2474" s="108"/>
      <c r="F2474" s="114"/>
      <c r="G2474" s="114"/>
      <c r="H2474" s="114"/>
      <c r="Q2474" s="44">
        <f>IF(数据录入!$B2474="",0,IF(OR(数据录入!$D2474="投标保证金",数据录入!$D2474="合同履约保证金",ISNUMBER(FIND("保证金",数据录入!$E2474))),1,0))</f>
      </c>
      <c r="R2474" s="44">
        <f>IF(AND($Q2474=1,数据录入!$B2474&gt;=$B$2,数据录入!$B2474&lt;=$D$2),N(R2473)+1,N(R2473))</f>
      </c>
    </row>
    <row r="2475" s="44" customFormat="1" spans="1:23">
      <c r="A2475" s="116"/>
      <c r="E2475" s="108"/>
      <c r="F2475" s="114"/>
      <c r="G2475" s="114"/>
      <c r="H2475" s="114"/>
      <c r="Q2475" s="44">
        <f>IF(数据录入!$B2475="",0,IF(OR(数据录入!$D2475="投标保证金",数据录入!$D2475="合同履约保证金",ISNUMBER(FIND("保证金",数据录入!$E2475))),1,0))</f>
      </c>
      <c r="R2475" s="44">
        <f>IF(AND($Q2475=1,数据录入!$B2475&gt;=$B$2,数据录入!$B2475&lt;=$D$2),N(R2474)+1,N(R2474))</f>
      </c>
    </row>
    <row r="2476" s="44" customFormat="1" spans="1:23">
      <c r="A2476" s="116"/>
      <c r="E2476" s="108"/>
      <c r="F2476" s="114"/>
      <c r="G2476" s="114"/>
      <c r="H2476" s="114"/>
      <c r="Q2476" s="44">
        <f>IF(数据录入!$B2476="",0,IF(OR(数据录入!$D2476="投标保证金",数据录入!$D2476="合同履约保证金",ISNUMBER(FIND("保证金",数据录入!$E2476))),1,0))</f>
      </c>
      <c r="R2476" s="44">
        <f>IF(AND($Q2476=1,数据录入!$B2476&gt;=$B$2,数据录入!$B2476&lt;=$D$2),N(R2475)+1,N(R2475))</f>
      </c>
    </row>
    <row r="2477" s="44" customFormat="1" spans="1:23">
      <c r="A2477" s="116"/>
      <c r="E2477" s="108"/>
      <c r="F2477" s="114"/>
      <c r="G2477" s="114"/>
      <c r="H2477" s="114"/>
      <c r="Q2477" s="44">
        <f>IF(数据录入!$B2477="",0,IF(OR(数据录入!$D2477="投标保证金",数据录入!$D2477="合同履约保证金",ISNUMBER(FIND("保证金",数据录入!$E2477))),1,0))</f>
      </c>
      <c r="R2477" s="44">
        <f>IF(AND($Q2477=1,数据录入!$B2477&gt;=$B$2,数据录入!$B2477&lt;=$D$2),N(R2476)+1,N(R2476))</f>
      </c>
    </row>
    <row r="2478" s="44" customFormat="1" spans="1:23">
      <c r="A2478" s="116"/>
      <c r="E2478" s="108"/>
      <c r="F2478" s="114"/>
      <c r="G2478" s="114"/>
      <c r="H2478" s="114"/>
      <c r="Q2478" s="44">
        <f>IF(数据录入!$B2478="",0,IF(OR(数据录入!$D2478="投标保证金",数据录入!$D2478="合同履约保证金",ISNUMBER(FIND("保证金",数据录入!$E2478))),1,0))</f>
      </c>
      <c r="R2478" s="44">
        <f>IF(AND($Q2478=1,数据录入!$B2478&gt;=$B$2,数据录入!$B2478&lt;=$D$2),N(R2477)+1,N(R2477))</f>
      </c>
    </row>
    <row r="2479" s="44" customFormat="1" spans="1:23">
      <c r="A2479" s="116"/>
      <c r="E2479" s="108"/>
      <c r="F2479" s="114"/>
      <c r="G2479" s="114"/>
      <c r="H2479" s="114"/>
      <c r="Q2479" s="44">
        <f>IF(数据录入!$B2479="",0,IF(OR(数据录入!$D2479="投标保证金",数据录入!$D2479="合同履约保证金",ISNUMBER(FIND("保证金",数据录入!$E2479))),1,0))</f>
      </c>
      <c r="R2479" s="44">
        <f>IF(AND($Q2479=1,数据录入!$B2479&gt;=$B$2,数据录入!$B2479&lt;=$D$2),N(R2478)+1,N(R2478))</f>
      </c>
    </row>
    <row r="2480" s="44" customFormat="1" spans="1:23">
      <c r="A2480" s="116"/>
      <c r="E2480" s="108"/>
      <c r="F2480" s="114"/>
      <c r="G2480" s="114"/>
      <c r="H2480" s="114"/>
      <c r="Q2480" s="44">
        <f>IF(数据录入!$B2480="",0,IF(OR(数据录入!$D2480="投标保证金",数据录入!$D2480="合同履约保证金",ISNUMBER(FIND("保证金",数据录入!$E2480))),1,0))</f>
      </c>
      <c r="R2480" s="44">
        <f>IF(AND($Q2480=1,数据录入!$B2480&gt;=$B$2,数据录入!$B2480&lt;=$D$2),N(R2479)+1,N(R2479))</f>
      </c>
    </row>
    <row r="2481" s="44" customFormat="1" spans="1:23">
      <c r="A2481" s="116"/>
      <c r="E2481" s="108"/>
      <c r="F2481" s="114"/>
      <c r="G2481" s="114"/>
      <c r="H2481" s="114"/>
      <c r="Q2481" s="44">
        <f>IF(数据录入!$B2481="",0,IF(OR(数据录入!$D2481="投标保证金",数据录入!$D2481="合同履约保证金",ISNUMBER(FIND("保证金",数据录入!$E2481))),1,0))</f>
      </c>
      <c r="R2481" s="44">
        <f>IF(AND($Q2481=1,数据录入!$B2481&gt;=$B$2,数据录入!$B2481&lt;=$D$2),N(R2480)+1,N(R2480))</f>
      </c>
    </row>
    <row r="2482" s="44" customFormat="1" spans="1:23">
      <c r="A2482" s="116"/>
      <c r="E2482" s="108"/>
      <c r="F2482" s="114"/>
      <c r="G2482" s="114"/>
      <c r="H2482" s="114"/>
      <c r="Q2482" s="44">
        <f>IF(数据录入!$B2482="",0,IF(OR(数据录入!$D2482="投标保证金",数据录入!$D2482="合同履约保证金",ISNUMBER(FIND("保证金",数据录入!$E2482))),1,0))</f>
      </c>
      <c r="R2482" s="44">
        <f>IF(AND($Q2482=1,数据录入!$B2482&gt;=$B$2,数据录入!$B2482&lt;=$D$2),N(R2481)+1,N(R2481))</f>
      </c>
    </row>
    <row r="2483" s="44" customFormat="1" spans="1:23">
      <c r="A2483" s="116"/>
      <c r="E2483" s="108"/>
      <c r="F2483" s="114"/>
      <c r="G2483" s="114"/>
      <c r="H2483" s="114"/>
      <c r="Q2483" s="44">
        <f>IF(数据录入!$B2483="",0,IF(OR(数据录入!$D2483="投标保证金",数据录入!$D2483="合同履约保证金",ISNUMBER(FIND("保证金",数据录入!$E2483))),1,0))</f>
      </c>
      <c r="R2483" s="44">
        <f>IF(AND($Q2483=1,数据录入!$B2483&gt;=$B$2,数据录入!$B2483&lt;=$D$2),N(R2482)+1,N(R2482))</f>
      </c>
    </row>
    <row r="2484" s="44" customFormat="1" spans="1:23">
      <c r="A2484" s="116"/>
      <c r="E2484" s="108"/>
      <c r="F2484" s="114"/>
      <c r="G2484" s="114"/>
      <c r="H2484" s="114"/>
      <c r="Q2484" s="44">
        <f>IF(数据录入!$B2484="",0,IF(OR(数据录入!$D2484="投标保证金",数据录入!$D2484="合同履约保证金",ISNUMBER(FIND("保证金",数据录入!$E2484))),1,0))</f>
      </c>
      <c r="R2484" s="44">
        <f>IF(AND($Q2484=1,数据录入!$B2484&gt;=$B$2,数据录入!$B2484&lt;=$D$2),N(R2483)+1,N(R2483))</f>
      </c>
    </row>
    <row r="2485" s="44" customFormat="1" spans="1:23">
      <c r="A2485" s="116"/>
      <c r="E2485" s="108"/>
      <c r="F2485" s="114"/>
      <c r="G2485" s="114"/>
      <c r="H2485" s="114"/>
      <c r="Q2485" s="44">
        <f>IF(数据录入!$B2485="",0,IF(OR(数据录入!$D2485="投标保证金",数据录入!$D2485="合同履约保证金",ISNUMBER(FIND("保证金",数据录入!$E2485))),1,0))</f>
      </c>
      <c r="R2485" s="44">
        <f>IF(AND($Q2485=1,数据录入!$B2485&gt;=$B$2,数据录入!$B2485&lt;=$D$2),N(R2484)+1,N(R2484))</f>
      </c>
    </row>
    <row r="2486" s="44" customFormat="1" spans="1:23">
      <c r="A2486" s="116"/>
      <c r="E2486" s="108"/>
      <c r="F2486" s="114"/>
      <c r="G2486" s="114"/>
      <c r="H2486" s="114"/>
      <c r="Q2486" s="44">
        <f>IF(数据录入!$B2486="",0,IF(OR(数据录入!$D2486="投标保证金",数据录入!$D2486="合同履约保证金",ISNUMBER(FIND("保证金",数据录入!$E2486))),1,0))</f>
      </c>
      <c r="R2486" s="44">
        <f>IF(AND($Q2486=1,数据录入!$B2486&gt;=$B$2,数据录入!$B2486&lt;=$D$2),N(R2485)+1,N(R2485))</f>
      </c>
    </row>
    <row r="2487" s="44" customFormat="1" spans="1:23">
      <c r="A2487" s="116"/>
      <c r="E2487" s="108"/>
      <c r="F2487" s="114"/>
      <c r="G2487" s="114"/>
      <c r="H2487" s="114"/>
      <c r="Q2487" s="44">
        <f>IF(数据录入!$B2487="",0,IF(OR(数据录入!$D2487="投标保证金",数据录入!$D2487="合同履约保证金",ISNUMBER(FIND("保证金",数据录入!$E2487))),1,0))</f>
      </c>
      <c r="R2487" s="44">
        <f>IF(AND($Q2487=1,数据录入!$B2487&gt;=$B$2,数据录入!$B2487&lt;=$D$2),N(R2486)+1,N(R2486))</f>
      </c>
    </row>
    <row r="2488" s="44" customFormat="1" spans="1:23">
      <c r="A2488" s="116"/>
      <c r="E2488" s="108"/>
      <c r="F2488" s="114"/>
      <c r="G2488" s="114"/>
      <c r="H2488" s="114"/>
      <c r="Q2488" s="44">
        <f>IF(数据录入!$B2488="",0,IF(OR(数据录入!$D2488="投标保证金",数据录入!$D2488="合同履约保证金",ISNUMBER(FIND("保证金",数据录入!$E2488))),1,0))</f>
      </c>
      <c r="R2488" s="44">
        <f>IF(AND($Q2488=1,数据录入!$B2488&gt;=$B$2,数据录入!$B2488&lt;=$D$2),N(R2487)+1,N(R2487))</f>
      </c>
    </row>
    <row r="2489" s="44" customFormat="1" spans="1:23">
      <c r="A2489" s="116"/>
      <c r="E2489" s="108"/>
      <c r="F2489" s="114"/>
      <c r="G2489" s="114"/>
      <c r="H2489" s="114"/>
      <c r="Q2489" s="44">
        <f>IF(数据录入!$B2489="",0,IF(OR(数据录入!$D2489="投标保证金",数据录入!$D2489="合同履约保证金",ISNUMBER(FIND("保证金",数据录入!$E2489))),1,0))</f>
      </c>
      <c r="R2489" s="44">
        <f>IF(AND($Q2489=1,数据录入!$B2489&gt;=$B$2,数据录入!$B2489&lt;=$D$2),N(R2488)+1,N(R2488))</f>
      </c>
    </row>
    <row r="2490" s="44" customFormat="1" spans="1:23">
      <c r="A2490" s="116"/>
      <c r="E2490" s="108"/>
      <c r="F2490" s="114"/>
      <c r="G2490" s="114"/>
      <c r="H2490" s="114"/>
      <c r="Q2490" s="44">
        <f>IF(数据录入!$B2490="",0,IF(OR(数据录入!$D2490="投标保证金",数据录入!$D2490="合同履约保证金",ISNUMBER(FIND("保证金",数据录入!$E2490))),1,0))</f>
      </c>
      <c r="R2490" s="44">
        <f>IF(AND($Q2490=1,数据录入!$B2490&gt;=$B$2,数据录入!$B2490&lt;=$D$2),N(R2489)+1,N(R2489))</f>
      </c>
    </row>
    <row r="2491" s="44" customFormat="1" spans="1:23">
      <c r="A2491" s="116"/>
      <c r="E2491" s="108"/>
      <c r="F2491" s="114"/>
      <c r="G2491" s="114"/>
      <c r="H2491" s="114"/>
      <c r="Q2491" s="44">
        <f>IF(数据录入!$B2491="",0,IF(OR(数据录入!$D2491="投标保证金",数据录入!$D2491="合同履约保证金",ISNUMBER(FIND("保证金",数据录入!$E2491))),1,0))</f>
      </c>
      <c r="R2491" s="44">
        <f>IF(AND($Q2491=1,数据录入!$B2491&gt;=$B$2,数据录入!$B2491&lt;=$D$2),N(R2490)+1,N(R2490))</f>
      </c>
    </row>
    <row r="2492" s="44" customFormat="1" spans="1:23">
      <c r="A2492" s="116"/>
      <c r="E2492" s="108"/>
      <c r="F2492" s="114"/>
      <c r="G2492" s="114"/>
      <c r="H2492" s="114"/>
      <c r="Q2492" s="44">
        <f>IF(数据录入!$B2492="",0,IF(OR(数据录入!$D2492="投标保证金",数据录入!$D2492="合同履约保证金",ISNUMBER(FIND("保证金",数据录入!$E2492))),1,0))</f>
      </c>
      <c r="R2492" s="44">
        <f>IF(AND($Q2492=1,数据录入!$B2492&gt;=$B$2,数据录入!$B2492&lt;=$D$2),N(R2491)+1,N(R2491))</f>
      </c>
    </row>
    <row r="2493" s="44" customFormat="1" spans="1:23">
      <c r="A2493" s="116"/>
      <c r="E2493" s="108"/>
      <c r="F2493" s="114"/>
      <c r="G2493" s="114"/>
      <c r="H2493" s="114"/>
      <c r="Q2493" s="44">
        <f>IF(数据录入!$B2493="",0,IF(OR(数据录入!$D2493="投标保证金",数据录入!$D2493="合同履约保证金",ISNUMBER(FIND("保证金",数据录入!$E2493))),1,0))</f>
      </c>
      <c r="R2493" s="44">
        <f>IF(AND($Q2493=1,数据录入!$B2493&gt;=$B$2,数据录入!$B2493&lt;=$D$2),N(R2492)+1,N(R2492))</f>
      </c>
    </row>
    <row r="2494" s="44" customFormat="1" spans="1:23">
      <c r="A2494" s="116"/>
      <c r="E2494" s="108"/>
      <c r="F2494" s="114"/>
      <c r="G2494" s="114"/>
      <c r="H2494" s="114"/>
      <c r="Q2494" s="44">
        <f>IF(数据录入!$B2494="",0,IF(OR(数据录入!$D2494="投标保证金",数据录入!$D2494="合同履约保证金",ISNUMBER(FIND("保证金",数据录入!$E2494))),1,0))</f>
      </c>
      <c r="R2494" s="44">
        <f>IF(AND($Q2494=1,数据录入!$B2494&gt;=$B$2,数据录入!$B2494&lt;=$D$2),N(R2493)+1,N(R2493))</f>
      </c>
    </row>
    <row r="2495" s="44" customFormat="1" spans="1:23">
      <c r="A2495" s="116"/>
      <c r="E2495" s="108"/>
      <c r="F2495" s="114"/>
      <c r="G2495" s="114"/>
      <c r="H2495" s="114"/>
      <c r="Q2495" s="44">
        <f>IF(数据录入!$B2495="",0,IF(OR(数据录入!$D2495="投标保证金",数据录入!$D2495="合同履约保证金",ISNUMBER(FIND("保证金",数据录入!$E2495))),1,0))</f>
      </c>
      <c r="R2495" s="44">
        <f>IF(AND($Q2495=1,数据录入!$B2495&gt;=$B$2,数据录入!$B2495&lt;=$D$2),N(R2494)+1,N(R2494))</f>
      </c>
    </row>
    <row r="2496" s="44" customFormat="1" spans="1:23">
      <c r="A2496" s="116"/>
      <c r="E2496" s="108"/>
      <c r="F2496" s="114"/>
      <c r="G2496" s="114"/>
      <c r="H2496" s="114"/>
      <c r="Q2496" s="44">
        <f>IF(数据录入!$B2496="",0,IF(OR(数据录入!$D2496="投标保证金",数据录入!$D2496="合同履约保证金",ISNUMBER(FIND("保证金",数据录入!$E2496))),1,0))</f>
      </c>
      <c r="R2496" s="44">
        <f>IF(AND($Q2496=1,数据录入!$B2496&gt;=$B$2,数据录入!$B2496&lt;=$D$2),N(R2495)+1,N(R2495))</f>
      </c>
    </row>
    <row r="2497" s="44" customFormat="1" spans="1:23">
      <c r="A2497" s="116"/>
      <c r="E2497" s="108"/>
      <c r="F2497" s="114"/>
      <c r="G2497" s="114"/>
      <c r="H2497" s="114"/>
      <c r="Q2497" s="44">
        <f>IF(数据录入!$B2497="",0,IF(OR(数据录入!$D2497="投标保证金",数据录入!$D2497="合同履约保证金",ISNUMBER(FIND("保证金",数据录入!$E2497))),1,0))</f>
      </c>
      <c r="R2497" s="44">
        <f>IF(AND($Q2497=1,数据录入!$B2497&gt;=$B$2,数据录入!$B2497&lt;=$D$2),N(R2496)+1,N(R2496))</f>
      </c>
    </row>
    <row r="2498" s="44" customFormat="1" spans="1:23">
      <c r="A2498" s="116"/>
      <c r="E2498" s="108"/>
      <c r="F2498" s="114"/>
      <c r="G2498" s="114"/>
      <c r="H2498" s="114"/>
      <c r="Q2498" s="44">
        <f>IF(数据录入!$B2498="",0,IF(OR(数据录入!$D2498="投标保证金",数据录入!$D2498="合同履约保证金",ISNUMBER(FIND("保证金",数据录入!$E2498))),1,0))</f>
      </c>
      <c r="R2498" s="44">
        <f>IF(AND($Q2498=1,数据录入!$B2498&gt;=$B$2,数据录入!$B2498&lt;=$D$2),N(R2497)+1,N(R2497))</f>
      </c>
    </row>
    <row r="2499" s="44" customFormat="1" spans="1:23">
      <c r="A2499" s="116"/>
      <c r="E2499" s="108"/>
      <c r="F2499" s="114"/>
      <c r="G2499" s="114"/>
      <c r="H2499" s="114"/>
      <c r="Q2499" s="44">
        <f>IF(数据录入!$B2499="",0,IF(OR(数据录入!$D2499="投标保证金",数据录入!$D2499="合同履约保证金",ISNUMBER(FIND("保证金",数据录入!$E2499))),1,0))</f>
      </c>
      <c r="R2499" s="44">
        <f>IF(AND($Q2499=1,数据录入!$B2499&gt;=$B$2,数据录入!$B2499&lt;=$D$2),N(R2498)+1,N(R2498))</f>
      </c>
    </row>
    <row r="2500" s="44" customFormat="1" spans="1:23">
      <c r="A2500" s="116"/>
      <c r="E2500" s="108"/>
      <c r="F2500" s="114"/>
      <c r="G2500" s="114"/>
      <c r="H2500" s="114"/>
      <c r="Q2500" s="44">
        <f>IF(数据录入!$B2500="",0,IF(OR(数据录入!$D2500="投标保证金",数据录入!$D2500="合同履约保证金",ISNUMBER(FIND("保证金",数据录入!$E2500))),1,0))</f>
      </c>
      <c r="R2500" s="44">
        <f>IF(AND($Q2500=1,数据录入!$B2500&gt;=$B$2,数据录入!$B2500&lt;=$D$2),N(R2499)+1,N(R2499))</f>
      </c>
    </row>
    <row r="2501" s="44" customFormat="1" spans="1:23">
      <c r="A2501" s="116"/>
      <c r="E2501" s="108"/>
      <c r="F2501" s="114"/>
      <c r="G2501" s="114"/>
      <c r="H2501" s="114"/>
      <c r="Q2501" s="44">
        <f>IF(数据录入!$B2501="",0,IF(OR(数据录入!$D2501="投标保证金",数据录入!$D2501="合同履约保证金",ISNUMBER(FIND("保证金",数据录入!$E2501))),1,0))</f>
      </c>
      <c r="R2501" s="44">
        <f>IF(AND($Q2501=1,数据录入!$B2501&gt;=$B$2,数据录入!$B2501&lt;=$D$2),N(R2500)+1,N(R2500))</f>
      </c>
    </row>
    <row r="2502" s="44" customFormat="1" spans="1:23">
      <c r="A2502" s="116"/>
      <c r="E2502" s="108"/>
      <c r="F2502" s="114"/>
      <c r="G2502" s="114"/>
      <c r="H2502" s="114"/>
      <c r="Q2502" s="44">
        <f>IF(数据录入!$B2502="",0,IF(OR(数据录入!$D2502="投标保证金",数据录入!$D2502="合同履约保证金",ISNUMBER(FIND("保证金",数据录入!$E2502))),1,0))</f>
      </c>
      <c r="R2502" s="44">
        <f>IF(AND($Q2502=1,数据录入!$B2502&gt;=$B$2,数据录入!$B2502&lt;=$D$2),N(R2501)+1,N(R2501))</f>
      </c>
    </row>
    <row r="2503" s="44" customFormat="1" spans="1:23">
      <c r="A2503" s="116"/>
      <c r="E2503" s="108"/>
      <c r="F2503" s="114"/>
      <c r="G2503" s="114"/>
      <c r="H2503" s="114"/>
      <c r="Q2503" s="44">
        <f>IF(数据录入!$B2503="",0,IF(OR(数据录入!$D2503="投标保证金",数据录入!$D2503="合同履约保证金",ISNUMBER(FIND("保证金",数据录入!$E2503))),1,0))</f>
      </c>
      <c r="R2503" s="44">
        <f>IF(AND($Q2503=1,数据录入!$B2503&gt;=$B$2,数据录入!$B2503&lt;=$D$2),N(R2502)+1,N(R2502))</f>
      </c>
    </row>
    <row r="2504" s="44" customFormat="1" spans="1:23">
      <c r="A2504" s="116"/>
      <c r="E2504" s="108"/>
      <c r="F2504" s="114"/>
      <c r="G2504" s="114"/>
      <c r="H2504" s="114"/>
      <c r="Q2504" s="44">
        <f>IF(数据录入!$B2504="",0,IF(OR(数据录入!$D2504="投标保证金",数据录入!$D2504="合同履约保证金",ISNUMBER(FIND("保证金",数据录入!$E2504))),1,0))</f>
      </c>
      <c r="R2504" s="44">
        <f>IF(AND($Q2504=1,数据录入!$B2504&gt;=$B$2,数据录入!$B2504&lt;=$D$2),N(R2503)+1,N(R2503))</f>
      </c>
    </row>
    <row r="2505" s="44" customFormat="1" spans="1:23">
      <c r="A2505" s="116"/>
      <c r="E2505" s="108"/>
      <c r="F2505" s="114"/>
      <c r="G2505" s="114"/>
      <c r="H2505" s="114"/>
      <c r="Q2505" s="44">
        <f>IF(数据录入!$B2505="",0,IF(OR(数据录入!$D2505="投标保证金",数据录入!$D2505="合同履约保证金",ISNUMBER(FIND("保证金",数据录入!$E2505))),1,0))</f>
      </c>
      <c r="R2505" s="44">
        <f>IF(AND($Q2505=1,数据录入!$B2505&gt;=$B$2,数据录入!$B2505&lt;=$D$2),N(R2504)+1,N(R2504))</f>
      </c>
    </row>
    <row r="2506" s="44" customFormat="1" spans="1:23">
      <c r="A2506" s="116"/>
      <c r="E2506" s="108"/>
      <c r="F2506" s="114"/>
      <c r="G2506" s="114"/>
      <c r="H2506" s="114"/>
      <c r="Q2506" s="44">
        <f>IF(数据录入!$B2506="",0,IF(OR(数据录入!$D2506="投标保证金",数据录入!$D2506="合同履约保证金",ISNUMBER(FIND("保证金",数据录入!$E2506))),1,0))</f>
      </c>
      <c r="R2506" s="44">
        <f>IF(AND($Q2506=1,数据录入!$B2506&gt;=$B$2,数据录入!$B2506&lt;=$D$2),N(R2505)+1,N(R2505))</f>
      </c>
    </row>
    <row r="2507" s="44" customFormat="1" spans="1:23">
      <c r="A2507" s="116"/>
      <c r="E2507" s="108"/>
      <c r="F2507" s="114"/>
      <c r="G2507" s="114"/>
      <c r="H2507" s="114"/>
      <c r="Q2507" s="44">
        <f>IF(数据录入!$B2507="",0,IF(OR(数据录入!$D2507="投标保证金",数据录入!$D2507="合同履约保证金",ISNUMBER(FIND("保证金",数据录入!$E2507))),1,0))</f>
      </c>
      <c r="R2507" s="44">
        <f>IF(AND($Q2507=1,数据录入!$B2507&gt;=$B$2,数据录入!$B2507&lt;=$D$2),N(R2506)+1,N(R2506))</f>
      </c>
    </row>
    <row r="2508" s="44" customFormat="1" spans="1:23">
      <c r="A2508" s="116"/>
      <c r="E2508" s="108"/>
      <c r="F2508" s="114"/>
      <c r="G2508" s="114"/>
      <c r="H2508" s="114"/>
      <c r="Q2508" s="44">
        <f>IF(数据录入!$B2508="",0,IF(OR(数据录入!$D2508="投标保证金",数据录入!$D2508="合同履约保证金",ISNUMBER(FIND("保证金",数据录入!$E2508))),1,0))</f>
      </c>
      <c r="R2508" s="44">
        <f>IF(AND($Q2508=1,数据录入!$B2508&gt;=$B$2,数据录入!$B2508&lt;=$D$2),N(R2507)+1,N(R2507))</f>
      </c>
    </row>
    <row r="2509" s="44" customFormat="1" spans="1:23">
      <c r="A2509" s="116"/>
      <c r="E2509" s="108"/>
      <c r="F2509" s="114"/>
      <c r="G2509" s="114"/>
      <c r="H2509" s="114"/>
      <c r="Q2509" s="44">
        <f>IF(数据录入!$B2509="",0,IF(OR(数据录入!$D2509="投标保证金",数据录入!$D2509="合同履约保证金",ISNUMBER(FIND("保证金",数据录入!$E2509))),1,0))</f>
      </c>
      <c r="R2509" s="44">
        <f>IF(AND($Q2509=1,数据录入!$B2509&gt;=$B$2,数据录入!$B2509&lt;=$D$2),N(R2508)+1,N(R2508))</f>
      </c>
    </row>
    <row r="2510" s="44" customFormat="1" spans="1:23">
      <c r="A2510" s="116"/>
      <c r="E2510" s="108"/>
      <c r="F2510" s="114"/>
      <c r="G2510" s="114"/>
      <c r="H2510" s="114"/>
      <c r="Q2510" s="44">
        <f>IF(数据录入!$B2510="",0,IF(OR(数据录入!$D2510="投标保证金",数据录入!$D2510="合同履约保证金",ISNUMBER(FIND("保证金",数据录入!$E2510))),1,0))</f>
      </c>
      <c r="R2510" s="44">
        <f>IF(AND($Q2510=1,数据录入!$B2510&gt;=$B$2,数据录入!$B2510&lt;=$D$2),N(R2509)+1,N(R2509))</f>
      </c>
    </row>
    <row r="2511" s="44" customFormat="1" spans="1:23">
      <c r="A2511" s="116"/>
      <c r="E2511" s="108"/>
      <c r="F2511" s="114"/>
      <c r="G2511" s="114"/>
      <c r="H2511" s="114"/>
      <c r="Q2511" s="44">
        <f>IF(数据录入!$B2511="",0,IF(OR(数据录入!$D2511="投标保证金",数据录入!$D2511="合同履约保证金",ISNUMBER(FIND("保证金",数据录入!$E2511))),1,0))</f>
      </c>
      <c r="R2511" s="44">
        <f>IF(AND($Q2511=1,数据录入!$B2511&gt;=$B$2,数据录入!$B2511&lt;=$D$2),N(R2510)+1,N(R2510))</f>
      </c>
    </row>
    <row r="2512" s="44" customFormat="1" spans="1:23">
      <c r="A2512" s="116"/>
      <c r="E2512" s="108"/>
      <c r="F2512" s="114"/>
      <c r="G2512" s="114"/>
      <c r="H2512" s="114"/>
      <c r="Q2512" s="44">
        <f>IF(数据录入!$B2512="",0,IF(OR(数据录入!$D2512="投标保证金",数据录入!$D2512="合同履约保证金",ISNUMBER(FIND("保证金",数据录入!$E2512))),1,0))</f>
      </c>
      <c r="R2512" s="44">
        <f>IF(AND($Q2512=1,数据录入!$B2512&gt;=$B$2,数据录入!$B2512&lt;=$D$2),N(R2511)+1,N(R2511))</f>
      </c>
    </row>
    <row r="2513" s="44" customFormat="1" spans="1:23">
      <c r="A2513" s="116"/>
      <c r="E2513" s="108"/>
      <c r="F2513" s="114"/>
      <c r="G2513" s="114"/>
      <c r="H2513" s="114"/>
      <c r="Q2513" s="44">
        <f>IF(数据录入!$B2513="",0,IF(OR(数据录入!$D2513="投标保证金",数据录入!$D2513="合同履约保证金",ISNUMBER(FIND("保证金",数据录入!$E2513))),1,0))</f>
      </c>
      <c r="R2513" s="44">
        <f>IF(AND($Q2513=1,数据录入!$B2513&gt;=$B$2,数据录入!$B2513&lt;=$D$2),N(R2512)+1,N(R2512))</f>
      </c>
    </row>
    <row r="2514" s="44" customFormat="1" spans="1:23">
      <c r="A2514" s="116"/>
      <c r="E2514" s="108"/>
      <c r="F2514" s="114"/>
      <c r="G2514" s="114"/>
      <c r="H2514" s="114"/>
      <c r="Q2514" s="44">
        <f>IF(数据录入!$B2514="",0,IF(OR(数据录入!$D2514="投标保证金",数据录入!$D2514="合同履约保证金",ISNUMBER(FIND("保证金",数据录入!$E2514))),1,0))</f>
      </c>
      <c r="R2514" s="44">
        <f>IF(AND($Q2514=1,数据录入!$B2514&gt;=$B$2,数据录入!$B2514&lt;=$D$2),N(R2513)+1,N(R2513))</f>
      </c>
    </row>
    <row r="2515" s="44" customFormat="1" spans="1:23">
      <c r="A2515" s="116"/>
      <c r="E2515" s="108"/>
      <c r="F2515" s="114"/>
      <c r="G2515" s="114"/>
      <c r="H2515" s="114"/>
      <c r="Q2515" s="44">
        <f>IF(数据录入!$B2515="",0,IF(OR(数据录入!$D2515="投标保证金",数据录入!$D2515="合同履约保证金",ISNUMBER(FIND("保证金",数据录入!$E2515))),1,0))</f>
      </c>
      <c r="R2515" s="44">
        <f>IF(AND($Q2515=1,数据录入!$B2515&gt;=$B$2,数据录入!$B2515&lt;=$D$2),N(R2514)+1,N(R2514))</f>
      </c>
    </row>
    <row r="2516" s="44" customFormat="1" spans="1:23">
      <c r="A2516" s="116"/>
      <c r="E2516" s="108"/>
      <c r="F2516" s="114"/>
      <c r="G2516" s="114"/>
      <c r="H2516" s="114"/>
      <c r="Q2516" s="44">
        <f>IF(数据录入!$B2516="",0,IF(OR(数据录入!$D2516="投标保证金",数据录入!$D2516="合同履约保证金",ISNUMBER(FIND("保证金",数据录入!$E2516))),1,0))</f>
      </c>
      <c r="R2516" s="44">
        <f>IF(AND($Q2516=1,数据录入!$B2516&gt;=$B$2,数据录入!$B2516&lt;=$D$2),N(R2515)+1,N(R2515))</f>
      </c>
    </row>
    <row r="2517" s="44" customFormat="1" spans="1:23">
      <c r="A2517" s="116"/>
      <c r="E2517" s="108"/>
      <c r="F2517" s="114"/>
      <c r="G2517" s="114"/>
      <c r="H2517" s="114"/>
      <c r="Q2517" s="44">
        <f>IF(数据录入!$B2517="",0,IF(OR(数据录入!$D2517="投标保证金",数据录入!$D2517="合同履约保证金",ISNUMBER(FIND("保证金",数据录入!$E2517))),1,0))</f>
      </c>
      <c r="R2517" s="44">
        <f>IF(AND($Q2517=1,数据录入!$B2517&gt;=$B$2,数据录入!$B2517&lt;=$D$2),N(R2516)+1,N(R2516))</f>
      </c>
    </row>
    <row r="2518" s="44" customFormat="1" spans="1:23">
      <c r="A2518" s="116"/>
      <c r="E2518" s="108"/>
      <c r="F2518" s="114"/>
      <c r="G2518" s="114"/>
      <c r="H2518" s="114"/>
      <c r="Q2518" s="44">
        <f>IF(数据录入!$B2518="",0,IF(OR(数据录入!$D2518="投标保证金",数据录入!$D2518="合同履约保证金",ISNUMBER(FIND("保证金",数据录入!$E2518))),1,0))</f>
      </c>
      <c r="R2518" s="44">
        <f>IF(AND($Q2518=1,数据录入!$B2518&gt;=$B$2,数据录入!$B2518&lt;=$D$2),N(R2517)+1,N(R2517))</f>
      </c>
    </row>
    <row r="2519" s="44" customFormat="1" spans="1:23">
      <c r="A2519" s="116"/>
      <c r="E2519" s="108"/>
      <c r="F2519" s="114"/>
      <c r="G2519" s="114"/>
      <c r="H2519" s="114"/>
      <c r="Q2519" s="44">
        <f>IF(数据录入!$B2519="",0,IF(OR(数据录入!$D2519="投标保证金",数据录入!$D2519="合同履约保证金",ISNUMBER(FIND("保证金",数据录入!$E2519))),1,0))</f>
      </c>
      <c r="R2519" s="44">
        <f>IF(AND($Q2519=1,数据录入!$B2519&gt;=$B$2,数据录入!$B2519&lt;=$D$2),N(R2518)+1,N(R2518))</f>
      </c>
    </row>
    <row r="2520" s="44" customFormat="1" spans="1:23">
      <c r="A2520" s="116"/>
      <c r="E2520" s="108"/>
      <c r="F2520" s="114"/>
      <c r="G2520" s="114"/>
      <c r="H2520" s="114"/>
      <c r="Q2520" s="44">
        <f>IF(数据录入!$B2520="",0,IF(OR(数据录入!$D2520="投标保证金",数据录入!$D2520="合同履约保证金",ISNUMBER(FIND("保证金",数据录入!$E2520))),1,0))</f>
      </c>
      <c r="R2520" s="44">
        <f>IF(AND($Q2520=1,数据录入!$B2520&gt;=$B$2,数据录入!$B2520&lt;=$D$2),N(R2519)+1,N(R2519))</f>
      </c>
    </row>
    <row r="2521" s="44" customFormat="1" spans="1:23">
      <c r="A2521" s="116"/>
      <c r="E2521" s="108"/>
      <c r="F2521" s="114"/>
      <c r="G2521" s="114"/>
      <c r="H2521" s="114"/>
      <c r="Q2521" s="44">
        <f>IF(数据录入!$B2521="",0,IF(OR(数据录入!$D2521="投标保证金",数据录入!$D2521="合同履约保证金",ISNUMBER(FIND("保证金",数据录入!$E2521))),1,0))</f>
      </c>
      <c r="R2521" s="44">
        <f>IF(AND($Q2521=1,数据录入!$B2521&gt;=$B$2,数据录入!$B2521&lt;=$D$2),N(R2520)+1,N(R2520))</f>
      </c>
    </row>
    <row r="2522" s="44" customFormat="1" spans="1:23">
      <c r="A2522" s="116"/>
      <c r="E2522" s="108"/>
      <c r="F2522" s="114"/>
      <c r="G2522" s="114"/>
      <c r="H2522" s="114"/>
      <c r="Q2522" s="44">
        <f>IF(数据录入!$B2522="",0,IF(OR(数据录入!$D2522="投标保证金",数据录入!$D2522="合同履约保证金",ISNUMBER(FIND("保证金",数据录入!$E2522))),1,0))</f>
      </c>
      <c r="R2522" s="44">
        <f>IF(AND($Q2522=1,数据录入!$B2522&gt;=$B$2,数据录入!$B2522&lt;=$D$2),N(R2521)+1,N(R2521))</f>
      </c>
    </row>
    <row r="2523" s="44" customFormat="1" spans="1:23">
      <c r="A2523" s="116"/>
      <c r="E2523" s="108"/>
      <c r="F2523" s="114"/>
      <c r="G2523" s="114"/>
      <c r="H2523" s="114"/>
      <c r="Q2523" s="44">
        <f>IF(数据录入!$B2523="",0,IF(OR(数据录入!$D2523="投标保证金",数据录入!$D2523="合同履约保证金",ISNUMBER(FIND("保证金",数据录入!$E2523))),1,0))</f>
      </c>
      <c r="R2523" s="44">
        <f>IF(AND($Q2523=1,数据录入!$B2523&gt;=$B$2,数据录入!$B2523&lt;=$D$2),N(R2522)+1,N(R2522))</f>
      </c>
    </row>
    <row r="2524" s="44" customFormat="1" spans="1:23">
      <c r="A2524" s="116"/>
      <c r="E2524" s="108"/>
      <c r="F2524" s="114"/>
      <c r="G2524" s="114"/>
      <c r="H2524" s="114"/>
      <c r="Q2524" s="44">
        <f>IF(数据录入!$B2524="",0,IF(OR(数据录入!$D2524="投标保证金",数据录入!$D2524="合同履约保证金",ISNUMBER(FIND("保证金",数据录入!$E2524))),1,0))</f>
      </c>
      <c r="R2524" s="44">
        <f>IF(AND($Q2524=1,数据录入!$B2524&gt;=$B$2,数据录入!$B2524&lt;=$D$2),N(R2523)+1,N(R2523))</f>
      </c>
    </row>
    <row r="2525" s="44" customFormat="1" spans="1:23">
      <c r="A2525" s="116"/>
      <c r="E2525" s="108"/>
      <c r="F2525" s="114"/>
      <c r="G2525" s="114"/>
      <c r="H2525" s="114"/>
      <c r="Q2525" s="44">
        <f>IF(数据录入!$B2525="",0,IF(OR(数据录入!$D2525="投标保证金",数据录入!$D2525="合同履约保证金",ISNUMBER(FIND("保证金",数据录入!$E2525))),1,0))</f>
      </c>
      <c r="R2525" s="44">
        <f>IF(AND($Q2525=1,数据录入!$B2525&gt;=$B$2,数据录入!$B2525&lt;=$D$2),N(R2524)+1,N(R2524))</f>
      </c>
    </row>
    <row r="2526" s="44" customFormat="1" spans="1:23">
      <c r="A2526" s="116"/>
      <c r="E2526" s="108"/>
      <c r="F2526" s="114"/>
      <c r="G2526" s="114"/>
      <c r="H2526" s="114"/>
      <c r="Q2526" s="44">
        <f>IF(数据录入!$B2526="",0,IF(OR(数据录入!$D2526="投标保证金",数据录入!$D2526="合同履约保证金",ISNUMBER(FIND("保证金",数据录入!$E2526))),1,0))</f>
      </c>
      <c r="R2526" s="44">
        <f>IF(AND($Q2526=1,数据录入!$B2526&gt;=$B$2,数据录入!$B2526&lt;=$D$2),N(R2525)+1,N(R2525))</f>
      </c>
    </row>
    <row r="2527" s="44" customFormat="1" spans="1:23">
      <c r="A2527" s="116"/>
      <c r="E2527" s="108"/>
      <c r="F2527" s="114"/>
      <c r="G2527" s="114"/>
      <c r="H2527" s="114"/>
      <c r="Q2527" s="44">
        <f>IF(数据录入!$B2527="",0,IF(OR(数据录入!$D2527="投标保证金",数据录入!$D2527="合同履约保证金",ISNUMBER(FIND("保证金",数据录入!$E2527))),1,0))</f>
      </c>
      <c r="R2527" s="44">
        <f>IF(AND($Q2527=1,数据录入!$B2527&gt;=$B$2,数据录入!$B2527&lt;=$D$2),N(R2526)+1,N(R2526))</f>
      </c>
    </row>
    <row r="2528" s="44" customFormat="1" spans="1:23">
      <c r="A2528" s="116"/>
      <c r="E2528" s="108"/>
      <c r="F2528" s="114"/>
      <c r="G2528" s="114"/>
      <c r="H2528" s="114"/>
      <c r="Q2528" s="44">
        <f>IF(数据录入!$B2528="",0,IF(OR(数据录入!$D2528="投标保证金",数据录入!$D2528="合同履约保证金",ISNUMBER(FIND("保证金",数据录入!$E2528))),1,0))</f>
      </c>
      <c r="R2528" s="44">
        <f>IF(AND($Q2528=1,数据录入!$B2528&gt;=$B$2,数据录入!$B2528&lt;=$D$2),N(R2527)+1,N(R2527))</f>
      </c>
    </row>
    <row r="2529" s="44" customFormat="1" spans="1:23">
      <c r="A2529" s="116"/>
      <c r="E2529" s="108"/>
      <c r="F2529" s="114"/>
      <c r="G2529" s="114"/>
      <c r="H2529" s="114"/>
      <c r="Q2529" s="44">
        <f>IF(数据录入!$B2529="",0,IF(OR(数据录入!$D2529="投标保证金",数据录入!$D2529="合同履约保证金",ISNUMBER(FIND("保证金",数据录入!$E2529))),1,0))</f>
      </c>
      <c r="R2529" s="44">
        <f>IF(AND($Q2529=1,数据录入!$B2529&gt;=$B$2,数据录入!$B2529&lt;=$D$2),N(R2528)+1,N(R2528))</f>
      </c>
    </row>
    <row r="2530" s="44" customFormat="1" spans="1:23">
      <c r="A2530" s="116"/>
      <c r="E2530" s="108"/>
      <c r="F2530" s="114"/>
      <c r="G2530" s="114"/>
      <c r="H2530" s="114"/>
      <c r="Q2530" s="44">
        <f>IF(数据录入!$B2530="",0,IF(OR(数据录入!$D2530="投标保证金",数据录入!$D2530="合同履约保证金",ISNUMBER(FIND("保证金",数据录入!$E2530))),1,0))</f>
      </c>
      <c r="R2530" s="44">
        <f>IF(AND($Q2530=1,数据录入!$B2530&gt;=$B$2,数据录入!$B2530&lt;=$D$2),N(R2529)+1,N(R2529))</f>
      </c>
    </row>
    <row r="2531" s="44" customFormat="1" spans="1:23">
      <c r="A2531" s="116"/>
      <c r="E2531" s="108"/>
      <c r="F2531" s="114"/>
      <c r="G2531" s="114"/>
      <c r="H2531" s="114"/>
      <c r="Q2531" s="44">
        <f>IF(数据录入!$B2531="",0,IF(OR(数据录入!$D2531="投标保证金",数据录入!$D2531="合同履约保证金",ISNUMBER(FIND("保证金",数据录入!$E2531))),1,0))</f>
      </c>
      <c r="R2531" s="44">
        <f>IF(AND($Q2531=1,数据录入!$B2531&gt;=$B$2,数据录入!$B2531&lt;=$D$2),N(R2530)+1,N(R2530))</f>
      </c>
    </row>
    <row r="2532" s="44" customFormat="1" spans="1:23">
      <c r="A2532" s="116"/>
      <c r="E2532" s="108"/>
      <c r="F2532" s="114"/>
      <c r="G2532" s="114"/>
      <c r="H2532" s="114"/>
      <c r="Q2532" s="44">
        <f>IF(数据录入!$B2532="",0,IF(OR(数据录入!$D2532="投标保证金",数据录入!$D2532="合同履约保证金",ISNUMBER(FIND("保证金",数据录入!$E2532))),1,0))</f>
      </c>
      <c r="R2532" s="44">
        <f>IF(AND($Q2532=1,数据录入!$B2532&gt;=$B$2,数据录入!$B2532&lt;=$D$2),N(R2531)+1,N(R2531))</f>
      </c>
    </row>
    <row r="2533" s="44" customFormat="1" spans="1:23">
      <c r="A2533" s="116"/>
      <c r="E2533" s="108"/>
      <c r="F2533" s="114"/>
      <c r="G2533" s="114"/>
      <c r="H2533" s="114"/>
      <c r="Q2533" s="44">
        <f>IF(数据录入!$B2533="",0,IF(OR(数据录入!$D2533="投标保证金",数据录入!$D2533="合同履约保证金",ISNUMBER(FIND("保证金",数据录入!$E2533))),1,0))</f>
      </c>
      <c r="R2533" s="44">
        <f>IF(AND($Q2533=1,数据录入!$B2533&gt;=$B$2,数据录入!$B2533&lt;=$D$2),N(R2532)+1,N(R2532))</f>
      </c>
    </row>
    <row r="2534" s="44" customFormat="1" spans="1:23">
      <c r="A2534" s="116"/>
      <c r="E2534" s="108"/>
      <c r="F2534" s="114"/>
      <c r="G2534" s="114"/>
      <c r="H2534" s="114"/>
      <c r="Q2534" s="44">
        <f>IF(数据录入!$B2534="",0,IF(OR(数据录入!$D2534="投标保证金",数据录入!$D2534="合同履约保证金",ISNUMBER(FIND("保证金",数据录入!$E2534))),1,0))</f>
      </c>
      <c r="R2534" s="44">
        <f>IF(AND($Q2534=1,数据录入!$B2534&gt;=$B$2,数据录入!$B2534&lt;=$D$2),N(R2533)+1,N(R2533))</f>
      </c>
    </row>
    <row r="2535" s="44" customFormat="1" spans="1:23">
      <c r="A2535" s="116"/>
      <c r="E2535" s="108"/>
      <c r="F2535" s="114"/>
      <c r="G2535" s="114"/>
      <c r="H2535" s="114"/>
      <c r="Q2535" s="44">
        <f>IF(数据录入!$B2535="",0,IF(OR(数据录入!$D2535="投标保证金",数据录入!$D2535="合同履约保证金",ISNUMBER(FIND("保证金",数据录入!$E2535))),1,0))</f>
      </c>
      <c r="R2535" s="44">
        <f>IF(AND($Q2535=1,数据录入!$B2535&gt;=$B$2,数据录入!$B2535&lt;=$D$2),N(R2534)+1,N(R2534))</f>
      </c>
    </row>
    <row r="2536" s="44" customFormat="1" spans="1:23">
      <c r="A2536" s="116"/>
      <c r="E2536" s="108"/>
      <c r="F2536" s="114"/>
      <c r="G2536" s="114"/>
      <c r="H2536" s="114"/>
      <c r="Q2536" s="44">
        <f>IF(数据录入!$B2536="",0,IF(OR(数据录入!$D2536="投标保证金",数据录入!$D2536="合同履约保证金",ISNUMBER(FIND("保证金",数据录入!$E2536))),1,0))</f>
      </c>
      <c r="R2536" s="44">
        <f>IF(AND($Q2536=1,数据录入!$B2536&gt;=$B$2,数据录入!$B2536&lt;=$D$2),N(R2535)+1,N(R2535))</f>
      </c>
    </row>
    <row r="2537" s="44" customFormat="1" spans="1:23">
      <c r="A2537" s="116"/>
      <c r="E2537" s="108"/>
      <c r="F2537" s="114"/>
      <c r="G2537" s="114"/>
      <c r="H2537" s="114"/>
      <c r="Q2537" s="44">
        <f>IF(数据录入!$B2537="",0,IF(OR(数据录入!$D2537="投标保证金",数据录入!$D2537="合同履约保证金",ISNUMBER(FIND("保证金",数据录入!$E2537))),1,0))</f>
      </c>
      <c r="R2537" s="44">
        <f>IF(AND($Q2537=1,数据录入!$B2537&gt;=$B$2,数据录入!$B2537&lt;=$D$2),N(R2536)+1,N(R2536))</f>
      </c>
    </row>
    <row r="2538" s="44" customFormat="1" spans="1:23">
      <c r="A2538" s="116"/>
      <c r="E2538" s="108"/>
      <c r="F2538" s="114"/>
      <c r="G2538" s="114"/>
      <c r="H2538" s="114"/>
      <c r="Q2538" s="44">
        <f>IF(数据录入!$B2538="",0,IF(OR(数据录入!$D2538="投标保证金",数据录入!$D2538="合同履约保证金",ISNUMBER(FIND("保证金",数据录入!$E2538))),1,0))</f>
      </c>
      <c r="R2538" s="44">
        <f>IF(AND($Q2538=1,数据录入!$B2538&gt;=$B$2,数据录入!$B2538&lt;=$D$2),N(R2537)+1,N(R2537))</f>
      </c>
    </row>
    <row r="2539" s="44" customFormat="1" spans="1:23">
      <c r="A2539" s="116"/>
      <c r="E2539" s="108"/>
      <c r="F2539" s="114"/>
      <c r="G2539" s="114"/>
      <c r="H2539" s="114"/>
      <c r="Q2539" s="44">
        <f>IF(数据录入!$B2539="",0,IF(OR(数据录入!$D2539="投标保证金",数据录入!$D2539="合同履约保证金",ISNUMBER(FIND("保证金",数据录入!$E2539))),1,0))</f>
      </c>
      <c r="R2539" s="44">
        <f>IF(AND($Q2539=1,数据录入!$B2539&gt;=$B$2,数据录入!$B2539&lt;=$D$2),N(R2538)+1,N(R2538))</f>
      </c>
    </row>
    <row r="2540" s="44" customFormat="1" spans="1:23">
      <c r="A2540" s="116"/>
      <c r="E2540" s="108"/>
      <c r="F2540" s="114"/>
      <c r="G2540" s="114"/>
      <c r="H2540" s="114"/>
      <c r="Q2540" s="44">
        <f>IF(数据录入!$B2540="",0,IF(OR(数据录入!$D2540="投标保证金",数据录入!$D2540="合同履约保证金",ISNUMBER(FIND("保证金",数据录入!$E2540))),1,0))</f>
      </c>
      <c r="R2540" s="44">
        <f>IF(AND($Q2540=1,数据录入!$B2540&gt;=$B$2,数据录入!$B2540&lt;=$D$2),N(R2539)+1,N(R2539))</f>
      </c>
    </row>
    <row r="2541" s="44" customFormat="1" spans="1:23">
      <c r="A2541" s="116"/>
      <c r="E2541" s="108"/>
      <c r="F2541" s="114"/>
      <c r="G2541" s="114"/>
      <c r="H2541" s="114"/>
      <c r="Q2541" s="44">
        <f>IF(数据录入!$B2541="",0,IF(OR(数据录入!$D2541="投标保证金",数据录入!$D2541="合同履约保证金",ISNUMBER(FIND("保证金",数据录入!$E2541))),1,0))</f>
      </c>
      <c r="R2541" s="44">
        <f>IF(AND($Q2541=1,数据录入!$B2541&gt;=$B$2,数据录入!$B2541&lt;=$D$2),N(R2540)+1,N(R2540))</f>
      </c>
    </row>
    <row r="2542" s="44" customFormat="1" spans="1:23">
      <c r="A2542" s="116"/>
      <c r="E2542" s="108"/>
      <c r="F2542" s="114"/>
      <c r="G2542" s="114"/>
      <c r="H2542" s="114"/>
      <c r="Q2542" s="44">
        <f>IF(数据录入!$B2542="",0,IF(OR(数据录入!$D2542="投标保证金",数据录入!$D2542="合同履约保证金",ISNUMBER(FIND("保证金",数据录入!$E2542))),1,0))</f>
      </c>
      <c r="R2542" s="44">
        <f>IF(AND($Q2542=1,数据录入!$B2542&gt;=$B$2,数据录入!$B2542&lt;=$D$2),N(R2541)+1,N(R2541))</f>
      </c>
    </row>
    <row r="2543" s="44" customFormat="1" spans="1:23">
      <c r="A2543" s="116"/>
      <c r="E2543" s="108"/>
      <c r="F2543" s="114"/>
      <c r="G2543" s="114"/>
      <c r="H2543" s="114"/>
      <c r="Q2543" s="44">
        <f>IF(数据录入!$B2543="",0,IF(OR(数据录入!$D2543="投标保证金",数据录入!$D2543="合同履约保证金",ISNUMBER(FIND("保证金",数据录入!$E2543))),1,0))</f>
      </c>
      <c r="R2543" s="44">
        <f>IF(AND($Q2543=1,数据录入!$B2543&gt;=$B$2,数据录入!$B2543&lt;=$D$2),N(R2542)+1,N(R2542))</f>
      </c>
    </row>
    <row r="2544" s="44" customFormat="1" spans="1:23">
      <c r="A2544" s="116"/>
      <c r="E2544" s="108"/>
      <c r="F2544" s="114"/>
      <c r="G2544" s="114"/>
      <c r="H2544" s="114"/>
      <c r="Q2544" s="44">
        <f>IF(数据录入!$B2544="",0,IF(OR(数据录入!$D2544="投标保证金",数据录入!$D2544="合同履约保证金",ISNUMBER(FIND("保证金",数据录入!$E2544))),1,0))</f>
      </c>
      <c r="R2544" s="44">
        <f>IF(AND($Q2544=1,数据录入!$B2544&gt;=$B$2,数据录入!$B2544&lt;=$D$2),N(R2543)+1,N(R2543))</f>
      </c>
    </row>
    <row r="2545" s="44" customFormat="1" spans="1:23">
      <c r="A2545" s="116"/>
      <c r="E2545" s="108"/>
      <c r="F2545" s="114"/>
      <c r="G2545" s="114"/>
      <c r="H2545" s="114"/>
      <c r="Q2545" s="44">
        <f>IF(数据录入!$B2545="",0,IF(OR(数据录入!$D2545="投标保证金",数据录入!$D2545="合同履约保证金",ISNUMBER(FIND("保证金",数据录入!$E2545))),1,0))</f>
      </c>
      <c r="R2545" s="44">
        <f>IF(AND($Q2545=1,数据录入!$B2545&gt;=$B$2,数据录入!$B2545&lt;=$D$2),N(R2544)+1,N(R2544))</f>
      </c>
    </row>
    <row r="2546" s="44" customFormat="1" spans="1:23">
      <c r="A2546" s="116"/>
      <c r="E2546" s="108"/>
      <c r="F2546" s="114"/>
      <c r="G2546" s="114"/>
      <c r="H2546" s="114"/>
      <c r="Q2546" s="44">
        <f>IF(数据录入!$B2546="",0,IF(OR(数据录入!$D2546="投标保证金",数据录入!$D2546="合同履约保证金",ISNUMBER(FIND("保证金",数据录入!$E2546))),1,0))</f>
      </c>
      <c r="R2546" s="44">
        <f>IF(AND($Q2546=1,数据录入!$B2546&gt;=$B$2,数据录入!$B2546&lt;=$D$2),N(R2545)+1,N(R2545))</f>
      </c>
    </row>
    <row r="2547" s="44" customFormat="1" spans="1:23">
      <c r="A2547" s="116"/>
      <c r="E2547" s="108"/>
      <c r="F2547" s="114"/>
      <c r="G2547" s="114"/>
      <c r="H2547" s="114"/>
      <c r="Q2547" s="44">
        <f>IF(数据录入!$B2547="",0,IF(OR(数据录入!$D2547="投标保证金",数据录入!$D2547="合同履约保证金",ISNUMBER(FIND("保证金",数据录入!$E2547))),1,0))</f>
      </c>
      <c r="R2547" s="44">
        <f>IF(AND($Q2547=1,数据录入!$B2547&gt;=$B$2,数据录入!$B2547&lt;=$D$2),N(R2546)+1,N(R2546))</f>
      </c>
    </row>
    <row r="2548" s="44" customFormat="1" spans="1:23">
      <c r="A2548" s="116"/>
      <c r="E2548" s="108"/>
      <c r="F2548" s="114"/>
      <c r="G2548" s="114"/>
      <c r="H2548" s="114"/>
      <c r="Q2548" s="44">
        <f>IF(数据录入!$B2548="",0,IF(OR(数据录入!$D2548="投标保证金",数据录入!$D2548="合同履约保证金",ISNUMBER(FIND("保证金",数据录入!$E2548))),1,0))</f>
      </c>
      <c r="R2548" s="44">
        <f>IF(AND($Q2548=1,数据录入!$B2548&gt;=$B$2,数据录入!$B2548&lt;=$D$2),N(R2547)+1,N(R2547))</f>
      </c>
    </row>
    <row r="2549" s="44" customFormat="1" spans="1:23">
      <c r="A2549" s="116"/>
      <c r="E2549" s="108"/>
      <c r="F2549" s="114"/>
      <c r="G2549" s="114"/>
      <c r="H2549" s="114"/>
      <c r="Q2549" s="44">
        <f>IF(数据录入!$B2549="",0,IF(OR(数据录入!$D2549="投标保证金",数据录入!$D2549="合同履约保证金",ISNUMBER(FIND("保证金",数据录入!$E2549))),1,0))</f>
      </c>
      <c r="R2549" s="44">
        <f>IF(AND($Q2549=1,数据录入!$B2549&gt;=$B$2,数据录入!$B2549&lt;=$D$2),N(R2548)+1,N(R2548))</f>
      </c>
    </row>
    <row r="2550" s="44" customFormat="1" spans="1:23">
      <c r="A2550" s="116"/>
      <c r="E2550" s="108"/>
      <c r="F2550" s="114"/>
      <c r="G2550" s="114"/>
      <c r="H2550" s="114"/>
      <c r="Q2550" s="44">
        <f>IF(数据录入!$B2550="",0,IF(OR(数据录入!$D2550="投标保证金",数据录入!$D2550="合同履约保证金",ISNUMBER(FIND("保证金",数据录入!$E2550))),1,0))</f>
      </c>
      <c r="R2550" s="44">
        <f>IF(AND($Q2550=1,数据录入!$B2550&gt;=$B$2,数据录入!$B2550&lt;=$D$2),N(R2549)+1,N(R2549))</f>
      </c>
    </row>
    <row r="2551" s="44" customFormat="1" spans="1:23">
      <c r="A2551" s="116"/>
      <c r="E2551" s="108"/>
      <c r="F2551" s="114"/>
      <c r="G2551" s="114"/>
      <c r="H2551" s="114"/>
      <c r="Q2551" s="44">
        <f>IF(数据录入!$B2551="",0,IF(OR(数据录入!$D2551="投标保证金",数据录入!$D2551="合同履约保证金",ISNUMBER(FIND("保证金",数据录入!$E2551))),1,0))</f>
      </c>
      <c r="R2551" s="44">
        <f>IF(AND($Q2551=1,数据录入!$B2551&gt;=$B$2,数据录入!$B2551&lt;=$D$2),N(R2550)+1,N(R2550))</f>
      </c>
    </row>
    <row r="2552" s="44" customFormat="1" spans="1:23">
      <c r="A2552" s="116"/>
      <c r="E2552" s="108"/>
      <c r="F2552" s="114"/>
      <c r="G2552" s="114"/>
      <c r="H2552" s="114"/>
      <c r="Q2552" s="44">
        <f>IF(数据录入!$B2552="",0,IF(OR(数据录入!$D2552="投标保证金",数据录入!$D2552="合同履约保证金",ISNUMBER(FIND("保证金",数据录入!$E2552))),1,0))</f>
      </c>
      <c r="R2552" s="44">
        <f>IF(AND($Q2552=1,数据录入!$B2552&gt;=$B$2,数据录入!$B2552&lt;=$D$2),N(R2551)+1,N(R2551))</f>
      </c>
    </row>
    <row r="2553" s="44" customFormat="1" spans="1:23">
      <c r="A2553" s="116"/>
      <c r="E2553" s="108"/>
      <c r="F2553" s="114"/>
      <c r="G2553" s="114"/>
      <c r="H2553" s="114"/>
      <c r="Q2553" s="44">
        <f>IF(数据录入!$B2553="",0,IF(OR(数据录入!$D2553="投标保证金",数据录入!$D2553="合同履约保证金",ISNUMBER(FIND("保证金",数据录入!$E2553))),1,0))</f>
      </c>
      <c r="R2553" s="44">
        <f>IF(AND($Q2553=1,数据录入!$B2553&gt;=$B$2,数据录入!$B2553&lt;=$D$2),N(R2552)+1,N(R2552))</f>
      </c>
    </row>
    <row r="2554" s="44" customFormat="1" spans="1:23">
      <c r="A2554" s="116"/>
      <c r="E2554" s="108"/>
      <c r="F2554" s="114"/>
      <c r="G2554" s="114"/>
      <c r="H2554" s="114"/>
      <c r="Q2554" s="44">
        <f>IF(数据录入!$B2554="",0,IF(OR(数据录入!$D2554="投标保证金",数据录入!$D2554="合同履约保证金",ISNUMBER(FIND("保证金",数据录入!$E2554))),1,0))</f>
      </c>
      <c r="R2554" s="44">
        <f>IF(AND($Q2554=1,数据录入!$B2554&gt;=$B$2,数据录入!$B2554&lt;=$D$2),N(R2553)+1,N(R2553))</f>
      </c>
    </row>
    <row r="2555" s="44" customFormat="1" spans="1:23">
      <c r="A2555" s="116"/>
      <c r="E2555" s="108"/>
      <c r="F2555" s="114"/>
      <c r="G2555" s="114"/>
      <c r="H2555" s="114"/>
      <c r="Q2555" s="44">
        <f>IF(数据录入!$B2555="",0,IF(OR(数据录入!$D2555="投标保证金",数据录入!$D2555="合同履约保证金",ISNUMBER(FIND("保证金",数据录入!$E2555))),1,0))</f>
      </c>
      <c r="R2555" s="44">
        <f>IF(AND($Q2555=1,数据录入!$B2555&gt;=$B$2,数据录入!$B2555&lt;=$D$2),N(R2554)+1,N(R2554))</f>
      </c>
    </row>
    <row r="2556" s="44" customFormat="1" spans="1:23">
      <c r="A2556" s="116"/>
      <c r="E2556" s="108"/>
      <c r="F2556" s="114"/>
      <c r="G2556" s="114"/>
      <c r="H2556" s="114"/>
      <c r="Q2556" s="44">
        <f>IF(数据录入!$B2556="",0,IF(OR(数据录入!$D2556="投标保证金",数据录入!$D2556="合同履约保证金",ISNUMBER(FIND("保证金",数据录入!$E2556))),1,0))</f>
      </c>
      <c r="R2556" s="44">
        <f>IF(AND($Q2556=1,数据录入!$B2556&gt;=$B$2,数据录入!$B2556&lt;=$D$2),N(R2555)+1,N(R2555))</f>
      </c>
    </row>
    <row r="2557" s="44" customFormat="1" spans="1:23">
      <c r="A2557" s="116"/>
      <c r="E2557" s="108"/>
      <c r="F2557" s="114"/>
      <c r="G2557" s="114"/>
      <c r="H2557" s="114"/>
      <c r="Q2557" s="44">
        <f>IF(数据录入!$B2557="",0,IF(OR(数据录入!$D2557="投标保证金",数据录入!$D2557="合同履约保证金",ISNUMBER(FIND("保证金",数据录入!$E2557))),1,0))</f>
      </c>
      <c r="R2557" s="44">
        <f>IF(AND($Q2557=1,数据录入!$B2557&gt;=$B$2,数据录入!$B2557&lt;=$D$2),N(R2556)+1,N(R2556))</f>
      </c>
    </row>
    <row r="2558" s="44" customFormat="1" spans="1:23">
      <c r="A2558" s="116"/>
      <c r="E2558" s="108"/>
      <c r="F2558" s="114"/>
      <c r="G2558" s="114"/>
      <c r="H2558" s="114"/>
      <c r="Q2558" s="44">
        <f>IF(数据录入!$B2558="",0,IF(OR(数据录入!$D2558="投标保证金",数据录入!$D2558="合同履约保证金",ISNUMBER(FIND("保证金",数据录入!$E2558))),1,0))</f>
      </c>
      <c r="R2558" s="44">
        <f>IF(AND($Q2558=1,数据录入!$B2558&gt;=$B$2,数据录入!$B2558&lt;=$D$2),N(R2557)+1,N(R2557))</f>
      </c>
    </row>
    <row r="2559" s="44" customFormat="1" spans="1:23">
      <c r="A2559" s="116"/>
      <c r="E2559" s="108"/>
      <c r="F2559" s="114"/>
      <c r="G2559" s="114"/>
      <c r="H2559" s="114"/>
      <c r="Q2559" s="44">
        <f>IF(数据录入!$B2559="",0,IF(OR(数据录入!$D2559="投标保证金",数据录入!$D2559="合同履约保证金",ISNUMBER(FIND("保证金",数据录入!$E2559))),1,0))</f>
      </c>
      <c r="R2559" s="44">
        <f>IF(AND($Q2559=1,数据录入!$B2559&gt;=$B$2,数据录入!$B2559&lt;=$D$2),N(R2558)+1,N(R2558))</f>
      </c>
    </row>
    <row r="2560" s="44" customFormat="1" spans="1:23">
      <c r="A2560" s="116"/>
      <c r="E2560" s="108"/>
      <c r="F2560" s="114"/>
      <c r="G2560" s="114"/>
      <c r="H2560" s="114"/>
      <c r="Q2560" s="44">
        <f>IF(数据录入!$B2560="",0,IF(OR(数据录入!$D2560="投标保证金",数据录入!$D2560="合同履约保证金",ISNUMBER(FIND("保证金",数据录入!$E2560))),1,0))</f>
      </c>
      <c r="R2560" s="44">
        <f>IF(AND($Q2560=1,数据录入!$B2560&gt;=$B$2,数据录入!$B2560&lt;=$D$2),N(R2559)+1,N(R2559))</f>
      </c>
    </row>
    <row r="2561" s="44" customFormat="1" spans="1:23">
      <c r="A2561" s="116"/>
      <c r="E2561" s="108"/>
      <c r="F2561" s="114"/>
      <c r="G2561" s="114"/>
      <c r="H2561" s="114"/>
      <c r="Q2561" s="44">
        <f>IF(数据录入!$B2561="",0,IF(OR(数据录入!$D2561="投标保证金",数据录入!$D2561="合同履约保证金",ISNUMBER(FIND("保证金",数据录入!$E2561))),1,0))</f>
      </c>
      <c r="R2561" s="44">
        <f>IF(AND($Q2561=1,数据录入!$B2561&gt;=$B$2,数据录入!$B2561&lt;=$D$2),N(R2560)+1,N(R2560))</f>
      </c>
    </row>
    <row r="2562" s="44" customFormat="1" spans="1:23">
      <c r="A2562" s="116"/>
      <c r="E2562" s="108"/>
      <c r="F2562" s="114"/>
      <c r="G2562" s="114"/>
      <c r="H2562" s="114"/>
      <c r="Q2562" s="44">
        <f>IF(数据录入!$B2562="",0,IF(OR(数据录入!$D2562="投标保证金",数据录入!$D2562="合同履约保证金",ISNUMBER(FIND("保证金",数据录入!$E2562))),1,0))</f>
      </c>
      <c r="R2562" s="44">
        <f>IF(AND($Q2562=1,数据录入!$B2562&gt;=$B$2,数据录入!$B2562&lt;=$D$2),N(R2561)+1,N(R2561))</f>
      </c>
    </row>
    <row r="2563" s="44" customFormat="1" spans="1:23">
      <c r="A2563" s="116"/>
      <c r="E2563" s="108"/>
      <c r="F2563" s="114"/>
      <c r="G2563" s="114"/>
      <c r="H2563" s="114"/>
      <c r="Q2563" s="44">
        <f>IF(数据录入!$B2563="",0,IF(OR(数据录入!$D2563="投标保证金",数据录入!$D2563="合同履约保证金",ISNUMBER(FIND("保证金",数据录入!$E2563))),1,0))</f>
      </c>
      <c r="R2563" s="44">
        <f>IF(AND($Q2563=1,数据录入!$B2563&gt;=$B$2,数据录入!$B2563&lt;=$D$2),N(R2562)+1,N(R2562))</f>
      </c>
    </row>
    <row r="2564" s="44" customFormat="1" spans="1:23">
      <c r="A2564" s="116"/>
      <c r="E2564" s="108"/>
      <c r="F2564" s="114"/>
      <c r="G2564" s="114"/>
      <c r="H2564" s="114"/>
      <c r="Q2564" s="44">
        <f>IF(数据录入!$B2564="",0,IF(OR(数据录入!$D2564="投标保证金",数据录入!$D2564="合同履约保证金",ISNUMBER(FIND("保证金",数据录入!$E2564))),1,0))</f>
      </c>
      <c r="R2564" s="44">
        <f>IF(AND($Q2564=1,数据录入!$B2564&gt;=$B$2,数据录入!$B2564&lt;=$D$2),N(R2563)+1,N(R2563))</f>
      </c>
    </row>
    <row r="2565" s="44" customFormat="1" spans="1:23">
      <c r="A2565" s="116"/>
      <c r="E2565" s="108"/>
      <c r="F2565" s="114"/>
      <c r="G2565" s="114"/>
      <c r="H2565" s="114"/>
      <c r="Q2565" s="44">
        <f>IF(数据录入!$B2565="",0,IF(OR(数据录入!$D2565="投标保证金",数据录入!$D2565="合同履约保证金",ISNUMBER(FIND("保证金",数据录入!$E2565))),1,0))</f>
      </c>
      <c r="R2565" s="44">
        <f>IF(AND($Q2565=1,数据录入!$B2565&gt;=$B$2,数据录入!$B2565&lt;=$D$2),N(R2564)+1,N(R2564))</f>
      </c>
    </row>
    <row r="2566" s="44" customFormat="1" spans="1:23">
      <c r="A2566" s="116"/>
      <c r="E2566" s="108"/>
      <c r="F2566" s="114"/>
      <c r="G2566" s="114"/>
      <c r="H2566" s="114"/>
      <c r="Q2566" s="44">
        <f>IF(数据录入!$B2566="",0,IF(OR(数据录入!$D2566="投标保证金",数据录入!$D2566="合同履约保证金",ISNUMBER(FIND("保证金",数据录入!$E2566))),1,0))</f>
      </c>
      <c r="R2566" s="44">
        <f>IF(AND($Q2566=1,数据录入!$B2566&gt;=$B$2,数据录入!$B2566&lt;=$D$2),N(R2565)+1,N(R2565))</f>
      </c>
    </row>
    <row r="2567" s="44" customFormat="1" spans="1:23">
      <c r="A2567" s="116"/>
      <c r="E2567" s="108"/>
      <c r="F2567" s="114"/>
      <c r="G2567" s="114"/>
      <c r="H2567" s="114"/>
      <c r="Q2567" s="44">
        <f>IF(数据录入!$B2567="",0,IF(OR(数据录入!$D2567="投标保证金",数据录入!$D2567="合同履约保证金",ISNUMBER(FIND("保证金",数据录入!$E2567))),1,0))</f>
      </c>
      <c r="R2567" s="44">
        <f>IF(AND($Q2567=1,数据录入!$B2567&gt;=$B$2,数据录入!$B2567&lt;=$D$2),N(R2566)+1,N(R2566))</f>
      </c>
    </row>
    <row r="2568" s="44" customFormat="1" spans="1:23">
      <c r="A2568" s="116"/>
      <c r="E2568" s="108"/>
      <c r="F2568" s="114"/>
      <c r="G2568" s="114"/>
      <c r="H2568" s="114"/>
      <c r="Q2568" s="44">
        <f>IF(数据录入!$B2568="",0,IF(OR(数据录入!$D2568="投标保证金",数据录入!$D2568="合同履约保证金",ISNUMBER(FIND("保证金",数据录入!$E2568))),1,0))</f>
      </c>
      <c r="R2568" s="44">
        <f>IF(AND($Q2568=1,数据录入!$B2568&gt;=$B$2,数据录入!$B2568&lt;=$D$2),N(R2567)+1,N(R2567))</f>
      </c>
    </row>
    <row r="2569" s="44" customFormat="1" spans="1:23">
      <c r="A2569" s="116"/>
      <c r="E2569" s="108"/>
      <c r="F2569" s="114"/>
      <c r="G2569" s="114"/>
      <c r="H2569" s="114"/>
      <c r="Q2569" s="44">
        <f>IF(数据录入!$B2569="",0,IF(OR(数据录入!$D2569="投标保证金",数据录入!$D2569="合同履约保证金",ISNUMBER(FIND("保证金",数据录入!$E2569))),1,0))</f>
      </c>
      <c r="R2569" s="44">
        <f>IF(AND($Q2569=1,数据录入!$B2569&gt;=$B$2,数据录入!$B2569&lt;=$D$2),N(R2568)+1,N(R2568))</f>
      </c>
    </row>
    <row r="2570" s="44" customFormat="1" spans="1:23">
      <c r="A2570" s="116"/>
      <c r="E2570" s="108"/>
      <c r="F2570" s="114"/>
      <c r="G2570" s="114"/>
      <c r="H2570" s="114"/>
      <c r="Q2570" s="44">
        <f>IF(数据录入!$B2570="",0,IF(OR(数据录入!$D2570="投标保证金",数据录入!$D2570="合同履约保证金",ISNUMBER(FIND("保证金",数据录入!$E2570))),1,0))</f>
      </c>
      <c r="R2570" s="44">
        <f>IF(AND($Q2570=1,数据录入!$B2570&gt;=$B$2,数据录入!$B2570&lt;=$D$2),N(R2569)+1,N(R2569))</f>
      </c>
    </row>
    <row r="2571" s="44" customFormat="1" spans="1:23">
      <c r="A2571" s="116"/>
      <c r="E2571" s="108"/>
      <c r="F2571" s="114"/>
      <c r="G2571" s="114"/>
      <c r="H2571" s="114"/>
      <c r="Q2571" s="44">
        <f>IF(数据录入!$B2571="",0,IF(OR(数据录入!$D2571="投标保证金",数据录入!$D2571="合同履约保证金",ISNUMBER(FIND("保证金",数据录入!$E2571))),1,0))</f>
      </c>
      <c r="R2571" s="44">
        <f>IF(AND($Q2571=1,数据录入!$B2571&gt;=$B$2,数据录入!$B2571&lt;=$D$2),N(R2570)+1,N(R2570))</f>
      </c>
    </row>
    <row r="2572" s="44" customFormat="1" spans="1:23">
      <c r="A2572" s="116"/>
      <c r="E2572" s="108"/>
      <c r="F2572" s="114"/>
      <c r="G2572" s="114"/>
      <c r="H2572" s="114"/>
      <c r="Q2572" s="44">
        <f>IF(数据录入!$B2572="",0,IF(OR(数据录入!$D2572="投标保证金",数据录入!$D2572="合同履约保证金",ISNUMBER(FIND("保证金",数据录入!$E2572))),1,0))</f>
      </c>
      <c r="R2572" s="44">
        <f>IF(AND($Q2572=1,数据录入!$B2572&gt;=$B$2,数据录入!$B2572&lt;=$D$2),N(R2571)+1,N(R2571))</f>
      </c>
    </row>
    <row r="2573" s="44" customFormat="1" spans="1:23">
      <c r="A2573" s="116"/>
      <c r="E2573" s="108"/>
      <c r="F2573" s="114"/>
      <c r="G2573" s="114"/>
      <c r="H2573" s="114"/>
      <c r="Q2573" s="44">
        <f>IF(数据录入!$B2573="",0,IF(OR(数据录入!$D2573="投标保证金",数据录入!$D2573="合同履约保证金",ISNUMBER(FIND("保证金",数据录入!$E2573))),1,0))</f>
      </c>
      <c r="R2573" s="44">
        <f>IF(AND($Q2573=1,数据录入!$B2573&gt;=$B$2,数据录入!$B2573&lt;=$D$2),N(R2572)+1,N(R2572))</f>
      </c>
    </row>
    <row r="2574" s="44" customFormat="1" spans="1:23">
      <c r="A2574" s="116"/>
      <c r="E2574" s="108"/>
      <c r="F2574" s="114"/>
      <c r="G2574" s="114"/>
      <c r="H2574" s="114"/>
      <c r="Q2574" s="44">
        <f>IF(数据录入!$B2574="",0,IF(OR(数据录入!$D2574="投标保证金",数据录入!$D2574="合同履约保证金",ISNUMBER(FIND("保证金",数据录入!$E2574))),1,0))</f>
      </c>
      <c r="R2574" s="44">
        <f>IF(AND($Q2574=1,数据录入!$B2574&gt;=$B$2,数据录入!$B2574&lt;=$D$2),N(R2573)+1,N(R2573))</f>
      </c>
    </row>
    <row r="2575" s="44" customFormat="1" spans="1:23">
      <c r="A2575" s="116"/>
      <c r="E2575" s="108"/>
      <c r="F2575" s="114"/>
      <c r="G2575" s="114"/>
      <c r="H2575" s="114"/>
      <c r="Q2575" s="44">
        <f>IF(数据录入!$B2575="",0,IF(OR(数据录入!$D2575="投标保证金",数据录入!$D2575="合同履约保证金",ISNUMBER(FIND("保证金",数据录入!$E2575))),1,0))</f>
      </c>
      <c r="R2575" s="44">
        <f>IF(AND($Q2575=1,数据录入!$B2575&gt;=$B$2,数据录入!$B2575&lt;=$D$2),N(R2574)+1,N(R2574))</f>
      </c>
    </row>
    <row r="2576" s="44" customFormat="1" spans="1:23">
      <c r="A2576" s="116"/>
      <c r="E2576" s="108"/>
      <c r="F2576" s="114"/>
      <c r="G2576" s="114"/>
      <c r="H2576" s="114"/>
      <c r="Q2576" s="44">
        <f>IF(数据录入!$B2576="",0,IF(OR(数据录入!$D2576="投标保证金",数据录入!$D2576="合同履约保证金",ISNUMBER(FIND("保证金",数据录入!$E2576))),1,0))</f>
      </c>
      <c r="R2576" s="44">
        <f>IF(AND($Q2576=1,数据录入!$B2576&gt;=$B$2,数据录入!$B2576&lt;=$D$2),N(R2575)+1,N(R2575))</f>
      </c>
    </row>
    <row r="2577" s="44" customFormat="1" spans="1:23">
      <c r="A2577" s="116"/>
      <c r="E2577" s="108"/>
      <c r="F2577" s="114"/>
      <c r="G2577" s="114"/>
      <c r="H2577" s="114"/>
      <c r="Q2577" s="44">
        <f>IF(数据录入!$B2577="",0,IF(OR(数据录入!$D2577="投标保证金",数据录入!$D2577="合同履约保证金",ISNUMBER(FIND("保证金",数据录入!$E2577))),1,0))</f>
      </c>
      <c r="R2577" s="44">
        <f>IF(AND($Q2577=1,数据录入!$B2577&gt;=$B$2,数据录入!$B2577&lt;=$D$2),N(R2576)+1,N(R2576))</f>
      </c>
    </row>
    <row r="2578" s="44" customFormat="1" spans="1:23">
      <c r="A2578" s="116"/>
      <c r="E2578" s="108"/>
      <c r="F2578" s="114"/>
      <c r="G2578" s="114"/>
      <c r="H2578" s="114"/>
      <c r="Q2578" s="44">
        <f>IF(数据录入!$B2578="",0,IF(OR(数据录入!$D2578="投标保证金",数据录入!$D2578="合同履约保证金",ISNUMBER(FIND("保证金",数据录入!$E2578))),1,0))</f>
      </c>
      <c r="R2578" s="44">
        <f>IF(AND($Q2578=1,数据录入!$B2578&gt;=$B$2,数据录入!$B2578&lt;=$D$2),N(R2577)+1,N(R2577))</f>
      </c>
    </row>
    <row r="2579" s="44" customFormat="1" spans="1:23">
      <c r="A2579" s="116"/>
      <c r="E2579" s="108"/>
      <c r="F2579" s="114"/>
      <c r="G2579" s="114"/>
      <c r="H2579" s="114"/>
      <c r="Q2579" s="44">
        <f>IF(数据录入!$B2579="",0,IF(OR(数据录入!$D2579="投标保证金",数据录入!$D2579="合同履约保证金",ISNUMBER(FIND("保证金",数据录入!$E2579))),1,0))</f>
      </c>
      <c r="R2579" s="44">
        <f>IF(AND($Q2579=1,数据录入!$B2579&gt;=$B$2,数据录入!$B2579&lt;=$D$2),N(R2578)+1,N(R2578))</f>
      </c>
    </row>
    <row r="2580" s="44" customFormat="1" spans="1:23">
      <c r="A2580" s="116"/>
      <c r="E2580" s="108"/>
      <c r="F2580" s="114"/>
      <c r="G2580" s="114"/>
      <c r="H2580" s="114"/>
      <c r="Q2580" s="44">
        <f>IF(数据录入!$B2580="",0,IF(OR(数据录入!$D2580="投标保证金",数据录入!$D2580="合同履约保证金",ISNUMBER(FIND("保证金",数据录入!$E2580))),1,0))</f>
      </c>
      <c r="R2580" s="44">
        <f>IF(AND($Q2580=1,数据录入!$B2580&gt;=$B$2,数据录入!$B2580&lt;=$D$2),N(R2579)+1,N(R2579))</f>
      </c>
    </row>
    <row r="2581" s="44" customFormat="1" spans="1:23">
      <c r="A2581" s="116"/>
      <c r="E2581" s="108"/>
      <c r="F2581" s="114"/>
      <c r="G2581" s="114"/>
      <c r="H2581" s="114"/>
      <c r="Q2581" s="44">
        <f>IF(数据录入!$B2581="",0,IF(OR(数据录入!$D2581="投标保证金",数据录入!$D2581="合同履约保证金",ISNUMBER(FIND("保证金",数据录入!$E2581))),1,0))</f>
      </c>
      <c r="R2581" s="44">
        <f>IF(AND($Q2581=1,数据录入!$B2581&gt;=$B$2,数据录入!$B2581&lt;=$D$2),N(R2580)+1,N(R2580))</f>
      </c>
    </row>
    <row r="2582" s="44" customFormat="1" spans="1:23">
      <c r="A2582" s="116"/>
      <c r="E2582" s="108"/>
      <c r="F2582" s="114"/>
      <c r="G2582" s="114"/>
      <c r="H2582" s="114"/>
      <c r="Q2582" s="44">
        <f>IF(数据录入!$B2582="",0,IF(OR(数据录入!$D2582="投标保证金",数据录入!$D2582="合同履约保证金",ISNUMBER(FIND("保证金",数据录入!$E2582))),1,0))</f>
      </c>
      <c r="R2582" s="44">
        <f>IF(AND($Q2582=1,数据录入!$B2582&gt;=$B$2,数据录入!$B2582&lt;=$D$2),N(R2581)+1,N(R2581))</f>
      </c>
    </row>
    <row r="2583" s="44" customFormat="1" spans="1:23">
      <c r="A2583" s="116"/>
      <c r="E2583" s="108"/>
      <c r="F2583" s="114"/>
      <c r="G2583" s="114"/>
      <c r="H2583" s="114"/>
      <c r="Q2583" s="44">
        <f>IF(数据录入!$B2583="",0,IF(OR(数据录入!$D2583="投标保证金",数据录入!$D2583="合同履约保证金",ISNUMBER(FIND("保证金",数据录入!$E2583))),1,0))</f>
      </c>
      <c r="R2583" s="44">
        <f>IF(AND($Q2583=1,数据录入!$B2583&gt;=$B$2,数据录入!$B2583&lt;=$D$2),N(R2582)+1,N(R2582))</f>
      </c>
    </row>
    <row r="2584" s="44" customFormat="1" spans="1:23">
      <c r="A2584" s="116"/>
      <c r="E2584" s="108"/>
      <c r="F2584" s="114"/>
      <c r="G2584" s="114"/>
      <c r="H2584" s="114"/>
      <c r="Q2584" s="44">
        <f>IF(数据录入!$B2584="",0,IF(OR(数据录入!$D2584="投标保证金",数据录入!$D2584="合同履约保证金",ISNUMBER(FIND("保证金",数据录入!$E2584))),1,0))</f>
      </c>
      <c r="R2584" s="44">
        <f>IF(AND($Q2584=1,数据录入!$B2584&gt;=$B$2,数据录入!$B2584&lt;=$D$2),N(R2583)+1,N(R2583))</f>
      </c>
    </row>
    <row r="2585" s="44" customFormat="1" spans="1:23">
      <c r="A2585" s="116"/>
      <c r="E2585" s="108"/>
      <c r="F2585" s="114"/>
      <c r="G2585" s="114"/>
      <c r="H2585" s="114"/>
      <c r="Q2585" s="44">
        <f>IF(数据录入!$B2585="",0,IF(OR(数据录入!$D2585="投标保证金",数据录入!$D2585="合同履约保证金",ISNUMBER(FIND("保证金",数据录入!$E2585))),1,0))</f>
      </c>
      <c r="R2585" s="44">
        <f>IF(AND($Q2585=1,数据录入!$B2585&gt;=$B$2,数据录入!$B2585&lt;=$D$2),N(R2584)+1,N(R2584))</f>
      </c>
    </row>
    <row r="2586" s="44" customFormat="1" spans="1:23">
      <c r="A2586" s="116"/>
      <c r="E2586" s="108"/>
      <c r="F2586" s="114"/>
      <c r="G2586" s="114"/>
      <c r="H2586" s="114"/>
      <c r="Q2586" s="44">
        <f>IF(数据录入!$B2586="",0,IF(OR(数据录入!$D2586="投标保证金",数据录入!$D2586="合同履约保证金",ISNUMBER(FIND("保证金",数据录入!$E2586))),1,0))</f>
      </c>
      <c r="R2586" s="44">
        <f>IF(AND($Q2586=1,数据录入!$B2586&gt;=$B$2,数据录入!$B2586&lt;=$D$2),N(R2585)+1,N(R2585))</f>
      </c>
    </row>
    <row r="2587" s="44" customFormat="1" spans="1:23">
      <c r="A2587" s="116"/>
      <c r="E2587" s="108"/>
      <c r="F2587" s="114"/>
      <c r="G2587" s="114"/>
      <c r="H2587" s="114"/>
      <c r="Q2587" s="44">
        <f>IF(数据录入!$B2587="",0,IF(OR(数据录入!$D2587="投标保证金",数据录入!$D2587="合同履约保证金",ISNUMBER(FIND("保证金",数据录入!$E2587))),1,0))</f>
      </c>
      <c r="R2587" s="44">
        <f>IF(AND($Q2587=1,数据录入!$B2587&gt;=$B$2,数据录入!$B2587&lt;=$D$2),N(R2586)+1,N(R2586))</f>
      </c>
    </row>
    <row r="2588" s="44" customFormat="1" spans="1:23">
      <c r="A2588" s="116"/>
      <c r="E2588" s="108"/>
      <c r="F2588" s="114"/>
      <c r="G2588" s="114"/>
      <c r="H2588" s="114"/>
      <c r="Q2588" s="44">
        <f>IF(数据录入!$B2588="",0,IF(OR(数据录入!$D2588="投标保证金",数据录入!$D2588="合同履约保证金",ISNUMBER(FIND("保证金",数据录入!$E2588))),1,0))</f>
      </c>
      <c r="R2588" s="44">
        <f>IF(AND($Q2588=1,数据录入!$B2588&gt;=$B$2,数据录入!$B2588&lt;=$D$2),N(R2587)+1,N(R2587))</f>
      </c>
    </row>
    <row r="2589" s="44" customFormat="1" spans="1:23">
      <c r="A2589" s="116"/>
      <c r="E2589" s="108"/>
      <c r="F2589" s="114"/>
      <c r="G2589" s="114"/>
      <c r="H2589" s="114"/>
      <c r="Q2589" s="44">
        <f>IF(数据录入!$B2589="",0,IF(OR(数据录入!$D2589="投标保证金",数据录入!$D2589="合同履约保证金",ISNUMBER(FIND("保证金",数据录入!$E2589))),1,0))</f>
      </c>
      <c r="R2589" s="44">
        <f>IF(AND($Q2589=1,数据录入!$B2589&gt;=$B$2,数据录入!$B2589&lt;=$D$2),N(R2588)+1,N(R2588))</f>
      </c>
    </row>
    <row r="2590" s="44" customFormat="1" spans="1:23">
      <c r="A2590" s="116"/>
      <c r="E2590" s="108"/>
      <c r="F2590" s="114"/>
      <c r="G2590" s="114"/>
      <c r="H2590" s="114"/>
      <c r="Q2590" s="44">
        <f>IF(数据录入!$B2590="",0,IF(OR(数据录入!$D2590="投标保证金",数据录入!$D2590="合同履约保证金",ISNUMBER(FIND("保证金",数据录入!$E2590))),1,0))</f>
      </c>
      <c r="R2590" s="44">
        <f>IF(AND($Q2590=1,数据录入!$B2590&gt;=$B$2,数据录入!$B2590&lt;=$D$2),N(R2589)+1,N(R2589))</f>
      </c>
    </row>
    <row r="2591" s="44" customFormat="1" spans="1:23">
      <c r="A2591" s="116"/>
      <c r="E2591" s="108"/>
      <c r="F2591" s="114"/>
      <c r="G2591" s="114"/>
      <c r="H2591" s="114"/>
      <c r="Q2591" s="44">
        <f>IF(数据录入!$B2591="",0,IF(OR(数据录入!$D2591="投标保证金",数据录入!$D2591="合同履约保证金",ISNUMBER(FIND("保证金",数据录入!$E2591))),1,0))</f>
      </c>
      <c r="R2591" s="44">
        <f>IF(AND($Q2591=1,数据录入!$B2591&gt;=$B$2,数据录入!$B2591&lt;=$D$2),N(R2590)+1,N(R2590))</f>
      </c>
    </row>
    <row r="2592" s="44" customFormat="1" spans="1:23">
      <c r="A2592" s="116"/>
      <c r="E2592" s="108"/>
      <c r="F2592" s="114"/>
      <c r="G2592" s="114"/>
      <c r="H2592" s="114"/>
      <c r="Q2592" s="44">
        <f>IF(数据录入!$B2592="",0,IF(OR(数据录入!$D2592="投标保证金",数据录入!$D2592="合同履约保证金",ISNUMBER(FIND("保证金",数据录入!$E2592))),1,0))</f>
      </c>
      <c r="R2592" s="44">
        <f>IF(AND($Q2592=1,数据录入!$B2592&gt;=$B$2,数据录入!$B2592&lt;=$D$2),N(R2591)+1,N(R2591))</f>
      </c>
    </row>
    <row r="2593" s="44" customFormat="1" spans="1:23">
      <c r="A2593" s="116"/>
      <c r="E2593" s="108"/>
      <c r="F2593" s="114"/>
      <c r="G2593" s="114"/>
      <c r="H2593" s="114"/>
      <c r="Q2593" s="44">
        <f>IF(数据录入!$B2593="",0,IF(OR(数据录入!$D2593="投标保证金",数据录入!$D2593="合同履约保证金",ISNUMBER(FIND("保证金",数据录入!$E2593))),1,0))</f>
      </c>
      <c r="R2593" s="44">
        <f>IF(AND($Q2593=1,数据录入!$B2593&gt;=$B$2,数据录入!$B2593&lt;=$D$2),N(R2592)+1,N(R2592))</f>
      </c>
    </row>
    <row r="2594" s="44" customFormat="1" spans="1:23">
      <c r="A2594" s="116"/>
      <c r="E2594" s="108"/>
      <c r="F2594" s="114"/>
      <c r="G2594" s="114"/>
      <c r="H2594" s="114"/>
      <c r="Q2594" s="44">
        <f>IF(数据录入!$B2594="",0,IF(OR(数据录入!$D2594="投标保证金",数据录入!$D2594="合同履约保证金",ISNUMBER(FIND("保证金",数据录入!$E2594))),1,0))</f>
      </c>
      <c r="R2594" s="44">
        <f>IF(AND($Q2594=1,数据录入!$B2594&gt;=$B$2,数据录入!$B2594&lt;=$D$2),N(R2593)+1,N(R2593))</f>
      </c>
    </row>
    <row r="2595" s="44" customFormat="1" spans="1:23">
      <c r="A2595" s="116"/>
      <c r="E2595" s="108"/>
      <c r="F2595" s="114"/>
      <c r="G2595" s="114"/>
      <c r="H2595" s="114"/>
      <c r="Q2595" s="44">
        <f>IF(数据录入!$B2595="",0,IF(OR(数据录入!$D2595="投标保证金",数据录入!$D2595="合同履约保证金",ISNUMBER(FIND("保证金",数据录入!$E2595))),1,0))</f>
      </c>
      <c r="R2595" s="44">
        <f>IF(AND($Q2595=1,数据录入!$B2595&gt;=$B$2,数据录入!$B2595&lt;=$D$2),N(R2594)+1,N(R2594))</f>
      </c>
    </row>
    <row r="2596" s="44" customFormat="1" spans="1:23">
      <c r="A2596" s="116"/>
      <c r="E2596" s="108"/>
      <c r="F2596" s="114"/>
      <c r="G2596" s="114"/>
      <c r="H2596" s="114"/>
      <c r="Q2596" s="44">
        <f>IF(数据录入!$B2596="",0,IF(OR(数据录入!$D2596="投标保证金",数据录入!$D2596="合同履约保证金",ISNUMBER(FIND("保证金",数据录入!$E2596))),1,0))</f>
      </c>
      <c r="R2596" s="44">
        <f>IF(AND($Q2596=1,数据录入!$B2596&gt;=$B$2,数据录入!$B2596&lt;=$D$2),N(R2595)+1,N(R2595))</f>
      </c>
    </row>
    <row r="2597" s="44" customFormat="1" spans="1:23">
      <c r="A2597" s="116"/>
      <c r="E2597" s="108"/>
      <c r="F2597" s="114"/>
      <c r="G2597" s="114"/>
      <c r="H2597" s="114"/>
      <c r="Q2597" s="44">
        <f>IF(数据录入!$B2597="",0,IF(OR(数据录入!$D2597="投标保证金",数据录入!$D2597="合同履约保证金",ISNUMBER(FIND("保证金",数据录入!$E2597))),1,0))</f>
      </c>
      <c r="R2597" s="44">
        <f>IF(AND($Q2597=1,数据录入!$B2597&gt;=$B$2,数据录入!$B2597&lt;=$D$2),N(R2596)+1,N(R2596))</f>
      </c>
    </row>
    <row r="2598" s="44" customFormat="1" spans="1:23">
      <c r="A2598" s="116"/>
      <c r="E2598" s="108"/>
      <c r="F2598" s="114"/>
      <c r="G2598" s="114"/>
      <c r="H2598" s="114"/>
      <c r="Q2598" s="44">
        <f>IF(数据录入!$B2598="",0,IF(OR(数据录入!$D2598="投标保证金",数据录入!$D2598="合同履约保证金",ISNUMBER(FIND("保证金",数据录入!$E2598))),1,0))</f>
      </c>
      <c r="R2598" s="44">
        <f>IF(AND($Q2598=1,数据录入!$B2598&gt;=$B$2,数据录入!$B2598&lt;=$D$2),N(R2597)+1,N(R2597))</f>
      </c>
    </row>
    <row r="2599" s="44" customFormat="1" spans="1:23">
      <c r="A2599" s="116"/>
      <c r="E2599" s="108"/>
      <c r="F2599" s="114"/>
      <c r="G2599" s="114"/>
      <c r="H2599" s="114"/>
      <c r="Q2599" s="44">
        <f>IF(数据录入!$B2599="",0,IF(OR(数据录入!$D2599="投标保证金",数据录入!$D2599="合同履约保证金",ISNUMBER(FIND("保证金",数据录入!$E2599))),1,0))</f>
      </c>
      <c r="R2599" s="44">
        <f>IF(AND($Q2599=1,数据录入!$B2599&gt;=$B$2,数据录入!$B2599&lt;=$D$2),N(R2598)+1,N(R2598))</f>
      </c>
    </row>
    <row r="2600" s="44" customFormat="1" spans="1:23">
      <c r="A2600" s="116"/>
      <c r="E2600" s="108"/>
      <c r="F2600" s="114"/>
      <c r="G2600" s="114"/>
      <c r="H2600" s="114"/>
      <c r="Q2600" s="44">
        <f>IF(数据录入!$B2600="",0,IF(OR(数据录入!$D2600="投标保证金",数据录入!$D2600="合同履约保证金",ISNUMBER(FIND("保证金",数据录入!$E2600))),1,0))</f>
      </c>
      <c r="R2600" s="44">
        <f>IF(AND($Q2600=1,数据录入!$B2600&gt;=$B$2,数据录入!$B2600&lt;=$D$2),N(R2599)+1,N(R2599))</f>
      </c>
    </row>
    <row r="2601" s="44" customFormat="1" spans="1:23">
      <c r="A2601" s="116"/>
      <c r="E2601" s="108"/>
      <c r="F2601" s="114"/>
      <c r="G2601" s="114"/>
      <c r="H2601" s="114"/>
      <c r="Q2601" s="44">
        <f>IF(数据录入!$B2601="",0,IF(OR(数据录入!$D2601="投标保证金",数据录入!$D2601="合同履约保证金",ISNUMBER(FIND("保证金",数据录入!$E2601))),1,0))</f>
      </c>
      <c r="R2601" s="44">
        <f>IF(AND($Q2601=1,数据录入!$B2601&gt;=$B$2,数据录入!$B2601&lt;=$D$2),N(R2600)+1,N(R2600))</f>
      </c>
    </row>
    <row r="2602" s="44" customFormat="1" spans="1:23">
      <c r="A2602" s="116"/>
      <c r="E2602" s="108"/>
      <c r="F2602" s="114"/>
      <c r="G2602" s="114"/>
      <c r="H2602" s="114"/>
      <c r="Q2602" s="44">
        <f>IF(数据录入!$B2602="",0,IF(OR(数据录入!$D2602="投标保证金",数据录入!$D2602="合同履约保证金",ISNUMBER(FIND("保证金",数据录入!$E2602))),1,0))</f>
      </c>
      <c r="R2602" s="44">
        <f>IF(AND($Q2602=1,数据录入!$B2602&gt;=$B$2,数据录入!$B2602&lt;=$D$2),N(R2601)+1,N(R2601))</f>
      </c>
    </row>
    <row r="2603" s="44" customFormat="1" spans="1:23">
      <c r="A2603" s="116"/>
      <c r="E2603" s="108"/>
      <c r="F2603" s="114"/>
      <c r="G2603" s="114"/>
      <c r="H2603" s="114"/>
      <c r="Q2603" s="44">
        <f>IF(数据录入!$B2603="",0,IF(OR(数据录入!$D2603="投标保证金",数据录入!$D2603="合同履约保证金",ISNUMBER(FIND("保证金",数据录入!$E2603))),1,0))</f>
      </c>
      <c r="R2603" s="44">
        <f>IF(AND($Q2603=1,数据录入!$B2603&gt;=$B$2,数据录入!$B2603&lt;=$D$2),N(R2602)+1,N(R2602))</f>
      </c>
    </row>
    <row r="2604" s="44" customFormat="1" spans="1:23">
      <c r="A2604" s="116"/>
      <c r="E2604" s="108"/>
      <c r="F2604" s="114"/>
      <c r="G2604" s="114"/>
      <c r="H2604" s="114"/>
      <c r="Q2604" s="44">
        <f>IF(数据录入!$B2604="",0,IF(OR(数据录入!$D2604="投标保证金",数据录入!$D2604="合同履约保证金",ISNUMBER(FIND("保证金",数据录入!$E2604))),1,0))</f>
      </c>
      <c r="R2604" s="44">
        <f>IF(AND($Q2604=1,数据录入!$B2604&gt;=$B$2,数据录入!$B2604&lt;=$D$2),N(R2603)+1,N(R2603))</f>
      </c>
    </row>
    <row r="2605" s="44" customFormat="1" spans="1:23">
      <c r="A2605" s="116"/>
      <c r="E2605" s="108"/>
      <c r="F2605" s="114"/>
      <c r="G2605" s="114"/>
      <c r="H2605" s="114"/>
      <c r="Q2605" s="44">
        <f>IF(数据录入!$B2605="",0,IF(OR(数据录入!$D2605="投标保证金",数据录入!$D2605="合同履约保证金",ISNUMBER(FIND("保证金",数据录入!$E2605))),1,0))</f>
      </c>
      <c r="R2605" s="44">
        <f>IF(AND($Q2605=1,数据录入!$B2605&gt;=$B$2,数据录入!$B2605&lt;=$D$2),N(R2604)+1,N(R2604))</f>
      </c>
    </row>
    <row r="2606" s="44" customFormat="1" spans="1:23">
      <c r="A2606" s="116"/>
      <c r="E2606" s="108"/>
      <c r="F2606" s="114"/>
      <c r="G2606" s="114"/>
      <c r="H2606" s="114"/>
      <c r="Q2606" s="44">
        <f>IF(数据录入!$B2606="",0,IF(OR(数据录入!$D2606="投标保证金",数据录入!$D2606="合同履约保证金",ISNUMBER(FIND("保证金",数据录入!$E2606))),1,0))</f>
      </c>
      <c r="R2606" s="44">
        <f>IF(AND($Q2606=1,数据录入!$B2606&gt;=$B$2,数据录入!$B2606&lt;=$D$2),N(R2605)+1,N(R2605))</f>
      </c>
    </row>
    <row r="2607" s="44" customFormat="1" spans="1:23">
      <c r="A2607" s="116"/>
      <c r="E2607" s="108"/>
      <c r="F2607" s="114"/>
      <c r="G2607" s="114"/>
      <c r="H2607" s="114"/>
      <c r="Q2607" s="44">
        <f>IF(数据录入!$B2607="",0,IF(OR(数据录入!$D2607="投标保证金",数据录入!$D2607="合同履约保证金",ISNUMBER(FIND("保证金",数据录入!$E2607))),1,0))</f>
      </c>
      <c r="R2607" s="44">
        <f>IF(AND($Q2607=1,数据录入!$B2607&gt;=$B$2,数据录入!$B2607&lt;=$D$2),N(R2606)+1,N(R2606))</f>
      </c>
    </row>
    <row r="2608" s="44" customFormat="1" spans="1:23">
      <c r="A2608" s="116"/>
      <c r="E2608" s="108"/>
      <c r="F2608" s="114"/>
      <c r="G2608" s="114"/>
      <c r="H2608" s="114"/>
      <c r="Q2608" s="44">
        <f>IF(数据录入!$B2608="",0,IF(OR(数据录入!$D2608="投标保证金",数据录入!$D2608="合同履约保证金",ISNUMBER(FIND("保证金",数据录入!$E2608))),1,0))</f>
      </c>
      <c r="R2608" s="44">
        <f>IF(AND($Q2608=1,数据录入!$B2608&gt;=$B$2,数据录入!$B2608&lt;=$D$2),N(R2607)+1,N(R2607))</f>
      </c>
    </row>
    <row r="2609" s="44" customFormat="1" spans="1:23">
      <c r="A2609" s="116"/>
      <c r="E2609" s="108"/>
      <c r="F2609" s="114"/>
      <c r="G2609" s="114"/>
      <c r="H2609" s="114"/>
      <c r="Q2609" s="44">
        <f>IF(数据录入!$B2609="",0,IF(OR(数据录入!$D2609="投标保证金",数据录入!$D2609="合同履约保证金",ISNUMBER(FIND("保证金",数据录入!$E2609))),1,0))</f>
      </c>
      <c r="R2609" s="44">
        <f>IF(AND($Q2609=1,数据录入!$B2609&gt;=$B$2,数据录入!$B2609&lt;=$D$2),N(R2608)+1,N(R2608))</f>
      </c>
    </row>
    <row r="2610" s="44" customFormat="1" spans="1:23">
      <c r="A2610" s="116"/>
      <c r="E2610" s="108"/>
      <c r="F2610" s="114"/>
      <c r="G2610" s="114"/>
      <c r="H2610" s="114"/>
      <c r="Q2610" s="44">
        <f>IF(数据录入!$B2610="",0,IF(OR(数据录入!$D2610="投标保证金",数据录入!$D2610="合同履约保证金",ISNUMBER(FIND("保证金",数据录入!$E2610))),1,0))</f>
      </c>
      <c r="R2610" s="44">
        <f>IF(AND($Q2610=1,数据录入!$B2610&gt;=$B$2,数据录入!$B2610&lt;=$D$2),N(R2609)+1,N(R2609))</f>
      </c>
    </row>
    <row r="2611" s="44" customFormat="1" spans="1:23">
      <c r="A2611" s="116"/>
      <c r="E2611" s="108"/>
      <c r="F2611" s="114"/>
      <c r="G2611" s="114"/>
      <c r="H2611" s="114"/>
      <c r="Q2611" s="44">
        <f>IF(数据录入!$B2611="",0,IF(OR(数据录入!$D2611="投标保证金",数据录入!$D2611="合同履约保证金",ISNUMBER(FIND("保证金",数据录入!$E2611))),1,0))</f>
      </c>
      <c r="R2611" s="44">
        <f>IF(AND($Q2611=1,数据录入!$B2611&gt;=$B$2,数据录入!$B2611&lt;=$D$2),N(R2610)+1,N(R2610))</f>
      </c>
    </row>
    <row r="2612" s="44" customFormat="1" spans="1:23">
      <c r="A2612" s="116"/>
      <c r="E2612" s="108"/>
      <c r="F2612" s="114"/>
      <c r="G2612" s="114"/>
      <c r="H2612" s="114"/>
      <c r="Q2612" s="44">
        <f>IF(数据录入!$B2612="",0,IF(OR(数据录入!$D2612="投标保证金",数据录入!$D2612="合同履约保证金",ISNUMBER(FIND("保证金",数据录入!$E2612))),1,0))</f>
      </c>
      <c r="R2612" s="44">
        <f>IF(AND($Q2612=1,数据录入!$B2612&gt;=$B$2,数据录入!$B2612&lt;=$D$2),N(R2611)+1,N(R2611))</f>
      </c>
    </row>
    <row r="2613" s="44" customFormat="1" spans="1:23">
      <c r="A2613" s="116"/>
      <c r="E2613" s="108"/>
      <c r="F2613" s="114"/>
      <c r="G2613" s="114"/>
      <c r="H2613" s="114"/>
      <c r="Q2613" s="44">
        <f>IF(数据录入!$B2613="",0,IF(OR(数据录入!$D2613="投标保证金",数据录入!$D2613="合同履约保证金",ISNUMBER(FIND("保证金",数据录入!$E2613))),1,0))</f>
      </c>
      <c r="R2613" s="44">
        <f>IF(AND($Q2613=1,数据录入!$B2613&gt;=$B$2,数据录入!$B2613&lt;=$D$2),N(R2612)+1,N(R2612))</f>
      </c>
    </row>
    <row r="2614" s="44" customFormat="1" spans="1:23">
      <c r="A2614" s="116"/>
      <c r="E2614" s="108"/>
      <c r="F2614" s="114"/>
      <c r="G2614" s="114"/>
      <c r="H2614" s="114"/>
      <c r="Q2614" s="44">
        <f>IF(数据录入!$B2614="",0,IF(OR(数据录入!$D2614="投标保证金",数据录入!$D2614="合同履约保证金",ISNUMBER(FIND("保证金",数据录入!$E2614))),1,0))</f>
      </c>
      <c r="R2614" s="44">
        <f>IF(AND($Q2614=1,数据录入!$B2614&gt;=$B$2,数据录入!$B2614&lt;=$D$2),N(R2613)+1,N(R2613))</f>
      </c>
    </row>
    <row r="2615" s="44" customFormat="1" spans="1:23">
      <c r="A2615" s="116"/>
      <c r="E2615" s="108"/>
      <c r="F2615" s="114"/>
      <c r="G2615" s="114"/>
      <c r="H2615" s="114"/>
      <c r="Q2615" s="44">
        <f>IF(数据录入!$B2615="",0,IF(OR(数据录入!$D2615="投标保证金",数据录入!$D2615="合同履约保证金",ISNUMBER(FIND("保证金",数据录入!$E2615))),1,0))</f>
      </c>
      <c r="R2615" s="44">
        <f>IF(AND($Q2615=1,数据录入!$B2615&gt;=$B$2,数据录入!$B2615&lt;=$D$2),N(R2614)+1,N(R2614))</f>
      </c>
    </row>
    <row r="2616" s="44" customFormat="1" spans="1:23">
      <c r="A2616" s="116"/>
      <c r="E2616" s="108"/>
      <c r="F2616" s="114"/>
      <c r="G2616" s="114"/>
      <c r="H2616" s="114"/>
      <c r="Q2616" s="44">
        <f>IF(数据录入!$B2616="",0,IF(OR(数据录入!$D2616="投标保证金",数据录入!$D2616="合同履约保证金",ISNUMBER(FIND("保证金",数据录入!$E2616))),1,0))</f>
      </c>
      <c r="R2616" s="44">
        <f>IF(AND($Q2616=1,数据录入!$B2616&gt;=$B$2,数据录入!$B2616&lt;=$D$2),N(R2615)+1,N(R2615))</f>
      </c>
    </row>
    <row r="2617" s="44" customFormat="1" spans="1:23">
      <c r="A2617" s="116"/>
      <c r="E2617" s="108"/>
      <c r="F2617" s="114"/>
      <c r="G2617" s="114"/>
      <c r="H2617" s="114"/>
      <c r="Q2617" s="44">
        <f>IF(数据录入!$B2617="",0,IF(OR(数据录入!$D2617="投标保证金",数据录入!$D2617="合同履约保证金",ISNUMBER(FIND("保证金",数据录入!$E2617))),1,0))</f>
      </c>
      <c r="R2617" s="44">
        <f>IF(AND($Q2617=1,数据录入!$B2617&gt;=$B$2,数据录入!$B2617&lt;=$D$2),N(R2616)+1,N(R2616))</f>
      </c>
    </row>
    <row r="2618" s="44" customFormat="1" spans="1:23">
      <c r="A2618" s="116"/>
      <c r="E2618" s="108"/>
      <c r="F2618" s="114"/>
      <c r="G2618" s="114"/>
      <c r="H2618" s="114"/>
      <c r="Q2618" s="44">
        <f>IF(数据录入!$B2618="",0,IF(OR(数据录入!$D2618="投标保证金",数据录入!$D2618="合同履约保证金",ISNUMBER(FIND("保证金",数据录入!$E2618))),1,0))</f>
      </c>
      <c r="R2618" s="44">
        <f>IF(AND($Q2618=1,数据录入!$B2618&gt;=$B$2,数据录入!$B2618&lt;=$D$2),N(R2617)+1,N(R2617))</f>
      </c>
    </row>
    <row r="2619" s="44" customFormat="1" spans="1:23">
      <c r="A2619" s="116"/>
      <c r="E2619" s="108"/>
      <c r="F2619" s="114"/>
      <c r="G2619" s="114"/>
      <c r="H2619" s="114"/>
      <c r="Q2619" s="44">
        <f>IF(数据录入!$B2619="",0,IF(OR(数据录入!$D2619="投标保证金",数据录入!$D2619="合同履约保证金",ISNUMBER(FIND("保证金",数据录入!$E2619))),1,0))</f>
      </c>
      <c r="R2619" s="44">
        <f>IF(AND($Q2619=1,数据录入!$B2619&gt;=$B$2,数据录入!$B2619&lt;=$D$2),N(R2618)+1,N(R2618))</f>
      </c>
    </row>
    <row r="2620" s="44" customFormat="1" spans="1:23">
      <c r="A2620" s="116"/>
      <c r="E2620" s="108"/>
      <c r="F2620" s="114"/>
      <c r="G2620" s="114"/>
      <c r="H2620" s="114"/>
      <c r="Q2620" s="44">
        <f>IF(数据录入!$B2620="",0,IF(OR(数据录入!$D2620="投标保证金",数据录入!$D2620="合同履约保证金",ISNUMBER(FIND("保证金",数据录入!$E2620))),1,0))</f>
      </c>
      <c r="R2620" s="44">
        <f>IF(AND($Q2620=1,数据录入!$B2620&gt;=$B$2,数据录入!$B2620&lt;=$D$2),N(R2619)+1,N(R2619))</f>
      </c>
    </row>
    <row r="2621" s="44" customFormat="1" spans="1:23">
      <c r="A2621" s="116"/>
      <c r="E2621" s="108"/>
      <c r="F2621" s="114"/>
      <c r="G2621" s="114"/>
      <c r="H2621" s="114"/>
      <c r="Q2621" s="44">
        <f>IF(数据录入!$B2621="",0,IF(OR(数据录入!$D2621="投标保证金",数据录入!$D2621="合同履约保证金",ISNUMBER(FIND("保证金",数据录入!$E2621))),1,0))</f>
      </c>
      <c r="R2621" s="44">
        <f>IF(AND($Q2621=1,数据录入!$B2621&gt;=$B$2,数据录入!$B2621&lt;=$D$2),N(R2620)+1,N(R2620))</f>
      </c>
    </row>
    <row r="2622" s="44" customFormat="1" spans="1:23">
      <c r="A2622" s="116"/>
      <c r="E2622" s="108"/>
      <c r="F2622" s="114"/>
      <c r="G2622" s="114"/>
      <c r="H2622" s="114"/>
      <c r="Q2622" s="44">
        <f>IF(数据录入!$B2622="",0,IF(OR(数据录入!$D2622="投标保证金",数据录入!$D2622="合同履约保证金",ISNUMBER(FIND("保证金",数据录入!$E2622))),1,0))</f>
      </c>
      <c r="R2622" s="44">
        <f>IF(AND($Q2622=1,数据录入!$B2622&gt;=$B$2,数据录入!$B2622&lt;=$D$2),N(R2621)+1,N(R2621))</f>
      </c>
    </row>
    <row r="2623" s="44" customFormat="1" spans="1:23">
      <c r="A2623" s="116"/>
      <c r="E2623" s="108"/>
      <c r="F2623" s="114"/>
      <c r="G2623" s="114"/>
      <c r="H2623" s="114"/>
      <c r="Q2623" s="44">
        <f>IF(数据录入!$B2623="",0,IF(OR(数据录入!$D2623="投标保证金",数据录入!$D2623="合同履约保证金",ISNUMBER(FIND("保证金",数据录入!$E2623))),1,0))</f>
      </c>
      <c r="R2623" s="44">
        <f>IF(AND($Q2623=1,数据录入!$B2623&gt;=$B$2,数据录入!$B2623&lt;=$D$2),N(R2622)+1,N(R2622))</f>
      </c>
    </row>
    <row r="2624" s="44" customFormat="1" spans="1:23">
      <c r="A2624" s="116"/>
      <c r="E2624" s="108"/>
      <c r="F2624" s="114"/>
      <c r="G2624" s="114"/>
      <c r="H2624" s="114"/>
      <c r="Q2624" s="44">
        <f>IF(数据录入!$B2624="",0,IF(OR(数据录入!$D2624="投标保证金",数据录入!$D2624="合同履约保证金",ISNUMBER(FIND("保证金",数据录入!$E2624))),1,0))</f>
      </c>
      <c r="R2624" s="44">
        <f>IF(AND($Q2624=1,数据录入!$B2624&gt;=$B$2,数据录入!$B2624&lt;=$D$2),N(R2623)+1,N(R2623))</f>
      </c>
    </row>
    <row r="2625" s="44" customFormat="1" spans="1:23">
      <c r="A2625" s="116"/>
      <c r="E2625" s="108"/>
      <c r="F2625" s="114"/>
      <c r="G2625" s="114"/>
      <c r="H2625" s="114"/>
      <c r="Q2625" s="44">
        <f>IF(数据录入!$B2625="",0,IF(OR(数据录入!$D2625="投标保证金",数据录入!$D2625="合同履约保证金",ISNUMBER(FIND("保证金",数据录入!$E2625))),1,0))</f>
      </c>
      <c r="R2625" s="44">
        <f>IF(AND($Q2625=1,数据录入!$B2625&gt;=$B$2,数据录入!$B2625&lt;=$D$2),N(R2624)+1,N(R2624))</f>
      </c>
    </row>
    <row r="2626" s="44" customFormat="1" spans="1:23">
      <c r="A2626" s="116"/>
      <c r="E2626" s="108"/>
      <c r="F2626" s="114"/>
      <c r="G2626" s="114"/>
      <c r="H2626" s="114"/>
      <c r="Q2626" s="44">
        <f>IF(数据录入!$B2626="",0,IF(OR(数据录入!$D2626="投标保证金",数据录入!$D2626="合同履约保证金",ISNUMBER(FIND("保证金",数据录入!$E2626))),1,0))</f>
      </c>
      <c r="R2626" s="44">
        <f>IF(AND($Q2626=1,数据录入!$B2626&gt;=$B$2,数据录入!$B2626&lt;=$D$2),N(R2625)+1,N(R2625))</f>
      </c>
    </row>
    <row r="2627" s="44" customFormat="1" spans="1:23">
      <c r="A2627" s="116"/>
      <c r="E2627" s="108"/>
      <c r="F2627" s="114"/>
      <c r="G2627" s="114"/>
      <c r="H2627" s="114"/>
      <c r="Q2627" s="44">
        <f>IF(数据录入!$B2627="",0,IF(OR(数据录入!$D2627="投标保证金",数据录入!$D2627="合同履约保证金",ISNUMBER(FIND("保证金",数据录入!$E2627))),1,0))</f>
      </c>
      <c r="R2627" s="44">
        <f>IF(AND($Q2627=1,数据录入!$B2627&gt;=$B$2,数据录入!$B2627&lt;=$D$2),N(R2626)+1,N(R2626))</f>
      </c>
    </row>
    <row r="2628" s="44" customFormat="1" spans="1:23">
      <c r="A2628" s="116"/>
      <c r="E2628" s="108"/>
      <c r="F2628" s="114"/>
      <c r="G2628" s="114"/>
      <c r="H2628" s="114"/>
      <c r="Q2628" s="44">
        <f>IF(数据录入!$B2628="",0,IF(OR(数据录入!$D2628="投标保证金",数据录入!$D2628="合同履约保证金",ISNUMBER(FIND("保证金",数据录入!$E2628))),1,0))</f>
      </c>
      <c r="R2628" s="44">
        <f>IF(AND($Q2628=1,数据录入!$B2628&gt;=$B$2,数据录入!$B2628&lt;=$D$2),N(R2627)+1,N(R2627))</f>
      </c>
    </row>
    <row r="2629" s="44" customFormat="1" spans="1:23">
      <c r="A2629" s="116"/>
      <c r="E2629" s="108"/>
      <c r="F2629" s="114"/>
      <c r="G2629" s="114"/>
      <c r="H2629" s="114"/>
      <c r="Q2629" s="44">
        <f>IF(数据录入!$B2629="",0,IF(OR(数据录入!$D2629="投标保证金",数据录入!$D2629="合同履约保证金",ISNUMBER(FIND("保证金",数据录入!$E2629))),1,0))</f>
      </c>
      <c r="R2629" s="44">
        <f>IF(AND($Q2629=1,数据录入!$B2629&gt;=$B$2,数据录入!$B2629&lt;=$D$2),N(R2628)+1,N(R2628))</f>
      </c>
    </row>
    <row r="2630" s="44" customFormat="1" spans="1:23">
      <c r="A2630" s="116"/>
      <c r="E2630" s="108"/>
      <c r="F2630" s="114"/>
      <c r="G2630" s="114"/>
      <c r="H2630" s="114"/>
      <c r="Q2630" s="44">
        <f>IF(数据录入!$B2630="",0,IF(OR(数据录入!$D2630="投标保证金",数据录入!$D2630="合同履约保证金",ISNUMBER(FIND("保证金",数据录入!$E2630))),1,0))</f>
      </c>
      <c r="R2630" s="44">
        <f>IF(AND($Q2630=1,数据录入!$B2630&gt;=$B$2,数据录入!$B2630&lt;=$D$2),N(R2629)+1,N(R2629))</f>
      </c>
    </row>
    <row r="2631" s="44" customFormat="1" spans="1:23">
      <c r="A2631" s="116"/>
      <c r="E2631" s="108"/>
      <c r="F2631" s="114"/>
      <c r="G2631" s="114"/>
      <c r="H2631" s="114"/>
      <c r="Q2631" s="44">
        <f>IF(数据录入!$B2631="",0,IF(OR(数据录入!$D2631="投标保证金",数据录入!$D2631="合同履约保证金",ISNUMBER(FIND("保证金",数据录入!$E2631))),1,0))</f>
      </c>
      <c r="R2631" s="44">
        <f>IF(AND($Q2631=1,数据录入!$B2631&gt;=$B$2,数据录入!$B2631&lt;=$D$2),N(R2630)+1,N(R2630))</f>
      </c>
    </row>
    <row r="2632" s="44" customFormat="1" spans="1:23">
      <c r="A2632" s="116"/>
      <c r="E2632" s="108"/>
      <c r="F2632" s="114"/>
      <c r="G2632" s="114"/>
      <c r="H2632" s="114"/>
      <c r="Q2632" s="44">
        <f>IF(数据录入!$B2632="",0,IF(OR(数据录入!$D2632="投标保证金",数据录入!$D2632="合同履约保证金",ISNUMBER(FIND("保证金",数据录入!$E2632))),1,0))</f>
      </c>
      <c r="R2632" s="44">
        <f>IF(AND($Q2632=1,数据录入!$B2632&gt;=$B$2,数据录入!$B2632&lt;=$D$2),N(R2631)+1,N(R2631))</f>
      </c>
    </row>
    <row r="2633" s="44" customFormat="1" spans="1:23">
      <c r="A2633" s="116"/>
      <c r="E2633" s="108"/>
      <c r="F2633" s="114"/>
      <c r="G2633" s="114"/>
      <c r="H2633" s="114"/>
      <c r="Q2633" s="44">
        <f>IF(数据录入!$B2633="",0,IF(OR(数据录入!$D2633="投标保证金",数据录入!$D2633="合同履约保证金",ISNUMBER(FIND("保证金",数据录入!$E2633))),1,0))</f>
      </c>
      <c r="R2633" s="44">
        <f>IF(AND($Q2633=1,数据录入!$B2633&gt;=$B$2,数据录入!$B2633&lt;=$D$2),N(R2632)+1,N(R2632))</f>
      </c>
    </row>
    <row r="2634" s="44" customFormat="1" spans="1:23">
      <c r="A2634" s="116"/>
      <c r="E2634" s="108"/>
      <c r="F2634" s="114"/>
      <c r="G2634" s="114"/>
      <c r="H2634" s="114"/>
      <c r="Q2634" s="44">
        <f>IF(数据录入!$B2634="",0,IF(OR(数据录入!$D2634="投标保证金",数据录入!$D2634="合同履约保证金",ISNUMBER(FIND("保证金",数据录入!$E2634))),1,0))</f>
      </c>
      <c r="R2634" s="44">
        <f>IF(AND($Q2634=1,数据录入!$B2634&gt;=$B$2,数据录入!$B2634&lt;=$D$2),N(R2633)+1,N(R2633))</f>
      </c>
    </row>
    <row r="2635" s="44" customFormat="1" spans="1:23">
      <c r="A2635" s="116"/>
      <c r="E2635" s="108"/>
      <c r="F2635" s="114"/>
      <c r="G2635" s="114"/>
      <c r="H2635" s="114"/>
      <c r="Q2635" s="44">
        <f>IF(数据录入!$B2635="",0,IF(OR(数据录入!$D2635="投标保证金",数据录入!$D2635="合同履约保证金",ISNUMBER(FIND("保证金",数据录入!$E2635))),1,0))</f>
      </c>
      <c r="R2635" s="44">
        <f>IF(AND($Q2635=1,数据录入!$B2635&gt;=$B$2,数据录入!$B2635&lt;=$D$2),N(R2634)+1,N(R2634))</f>
      </c>
    </row>
    <row r="2636" s="44" customFormat="1" spans="1:23">
      <c r="A2636" s="116"/>
      <c r="E2636" s="108"/>
      <c r="F2636" s="114"/>
      <c r="G2636" s="114"/>
      <c r="H2636" s="114"/>
      <c r="Q2636" s="44">
        <f>IF(数据录入!$B2636="",0,IF(OR(数据录入!$D2636="投标保证金",数据录入!$D2636="合同履约保证金",ISNUMBER(FIND("保证金",数据录入!$E2636))),1,0))</f>
      </c>
      <c r="R2636" s="44">
        <f>IF(AND($Q2636=1,数据录入!$B2636&gt;=$B$2,数据录入!$B2636&lt;=$D$2),N(R2635)+1,N(R2635))</f>
      </c>
    </row>
    <row r="2637" s="44" customFormat="1" spans="1:23">
      <c r="A2637" s="116"/>
      <c r="E2637" s="108"/>
      <c r="F2637" s="114"/>
      <c r="G2637" s="114"/>
      <c r="H2637" s="114"/>
      <c r="Q2637" s="44">
        <f>IF(数据录入!$B2637="",0,IF(OR(数据录入!$D2637="投标保证金",数据录入!$D2637="合同履约保证金",ISNUMBER(FIND("保证金",数据录入!$E2637))),1,0))</f>
      </c>
      <c r="R2637" s="44">
        <f>IF(AND($Q2637=1,数据录入!$B2637&gt;=$B$2,数据录入!$B2637&lt;=$D$2),N(R2636)+1,N(R2636))</f>
      </c>
    </row>
    <row r="2638" s="44" customFormat="1" spans="1:23">
      <c r="A2638" s="116"/>
      <c r="E2638" s="108"/>
      <c r="F2638" s="114"/>
      <c r="G2638" s="114"/>
      <c r="H2638" s="114"/>
      <c r="Q2638" s="44">
        <f>IF(数据录入!$B2638="",0,IF(OR(数据录入!$D2638="投标保证金",数据录入!$D2638="合同履约保证金",ISNUMBER(FIND("保证金",数据录入!$E2638))),1,0))</f>
      </c>
      <c r="R2638" s="44">
        <f>IF(AND($Q2638=1,数据录入!$B2638&gt;=$B$2,数据录入!$B2638&lt;=$D$2),N(R2637)+1,N(R2637))</f>
      </c>
    </row>
    <row r="2639" s="44" customFormat="1" spans="1:23">
      <c r="A2639" s="116"/>
      <c r="E2639" s="108"/>
      <c r="F2639" s="114"/>
      <c r="G2639" s="114"/>
      <c r="H2639" s="114"/>
      <c r="Q2639" s="44">
        <f>IF(数据录入!$B2639="",0,IF(OR(数据录入!$D2639="投标保证金",数据录入!$D2639="合同履约保证金",ISNUMBER(FIND("保证金",数据录入!$E2639))),1,0))</f>
      </c>
      <c r="R2639" s="44">
        <f>IF(AND($Q2639=1,数据录入!$B2639&gt;=$B$2,数据录入!$B2639&lt;=$D$2),N(R2638)+1,N(R2638))</f>
      </c>
    </row>
    <row r="2640" s="44" customFormat="1" spans="1:23">
      <c r="A2640" s="116"/>
      <c r="E2640" s="108"/>
      <c r="F2640" s="114"/>
      <c r="G2640" s="114"/>
      <c r="H2640" s="114"/>
      <c r="Q2640" s="44">
        <f>IF(数据录入!$B2640="",0,IF(OR(数据录入!$D2640="投标保证金",数据录入!$D2640="合同履约保证金",ISNUMBER(FIND("保证金",数据录入!$E2640))),1,0))</f>
      </c>
      <c r="R2640" s="44">
        <f>IF(AND($Q2640=1,数据录入!$B2640&gt;=$B$2,数据录入!$B2640&lt;=$D$2),N(R2639)+1,N(R2639))</f>
      </c>
    </row>
    <row r="2641" s="44" customFormat="1" spans="1:23">
      <c r="A2641" s="116"/>
      <c r="E2641" s="108"/>
      <c r="F2641" s="114"/>
      <c r="G2641" s="114"/>
      <c r="H2641" s="114"/>
      <c r="Q2641" s="44">
        <f>IF(数据录入!$B2641="",0,IF(OR(数据录入!$D2641="投标保证金",数据录入!$D2641="合同履约保证金",ISNUMBER(FIND("保证金",数据录入!$E2641))),1,0))</f>
      </c>
      <c r="R2641" s="44">
        <f>IF(AND($Q2641=1,数据录入!$B2641&gt;=$B$2,数据录入!$B2641&lt;=$D$2),N(R2640)+1,N(R2640))</f>
      </c>
    </row>
    <row r="2642" s="44" customFormat="1" spans="1:23">
      <c r="A2642" s="116"/>
      <c r="E2642" s="108"/>
      <c r="F2642" s="114"/>
      <c r="G2642" s="114"/>
      <c r="H2642" s="114"/>
      <c r="Q2642" s="44">
        <f>IF(数据录入!$B2642="",0,IF(OR(数据录入!$D2642="投标保证金",数据录入!$D2642="合同履约保证金",ISNUMBER(FIND("保证金",数据录入!$E2642))),1,0))</f>
      </c>
      <c r="R2642" s="44">
        <f>IF(AND($Q2642=1,数据录入!$B2642&gt;=$B$2,数据录入!$B2642&lt;=$D$2),N(R2641)+1,N(R2641))</f>
      </c>
    </row>
    <row r="2643" s="44" customFormat="1" spans="1:23">
      <c r="A2643" s="116"/>
      <c r="E2643" s="108"/>
      <c r="F2643" s="114"/>
      <c r="G2643" s="114"/>
      <c r="H2643" s="114"/>
      <c r="Q2643" s="44">
        <f>IF(数据录入!$B2643="",0,IF(OR(数据录入!$D2643="投标保证金",数据录入!$D2643="合同履约保证金",ISNUMBER(FIND("保证金",数据录入!$E2643))),1,0))</f>
      </c>
      <c r="R2643" s="44">
        <f>IF(AND($Q2643=1,数据录入!$B2643&gt;=$B$2,数据录入!$B2643&lt;=$D$2),N(R2642)+1,N(R2642))</f>
      </c>
    </row>
    <row r="2644" s="44" customFormat="1" spans="1:23">
      <c r="A2644" s="116"/>
      <c r="E2644" s="108"/>
      <c r="F2644" s="114"/>
      <c r="G2644" s="114"/>
      <c r="H2644" s="114"/>
      <c r="Q2644" s="44">
        <f>IF(数据录入!$B2644="",0,IF(OR(数据录入!$D2644="投标保证金",数据录入!$D2644="合同履约保证金",ISNUMBER(FIND("保证金",数据录入!$E2644))),1,0))</f>
      </c>
      <c r="R2644" s="44">
        <f>IF(AND($Q2644=1,数据录入!$B2644&gt;=$B$2,数据录入!$B2644&lt;=$D$2),N(R2643)+1,N(R2643))</f>
      </c>
    </row>
    <row r="2645" s="44" customFormat="1" spans="1:23">
      <c r="A2645" s="116"/>
      <c r="E2645" s="108"/>
      <c r="F2645" s="114"/>
      <c r="G2645" s="114"/>
      <c r="H2645" s="114"/>
      <c r="Q2645" s="44">
        <f>IF(数据录入!$B2645="",0,IF(OR(数据录入!$D2645="投标保证金",数据录入!$D2645="合同履约保证金",ISNUMBER(FIND("保证金",数据录入!$E2645))),1,0))</f>
      </c>
      <c r="R2645" s="44">
        <f>IF(AND($Q2645=1,数据录入!$B2645&gt;=$B$2,数据录入!$B2645&lt;=$D$2),N(R2644)+1,N(R2644))</f>
      </c>
    </row>
    <row r="2646" s="44" customFormat="1" spans="1:23">
      <c r="A2646" s="116"/>
      <c r="E2646" s="108"/>
      <c r="F2646" s="114"/>
      <c r="G2646" s="114"/>
      <c r="H2646" s="114"/>
      <c r="Q2646" s="44">
        <f>IF(数据录入!$B2646="",0,IF(OR(数据录入!$D2646="投标保证金",数据录入!$D2646="合同履约保证金",ISNUMBER(FIND("保证金",数据录入!$E2646))),1,0))</f>
      </c>
      <c r="R2646" s="44">
        <f>IF(AND($Q2646=1,数据录入!$B2646&gt;=$B$2,数据录入!$B2646&lt;=$D$2),N(R2645)+1,N(R2645))</f>
      </c>
    </row>
    <row r="2647" s="44" customFormat="1" spans="1:23">
      <c r="A2647" s="116"/>
      <c r="E2647" s="108"/>
      <c r="F2647" s="114"/>
      <c r="G2647" s="114"/>
      <c r="H2647" s="114"/>
      <c r="Q2647" s="44">
        <f>IF(数据录入!$B2647="",0,IF(OR(数据录入!$D2647="投标保证金",数据录入!$D2647="合同履约保证金",ISNUMBER(FIND("保证金",数据录入!$E2647))),1,0))</f>
      </c>
      <c r="R2647" s="44">
        <f>IF(AND($Q2647=1,数据录入!$B2647&gt;=$B$2,数据录入!$B2647&lt;=$D$2),N(R2646)+1,N(R2646))</f>
      </c>
    </row>
    <row r="2648" s="44" customFormat="1" spans="1:23">
      <c r="A2648" s="116"/>
      <c r="E2648" s="108"/>
      <c r="F2648" s="114"/>
      <c r="G2648" s="114"/>
      <c r="H2648" s="114"/>
      <c r="Q2648" s="44">
        <f>IF(数据录入!$B2648="",0,IF(OR(数据录入!$D2648="投标保证金",数据录入!$D2648="合同履约保证金",ISNUMBER(FIND("保证金",数据录入!$E2648))),1,0))</f>
      </c>
      <c r="R2648" s="44">
        <f>IF(AND($Q2648=1,数据录入!$B2648&gt;=$B$2,数据录入!$B2648&lt;=$D$2),N(R2647)+1,N(R2647))</f>
      </c>
    </row>
    <row r="2649" s="44" customFormat="1" spans="1:23">
      <c r="A2649" s="116"/>
      <c r="E2649" s="108"/>
      <c r="F2649" s="114"/>
      <c r="G2649" s="114"/>
      <c r="H2649" s="114"/>
      <c r="Q2649" s="44">
        <f>IF(数据录入!$B2649="",0,IF(OR(数据录入!$D2649="投标保证金",数据录入!$D2649="合同履约保证金",ISNUMBER(FIND("保证金",数据录入!$E2649))),1,0))</f>
      </c>
      <c r="R2649" s="44">
        <f>IF(AND($Q2649=1,数据录入!$B2649&gt;=$B$2,数据录入!$B2649&lt;=$D$2),N(R2648)+1,N(R2648))</f>
      </c>
    </row>
    <row r="2650" s="44" customFormat="1" spans="1:23">
      <c r="A2650" s="116"/>
      <c r="E2650" s="108"/>
      <c r="F2650" s="114"/>
      <c r="G2650" s="114"/>
      <c r="H2650" s="114"/>
      <c r="Q2650" s="44">
        <f>IF(数据录入!$B2650="",0,IF(OR(数据录入!$D2650="投标保证金",数据录入!$D2650="合同履约保证金",ISNUMBER(FIND("保证金",数据录入!$E2650))),1,0))</f>
      </c>
      <c r="R2650" s="44">
        <f>IF(AND($Q2650=1,数据录入!$B2650&gt;=$B$2,数据录入!$B2650&lt;=$D$2),N(R2649)+1,N(R2649))</f>
      </c>
    </row>
    <row r="2651" s="44" customFormat="1" spans="1:23">
      <c r="A2651" s="116"/>
      <c r="E2651" s="108"/>
      <c r="F2651" s="114"/>
      <c r="G2651" s="114"/>
      <c r="H2651" s="114"/>
      <c r="Q2651" s="44">
        <f>IF(数据录入!$B2651="",0,IF(OR(数据录入!$D2651="投标保证金",数据录入!$D2651="合同履约保证金",ISNUMBER(FIND("保证金",数据录入!$E2651))),1,0))</f>
      </c>
      <c r="R2651" s="44">
        <f>IF(AND($Q2651=1,数据录入!$B2651&gt;=$B$2,数据录入!$B2651&lt;=$D$2),N(R2650)+1,N(R2650))</f>
      </c>
    </row>
    <row r="2652" s="44" customFormat="1" spans="1:23">
      <c r="A2652" s="116"/>
      <c r="E2652" s="108"/>
      <c r="F2652" s="114"/>
      <c r="G2652" s="114"/>
      <c r="H2652" s="114"/>
      <c r="Q2652" s="44">
        <f>IF(数据录入!$B2652="",0,IF(OR(数据录入!$D2652="投标保证金",数据录入!$D2652="合同履约保证金",ISNUMBER(FIND("保证金",数据录入!$E2652))),1,0))</f>
      </c>
      <c r="R2652" s="44">
        <f>IF(AND($Q2652=1,数据录入!$B2652&gt;=$B$2,数据录入!$B2652&lt;=$D$2),N(R2651)+1,N(R2651))</f>
      </c>
    </row>
    <row r="2653" s="44" customFormat="1" spans="1:23">
      <c r="A2653" s="116"/>
      <c r="E2653" s="108"/>
      <c r="F2653" s="114"/>
      <c r="G2653" s="114"/>
      <c r="H2653" s="114"/>
      <c r="Q2653" s="44">
        <f>IF(数据录入!$B2653="",0,IF(OR(数据录入!$D2653="投标保证金",数据录入!$D2653="合同履约保证金",ISNUMBER(FIND("保证金",数据录入!$E2653))),1,0))</f>
      </c>
      <c r="R2653" s="44">
        <f>IF(AND($Q2653=1,数据录入!$B2653&gt;=$B$2,数据录入!$B2653&lt;=$D$2),N(R2652)+1,N(R2652))</f>
      </c>
    </row>
    <row r="2654" s="44" customFormat="1" spans="1:23">
      <c r="A2654" s="116"/>
      <c r="E2654" s="108"/>
      <c r="F2654" s="114"/>
      <c r="G2654" s="114"/>
      <c r="H2654" s="114"/>
      <c r="Q2654" s="44">
        <f>IF(数据录入!$B2654="",0,IF(OR(数据录入!$D2654="投标保证金",数据录入!$D2654="合同履约保证金",ISNUMBER(FIND("保证金",数据录入!$E2654))),1,0))</f>
      </c>
      <c r="R2654" s="44">
        <f>IF(AND($Q2654=1,数据录入!$B2654&gt;=$B$2,数据录入!$B2654&lt;=$D$2),N(R2653)+1,N(R2653))</f>
      </c>
    </row>
    <row r="2655" s="44" customFormat="1" spans="1:23">
      <c r="A2655" s="116"/>
      <c r="E2655" s="108"/>
      <c r="F2655" s="114"/>
      <c r="G2655" s="114"/>
      <c r="H2655" s="114"/>
      <c r="Q2655" s="44">
        <f>IF(数据录入!$B2655="",0,IF(OR(数据录入!$D2655="投标保证金",数据录入!$D2655="合同履约保证金",ISNUMBER(FIND("保证金",数据录入!$E2655))),1,0))</f>
      </c>
      <c r="R2655" s="44">
        <f>IF(AND($Q2655=1,数据录入!$B2655&gt;=$B$2,数据录入!$B2655&lt;=$D$2),N(R2654)+1,N(R2654))</f>
      </c>
    </row>
    <row r="2656" s="44" customFormat="1" spans="1:23">
      <c r="A2656" s="116"/>
      <c r="E2656" s="108"/>
      <c r="F2656" s="114"/>
      <c r="G2656" s="114"/>
      <c r="H2656" s="114"/>
      <c r="Q2656" s="44">
        <f>IF(数据录入!$B2656="",0,IF(OR(数据录入!$D2656="投标保证金",数据录入!$D2656="合同履约保证金",ISNUMBER(FIND("保证金",数据录入!$E2656))),1,0))</f>
      </c>
      <c r="R2656" s="44">
        <f>IF(AND($Q2656=1,数据录入!$B2656&gt;=$B$2,数据录入!$B2656&lt;=$D$2),N(R2655)+1,N(R2655))</f>
      </c>
    </row>
    <row r="2657" s="44" customFormat="1" spans="1:23">
      <c r="A2657" s="116"/>
      <c r="E2657" s="108"/>
      <c r="F2657" s="114"/>
      <c r="G2657" s="114"/>
      <c r="H2657" s="114"/>
      <c r="Q2657" s="44">
        <f>IF(数据录入!$B2657="",0,IF(OR(数据录入!$D2657="投标保证金",数据录入!$D2657="合同履约保证金",ISNUMBER(FIND("保证金",数据录入!$E2657))),1,0))</f>
      </c>
      <c r="R2657" s="44">
        <f>IF(AND($Q2657=1,数据录入!$B2657&gt;=$B$2,数据录入!$B2657&lt;=$D$2),N(R2656)+1,N(R2656))</f>
      </c>
    </row>
    <row r="2658" s="44" customFormat="1" spans="1:23">
      <c r="A2658" s="116"/>
      <c r="E2658" s="108"/>
      <c r="F2658" s="114"/>
      <c r="G2658" s="114"/>
      <c r="H2658" s="114"/>
      <c r="Q2658" s="44">
        <f>IF(数据录入!$B2658="",0,IF(OR(数据录入!$D2658="投标保证金",数据录入!$D2658="合同履约保证金",ISNUMBER(FIND("保证金",数据录入!$E2658))),1,0))</f>
      </c>
      <c r="R2658" s="44">
        <f>IF(AND($Q2658=1,数据录入!$B2658&gt;=$B$2,数据录入!$B2658&lt;=$D$2),N(R2657)+1,N(R2657))</f>
      </c>
    </row>
    <row r="2659" s="44" customFormat="1" spans="1:23">
      <c r="A2659" s="116"/>
      <c r="E2659" s="108"/>
      <c r="F2659" s="114"/>
      <c r="G2659" s="114"/>
      <c r="H2659" s="114"/>
      <c r="Q2659" s="44">
        <f>IF(数据录入!$B2659="",0,IF(OR(数据录入!$D2659="投标保证金",数据录入!$D2659="合同履约保证金",ISNUMBER(FIND("保证金",数据录入!$E2659))),1,0))</f>
      </c>
      <c r="R2659" s="44">
        <f>IF(AND($Q2659=1,数据录入!$B2659&gt;=$B$2,数据录入!$B2659&lt;=$D$2),N(R2658)+1,N(R2658))</f>
      </c>
    </row>
    <row r="2660" s="44" customFormat="1" spans="1:23">
      <c r="A2660" s="116"/>
      <c r="E2660" s="108"/>
      <c r="F2660" s="114"/>
      <c r="G2660" s="114"/>
      <c r="H2660" s="114"/>
      <c r="Q2660" s="44">
        <f>IF(数据录入!$B2660="",0,IF(OR(数据录入!$D2660="投标保证金",数据录入!$D2660="合同履约保证金",ISNUMBER(FIND("保证金",数据录入!$E2660))),1,0))</f>
      </c>
      <c r="R2660" s="44">
        <f>IF(AND($Q2660=1,数据录入!$B2660&gt;=$B$2,数据录入!$B2660&lt;=$D$2),N(R2659)+1,N(R2659))</f>
      </c>
    </row>
    <row r="2661" s="44" customFormat="1" spans="1:23">
      <c r="A2661" s="116"/>
      <c r="E2661" s="108"/>
      <c r="F2661" s="114"/>
      <c r="G2661" s="114"/>
      <c r="H2661" s="114"/>
      <c r="Q2661" s="44">
        <f>IF(数据录入!$B2661="",0,IF(OR(数据录入!$D2661="投标保证金",数据录入!$D2661="合同履约保证金",ISNUMBER(FIND("保证金",数据录入!$E2661))),1,0))</f>
      </c>
      <c r="R2661" s="44">
        <f>IF(AND($Q2661=1,数据录入!$B2661&gt;=$B$2,数据录入!$B2661&lt;=$D$2),N(R2660)+1,N(R2660))</f>
      </c>
    </row>
    <row r="2662" s="44" customFormat="1" spans="1:23">
      <c r="A2662" s="116"/>
      <c r="E2662" s="108"/>
      <c r="F2662" s="114"/>
      <c r="G2662" s="114"/>
      <c r="H2662" s="114"/>
      <c r="Q2662" s="44">
        <f>IF(数据录入!$B2662="",0,IF(OR(数据录入!$D2662="投标保证金",数据录入!$D2662="合同履约保证金",ISNUMBER(FIND("保证金",数据录入!$E2662))),1,0))</f>
      </c>
      <c r="R2662" s="44">
        <f>IF(AND($Q2662=1,数据录入!$B2662&gt;=$B$2,数据录入!$B2662&lt;=$D$2),N(R2661)+1,N(R2661))</f>
      </c>
    </row>
    <row r="2663" s="44" customFormat="1" spans="1:23">
      <c r="A2663" s="116"/>
      <c r="E2663" s="108"/>
      <c r="F2663" s="114"/>
      <c r="G2663" s="114"/>
      <c r="H2663" s="114"/>
      <c r="Q2663" s="44">
        <f>IF(数据录入!$B2663="",0,IF(OR(数据录入!$D2663="投标保证金",数据录入!$D2663="合同履约保证金",ISNUMBER(FIND("保证金",数据录入!$E2663))),1,0))</f>
      </c>
      <c r="R2663" s="44">
        <f>IF(AND($Q2663=1,数据录入!$B2663&gt;=$B$2,数据录入!$B2663&lt;=$D$2),N(R2662)+1,N(R2662))</f>
      </c>
    </row>
    <row r="2664" s="44" customFormat="1" spans="1:23">
      <c r="A2664" s="116"/>
      <c r="E2664" s="108"/>
      <c r="F2664" s="114"/>
      <c r="G2664" s="114"/>
      <c r="H2664" s="114"/>
      <c r="Q2664" s="44">
        <f>IF(数据录入!$B2664="",0,IF(OR(数据录入!$D2664="投标保证金",数据录入!$D2664="合同履约保证金",ISNUMBER(FIND("保证金",数据录入!$E2664))),1,0))</f>
      </c>
      <c r="R2664" s="44">
        <f>IF(AND($Q2664=1,数据录入!$B2664&gt;=$B$2,数据录入!$B2664&lt;=$D$2),N(R2663)+1,N(R2663))</f>
      </c>
    </row>
    <row r="2665" s="44" customFormat="1" spans="1:23">
      <c r="A2665" s="116"/>
      <c r="E2665" s="108"/>
      <c r="F2665" s="114"/>
      <c r="G2665" s="114"/>
      <c r="H2665" s="114"/>
      <c r="Q2665" s="44">
        <f>IF(数据录入!$B2665="",0,IF(OR(数据录入!$D2665="投标保证金",数据录入!$D2665="合同履约保证金",ISNUMBER(FIND("保证金",数据录入!$E2665))),1,0))</f>
      </c>
      <c r="R2665" s="44">
        <f>IF(AND($Q2665=1,数据录入!$B2665&gt;=$B$2,数据录入!$B2665&lt;=$D$2),N(R2664)+1,N(R2664))</f>
      </c>
    </row>
    <row r="2666" s="44" customFormat="1" spans="1:23">
      <c r="A2666" s="116"/>
      <c r="E2666" s="108"/>
      <c r="F2666" s="114"/>
      <c r="G2666" s="114"/>
      <c r="H2666" s="114"/>
      <c r="Q2666" s="44">
        <f>IF(数据录入!$B2666="",0,IF(OR(数据录入!$D2666="投标保证金",数据录入!$D2666="合同履约保证金",ISNUMBER(FIND("保证金",数据录入!$E2666))),1,0))</f>
      </c>
      <c r="R2666" s="44">
        <f>IF(AND($Q2666=1,数据录入!$B2666&gt;=$B$2,数据录入!$B2666&lt;=$D$2),N(R2665)+1,N(R2665))</f>
      </c>
    </row>
    <row r="2667" s="44" customFormat="1" spans="1:23">
      <c r="A2667" s="116"/>
      <c r="E2667" s="108"/>
      <c r="F2667" s="114"/>
      <c r="G2667" s="114"/>
      <c r="H2667" s="114"/>
      <c r="Q2667" s="44">
        <f>IF(数据录入!$B2667="",0,IF(OR(数据录入!$D2667="投标保证金",数据录入!$D2667="合同履约保证金",ISNUMBER(FIND("保证金",数据录入!$E2667))),1,0))</f>
      </c>
      <c r="R2667" s="44">
        <f>IF(AND($Q2667=1,数据录入!$B2667&gt;=$B$2,数据录入!$B2667&lt;=$D$2),N(R2666)+1,N(R2666))</f>
      </c>
    </row>
    <row r="2668" s="44" customFormat="1" spans="1:23">
      <c r="A2668" s="116"/>
      <c r="E2668" s="108"/>
      <c r="F2668" s="114"/>
      <c r="G2668" s="114"/>
      <c r="H2668" s="114"/>
      <c r="Q2668" s="44">
        <f>IF(数据录入!$B2668="",0,IF(OR(数据录入!$D2668="投标保证金",数据录入!$D2668="合同履约保证金",ISNUMBER(FIND("保证金",数据录入!$E2668))),1,0))</f>
      </c>
      <c r="R2668" s="44">
        <f>IF(AND($Q2668=1,数据录入!$B2668&gt;=$B$2,数据录入!$B2668&lt;=$D$2),N(R2667)+1,N(R2667))</f>
      </c>
    </row>
    <row r="2669" s="44" customFormat="1" spans="1:23">
      <c r="A2669" s="116"/>
      <c r="E2669" s="108"/>
      <c r="F2669" s="114"/>
      <c r="G2669" s="114"/>
      <c r="H2669" s="114"/>
      <c r="Q2669" s="44">
        <f>IF(数据录入!$B2669="",0,IF(OR(数据录入!$D2669="投标保证金",数据录入!$D2669="合同履约保证金",ISNUMBER(FIND("保证金",数据录入!$E2669))),1,0))</f>
      </c>
      <c r="R2669" s="44">
        <f>IF(AND($Q2669=1,数据录入!$B2669&gt;=$B$2,数据录入!$B2669&lt;=$D$2),N(R2668)+1,N(R2668))</f>
      </c>
    </row>
    <row r="2670" s="44" customFormat="1" spans="1:23">
      <c r="A2670" s="116"/>
      <c r="E2670" s="108"/>
      <c r="F2670" s="114"/>
      <c r="G2670" s="114"/>
      <c r="H2670" s="114"/>
      <c r="Q2670" s="44">
        <f>IF(数据录入!$B2670="",0,IF(OR(数据录入!$D2670="投标保证金",数据录入!$D2670="合同履约保证金",ISNUMBER(FIND("保证金",数据录入!$E2670))),1,0))</f>
      </c>
      <c r="R2670" s="44">
        <f>IF(AND($Q2670=1,数据录入!$B2670&gt;=$B$2,数据录入!$B2670&lt;=$D$2),N(R2669)+1,N(R2669))</f>
      </c>
    </row>
    <row r="2671" s="44" customFormat="1" spans="1:23">
      <c r="A2671" s="116"/>
      <c r="E2671" s="108"/>
      <c r="F2671" s="114"/>
      <c r="G2671" s="114"/>
      <c r="H2671" s="114"/>
      <c r="Q2671" s="44">
        <f>IF(数据录入!$B2671="",0,IF(OR(数据录入!$D2671="投标保证金",数据录入!$D2671="合同履约保证金",ISNUMBER(FIND("保证金",数据录入!$E2671))),1,0))</f>
      </c>
      <c r="R2671" s="44">
        <f>IF(AND($Q2671=1,数据录入!$B2671&gt;=$B$2,数据录入!$B2671&lt;=$D$2),N(R2670)+1,N(R2670))</f>
      </c>
    </row>
    <row r="2672" s="44" customFormat="1" spans="1:23">
      <c r="A2672" s="116"/>
      <c r="E2672" s="108"/>
      <c r="F2672" s="114"/>
      <c r="G2672" s="114"/>
      <c r="H2672" s="114"/>
      <c r="Q2672" s="44">
        <f>IF(数据录入!$B2672="",0,IF(OR(数据录入!$D2672="投标保证金",数据录入!$D2672="合同履约保证金",ISNUMBER(FIND("保证金",数据录入!$E2672))),1,0))</f>
      </c>
      <c r="R2672" s="44">
        <f>IF(AND($Q2672=1,数据录入!$B2672&gt;=$B$2,数据录入!$B2672&lt;=$D$2),N(R2671)+1,N(R2671))</f>
      </c>
    </row>
    <row r="2673" s="44" customFormat="1" spans="1:23">
      <c r="A2673" s="116"/>
      <c r="E2673" s="108"/>
      <c r="F2673" s="114"/>
      <c r="G2673" s="114"/>
      <c r="H2673" s="114"/>
      <c r="Q2673" s="44">
        <f>IF(数据录入!$B2673="",0,IF(OR(数据录入!$D2673="投标保证金",数据录入!$D2673="合同履约保证金",ISNUMBER(FIND("保证金",数据录入!$E2673))),1,0))</f>
      </c>
      <c r="R2673" s="44">
        <f>IF(AND($Q2673=1,数据录入!$B2673&gt;=$B$2,数据录入!$B2673&lt;=$D$2),N(R2672)+1,N(R2672))</f>
      </c>
    </row>
    <row r="2674" s="44" customFormat="1" spans="1:23">
      <c r="A2674" s="116"/>
      <c r="E2674" s="108"/>
      <c r="F2674" s="114"/>
      <c r="G2674" s="114"/>
      <c r="H2674" s="114"/>
      <c r="Q2674" s="44">
        <f>IF(数据录入!$B2674="",0,IF(OR(数据录入!$D2674="投标保证金",数据录入!$D2674="合同履约保证金",ISNUMBER(FIND("保证金",数据录入!$E2674))),1,0))</f>
      </c>
      <c r="R2674" s="44">
        <f>IF(AND($Q2674=1,数据录入!$B2674&gt;=$B$2,数据录入!$B2674&lt;=$D$2),N(R2673)+1,N(R2673))</f>
      </c>
    </row>
    <row r="2675" s="44" customFormat="1" spans="1:23">
      <c r="A2675" s="116"/>
      <c r="E2675" s="108"/>
      <c r="F2675" s="114"/>
      <c r="G2675" s="114"/>
      <c r="H2675" s="114"/>
      <c r="Q2675" s="44">
        <f>IF(数据录入!$B2675="",0,IF(OR(数据录入!$D2675="投标保证金",数据录入!$D2675="合同履约保证金",ISNUMBER(FIND("保证金",数据录入!$E2675))),1,0))</f>
      </c>
      <c r="R2675" s="44">
        <f>IF(AND($Q2675=1,数据录入!$B2675&gt;=$B$2,数据录入!$B2675&lt;=$D$2),N(R2674)+1,N(R2674))</f>
      </c>
    </row>
    <row r="2676" s="44" customFormat="1" spans="1:23">
      <c r="A2676" s="116"/>
      <c r="E2676" s="108"/>
      <c r="F2676" s="114"/>
      <c r="G2676" s="114"/>
      <c r="H2676" s="114"/>
      <c r="Q2676" s="44">
        <f>IF(数据录入!$B2676="",0,IF(OR(数据录入!$D2676="投标保证金",数据录入!$D2676="合同履约保证金",ISNUMBER(FIND("保证金",数据录入!$E2676))),1,0))</f>
      </c>
      <c r="R2676" s="44">
        <f>IF(AND($Q2676=1,数据录入!$B2676&gt;=$B$2,数据录入!$B2676&lt;=$D$2),N(R2675)+1,N(R2675))</f>
      </c>
    </row>
    <row r="2677" s="44" customFormat="1" spans="1:23">
      <c r="A2677" s="116"/>
      <c r="E2677" s="108"/>
      <c r="F2677" s="114"/>
      <c r="G2677" s="114"/>
      <c r="H2677" s="114"/>
      <c r="Q2677" s="44">
        <f>IF(数据录入!$B2677="",0,IF(OR(数据录入!$D2677="投标保证金",数据录入!$D2677="合同履约保证金",ISNUMBER(FIND("保证金",数据录入!$E2677))),1,0))</f>
      </c>
      <c r="R2677" s="44">
        <f>IF(AND($Q2677=1,数据录入!$B2677&gt;=$B$2,数据录入!$B2677&lt;=$D$2),N(R2676)+1,N(R2676))</f>
      </c>
    </row>
    <row r="2678" s="44" customFormat="1" spans="1:23">
      <c r="A2678" s="116"/>
      <c r="E2678" s="108"/>
      <c r="F2678" s="114"/>
      <c r="G2678" s="114"/>
      <c r="H2678" s="114"/>
      <c r="Q2678" s="44">
        <f>IF(数据录入!$B2678="",0,IF(OR(数据录入!$D2678="投标保证金",数据录入!$D2678="合同履约保证金",ISNUMBER(FIND("保证金",数据录入!$E2678))),1,0))</f>
      </c>
      <c r="R2678" s="44">
        <f>IF(AND($Q2678=1,数据录入!$B2678&gt;=$B$2,数据录入!$B2678&lt;=$D$2),N(R2677)+1,N(R2677))</f>
      </c>
    </row>
    <row r="2679" s="44" customFormat="1" spans="1:23">
      <c r="A2679" s="116"/>
      <c r="E2679" s="108"/>
      <c r="F2679" s="114"/>
      <c r="G2679" s="114"/>
      <c r="H2679" s="114"/>
      <c r="Q2679" s="44">
        <f>IF(数据录入!$B2679="",0,IF(OR(数据录入!$D2679="投标保证金",数据录入!$D2679="合同履约保证金",ISNUMBER(FIND("保证金",数据录入!$E2679))),1,0))</f>
      </c>
      <c r="R2679" s="44">
        <f>IF(AND($Q2679=1,数据录入!$B2679&gt;=$B$2,数据录入!$B2679&lt;=$D$2),N(R2678)+1,N(R2678))</f>
      </c>
    </row>
    <row r="2680" s="44" customFormat="1" spans="1:23">
      <c r="A2680" s="116"/>
      <c r="E2680" s="108"/>
      <c r="F2680" s="114"/>
      <c r="G2680" s="114"/>
      <c r="H2680" s="114"/>
      <c r="Q2680" s="44">
        <f>IF(数据录入!$B2680="",0,IF(OR(数据录入!$D2680="投标保证金",数据录入!$D2680="合同履约保证金",ISNUMBER(FIND("保证金",数据录入!$E2680))),1,0))</f>
      </c>
      <c r="R2680" s="44">
        <f>IF(AND($Q2680=1,数据录入!$B2680&gt;=$B$2,数据录入!$B2680&lt;=$D$2),N(R2679)+1,N(R2679))</f>
      </c>
    </row>
    <row r="2681" s="44" customFormat="1" spans="1:23">
      <c r="A2681" s="116"/>
      <c r="E2681" s="108"/>
      <c r="F2681" s="114"/>
      <c r="G2681" s="114"/>
      <c r="H2681" s="114"/>
      <c r="Q2681" s="44">
        <f>IF(数据录入!$B2681="",0,IF(OR(数据录入!$D2681="投标保证金",数据录入!$D2681="合同履约保证金",ISNUMBER(FIND("保证金",数据录入!$E2681))),1,0))</f>
      </c>
      <c r="R2681" s="44">
        <f>IF(AND($Q2681=1,数据录入!$B2681&gt;=$B$2,数据录入!$B2681&lt;=$D$2),N(R2680)+1,N(R2680))</f>
      </c>
    </row>
    <row r="2682" s="44" customFormat="1" spans="1:23">
      <c r="A2682" s="116"/>
      <c r="E2682" s="108"/>
      <c r="F2682" s="114"/>
      <c r="G2682" s="114"/>
      <c r="H2682" s="114"/>
      <c r="Q2682" s="44">
        <f>IF(数据录入!$B2682="",0,IF(OR(数据录入!$D2682="投标保证金",数据录入!$D2682="合同履约保证金",ISNUMBER(FIND("保证金",数据录入!$E2682))),1,0))</f>
      </c>
      <c r="R2682" s="44">
        <f>IF(AND($Q2682=1,数据录入!$B2682&gt;=$B$2,数据录入!$B2682&lt;=$D$2),N(R2681)+1,N(R2681))</f>
      </c>
    </row>
    <row r="2683" s="44" customFormat="1" spans="1:23">
      <c r="A2683" s="116"/>
      <c r="E2683" s="108"/>
      <c r="F2683" s="114"/>
      <c r="G2683" s="114"/>
      <c r="H2683" s="114"/>
      <c r="Q2683" s="44">
        <f>IF(数据录入!$B2683="",0,IF(OR(数据录入!$D2683="投标保证金",数据录入!$D2683="合同履约保证金",ISNUMBER(FIND("保证金",数据录入!$E2683))),1,0))</f>
      </c>
      <c r="R2683" s="44">
        <f>IF(AND($Q2683=1,数据录入!$B2683&gt;=$B$2,数据录入!$B2683&lt;=$D$2),N(R2682)+1,N(R2682))</f>
      </c>
    </row>
    <row r="2684" s="44" customFormat="1" spans="1:23">
      <c r="A2684" s="116"/>
      <c r="E2684" s="108"/>
      <c r="F2684" s="114"/>
      <c r="G2684" s="114"/>
      <c r="H2684" s="114"/>
      <c r="Q2684" s="44">
        <f>IF(数据录入!$B2684="",0,IF(OR(数据录入!$D2684="投标保证金",数据录入!$D2684="合同履约保证金",ISNUMBER(FIND("保证金",数据录入!$E2684))),1,0))</f>
      </c>
      <c r="R2684" s="44">
        <f>IF(AND($Q2684=1,数据录入!$B2684&gt;=$B$2,数据录入!$B2684&lt;=$D$2),N(R2683)+1,N(R2683))</f>
      </c>
    </row>
    <row r="2685" s="44" customFormat="1" spans="1:23">
      <c r="A2685" s="116"/>
      <c r="E2685" s="108"/>
      <c r="F2685" s="114"/>
      <c r="G2685" s="114"/>
      <c r="H2685" s="114"/>
      <c r="Q2685" s="44">
        <f>IF(数据录入!$B2685="",0,IF(OR(数据录入!$D2685="投标保证金",数据录入!$D2685="合同履约保证金",ISNUMBER(FIND("保证金",数据录入!$E2685))),1,0))</f>
      </c>
      <c r="R2685" s="44">
        <f>IF(AND($Q2685=1,数据录入!$B2685&gt;=$B$2,数据录入!$B2685&lt;=$D$2),N(R2684)+1,N(R2684))</f>
      </c>
    </row>
    <row r="2686" s="44" customFormat="1" spans="1:23">
      <c r="A2686" s="116"/>
      <c r="E2686" s="108"/>
      <c r="F2686" s="114"/>
      <c r="G2686" s="114"/>
      <c r="H2686" s="114"/>
      <c r="Q2686" s="44">
        <f>IF(数据录入!$B2686="",0,IF(OR(数据录入!$D2686="投标保证金",数据录入!$D2686="合同履约保证金",ISNUMBER(FIND("保证金",数据录入!$E2686))),1,0))</f>
      </c>
      <c r="R2686" s="44">
        <f>IF(AND($Q2686=1,数据录入!$B2686&gt;=$B$2,数据录入!$B2686&lt;=$D$2),N(R2685)+1,N(R2685))</f>
      </c>
    </row>
    <row r="2687" s="44" customFormat="1" spans="1:23">
      <c r="A2687" s="116"/>
      <c r="E2687" s="108"/>
      <c r="F2687" s="114"/>
      <c r="G2687" s="114"/>
      <c r="H2687" s="114"/>
      <c r="Q2687" s="44">
        <f>IF(数据录入!$B2687="",0,IF(OR(数据录入!$D2687="投标保证金",数据录入!$D2687="合同履约保证金",ISNUMBER(FIND("保证金",数据录入!$E2687))),1,0))</f>
      </c>
      <c r="R2687" s="44">
        <f>IF(AND($Q2687=1,数据录入!$B2687&gt;=$B$2,数据录入!$B2687&lt;=$D$2),N(R2686)+1,N(R2686))</f>
      </c>
    </row>
    <row r="2688" s="44" customFormat="1" spans="1:23">
      <c r="A2688" s="116"/>
      <c r="E2688" s="108"/>
      <c r="F2688" s="114"/>
      <c r="G2688" s="114"/>
      <c r="H2688" s="114"/>
      <c r="Q2688" s="44">
        <f>IF(数据录入!$B2688="",0,IF(OR(数据录入!$D2688="投标保证金",数据录入!$D2688="合同履约保证金",ISNUMBER(FIND("保证金",数据录入!$E2688))),1,0))</f>
      </c>
      <c r="R2688" s="44">
        <f>IF(AND($Q2688=1,数据录入!$B2688&gt;=$B$2,数据录入!$B2688&lt;=$D$2),N(R2687)+1,N(R2687))</f>
      </c>
    </row>
    <row r="2689" s="44" customFormat="1" spans="1:23">
      <c r="A2689" s="116"/>
      <c r="E2689" s="108"/>
      <c r="F2689" s="114"/>
      <c r="G2689" s="114"/>
      <c r="H2689" s="114"/>
      <c r="Q2689" s="44">
        <f>IF(数据录入!$B2689="",0,IF(OR(数据录入!$D2689="投标保证金",数据录入!$D2689="合同履约保证金",ISNUMBER(FIND("保证金",数据录入!$E2689))),1,0))</f>
      </c>
      <c r="R2689" s="44">
        <f>IF(AND($Q2689=1,数据录入!$B2689&gt;=$B$2,数据录入!$B2689&lt;=$D$2),N(R2688)+1,N(R2688))</f>
      </c>
    </row>
    <row r="2690" s="44" customFormat="1" spans="1:23">
      <c r="A2690" s="116"/>
      <c r="E2690" s="108"/>
      <c r="F2690" s="114"/>
      <c r="G2690" s="114"/>
      <c r="H2690" s="114"/>
      <c r="Q2690" s="44">
        <f>IF(数据录入!$B2690="",0,IF(OR(数据录入!$D2690="投标保证金",数据录入!$D2690="合同履约保证金",ISNUMBER(FIND("保证金",数据录入!$E2690))),1,0))</f>
      </c>
      <c r="R2690" s="44">
        <f>IF(AND($Q2690=1,数据录入!$B2690&gt;=$B$2,数据录入!$B2690&lt;=$D$2),N(R2689)+1,N(R2689))</f>
      </c>
    </row>
    <row r="2691" s="44" customFormat="1" spans="1:23">
      <c r="A2691" s="116"/>
      <c r="E2691" s="108"/>
      <c r="F2691" s="114"/>
      <c r="G2691" s="114"/>
      <c r="H2691" s="114"/>
      <c r="Q2691" s="44">
        <f>IF(数据录入!$B2691="",0,IF(OR(数据录入!$D2691="投标保证金",数据录入!$D2691="合同履约保证金",ISNUMBER(FIND("保证金",数据录入!$E2691))),1,0))</f>
      </c>
      <c r="R2691" s="44">
        <f>IF(AND($Q2691=1,数据录入!$B2691&gt;=$B$2,数据录入!$B2691&lt;=$D$2),N(R2690)+1,N(R2690))</f>
      </c>
    </row>
    <row r="2692" s="44" customFormat="1" spans="1:23">
      <c r="A2692" s="116"/>
      <c r="E2692" s="108"/>
      <c r="F2692" s="114"/>
      <c r="G2692" s="114"/>
      <c r="H2692" s="114"/>
      <c r="Q2692" s="44">
        <f>IF(数据录入!$B2692="",0,IF(OR(数据录入!$D2692="投标保证金",数据录入!$D2692="合同履约保证金",ISNUMBER(FIND("保证金",数据录入!$E2692))),1,0))</f>
      </c>
      <c r="R2692" s="44">
        <f>IF(AND($Q2692=1,数据录入!$B2692&gt;=$B$2,数据录入!$B2692&lt;=$D$2),N(R2691)+1,N(R2691))</f>
      </c>
    </row>
    <row r="2693" s="44" customFormat="1" spans="1:23">
      <c r="A2693" s="116"/>
      <c r="E2693" s="108"/>
      <c r="F2693" s="114"/>
      <c r="G2693" s="114"/>
      <c r="H2693" s="114"/>
      <c r="Q2693" s="44">
        <f>IF(数据录入!$B2693="",0,IF(OR(数据录入!$D2693="投标保证金",数据录入!$D2693="合同履约保证金",ISNUMBER(FIND("保证金",数据录入!$E2693))),1,0))</f>
      </c>
      <c r="R2693" s="44">
        <f>IF(AND($Q2693=1,数据录入!$B2693&gt;=$B$2,数据录入!$B2693&lt;=$D$2),N(R2692)+1,N(R2692))</f>
      </c>
    </row>
    <row r="2694" s="44" customFormat="1" spans="1:23">
      <c r="A2694" s="116"/>
      <c r="E2694" s="108"/>
      <c r="F2694" s="114"/>
      <c r="G2694" s="114"/>
      <c r="H2694" s="114"/>
      <c r="Q2694" s="44">
        <f>IF(数据录入!$B2694="",0,IF(OR(数据录入!$D2694="投标保证金",数据录入!$D2694="合同履约保证金",ISNUMBER(FIND("保证金",数据录入!$E2694))),1,0))</f>
      </c>
      <c r="R2694" s="44">
        <f>IF(AND($Q2694=1,数据录入!$B2694&gt;=$B$2,数据录入!$B2694&lt;=$D$2),N(R2693)+1,N(R2693))</f>
      </c>
    </row>
    <row r="2695" s="44" customFormat="1" spans="1:23">
      <c r="A2695" s="116"/>
      <c r="E2695" s="108"/>
      <c r="F2695" s="114"/>
      <c r="G2695" s="114"/>
      <c r="H2695" s="114"/>
      <c r="Q2695" s="44">
        <f>IF(数据录入!$B2695="",0,IF(OR(数据录入!$D2695="投标保证金",数据录入!$D2695="合同履约保证金",ISNUMBER(FIND("保证金",数据录入!$E2695))),1,0))</f>
      </c>
      <c r="R2695" s="44">
        <f>IF(AND($Q2695=1,数据录入!$B2695&gt;=$B$2,数据录入!$B2695&lt;=$D$2),N(R2694)+1,N(R2694))</f>
      </c>
    </row>
    <row r="2696" s="44" customFormat="1" spans="1:23">
      <c r="A2696" s="116"/>
      <c r="E2696" s="108"/>
      <c r="F2696" s="114"/>
      <c r="G2696" s="114"/>
      <c r="H2696" s="114"/>
      <c r="Q2696" s="44">
        <f>IF(数据录入!$B2696="",0,IF(OR(数据录入!$D2696="投标保证金",数据录入!$D2696="合同履约保证金",ISNUMBER(FIND("保证金",数据录入!$E2696))),1,0))</f>
      </c>
      <c r="R2696" s="44">
        <f>IF(AND($Q2696=1,数据录入!$B2696&gt;=$B$2,数据录入!$B2696&lt;=$D$2),N(R2695)+1,N(R2695))</f>
      </c>
    </row>
    <row r="2697" s="44" customFormat="1" spans="1:23">
      <c r="A2697" s="116"/>
      <c r="E2697" s="108"/>
      <c r="F2697" s="114"/>
      <c r="G2697" s="114"/>
      <c r="H2697" s="114"/>
      <c r="Q2697" s="44">
        <f>IF(数据录入!$B2697="",0,IF(OR(数据录入!$D2697="投标保证金",数据录入!$D2697="合同履约保证金",ISNUMBER(FIND("保证金",数据录入!$E2697))),1,0))</f>
      </c>
      <c r="R2697" s="44">
        <f>IF(AND($Q2697=1,数据录入!$B2697&gt;=$B$2,数据录入!$B2697&lt;=$D$2),N(R2696)+1,N(R2696))</f>
      </c>
    </row>
    <row r="2698" s="44" customFormat="1" spans="1:23">
      <c r="A2698" s="116"/>
      <c r="E2698" s="108"/>
      <c r="F2698" s="114"/>
      <c r="G2698" s="114"/>
      <c r="H2698" s="114"/>
      <c r="Q2698" s="44">
        <f>IF(数据录入!$B2698="",0,IF(OR(数据录入!$D2698="投标保证金",数据录入!$D2698="合同履约保证金",ISNUMBER(FIND("保证金",数据录入!$E2698))),1,0))</f>
      </c>
      <c r="R2698" s="44">
        <f>IF(AND($Q2698=1,数据录入!$B2698&gt;=$B$2,数据录入!$B2698&lt;=$D$2),N(R2697)+1,N(R2697))</f>
      </c>
    </row>
    <row r="2699" s="44" customFormat="1" spans="1:23">
      <c r="A2699" s="116"/>
      <c r="E2699" s="108"/>
      <c r="F2699" s="114"/>
      <c r="G2699" s="114"/>
      <c r="H2699" s="114"/>
      <c r="Q2699" s="44">
        <f>IF(数据录入!$B2699="",0,IF(OR(数据录入!$D2699="投标保证金",数据录入!$D2699="合同履约保证金",ISNUMBER(FIND("保证金",数据录入!$E2699))),1,0))</f>
      </c>
      <c r="R2699" s="44">
        <f>IF(AND($Q2699=1,数据录入!$B2699&gt;=$B$2,数据录入!$B2699&lt;=$D$2),N(R2698)+1,N(R2698))</f>
      </c>
    </row>
    <row r="2700" s="44" customFormat="1" spans="1:23">
      <c r="A2700" s="116"/>
      <c r="E2700" s="108"/>
      <c r="F2700" s="114"/>
      <c r="G2700" s="114"/>
      <c r="H2700" s="114"/>
      <c r="Q2700" s="44">
        <f>IF(数据录入!$B2700="",0,IF(OR(数据录入!$D2700="投标保证金",数据录入!$D2700="合同履约保证金",ISNUMBER(FIND("保证金",数据录入!$E2700))),1,0))</f>
      </c>
      <c r="R2700" s="44">
        <f>IF(AND($Q2700=1,数据录入!$B2700&gt;=$B$2,数据录入!$B2700&lt;=$D$2),N(R2699)+1,N(R2699))</f>
      </c>
    </row>
    <row r="2701" s="44" customFormat="1" spans="1:23">
      <c r="A2701" s="116"/>
      <c r="E2701" s="108"/>
      <c r="F2701" s="114"/>
      <c r="G2701" s="114"/>
      <c r="H2701" s="114"/>
      <c r="Q2701" s="44">
        <f>IF(数据录入!$B2701="",0,IF(OR(数据录入!$D2701="投标保证金",数据录入!$D2701="合同履约保证金",ISNUMBER(FIND("保证金",数据录入!$E2701))),1,0))</f>
      </c>
      <c r="R2701" s="44">
        <f>IF(AND($Q2701=1,数据录入!$B2701&gt;=$B$2,数据录入!$B2701&lt;=$D$2),N(R2700)+1,N(R2700))</f>
      </c>
    </row>
    <row r="2702" s="44" customFormat="1" spans="1:23">
      <c r="A2702" s="116"/>
      <c r="E2702" s="108"/>
      <c r="F2702" s="114"/>
      <c r="G2702" s="114"/>
      <c r="H2702" s="114"/>
      <c r="Q2702" s="44">
        <f>IF(数据录入!$B2702="",0,IF(OR(数据录入!$D2702="投标保证金",数据录入!$D2702="合同履约保证金",ISNUMBER(FIND("保证金",数据录入!$E2702))),1,0))</f>
      </c>
      <c r="R2702" s="44">
        <f>IF(AND($Q2702=1,数据录入!$B2702&gt;=$B$2,数据录入!$B2702&lt;=$D$2),N(R2701)+1,N(R2701))</f>
      </c>
    </row>
    <row r="2703" s="44" customFormat="1" spans="1:23">
      <c r="A2703" s="116"/>
      <c r="E2703" s="108"/>
      <c r="F2703" s="114"/>
      <c r="G2703" s="114"/>
      <c r="H2703" s="114"/>
      <c r="Q2703" s="44">
        <f>IF(数据录入!$B2703="",0,IF(OR(数据录入!$D2703="投标保证金",数据录入!$D2703="合同履约保证金",ISNUMBER(FIND("保证金",数据录入!$E2703))),1,0))</f>
      </c>
      <c r="R2703" s="44">
        <f>IF(AND($Q2703=1,数据录入!$B2703&gt;=$B$2,数据录入!$B2703&lt;=$D$2),N(R2702)+1,N(R2702))</f>
      </c>
    </row>
    <row r="2704" s="44" customFormat="1" spans="1:23">
      <c r="A2704" s="116"/>
      <c r="E2704" s="108"/>
      <c r="F2704" s="114"/>
      <c r="G2704" s="114"/>
      <c r="H2704" s="114"/>
      <c r="Q2704" s="44">
        <f>IF(数据录入!$B2704="",0,IF(OR(数据录入!$D2704="投标保证金",数据录入!$D2704="合同履约保证金",ISNUMBER(FIND("保证金",数据录入!$E2704))),1,0))</f>
      </c>
      <c r="R2704" s="44">
        <f>IF(AND($Q2704=1,数据录入!$B2704&gt;=$B$2,数据录入!$B2704&lt;=$D$2),N(R2703)+1,N(R2703))</f>
      </c>
    </row>
    <row r="2705" s="44" customFormat="1" spans="1:23">
      <c r="A2705" s="116"/>
      <c r="E2705" s="108"/>
      <c r="F2705" s="114"/>
      <c r="G2705" s="114"/>
      <c r="H2705" s="114"/>
      <c r="Q2705" s="44">
        <f>IF(数据录入!$B2705="",0,IF(OR(数据录入!$D2705="投标保证金",数据录入!$D2705="合同履约保证金",ISNUMBER(FIND("保证金",数据录入!$E2705))),1,0))</f>
      </c>
      <c r="R2705" s="44">
        <f>IF(AND($Q2705=1,数据录入!$B2705&gt;=$B$2,数据录入!$B2705&lt;=$D$2),N(R2704)+1,N(R2704))</f>
      </c>
    </row>
    <row r="2706" s="44" customFormat="1" spans="1:23">
      <c r="A2706" s="116"/>
      <c r="E2706" s="108"/>
      <c r="F2706" s="114"/>
      <c r="G2706" s="114"/>
      <c r="H2706" s="114"/>
      <c r="Q2706" s="44">
        <f>IF(数据录入!$B2706="",0,IF(OR(数据录入!$D2706="投标保证金",数据录入!$D2706="合同履约保证金",ISNUMBER(FIND("保证金",数据录入!$E2706))),1,0))</f>
      </c>
      <c r="R2706" s="44">
        <f>IF(AND($Q2706=1,数据录入!$B2706&gt;=$B$2,数据录入!$B2706&lt;=$D$2),N(R2705)+1,N(R2705))</f>
      </c>
    </row>
    <row r="2707" s="44" customFormat="1" spans="1:23">
      <c r="A2707" s="116"/>
      <c r="E2707" s="108"/>
      <c r="F2707" s="114"/>
      <c r="G2707" s="114"/>
      <c r="H2707" s="114"/>
      <c r="Q2707" s="44">
        <f>IF(数据录入!$B2707="",0,IF(OR(数据录入!$D2707="投标保证金",数据录入!$D2707="合同履约保证金",ISNUMBER(FIND("保证金",数据录入!$E2707))),1,0))</f>
      </c>
      <c r="R2707" s="44">
        <f>IF(AND($Q2707=1,数据录入!$B2707&gt;=$B$2,数据录入!$B2707&lt;=$D$2),N(R2706)+1,N(R2706))</f>
      </c>
    </row>
    <row r="2708" s="44" customFormat="1" spans="1:23">
      <c r="A2708" s="116"/>
      <c r="E2708" s="108"/>
      <c r="F2708" s="114"/>
      <c r="G2708" s="114"/>
      <c r="H2708" s="114"/>
      <c r="Q2708" s="44">
        <f>IF(数据录入!$B2708="",0,IF(OR(数据录入!$D2708="投标保证金",数据录入!$D2708="合同履约保证金",ISNUMBER(FIND("保证金",数据录入!$E2708))),1,0))</f>
      </c>
      <c r="R2708" s="44">
        <f>IF(AND($Q2708=1,数据录入!$B2708&gt;=$B$2,数据录入!$B2708&lt;=$D$2),N(R2707)+1,N(R2707))</f>
      </c>
    </row>
    <row r="2709" s="44" customFormat="1" spans="1:23">
      <c r="A2709" s="116"/>
      <c r="E2709" s="108"/>
      <c r="F2709" s="114"/>
      <c r="G2709" s="114"/>
      <c r="H2709" s="114"/>
      <c r="Q2709" s="44">
        <f>IF(数据录入!$B2709="",0,IF(OR(数据录入!$D2709="投标保证金",数据录入!$D2709="合同履约保证金",ISNUMBER(FIND("保证金",数据录入!$E2709))),1,0))</f>
      </c>
      <c r="R2709" s="44">
        <f>IF(AND($Q2709=1,数据录入!$B2709&gt;=$B$2,数据录入!$B2709&lt;=$D$2),N(R2708)+1,N(R2708))</f>
      </c>
    </row>
    <row r="2710" s="44" customFormat="1" spans="1:23">
      <c r="A2710" s="116"/>
      <c r="E2710" s="108"/>
      <c r="F2710" s="114"/>
      <c r="G2710" s="114"/>
      <c r="H2710" s="114"/>
      <c r="Q2710" s="44">
        <f>IF(数据录入!$B2710="",0,IF(OR(数据录入!$D2710="投标保证金",数据录入!$D2710="合同履约保证金",ISNUMBER(FIND("保证金",数据录入!$E2710))),1,0))</f>
      </c>
      <c r="R2710" s="44">
        <f>IF(AND($Q2710=1,数据录入!$B2710&gt;=$B$2,数据录入!$B2710&lt;=$D$2),N(R2709)+1,N(R2709))</f>
      </c>
    </row>
    <row r="2711" s="44" customFormat="1" spans="1:23">
      <c r="A2711" s="116"/>
      <c r="E2711" s="108"/>
      <c r="F2711" s="114"/>
      <c r="G2711" s="114"/>
      <c r="H2711" s="114"/>
      <c r="Q2711" s="44">
        <f>IF(数据录入!$B2711="",0,IF(OR(数据录入!$D2711="投标保证金",数据录入!$D2711="合同履约保证金",ISNUMBER(FIND("保证金",数据录入!$E2711))),1,0))</f>
      </c>
      <c r="R2711" s="44">
        <f>IF(AND($Q2711=1,数据录入!$B2711&gt;=$B$2,数据录入!$B2711&lt;=$D$2),N(R2710)+1,N(R2710))</f>
      </c>
    </row>
    <row r="2712" s="44" customFormat="1" spans="1:23">
      <c r="A2712" s="116"/>
      <c r="E2712" s="108"/>
      <c r="F2712" s="114"/>
      <c r="G2712" s="114"/>
      <c r="H2712" s="114"/>
      <c r="Q2712" s="44">
        <f>IF(数据录入!$B2712="",0,IF(OR(数据录入!$D2712="投标保证金",数据录入!$D2712="合同履约保证金",ISNUMBER(FIND("保证金",数据录入!$E2712))),1,0))</f>
      </c>
      <c r="R2712" s="44">
        <f>IF(AND($Q2712=1,数据录入!$B2712&gt;=$B$2,数据录入!$B2712&lt;=$D$2),N(R2711)+1,N(R2711))</f>
      </c>
    </row>
    <row r="2713" s="44" customFormat="1" spans="1:23">
      <c r="A2713" s="116"/>
      <c r="E2713" s="108"/>
      <c r="F2713" s="114"/>
      <c r="G2713" s="114"/>
      <c r="H2713" s="114"/>
      <c r="Q2713" s="44">
        <f>IF(数据录入!$B2713="",0,IF(OR(数据录入!$D2713="投标保证金",数据录入!$D2713="合同履约保证金",ISNUMBER(FIND("保证金",数据录入!$E2713))),1,0))</f>
      </c>
      <c r="R2713" s="44">
        <f>IF(AND($Q2713=1,数据录入!$B2713&gt;=$B$2,数据录入!$B2713&lt;=$D$2),N(R2712)+1,N(R2712))</f>
      </c>
    </row>
    <row r="2714" s="44" customFormat="1" spans="1:23">
      <c r="A2714" s="116"/>
      <c r="E2714" s="108"/>
      <c r="F2714" s="114"/>
      <c r="G2714" s="114"/>
      <c r="H2714" s="114"/>
      <c r="Q2714" s="44">
        <f>IF(数据录入!$B2714="",0,IF(OR(数据录入!$D2714="投标保证金",数据录入!$D2714="合同履约保证金",ISNUMBER(FIND("保证金",数据录入!$E2714))),1,0))</f>
      </c>
      <c r="R2714" s="44">
        <f>IF(AND($Q2714=1,数据录入!$B2714&gt;=$B$2,数据录入!$B2714&lt;=$D$2),N(R2713)+1,N(R2713))</f>
      </c>
    </row>
    <row r="2715" s="44" customFormat="1" spans="1:23">
      <c r="A2715" s="116"/>
      <c r="E2715" s="108"/>
      <c r="F2715" s="114"/>
      <c r="G2715" s="114"/>
      <c r="H2715" s="114"/>
      <c r="Q2715" s="44">
        <f>IF(数据录入!$B2715="",0,IF(OR(数据录入!$D2715="投标保证金",数据录入!$D2715="合同履约保证金",ISNUMBER(FIND("保证金",数据录入!$E2715))),1,0))</f>
      </c>
      <c r="R2715" s="44">
        <f>IF(AND($Q2715=1,数据录入!$B2715&gt;=$B$2,数据录入!$B2715&lt;=$D$2),N(R2714)+1,N(R2714))</f>
      </c>
    </row>
    <row r="2716" s="44" customFormat="1" spans="1:23">
      <c r="A2716" s="116"/>
      <c r="E2716" s="108"/>
      <c r="F2716" s="114"/>
      <c r="G2716" s="114"/>
      <c r="H2716" s="114"/>
      <c r="Q2716" s="44">
        <f>IF(数据录入!$B2716="",0,IF(OR(数据录入!$D2716="投标保证金",数据录入!$D2716="合同履约保证金",ISNUMBER(FIND("保证金",数据录入!$E2716))),1,0))</f>
      </c>
      <c r="R2716" s="44">
        <f>IF(AND($Q2716=1,数据录入!$B2716&gt;=$B$2,数据录入!$B2716&lt;=$D$2),N(R2715)+1,N(R2715))</f>
      </c>
    </row>
    <row r="2717" s="44" customFormat="1" spans="1:23">
      <c r="A2717" s="116"/>
      <c r="E2717" s="108"/>
      <c r="F2717" s="114"/>
      <c r="G2717" s="114"/>
      <c r="H2717" s="114"/>
      <c r="Q2717" s="44">
        <f>IF(数据录入!$B2717="",0,IF(OR(数据录入!$D2717="投标保证金",数据录入!$D2717="合同履约保证金",ISNUMBER(FIND("保证金",数据录入!$E2717))),1,0))</f>
      </c>
      <c r="R2717" s="44">
        <f>IF(AND($Q2717=1,数据录入!$B2717&gt;=$B$2,数据录入!$B2717&lt;=$D$2),N(R2716)+1,N(R2716))</f>
      </c>
    </row>
    <row r="2718" s="44" customFormat="1" spans="1:23">
      <c r="A2718" s="116"/>
      <c r="E2718" s="108"/>
      <c r="F2718" s="114"/>
      <c r="G2718" s="114"/>
      <c r="H2718" s="114"/>
      <c r="Q2718" s="44">
        <f>IF(数据录入!$B2718="",0,IF(OR(数据录入!$D2718="投标保证金",数据录入!$D2718="合同履约保证金",ISNUMBER(FIND("保证金",数据录入!$E2718))),1,0))</f>
      </c>
      <c r="R2718" s="44">
        <f>IF(AND($Q2718=1,数据录入!$B2718&gt;=$B$2,数据录入!$B2718&lt;=$D$2),N(R2717)+1,N(R2717))</f>
      </c>
    </row>
    <row r="2719" s="44" customFormat="1" spans="1:23">
      <c r="A2719" s="116"/>
      <c r="E2719" s="108"/>
      <c r="F2719" s="114"/>
      <c r="G2719" s="114"/>
      <c r="H2719" s="114"/>
      <c r="Q2719" s="44">
        <f>IF(数据录入!$B2719="",0,IF(OR(数据录入!$D2719="投标保证金",数据录入!$D2719="合同履约保证金",ISNUMBER(FIND("保证金",数据录入!$E2719))),1,0))</f>
      </c>
      <c r="R2719" s="44">
        <f>IF(AND($Q2719=1,数据录入!$B2719&gt;=$B$2,数据录入!$B2719&lt;=$D$2),N(R2718)+1,N(R2718))</f>
      </c>
    </row>
    <row r="2720" s="44" customFormat="1" spans="1:23">
      <c r="A2720" s="116"/>
      <c r="E2720" s="108"/>
      <c r="F2720" s="114"/>
      <c r="G2720" s="114"/>
      <c r="H2720" s="114"/>
      <c r="Q2720" s="44">
        <f>IF(数据录入!$B2720="",0,IF(OR(数据录入!$D2720="投标保证金",数据录入!$D2720="合同履约保证金",ISNUMBER(FIND("保证金",数据录入!$E2720))),1,0))</f>
      </c>
      <c r="R2720" s="44">
        <f>IF(AND($Q2720=1,数据录入!$B2720&gt;=$B$2,数据录入!$B2720&lt;=$D$2),N(R2719)+1,N(R2719))</f>
      </c>
    </row>
    <row r="2721" s="44" customFormat="1" spans="1:23">
      <c r="A2721" s="116"/>
      <c r="E2721" s="108"/>
      <c r="F2721" s="114"/>
      <c r="G2721" s="114"/>
      <c r="H2721" s="114"/>
      <c r="Q2721" s="44">
        <f>IF(数据录入!$B2721="",0,IF(OR(数据录入!$D2721="投标保证金",数据录入!$D2721="合同履约保证金",ISNUMBER(FIND("保证金",数据录入!$E2721))),1,0))</f>
      </c>
      <c r="R2721" s="44">
        <f>IF(AND($Q2721=1,数据录入!$B2721&gt;=$B$2,数据录入!$B2721&lt;=$D$2),N(R2720)+1,N(R2720))</f>
      </c>
    </row>
    <row r="2722" s="44" customFormat="1" spans="1:23">
      <c r="A2722" s="116"/>
      <c r="E2722" s="108"/>
      <c r="F2722" s="114"/>
      <c r="G2722" s="114"/>
      <c r="H2722" s="114"/>
      <c r="Q2722" s="44">
        <f>IF(数据录入!$B2722="",0,IF(OR(数据录入!$D2722="投标保证金",数据录入!$D2722="合同履约保证金",ISNUMBER(FIND("保证金",数据录入!$E2722))),1,0))</f>
      </c>
      <c r="R2722" s="44">
        <f>IF(AND($Q2722=1,数据录入!$B2722&gt;=$B$2,数据录入!$B2722&lt;=$D$2),N(R2721)+1,N(R2721))</f>
      </c>
    </row>
    <row r="2723" s="44" customFormat="1" spans="1:23">
      <c r="A2723" s="116"/>
      <c r="E2723" s="108"/>
      <c r="F2723" s="114"/>
      <c r="G2723" s="114"/>
      <c r="H2723" s="114"/>
      <c r="Q2723" s="44">
        <f>IF(数据录入!$B2723="",0,IF(OR(数据录入!$D2723="投标保证金",数据录入!$D2723="合同履约保证金",ISNUMBER(FIND("保证金",数据录入!$E2723))),1,0))</f>
      </c>
      <c r="R2723" s="44">
        <f>IF(AND($Q2723=1,数据录入!$B2723&gt;=$B$2,数据录入!$B2723&lt;=$D$2),N(R2722)+1,N(R2722))</f>
      </c>
    </row>
    <row r="2724" s="44" customFormat="1" spans="1:23">
      <c r="A2724" s="116"/>
      <c r="E2724" s="108"/>
      <c r="F2724" s="114"/>
      <c r="G2724" s="114"/>
      <c r="H2724" s="114"/>
      <c r="Q2724" s="44">
        <f>IF(数据录入!$B2724="",0,IF(OR(数据录入!$D2724="投标保证金",数据录入!$D2724="合同履约保证金",ISNUMBER(FIND("保证金",数据录入!$E2724))),1,0))</f>
      </c>
      <c r="R2724" s="44">
        <f>IF(AND($Q2724=1,数据录入!$B2724&gt;=$B$2,数据录入!$B2724&lt;=$D$2),N(R2723)+1,N(R2723))</f>
      </c>
    </row>
    <row r="2725" s="44" customFormat="1" spans="1:23">
      <c r="A2725" s="116"/>
      <c r="E2725" s="108"/>
      <c r="F2725" s="114"/>
      <c r="G2725" s="114"/>
      <c r="H2725" s="114"/>
      <c r="Q2725" s="44">
        <f>IF(数据录入!$B2725="",0,IF(OR(数据录入!$D2725="投标保证金",数据录入!$D2725="合同履约保证金",ISNUMBER(FIND("保证金",数据录入!$E2725))),1,0))</f>
      </c>
      <c r="R2725" s="44">
        <f>IF(AND($Q2725=1,数据录入!$B2725&gt;=$B$2,数据录入!$B2725&lt;=$D$2),N(R2724)+1,N(R2724))</f>
      </c>
    </row>
    <row r="2726" s="44" customFormat="1" spans="1:23">
      <c r="A2726" s="116"/>
      <c r="E2726" s="108"/>
      <c r="F2726" s="114"/>
      <c r="G2726" s="114"/>
      <c r="H2726" s="114"/>
      <c r="Q2726" s="44">
        <f>IF(数据录入!$B2726="",0,IF(OR(数据录入!$D2726="投标保证金",数据录入!$D2726="合同履约保证金",ISNUMBER(FIND("保证金",数据录入!$E2726))),1,0))</f>
      </c>
      <c r="R2726" s="44">
        <f>IF(AND($Q2726=1,数据录入!$B2726&gt;=$B$2,数据录入!$B2726&lt;=$D$2),N(R2725)+1,N(R2725))</f>
      </c>
    </row>
    <row r="2727" s="44" customFormat="1" spans="1:23">
      <c r="A2727" s="116"/>
      <c r="E2727" s="108"/>
      <c r="F2727" s="114"/>
      <c r="G2727" s="114"/>
      <c r="H2727" s="114"/>
      <c r="Q2727" s="44">
        <f>IF(数据录入!$B2727="",0,IF(OR(数据录入!$D2727="投标保证金",数据录入!$D2727="合同履约保证金",ISNUMBER(FIND("保证金",数据录入!$E2727))),1,0))</f>
      </c>
      <c r="R2727" s="44">
        <f>IF(AND($Q2727=1,数据录入!$B2727&gt;=$B$2,数据录入!$B2727&lt;=$D$2),N(R2726)+1,N(R2726))</f>
      </c>
    </row>
    <row r="2728" s="44" customFormat="1" spans="1:23">
      <c r="A2728" s="116"/>
      <c r="E2728" s="108"/>
      <c r="F2728" s="114"/>
      <c r="G2728" s="114"/>
      <c r="H2728" s="114"/>
      <c r="Q2728" s="44">
        <f>IF(数据录入!$B2728="",0,IF(OR(数据录入!$D2728="投标保证金",数据录入!$D2728="合同履约保证金",ISNUMBER(FIND("保证金",数据录入!$E2728))),1,0))</f>
      </c>
      <c r="R2728" s="44">
        <f>IF(AND($Q2728=1,数据录入!$B2728&gt;=$B$2,数据录入!$B2728&lt;=$D$2),N(R2727)+1,N(R2727))</f>
      </c>
    </row>
    <row r="2729" s="44" customFormat="1" spans="1:23">
      <c r="A2729" s="116"/>
      <c r="E2729" s="108"/>
      <c r="F2729" s="114"/>
      <c r="G2729" s="114"/>
      <c r="H2729" s="114"/>
      <c r="Q2729" s="44">
        <f>IF(数据录入!$B2729="",0,IF(OR(数据录入!$D2729="投标保证金",数据录入!$D2729="合同履约保证金",ISNUMBER(FIND("保证金",数据录入!$E2729))),1,0))</f>
      </c>
      <c r="R2729" s="44">
        <f>IF(AND($Q2729=1,数据录入!$B2729&gt;=$B$2,数据录入!$B2729&lt;=$D$2),N(R2728)+1,N(R2728))</f>
      </c>
    </row>
    <row r="2730" s="44" customFormat="1" spans="1:23">
      <c r="A2730" s="116"/>
      <c r="E2730" s="108"/>
      <c r="F2730" s="114"/>
      <c r="G2730" s="114"/>
      <c r="H2730" s="114"/>
      <c r="Q2730" s="44">
        <f>IF(数据录入!$B2730="",0,IF(OR(数据录入!$D2730="投标保证金",数据录入!$D2730="合同履约保证金",ISNUMBER(FIND("保证金",数据录入!$E2730))),1,0))</f>
      </c>
      <c r="R2730" s="44">
        <f>IF(AND($Q2730=1,数据录入!$B2730&gt;=$B$2,数据录入!$B2730&lt;=$D$2),N(R2729)+1,N(R2729))</f>
      </c>
    </row>
    <row r="2731" s="44" customFormat="1" spans="1:23">
      <c r="A2731" s="116"/>
      <c r="E2731" s="108"/>
      <c r="F2731" s="114"/>
      <c r="G2731" s="114"/>
      <c r="H2731" s="114"/>
      <c r="Q2731" s="44">
        <f>IF(数据录入!$B2731="",0,IF(OR(数据录入!$D2731="投标保证金",数据录入!$D2731="合同履约保证金",ISNUMBER(FIND("保证金",数据录入!$E2731))),1,0))</f>
      </c>
      <c r="R2731" s="44">
        <f>IF(AND($Q2731=1,数据录入!$B2731&gt;=$B$2,数据录入!$B2731&lt;=$D$2),N(R2730)+1,N(R2730))</f>
      </c>
    </row>
    <row r="2732" s="44" customFormat="1" spans="1:23">
      <c r="A2732" s="116"/>
      <c r="E2732" s="108"/>
      <c r="F2732" s="114"/>
      <c r="G2732" s="114"/>
      <c r="H2732" s="114"/>
      <c r="Q2732" s="44">
        <f>IF(数据录入!$B2732="",0,IF(OR(数据录入!$D2732="投标保证金",数据录入!$D2732="合同履约保证金",ISNUMBER(FIND("保证金",数据录入!$E2732))),1,0))</f>
      </c>
      <c r="R2732" s="44">
        <f>IF(AND($Q2732=1,数据录入!$B2732&gt;=$B$2,数据录入!$B2732&lt;=$D$2),N(R2731)+1,N(R2731))</f>
      </c>
    </row>
    <row r="2733" s="44" customFormat="1" spans="1:23">
      <c r="A2733" s="116"/>
      <c r="E2733" s="108"/>
      <c r="F2733" s="114"/>
      <c r="G2733" s="114"/>
      <c r="H2733" s="114"/>
      <c r="Q2733" s="44">
        <f>IF(数据录入!$B2733="",0,IF(OR(数据录入!$D2733="投标保证金",数据录入!$D2733="合同履约保证金",ISNUMBER(FIND("保证金",数据录入!$E2733))),1,0))</f>
      </c>
      <c r="R2733" s="44">
        <f>IF(AND($Q2733=1,数据录入!$B2733&gt;=$B$2,数据录入!$B2733&lt;=$D$2),N(R2732)+1,N(R2732))</f>
      </c>
    </row>
    <row r="2734" s="44" customFormat="1" spans="1:23">
      <c r="A2734" s="116"/>
      <c r="E2734" s="108"/>
      <c r="F2734" s="114"/>
      <c r="G2734" s="114"/>
      <c r="H2734" s="114"/>
      <c r="Q2734" s="44">
        <f>IF(数据录入!$B2734="",0,IF(OR(数据录入!$D2734="投标保证金",数据录入!$D2734="合同履约保证金",ISNUMBER(FIND("保证金",数据录入!$E2734))),1,0))</f>
      </c>
      <c r="R2734" s="44">
        <f>IF(AND($Q2734=1,数据录入!$B2734&gt;=$B$2,数据录入!$B2734&lt;=$D$2),N(R2733)+1,N(R2733))</f>
      </c>
    </row>
    <row r="2735" s="44" customFormat="1" spans="1:23">
      <c r="A2735" s="116"/>
      <c r="E2735" s="108"/>
      <c r="F2735" s="114"/>
      <c r="G2735" s="114"/>
      <c r="H2735" s="114"/>
      <c r="Q2735" s="44">
        <f>IF(数据录入!$B2735="",0,IF(OR(数据录入!$D2735="投标保证金",数据录入!$D2735="合同履约保证金",ISNUMBER(FIND("保证金",数据录入!$E2735))),1,0))</f>
      </c>
      <c r="R2735" s="44">
        <f>IF(AND($Q2735=1,数据录入!$B2735&gt;=$B$2,数据录入!$B2735&lt;=$D$2),N(R2734)+1,N(R2734))</f>
      </c>
    </row>
    <row r="2736" s="44" customFormat="1" spans="1:23">
      <c r="A2736" s="116"/>
      <c r="E2736" s="108"/>
      <c r="F2736" s="114"/>
      <c r="G2736" s="114"/>
      <c r="H2736" s="114"/>
      <c r="Q2736" s="44">
        <f>IF(数据录入!$B2736="",0,IF(OR(数据录入!$D2736="投标保证金",数据录入!$D2736="合同履约保证金",ISNUMBER(FIND("保证金",数据录入!$E2736))),1,0))</f>
      </c>
      <c r="R2736" s="44">
        <f>IF(AND($Q2736=1,数据录入!$B2736&gt;=$B$2,数据录入!$B2736&lt;=$D$2),N(R2735)+1,N(R2735))</f>
      </c>
    </row>
    <row r="2737" s="44" customFormat="1" spans="1:23">
      <c r="A2737" s="116"/>
      <c r="E2737" s="108"/>
      <c r="F2737" s="114"/>
      <c r="G2737" s="114"/>
      <c r="H2737" s="114"/>
      <c r="Q2737" s="44">
        <f>IF(数据录入!$B2737="",0,IF(OR(数据录入!$D2737="投标保证金",数据录入!$D2737="合同履约保证金",ISNUMBER(FIND("保证金",数据录入!$E2737))),1,0))</f>
      </c>
      <c r="R2737" s="44">
        <f>IF(AND($Q2737=1,数据录入!$B2737&gt;=$B$2,数据录入!$B2737&lt;=$D$2),N(R2736)+1,N(R2736))</f>
      </c>
    </row>
    <row r="2738" s="44" customFormat="1" spans="1:23">
      <c r="A2738" s="116"/>
      <c r="E2738" s="108"/>
      <c r="F2738" s="114"/>
      <c r="G2738" s="114"/>
      <c r="H2738" s="114"/>
      <c r="Q2738" s="44">
        <f>IF(数据录入!$B2738="",0,IF(OR(数据录入!$D2738="投标保证金",数据录入!$D2738="合同履约保证金",ISNUMBER(FIND("保证金",数据录入!$E2738))),1,0))</f>
      </c>
      <c r="R2738" s="44">
        <f>IF(AND($Q2738=1,数据录入!$B2738&gt;=$B$2,数据录入!$B2738&lt;=$D$2),N(R2737)+1,N(R2737))</f>
      </c>
    </row>
    <row r="2739" s="44" customFormat="1" spans="1:23">
      <c r="A2739" s="116"/>
      <c r="E2739" s="108"/>
      <c r="F2739" s="114"/>
      <c r="G2739" s="114"/>
      <c r="H2739" s="114"/>
      <c r="Q2739" s="44">
        <f>IF(数据录入!$B2739="",0,IF(OR(数据录入!$D2739="投标保证金",数据录入!$D2739="合同履约保证金",ISNUMBER(FIND("保证金",数据录入!$E2739))),1,0))</f>
      </c>
      <c r="R2739" s="44">
        <f>IF(AND($Q2739=1,数据录入!$B2739&gt;=$B$2,数据录入!$B2739&lt;=$D$2),N(R2738)+1,N(R2738))</f>
      </c>
    </row>
    <row r="2740" s="44" customFormat="1" spans="1:23">
      <c r="A2740" s="116"/>
      <c r="E2740" s="108"/>
      <c r="F2740" s="114"/>
      <c r="G2740" s="114"/>
      <c r="H2740" s="114"/>
      <c r="Q2740" s="44">
        <f>IF(数据录入!$B2740="",0,IF(OR(数据录入!$D2740="投标保证金",数据录入!$D2740="合同履约保证金",ISNUMBER(FIND("保证金",数据录入!$E2740))),1,0))</f>
      </c>
      <c r="R2740" s="44">
        <f>IF(AND($Q2740=1,数据录入!$B2740&gt;=$B$2,数据录入!$B2740&lt;=$D$2),N(R2739)+1,N(R2739))</f>
      </c>
    </row>
    <row r="2741" s="44" customFormat="1" spans="1:23">
      <c r="A2741" s="116"/>
      <c r="E2741" s="108"/>
      <c r="F2741" s="114"/>
      <c r="G2741" s="114"/>
      <c r="H2741" s="114"/>
      <c r="Q2741" s="44">
        <f>IF(数据录入!$B2741="",0,IF(OR(数据录入!$D2741="投标保证金",数据录入!$D2741="合同履约保证金",ISNUMBER(FIND("保证金",数据录入!$E2741))),1,0))</f>
      </c>
      <c r="R2741" s="44">
        <f>IF(AND($Q2741=1,数据录入!$B2741&gt;=$B$2,数据录入!$B2741&lt;=$D$2),N(R2740)+1,N(R2740))</f>
      </c>
    </row>
    <row r="2742" s="44" customFormat="1" spans="1:23">
      <c r="A2742" s="116"/>
      <c r="E2742" s="108"/>
      <c r="F2742" s="114"/>
      <c r="G2742" s="114"/>
      <c r="H2742" s="114"/>
      <c r="Q2742" s="44">
        <f>IF(数据录入!$B2742="",0,IF(OR(数据录入!$D2742="投标保证金",数据录入!$D2742="合同履约保证金",ISNUMBER(FIND("保证金",数据录入!$E2742))),1,0))</f>
      </c>
      <c r="R2742" s="44">
        <f>IF(AND($Q2742=1,数据录入!$B2742&gt;=$B$2,数据录入!$B2742&lt;=$D$2),N(R2741)+1,N(R2741))</f>
      </c>
    </row>
    <row r="2743" s="44" customFormat="1" spans="1:23">
      <c r="A2743" s="116"/>
      <c r="E2743" s="108"/>
      <c r="F2743" s="114"/>
      <c r="G2743" s="114"/>
      <c r="H2743" s="114"/>
      <c r="Q2743" s="44">
        <f>IF(数据录入!$B2743="",0,IF(OR(数据录入!$D2743="投标保证金",数据录入!$D2743="合同履约保证金",ISNUMBER(FIND("保证金",数据录入!$E2743))),1,0))</f>
      </c>
      <c r="R2743" s="44">
        <f>IF(AND($Q2743=1,数据录入!$B2743&gt;=$B$2,数据录入!$B2743&lt;=$D$2),N(R2742)+1,N(R2742))</f>
      </c>
    </row>
    <row r="2744" s="44" customFormat="1" spans="1:23">
      <c r="A2744" s="116"/>
      <c r="E2744" s="108"/>
      <c r="F2744" s="114"/>
      <c r="G2744" s="114"/>
      <c r="H2744" s="114"/>
      <c r="Q2744" s="44">
        <f>IF(数据录入!$B2744="",0,IF(OR(数据录入!$D2744="投标保证金",数据录入!$D2744="合同履约保证金",ISNUMBER(FIND("保证金",数据录入!$E2744))),1,0))</f>
      </c>
      <c r="R2744" s="44">
        <f>IF(AND($Q2744=1,数据录入!$B2744&gt;=$B$2,数据录入!$B2744&lt;=$D$2),N(R2743)+1,N(R2743))</f>
      </c>
    </row>
    <row r="2745" s="44" customFormat="1" spans="1:23">
      <c r="A2745" s="116"/>
      <c r="E2745" s="108"/>
      <c r="F2745" s="114"/>
      <c r="G2745" s="114"/>
      <c r="H2745" s="114"/>
      <c r="Q2745" s="44">
        <f>IF(数据录入!$B2745="",0,IF(OR(数据录入!$D2745="投标保证金",数据录入!$D2745="合同履约保证金",ISNUMBER(FIND("保证金",数据录入!$E2745))),1,0))</f>
      </c>
      <c r="R2745" s="44">
        <f>IF(AND($Q2745=1,数据录入!$B2745&gt;=$B$2,数据录入!$B2745&lt;=$D$2),N(R2744)+1,N(R2744))</f>
      </c>
    </row>
    <row r="2746" s="44" customFormat="1" spans="1:23">
      <c r="A2746" s="116"/>
      <c r="E2746" s="108"/>
      <c r="F2746" s="114"/>
      <c r="G2746" s="114"/>
      <c r="H2746" s="114"/>
      <c r="Q2746" s="44">
        <f>IF(数据录入!$B2746="",0,IF(OR(数据录入!$D2746="投标保证金",数据录入!$D2746="合同履约保证金",ISNUMBER(FIND("保证金",数据录入!$E2746))),1,0))</f>
      </c>
      <c r="R2746" s="44">
        <f>IF(AND($Q2746=1,数据录入!$B2746&gt;=$B$2,数据录入!$B2746&lt;=$D$2),N(R2745)+1,N(R2745))</f>
      </c>
    </row>
    <row r="2747" s="44" customFormat="1" spans="1:23">
      <c r="A2747" s="116"/>
      <c r="E2747" s="108"/>
      <c r="F2747" s="114"/>
      <c r="G2747" s="114"/>
      <c r="H2747" s="114"/>
      <c r="Q2747" s="44">
        <f>IF(数据录入!$B2747="",0,IF(OR(数据录入!$D2747="投标保证金",数据录入!$D2747="合同履约保证金",ISNUMBER(FIND("保证金",数据录入!$E2747))),1,0))</f>
      </c>
      <c r="R2747" s="44">
        <f>IF(AND($Q2747=1,数据录入!$B2747&gt;=$B$2,数据录入!$B2747&lt;=$D$2),N(R2746)+1,N(R2746))</f>
      </c>
    </row>
    <row r="2748" s="44" customFormat="1" spans="1:23">
      <c r="A2748" s="116"/>
      <c r="E2748" s="108"/>
      <c r="F2748" s="114"/>
      <c r="G2748" s="114"/>
      <c r="H2748" s="114"/>
      <c r="Q2748" s="44">
        <f>IF(数据录入!$B2748="",0,IF(OR(数据录入!$D2748="投标保证金",数据录入!$D2748="合同履约保证金",ISNUMBER(FIND("保证金",数据录入!$E2748))),1,0))</f>
      </c>
      <c r="R2748" s="44">
        <f>IF(AND($Q2748=1,数据录入!$B2748&gt;=$B$2,数据录入!$B2748&lt;=$D$2),N(R2747)+1,N(R2747))</f>
      </c>
    </row>
    <row r="2749" s="44" customFormat="1" spans="1:23">
      <c r="A2749" s="116"/>
      <c r="E2749" s="108"/>
      <c r="F2749" s="114"/>
      <c r="G2749" s="114"/>
      <c r="H2749" s="114"/>
      <c r="Q2749" s="44">
        <f>IF(数据录入!$B2749="",0,IF(OR(数据录入!$D2749="投标保证金",数据录入!$D2749="合同履约保证金",ISNUMBER(FIND("保证金",数据录入!$E2749))),1,0))</f>
      </c>
      <c r="R2749" s="44">
        <f>IF(AND($Q2749=1,数据录入!$B2749&gt;=$B$2,数据录入!$B2749&lt;=$D$2),N(R2748)+1,N(R2748))</f>
      </c>
    </row>
    <row r="2750" s="44" customFormat="1" spans="1:23">
      <c r="A2750" s="116"/>
      <c r="E2750" s="108"/>
      <c r="F2750" s="114"/>
      <c r="G2750" s="114"/>
      <c r="H2750" s="114"/>
      <c r="Q2750" s="44">
        <f>IF(数据录入!$B2750="",0,IF(OR(数据录入!$D2750="投标保证金",数据录入!$D2750="合同履约保证金",ISNUMBER(FIND("保证金",数据录入!$E2750))),1,0))</f>
      </c>
      <c r="R2750" s="44">
        <f>IF(AND($Q2750=1,数据录入!$B2750&gt;=$B$2,数据录入!$B2750&lt;=$D$2),N(R2749)+1,N(R2749))</f>
      </c>
    </row>
    <row r="2751" s="44" customFormat="1" spans="1:23">
      <c r="A2751" s="116"/>
      <c r="E2751" s="108"/>
      <c r="F2751" s="114"/>
      <c r="G2751" s="114"/>
      <c r="H2751" s="114"/>
      <c r="Q2751" s="44">
        <f>IF(数据录入!$B2751="",0,IF(OR(数据录入!$D2751="投标保证金",数据录入!$D2751="合同履约保证金",ISNUMBER(FIND("保证金",数据录入!$E2751))),1,0))</f>
      </c>
      <c r="R2751" s="44">
        <f>IF(AND($Q2751=1,数据录入!$B2751&gt;=$B$2,数据录入!$B2751&lt;=$D$2),N(R2750)+1,N(R2750))</f>
      </c>
    </row>
    <row r="2752" s="44" customFormat="1" spans="1:23">
      <c r="A2752" s="116"/>
      <c r="E2752" s="108"/>
      <c r="F2752" s="114"/>
      <c r="G2752" s="114"/>
      <c r="H2752" s="114"/>
      <c r="Q2752" s="44">
        <f>IF(数据录入!$B2752="",0,IF(OR(数据录入!$D2752="投标保证金",数据录入!$D2752="合同履约保证金",ISNUMBER(FIND("保证金",数据录入!$E2752))),1,0))</f>
      </c>
      <c r="R2752" s="44">
        <f>IF(AND($Q2752=1,数据录入!$B2752&gt;=$B$2,数据录入!$B2752&lt;=$D$2),N(R2751)+1,N(R2751))</f>
      </c>
    </row>
    <row r="2753" s="44" customFormat="1" spans="1:23">
      <c r="A2753" s="116"/>
      <c r="E2753" s="108"/>
      <c r="F2753" s="114"/>
      <c r="G2753" s="114"/>
      <c r="H2753" s="114"/>
      <c r="Q2753" s="44">
        <f>IF(数据录入!$B2753="",0,IF(OR(数据录入!$D2753="投标保证金",数据录入!$D2753="合同履约保证金",ISNUMBER(FIND("保证金",数据录入!$E2753))),1,0))</f>
      </c>
      <c r="R2753" s="44">
        <f>IF(AND($Q2753=1,数据录入!$B2753&gt;=$B$2,数据录入!$B2753&lt;=$D$2),N(R2752)+1,N(R2752))</f>
      </c>
    </row>
    <row r="2754" s="44" customFormat="1" spans="1:23">
      <c r="A2754" s="116"/>
      <c r="E2754" s="108"/>
      <c r="F2754" s="114"/>
      <c r="G2754" s="114"/>
      <c r="H2754" s="114"/>
      <c r="Q2754" s="44">
        <f>IF(数据录入!$B2754="",0,IF(OR(数据录入!$D2754="投标保证金",数据录入!$D2754="合同履约保证金",ISNUMBER(FIND("保证金",数据录入!$E2754))),1,0))</f>
      </c>
      <c r="R2754" s="44">
        <f>IF(AND($Q2754=1,数据录入!$B2754&gt;=$B$2,数据录入!$B2754&lt;=$D$2),N(R2753)+1,N(R2753))</f>
      </c>
    </row>
    <row r="2755" s="44" customFormat="1" spans="1:23">
      <c r="A2755" s="116"/>
      <c r="E2755" s="108"/>
      <c r="F2755" s="114"/>
      <c r="G2755" s="114"/>
      <c r="H2755" s="114"/>
      <c r="Q2755" s="44">
        <f>IF(数据录入!$B2755="",0,IF(OR(数据录入!$D2755="投标保证金",数据录入!$D2755="合同履约保证金",ISNUMBER(FIND("保证金",数据录入!$E2755))),1,0))</f>
      </c>
      <c r="R2755" s="44">
        <f>IF(AND($Q2755=1,数据录入!$B2755&gt;=$B$2,数据录入!$B2755&lt;=$D$2),N(R2754)+1,N(R2754))</f>
      </c>
    </row>
    <row r="2756" s="44" customFormat="1" spans="1:23">
      <c r="A2756" s="116"/>
      <c r="E2756" s="108"/>
      <c r="F2756" s="114"/>
      <c r="G2756" s="114"/>
      <c r="H2756" s="114"/>
      <c r="Q2756" s="44">
        <f>IF(数据录入!$B2756="",0,IF(OR(数据录入!$D2756="投标保证金",数据录入!$D2756="合同履约保证金",ISNUMBER(FIND("保证金",数据录入!$E2756))),1,0))</f>
      </c>
      <c r="R2756" s="44">
        <f>IF(AND($Q2756=1,数据录入!$B2756&gt;=$B$2,数据录入!$B2756&lt;=$D$2),N(R2755)+1,N(R2755))</f>
      </c>
    </row>
    <row r="2757" s="44" customFormat="1" spans="1:23">
      <c r="A2757" s="116"/>
      <c r="E2757" s="108"/>
      <c r="F2757" s="114"/>
      <c r="G2757" s="114"/>
      <c r="H2757" s="114"/>
      <c r="Q2757" s="44">
        <f>IF(数据录入!$B2757="",0,IF(OR(数据录入!$D2757="投标保证金",数据录入!$D2757="合同履约保证金",ISNUMBER(FIND("保证金",数据录入!$E2757))),1,0))</f>
      </c>
      <c r="R2757" s="44">
        <f>IF(AND($Q2757=1,数据录入!$B2757&gt;=$B$2,数据录入!$B2757&lt;=$D$2),N(R2756)+1,N(R2756))</f>
      </c>
    </row>
    <row r="2758" s="44" customFormat="1" spans="1:23">
      <c r="A2758" s="116"/>
      <c r="E2758" s="108"/>
      <c r="F2758" s="114"/>
      <c r="G2758" s="114"/>
      <c r="H2758" s="114"/>
      <c r="Q2758" s="44">
        <f>IF(数据录入!$B2758="",0,IF(OR(数据录入!$D2758="投标保证金",数据录入!$D2758="合同履约保证金",ISNUMBER(FIND("保证金",数据录入!$E2758))),1,0))</f>
      </c>
      <c r="R2758" s="44">
        <f>IF(AND($Q2758=1,数据录入!$B2758&gt;=$B$2,数据录入!$B2758&lt;=$D$2),N(R2757)+1,N(R2757))</f>
      </c>
    </row>
    <row r="2759" s="44" customFormat="1" spans="1:23">
      <c r="A2759" s="116"/>
      <c r="E2759" s="108"/>
      <c r="F2759" s="114"/>
      <c r="G2759" s="114"/>
      <c r="H2759" s="114"/>
      <c r="Q2759" s="44">
        <f>IF(数据录入!$B2759="",0,IF(OR(数据录入!$D2759="投标保证金",数据录入!$D2759="合同履约保证金",ISNUMBER(FIND("保证金",数据录入!$E2759))),1,0))</f>
      </c>
      <c r="R2759" s="44">
        <f>IF(AND($Q2759=1,数据录入!$B2759&gt;=$B$2,数据录入!$B2759&lt;=$D$2),N(R2758)+1,N(R2758))</f>
      </c>
    </row>
    <row r="2760" s="44" customFormat="1" spans="1:23">
      <c r="A2760" s="116"/>
      <c r="E2760" s="108"/>
      <c r="F2760" s="114"/>
      <c r="G2760" s="114"/>
      <c r="H2760" s="114"/>
      <c r="Q2760" s="44">
        <f>IF(数据录入!$B2760="",0,IF(OR(数据录入!$D2760="投标保证金",数据录入!$D2760="合同履约保证金",ISNUMBER(FIND("保证金",数据录入!$E2760))),1,0))</f>
      </c>
      <c r="R2760" s="44">
        <f>IF(AND($Q2760=1,数据录入!$B2760&gt;=$B$2,数据录入!$B2760&lt;=$D$2),N(R2759)+1,N(R2759))</f>
      </c>
    </row>
    <row r="2761" s="44" customFormat="1" spans="1:23">
      <c r="A2761" s="116"/>
      <c r="E2761" s="108"/>
      <c r="F2761" s="114"/>
      <c r="G2761" s="114"/>
      <c r="H2761" s="114"/>
      <c r="Q2761" s="44">
        <f>IF(数据录入!$B2761="",0,IF(OR(数据录入!$D2761="投标保证金",数据录入!$D2761="合同履约保证金",ISNUMBER(FIND("保证金",数据录入!$E2761))),1,0))</f>
      </c>
      <c r="R2761" s="44">
        <f>IF(AND($Q2761=1,数据录入!$B2761&gt;=$B$2,数据录入!$B2761&lt;=$D$2),N(R2760)+1,N(R2760))</f>
      </c>
    </row>
    <row r="2762" s="44" customFormat="1" spans="1:23">
      <c r="A2762" s="116"/>
      <c r="E2762" s="108"/>
      <c r="F2762" s="114"/>
      <c r="G2762" s="114"/>
      <c r="H2762" s="114"/>
      <c r="Q2762" s="44">
        <f>IF(数据录入!$B2762="",0,IF(OR(数据录入!$D2762="投标保证金",数据录入!$D2762="合同履约保证金",ISNUMBER(FIND("保证金",数据录入!$E2762))),1,0))</f>
      </c>
      <c r="R2762" s="44">
        <f>IF(AND($Q2762=1,数据录入!$B2762&gt;=$B$2,数据录入!$B2762&lt;=$D$2),N(R2761)+1,N(R2761))</f>
      </c>
    </row>
    <row r="2763" s="44" customFormat="1" spans="1:23">
      <c r="A2763" s="116"/>
      <c r="E2763" s="108"/>
      <c r="F2763" s="114"/>
      <c r="G2763" s="114"/>
      <c r="H2763" s="114"/>
      <c r="Q2763" s="44">
        <f>IF(数据录入!$B2763="",0,IF(OR(数据录入!$D2763="投标保证金",数据录入!$D2763="合同履约保证金",ISNUMBER(FIND("保证金",数据录入!$E2763))),1,0))</f>
      </c>
      <c r="R2763" s="44">
        <f>IF(AND($Q2763=1,数据录入!$B2763&gt;=$B$2,数据录入!$B2763&lt;=$D$2),N(R2762)+1,N(R2762))</f>
      </c>
    </row>
    <row r="2764" s="44" customFormat="1" spans="1:23">
      <c r="A2764" s="116"/>
      <c r="E2764" s="108"/>
      <c r="F2764" s="114"/>
      <c r="G2764" s="114"/>
      <c r="H2764" s="114"/>
      <c r="Q2764" s="44">
        <f>IF(数据录入!$B2764="",0,IF(OR(数据录入!$D2764="投标保证金",数据录入!$D2764="合同履约保证金",ISNUMBER(FIND("保证金",数据录入!$E2764))),1,0))</f>
      </c>
      <c r="R2764" s="44">
        <f>IF(AND($Q2764=1,数据录入!$B2764&gt;=$B$2,数据录入!$B2764&lt;=$D$2),N(R2763)+1,N(R2763))</f>
      </c>
    </row>
    <row r="2765" s="44" customFormat="1" spans="1:23">
      <c r="A2765" s="116"/>
      <c r="E2765" s="108"/>
      <c r="F2765" s="114"/>
      <c r="G2765" s="114"/>
      <c r="H2765" s="114"/>
      <c r="Q2765" s="44">
        <f>IF(数据录入!$B2765="",0,IF(OR(数据录入!$D2765="投标保证金",数据录入!$D2765="合同履约保证金",ISNUMBER(FIND("保证金",数据录入!$E2765))),1,0))</f>
      </c>
      <c r="R2765" s="44">
        <f>IF(AND($Q2765=1,数据录入!$B2765&gt;=$B$2,数据录入!$B2765&lt;=$D$2),N(R2764)+1,N(R2764))</f>
      </c>
    </row>
    <row r="2766" s="44" customFormat="1" spans="1:23">
      <c r="A2766" s="116"/>
      <c r="E2766" s="108"/>
      <c r="F2766" s="114"/>
      <c r="G2766" s="114"/>
      <c r="H2766" s="114"/>
      <c r="Q2766" s="44">
        <f>IF(数据录入!$B2766="",0,IF(OR(数据录入!$D2766="投标保证金",数据录入!$D2766="合同履约保证金",ISNUMBER(FIND("保证金",数据录入!$E2766))),1,0))</f>
      </c>
      <c r="R2766" s="44">
        <f>IF(AND($Q2766=1,数据录入!$B2766&gt;=$B$2,数据录入!$B2766&lt;=$D$2),N(R2765)+1,N(R2765))</f>
      </c>
    </row>
    <row r="2767" s="44" customFormat="1" spans="1:23">
      <c r="A2767" s="116"/>
      <c r="E2767" s="108"/>
      <c r="F2767" s="114"/>
      <c r="G2767" s="114"/>
      <c r="H2767" s="114"/>
      <c r="Q2767" s="44">
        <f>IF(数据录入!$B2767="",0,IF(OR(数据录入!$D2767="投标保证金",数据录入!$D2767="合同履约保证金",ISNUMBER(FIND("保证金",数据录入!$E2767))),1,0))</f>
      </c>
      <c r="R2767" s="44">
        <f>IF(AND($Q2767=1,数据录入!$B2767&gt;=$B$2,数据录入!$B2767&lt;=$D$2),N(R2766)+1,N(R2766))</f>
      </c>
    </row>
    <row r="2768" s="44" customFormat="1" spans="1:23">
      <c r="A2768" s="116"/>
      <c r="E2768" s="108"/>
      <c r="F2768" s="114"/>
      <c r="G2768" s="114"/>
      <c r="H2768" s="114"/>
      <c r="Q2768" s="44">
        <f>IF(数据录入!$B2768="",0,IF(OR(数据录入!$D2768="投标保证金",数据录入!$D2768="合同履约保证金",ISNUMBER(FIND("保证金",数据录入!$E2768))),1,0))</f>
      </c>
      <c r="R2768" s="44">
        <f>IF(AND($Q2768=1,数据录入!$B2768&gt;=$B$2,数据录入!$B2768&lt;=$D$2),N(R2767)+1,N(R2767))</f>
      </c>
    </row>
    <row r="2769" s="44" customFormat="1" spans="1:23">
      <c r="A2769" s="116"/>
      <c r="E2769" s="108"/>
      <c r="F2769" s="114"/>
      <c r="G2769" s="114"/>
      <c r="H2769" s="114"/>
      <c r="Q2769" s="44">
        <f>IF(数据录入!$B2769="",0,IF(OR(数据录入!$D2769="投标保证金",数据录入!$D2769="合同履约保证金",ISNUMBER(FIND("保证金",数据录入!$E2769))),1,0))</f>
      </c>
      <c r="R2769" s="44">
        <f>IF(AND($Q2769=1,数据录入!$B2769&gt;=$B$2,数据录入!$B2769&lt;=$D$2),N(R2768)+1,N(R2768))</f>
      </c>
    </row>
    <row r="2770" s="44" customFormat="1" spans="1:23">
      <c r="A2770" s="116"/>
      <c r="E2770" s="108"/>
      <c r="F2770" s="114"/>
      <c r="G2770" s="114"/>
      <c r="H2770" s="114"/>
      <c r="Q2770" s="44">
        <f>IF(数据录入!$B2770="",0,IF(OR(数据录入!$D2770="投标保证金",数据录入!$D2770="合同履约保证金",ISNUMBER(FIND("保证金",数据录入!$E2770))),1,0))</f>
      </c>
      <c r="R2770" s="44">
        <f>IF(AND($Q2770=1,数据录入!$B2770&gt;=$B$2,数据录入!$B2770&lt;=$D$2),N(R2769)+1,N(R2769))</f>
      </c>
    </row>
    <row r="2771" s="44" customFormat="1" spans="1:23">
      <c r="A2771" s="116"/>
      <c r="E2771" s="108"/>
      <c r="F2771" s="114"/>
      <c r="G2771" s="114"/>
      <c r="H2771" s="114"/>
      <c r="Q2771" s="44">
        <f>IF(数据录入!$B2771="",0,IF(OR(数据录入!$D2771="投标保证金",数据录入!$D2771="合同履约保证金",ISNUMBER(FIND("保证金",数据录入!$E2771))),1,0))</f>
      </c>
      <c r="R2771" s="44">
        <f>IF(AND($Q2771=1,数据录入!$B2771&gt;=$B$2,数据录入!$B2771&lt;=$D$2),N(R2770)+1,N(R2770))</f>
      </c>
    </row>
    <row r="2772" s="44" customFormat="1" spans="1:23">
      <c r="A2772" s="116"/>
      <c r="E2772" s="108"/>
      <c r="F2772" s="114"/>
      <c r="G2772" s="114"/>
      <c r="H2772" s="114"/>
      <c r="Q2772" s="44">
        <f>IF(数据录入!$B2772="",0,IF(OR(数据录入!$D2772="投标保证金",数据录入!$D2772="合同履约保证金",ISNUMBER(FIND("保证金",数据录入!$E2772))),1,0))</f>
      </c>
      <c r="R2772" s="44">
        <f>IF(AND($Q2772=1,数据录入!$B2772&gt;=$B$2,数据录入!$B2772&lt;=$D$2),N(R2771)+1,N(R2771))</f>
      </c>
    </row>
    <row r="2773" s="44" customFormat="1" spans="1:23">
      <c r="A2773" s="116"/>
      <c r="E2773" s="108"/>
      <c r="F2773" s="114"/>
      <c r="G2773" s="114"/>
      <c r="H2773" s="114"/>
      <c r="Q2773" s="44">
        <f>IF(数据录入!$B2773="",0,IF(OR(数据录入!$D2773="投标保证金",数据录入!$D2773="合同履约保证金",ISNUMBER(FIND("保证金",数据录入!$E2773))),1,0))</f>
      </c>
      <c r="R2773" s="44">
        <f>IF(AND($Q2773=1,数据录入!$B2773&gt;=$B$2,数据录入!$B2773&lt;=$D$2),N(R2772)+1,N(R2772))</f>
      </c>
    </row>
    <row r="2774" s="44" customFormat="1" spans="1:23">
      <c r="A2774" s="116"/>
      <c r="E2774" s="108"/>
      <c r="F2774" s="114"/>
      <c r="G2774" s="114"/>
      <c r="H2774" s="114"/>
      <c r="Q2774" s="44">
        <f>IF(数据录入!$B2774="",0,IF(OR(数据录入!$D2774="投标保证金",数据录入!$D2774="合同履约保证金",ISNUMBER(FIND("保证金",数据录入!$E2774))),1,0))</f>
      </c>
      <c r="R2774" s="44">
        <f>IF(AND($Q2774=1,数据录入!$B2774&gt;=$B$2,数据录入!$B2774&lt;=$D$2),N(R2773)+1,N(R2773))</f>
      </c>
    </row>
    <row r="2775" s="44" customFormat="1" spans="1:23">
      <c r="A2775" s="116"/>
      <c r="E2775" s="108"/>
      <c r="F2775" s="114"/>
      <c r="G2775" s="114"/>
      <c r="H2775" s="114"/>
      <c r="Q2775" s="44">
        <f>IF(数据录入!$B2775="",0,IF(OR(数据录入!$D2775="投标保证金",数据录入!$D2775="合同履约保证金",ISNUMBER(FIND("保证金",数据录入!$E2775))),1,0))</f>
      </c>
      <c r="R2775" s="44">
        <f>IF(AND($Q2775=1,数据录入!$B2775&gt;=$B$2,数据录入!$B2775&lt;=$D$2),N(R2774)+1,N(R2774))</f>
      </c>
    </row>
    <row r="2776" s="44" customFormat="1" spans="1:23">
      <c r="A2776" s="116"/>
      <c r="E2776" s="108"/>
      <c r="F2776" s="114"/>
      <c r="G2776" s="114"/>
      <c r="H2776" s="114"/>
      <c r="Q2776" s="44">
        <f>IF(数据录入!$B2776="",0,IF(OR(数据录入!$D2776="投标保证金",数据录入!$D2776="合同履约保证金",ISNUMBER(FIND("保证金",数据录入!$E2776))),1,0))</f>
      </c>
      <c r="R2776" s="44">
        <f>IF(AND($Q2776=1,数据录入!$B2776&gt;=$B$2,数据录入!$B2776&lt;=$D$2),N(R2775)+1,N(R2775))</f>
      </c>
    </row>
    <row r="2777" s="44" customFormat="1" spans="1:23">
      <c r="A2777" s="116"/>
      <c r="E2777" s="108"/>
      <c r="F2777" s="114"/>
      <c r="G2777" s="114"/>
      <c r="H2777" s="114"/>
      <c r="Q2777" s="44">
        <f>IF(数据录入!$B2777="",0,IF(OR(数据录入!$D2777="投标保证金",数据录入!$D2777="合同履约保证金",ISNUMBER(FIND("保证金",数据录入!$E2777))),1,0))</f>
      </c>
      <c r="R2777" s="44">
        <f>IF(AND($Q2777=1,数据录入!$B2777&gt;=$B$2,数据录入!$B2777&lt;=$D$2),N(R2776)+1,N(R2776))</f>
      </c>
    </row>
    <row r="2778" s="44" customFormat="1" spans="1:23">
      <c r="A2778" s="116"/>
      <c r="E2778" s="108"/>
      <c r="F2778" s="114"/>
      <c r="G2778" s="114"/>
      <c r="H2778" s="114"/>
      <c r="Q2778" s="44">
        <f>IF(数据录入!$B2778="",0,IF(OR(数据录入!$D2778="投标保证金",数据录入!$D2778="合同履约保证金",ISNUMBER(FIND("保证金",数据录入!$E2778))),1,0))</f>
      </c>
      <c r="R2778" s="44">
        <f>IF(AND($Q2778=1,数据录入!$B2778&gt;=$B$2,数据录入!$B2778&lt;=$D$2),N(R2777)+1,N(R2777))</f>
      </c>
    </row>
    <row r="2779" s="44" customFormat="1" spans="1:23">
      <c r="A2779" s="116"/>
      <c r="E2779" s="108"/>
      <c r="F2779" s="114"/>
      <c r="G2779" s="114"/>
      <c r="H2779" s="114"/>
      <c r="Q2779" s="44">
        <f>IF(数据录入!$B2779="",0,IF(OR(数据录入!$D2779="投标保证金",数据录入!$D2779="合同履约保证金",ISNUMBER(FIND("保证金",数据录入!$E2779))),1,0))</f>
      </c>
      <c r="R2779" s="44">
        <f>IF(AND($Q2779=1,数据录入!$B2779&gt;=$B$2,数据录入!$B2779&lt;=$D$2),N(R2778)+1,N(R2778))</f>
      </c>
    </row>
    <row r="2780" s="44" customFormat="1" spans="1:23">
      <c r="A2780" s="116"/>
      <c r="E2780" s="108"/>
      <c r="F2780" s="114"/>
      <c r="G2780" s="114"/>
      <c r="H2780" s="114"/>
      <c r="Q2780" s="44">
        <f>IF(数据录入!$B2780="",0,IF(OR(数据录入!$D2780="投标保证金",数据录入!$D2780="合同履约保证金",ISNUMBER(FIND("保证金",数据录入!$E2780))),1,0))</f>
      </c>
      <c r="R2780" s="44">
        <f>IF(AND($Q2780=1,数据录入!$B2780&gt;=$B$2,数据录入!$B2780&lt;=$D$2),N(R2779)+1,N(R2779))</f>
      </c>
    </row>
    <row r="2781" s="44" customFormat="1" spans="1:23">
      <c r="A2781" s="116"/>
      <c r="E2781" s="108"/>
      <c r="F2781" s="114"/>
      <c r="G2781" s="114"/>
      <c r="H2781" s="114"/>
      <c r="Q2781" s="44">
        <f>IF(数据录入!$B2781="",0,IF(OR(数据录入!$D2781="投标保证金",数据录入!$D2781="合同履约保证金",ISNUMBER(FIND("保证金",数据录入!$E2781))),1,0))</f>
      </c>
      <c r="R2781" s="44">
        <f>IF(AND($Q2781=1,数据录入!$B2781&gt;=$B$2,数据录入!$B2781&lt;=$D$2),N(R2780)+1,N(R2780))</f>
      </c>
    </row>
    <row r="2782" s="44" customFormat="1" spans="1:23">
      <c r="A2782" s="116"/>
      <c r="E2782" s="108"/>
      <c r="F2782" s="114"/>
      <c r="G2782" s="114"/>
      <c r="H2782" s="114"/>
      <c r="Q2782" s="44">
        <f>IF(数据录入!$B2782="",0,IF(OR(数据录入!$D2782="投标保证金",数据录入!$D2782="合同履约保证金",ISNUMBER(FIND("保证金",数据录入!$E2782))),1,0))</f>
      </c>
      <c r="R2782" s="44">
        <f>IF(AND($Q2782=1,数据录入!$B2782&gt;=$B$2,数据录入!$B2782&lt;=$D$2),N(R2781)+1,N(R2781))</f>
      </c>
    </row>
    <row r="2783" s="44" customFormat="1" spans="1:23">
      <c r="A2783" s="116"/>
      <c r="E2783" s="108"/>
      <c r="F2783" s="114"/>
      <c r="G2783" s="114"/>
      <c r="H2783" s="114"/>
      <c r="Q2783" s="44">
        <f>IF(数据录入!$B2783="",0,IF(OR(数据录入!$D2783="投标保证金",数据录入!$D2783="合同履约保证金",ISNUMBER(FIND("保证金",数据录入!$E2783))),1,0))</f>
      </c>
      <c r="R2783" s="44">
        <f>IF(AND($Q2783=1,数据录入!$B2783&gt;=$B$2,数据录入!$B2783&lt;=$D$2),N(R2782)+1,N(R2782))</f>
      </c>
    </row>
    <row r="2784" s="44" customFormat="1" spans="1:23">
      <c r="A2784" s="116"/>
      <c r="E2784" s="108"/>
      <c r="F2784" s="114"/>
      <c r="G2784" s="114"/>
      <c r="H2784" s="114"/>
      <c r="Q2784" s="44">
        <f>IF(数据录入!$B2784="",0,IF(OR(数据录入!$D2784="投标保证金",数据录入!$D2784="合同履约保证金",ISNUMBER(FIND("保证金",数据录入!$E2784))),1,0))</f>
      </c>
      <c r="R2784" s="44">
        <f>IF(AND($Q2784=1,数据录入!$B2784&gt;=$B$2,数据录入!$B2784&lt;=$D$2),N(R2783)+1,N(R2783))</f>
      </c>
    </row>
    <row r="2785" s="44" customFormat="1" spans="1:23">
      <c r="A2785" s="116"/>
      <c r="E2785" s="108"/>
      <c r="F2785" s="114"/>
      <c r="G2785" s="114"/>
      <c r="H2785" s="114"/>
      <c r="Q2785" s="44">
        <f>IF(数据录入!$B2785="",0,IF(OR(数据录入!$D2785="投标保证金",数据录入!$D2785="合同履约保证金",ISNUMBER(FIND("保证金",数据录入!$E2785))),1,0))</f>
      </c>
      <c r="R2785" s="44">
        <f>IF(AND($Q2785=1,数据录入!$B2785&gt;=$B$2,数据录入!$B2785&lt;=$D$2),N(R2784)+1,N(R2784))</f>
      </c>
    </row>
    <row r="2786" s="44" customFormat="1" spans="1:23">
      <c r="A2786" s="116"/>
      <c r="E2786" s="108"/>
      <c r="F2786" s="114"/>
      <c r="G2786" s="114"/>
      <c r="H2786" s="114"/>
      <c r="Q2786" s="44">
        <f>IF(数据录入!$B2786="",0,IF(OR(数据录入!$D2786="投标保证金",数据录入!$D2786="合同履约保证金",ISNUMBER(FIND("保证金",数据录入!$E2786))),1,0))</f>
      </c>
      <c r="R2786" s="44">
        <f>IF(AND($Q2786=1,数据录入!$B2786&gt;=$B$2,数据录入!$B2786&lt;=$D$2),N(R2785)+1,N(R2785))</f>
      </c>
    </row>
    <row r="2787" s="44" customFormat="1" spans="1:23">
      <c r="A2787" s="116"/>
      <c r="E2787" s="108"/>
      <c r="F2787" s="114"/>
      <c r="G2787" s="114"/>
      <c r="H2787" s="114"/>
      <c r="Q2787" s="44">
        <f>IF(数据录入!$B2787="",0,IF(OR(数据录入!$D2787="投标保证金",数据录入!$D2787="合同履约保证金",ISNUMBER(FIND("保证金",数据录入!$E2787))),1,0))</f>
      </c>
      <c r="R2787" s="44">
        <f>IF(AND($Q2787=1,数据录入!$B2787&gt;=$B$2,数据录入!$B2787&lt;=$D$2),N(R2786)+1,N(R2786))</f>
      </c>
    </row>
    <row r="2788" s="44" customFormat="1" spans="1:23">
      <c r="A2788" s="116"/>
      <c r="E2788" s="108"/>
      <c r="F2788" s="114"/>
      <c r="G2788" s="114"/>
      <c r="H2788" s="114"/>
      <c r="Q2788" s="44">
        <f>IF(数据录入!$B2788="",0,IF(OR(数据录入!$D2788="投标保证金",数据录入!$D2788="合同履约保证金",ISNUMBER(FIND("保证金",数据录入!$E2788))),1,0))</f>
      </c>
      <c r="R2788" s="44">
        <f>IF(AND($Q2788=1,数据录入!$B2788&gt;=$B$2,数据录入!$B2788&lt;=$D$2),N(R2787)+1,N(R2787))</f>
      </c>
    </row>
    <row r="2789" s="44" customFormat="1" spans="1:23">
      <c r="A2789" s="116"/>
      <c r="E2789" s="108"/>
      <c r="F2789" s="114"/>
      <c r="G2789" s="114"/>
      <c r="H2789" s="114"/>
      <c r="Q2789" s="44">
        <f>IF(数据录入!$B2789="",0,IF(OR(数据录入!$D2789="投标保证金",数据录入!$D2789="合同履约保证金",ISNUMBER(FIND("保证金",数据录入!$E2789))),1,0))</f>
      </c>
      <c r="R2789" s="44">
        <f>IF(AND($Q2789=1,数据录入!$B2789&gt;=$B$2,数据录入!$B2789&lt;=$D$2),N(R2788)+1,N(R2788))</f>
      </c>
    </row>
    <row r="2790" s="44" customFormat="1" spans="1:23">
      <c r="A2790" s="116"/>
      <c r="E2790" s="108"/>
      <c r="F2790" s="114"/>
      <c r="G2790" s="114"/>
      <c r="H2790" s="114"/>
      <c r="Q2790" s="44">
        <f>IF(数据录入!$B2790="",0,IF(OR(数据录入!$D2790="投标保证金",数据录入!$D2790="合同履约保证金",ISNUMBER(FIND("保证金",数据录入!$E2790))),1,0))</f>
      </c>
      <c r="R2790" s="44">
        <f>IF(AND($Q2790=1,数据录入!$B2790&gt;=$B$2,数据录入!$B2790&lt;=$D$2),N(R2789)+1,N(R2789))</f>
      </c>
    </row>
    <row r="2791" s="44" customFormat="1" spans="1:23">
      <c r="A2791" s="116"/>
      <c r="E2791" s="108"/>
      <c r="F2791" s="114"/>
      <c r="G2791" s="114"/>
      <c r="H2791" s="114"/>
      <c r="Q2791" s="44">
        <f>IF(数据录入!$B2791="",0,IF(OR(数据录入!$D2791="投标保证金",数据录入!$D2791="合同履约保证金",ISNUMBER(FIND("保证金",数据录入!$E2791))),1,0))</f>
      </c>
      <c r="R2791" s="44">
        <f>IF(AND($Q2791=1,数据录入!$B2791&gt;=$B$2,数据录入!$B2791&lt;=$D$2),N(R2790)+1,N(R2790))</f>
      </c>
    </row>
    <row r="2792" s="44" customFormat="1" spans="1:23">
      <c r="A2792" s="116"/>
      <c r="E2792" s="108"/>
      <c r="F2792" s="114"/>
      <c r="G2792" s="114"/>
      <c r="H2792" s="114"/>
      <c r="Q2792" s="44">
        <f>IF(数据录入!$B2792="",0,IF(OR(数据录入!$D2792="投标保证金",数据录入!$D2792="合同履约保证金",ISNUMBER(FIND("保证金",数据录入!$E2792))),1,0))</f>
      </c>
      <c r="R2792" s="44">
        <f>IF(AND($Q2792=1,数据录入!$B2792&gt;=$B$2,数据录入!$B2792&lt;=$D$2),N(R2791)+1,N(R2791))</f>
      </c>
    </row>
    <row r="2793" s="44" customFormat="1" spans="1:23">
      <c r="A2793" s="116"/>
      <c r="E2793" s="108"/>
      <c r="F2793" s="114"/>
      <c r="G2793" s="114"/>
      <c r="H2793" s="114"/>
      <c r="Q2793" s="44">
        <f>IF(数据录入!$B2793="",0,IF(OR(数据录入!$D2793="投标保证金",数据录入!$D2793="合同履约保证金",ISNUMBER(FIND("保证金",数据录入!$E2793))),1,0))</f>
      </c>
      <c r="R2793" s="44">
        <f>IF(AND($Q2793=1,数据录入!$B2793&gt;=$B$2,数据录入!$B2793&lt;=$D$2),N(R2792)+1,N(R2792))</f>
      </c>
    </row>
    <row r="2794" s="44" customFormat="1" spans="1:23">
      <c r="A2794" s="116"/>
      <c r="E2794" s="108"/>
      <c r="F2794" s="114"/>
      <c r="G2794" s="114"/>
      <c r="H2794" s="114"/>
      <c r="Q2794" s="44">
        <f>IF(数据录入!$B2794="",0,IF(OR(数据录入!$D2794="投标保证金",数据录入!$D2794="合同履约保证金",ISNUMBER(FIND("保证金",数据录入!$E2794))),1,0))</f>
      </c>
      <c r="R2794" s="44">
        <f>IF(AND($Q2794=1,数据录入!$B2794&gt;=$B$2,数据录入!$B2794&lt;=$D$2),N(R2793)+1,N(R2793))</f>
      </c>
    </row>
    <row r="2795" s="44" customFormat="1" spans="1:23">
      <c r="A2795" s="116"/>
      <c r="E2795" s="108"/>
      <c r="F2795" s="114"/>
      <c r="G2795" s="114"/>
      <c r="H2795" s="114"/>
      <c r="Q2795" s="44">
        <f>IF(数据录入!$B2795="",0,IF(OR(数据录入!$D2795="投标保证金",数据录入!$D2795="合同履约保证金",ISNUMBER(FIND("保证金",数据录入!$E2795))),1,0))</f>
      </c>
      <c r="R2795" s="44">
        <f>IF(AND($Q2795=1,数据录入!$B2795&gt;=$B$2,数据录入!$B2795&lt;=$D$2),N(R2794)+1,N(R2794))</f>
      </c>
    </row>
    <row r="2796" s="44" customFormat="1" spans="1:23">
      <c r="A2796" s="116"/>
      <c r="E2796" s="108"/>
      <c r="F2796" s="114"/>
      <c r="G2796" s="114"/>
      <c r="H2796" s="114"/>
      <c r="Q2796" s="44">
        <f>IF(数据录入!$B2796="",0,IF(OR(数据录入!$D2796="投标保证金",数据录入!$D2796="合同履约保证金",ISNUMBER(FIND("保证金",数据录入!$E2796))),1,0))</f>
      </c>
      <c r="R2796" s="44">
        <f>IF(AND($Q2796=1,数据录入!$B2796&gt;=$B$2,数据录入!$B2796&lt;=$D$2),N(R2795)+1,N(R2795))</f>
      </c>
    </row>
    <row r="2797" s="44" customFormat="1" spans="1:23">
      <c r="A2797" s="116"/>
      <c r="E2797" s="108"/>
      <c r="F2797" s="114"/>
      <c r="G2797" s="114"/>
      <c r="H2797" s="114"/>
      <c r="Q2797" s="44">
        <f>IF(数据录入!$B2797="",0,IF(OR(数据录入!$D2797="投标保证金",数据录入!$D2797="合同履约保证金",ISNUMBER(FIND("保证金",数据录入!$E2797))),1,0))</f>
      </c>
      <c r="R2797" s="44">
        <f>IF(AND($Q2797=1,数据录入!$B2797&gt;=$B$2,数据录入!$B2797&lt;=$D$2),N(R2796)+1,N(R2796))</f>
      </c>
    </row>
    <row r="2798" s="44" customFormat="1" spans="1:23">
      <c r="A2798" s="116"/>
      <c r="E2798" s="108"/>
      <c r="F2798" s="114"/>
      <c r="G2798" s="114"/>
      <c r="H2798" s="114"/>
      <c r="Q2798" s="44">
        <f>IF(数据录入!$B2798="",0,IF(OR(数据录入!$D2798="投标保证金",数据录入!$D2798="合同履约保证金",ISNUMBER(FIND("保证金",数据录入!$E2798))),1,0))</f>
      </c>
      <c r="R2798" s="44">
        <f>IF(AND($Q2798=1,数据录入!$B2798&gt;=$B$2,数据录入!$B2798&lt;=$D$2),N(R2797)+1,N(R2797))</f>
      </c>
    </row>
    <row r="2799" s="44" customFormat="1" spans="1:23">
      <c r="A2799" s="116"/>
      <c r="E2799" s="108"/>
      <c r="F2799" s="114"/>
      <c r="G2799" s="114"/>
      <c r="H2799" s="114"/>
      <c r="Q2799" s="44">
        <f>IF(数据录入!$B2799="",0,IF(OR(数据录入!$D2799="投标保证金",数据录入!$D2799="合同履约保证金",ISNUMBER(FIND("保证金",数据录入!$E2799))),1,0))</f>
      </c>
      <c r="R2799" s="44">
        <f>IF(AND($Q2799=1,数据录入!$B2799&gt;=$B$2,数据录入!$B2799&lt;=$D$2),N(R2798)+1,N(R2798))</f>
      </c>
    </row>
    <row r="2800" s="44" customFormat="1" spans="1:23">
      <c r="A2800" s="116"/>
      <c r="E2800" s="108"/>
      <c r="F2800" s="114"/>
      <c r="G2800" s="114"/>
      <c r="H2800" s="114"/>
      <c r="Q2800" s="44">
        <f>IF(数据录入!$B2800="",0,IF(OR(数据录入!$D2800="投标保证金",数据录入!$D2800="合同履约保证金",ISNUMBER(FIND("保证金",数据录入!$E2800))),1,0))</f>
      </c>
      <c r="R2800" s="44">
        <f>IF(AND($Q2800=1,数据录入!$B2800&gt;=$B$2,数据录入!$B2800&lt;=$D$2),N(R2799)+1,N(R2799))</f>
      </c>
    </row>
    <row r="2801" s="44" customFormat="1" spans="1:23">
      <c r="A2801" s="116"/>
      <c r="E2801" s="108"/>
      <c r="F2801" s="114"/>
      <c r="G2801" s="114"/>
      <c r="H2801" s="114"/>
      <c r="Q2801" s="44">
        <f>IF(数据录入!$B2801="",0,IF(OR(数据录入!$D2801="投标保证金",数据录入!$D2801="合同履约保证金",ISNUMBER(FIND("保证金",数据录入!$E2801))),1,0))</f>
      </c>
      <c r="R2801" s="44">
        <f>IF(AND($Q2801=1,数据录入!$B2801&gt;=$B$2,数据录入!$B2801&lt;=$D$2),N(R2800)+1,N(R2800))</f>
      </c>
    </row>
    <row r="2802" s="44" customFormat="1" spans="1:23">
      <c r="A2802" s="116"/>
      <c r="E2802" s="108"/>
      <c r="F2802" s="114"/>
      <c r="G2802" s="114"/>
      <c r="H2802" s="114"/>
      <c r="Q2802" s="44">
        <f>IF(数据录入!$B2802="",0,IF(OR(数据录入!$D2802="投标保证金",数据录入!$D2802="合同履约保证金",ISNUMBER(FIND("保证金",数据录入!$E2802))),1,0))</f>
      </c>
      <c r="R2802" s="44">
        <f>IF(AND($Q2802=1,数据录入!$B2802&gt;=$B$2,数据录入!$B2802&lt;=$D$2),N(R2801)+1,N(R2801))</f>
      </c>
    </row>
    <row r="2803" s="44" customFormat="1" spans="1:23">
      <c r="A2803" s="116"/>
      <c r="E2803" s="108"/>
      <c r="F2803" s="114"/>
      <c r="G2803" s="114"/>
      <c r="H2803" s="114"/>
      <c r="Q2803" s="44">
        <f>IF(数据录入!$B2803="",0,IF(OR(数据录入!$D2803="投标保证金",数据录入!$D2803="合同履约保证金",ISNUMBER(FIND("保证金",数据录入!$E2803))),1,0))</f>
      </c>
      <c r="R2803" s="44">
        <f>IF(AND($Q2803=1,数据录入!$B2803&gt;=$B$2,数据录入!$B2803&lt;=$D$2),N(R2802)+1,N(R2802))</f>
      </c>
    </row>
    <row r="2804" s="44" customFormat="1" spans="1:23">
      <c r="A2804" s="116"/>
      <c r="E2804" s="108"/>
      <c r="F2804" s="114"/>
      <c r="G2804" s="114"/>
      <c r="H2804" s="114"/>
      <c r="Q2804" s="44">
        <f>IF(数据录入!$B2804="",0,IF(OR(数据录入!$D2804="投标保证金",数据录入!$D2804="合同履约保证金",ISNUMBER(FIND("保证金",数据录入!$E2804))),1,0))</f>
      </c>
      <c r="R2804" s="44">
        <f>IF(AND($Q2804=1,数据录入!$B2804&gt;=$B$2,数据录入!$B2804&lt;=$D$2),N(R2803)+1,N(R2803))</f>
      </c>
    </row>
    <row r="2805" s="44" customFormat="1" spans="1:23">
      <c r="A2805" s="116"/>
      <c r="E2805" s="108"/>
      <c r="F2805" s="114"/>
      <c r="G2805" s="114"/>
      <c r="H2805" s="114"/>
      <c r="Q2805" s="44">
        <f>IF(数据录入!$B2805="",0,IF(OR(数据录入!$D2805="投标保证金",数据录入!$D2805="合同履约保证金",ISNUMBER(FIND("保证金",数据录入!$E2805))),1,0))</f>
      </c>
      <c r="R2805" s="44">
        <f>IF(AND($Q2805=1,数据录入!$B2805&gt;=$B$2,数据录入!$B2805&lt;=$D$2),N(R2804)+1,N(R2804))</f>
      </c>
    </row>
    <row r="2806" s="44" customFormat="1" spans="1:23">
      <c r="A2806" s="116"/>
      <c r="E2806" s="108"/>
      <c r="F2806" s="114"/>
      <c r="G2806" s="114"/>
      <c r="H2806" s="114"/>
      <c r="Q2806" s="44">
        <f>IF(数据录入!$B2806="",0,IF(OR(数据录入!$D2806="投标保证金",数据录入!$D2806="合同履约保证金",ISNUMBER(FIND("保证金",数据录入!$E2806))),1,0))</f>
      </c>
      <c r="R2806" s="44">
        <f>IF(AND($Q2806=1,数据录入!$B2806&gt;=$B$2,数据录入!$B2806&lt;=$D$2),N(R2805)+1,N(R2805))</f>
      </c>
    </row>
    <row r="2807" s="44" customFormat="1" spans="1:23">
      <c r="A2807" s="116"/>
      <c r="E2807" s="108"/>
      <c r="F2807" s="114"/>
      <c r="G2807" s="114"/>
      <c r="H2807" s="114"/>
      <c r="Q2807" s="44">
        <f>IF(数据录入!$B2807="",0,IF(OR(数据录入!$D2807="投标保证金",数据录入!$D2807="合同履约保证金",ISNUMBER(FIND("保证金",数据录入!$E2807))),1,0))</f>
      </c>
      <c r="R2807" s="44">
        <f>IF(AND($Q2807=1,数据录入!$B2807&gt;=$B$2,数据录入!$B2807&lt;=$D$2),N(R2806)+1,N(R2806))</f>
      </c>
    </row>
    <row r="2808" s="44" customFormat="1" spans="1:23">
      <c r="A2808" s="116"/>
      <c r="E2808" s="108"/>
      <c r="F2808" s="114"/>
      <c r="G2808" s="114"/>
      <c r="H2808" s="114"/>
      <c r="Q2808" s="44">
        <f>IF(数据录入!$B2808="",0,IF(OR(数据录入!$D2808="投标保证金",数据录入!$D2808="合同履约保证金",ISNUMBER(FIND("保证金",数据录入!$E2808))),1,0))</f>
      </c>
      <c r="R2808" s="44">
        <f>IF(AND($Q2808=1,数据录入!$B2808&gt;=$B$2,数据录入!$B2808&lt;=$D$2),N(R2807)+1,N(R2807))</f>
      </c>
    </row>
    <row r="2809" s="44" customFormat="1" spans="1:23">
      <c r="A2809" s="116"/>
      <c r="E2809" s="108"/>
      <c r="F2809" s="114"/>
      <c r="G2809" s="114"/>
      <c r="H2809" s="114"/>
      <c r="Q2809" s="44">
        <f>IF(数据录入!$B2809="",0,IF(OR(数据录入!$D2809="投标保证金",数据录入!$D2809="合同履约保证金",ISNUMBER(FIND("保证金",数据录入!$E2809))),1,0))</f>
      </c>
      <c r="R2809" s="44">
        <f>IF(AND($Q2809=1,数据录入!$B2809&gt;=$B$2,数据录入!$B2809&lt;=$D$2),N(R2808)+1,N(R2808))</f>
      </c>
    </row>
    <row r="2810" s="44" customFormat="1" spans="1:23">
      <c r="A2810" s="116"/>
      <c r="E2810" s="108"/>
      <c r="F2810" s="114"/>
      <c r="G2810" s="114"/>
      <c r="H2810" s="114"/>
      <c r="Q2810" s="44">
        <f>IF(数据录入!$B2810="",0,IF(OR(数据录入!$D2810="投标保证金",数据录入!$D2810="合同履约保证金",ISNUMBER(FIND("保证金",数据录入!$E2810))),1,0))</f>
      </c>
      <c r="R2810" s="44">
        <f>IF(AND($Q2810=1,数据录入!$B2810&gt;=$B$2,数据录入!$B2810&lt;=$D$2),N(R2809)+1,N(R2809))</f>
      </c>
    </row>
    <row r="2811" s="44" customFormat="1" spans="1:23">
      <c r="A2811" s="116"/>
      <c r="E2811" s="108"/>
      <c r="F2811" s="114"/>
      <c r="G2811" s="114"/>
      <c r="H2811" s="114"/>
      <c r="Q2811" s="44">
        <f>IF(数据录入!$B2811="",0,IF(OR(数据录入!$D2811="投标保证金",数据录入!$D2811="合同履约保证金",ISNUMBER(FIND("保证金",数据录入!$E2811))),1,0))</f>
      </c>
      <c r="R2811" s="44">
        <f>IF(AND($Q2811=1,数据录入!$B2811&gt;=$B$2,数据录入!$B2811&lt;=$D$2),N(R2810)+1,N(R2810))</f>
      </c>
    </row>
    <row r="2812" s="44" customFormat="1" spans="1:23">
      <c r="A2812" s="116"/>
      <c r="E2812" s="108"/>
      <c r="F2812" s="114"/>
      <c r="G2812" s="114"/>
      <c r="H2812" s="114"/>
      <c r="Q2812" s="44">
        <f>IF(数据录入!$B2812="",0,IF(OR(数据录入!$D2812="投标保证金",数据录入!$D2812="合同履约保证金",ISNUMBER(FIND("保证金",数据录入!$E2812))),1,0))</f>
      </c>
      <c r="R2812" s="44">
        <f>IF(AND($Q2812=1,数据录入!$B2812&gt;=$B$2,数据录入!$B2812&lt;=$D$2),N(R2811)+1,N(R2811))</f>
      </c>
    </row>
    <row r="2813" s="44" customFormat="1" spans="1:23">
      <c r="A2813" s="116"/>
      <c r="E2813" s="108"/>
      <c r="F2813" s="114"/>
      <c r="G2813" s="114"/>
      <c r="H2813" s="114"/>
      <c r="Q2813" s="44">
        <f>IF(数据录入!$B2813="",0,IF(OR(数据录入!$D2813="投标保证金",数据录入!$D2813="合同履约保证金",ISNUMBER(FIND("保证金",数据录入!$E2813))),1,0))</f>
      </c>
      <c r="R2813" s="44">
        <f>IF(AND($Q2813=1,数据录入!$B2813&gt;=$B$2,数据录入!$B2813&lt;=$D$2),N(R2812)+1,N(R2812))</f>
      </c>
    </row>
    <row r="2814" s="44" customFormat="1" spans="1:23">
      <c r="A2814" s="116"/>
      <c r="E2814" s="108"/>
      <c r="F2814" s="114"/>
      <c r="G2814" s="114"/>
      <c r="H2814" s="114"/>
      <c r="Q2814" s="44">
        <f>IF(数据录入!$B2814="",0,IF(OR(数据录入!$D2814="投标保证金",数据录入!$D2814="合同履约保证金",ISNUMBER(FIND("保证金",数据录入!$E2814))),1,0))</f>
      </c>
      <c r="R2814" s="44">
        <f>IF(AND($Q2814=1,数据录入!$B2814&gt;=$B$2,数据录入!$B2814&lt;=$D$2),N(R2813)+1,N(R2813))</f>
      </c>
    </row>
    <row r="2815" s="44" customFormat="1" spans="1:23">
      <c r="A2815" s="116"/>
      <c r="E2815" s="108"/>
      <c r="F2815" s="114"/>
      <c r="G2815" s="114"/>
      <c r="H2815" s="114"/>
      <c r="Q2815" s="44">
        <f>IF(数据录入!$B2815="",0,IF(OR(数据录入!$D2815="投标保证金",数据录入!$D2815="合同履约保证金",ISNUMBER(FIND("保证金",数据录入!$E2815))),1,0))</f>
      </c>
      <c r="R2815" s="44">
        <f>IF(AND($Q2815=1,数据录入!$B2815&gt;=$B$2,数据录入!$B2815&lt;=$D$2),N(R2814)+1,N(R2814))</f>
      </c>
    </row>
    <row r="2816" s="44" customFormat="1" spans="1:23">
      <c r="A2816" s="116"/>
      <c r="E2816" s="108"/>
      <c r="F2816" s="114"/>
      <c r="G2816" s="114"/>
      <c r="H2816" s="114"/>
      <c r="Q2816" s="44">
        <f>IF(数据录入!$B2816="",0,IF(OR(数据录入!$D2816="投标保证金",数据录入!$D2816="合同履约保证金",ISNUMBER(FIND("保证金",数据录入!$E2816))),1,0))</f>
      </c>
      <c r="R2816" s="44">
        <f>IF(AND($Q2816=1,数据录入!$B2816&gt;=$B$2,数据录入!$B2816&lt;=$D$2),N(R2815)+1,N(R2815))</f>
      </c>
    </row>
    <row r="2817" s="44" customFormat="1" spans="1:23">
      <c r="A2817" s="116"/>
      <c r="E2817" s="108"/>
      <c r="F2817" s="114"/>
      <c r="G2817" s="114"/>
      <c r="H2817" s="114"/>
      <c r="Q2817" s="44">
        <f>IF(数据录入!$B2817="",0,IF(OR(数据录入!$D2817="投标保证金",数据录入!$D2817="合同履约保证金",ISNUMBER(FIND("保证金",数据录入!$E2817))),1,0))</f>
      </c>
      <c r="R2817" s="44">
        <f>IF(AND($Q2817=1,数据录入!$B2817&gt;=$B$2,数据录入!$B2817&lt;=$D$2),N(R2816)+1,N(R2816))</f>
      </c>
    </row>
    <row r="2818" s="44" customFormat="1" spans="1:23">
      <c r="A2818" s="116"/>
      <c r="E2818" s="108"/>
      <c r="F2818" s="114"/>
      <c r="G2818" s="114"/>
      <c r="H2818" s="114"/>
      <c r="Q2818" s="44">
        <f>IF(数据录入!$B2818="",0,IF(OR(数据录入!$D2818="投标保证金",数据录入!$D2818="合同履约保证金",ISNUMBER(FIND("保证金",数据录入!$E2818))),1,0))</f>
      </c>
      <c r="R2818" s="44">
        <f>IF(AND($Q2818=1,数据录入!$B2818&gt;=$B$2,数据录入!$B2818&lt;=$D$2),N(R2817)+1,N(R2817))</f>
      </c>
    </row>
    <row r="2819" s="44" customFormat="1" spans="1:23">
      <c r="A2819" s="116"/>
      <c r="E2819" s="108"/>
      <c r="F2819" s="114"/>
      <c r="G2819" s="114"/>
      <c r="H2819" s="114"/>
      <c r="Q2819" s="44">
        <f>IF(数据录入!$B2819="",0,IF(OR(数据录入!$D2819="投标保证金",数据录入!$D2819="合同履约保证金",ISNUMBER(FIND("保证金",数据录入!$E2819))),1,0))</f>
      </c>
      <c r="R2819" s="44">
        <f>IF(AND($Q2819=1,数据录入!$B2819&gt;=$B$2,数据录入!$B2819&lt;=$D$2),N(R2818)+1,N(R2818))</f>
      </c>
    </row>
    <row r="2820" s="44" customFormat="1" spans="1:23">
      <c r="A2820" s="116"/>
      <c r="E2820" s="108"/>
      <c r="F2820" s="114"/>
      <c r="G2820" s="114"/>
      <c r="H2820" s="114"/>
      <c r="Q2820" s="44">
        <f>IF(数据录入!$B2820="",0,IF(OR(数据录入!$D2820="投标保证金",数据录入!$D2820="合同履约保证金",ISNUMBER(FIND("保证金",数据录入!$E2820))),1,0))</f>
      </c>
      <c r="R2820" s="44">
        <f>IF(AND($Q2820=1,数据录入!$B2820&gt;=$B$2,数据录入!$B2820&lt;=$D$2),N(R2819)+1,N(R2819))</f>
      </c>
    </row>
    <row r="2821" s="44" customFormat="1" spans="1:23">
      <c r="A2821" s="116"/>
      <c r="E2821" s="108"/>
      <c r="F2821" s="114"/>
      <c r="G2821" s="114"/>
      <c r="H2821" s="114"/>
      <c r="Q2821" s="44">
        <f>IF(数据录入!$B2821="",0,IF(OR(数据录入!$D2821="投标保证金",数据录入!$D2821="合同履约保证金",ISNUMBER(FIND("保证金",数据录入!$E2821))),1,0))</f>
      </c>
      <c r="R2821" s="44">
        <f>IF(AND($Q2821=1,数据录入!$B2821&gt;=$B$2,数据录入!$B2821&lt;=$D$2),N(R2820)+1,N(R2820))</f>
      </c>
    </row>
    <row r="2822" s="44" customFormat="1" spans="1:23">
      <c r="A2822" s="116"/>
      <c r="E2822" s="108"/>
      <c r="F2822" s="114"/>
      <c r="G2822" s="114"/>
      <c r="H2822" s="114"/>
      <c r="Q2822" s="44">
        <f>IF(数据录入!$B2822="",0,IF(OR(数据录入!$D2822="投标保证金",数据录入!$D2822="合同履约保证金",ISNUMBER(FIND("保证金",数据录入!$E2822))),1,0))</f>
      </c>
      <c r="R2822" s="44">
        <f>IF(AND($Q2822=1,数据录入!$B2822&gt;=$B$2,数据录入!$B2822&lt;=$D$2),N(R2821)+1,N(R2821))</f>
      </c>
    </row>
    <row r="2823" s="44" customFormat="1" spans="1:23">
      <c r="A2823" s="116"/>
      <c r="E2823" s="108"/>
      <c r="F2823" s="114"/>
      <c r="G2823" s="114"/>
      <c r="H2823" s="114"/>
      <c r="Q2823" s="44">
        <f>IF(数据录入!$B2823="",0,IF(OR(数据录入!$D2823="投标保证金",数据录入!$D2823="合同履约保证金",ISNUMBER(FIND("保证金",数据录入!$E2823))),1,0))</f>
      </c>
      <c r="R2823" s="44">
        <f>IF(AND($Q2823=1,数据录入!$B2823&gt;=$B$2,数据录入!$B2823&lt;=$D$2),N(R2822)+1,N(R2822))</f>
      </c>
    </row>
    <row r="2824" s="44" customFormat="1" spans="1:23">
      <c r="A2824" s="116"/>
      <c r="E2824" s="108"/>
      <c r="F2824" s="114"/>
      <c r="G2824" s="114"/>
      <c r="H2824" s="114"/>
      <c r="Q2824" s="44">
        <f>IF(数据录入!$B2824="",0,IF(OR(数据录入!$D2824="投标保证金",数据录入!$D2824="合同履约保证金",ISNUMBER(FIND("保证金",数据录入!$E2824))),1,0))</f>
      </c>
      <c r="R2824" s="44">
        <f>IF(AND($Q2824=1,数据录入!$B2824&gt;=$B$2,数据录入!$B2824&lt;=$D$2),N(R2823)+1,N(R2823))</f>
      </c>
    </row>
    <row r="2825" s="44" customFormat="1" spans="1:23">
      <c r="A2825" s="116"/>
      <c r="E2825" s="108"/>
      <c r="F2825" s="114"/>
      <c r="G2825" s="114"/>
      <c r="H2825" s="114"/>
      <c r="Q2825" s="44">
        <f>IF(数据录入!$B2825="",0,IF(OR(数据录入!$D2825="投标保证金",数据录入!$D2825="合同履约保证金",ISNUMBER(FIND("保证金",数据录入!$E2825))),1,0))</f>
      </c>
      <c r="R2825" s="44">
        <f>IF(AND($Q2825=1,数据录入!$B2825&gt;=$B$2,数据录入!$B2825&lt;=$D$2),N(R2824)+1,N(R2824))</f>
      </c>
    </row>
    <row r="2826" s="44" customFormat="1" spans="1:23">
      <c r="A2826" s="116"/>
      <c r="E2826" s="108"/>
      <c r="F2826" s="114"/>
      <c r="G2826" s="114"/>
      <c r="H2826" s="114"/>
      <c r="Q2826" s="44">
        <f>IF(数据录入!$B2826="",0,IF(OR(数据录入!$D2826="投标保证金",数据录入!$D2826="合同履约保证金",ISNUMBER(FIND("保证金",数据录入!$E2826))),1,0))</f>
      </c>
      <c r="R2826" s="44">
        <f>IF(AND($Q2826=1,数据录入!$B2826&gt;=$B$2,数据录入!$B2826&lt;=$D$2),N(R2825)+1,N(R2825))</f>
      </c>
    </row>
    <row r="2827" s="44" customFormat="1" spans="1:23">
      <c r="A2827" s="116"/>
      <c r="E2827" s="108"/>
      <c r="F2827" s="114"/>
      <c r="G2827" s="114"/>
      <c r="H2827" s="114"/>
      <c r="Q2827" s="44">
        <f>IF(数据录入!$B2827="",0,IF(OR(数据录入!$D2827="投标保证金",数据录入!$D2827="合同履约保证金",ISNUMBER(FIND("保证金",数据录入!$E2827))),1,0))</f>
      </c>
      <c r="R2827" s="44">
        <f>IF(AND($Q2827=1,数据录入!$B2827&gt;=$B$2,数据录入!$B2827&lt;=$D$2),N(R2826)+1,N(R2826))</f>
      </c>
    </row>
    <row r="2828" s="44" customFormat="1" spans="1:23">
      <c r="A2828" s="116"/>
      <c r="E2828" s="108"/>
      <c r="F2828" s="114"/>
      <c r="G2828" s="114"/>
      <c r="H2828" s="114"/>
      <c r="Q2828" s="44">
        <f>IF(数据录入!$B2828="",0,IF(OR(数据录入!$D2828="投标保证金",数据录入!$D2828="合同履约保证金",ISNUMBER(FIND("保证金",数据录入!$E2828))),1,0))</f>
      </c>
      <c r="R2828" s="44">
        <f>IF(AND($Q2828=1,数据录入!$B2828&gt;=$B$2,数据录入!$B2828&lt;=$D$2),N(R2827)+1,N(R2827))</f>
      </c>
    </row>
    <row r="2829" s="44" customFormat="1" spans="1:23">
      <c r="A2829" s="116"/>
      <c r="E2829" s="108"/>
      <c r="F2829" s="114"/>
      <c r="G2829" s="114"/>
      <c r="H2829" s="114"/>
      <c r="Q2829" s="44">
        <f>IF(数据录入!$B2829="",0,IF(OR(数据录入!$D2829="投标保证金",数据录入!$D2829="合同履约保证金",ISNUMBER(FIND("保证金",数据录入!$E2829))),1,0))</f>
      </c>
      <c r="R2829" s="44">
        <f>IF(AND($Q2829=1,数据录入!$B2829&gt;=$B$2,数据录入!$B2829&lt;=$D$2),N(R2828)+1,N(R2828))</f>
      </c>
    </row>
    <row r="2830" s="44" customFormat="1" spans="1:23">
      <c r="A2830" s="116"/>
      <c r="E2830" s="108"/>
      <c r="F2830" s="114"/>
      <c r="G2830" s="114"/>
      <c r="H2830" s="114"/>
      <c r="Q2830" s="44">
        <f>IF(数据录入!$B2830="",0,IF(OR(数据录入!$D2830="投标保证金",数据录入!$D2830="合同履约保证金",ISNUMBER(FIND("保证金",数据录入!$E2830))),1,0))</f>
      </c>
      <c r="R2830" s="44">
        <f>IF(AND($Q2830=1,数据录入!$B2830&gt;=$B$2,数据录入!$B2830&lt;=$D$2),N(R2829)+1,N(R2829))</f>
      </c>
    </row>
    <row r="2831" s="44" customFormat="1" spans="1:23">
      <c r="A2831" s="116"/>
      <c r="E2831" s="108"/>
      <c r="F2831" s="114"/>
      <c r="G2831" s="114"/>
      <c r="H2831" s="114"/>
      <c r="Q2831" s="44">
        <f>IF(数据录入!$B2831="",0,IF(OR(数据录入!$D2831="投标保证金",数据录入!$D2831="合同履约保证金",ISNUMBER(FIND("保证金",数据录入!$E2831))),1,0))</f>
      </c>
      <c r="R2831" s="44">
        <f>IF(AND($Q2831=1,数据录入!$B2831&gt;=$B$2,数据录入!$B2831&lt;=$D$2),N(R2830)+1,N(R2830))</f>
      </c>
    </row>
    <row r="2832" s="44" customFormat="1" spans="1:23">
      <c r="A2832" s="116"/>
      <c r="E2832" s="108"/>
      <c r="F2832" s="114"/>
      <c r="G2832" s="114"/>
      <c r="H2832" s="114"/>
      <c r="Q2832" s="44">
        <f>IF(数据录入!$B2832="",0,IF(OR(数据录入!$D2832="投标保证金",数据录入!$D2832="合同履约保证金",ISNUMBER(FIND("保证金",数据录入!$E2832))),1,0))</f>
      </c>
      <c r="R2832" s="44">
        <f>IF(AND($Q2832=1,数据录入!$B2832&gt;=$B$2,数据录入!$B2832&lt;=$D$2),N(R2831)+1,N(R2831))</f>
      </c>
    </row>
    <row r="2833" s="44" customFormat="1" spans="1:23">
      <c r="A2833" s="116"/>
      <c r="E2833" s="108"/>
      <c r="F2833" s="114"/>
      <c r="G2833" s="114"/>
      <c r="H2833" s="114"/>
      <c r="Q2833" s="44">
        <f>IF(数据录入!$B2833="",0,IF(OR(数据录入!$D2833="投标保证金",数据录入!$D2833="合同履约保证金",ISNUMBER(FIND("保证金",数据录入!$E2833))),1,0))</f>
      </c>
      <c r="R2833" s="44">
        <f>IF(AND($Q2833=1,数据录入!$B2833&gt;=$B$2,数据录入!$B2833&lt;=$D$2),N(R2832)+1,N(R2832))</f>
      </c>
    </row>
    <row r="2834" s="44" customFormat="1" spans="1:23">
      <c r="A2834" s="116"/>
      <c r="E2834" s="108"/>
      <c r="F2834" s="114"/>
      <c r="G2834" s="114"/>
      <c r="H2834" s="114"/>
      <c r="Q2834" s="44">
        <f>IF(数据录入!$B2834="",0,IF(OR(数据录入!$D2834="投标保证金",数据录入!$D2834="合同履约保证金",ISNUMBER(FIND("保证金",数据录入!$E2834))),1,0))</f>
      </c>
      <c r="R2834" s="44">
        <f>IF(AND($Q2834=1,数据录入!$B2834&gt;=$B$2,数据录入!$B2834&lt;=$D$2),N(R2833)+1,N(R2833))</f>
      </c>
    </row>
    <row r="2835" s="44" customFormat="1" spans="1:23">
      <c r="A2835" s="116"/>
      <c r="E2835" s="108"/>
      <c r="F2835" s="114"/>
      <c r="G2835" s="114"/>
      <c r="H2835" s="114"/>
      <c r="Q2835" s="44">
        <f>IF(数据录入!$B2835="",0,IF(OR(数据录入!$D2835="投标保证金",数据录入!$D2835="合同履约保证金",ISNUMBER(FIND("保证金",数据录入!$E2835))),1,0))</f>
      </c>
      <c r="R2835" s="44">
        <f>IF(AND($Q2835=1,数据录入!$B2835&gt;=$B$2,数据录入!$B2835&lt;=$D$2),N(R2834)+1,N(R2834))</f>
      </c>
    </row>
    <row r="2836" s="44" customFormat="1" spans="1:23">
      <c r="A2836" s="116"/>
      <c r="E2836" s="108"/>
      <c r="F2836" s="114"/>
      <c r="G2836" s="114"/>
      <c r="H2836" s="114"/>
      <c r="Q2836" s="44">
        <f>IF(数据录入!$B2836="",0,IF(OR(数据录入!$D2836="投标保证金",数据录入!$D2836="合同履约保证金",ISNUMBER(FIND("保证金",数据录入!$E2836))),1,0))</f>
      </c>
      <c r="R2836" s="44">
        <f>IF(AND($Q2836=1,数据录入!$B2836&gt;=$B$2,数据录入!$B2836&lt;=$D$2),N(R2835)+1,N(R2835))</f>
      </c>
    </row>
    <row r="2837" s="44" customFormat="1" spans="1:23">
      <c r="A2837" s="116"/>
      <c r="E2837" s="108"/>
      <c r="F2837" s="114"/>
      <c r="G2837" s="114"/>
      <c r="H2837" s="114"/>
      <c r="Q2837" s="44">
        <f>IF(数据录入!$B2837="",0,IF(OR(数据录入!$D2837="投标保证金",数据录入!$D2837="合同履约保证金",ISNUMBER(FIND("保证金",数据录入!$E2837))),1,0))</f>
      </c>
      <c r="R2837" s="44">
        <f>IF(AND($Q2837=1,数据录入!$B2837&gt;=$B$2,数据录入!$B2837&lt;=$D$2),N(R2836)+1,N(R2836))</f>
      </c>
    </row>
    <row r="2838" s="44" customFormat="1" spans="1:23">
      <c r="A2838" s="116"/>
      <c r="E2838" s="108"/>
      <c r="F2838" s="114"/>
      <c r="G2838" s="114"/>
      <c r="H2838" s="114"/>
      <c r="Q2838" s="44">
        <f>IF(数据录入!$B2838="",0,IF(OR(数据录入!$D2838="投标保证金",数据录入!$D2838="合同履约保证金",ISNUMBER(FIND("保证金",数据录入!$E2838))),1,0))</f>
      </c>
      <c r="R2838" s="44">
        <f>IF(AND($Q2838=1,数据录入!$B2838&gt;=$B$2,数据录入!$B2838&lt;=$D$2),N(R2837)+1,N(R2837))</f>
      </c>
    </row>
    <row r="2839" s="44" customFormat="1" spans="1:23">
      <c r="A2839" s="116"/>
      <c r="E2839" s="108"/>
      <c r="F2839" s="114"/>
      <c r="G2839" s="114"/>
      <c r="H2839" s="114"/>
      <c r="Q2839" s="44">
        <f>IF(数据录入!$B2839="",0,IF(OR(数据录入!$D2839="投标保证金",数据录入!$D2839="合同履约保证金",ISNUMBER(FIND("保证金",数据录入!$E2839))),1,0))</f>
      </c>
      <c r="R2839" s="44">
        <f>IF(AND($Q2839=1,数据录入!$B2839&gt;=$B$2,数据录入!$B2839&lt;=$D$2),N(R2838)+1,N(R2838))</f>
      </c>
    </row>
    <row r="2840" s="44" customFormat="1" spans="1:23">
      <c r="A2840" s="116"/>
      <c r="E2840" s="108"/>
      <c r="F2840" s="114"/>
      <c r="G2840" s="114"/>
      <c r="H2840" s="114"/>
      <c r="Q2840" s="44">
        <f>IF(数据录入!$B2840="",0,IF(OR(数据录入!$D2840="投标保证金",数据录入!$D2840="合同履约保证金",ISNUMBER(FIND("保证金",数据录入!$E2840))),1,0))</f>
      </c>
      <c r="R2840" s="44">
        <f>IF(AND($Q2840=1,数据录入!$B2840&gt;=$B$2,数据录入!$B2840&lt;=$D$2),N(R2839)+1,N(R2839))</f>
      </c>
    </row>
    <row r="2841" s="44" customFormat="1" spans="1:23">
      <c r="A2841" s="116"/>
      <c r="E2841" s="108"/>
      <c r="F2841" s="114"/>
      <c r="G2841" s="114"/>
      <c r="H2841" s="114"/>
      <c r="Q2841" s="44">
        <f>IF(数据录入!$B2841="",0,IF(OR(数据录入!$D2841="投标保证金",数据录入!$D2841="合同履约保证金",ISNUMBER(FIND("保证金",数据录入!$E2841))),1,0))</f>
      </c>
      <c r="R2841" s="44">
        <f>IF(AND($Q2841=1,数据录入!$B2841&gt;=$B$2,数据录入!$B2841&lt;=$D$2),N(R2840)+1,N(R2840))</f>
      </c>
    </row>
    <row r="2842" s="44" customFormat="1" spans="1:23">
      <c r="A2842" s="116"/>
      <c r="E2842" s="108"/>
      <c r="F2842" s="114"/>
      <c r="G2842" s="114"/>
      <c r="H2842" s="114"/>
      <c r="Q2842" s="44">
        <f>IF(数据录入!$B2842="",0,IF(OR(数据录入!$D2842="投标保证金",数据录入!$D2842="合同履约保证金",ISNUMBER(FIND("保证金",数据录入!$E2842))),1,0))</f>
      </c>
      <c r="R2842" s="44">
        <f>IF(AND($Q2842=1,数据录入!$B2842&gt;=$B$2,数据录入!$B2842&lt;=$D$2),N(R2841)+1,N(R2841))</f>
      </c>
    </row>
    <row r="2843" s="44" customFormat="1" spans="1:23">
      <c r="A2843" s="116"/>
      <c r="E2843" s="108"/>
      <c r="F2843" s="114"/>
      <c r="G2843" s="114"/>
      <c r="H2843" s="114"/>
      <c r="Q2843" s="44">
        <f>IF(数据录入!$B2843="",0,IF(OR(数据录入!$D2843="投标保证金",数据录入!$D2843="合同履约保证金",ISNUMBER(FIND("保证金",数据录入!$E2843))),1,0))</f>
      </c>
      <c r="R2843" s="44">
        <f>IF(AND($Q2843=1,数据录入!$B2843&gt;=$B$2,数据录入!$B2843&lt;=$D$2),N(R2842)+1,N(R2842))</f>
      </c>
    </row>
    <row r="2844" s="44" customFormat="1" spans="1:23">
      <c r="A2844" s="116"/>
      <c r="E2844" s="108"/>
      <c r="F2844" s="114"/>
      <c r="G2844" s="114"/>
      <c r="H2844" s="114"/>
      <c r="Q2844" s="44">
        <f>IF(数据录入!$B2844="",0,IF(OR(数据录入!$D2844="投标保证金",数据录入!$D2844="合同履约保证金",ISNUMBER(FIND("保证金",数据录入!$E2844))),1,0))</f>
      </c>
      <c r="R2844" s="44">
        <f>IF(AND($Q2844=1,数据录入!$B2844&gt;=$B$2,数据录入!$B2844&lt;=$D$2),N(R2843)+1,N(R2843))</f>
      </c>
    </row>
    <row r="2845" s="44" customFormat="1" spans="1:23">
      <c r="A2845" s="116"/>
      <c r="E2845" s="108"/>
      <c r="F2845" s="114"/>
      <c r="G2845" s="114"/>
      <c r="H2845" s="114"/>
      <c r="Q2845" s="44">
        <f>IF(数据录入!$B2845="",0,IF(OR(数据录入!$D2845="投标保证金",数据录入!$D2845="合同履约保证金",ISNUMBER(FIND("保证金",数据录入!$E2845))),1,0))</f>
      </c>
      <c r="R2845" s="44">
        <f>IF(AND($Q2845=1,数据录入!$B2845&gt;=$B$2,数据录入!$B2845&lt;=$D$2),N(R2844)+1,N(R2844))</f>
      </c>
    </row>
    <row r="2846" s="44" customFormat="1" spans="1:23">
      <c r="A2846" s="116"/>
      <c r="E2846" s="108"/>
      <c r="F2846" s="114"/>
      <c r="G2846" s="114"/>
      <c r="H2846" s="114"/>
      <c r="Q2846" s="44">
        <f>IF(数据录入!$B2846="",0,IF(OR(数据录入!$D2846="投标保证金",数据录入!$D2846="合同履约保证金",ISNUMBER(FIND("保证金",数据录入!$E2846))),1,0))</f>
      </c>
      <c r="R2846" s="44">
        <f>IF(AND($Q2846=1,数据录入!$B2846&gt;=$B$2,数据录入!$B2846&lt;=$D$2),N(R2845)+1,N(R2845))</f>
      </c>
    </row>
    <row r="2847" s="44" customFormat="1" spans="1:23">
      <c r="A2847" s="116"/>
      <c r="E2847" s="108"/>
      <c r="F2847" s="114"/>
      <c r="G2847" s="114"/>
      <c r="H2847" s="114"/>
      <c r="Q2847" s="44">
        <f>IF(数据录入!$B2847="",0,IF(OR(数据录入!$D2847="投标保证金",数据录入!$D2847="合同履约保证金",ISNUMBER(FIND("保证金",数据录入!$E2847))),1,0))</f>
      </c>
      <c r="R2847" s="44">
        <f>IF(AND($Q2847=1,数据录入!$B2847&gt;=$B$2,数据录入!$B2847&lt;=$D$2),N(R2846)+1,N(R2846))</f>
      </c>
    </row>
    <row r="2848" s="44" customFormat="1" spans="1:23">
      <c r="A2848" s="116"/>
      <c r="E2848" s="108"/>
      <c r="F2848" s="114"/>
      <c r="G2848" s="114"/>
      <c r="H2848" s="114"/>
      <c r="Q2848" s="44">
        <f>IF(数据录入!$B2848="",0,IF(OR(数据录入!$D2848="投标保证金",数据录入!$D2848="合同履约保证金",ISNUMBER(FIND("保证金",数据录入!$E2848))),1,0))</f>
      </c>
      <c r="R2848" s="44">
        <f>IF(AND($Q2848=1,数据录入!$B2848&gt;=$B$2,数据录入!$B2848&lt;=$D$2),N(R2847)+1,N(R2847))</f>
      </c>
    </row>
    <row r="2849" s="44" customFormat="1" spans="1:23">
      <c r="A2849" s="116"/>
      <c r="E2849" s="108"/>
      <c r="F2849" s="114"/>
      <c r="G2849" s="114"/>
      <c r="H2849" s="114"/>
      <c r="Q2849" s="44">
        <f>IF(数据录入!$B2849="",0,IF(OR(数据录入!$D2849="投标保证金",数据录入!$D2849="合同履约保证金",ISNUMBER(FIND("保证金",数据录入!$E2849))),1,0))</f>
      </c>
      <c r="R2849" s="44">
        <f>IF(AND($Q2849=1,数据录入!$B2849&gt;=$B$2,数据录入!$B2849&lt;=$D$2),N(R2848)+1,N(R2848))</f>
      </c>
    </row>
    <row r="2850" s="44" customFormat="1" spans="1:23">
      <c r="A2850" s="116"/>
      <c r="E2850" s="108"/>
      <c r="F2850" s="114"/>
      <c r="G2850" s="114"/>
      <c r="H2850" s="114"/>
      <c r="Q2850" s="44">
        <f>IF(数据录入!$B2850="",0,IF(OR(数据录入!$D2850="投标保证金",数据录入!$D2850="合同履约保证金",ISNUMBER(FIND("保证金",数据录入!$E2850))),1,0))</f>
      </c>
      <c r="R2850" s="44">
        <f>IF(AND($Q2850=1,数据录入!$B2850&gt;=$B$2,数据录入!$B2850&lt;=$D$2),N(R2849)+1,N(R2849))</f>
      </c>
    </row>
    <row r="2851" s="44" customFormat="1" spans="1:23">
      <c r="A2851" s="116"/>
      <c r="E2851" s="108"/>
      <c r="F2851" s="114"/>
      <c r="G2851" s="114"/>
      <c r="H2851" s="114"/>
      <c r="Q2851" s="44">
        <f>IF(数据录入!$B2851="",0,IF(OR(数据录入!$D2851="投标保证金",数据录入!$D2851="合同履约保证金",ISNUMBER(FIND("保证金",数据录入!$E2851))),1,0))</f>
      </c>
      <c r="R2851" s="44">
        <f>IF(AND($Q2851=1,数据录入!$B2851&gt;=$B$2,数据录入!$B2851&lt;=$D$2),N(R2850)+1,N(R2850))</f>
      </c>
    </row>
    <row r="2852" s="44" customFormat="1" spans="1:23">
      <c r="A2852" s="116"/>
      <c r="E2852" s="108"/>
      <c r="F2852" s="114"/>
      <c r="G2852" s="114"/>
      <c r="H2852" s="114"/>
      <c r="Q2852" s="44">
        <f>IF(数据录入!$B2852="",0,IF(OR(数据录入!$D2852="投标保证金",数据录入!$D2852="合同履约保证金",ISNUMBER(FIND("保证金",数据录入!$E2852))),1,0))</f>
      </c>
      <c r="R2852" s="44">
        <f>IF(AND($Q2852=1,数据录入!$B2852&gt;=$B$2,数据录入!$B2852&lt;=$D$2),N(R2851)+1,N(R2851))</f>
      </c>
    </row>
    <row r="2853" s="44" customFormat="1" spans="1:23">
      <c r="A2853" s="116"/>
      <c r="E2853" s="108"/>
      <c r="F2853" s="114"/>
      <c r="G2853" s="114"/>
      <c r="H2853" s="114"/>
      <c r="Q2853" s="44">
        <f>IF(数据录入!$B2853="",0,IF(OR(数据录入!$D2853="投标保证金",数据录入!$D2853="合同履约保证金",ISNUMBER(FIND("保证金",数据录入!$E2853))),1,0))</f>
      </c>
      <c r="R2853" s="44">
        <f>IF(AND($Q2853=1,数据录入!$B2853&gt;=$B$2,数据录入!$B2853&lt;=$D$2),N(R2852)+1,N(R2852))</f>
      </c>
    </row>
    <row r="2854" s="44" customFormat="1" spans="1:23">
      <c r="A2854" s="116"/>
      <c r="E2854" s="108"/>
      <c r="F2854" s="114"/>
      <c r="G2854" s="114"/>
      <c r="H2854" s="114"/>
      <c r="Q2854" s="44">
        <f>IF(数据录入!$B2854="",0,IF(OR(数据录入!$D2854="投标保证金",数据录入!$D2854="合同履约保证金",ISNUMBER(FIND("保证金",数据录入!$E2854))),1,0))</f>
      </c>
      <c r="R2854" s="44">
        <f>IF(AND($Q2854=1,数据录入!$B2854&gt;=$B$2,数据录入!$B2854&lt;=$D$2),N(R2853)+1,N(R2853))</f>
      </c>
    </row>
    <row r="2855" s="44" customFormat="1" spans="1:23">
      <c r="A2855" s="116"/>
      <c r="E2855" s="108"/>
      <c r="F2855" s="114"/>
      <c r="G2855" s="114"/>
      <c r="H2855" s="114"/>
      <c r="Q2855" s="44">
        <f>IF(数据录入!$B2855="",0,IF(OR(数据录入!$D2855="投标保证金",数据录入!$D2855="合同履约保证金",ISNUMBER(FIND("保证金",数据录入!$E2855))),1,0))</f>
      </c>
      <c r="R2855" s="44">
        <f>IF(AND($Q2855=1,数据录入!$B2855&gt;=$B$2,数据录入!$B2855&lt;=$D$2),N(R2854)+1,N(R2854))</f>
      </c>
    </row>
    <row r="2856" s="44" customFormat="1" spans="1:23">
      <c r="A2856" s="116"/>
      <c r="E2856" s="108"/>
      <c r="F2856" s="114"/>
      <c r="G2856" s="114"/>
      <c r="H2856" s="114"/>
      <c r="Q2856" s="44">
        <f>IF(数据录入!$B2856="",0,IF(OR(数据录入!$D2856="投标保证金",数据录入!$D2856="合同履约保证金",ISNUMBER(FIND("保证金",数据录入!$E2856))),1,0))</f>
      </c>
      <c r="R2856" s="44">
        <f>IF(AND($Q2856=1,数据录入!$B2856&gt;=$B$2,数据录入!$B2856&lt;=$D$2),N(R2855)+1,N(R2855))</f>
      </c>
    </row>
    <row r="2857" s="44" customFormat="1" spans="1:23">
      <c r="A2857" s="116"/>
      <c r="E2857" s="108"/>
      <c r="F2857" s="114"/>
      <c r="G2857" s="114"/>
      <c r="H2857" s="114"/>
      <c r="Q2857" s="44">
        <f>IF(数据录入!$B2857="",0,IF(OR(数据录入!$D2857="投标保证金",数据录入!$D2857="合同履约保证金",ISNUMBER(FIND("保证金",数据录入!$E2857))),1,0))</f>
      </c>
      <c r="R2857" s="44">
        <f>IF(AND($Q2857=1,数据录入!$B2857&gt;=$B$2,数据录入!$B2857&lt;=$D$2),N(R2856)+1,N(R2856))</f>
      </c>
    </row>
    <row r="2858" s="44" customFormat="1" spans="1:23">
      <c r="A2858" s="116"/>
      <c r="E2858" s="108"/>
      <c r="F2858" s="114"/>
      <c r="G2858" s="114"/>
      <c r="H2858" s="114"/>
      <c r="Q2858" s="44">
        <f>IF(数据录入!$B2858="",0,IF(OR(数据录入!$D2858="投标保证金",数据录入!$D2858="合同履约保证金",ISNUMBER(FIND("保证金",数据录入!$E2858))),1,0))</f>
      </c>
      <c r="R2858" s="44">
        <f>IF(AND($Q2858=1,数据录入!$B2858&gt;=$B$2,数据录入!$B2858&lt;=$D$2),N(R2857)+1,N(R2857))</f>
      </c>
    </row>
    <row r="2859" s="44" customFormat="1" spans="1:23">
      <c r="A2859" s="116"/>
      <c r="E2859" s="108"/>
      <c r="F2859" s="114"/>
      <c r="G2859" s="114"/>
      <c r="H2859" s="114"/>
      <c r="Q2859" s="44">
        <f>IF(数据录入!$B2859="",0,IF(OR(数据录入!$D2859="投标保证金",数据录入!$D2859="合同履约保证金",ISNUMBER(FIND("保证金",数据录入!$E2859))),1,0))</f>
      </c>
      <c r="R2859" s="44">
        <f>IF(AND($Q2859=1,数据录入!$B2859&gt;=$B$2,数据录入!$B2859&lt;=$D$2),N(R2858)+1,N(R2858))</f>
      </c>
    </row>
    <row r="2860" s="44" customFormat="1" spans="1:23">
      <c r="A2860" s="116"/>
      <c r="E2860" s="108"/>
      <c r="F2860" s="114"/>
      <c r="G2860" s="114"/>
      <c r="H2860" s="114"/>
      <c r="Q2860" s="44">
        <f>IF(数据录入!$B2860="",0,IF(OR(数据录入!$D2860="投标保证金",数据录入!$D2860="合同履约保证金",ISNUMBER(FIND("保证金",数据录入!$E2860))),1,0))</f>
      </c>
      <c r="R2860" s="44">
        <f>IF(AND($Q2860=1,数据录入!$B2860&gt;=$B$2,数据录入!$B2860&lt;=$D$2),N(R2859)+1,N(R2859))</f>
      </c>
    </row>
    <row r="2861" s="44" customFormat="1" spans="1:23">
      <c r="A2861" s="116"/>
      <c r="E2861" s="108"/>
      <c r="F2861" s="114"/>
      <c r="G2861" s="114"/>
      <c r="H2861" s="114"/>
      <c r="Q2861" s="44">
        <f>IF(数据录入!$B2861="",0,IF(OR(数据录入!$D2861="投标保证金",数据录入!$D2861="合同履约保证金",ISNUMBER(FIND("保证金",数据录入!$E2861))),1,0))</f>
      </c>
      <c r="R2861" s="44">
        <f>IF(AND($Q2861=1,数据录入!$B2861&gt;=$B$2,数据录入!$B2861&lt;=$D$2),N(R2860)+1,N(R2860))</f>
      </c>
    </row>
    <row r="2862" s="44" customFormat="1" spans="1:23">
      <c r="A2862" s="116"/>
      <c r="E2862" s="108"/>
      <c r="F2862" s="114"/>
      <c r="G2862" s="114"/>
      <c r="H2862" s="114"/>
      <c r="Q2862" s="44">
        <f>IF(数据录入!$B2862="",0,IF(OR(数据录入!$D2862="投标保证金",数据录入!$D2862="合同履约保证金",ISNUMBER(FIND("保证金",数据录入!$E2862))),1,0))</f>
      </c>
      <c r="R2862" s="44">
        <f>IF(AND($Q2862=1,数据录入!$B2862&gt;=$B$2,数据录入!$B2862&lt;=$D$2),N(R2861)+1,N(R2861))</f>
      </c>
    </row>
    <row r="2863" s="44" customFormat="1" spans="1:23">
      <c r="A2863" s="116"/>
      <c r="E2863" s="108"/>
      <c r="F2863" s="114"/>
      <c r="G2863" s="114"/>
      <c r="H2863" s="114"/>
      <c r="Q2863" s="44">
        <f>IF(数据录入!$B2863="",0,IF(OR(数据录入!$D2863="投标保证金",数据录入!$D2863="合同履约保证金",ISNUMBER(FIND("保证金",数据录入!$E2863))),1,0))</f>
      </c>
      <c r="R2863" s="44">
        <f>IF(AND($Q2863=1,数据录入!$B2863&gt;=$B$2,数据录入!$B2863&lt;=$D$2),N(R2862)+1,N(R2862))</f>
      </c>
    </row>
    <row r="2864" s="44" customFormat="1" spans="1:23">
      <c r="A2864" s="116"/>
      <c r="E2864" s="108"/>
      <c r="F2864" s="114"/>
      <c r="G2864" s="114"/>
      <c r="H2864" s="114"/>
      <c r="Q2864" s="44">
        <f>IF(数据录入!$B2864="",0,IF(OR(数据录入!$D2864="投标保证金",数据录入!$D2864="合同履约保证金",ISNUMBER(FIND("保证金",数据录入!$E2864))),1,0))</f>
      </c>
      <c r="R2864" s="44">
        <f>IF(AND($Q2864=1,数据录入!$B2864&gt;=$B$2,数据录入!$B2864&lt;=$D$2),N(R2863)+1,N(R2863))</f>
      </c>
    </row>
    <row r="2865" s="44" customFormat="1" spans="1:23">
      <c r="A2865" s="116"/>
      <c r="E2865" s="108"/>
      <c r="F2865" s="114"/>
      <c r="G2865" s="114"/>
      <c r="H2865" s="114"/>
      <c r="Q2865" s="44">
        <f>IF(数据录入!$B2865="",0,IF(OR(数据录入!$D2865="投标保证金",数据录入!$D2865="合同履约保证金",ISNUMBER(FIND("保证金",数据录入!$E2865))),1,0))</f>
      </c>
      <c r="R2865" s="44">
        <f>IF(AND($Q2865=1,数据录入!$B2865&gt;=$B$2,数据录入!$B2865&lt;=$D$2),N(R2864)+1,N(R2864))</f>
      </c>
    </row>
    <row r="2866" s="44" customFormat="1" spans="1:23">
      <c r="A2866" s="116"/>
      <c r="E2866" s="108"/>
      <c r="F2866" s="114"/>
      <c r="G2866" s="114"/>
      <c r="H2866" s="114"/>
      <c r="Q2866" s="44">
        <f>IF(数据录入!$B2866="",0,IF(OR(数据录入!$D2866="投标保证金",数据录入!$D2866="合同履约保证金",ISNUMBER(FIND("保证金",数据录入!$E2866))),1,0))</f>
      </c>
      <c r="R2866" s="44">
        <f>IF(AND($Q2866=1,数据录入!$B2866&gt;=$B$2,数据录入!$B2866&lt;=$D$2),N(R2865)+1,N(R2865))</f>
      </c>
    </row>
    <row r="2867" s="44" customFormat="1" spans="1:23">
      <c r="A2867" s="116"/>
      <c r="E2867" s="108"/>
      <c r="F2867" s="114"/>
      <c r="G2867" s="114"/>
      <c r="H2867" s="114"/>
      <c r="Q2867" s="44">
        <f>IF(数据录入!$B2867="",0,IF(OR(数据录入!$D2867="投标保证金",数据录入!$D2867="合同履约保证金",ISNUMBER(FIND("保证金",数据录入!$E2867))),1,0))</f>
      </c>
      <c r="R2867" s="44">
        <f>IF(AND($Q2867=1,数据录入!$B2867&gt;=$B$2,数据录入!$B2867&lt;=$D$2),N(R2866)+1,N(R2866))</f>
      </c>
    </row>
    <row r="2868" s="44" customFormat="1" spans="1:23">
      <c r="A2868" s="116"/>
      <c r="E2868" s="108"/>
      <c r="F2868" s="114"/>
      <c r="G2868" s="114"/>
      <c r="H2868" s="114"/>
      <c r="Q2868" s="44">
        <f>IF(数据录入!$B2868="",0,IF(OR(数据录入!$D2868="投标保证金",数据录入!$D2868="合同履约保证金",ISNUMBER(FIND("保证金",数据录入!$E2868))),1,0))</f>
      </c>
      <c r="R2868" s="44">
        <f>IF(AND($Q2868=1,数据录入!$B2868&gt;=$B$2,数据录入!$B2868&lt;=$D$2),N(R2867)+1,N(R2867))</f>
      </c>
    </row>
    <row r="2869" s="44" customFormat="1" spans="1:23">
      <c r="A2869" s="116"/>
      <c r="E2869" s="108"/>
      <c r="F2869" s="114"/>
      <c r="G2869" s="114"/>
      <c r="H2869" s="114"/>
      <c r="Q2869" s="44">
        <f>IF(数据录入!$B2869="",0,IF(OR(数据录入!$D2869="投标保证金",数据录入!$D2869="合同履约保证金",ISNUMBER(FIND("保证金",数据录入!$E2869))),1,0))</f>
      </c>
      <c r="R2869" s="44">
        <f>IF(AND($Q2869=1,数据录入!$B2869&gt;=$B$2,数据录入!$B2869&lt;=$D$2),N(R2868)+1,N(R2868))</f>
      </c>
    </row>
    <row r="2870" s="44" customFormat="1" spans="1:23">
      <c r="A2870" s="116"/>
      <c r="E2870" s="108"/>
      <c r="F2870" s="114"/>
      <c r="G2870" s="114"/>
      <c r="H2870" s="114"/>
      <c r="Q2870" s="44">
        <f>IF(数据录入!$B2870="",0,IF(OR(数据录入!$D2870="投标保证金",数据录入!$D2870="合同履约保证金",ISNUMBER(FIND("保证金",数据录入!$E2870))),1,0))</f>
      </c>
      <c r="R2870" s="44">
        <f>IF(AND($Q2870=1,数据录入!$B2870&gt;=$B$2,数据录入!$B2870&lt;=$D$2),N(R2869)+1,N(R2869))</f>
      </c>
    </row>
    <row r="2871" s="44" customFormat="1" spans="1:23">
      <c r="A2871" s="116"/>
      <c r="E2871" s="108"/>
      <c r="F2871" s="114"/>
      <c r="G2871" s="114"/>
      <c r="H2871" s="114"/>
      <c r="Q2871" s="44">
        <f>IF(数据录入!$B2871="",0,IF(OR(数据录入!$D2871="投标保证金",数据录入!$D2871="合同履约保证金",ISNUMBER(FIND("保证金",数据录入!$E2871))),1,0))</f>
      </c>
      <c r="R2871" s="44">
        <f>IF(AND($Q2871=1,数据录入!$B2871&gt;=$B$2,数据录入!$B2871&lt;=$D$2),N(R2870)+1,N(R2870))</f>
      </c>
    </row>
    <row r="2872" s="44" customFormat="1" spans="1:23">
      <c r="A2872" s="116"/>
      <c r="E2872" s="108"/>
      <c r="F2872" s="114"/>
      <c r="G2872" s="114"/>
      <c r="H2872" s="114"/>
      <c r="Q2872" s="44">
        <f>IF(数据录入!$B2872="",0,IF(OR(数据录入!$D2872="投标保证金",数据录入!$D2872="合同履约保证金",ISNUMBER(FIND("保证金",数据录入!$E2872))),1,0))</f>
      </c>
      <c r="R2872" s="44">
        <f>IF(AND($Q2872=1,数据录入!$B2872&gt;=$B$2,数据录入!$B2872&lt;=$D$2),N(R2871)+1,N(R2871))</f>
      </c>
    </row>
    <row r="2873" s="44" customFormat="1" spans="1:23">
      <c r="A2873" s="116"/>
      <c r="E2873" s="108"/>
      <c r="F2873" s="114"/>
      <c r="G2873" s="114"/>
      <c r="H2873" s="114"/>
      <c r="Q2873" s="44">
        <f>IF(数据录入!$B2873="",0,IF(OR(数据录入!$D2873="投标保证金",数据录入!$D2873="合同履约保证金",ISNUMBER(FIND("保证金",数据录入!$E2873))),1,0))</f>
      </c>
      <c r="R2873" s="44">
        <f>IF(AND($Q2873=1,数据录入!$B2873&gt;=$B$2,数据录入!$B2873&lt;=$D$2),N(R2872)+1,N(R2872))</f>
      </c>
    </row>
    <row r="2874" s="44" customFormat="1" spans="1:23">
      <c r="A2874" s="116"/>
      <c r="E2874" s="108"/>
      <c r="F2874" s="114"/>
      <c r="G2874" s="114"/>
      <c r="H2874" s="114"/>
      <c r="Q2874" s="44">
        <f>IF(数据录入!$B2874="",0,IF(OR(数据录入!$D2874="投标保证金",数据录入!$D2874="合同履约保证金",ISNUMBER(FIND("保证金",数据录入!$E2874))),1,0))</f>
      </c>
      <c r="R2874" s="44">
        <f>IF(AND($Q2874=1,数据录入!$B2874&gt;=$B$2,数据录入!$B2874&lt;=$D$2),N(R2873)+1,N(R2873))</f>
      </c>
    </row>
    <row r="2875" s="44" customFormat="1" spans="1:23">
      <c r="A2875" s="116"/>
      <c r="E2875" s="108"/>
      <c r="F2875" s="114"/>
      <c r="G2875" s="114"/>
      <c r="H2875" s="114"/>
      <c r="Q2875" s="44">
        <f>IF(数据录入!$B2875="",0,IF(OR(数据录入!$D2875="投标保证金",数据录入!$D2875="合同履约保证金",ISNUMBER(FIND("保证金",数据录入!$E2875))),1,0))</f>
      </c>
      <c r="R2875" s="44">
        <f>IF(AND($Q2875=1,数据录入!$B2875&gt;=$B$2,数据录入!$B2875&lt;=$D$2),N(R2874)+1,N(R2874))</f>
      </c>
    </row>
    <row r="2876" s="44" customFormat="1" spans="1:23">
      <c r="A2876" s="116"/>
      <c r="E2876" s="108"/>
      <c r="F2876" s="114"/>
      <c r="G2876" s="114"/>
      <c r="H2876" s="114"/>
      <c r="Q2876" s="44">
        <f>IF(数据录入!$B2876="",0,IF(OR(数据录入!$D2876="投标保证金",数据录入!$D2876="合同履约保证金",ISNUMBER(FIND("保证金",数据录入!$E2876))),1,0))</f>
      </c>
      <c r="R2876" s="44">
        <f>IF(AND($Q2876=1,数据录入!$B2876&gt;=$B$2,数据录入!$B2876&lt;=$D$2),N(R2875)+1,N(R2875))</f>
      </c>
    </row>
    <row r="2877" s="44" customFormat="1" spans="1:23">
      <c r="A2877" s="116"/>
      <c r="E2877" s="108"/>
      <c r="F2877" s="114"/>
      <c r="G2877" s="114"/>
      <c r="H2877" s="114"/>
      <c r="Q2877" s="44">
        <f>IF(数据录入!$B2877="",0,IF(OR(数据录入!$D2877="投标保证金",数据录入!$D2877="合同履约保证金",ISNUMBER(FIND("保证金",数据录入!$E2877))),1,0))</f>
      </c>
      <c r="R2877" s="44">
        <f>IF(AND($Q2877=1,数据录入!$B2877&gt;=$B$2,数据录入!$B2877&lt;=$D$2),N(R2876)+1,N(R2876))</f>
      </c>
    </row>
    <row r="2878" s="44" customFormat="1" spans="1:23">
      <c r="A2878" s="116"/>
      <c r="E2878" s="108"/>
      <c r="F2878" s="114"/>
      <c r="G2878" s="114"/>
      <c r="H2878" s="114"/>
      <c r="Q2878" s="44">
        <f>IF(数据录入!$B2878="",0,IF(OR(数据录入!$D2878="投标保证金",数据录入!$D2878="合同履约保证金",ISNUMBER(FIND("保证金",数据录入!$E2878))),1,0))</f>
      </c>
      <c r="R2878" s="44">
        <f>IF(AND($Q2878=1,数据录入!$B2878&gt;=$B$2,数据录入!$B2878&lt;=$D$2),N(R2877)+1,N(R2877))</f>
      </c>
    </row>
    <row r="2879" s="44" customFormat="1" spans="1:23">
      <c r="A2879" s="116"/>
      <c r="E2879" s="108"/>
      <c r="F2879" s="114"/>
      <c r="G2879" s="114"/>
      <c r="H2879" s="114"/>
      <c r="Q2879" s="44">
        <f>IF(数据录入!$B2879="",0,IF(OR(数据录入!$D2879="投标保证金",数据录入!$D2879="合同履约保证金",ISNUMBER(FIND("保证金",数据录入!$E2879))),1,0))</f>
      </c>
      <c r="R2879" s="44">
        <f>IF(AND($Q2879=1,数据录入!$B2879&gt;=$B$2,数据录入!$B2879&lt;=$D$2),N(R2878)+1,N(R2878))</f>
      </c>
    </row>
    <row r="2880" s="44" customFormat="1" spans="1:23">
      <c r="A2880" s="116"/>
      <c r="E2880" s="108"/>
      <c r="F2880" s="114"/>
      <c r="G2880" s="114"/>
      <c r="H2880" s="114"/>
      <c r="Q2880" s="44">
        <f>IF(数据录入!$B2880="",0,IF(OR(数据录入!$D2880="投标保证金",数据录入!$D2880="合同履约保证金",ISNUMBER(FIND("保证金",数据录入!$E2880))),1,0))</f>
      </c>
      <c r="R2880" s="44">
        <f>IF(AND($Q2880=1,数据录入!$B2880&gt;=$B$2,数据录入!$B2880&lt;=$D$2),N(R2879)+1,N(R2879))</f>
      </c>
    </row>
    <row r="2881" s="44" customFormat="1" spans="1:23">
      <c r="A2881" s="116"/>
      <c r="E2881" s="108"/>
      <c r="F2881" s="114"/>
      <c r="G2881" s="114"/>
      <c r="H2881" s="114"/>
      <c r="Q2881" s="44">
        <f>IF(数据录入!$B2881="",0,IF(OR(数据录入!$D2881="投标保证金",数据录入!$D2881="合同履约保证金",ISNUMBER(FIND("保证金",数据录入!$E2881))),1,0))</f>
      </c>
      <c r="R2881" s="44">
        <f>IF(AND($Q2881=1,数据录入!$B2881&gt;=$B$2,数据录入!$B2881&lt;=$D$2),N(R2880)+1,N(R2880))</f>
      </c>
    </row>
    <row r="2882" s="44" customFormat="1" spans="1:23">
      <c r="A2882" s="116"/>
      <c r="E2882" s="108"/>
      <c r="F2882" s="114"/>
      <c r="G2882" s="114"/>
      <c r="H2882" s="114"/>
      <c r="Q2882" s="44">
        <f>IF(数据录入!$B2882="",0,IF(OR(数据录入!$D2882="投标保证金",数据录入!$D2882="合同履约保证金",ISNUMBER(FIND("保证金",数据录入!$E2882))),1,0))</f>
      </c>
      <c r="R2882" s="44">
        <f>IF(AND($Q2882=1,数据录入!$B2882&gt;=$B$2,数据录入!$B2882&lt;=$D$2),N(R2881)+1,N(R2881))</f>
      </c>
    </row>
    <row r="2883" s="44" customFormat="1" spans="1:23">
      <c r="A2883" s="116"/>
      <c r="E2883" s="108"/>
      <c r="F2883" s="114"/>
      <c r="G2883" s="114"/>
      <c r="H2883" s="114"/>
      <c r="Q2883" s="44">
        <f>IF(数据录入!$B2883="",0,IF(OR(数据录入!$D2883="投标保证金",数据录入!$D2883="合同履约保证金",ISNUMBER(FIND("保证金",数据录入!$E2883))),1,0))</f>
      </c>
      <c r="R2883" s="44">
        <f>IF(AND($Q2883=1,数据录入!$B2883&gt;=$B$2,数据录入!$B2883&lt;=$D$2),N(R2882)+1,N(R2882))</f>
      </c>
    </row>
    <row r="2884" s="44" customFormat="1" spans="1:23">
      <c r="A2884" s="116"/>
      <c r="E2884" s="108"/>
      <c r="F2884" s="114"/>
      <c r="G2884" s="114"/>
      <c r="H2884" s="114"/>
      <c r="Q2884" s="44">
        <f>IF(数据录入!$B2884="",0,IF(OR(数据录入!$D2884="投标保证金",数据录入!$D2884="合同履约保证金",ISNUMBER(FIND("保证金",数据录入!$E2884))),1,0))</f>
      </c>
      <c r="R2884" s="44">
        <f>IF(AND($Q2884=1,数据录入!$B2884&gt;=$B$2,数据录入!$B2884&lt;=$D$2),N(R2883)+1,N(R2883))</f>
      </c>
    </row>
    <row r="2885" s="44" customFormat="1" spans="1:23">
      <c r="A2885" s="116"/>
      <c r="E2885" s="108"/>
      <c r="F2885" s="114"/>
      <c r="G2885" s="114"/>
      <c r="H2885" s="114"/>
      <c r="Q2885" s="44">
        <f>IF(数据录入!$B2885="",0,IF(OR(数据录入!$D2885="投标保证金",数据录入!$D2885="合同履约保证金",ISNUMBER(FIND("保证金",数据录入!$E2885))),1,0))</f>
      </c>
      <c r="R2885" s="44">
        <f>IF(AND($Q2885=1,数据录入!$B2885&gt;=$B$2,数据录入!$B2885&lt;=$D$2),N(R2884)+1,N(R2884))</f>
      </c>
    </row>
    <row r="2886" s="44" customFormat="1" spans="1:23">
      <c r="A2886" s="116"/>
      <c r="E2886" s="108"/>
      <c r="F2886" s="114"/>
      <c r="G2886" s="114"/>
      <c r="H2886" s="114"/>
      <c r="Q2886" s="44">
        <f>IF(数据录入!$B2886="",0,IF(OR(数据录入!$D2886="投标保证金",数据录入!$D2886="合同履约保证金",ISNUMBER(FIND("保证金",数据录入!$E2886))),1,0))</f>
      </c>
      <c r="R2886" s="44">
        <f>IF(AND($Q2886=1,数据录入!$B2886&gt;=$B$2,数据录入!$B2886&lt;=$D$2),N(R2885)+1,N(R2885))</f>
      </c>
    </row>
    <row r="2887" s="44" customFormat="1" spans="1:23">
      <c r="A2887" s="116"/>
      <c r="E2887" s="108"/>
      <c r="F2887" s="114"/>
      <c r="G2887" s="114"/>
      <c r="H2887" s="114"/>
      <c r="Q2887" s="44">
        <f>IF(数据录入!$B2887="",0,IF(OR(数据录入!$D2887="投标保证金",数据录入!$D2887="合同履约保证金",ISNUMBER(FIND("保证金",数据录入!$E2887))),1,0))</f>
      </c>
      <c r="R2887" s="44">
        <f>IF(AND($Q2887=1,数据录入!$B2887&gt;=$B$2,数据录入!$B2887&lt;=$D$2),N(R2886)+1,N(R2886))</f>
      </c>
    </row>
    <row r="2888" s="44" customFormat="1" spans="1:23">
      <c r="A2888" s="116"/>
      <c r="E2888" s="108"/>
      <c r="F2888" s="114"/>
      <c r="G2888" s="114"/>
      <c r="H2888" s="114"/>
      <c r="Q2888" s="44">
        <f>IF(数据录入!$B2888="",0,IF(OR(数据录入!$D2888="投标保证金",数据录入!$D2888="合同履约保证金",ISNUMBER(FIND("保证金",数据录入!$E2888))),1,0))</f>
      </c>
      <c r="R2888" s="44">
        <f>IF(AND($Q2888=1,数据录入!$B2888&gt;=$B$2,数据录入!$B2888&lt;=$D$2),N(R2887)+1,N(R2887))</f>
      </c>
    </row>
    <row r="2889" s="44" customFormat="1" spans="1:23">
      <c r="A2889" s="116"/>
      <c r="E2889" s="108"/>
      <c r="F2889" s="114"/>
      <c r="G2889" s="114"/>
      <c r="H2889" s="114"/>
      <c r="Q2889" s="44">
        <f>IF(数据录入!$B2889="",0,IF(OR(数据录入!$D2889="投标保证金",数据录入!$D2889="合同履约保证金",ISNUMBER(FIND("保证金",数据录入!$E2889))),1,0))</f>
      </c>
      <c r="R2889" s="44">
        <f>IF(AND($Q2889=1,数据录入!$B2889&gt;=$B$2,数据录入!$B2889&lt;=$D$2),N(R2888)+1,N(R2888))</f>
      </c>
    </row>
    <row r="2890" s="44" customFormat="1" spans="1:23">
      <c r="A2890" s="116"/>
      <c r="E2890" s="108"/>
      <c r="F2890" s="114"/>
      <c r="G2890" s="114"/>
      <c r="H2890" s="114"/>
      <c r="Q2890" s="44">
        <f>IF(数据录入!$B2890="",0,IF(OR(数据录入!$D2890="投标保证金",数据录入!$D2890="合同履约保证金",ISNUMBER(FIND("保证金",数据录入!$E2890))),1,0))</f>
      </c>
      <c r="R2890" s="44">
        <f>IF(AND($Q2890=1,数据录入!$B2890&gt;=$B$2,数据录入!$B2890&lt;=$D$2),N(R2889)+1,N(R2889))</f>
      </c>
    </row>
    <row r="2891" s="44" customFormat="1" spans="1:23">
      <c r="A2891" s="116"/>
      <c r="E2891" s="108"/>
      <c r="F2891" s="114"/>
      <c r="G2891" s="114"/>
      <c r="H2891" s="114"/>
      <c r="Q2891" s="44">
        <f>IF(数据录入!$B2891="",0,IF(OR(数据录入!$D2891="投标保证金",数据录入!$D2891="合同履约保证金",ISNUMBER(FIND("保证金",数据录入!$E2891))),1,0))</f>
      </c>
      <c r="R2891" s="44">
        <f>IF(AND($Q2891=1,数据录入!$B2891&gt;=$B$2,数据录入!$B2891&lt;=$D$2),N(R2890)+1,N(R2890))</f>
      </c>
    </row>
    <row r="2892" s="44" customFormat="1" spans="1:23">
      <c r="A2892" s="116"/>
      <c r="E2892" s="108"/>
      <c r="F2892" s="114"/>
      <c r="G2892" s="114"/>
      <c r="H2892" s="114"/>
      <c r="Q2892" s="44">
        <f>IF(数据录入!$B2892="",0,IF(OR(数据录入!$D2892="投标保证金",数据录入!$D2892="合同履约保证金",ISNUMBER(FIND("保证金",数据录入!$E2892))),1,0))</f>
      </c>
      <c r="R2892" s="44">
        <f>IF(AND($Q2892=1,数据录入!$B2892&gt;=$B$2,数据录入!$B2892&lt;=$D$2),N(R2891)+1,N(R2891))</f>
      </c>
    </row>
    <row r="2893" s="44" customFormat="1" spans="1:23">
      <c r="A2893" s="116"/>
      <c r="E2893" s="108"/>
      <c r="F2893" s="114"/>
      <c r="G2893" s="114"/>
      <c r="H2893" s="114"/>
      <c r="Q2893" s="44">
        <f>IF(数据录入!$B2893="",0,IF(OR(数据录入!$D2893="投标保证金",数据录入!$D2893="合同履约保证金",ISNUMBER(FIND("保证金",数据录入!$E2893))),1,0))</f>
      </c>
      <c r="R2893" s="44">
        <f>IF(AND($Q2893=1,数据录入!$B2893&gt;=$B$2,数据录入!$B2893&lt;=$D$2),N(R2892)+1,N(R2892))</f>
      </c>
    </row>
    <row r="2894" s="44" customFormat="1" spans="1:23">
      <c r="A2894" s="116"/>
      <c r="E2894" s="108"/>
      <c r="F2894" s="114"/>
      <c r="G2894" s="114"/>
      <c r="H2894" s="114"/>
      <c r="Q2894" s="44">
        <f>IF(数据录入!$B2894="",0,IF(OR(数据录入!$D2894="投标保证金",数据录入!$D2894="合同履约保证金",ISNUMBER(FIND("保证金",数据录入!$E2894))),1,0))</f>
      </c>
      <c r="R2894" s="44">
        <f>IF(AND($Q2894=1,数据录入!$B2894&gt;=$B$2,数据录入!$B2894&lt;=$D$2),N(R2893)+1,N(R2893))</f>
      </c>
    </row>
    <row r="2895" s="44" customFormat="1" spans="1:23">
      <c r="A2895" s="116"/>
      <c r="E2895" s="108"/>
      <c r="F2895" s="114"/>
      <c r="G2895" s="114"/>
      <c r="H2895" s="114"/>
      <c r="Q2895" s="44">
        <f>IF(数据录入!$B2895="",0,IF(OR(数据录入!$D2895="投标保证金",数据录入!$D2895="合同履约保证金",ISNUMBER(FIND("保证金",数据录入!$E2895))),1,0))</f>
      </c>
      <c r="R2895" s="44">
        <f>IF(AND($Q2895=1,数据录入!$B2895&gt;=$B$2,数据录入!$B2895&lt;=$D$2),N(R2894)+1,N(R2894))</f>
      </c>
    </row>
    <row r="2896" s="44" customFormat="1" spans="1:23">
      <c r="A2896" s="116"/>
      <c r="E2896" s="108"/>
      <c r="F2896" s="114"/>
      <c r="G2896" s="114"/>
      <c r="H2896" s="114"/>
      <c r="Q2896" s="44">
        <f>IF(数据录入!$B2896="",0,IF(OR(数据录入!$D2896="投标保证金",数据录入!$D2896="合同履约保证金",ISNUMBER(FIND("保证金",数据录入!$E2896))),1,0))</f>
      </c>
      <c r="R2896" s="44">
        <f>IF(AND($Q2896=1,数据录入!$B2896&gt;=$B$2,数据录入!$B2896&lt;=$D$2),N(R2895)+1,N(R2895))</f>
      </c>
    </row>
    <row r="2897" s="44" customFormat="1" spans="1:23">
      <c r="A2897" s="116"/>
      <c r="E2897" s="108"/>
      <c r="F2897" s="114"/>
      <c r="G2897" s="114"/>
      <c r="H2897" s="114"/>
      <c r="Q2897" s="44">
        <f>IF(数据录入!$B2897="",0,IF(OR(数据录入!$D2897="投标保证金",数据录入!$D2897="合同履约保证金",ISNUMBER(FIND("保证金",数据录入!$E2897))),1,0))</f>
      </c>
      <c r="R2897" s="44">
        <f>IF(AND($Q2897=1,数据录入!$B2897&gt;=$B$2,数据录入!$B2897&lt;=$D$2),N(R2896)+1,N(R2896))</f>
      </c>
    </row>
    <row r="2898" s="44" customFormat="1" spans="1:23">
      <c r="A2898" s="116"/>
      <c r="E2898" s="108"/>
      <c r="F2898" s="114"/>
      <c r="G2898" s="114"/>
      <c r="H2898" s="114"/>
      <c r="Q2898" s="44">
        <f>IF(数据录入!$B2898="",0,IF(OR(数据录入!$D2898="投标保证金",数据录入!$D2898="合同履约保证金",ISNUMBER(FIND("保证金",数据录入!$E2898))),1,0))</f>
      </c>
      <c r="R2898" s="44">
        <f>IF(AND($Q2898=1,数据录入!$B2898&gt;=$B$2,数据录入!$B2898&lt;=$D$2),N(R2897)+1,N(R2897))</f>
      </c>
    </row>
    <row r="2899" s="44" customFormat="1" spans="1:23">
      <c r="A2899" s="116"/>
      <c r="E2899" s="108"/>
      <c r="F2899" s="114"/>
      <c r="G2899" s="114"/>
      <c r="H2899" s="114"/>
      <c r="Q2899" s="44">
        <f>IF(数据录入!$B2899="",0,IF(OR(数据录入!$D2899="投标保证金",数据录入!$D2899="合同履约保证金",ISNUMBER(FIND("保证金",数据录入!$E2899))),1,0))</f>
      </c>
      <c r="R2899" s="44">
        <f>IF(AND($Q2899=1,数据录入!$B2899&gt;=$B$2,数据录入!$B2899&lt;=$D$2),N(R2898)+1,N(R2898))</f>
      </c>
    </row>
    <row r="2900" s="44" customFormat="1" spans="1:23">
      <c r="A2900" s="116"/>
      <c r="E2900" s="108"/>
      <c r="F2900" s="114"/>
      <c r="G2900" s="114"/>
      <c r="H2900" s="114"/>
      <c r="Q2900" s="44">
        <f>IF(数据录入!$B2900="",0,IF(OR(数据录入!$D2900="投标保证金",数据录入!$D2900="合同履约保证金",ISNUMBER(FIND("保证金",数据录入!$E2900))),1,0))</f>
      </c>
      <c r="R2900" s="44">
        <f>IF(AND($Q2900=1,数据录入!$B2900&gt;=$B$2,数据录入!$B2900&lt;=$D$2),N(R2899)+1,N(R2899))</f>
      </c>
    </row>
    <row r="2901" s="44" customFormat="1" spans="1:23">
      <c r="A2901" s="116"/>
      <c r="E2901" s="108"/>
      <c r="F2901" s="114"/>
      <c r="G2901" s="114"/>
      <c r="H2901" s="114"/>
      <c r="Q2901" s="44">
        <f>IF(数据录入!$B2901="",0,IF(OR(数据录入!$D2901="投标保证金",数据录入!$D2901="合同履约保证金",ISNUMBER(FIND("保证金",数据录入!$E2901))),1,0))</f>
      </c>
      <c r="R2901" s="44">
        <f>IF(AND($Q2901=1,数据录入!$B2901&gt;=$B$2,数据录入!$B2901&lt;=$D$2),N(R2900)+1,N(R2900))</f>
      </c>
    </row>
    <row r="2902" s="44" customFormat="1" spans="1:23">
      <c r="A2902" s="116"/>
      <c r="E2902" s="108"/>
      <c r="F2902" s="114"/>
      <c r="G2902" s="114"/>
      <c r="H2902" s="114"/>
      <c r="Q2902" s="44">
        <f>IF(数据录入!$B2902="",0,IF(OR(数据录入!$D2902="投标保证金",数据录入!$D2902="合同履约保证金",ISNUMBER(FIND("保证金",数据录入!$E2902))),1,0))</f>
      </c>
      <c r="R2902" s="44">
        <f>IF(AND($Q2902=1,数据录入!$B2902&gt;=$B$2,数据录入!$B2902&lt;=$D$2),N(R2901)+1,N(R2901))</f>
      </c>
    </row>
    <row r="2903" s="44" customFormat="1" spans="1:23">
      <c r="A2903" s="116"/>
      <c r="E2903" s="108"/>
      <c r="F2903" s="114"/>
      <c r="G2903" s="114"/>
      <c r="H2903" s="114"/>
      <c r="Q2903" s="44">
        <f>IF(数据录入!$B2903="",0,IF(OR(数据录入!$D2903="投标保证金",数据录入!$D2903="合同履约保证金",ISNUMBER(FIND("保证金",数据录入!$E2903))),1,0))</f>
      </c>
      <c r="R2903" s="44">
        <f>IF(AND($Q2903=1,数据录入!$B2903&gt;=$B$2,数据录入!$B2903&lt;=$D$2),N(R2902)+1,N(R2902))</f>
      </c>
    </row>
    <row r="2904" s="44" customFormat="1" spans="1:23">
      <c r="A2904" s="116"/>
      <c r="E2904" s="108"/>
      <c r="F2904" s="114"/>
      <c r="G2904" s="114"/>
      <c r="H2904" s="114"/>
      <c r="Q2904" s="44">
        <f>IF(数据录入!$B2904="",0,IF(OR(数据录入!$D2904="投标保证金",数据录入!$D2904="合同履约保证金",ISNUMBER(FIND("保证金",数据录入!$E2904))),1,0))</f>
      </c>
      <c r="R2904" s="44">
        <f>IF(AND($Q2904=1,数据录入!$B2904&gt;=$B$2,数据录入!$B2904&lt;=$D$2),N(R2903)+1,N(R2903))</f>
      </c>
    </row>
    <row r="2905" s="44" customFormat="1" spans="1:23">
      <c r="A2905" s="116"/>
      <c r="E2905" s="108"/>
      <c r="F2905" s="114"/>
      <c r="G2905" s="114"/>
      <c r="H2905" s="114"/>
      <c r="Q2905" s="44">
        <f>IF(数据录入!$B2905="",0,IF(OR(数据录入!$D2905="投标保证金",数据录入!$D2905="合同履约保证金",ISNUMBER(FIND("保证金",数据录入!$E2905))),1,0))</f>
      </c>
      <c r="R2905" s="44">
        <f>IF(AND($Q2905=1,数据录入!$B2905&gt;=$B$2,数据录入!$B2905&lt;=$D$2),N(R2904)+1,N(R2904))</f>
      </c>
    </row>
    <row r="2906" s="44" customFormat="1" spans="1:23">
      <c r="A2906" s="116"/>
      <c r="E2906" s="108"/>
      <c r="F2906" s="114"/>
      <c r="G2906" s="114"/>
      <c r="H2906" s="114"/>
      <c r="Q2906" s="44">
        <f>IF(数据录入!$B2906="",0,IF(OR(数据录入!$D2906="投标保证金",数据录入!$D2906="合同履约保证金",ISNUMBER(FIND("保证金",数据录入!$E2906))),1,0))</f>
      </c>
      <c r="R2906" s="44">
        <f>IF(AND($Q2906=1,数据录入!$B2906&gt;=$B$2,数据录入!$B2906&lt;=$D$2),N(R2905)+1,N(R2905))</f>
      </c>
    </row>
    <row r="2907" s="44" customFormat="1" spans="1:23">
      <c r="A2907" s="116"/>
      <c r="E2907" s="108"/>
      <c r="F2907" s="114"/>
      <c r="G2907" s="114"/>
      <c r="H2907" s="114"/>
      <c r="Q2907" s="44">
        <f>IF(数据录入!$B2907="",0,IF(OR(数据录入!$D2907="投标保证金",数据录入!$D2907="合同履约保证金",ISNUMBER(FIND("保证金",数据录入!$E2907))),1,0))</f>
      </c>
      <c r="R2907" s="44">
        <f>IF(AND($Q2907=1,数据录入!$B2907&gt;=$B$2,数据录入!$B2907&lt;=$D$2),N(R2906)+1,N(R2906))</f>
      </c>
    </row>
    <row r="2908" s="44" customFormat="1" spans="1:23">
      <c r="A2908" s="116"/>
      <c r="E2908" s="108"/>
      <c r="F2908" s="114"/>
      <c r="G2908" s="114"/>
      <c r="H2908" s="114"/>
      <c r="Q2908" s="44">
        <f>IF(数据录入!$B2908="",0,IF(OR(数据录入!$D2908="投标保证金",数据录入!$D2908="合同履约保证金",ISNUMBER(FIND("保证金",数据录入!$E2908))),1,0))</f>
      </c>
      <c r="R2908" s="44">
        <f>IF(AND($Q2908=1,数据录入!$B2908&gt;=$B$2,数据录入!$B2908&lt;=$D$2),N(R2907)+1,N(R2907))</f>
      </c>
    </row>
    <row r="2909" s="44" customFormat="1" spans="1:23">
      <c r="A2909" s="116"/>
      <c r="E2909" s="108"/>
      <c r="F2909" s="114"/>
      <c r="G2909" s="114"/>
      <c r="H2909" s="114"/>
      <c r="Q2909" s="44">
        <f>IF(数据录入!$B2909="",0,IF(OR(数据录入!$D2909="投标保证金",数据录入!$D2909="合同履约保证金",ISNUMBER(FIND("保证金",数据录入!$E2909))),1,0))</f>
      </c>
      <c r="R2909" s="44">
        <f>IF(AND($Q2909=1,数据录入!$B2909&gt;=$B$2,数据录入!$B2909&lt;=$D$2),N(R2908)+1,N(R2908))</f>
      </c>
    </row>
    <row r="2910" s="44" customFormat="1" spans="1:23">
      <c r="A2910" s="116"/>
      <c r="E2910" s="108"/>
      <c r="F2910" s="114"/>
      <c r="G2910" s="114"/>
      <c r="H2910" s="114"/>
      <c r="Q2910" s="44">
        <f>IF(数据录入!$B2910="",0,IF(OR(数据录入!$D2910="投标保证金",数据录入!$D2910="合同履约保证金",ISNUMBER(FIND("保证金",数据录入!$E2910))),1,0))</f>
      </c>
      <c r="R2910" s="44">
        <f>IF(AND($Q2910=1,数据录入!$B2910&gt;=$B$2,数据录入!$B2910&lt;=$D$2),N(R2909)+1,N(R2909))</f>
      </c>
    </row>
    <row r="2911" s="44" customFormat="1" spans="1:23">
      <c r="A2911" s="116"/>
      <c r="E2911" s="108"/>
      <c r="F2911" s="114"/>
      <c r="G2911" s="114"/>
      <c r="H2911" s="114"/>
      <c r="Q2911" s="44">
        <f>IF(数据录入!$B2911="",0,IF(OR(数据录入!$D2911="投标保证金",数据录入!$D2911="合同履约保证金",ISNUMBER(FIND("保证金",数据录入!$E2911))),1,0))</f>
      </c>
      <c r="R2911" s="44">
        <f>IF(AND($Q2911=1,数据录入!$B2911&gt;=$B$2,数据录入!$B2911&lt;=$D$2),N(R2910)+1,N(R2910))</f>
      </c>
    </row>
    <row r="2912" s="44" customFormat="1" spans="1:23">
      <c r="A2912" s="116"/>
      <c r="E2912" s="108"/>
      <c r="F2912" s="114"/>
      <c r="G2912" s="114"/>
      <c r="H2912" s="114"/>
      <c r="Q2912" s="44">
        <f>IF(数据录入!$B2912="",0,IF(OR(数据录入!$D2912="投标保证金",数据录入!$D2912="合同履约保证金",ISNUMBER(FIND("保证金",数据录入!$E2912))),1,0))</f>
      </c>
      <c r="R2912" s="44">
        <f>IF(AND($Q2912=1,数据录入!$B2912&gt;=$B$2,数据录入!$B2912&lt;=$D$2),N(R2911)+1,N(R2911))</f>
      </c>
    </row>
    <row r="2913" s="44" customFormat="1" spans="1:23">
      <c r="A2913" s="116"/>
      <c r="E2913" s="108"/>
      <c r="F2913" s="114"/>
      <c r="G2913" s="114"/>
      <c r="H2913" s="114"/>
      <c r="Q2913" s="44">
        <f>IF(数据录入!$B2913="",0,IF(OR(数据录入!$D2913="投标保证金",数据录入!$D2913="合同履约保证金",ISNUMBER(FIND("保证金",数据录入!$E2913))),1,0))</f>
      </c>
      <c r="R2913" s="44">
        <f>IF(AND($Q2913=1,数据录入!$B2913&gt;=$B$2,数据录入!$B2913&lt;=$D$2),N(R2912)+1,N(R2912))</f>
      </c>
    </row>
    <row r="2914" s="44" customFormat="1" spans="1:23">
      <c r="A2914" s="116"/>
      <c r="E2914" s="108"/>
      <c r="F2914" s="114"/>
      <c r="G2914" s="114"/>
      <c r="H2914" s="114"/>
      <c r="Q2914" s="44">
        <f>IF(数据录入!$B2914="",0,IF(OR(数据录入!$D2914="投标保证金",数据录入!$D2914="合同履约保证金",ISNUMBER(FIND("保证金",数据录入!$E2914))),1,0))</f>
      </c>
      <c r="R2914" s="44">
        <f>IF(AND($Q2914=1,数据录入!$B2914&gt;=$B$2,数据录入!$B2914&lt;=$D$2),N(R2913)+1,N(R2913))</f>
      </c>
    </row>
    <row r="2915" s="44" customFormat="1" spans="1:23">
      <c r="A2915" s="116"/>
      <c r="E2915" s="108"/>
      <c r="F2915" s="114"/>
      <c r="G2915" s="114"/>
      <c r="H2915" s="114"/>
      <c r="Q2915" s="44">
        <f>IF(数据录入!$B2915="",0,IF(OR(数据录入!$D2915="投标保证金",数据录入!$D2915="合同履约保证金",ISNUMBER(FIND("保证金",数据录入!$E2915))),1,0))</f>
      </c>
      <c r="R2915" s="44">
        <f>IF(AND($Q2915=1,数据录入!$B2915&gt;=$B$2,数据录入!$B2915&lt;=$D$2),N(R2914)+1,N(R2914))</f>
      </c>
    </row>
    <row r="2916" s="44" customFormat="1" spans="1:23">
      <c r="A2916" s="116"/>
      <c r="E2916" s="108"/>
      <c r="F2916" s="114"/>
      <c r="G2916" s="114"/>
      <c r="H2916" s="114"/>
      <c r="Q2916" s="44">
        <f>IF(数据录入!$B2916="",0,IF(OR(数据录入!$D2916="投标保证金",数据录入!$D2916="合同履约保证金",ISNUMBER(FIND("保证金",数据录入!$E2916))),1,0))</f>
      </c>
      <c r="R2916" s="44">
        <f>IF(AND($Q2916=1,数据录入!$B2916&gt;=$B$2,数据录入!$B2916&lt;=$D$2),N(R2915)+1,N(R2915))</f>
      </c>
    </row>
    <row r="2917" s="44" customFormat="1" spans="1:23">
      <c r="A2917" s="116"/>
      <c r="E2917" s="108"/>
      <c r="F2917" s="114"/>
      <c r="G2917" s="114"/>
      <c r="H2917" s="114"/>
      <c r="Q2917" s="44">
        <f>IF(数据录入!$B2917="",0,IF(OR(数据录入!$D2917="投标保证金",数据录入!$D2917="合同履约保证金",ISNUMBER(FIND("保证金",数据录入!$E2917))),1,0))</f>
      </c>
      <c r="R2917" s="44">
        <f>IF(AND($Q2917=1,数据录入!$B2917&gt;=$B$2,数据录入!$B2917&lt;=$D$2),N(R2916)+1,N(R2916))</f>
      </c>
    </row>
    <row r="2918" s="44" customFormat="1" spans="1:23">
      <c r="A2918" s="116"/>
      <c r="E2918" s="108"/>
      <c r="F2918" s="114"/>
      <c r="G2918" s="114"/>
      <c r="H2918" s="114"/>
      <c r="Q2918" s="44">
        <f>IF(数据录入!$B2918="",0,IF(OR(数据录入!$D2918="投标保证金",数据录入!$D2918="合同履约保证金",ISNUMBER(FIND("保证金",数据录入!$E2918))),1,0))</f>
      </c>
      <c r="R2918" s="44">
        <f>IF(AND($Q2918=1,数据录入!$B2918&gt;=$B$2,数据录入!$B2918&lt;=$D$2),N(R2917)+1,N(R2917))</f>
      </c>
    </row>
    <row r="2919" s="44" customFormat="1" spans="1:23">
      <c r="A2919" s="116"/>
      <c r="E2919" s="108"/>
      <c r="F2919" s="114"/>
      <c r="G2919" s="114"/>
      <c r="H2919" s="114"/>
      <c r="Q2919" s="44">
        <f>IF(数据录入!$B2919="",0,IF(OR(数据录入!$D2919="投标保证金",数据录入!$D2919="合同履约保证金",ISNUMBER(FIND("保证金",数据录入!$E2919))),1,0))</f>
      </c>
      <c r="R2919" s="44">
        <f>IF(AND($Q2919=1,数据录入!$B2919&gt;=$B$2,数据录入!$B2919&lt;=$D$2),N(R2918)+1,N(R2918))</f>
      </c>
    </row>
    <row r="2920" s="44" customFormat="1" spans="1:23">
      <c r="A2920" s="116"/>
      <c r="E2920" s="108"/>
      <c r="F2920" s="114"/>
      <c r="G2920" s="114"/>
      <c r="H2920" s="114"/>
      <c r="Q2920" s="44">
        <f>IF(数据录入!$B2920="",0,IF(OR(数据录入!$D2920="投标保证金",数据录入!$D2920="合同履约保证金",ISNUMBER(FIND("保证金",数据录入!$E2920))),1,0))</f>
      </c>
      <c r="R2920" s="44">
        <f>IF(AND($Q2920=1,数据录入!$B2920&gt;=$B$2,数据录入!$B2920&lt;=$D$2),N(R2919)+1,N(R2919))</f>
      </c>
    </row>
    <row r="2921" s="44" customFormat="1" spans="1:23">
      <c r="A2921" s="116"/>
      <c r="E2921" s="108"/>
      <c r="F2921" s="114"/>
      <c r="G2921" s="114"/>
      <c r="H2921" s="114"/>
      <c r="Q2921" s="44">
        <f>IF(数据录入!$B2921="",0,IF(OR(数据录入!$D2921="投标保证金",数据录入!$D2921="合同履约保证金",ISNUMBER(FIND("保证金",数据录入!$E2921))),1,0))</f>
      </c>
      <c r="R2921" s="44">
        <f>IF(AND($Q2921=1,数据录入!$B2921&gt;=$B$2,数据录入!$B2921&lt;=$D$2),N(R2920)+1,N(R2920))</f>
      </c>
    </row>
    <row r="2922" s="44" customFormat="1" spans="1:23">
      <c r="A2922" s="116"/>
      <c r="E2922" s="108"/>
      <c r="F2922" s="114"/>
      <c r="G2922" s="114"/>
      <c r="H2922" s="114"/>
      <c r="Q2922" s="44">
        <f>IF(数据录入!$B2922="",0,IF(OR(数据录入!$D2922="投标保证金",数据录入!$D2922="合同履约保证金",ISNUMBER(FIND("保证金",数据录入!$E2922))),1,0))</f>
      </c>
      <c r="R2922" s="44">
        <f>IF(AND($Q2922=1,数据录入!$B2922&gt;=$B$2,数据录入!$B2922&lt;=$D$2),N(R2921)+1,N(R2921))</f>
      </c>
    </row>
    <row r="2923" s="44" customFormat="1" spans="1:23">
      <c r="A2923" s="116"/>
      <c r="E2923" s="108"/>
      <c r="F2923" s="114"/>
      <c r="G2923" s="114"/>
      <c r="H2923" s="114"/>
      <c r="Q2923" s="44">
        <f>IF(数据录入!$B2923="",0,IF(OR(数据录入!$D2923="投标保证金",数据录入!$D2923="合同履约保证金",ISNUMBER(FIND("保证金",数据录入!$E2923))),1,0))</f>
      </c>
      <c r="R2923" s="44">
        <f>IF(AND($Q2923=1,数据录入!$B2923&gt;=$B$2,数据录入!$B2923&lt;=$D$2),N(R2922)+1,N(R2922))</f>
      </c>
    </row>
    <row r="2924" s="44" customFormat="1" spans="1:23">
      <c r="A2924" s="116"/>
      <c r="E2924" s="108"/>
      <c r="F2924" s="114"/>
      <c r="G2924" s="114"/>
      <c r="H2924" s="114"/>
      <c r="Q2924" s="44">
        <f>IF(数据录入!$B2924="",0,IF(OR(数据录入!$D2924="投标保证金",数据录入!$D2924="合同履约保证金",ISNUMBER(FIND("保证金",数据录入!$E2924))),1,0))</f>
      </c>
      <c r="R2924" s="44">
        <f>IF(AND($Q2924=1,数据录入!$B2924&gt;=$B$2,数据录入!$B2924&lt;=$D$2),N(R2923)+1,N(R2923))</f>
      </c>
    </row>
    <row r="2925" s="44" customFormat="1" spans="1:23">
      <c r="A2925" s="116"/>
      <c r="E2925" s="108"/>
      <c r="F2925" s="114"/>
      <c r="G2925" s="114"/>
      <c r="H2925" s="114"/>
      <c r="Q2925" s="44">
        <f>IF(数据录入!$B2925="",0,IF(OR(数据录入!$D2925="投标保证金",数据录入!$D2925="合同履约保证金",ISNUMBER(FIND("保证金",数据录入!$E2925))),1,0))</f>
      </c>
      <c r="R2925" s="44">
        <f>IF(AND($Q2925=1,数据录入!$B2925&gt;=$B$2,数据录入!$B2925&lt;=$D$2),N(R2924)+1,N(R2924))</f>
      </c>
    </row>
    <row r="2926" s="44" customFormat="1" spans="1:23">
      <c r="A2926" s="116"/>
      <c r="E2926" s="108"/>
      <c r="F2926" s="114"/>
      <c r="G2926" s="114"/>
      <c r="H2926" s="114"/>
      <c r="Q2926" s="44">
        <f>IF(数据录入!$B2926="",0,IF(OR(数据录入!$D2926="投标保证金",数据录入!$D2926="合同履约保证金",ISNUMBER(FIND("保证金",数据录入!$E2926))),1,0))</f>
      </c>
      <c r="R2926" s="44">
        <f>IF(AND($Q2926=1,数据录入!$B2926&gt;=$B$2,数据录入!$B2926&lt;=$D$2),N(R2925)+1,N(R2925))</f>
      </c>
    </row>
    <row r="2927" s="44" customFormat="1" spans="1:23">
      <c r="A2927" s="116"/>
      <c r="E2927" s="108"/>
      <c r="F2927" s="114"/>
      <c r="G2927" s="114"/>
      <c r="H2927" s="114"/>
      <c r="Q2927" s="44">
        <f>IF(数据录入!$B2927="",0,IF(OR(数据录入!$D2927="投标保证金",数据录入!$D2927="合同履约保证金",ISNUMBER(FIND("保证金",数据录入!$E2927))),1,0))</f>
      </c>
      <c r="R2927" s="44">
        <f>IF(AND($Q2927=1,数据录入!$B2927&gt;=$B$2,数据录入!$B2927&lt;=$D$2),N(R2926)+1,N(R2926))</f>
      </c>
    </row>
    <row r="2928" s="44" customFormat="1" spans="1:23">
      <c r="A2928" s="116"/>
      <c r="E2928" s="108"/>
      <c r="F2928" s="114"/>
      <c r="G2928" s="114"/>
      <c r="H2928" s="114"/>
      <c r="Q2928" s="44">
        <f>IF(数据录入!$B2928="",0,IF(OR(数据录入!$D2928="投标保证金",数据录入!$D2928="合同履约保证金",ISNUMBER(FIND("保证金",数据录入!$E2928))),1,0))</f>
      </c>
      <c r="R2928" s="44">
        <f>IF(AND($Q2928=1,数据录入!$B2928&gt;=$B$2,数据录入!$B2928&lt;=$D$2),N(R2927)+1,N(R2927))</f>
      </c>
    </row>
    <row r="2929" s="44" customFormat="1" spans="1:23">
      <c r="A2929" s="116"/>
      <c r="E2929" s="108"/>
      <c r="F2929" s="114"/>
      <c r="G2929" s="114"/>
      <c r="H2929" s="114"/>
      <c r="Q2929" s="44">
        <f>IF(数据录入!$B2929="",0,IF(OR(数据录入!$D2929="投标保证金",数据录入!$D2929="合同履约保证金",ISNUMBER(FIND("保证金",数据录入!$E2929))),1,0))</f>
      </c>
      <c r="R2929" s="44">
        <f>IF(AND($Q2929=1,数据录入!$B2929&gt;=$B$2,数据录入!$B2929&lt;=$D$2),N(R2928)+1,N(R2928))</f>
      </c>
    </row>
    <row r="2930" s="44" customFormat="1" spans="1:23">
      <c r="A2930" s="116"/>
      <c r="E2930" s="108"/>
      <c r="F2930" s="114"/>
      <c r="G2930" s="114"/>
      <c r="H2930" s="114"/>
      <c r="Q2930" s="44">
        <f>IF(数据录入!$B2930="",0,IF(OR(数据录入!$D2930="投标保证金",数据录入!$D2930="合同履约保证金",ISNUMBER(FIND("保证金",数据录入!$E2930))),1,0))</f>
      </c>
      <c r="R2930" s="44">
        <f>IF(AND($Q2930=1,数据录入!$B2930&gt;=$B$2,数据录入!$B2930&lt;=$D$2),N(R2929)+1,N(R2929))</f>
      </c>
    </row>
    <row r="2931" s="44" customFormat="1" spans="1:23">
      <c r="A2931" s="116"/>
      <c r="E2931" s="108"/>
      <c r="F2931" s="114"/>
      <c r="G2931" s="114"/>
      <c r="H2931" s="114"/>
      <c r="Q2931" s="44">
        <f>IF(数据录入!$B2931="",0,IF(OR(数据录入!$D2931="投标保证金",数据录入!$D2931="合同履约保证金",ISNUMBER(FIND("保证金",数据录入!$E2931))),1,0))</f>
      </c>
      <c r="R2931" s="44">
        <f>IF(AND($Q2931=1,数据录入!$B2931&gt;=$B$2,数据录入!$B2931&lt;=$D$2),N(R2930)+1,N(R2930))</f>
      </c>
    </row>
    <row r="2932" s="44" customFormat="1" spans="1:23">
      <c r="A2932" s="116"/>
      <c r="E2932" s="108"/>
      <c r="F2932" s="114"/>
      <c r="G2932" s="114"/>
      <c r="H2932" s="114"/>
      <c r="Q2932" s="44">
        <f>IF(数据录入!$B2932="",0,IF(OR(数据录入!$D2932="投标保证金",数据录入!$D2932="合同履约保证金",ISNUMBER(FIND("保证金",数据录入!$E2932))),1,0))</f>
      </c>
      <c r="R2932" s="44">
        <f>IF(AND($Q2932=1,数据录入!$B2932&gt;=$B$2,数据录入!$B2932&lt;=$D$2),N(R2931)+1,N(R2931))</f>
      </c>
    </row>
    <row r="2933" s="44" customFormat="1" spans="1:23">
      <c r="A2933" s="116"/>
      <c r="E2933" s="108"/>
      <c r="F2933" s="114"/>
      <c r="G2933" s="114"/>
      <c r="H2933" s="114"/>
      <c r="Q2933" s="44">
        <f>IF(数据录入!$B2933="",0,IF(OR(数据录入!$D2933="投标保证金",数据录入!$D2933="合同履约保证金",ISNUMBER(FIND("保证金",数据录入!$E2933))),1,0))</f>
      </c>
      <c r="R2933" s="44">
        <f>IF(AND($Q2933=1,数据录入!$B2933&gt;=$B$2,数据录入!$B2933&lt;=$D$2),N(R2932)+1,N(R2932))</f>
      </c>
    </row>
    <row r="2934" s="44" customFormat="1" spans="1:23">
      <c r="A2934" s="116"/>
      <c r="E2934" s="108"/>
      <c r="F2934" s="114"/>
      <c r="G2934" s="114"/>
      <c r="H2934" s="114"/>
      <c r="Q2934" s="44">
        <f>IF(数据录入!$B2934="",0,IF(OR(数据录入!$D2934="投标保证金",数据录入!$D2934="合同履约保证金",ISNUMBER(FIND("保证金",数据录入!$E2934))),1,0))</f>
      </c>
      <c r="R2934" s="44">
        <f>IF(AND($Q2934=1,数据录入!$B2934&gt;=$B$2,数据录入!$B2934&lt;=$D$2),N(R2933)+1,N(R2933))</f>
      </c>
    </row>
    <row r="2935" s="44" customFormat="1" spans="1:23">
      <c r="A2935" s="116"/>
      <c r="E2935" s="108"/>
      <c r="F2935" s="114"/>
      <c r="G2935" s="114"/>
      <c r="H2935" s="114"/>
      <c r="Q2935" s="44">
        <f>IF(数据录入!$B2935="",0,IF(OR(数据录入!$D2935="投标保证金",数据录入!$D2935="合同履约保证金",ISNUMBER(FIND("保证金",数据录入!$E2935))),1,0))</f>
      </c>
      <c r="R2935" s="44">
        <f>IF(AND($Q2935=1,数据录入!$B2935&gt;=$B$2,数据录入!$B2935&lt;=$D$2),N(R2934)+1,N(R2934))</f>
      </c>
    </row>
    <row r="2936" s="44" customFormat="1" spans="1:23">
      <c r="A2936" s="116"/>
      <c r="E2936" s="108"/>
      <c r="F2936" s="114"/>
      <c r="G2936" s="114"/>
      <c r="H2936" s="114"/>
      <c r="Q2936" s="44">
        <f>IF(数据录入!$B2936="",0,IF(OR(数据录入!$D2936="投标保证金",数据录入!$D2936="合同履约保证金",ISNUMBER(FIND("保证金",数据录入!$E2936))),1,0))</f>
      </c>
      <c r="R2936" s="44">
        <f>IF(AND($Q2936=1,数据录入!$B2936&gt;=$B$2,数据录入!$B2936&lt;=$D$2),N(R2935)+1,N(R2935))</f>
      </c>
    </row>
    <row r="2937" s="44" customFormat="1" spans="1:23">
      <c r="A2937" s="116"/>
      <c r="E2937" s="108"/>
      <c r="F2937" s="114"/>
      <c r="G2937" s="114"/>
      <c r="H2937" s="114"/>
      <c r="Q2937" s="44">
        <f>IF(数据录入!$B2937="",0,IF(OR(数据录入!$D2937="投标保证金",数据录入!$D2937="合同履约保证金",ISNUMBER(FIND("保证金",数据录入!$E2937))),1,0))</f>
      </c>
      <c r="R2937" s="44">
        <f>IF(AND($Q2937=1,数据录入!$B2937&gt;=$B$2,数据录入!$B2937&lt;=$D$2),N(R2936)+1,N(R2936))</f>
      </c>
    </row>
    <row r="2938" s="44" customFormat="1" spans="1:23">
      <c r="A2938" s="116"/>
      <c r="E2938" s="108"/>
      <c r="F2938" s="114"/>
      <c r="G2938" s="114"/>
      <c r="H2938" s="114"/>
      <c r="Q2938" s="44">
        <f>IF(数据录入!$B2938="",0,IF(OR(数据录入!$D2938="投标保证金",数据录入!$D2938="合同履约保证金",ISNUMBER(FIND("保证金",数据录入!$E2938))),1,0))</f>
      </c>
      <c r="R2938" s="44">
        <f>IF(AND($Q2938=1,数据录入!$B2938&gt;=$B$2,数据录入!$B2938&lt;=$D$2),N(R2937)+1,N(R2937))</f>
      </c>
    </row>
    <row r="2939" s="44" customFormat="1" spans="1:23">
      <c r="A2939" s="116"/>
      <c r="E2939" s="108"/>
      <c r="F2939" s="114"/>
      <c r="G2939" s="114"/>
      <c r="H2939" s="114"/>
      <c r="Q2939" s="44">
        <f>IF(数据录入!$B2939="",0,IF(OR(数据录入!$D2939="投标保证金",数据录入!$D2939="合同履约保证金",ISNUMBER(FIND("保证金",数据录入!$E2939))),1,0))</f>
      </c>
      <c r="R2939" s="44">
        <f>IF(AND($Q2939=1,数据录入!$B2939&gt;=$B$2,数据录入!$B2939&lt;=$D$2),N(R2938)+1,N(R2938))</f>
      </c>
    </row>
    <row r="2940" s="44" customFormat="1" spans="1:23">
      <c r="A2940" s="116"/>
      <c r="E2940" s="108"/>
      <c r="F2940" s="114"/>
      <c r="G2940" s="114"/>
      <c r="H2940" s="114"/>
      <c r="Q2940" s="44">
        <f>IF(数据录入!$B2940="",0,IF(OR(数据录入!$D2940="投标保证金",数据录入!$D2940="合同履约保证金",ISNUMBER(FIND("保证金",数据录入!$E2940))),1,0))</f>
      </c>
      <c r="R2940" s="44">
        <f>IF(AND($Q2940=1,数据录入!$B2940&gt;=$B$2,数据录入!$B2940&lt;=$D$2),N(R2939)+1,N(R2939))</f>
      </c>
    </row>
    <row r="2941" s="44" customFormat="1" spans="1:23">
      <c r="A2941" s="116"/>
      <c r="E2941" s="108"/>
      <c r="F2941" s="114"/>
      <c r="G2941" s="114"/>
      <c r="H2941" s="114"/>
      <c r="Q2941" s="44">
        <f>IF(数据录入!$B2941="",0,IF(OR(数据录入!$D2941="投标保证金",数据录入!$D2941="合同履约保证金",ISNUMBER(FIND("保证金",数据录入!$E2941))),1,0))</f>
      </c>
      <c r="R2941" s="44">
        <f>IF(AND($Q2941=1,数据录入!$B2941&gt;=$B$2,数据录入!$B2941&lt;=$D$2),N(R2940)+1,N(R2940))</f>
      </c>
    </row>
    <row r="2942" s="44" customFormat="1" spans="1:23">
      <c r="A2942" s="116"/>
      <c r="E2942" s="108"/>
      <c r="F2942" s="114"/>
      <c r="G2942" s="114"/>
      <c r="H2942" s="114"/>
      <c r="Q2942" s="44">
        <f>IF(数据录入!$B2942="",0,IF(OR(数据录入!$D2942="投标保证金",数据录入!$D2942="合同履约保证金",ISNUMBER(FIND("保证金",数据录入!$E2942))),1,0))</f>
      </c>
      <c r="R2942" s="44">
        <f>IF(AND($Q2942=1,数据录入!$B2942&gt;=$B$2,数据录入!$B2942&lt;=$D$2),N(R2941)+1,N(R2941))</f>
      </c>
    </row>
    <row r="2943" s="44" customFormat="1" spans="1:23">
      <c r="A2943" s="116"/>
      <c r="E2943" s="108"/>
      <c r="F2943" s="114"/>
      <c r="G2943" s="114"/>
      <c r="H2943" s="114"/>
      <c r="Q2943" s="44">
        <f>IF(数据录入!$B2943="",0,IF(OR(数据录入!$D2943="投标保证金",数据录入!$D2943="合同履约保证金",ISNUMBER(FIND("保证金",数据录入!$E2943))),1,0))</f>
      </c>
      <c r="R2943" s="44">
        <f>IF(AND($Q2943=1,数据录入!$B2943&gt;=$B$2,数据录入!$B2943&lt;=$D$2),N(R2942)+1,N(R2942))</f>
      </c>
    </row>
    <row r="2944" s="44" customFormat="1" spans="1:23">
      <c r="A2944" s="116"/>
      <c r="E2944" s="108"/>
      <c r="F2944" s="114"/>
      <c r="G2944" s="114"/>
      <c r="H2944" s="114"/>
      <c r="Q2944" s="44">
        <f>IF(数据录入!$B2944="",0,IF(OR(数据录入!$D2944="投标保证金",数据录入!$D2944="合同履约保证金",ISNUMBER(FIND("保证金",数据录入!$E2944))),1,0))</f>
      </c>
      <c r="R2944" s="44">
        <f>IF(AND($Q2944=1,数据录入!$B2944&gt;=$B$2,数据录入!$B2944&lt;=$D$2),N(R2943)+1,N(R2943))</f>
      </c>
    </row>
    <row r="2945" s="44" customFormat="1" spans="1:23">
      <c r="A2945" s="116"/>
      <c r="E2945" s="108"/>
      <c r="F2945" s="114"/>
      <c r="G2945" s="114"/>
      <c r="H2945" s="114"/>
      <c r="Q2945" s="44">
        <f>IF(数据录入!$B2945="",0,IF(OR(数据录入!$D2945="投标保证金",数据录入!$D2945="合同履约保证金",ISNUMBER(FIND("保证金",数据录入!$E2945))),1,0))</f>
      </c>
      <c r="R2945" s="44">
        <f>IF(AND($Q2945=1,数据录入!$B2945&gt;=$B$2,数据录入!$B2945&lt;=$D$2),N(R2944)+1,N(R2944))</f>
      </c>
    </row>
    <row r="2946" s="44" customFormat="1" spans="1:23">
      <c r="A2946" s="116"/>
      <c r="E2946" s="108"/>
      <c r="F2946" s="114"/>
      <c r="G2946" s="114"/>
      <c r="H2946" s="114"/>
      <c r="Q2946" s="44">
        <f>IF(数据录入!$B2946="",0,IF(OR(数据录入!$D2946="投标保证金",数据录入!$D2946="合同履约保证金",ISNUMBER(FIND("保证金",数据录入!$E2946))),1,0))</f>
      </c>
      <c r="R2946" s="44">
        <f>IF(AND($Q2946=1,数据录入!$B2946&gt;=$B$2,数据录入!$B2946&lt;=$D$2),N(R2945)+1,N(R2945))</f>
      </c>
    </row>
    <row r="2947" s="44" customFormat="1" spans="1:23">
      <c r="A2947" s="116"/>
      <c r="E2947" s="108"/>
      <c r="F2947" s="114"/>
      <c r="G2947" s="114"/>
      <c r="H2947" s="114"/>
      <c r="Q2947" s="44">
        <f>IF(数据录入!$B2947="",0,IF(OR(数据录入!$D2947="投标保证金",数据录入!$D2947="合同履约保证金",ISNUMBER(FIND("保证金",数据录入!$E2947))),1,0))</f>
      </c>
      <c r="R2947" s="44">
        <f>IF(AND($Q2947=1,数据录入!$B2947&gt;=$B$2,数据录入!$B2947&lt;=$D$2),N(R2946)+1,N(R2946))</f>
      </c>
    </row>
    <row r="2948" s="44" customFormat="1" spans="1:23">
      <c r="A2948" s="116"/>
      <c r="E2948" s="108"/>
      <c r="F2948" s="114"/>
      <c r="G2948" s="114"/>
      <c r="H2948" s="114"/>
      <c r="Q2948" s="44">
        <f>IF(数据录入!$B2948="",0,IF(OR(数据录入!$D2948="投标保证金",数据录入!$D2948="合同履约保证金",ISNUMBER(FIND("保证金",数据录入!$E2948))),1,0))</f>
      </c>
      <c r="R2948" s="44">
        <f>IF(AND($Q2948=1,数据录入!$B2948&gt;=$B$2,数据录入!$B2948&lt;=$D$2),N(R2947)+1,N(R2947))</f>
      </c>
    </row>
    <row r="2949" s="44" customFormat="1" spans="1:23">
      <c r="A2949" s="116"/>
      <c r="E2949" s="108"/>
      <c r="F2949" s="114"/>
      <c r="G2949" s="114"/>
      <c r="H2949" s="114"/>
      <c r="Q2949" s="44">
        <f>IF(数据录入!$B2949="",0,IF(OR(数据录入!$D2949="投标保证金",数据录入!$D2949="合同履约保证金",ISNUMBER(FIND("保证金",数据录入!$E2949))),1,0))</f>
      </c>
      <c r="R2949" s="44">
        <f>IF(AND($Q2949=1,数据录入!$B2949&gt;=$B$2,数据录入!$B2949&lt;=$D$2),N(R2948)+1,N(R2948))</f>
      </c>
    </row>
    <row r="2950" s="44" customFormat="1" spans="1:23">
      <c r="A2950" s="116"/>
      <c r="E2950" s="108"/>
      <c r="F2950" s="114"/>
      <c r="G2950" s="114"/>
      <c r="H2950" s="114"/>
      <c r="Q2950" s="44">
        <f>IF(数据录入!$B2950="",0,IF(OR(数据录入!$D2950="投标保证金",数据录入!$D2950="合同履约保证金",ISNUMBER(FIND("保证金",数据录入!$E2950))),1,0))</f>
      </c>
      <c r="R2950" s="44">
        <f>IF(AND($Q2950=1,数据录入!$B2950&gt;=$B$2,数据录入!$B2950&lt;=$D$2),N(R2949)+1,N(R2949))</f>
      </c>
    </row>
    <row r="2951" s="44" customFormat="1" spans="1:23">
      <c r="A2951" s="116"/>
      <c r="E2951" s="108"/>
      <c r="F2951" s="114"/>
      <c r="G2951" s="114"/>
      <c r="H2951" s="114"/>
      <c r="Q2951" s="44">
        <f>IF(数据录入!$B2951="",0,IF(OR(数据录入!$D2951="投标保证金",数据录入!$D2951="合同履约保证金",ISNUMBER(FIND("保证金",数据录入!$E2951))),1,0))</f>
      </c>
      <c r="R2951" s="44">
        <f>IF(AND($Q2951=1,数据录入!$B2951&gt;=$B$2,数据录入!$B2951&lt;=$D$2),N(R2950)+1,N(R2950))</f>
      </c>
    </row>
    <row r="2952" s="44" customFormat="1" spans="1:23">
      <c r="A2952" s="116"/>
      <c r="E2952" s="108"/>
      <c r="F2952" s="114"/>
      <c r="G2952" s="114"/>
      <c r="H2952" s="114"/>
      <c r="Q2952" s="44">
        <f>IF(数据录入!$B2952="",0,IF(OR(数据录入!$D2952="投标保证金",数据录入!$D2952="合同履约保证金",ISNUMBER(FIND("保证金",数据录入!$E2952))),1,0))</f>
      </c>
      <c r="R2952" s="44">
        <f>IF(AND($Q2952=1,数据录入!$B2952&gt;=$B$2,数据录入!$B2952&lt;=$D$2),N(R2951)+1,N(R2951))</f>
      </c>
    </row>
    <row r="2953" s="44" customFormat="1" spans="1:23">
      <c r="A2953" s="116"/>
      <c r="E2953" s="108"/>
      <c r="F2953" s="114"/>
      <c r="G2953" s="114"/>
      <c r="H2953" s="114"/>
      <c r="Q2953" s="44">
        <f>IF(数据录入!$B2953="",0,IF(OR(数据录入!$D2953="投标保证金",数据录入!$D2953="合同履约保证金",ISNUMBER(FIND("保证金",数据录入!$E2953))),1,0))</f>
      </c>
      <c r="R2953" s="44">
        <f>IF(AND($Q2953=1,数据录入!$B2953&gt;=$B$2,数据录入!$B2953&lt;=$D$2),N(R2952)+1,N(R2952))</f>
      </c>
    </row>
    <row r="2954" s="44" customFormat="1" spans="1:23">
      <c r="A2954" s="116"/>
      <c r="E2954" s="108"/>
      <c r="F2954" s="114"/>
      <c r="G2954" s="114"/>
      <c r="H2954" s="114"/>
      <c r="Q2954" s="44">
        <f>IF(数据录入!$B2954="",0,IF(OR(数据录入!$D2954="投标保证金",数据录入!$D2954="合同履约保证金",ISNUMBER(FIND("保证金",数据录入!$E2954))),1,0))</f>
      </c>
      <c r="R2954" s="44">
        <f>IF(AND($Q2954=1,数据录入!$B2954&gt;=$B$2,数据录入!$B2954&lt;=$D$2),N(R2953)+1,N(R2953))</f>
      </c>
    </row>
    <row r="2955" s="44" customFormat="1" spans="1:23">
      <c r="A2955" s="116"/>
      <c r="E2955" s="108"/>
      <c r="F2955" s="114"/>
      <c r="G2955" s="114"/>
      <c r="H2955" s="114"/>
      <c r="Q2955" s="44">
        <f>IF(数据录入!$B2955="",0,IF(OR(数据录入!$D2955="投标保证金",数据录入!$D2955="合同履约保证金",ISNUMBER(FIND("保证金",数据录入!$E2955))),1,0))</f>
      </c>
      <c r="R2955" s="44">
        <f>IF(AND($Q2955=1,数据录入!$B2955&gt;=$B$2,数据录入!$B2955&lt;=$D$2),N(R2954)+1,N(R2954))</f>
      </c>
    </row>
    <row r="2956" s="44" customFormat="1" spans="1:23">
      <c r="A2956" s="116"/>
      <c r="E2956" s="108"/>
      <c r="F2956" s="114"/>
      <c r="G2956" s="114"/>
      <c r="H2956" s="114"/>
      <c r="Q2956" s="44">
        <f>IF(数据录入!$B2956="",0,IF(OR(数据录入!$D2956="投标保证金",数据录入!$D2956="合同履约保证金",ISNUMBER(FIND("保证金",数据录入!$E2956))),1,0))</f>
      </c>
      <c r="R2956" s="44">
        <f>IF(AND($Q2956=1,数据录入!$B2956&gt;=$B$2,数据录入!$B2956&lt;=$D$2),N(R2955)+1,N(R2955))</f>
      </c>
    </row>
    <row r="2957" s="44" customFormat="1" spans="1:23">
      <c r="A2957" s="116"/>
      <c r="E2957" s="108"/>
      <c r="F2957" s="114"/>
      <c r="G2957" s="114"/>
      <c r="H2957" s="114"/>
      <c r="Q2957" s="44">
        <f>IF(数据录入!$B2957="",0,IF(OR(数据录入!$D2957="投标保证金",数据录入!$D2957="合同履约保证金",ISNUMBER(FIND("保证金",数据录入!$E2957))),1,0))</f>
      </c>
      <c r="R2957" s="44">
        <f>IF(AND($Q2957=1,数据录入!$B2957&gt;=$B$2,数据录入!$B2957&lt;=$D$2),N(R2956)+1,N(R2956))</f>
      </c>
    </row>
    <row r="2958" s="44" customFormat="1" spans="1:23">
      <c r="A2958" s="116"/>
      <c r="E2958" s="108"/>
      <c r="F2958" s="114"/>
      <c r="G2958" s="114"/>
      <c r="H2958" s="114"/>
      <c r="Q2958" s="44">
        <f>IF(数据录入!$B2958="",0,IF(OR(数据录入!$D2958="投标保证金",数据录入!$D2958="合同履约保证金",ISNUMBER(FIND("保证金",数据录入!$E2958))),1,0))</f>
      </c>
      <c r="R2958" s="44">
        <f>IF(AND($Q2958=1,数据录入!$B2958&gt;=$B$2,数据录入!$B2958&lt;=$D$2),N(R2957)+1,N(R2957))</f>
      </c>
    </row>
    <row r="2959" s="44" customFormat="1" spans="1:23">
      <c r="A2959" s="116"/>
      <c r="E2959" s="108"/>
      <c r="F2959" s="114"/>
      <c r="G2959" s="114"/>
      <c r="H2959" s="114"/>
      <c r="Q2959" s="44">
        <f>IF(数据录入!$B2959="",0,IF(OR(数据录入!$D2959="投标保证金",数据录入!$D2959="合同履约保证金",ISNUMBER(FIND("保证金",数据录入!$E2959))),1,0))</f>
      </c>
      <c r="R2959" s="44">
        <f>IF(AND($Q2959=1,数据录入!$B2959&gt;=$B$2,数据录入!$B2959&lt;=$D$2),N(R2958)+1,N(R2958))</f>
      </c>
    </row>
    <row r="2960" s="44" customFormat="1" spans="1:23">
      <c r="A2960" s="116"/>
      <c r="E2960" s="108"/>
      <c r="F2960" s="114"/>
      <c r="G2960" s="114"/>
      <c r="H2960" s="114"/>
      <c r="Q2960" s="44">
        <f>IF(数据录入!$B2960="",0,IF(OR(数据录入!$D2960="投标保证金",数据录入!$D2960="合同履约保证金",ISNUMBER(FIND("保证金",数据录入!$E2960))),1,0))</f>
      </c>
      <c r="R2960" s="44">
        <f>IF(AND($Q2960=1,数据录入!$B2960&gt;=$B$2,数据录入!$B2960&lt;=$D$2),N(R2959)+1,N(R2959))</f>
      </c>
    </row>
    <row r="2961" s="44" customFormat="1" spans="1:23">
      <c r="A2961" s="116"/>
      <c r="E2961" s="108"/>
      <c r="F2961" s="114"/>
      <c r="G2961" s="114"/>
      <c r="H2961" s="114"/>
      <c r="Q2961" s="44">
        <f>IF(数据录入!$B2961="",0,IF(OR(数据录入!$D2961="投标保证金",数据录入!$D2961="合同履约保证金",ISNUMBER(FIND("保证金",数据录入!$E2961))),1,0))</f>
      </c>
      <c r="R2961" s="44">
        <f>IF(AND($Q2961=1,数据录入!$B2961&gt;=$B$2,数据录入!$B2961&lt;=$D$2),N(R2960)+1,N(R2960))</f>
      </c>
    </row>
    <row r="2962" s="44" customFormat="1" spans="1:23">
      <c r="A2962" s="116"/>
      <c r="E2962" s="108"/>
      <c r="F2962" s="114"/>
      <c r="G2962" s="114"/>
      <c r="H2962" s="114"/>
      <c r="Q2962" s="44">
        <f>IF(数据录入!$B2962="",0,IF(OR(数据录入!$D2962="投标保证金",数据录入!$D2962="合同履约保证金",ISNUMBER(FIND("保证金",数据录入!$E2962))),1,0))</f>
      </c>
      <c r="R2962" s="44">
        <f>IF(AND($Q2962=1,数据录入!$B2962&gt;=$B$2,数据录入!$B2962&lt;=$D$2),N(R2961)+1,N(R2961))</f>
      </c>
    </row>
    <row r="2963" s="44" customFormat="1" spans="1:23">
      <c r="A2963" s="116"/>
      <c r="E2963" s="108"/>
      <c r="F2963" s="114"/>
      <c r="G2963" s="114"/>
      <c r="H2963" s="114"/>
      <c r="Q2963" s="44">
        <f>IF(数据录入!$B2963="",0,IF(OR(数据录入!$D2963="投标保证金",数据录入!$D2963="合同履约保证金",ISNUMBER(FIND("保证金",数据录入!$E2963))),1,0))</f>
      </c>
      <c r="R2963" s="44">
        <f>IF(AND($Q2963=1,数据录入!$B2963&gt;=$B$2,数据录入!$B2963&lt;=$D$2),N(R2962)+1,N(R2962))</f>
      </c>
    </row>
    <row r="2964" s="44" customFormat="1" spans="1:23">
      <c r="A2964" s="116"/>
      <c r="E2964" s="108"/>
      <c r="F2964" s="114"/>
      <c r="G2964" s="114"/>
      <c r="H2964" s="114"/>
      <c r="Q2964" s="44">
        <f>IF(数据录入!$B2964="",0,IF(OR(数据录入!$D2964="投标保证金",数据录入!$D2964="合同履约保证金",ISNUMBER(FIND("保证金",数据录入!$E2964))),1,0))</f>
      </c>
      <c r="R2964" s="44">
        <f>IF(AND($Q2964=1,数据录入!$B2964&gt;=$B$2,数据录入!$B2964&lt;=$D$2),N(R2963)+1,N(R2963))</f>
      </c>
    </row>
    <row r="2965" s="44" customFormat="1" spans="1:23">
      <c r="A2965" s="116"/>
      <c r="E2965" s="108"/>
      <c r="F2965" s="114"/>
      <c r="G2965" s="114"/>
      <c r="H2965" s="114"/>
      <c r="Q2965" s="44">
        <f>IF(数据录入!$B2965="",0,IF(OR(数据录入!$D2965="投标保证金",数据录入!$D2965="合同履约保证金",ISNUMBER(FIND("保证金",数据录入!$E2965))),1,0))</f>
      </c>
      <c r="R2965" s="44">
        <f>IF(AND($Q2965=1,数据录入!$B2965&gt;=$B$2,数据录入!$B2965&lt;=$D$2),N(R2964)+1,N(R2964))</f>
      </c>
    </row>
    <row r="2966" s="44" customFormat="1" spans="1:23">
      <c r="A2966" s="116"/>
      <c r="E2966" s="108"/>
      <c r="F2966" s="114"/>
      <c r="G2966" s="114"/>
      <c r="H2966" s="114"/>
      <c r="Q2966" s="44">
        <f>IF(数据录入!$B2966="",0,IF(OR(数据录入!$D2966="投标保证金",数据录入!$D2966="合同履约保证金",ISNUMBER(FIND("保证金",数据录入!$E2966))),1,0))</f>
      </c>
      <c r="R2966" s="44">
        <f>IF(AND($Q2966=1,数据录入!$B2966&gt;=$B$2,数据录入!$B2966&lt;=$D$2),N(R2965)+1,N(R2965))</f>
      </c>
    </row>
    <row r="2967" s="44" customFormat="1" spans="1:23">
      <c r="A2967" s="116"/>
      <c r="E2967" s="108"/>
      <c r="F2967" s="114"/>
      <c r="G2967" s="114"/>
      <c r="H2967" s="114"/>
      <c r="Q2967" s="44">
        <f>IF(数据录入!$B2967="",0,IF(OR(数据录入!$D2967="投标保证金",数据录入!$D2967="合同履约保证金",ISNUMBER(FIND("保证金",数据录入!$E2967))),1,0))</f>
      </c>
      <c r="R2967" s="44">
        <f>IF(AND($Q2967=1,数据录入!$B2967&gt;=$B$2,数据录入!$B2967&lt;=$D$2),N(R2966)+1,N(R2966))</f>
      </c>
    </row>
    <row r="2968" s="44" customFormat="1" spans="1:23">
      <c r="A2968" s="116"/>
      <c r="E2968" s="108"/>
      <c r="F2968" s="114"/>
      <c r="G2968" s="114"/>
      <c r="H2968" s="114"/>
      <c r="Q2968" s="44">
        <f>IF(数据录入!$B2968="",0,IF(OR(数据录入!$D2968="投标保证金",数据录入!$D2968="合同履约保证金",ISNUMBER(FIND("保证金",数据录入!$E2968))),1,0))</f>
      </c>
      <c r="R2968" s="44">
        <f>IF(AND($Q2968=1,数据录入!$B2968&gt;=$B$2,数据录入!$B2968&lt;=$D$2),N(R2967)+1,N(R2967))</f>
      </c>
    </row>
    <row r="2969" s="44" customFormat="1" spans="1:23">
      <c r="A2969" s="116"/>
      <c r="E2969" s="108"/>
      <c r="F2969" s="114"/>
      <c r="G2969" s="114"/>
      <c r="H2969" s="114"/>
      <c r="Q2969" s="44">
        <f>IF(数据录入!$B2969="",0,IF(OR(数据录入!$D2969="投标保证金",数据录入!$D2969="合同履约保证金",ISNUMBER(FIND("保证金",数据录入!$E2969))),1,0))</f>
      </c>
      <c r="R2969" s="44">
        <f>IF(AND($Q2969=1,数据录入!$B2969&gt;=$B$2,数据录入!$B2969&lt;=$D$2),N(R2968)+1,N(R2968))</f>
      </c>
    </row>
    <row r="2970" s="44" customFormat="1" spans="1:23">
      <c r="A2970" s="116"/>
      <c r="E2970" s="108"/>
      <c r="F2970" s="114"/>
      <c r="G2970" s="114"/>
      <c r="H2970" s="114"/>
      <c r="Q2970" s="44">
        <f>IF(数据录入!$B2970="",0,IF(OR(数据录入!$D2970="投标保证金",数据录入!$D2970="合同履约保证金",ISNUMBER(FIND("保证金",数据录入!$E2970))),1,0))</f>
      </c>
      <c r="R2970" s="44">
        <f>IF(AND($Q2970=1,数据录入!$B2970&gt;=$B$2,数据录入!$B2970&lt;=$D$2),N(R2969)+1,N(R2969))</f>
      </c>
    </row>
    <row r="2971" s="44" customFormat="1" spans="1:23">
      <c r="A2971" s="116"/>
      <c r="E2971" s="108"/>
      <c r="F2971" s="114"/>
      <c r="G2971" s="114"/>
      <c r="H2971" s="114"/>
      <c r="Q2971" s="44">
        <f>IF(数据录入!$B2971="",0,IF(OR(数据录入!$D2971="投标保证金",数据录入!$D2971="合同履约保证金",ISNUMBER(FIND("保证金",数据录入!$E2971))),1,0))</f>
      </c>
      <c r="R2971" s="44">
        <f>IF(AND($Q2971=1,数据录入!$B2971&gt;=$B$2,数据录入!$B2971&lt;=$D$2),N(R2970)+1,N(R2970))</f>
      </c>
    </row>
    <row r="2972" s="44" customFormat="1" spans="1:23">
      <c r="A2972" s="116"/>
      <c r="E2972" s="108"/>
      <c r="F2972" s="114"/>
      <c r="G2972" s="114"/>
      <c r="H2972" s="114"/>
      <c r="Q2972" s="44">
        <f>IF(数据录入!$B2972="",0,IF(OR(数据录入!$D2972="投标保证金",数据录入!$D2972="合同履约保证金",ISNUMBER(FIND("保证金",数据录入!$E2972))),1,0))</f>
      </c>
      <c r="R2972" s="44">
        <f>IF(AND($Q2972=1,数据录入!$B2972&gt;=$B$2,数据录入!$B2972&lt;=$D$2),N(R2971)+1,N(R2971))</f>
      </c>
    </row>
    <row r="2973" s="44" customFormat="1" spans="1:23">
      <c r="A2973" s="116"/>
      <c r="E2973" s="108"/>
      <c r="F2973" s="114"/>
      <c r="G2973" s="114"/>
      <c r="H2973" s="114"/>
      <c r="Q2973" s="44">
        <f>IF(数据录入!$B2973="",0,IF(OR(数据录入!$D2973="投标保证金",数据录入!$D2973="合同履约保证金",ISNUMBER(FIND("保证金",数据录入!$E2973))),1,0))</f>
      </c>
      <c r="R2973" s="44">
        <f>IF(AND($Q2973=1,数据录入!$B2973&gt;=$B$2,数据录入!$B2973&lt;=$D$2),N(R2972)+1,N(R2972))</f>
      </c>
    </row>
    <row r="2974" s="44" customFormat="1" spans="1:23">
      <c r="A2974" s="116"/>
      <c r="E2974" s="108"/>
      <c r="F2974" s="114"/>
      <c r="G2974" s="114"/>
      <c r="H2974" s="114"/>
      <c r="Q2974" s="44">
        <f>IF(数据录入!$B2974="",0,IF(OR(数据录入!$D2974="投标保证金",数据录入!$D2974="合同履约保证金",ISNUMBER(FIND("保证金",数据录入!$E2974))),1,0))</f>
      </c>
      <c r="R2974" s="44">
        <f>IF(AND($Q2974=1,数据录入!$B2974&gt;=$B$2,数据录入!$B2974&lt;=$D$2),N(R2973)+1,N(R2973))</f>
      </c>
    </row>
    <row r="2975" s="44" customFormat="1" spans="1:23">
      <c r="A2975" s="116"/>
      <c r="E2975" s="108"/>
      <c r="F2975" s="114"/>
      <c r="G2975" s="114"/>
      <c r="H2975" s="114"/>
      <c r="Q2975" s="44">
        <f>IF(数据录入!$B2975="",0,IF(OR(数据录入!$D2975="投标保证金",数据录入!$D2975="合同履约保证金",ISNUMBER(FIND("保证金",数据录入!$E2975))),1,0))</f>
      </c>
      <c r="R2975" s="44">
        <f>IF(AND($Q2975=1,数据录入!$B2975&gt;=$B$2,数据录入!$B2975&lt;=$D$2),N(R2974)+1,N(R2974))</f>
      </c>
    </row>
    <row r="2976" s="44" customFormat="1" spans="1:23">
      <c r="A2976" s="116"/>
      <c r="E2976" s="108"/>
      <c r="F2976" s="114"/>
      <c r="G2976" s="114"/>
      <c r="H2976" s="114"/>
      <c r="Q2976" s="44">
        <f>IF(数据录入!$B2976="",0,IF(OR(数据录入!$D2976="投标保证金",数据录入!$D2976="合同履约保证金",ISNUMBER(FIND("保证金",数据录入!$E2976))),1,0))</f>
      </c>
      <c r="R2976" s="44">
        <f>IF(AND($Q2976=1,数据录入!$B2976&gt;=$B$2,数据录入!$B2976&lt;=$D$2),N(R2975)+1,N(R2975))</f>
      </c>
    </row>
    <row r="2977" s="44" customFormat="1" spans="1:23">
      <c r="A2977" s="116"/>
      <c r="E2977" s="108"/>
      <c r="F2977" s="114"/>
      <c r="G2977" s="114"/>
      <c r="H2977" s="114"/>
      <c r="Q2977" s="44">
        <f>IF(数据录入!$B2977="",0,IF(OR(数据录入!$D2977="投标保证金",数据录入!$D2977="合同履约保证金",ISNUMBER(FIND("保证金",数据录入!$E2977))),1,0))</f>
      </c>
      <c r="R2977" s="44">
        <f>IF(AND($Q2977=1,数据录入!$B2977&gt;=$B$2,数据录入!$B2977&lt;=$D$2),N(R2976)+1,N(R2976))</f>
      </c>
    </row>
    <row r="2978" s="44" customFormat="1" spans="1:23">
      <c r="A2978" s="116"/>
      <c r="E2978" s="108"/>
      <c r="F2978" s="114"/>
      <c r="G2978" s="114"/>
      <c r="H2978" s="114"/>
      <c r="Q2978" s="44">
        <f>IF(数据录入!$B2978="",0,IF(OR(数据录入!$D2978="投标保证金",数据录入!$D2978="合同履约保证金",ISNUMBER(FIND("保证金",数据录入!$E2978))),1,0))</f>
      </c>
      <c r="R2978" s="44">
        <f>IF(AND($Q2978=1,数据录入!$B2978&gt;=$B$2,数据录入!$B2978&lt;=$D$2),N(R2977)+1,N(R2977))</f>
      </c>
    </row>
    <row r="2979" s="44" customFormat="1" spans="1:23">
      <c r="A2979" s="116"/>
      <c r="E2979" s="108"/>
      <c r="F2979" s="114"/>
      <c r="G2979" s="114"/>
      <c r="H2979" s="114"/>
      <c r="Q2979" s="44">
        <f>IF(数据录入!$B2979="",0,IF(OR(数据录入!$D2979="投标保证金",数据录入!$D2979="合同履约保证金",ISNUMBER(FIND("保证金",数据录入!$E2979))),1,0))</f>
      </c>
      <c r="R2979" s="44">
        <f>IF(AND($Q2979=1,数据录入!$B2979&gt;=$B$2,数据录入!$B2979&lt;=$D$2),N(R2978)+1,N(R2978))</f>
      </c>
    </row>
    <row r="2980" s="44" customFormat="1" spans="1:23">
      <c r="A2980" s="116"/>
      <c r="E2980" s="108"/>
      <c r="F2980" s="114"/>
      <c r="G2980" s="114"/>
      <c r="H2980" s="114"/>
      <c r="Q2980" s="44">
        <f>IF(数据录入!$B2980="",0,IF(OR(数据录入!$D2980="投标保证金",数据录入!$D2980="合同履约保证金",ISNUMBER(FIND("保证金",数据录入!$E2980))),1,0))</f>
      </c>
      <c r="R2980" s="44">
        <f>IF(AND($Q2980=1,数据录入!$B2980&gt;=$B$2,数据录入!$B2980&lt;=$D$2),N(R2979)+1,N(R2979))</f>
      </c>
    </row>
    <row r="2981" s="44" customFormat="1" spans="1:23">
      <c r="A2981" s="116"/>
      <c r="E2981" s="108"/>
      <c r="F2981" s="114"/>
      <c r="G2981" s="114"/>
      <c r="H2981" s="114"/>
      <c r="Q2981" s="44">
        <f>IF(数据录入!$B2981="",0,IF(OR(数据录入!$D2981="投标保证金",数据录入!$D2981="合同履约保证金",ISNUMBER(FIND("保证金",数据录入!$E2981))),1,0))</f>
      </c>
      <c r="R2981" s="44">
        <f>IF(AND($Q2981=1,数据录入!$B2981&gt;=$B$2,数据录入!$B2981&lt;=$D$2),N(R2980)+1,N(R2980))</f>
      </c>
    </row>
    <row r="2982" s="44" customFormat="1" spans="1:23">
      <c r="A2982" s="116"/>
      <c r="E2982" s="108"/>
      <c r="F2982" s="114"/>
      <c r="G2982" s="114"/>
      <c r="H2982" s="114"/>
      <c r="Q2982" s="44">
        <f>IF(数据录入!$B2982="",0,IF(OR(数据录入!$D2982="投标保证金",数据录入!$D2982="合同履约保证金",ISNUMBER(FIND("保证金",数据录入!$E2982))),1,0))</f>
      </c>
      <c r="R2982" s="44">
        <f>IF(AND($Q2982=1,数据录入!$B2982&gt;=$B$2,数据录入!$B2982&lt;=$D$2),N(R2981)+1,N(R2981))</f>
      </c>
    </row>
    <row r="2983" s="44" customFormat="1" spans="1:23">
      <c r="A2983" s="116"/>
      <c r="E2983" s="108"/>
      <c r="F2983" s="114"/>
      <c r="G2983" s="114"/>
      <c r="H2983" s="114"/>
      <c r="Q2983" s="44">
        <f>IF(数据录入!$B2983="",0,IF(OR(数据录入!$D2983="投标保证金",数据录入!$D2983="合同履约保证金",ISNUMBER(FIND("保证金",数据录入!$E2983))),1,0))</f>
      </c>
      <c r="R2983" s="44">
        <f>IF(AND($Q2983=1,数据录入!$B2983&gt;=$B$2,数据录入!$B2983&lt;=$D$2),N(R2982)+1,N(R2982))</f>
      </c>
    </row>
    <row r="2984" s="44" customFormat="1" spans="1:23">
      <c r="A2984" s="116"/>
      <c r="E2984" s="108"/>
      <c r="F2984" s="114"/>
      <c r="G2984" s="114"/>
      <c r="H2984" s="114"/>
      <c r="Q2984" s="44">
        <f>IF(数据录入!$B2984="",0,IF(OR(数据录入!$D2984="投标保证金",数据录入!$D2984="合同履约保证金",ISNUMBER(FIND("保证金",数据录入!$E2984))),1,0))</f>
      </c>
      <c r="R2984" s="44">
        <f>IF(AND($Q2984=1,数据录入!$B2984&gt;=$B$2,数据录入!$B2984&lt;=$D$2),N(R2983)+1,N(R2983))</f>
      </c>
    </row>
    <row r="2985" s="44" customFormat="1" spans="1:23">
      <c r="A2985" s="116"/>
      <c r="E2985" s="108"/>
      <c r="F2985" s="114"/>
      <c r="G2985" s="114"/>
      <c r="H2985" s="114"/>
      <c r="Q2985" s="44">
        <f>IF(数据录入!$B2985="",0,IF(OR(数据录入!$D2985="投标保证金",数据录入!$D2985="合同履约保证金",ISNUMBER(FIND("保证金",数据录入!$E2985))),1,0))</f>
      </c>
      <c r="R2985" s="44">
        <f>IF(AND($Q2985=1,数据录入!$B2985&gt;=$B$2,数据录入!$B2985&lt;=$D$2),N(R2984)+1,N(R2984))</f>
      </c>
    </row>
    <row r="2986" s="44" customFormat="1" spans="1:23">
      <c r="A2986" s="116"/>
      <c r="E2986" s="108"/>
      <c r="F2986" s="114"/>
      <c r="G2986" s="114"/>
      <c r="H2986" s="114"/>
      <c r="Q2986" s="44">
        <f>IF(数据录入!$B2986="",0,IF(OR(数据录入!$D2986="投标保证金",数据录入!$D2986="合同履约保证金",ISNUMBER(FIND("保证金",数据录入!$E2986))),1,0))</f>
      </c>
      <c r="R2986" s="44">
        <f>IF(AND($Q2986=1,数据录入!$B2986&gt;=$B$2,数据录入!$B2986&lt;=$D$2),N(R2985)+1,N(R2985))</f>
      </c>
    </row>
    <row r="2987" s="44" customFormat="1" spans="1:23">
      <c r="A2987" s="116"/>
      <c r="E2987" s="108"/>
      <c r="F2987" s="114"/>
      <c r="G2987" s="114"/>
      <c r="H2987" s="114"/>
      <c r="Q2987" s="44">
        <f>IF(数据录入!$B2987="",0,IF(OR(数据录入!$D2987="投标保证金",数据录入!$D2987="合同履约保证金",ISNUMBER(FIND("保证金",数据录入!$E2987))),1,0))</f>
      </c>
      <c r="R2987" s="44">
        <f>IF(AND($Q2987=1,数据录入!$B2987&gt;=$B$2,数据录入!$B2987&lt;=$D$2),N(R2986)+1,N(R2986))</f>
      </c>
    </row>
    <row r="2988" s="44" customFormat="1" spans="1:23">
      <c r="A2988" s="116"/>
      <c r="E2988" s="108"/>
      <c r="F2988" s="114"/>
      <c r="G2988" s="114"/>
      <c r="H2988" s="114"/>
      <c r="Q2988" s="44">
        <f>IF(数据录入!$B2988="",0,IF(OR(数据录入!$D2988="投标保证金",数据录入!$D2988="合同履约保证金",ISNUMBER(FIND("保证金",数据录入!$E2988))),1,0))</f>
      </c>
      <c r="R2988" s="44">
        <f>IF(AND($Q2988=1,数据录入!$B2988&gt;=$B$2,数据录入!$B2988&lt;=$D$2),N(R2987)+1,N(R2987))</f>
      </c>
    </row>
    <row r="2989" s="44" customFormat="1" spans="1:23">
      <c r="A2989" s="116"/>
      <c r="E2989" s="108"/>
      <c r="F2989" s="114"/>
      <c r="G2989" s="114"/>
      <c r="H2989" s="114"/>
      <c r="Q2989" s="44">
        <f>IF(数据录入!$B2989="",0,IF(OR(数据录入!$D2989="投标保证金",数据录入!$D2989="合同履约保证金",ISNUMBER(FIND("保证金",数据录入!$E2989))),1,0))</f>
      </c>
      <c r="R2989" s="44">
        <f>IF(AND($Q2989=1,数据录入!$B2989&gt;=$B$2,数据录入!$B2989&lt;=$D$2),N(R2988)+1,N(R2988))</f>
      </c>
    </row>
    <row r="2990" s="44" customFormat="1" spans="1:23">
      <c r="A2990" s="116"/>
      <c r="E2990" s="108"/>
      <c r="F2990" s="114"/>
      <c r="G2990" s="114"/>
      <c r="H2990" s="114"/>
      <c r="Q2990" s="44">
        <f>IF(数据录入!$B2990="",0,IF(OR(数据录入!$D2990="投标保证金",数据录入!$D2990="合同履约保证金",ISNUMBER(FIND("保证金",数据录入!$E2990))),1,0))</f>
      </c>
      <c r="R2990" s="44">
        <f>IF(AND($Q2990=1,数据录入!$B2990&gt;=$B$2,数据录入!$B2990&lt;=$D$2),N(R2989)+1,N(R2989))</f>
      </c>
    </row>
    <row r="2991" s="44" customFormat="1" spans="1:23">
      <c r="A2991" s="116"/>
      <c r="E2991" s="108"/>
      <c r="F2991" s="114"/>
      <c r="G2991" s="114"/>
      <c r="H2991" s="114"/>
      <c r="Q2991" s="44">
        <f>IF(数据录入!$B2991="",0,IF(OR(数据录入!$D2991="投标保证金",数据录入!$D2991="合同履约保证金",ISNUMBER(FIND("保证金",数据录入!$E2991))),1,0))</f>
      </c>
      <c r="R2991" s="44">
        <f>IF(AND($Q2991=1,数据录入!$B2991&gt;=$B$2,数据录入!$B2991&lt;=$D$2),N(R2990)+1,N(R2990))</f>
      </c>
    </row>
    <row r="2992" s="44" customFormat="1" spans="1:23">
      <c r="A2992" s="116"/>
      <c r="E2992" s="108"/>
      <c r="F2992" s="114"/>
      <c r="G2992" s="114"/>
      <c r="H2992" s="114"/>
      <c r="Q2992" s="44">
        <f>IF(数据录入!$B2992="",0,IF(OR(数据录入!$D2992="投标保证金",数据录入!$D2992="合同履约保证金",ISNUMBER(FIND("保证金",数据录入!$E2992))),1,0))</f>
      </c>
      <c r="R2992" s="44">
        <f>IF(AND($Q2992=1,数据录入!$B2992&gt;=$B$2,数据录入!$B2992&lt;=$D$2),N(R2991)+1,N(R2991))</f>
      </c>
    </row>
    <row r="2993" s="44" customFormat="1" spans="1:23">
      <c r="A2993" s="116"/>
      <c r="E2993" s="108"/>
      <c r="F2993" s="114"/>
      <c r="G2993" s="114"/>
      <c r="H2993" s="114"/>
      <c r="Q2993" s="44">
        <f>IF(数据录入!$B2993="",0,IF(OR(数据录入!$D2993="投标保证金",数据录入!$D2993="合同履约保证金",ISNUMBER(FIND("保证金",数据录入!$E2993))),1,0))</f>
      </c>
      <c r="R2993" s="44">
        <f>IF(AND($Q2993=1,数据录入!$B2993&gt;=$B$2,数据录入!$B2993&lt;=$D$2),N(R2992)+1,N(R2992))</f>
      </c>
    </row>
    <row r="2994" s="44" customFormat="1" spans="1:23">
      <c r="A2994" s="116"/>
      <c r="E2994" s="108"/>
      <c r="F2994" s="114"/>
      <c r="G2994" s="114"/>
      <c r="H2994" s="114"/>
      <c r="Q2994" s="44">
        <f>IF(数据录入!$B2994="",0,IF(OR(数据录入!$D2994="投标保证金",数据录入!$D2994="合同履约保证金",ISNUMBER(FIND("保证金",数据录入!$E2994))),1,0))</f>
      </c>
      <c r="R2994" s="44">
        <f>IF(AND($Q2994=1,数据录入!$B2994&gt;=$B$2,数据录入!$B2994&lt;=$D$2),N(R2993)+1,N(R2993))</f>
      </c>
    </row>
    <row r="2995" s="44" customFormat="1" spans="1:23">
      <c r="A2995" s="116"/>
      <c r="E2995" s="108"/>
      <c r="F2995" s="114"/>
      <c r="G2995" s="114"/>
      <c r="H2995" s="114"/>
      <c r="Q2995" s="44">
        <f>IF(数据录入!$B2995="",0,IF(OR(数据录入!$D2995="投标保证金",数据录入!$D2995="合同履约保证金",ISNUMBER(FIND("保证金",数据录入!$E2995))),1,0))</f>
      </c>
      <c r="R2995" s="44">
        <f>IF(AND($Q2995=1,数据录入!$B2995&gt;=$B$2,数据录入!$B2995&lt;=$D$2),N(R2994)+1,N(R2994))</f>
      </c>
    </row>
    <row r="2996" s="44" customFormat="1" spans="1:23">
      <c r="A2996" s="116"/>
      <c r="E2996" s="108"/>
      <c r="F2996" s="114"/>
      <c r="G2996" s="114"/>
      <c r="H2996" s="114"/>
      <c r="Q2996" s="44">
        <f>IF(数据录入!$B2996="",0,IF(OR(数据录入!$D2996="投标保证金",数据录入!$D2996="合同履约保证金",ISNUMBER(FIND("保证金",数据录入!$E2996))),1,0))</f>
      </c>
      <c r="R2996" s="44">
        <f>IF(AND($Q2996=1,数据录入!$B2996&gt;=$B$2,数据录入!$B2996&lt;=$D$2),N(R2995)+1,N(R2995))</f>
      </c>
    </row>
    <row r="2997" s="44" customFormat="1" spans="1:23">
      <c r="A2997" s="116"/>
      <c r="E2997" s="108"/>
      <c r="F2997" s="114"/>
      <c r="G2997" s="114"/>
      <c r="H2997" s="114"/>
      <c r="Q2997" s="44">
        <f>IF(数据录入!$B2997="",0,IF(OR(数据录入!$D2997="投标保证金",数据录入!$D2997="合同履约保证金",ISNUMBER(FIND("保证金",数据录入!$E2997))),1,0))</f>
      </c>
      <c r="R2997" s="44">
        <f>IF(AND($Q2997=1,数据录入!$B2997&gt;=$B$2,数据录入!$B2997&lt;=$D$2),N(R2996)+1,N(R2996))</f>
      </c>
    </row>
    <row r="2998" s="44" customFormat="1" spans="1:23">
      <c r="A2998" s="116"/>
      <c r="E2998" s="108"/>
      <c r="F2998" s="114"/>
      <c r="G2998" s="114"/>
      <c r="H2998" s="114"/>
      <c r="Q2998" s="44">
        <f>IF(数据录入!$B2998="",0,IF(OR(数据录入!$D2998="投标保证金",数据录入!$D2998="合同履约保证金",ISNUMBER(FIND("保证金",数据录入!$E2998))),1,0))</f>
      </c>
      <c r="R2998" s="44">
        <f>IF(AND($Q2998=1,数据录入!$B2998&gt;=$B$2,数据录入!$B2998&lt;=$D$2),N(R2997)+1,N(R2997))</f>
      </c>
    </row>
    <row r="2999" s="44" customFormat="1" spans="1:23">
      <c r="A2999" s="116"/>
      <c r="E2999" s="108"/>
      <c r="F2999" s="114"/>
      <c r="G2999" s="114"/>
      <c r="H2999" s="114"/>
      <c r="Q2999" s="44">
        <f>IF(数据录入!$B2999="",0,IF(OR(数据录入!$D2999="投标保证金",数据录入!$D2999="合同履约保证金",ISNUMBER(FIND("保证金",数据录入!$E2999))),1,0))</f>
      </c>
      <c r="R2999" s="44">
        <f>IF(AND($Q2999=1,数据录入!$B2999&gt;=$B$2,数据录入!$B2999&lt;=$D$2),N(R2998)+1,N(R2998))</f>
      </c>
    </row>
    <row r="3000" s="44" customFormat="1" spans="1:23">
      <c r="A3000" s="116"/>
      <c r="E3000" s="108"/>
      <c r="F3000" s="114"/>
      <c r="G3000" s="114"/>
      <c r="H3000" s="114"/>
      <c r="Q3000" s="44">
        <f>IF(数据录入!$B3000="",0,IF(OR(数据录入!$D3000="投标保证金",数据录入!$D3000="合同履约保证金",ISNUMBER(FIND("保证金",数据录入!$E3000))),1,0))</f>
      </c>
      <c r="R3000" s="44">
        <f>IF(AND($Q3000=1,数据录入!$B3000&gt;=$B$2,数据录入!$B3000&lt;=$D$2),N(R2999)+1,N(R2999))</f>
      </c>
    </row>
    <row r="3001" s="44" customFormat="1" spans="1:23">
      <c r="A3001" s="116"/>
      <c r="E3001" s="108"/>
      <c r="F3001" s="114"/>
      <c r="G3001" s="114"/>
      <c r="H3001" s="114"/>
      <c r="Q3001" s="44">
        <f>IF(数据录入!$B3001="",0,IF(OR(数据录入!$D3001="投标保证金",数据录入!$D3001="合同履约保证金",ISNUMBER(FIND("保证金",数据录入!$E3001))),1,0))</f>
      </c>
      <c r="R3001" s="44">
        <f>IF(AND($Q3001=1,数据录入!$B3001&gt;=$B$2,数据录入!$B3001&lt;=$D$2),N(R3000)+1,N(R3000))</f>
      </c>
    </row>
    <row r="3002" s="44" customFormat="1" spans="1:23">
      <c r="A3002" s="116"/>
      <c r="E3002" s="108"/>
      <c r="F3002" s="114"/>
      <c r="G3002" s="114"/>
      <c r="H3002" s="114"/>
      <c r="Q3002" s="44">
        <f>IF(数据录入!$B3002="",0,IF(OR(数据录入!$D3002="投标保证金",数据录入!$D3002="合同履约保证金",ISNUMBER(FIND("保证金",数据录入!$E3002))),1,0))</f>
      </c>
      <c r="R3002" s="44">
        <f>IF(AND($Q3002=1,数据录入!$B3002&gt;=$B$2,数据录入!$B3002&lt;=$D$2),N(R3001)+1,N(R3001))</f>
      </c>
    </row>
    <row r="3003" s="44" customFormat="1" spans="1:23">
      <c r="A3003" s="116"/>
      <c r="E3003" s="108"/>
      <c r="F3003" s="114"/>
      <c r="G3003" s="114"/>
      <c r="H3003" s="114"/>
      <c r="Q3003" s="44">
        <f>IF(数据录入!$B3003="",0,IF(OR(数据录入!$D3003="投标保证金",数据录入!$D3003="合同履约保证金",ISNUMBER(FIND("保证金",数据录入!$E3003))),1,0))</f>
      </c>
      <c r="R3003" s="44">
        <f>IF(AND($Q3003=1,数据录入!$B3003&gt;=$B$2,数据录入!$B3003&lt;=$D$2),N(R3002)+1,N(R3002))</f>
      </c>
    </row>
    <row r="3004" s="44" customFormat="1" spans="1:23">
      <c r="A3004" s="116"/>
      <c r="E3004" s="108"/>
      <c r="F3004" s="114"/>
      <c r="G3004" s="114"/>
      <c r="H3004" s="114"/>
      <c r="Q3004" s="44">
        <f>IF(数据录入!$B3004="",0,IF(OR(数据录入!$D3004="投标保证金",数据录入!$D3004="合同履约保证金",ISNUMBER(FIND("保证金",数据录入!$E3004))),1,0))</f>
      </c>
      <c r="R3004" s="44">
        <f>IF(AND($Q3004=1,数据录入!$B3004&gt;=$B$2,数据录入!$B3004&lt;=$D$2),N(R3003)+1,N(R3003))</f>
      </c>
    </row>
    <row r="3005" s="44" customFormat="1" spans="1:23">
      <c r="A3005" s="116"/>
      <c r="E3005" s="108"/>
      <c r="F3005" s="114"/>
      <c r="G3005" s="114"/>
      <c r="H3005" s="114"/>
      <c r="Q3005" s="44">
        <f>IF(数据录入!$B3005="",0,IF(OR(数据录入!$D3005="投标保证金",数据录入!$D3005="合同履约保证金",ISNUMBER(FIND("保证金",数据录入!$E3005))),1,0))</f>
      </c>
      <c r="R3005" s="44">
        <f>IF(AND($Q3005=1,数据录入!$B3005&gt;=$B$2,数据录入!$B3005&lt;=$D$2),N(R3004)+1,N(R3004))</f>
      </c>
    </row>
    <row r="3006" s="44" customFormat="1" spans="1:23">
      <c r="A3006" s="116"/>
      <c r="E3006" s="108"/>
      <c r="F3006" s="114"/>
      <c r="G3006" s="114"/>
      <c r="H3006" s="114"/>
      <c r="Q3006" s="44">
        <f>IF(数据录入!$B3006="",0,IF(OR(数据录入!$D3006="投标保证金",数据录入!$D3006="合同履约保证金",ISNUMBER(FIND("保证金",数据录入!$E3006))),1,0))</f>
      </c>
      <c r="R3006" s="44">
        <f>IF(AND($Q3006=1,数据录入!$B3006&gt;=$B$2,数据录入!$B3006&lt;=$D$2),N(R3005)+1,N(R3005))</f>
      </c>
    </row>
    <row r="3007" s="44" customFormat="1" spans="1:23">
      <c r="A3007" s="116"/>
      <c r="E3007" s="108"/>
      <c r="F3007" s="114"/>
      <c r="G3007" s="114"/>
      <c r="H3007" s="114"/>
      <c r="Q3007" s="44">
        <f>IF(数据录入!$B3007="",0,IF(OR(数据录入!$D3007="投标保证金",数据录入!$D3007="合同履约保证金",ISNUMBER(FIND("保证金",数据录入!$E3007))),1,0))</f>
      </c>
      <c r="R3007" s="44">
        <f>IF(AND($Q3007=1,数据录入!$B3007&gt;=$B$2,数据录入!$B3007&lt;=$D$2),N(R3006)+1,N(R3006))</f>
      </c>
    </row>
    <row r="3008" s="44" customFormat="1" spans="1:23">
      <c r="A3008" s="116"/>
      <c r="E3008" s="108"/>
      <c r="F3008" s="114"/>
      <c r="G3008" s="114"/>
      <c r="H3008" s="114"/>
      <c r="Q3008" s="44">
        <f>IF(数据录入!$B3008="",0,IF(OR(数据录入!$D3008="投标保证金",数据录入!$D3008="合同履约保证金",ISNUMBER(FIND("保证金",数据录入!$E3008))),1,0))</f>
      </c>
      <c r="R3008" s="44">
        <f>IF(AND($Q3008=1,数据录入!$B3008&gt;=$B$2,数据录入!$B3008&lt;=$D$2),N(R3007)+1,N(R3007))</f>
      </c>
    </row>
    <row r="3009" s="44" customFormat="1" spans="1:23">
      <c r="A3009" s="116"/>
      <c r="E3009" s="108"/>
      <c r="F3009" s="114"/>
      <c r="G3009" s="114"/>
      <c r="H3009" s="114"/>
      <c r="Q3009" s="44">
        <f>IF(数据录入!$B3009="",0,IF(OR(数据录入!$D3009="投标保证金",数据录入!$D3009="合同履约保证金",ISNUMBER(FIND("保证金",数据录入!$E3009))),1,0))</f>
      </c>
      <c r="R3009" s="44">
        <f>IF(AND($Q3009=1,数据录入!$B3009&gt;=$B$2,数据录入!$B3009&lt;=$D$2),N(R3008)+1,N(R3008))</f>
      </c>
    </row>
    <row r="3010" s="44" customFormat="1" spans="1:23">
      <c r="A3010" s="116"/>
      <c r="E3010" s="108"/>
      <c r="F3010" s="114"/>
      <c r="G3010" s="114"/>
      <c r="H3010" s="114"/>
      <c r="Q3010" s="44">
        <f>IF(数据录入!$B3010="",0,IF(OR(数据录入!$D3010="投标保证金",数据录入!$D3010="合同履约保证金",ISNUMBER(FIND("保证金",数据录入!$E3010))),1,0))</f>
      </c>
      <c r="R3010" s="44">
        <f>IF(AND($Q3010=1,数据录入!$B3010&gt;=$B$2,数据录入!$B3010&lt;=$D$2),N(R3009)+1,N(R3009))</f>
      </c>
    </row>
    <row r="3011" s="44" customFormat="1" spans="1:23">
      <c r="A3011" s="116"/>
      <c r="E3011" s="108"/>
      <c r="F3011" s="114"/>
      <c r="G3011" s="114"/>
      <c r="H3011" s="114"/>
      <c r="Q3011" s="44">
        <f>IF(数据录入!$B3011="",0,IF(OR(数据录入!$D3011="投标保证金",数据录入!$D3011="合同履约保证金",ISNUMBER(FIND("保证金",数据录入!$E3011))),1,0))</f>
      </c>
      <c r="R3011" s="44">
        <f>IF(AND($Q3011=1,数据录入!$B3011&gt;=$B$2,数据录入!$B3011&lt;=$D$2),N(R3010)+1,N(R3010))</f>
      </c>
    </row>
    <row r="3012" s="44" customFormat="1" spans="1:23">
      <c r="A3012" s="116"/>
      <c r="E3012" s="108"/>
      <c r="F3012" s="114"/>
      <c r="G3012" s="114"/>
      <c r="H3012" s="114"/>
      <c r="Q3012" s="44">
        <f>IF(数据录入!$B3012="",0,IF(OR(数据录入!$D3012="投标保证金",数据录入!$D3012="合同履约保证金",ISNUMBER(FIND("保证金",数据录入!$E3012))),1,0))</f>
      </c>
      <c r="R3012" s="44">
        <f>IF(AND($Q3012=1,数据录入!$B3012&gt;=$B$2,数据录入!$B3012&lt;=$D$2),N(R3011)+1,N(R3011))</f>
      </c>
    </row>
    <row r="3013" s="44" customFormat="1" spans="1:23">
      <c r="A3013" s="116"/>
      <c r="E3013" s="108"/>
      <c r="F3013" s="114"/>
      <c r="G3013" s="114"/>
      <c r="H3013" s="114"/>
      <c r="Q3013" s="44">
        <f>IF(数据录入!$B3013="",0,IF(OR(数据录入!$D3013="投标保证金",数据录入!$D3013="合同履约保证金",ISNUMBER(FIND("保证金",数据录入!$E3013))),1,0))</f>
      </c>
      <c r="R3013" s="44">
        <f>IF(AND($Q3013=1,数据录入!$B3013&gt;=$B$2,数据录入!$B3013&lt;=$D$2),N(R3012)+1,N(R3012))</f>
      </c>
    </row>
    <row r="3014" s="44" customFormat="1" spans="1:23">
      <c r="A3014" s="116"/>
      <c r="E3014" s="108"/>
      <c r="F3014" s="114"/>
      <c r="G3014" s="114"/>
      <c r="H3014" s="114"/>
      <c r="Q3014" s="44">
        <f>IF(数据录入!$B3014="",0,IF(OR(数据录入!$D3014="投标保证金",数据录入!$D3014="合同履约保证金",ISNUMBER(FIND("保证金",数据录入!$E3014))),1,0))</f>
      </c>
      <c r="R3014" s="44">
        <f>IF(AND($Q3014=1,数据录入!$B3014&gt;=$B$2,数据录入!$B3014&lt;=$D$2),N(R3013)+1,N(R3013))</f>
      </c>
    </row>
    <row r="3015" s="44" customFormat="1" spans="1:23">
      <c r="A3015" s="116"/>
      <c r="E3015" s="108"/>
      <c r="F3015" s="114"/>
      <c r="G3015" s="114"/>
      <c r="H3015" s="114"/>
      <c r="Q3015" s="44">
        <f>IF(数据录入!$B3015="",0,IF(OR(数据录入!$D3015="投标保证金",数据录入!$D3015="合同履约保证金",ISNUMBER(FIND("保证金",数据录入!$E3015))),1,0))</f>
      </c>
      <c r="R3015" s="44">
        <f>IF(AND($Q3015=1,数据录入!$B3015&gt;=$B$2,数据录入!$B3015&lt;=$D$2),N(R3014)+1,N(R3014))</f>
      </c>
    </row>
    <row r="3016" s="44" customFormat="1" spans="1:23">
      <c r="A3016" s="116"/>
      <c r="E3016" s="108"/>
      <c r="F3016" s="114"/>
      <c r="G3016" s="114"/>
      <c r="H3016" s="114"/>
      <c r="Q3016" s="44">
        <f>IF(数据录入!$B3016="",0,IF(OR(数据录入!$D3016="投标保证金",数据录入!$D3016="合同履约保证金",ISNUMBER(FIND("保证金",数据录入!$E3016))),1,0))</f>
      </c>
      <c r="R3016" s="44">
        <f>IF(AND($Q3016=1,数据录入!$B3016&gt;=$B$2,数据录入!$B3016&lt;=$D$2),N(R3015)+1,N(R3015))</f>
      </c>
    </row>
    <row r="3017" s="44" customFormat="1" spans="1:23">
      <c r="A3017" s="116"/>
      <c r="E3017" s="108"/>
      <c r="F3017" s="114"/>
      <c r="G3017" s="114"/>
      <c r="H3017" s="114"/>
      <c r="Q3017" s="44">
        <f>IF(数据录入!$B3017="",0,IF(OR(数据录入!$D3017="投标保证金",数据录入!$D3017="合同履约保证金",ISNUMBER(FIND("保证金",数据录入!$E3017))),1,0))</f>
      </c>
      <c r="R3017" s="44">
        <f>IF(AND($Q3017=1,数据录入!$B3017&gt;=$B$2,数据录入!$B3017&lt;=$D$2),N(R3016)+1,N(R3016))</f>
      </c>
    </row>
    <row r="3018" s="44" customFormat="1" spans="1:23">
      <c r="A3018" s="116"/>
      <c r="E3018" s="108"/>
      <c r="F3018" s="114"/>
      <c r="G3018" s="114"/>
      <c r="H3018" s="114"/>
      <c r="Q3018" s="44">
        <f>IF(数据录入!$B3018="",0,IF(OR(数据录入!$D3018="投标保证金",数据录入!$D3018="合同履约保证金",ISNUMBER(FIND("保证金",数据录入!$E3018))),1,0))</f>
      </c>
      <c r="R3018" s="44">
        <f>IF(AND($Q3018=1,数据录入!$B3018&gt;=$B$2,数据录入!$B3018&lt;=$D$2),N(R3017)+1,N(R3017))</f>
      </c>
    </row>
    <row r="3019" s="44" customFormat="1" spans="1:23">
      <c r="A3019" s="116"/>
      <c r="E3019" s="108"/>
      <c r="F3019" s="114"/>
      <c r="G3019" s="114"/>
      <c r="H3019" s="114"/>
      <c r="Q3019" s="44">
        <f>IF(数据录入!$B3019="",0,IF(OR(数据录入!$D3019="投标保证金",数据录入!$D3019="合同履约保证金",ISNUMBER(FIND("保证金",数据录入!$E3019))),1,0))</f>
      </c>
      <c r="R3019" s="44">
        <f>IF(AND($Q3019=1,数据录入!$B3019&gt;=$B$2,数据录入!$B3019&lt;=$D$2),N(R3018)+1,N(R3018))</f>
      </c>
    </row>
    <row r="3020" s="44" customFormat="1" spans="1:23">
      <c r="A3020" s="116"/>
      <c r="E3020" s="108"/>
      <c r="F3020" s="114"/>
      <c r="G3020" s="114"/>
      <c r="H3020" s="114"/>
      <c r="Q3020" s="44">
        <f>IF(数据录入!$B3020="",0,IF(OR(数据录入!$D3020="投标保证金",数据录入!$D3020="合同履约保证金",ISNUMBER(FIND("保证金",数据录入!$E3020))),1,0))</f>
      </c>
      <c r="R3020" s="44">
        <f>IF(AND($Q3020=1,数据录入!$B3020&gt;=$B$2,数据录入!$B3020&lt;=$D$2),N(R3019)+1,N(R3019))</f>
      </c>
    </row>
    <row r="3021" s="44" customFormat="1" spans="1:23">
      <c r="A3021" s="116"/>
      <c r="E3021" s="108"/>
      <c r="F3021" s="114"/>
      <c r="G3021" s="114"/>
      <c r="H3021" s="114"/>
      <c r="Q3021" s="44">
        <f>IF(数据录入!$B3021="",0,IF(OR(数据录入!$D3021="投标保证金",数据录入!$D3021="合同履约保证金",ISNUMBER(FIND("保证金",数据录入!$E3021))),1,0))</f>
      </c>
      <c r="R3021" s="44">
        <f>IF(AND($Q3021=1,数据录入!$B3021&gt;=$B$2,数据录入!$B3021&lt;=$D$2),N(R3020)+1,N(R3020))</f>
      </c>
    </row>
    <row r="3022" s="44" customFormat="1" spans="1:23">
      <c r="A3022" s="116"/>
      <c r="E3022" s="108"/>
      <c r="F3022" s="114"/>
      <c r="G3022" s="114"/>
      <c r="H3022" s="114"/>
      <c r="Q3022" s="44">
        <f>IF(数据录入!$B3022="",0,IF(OR(数据录入!$D3022="投标保证金",数据录入!$D3022="合同履约保证金",ISNUMBER(FIND("保证金",数据录入!$E3022))),1,0))</f>
      </c>
      <c r="R3022" s="44">
        <f>IF(AND($Q3022=1,数据录入!$B3022&gt;=$B$2,数据录入!$B3022&lt;=$D$2),N(R3021)+1,N(R3021))</f>
      </c>
    </row>
    <row r="3023" s="44" customFormat="1" spans="1:23">
      <c r="A3023" s="116"/>
      <c r="E3023" s="108"/>
      <c r="F3023" s="114"/>
      <c r="G3023" s="114"/>
      <c r="H3023" s="114"/>
      <c r="Q3023" s="44">
        <f>IF(数据录入!$B3023="",0,IF(OR(数据录入!$D3023="投标保证金",数据录入!$D3023="合同履约保证金",ISNUMBER(FIND("保证金",数据录入!$E3023))),1,0))</f>
      </c>
      <c r="R3023" s="44">
        <f>IF(AND($Q3023=1,数据录入!$B3023&gt;=$B$2,数据录入!$B3023&lt;=$D$2),N(R3022)+1,N(R3022))</f>
      </c>
    </row>
    <row r="3024" s="44" customFormat="1" spans="1:23">
      <c r="A3024" s="116"/>
      <c r="E3024" s="108"/>
      <c r="F3024" s="114"/>
      <c r="G3024" s="114"/>
      <c r="H3024" s="114"/>
      <c r="Q3024" s="44">
        <f>IF(数据录入!$B3024="",0,IF(OR(数据录入!$D3024="投标保证金",数据录入!$D3024="合同履约保证金",ISNUMBER(FIND("保证金",数据录入!$E3024))),1,0))</f>
      </c>
      <c r="R3024" s="44">
        <f>IF(AND($Q3024=1,数据录入!$B3024&gt;=$B$2,数据录入!$B3024&lt;=$D$2),N(R3023)+1,N(R3023))</f>
      </c>
    </row>
    <row r="3025" s="44" customFormat="1" spans="1:23">
      <c r="A3025" s="116"/>
      <c r="E3025" s="108"/>
      <c r="F3025" s="114"/>
      <c r="G3025" s="114"/>
      <c r="H3025" s="114"/>
      <c r="Q3025" s="44">
        <f>IF(数据录入!$B3025="",0,IF(OR(数据录入!$D3025="投标保证金",数据录入!$D3025="合同履约保证金",ISNUMBER(FIND("保证金",数据录入!$E3025))),1,0))</f>
      </c>
      <c r="R3025" s="44">
        <f>IF(AND($Q3025=1,数据录入!$B3025&gt;=$B$2,数据录入!$B3025&lt;=$D$2),N(R3024)+1,N(R3024))</f>
      </c>
    </row>
    <row r="3026" s="44" customFormat="1" spans="1:23">
      <c r="A3026" s="116"/>
      <c r="E3026" s="108"/>
      <c r="F3026" s="114"/>
      <c r="G3026" s="114"/>
      <c r="H3026" s="114"/>
      <c r="Q3026" s="44">
        <f>IF(数据录入!$B3026="",0,IF(OR(数据录入!$D3026="投标保证金",数据录入!$D3026="合同履约保证金",ISNUMBER(FIND("保证金",数据录入!$E3026))),1,0))</f>
      </c>
      <c r="R3026" s="44">
        <f>IF(AND($Q3026=1,数据录入!$B3026&gt;=$B$2,数据录入!$B3026&lt;=$D$2),N(R3025)+1,N(R3025))</f>
      </c>
    </row>
    <row r="3027" s="44" customFormat="1" spans="1:23">
      <c r="A3027" s="116"/>
      <c r="E3027" s="108"/>
      <c r="F3027" s="114"/>
      <c r="G3027" s="114"/>
      <c r="H3027" s="114"/>
      <c r="Q3027" s="44">
        <f>IF(数据录入!$B3027="",0,IF(OR(数据录入!$D3027="投标保证金",数据录入!$D3027="合同履约保证金",ISNUMBER(FIND("保证金",数据录入!$E3027))),1,0))</f>
      </c>
      <c r="R3027" s="44">
        <f>IF(AND($Q3027=1,数据录入!$B3027&gt;=$B$2,数据录入!$B3027&lt;=$D$2),N(R3026)+1,N(R3026))</f>
      </c>
    </row>
    <row r="3028" s="44" customFormat="1" spans="1:23">
      <c r="A3028" s="116"/>
      <c r="E3028" s="108"/>
      <c r="F3028" s="114"/>
      <c r="G3028" s="114"/>
      <c r="H3028" s="114"/>
      <c r="Q3028" s="44">
        <f>IF(数据录入!$B3028="",0,IF(OR(数据录入!$D3028="投标保证金",数据录入!$D3028="合同履约保证金",ISNUMBER(FIND("保证金",数据录入!$E3028))),1,0))</f>
      </c>
      <c r="R3028" s="44">
        <f>IF(AND($Q3028=1,数据录入!$B3028&gt;=$B$2,数据录入!$B3028&lt;=$D$2),N(R3027)+1,N(R3027))</f>
      </c>
    </row>
    <row r="3029" s="44" customFormat="1" spans="1:23">
      <c r="A3029" s="116"/>
      <c r="E3029" s="108"/>
      <c r="F3029" s="114"/>
      <c r="G3029" s="114"/>
      <c r="H3029" s="114"/>
      <c r="Q3029" s="44">
        <f>IF(数据录入!$B3029="",0,IF(OR(数据录入!$D3029="投标保证金",数据录入!$D3029="合同履约保证金",ISNUMBER(FIND("保证金",数据录入!$E3029))),1,0))</f>
      </c>
      <c r="R3029" s="44">
        <f>IF(AND($Q3029=1,数据录入!$B3029&gt;=$B$2,数据录入!$B3029&lt;=$D$2),N(R3028)+1,N(R3028))</f>
      </c>
    </row>
    <row r="3030" s="44" customFormat="1" spans="1:23">
      <c r="A3030" s="116"/>
      <c r="E3030" s="108"/>
      <c r="F3030" s="114"/>
      <c r="G3030" s="114"/>
      <c r="H3030" s="114"/>
      <c r="Q3030" s="44">
        <f>IF(数据录入!$B3030="",0,IF(OR(数据录入!$D3030="投标保证金",数据录入!$D3030="合同履约保证金",ISNUMBER(FIND("保证金",数据录入!$E3030))),1,0))</f>
      </c>
      <c r="R3030" s="44">
        <f>IF(AND($Q3030=1,数据录入!$B3030&gt;=$B$2,数据录入!$B3030&lt;=$D$2),N(R3029)+1,N(R3029))</f>
      </c>
    </row>
    <row r="3031" s="44" customFormat="1" spans="1:23">
      <c r="A3031" s="116"/>
      <c r="E3031" s="108"/>
      <c r="F3031" s="114"/>
      <c r="G3031" s="114"/>
      <c r="H3031" s="114"/>
      <c r="Q3031" s="44">
        <f>IF(数据录入!$B3031="",0,IF(OR(数据录入!$D3031="投标保证金",数据录入!$D3031="合同履约保证金",ISNUMBER(FIND("保证金",数据录入!$E3031))),1,0))</f>
      </c>
      <c r="R3031" s="44">
        <f>IF(AND($Q3031=1,数据录入!$B3031&gt;=$B$2,数据录入!$B3031&lt;=$D$2),N(R3030)+1,N(R3030))</f>
      </c>
    </row>
    <row r="3032" s="44" customFormat="1" spans="1:23">
      <c r="A3032" s="116"/>
      <c r="E3032" s="108"/>
      <c r="F3032" s="114"/>
      <c r="G3032" s="114"/>
      <c r="H3032" s="114"/>
      <c r="Q3032" s="44">
        <f>IF(数据录入!$B3032="",0,IF(OR(数据录入!$D3032="投标保证金",数据录入!$D3032="合同履约保证金",ISNUMBER(FIND("保证金",数据录入!$E3032))),1,0))</f>
      </c>
      <c r="R3032" s="44">
        <f>IF(AND($Q3032=1,数据录入!$B3032&gt;=$B$2,数据录入!$B3032&lt;=$D$2),N(R3031)+1,N(R3031))</f>
      </c>
    </row>
    <row r="3033" s="44" customFormat="1" spans="1:23">
      <c r="A3033" s="116"/>
      <c r="E3033" s="108"/>
      <c r="F3033" s="114"/>
      <c r="G3033" s="114"/>
      <c r="H3033" s="114"/>
      <c r="Q3033" s="44">
        <f>IF(数据录入!$B3033="",0,IF(OR(数据录入!$D3033="投标保证金",数据录入!$D3033="合同履约保证金",ISNUMBER(FIND("保证金",数据录入!$E3033))),1,0))</f>
      </c>
      <c r="R3033" s="44">
        <f>IF(AND($Q3033=1,数据录入!$B3033&gt;=$B$2,数据录入!$B3033&lt;=$D$2),N(R3032)+1,N(R3032))</f>
      </c>
    </row>
    <row r="3034" s="44" customFormat="1" spans="1:23">
      <c r="A3034" s="116"/>
      <c r="E3034" s="108"/>
      <c r="F3034" s="114"/>
      <c r="G3034" s="114"/>
      <c r="H3034" s="114"/>
      <c r="Q3034" s="44">
        <f>IF(数据录入!$B3034="",0,IF(OR(数据录入!$D3034="投标保证金",数据录入!$D3034="合同履约保证金",ISNUMBER(FIND("保证金",数据录入!$E3034))),1,0))</f>
      </c>
      <c r="R3034" s="44">
        <f>IF(AND($Q3034=1,数据录入!$B3034&gt;=$B$2,数据录入!$B3034&lt;=$D$2),N(R3033)+1,N(R3033))</f>
      </c>
    </row>
    <row r="3035" s="44" customFormat="1" spans="1:23">
      <c r="A3035" s="116"/>
      <c r="E3035" s="108"/>
      <c r="F3035" s="114"/>
      <c r="G3035" s="114"/>
      <c r="H3035" s="114"/>
      <c r="Q3035" s="44">
        <f>IF(数据录入!$B3035="",0,IF(OR(数据录入!$D3035="投标保证金",数据录入!$D3035="合同履约保证金",ISNUMBER(FIND("保证金",数据录入!$E3035))),1,0))</f>
      </c>
      <c r="R3035" s="44">
        <f>IF(AND($Q3035=1,数据录入!$B3035&gt;=$B$2,数据录入!$B3035&lt;=$D$2),N(R3034)+1,N(R3034))</f>
      </c>
    </row>
    <row r="3036" s="44" customFormat="1" spans="1:23">
      <c r="A3036" s="116"/>
      <c r="E3036" s="108"/>
      <c r="F3036" s="114"/>
      <c r="G3036" s="114"/>
      <c r="H3036" s="114"/>
      <c r="Q3036" s="44">
        <f>IF(数据录入!$B3036="",0,IF(OR(数据录入!$D3036="投标保证金",数据录入!$D3036="合同履约保证金",ISNUMBER(FIND("保证金",数据录入!$E3036))),1,0))</f>
      </c>
      <c r="R3036" s="44">
        <f>IF(AND($Q3036=1,数据录入!$B3036&gt;=$B$2,数据录入!$B3036&lt;=$D$2),N(R3035)+1,N(R3035))</f>
      </c>
    </row>
    <row r="3037" s="44" customFormat="1" spans="1:23">
      <c r="A3037" s="116"/>
      <c r="E3037" s="108"/>
      <c r="F3037" s="114"/>
      <c r="G3037" s="114"/>
      <c r="H3037" s="114"/>
      <c r="Q3037" s="44">
        <f>IF(数据录入!$B3037="",0,IF(OR(数据录入!$D3037="投标保证金",数据录入!$D3037="合同履约保证金",ISNUMBER(FIND("保证金",数据录入!$E3037))),1,0))</f>
      </c>
      <c r="R3037" s="44">
        <f>IF(AND($Q3037=1,数据录入!$B3037&gt;=$B$2,数据录入!$B3037&lt;=$D$2),N(R3036)+1,N(R3036))</f>
      </c>
    </row>
    <row r="3038" s="44" customFormat="1" spans="1:23">
      <c r="A3038" s="116"/>
      <c r="E3038" s="108"/>
      <c r="F3038" s="114"/>
      <c r="G3038" s="114"/>
      <c r="H3038" s="114"/>
      <c r="Q3038" s="44">
        <f>IF(数据录入!$B3038="",0,IF(OR(数据录入!$D3038="投标保证金",数据录入!$D3038="合同履约保证金",ISNUMBER(FIND("保证金",数据录入!$E3038))),1,0))</f>
      </c>
      <c r="R3038" s="44">
        <f>IF(AND($Q3038=1,数据录入!$B3038&gt;=$B$2,数据录入!$B3038&lt;=$D$2),N(R3037)+1,N(R3037))</f>
      </c>
    </row>
    <row r="3039" s="44" customFormat="1" spans="1:23">
      <c r="A3039" s="116"/>
      <c r="E3039" s="108"/>
      <c r="F3039" s="114"/>
      <c r="G3039" s="114"/>
      <c r="H3039" s="114"/>
      <c r="Q3039" s="44">
        <f>IF(数据录入!$B3039="",0,IF(OR(数据录入!$D3039="投标保证金",数据录入!$D3039="合同履约保证金",ISNUMBER(FIND("保证金",数据录入!$E3039))),1,0))</f>
      </c>
      <c r="R3039" s="44">
        <f>IF(AND($Q3039=1,数据录入!$B3039&gt;=$B$2,数据录入!$B3039&lt;=$D$2),N(R3038)+1,N(R3038))</f>
      </c>
    </row>
    <row r="3040" s="44" customFormat="1" spans="1:23">
      <c r="A3040" s="116"/>
      <c r="E3040" s="108"/>
      <c r="F3040" s="114"/>
      <c r="G3040" s="114"/>
      <c r="H3040" s="114"/>
      <c r="Q3040" s="44">
        <f>IF(数据录入!$B3040="",0,IF(OR(数据录入!$D3040="投标保证金",数据录入!$D3040="合同履约保证金",ISNUMBER(FIND("保证金",数据录入!$E3040))),1,0))</f>
      </c>
      <c r="R3040" s="44">
        <f>IF(AND($Q3040=1,数据录入!$B3040&gt;=$B$2,数据录入!$B3040&lt;=$D$2),N(R3039)+1,N(R3039))</f>
      </c>
    </row>
    <row r="3041" s="44" customFormat="1" spans="1:23">
      <c r="A3041" s="116"/>
      <c r="E3041" s="108"/>
      <c r="F3041" s="114"/>
      <c r="G3041" s="114"/>
      <c r="H3041" s="114"/>
      <c r="Q3041" s="44">
        <f>IF(数据录入!$B3041="",0,IF(OR(数据录入!$D3041="投标保证金",数据录入!$D3041="合同履约保证金",ISNUMBER(FIND("保证金",数据录入!$E3041))),1,0))</f>
      </c>
      <c r="R3041" s="44">
        <f>IF(AND($Q3041=1,数据录入!$B3041&gt;=$B$2,数据录入!$B3041&lt;=$D$2),N(R3040)+1,N(R3040))</f>
      </c>
    </row>
    <row r="3042" s="44" customFormat="1" spans="1:23">
      <c r="A3042" s="116"/>
      <c r="E3042" s="108"/>
      <c r="F3042" s="114"/>
      <c r="G3042" s="114"/>
      <c r="H3042" s="114"/>
      <c r="Q3042" s="44">
        <f>IF(数据录入!$B3042="",0,IF(OR(数据录入!$D3042="投标保证金",数据录入!$D3042="合同履约保证金",ISNUMBER(FIND("保证金",数据录入!$E3042))),1,0))</f>
      </c>
      <c r="R3042" s="44">
        <f>IF(AND($Q3042=1,数据录入!$B3042&gt;=$B$2,数据录入!$B3042&lt;=$D$2),N(R3041)+1,N(R3041))</f>
      </c>
    </row>
    <row r="3043" s="44" customFormat="1" spans="1:23">
      <c r="A3043" s="116"/>
      <c r="E3043" s="108"/>
      <c r="F3043" s="114"/>
      <c r="G3043" s="114"/>
      <c r="H3043" s="114"/>
      <c r="Q3043" s="44">
        <f>IF(数据录入!$B3043="",0,IF(OR(数据录入!$D3043="投标保证金",数据录入!$D3043="合同履约保证金",ISNUMBER(FIND("保证金",数据录入!$E3043))),1,0))</f>
      </c>
      <c r="R3043" s="44">
        <f>IF(AND($Q3043=1,数据录入!$B3043&gt;=$B$2,数据录入!$B3043&lt;=$D$2),N(R3042)+1,N(R3042))</f>
      </c>
    </row>
    <row r="3044" s="44" customFormat="1" spans="1:23">
      <c r="A3044" s="116"/>
      <c r="E3044" s="108"/>
      <c r="F3044" s="114"/>
      <c r="G3044" s="114"/>
      <c r="H3044" s="114"/>
      <c r="Q3044" s="44">
        <f>IF(数据录入!$B3044="",0,IF(OR(数据录入!$D3044="投标保证金",数据录入!$D3044="合同履约保证金",ISNUMBER(FIND("保证金",数据录入!$E3044))),1,0))</f>
      </c>
      <c r="R3044" s="44">
        <f>IF(AND($Q3044=1,数据录入!$B3044&gt;=$B$2,数据录入!$B3044&lt;=$D$2),N(R3043)+1,N(R3043))</f>
      </c>
    </row>
    <row r="3045" s="44" customFormat="1" spans="1:23">
      <c r="A3045" s="116"/>
      <c r="E3045" s="108"/>
      <c r="F3045" s="114"/>
      <c r="G3045" s="114"/>
      <c r="H3045" s="114"/>
      <c r="Q3045" s="44">
        <f>IF(数据录入!$B3045="",0,IF(OR(数据录入!$D3045="投标保证金",数据录入!$D3045="合同履约保证金",ISNUMBER(FIND("保证金",数据录入!$E3045))),1,0))</f>
      </c>
      <c r="R3045" s="44">
        <f>IF(AND($Q3045=1,数据录入!$B3045&gt;=$B$2,数据录入!$B3045&lt;=$D$2),N(R3044)+1,N(R3044))</f>
      </c>
    </row>
    <row r="3046" s="44" customFormat="1" spans="1:23">
      <c r="A3046" s="116"/>
      <c r="E3046" s="108"/>
      <c r="F3046" s="114"/>
      <c r="G3046" s="114"/>
      <c r="H3046" s="114"/>
      <c r="Q3046" s="44">
        <f>IF(数据录入!$B3046="",0,IF(OR(数据录入!$D3046="投标保证金",数据录入!$D3046="合同履约保证金",ISNUMBER(FIND("保证金",数据录入!$E3046))),1,0))</f>
      </c>
      <c r="R3046" s="44">
        <f>IF(AND($Q3046=1,数据录入!$B3046&gt;=$B$2,数据录入!$B3046&lt;=$D$2),N(R3045)+1,N(R3045))</f>
      </c>
    </row>
    <row r="3047" s="44" customFormat="1" spans="1:23">
      <c r="A3047" s="116"/>
      <c r="E3047" s="108"/>
      <c r="F3047" s="114"/>
      <c r="G3047" s="114"/>
      <c r="H3047" s="114"/>
      <c r="Q3047" s="44">
        <f>IF(数据录入!$B3047="",0,IF(OR(数据录入!$D3047="投标保证金",数据录入!$D3047="合同履约保证金",ISNUMBER(FIND("保证金",数据录入!$E3047))),1,0))</f>
      </c>
      <c r="R3047" s="44">
        <f>IF(AND($Q3047=1,数据录入!$B3047&gt;=$B$2,数据录入!$B3047&lt;=$D$2),N(R3046)+1,N(R3046))</f>
      </c>
    </row>
    <row r="3048" s="44" customFormat="1" spans="1:23">
      <c r="A3048" s="116"/>
      <c r="E3048" s="108"/>
      <c r="F3048" s="114"/>
      <c r="G3048" s="114"/>
      <c r="H3048" s="114"/>
      <c r="Q3048" s="44">
        <f>IF(数据录入!$B3048="",0,IF(OR(数据录入!$D3048="投标保证金",数据录入!$D3048="合同履约保证金",ISNUMBER(FIND("保证金",数据录入!$E3048))),1,0))</f>
      </c>
      <c r="R3048" s="44">
        <f>IF(AND($Q3048=1,数据录入!$B3048&gt;=$B$2,数据录入!$B3048&lt;=$D$2),N(R3047)+1,N(R3047))</f>
      </c>
    </row>
    <row r="3049" s="44" customFormat="1" spans="1:23">
      <c r="A3049" s="116"/>
      <c r="E3049" s="108"/>
      <c r="F3049" s="114"/>
      <c r="G3049" s="114"/>
      <c r="H3049" s="114"/>
      <c r="Q3049" s="44">
        <f>IF(数据录入!$B3049="",0,IF(OR(数据录入!$D3049="投标保证金",数据录入!$D3049="合同履约保证金",ISNUMBER(FIND("保证金",数据录入!$E3049))),1,0))</f>
      </c>
      <c r="R3049" s="44">
        <f>IF(AND($Q3049=1,数据录入!$B3049&gt;=$B$2,数据录入!$B3049&lt;=$D$2),N(R3048)+1,N(R3048))</f>
      </c>
    </row>
    <row r="3050" s="44" customFormat="1" spans="1:23">
      <c r="A3050" s="116"/>
      <c r="E3050" s="108"/>
      <c r="F3050" s="114"/>
      <c r="G3050" s="114"/>
      <c r="H3050" s="114"/>
      <c r="Q3050" s="44">
        <f>IF(数据录入!$B3050="",0,IF(OR(数据录入!$D3050="投标保证金",数据录入!$D3050="合同履约保证金",ISNUMBER(FIND("保证金",数据录入!$E3050))),1,0))</f>
      </c>
      <c r="R3050" s="44">
        <f>IF(AND($Q3050=1,数据录入!$B3050&gt;=$B$2,数据录入!$B3050&lt;=$D$2),N(R3049)+1,N(R3049))</f>
      </c>
    </row>
    <row r="3051" s="44" customFormat="1" spans="1:23">
      <c r="A3051" s="116"/>
      <c r="E3051" s="108"/>
      <c r="F3051" s="114"/>
      <c r="G3051" s="114"/>
      <c r="H3051" s="114"/>
      <c r="Q3051" s="44">
        <f>IF(数据录入!$B3051="",0,IF(OR(数据录入!$D3051="投标保证金",数据录入!$D3051="合同履约保证金",ISNUMBER(FIND("保证金",数据录入!$E3051))),1,0))</f>
      </c>
      <c r="R3051" s="44">
        <f>IF(AND($Q3051=1,数据录入!$B3051&gt;=$B$2,数据录入!$B3051&lt;=$D$2),N(R3050)+1,N(R3050))</f>
      </c>
    </row>
    <row r="3052" s="44" customFormat="1" spans="1:23">
      <c r="A3052" s="116"/>
      <c r="E3052" s="108"/>
      <c r="F3052" s="114"/>
      <c r="G3052" s="114"/>
      <c r="H3052" s="114"/>
      <c r="Q3052" s="44">
        <f>IF(数据录入!$B3052="",0,IF(OR(数据录入!$D3052="投标保证金",数据录入!$D3052="合同履约保证金",ISNUMBER(FIND("保证金",数据录入!$E3052))),1,0))</f>
      </c>
      <c r="R3052" s="44">
        <f>IF(AND($Q3052=1,数据录入!$B3052&gt;=$B$2,数据录入!$B3052&lt;=$D$2),N(R3051)+1,N(R3051))</f>
      </c>
    </row>
    <row r="3053" s="44" customFormat="1" spans="1:23">
      <c r="A3053" s="116"/>
      <c r="E3053" s="108"/>
      <c r="F3053" s="114"/>
      <c r="G3053" s="114"/>
      <c r="H3053" s="114"/>
      <c r="Q3053" s="44">
        <f>IF(数据录入!$B3053="",0,IF(OR(数据录入!$D3053="投标保证金",数据录入!$D3053="合同履约保证金",ISNUMBER(FIND("保证金",数据录入!$E3053))),1,0))</f>
      </c>
      <c r="R3053" s="44">
        <f>IF(AND($Q3053=1,数据录入!$B3053&gt;=$B$2,数据录入!$B3053&lt;=$D$2),N(R3052)+1,N(R3052))</f>
      </c>
    </row>
    <row r="3054" s="44" customFormat="1" spans="1:23">
      <c r="A3054" s="116"/>
      <c r="E3054" s="108"/>
      <c r="F3054" s="114"/>
      <c r="G3054" s="114"/>
      <c r="H3054" s="114"/>
      <c r="Q3054" s="44">
        <f>IF(数据录入!$B3054="",0,IF(OR(数据录入!$D3054="投标保证金",数据录入!$D3054="合同履约保证金",ISNUMBER(FIND("保证金",数据录入!$E3054))),1,0))</f>
      </c>
      <c r="R3054" s="44">
        <f>IF(AND($Q3054=1,数据录入!$B3054&gt;=$B$2,数据录入!$B3054&lt;=$D$2),N(R3053)+1,N(R3053))</f>
      </c>
    </row>
    <row r="3055" s="44" customFormat="1" spans="1:23">
      <c r="A3055" s="116"/>
      <c r="E3055" s="108"/>
      <c r="F3055" s="114"/>
      <c r="G3055" s="114"/>
      <c r="H3055" s="114"/>
      <c r="Q3055" s="44">
        <f>IF(数据录入!$B3055="",0,IF(OR(数据录入!$D3055="投标保证金",数据录入!$D3055="合同履约保证金",ISNUMBER(FIND("保证金",数据录入!$E3055))),1,0))</f>
      </c>
      <c r="R3055" s="44">
        <f>IF(AND($Q3055=1,数据录入!$B3055&gt;=$B$2,数据录入!$B3055&lt;=$D$2),N(R3054)+1,N(R3054))</f>
      </c>
    </row>
    <row r="3056" s="44" customFormat="1" spans="1:23">
      <c r="A3056" s="116"/>
      <c r="E3056" s="108"/>
      <c r="F3056" s="114"/>
      <c r="G3056" s="114"/>
      <c r="H3056" s="114"/>
      <c r="Q3056" s="44">
        <f>IF(数据录入!$B3056="",0,IF(OR(数据录入!$D3056="投标保证金",数据录入!$D3056="合同履约保证金",ISNUMBER(FIND("保证金",数据录入!$E3056))),1,0))</f>
      </c>
      <c r="R3056" s="44">
        <f>IF(AND($Q3056=1,数据录入!$B3056&gt;=$B$2,数据录入!$B3056&lt;=$D$2),N(R3055)+1,N(R3055))</f>
      </c>
    </row>
    <row r="3057" s="44" customFormat="1" spans="1:23">
      <c r="A3057" s="116"/>
      <c r="E3057" s="108"/>
      <c r="F3057" s="114"/>
      <c r="G3057" s="114"/>
      <c r="H3057" s="114"/>
      <c r="Q3057" s="44">
        <f>IF(数据录入!$B3057="",0,IF(OR(数据录入!$D3057="投标保证金",数据录入!$D3057="合同履约保证金",ISNUMBER(FIND("保证金",数据录入!$E3057))),1,0))</f>
      </c>
      <c r="R3057" s="44">
        <f>IF(AND($Q3057=1,数据录入!$B3057&gt;=$B$2,数据录入!$B3057&lt;=$D$2),N(R3056)+1,N(R3056))</f>
      </c>
    </row>
    <row r="3058" s="44" customFormat="1" spans="1:23">
      <c r="A3058" s="116"/>
      <c r="E3058" s="108"/>
      <c r="F3058" s="114"/>
      <c r="G3058" s="114"/>
      <c r="H3058" s="114"/>
      <c r="Q3058" s="44">
        <f>IF(数据录入!$B3058="",0,IF(OR(数据录入!$D3058="投标保证金",数据录入!$D3058="合同履约保证金",ISNUMBER(FIND("保证金",数据录入!$E3058))),1,0))</f>
      </c>
      <c r="R3058" s="44">
        <f>IF(AND($Q3058=1,数据录入!$B3058&gt;=$B$2,数据录入!$B3058&lt;=$D$2),N(R3057)+1,N(R3057))</f>
      </c>
    </row>
    <row r="3059" s="44" customFormat="1" spans="1:23">
      <c r="A3059" s="116"/>
      <c r="E3059" s="108"/>
      <c r="F3059" s="114"/>
      <c r="G3059" s="114"/>
      <c r="H3059" s="114"/>
      <c r="Q3059" s="44">
        <f>IF(数据录入!$B3059="",0,IF(OR(数据录入!$D3059="投标保证金",数据录入!$D3059="合同履约保证金",ISNUMBER(FIND("保证金",数据录入!$E3059))),1,0))</f>
      </c>
      <c r="R3059" s="44">
        <f>IF(AND($Q3059=1,数据录入!$B3059&gt;=$B$2,数据录入!$B3059&lt;=$D$2),N(R3058)+1,N(R3058))</f>
      </c>
    </row>
    <row r="3060" s="44" customFormat="1" spans="1:23">
      <c r="A3060" s="116"/>
      <c r="E3060" s="108"/>
      <c r="F3060" s="114"/>
      <c r="G3060" s="114"/>
      <c r="H3060" s="114"/>
      <c r="Q3060" s="44">
        <f>IF(数据录入!$B3060="",0,IF(OR(数据录入!$D3060="投标保证金",数据录入!$D3060="合同履约保证金",ISNUMBER(FIND("保证金",数据录入!$E3060))),1,0))</f>
      </c>
      <c r="R3060" s="44">
        <f>IF(AND($Q3060=1,数据录入!$B3060&gt;=$B$2,数据录入!$B3060&lt;=$D$2),N(R3059)+1,N(R3059))</f>
      </c>
    </row>
    <row r="3061" s="44" customFormat="1" spans="1:23">
      <c r="A3061" s="116"/>
      <c r="E3061" s="108"/>
      <c r="F3061" s="114"/>
      <c r="G3061" s="114"/>
      <c r="H3061" s="114"/>
      <c r="Q3061" s="44">
        <f>IF(数据录入!$B3061="",0,IF(OR(数据录入!$D3061="投标保证金",数据录入!$D3061="合同履约保证金",ISNUMBER(FIND("保证金",数据录入!$E3061))),1,0))</f>
      </c>
      <c r="R3061" s="44">
        <f>IF(AND($Q3061=1,数据录入!$B3061&gt;=$B$2,数据录入!$B3061&lt;=$D$2),N(R3060)+1,N(R3060))</f>
      </c>
    </row>
    <row r="3062" s="44" customFormat="1" spans="1:23">
      <c r="A3062" s="116"/>
      <c r="E3062" s="108"/>
      <c r="F3062" s="114"/>
      <c r="G3062" s="114"/>
      <c r="H3062" s="114"/>
      <c r="Q3062" s="44">
        <f>IF(数据录入!$B3062="",0,IF(OR(数据录入!$D3062="投标保证金",数据录入!$D3062="合同履约保证金",ISNUMBER(FIND("保证金",数据录入!$E3062))),1,0))</f>
      </c>
      <c r="R3062" s="44">
        <f>IF(AND($Q3062=1,数据录入!$B3062&gt;=$B$2,数据录入!$B3062&lt;=$D$2),N(R3061)+1,N(R3061))</f>
      </c>
    </row>
    <row r="3063" s="44" customFormat="1" spans="1:23">
      <c r="A3063" s="116"/>
      <c r="E3063" s="108"/>
      <c r="F3063" s="114"/>
      <c r="G3063" s="114"/>
      <c r="H3063" s="114"/>
      <c r="Q3063" s="44">
        <f>IF(数据录入!$B3063="",0,IF(OR(数据录入!$D3063="投标保证金",数据录入!$D3063="合同履约保证金",ISNUMBER(FIND("保证金",数据录入!$E3063))),1,0))</f>
      </c>
      <c r="R3063" s="44">
        <f>IF(AND($Q3063=1,数据录入!$B3063&gt;=$B$2,数据录入!$B3063&lt;=$D$2),N(R3062)+1,N(R3062))</f>
      </c>
    </row>
    <row r="3064" s="44" customFormat="1" spans="1:23">
      <c r="A3064" s="116"/>
      <c r="E3064" s="108"/>
      <c r="F3064" s="114"/>
      <c r="G3064" s="114"/>
      <c r="H3064" s="114"/>
      <c r="Q3064" s="44">
        <f>IF(数据录入!$B3064="",0,IF(OR(数据录入!$D3064="投标保证金",数据录入!$D3064="合同履约保证金",ISNUMBER(FIND("保证金",数据录入!$E3064))),1,0))</f>
      </c>
      <c r="R3064" s="44">
        <f>IF(AND($Q3064=1,数据录入!$B3064&gt;=$B$2,数据录入!$B3064&lt;=$D$2),N(R3063)+1,N(R3063))</f>
      </c>
    </row>
    <row r="3065" s="44" customFormat="1" spans="1:23">
      <c r="A3065" s="116"/>
      <c r="E3065" s="108"/>
      <c r="F3065" s="114"/>
      <c r="G3065" s="114"/>
      <c r="H3065" s="114"/>
      <c r="Q3065" s="44">
        <f>IF(数据录入!$B3065="",0,IF(OR(数据录入!$D3065="投标保证金",数据录入!$D3065="合同履约保证金",ISNUMBER(FIND("保证金",数据录入!$E3065))),1,0))</f>
      </c>
      <c r="R3065" s="44">
        <f>IF(AND($Q3065=1,数据录入!$B3065&gt;=$B$2,数据录入!$B3065&lt;=$D$2),N(R3064)+1,N(R3064))</f>
      </c>
    </row>
    <row r="3066" s="44" customFormat="1" spans="1:23">
      <c r="A3066" s="116"/>
      <c r="E3066" s="108"/>
      <c r="F3066" s="114"/>
      <c r="G3066" s="114"/>
      <c r="H3066" s="114"/>
      <c r="Q3066" s="44">
        <f>IF(数据录入!$B3066="",0,IF(OR(数据录入!$D3066="投标保证金",数据录入!$D3066="合同履约保证金",ISNUMBER(FIND("保证金",数据录入!$E3066))),1,0))</f>
      </c>
      <c r="R3066" s="44">
        <f>IF(AND($Q3066=1,数据录入!$B3066&gt;=$B$2,数据录入!$B3066&lt;=$D$2),N(R3065)+1,N(R3065))</f>
      </c>
    </row>
    <row r="3067" s="44" customFormat="1" spans="1:23">
      <c r="A3067" s="116"/>
      <c r="E3067" s="108"/>
      <c r="F3067" s="114"/>
      <c r="G3067" s="114"/>
      <c r="H3067" s="114"/>
      <c r="Q3067" s="44">
        <f>IF(数据录入!$B3067="",0,IF(OR(数据录入!$D3067="投标保证金",数据录入!$D3067="合同履约保证金",ISNUMBER(FIND("保证金",数据录入!$E3067))),1,0))</f>
      </c>
      <c r="R3067" s="44">
        <f>IF(AND($Q3067=1,数据录入!$B3067&gt;=$B$2,数据录入!$B3067&lt;=$D$2),N(R3066)+1,N(R3066))</f>
      </c>
    </row>
    <row r="3068" s="44" customFormat="1" spans="1:23">
      <c r="A3068" s="116"/>
      <c r="E3068" s="108"/>
      <c r="F3068" s="114"/>
      <c r="G3068" s="114"/>
      <c r="H3068" s="114"/>
      <c r="Q3068" s="44">
        <f>IF(数据录入!$B3068="",0,IF(OR(数据录入!$D3068="投标保证金",数据录入!$D3068="合同履约保证金",ISNUMBER(FIND("保证金",数据录入!$E3068))),1,0))</f>
      </c>
      <c r="R3068" s="44">
        <f>IF(AND($Q3068=1,数据录入!$B3068&gt;=$B$2,数据录入!$B3068&lt;=$D$2),N(R3067)+1,N(R3067))</f>
      </c>
    </row>
    <row r="3069" s="44" customFormat="1" spans="1:23">
      <c r="A3069" s="116"/>
      <c r="E3069" s="108"/>
      <c r="F3069" s="114"/>
      <c r="G3069" s="114"/>
      <c r="H3069" s="114"/>
      <c r="Q3069" s="44">
        <f>IF(数据录入!$B3069="",0,IF(OR(数据录入!$D3069="投标保证金",数据录入!$D3069="合同履约保证金",ISNUMBER(FIND("保证金",数据录入!$E3069))),1,0))</f>
      </c>
      <c r="R3069" s="44">
        <f>IF(AND($Q3069=1,数据录入!$B3069&gt;=$B$2,数据录入!$B3069&lt;=$D$2),N(R3068)+1,N(R3068))</f>
      </c>
    </row>
    <row r="3070" s="44" customFormat="1" spans="1:23">
      <c r="A3070" s="116"/>
      <c r="E3070" s="108"/>
      <c r="F3070" s="114"/>
      <c r="G3070" s="114"/>
      <c r="H3070" s="114"/>
      <c r="Q3070" s="44">
        <f>IF(数据录入!$B3070="",0,IF(OR(数据录入!$D3070="投标保证金",数据录入!$D3070="合同履约保证金",ISNUMBER(FIND("保证金",数据录入!$E3070))),1,0))</f>
      </c>
      <c r="R3070" s="44">
        <f>IF(AND($Q3070=1,数据录入!$B3070&gt;=$B$2,数据录入!$B3070&lt;=$D$2),N(R3069)+1,N(R3069))</f>
      </c>
    </row>
    <row r="3071" s="44" customFormat="1" spans="1:23">
      <c r="A3071" s="116"/>
      <c r="E3071" s="108"/>
      <c r="F3071" s="114"/>
      <c r="G3071" s="114"/>
      <c r="H3071" s="114"/>
      <c r="Q3071" s="44">
        <f>IF(数据录入!$B3071="",0,IF(OR(数据录入!$D3071="投标保证金",数据录入!$D3071="合同履约保证金",ISNUMBER(FIND("保证金",数据录入!$E3071))),1,0))</f>
      </c>
      <c r="R3071" s="44">
        <f>IF(AND($Q3071=1,数据录入!$B3071&gt;=$B$2,数据录入!$B3071&lt;=$D$2),N(R3070)+1,N(R3070))</f>
      </c>
    </row>
    <row r="3072" s="44" customFormat="1" spans="1:23">
      <c r="A3072" s="116"/>
      <c r="E3072" s="108"/>
      <c r="F3072" s="114"/>
      <c r="G3072" s="114"/>
      <c r="H3072" s="114"/>
      <c r="Q3072" s="44">
        <f>IF(数据录入!$B3072="",0,IF(OR(数据录入!$D3072="投标保证金",数据录入!$D3072="合同履约保证金",ISNUMBER(FIND("保证金",数据录入!$E3072))),1,0))</f>
      </c>
      <c r="R3072" s="44">
        <f>IF(AND($Q3072=1,数据录入!$B3072&gt;=$B$2,数据录入!$B3072&lt;=$D$2),N(R3071)+1,N(R3071))</f>
      </c>
    </row>
    <row r="3073" s="44" customFormat="1" spans="1:23">
      <c r="A3073" s="116"/>
      <c r="E3073" s="108"/>
      <c r="F3073" s="114"/>
      <c r="G3073" s="114"/>
      <c r="H3073" s="114"/>
      <c r="Q3073" s="44">
        <f>IF(数据录入!$B3073="",0,IF(OR(数据录入!$D3073="投标保证金",数据录入!$D3073="合同履约保证金",ISNUMBER(FIND("保证金",数据录入!$E3073))),1,0))</f>
      </c>
      <c r="R3073" s="44">
        <f>IF(AND($Q3073=1,数据录入!$B3073&gt;=$B$2,数据录入!$B3073&lt;=$D$2),N(R3072)+1,N(R3072))</f>
      </c>
    </row>
    <row r="3074" s="44" customFormat="1" spans="1:23">
      <c r="A3074" s="116"/>
      <c r="E3074" s="108"/>
      <c r="F3074" s="114"/>
      <c r="G3074" s="114"/>
      <c r="H3074" s="114"/>
      <c r="Q3074" s="44">
        <f>IF(数据录入!$B3074="",0,IF(OR(数据录入!$D3074="投标保证金",数据录入!$D3074="合同履约保证金",ISNUMBER(FIND("保证金",数据录入!$E3074))),1,0))</f>
      </c>
      <c r="R3074" s="44">
        <f>IF(AND($Q3074=1,数据录入!$B3074&gt;=$B$2,数据录入!$B3074&lt;=$D$2),N(R3073)+1,N(R3073))</f>
      </c>
    </row>
    <row r="3075" s="44" customFormat="1" spans="1:23">
      <c r="A3075" s="116"/>
      <c r="E3075" s="108"/>
      <c r="F3075" s="114"/>
      <c r="G3075" s="114"/>
      <c r="H3075" s="114"/>
      <c r="Q3075" s="44">
        <f>IF(数据录入!$B3075="",0,IF(OR(数据录入!$D3075="投标保证金",数据录入!$D3075="合同履约保证金",ISNUMBER(FIND("保证金",数据录入!$E3075))),1,0))</f>
      </c>
      <c r="R3075" s="44">
        <f>IF(AND($Q3075=1,数据录入!$B3075&gt;=$B$2,数据录入!$B3075&lt;=$D$2),N(R3074)+1,N(R3074))</f>
      </c>
    </row>
    <row r="3076" s="44" customFormat="1" spans="1:23">
      <c r="A3076" s="116"/>
      <c r="E3076" s="108"/>
      <c r="F3076" s="114"/>
      <c r="G3076" s="114"/>
      <c r="H3076" s="114"/>
      <c r="Q3076" s="44">
        <f>IF(数据录入!$B3076="",0,IF(OR(数据录入!$D3076="投标保证金",数据录入!$D3076="合同履约保证金",ISNUMBER(FIND("保证金",数据录入!$E3076))),1,0))</f>
      </c>
      <c r="R3076" s="44">
        <f>IF(AND($Q3076=1,数据录入!$B3076&gt;=$B$2,数据录入!$B3076&lt;=$D$2),N(R3075)+1,N(R3075))</f>
      </c>
    </row>
    <row r="3077" s="44" customFormat="1" spans="1:23">
      <c r="A3077" s="116"/>
      <c r="E3077" s="108"/>
      <c r="F3077" s="114"/>
      <c r="G3077" s="114"/>
      <c r="H3077" s="114"/>
      <c r="Q3077" s="44">
        <f>IF(数据录入!$B3077="",0,IF(OR(数据录入!$D3077="投标保证金",数据录入!$D3077="合同履约保证金",ISNUMBER(FIND("保证金",数据录入!$E3077))),1,0))</f>
      </c>
      <c r="R3077" s="44">
        <f>IF(AND($Q3077=1,数据录入!$B3077&gt;=$B$2,数据录入!$B3077&lt;=$D$2),N(R3076)+1,N(R3076))</f>
      </c>
    </row>
    <row r="3078" s="44" customFormat="1" spans="1:23">
      <c r="A3078" s="116"/>
      <c r="E3078" s="108"/>
      <c r="F3078" s="114"/>
      <c r="G3078" s="114"/>
      <c r="H3078" s="114"/>
      <c r="Q3078" s="44">
        <f>IF(数据录入!$B3078="",0,IF(OR(数据录入!$D3078="投标保证金",数据录入!$D3078="合同履约保证金",ISNUMBER(FIND("保证金",数据录入!$E3078))),1,0))</f>
      </c>
      <c r="R3078" s="44">
        <f>IF(AND($Q3078=1,数据录入!$B3078&gt;=$B$2,数据录入!$B3078&lt;=$D$2),N(R3077)+1,N(R3077))</f>
      </c>
    </row>
    <row r="3079" s="44" customFormat="1" spans="1:23">
      <c r="A3079" s="116"/>
      <c r="E3079" s="108"/>
      <c r="F3079" s="114"/>
      <c r="G3079" s="114"/>
      <c r="H3079" s="114"/>
      <c r="Q3079" s="44">
        <f>IF(数据录入!$B3079="",0,IF(OR(数据录入!$D3079="投标保证金",数据录入!$D3079="合同履约保证金",ISNUMBER(FIND("保证金",数据录入!$E3079))),1,0))</f>
      </c>
      <c r="R3079" s="44">
        <f>IF(AND($Q3079=1,数据录入!$B3079&gt;=$B$2,数据录入!$B3079&lt;=$D$2),N(R3078)+1,N(R3078))</f>
      </c>
    </row>
    <row r="3080" s="44" customFormat="1" spans="1:23">
      <c r="A3080" s="116"/>
      <c r="E3080" s="108"/>
      <c r="F3080" s="114"/>
      <c r="G3080" s="114"/>
      <c r="H3080" s="114"/>
      <c r="Q3080" s="44">
        <f>IF(数据录入!$B3080="",0,IF(OR(数据录入!$D3080="投标保证金",数据录入!$D3080="合同履约保证金",ISNUMBER(FIND("保证金",数据录入!$E3080))),1,0))</f>
      </c>
      <c r="R3080" s="44">
        <f>IF(AND($Q3080=1,数据录入!$B3080&gt;=$B$2,数据录入!$B3080&lt;=$D$2),N(R3079)+1,N(R3079))</f>
      </c>
    </row>
    <row r="3081" s="44" customFormat="1" spans="1:23">
      <c r="A3081" s="116"/>
      <c r="E3081" s="108"/>
      <c r="F3081" s="114"/>
      <c r="G3081" s="114"/>
      <c r="H3081" s="114"/>
      <c r="Q3081" s="44">
        <f>IF(数据录入!$B3081="",0,IF(OR(数据录入!$D3081="投标保证金",数据录入!$D3081="合同履约保证金",ISNUMBER(FIND("保证金",数据录入!$E3081))),1,0))</f>
      </c>
      <c r="R3081" s="44">
        <f>IF(AND($Q3081=1,数据录入!$B3081&gt;=$B$2,数据录入!$B3081&lt;=$D$2),N(R3080)+1,N(R3080))</f>
      </c>
    </row>
    <row r="3082" s="44" customFormat="1" spans="1:23">
      <c r="A3082" s="116"/>
      <c r="E3082" s="108"/>
      <c r="F3082" s="114"/>
      <c r="G3082" s="114"/>
      <c r="H3082" s="114"/>
      <c r="Q3082" s="44">
        <f>IF(数据录入!$B3082="",0,IF(OR(数据录入!$D3082="投标保证金",数据录入!$D3082="合同履约保证金",ISNUMBER(FIND("保证金",数据录入!$E3082))),1,0))</f>
      </c>
      <c r="R3082" s="44">
        <f>IF(AND($Q3082=1,数据录入!$B3082&gt;=$B$2,数据录入!$B3082&lt;=$D$2),N(R3081)+1,N(R3081))</f>
      </c>
    </row>
    <row r="3083" s="44" customFormat="1" spans="1:23">
      <c r="A3083" s="116"/>
      <c r="E3083" s="108"/>
      <c r="F3083" s="114"/>
      <c r="G3083" s="114"/>
      <c r="H3083" s="114"/>
      <c r="Q3083" s="44">
        <f>IF(数据录入!$B3083="",0,IF(OR(数据录入!$D3083="投标保证金",数据录入!$D3083="合同履约保证金",ISNUMBER(FIND("保证金",数据录入!$E3083))),1,0))</f>
      </c>
      <c r="R3083" s="44">
        <f>IF(AND($Q3083=1,数据录入!$B3083&gt;=$B$2,数据录入!$B3083&lt;=$D$2),N(R3082)+1,N(R3082))</f>
      </c>
    </row>
    <row r="3084" s="44" customFormat="1" spans="1:23">
      <c r="A3084" s="116"/>
      <c r="E3084" s="108"/>
      <c r="F3084" s="114"/>
      <c r="G3084" s="114"/>
      <c r="H3084" s="114"/>
      <c r="Q3084" s="44">
        <f>IF(数据录入!$B3084="",0,IF(OR(数据录入!$D3084="投标保证金",数据录入!$D3084="合同履约保证金",ISNUMBER(FIND("保证金",数据录入!$E3084))),1,0))</f>
      </c>
      <c r="R3084" s="44">
        <f>IF(AND($Q3084=1,数据录入!$B3084&gt;=$B$2,数据录入!$B3084&lt;=$D$2),N(R3083)+1,N(R3083))</f>
      </c>
    </row>
    <row r="3085" s="44" customFormat="1" spans="1:23">
      <c r="A3085" s="116"/>
      <c r="E3085" s="108"/>
      <c r="F3085" s="114"/>
      <c r="G3085" s="114"/>
      <c r="H3085" s="114"/>
      <c r="Q3085" s="44">
        <f>IF(数据录入!$B3085="",0,IF(OR(数据录入!$D3085="投标保证金",数据录入!$D3085="合同履约保证金",ISNUMBER(FIND("保证金",数据录入!$E3085))),1,0))</f>
      </c>
      <c r="R3085" s="44">
        <f>IF(AND($Q3085=1,数据录入!$B3085&gt;=$B$2,数据录入!$B3085&lt;=$D$2),N(R3084)+1,N(R3084))</f>
      </c>
    </row>
    <row r="3086" s="44" customFormat="1" spans="1:23">
      <c r="A3086" s="116"/>
      <c r="E3086" s="108"/>
      <c r="F3086" s="114"/>
      <c r="G3086" s="114"/>
      <c r="H3086" s="114"/>
      <c r="Q3086" s="44">
        <f>IF(数据录入!$B3086="",0,IF(OR(数据录入!$D3086="投标保证金",数据录入!$D3086="合同履约保证金",ISNUMBER(FIND("保证金",数据录入!$E3086))),1,0))</f>
      </c>
      <c r="R3086" s="44">
        <f>IF(AND($Q3086=1,数据录入!$B3086&gt;=$B$2,数据录入!$B3086&lt;=$D$2),N(R3085)+1,N(R3085))</f>
      </c>
    </row>
    <row r="3087" s="44" customFormat="1" spans="1:23">
      <c r="A3087" s="116"/>
      <c r="E3087" s="108"/>
      <c r="F3087" s="114"/>
      <c r="G3087" s="114"/>
      <c r="H3087" s="114"/>
      <c r="Q3087" s="44">
        <f>IF(数据录入!$B3087="",0,IF(OR(数据录入!$D3087="投标保证金",数据录入!$D3087="合同履约保证金",ISNUMBER(FIND("保证金",数据录入!$E3087))),1,0))</f>
      </c>
      <c r="R3087" s="44">
        <f>IF(AND($Q3087=1,数据录入!$B3087&gt;=$B$2,数据录入!$B3087&lt;=$D$2),N(R3086)+1,N(R3086))</f>
      </c>
    </row>
    <row r="3088" s="44" customFormat="1" spans="1:23">
      <c r="A3088" s="116"/>
      <c r="E3088" s="108"/>
      <c r="F3088" s="114"/>
      <c r="G3088" s="114"/>
      <c r="H3088" s="114"/>
      <c r="Q3088" s="44">
        <f>IF(数据录入!$B3088="",0,IF(OR(数据录入!$D3088="投标保证金",数据录入!$D3088="合同履约保证金",ISNUMBER(FIND("保证金",数据录入!$E3088))),1,0))</f>
      </c>
      <c r="R3088" s="44">
        <f>IF(AND($Q3088=1,数据录入!$B3088&gt;=$B$2,数据录入!$B3088&lt;=$D$2),N(R3087)+1,N(R3087))</f>
      </c>
    </row>
    <row r="3089" s="44" customFormat="1" spans="1:23">
      <c r="A3089" s="116"/>
      <c r="E3089" s="108"/>
      <c r="F3089" s="114"/>
      <c r="G3089" s="114"/>
      <c r="H3089" s="114"/>
      <c r="Q3089" s="44">
        <f>IF(数据录入!$B3089="",0,IF(OR(数据录入!$D3089="投标保证金",数据录入!$D3089="合同履约保证金",ISNUMBER(FIND("保证金",数据录入!$E3089))),1,0))</f>
      </c>
      <c r="R3089" s="44">
        <f>IF(AND($Q3089=1,数据录入!$B3089&gt;=$B$2,数据录入!$B3089&lt;=$D$2),N(R3088)+1,N(R3088))</f>
      </c>
    </row>
    <row r="3090" s="44" customFormat="1" spans="1:23">
      <c r="A3090" s="116"/>
      <c r="E3090" s="108"/>
      <c r="F3090" s="114"/>
      <c r="G3090" s="114"/>
      <c r="H3090" s="114"/>
      <c r="Q3090" s="44">
        <f>IF(数据录入!$B3090="",0,IF(OR(数据录入!$D3090="投标保证金",数据录入!$D3090="合同履约保证金",ISNUMBER(FIND("保证金",数据录入!$E3090))),1,0))</f>
      </c>
      <c r="R3090" s="44">
        <f>IF(AND($Q3090=1,数据录入!$B3090&gt;=$B$2,数据录入!$B3090&lt;=$D$2),N(R3089)+1,N(R3089))</f>
      </c>
    </row>
    <row r="3091" s="44" customFormat="1" spans="1:23">
      <c r="A3091" s="116"/>
      <c r="E3091" s="108"/>
      <c r="F3091" s="114"/>
      <c r="G3091" s="114"/>
      <c r="H3091" s="114"/>
      <c r="Q3091" s="44">
        <f>IF(数据录入!$B3091="",0,IF(OR(数据录入!$D3091="投标保证金",数据录入!$D3091="合同履约保证金",ISNUMBER(FIND("保证金",数据录入!$E3091))),1,0))</f>
      </c>
      <c r="R3091" s="44">
        <f>IF(AND($Q3091=1,数据录入!$B3091&gt;=$B$2,数据录入!$B3091&lt;=$D$2),N(R3090)+1,N(R3090))</f>
      </c>
    </row>
    <row r="3092" s="44" customFormat="1" spans="1:23">
      <c r="A3092" s="116"/>
      <c r="E3092" s="108"/>
      <c r="F3092" s="114"/>
      <c r="G3092" s="114"/>
      <c r="H3092" s="114"/>
      <c r="Q3092" s="44">
        <f>IF(数据录入!$B3092="",0,IF(OR(数据录入!$D3092="投标保证金",数据录入!$D3092="合同履约保证金",ISNUMBER(FIND("保证金",数据录入!$E3092))),1,0))</f>
      </c>
      <c r="R3092" s="44">
        <f>IF(AND($Q3092=1,数据录入!$B3092&gt;=$B$2,数据录入!$B3092&lt;=$D$2),N(R3091)+1,N(R3091))</f>
      </c>
    </row>
    <row r="3093" s="44" customFormat="1" spans="1:23">
      <c r="A3093" s="116"/>
      <c r="E3093" s="108"/>
      <c r="F3093" s="114"/>
      <c r="G3093" s="114"/>
      <c r="H3093" s="114"/>
      <c r="Q3093" s="44">
        <f>IF(数据录入!$B3093="",0,IF(OR(数据录入!$D3093="投标保证金",数据录入!$D3093="合同履约保证金",ISNUMBER(FIND("保证金",数据录入!$E3093))),1,0))</f>
      </c>
      <c r="R3093" s="44">
        <f>IF(AND($Q3093=1,数据录入!$B3093&gt;=$B$2,数据录入!$B3093&lt;=$D$2),N(R3092)+1,N(R3092))</f>
      </c>
    </row>
    <row r="3094" s="44" customFormat="1" spans="1:23">
      <c r="A3094" s="116"/>
      <c r="E3094" s="108"/>
      <c r="F3094" s="114"/>
      <c r="G3094" s="114"/>
      <c r="H3094" s="114"/>
      <c r="Q3094" s="44">
        <f>IF(数据录入!$B3094="",0,IF(OR(数据录入!$D3094="投标保证金",数据录入!$D3094="合同履约保证金",ISNUMBER(FIND("保证金",数据录入!$E3094))),1,0))</f>
      </c>
      <c r="R3094" s="44">
        <f>IF(AND($Q3094=1,数据录入!$B3094&gt;=$B$2,数据录入!$B3094&lt;=$D$2),N(R3093)+1,N(R3093))</f>
      </c>
    </row>
    <row r="3095" s="44" customFormat="1" spans="1:23">
      <c r="A3095" s="116"/>
      <c r="E3095" s="108"/>
      <c r="F3095" s="114"/>
      <c r="G3095" s="114"/>
      <c r="H3095" s="114"/>
      <c r="Q3095" s="44">
        <f>IF(数据录入!$B3095="",0,IF(OR(数据录入!$D3095="投标保证金",数据录入!$D3095="合同履约保证金",ISNUMBER(FIND("保证金",数据录入!$E3095))),1,0))</f>
      </c>
      <c r="R3095" s="44">
        <f>IF(AND($Q3095=1,数据录入!$B3095&gt;=$B$2,数据录入!$B3095&lt;=$D$2),N(R3094)+1,N(R3094))</f>
      </c>
    </row>
    <row r="3096" s="44" customFormat="1" spans="1:23">
      <c r="A3096" s="116"/>
      <c r="E3096" s="108"/>
      <c r="F3096" s="114"/>
      <c r="G3096" s="114"/>
      <c r="H3096" s="114"/>
      <c r="Q3096" s="44">
        <f>IF(数据录入!$B3096="",0,IF(OR(数据录入!$D3096="投标保证金",数据录入!$D3096="合同履约保证金",ISNUMBER(FIND("保证金",数据录入!$E3096))),1,0))</f>
      </c>
      <c r="R3096" s="44">
        <f>IF(AND($Q3096=1,数据录入!$B3096&gt;=$B$2,数据录入!$B3096&lt;=$D$2),N(R3095)+1,N(R3095))</f>
      </c>
    </row>
    <row r="3097" s="44" customFormat="1" spans="1:23">
      <c r="A3097" s="116"/>
      <c r="E3097" s="108"/>
      <c r="F3097" s="114"/>
      <c r="G3097" s="114"/>
      <c r="H3097" s="114"/>
      <c r="Q3097" s="44">
        <f>IF(数据录入!$B3097="",0,IF(OR(数据录入!$D3097="投标保证金",数据录入!$D3097="合同履约保证金",ISNUMBER(FIND("保证金",数据录入!$E3097))),1,0))</f>
      </c>
      <c r="R3097" s="44">
        <f>IF(AND($Q3097=1,数据录入!$B3097&gt;=$B$2,数据录入!$B3097&lt;=$D$2),N(R3096)+1,N(R3096))</f>
      </c>
    </row>
    <row r="3098" s="44" customFormat="1" spans="1:23">
      <c r="A3098" s="116"/>
      <c r="E3098" s="108"/>
      <c r="F3098" s="114"/>
      <c r="G3098" s="114"/>
      <c r="H3098" s="114"/>
      <c r="Q3098" s="44">
        <f>IF(数据录入!$B3098="",0,IF(OR(数据录入!$D3098="投标保证金",数据录入!$D3098="合同履约保证金",ISNUMBER(FIND("保证金",数据录入!$E3098))),1,0))</f>
      </c>
      <c r="R3098" s="44">
        <f>IF(AND($Q3098=1,数据录入!$B3098&gt;=$B$2,数据录入!$B3098&lt;=$D$2),N(R3097)+1,N(R3097))</f>
      </c>
    </row>
    <row r="3099" s="44" customFormat="1" spans="1:23">
      <c r="A3099" s="116"/>
      <c r="E3099" s="108"/>
      <c r="F3099" s="114"/>
      <c r="G3099" s="114"/>
      <c r="H3099" s="114"/>
      <c r="Q3099" s="44">
        <f>IF(数据录入!$B3099="",0,IF(OR(数据录入!$D3099="投标保证金",数据录入!$D3099="合同履约保证金",ISNUMBER(FIND("保证金",数据录入!$E3099))),1,0))</f>
      </c>
      <c r="R3099" s="44">
        <f>IF(AND($Q3099=1,数据录入!$B3099&gt;=$B$2,数据录入!$B3099&lt;=$D$2),N(R3098)+1,N(R3098))</f>
      </c>
    </row>
    <row r="3100" s="44" customFormat="1" spans="1:23">
      <c r="A3100" s="116"/>
      <c r="E3100" s="108"/>
      <c r="F3100" s="114"/>
      <c r="G3100" s="114"/>
      <c r="H3100" s="114"/>
      <c r="Q3100" s="44">
        <f>IF(数据录入!$B3100="",0,IF(OR(数据录入!$D3100="投标保证金",数据录入!$D3100="合同履约保证金",ISNUMBER(FIND("保证金",数据录入!$E3100))),1,0))</f>
      </c>
      <c r="R3100" s="44">
        <f>IF(AND($Q3100=1,数据录入!$B3100&gt;=$B$2,数据录入!$B3100&lt;=$D$2),N(R3099)+1,N(R3099))</f>
      </c>
    </row>
    <row r="3101" s="44" customFormat="1" spans="1:23">
      <c r="A3101" s="116"/>
      <c r="E3101" s="108"/>
      <c r="F3101" s="114"/>
      <c r="G3101" s="114"/>
      <c r="H3101" s="114"/>
      <c r="Q3101" s="44">
        <f>IF(数据录入!$B3101="",0,IF(OR(数据录入!$D3101="投标保证金",数据录入!$D3101="合同履约保证金",ISNUMBER(FIND("保证金",数据录入!$E3101))),1,0))</f>
      </c>
      <c r="R3101" s="44">
        <f>IF(AND($Q3101=1,数据录入!$B3101&gt;=$B$2,数据录入!$B3101&lt;=$D$2),N(R3100)+1,N(R3100))</f>
      </c>
    </row>
    <row r="3102" s="44" customFormat="1" spans="1:23">
      <c r="A3102" s="116"/>
      <c r="E3102" s="108"/>
      <c r="F3102" s="114"/>
      <c r="G3102" s="114"/>
      <c r="H3102" s="114"/>
      <c r="Q3102" s="44">
        <f>IF(数据录入!$B3102="",0,IF(OR(数据录入!$D3102="投标保证金",数据录入!$D3102="合同履约保证金",ISNUMBER(FIND("保证金",数据录入!$E3102))),1,0))</f>
      </c>
      <c r="R3102" s="44">
        <f>IF(AND($Q3102=1,数据录入!$B3102&gt;=$B$2,数据录入!$B3102&lt;=$D$2),N(R3101)+1,N(R3101))</f>
      </c>
    </row>
    <row r="3103" s="44" customFormat="1" spans="1:23">
      <c r="A3103" s="116"/>
      <c r="E3103" s="108"/>
      <c r="F3103" s="114"/>
      <c r="G3103" s="114"/>
      <c r="H3103" s="114"/>
      <c r="Q3103" s="44">
        <f>IF(数据录入!$B3103="",0,IF(OR(数据录入!$D3103="投标保证金",数据录入!$D3103="合同履约保证金",ISNUMBER(FIND("保证金",数据录入!$E3103))),1,0))</f>
      </c>
      <c r="R3103" s="44">
        <f>IF(AND($Q3103=1,数据录入!$B3103&gt;=$B$2,数据录入!$B3103&lt;=$D$2),N(R3102)+1,N(R3102))</f>
      </c>
    </row>
    <row r="3104" s="44" customFormat="1" spans="1:23">
      <c r="A3104" s="116"/>
      <c r="E3104" s="108"/>
      <c r="F3104" s="114"/>
      <c r="G3104" s="114"/>
      <c r="H3104" s="114"/>
      <c r="Q3104" s="44">
        <f>IF(数据录入!$B3104="",0,IF(OR(数据录入!$D3104="投标保证金",数据录入!$D3104="合同履约保证金",ISNUMBER(FIND("保证金",数据录入!$E3104))),1,0))</f>
      </c>
      <c r="R3104" s="44">
        <f>IF(AND($Q3104=1,数据录入!$B3104&gt;=$B$2,数据录入!$B3104&lt;=$D$2),N(R3103)+1,N(R3103))</f>
      </c>
    </row>
    <row r="3105" s="44" customFormat="1" spans="1:23">
      <c r="A3105" s="116"/>
      <c r="E3105" s="108"/>
      <c r="F3105" s="114"/>
      <c r="G3105" s="114"/>
      <c r="H3105" s="114"/>
      <c r="Q3105" s="44">
        <f>IF(数据录入!$B3105="",0,IF(OR(数据录入!$D3105="投标保证金",数据录入!$D3105="合同履约保证金",ISNUMBER(FIND("保证金",数据录入!$E3105))),1,0))</f>
      </c>
      <c r="R3105" s="44">
        <f>IF(AND($Q3105=1,数据录入!$B3105&gt;=$B$2,数据录入!$B3105&lt;=$D$2),N(R3104)+1,N(R3104))</f>
      </c>
    </row>
    <row r="3106" s="44" customFormat="1" spans="1:23">
      <c r="A3106" s="116"/>
      <c r="E3106" s="108"/>
      <c r="F3106" s="114"/>
      <c r="G3106" s="114"/>
      <c r="H3106" s="114"/>
      <c r="Q3106" s="44">
        <f>IF(数据录入!$B3106="",0,IF(OR(数据录入!$D3106="投标保证金",数据录入!$D3106="合同履约保证金",ISNUMBER(FIND("保证金",数据录入!$E3106))),1,0))</f>
      </c>
      <c r="R3106" s="44">
        <f>IF(AND($Q3106=1,数据录入!$B3106&gt;=$B$2,数据录入!$B3106&lt;=$D$2),N(R3105)+1,N(R3105))</f>
      </c>
    </row>
    <row r="3107" s="44" customFormat="1" spans="1:23">
      <c r="A3107" s="116"/>
      <c r="E3107" s="108"/>
      <c r="F3107" s="114"/>
      <c r="G3107" s="114"/>
      <c r="H3107" s="114"/>
      <c r="Q3107" s="44">
        <f>IF(数据录入!$B3107="",0,IF(OR(数据录入!$D3107="投标保证金",数据录入!$D3107="合同履约保证金",ISNUMBER(FIND("保证金",数据录入!$E3107))),1,0))</f>
      </c>
      <c r="R3107" s="44">
        <f>IF(AND($Q3107=1,数据录入!$B3107&gt;=$B$2,数据录入!$B3107&lt;=$D$2),N(R3106)+1,N(R3106))</f>
      </c>
    </row>
    <row r="3108" s="44" customFormat="1" spans="1:23">
      <c r="A3108" s="116"/>
      <c r="E3108" s="108"/>
      <c r="F3108" s="114"/>
      <c r="G3108" s="114"/>
      <c r="H3108" s="114"/>
      <c r="Q3108" s="44">
        <f>IF(数据录入!$B3108="",0,IF(OR(数据录入!$D3108="投标保证金",数据录入!$D3108="合同履约保证金",ISNUMBER(FIND("保证金",数据录入!$E3108))),1,0))</f>
      </c>
      <c r="R3108" s="44">
        <f>IF(AND($Q3108=1,数据录入!$B3108&gt;=$B$2,数据录入!$B3108&lt;=$D$2),N(R3107)+1,N(R3107))</f>
      </c>
    </row>
    <row r="3109" s="44" customFormat="1" spans="1:23">
      <c r="A3109" s="116"/>
      <c r="E3109" s="108"/>
      <c r="F3109" s="114"/>
      <c r="G3109" s="114"/>
      <c r="H3109" s="114"/>
      <c r="Q3109" s="44">
        <f>IF(数据录入!$B3109="",0,IF(OR(数据录入!$D3109="投标保证金",数据录入!$D3109="合同履约保证金",ISNUMBER(FIND("保证金",数据录入!$E3109))),1,0))</f>
      </c>
      <c r="R3109" s="44">
        <f>IF(AND($Q3109=1,数据录入!$B3109&gt;=$B$2,数据录入!$B3109&lt;=$D$2),N(R3108)+1,N(R3108))</f>
      </c>
    </row>
    <row r="3110" s="44" customFormat="1" spans="1:23">
      <c r="A3110" s="116"/>
      <c r="E3110" s="108"/>
      <c r="F3110" s="114"/>
      <c r="G3110" s="114"/>
      <c r="H3110" s="114"/>
      <c r="Q3110" s="44">
        <f>IF(数据录入!$B3110="",0,IF(OR(数据录入!$D3110="投标保证金",数据录入!$D3110="合同履约保证金",ISNUMBER(FIND("保证金",数据录入!$E3110))),1,0))</f>
      </c>
      <c r="R3110" s="44">
        <f>IF(AND($Q3110=1,数据录入!$B3110&gt;=$B$2,数据录入!$B3110&lt;=$D$2),N(R3109)+1,N(R3109))</f>
      </c>
    </row>
    <row r="3111" s="44" customFormat="1" spans="1:23">
      <c r="A3111" s="116"/>
      <c r="E3111" s="108"/>
      <c r="F3111" s="114"/>
      <c r="G3111" s="114"/>
      <c r="H3111" s="114"/>
      <c r="Q3111" s="44">
        <f>IF(数据录入!$B3111="",0,IF(OR(数据录入!$D3111="投标保证金",数据录入!$D3111="合同履约保证金",ISNUMBER(FIND("保证金",数据录入!$E3111))),1,0))</f>
      </c>
      <c r="R3111" s="44">
        <f>IF(AND($Q3111=1,数据录入!$B3111&gt;=$B$2,数据录入!$B3111&lt;=$D$2),N(R3110)+1,N(R3110))</f>
      </c>
    </row>
    <row r="3112" s="44" customFormat="1" spans="1:23">
      <c r="A3112" s="116"/>
      <c r="E3112" s="108"/>
      <c r="F3112" s="114"/>
      <c r="G3112" s="114"/>
      <c r="H3112" s="114"/>
      <c r="Q3112" s="44">
        <f>IF(数据录入!$B3112="",0,IF(OR(数据录入!$D3112="投标保证金",数据录入!$D3112="合同履约保证金",ISNUMBER(FIND("保证金",数据录入!$E3112))),1,0))</f>
      </c>
      <c r="R3112" s="44">
        <f>IF(AND($Q3112=1,数据录入!$B3112&gt;=$B$2,数据录入!$B3112&lt;=$D$2),N(R3111)+1,N(R3111))</f>
      </c>
    </row>
    <row r="3113" s="44" customFormat="1" spans="1:23">
      <c r="A3113" s="116"/>
      <c r="E3113" s="108"/>
      <c r="F3113" s="114"/>
      <c r="G3113" s="114"/>
      <c r="H3113" s="114"/>
      <c r="Q3113" s="44">
        <f>IF(数据录入!$B3113="",0,IF(OR(数据录入!$D3113="投标保证金",数据录入!$D3113="合同履约保证金",ISNUMBER(FIND("保证金",数据录入!$E3113))),1,0))</f>
      </c>
      <c r="R3113" s="44">
        <f>IF(AND($Q3113=1,数据录入!$B3113&gt;=$B$2,数据录入!$B3113&lt;=$D$2),N(R3112)+1,N(R3112))</f>
      </c>
    </row>
    <row r="3114" s="44" customFormat="1" spans="1:23">
      <c r="A3114" s="116"/>
      <c r="E3114" s="108"/>
      <c r="F3114" s="114"/>
      <c r="G3114" s="114"/>
      <c r="H3114" s="114"/>
      <c r="Q3114" s="44">
        <f>IF(数据录入!$B3114="",0,IF(OR(数据录入!$D3114="投标保证金",数据录入!$D3114="合同履约保证金",ISNUMBER(FIND("保证金",数据录入!$E3114))),1,0))</f>
      </c>
      <c r="R3114" s="44">
        <f>IF(AND($Q3114=1,数据录入!$B3114&gt;=$B$2,数据录入!$B3114&lt;=$D$2),N(R3113)+1,N(R3113))</f>
      </c>
    </row>
    <row r="3115" s="44" customFormat="1" spans="1:23">
      <c r="A3115" s="116"/>
      <c r="E3115" s="108"/>
      <c r="F3115" s="114"/>
      <c r="G3115" s="114"/>
      <c r="H3115" s="114"/>
      <c r="Q3115" s="44">
        <f>IF(数据录入!$B3115="",0,IF(OR(数据录入!$D3115="投标保证金",数据录入!$D3115="合同履约保证金",ISNUMBER(FIND("保证金",数据录入!$E3115))),1,0))</f>
      </c>
      <c r="R3115" s="44">
        <f>IF(AND($Q3115=1,数据录入!$B3115&gt;=$B$2,数据录入!$B3115&lt;=$D$2),N(R3114)+1,N(R3114))</f>
      </c>
    </row>
    <row r="3116" s="44" customFormat="1" spans="1:23">
      <c r="A3116" s="116"/>
      <c r="E3116" s="108"/>
      <c r="F3116" s="114"/>
      <c r="G3116" s="114"/>
      <c r="H3116" s="114"/>
      <c r="Q3116" s="44">
        <f>IF(数据录入!$B3116="",0,IF(OR(数据录入!$D3116="投标保证金",数据录入!$D3116="合同履约保证金",ISNUMBER(FIND("保证金",数据录入!$E3116))),1,0))</f>
      </c>
      <c r="R3116" s="44">
        <f>IF(AND($Q3116=1,数据录入!$B3116&gt;=$B$2,数据录入!$B3116&lt;=$D$2),N(R3115)+1,N(R3115))</f>
      </c>
    </row>
    <row r="3117" s="44" customFormat="1" spans="1:23">
      <c r="A3117" s="116"/>
      <c r="E3117" s="108"/>
      <c r="F3117" s="114"/>
      <c r="G3117" s="114"/>
      <c r="H3117" s="114"/>
      <c r="Q3117" s="44">
        <f>IF(数据录入!$B3117="",0,IF(OR(数据录入!$D3117="投标保证金",数据录入!$D3117="合同履约保证金",ISNUMBER(FIND("保证金",数据录入!$E3117))),1,0))</f>
      </c>
      <c r="R3117" s="44">
        <f>IF(AND($Q3117=1,数据录入!$B3117&gt;=$B$2,数据录入!$B3117&lt;=$D$2),N(R3116)+1,N(R3116))</f>
      </c>
    </row>
    <row r="3118" s="44" customFormat="1" spans="1:23">
      <c r="A3118" s="116"/>
      <c r="E3118" s="108"/>
      <c r="F3118" s="114"/>
      <c r="G3118" s="114"/>
      <c r="H3118" s="114"/>
      <c r="Q3118" s="44">
        <f>IF(数据录入!$B3118="",0,IF(OR(数据录入!$D3118="投标保证金",数据录入!$D3118="合同履约保证金",ISNUMBER(FIND("保证金",数据录入!$E3118))),1,0))</f>
      </c>
      <c r="R3118" s="44">
        <f>IF(AND($Q3118=1,数据录入!$B3118&gt;=$B$2,数据录入!$B3118&lt;=$D$2),N(R3117)+1,N(R3117))</f>
      </c>
    </row>
    <row r="3119" s="44" customFormat="1" spans="1:23">
      <c r="A3119" s="116"/>
      <c r="E3119" s="108"/>
      <c r="F3119" s="114"/>
      <c r="G3119" s="114"/>
      <c r="H3119" s="114"/>
      <c r="Q3119" s="44">
        <f>IF(数据录入!$B3119="",0,IF(OR(数据录入!$D3119="投标保证金",数据录入!$D3119="合同履约保证金",ISNUMBER(FIND("保证金",数据录入!$E3119))),1,0))</f>
      </c>
      <c r="R3119" s="44">
        <f>IF(AND($Q3119=1,数据录入!$B3119&gt;=$B$2,数据录入!$B3119&lt;=$D$2),N(R3118)+1,N(R3118))</f>
      </c>
    </row>
    <row r="3120" s="44" customFormat="1" spans="1:23">
      <c r="A3120" s="116"/>
      <c r="E3120" s="108"/>
      <c r="F3120" s="114"/>
      <c r="G3120" s="114"/>
      <c r="H3120" s="114"/>
      <c r="Q3120" s="44">
        <f>IF(数据录入!$B3120="",0,IF(OR(数据录入!$D3120="投标保证金",数据录入!$D3120="合同履约保证金",ISNUMBER(FIND("保证金",数据录入!$E3120))),1,0))</f>
      </c>
      <c r="R3120" s="44">
        <f>IF(AND($Q3120=1,数据录入!$B3120&gt;=$B$2,数据录入!$B3120&lt;=$D$2),N(R3119)+1,N(R3119))</f>
      </c>
    </row>
    <row r="3121" s="44" customFormat="1" spans="1:23">
      <c r="A3121" s="116"/>
      <c r="E3121" s="108"/>
      <c r="F3121" s="114"/>
      <c r="G3121" s="114"/>
      <c r="H3121" s="114"/>
      <c r="Q3121" s="44">
        <f>IF(数据录入!$B3121="",0,IF(OR(数据录入!$D3121="投标保证金",数据录入!$D3121="合同履约保证金",ISNUMBER(FIND("保证金",数据录入!$E3121))),1,0))</f>
      </c>
      <c r="R3121" s="44">
        <f>IF(AND($Q3121=1,数据录入!$B3121&gt;=$B$2,数据录入!$B3121&lt;=$D$2),N(R3120)+1,N(R3120))</f>
      </c>
    </row>
    <row r="3122" s="44" customFormat="1" spans="1:23">
      <c r="A3122" s="116"/>
      <c r="E3122" s="108"/>
      <c r="F3122" s="114"/>
      <c r="G3122" s="114"/>
      <c r="H3122" s="114"/>
      <c r="Q3122" s="44">
        <f>IF(数据录入!$B3122="",0,IF(OR(数据录入!$D3122="投标保证金",数据录入!$D3122="合同履约保证金",ISNUMBER(FIND("保证金",数据录入!$E3122))),1,0))</f>
      </c>
      <c r="R3122" s="44">
        <f>IF(AND($Q3122=1,数据录入!$B3122&gt;=$B$2,数据录入!$B3122&lt;=$D$2),N(R3121)+1,N(R3121))</f>
      </c>
    </row>
    <row r="3123" s="44" customFormat="1" spans="1:23">
      <c r="A3123" s="116"/>
      <c r="E3123" s="108"/>
      <c r="F3123" s="114"/>
      <c r="G3123" s="114"/>
      <c r="H3123" s="114"/>
      <c r="Q3123" s="44">
        <f>IF(数据录入!$B3123="",0,IF(OR(数据录入!$D3123="投标保证金",数据录入!$D3123="合同履约保证金",ISNUMBER(FIND("保证金",数据录入!$E3123))),1,0))</f>
      </c>
      <c r="R3123" s="44">
        <f>IF(AND($Q3123=1,数据录入!$B3123&gt;=$B$2,数据录入!$B3123&lt;=$D$2),N(R3122)+1,N(R3122))</f>
      </c>
    </row>
    <row r="3124" s="44" customFormat="1" spans="1:23">
      <c r="A3124" s="116"/>
      <c r="E3124" s="108"/>
      <c r="F3124" s="114"/>
      <c r="G3124" s="114"/>
      <c r="H3124" s="114"/>
      <c r="Q3124" s="44">
        <f>IF(数据录入!$B3124="",0,IF(OR(数据录入!$D3124="投标保证金",数据录入!$D3124="合同履约保证金",ISNUMBER(FIND("保证金",数据录入!$E3124))),1,0))</f>
      </c>
      <c r="R3124" s="44">
        <f>IF(AND($Q3124=1,数据录入!$B3124&gt;=$B$2,数据录入!$B3124&lt;=$D$2),N(R3123)+1,N(R3123))</f>
      </c>
    </row>
    <row r="3125" s="44" customFormat="1" spans="1:23">
      <c r="A3125" s="116"/>
      <c r="E3125" s="108"/>
      <c r="F3125" s="114"/>
      <c r="G3125" s="114"/>
      <c r="H3125" s="114"/>
      <c r="Q3125" s="44">
        <f>IF(数据录入!$B3125="",0,IF(OR(数据录入!$D3125="投标保证金",数据录入!$D3125="合同履约保证金",ISNUMBER(FIND("保证金",数据录入!$E3125))),1,0))</f>
      </c>
      <c r="R3125" s="44">
        <f>IF(AND($Q3125=1,数据录入!$B3125&gt;=$B$2,数据录入!$B3125&lt;=$D$2),N(R3124)+1,N(R3124))</f>
      </c>
    </row>
    <row r="3126" s="44" customFormat="1" spans="1:23">
      <c r="A3126" s="116"/>
      <c r="E3126" s="108"/>
      <c r="F3126" s="114"/>
      <c r="G3126" s="114"/>
      <c r="H3126" s="114"/>
      <c r="Q3126" s="44">
        <f>IF(数据录入!$B3126="",0,IF(OR(数据录入!$D3126="投标保证金",数据录入!$D3126="合同履约保证金",ISNUMBER(FIND("保证金",数据录入!$E3126))),1,0))</f>
      </c>
      <c r="R3126" s="44">
        <f>IF(AND($Q3126=1,数据录入!$B3126&gt;=$B$2,数据录入!$B3126&lt;=$D$2),N(R3125)+1,N(R3125))</f>
      </c>
    </row>
    <row r="3127" s="44" customFormat="1" spans="1:23">
      <c r="A3127" s="116"/>
      <c r="E3127" s="108"/>
      <c r="F3127" s="114"/>
      <c r="G3127" s="114"/>
      <c r="H3127" s="114"/>
      <c r="Q3127" s="44">
        <f>IF(数据录入!$B3127="",0,IF(OR(数据录入!$D3127="投标保证金",数据录入!$D3127="合同履约保证金",ISNUMBER(FIND("保证金",数据录入!$E3127))),1,0))</f>
      </c>
      <c r="R3127" s="44">
        <f>IF(AND($Q3127=1,数据录入!$B3127&gt;=$B$2,数据录入!$B3127&lt;=$D$2),N(R3126)+1,N(R3126))</f>
      </c>
    </row>
    <row r="3128" s="44" customFormat="1" spans="1:23">
      <c r="A3128" s="116"/>
      <c r="E3128" s="108"/>
      <c r="F3128" s="114"/>
      <c r="G3128" s="114"/>
      <c r="H3128" s="114"/>
      <c r="Q3128" s="44">
        <f>IF(数据录入!$B3128="",0,IF(OR(数据录入!$D3128="投标保证金",数据录入!$D3128="合同履约保证金",ISNUMBER(FIND("保证金",数据录入!$E3128))),1,0))</f>
      </c>
      <c r="R3128" s="44">
        <f>IF(AND($Q3128=1,数据录入!$B3128&gt;=$B$2,数据录入!$B3128&lt;=$D$2),N(R3127)+1,N(R3127))</f>
      </c>
    </row>
    <row r="3129" s="44" customFormat="1" spans="1:23">
      <c r="A3129" s="116"/>
      <c r="E3129" s="108"/>
      <c r="F3129" s="114"/>
      <c r="G3129" s="114"/>
      <c r="H3129" s="114"/>
      <c r="Q3129" s="44">
        <f>IF(数据录入!$B3129="",0,IF(OR(数据录入!$D3129="投标保证金",数据录入!$D3129="合同履约保证金",ISNUMBER(FIND("保证金",数据录入!$E3129))),1,0))</f>
      </c>
      <c r="R3129" s="44">
        <f>IF(AND($Q3129=1,数据录入!$B3129&gt;=$B$2,数据录入!$B3129&lt;=$D$2),N(R3128)+1,N(R3128))</f>
      </c>
    </row>
    <row r="3130" s="44" customFormat="1" spans="1:23">
      <c r="A3130" s="116"/>
      <c r="E3130" s="108"/>
      <c r="F3130" s="114"/>
      <c r="G3130" s="114"/>
      <c r="H3130" s="114"/>
      <c r="Q3130" s="44">
        <f>IF(数据录入!$B3130="",0,IF(OR(数据录入!$D3130="投标保证金",数据录入!$D3130="合同履约保证金",ISNUMBER(FIND("保证金",数据录入!$E3130))),1,0))</f>
      </c>
      <c r="R3130" s="44">
        <f>IF(AND($Q3130=1,数据录入!$B3130&gt;=$B$2,数据录入!$B3130&lt;=$D$2),N(R3129)+1,N(R3129))</f>
      </c>
    </row>
    <row r="3131" s="44" customFormat="1" spans="1:23">
      <c r="A3131" s="116"/>
      <c r="E3131" s="108"/>
      <c r="F3131" s="114"/>
      <c r="G3131" s="114"/>
      <c r="H3131" s="114"/>
      <c r="Q3131" s="44">
        <f>IF(数据录入!$B3131="",0,IF(OR(数据录入!$D3131="投标保证金",数据录入!$D3131="合同履约保证金",ISNUMBER(FIND("保证金",数据录入!$E3131))),1,0))</f>
      </c>
      <c r="R3131" s="44">
        <f>IF(AND($Q3131=1,数据录入!$B3131&gt;=$B$2,数据录入!$B3131&lt;=$D$2),N(R3130)+1,N(R3130))</f>
      </c>
    </row>
    <row r="3132" s="44" customFormat="1" spans="1:23">
      <c r="A3132" s="116"/>
      <c r="E3132" s="108"/>
      <c r="F3132" s="114"/>
      <c r="G3132" s="114"/>
      <c r="H3132" s="114"/>
      <c r="Q3132" s="44">
        <f>IF(数据录入!$B3132="",0,IF(OR(数据录入!$D3132="投标保证金",数据录入!$D3132="合同履约保证金",ISNUMBER(FIND("保证金",数据录入!$E3132))),1,0))</f>
      </c>
      <c r="R3132" s="44">
        <f>IF(AND($Q3132=1,数据录入!$B3132&gt;=$B$2,数据录入!$B3132&lt;=$D$2),N(R3131)+1,N(R3131))</f>
      </c>
    </row>
    <row r="3133" s="44" customFormat="1" spans="1:23">
      <c r="A3133" s="116"/>
      <c r="E3133" s="108"/>
      <c r="F3133" s="114"/>
      <c r="G3133" s="114"/>
      <c r="H3133" s="114"/>
      <c r="Q3133" s="44">
        <f>IF(数据录入!$B3133="",0,IF(OR(数据录入!$D3133="投标保证金",数据录入!$D3133="合同履约保证金",ISNUMBER(FIND("保证金",数据录入!$E3133))),1,0))</f>
      </c>
      <c r="R3133" s="44">
        <f>IF(AND($Q3133=1,数据录入!$B3133&gt;=$B$2,数据录入!$B3133&lt;=$D$2),N(R3132)+1,N(R3132))</f>
      </c>
    </row>
    <row r="3134" s="44" customFormat="1" spans="1:23">
      <c r="A3134" s="116"/>
      <c r="E3134" s="108"/>
      <c r="F3134" s="114"/>
      <c r="G3134" s="114"/>
      <c r="H3134" s="114"/>
      <c r="Q3134" s="44">
        <f>IF(数据录入!$B3134="",0,IF(OR(数据录入!$D3134="投标保证金",数据录入!$D3134="合同履约保证金",ISNUMBER(FIND("保证金",数据录入!$E3134))),1,0))</f>
      </c>
      <c r="R3134" s="44">
        <f>IF(AND($Q3134=1,数据录入!$B3134&gt;=$B$2,数据录入!$B3134&lt;=$D$2),N(R3133)+1,N(R3133))</f>
      </c>
    </row>
    <row r="3135" s="44" customFormat="1" spans="1:23">
      <c r="A3135" s="116"/>
      <c r="E3135" s="108"/>
      <c r="F3135" s="114"/>
      <c r="G3135" s="114"/>
      <c r="H3135" s="114"/>
      <c r="Q3135" s="44">
        <f>IF(数据录入!$B3135="",0,IF(OR(数据录入!$D3135="投标保证金",数据录入!$D3135="合同履约保证金",ISNUMBER(FIND("保证金",数据录入!$E3135))),1,0))</f>
      </c>
      <c r="R3135" s="44">
        <f>IF(AND($Q3135=1,数据录入!$B3135&gt;=$B$2,数据录入!$B3135&lt;=$D$2),N(R3134)+1,N(R3134))</f>
      </c>
    </row>
    <row r="3136" s="44" customFormat="1" spans="1:23">
      <c r="A3136" s="116"/>
      <c r="E3136" s="108"/>
      <c r="F3136" s="114"/>
      <c r="G3136" s="114"/>
      <c r="H3136" s="114"/>
      <c r="Q3136" s="44">
        <f>IF(数据录入!$B3136="",0,IF(OR(数据录入!$D3136="投标保证金",数据录入!$D3136="合同履约保证金",ISNUMBER(FIND("保证金",数据录入!$E3136))),1,0))</f>
      </c>
      <c r="R3136" s="44">
        <f>IF(AND($Q3136=1,数据录入!$B3136&gt;=$B$2,数据录入!$B3136&lt;=$D$2),N(R3135)+1,N(R3135))</f>
      </c>
    </row>
    <row r="3137" s="44" customFormat="1" spans="1:23">
      <c r="A3137" s="116"/>
      <c r="E3137" s="108"/>
      <c r="F3137" s="114"/>
      <c r="G3137" s="114"/>
      <c r="H3137" s="114"/>
      <c r="Q3137" s="44">
        <f>IF(数据录入!$B3137="",0,IF(OR(数据录入!$D3137="投标保证金",数据录入!$D3137="合同履约保证金",ISNUMBER(FIND("保证金",数据录入!$E3137))),1,0))</f>
      </c>
      <c r="R3137" s="44">
        <f>IF(AND($Q3137=1,数据录入!$B3137&gt;=$B$2,数据录入!$B3137&lt;=$D$2),N(R3136)+1,N(R3136))</f>
      </c>
    </row>
    <row r="3138" s="44" customFormat="1" spans="1:23">
      <c r="A3138" s="116"/>
      <c r="E3138" s="108"/>
      <c r="F3138" s="114"/>
      <c r="G3138" s="114"/>
      <c r="H3138" s="114"/>
      <c r="Q3138" s="44">
        <f>IF(数据录入!$B3138="",0,IF(OR(数据录入!$D3138="投标保证金",数据录入!$D3138="合同履约保证金",ISNUMBER(FIND("保证金",数据录入!$E3138))),1,0))</f>
      </c>
      <c r="R3138" s="44">
        <f>IF(AND($Q3138=1,数据录入!$B3138&gt;=$B$2,数据录入!$B3138&lt;=$D$2),N(R3137)+1,N(R3137))</f>
      </c>
    </row>
    <row r="3139" s="44" customFormat="1" spans="1:23">
      <c r="A3139" s="116"/>
      <c r="E3139" s="108"/>
      <c r="F3139" s="114"/>
      <c r="G3139" s="114"/>
      <c r="H3139" s="114"/>
      <c r="Q3139" s="44">
        <f>IF(数据录入!$B3139="",0,IF(OR(数据录入!$D3139="投标保证金",数据录入!$D3139="合同履约保证金",ISNUMBER(FIND("保证金",数据录入!$E3139))),1,0))</f>
      </c>
      <c r="R3139" s="44">
        <f>IF(AND($Q3139=1,数据录入!$B3139&gt;=$B$2,数据录入!$B3139&lt;=$D$2),N(R3138)+1,N(R3138))</f>
      </c>
    </row>
    <row r="3140" s="44" customFormat="1" spans="1:23">
      <c r="A3140" s="116"/>
      <c r="E3140" s="108"/>
      <c r="F3140" s="114"/>
      <c r="G3140" s="114"/>
      <c r="H3140" s="114"/>
      <c r="Q3140" s="44">
        <f>IF(数据录入!$B3140="",0,IF(OR(数据录入!$D3140="投标保证金",数据录入!$D3140="合同履约保证金",ISNUMBER(FIND("保证金",数据录入!$E3140))),1,0))</f>
      </c>
      <c r="R3140" s="44">
        <f>IF(AND($Q3140=1,数据录入!$B3140&gt;=$B$2,数据录入!$B3140&lt;=$D$2),N(R3139)+1,N(R3139))</f>
      </c>
    </row>
    <row r="3141" s="44" customFormat="1" spans="1:23">
      <c r="A3141" s="116"/>
      <c r="E3141" s="108"/>
      <c r="F3141" s="114"/>
      <c r="G3141" s="114"/>
      <c r="H3141" s="114"/>
      <c r="Q3141" s="44">
        <f>IF(数据录入!$B3141="",0,IF(OR(数据录入!$D3141="投标保证金",数据录入!$D3141="合同履约保证金",ISNUMBER(FIND("保证金",数据录入!$E3141))),1,0))</f>
      </c>
      <c r="R3141" s="44">
        <f>IF(AND($Q3141=1,数据录入!$B3141&gt;=$B$2,数据录入!$B3141&lt;=$D$2),N(R3140)+1,N(R3140))</f>
      </c>
    </row>
    <row r="3142" s="44" customFormat="1" spans="1:23">
      <c r="A3142" s="116"/>
      <c r="E3142" s="108"/>
      <c r="F3142" s="114"/>
      <c r="G3142" s="114"/>
      <c r="H3142" s="114"/>
      <c r="Q3142" s="44">
        <f>IF(数据录入!$B3142="",0,IF(OR(数据录入!$D3142="投标保证金",数据录入!$D3142="合同履约保证金",ISNUMBER(FIND("保证金",数据录入!$E3142))),1,0))</f>
      </c>
      <c r="R3142" s="44">
        <f>IF(AND($Q3142=1,数据录入!$B3142&gt;=$B$2,数据录入!$B3142&lt;=$D$2),N(R3141)+1,N(R3141))</f>
      </c>
    </row>
    <row r="3143" s="44" customFormat="1" spans="1:23">
      <c r="A3143" s="116"/>
      <c r="E3143" s="108"/>
      <c r="F3143" s="114"/>
      <c r="G3143" s="114"/>
      <c r="H3143" s="114"/>
      <c r="Q3143" s="44">
        <f>IF(数据录入!$B3143="",0,IF(OR(数据录入!$D3143="投标保证金",数据录入!$D3143="合同履约保证金",ISNUMBER(FIND("保证金",数据录入!$E3143))),1,0))</f>
      </c>
      <c r="R3143" s="44">
        <f>IF(AND($Q3143=1,数据录入!$B3143&gt;=$B$2,数据录入!$B3143&lt;=$D$2),N(R3142)+1,N(R3142))</f>
      </c>
    </row>
    <row r="3144" s="44" customFormat="1" spans="1:23">
      <c r="A3144" s="116"/>
      <c r="E3144" s="108"/>
      <c r="F3144" s="114"/>
      <c r="G3144" s="114"/>
      <c r="H3144" s="114"/>
      <c r="Q3144" s="44">
        <f>IF(数据录入!$B3144="",0,IF(OR(数据录入!$D3144="投标保证金",数据录入!$D3144="合同履约保证金",ISNUMBER(FIND("保证金",数据录入!$E3144))),1,0))</f>
      </c>
      <c r="R3144" s="44">
        <f>IF(AND($Q3144=1,数据录入!$B3144&gt;=$B$2,数据录入!$B3144&lt;=$D$2),N(R3143)+1,N(R3143))</f>
      </c>
    </row>
    <row r="3145" s="44" customFormat="1" spans="1:23">
      <c r="A3145" s="116"/>
      <c r="E3145" s="108"/>
      <c r="F3145" s="114"/>
      <c r="G3145" s="114"/>
      <c r="H3145" s="114"/>
      <c r="Q3145" s="44">
        <f>IF(数据录入!$B3145="",0,IF(OR(数据录入!$D3145="投标保证金",数据录入!$D3145="合同履约保证金",ISNUMBER(FIND("保证金",数据录入!$E3145))),1,0))</f>
      </c>
      <c r="R3145" s="44">
        <f>IF(AND($Q3145=1,数据录入!$B3145&gt;=$B$2,数据录入!$B3145&lt;=$D$2),N(R3144)+1,N(R3144))</f>
      </c>
    </row>
    <row r="3146" s="44" customFormat="1" spans="1:23">
      <c r="A3146" s="116"/>
      <c r="E3146" s="108"/>
      <c r="F3146" s="114"/>
      <c r="G3146" s="114"/>
      <c r="H3146" s="114"/>
      <c r="Q3146" s="44">
        <f>IF(数据录入!$B3146="",0,IF(OR(数据录入!$D3146="投标保证金",数据录入!$D3146="合同履约保证金",ISNUMBER(FIND("保证金",数据录入!$E3146))),1,0))</f>
      </c>
      <c r="R3146" s="44">
        <f>IF(AND($Q3146=1,数据录入!$B3146&gt;=$B$2,数据录入!$B3146&lt;=$D$2),N(R3145)+1,N(R3145))</f>
      </c>
    </row>
    <row r="3147" s="44" customFormat="1" spans="1:23">
      <c r="A3147" s="116"/>
      <c r="E3147" s="108"/>
      <c r="F3147" s="114"/>
      <c r="G3147" s="114"/>
      <c r="H3147" s="114"/>
      <c r="Q3147" s="44">
        <f>IF(数据录入!$B3147="",0,IF(OR(数据录入!$D3147="投标保证金",数据录入!$D3147="合同履约保证金",ISNUMBER(FIND("保证金",数据录入!$E3147))),1,0))</f>
      </c>
      <c r="R3147" s="44">
        <f>IF(AND($Q3147=1,数据录入!$B3147&gt;=$B$2,数据录入!$B3147&lt;=$D$2),N(R3146)+1,N(R3146))</f>
      </c>
    </row>
    <row r="3148" s="44" customFormat="1" spans="1:23">
      <c r="A3148" s="116"/>
      <c r="E3148" s="108"/>
      <c r="F3148" s="114"/>
      <c r="G3148" s="114"/>
      <c r="H3148" s="114"/>
      <c r="Q3148" s="44">
        <f>IF(数据录入!$B3148="",0,IF(OR(数据录入!$D3148="投标保证金",数据录入!$D3148="合同履约保证金",ISNUMBER(FIND("保证金",数据录入!$E3148))),1,0))</f>
      </c>
      <c r="R3148" s="44">
        <f>IF(AND($Q3148=1,数据录入!$B3148&gt;=$B$2,数据录入!$B3148&lt;=$D$2),N(R3147)+1,N(R3147))</f>
      </c>
    </row>
    <row r="3149" s="44" customFormat="1" spans="1:23">
      <c r="A3149" s="116"/>
      <c r="E3149" s="108"/>
      <c r="F3149" s="114"/>
      <c r="G3149" s="114"/>
      <c r="H3149" s="114"/>
      <c r="Q3149" s="44">
        <f>IF(数据录入!$B3149="",0,IF(OR(数据录入!$D3149="投标保证金",数据录入!$D3149="合同履约保证金",ISNUMBER(FIND("保证金",数据录入!$E3149))),1,0))</f>
      </c>
      <c r="R3149" s="44">
        <f>IF(AND($Q3149=1,数据录入!$B3149&gt;=$B$2,数据录入!$B3149&lt;=$D$2),N(R3148)+1,N(R3148))</f>
      </c>
    </row>
    <row r="3150" s="44" customFormat="1" spans="1:23">
      <c r="A3150" s="116"/>
      <c r="E3150" s="108"/>
      <c r="F3150" s="114"/>
      <c r="G3150" s="114"/>
      <c r="H3150" s="114"/>
      <c r="Q3150" s="44">
        <f>IF(数据录入!$B3150="",0,IF(OR(数据录入!$D3150="投标保证金",数据录入!$D3150="合同履约保证金",ISNUMBER(FIND("保证金",数据录入!$E3150))),1,0))</f>
      </c>
      <c r="R3150" s="44">
        <f>IF(AND($Q3150=1,数据录入!$B3150&gt;=$B$2,数据录入!$B3150&lt;=$D$2),N(R3149)+1,N(R3149))</f>
      </c>
    </row>
    <row r="3151" s="44" customFormat="1" spans="1:23">
      <c r="A3151" s="116"/>
      <c r="E3151" s="108"/>
      <c r="F3151" s="114"/>
      <c r="G3151" s="114"/>
      <c r="H3151" s="114"/>
      <c r="Q3151" s="44">
        <f>IF(数据录入!$B3151="",0,IF(OR(数据录入!$D3151="投标保证金",数据录入!$D3151="合同履约保证金",ISNUMBER(FIND("保证金",数据录入!$E3151))),1,0))</f>
      </c>
      <c r="R3151" s="44">
        <f>IF(AND($Q3151=1,数据录入!$B3151&gt;=$B$2,数据录入!$B3151&lt;=$D$2),N(R3150)+1,N(R3150))</f>
      </c>
    </row>
    <row r="3152" s="44" customFormat="1" spans="1:23">
      <c r="A3152" s="116"/>
      <c r="E3152" s="108"/>
      <c r="F3152" s="114"/>
      <c r="G3152" s="114"/>
      <c r="H3152" s="114"/>
      <c r="Q3152" s="44">
        <f>IF(数据录入!$B3152="",0,IF(OR(数据录入!$D3152="投标保证金",数据录入!$D3152="合同履约保证金",ISNUMBER(FIND("保证金",数据录入!$E3152))),1,0))</f>
      </c>
      <c r="R3152" s="44">
        <f>IF(AND($Q3152=1,数据录入!$B3152&gt;=$B$2,数据录入!$B3152&lt;=$D$2),N(R3151)+1,N(R3151))</f>
      </c>
    </row>
    <row r="3153" s="44" customFormat="1" spans="1:23">
      <c r="A3153" s="116"/>
      <c r="E3153" s="108"/>
      <c r="F3153" s="114"/>
      <c r="G3153" s="114"/>
      <c r="H3153" s="114"/>
      <c r="Q3153" s="44">
        <f>IF(数据录入!$B3153="",0,IF(OR(数据录入!$D3153="投标保证金",数据录入!$D3153="合同履约保证金",ISNUMBER(FIND("保证金",数据录入!$E3153))),1,0))</f>
      </c>
      <c r="R3153" s="44">
        <f>IF(AND($Q3153=1,数据录入!$B3153&gt;=$B$2,数据录入!$B3153&lt;=$D$2),N(R3152)+1,N(R3152))</f>
      </c>
    </row>
    <row r="3154" s="44" customFormat="1" spans="1:23">
      <c r="A3154" s="116"/>
      <c r="E3154" s="108"/>
      <c r="F3154" s="114"/>
      <c r="G3154" s="114"/>
      <c r="H3154" s="114"/>
      <c r="Q3154" s="44">
        <f>IF(数据录入!$B3154="",0,IF(OR(数据录入!$D3154="投标保证金",数据录入!$D3154="合同履约保证金",ISNUMBER(FIND("保证金",数据录入!$E3154))),1,0))</f>
      </c>
      <c r="R3154" s="44">
        <f>IF(AND($Q3154=1,数据录入!$B3154&gt;=$B$2,数据录入!$B3154&lt;=$D$2),N(R3153)+1,N(R3153))</f>
      </c>
    </row>
    <row r="3155" s="44" customFormat="1" spans="1:23">
      <c r="A3155" s="116"/>
      <c r="E3155" s="108"/>
      <c r="F3155" s="114"/>
      <c r="G3155" s="114"/>
      <c r="H3155" s="114"/>
      <c r="Q3155" s="44">
        <f>IF(数据录入!$B3155="",0,IF(OR(数据录入!$D3155="投标保证金",数据录入!$D3155="合同履约保证金",ISNUMBER(FIND("保证金",数据录入!$E3155))),1,0))</f>
      </c>
      <c r="R3155" s="44">
        <f>IF(AND($Q3155=1,数据录入!$B3155&gt;=$B$2,数据录入!$B3155&lt;=$D$2),N(R3154)+1,N(R3154))</f>
      </c>
    </row>
    <row r="3156" s="44" customFormat="1" spans="1:23">
      <c r="A3156" s="116"/>
      <c r="E3156" s="108"/>
      <c r="F3156" s="114"/>
      <c r="G3156" s="114"/>
      <c r="H3156" s="114"/>
      <c r="Q3156" s="44">
        <f>IF(数据录入!$B3156="",0,IF(OR(数据录入!$D3156="投标保证金",数据录入!$D3156="合同履约保证金",ISNUMBER(FIND("保证金",数据录入!$E3156))),1,0))</f>
      </c>
      <c r="R3156" s="44">
        <f>IF(AND($Q3156=1,数据录入!$B3156&gt;=$B$2,数据录入!$B3156&lt;=$D$2),N(R3155)+1,N(R3155))</f>
      </c>
    </row>
    <row r="3157" s="44" customFormat="1" spans="1:23">
      <c r="A3157" s="116"/>
      <c r="E3157" s="108"/>
      <c r="F3157" s="114"/>
      <c r="G3157" s="114"/>
      <c r="H3157" s="114"/>
      <c r="Q3157" s="44">
        <f>IF(数据录入!$B3157="",0,IF(OR(数据录入!$D3157="投标保证金",数据录入!$D3157="合同履约保证金",ISNUMBER(FIND("保证金",数据录入!$E3157))),1,0))</f>
      </c>
      <c r="R3157" s="44">
        <f>IF(AND($Q3157=1,数据录入!$B3157&gt;=$B$2,数据录入!$B3157&lt;=$D$2),N(R3156)+1,N(R3156))</f>
      </c>
    </row>
    <row r="3158" s="44" customFormat="1" spans="1:23">
      <c r="A3158" s="116"/>
      <c r="E3158" s="108"/>
      <c r="F3158" s="114"/>
      <c r="G3158" s="114"/>
      <c r="H3158" s="114"/>
      <c r="Q3158" s="44">
        <f>IF(数据录入!$B3158="",0,IF(OR(数据录入!$D3158="投标保证金",数据录入!$D3158="合同履约保证金",ISNUMBER(FIND("保证金",数据录入!$E3158))),1,0))</f>
      </c>
      <c r="R3158" s="44">
        <f>IF(AND($Q3158=1,数据录入!$B3158&gt;=$B$2,数据录入!$B3158&lt;=$D$2),N(R3157)+1,N(R3157))</f>
      </c>
    </row>
    <row r="3159" s="44" customFormat="1" spans="1:23">
      <c r="A3159" s="116"/>
      <c r="E3159" s="108"/>
      <c r="F3159" s="114"/>
      <c r="G3159" s="114"/>
      <c r="H3159" s="114"/>
      <c r="Q3159" s="44">
        <f>IF(数据录入!$B3159="",0,IF(OR(数据录入!$D3159="投标保证金",数据录入!$D3159="合同履约保证金",ISNUMBER(FIND("保证金",数据录入!$E3159))),1,0))</f>
      </c>
      <c r="R3159" s="44">
        <f>IF(AND($Q3159=1,数据录入!$B3159&gt;=$B$2,数据录入!$B3159&lt;=$D$2),N(R3158)+1,N(R3158))</f>
      </c>
    </row>
    <row r="3160" s="44" customFormat="1" spans="1:23">
      <c r="A3160" s="116"/>
      <c r="E3160" s="108"/>
      <c r="F3160" s="114"/>
      <c r="G3160" s="114"/>
      <c r="H3160" s="114"/>
      <c r="Q3160" s="44">
        <f>IF(数据录入!$B3160="",0,IF(OR(数据录入!$D3160="投标保证金",数据录入!$D3160="合同履约保证金",ISNUMBER(FIND("保证金",数据录入!$E3160))),1,0))</f>
      </c>
      <c r="R3160" s="44">
        <f>IF(AND($Q3160=1,数据录入!$B3160&gt;=$B$2,数据录入!$B3160&lt;=$D$2),N(R3159)+1,N(R3159))</f>
      </c>
    </row>
    <row r="3161" s="44" customFormat="1" spans="1:23">
      <c r="A3161" s="116"/>
      <c r="E3161" s="108"/>
      <c r="F3161" s="114"/>
      <c r="G3161" s="114"/>
      <c r="H3161" s="114"/>
      <c r="Q3161" s="44">
        <f>IF(数据录入!$B3161="",0,IF(OR(数据录入!$D3161="投标保证金",数据录入!$D3161="合同履约保证金",ISNUMBER(FIND("保证金",数据录入!$E3161))),1,0))</f>
      </c>
      <c r="R3161" s="44">
        <f>IF(AND($Q3161=1,数据录入!$B3161&gt;=$B$2,数据录入!$B3161&lt;=$D$2),N(R3160)+1,N(R3160))</f>
      </c>
    </row>
    <row r="3162" s="44" customFormat="1" spans="1:23">
      <c r="A3162" s="116"/>
      <c r="E3162" s="108"/>
      <c r="F3162" s="114"/>
      <c r="G3162" s="114"/>
      <c r="H3162" s="114"/>
      <c r="Q3162" s="44">
        <f>IF(数据录入!$B3162="",0,IF(OR(数据录入!$D3162="投标保证金",数据录入!$D3162="合同履约保证金",ISNUMBER(FIND("保证金",数据录入!$E3162))),1,0))</f>
      </c>
      <c r="R3162" s="44">
        <f>IF(AND($Q3162=1,数据录入!$B3162&gt;=$B$2,数据录入!$B3162&lt;=$D$2),N(R3161)+1,N(R3161))</f>
      </c>
    </row>
    <row r="3163" s="44" customFormat="1" spans="1:23">
      <c r="A3163" s="116"/>
      <c r="E3163" s="108"/>
      <c r="F3163" s="114"/>
      <c r="G3163" s="114"/>
      <c r="H3163" s="114"/>
      <c r="Q3163" s="44">
        <f>IF(数据录入!$B3163="",0,IF(OR(数据录入!$D3163="投标保证金",数据录入!$D3163="合同履约保证金",ISNUMBER(FIND("保证金",数据录入!$E3163))),1,0))</f>
      </c>
      <c r="R3163" s="44">
        <f>IF(AND($Q3163=1,数据录入!$B3163&gt;=$B$2,数据录入!$B3163&lt;=$D$2),N(R3162)+1,N(R3162))</f>
      </c>
    </row>
    <row r="3164" s="44" customFormat="1" spans="1:23">
      <c r="A3164" s="116"/>
      <c r="E3164" s="108"/>
      <c r="F3164" s="114"/>
      <c r="G3164" s="114"/>
      <c r="H3164" s="114"/>
      <c r="Q3164" s="44">
        <f>IF(数据录入!$B3164="",0,IF(OR(数据录入!$D3164="投标保证金",数据录入!$D3164="合同履约保证金",ISNUMBER(FIND("保证金",数据录入!$E3164))),1,0))</f>
      </c>
      <c r="R3164" s="44">
        <f>IF(AND($Q3164=1,数据录入!$B3164&gt;=$B$2,数据录入!$B3164&lt;=$D$2),N(R3163)+1,N(R3163))</f>
      </c>
    </row>
    <row r="3165" s="44" customFormat="1" spans="1:23">
      <c r="A3165" s="116"/>
      <c r="E3165" s="108"/>
      <c r="F3165" s="114"/>
      <c r="G3165" s="114"/>
      <c r="H3165" s="114"/>
      <c r="Q3165" s="44">
        <f>IF(数据录入!$B3165="",0,IF(OR(数据录入!$D3165="投标保证金",数据录入!$D3165="合同履约保证金",ISNUMBER(FIND("保证金",数据录入!$E3165))),1,0))</f>
      </c>
      <c r="R3165" s="44">
        <f>IF(AND($Q3165=1,数据录入!$B3165&gt;=$B$2,数据录入!$B3165&lt;=$D$2),N(R3164)+1,N(R3164))</f>
      </c>
    </row>
    <row r="3166" s="44" customFormat="1" spans="1:23">
      <c r="A3166" s="116"/>
      <c r="E3166" s="108"/>
      <c r="F3166" s="114"/>
      <c r="G3166" s="114"/>
      <c r="H3166" s="114"/>
      <c r="Q3166" s="44">
        <f>IF(数据录入!$B3166="",0,IF(OR(数据录入!$D3166="投标保证金",数据录入!$D3166="合同履约保证金",ISNUMBER(FIND("保证金",数据录入!$E3166))),1,0))</f>
      </c>
      <c r="R3166" s="44">
        <f>IF(AND($Q3166=1,数据录入!$B3166&gt;=$B$2,数据录入!$B3166&lt;=$D$2),N(R3165)+1,N(R3165))</f>
      </c>
    </row>
    <row r="3167" s="44" customFormat="1" spans="1:23">
      <c r="A3167" s="116"/>
      <c r="E3167" s="108"/>
      <c r="F3167" s="114"/>
      <c r="G3167" s="114"/>
      <c r="H3167" s="114"/>
      <c r="Q3167" s="44">
        <f>IF(数据录入!$B3167="",0,IF(OR(数据录入!$D3167="投标保证金",数据录入!$D3167="合同履约保证金",ISNUMBER(FIND("保证金",数据录入!$E3167))),1,0))</f>
      </c>
      <c r="R3167" s="44">
        <f>IF(AND($Q3167=1,数据录入!$B3167&gt;=$B$2,数据录入!$B3167&lt;=$D$2),N(R3166)+1,N(R3166))</f>
      </c>
    </row>
    <row r="3168" s="44" customFormat="1" spans="1:23">
      <c r="A3168" s="116"/>
      <c r="E3168" s="108"/>
      <c r="F3168" s="114"/>
      <c r="G3168" s="114"/>
      <c r="H3168" s="114"/>
      <c r="Q3168" s="44">
        <f>IF(数据录入!$B3168="",0,IF(OR(数据录入!$D3168="投标保证金",数据录入!$D3168="合同履约保证金",ISNUMBER(FIND("保证金",数据录入!$E3168))),1,0))</f>
      </c>
      <c r="R3168" s="44">
        <f>IF(AND($Q3168=1,数据录入!$B3168&gt;=$B$2,数据录入!$B3168&lt;=$D$2),N(R3167)+1,N(R3167))</f>
      </c>
    </row>
    <row r="3169" s="44" customFormat="1" spans="1:23">
      <c r="A3169" s="116"/>
      <c r="E3169" s="108"/>
      <c r="F3169" s="114"/>
      <c r="G3169" s="114"/>
      <c r="H3169" s="114"/>
      <c r="Q3169" s="44">
        <f>IF(数据录入!$B3169="",0,IF(OR(数据录入!$D3169="投标保证金",数据录入!$D3169="合同履约保证金",ISNUMBER(FIND("保证金",数据录入!$E3169))),1,0))</f>
      </c>
      <c r="R3169" s="44">
        <f>IF(AND($Q3169=1,数据录入!$B3169&gt;=$B$2,数据录入!$B3169&lt;=$D$2),N(R3168)+1,N(R3168))</f>
      </c>
    </row>
    <row r="3170" s="44" customFormat="1" spans="1:23">
      <c r="A3170" s="116"/>
      <c r="E3170" s="108"/>
      <c r="F3170" s="114"/>
      <c r="G3170" s="114"/>
      <c r="H3170" s="114"/>
      <c r="Q3170" s="44">
        <f>IF(数据录入!$B3170="",0,IF(OR(数据录入!$D3170="投标保证金",数据录入!$D3170="合同履约保证金",ISNUMBER(FIND("保证金",数据录入!$E3170))),1,0))</f>
      </c>
      <c r="R3170" s="44">
        <f>IF(AND($Q3170=1,数据录入!$B3170&gt;=$B$2,数据录入!$B3170&lt;=$D$2),N(R3169)+1,N(R3169))</f>
      </c>
    </row>
    <row r="3171" s="44" customFormat="1" spans="1:23">
      <c r="A3171" s="116"/>
      <c r="E3171" s="108"/>
      <c r="F3171" s="114"/>
      <c r="G3171" s="114"/>
      <c r="H3171" s="114"/>
      <c r="Q3171" s="44">
        <f>IF(数据录入!$B3171="",0,IF(OR(数据录入!$D3171="投标保证金",数据录入!$D3171="合同履约保证金",ISNUMBER(FIND("保证金",数据录入!$E3171))),1,0))</f>
      </c>
      <c r="R3171" s="44">
        <f>IF(AND($Q3171=1,数据录入!$B3171&gt;=$B$2,数据录入!$B3171&lt;=$D$2),N(R3170)+1,N(R3170))</f>
      </c>
    </row>
    <row r="3172" s="44" customFormat="1" spans="1:23">
      <c r="A3172" s="116"/>
      <c r="E3172" s="108"/>
      <c r="F3172" s="114"/>
      <c r="G3172" s="114"/>
      <c r="H3172" s="114"/>
      <c r="Q3172" s="44">
        <f>IF(数据录入!$B3172="",0,IF(OR(数据录入!$D3172="投标保证金",数据录入!$D3172="合同履约保证金",ISNUMBER(FIND("保证金",数据录入!$E3172))),1,0))</f>
      </c>
      <c r="R3172" s="44">
        <f>IF(AND($Q3172=1,数据录入!$B3172&gt;=$B$2,数据录入!$B3172&lt;=$D$2),N(R3171)+1,N(R3171))</f>
      </c>
    </row>
    <row r="3173" s="44" customFormat="1" spans="1:23">
      <c r="A3173" s="116"/>
      <c r="E3173" s="108"/>
      <c r="F3173" s="114"/>
      <c r="G3173" s="114"/>
      <c r="H3173" s="114"/>
      <c r="Q3173" s="44">
        <f>IF(数据录入!$B3173="",0,IF(OR(数据录入!$D3173="投标保证金",数据录入!$D3173="合同履约保证金",ISNUMBER(FIND("保证金",数据录入!$E3173))),1,0))</f>
      </c>
      <c r="R3173" s="44">
        <f>IF(AND($Q3173=1,数据录入!$B3173&gt;=$B$2,数据录入!$B3173&lt;=$D$2),N(R3172)+1,N(R3172))</f>
      </c>
    </row>
    <row r="3174" s="44" customFormat="1" spans="1:23">
      <c r="A3174" s="116"/>
      <c r="E3174" s="108"/>
      <c r="F3174" s="114"/>
      <c r="G3174" s="114"/>
      <c r="H3174" s="114"/>
      <c r="Q3174" s="44">
        <f>IF(数据录入!$B3174="",0,IF(OR(数据录入!$D3174="投标保证金",数据录入!$D3174="合同履约保证金",ISNUMBER(FIND("保证金",数据录入!$E3174))),1,0))</f>
      </c>
      <c r="R3174" s="44">
        <f>IF(AND($Q3174=1,数据录入!$B3174&gt;=$B$2,数据录入!$B3174&lt;=$D$2),N(R3173)+1,N(R3173))</f>
      </c>
    </row>
    <row r="3175" s="44" customFormat="1" spans="1:23">
      <c r="A3175" s="116"/>
      <c r="E3175" s="108"/>
      <c r="F3175" s="114"/>
      <c r="G3175" s="114"/>
      <c r="H3175" s="114"/>
      <c r="Q3175" s="44">
        <f>IF(数据录入!$B3175="",0,IF(OR(数据录入!$D3175="投标保证金",数据录入!$D3175="合同履约保证金",ISNUMBER(FIND("保证金",数据录入!$E3175))),1,0))</f>
      </c>
      <c r="R3175" s="44">
        <f>IF(AND($Q3175=1,数据录入!$B3175&gt;=$B$2,数据录入!$B3175&lt;=$D$2),N(R3174)+1,N(R3174))</f>
      </c>
    </row>
    <row r="3176" s="44" customFormat="1" spans="1:23">
      <c r="A3176" s="116"/>
      <c r="E3176" s="108"/>
      <c r="F3176" s="114"/>
      <c r="G3176" s="114"/>
      <c r="H3176" s="114"/>
      <c r="Q3176" s="44">
        <f>IF(数据录入!$B3176="",0,IF(OR(数据录入!$D3176="投标保证金",数据录入!$D3176="合同履约保证金",ISNUMBER(FIND("保证金",数据录入!$E3176))),1,0))</f>
      </c>
      <c r="R3176" s="44">
        <f>IF(AND($Q3176=1,数据录入!$B3176&gt;=$B$2,数据录入!$B3176&lt;=$D$2),N(R3175)+1,N(R3175))</f>
      </c>
    </row>
    <row r="3177" s="44" customFormat="1" spans="1:23">
      <c r="A3177" s="116"/>
      <c r="E3177" s="108"/>
      <c r="F3177" s="114"/>
      <c r="G3177" s="114"/>
      <c r="H3177" s="114"/>
      <c r="Q3177" s="44">
        <f>IF(数据录入!$B3177="",0,IF(OR(数据录入!$D3177="投标保证金",数据录入!$D3177="合同履约保证金",ISNUMBER(FIND("保证金",数据录入!$E3177))),1,0))</f>
      </c>
      <c r="R3177" s="44">
        <f>IF(AND($Q3177=1,数据录入!$B3177&gt;=$B$2,数据录入!$B3177&lt;=$D$2),N(R3176)+1,N(R3176))</f>
      </c>
    </row>
    <row r="3178" s="44" customFormat="1" spans="1:23">
      <c r="A3178" s="116"/>
      <c r="E3178" s="108"/>
      <c r="F3178" s="114"/>
      <c r="G3178" s="114"/>
      <c r="H3178" s="114"/>
      <c r="Q3178" s="44">
        <f>IF(数据录入!$B3178="",0,IF(OR(数据录入!$D3178="投标保证金",数据录入!$D3178="合同履约保证金",ISNUMBER(FIND("保证金",数据录入!$E3178))),1,0))</f>
      </c>
      <c r="R3178" s="44">
        <f>IF(AND($Q3178=1,数据录入!$B3178&gt;=$B$2,数据录入!$B3178&lt;=$D$2),N(R3177)+1,N(R3177))</f>
      </c>
    </row>
    <row r="3179" s="44" customFormat="1" spans="1:23">
      <c r="A3179" s="116"/>
      <c r="E3179" s="108"/>
      <c r="F3179" s="114"/>
      <c r="G3179" s="114"/>
      <c r="H3179" s="114"/>
      <c r="Q3179" s="44">
        <f>IF(数据录入!$B3179="",0,IF(OR(数据录入!$D3179="投标保证金",数据录入!$D3179="合同履约保证金",ISNUMBER(FIND("保证金",数据录入!$E3179))),1,0))</f>
      </c>
      <c r="R3179" s="44">
        <f>IF(AND($Q3179=1,数据录入!$B3179&gt;=$B$2,数据录入!$B3179&lt;=$D$2),N(R3178)+1,N(R3178))</f>
      </c>
    </row>
    <row r="3180" s="44" customFormat="1" spans="1:23">
      <c r="A3180" s="116"/>
      <c r="E3180" s="108"/>
      <c r="F3180" s="114"/>
      <c r="G3180" s="114"/>
      <c r="H3180" s="114"/>
      <c r="Q3180" s="44">
        <f>IF(数据录入!$B3180="",0,IF(OR(数据录入!$D3180="投标保证金",数据录入!$D3180="合同履约保证金",ISNUMBER(FIND("保证金",数据录入!$E3180))),1,0))</f>
      </c>
      <c r="R3180" s="44">
        <f>IF(AND($Q3180=1,数据录入!$B3180&gt;=$B$2,数据录入!$B3180&lt;=$D$2),N(R3179)+1,N(R3179))</f>
      </c>
    </row>
    <row r="3181" s="44" customFormat="1" spans="1:23">
      <c r="A3181" s="116"/>
      <c r="E3181" s="108"/>
      <c r="F3181" s="114"/>
      <c r="G3181" s="114"/>
      <c r="H3181" s="114"/>
      <c r="Q3181" s="44">
        <f>IF(数据录入!$B3181="",0,IF(OR(数据录入!$D3181="投标保证金",数据录入!$D3181="合同履约保证金",ISNUMBER(FIND("保证金",数据录入!$E3181))),1,0))</f>
      </c>
      <c r="R3181" s="44">
        <f>IF(AND($Q3181=1,数据录入!$B3181&gt;=$B$2,数据录入!$B3181&lt;=$D$2),N(R3180)+1,N(R3180))</f>
      </c>
    </row>
    <row r="3182" s="44" customFormat="1" spans="1:23">
      <c r="A3182" s="116"/>
      <c r="E3182" s="108"/>
      <c r="F3182" s="114"/>
      <c r="G3182" s="114"/>
      <c r="H3182" s="114"/>
      <c r="Q3182" s="44">
        <f>IF(数据录入!$B3182="",0,IF(OR(数据录入!$D3182="投标保证金",数据录入!$D3182="合同履约保证金",ISNUMBER(FIND("保证金",数据录入!$E3182))),1,0))</f>
      </c>
      <c r="R3182" s="44">
        <f>IF(AND($Q3182=1,数据录入!$B3182&gt;=$B$2,数据录入!$B3182&lt;=$D$2),N(R3181)+1,N(R3181))</f>
      </c>
    </row>
    <row r="3183" s="44" customFormat="1" spans="1:23">
      <c r="A3183" s="116"/>
      <c r="E3183" s="108"/>
      <c r="F3183" s="114"/>
      <c r="G3183" s="114"/>
      <c r="H3183" s="114"/>
      <c r="Q3183" s="44">
        <f>IF(数据录入!$B3183="",0,IF(OR(数据录入!$D3183="投标保证金",数据录入!$D3183="合同履约保证金",ISNUMBER(FIND("保证金",数据录入!$E3183))),1,0))</f>
      </c>
      <c r="R3183" s="44">
        <f>IF(AND($Q3183=1,数据录入!$B3183&gt;=$B$2,数据录入!$B3183&lt;=$D$2),N(R3182)+1,N(R3182))</f>
      </c>
    </row>
    <row r="3184" s="44" customFormat="1" spans="1:23">
      <c r="A3184" s="116"/>
      <c r="E3184" s="108"/>
      <c r="F3184" s="114"/>
      <c r="G3184" s="114"/>
      <c r="H3184" s="114"/>
      <c r="Q3184" s="44">
        <f>IF(数据录入!$B3184="",0,IF(OR(数据录入!$D3184="投标保证金",数据录入!$D3184="合同履约保证金",ISNUMBER(FIND("保证金",数据录入!$E3184))),1,0))</f>
      </c>
      <c r="R3184" s="44">
        <f>IF(AND($Q3184=1,数据录入!$B3184&gt;=$B$2,数据录入!$B3184&lt;=$D$2),N(R3183)+1,N(R3183))</f>
      </c>
    </row>
    <row r="3185" s="44" customFormat="1" spans="1:23">
      <c r="A3185" s="116"/>
      <c r="E3185" s="108"/>
      <c r="F3185" s="114"/>
      <c r="G3185" s="114"/>
      <c r="H3185" s="114"/>
      <c r="Q3185" s="44">
        <f>IF(数据录入!$B3185="",0,IF(OR(数据录入!$D3185="投标保证金",数据录入!$D3185="合同履约保证金",ISNUMBER(FIND("保证金",数据录入!$E3185))),1,0))</f>
      </c>
      <c r="R3185" s="44">
        <f>IF(AND($Q3185=1,数据录入!$B3185&gt;=$B$2,数据录入!$B3185&lt;=$D$2),N(R3184)+1,N(R3184))</f>
      </c>
    </row>
    <row r="3186" s="44" customFormat="1" spans="1:23">
      <c r="A3186" s="116"/>
      <c r="E3186" s="108"/>
      <c r="F3186" s="114"/>
      <c r="G3186" s="114"/>
      <c r="H3186" s="114"/>
      <c r="Q3186" s="44">
        <f>IF(数据录入!$B3186="",0,IF(OR(数据录入!$D3186="投标保证金",数据录入!$D3186="合同履约保证金",ISNUMBER(FIND("保证金",数据录入!$E3186))),1,0))</f>
      </c>
      <c r="R3186" s="44">
        <f>IF(AND($Q3186=1,数据录入!$B3186&gt;=$B$2,数据录入!$B3186&lt;=$D$2),N(R3185)+1,N(R3185))</f>
      </c>
    </row>
    <row r="3187" s="44" customFormat="1" spans="1:23">
      <c r="A3187" s="116"/>
      <c r="E3187" s="108"/>
      <c r="F3187" s="114"/>
      <c r="G3187" s="114"/>
      <c r="H3187" s="114"/>
      <c r="Q3187" s="44">
        <f>IF(数据录入!$B3187="",0,IF(OR(数据录入!$D3187="投标保证金",数据录入!$D3187="合同履约保证金",ISNUMBER(FIND("保证金",数据录入!$E3187))),1,0))</f>
      </c>
      <c r="R3187" s="44">
        <f>IF(AND($Q3187=1,数据录入!$B3187&gt;=$B$2,数据录入!$B3187&lt;=$D$2),N(R3186)+1,N(R3186))</f>
      </c>
    </row>
    <row r="3188" s="44" customFormat="1" spans="1:23">
      <c r="A3188" s="116"/>
      <c r="E3188" s="108"/>
      <c r="F3188" s="114"/>
      <c r="G3188" s="114"/>
      <c r="H3188" s="114"/>
      <c r="Q3188" s="44">
        <f>IF(数据录入!$B3188="",0,IF(OR(数据录入!$D3188="投标保证金",数据录入!$D3188="合同履约保证金",ISNUMBER(FIND("保证金",数据录入!$E3188))),1,0))</f>
      </c>
      <c r="R3188" s="44">
        <f>IF(AND($Q3188=1,数据录入!$B3188&gt;=$B$2,数据录入!$B3188&lt;=$D$2),N(R3187)+1,N(R3187))</f>
      </c>
    </row>
    <row r="3189" s="44" customFormat="1" spans="1:23">
      <c r="A3189" s="116"/>
      <c r="E3189" s="108"/>
      <c r="F3189" s="114"/>
      <c r="G3189" s="114"/>
      <c r="H3189" s="114"/>
      <c r="Q3189" s="44">
        <f>IF(数据录入!$B3189="",0,IF(OR(数据录入!$D3189="投标保证金",数据录入!$D3189="合同履约保证金",ISNUMBER(FIND("保证金",数据录入!$E3189))),1,0))</f>
      </c>
      <c r="R3189" s="44">
        <f>IF(AND($Q3189=1,数据录入!$B3189&gt;=$B$2,数据录入!$B3189&lt;=$D$2),N(R3188)+1,N(R3188))</f>
      </c>
    </row>
    <row r="3190" s="44" customFormat="1" spans="1:23">
      <c r="A3190" s="116"/>
      <c r="E3190" s="108"/>
      <c r="F3190" s="114"/>
      <c r="G3190" s="114"/>
      <c r="H3190" s="114"/>
      <c r="Q3190" s="44">
        <f>IF(数据录入!$B3190="",0,IF(OR(数据录入!$D3190="投标保证金",数据录入!$D3190="合同履约保证金",ISNUMBER(FIND("保证金",数据录入!$E3190))),1,0))</f>
      </c>
      <c r="R3190" s="44">
        <f>IF(AND($Q3190=1,数据录入!$B3190&gt;=$B$2,数据录入!$B3190&lt;=$D$2),N(R3189)+1,N(R3189))</f>
      </c>
    </row>
    <row r="3191" s="44" customFormat="1" spans="1:23">
      <c r="A3191" s="116"/>
      <c r="E3191" s="108"/>
      <c r="F3191" s="114"/>
      <c r="G3191" s="114"/>
      <c r="H3191" s="114"/>
      <c r="Q3191" s="44">
        <f>IF(数据录入!$B3191="",0,IF(OR(数据录入!$D3191="投标保证金",数据录入!$D3191="合同履约保证金",ISNUMBER(FIND("保证金",数据录入!$E3191))),1,0))</f>
      </c>
      <c r="R3191" s="44">
        <f>IF(AND($Q3191=1,数据录入!$B3191&gt;=$B$2,数据录入!$B3191&lt;=$D$2),N(R3190)+1,N(R3190))</f>
      </c>
    </row>
    <row r="3192" s="44" customFormat="1" spans="1:23">
      <c r="A3192" s="116"/>
      <c r="E3192" s="108"/>
      <c r="F3192" s="114"/>
      <c r="G3192" s="114"/>
      <c r="H3192" s="114"/>
      <c r="Q3192" s="44">
        <f>IF(数据录入!$B3192="",0,IF(OR(数据录入!$D3192="投标保证金",数据录入!$D3192="合同履约保证金",ISNUMBER(FIND("保证金",数据录入!$E3192))),1,0))</f>
      </c>
      <c r="R3192" s="44">
        <f>IF(AND($Q3192=1,数据录入!$B3192&gt;=$B$2,数据录入!$B3192&lt;=$D$2),N(R3191)+1,N(R3191))</f>
      </c>
    </row>
    <row r="3193" s="44" customFormat="1" spans="1:23">
      <c r="A3193" s="116"/>
      <c r="E3193" s="108"/>
      <c r="F3193" s="114"/>
      <c r="G3193" s="114"/>
      <c r="H3193" s="114"/>
      <c r="Q3193" s="44">
        <f>IF(数据录入!$B3193="",0,IF(OR(数据录入!$D3193="投标保证金",数据录入!$D3193="合同履约保证金",ISNUMBER(FIND("保证金",数据录入!$E3193))),1,0))</f>
      </c>
      <c r="R3193" s="44">
        <f>IF(AND($Q3193=1,数据录入!$B3193&gt;=$B$2,数据录入!$B3193&lt;=$D$2),N(R3192)+1,N(R3192))</f>
      </c>
    </row>
    <row r="3194" s="44" customFormat="1" spans="1:23">
      <c r="A3194" s="116"/>
      <c r="E3194" s="108"/>
      <c r="F3194" s="114"/>
      <c r="G3194" s="114"/>
      <c r="H3194" s="114"/>
      <c r="Q3194" s="44">
        <f>IF(数据录入!$B3194="",0,IF(OR(数据录入!$D3194="投标保证金",数据录入!$D3194="合同履约保证金",ISNUMBER(FIND("保证金",数据录入!$E3194))),1,0))</f>
      </c>
      <c r="R3194" s="44">
        <f>IF(AND($Q3194=1,数据录入!$B3194&gt;=$B$2,数据录入!$B3194&lt;=$D$2),N(R3193)+1,N(R3193))</f>
      </c>
    </row>
    <row r="3195" s="44" customFormat="1" spans="1:23">
      <c r="A3195" s="116"/>
      <c r="E3195" s="108"/>
      <c r="F3195" s="114"/>
      <c r="G3195" s="114"/>
      <c r="H3195" s="114"/>
      <c r="Q3195" s="44">
        <f>IF(数据录入!$B3195="",0,IF(OR(数据录入!$D3195="投标保证金",数据录入!$D3195="合同履约保证金",ISNUMBER(FIND("保证金",数据录入!$E3195))),1,0))</f>
      </c>
      <c r="R3195" s="44">
        <f>IF(AND($Q3195=1,数据录入!$B3195&gt;=$B$2,数据录入!$B3195&lt;=$D$2),N(R3194)+1,N(R3194))</f>
      </c>
    </row>
    <row r="3196" s="44" customFormat="1" spans="1:23">
      <c r="A3196" s="116"/>
      <c r="E3196" s="108"/>
      <c r="F3196" s="114"/>
      <c r="G3196" s="114"/>
      <c r="H3196" s="114"/>
      <c r="Q3196" s="44">
        <f>IF(数据录入!$B3196="",0,IF(OR(数据录入!$D3196="投标保证金",数据录入!$D3196="合同履约保证金",ISNUMBER(FIND("保证金",数据录入!$E3196))),1,0))</f>
      </c>
      <c r="R3196" s="44">
        <f>IF(AND($Q3196=1,数据录入!$B3196&gt;=$B$2,数据录入!$B3196&lt;=$D$2),N(R3195)+1,N(R3195))</f>
      </c>
    </row>
    <row r="3197" s="44" customFormat="1" spans="1:23">
      <c r="A3197" s="116"/>
      <c r="E3197" s="108"/>
      <c r="F3197" s="114"/>
      <c r="G3197" s="114"/>
      <c r="H3197" s="114"/>
      <c r="Q3197" s="44">
        <f>IF(数据录入!$B3197="",0,IF(OR(数据录入!$D3197="投标保证金",数据录入!$D3197="合同履约保证金",ISNUMBER(FIND("保证金",数据录入!$E3197))),1,0))</f>
      </c>
      <c r="R3197" s="44">
        <f>IF(AND($Q3197=1,数据录入!$B3197&gt;=$B$2,数据录入!$B3197&lt;=$D$2),N(R3196)+1,N(R3196))</f>
      </c>
    </row>
    <row r="3198" s="44" customFormat="1" spans="1:23">
      <c r="A3198" s="116"/>
      <c r="E3198" s="108"/>
      <c r="F3198" s="114"/>
      <c r="G3198" s="114"/>
      <c r="H3198" s="114"/>
      <c r="Q3198" s="44">
        <f>IF(数据录入!$B3198="",0,IF(OR(数据录入!$D3198="投标保证金",数据录入!$D3198="合同履约保证金",ISNUMBER(FIND("保证金",数据录入!$E3198))),1,0))</f>
      </c>
      <c r="R3198" s="44">
        <f>IF(AND($Q3198=1,数据录入!$B3198&gt;=$B$2,数据录入!$B3198&lt;=$D$2),N(R3197)+1,N(R3197))</f>
      </c>
    </row>
    <row r="3199" s="44" customFormat="1" spans="1:23">
      <c r="A3199" s="116"/>
      <c r="E3199" s="108"/>
      <c r="F3199" s="114"/>
      <c r="G3199" s="114"/>
      <c r="H3199" s="114"/>
      <c r="Q3199" s="44">
        <f>IF(数据录入!$B3199="",0,IF(OR(数据录入!$D3199="投标保证金",数据录入!$D3199="合同履约保证金",ISNUMBER(FIND("保证金",数据录入!$E3199))),1,0))</f>
      </c>
      <c r="R3199" s="44">
        <f>IF(AND($Q3199=1,数据录入!$B3199&gt;=$B$2,数据录入!$B3199&lt;=$D$2),N(R3198)+1,N(R3198))</f>
      </c>
    </row>
    <row r="3200" s="44" customFormat="1" spans="1:23">
      <c r="A3200" s="116"/>
      <c r="E3200" s="108"/>
      <c r="F3200" s="114"/>
      <c r="G3200" s="114"/>
      <c r="H3200" s="114"/>
      <c r="Q3200" s="44">
        <f>IF(数据录入!$B3200="",0,IF(OR(数据录入!$D3200="投标保证金",数据录入!$D3200="合同履约保证金",ISNUMBER(FIND("保证金",数据录入!$E3200))),1,0))</f>
      </c>
      <c r="R3200" s="44">
        <f>IF(AND($Q3200=1,数据录入!$B3200&gt;=$B$2,数据录入!$B3200&lt;=$D$2),N(R3199)+1,N(R3199))</f>
      </c>
    </row>
    <row r="3201" s="44" customFormat="1" spans="1:23">
      <c r="A3201" s="116"/>
      <c r="E3201" s="108"/>
      <c r="F3201" s="114"/>
      <c r="G3201" s="114"/>
      <c r="H3201" s="114"/>
      <c r="Q3201" s="44">
        <f>IF(数据录入!$B3201="",0,IF(OR(数据录入!$D3201="投标保证金",数据录入!$D3201="合同履约保证金",ISNUMBER(FIND("保证金",数据录入!$E3201))),1,0))</f>
      </c>
      <c r="R3201" s="44">
        <f>IF(AND($Q3201=1,数据录入!$B3201&gt;=$B$2,数据录入!$B3201&lt;=$D$2),N(R3200)+1,N(R3200))</f>
      </c>
    </row>
    <row r="3202" s="44" customFormat="1" spans="1:23">
      <c r="A3202" s="116"/>
      <c r="E3202" s="108"/>
      <c r="F3202" s="114"/>
      <c r="G3202" s="114"/>
      <c r="H3202" s="114"/>
      <c r="Q3202" s="44">
        <f>IF(数据录入!$B3202="",0,IF(OR(数据录入!$D3202="投标保证金",数据录入!$D3202="合同履约保证金",ISNUMBER(FIND("保证金",数据录入!$E3202))),1,0))</f>
      </c>
      <c r="R3202" s="44">
        <f>IF(AND($Q3202=1,数据录入!$B3202&gt;=$B$2,数据录入!$B3202&lt;=$D$2),N(R3201)+1,N(R3201))</f>
      </c>
    </row>
    <row r="3203" s="44" customFormat="1" spans="1:23">
      <c r="A3203" s="116"/>
      <c r="E3203" s="108"/>
      <c r="F3203" s="114"/>
      <c r="G3203" s="114"/>
      <c r="H3203" s="114"/>
      <c r="Q3203" s="44">
        <f>IF(数据录入!$B3203="",0,IF(OR(数据录入!$D3203="投标保证金",数据录入!$D3203="合同履约保证金",ISNUMBER(FIND("保证金",数据录入!$E3203))),1,0))</f>
      </c>
      <c r="R3203" s="44">
        <f>IF(AND($Q3203=1,数据录入!$B3203&gt;=$B$2,数据录入!$B3203&lt;=$D$2),N(R3202)+1,N(R3202))</f>
      </c>
    </row>
    <row r="3204" s="44" customFormat="1" spans="1:23">
      <c r="A3204" s="116"/>
      <c r="E3204" s="108"/>
      <c r="F3204" s="114"/>
      <c r="G3204" s="114"/>
      <c r="H3204" s="114"/>
      <c r="Q3204" s="44">
        <f>IF(数据录入!$B3204="",0,IF(OR(数据录入!$D3204="投标保证金",数据录入!$D3204="合同履约保证金",ISNUMBER(FIND("保证金",数据录入!$E3204))),1,0))</f>
      </c>
      <c r="R3204" s="44">
        <f>IF(AND($Q3204=1,数据录入!$B3204&gt;=$B$2,数据录入!$B3204&lt;=$D$2),N(R3203)+1,N(R3203))</f>
      </c>
    </row>
    <row r="3205" s="44" customFormat="1" spans="1:23">
      <c r="A3205" s="116"/>
      <c r="E3205" s="108"/>
      <c r="F3205" s="114"/>
      <c r="G3205" s="114"/>
      <c r="H3205" s="114"/>
      <c r="Q3205" s="44">
        <f>IF(数据录入!$B3205="",0,IF(OR(数据录入!$D3205="投标保证金",数据录入!$D3205="合同履约保证金",ISNUMBER(FIND("保证金",数据录入!$E3205))),1,0))</f>
      </c>
      <c r="R3205" s="44">
        <f>IF(AND($Q3205=1,数据录入!$B3205&gt;=$B$2,数据录入!$B3205&lt;=$D$2),N(R3204)+1,N(R3204))</f>
      </c>
    </row>
    <row r="3206" s="44" customFormat="1" spans="1:23">
      <c r="A3206" s="116"/>
      <c r="E3206" s="108"/>
      <c r="F3206" s="114"/>
      <c r="G3206" s="114"/>
      <c r="H3206" s="114"/>
      <c r="Q3206" s="44">
        <f>IF(数据录入!$B3206="",0,IF(OR(数据录入!$D3206="投标保证金",数据录入!$D3206="合同履约保证金",ISNUMBER(FIND("保证金",数据录入!$E3206))),1,0))</f>
      </c>
      <c r="R3206" s="44">
        <f>IF(AND($Q3206=1,数据录入!$B3206&gt;=$B$2,数据录入!$B3206&lt;=$D$2),N(R3205)+1,N(R3205))</f>
      </c>
    </row>
    <row r="3207" s="44" customFormat="1" spans="1:23">
      <c r="A3207" s="116"/>
      <c r="E3207" s="108"/>
      <c r="F3207" s="114"/>
      <c r="G3207" s="114"/>
      <c r="H3207" s="114"/>
      <c r="Q3207" s="44">
        <f>IF(数据录入!$B3207="",0,IF(OR(数据录入!$D3207="投标保证金",数据录入!$D3207="合同履约保证金",ISNUMBER(FIND("保证金",数据录入!$E3207))),1,0))</f>
      </c>
      <c r="R3207" s="44">
        <f>IF(AND($Q3207=1,数据录入!$B3207&gt;=$B$2,数据录入!$B3207&lt;=$D$2),N(R3206)+1,N(R3206))</f>
      </c>
    </row>
    <row r="3208" s="44" customFormat="1" spans="1:23">
      <c r="A3208" s="116"/>
      <c r="E3208" s="108"/>
      <c r="F3208" s="114"/>
      <c r="G3208" s="114"/>
      <c r="H3208" s="114"/>
      <c r="Q3208" s="44">
        <f>IF(数据录入!$B3208="",0,IF(OR(数据录入!$D3208="投标保证金",数据录入!$D3208="合同履约保证金",ISNUMBER(FIND("保证金",数据录入!$E3208))),1,0))</f>
      </c>
      <c r="R3208" s="44">
        <f>IF(AND($Q3208=1,数据录入!$B3208&gt;=$B$2,数据录入!$B3208&lt;=$D$2),N(R3207)+1,N(R3207))</f>
      </c>
    </row>
    <row r="3209" s="44" customFormat="1" spans="1:23">
      <c r="A3209" s="116"/>
      <c r="E3209" s="108"/>
      <c r="F3209" s="114"/>
      <c r="G3209" s="114"/>
      <c r="H3209" s="114"/>
      <c r="Q3209" s="44">
        <f>IF(数据录入!$B3209="",0,IF(OR(数据录入!$D3209="投标保证金",数据录入!$D3209="合同履约保证金",ISNUMBER(FIND("保证金",数据录入!$E3209))),1,0))</f>
      </c>
      <c r="R3209" s="44">
        <f>IF(AND($Q3209=1,数据录入!$B3209&gt;=$B$2,数据录入!$B3209&lt;=$D$2),N(R3208)+1,N(R3208))</f>
      </c>
    </row>
    <row r="3210" s="44" customFormat="1" spans="1:23">
      <c r="A3210" s="116"/>
      <c r="E3210" s="108"/>
      <c r="F3210" s="114"/>
      <c r="G3210" s="114"/>
      <c r="H3210" s="114"/>
      <c r="Q3210" s="44">
        <f>IF(数据录入!$B3210="",0,IF(OR(数据录入!$D3210="投标保证金",数据录入!$D3210="合同履约保证金",ISNUMBER(FIND("保证金",数据录入!$E3210))),1,0))</f>
      </c>
      <c r="R3210" s="44">
        <f>IF(AND($Q3210=1,数据录入!$B3210&gt;=$B$2,数据录入!$B3210&lt;=$D$2),N(R3209)+1,N(R3209))</f>
      </c>
    </row>
    <row r="3211" s="44" customFormat="1" spans="1:23">
      <c r="A3211" s="116"/>
      <c r="E3211" s="108"/>
      <c r="F3211" s="114"/>
      <c r="G3211" s="114"/>
      <c r="H3211" s="114"/>
      <c r="Q3211" s="44">
        <f>IF(数据录入!$B3211="",0,IF(OR(数据录入!$D3211="投标保证金",数据录入!$D3211="合同履约保证金",ISNUMBER(FIND("保证金",数据录入!$E3211))),1,0))</f>
      </c>
      <c r="R3211" s="44">
        <f>IF(AND($Q3211=1,数据录入!$B3211&gt;=$B$2,数据录入!$B3211&lt;=$D$2),N(R3210)+1,N(R3210))</f>
      </c>
    </row>
    <row r="3212" s="44" customFormat="1" spans="1:23">
      <c r="A3212" s="116"/>
      <c r="E3212" s="108"/>
      <c r="F3212" s="114"/>
      <c r="G3212" s="114"/>
      <c r="H3212" s="114"/>
      <c r="Q3212" s="44">
        <f>IF(数据录入!$B3212="",0,IF(OR(数据录入!$D3212="投标保证金",数据录入!$D3212="合同履约保证金",ISNUMBER(FIND("保证金",数据录入!$E3212))),1,0))</f>
      </c>
      <c r="R3212" s="44">
        <f>IF(AND($Q3212=1,数据录入!$B3212&gt;=$B$2,数据录入!$B3212&lt;=$D$2),N(R3211)+1,N(R3211))</f>
      </c>
    </row>
    <row r="3213" s="44" customFormat="1" spans="1:23">
      <c r="A3213" s="116"/>
      <c r="E3213" s="108"/>
      <c r="F3213" s="114"/>
      <c r="G3213" s="114"/>
      <c r="H3213" s="114"/>
      <c r="Q3213" s="44">
        <f>IF(数据录入!$B3213="",0,IF(OR(数据录入!$D3213="投标保证金",数据录入!$D3213="合同履约保证金",ISNUMBER(FIND("保证金",数据录入!$E3213))),1,0))</f>
      </c>
      <c r="R3213" s="44">
        <f>IF(AND($Q3213=1,数据录入!$B3213&gt;=$B$2,数据录入!$B3213&lt;=$D$2),N(R3212)+1,N(R3212))</f>
      </c>
    </row>
    <row r="3214" s="44" customFormat="1" spans="1:23">
      <c r="A3214" s="116"/>
      <c r="E3214" s="108"/>
      <c r="F3214" s="114"/>
      <c r="G3214" s="114"/>
      <c r="H3214" s="114"/>
      <c r="Q3214" s="44">
        <f>IF(数据录入!$B3214="",0,IF(OR(数据录入!$D3214="投标保证金",数据录入!$D3214="合同履约保证金",ISNUMBER(FIND("保证金",数据录入!$E3214))),1,0))</f>
      </c>
      <c r="R3214" s="44">
        <f>IF(AND($Q3214=1,数据录入!$B3214&gt;=$B$2,数据录入!$B3214&lt;=$D$2),N(R3213)+1,N(R3213))</f>
      </c>
    </row>
    <row r="3215" s="44" customFormat="1" spans="1:23">
      <c r="A3215" s="116"/>
      <c r="E3215" s="108"/>
      <c r="F3215" s="114"/>
      <c r="G3215" s="114"/>
      <c r="H3215" s="114"/>
      <c r="Q3215" s="44">
        <f>IF(数据录入!$B3215="",0,IF(OR(数据录入!$D3215="投标保证金",数据录入!$D3215="合同履约保证金",ISNUMBER(FIND("保证金",数据录入!$E3215))),1,0))</f>
      </c>
      <c r="R3215" s="44">
        <f>IF(AND($Q3215=1,数据录入!$B3215&gt;=$B$2,数据录入!$B3215&lt;=$D$2),N(R3214)+1,N(R3214))</f>
      </c>
    </row>
    <row r="3216" s="44" customFormat="1" spans="1:23">
      <c r="A3216" s="116"/>
      <c r="E3216" s="108"/>
      <c r="F3216" s="114"/>
      <c r="G3216" s="114"/>
      <c r="H3216" s="114"/>
      <c r="Q3216" s="44">
        <f>IF(数据录入!$B3216="",0,IF(OR(数据录入!$D3216="投标保证金",数据录入!$D3216="合同履约保证金",ISNUMBER(FIND("保证金",数据录入!$E3216))),1,0))</f>
      </c>
      <c r="R3216" s="44">
        <f>IF(AND($Q3216=1,数据录入!$B3216&gt;=$B$2,数据录入!$B3216&lt;=$D$2),N(R3215)+1,N(R3215))</f>
      </c>
    </row>
    <row r="3217" s="44" customFormat="1" spans="1:23">
      <c r="A3217" s="116"/>
      <c r="E3217" s="108"/>
      <c r="F3217" s="114"/>
      <c r="G3217" s="114"/>
      <c r="H3217" s="114"/>
      <c r="Q3217" s="44">
        <f>IF(数据录入!$B3217="",0,IF(OR(数据录入!$D3217="投标保证金",数据录入!$D3217="合同履约保证金",ISNUMBER(FIND("保证金",数据录入!$E3217))),1,0))</f>
      </c>
      <c r="R3217" s="44">
        <f>IF(AND($Q3217=1,数据录入!$B3217&gt;=$B$2,数据录入!$B3217&lt;=$D$2),N(R3216)+1,N(R3216))</f>
      </c>
    </row>
    <row r="3218" s="44" customFormat="1" spans="1:23">
      <c r="A3218" s="116"/>
      <c r="E3218" s="108"/>
      <c r="F3218" s="114"/>
      <c r="G3218" s="114"/>
      <c r="H3218" s="114"/>
      <c r="Q3218" s="44">
        <f>IF(数据录入!$B3218="",0,IF(OR(数据录入!$D3218="投标保证金",数据录入!$D3218="合同履约保证金",ISNUMBER(FIND("保证金",数据录入!$E3218))),1,0))</f>
      </c>
      <c r="R3218" s="44">
        <f>IF(AND($Q3218=1,数据录入!$B3218&gt;=$B$2,数据录入!$B3218&lt;=$D$2),N(R3217)+1,N(R3217))</f>
      </c>
    </row>
    <row r="3219" s="44" customFormat="1" spans="1:23">
      <c r="A3219" s="116"/>
      <c r="E3219" s="108"/>
      <c r="F3219" s="114"/>
      <c r="G3219" s="114"/>
      <c r="H3219" s="114"/>
      <c r="Q3219" s="44">
        <f>IF(数据录入!$B3219="",0,IF(OR(数据录入!$D3219="投标保证金",数据录入!$D3219="合同履约保证金",ISNUMBER(FIND("保证金",数据录入!$E3219))),1,0))</f>
      </c>
      <c r="R3219" s="44">
        <f>IF(AND($Q3219=1,数据录入!$B3219&gt;=$B$2,数据录入!$B3219&lt;=$D$2),N(R3218)+1,N(R3218))</f>
      </c>
    </row>
    <row r="3220" s="44" customFormat="1" spans="1:23">
      <c r="A3220" s="116"/>
      <c r="E3220" s="108"/>
      <c r="F3220" s="114"/>
      <c r="G3220" s="114"/>
      <c r="H3220" s="114"/>
      <c r="Q3220" s="44">
        <f>IF(数据录入!$B3220="",0,IF(OR(数据录入!$D3220="投标保证金",数据录入!$D3220="合同履约保证金",ISNUMBER(FIND("保证金",数据录入!$E3220))),1,0))</f>
      </c>
      <c r="R3220" s="44">
        <f>IF(AND($Q3220=1,数据录入!$B3220&gt;=$B$2,数据录入!$B3220&lt;=$D$2),N(R3219)+1,N(R3219))</f>
      </c>
    </row>
    <row r="3221" s="44" customFormat="1" spans="1:23">
      <c r="A3221" s="116"/>
      <c r="E3221" s="108"/>
      <c r="F3221" s="114"/>
      <c r="G3221" s="114"/>
      <c r="H3221" s="114"/>
      <c r="Q3221" s="44">
        <f>IF(数据录入!$B3221="",0,IF(OR(数据录入!$D3221="投标保证金",数据录入!$D3221="合同履约保证金",ISNUMBER(FIND("保证金",数据录入!$E3221))),1,0))</f>
      </c>
      <c r="R3221" s="44">
        <f>IF(AND($Q3221=1,数据录入!$B3221&gt;=$B$2,数据录入!$B3221&lt;=$D$2),N(R3220)+1,N(R3220))</f>
      </c>
    </row>
    <row r="3222" s="44" customFormat="1" spans="1:23">
      <c r="A3222" s="116"/>
      <c r="E3222" s="108"/>
      <c r="F3222" s="114"/>
      <c r="G3222" s="114"/>
      <c r="H3222" s="114"/>
      <c r="Q3222" s="44">
        <f>IF(数据录入!$B3222="",0,IF(OR(数据录入!$D3222="投标保证金",数据录入!$D3222="合同履约保证金",ISNUMBER(FIND("保证金",数据录入!$E3222))),1,0))</f>
      </c>
      <c r="R3222" s="44">
        <f>IF(AND($Q3222=1,数据录入!$B3222&gt;=$B$2,数据录入!$B3222&lt;=$D$2),N(R3221)+1,N(R3221))</f>
      </c>
    </row>
    <row r="3223" s="44" customFormat="1" spans="1:23">
      <c r="A3223" s="116"/>
      <c r="E3223" s="108"/>
      <c r="F3223" s="114"/>
      <c r="G3223" s="114"/>
      <c r="H3223" s="114"/>
      <c r="Q3223" s="44">
        <f>IF(数据录入!$B3223="",0,IF(OR(数据录入!$D3223="投标保证金",数据录入!$D3223="合同履约保证金",ISNUMBER(FIND("保证金",数据录入!$E3223))),1,0))</f>
      </c>
      <c r="R3223" s="44">
        <f>IF(AND($Q3223=1,数据录入!$B3223&gt;=$B$2,数据录入!$B3223&lt;=$D$2),N(R3222)+1,N(R3222))</f>
      </c>
    </row>
    <row r="3224" s="44" customFormat="1" spans="1:23">
      <c r="A3224" s="116"/>
      <c r="E3224" s="108"/>
      <c r="F3224" s="114"/>
      <c r="G3224" s="114"/>
      <c r="H3224" s="114"/>
      <c r="Q3224" s="44">
        <f>IF(数据录入!$B3224="",0,IF(OR(数据录入!$D3224="投标保证金",数据录入!$D3224="合同履约保证金",ISNUMBER(FIND("保证金",数据录入!$E3224))),1,0))</f>
      </c>
      <c r="R3224" s="44">
        <f>IF(AND($Q3224=1,数据录入!$B3224&gt;=$B$2,数据录入!$B3224&lt;=$D$2),N(R3223)+1,N(R3223))</f>
      </c>
    </row>
    <row r="3225" s="44" customFormat="1" spans="1:23">
      <c r="A3225" s="116"/>
      <c r="E3225" s="108"/>
      <c r="F3225" s="114"/>
      <c r="G3225" s="114"/>
      <c r="H3225" s="114"/>
      <c r="Q3225" s="44">
        <f>IF(数据录入!$B3225="",0,IF(OR(数据录入!$D3225="投标保证金",数据录入!$D3225="合同履约保证金",ISNUMBER(FIND("保证金",数据录入!$E3225))),1,0))</f>
      </c>
      <c r="R3225" s="44">
        <f>IF(AND($Q3225=1,数据录入!$B3225&gt;=$B$2,数据录入!$B3225&lt;=$D$2),N(R3224)+1,N(R3224))</f>
      </c>
    </row>
    <row r="3226" s="44" customFormat="1" spans="1:23">
      <c r="A3226" s="116"/>
      <c r="E3226" s="108"/>
      <c r="F3226" s="114"/>
      <c r="G3226" s="114"/>
      <c r="H3226" s="114"/>
      <c r="Q3226" s="44">
        <f>IF(数据录入!$B3226="",0,IF(OR(数据录入!$D3226="投标保证金",数据录入!$D3226="合同履约保证金",ISNUMBER(FIND("保证金",数据录入!$E3226))),1,0))</f>
      </c>
      <c r="R3226" s="44">
        <f>IF(AND($Q3226=1,数据录入!$B3226&gt;=$B$2,数据录入!$B3226&lt;=$D$2),N(R3225)+1,N(R3225))</f>
      </c>
    </row>
    <row r="3227" s="44" customFormat="1" spans="1:23">
      <c r="A3227" s="116"/>
      <c r="E3227" s="108"/>
      <c r="F3227" s="114"/>
      <c r="G3227" s="114"/>
      <c r="H3227" s="114"/>
      <c r="Q3227" s="44">
        <f>IF(数据录入!$B3227="",0,IF(OR(数据录入!$D3227="投标保证金",数据录入!$D3227="合同履约保证金",ISNUMBER(FIND("保证金",数据录入!$E3227))),1,0))</f>
      </c>
      <c r="R3227" s="44">
        <f>IF(AND($Q3227=1,数据录入!$B3227&gt;=$B$2,数据录入!$B3227&lt;=$D$2),N(R3226)+1,N(R3226))</f>
      </c>
    </row>
    <row r="3228" s="44" customFormat="1" spans="1:23">
      <c r="A3228" s="116"/>
      <c r="E3228" s="108"/>
      <c r="F3228" s="114"/>
      <c r="G3228" s="114"/>
      <c r="H3228" s="114"/>
      <c r="Q3228" s="44">
        <f>IF(数据录入!$B3228="",0,IF(OR(数据录入!$D3228="投标保证金",数据录入!$D3228="合同履约保证金",ISNUMBER(FIND("保证金",数据录入!$E3228))),1,0))</f>
      </c>
      <c r="R3228" s="44">
        <f>IF(AND($Q3228=1,数据录入!$B3228&gt;=$B$2,数据录入!$B3228&lt;=$D$2),N(R3227)+1,N(R3227))</f>
      </c>
    </row>
    <row r="3229" s="44" customFormat="1" spans="1:23">
      <c r="A3229" s="116"/>
      <c r="E3229" s="108"/>
      <c r="F3229" s="114"/>
      <c r="G3229" s="114"/>
      <c r="H3229" s="114"/>
      <c r="Q3229" s="44">
        <f>IF(数据录入!$B3229="",0,IF(OR(数据录入!$D3229="投标保证金",数据录入!$D3229="合同履约保证金",ISNUMBER(FIND("保证金",数据录入!$E3229))),1,0))</f>
      </c>
      <c r="R3229" s="44">
        <f>IF(AND($Q3229=1,数据录入!$B3229&gt;=$B$2,数据录入!$B3229&lt;=$D$2),N(R3228)+1,N(R3228))</f>
      </c>
    </row>
    <row r="3230" s="44" customFormat="1" spans="1:23">
      <c r="A3230" s="116"/>
      <c r="E3230" s="108"/>
      <c r="F3230" s="114"/>
      <c r="G3230" s="114"/>
      <c r="H3230" s="114"/>
      <c r="Q3230" s="44">
        <f>IF(数据录入!$B3230="",0,IF(OR(数据录入!$D3230="投标保证金",数据录入!$D3230="合同履约保证金",ISNUMBER(FIND("保证金",数据录入!$E3230))),1,0))</f>
      </c>
      <c r="R3230" s="44">
        <f>IF(AND($Q3230=1,数据录入!$B3230&gt;=$B$2,数据录入!$B3230&lt;=$D$2),N(R3229)+1,N(R3229))</f>
      </c>
    </row>
    <row r="3231" s="44" customFormat="1" spans="1:23">
      <c r="A3231" s="116"/>
      <c r="E3231" s="108"/>
      <c r="F3231" s="114"/>
      <c r="G3231" s="114"/>
      <c r="H3231" s="114"/>
      <c r="Q3231" s="44">
        <f>IF(数据录入!$B3231="",0,IF(OR(数据录入!$D3231="投标保证金",数据录入!$D3231="合同履约保证金",ISNUMBER(FIND("保证金",数据录入!$E3231))),1,0))</f>
      </c>
      <c r="R3231" s="44">
        <f>IF(AND($Q3231=1,数据录入!$B3231&gt;=$B$2,数据录入!$B3231&lt;=$D$2),N(R3230)+1,N(R3230))</f>
      </c>
    </row>
    <row r="3232" s="44" customFormat="1" spans="1:23">
      <c r="A3232" s="116"/>
      <c r="E3232" s="108"/>
      <c r="F3232" s="114"/>
      <c r="G3232" s="114"/>
      <c r="H3232" s="114"/>
      <c r="Q3232" s="44">
        <f>IF(数据录入!$B3232="",0,IF(OR(数据录入!$D3232="投标保证金",数据录入!$D3232="合同履约保证金",ISNUMBER(FIND("保证金",数据录入!$E3232))),1,0))</f>
      </c>
      <c r="R3232" s="44">
        <f>IF(AND($Q3232=1,数据录入!$B3232&gt;=$B$2,数据录入!$B3232&lt;=$D$2),N(R3231)+1,N(R3231))</f>
      </c>
    </row>
    <row r="3233" s="44" customFormat="1" spans="1:23">
      <c r="A3233" s="116"/>
      <c r="E3233" s="108"/>
      <c r="F3233" s="114"/>
      <c r="G3233" s="114"/>
      <c r="H3233" s="114"/>
      <c r="Q3233" s="44">
        <f>IF(数据录入!$B3233="",0,IF(OR(数据录入!$D3233="投标保证金",数据录入!$D3233="合同履约保证金",ISNUMBER(FIND("保证金",数据录入!$E3233))),1,0))</f>
      </c>
      <c r="R3233" s="44">
        <f>IF(AND($Q3233=1,数据录入!$B3233&gt;=$B$2,数据录入!$B3233&lt;=$D$2),N(R3232)+1,N(R3232))</f>
      </c>
    </row>
    <row r="3234" s="44" customFormat="1" spans="1:23">
      <c r="A3234" s="116"/>
      <c r="E3234" s="108"/>
      <c r="F3234" s="114"/>
      <c r="G3234" s="114"/>
      <c r="H3234" s="114"/>
      <c r="Q3234" s="44">
        <f>IF(数据录入!$B3234="",0,IF(OR(数据录入!$D3234="投标保证金",数据录入!$D3234="合同履约保证金",ISNUMBER(FIND("保证金",数据录入!$E3234))),1,0))</f>
      </c>
      <c r="R3234" s="44">
        <f>IF(AND($Q3234=1,数据录入!$B3234&gt;=$B$2,数据录入!$B3234&lt;=$D$2),N(R3233)+1,N(R3233))</f>
      </c>
    </row>
    <row r="3235" s="44" customFormat="1" spans="1:23">
      <c r="A3235" s="116"/>
      <c r="E3235" s="108"/>
      <c r="F3235" s="114"/>
      <c r="G3235" s="114"/>
      <c r="H3235" s="114"/>
      <c r="Q3235" s="44">
        <f>IF(数据录入!$B3235="",0,IF(OR(数据录入!$D3235="投标保证金",数据录入!$D3235="合同履约保证金",ISNUMBER(FIND("保证金",数据录入!$E3235))),1,0))</f>
      </c>
      <c r="R3235" s="44">
        <f>IF(AND($Q3235=1,数据录入!$B3235&gt;=$B$2,数据录入!$B3235&lt;=$D$2),N(R3234)+1,N(R3234))</f>
      </c>
    </row>
    <row r="3236" s="44" customFormat="1" spans="1:23">
      <c r="A3236" s="116"/>
      <c r="E3236" s="108"/>
      <c r="F3236" s="114"/>
      <c r="G3236" s="114"/>
      <c r="H3236" s="114"/>
      <c r="Q3236" s="44">
        <f>IF(数据录入!$B3236="",0,IF(OR(数据录入!$D3236="投标保证金",数据录入!$D3236="合同履约保证金",ISNUMBER(FIND("保证金",数据录入!$E3236))),1,0))</f>
      </c>
      <c r="R3236" s="44">
        <f>IF(AND($Q3236=1,数据录入!$B3236&gt;=$B$2,数据录入!$B3236&lt;=$D$2),N(R3235)+1,N(R3235))</f>
      </c>
    </row>
    <row r="3237" s="44" customFormat="1" spans="1:23">
      <c r="A3237" s="116"/>
      <c r="E3237" s="108"/>
      <c r="F3237" s="114"/>
      <c r="G3237" s="114"/>
      <c r="H3237" s="114"/>
      <c r="Q3237" s="44">
        <f>IF(数据录入!$B3237="",0,IF(OR(数据录入!$D3237="投标保证金",数据录入!$D3237="合同履约保证金",ISNUMBER(FIND("保证金",数据录入!$E3237))),1,0))</f>
      </c>
      <c r="R3237" s="44">
        <f>IF(AND($Q3237=1,数据录入!$B3237&gt;=$B$2,数据录入!$B3237&lt;=$D$2),N(R3236)+1,N(R3236))</f>
      </c>
    </row>
    <row r="3238" s="44" customFormat="1" spans="1:23">
      <c r="A3238" s="116"/>
      <c r="E3238" s="108"/>
      <c r="F3238" s="114"/>
      <c r="G3238" s="114"/>
      <c r="H3238" s="114"/>
      <c r="Q3238" s="44">
        <f>IF(数据录入!$B3238="",0,IF(OR(数据录入!$D3238="投标保证金",数据录入!$D3238="合同履约保证金",ISNUMBER(FIND("保证金",数据录入!$E3238))),1,0))</f>
      </c>
      <c r="R3238" s="44">
        <f>IF(AND($Q3238=1,数据录入!$B3238&gt;=$B$2,数据录入!$B3238&lt;=$D$2),N(R3237)+1,N(R3237))</f>
      </c>
    </row>
    <row r="3239" s="44" customFormat="1" spans="1:23">
      <c r="A3239" s="116"/>
      <c r="E3239" s="108"/>
      <c r="F3239" s="114"/>
      <c r="G3239" s="114"/>
      <c r="H3239" s="114"/>
      <c r="Q3239" s="44">
        <f>IF(数据录入!$B3239="",0,IF(OR(数据录入!$D3239="投标保证金",数据录入!$D3239="合同履约保证金",ISNUMBER(FIND("保证金",数据录入!$E3239))),1,0))</f>
      </c>
      <c r="R3239" s="44">
        <f>IF(AND($Q3239=1,数据录入!$B3239&gt;=$B$2,数据录入!$B3239&lt;=$D$2),N(R3238)+1,N(R3238))</f>
      </c>
    </row>
    <row r="3240" s="44" customFormat="1" spans="1:23">
      <c r="A3240" s="116"/>
      <c r="E3240" s="108"/>
      <c r="F3240" s="114"/>
      <c r="G3240" s="114"/>
      <c r="H3240" s="114"/>
      <c r="Q3240" s="44">
        <f>IF(数据录入!$B3240="",0,IF(OR(数据录入!$D3240="投标保证金",数据录入!$D3240="合同履约保证金",ISNUMBER(FIND("保证金",数据录入!$E3240))),1,0))</f>
      </c>
      <c r="R3240" s="44">
        <f>IF(AND($Q3240=1,数据录入!$B3240&gt;=$B$2,数据录入!$B3240&lt;=$D$2),N(R3239)+1,N(R3239))</f>
      </c>
    </row>
    <row r="3241" s="44" customFormat="1" spans="1:23">
      <c r="A3241" s="116"/>
      <c r="E3241" s="108"/>
      <c r="F3241" s="114"/>
      <c r="G3241" s="114"/>
      <c r="H3241" s="114"/>
      <c r="Q3241" s="44">
        <f>IF(数据录入!$B3241="",0,IF(OR(数据录入!$D3241="投标保证金",数据录入!$D3241="合同履约保证金",ISNUMBER(FIND("保证金",数据录入!$E3241))),1,0))</f>
      </c>
      <c r="R3241" s="44">
        <f>IF(AND($Q3241=1,数据录入!$B3241&gt;=$B$2,数据录入!$B3241&lt;=$D$2),N(R3240)+1,N(R3240))</f>
      </c>
    </row>
    <row r="3242" s="44" customFormat="1" spans="1:23">
      <c r="A3242" s="116"/>
      <c r="E3242" s="108"/>
      <c r="F3242" s="114"/>
      <c r="G3242" s="114"/>
      <c r="H3242" s="114"/>
      <c r="Q3242" s="44">
        <f>IF(数据录入!$B3242="",0,IF(OR(数据录入!$D3242="投标保证金",数据录入!$D3242="合同履约保证金",ISNUMBER(FIND("保证金",数据录入!$E3242))),1,0))</f>
      </c>
      <c r="R3242" s="44">
        <f>IF(AND($Q3242=1,数据录入!$B3242&gt;=$B$2,数据录入!$B3242&lt;=$D$2),N(R3241)+1,N(R3241))</f>
      </c>
    </row>
    <row r="3243" s="44" customFormat="1" spans="1:23">
      <c r="A3243" s="116"/>
      <c r="E3243" s="108"/>
      <c r="F3243" s="114"/>
      <c r="G3243" s="114"/>
      <c r="H3243" s="114"/>
      <c r="Q3243" s="44">
        <f>IF(数据录入!$B3243="",0,IF(OR(数据录入!$D3243="投标保证金",数据录入!$D3243="合同履约保证金",ISNUMBER(FIND("保证金",数据录入!$E3243))),1,0))</f>
      </c>
      <c r="R3243" s="44">
        <f>IF(AND($Q3243=1,数据录入!$B3243&gt;=$B$2,数据录入!$B3243&lt;=$D$2),N(R3242)+1,N(R3242))</f>
      </c>
    </row>
    <row r="3244" s="44" customFormat="1" spans="1:23">
      <c r="A3244" s="116"/>
      <c r="E3244" s="108"/>
      <c r="F3244" s="114"/>
      <c r="G3244" s="114"/>
      <c r="H3244" s="114"/>
      <c r="Q3244" s="44">
        <f>IF(数据录入!$B3244="",0,IF(OR(数据录入!$D3244="投标保证金",数据录入!$D3244="合同履约保证金",ISNUMBER(FIND("保证金",数据录入!$E3244))),1,0))</f>
      </c>
      <c r="R3244" s="44">
        <f>IF(AND($Q3244=1,数据录入!$B3244&gt;=$B$2,数据录入!$B3244&lt;=$D$2),N(R3243)+1,N(R3243))</f>
      </c>
    </row>
    <row r="3245" s="44" customFormat="1" spans="1:23">
      <c r="A3245" s="116"/>
      <c r="E3245" s="108"/>
      <c r="F3245" s="114"/>
      <c r="G3245" s="114"/>
      <c r="H3245" s="114"/>
      <c r="Q3245" s="44">
        <f>IF(数据录入!$B3245="",0,IF(OR(数据录入!$D3245="投标保证金",数据录入!$D3245="合同履约保证金",ISNUMBER(FIND("保证金",数据录入!$E3245))),1,0))</f>
      </c>
      <c r="R3245" s="44">
        <f>IF(AND($Q3245=1,数据录入!$B3245&gt;=$B$2,数据录入!$B3245&lt;=$D$2),N(R3244)+1,N(R3244))</f>
      </c>
    </row>
    <row r="3246" s="44" customFormat="1" spans="1:23">
      <c r="A3246" s="116"/>
      <c r="E3246" s="108"/>
      <c r="F3246" s="114"/>
      <c r="G3246" s="114"/>
      <c r="H3246" s="114"/>
      <c r="Q3246" s="44">
        <f>IF(数据录入!$B3246="",0,IF(OR(数据录入!$D3246="投标保证金",数据录入!$D3246="合同履约保证金",ISNUMBER(FIND("保证金",数据录入!$E3246))),1,0))</f>
      </c>
      <c r="R3246" s="44">
        <f>IF(AND($Q3246=1,数据录入!$B3246&gt;=$B$2,数据录入!$B3246&lt;=$D$2),N(R3245)+1,N(R3245))</f>
      </c>
    </row>
    <row r="3247" s="44" customFormat="1" spans="1:23">
      <c r="A3247" s="116"/>
      <c r="E3247" s="108"/>
      <c r="F3247" s="114"/>
      <c r="G3247" s="114"/>
      <c r="H3247" s="114"/>
      <c r="Q3247" s="44">
        <f>IF(数据录入!$B3247="",0,IF(OR(数据录入!$D3247="投标保证金",数据录入!$D3247="合同履约保证金",ISNUMBER(FIND("保证金",数据录入!$E3247))),1,0))</f>
      </c>
      <c r="R3247" s="44">
        <f>IF(AND($Q3247=1,数据录入!$B3247&gt;=$B$2,数据录入!$B3247&lt;=$D$2),N(R3246)+1,N(R3246))</f>
      </c>
    </row>
    <row r="3248" s="44" customFormat="1" spans="1:23">
      <c r="A3248" s="116"/>
      <c r="E3248" s="108"/>
      <c r="F3248" s="114"/>
      <c r="G3248" s="114"/>
      <c r="H3248" s="114"/>
      <c r="Q3248" s="44">
        <f>IF(数据录入!$B3248="",0,IF(OR(数据录入!$D3248="投标保证金",数据录入!$D3248="合同履约保证金",ISNUMBER(FIND("保证金",数据录入!$E3248))),1,0))</f>
      </c>
      <c r="R3248" s="44">
        <f>IF(AND($Q3248=1,数据录入!$B3248&gt;=$B$2,数据录入!$B3248&lt;=$D$2),N(R3247)+1,N(R3247))</f>
      </c>
    </row>
    <row r="3249" s="44" customFormat="1" spans="1:23">
      <c r="A3249" s="116"/>
      <c r="E3249" s="108"/>
      <c r="F3249" s="114"/>
      <c r="G3249" s="114"/>
      <c r="H3249" s="114"/>
      <c r="Q3249" s="44">
        <f>IF(数据录入!$B3249="",0,IF(OR(数据录入!$D3249="投标保证金",数据录入!$D3249="合同履约保证金",ISNUMBER(FIND("保证金",数据录入!$E3249))),1,0))</f>
      </c>
      <c r="R3249" s="44">
        <f>IF(AND($Q3249=1,数据录入!$B3249&gt;=$B$2,数据录入!$B3249&lt;=$D$2),N(R3248)+1,N(R3248))</f>
      </c>
    </row>
    <row r="3250" s="44" customFormat="1" spans="1:23">
      <c r="A3250" s="116"/>
      <c r="E3250" s="108"/>
      <c r="F3250" s="114"/>
      <c r="G3250" s="114"/>
      <c r="H3250" s="114"/>
      <c r="Q3250" s="44">
        <f>IF(数据录入!$B3250="",0,IF(OR(数据录入!$D3250="投标保证金",数据录入!$D3250="合同履约保证金",ISNUMBER(FIND("保证金",数据录入!$E3250))),1,0))</f>
      </c>
      <c r="R3250" s="44">
        <f>IF(AND($Q3250=1,数据录入!$B3250&gt;=$B$2,数据录入!$B3250&lt;=$D$2),N(R3249)+1,N(R3249))</f>
      </c>
    </row>
    <row r="3251" s="44" customFormat="1" spans="1:23">
      <c r="A3251" s="116"/>
      <c r="E3251" s="108"/>
      <c r="F3251" s="114"/>
      <c r="G3251" s="114"/>
      <c r="H3251" s="114"/>
      <c r="Q3251" s="44">
        <f>IF(数据录入!$B3251="",0,IF(OR(数据录入!$D3251="投标保证金",数据录入!$D3251="合同履约保证金",ISNUMBER(FIND("保证金",数据录入!$E3251))),1,0))</f>
      </c>
      <c r="R3251" s="44">
        <f>IF(AND($Q3251=1,数据录入!$B3251&gt;=$B$2,数据录入!$B3251&lt;=$D$2),N(R3250)+1,N(R3250))</f>
      </c>
    </row>
    <row r="3252" s="44" customFormat="1" spans="1:23">
      <c r="A3252" s="116"/>
      <c r="E3252" s="108"/>
      <c r="F3252" s="114"/>
      <c r="G3252" s="114"/>
      <c r="H3252" s="114"/>
      <c r="Q3252" s="44">
        <f>IF(数据录入!$B3252="",0,IF(OR(数据录入!$D3252="投标保证金",数据录入!$D3252="合同履约保证金",ISNUMBER(FIND("保证金",数据录入!$E3252))),1,0))</f>
      </c>
      <c r="R3252" s="44">
        <f>IF(AND($Q3252=1,数据录入!$B3252&gt;=$B$2,数据录入!$B3252&lt;=$D$2),N(R3251)+1,N(R3251))</f>
      </c>
    </row>
    <row r="3253" s="44" customFormat="1" spans="1:23">
      <c r="A3253" s="116"/>
      <c r="E3253" s="108"/>
      <c r="F3253" s="114"/>
      <c r="G3253" s="114"/>
      <c r="H3253" s="114"/>
      <c r="Q3253" s="44">
        <f>IF(数据录入!$B3253="",0,IF(OR(数据录入!$D3253="投标保证金",数据录入!$D3253="合同履约保证金",ISNUMBER(FIND("保证金",数据录入!$E3253))),1,0))</f>
      </c>
      <c r="R3253" s="44">
        <f>IF(AND($Q3253=1,数据录入!$B3253&gt;=$B$2,数据录入!$B3253&lt;=$D$2),N(R3252)+1,N(R3252))</f>
      </c>
    </row>
    <row r="3254" s="44" customFormat="1" spans="1:23">
      <c r="A3254" s="116"/>
      <c r="E3254" s="108"/>
      <c r="F3254" s="114"/>
      <c r="G3254" s="114"/>
      <c r="H3254" s="114"/>
      <c r="Q3254" s="44">
        <f>IF(数据录入!$B3254="",0,IF(OR(数据录入!$D3254="投标保证金",数据录入!$D3254="合同履约保证金",ISNUMBER(FIND("保证金",数据录入!$E3254))),1,0))</f>
      </c>
      <c r="R3254" s="44">
        <f>IF(AND($Q3254=1,数据录入!$B3254&gt;=$B$2,数据录入!$B3254&lt;=$D$2),N(R3253)+1,N(R3253))</f>
      </c>
    </row>
    <row r="3255" s="44" customFormat="1" spans="1:23">
      <c r="A3255" s="116"/>
      <c r="E3255" s="108"/>
      <c r="F3255" s="114"/>
      <c r="G3255" s="114"/>
      <c r="H3255" s="114"/>
      <c r="Q3255" s="44">
        <f>IF(数据录入!$B3255="",0,IF(OR(数据录入!$D3255="投标保证金",数据录入!$D3255="合同履约保证金",ISNUMBER(FIND("保证金",数据录入!$E3255))),1,0))</f>
      </c>
      <c r="R3255" s="44">
        <f>IF(AND($Q3255=1,数据录入!$B3255&gt;=$B$2,数据录入!$B3255&lt;=$D$2),N(R3254)+1,N(R3254))</f>
      </c>
    </row>
    <row r="3256" s="44" customFormat="1" spans="1:23">
      <c r="A3256" s="116"/>
      <c r="E3256" s="108"/>
      <c r="F3256" s="114"/>
      <c r="G3256" s="114"/>
      <c r="H3256" s="114"/>
      <c r="Q3256" s="44">
        <f>IF(数据录入!$B3256="",0,IF(OR(数据录入!$D3256="投标保证金",数据录入!$D3256="合同履约保证金",ISNUMBER(FIND("保证金",数据录入!$E3256))),1,0))</f>
      </c>
      <c r="R3256" s="44">
        <f>IF(AND($Q3256=1,数据录入!$B3256&gt;=$B$2,数据录入!$B3256&lt;=$D$2),N(R3255)+1,N(R3255))</f>
      </c>
    </row>
    <row r="3257" s="44" customFormat="1" spans="1:23">
      <c r="A3257" s="116"/>
      <c r="E3257" s="108"/>
      <c r="F3257" s="114"/>
      <c r="G3257" s="114"/>
      <c r="H3257" s="114"/>
      <c r="Q3257" s="44">
        <f>IF(数据录入!$B3257="",0,IF(OR(数据录入!$D3257="投标保证金",数据录入!$D3257="合同履约保证金",ISNUMBER(FIND("保证金",数据录入!$E3257))),1,0))</f>
      </c>
      <c r="R3257" s="44">
        <f>IF(AND($Q3257=1,数据录入!$B3257&gt;=$B$2,数据录入!$B3257&lt;=$D$2),N(R3256)+1,N(R3256))</f>
      </c>
    </row>
    <row r="3258" s="44" customFormat="1" spans="1:23">
      <c r="A3258" s="116"/>
      <c r="E3258" s="108"/>
      <c r="F3258" s="114"/>
      <c r="G3258" s="114"/>
      <c r="H3258" s="114"/>
      <c r="Q3258" s="44">
        <f>IF(数据录入!$B3258="",0,IF(OR(数据录入!$D3258="投标保证金",数据录入!$D3258="合同履约保证金",ISNUMBER(FIND("保证金",数据录入!$E3258))),1,0))</f>
      </c>
      <c r="R3258" s="44">
        <f>IF(AND($Q3258=1,数据录入!$B3258&gt;=$B$2,数据录入!$B3258&lt;=$D$2),N(R3257)+1,N(R3257))</f>
      </c>
    </row>
    <row r="3259" s="44" customFormat="1" spans="1:23">
      <c r="A3259" s="116"/>
      <c r="E3259" s="108"/>
      <c r="F3259" s="114"/>
      <c r="G3259" s="114"/>
      <c r="H3259" s="114"/>
      <c r="Q3259" s="44">
        <f>IF(数据录入!$B3259="",0,IF(OR(数据录入!$D3259="投标保证金",数据录入!$D3259="合同履约保证金",ISNUMBER(FIND("保证金",数据录入!$E3259))),1,0))</f>
      </c>
      <c r="R3259" s="44">
        <f>IF(AND($Q3259=1,数据录入!$B3259&gt;=$B$2,数据录入!$B3259&lt;=$D$2),N(R3258)+1,N(R3258))</f>
      </c>
    </row>
    <row r="3260" s="44" customFormat="1" spans="1:23">
      <c r="A3260" s="116"/>
      <c r="E3260" s="108"/>
      <c r="F3260" s="114"/>
      <c r="G3260" s="114"/>
      <c r="H3260" s="114"/>
      <c r="Q3260" s="44">
        <f>IF(数据录入!$B3260="",0,IF(OR(数据录入!$D3260="投标保证金",数据录入!$D3260="合同履约保证金",ISNUMBER(FIND("保证金",数据录入!$E3260))),1,0))</f>
      </c>
      <c r="R3260" s="44">
        <f>IF(AND($Q3260=1,数据录入!$B3260&gt;=$B$2,数据录入!$B3260&lt;=$D$2),N(R3259)+1,N(R3259))</f>
      </c>
    </row>
    <row r="3261" s="44" customFormat="1" spans="1:23">
      <c r="A3261" s="116"/>
      <c r="E3261" s="108"/>
      <c r="F3261" s="114"/>
      <c r="G3261" s="114"/>
      <c r="H3261" s="114"/>
      <c r="Q3261" s="44">
        <f>IF(数据录入!$B3261="",0,IF(OR(数据录入!$D3261="投标保证金",数据录入!$D3261="合同履约保证金",ISNUMBER(FIND("保证金",数据录入!$E3261))),1,0))</f>
      </c>
      <c r="R3261" s="44">
        <f>IF(AND($Q3261=1,数据录入!$B3261&gt;=$B$2,数据录入!$B3261&lt;=$D$2),N(R3260)+1,N(R3260))</f>
      </c>
    </row>
    <row r="3262" s="44" customFormat="1" spans="1:23">
      <c r="A3262" s="116"/>
      <c r="E3262" s="108"/>
      <c r="F3262" s="114"/>
      <c r="G3262" s="114"/>
      <c r="H3262" s="114"/>
      <c r="Q3262" s="44">
        <f>IF(数据录入!$B3262="",0,IF(OR(数据录入!$D3262="投标保证金",数据录入!$D3262="合同履约保证金",ISNUMBER(FIND("保证金",数据录入!$E3262))),1,0))</f>
      </c>
      <c r="R3262" s="44">
        <f>IF(AND($Q3262=1,数据录入!$B3262&gt;=$B$2,数据录入!$B3262&lt;=$D$2),N(R3261)+1,N(R3261))</f>
      </c>
    </row>
    <row r="3263" s="44" customFormat="1" spans="1:23">
      <c r="A3263" s="116"/>
      <c r="E3263" s="108"/>
      <c r="F3263" s="114"/>
      <c r="G3263" s="114"/>
      <c r="H3263" s="114"/>
      <c r="Q3263" s="44">
        <f>IF(数据录入!$B3263="",0,IF(OR(数据录入!$D3263="投标保证金",数据录入!$D3263="合同履约保证金",ISNUMBER(FIND("保证金",数据录入!$E3263))),1,0))</f>
      </c>
      <c r="R3263" s="44">
        <f>IF(AND($Q3263=1,数据录入!$B3263&gt;=$B$2,数据录入!$B3263&lt;=$D$2),N(R3262)+1,N(R3262))</f>
      </c>
    </row>
    <row r="3264" s="44" customFormat="1" spans="1:23">
      <c r="A3264" s="116"/>
      <c r="E3264" s="108"/>
      <c r="F3264" s="114"/>
      <c r="G3264" s="114"/>
      <c r="H3264" s="114"/>
      <c r="Q3264" s="44">
        <f>IF(数据录入!$B3264="",0,IF(OR(数据录入!$D3264="投标保证金",数据录入!$D3264="合同履约保证金",ISNUMBER(FIND("保证金",数据录入!$E3264))),1,0))</f>
      </c>
      <c r="R3264" s="44">
        <f>IF(AND($Q3264=1,数据录入!$B3264&gt;=$B$2,数据录入!$B3264&lt;=$D$2),N(R3263)+1,N(R3263))</f>
      </c>
    </row>
    <row r="3265" s="44" customFormat="1" spans="1:23">
      <c r="A3265" s="116"/>
      <c r="E3265" s="108"/>
      <c r="F3265" s="114"/>
      <c r="G3265" s="114"/>
      <c r="H3265" s="114"/>
      <c r="Q3265" s="44">
        <f>IF(数据录入!$B3265="",0,IF(OR(数据录入!$D3265="投标保证金",数据录入!$D3265="合同履约保证金",ISNUMBER(FIND("保证金",数据录入!$E3265))),1,0))</f>
      </c>
      <c r="R3265" s="44">
        <f>IF(AND($Q3265=1,数据录入!$B3265&gt;=$B$2,数据录入!$B3265&lt;=$D$2),N(R3264)+1,N(R3264))</f>
      </c>
    </row>
    <row r="3266" s="44" customFormat="1" spans="1:23">
      <c r="A3266" s="116"/>
      <c r="E3266" s="108"/>
      <c r="F3266" s="114"/>
      <c r="G3266" s="114"/>
      <c r="H3266" s="114"/>
      <c r="Q3266" s="44">
        <f>IF(数据录入!$B3266="",0,IF(OR(数据录入!$D3266="投标保证金",数据录入!$D3266="合同履约保证金",ISNUMBER(FIND("保证金",数据录入!$E3266))),1,0))</f>
      </c>
      <c r="R3266" s="44">
        <f>IF(AND($Q3266=1,数据录入!$B3266&gt;=$B$2,数据录入!$B3266&lt;=$D$2),N(R3265)+1,N(R3265))</f>
      </c>
    </row>
    <row r="3267" s="44" customFormat="1" spans="1:23">
      <c r="A3267" s="116"/>
      <c r="E3267" s="108"/>
      <c r="F3267" s="114"/>
      <c r="G3267" s="114"/>
      <c r="H3267" s="114"/>
      <c r="Q3267" s="44">
        <f>IF(数据录入!$B3267="",0,IF(OR(数据录入!$D3267="投标保证金",数据录入!$D3267="合同履约保证金",ISNUMBER(FIND("保证金",数据录入!$E3267))),1,0))</f>
      </c>
      <c r="R3267" s="44">
        <f>IF(AND($Q3267=1,数据录入!$B3267&gt;=$B$2,数据录入!$B3267&lt;=$D$2),N(R3266)+1,N(R3266))</f>
      </c>
    </row>
    <row r="3268" s="44" customFormat="1" spans="1:23">
      <c r="A3268" s="116"/>
      <c r="E3268" s="108"/>
      <c r="F3268" s="114"/>
      <c r="G3268" s="114"/>
      <c r="H3268" s="114"/>
      <c r="Q3268" s="44">
        <f>IF(数据录入!$B3268="",0,IF(OR(数据录入!$D3268="投标保证金",数据录入!$D3268="合同履约保证金",ISNUMBER(FIND("保证金",数据录入!$E3268))),1,0))</f>
      </c>
      <c r="R3268" s="44">
        <f>IF(AND($Q3268=1,数据录入!$B3268&gt;=$B$2,数据录入!$B3268&lt;=$D$2),N(R3267)+1,N(R3267))</f>
      </c>
    </row>
    <row r="3269" s="44" customFormat="1" spans="1:23">
      <c r="A3269" s="116"/>
      <c r="E3269" s="108"/>
      <c r="F3269" s="114"/>
      <c r="G3269" s="114"/>
      <c r="H3269" s="114"/>
      <c r="Q3269" s="44">
        <f>IF(数据录入!$B3269="",0,IF(OR(数据录入!$D3269="投标保证金",数据录入!$D3269="合同履约保证金",ISNUMBER(FIND("保证金",数据录入!$E3269))),1,0))</f>
      </c>
      <c r="R3269" s="44">
        <f>IF(AND($Q3269=1,数据录入!$B3269&gt;=$B$2,数据录入!$B3269&lt;=$D$2),N(R3268)+1,N(R3268))</f>
      </c>
    </row>
    <row r="3270" s="44" customFormat="1" spans="1:23">
      <c r="A3270" s="116"/>
      <c r="E3270" s="108"/>
      <c r="F3270" s="114"/>
      <c r="G3270" s="114"/>
      <c r="H3270" s="114"/>
      <c r="Q3270" s="44">
        <f>IF(数据录入!$B3270="",0,IF(OR(数据录入!$D3270="投标保证金",数据录入!$D3270="合同履约保证金",ISNUMBER(FIND("保证金",数据录入!$E3270))),1,0))</f>
      </c>
      <c r="R3270" s="44">
        <f>IF(AND($Q3270=1,数据录入!$B3270&gt;=$B$2,数据录入!$B3270&lt;=$D$2),N(R3269)+1,N(R3269))</f>
      </c>
    </row>
    <row r="3271" s="44" customFormat="1" spans="1:23">
      <c r="A3271" s="116"/>
      <c r="E3271" s="108"/>
      <c r="F3271" s="114"/>
      <c r="G3271" s="114"/>
      <c r="H3271" s="114"/>
      <c r="Q3271" s="44">
        <f>IF(数据录入!$B3271="",0,IF(OR(数据录入!$D3271="投标保证金",数据录入!$D3271="合同履约保证金",ISNUMBER(FIND("保证金",数据录入!$E3271))),1,0))</f>
      </c>
      <c r="R3271" s="44">
        <f>IF(AND($Q3271=1,数据录入!$B3271&gt;=$B$2,数据录入!$B3271&lt;=$D$2),N(R3270)+1,N(R3270))</f>
      </c>
    </row>
    <row r="3272" s="44" customFormat="1" spans="1:23">
      <c r="A3272" s="116"/>
      <c r="E3272" s="108"/>
      <c r="F3272" s="114"/>
      <c r="G3272" s="114"/>
      <c r="H3272" s="114"/>
      <c r="Q3272" s="44">
        <f>IF(数据录入!$B3272="",0,IF(OR(数据录入!$D3272="投标保证金",数据录入!$D3272="合同履约保证金",ISNUMBER(FIND("保证金",数据录入!$E3272))),1,0))</f>
      </c>
      <c r="R3272" s="44">
        <f>IF(AND($Q3272=1,数据录入!$B3272&gt;=$B$2,数据录入!$B3272&lt;=$D$2),N(R3271)+1,N(R3271))</f>
      </c>
    </row>
    <row r="3273" s="44" customFormat="1" spans="1:23">
      <c r="A3273" s="116"/>
      <c r="E3273" s="108"/>
      <c r="F3273" s="114"/>
      <c r="G3273" s="114"/>
      <c r="H3273" s="114"/>
      <c r="Q3273" s="44">
        <f>IF(数据录入!$B3273="",0,IF(OR(数据录入!$D3273="投标保证金",数据录入!$D3273="合同履约保证金",ISNUMBER(FIND("保证金",数据录入!$E3273))),1,0))</f>
      </c>
      <c r="R3273" s="44">
        <f>IF(AND($Q3273=1,数据录入!$B3273&gt;=$B$2,数据录入!$B3273&lt;=$D$2),N(R3272)+1,N(R3272))</f>
      </c>
    </row>
    <row r="3274" s="44" customFormat="1" spans="1:23">
      <c r="A3274" s="116"/>
      <c r="E3274" s="108"/>
      <c r="F3274" s="114"/>
      <c r="G3274" s="114"/>
      <c r="H3274" s="114"/>
      <c r="Q3274" s="44">
        <f>IF(数据录入!$B3274="",0,IF(OR(数据录入!$D3274="投标保证金",数据录入!$D3274="合同履约保证金",ISNUMBER(FIND("保证金",数据录入!$E3274))),1,0))</f>
      </c>
      <c r="R3274" s="44">
        <f>IF(AND($Q3274=1,数据录入!$B3274&gt;=$B$2,数据录入!$B3274&lt;=$D$2),N(R3273)+1,N(R3273))</f>
      </c>
    </row>
    <row r="3275" s="44" customFormat="1" spans="1:23">
      <c r="A3275" s="116"/>
      <c r="E3275" s="108"/>
      <c r="F3275" s="114"/>
      <c r="G3275" s="114"/>
      <c r="H3275" s="114"/>
      <c r="Q3275" s="44">
        <f>IF(数据录入!$B3275="",0,IF(OR(数据录入!$D3275="投标保证金",数据录入!$D3275="合同履约保证金",ISNUMBER(FIND("保证金",数据录入!$E3275))),1,0))</f>
      </c>
      <c r="R3275" s="44">
        <f>IF(AND($Q3275=1,数据录入!$B3275&gt;=$B$2,数据录入!$B3275&lt;=$D$2),N(R3274)+1,N(R3274))</f>
      </c>
    </row>
    <row r="3276" s="44" customFormat="1" spans="1:23">
      <c r="A3276" s="116"/>
      <c r="E3276" s="108"/>
      <c r="F3276" s="114"/>
      <c r="G3276" s="114"/>
      <c r="H3276" s="114"/>
      <c r="Q3276" s="44">
        <f>IF(数据录入!$B3276="",0,IF(OR(数据录入!$D3276="投标保证金",数据录入!$D3276="合同履约保证金",ISNUMBER(FIND("保证金",数据录入!$E3276))),1,0))</f>
      </c>
      <c r="R3276" s="44">
        <f>IF(AND($Q3276=1,数据录入!$B3276&gt;=$B$2,数据录入!$B3276&lt;=$D$2),N(R3275)+1,N(R3275))</f>
      </c>
    </row>
    <row r="3277" s="44" customFormat="1" spans="1:23">
      <c r="A3277" s="116"/>
      <c r="E3277" s="108"/>
      <c r="F3277" s="114"/>
      <c r="G3277" s="114"/>
      <c r="H3277" s="114"/>
      <c r="Q3277" s="44">
        <f>IF(数据录入!$B3277="",0,IF(OR(数据录入!$D3277="投标保证金",数据录入!$D3277="合同履约保证金",ISNUMBER(FIND("保证金",数据录入!$E3277))),1,0))</f>
      </c>
      <c r="R3277" s="44">
        <f>IF(AND($Q3277=1,数据录入!$B3277&gt;=$B$2,数据录入!$B3277&lt;=$D$2),N(R3276)+1,N(R3276))</f>
      </c>
    </row>
    <row r="3278" s="44" customFormat="1" spans="1:23">
      <c r="A3278" s="116"/>
      <c r="E3278" s="108"/>
      <c r="F3278" s="114"/>
      <c r="G3278" s="114"/>
      <c r="H3278" s="114"/>
      <c r="Q3278" s="44">
        <f>IF(数据录入!$B3278="",0,IF(OR(数据录入!$D3278="投标保证金",数据录入!$D3278="合同履约保证金",ISNUMBER(FIND("保证金",数据录入!$E3278))),1,0))</f>
      </c>
      <c r="R3278" s="44">
        <f>IF(AND($Q3278=1,数据录入!$B3278&gt;=$B$2,数据录入!$B3278&lt;=$D$2),N(R3277)+1,N(R3277))</f>
      </c>
    </row>
    <row r="3279" s="44" customFormat="1" spans="1:23">
      <c r="A3279" s="116"/>
      <c r="E3279" s="108"/>
      <c r="F3279" s="114"/>
      <c r="G3279" s="114"/>
      <c r="H3279" s="114"/>
      <c r="Q3279" s="44">
        <f>IF(数据录入!$B3279="",0,IF(OR(数据录入!$D3279="投标保证金",数据录入!$D3279="合同履约保证金",ISNUMBER(FIND("保证金",数据录入!$E3279))),1,0))</f>
      </c>
      <c r="R3279" s="44">
        <f>IF(AND($Q3279=1,数据录入!$B3279&gt;=$B$2,数据录入!$B3279&lt;=$D$2),N(R3278)+1,N(R3278))</f>
      </c>
    </row>
    <row r="3280" s="44" customFormat="1" spans="1:23">
      <c r="A3280" s="116"/>
      <c r="E3280" s="108"/>
      <c r="F3280" s="114"/>
      <c r="G3280" s="114"/>
      <c r="H3280" s="114"/>
      <c r="Q3280" s="44">
        <f>IF(数据录入!$B3280="",0,IF(OR(数据录入!$D3280="投标保证金",数据录入!$D3280="合同履约保证金",ISNUMBER(FIND("保证金",数据录入!$E3280))),1,0))</f>
      </c>
      <c r="R3280" s="44">
        <f>IF(AND($Q3280=1,数据录入!$B3280&gt;=$B$2,数据录入!$B3280&lt;=$D$2),N(R3279)+1,N(R3279))</f>
      </c>
    </row>
    <row r="3281" s="44" customFormat="1" spans="1:23">
      <c r="A3281" s="116"/>
      <c r="E3281" s="108"/>
      <c r="F3281" s="114"/>
      <c r="G3281" s="114"/>
      <c r="H3281" s="114"/>
      <c r="Q3281" s="44">
        <f>IF(数据录入!$B3281="",0,IF(OR(数据录入!$D3281="投标保证金",数据录入!$D3281="合同履约保证金",ISNUMBER(FIND("保证金",数据录入!$E3281))),1,0))</f>
      </c>
      <c r="R3281" s="44">
        <f>IF(AND($Q3281=1,数据录入!$B3281&gt;=$B$2,数据录入!$B3281&lt;=$D$2),N(R3280)+1,N(R3280))</f>
      </c>
    </row>
    <row r="3282" s="44" customFormat="1" spans="1:23">
      <c r="A3282" s="116"/>
      <c r="E3282" s="108"/>
      <c r="F3282" s="114"/>
      <c r="G3282" s="114"/>
      <c r="H3282" s="114"/>
      <c r="Q3282" s="44">
        <f>IF(数据录入!$B3282="",0,IF(OR(数据录入!$D3282="投标保证金",数据录入!$D3282="合同履约保证金",ISNUMBER(FIND("保证金",数据录入!$E3282))),1,0))</f>
      </c>
      <c r="R3282" s="44">
        <f>IF(AND($Q3282=1,数据录入!$B3282&gt;=$B$2,数据录入!$B3282&lt;=$D$2),N(R3281)+1,N(R3281))</f>
      </c>
    </row>
    <row r="3283" s="44" customFormat="1" spans="1:23">
      <c r="A3283" s="116"/>
      <c r="E3283" s="108"/>
      <c r="F3283" s="114"/>
      <c r="G3283" s="114"/>
      <c r="H3283" s="114"/>
      <c r="Q3283" s="44">
        <f>IF(数据录入!$B3283="",0,IF(OR(数据录入!$D3283="投标保证金",数据录入!$D3283="合同履约保证金",ISNUMBER(FIND("保证金",数据录入!$E3283))),1,0))</f>
      </c>
      <c r="R3283" s="44">
        <f>IF(AND($Q3283=1,数据录入!$B3283&gt;=$B$2,数据录入!$B3283&lt;=$D$2),N(R3282)+1,N(R3282))</f>
      </c>
    </row>
    <row r="3284" s="44" customFormat="1" spans="1:23">
      <c r="A3284" s="116"/>
      <c r="E3284" s="108"/>
      <c r="F3284" s="114"/>
      <c r="G3284" s="114"/>
      <c r="H3284" s="114"/>
      <c r="Q3284" s="44">
        <f>IF(数据录入!$B3284="",0,IF(OR(数据录入!$D3284="投标保证金",数据录入!$D3284="合同履约保证金",ISNUMBER(FIND("保证金",数据录入!$E3284))),1,0))</f>
      </c>
      <c r="R3284" s="44">
        <f>IF(AND($Q3284=1,数据录入!$B3284&gt;=$B$2,数据录入!$B3284&lt;=$D$2),N(R3283)+1,N(R3283))</f>
      </c>
    </row>
    <row r="3285" s="44" customFormat="1" spans="1:23">
      <c r="A3285" s="116"/>
      <c r="E3285" s="108"/>
      <c r="F3285" s="114"/>
      <c r="G3285" s="114"/>
      <c r="H3285" s="114"/>
      <c r="Q3285" s="44">
        <f>IF(数据录入!$B3285="",0,IF(OR(数据录入!$D3285="投标保证金",数据录入!$D3285="合同履约保证金",ISNUMBER(FIND("保证金",数据录入!$E3285))),1,0))</f>
      </c>
      <c r="R3285" s="44">
        <f>IF(AND($Q3285=1,数据录入!$B3285&gt;=$B$2,数据录入!$B3285&lt;=$D$2),N(R3284)+1,N(R3284))</f>
      </c>
    </row>
    <row r="3286" s="44" customFormat="1" spans="1:23">
      <c r="A3286" s="116"/>
      <c r="E3286" s="108"/>
      <c r="F3286" s="114"/>
      <c r="G3286" s="114"/>
      <c r="H3286" s="114"/>
      <c r="Q3286" s="44">
        <f>IF(数据录入!$B3286="",0,IF(OR(数据录入!$D3286="投标保证金",数据录入!$D3286="合同履约保证金",ISNUMBER(FIND("保证金",数据录入!$E3286))),1,0))</f>
      </c>
      <c r="R3286" s="44">
        <f>IF(AND($Q3286=1,数据录入!$B3286&gt;=$B$2,数据录入!$B3286&lt;=$D$2),N(R3285)+1,N(R3285))</f>
      </c>
    </row>
    <row r="3287" s="44" customFormat="1" spans="1:23">
      <c r="A3287" s="116"/>
      <c r="E3287" s="108"/>
      <c r="F3287" s="114"/>
      <c r="G3287" s="114"/>
      <c r="H3287" s="114"/>
      <c r="Q3287" s="44">
        <f>IF(数据录入!$B3287="",0,IF(OR(数据录入!$D3287="投标保证金",数据录入!$D3287="合同履约保证金",ISNUMBER(FIND("保证金",数据录入!$E3287))),1,0))</f>
      </c>
      <c r="R3287" s="44">
        <f>IF(AND($Q3287=1,数据录入!$B3287&gt;=$B$2,数据录入!$B3287&lt;=$D$2),N(R3286)+1,N(R3286))</f>
      </c>
    </row>
    <row r="3288" s="44" customFormat="1" spans="1:23">
      <c r="A3288" s="116"/>
      <c r="E3288" s="108"/>
      <c r="F3288" s="114"/>
      <c r="G3288" s="114"/>
      <c r="H3288" s="114"/>
      <c r="Q3288" s="44">
        <f>IF(数据录入!$B3288="",0,IF(OR(数据录入!$D3288="投标保证金",数据录入!$D3288="合同履约保证金",ISNUMBER(FIND("保证金",数据录入!$E3288))),1,0))</f>
      </c>
      <c r="R3288" s="44">
        <f>IF(AND($Q3288=1,数据录入!$B3288&gt;=$B$2,数据录入!$B3288&lt;=$D$2),N(R3287)+1,N(R3287))</f>
      </c>
    </row>
    <row r="3289" s="44" customFormat="1" spans="1:23">
      <c r="A3289" s="116"/>
      <c r="E3289" s="108"/>
      <c r="F3289" s="114"/>
      <c r="G3289" s="114"/>
      <c r="H3289" s="114"/>
      <c r="Q3289" s="44">
        <f>IF(数据录入!$B3289="",0,IF(OR(数据录入!$D3289="投标保证金",数据录入!$D3289="合同履约保证金",ISNUMBER(FIND("保证金",数据录入!$E3289))),1,0))</f>
      </c>
      <c r="R3289" s="44">
        <f>IF(AND($Q3289=1,数据录入!$B3289&gt;=$B$2,数据录入!$B3289&lt;=$D$2),N(R3288)+1,N(R3288))</f>
      </c>
    </row>
    <row r="3290" s="44" customFormat="1" spans="1:23">
      <c r="A3290" s="116"/>
      <c r="E3290" s="108"/>
      <c r="F3290" s="114"/>
      <c r="G3290" s="114"/>
      <c r="H3290" s="114"/>
      <c r="Q3290" s="44">
        <f>IF(数据录入!$B3290="",0,IF(OR(数据录入!$D3290="投标保证金",数据录入!$D3290="合同履约保证金",ISNUMBER(FIND("保证金",数据录入!$E3290))),1,0))</f>
      </c>
      <c r="R3290" s="44">
        <f>IF(AND($Q3290=1,数据录入!$B3290&gt;=$B$2,数据录入!$B3290&lt;=$D$2),N(R3289)+1,N(R3289))</f>
      </c>
    </row>
    <row r="3291" s="44" customFormat="1" spans="1:23">
      <c r="A3291" s="116"/>
      <c r="E3291" s="108"/>
      <c r="F3291" s="114"/>
      <c r="G3291" s="114"/>
      <c r="H3291" s="114"/>
      <c r="Q3291" s="44">
        <f>IF(数据录入!$B3291="",0,IF(OR(数据录入!$D3291="投标保证金",数据录入!$D3291="合同履约保证金",ISNUMBER(FIND("保证金",数据录入!$E3291))),1,0))</f>
      </c>
      <c r="R3291" s="44">
        <f>IF(AND($Q3291=1,数据录入!$B3291&gt;=$B$2,数据录入!$B3291&lt;=$D$2),N(R3290)+1,N(R3290))</f>
      </c>
    </row>
    <row r="3292" s="44" customFormat="1" spans="1:23">
      <c r="A3292" s="116"/>
      <c r="E3292" s="108"/>
      <c r="F3292" s="114"/>
      <c r="G3292" s="114"/>
      <c r="H3292" s="114"/>
      <c r="Q3292" s="44">
        <f>IF(数据录入!$B3292="",0,IF(OR(数据录入!$D3292="投标保证金",数据录入!$D3292="合同履约保证金",ISNUMBER(FIND("保证金",数据录入!$E3292))),1,0))</f>
      </c>
      <c r="R3292" s="44">
        <f>IF(AND($Q3292=1,数据录入!$B3292&gt;=$B$2,数据录入!$B3292&lt;=$D$2),N(R3291)+1,N(R3291))</f>
      </c>
    </row>
    <row r="3293" s="44" customFormat="1" spans="1:23">
      <c r="A3293" s="116"/>
      <c r="E3293" s="108"/>
      <c r="F3293" s="114"/>
      <c r="G3293" s="114"/>
      <c r="H3293" s="114"/>
      <c r="Q3293" s="44">
        <f>IF(数据录入!$B3293="",0,IF(OR(数据录入!$D3293="投标保证金",数据录入!$D3293="合同履约保证金",ISNUMBER(FIND("保证金",数据录入!$E3293))),1,0))</f>
      </c>
      <c r="R3293" s="44">
        <f>IF(AND($Q3293=1,数据录入!$B3293&gt;=$B$2,数据录入!$B3293&lt;=$D$2),N(R3292)+1,N(R3292))</f>
      </c>
    </row>
    <row r="3294" s="44" customFormat="1" spans="1:23">
      <c r="A3294" s="116"/>
      <c r="E3294" s="108"/>
      <c r="F3294" s="114"/>
      <c r="G3294" s="114"/>
      <c r="H3294" s="114"/>
      <c r="Q3294" s="44">
        <f>IF(数据录入!$B3294="",0,IF(OR(数据录入!$D3294="投标保证金",数据录入!$D3294="合同履约保证金",ISNUMBER(FIND("保证金",数据录入!$E3294))),1,0))</f>
      </c>
      <c r="R3294" s="44">
        <f>IF(AND($Q3294=1,数据录入!$B3294&gt;=$B$2,数据录入!$B3294&lt;=$D$2),N(R3293)+1,N(R3293))</f>
      </c>
    </row>
    <row r="3295" s="44" customFormat="1" spans="1:23">
      <c r="A3295" s="116"/>
      <c r="E3295" s="108"/>
      <c r="F3295" s="114"/>
      <c r="G3295" s="114"/>
      <c r="H3295" s="114"/>
      <c r="Q3295" s="44">
        <f>IF(数据录入!$B3295="",0,IF(OR(数据录入!$D3295="投标保证金",数据录入!$D3295="合同履约保证金",ISNUMBER(FIND("保证金",数据录入!$E3295))),1,0))</f>
      </c>
      <c r="R3295" s="44">
        <f>IF(AND($Q3295=1,数据录入!$B3295&gt;=$B$2,数据录入!$B3295&lt;=$D$2),N(R3294)+1,N(R3294))</f>
      </c>
    </row>
    <row r="3296" s="44" customFormat="1" spans="1:23">
      <c r="A3296" s="116"/>
      <c r="E3296" s="108"/>
      <c r="F3296" s="114"/>
      <c r="G3296" s="114"/>
      <c r="H3296" s="114"/>
      <c r="Q3296" s="44">
        <f>IF(数据录入!$B3296="",0,IF(OR(数据录入!$D3296="投标保证金",数据录入!$D3296="合同履约保证金",ISNUMBER(FIND("保证金",数据录入!$E3296))),1,0))</f>
      </c>
      <c r="R3296" s="44">
        <f>IF(AND($Q3296=1,数据录入!$B3296&gt;=$B$2,数据录入!$B3296&lt;=$D$2),N(R3295)+1,N(R3295))</f>
      </c>
    </row>
    <row r="3297" s="44" customFormat="1" spans="1:23">
      <c r="A3297" s="116"/>
      <c r="E3297" s="108"/>
      <c r="F3297" s="114"/>
      <c r="G3297" s="114"/>
      <c r="H3297" s="114"/>
      <c r="Q3297" s="44">
        <f>IF(数据录入!$B3297="",0,IF(OR(数据录入!$D3297="投标保证金",数据录入!$D3297="合同履约保证金",ISNUMBER(FIND("保证金",数据录入!$E3297))),1,0))</f>
      </c>
      <c r="R3297" s="44">
        <f>IF(AND($Q3297=1,数据录入!$B3297&gt;=$B$2,数据录入!$B3297&lt;=$D$2),N(R3296)+1,N(R3296))</f>
      </c>
    </row>
    <row r="3298" s="44" customFormat="1" spans="1:23">
      <c r="A3298" s="116"/>
      <c r="E3298" s="108"/>
      <c r="F3298" s="114"/>
      <c r="G3298" s="114"/>
      <c r="H3298" s="114"/>
      <c r="Q3298" s="44">
        <f>IF(数据录入!$B3298="",0,IF(OR(数据录入!$D3298="投标保证金",数据录入!$D3298="合同履约保证金",ISNUMBER(FIND("保证金",数据录入!$E3298))),1,0))</f>
      </c>
      <c r="R3298" s="44">
        <f>IF(AND($Q3298=1,数据录入!$B3298&gt;=$B$2,数据录入!$B3298&lt;=$D$2),N(R3297)+1,N(R3297))</f>
      </c>
    </row>
    <row r="3299" s="44" customFormat="1" spans="1:23">
      <c r="A3299" s="116"/>
      <c r="E3299" s="108"/>
      <c r="F3299" s="114"/>
      <c r="G3299" s="114"/>
      <c r="H3299" s="114"/>
      <c r="Q3299" s="44">
        <f>IF(数据录入!$B3299="",0,IF(OR(数据录入!$D3299="投标保证金",数据录入!$D3299="合同履约保证金",ISNUMBER(FIND("保证金",数据录入!$E3299))),1,0))</f>
      </c>
      <c r="R3299" s="44">
        <f>IF(AND($Q3299=1,数据录入!$B3299&gt;=$B$2,数据录入!$B3299&lt;=$D$2),N(R3298)+1,N(R3298))</f>
      </c>
    </row>
    <row r="3300" s="44" customFormat="1" spans="1:23">
      <c r="A3300" s="116"/>
      <c r="E3300" s="108"/>
      <c r="F3300" s="114"/>
      <c r="G3300" s="114"/>
      <c r="H3300" s="114"/>
      <c r="Q3300" s="44">
        <f>IF(数据录入!$B3300="",0,IF(OR(数据录入!$D3300="投标保证金",数据录入!$D3300="合同履约保证金",ISNUMBER(FIND("保证金",数据录入!$E3300))),1,0))</f>
      </c>
      <c r="R3300" s="44">
        <f>IF(AND($Q3300=1,数据录入!$B3300&gt;=$B$2,数据录入!$B3300&lt;=$D$2),N(R3299)+1,N(R3299))</f>
      </c>
    </row>
    <row r="3301" s="44" customFormat="1" spans="1:23">
      <c r="A3301" s="116"/>
      <c r="E3301" s="108"/>
      <c r="F3301" s="114"/>
      <c r="G3301" s="114"/>
      <c r="H3301" s="114"/>
      <c r="Q3301" s="44">
        <f>IF(数据录入!$B3301="",0,IF(OR(数据录入!$D3301="投标保证金",数据录入!$D3301="合同履约保证金",ISNUMBER(FIND("保证金",数据录入!$E3301))),1,0))</f>
      </c>
      <c r="R3301" s="44">
        <f>IF(AND($Q3301=1,数据录入!$B3301&gt;=$B$2,数据录入!$B3301&lt;=$D$2),N(R3300)+1,N(R3300))</f>
      </c>
    </row>
    <row r="3302" s="44" customFormat="1" spans="1:23">
      <c r="A3302" s="116"/>
      <c r="E3302" s="108"/>
      <c r="F3302" s="114"/>
      <c r="G3302" s="114"/>
      <c r="H3302" s="114"/>
      <c r="Q3302" s="44">
        <f>IF(数据录入!$B3302="",0,IF(OR(数据录入!$D3302="投标保证金",数据录入!$D3302="合同履约保证金",ISNUMBER(FIND("保证金",数据录入!$E3302))),1,0))</f>
      </c>
      <c r="R3302" s="44">
        <f>IF(AND($Q3302=1,数据录入!$B3302&gt;=$B$2,数据录入!$B3302&lt;=$D$2),N(R3301)+1,N(R3301))</f>
      </c>
    </row>
    <row r="3303" s="44" customFormat="1" spans="1:23">
      <c r="A3303" s="116"/>
      <c r="E3303" s="108"/>
      <c r="F3303" s="114"/>
      <c r="G3303" s="114"/>
      <c r="H3303" s="114"/>
      <c r="Q3303" s="44">
        <f>IF(数据录入!$B3303="",0,IF(OR(数据录入!$D3303="投标保证金",数据录入!$D3303="合同履约保证金",ISNUMBER(FIND("保证金",数据录入!$E3303))),1,0))</f>
      </c>
      <c r="R3303" s="44">
        <f>IF(AND($Q3303=1,数据录入!$B3303&gt;=$B$2,数据录入!$B3303&lt;=$D$2),N(R3302)+1,N(R3302))</f>
      </c>
    </row>
    <row r="3304" s="44" customFormat="1" spans="1:23">
      <c r="A3304" s="116"/>
      <c r="E3304" s="108"/>
      <c r="F3304" s="114"/>
      <c r="G3304" s="114"/>
      <c r="H3304" s="114"/>
      <c r="Q3304" s="44">
        <f>IF(数据录入!$B3304="",0,IF(OR(数据录入!$D3304="投标保证金",数据录入!$D3304="合同履约保证金",ISNUMBER(FIND("保证金",数据录入!$E3304))),1,0))</f>
      </c>
      <c r="R3304" s="44">
        <f>IF(AND($Q3304=1,数据录入!$B3304&gt;=$B$2,数据录入!$B3304&lt;=$D$2),N(R3303)+1,N(R3303))</f>
      </c>
    </row>
    <row r="3305" s="44" customFormat="1" spans="1:23">
      <c r="A3305" s="116"/>
      <c r="E3305" s="108"/>
      <c r="F3305" s="114"/>
      <c r="G3305" s="114"/>
      <c r="H3305" s="114"/>
      <c r="Q3305" s="44">
        <f>IF(数据录入!$B3305="",0,IF(OR(数据录入!$D3305="投标保证金",数据录入!$D3305="合同履约保证金",ISNUMBER(FIND("保证金",数据录入!$E3305))),1,0))</f>
      </c>
      <c r="R3305" s="44">
        <f>IF(AND($Q3305=1,数据录入!$B3305&gt;=$B$2,数据录入!$B3305&lt;=$D$2),N(R3304)+1,N(R3304))</f>
      </c>
    </row>
    <row r="3306" s="44" customFormat="1" spans="1:23">
      <c r="A3306" s="116"/>
      <c r="E3306" s="108"/>
      <c r="F3306" s="114"/>
      <c r="G3306" s="114"/>
      <c r="H3306" s="114"/>
      <c r="Q3306" s="44">
        <f>IF(数据录入!$B3306="",0,IF(OR(数据录入!$D3306="投标保证金",数据录入!$D3306="合同履约保证金",ISNUMBER(FIND("保证金",数据录入!$E3306))),1,0))</f>
      </c>
      <c r="R3306" s="44">
        <f>IF(AND($Q3306=1,数据录入!$B3306&gt;=$B$2,数据录入!$B3306&lt;=$D$2),N(R3305)+1,N(R3305))</f>
      </c>
    </row>
    <row r="3307" s="44" customFormat="1" spans="1:23">
      <c r="A3307" s="116"/>
      <c r="E3307" s="108"/>
      <c r="F3307" s="114"/>
      <c r="G3307" s="114"/>
      <c r="H3307" s="114"/>
      <c r="Q3307" s="44">
        <f>IF(数据录入!$B3307="",0,IF(OR(数据录入!$D3307="投标保证金",数据录入!$D3307="合同履约保证金",ISNUMBER(FIND("保证金",数据录入!$E3307))),1,0))</f>
      </c>
      <c r="R3307" s="44">
        <f>IF(AND($Q3307=1,数据录入!$B3307&gt;=$B$2,数据录入!$B3307&lt;=$D$2),N(R3306)+1,N(R3306))</f>
      </c>
    </row>
    <row r="3308" s="44" customFormat="1" spans="1:23">
      <c r="A3308" s="116"/>
      <c r="E3308" s="108"/>
      <c r="F3308" s="114"/>
      <c r="G3308" s="114"/>
      <c r="H3308" s="114"/>
      <c r="Q3308" s="44">
        <f>IF(数据录入!$B3308="",0,IF(OR(数据录入!$D3308="投标保证金",数据录入!$D3308="合同履约保证金",ISNUMBER(FIND("保证金",数据录入!$E3308))),1,0))</f>
      </c>
      <c r="R3308" s="44">
        <f>IF(AND($Q3308=1,数据录入!$B3308&gt;=$B$2,数据录入!$B3308&lt;=$D$2),N(R3307)+1,N(R3307))</f>
      </c>
    </row>
    <row r="3309" s="44" customFormat="1" spans="1:23">
      <c r="A3309" s="116"/>
      <c r="E3309" s="108"/>
      <c r="F3309" s="114"/>
      <c r="G3309" s="114"/>
      <c r="H3309" s="114"/>
      <c r="Q3309" s="44">
        <f>IF(数据录入!$B3309="",0,IF(OR(数据录入!$D3309="投标保证金",数据录入!$D3309="合同履约保证金",ISNUMBER(FIND("保证金",数据录入!$E3309))),1,0))</f>
      </c>
      <c r="R3309" s="44">
        <f>IF(AND($Q3309=1,数据录入!$B3309&gt;=$B$2,数据录入!$B3309&lt;=$D$2),N(R3308)+1,N(R3308))</f>
      </c>
    </row>
    <row r="3310" s="44" customFormat="1" spans="1:23">
      <c r="A3310" s="116"/>
      <c r="E3310" s="108"/>
      <c r="F3310" s="114"/>
      <c r="G3310" s="114"/>
      <c r="H3310" s="114"/>
      <c r="Q3310" s="44">
        <f>IF(数据录入!$B3310="",0,IF(OR(数据录入!$D3310="投标保证金",数据录入!$D3310="合同履约保证金",ISNUMBER(FIND("保证金",数据录入!$E3310))),1,0))</f>
      </c>
      <c r="R3310" s="44">
        <f>IF(AND($Q3310=1,数据录入!$B3310&gt;=$B$2,数据录入!$B3310&lt;=$D$2),N(R3309)+1,N(R3309))</f>
      </c>
    </row>
    <row r="3311" s="44" customFormat="1" spans="1:23">
      <c r="A3311" s="116"/>
      <c r="E3311" s="108"/>
      <c r="F3311" s="114"/>
      <c r="G3311" s="114"/>
      <c r="H3311" s="114"/>
      <c r="Q3311" s="44">
        <f>IF(数据录入!$B3311="",0,IF(OR(数据录入!$D3311="投标保证金",数据录入!$D3311="合同履约保证金",ISNUMBER(FIND("保证金",数据录入!$E3311))),1,0))</f>
      </c>
      <c r="R3311" s="44">
        <f>IF(AND($Q3311=1,数据录入!$B3311&gt;=$B$2,数据录入!$B3311&lt;=$D$2),N(R3310)+1,N(R3310))</f>
      </c>
    </row>
    <row r="3312" s="44" customFormat="1" spans="1:23">
      <c r="A3312" s="116"/>
      <c r="E3312" s="108"/>
      <c r="F3312" s="114"/>
      <c r="G3312" s="114"/>
      <c r="H3312" s="114"/>
      <c r="Q3312" s="44">
        <f>IF(数据录入!$B3312="",0,IF(OR(数据录入!$D3312="投标保证金",数据录入!$D3312="合同履约保证金",ISNUMBER(FIND("保证金",数据录入!$E3312))),1,0))</f>
      </c>
      <c r="R3312" s="44">
        <f>IF(AND($Q3312=1,数据录入!$B3312&gt;=$B$2,数据录入!$B3312&lt;=$D$2),N(R3311)+1,N(R3311))</f>
      </c>
    </row>
    <row r="3313" s="44" customFormat="1" spans="1:23">
      <c r="A3313" s="116"/>
      <c r="E3313" s="108"/>
      <c r="F3313" s="114"/>
      <c r="G3313" s="114"/>
      <c r="H3313" s="114"/>
      <c r="Q3313" s="44">
        <f>IF(数据录入!$B3313="",0,IF(OR(数据录入!$D3313="投标保证金",数据录入!$D3313="合同履约保证金",ISNUMBER(FIND("保证金",数据录入!$E3313))),1,0))</f>
      </c>
      <c r="R3313" s="44">
        <f>IF(AND($Q3313=1,数据录入!$B3313&gt;=$B$2,数据录入!$B3313&lt;=$D$2),N(R3312)+1,N(R3312))</f>
      </c>
    </row>
    <row r="3314" s="44" customFormat="1" spans="1:23">
      <c r="A3314" s="116"/>
      <c r="E3314" s="108"/>
      <c r="F3314" s="114"/>
      <c r="G3314" s="114"/>
      <c r="H3314" s="114"/>
      <c r="Q3314" s="44">
        <f>IF(数据录入!$B3314="",0,IF(OR(数据录入!$D3314="投标保证金",数据录入!$D3314="合同履约保证金",ISNUMBER(FIND("保证金",数据录入!$E3314))),1,0))</f>
      </c>
      <c r="R3314" s="44">
        <f>IF(AND($Q3314=1,数据录入!$B3314&gt;=$B$2,数据录入!$B3314&lt;=$D$2),N(R3313)+1,N(R3313))</f>
      </c>
    </row>
    <row r="3315" s="44" customFormat="1" spans="1:23">
      <c r="A3315" s="116"/>
      <c r="E3315" s="108"/>
      <c r="F3315" s="114"/>
      <c r="G3315" s="114"/>
      <c r="H3315" s="114"/>
      <c r="Q3315" s="44">
        <f>IF(数据录入!$B3315="",0,IF(OR(数据录入!$D3315="投标保证金",数据录入!$D3315="合同履约保证金",ISNUMBER(FIND("保证金",数据录入!$E3315))),1,0))</f>
      </c>
      <c r="R3315" s="44">
        <f>IF(AND($Q3315=1,数据录入!$B3315&gt;=$B$2,数据录入!$B3315&lt;=$D$2),N(R3314)+1,N(R3314))</f>
      </c>
    </row>
    <row r="3316" s="44" customFormat="1" spans="1:23">
      <c r="A3316" s="116"/>
      <c r="E3316" s="108"/>
      <c r="F3316" s="114"/>
      <c r="G3316" s="114"/>
      <c r="H3316" s="114"/>
      <c r="Q3316" s="44">
        <f>IF(数据录入!$B3316="",0,IF(OR(数据录入!$D3316="投标保证金",数据录入!$D3316="合同履约保证金",ISNUMBER(FIND("保证金",数据录入!$E3316))),1,0))</f>
      </c>
      <c r="R3316" s="44">
        <f>IF(AND($Q3316=1,数据录入!$B3316&gt;=$B$2,数据录入!$B3316&lt;=$D$2),N(R3315)+1,N(R3315))</f>
      </c>
    </row>
    <row r="3317" s="44" customFormat="1" spans="1:23">
      <c r="A3317" s="116"/>
      <c r="E3317" s="108"/>
      <c r="F3317" s="114"/>
      <c r="G3317" s="114"/>
      <c r="H3317" s="114"/>
      <c r="Q3317" s="44">
        <f>IF(数据录入!$B3317="",0,IF(OR(数据录入!$D3317="投标保证金",数据录入!$D3317="合同履约保证金",ISNUMBER(FIND("保证金",数据录入!$E3317))),1,0))</f>
      </c>
      <c r="R3317" s="44">
        <f>IF(AND($Q3317=1,数据录入!$B3317&gt;=$B$2,数据录入!$B3317&lt;=$D$2),N(R3316)+1,N(R3316))</f>
      </c>
    </row>
    <row r="3318" s="44" customFormat="1" spans="1:23">
      <c r="A3318" s="116"/>
      <c r="E3318" s="108"/>
      <c r="F3318" s="114"/>
      <c r="G3318" s="114"/>
      <c r="H3318" s="114"/>
      <c r="Q3318" s="44">
        <f>IF(数据录入!$B3318="",0,IF(OR(数据录入!$D3318="投标保证金",数据录入!$D3318="合同履约保证金",ISNUMBER(FIND("保证金",数据录入!$E3318))),1,0))</f>
      </c>
      <c r="R3318" s="44">
        <f>IF(AND($Q3318=1,数据录入!$B3318&gt;=$B$2,数据录入!$B3318&lt;=$D$2),N(R3317)+1,N(R3317))</f>
      </c>
    </row>
    <row r="3319" s="44" customFormat="1" spans="1:23">
      <c r="A3319" s="116"/>
      <c r="E3319" s="108"/>
      <c r="F3319" s="114"/>
      <c r="G3319" s="114"/>
      <c r="H3319" s="114"/>
      <c r="Q3319" s="44">
        <f>IF(数据录入!$B3319="",0,IF(OR(数据录入!$D3319="投标保证金",数据录入!$D3319="合同履约保证金",ISNUMBER(FIND("保证金",数据录入!$E3319))),1,0))</f>
      </c>
      <c r="R3319" s="44">
        <f>IF(AND($Q3319=1,数据录入!$B3319&gt;=$B$2,数据录入!$B3319&lt;=$D$2),N(R3318)+1,N(R3318))</f>
      </c>
    </row>
    <row r="3320" s="44" customFormat="1" spans="1:23">
      <c r="A3320" s="116"/>
      <c r="E3320" s="108"/>
      <c r="F3320" s="114"/>
      <c r="G3320" s="114"/>
      <c r="H3320" s="114"/>
      <c r="Q3320" s="44">
        <f>IF(数据录入!$B3320="",0,IF(OR(数据录入!$D3320="投标保证金",数据录入!$D3320="合同履约保证金",ISNUMBER(FIND("保证金",数据录入!$E3320))),1,0))</f>
      </c>
      <c r="R3320" s="44">
        <f>IF(AND($Q3320=1,数据录入!$B3320&gt;=$B$2,数据录入!$B3320&lt;=$D$2),N(R3319)+1,N(R3319))</f>
      </c>
    </row>
    <row r="3321" s="44" customFormat="1" spans="1:23">
      <c r="A3321" s="116"/>
      <c r="E3321" s="108"/>
      <c r="F3321" s="114"/>
      <c r="G3321" s="114"/>
      <c r="H3321" s="114"/>
      <c r="Q3321" s="44">
        <f>IF(数据录入!$B3321="",0,IF(OR(数据录入!$D3321="投标保证金",数据录入!$D3321="合同履约保证金",ISNUMBER(FIND("保证金",数据录入!$E3321))),1,0))</f>
      </c>
      <c r="R3321" s="44">
        <f>IF(AND($Q3321=1,数据录入!$B3321&gt;=$B$2,数据录入!$B3321&lt;=$D$2),N(R3320)+1,N(R3320))</f>
      </c>
    </row>
    <row r="3322" s="44" customFormat="1" spans="1:23">
      <c r="A3322" s="116"/>
      <c r="E3322" s="108"/>
      <c r="F3322" s="114"/>
      <c r="G3322" s="114"/>
      <c r="H3322" s="114"/>
      <c r="Q3322" s="44">
        <f>IF(数据录入!$B3322="",0,IF(OR(数据录入!$D3322="投标保证金",数据录入!$D3322="合同履约保证金",ISNUMBER(FIND("保证金",数据录入!$E3322))),1,0))</f>
      </c>
      <c r="R3322" s="44">
        <f>IF(AND($Q3322=1,数据录入!$B3322&gt;=$B$2,数据录入!$B3322&lt;=$D$2),N(R3321)+1,N(R3321))</f>
      </c>
    </row>
    <row r="3323" s="44" customFormat="1" spans="1:23">
      <c r="A3323" s="116"/>
      <c r="E3323" s="108"/>
      <c r="F3323" s="114"/>
      <c r="G3323" s="114"/>
      <c r="H3323" s="114"/>
      <c r="Q3323" s="44">
        <f>IF(数据录入!$B3323="",0,IF(OR(数据录入!$D3323="投标保证金",数据录入!$D3323="合同履约保证金",ISNUMBER(FIND("保证金",数据录入!$E3323))),1,0))</f>
      </c>
      <c r="R3323" s="44">
        <f>IF(AND($Q3323=1,数据录入!$B3323&gt;=$B$2,数据录入!$B3323&lt;=$D$2),N(R3322)+1,N(R3322))</f>
      </c>
    </row>
    <row r="3324" s="44" customFormat="1" spans="1:23">
      <c r="A3324" s="116"/>
      <c r="E3324" s="108"/>
      <c r="F3324" s="114"/>
      <c r="G3324" s="114"/>
      <c r="H3324" s="114"/>
      <c r="Q3324" s="44">
        <f>IF(数据录入!$B3324="",0,IF(OR(数据录入!$D3324="投标保证金",数据录入!$D3324="合同履约保证金",ISNUMBER(FIND("保证金",数据录入!$E3324))),1,0))</f>
      </c>
      <c r="R3324" s="44">
        <f>IF(AND($Q3324=1,数据录入!$B3324&gt;=$B$2,数据录入!$B3324&lt;=$D$2),N(R3323)+1,N(R3323))</f>
      </c>
    </row>
    <row r="3325" s="44" customFormat="1" spans="1:23">
      <c r="A3325" s="116"/>
      <c r="E3325" s="108"/>
      <c r="F3325" s="114"/>
      <c r="G3325" s="114"/>
      <c r="H3325" s="114"/>
      <c r="Q3325" s="44">
        <f>IF(数据录入!$B3325="",0,IF(OR(数据录入!$D3325="投标保证金",数据录入!$D3325="合同履约保证金",ISNUMBER(FIND("保证金",数据录入!$E3325))),1,0))</f>
      </c>
      <c r="R3325" s="44">
        <f>IF(AND($Q3325=1,数据录入!$B3325&gt;=$B$2,数据录入!$B3325&lt;=$D$2),N(R3324)+1,N(R3324))</f>
      </c>
    </row>
    <row r="3326" s="44" customFormat="1" spans="1:23">
      <c r="A3326" s="116"/>
      <c r="E3326" s="108"/>
      <c r="F3326" s="114"/>
      <c r="G3326" s="114"/>
      <c r="H3326" s="114"/>
      <c r="Q3326" s="44">
        <f>IF(数据录入!$B3326="",0,IF(OR(数据录入!$D3326="投标保证金",数据录入!$D3326="合同履约保证金",ISNUMBER(FIND("保证金",数据录入!$E3326))),1,0))</f>
      </c>
      <c r="R3326" s="44">
        <f>IF(AND($Q3326=1,数据录入!$B3326&gt;=$B$2,数据录入!$B3326&lt;=$D$2),N(R3325)+1,N(R3325))</f>
      </c>
    </row>
    <row r="3327" s="44" customFormat="1" spans="1:23">
      <c r="A3327" s="116"/>
      <c r="E3327" s="108"/>
      <c r="F3327" s="114"/>
      <c r="G3327" s="114"/>
      <c r="H3327" s="114"/>
      <c r="Q3327" s="44">
        <f>IF(数据录入!$B3327="",0,IF(OR(数据录入!$D3327="投标保证金",数据录入!$D3327="合同履约保证金",ISNUMBER(FIND("保证金",数据录入!$E3327))),1,0))</f>
      </c>
      <c r="R3327" s="44">
        <f>IF(AND($Q3327=1,数据录入!$B3327&gt;=$B$2,数据录入!$B3327&lt;=$D$2),N(R3326)+1,N(R3326))</f>
      </c>
    </row>
    <row r="3328" s="44" customFormat="1" spans="1:23">
      <c r="A3328" s="116"/>
      <c r="E3328" s="108"/>
      <c r="F3328" s="114"/>
      <c r="G3328" s="114"/>
      <c r="H3328" s="114"/>
      <c r="Q3328" s="44">
        <f>IF(数据录入!$B3328="",0,IF(OR(数据录入!$D3328="投标保证金",数据录入!$D3328="合同履约保证金",ISNUMBER(FIND("保证金",数据录入!$E3328))),1,0))</f>
      </c>
      <c r="R3328" s="44">
        <f>IF(AND($Q3328=1,数据录入!$B3328&gt;=$B$2,数据录入!$B3328&lt;=$D$2),N(R3327)+1,N(R3327))</f>
      </c>
    </row>
    <row r="3329" s="44" customFormat="1" spans="1:23">
      <c r="A3329" s="116"/>
      <c r="E3329" s="108"/>
      <c r="F3329" s="114"/>
      <c r="G3329" s="114"/>
      <c r="H3329" s="114"/>
      <c r="Q3329" s="44">
        <f>IF(数据录入!$B3329="",0,IF(OR(数据录入!$D3329="投标保证金",数据录入!$D3329="合同履约保证金",ISNUMBER(FIND("保证金",数据录入!$E3329))),1,0))</f>
      </c>
      <c r="R3329" s="44">
        <f>IF(AND($Q3329=1,数据录入!$B3329&gt;=$B$2,数据录入!$B3329&lt;=$D$2),N(R3328)+1,N(R3328))</f>
      </c>
    </row>
    <row r="3330" s="44" customFormat="1" spans="1:23">
      <c r="A3330" s="116"/>
      <c r="E3330" s="108"/>
      <c r="F3330" s="114"/>
      <c r="G3330" s="114"/>
      <c r="H3330" s="114"/>
      <c r="Q3330" s="44">
        <f>IF(数据录入!$B3330="",0,IF(OR(数据录入!$D3330="投标保证金",数据录入!$D3330="合同履约保证金",ISNUMBER(FIND("保证金",数据录入!$E3330))),1,0))</f>
      </c>
      <c r="R3330" s="44">
        <f>IF(AND($Q3330=1,数据录入!$B3330&gt;=$B$2,数据录入!$B3330&lt;=$D$2),N(R3329)+1,N(R3329))</f>
      </c>
    </row>
    <row r="3331" s="44" customFormat="1" spans="1:23">
      <c r="A3331" s="116"/>
      <c r="E3331" s="108"/>
      <c r="F3331" s="114"/>
      <c r="G3331" s="114"/>
      <c r="H3331" s="114"/>
      <c r="Q3331" s="44">
        <f>IF(数据录入!$B3331="",0,IF(OR(数据录入!$D3331="投标保证金",数据录入!$D3331="合同履约保证金",ISNUMBER(FIND("保证金",数据录入!$E3331))),1,0))</f>
      </c>
      <c r="R3331" s="44">
        <f>IF(AND($Q3331=1,数据录入!$B3331&gt;=$B$2,数据录入!$B3331&lt;=$D$2),N(R3330)+1,N(R3330))</f>
      </c>
    </row>
    <row r="3332" s="44" customFormat="1" spans="1:23">
      <c r="A3332" s="116"/>
      <c r="E3332" s="108"/>
      <c r="F3332" s="114"/>
      <c r="G3332" s="114"/>
      <c r="H3332" s="114"/>
      <c r="Q3332" s="44">
        <f>IF(数据录入!$B3332="",0,IF(OR(数据录入!$D3332="投标保证金",数据录入!$D3332="合同履约保证金",ISNUMBER(FIND("保证金",数据录入!$E3332))),1,0))</f>
      </c>
      <c r="R3332" s="44">
        <f>IF(AND($Q3332=1,数据录入!$B3332&gt;=$B$2,数据录入!$B3332&lt;=$D$2),N(R3331)+1,N(R3331))</f>
      </c>
    </row>
    <row r="3333" s="44" customFormat="1" spans="1:23">
      <c r="A3333" s="116"/>
      <c r="E3333" s="108"/>
      <c r="F3333" s="114"/>
      <c r="G3333" s="114"/>
      <c r="H3333" s="114"/>
      <c r="Q3333" s="44">
        <f>IF(数据录入!$B3333="",0,IF(OR(数据录入!$D3333="投标保证金",数据录入!$D3333="合同履约保证金",ISNUMBER(FIND("保证金",数据录入!$E3333))),1,0))</f>
      </c>
      <c r="R3333" s="44">
        <f>IF(AND($Q3333=1,数据录入!$B3333&gt;=$B$2,数据录入!$B3333&lt;=$D$2),N(R3332)+1,N(R3332))</f>
      </c>
    </row>
    <row r="3334" s="44" customFormat="1" spans="1:23">
      <c r="A3334" s="116"/>
      <c r="E3334" s="108"/>
      <c r="F3334" s="114"/>
      <c r="G3334" s="114"/>
      <c r="H3334" s="114"/>
      <c r="Q3334" s="44">
        <f>IF(数据录入!$B3334="",0,IF(OR(数据录入!$D3334="投标保证金",数据录入!$D3334="合同履约保证金",ISNUMBER(FIND("保证金",数据录入!$E3334))),1,0))</f>
      </c>
      <c r="R3334" s="44">
        <f>IF(AND($Q3334=1,数据录入!$B3334&gt;=$B$2,数据录入!$B3334&lt;=$D$2),N(R3333)+1,N(R3333))</f>
      </c>
    </row>
    <row r="3335" s="44" customFormat="1" spans="1:23">
      <c r="A3335" s="116"/>
      <c r="E3335" s="108"/>
      <c r="F3335" s="114"/>
      <c r="G3335" s="114"/>
      <c r="H3335" s="114"/>
      <c r="Q3335" s="44">
        <f>IF(数据录入!$B3335="",0,IF(OR(数据录入!$D3335="投标保证金",数据录入!$D3335="合同履约保证金",ISNUMBER(FIND("保证金",数据录入!$E3335))),1,0))</f>
      </c>
      <c r="R3335" s="44">
        <f>IF(AND($Q3335=1,数据录入!$B3335&gt;=$B$2,数据录入!$B3335&lt;=$D$2),N(R3334)+1,N(R3334))</f>
      </c>
    </row>
    <row r="3336" s="44" customFormat="1" spans="1:23">
      <c r="A3336" s="116"/>
      <c r="E3336" s="108"/>
      <c r="F3336" s="114"/>
      <c r="G3336" s="114"/>
      <c r="H3336" s="114"/>
      <c r="Q3336" s="44">
        <f>IF(数据录入!$B3336="",0,IF(OR(数据录入!$D3336="投标保证金",数据录入!$D3336="合同履约保证金",ISNUMBER(FIND("保证金",数据录入!$E3336))),1,0))</f>
      </c>
      <c r="R3336" s="44">
        <f>IF(AND($Q3336=1,数据录入!$B3336&gt;=$B$2,数据录入!$B3336&lt;=$D$2),N(R3335)+1,N(R3335))</f>
      </c>
    </row>
    <row r="3337" s="44" customFormat="1" spans="1:23">
      <c r="A3337" s="116"/>
      <c r="E3337" s="108"/>
      <c r="F3337" s="114"/>
      <c r="G3337" s="114"/>
      <c r="H3337" s="114"/>
      <c r="Q3337" s="44">
        <f>IF(数据录入!$B3337="",0,IF(OR(数据录入!$D3337="投标保证金",数据录入!$D3337="合同履约保证金",ISNUMBER(FIND("保证金",数据录入!$E3337))),1,0))</f>
      </c>
      <c r="R3337" s="44">
        <f>IF(AND($Q3337=1,数据录入!$B3337&gt;=$B$2,数据录入!$B3337&lt;=$D$2),N(R3336)+1,N(R3336))</f>
      </c>
    </row>
    <row r="3338" s="44" customFormat="1" spans="1:23">
      <c r="A3338" s="116"/>
      <c r="E3338" s="108"/>
      <c r="F3338" s="114"/>
      <c r="G3338" s="114"/>
      <c r="H3338" s="114"/>
      <c r="Q3338" s="44">
        <f>IF(数据录入!$B3338="",0,IF(OR(数据录入!$D3338="投标保证金",数据录入!$D3338="合同履约保证金",ISNUMBER(FIND("保证金",数据录入!$E3338))),1,0))</f>
      </c>
      <c r="R3338" s="44">
        <f>IF(AND($Q3338=1,数据录入!$B3338&gt;=$B$2,数据录入!$B3338&lt;=$D$2),N(R3337)+1,N(R3337))</f>
      </c>
    </row>
    <row r="3339" s="44" customFormat="1" spans="1:23">
      <c r="A3339" s="116"/>
      <c r="E3339" s="108"/>
      <c r="F3339" s="114"/>
      <c r="G3339" s="114"/>
      <c r="H3339" s="114"/>
      <c r="Q3339" s="44">
        <f>IF(数据录入!$B3339="",0,IF(OR(数据录入!$D3339="投标保证金",数据录入!$D3339="合同履约保证金",ISNUMBER(FIND("保证金",数据录入!$E3339))),1,0))</f>
      </c>
      <c r="R3339" s="44">
        <f>IF(AND($Q3339=1,数据录入!$B3339&gt;=$B$2,数据录入!$B3339&lt;=$D$2),N(R3338)+1,N(R3338))</f>
      </c>
    </row>
    <row r="3340" s="44" customFormat="1" spans="1:23">
      <c r="A3340" s="116"/>
      <c r="E3340" s="108"/>
      <c r="F3340" s="114"/>
      <c r="G3340" s="114"/>
      <c r="H3340" s="114"/>
      <c r="Q3340" s="44">
        <f>IF(数据录入!$B3340="",0,IF(OR(数据录入!$D3340="投标保证金",数据录入!$D3340="合同履约保证金",ISNUMBER(FIND("保证金",数据录入!$E3340))),1,0))</f>
      </c>
      <c r="R3340" s="44">
        <f>IF(AND($Q3340=1,数据录入!$B3340&gt;=$B$2,数据录入!$B3340&lt;=$D$2),N(R3339)+1,N(R3339))</f>
      </c>
    </row>
    <row r="3341" s="44" customFormat="1" spans="1:23">
      <c r="A3341" s="116"/>
      <c r="E3341" s="108"/>
      <c r="F3341" s="114"/>
      <c r="G3341" s="114"/>
      <c r="H3341" s="114"/>
      <c r="Q3341" s="44">
        <f>IF(数据录入!$B3341="",0,IF(OR(数据录入!$D3341="投标保证金",数据录入!$D3341="合同履约保证金",ISNUMBER(FIND("保证金",数据录入!$E3341))),1,0))</f>
      </c>
      <c r="R3341" s="44">
        <f>IF(AND($Q3341=1,数据录入!$B3341&gt;=$B$2,数据录入!$B3341&lt;=$D$2),N(R3340)+1,N(R3340))</f>
      </c>
    </row>
    <row r="3342" s="44" customFormat="1" spans="1:23">
      <c r="A3342" s="116"/>
      <c r="E3342" s="108"/>
      <c r="F3342" s="114"/>
      <c r="G3342" s="114"/>
      <c r="H3342" s="114"/>
      <c r="Q3342" s="44">
        <f>IF(数据录入!$B3342="",0,IF(OR(数据录入!$D3342="投标保证金",数据录入!$D3342="合同履约保证金",ISNUMBER(FIND("保证金",数据录入!$E3342))),1,0))</f>
      </c>
      <c r="R3342" s="44">
        <f>IF(AND($Q3342=1,数据录入!$B3342&gt;=$B$2,数据录入!$B3342&lt;=$D$2),N(R3341)+1,N(R3341))</f>
      </c>
    </row>
    <row r="3343" s="44" customFormat="1" spans="1:23">
      <c r="A3343" s="116"/>
      <c r="E3343" s="108"/>
      <c r="F3343" s="114"/>
      <c r="G3343" s="114"/>
      <c r="H3343" s="114"/>
      <c r="Q3343" s="44">
        <f>IF(数据录入!$B3343="",0,IF(OR(数据录入!$D3343="投标保证金",数据录入!$D3343="合同履约保证金",ISNUMBER(FIND("保证金",数据录入!$E3343))),1,0))</f>
      </c>
      <c r="R3343" s="44">
        <f>IF(AND($Q3343=1,数据录入!$B3343&gt;=$B$2,数据录入!$B3343&lt;=$D$2),N(R3342)+1,N(R3342))</f>
      </c>
    </row>
    <row r="3344" s="44" customFormat="1" spans="1:23">
      <c r="A3344" s="116"/>
      <c r="E3344" s="108"/>
      <c r="F3344" s="114"/>
      <c r="G3344" s="114"/>
      <c r="H3344" s="114"/>
      <c r="Q3344" s="44">
        <f>IF(数据录入!$B3344="",0,IF(OR(数据录入!$D3344="投标保证金",数据录入!$D3344="合同履约保证金",ISNUMBER(FIND("保证金",数据录入!$E3344))),1,0))</f>
      </c>
      <c r="R3344" s="44">
        <f>IF(AND($Q3344=1,数据录入!$B3344&gt;=$B$2,数据录入!$B3344&lt;=$D$2),N(R3343)+1,N(R3343))</f>
      </c>
    </row>
    <row r="3345" s="44" customFormat="1" spans="1:23">
      <c r="A3345" s="116"/>
      <c r="E3345" s="108"/>
      <c r="F3345" s="114"/>
      <c r="G3345" s="114"/>
      <c r="H3345" s="114"/>
      <c r="Q3345" s="44">
        <f>IF(数据录入!$B3345="",0,IF(OR(数据录入!$D3345="投标保证金",数据录入!$D3345="合同履约保证金",ISNUMBER(FIND("保证金",数据录入!$E3345))),1,0))</f>
      </c>
      <c r="R3345" s="44">
        <f>IF(AND($Q3345=1,数据录入!$B3345&gt;=$B$2,数据录入!$B3345&lt;=$D$2),N(R3344)+1,N(R3344))</f>
      </c>
    </row>
    <row r="3346" s="44" customFormat="1" spans="1:23">
      <c r="A3346" s="116"/>
      <c r="E3346" s="108"/>
      <c r="F3346" s="114"/>
      <c r="G3346" s="114"/>
      <c r="H3346" s="114"/>
      <c r="Q3346" s="44">
        <f>IF(数据录入!$B3346="",0,IF(OR(数据录入!$D3346="投标保证金",数据录入!$D3346="合同履约保证金",ISNUMBER(FIND("保证金",数据录入!$E3346))),1,0))</f>
      </c>
      <c r="R3346" s="44">
        <f>IF(AND($Q3346=1,数据录入!$B3346&gt;=$B$2,数据录入!$B3346&lt;=$D$2),N(R3345)+1,N(R3345))</f>
      </c>
    </row>
    <row r="3347" s="44" customFormat="1" spans="1:23">
      <c r="A3347" s="116"/>
      <c r="E3347" s="108"/>
      <c r="F3347" s="114"/>
      <c r="G3347" s="114"/>
      <c r="H3347" s="114"/>
      <c r="Q3347" s="44">
        <f>IF(数据录入!$B3347="",0,IF(OR(数据录入!$D3347="投标保证金",数据录入!$D3347="合同履约保证金",ISNUMBER(FIND("保证金",数据录入!$E3347))),1,0))</f>
      </c>
      <c r="R3347" s="44">
        <f>IF(AND($Q3347=1,数据录入!$B3347&gt;=$B$2,数据录入!$B3347&lt;=$D$2),N(R3346)+1,N(R3346))</f>
      </c>
    </row>
    <row r="3348" s="44" customFormat="1" spans="1:23">
      <c r="A3348" s="116"/>
      <c r="E3348" s="108"/>
      <c r="F3348" s="114"/>
      <c r="G3348" s="114"/>
      <c r="H3348" s="114"/>
      <c r="Q3348" s="44">
        <f>IF(数据录入!$B3348="",0,IF(OR(数据录入!$D3348="投标保证金",数据录入!$D3348="合同履约保证金",ISNUMBER(FIND("保证金",数据录入!$E3348))),1,0))</f>
      </c>
      <c r="R3348" s="44">
        <f>IF(AND($Q3348=1,数据录入!$B3348&gt;=$B$2,数据录入!$B3348&lt;=$D$2),N(R3347)+1,N(R3347))</f>
      </c>
    </row>
    <row r="3349" s="44" customFormat="1" spans="1:23">
      <c r="A3349" s="116"/>
      <c r="E3349" s="108"/>
      <c r="F3349" s="114"/>
      <c r="G3349" s="114"/>
      <c r="H3349" s="114"/>
      <c r="Q3349" s="44">
        <f>IF(数据录入!$B3349="",0,IF(OR(数据录入!$D3349="投标保证金",数据录入!$D3349="合同履约保证金",ISNUMBER(FIND("保证金",数据录入!$E3349))),1,0))</f>
      </c>
      <c r="R3349" s="44">
        <f>IF(AND($Q3349=1,数据录入!$B3349&gt;=$B$2,数据录入!$B3349&lt;=$D$2),N(R3348)+1,N(R3348))</f>
      </c>
    </row>
    <row r="3350" s="44" customFormat="1" spans="1:23">
      <c r="A3350" s="116"/>
      <c r="E3350" s="108"/>
      <c r="F3350" s="114"/>
      <c r="G3350" s="114"/>
      <c r="H3350" s="114"/>
      <c r="Q3350" s="44">
        <f>IF(数据录入!$B3350="",0,IF(OR(数据录入!$D3350="投标保证金",数据录入!$D3350="合同履约保证金",ISNUMBER(FIND("保证金",数据录入!$E3350))),1,0))</f>
      </c>
      <c r="R3350" s="44">
        <f>IF(AND($Q3350=1,数据录入!$B3350&gt;=$B$2,数据录入!$B3350&lt;=$D$2),N(R3349)+1,N(R3349))</f>
      </c>
    </row>
    <row r="3351" s="44" customFormat="1" spans="1:23">
      <c r="A3351" s="116"/>
      <c r="E3351" s="108"/>
      <c r="F3351" s="114"/>
      <c r="G3351" s="114"/>
      <c r="H3351" s="114"/>
      <c r="Q3351" s="44">
        <f>IF(数据录入!$B3351="",0,IF(OR(数据录入!$D3351="投标保证金",数据录入!$D3351="合同履约保证金",ISNUMBER(FIND("保证金",数据录入!$E3351))),1,0))</f>
      </c>
      <c r="R3351" s="44">
        <f>IF(AND($Q3351=1,数据录入!$B3351&gt;=$B$2,数据录入!$B3351&lt;=$D$2),N(R3350)+1,N(R3350))</f>
      </c>
    </row>
    <row r="3352" s="44" customFormat="1" spans="1:23">
      <c r="A3352" s="116"/>
      <c r="E3352" s="108"/>
      <c r="F3352" s="114"/>
      <c r="G3352" s="114"/>
      <c r="H3352" s="114"/>
      <c r="Q3352" s="44">
        <f>IF(数据录入!$B3352="",0,IF(OR(数据录入!$D3352="投标保证金",数据录入!$D3352="合同履约保证金",ISNUMBER(FIND("保证金",数据录入!$E3352))),1,0))</f>
      </c>
      <c r="R3352" s="44">
        <f>IF(AND($Q3352=1,数据录入!$B3352&gt;=$B$2,数据录入!$B3352&lt;=$D$2),N(R3351)+1,N(R3351))</f>
      </c>
    </row>
    <row r="3353" s="44" customFormat="1" spans="1:23">
      <c r="A3353" s="116"/>
      <c r="E3353" s="108"/>
      <c r="F3353" s="114"/>
      <c r="G3353" s="114"/>
      <c r="H3353" s="114"/>
      <c r="Q3353" s="44">
        <f>IF(数据录入!$B3353="",0,IF(OR(数据录入!$D3353="投标保证金",数据录入!$D3353="合同履约保证金",ISNUMBER(FIND("保证金",数据录入!$E3353))),1,0))</f>
      </c>
      <c r="R3353" s="44">
        <f>IF(AND($Q3353=1,数据录入!$B3353&gt;=$B$2,数据录入!$B3353&lt;=$D$2),N(R3352)+1,N(R3352))</f>
      </c>
    </row>
    <row r="3354" s="44" customFormat="1" spans="1:23">
      <c r="A3354" s="116"/>
      <c r="E3354" s="108"/>
      <c r="F3354" s="114"/>
      <c r="G3354" s="114"/>
      <c r="H3354" s="114"/>
      <c r="Q3354" s="44">
        <f>IF(数据录入!$B3354="",0,IF(OR(数据录入!$D3354="投标保证金",数据录入!$D3354="合同履约保证金",ISNUMBER(FIND("保证金",数据录入!$E3354))),1,0))</f>
      </c>
      <c r="R3354" s="44">
        <f>IF(AND($Q3354=1,数据录入!$B3354&gt;=$B$2,数据录入!$B3354&lt;=$D$2),N(R3353)+1,N(R3353))</f>
      </c>
    </row>
    <row r="3355" s="44" customFormat="1" spans="1:23">
      <c r="A3355" s="116"/>
      <c r="E3355" s="108"/>
      <c r="F3355" s="114"/>
      <c r="G3355" s="114"/>
      <c r="H3355" s="114"/>
      <c r="Q3355" s="44">
        <f>IF(数据录入!$B3355="",0,IF(OR(数据录入!$D3355="投标保证金",数据录入!$D3355="合同履约保证金",ISNUMBER(FIND("保证金",数据录入!$E3355))),1,0))</f>
      </c>
      <c r="R3355" s="44">
        <f>IF(AND($Q3355=1,数据录入!$B3355&gt;=$B$2,数据录入!$B3355&lt;=$D$2),N(R3354)+1,N(R3354))</f>
      </c>
    </row>
    <row r="3356" s="44" customFormat="1" spans="1:23">
      <c r="A3356" s="116"/>
      <c r="E3356" s="108"/>
      <c r="F3356" s="114"/>
      <c r="G3356" s="114"/>
      <c r="H3356" s="114"/>
      <c r="Q3356" s="44">
        <f>IF(数据录入!$B3356="",0,IF(OR(数据录入!$D3356="投标保证金",数据录入!$D3356="合同履约保证金",ISNUMBER(FIND("保证金",数据录入!$E3356))),1,0))</f>
      </c>
      <c r="R3356" s="44">
        <f>IF(AND($Q3356=1,数据录入!$B3356&gt;=$B$2,数据录入!$B3356&lt;=$D$2),N(R3355)+1,N(R3355))</f>
      </c>
    </row>
    <row r="3357" s="44" customFormat="1" spans="1:23">
      <c r="A3357" s="116"/>
      <c r="E3357" s="108"/>
      <c r="F3357" s="114"/>
      <c r="G3357" s="114"/>
      <c r="H3357" s="114"/>
      <c r="Q3357" s="44">
        <f>IF(数据录入!$B3357="",0,IF(OR(数据录入!$D3357="投标保证金",数据录入!$D3357="合同履约保证金",ISNUMBER(FIND("保证金",数据录入!$E3357))),1,0))</f>
      </c>
      <c r="R3357" s="44">
        <f>IF(AND($Q3357=1,数据录入!$B3357&gt;=$B$2,数据录入!$B3357&lt;=$D$2),N(R3356)+1,N(R3356))</f>
      </c>
    </row>
    <row r="3358" s="44" customFormat="1" spans="1:23">
      <c r="A3358" s="116"/>
      <c r="E3358" s="108"/>
      <c r="F3358" s="114"/>
      <c r="G3358" s="114"/>
      <c r="H3358" s="114"/>
      <c r="Q3358" s="44">
        <f>IF(数据录入!$B3358="",0,IF(OR(数据录入!$D3358="投标保证金",数据录入!$D3358="合同履约保证金",ISNUMBER(FIND("保证金",数据录入!$E3358))),1,0))</f>
      </c>
      <c r="R3358" s="44">
        <f>IF(AND($Q3358=1,数据录入!$B3358&gt;=$B$2,数据录入!$B3358&lt;=$D$2),N(R3357)+1,N(R3357))</f>
      </c>
    </row>
    <row r="3359" s="44" customFormat="1" spans="1:23">
      <c r="A3359" s="116"/>
      <c r="E3359" s="108"/>
      <c r="F3359" s="114"/>
      <c r="G3359" s="114"/>
      <c r="H3359" s="114"/>
      <c r="Q3359" s="44">
        <f>IF(数据录入!$B3359="",0,IF(OR(数据录入!$D3359="投标保证金",数据录入!$D3359="合同履约保证金",ISNUMBER(FIND("保证金",数据录入!$E3359))),1,0))</f>
      </c>
      <c r="R3359" s="44">
        <f>IF(AND($Q3359=1,数据录入!$B3359&gt;=$B$2,数据录入!$B3359&lt;=$D$2),N(R3358)+1,N(R3358))</f>
      </c>
    </row>
    <row r="3360" s="44" customFormat="1" spans="1:23">
      <c r="A3360" s="116"/>
      <c r="E3360" s="108"/>
      <c r="F3360" s="114"/>
      <c r="G3360" s="114"/>
      <c r="H3360" s="114"/>
      <c r="Q3360" s="44">
        <f>IF(数据录入!$B3360="",0,IF(OR(数据录入!$D3360="投标保证金",数据录入!$D3360="合同履约保证金",ISNUMBER(FIND("保证金",数据录入!$E3360))),1,0))</f>
      </c>
      <c r="R3360" s="44">
        <f>IF(AND($Q3360=1,数据录入!$B3360&gt;=$B$2,数据录入!$B3360&lt;=$D$2),N(R3359)+1,N(R3359))</f>
      </c>
    </row>
    <row r="3361" s="44" customFormat="1" spans="1:23">
      <c r="A3361" s="116"/>
      <c r="E3361" s="108"/>
      <c r="F3361" s="114"/>
      <c r="G3361" s="114"/>
      <c r="H3361" s="114"/>
      <c r="Q3361" s="44">
        <f>IF(数据录入!$B3361="",0,IF(OR(数据录入!$D3361="投标保证金",数据录入!$D3361="合同履约保证金",ISNUMBER(FIND("保证金",数据录入!$E3361))),1,0))</f>
      </c>
      <c r="R3361" s="44">
        <f>IF(AND($Q3361=1,数据录入!$B3361&gt;=$B$2,数据录入!$B3361&lt;=$D$2),N(R3360)+1,N(R3360))</f>
      </c>
    </row>
    <row r="3362" s="44" customFormat="1" spans="1:23">
      <c r="A3362" s="116"/>
      <c r="E3362" s="108"/>
      <c r="F3362" s="114"/>
      <c r="G3362" s="114"/>
      <c r="H3362" s="114"/>
      <c r="Q3362" s="44">
        <f>IF(数据录入!$B3362="",0,IF(OR(数据录入!$D3362="投标保证金",数据录入!$D3362="合同履约保证金",ISNUMBER(FIND("保证金",数据录入!$E3362))),1,0))</f>
      </c>
      <c r="R3362" s="44">
        <f>IF(AND($Q3362=1,数据录入!$B3362&gt;=$B$2,数据录入!$B3362&lt;=$D$2),N(R3361)+1,N(R3361))</f>
      </c>
    </row>
    <row r="3363" s="44" customFormat="1" spans="1:23">
      <c r="A3363" s="116"/>
      <c r="E3363" s="108"/>
      <c r="F3363" s="114"/>
      <c r="G3363" s="114"/>
      <c r="H3363" s="114"/>
      <c r="Q3363" s="44">
        <f>IF(数据录入!$B3363="",0,IF(OR(数据录入!$D3363="投标保证金",数据录入!$D3363="合同履约保证金",ISNUMBER(FIND("保证金",数据录入!$E3363))),1,0))</f>
      </c>
      <c r="R3363" s="44">
        <f>IF(AND($Q3363=1,数据录入!$B3363&gt;=$B$2,数据录入!$B3363&lt;=$D$2),N(R3362)+1,N(R3362))</f>
      </c>
    </row>
    <row r="3364" s="44" customFormat="1" spans="1:23">
      <c r="A3364" s="116"/>
      <c r="E3364" s="108"/>
      <c r="F3364" s="114"/>
      <c r="G3364" s="114"/>
      <c r="H3364" s="114"/>
      <c r="Q3364" s="44">
        <f>IF(数据录入!$B3364="",0,IF(OR(数据录入!$D3364="投标保证金",数据录入!$D3364="合同履约保证金",ISNUMBER(FIND("保证金",数据录入!$E3364))),1,0))</f>
      </c>
      <c r="R3364" s="44">
        <f>IF(AND($Q3364=1,数据录入!$B3364&gt;=$B$2,数据录入!$B3364&lt;=$D$2),N(R3363)+1,N(R3363))</f>
      </c>
    </row>
    <row r="3365" s="44" customFormat="1" spans="1:23">
      <c r="A3365" s="116"/>
      <c r="E3365" s="108"/>
      <c r="F3365" s="114"/>
      <c r="G3365" s="114"/>
      <c r="H3365" s="114"/>
      <c r="Q3365" s="44">
        <f>IF(数据录入!$B3365="",0,IF(OR(数据录入!$D3365="投标保证金",数据录入!$D3365="合同履约保证金",ISNUMBER(FIND("保证金",数据录入!$E3365))),1,0))</f>
      </c>
      <c r="R3365" s="44">
        <f>IF(AND($Q3365=1,数据录入!$B3365&gt;=$B$2,数据录入!$B3365&lt;=$D$2),N(R3364)+1,N(R3364))</f>
      </c>
    </row>
    <row r="3366" s="44" customFormat="1" spans="1:23">
      <c r="A3366" s="116"/>
      <c r="E3366" s="108"/>
      <c r="F3366" s="114"/>
      <c r="G3366" s="114"/>
      <c r="H3366" s="114"/>
      <c r="Q3366" s="44">
        <f>IF(数据录入!$B3366="",0,IF(OR(数据录入!$D3366="投标保证金",数据录入!$D3366="合同履约保证金",ISNUMBER(FIND("保证金",数据录入!$E3366))),1,0))</f>
      </c>
      <c r="R3366" s="44">
        <f>IF(AND($Q3366=1,数据录入!$B3366&gt;=$B$2,数据录入!$B3366&lt;=$D$2),N(R3365)+1,N(R3365))</f>
      </c>
    </row>
    <row r="3367" s="44" customFormat="1" spans="1:23">
      <c r="A3367" s="116"/>
      <c r="E3367" s="108"/>
      <c r="F3367" s="114"/>
      <c r="G3367" s="114"/>
      <c r="H3367" s="114"/>
      <c r="Q3367" s="44">
        <f>IF(数据录入!$B3367="",0,IF(OR(数据录入!$D3367="投标保证金",数据录入!$D3367="合同履约保证金",ISNUMBER(FIND("保证金",数据录入!$E3367))),1,0))</f>
      </c>
      <c r="R3367" s="44">
        <f>IF(AND($Q3367=1,数据录入!$B3367&gt;=$B$2,数据录入!$B3367&lt;=$D$2),N(R3366)+1,N(R3366))</f>
      </c>
    </row>
    <row r="3368" s="44" customFormat="1" spans="1:23">
      <c r="A3368" s="116"/>
      <c r="E3368" s="108"/>
      <c r="F3368" s="114"/>
      <c r="G3368" s="114"/>
      <c r="H3368" s="114"/>
      <c r="Q3368" s="44">
        <f>IF(数据录入!$B3368="",0,IF(OR(数据录入!$D3368="投标保证金",数据录入!$D3368="合同履约保证金",ISNUMBER(FIND("保证金",数据录入!$E3368))),1,0))</f>
      </c>
      <c r="R3368" s="44">
        <f>IF(AND($Q3368=1,数据录入!$B3368&gt;=$B$2,数据录入!$B3368&lt;=$D$2),N(R3367)+1,N(R3367))</f>
      </c>
    </row>
    <row r="3369" s="44" customFormat="1" spans="1:23">
      <c r="A3369" s="116"/>
      <c r="E3369" s="108"/>
      <c r="F3369" s="114"/>
      <c r="G3369" s="114"/>
      <c r="H3369" s="114"/>
      <c r="Q3369" s="44">
        <f>IF(数据录入!$B3369="",0,IF(OR(数据录入!$D3369="投标保证金",数据录入!$D3369="合同履约保证金",ISNUMBER(FIND("保证金",数据录入!$E3369))),1,0))</f>
      </c>
      <c r="R3369" s="44">
        <f>IF(AND($Q3369=1,数据录入!$B3369&gt;=$B$2,数据录入!$B3369&lt;=$D$2),N(R3368)+1,N(R3368))</f>
      </c>
    </row>
    <row r="3370" s="44" customFormat="1" spans="1:23">
      <c r="A3370" s="116"/>
      <c r="E3370" s="108"/>
      <c r="F3370" s="114"/>
      <c r="G3370" s="114"/>
      <c r="H3370" s="114"/>
      <c r="Q3370" s="44">
        <f>IF(数据录入!$B3370="",0,IF(OR(数据录入!$D3370="投标保证金",数据录入!$D3370="合同履约保证金",ISNUMBER(FIND("保证金",数据录入!$E3370))),1,0))</f>
      </c>
      <c r="R3370" s="44">
        <f>IF(AND($Q3370=1,数据录入!$B3370&gt;=$B$2,数据录入!$B3370&lt;=$D$2),N(R3369)+1,N(R3369))</f>
      </c>
    </row>
    <row r="3371" s="44" customFormat="1" spans="1:23">
      <c r="A3371" s="116"/>
      <c r="E3371" s="108"/>
      <c r="F3371" s="114"/>
      <c r="G3371" s="114"/>
      <c r="H3371" s="114"/>
      <c r="Q3371" s="44">
        <f>IF(数据录入!$B3371="",0,IF(OR(数据录入!$D3371="投标保证金",数据录入!$D3371="合同履约保证金",ISNUMBER(FIND("保证金",数据录入!$E3371))),1,0))</f>
      </c>
      <c r="R3371" s="44">
        <f>IF(AND($Q3371=1,数据录入!$B3371&gt;=$B$2,数据录入!$B3371&lt;=$D$2),N(R3370)+1,N(R3370))</f>
      </c>
    </row>
    <row r="3372" s="44" customFormat="1" spans="1:23">
      <c r="A3372" s="116"/>
      <c r="E3372" s="108"/>
      <c r="F3372" s="114"/>
      <c r="G3372" s="114"/>
      <c r="H3372" s="114"/>
      <c r="Q3372" s="44">
        <f>IF(数据录入!$B3372="",0,IF(OR(数据录入!$D3372="投标保证金",数据录入!$D3372="合同履约保证金",ISNUMBER(FIND("保证金",数据录入!$E3372))),1,0))</f>
      </c>
      <c r="R3372" s="44">
        <f>IF(AND($Q3372=1,数据录入!$B3372&gt;=$B$2,数据录入!$B3372&lt;=$D$2),N(R3371)+1,N(R3371))</f>
      </c>
    </row>
    <row r="3373" s="44" customFormat="1" spans="1:23">
      <c r="A3373" s="116"/>
      <c r="E3373" s="108"/>
      <c r="F3373" s="114"/>
      <c r="G3373" s="114"/>
      <c r="H3373" s="114"/>
      <c r="Q3373" s="44">
        <f>IF(数据录入!$B3373="",0,IF(OR(数据录入!$D3373="投标保证金",数据录入!$D3373="合同履约保证金",ISNUMBER(FIND("保证金",数据录入!$E3373))),1,0))</f>
      </c>
      <c r="R3373" s="44">
        <f>IF(AND($Q3373=1,数据录入!$B3373&gt;=$B$2,数据录入!$B3373&lt;=$D$2),N(R3372)+1,N(R3372))</f>
      </c>
    </row>
    <row r="3374" s="44" customFormat="1" spans="1:23">
      <c r="A3374" s="116"/>
      <c r="E3374" s="108"/>
      <c r="F3374" s="114"/>
      <c r="G3374" s="114"/>
      <c r="H3374" s="114"/>
      <c r="Q3374" s="44">
        <f>IF(数据录入!$B3374="",0,IF(OR(数据录入!$D3374="投标保证金",数据录入!$D3374="合同履约保证金",ISNUMBER(FIND("保证金",数据录入!$E3374))),1,0))</f>
      </c>
      <c r="R3374" s="44">
        <f>IF(AND($Q3374=1,数据录入!$B3374&gt;=$B$2,数据录入!$B3374&lt;=$D$2),N(R3373)+1,N(R3373))</f>
      </c>
    </row>
    <row r="3375" s="44" customFormat="1" spans="1:23">
      <c r="A3375" s="116"/>
      <c r="E3375" s="108"/>
      <c r="F3375" s="114"/>
      <c r="G3375" s="114"/>
      <c r="H3375" s="114"/>
      <c r="Q3375" s="44">
        <f>IF(数据录入!$B3375="",0,IF(OR(数据录入!$D3375="投标保证金",数据录入!$D3375="合同履约保证金",ISNUMBER(FIND("保证金",数据录入!$E3375))),1,0))</f>
      </c>
      <c r="R3375" s="44">
        <f>IF(AND($Q3375=1,数据录入!$B3375&gt;=$B$2,数据录入!$B3375&lt;=$D$2),N(R3374)+1,N(R3374))</f>
      </c>
    </row>
    <row r="3376" s="44" customFormat="1" spans="1:23">
      <c r="A3376" s="116"/>
      <c r="E3376" s="108"/>
      <c r="F3376" s="114"/>
      <c r="G3376" s="114"/>
      <c r="H3376" s="114"/>
      <c r="Q3376" s="44">
        <f>IF(数据录入!$B3376="",0,IF(OR(数据录入!$D3376="投标保证金",数据录入!$D3376="合同履约保证金",ISNUMBER(FIND("保证金",数据录入!$E3376))),1,0))</f>
      </c>
      <c r="R3376" s="44">
        <f>IF(AND($Q3376=1,数据录入!$B3376&gt;=$B$2,数据录入!$B3376&lt;=$D$2),N(R3375)+1,N(R3375))</f>
      </c>
    </row>
    <row r="3377" s="44" customFormat="1" spans="1:23">
      <c r="A3377" s="116"/>
      <c r="E3377" s="108"/>
      <c r="F3377" s="114"/>
      <c r="G3377" s="114"/>
      <c r="H3377" s="114"/>
      <c r="Q3377" s="44">
        <f>IF(数据录入!$B3377="",0,IF(OR(数据录入!$D3377="投标保证金",数据录入!$D3377="合同履约保证金",ISNUMBER(FIND("保证金",数据录入!$E3377))),1,0))</f>
      </c>
      <c r="R3377" s="44">
        <f>IF(AND($Q3377=1,数据录入!$B3377&gt;=$B$2,数据录入!$B3377&lt;=$D$2),N(R3376)+1,N(R3376))</f>
      </c>
    </row>
    <row r="3378" s="44" customFormat="1" spans="1:23">
      <c r="A3378" s="116"/>
      <c r="E3378" s="108"/>
      <c r="F3378" s="114"/>
      <c r="G3378" s="114"/>
      <c r="H3378" s="114"/>
      <c r="Q3378" s="44">
        <f>IF(数据录入!$B3378="",0,IF(OR(数据录入!$D3378="投标保证金",数据录入!$D3378="合同履约保证金",ISNUMBER(FIND("保证金",数据录入!$E3378))),1,0))</f>
      </c>
      <c r="R3378" s="44">
        <f>IF(AND($Q3378=1,数据录入!$B3378&gt;=$B$2,数据录入!$B3378&lt;=$D$2),N(R3377)+1,N(R3377))</f>
      </c>
    </row>
    <row r="3379" s="44" customFormat="1" spans="1:23">
      <c r="A3379" s="116"/>
      <c r="E3379" s="108"/>
      <c r="F3379" s="114"/>
      <c r="G3379" s="114"/>
      <c r="H3379" s="114"/>
      <c r="Q3379" s="44">
        <f>IF(数据录入!$B3379="",0,IF(OR(数据录入!$D3379="投标保证金",数据录入!$D3379="合同履约保证金",ISNUMBER(FIND("保证金",数据录入!$E3379))),1,0))</f>
      </c>
      <c r="R3379" s="44">
        <f>IF(AND($Q3379=1,数据录入!$B3379&gt;=$B$2,数据录入!$B3379&lt;=$D$2),N(R3378)+1,N(R3378))</f>
      </c>
    </row>
    <row r="3380" s="44" customFormat="1" spans="1:23">
      <c r="A3380" s="116"/>
      <c r="E3380" s="108"/>
      <c r="F3380" s="114"/>
      <c r="G3380" s="114"/>
      <c r="H3380" s="114"/>
      <c r="Q3380" s="44">
        <f>IF(数据录入!$B3380="",0,IF(OR(数据录入!$D3380="投标保证金",数据录入!$D3380="合同履约保证金",ISNUMBER(FIND("保证金",数据录入!$E3380))),1,0))</f>
      </c>
      <c r="R3380" s="44">
        <f>IF(AND($Q3380=1,数据录入!$B3380&gt;=$B$2,数据录入!$B3380&lt;=$D$2),N(R3379)+1,N(R3379))</f>
      </c>
    </row>
    <row r="3381" s="44" customFormat="1" spans="1:23">
      <c r="A3381" s="116"/>
      <c r="E3381" s="108"/>
      <c r="F3381" s="114"/>
      <c r="G3381" s="114"/>
      <c r="H3381" s="114"/>
      <c r="Q3381" s="44">
        <f>IF(数据录入!$B3381="",0,IF(OR(数据录入!$D3381="投标保证金",数据录入!$D3381="合同履约保证金",ISNUMBER(FIND("保证金",数据录入!$E3381))),1,0))</f>
      </c>
      <c r="R3381" s="44">
        <f>IF(AND($Q3381=1,数据录入!$B3381&gt;=$B$2,数据录入!$B3381&lt;=$D$2),N(R3380)+1,N(R3380))</f>
      </c>
    </row>
    <row r="3382" s="44" customFormat="1" spans="1:23">
      <c r="A3382" s="116"/>
      <c r="E3382" s="108"/>
      <c r="F3382" s="114"/>
      <c r="G3382" s="114"/>
      <c r="H3382" s="114"/>
      <c r="Q3382" s="44">
        <f>IF(数据录入!$B3382="",0,IF(OR(数据录入!$D3382="投标保证金",数据录入!$D3382="合同履约保证金",ISNUMBER(FIND("保证金",数据录入!$E3382))),1,0))</f>
      </c>
      <c r="R3382" s="44">
        <f>IF(AND($Q3382=1,数据录入!$B3382&gt;=$B$2,数据录入!$B3382&lt;=$D$2),N(R3381)+1,N(R3381))</f>
      </c>
    </row>
    <row r="3383" s="44" customFormat="1" spans="1:23">
      <c r="A3383" s="116"/>
      <c r="E3383" s="108"/>
      <c r="F3383" s="114"/>
      <c r="G3383" s="114"/>
      <c r="H3383" s="114"/>
      <c r="Q3383" s="44">
        <f>IF(数据录入!$B3383="",0,IF(OR(数据录入!$D3383="投标保证金",数据录入!$D3383="合同履约保证金",ISNUMBER(FIND("保证金",数据录入!$E3383))),1,0))</f>
      </c>
      <c r="R3383" s="44">
        <f>IF(AND($Q3383=1,数据录入!$B3383&gt;=$B$2,数据录入!$B3383&lt;=$D$2),N(R3382)+1,N(R3382))</f>
      </c>
    </row>
    <row r="3384" s="44" customFormat="1" spans="1:23">
      <c r="A3384" s="116"/>
      <c r="E3384" s="108"/>
      <c r="F3384" s="114"/>
      <c r="G3384" s="114"/>
      <c r="H3384" s="114"/>
      <c r="Q3384" s="44">
        <f>IF(数据录入!$B3384="",0,IF(OR(数据录入!$D3384="投标保证金",数据录入!$D3384="合同履约保证金",ISNUMBER(FIND("保证金",数据录入!$E3384))),1,0))</f>
      </c>
      <c r="R3384" s="44">
        <f>IF(AND($Q3384=1,数据录入!$B3384&gt;=$B$2,数据录入!$B3384&lt;=$D$2),N(R3383)+1,N(R3383))</f>
      </c>
    </row>
    <row r="3385" s="44" customFormat="1" spans="1:23">
      <c r="A3385" s="116"/>
      <c r="E3385" s="108"/>
      <c r="F3385" s="114"/>
      <c r="G3385" s="114"/>
      <c r="H3385" s="114"/>
      <c r="Q3385" s="44">
        <f>IF(数据录入!$B3385="",0,IF(OR(数据录入!$D3385="投标保证金",数据录入!$D3385="合同履约保证金",ISNUMBER(FIND("保证金",数据录入!$E3385))),1,0))</f>
      </c>
      <c r="R3385" s="44">
        <f>IF(AND($Q3385=1,数据录入!$B3385&gt;=$B$2,数据录入!$B3385&lt;=$D$2),N(R3384)+1,N(R3384))</f>
      </c>
    </row>
    <row r="3386" s="44" customFormat="1" spans="1:23">
      <c r="A3386" s="116"/>
      <c r="E3386" s="108"/>
      <c r="F3386" s="114"/>
      <c r="G3386" s="114"/>
      <c r="H3386" s="114"/>
      <c r="Q3386" s="44">
        <f>IF(数据录入!$B3386="",0,IF(OR(数据录入!$D3386="投标保证金",数据录入!$D3386="合同履约保证金",ISNUMBER(FIND("保证金",数据录入!$E3386))),1,0))</f>
      </c>
      <c r="R3386" s="44">
        <f>IF(AND($Q3386=1,数据录入!$B3386&gt;=$B$2,数据录入!$B3386&lt;=$D$2),N(R3385)+1,N(R3385))</f>
      </c>
    </row>
    <row r="3387" s="44" customFormat="1" spans="1:23">
      <c r="A3387" s="116"/>
      <c r="E3387" s="108"/>
      <c r="F3387" s="114"/>
      <c r="G3387" s="114"/>
      <c r="H3387" s="114"/>
      <c r="Q3387" s="44">
        <f>IF(数据录入!$B3387="",0,IF(OR(数据录入!$D3387="投标保证金",数据录入!$D3387="合同履约保证金",ISNUMBER(FIND("保证金",数据录入!$E3387))),1,0))</f>
      </c>
      <c r="R3387" s="44">
        <f>IF(AND($Q3387=1,数据录入!$B3387&gt;=$B$2,数据录入!$B3387&lt;=$D$2),N(R3386)+1,N(R3386))</f>
      </c>
    </row>
    <row r="3388" s="44" customFormat="1" spans="1:23">
      <c r="A3388" s="116"/>
      <c r="E3388" s="108"/>
      <c r="F3388" s="114"/>
      <c r="G3388" s="114"/>
      <c r="H3388" s="114"/>
      <c r="Q3388" s="44">
        <f>IF(数据录入!$B3388="",0,IF(OR(数据录入!$D3388="投标保证金",数据录入!$D3388="合同履约保证金",ISNUMBER(FIND("保证金",数据录入!$E3388))),1,0))</f>
      </c>
      <c r="R3388" s="44">
        <f>IF(AND($Q3388=1,数据录入!$B3388&gt;=$B$2,数据录入!$B3388&lt;=$D$2),N(R3387)+1,N(R3387))</f>
      </c>
    </row>
    <row r="3389" s="44" customFormat="1" spans="1:23">
      <c r="A3389" s="116"/>
      <c r="E3389" s="108"/>
      <c r="F3389" s="114"/>
      <c r="G3389" s="114"/>
      <c r="H3389" s="114"/>
      <c r="Q3389" s="44">
        <f>IF(数据录入!$B3389="",0,IF(OR(数据录入!$D3389="投标保证金",数据录入!$D3389="合同履约保证金",ISNUMBER(FIND("保证金",数据录入!$E3389))),1,0))</f>
      </c>
      <c r="R3389" s="44">
        <f>IF(AND($Q3389=1,数据录入!$B3389&gt;=$B$2,数据录入!$B3389&lt;=$D$2),N(R3388)+1,N(R3388))</f>
      </c>
    </row>
    <row r="3390" s="44" customFormat="1" spans="1:23">
      <c r="A3390" s="116"/>
      <c r="E3390" s="108"/>
      <c r="F3390" s="114"/>
      <c r="G3390" s="114"/>
      <c r="H3390" s="114"/>
      <c r="Q3390" s="44">
        <f>IF(数据录入!$B3390="",0,IF(OR(数据录入!$D3390="投标保证金",数据录入!$D3390="合同履约保证金",ISNUMBER(FIND("保证金",数据录入!$E3390))),1,0))</f>
      </c>
      <c r="R3390" s="44">
        <f>IF(AND($Q3390=1,数据录入!$B3390&gt;=$B$2,数据录入!$B3390&lt;=$D$2),N(R3389)+1,N(R3389))</f>
      </c>
    </row>
    <row r="3391" s="44" customFormat="1" spans="1:23">
      <c r="A3391" s="116"/>
      <c r="E3391" s="108"/>
      <c r="F3391" s="114"/>
      <c r="G3391" s="114"/>
      <c r="H3391" s="114"/>
      <c r="Q3391" s="44">
        <f>IF(数据录入!$B3391="",0,IF(OR(数据录入!$D3391="投标保证金",数据录入!$D3391="合同履约保证金",ISNUMBER(FIND("保证金",数据录入!$E3391))),1,0))</f>
      </c>
      <c r="R3391" s="44">
        <f>IF(AND($Q3391=1,数据录入!$B3391&gt;=$B$2,数据录入!$B3391&lt;=$D$2),N(R3390)+1,N(R3390))</f>
      </c>
    </row>
    <row r="3392" s="44" customFormat="1" spans="1:23">
      <c r="A3392" s="116"/>
      <c r="E3392" s="108"/>
      <c r="F3392" s="114"/>
      <c r="G3392" s="114"/>
      <c r="H3392" s="114"/>
      <c r="Q3392" s="44">
        <f>IF(数据录入!$B3392="",0,IF(OR(数据录入!$D3392="投标保证金",数据录入!$D3392="合同履约保证金",ISNUMBER(FIND("保证金",数据录入!$E3392))),1,0))</f>
      </c>
      <c r="R3392" s="44">
        <f>IF(AND($Q3392=1,数据录入!$B3392&gt;=$B$2,数据录入!$B3392&lt;=$D$2),N(R3391)+1,N(R3391))</f>
      </c>
    </row>
    <row r="3393" s="44" customFormat="1" spans="1:23">
      <c r="A3393" s="116"/>
      <c r="E3393" s="108"/>
      <c r="F3393" s="114"/>
      <c r="G3393" s="114"/>
      <c r="H3393" s="114"/>
      <c r="Q3393" s="44">
        <f>IF(数据录入!$B3393="",0,IF(OR(数据录入!$D3393="投标保证金",数据录入!$D3393="合同履约保证金",ISNUMBER(FIND("保证金",数据录入!$E3393))),1,0))</f>
      </c>
      <c r="R3393" s="44">
        <f>IF(AND($Q3393=1,数据录入!$B3393&gt;=$B$2,数据录入!$B3393&lt;=$D$2),N(R3392)+1,N(R3392))</f>
      </c>
    </row>
    <row r="3394" s="44" customFormat="1" spans="1:23">
      <c r="A3394" s="116"/>
      <c r="E3394" s="108"/>
      <c r="F3394" s="114"/>
      <c r="G3394" s="114"/>
      <c r="H3394" s="114"/>
      <c r="Q3394" s="44">
        <f>IF(数据录入!$B3394="",0,IF(OR(数据录入!$D3394="投标保证金",数据录入!$D3394="合同履约保证金",ISNUMBER(FIND("保证金",数据录入!$E3394))),1,0))</f>
      </c>
      <c r="R3394" s="44">
        <f>IF(AND($Q3394=1,数据录入!$B3394&gt;=$B$2,数据录入!$B3394&lt;=$D$2),N(R3393)+1,N(R3393))</f>
      </c>
    </row>
    <row r="3395" s="44" customFormat="1" spans="1:23">
      <c r="A3395" s="116"/>
      <c r="E3395" s="108"/>
      <c r="F3395" s="114"/>
      <c r="G3395" s="114"/>
      <c r="H3395" s="114"/>
      <c r="Q3395" s="44">
        <f>IF(数据录入!$B3395="",0,IF(OR(数据录入!$D3395="投标保证金",数据录入!$D3395="合同履约保证金",ISNUMBER(FIND("保证金",数据录入!$E3395))),1,0))</f>
      </c>
      <c r="R3395" s="44">
        <f>IF(AND($Q3395=1,数据录入!$B3395&gt;=$B$2,数据录入!$B3395&lt;=$D$2),N(R3394)+1,N(R3394))</f>
      </c>
    </row>
    <row r="3396" s="44" customFormat="1" spans="1:23">
      <c r="A3396" s="116"/>
      <c r="E3396" s="108"/>
      <c r="F3396" s="114"/>
      <c r="G3396" s="114"/>
      <c r="H3396" s="114"/>
      <c r="Q3396" s="44">
        <f>IF(数据录入!$B3396="",0,IF(OR(数据录入!$D3396="投标保证金",数据录入!$D3396="合同履约保证金",ISNUMBER(FIND("保证金",数据录入!$E3396))),1,0))</f>
      </c>
      <c r="R3396" s="44">
        <f>IF(AND($Q3396=1,数据录入!$B3396&gt;=$B$2,数据录入!$B3396&lt;=$D$2),N(R3395)+1,N(R3395))</f>
      </c>
    </row>
    <row r="3397" s="44" customFormat="1" spans="1:23">
      <c r="A3397" s="116"/>
      <c r="E3397" s="108"/>
      <c r="F3397" s="114"/>
      <c r="G3397" s="114"/>
      <c r="H3397" s="114"/>
      <c r="Q3397" s="44">
        <f>IF(数据录入!$B3397="",0,IF(OR(数据录入!$D3397="投标保证金",数据录入!$D3397="合同履约保证金",ISNUMBER(FIND("保证金",数据录入!$E3397))),1,0))</f>
      </c>
      <c r="R3397" s="44">
        <f>IF(AND($Q3397=1,数据录入!$B3397&gt;=$B$2,数据录入!$B3397&lt;=$D$2),N(R3396)+1,N(R3396))</f>
      </c>
    </row>
    <row r="3398" s="44" customFormat="1" spans="1:23">
      <c r="A3398" s="116"/>
      <c r="E3398" s="108"/>
      <c r="F3398" s="114"/>
      <c r="G3398" s="114"/>
      <c r="H3398" s="114"/>
      <c r="Q3398" s="44">
        <f>IF(数据录入!$B3398="",0,IF(OR(数据录入!$D3398="投标保证金",数据录入!$D3398="合同履约保证金",ISNUMBER(FIND("保证金",数据录入!$E3398))),1,0))</f>
      </c>
      <c r="R3398" s="44">
        <f>IF(AND($Q3398=1,数据录入!$B3398&gt;=$B$2,数据录入!$B3398&lt;=$D$2),N(R3397)+1,N(R3397))</f>
      </c>
    </row>
    <row r="3399" s="44" customFormat="1" spans="1:23">
      <c r="A3399" s="116"/>
      <c r="E3399" s="108"/>
      <c r="F3399" s="114"/>
      <c r="G3399" s="114"/>
      <c r="H3399" s="114"/>
      <c r="Q3399" s="44">
        <f>IF(数据录入!$B3399="",0,IF(OR(数据录入!$D3399="投标保证金",数据录入!$D3399="合同履约保证金",ISNUMBER(FIND("保证金",数据录入!$E3399))),1,0))</f>
      </c>
      <c r="R3399" s="44">
        <f>IF(AND($Q3399=1,数据录入!$B3399&gt;=$B$2,数据录入!$B3399&lt;=$D$2),N(R3398)+1,N(R3398))</f>
      </c>
    </row>
    <row r="3400" s="44" customFormat="1" spans="1:23">
      <c r="A3400" s="116"/>
      <c r="E3400" s="108"/>
      <c r="F3400" s="114"/>
      <c r="G3400" s="114"/>
      <c r="H3400" s="114"/>
      <c r="Q3400" s="44">
        <f>IF(数据录入!$B3400="",0,IF(OR(数据录入!$D3400="投标保证金",数据录入!$D3400="合同履约保证金",ISNUMBER(FIND("保证金",数据录入!$E3400))),1,0))</f>
      </c>
      <c r="R3400" s="44">
        <f>IF(AND($Q3400=1,数据录入!$B3400&gt;=$B$2,数据录入!$B3400&lt;=$D$2),N(R3399)+1,N(R3399))</f>
      </c>
    </row>
    <row r="3401" s="44" customFormat="1" spans="1:23">
      <c r="A3401" s="116"/>
      <c r="E3401" s="108"/>
      <c r="F3401" s="114"/>
      <c r="G3401" s="114"/>
      <c r="H3401" s="114"/>
      <c r="Q3401" s="44">
        <f>IF(数据录入!$B3401="",0,IF(OR(数据录入!$D3401="投标保证金",数据录入!$D3401="合同履约保证金",ISNUMBER(FIND("保证金",数据录入!$E3401))),1,0))</f>
      </c>
      <c r="R3401" s="44">
        <f>IF(AND($Q3401=1,数据录入!$B3401&gt;=$B$2,数据录入!$B3401&lt;=$D$2),N(R3400)+1,N(R3400))</f>
      </c>
    </row>
    <row r="3402" s="44" customFormat="1" spans="1:23">
      <c r="A3402" s="116"/>
      <c r="E3402" s="108"/>
      <c r="F3402" s="114"/>
      <c r="G3402" s="114"/>
      <c r="H3402" s="114"/>
      <c r="Q3402" s="44">
        <f>IF(数据录入!$B3402="",0,IF(OR(数据录入!$D3402="投标保证金",数据录入!$D3402="合同履约保证金",ISNUMBER(FIND("保证金",数据录入!$E3402))),1,0))</f>
      </c>
      <c r="R3402" s="44">
        <f>IF(AND($Q3402=1,数据录入!$B3402&gt;=$B$2,数据录入!$B3402&lt;=$D$2),N(R3401)+1,N(R3401))</f>
      </c>
    </row>
    <row r="3403" s="44" customFormat="1" spans="1:23">
      <c r="A3403" s="116"/>
      <c r="E3403" s="108"/>
      <c r="F3403" s="114"/>
      <c r="G3403" s="114"/>
      <c r="H3403" s="114"/>
      <c r="Q3403" s="44">
        <f>IF(数据录入!$B3403="",0,IF(OR(数据录入!$D3403="投标保证金",数据录入!$D3403="合同履约保证金",ISNUMBER(FIND("保证金",数据录入!$E3403))),1,0))</f>
      </c>
      <c r="R3403" s="44">
        <f>IF(AND($Q3403=1,数据录入!$B3403&gt;=$B$2,数据录入!$B3403&lt;=$D$2),N(R3402)+1,N(R3402))</f>
      </c>
    </row>
    <row r="3404" s="44" customFormat="1" spans="1:23">
      <c r="A3404" s="116"/>
      <c r="E3404" s="108"/>
      <c r="F3404" s="114"/>
      <c r="G3404" s="114"/>
      <c r="H3404" s="114"/>
      <c r="Q3404" s="44">
        <f>IF(数据录入!$B3404="",0,IF(OR(数据录入!$D3404="投标保证金",数据录入!$D3404="合同履约保证金",ISNUMBER(FIND("保证金",数据录入!$E3404))),1,0))</f>
      </c>
      <c r="R3404" s="44">
        <f>IF(AND($Q3404=1,数据录入!$B3404&gt;=$B$2,数据录入!$B3404&lt;=$D$2),N(R3403)+1,N(R3403))</f>
      </c>
    </row>
    <row r="3405" s="44" customFormat="1" spans="1:23">
      <c r="A3405" s="116"/>
      <c r="E3405" s="108"/>
      <c r="F3405" s="114"/>
      <c r="G3405" s="114"/>
      <c r="H3405" s="114"/>
      <c r="Q3405" s="44">
        <f>IF(数据录入!$B3405="",0,IF(OR(数据录入!$D3405="投标保证金",数据录入!$D3405="合同履约保证金",ISNUMBER(FIND("保证金",数据录入!$E3405))),1,0))</f>
      </c>
      <c r="R3405" s="44">
        <f>IF(AND($Q3405=1,数据录入!$B3405&gt;=$B$2,数据录入!$B3405&lt;=$D$2),N(R3404)+1,N(R3404))</f>
      </c>
    </row>
    <row r="3406" s="44" customFormat="1" spans="1:23">
      <c r="A3406" s="116"/>
      <c r="E3406" s="108"/>
      <c r="F3406" s="114"/>
      <c r="G3406" s="114"/>
      <c r="H3406" s="114"/>
      <c r="Q3406" s="44">
        <f>IF(数据录入!$B3406="",0,IF(OR(数据录入!$D3406="投标保证金",数据录入!$D3406="合同履约保证金",ISNUMBER(FIND("保证金",数据录入!$E3406))),1,0))</f>
      </c>
      <c r="R3406" s="44">
        <f>IF(AND($Q3406=1,数据录入!$B3406&gt;=$B$2,数据录入!$B3406&lt;=$D$2),N(R3405)+1,N(R3405))</f>
      </c>
    </row>
    <row r="3407" s="44" customFormat="1" spans="1:23">
      <c r="A3407" s="116"/>
      <c r="E3407" s="108"/>
      <c r="F3407" s="114"/>
      <c r="G3407" s="114"/>
      <c r="H3407" s="114"/>
      <c r="Q3407" s="44">
        <f>IF(数据录入!$B3407="",0,IF(OR(数据录入!$D3407="投标保证金",数据录入!$D3407="合同履约保证金",ISNUMBER(FIND("保证金",数据录入!$E3407))),1,0))</f>
      </c>
      <c r="R3407" s="44">
        <f>IF(AND($Q3407=1,数据录入!$B3407&gt;=$B$2,数据录入!$B3407&lt;=$D$2),N(R3406)+1,N(R3406))</f>
      </c>
    </row>
    <row r="3408" s="44" customFormat="1" spans="1:23">
      <c r="A3408" s="116"/>
      <c r="E3408" s="108"/>
      <c r="F3408" s="114"/>
      <c r="G3408" s="114"/>
      <c r="H3408" s="114"/>
      <c r="Q3408" s="44">
        <f>IF(数据录入!$B3408="",0,IF(OR(数据录入!$D3408="投标保证金",数据录入!$D3408="合同履约保证金",ISNUMBER(FIND("保证金",数据录入!$E3408))),1,0))</f>
      </c>
      <c r="R3408" s="44">
        <f>IF(AND($Q3408=1,数据录入!$B3408&gt;=$B$2,数据录入!$B3408&lt;=$D$2),N(R3407)+1,N(R3407))</f>
      </c>
    </row>
    <row r="3409" s="44" customFormat="1" spans="1:23">
      <c r="A3409" s="116"/>
      <c r="E3409" s="108"/>
      <c r="F3409" s="114"/>
      <c r="G3409" s="114"/>
      <c r="H3409" s="114"/>
      <c r="Q3409" s="44">
        <f>IF(数据录入!$B3409="",0,IF(OR(数据录入!$D3409="投标保证金",数据录入!$D3409="合同履约保证金",ISNUMBER(FIND("保证金",数据录入!$E3409))),1,0))</f>
      </c>
      <c r="R3409" s="44">
        <f>IF(AND($Q3409=1,数据录入!$B3409&gt;=$B$2,数据录入!$B3409&lt;=$D$2),N(R3408)+1,N(R3408))</f>
      </c>
    </row>
    <row r="3410" s="44" customFormat="1" spans="1:23">
      <c r="A3410" s="116"/>
      <c r="E3410" s="108"/>
      <c r="F3410" s="114"/>
      <c r="G3410" s="114"/>
      <c r="H3410" s="114"/>
      <c r="Q3410" s="44">
        <f>IF(数据录入!$B3410="",0,IF(OR(数据录入!$D3410="投标保证金",数据录入!$D3410="合同履约保证金",ISNUMBER(FIND("保证金",数据录入!$E3410))),1,0))</f>
      </c>
      <c r="R3410" s="44">
        <f>IF(AND($Q3410=1,数据录入!$B3410&gt;=$B$2,数据录入!$B3410&lt;=$D$2),N(R3409)+1,N(R3409))</f>
      </c>
    </row>
    <row r="3411" s="44" customFormat="1" spans="1:23">
      <c r="A3411" s="116"/>
      <c r="E3411" s="108"/>
      <c r="F3411" s="114"/>
      <c r="G3411" s="114"/>
      <c r="H3411" s="114"/>
      <c r="Q3411" s="44">
        <f>IF(数据录入!$B3411="",0,IF(OR(数据录入!$D3411="投标保证金",数据录入!$D3411="合同履约保证金",ISNUMBER(FIND("保证金",数据录入!$E3411))),1,0))</f>
      </c>
      <c r="R3411" s="44">
        <f>IF(AND($Q3411=1,数据录入!$B3411&gt;=$B$2,数据录入!$B3411&lt;=$D$2),N(R3410)+1,N(R3410))</f>
      </c>
    </row>
    <row r="3412" s="44" customFormat="1" spans="1:23">
      <c r="A3412" s="116"/>
      <c r="E3412" s="108"/>
      <c r="F3412" s="114"/>
      <c r="G3412" s="114"/>
      <c r="H3412" s="114"/>
      <c r="Q3412" s="44">
        <f>IF(数据录入!$B3412="",0,IF(OR(数据录入!$D3412="投标保证金",数据录入!$D3412="合同履约保证金",ISNUMBER(FIND("保证金",数据录入!$E3412))),1,0))</f>
      </c>
      <c r="R3412" s="44">
        <f>IF(AND($Q3412=1,数据录入!$B3412&gt;=$B$2,数据录入!$B3412&lt;=$D$2),N(R3411)+1,N(R3411))</f>
      </c>
    </row>
    <row r="3413" s="44" customFormat="1" spans="1:23">
      <c r="A3413" s="116"/>
      <c r="E3413" s="108"/>
      <c r="F3413" s="114"/>
      <c r="G3413" s="114"/>
      <c r="H3413" s="114"/>
      <c r="Q3413" s="44">
        <f>IF(数据录入!$B3413="",0,IF(OR(数据录入!$D3413="投标保证金",数据录入!$D3413="合同履约保证金",ISNUMBER(FIND("保证金",数据录入!$E3413))),1,0))</f>
      </c>
      <c r="R3413" s="44">
        <f>IF(AND($Q3413=1,数据录入!$B3413&gt;=$B$2,数据录入!$B3413&lt;=$D$2),N(R3412)+1,N(R3412))</f>
      </c>
    </row>
    <row r="3414" s="44" customFormat="1" spans="1:23">
      <c r="A3414" s="116"/>
      <c r="E3414" s="108"/>
      <c r="F3414" s="114"/>
      <c r="G3414" s="114"/>
      <c r="H3414" s="114"/>
      <c r="Q3414" s="44">
        <f>IF(数据录入!$B3414="",0,IF(OR(数据录入!$D3414="投标保证金",数据录入!$D3414="合同履约保证金",ISNUMBER(FIND("保证金",数据录入!$E3414))),1,0))</f>
      </c>
      <c r="R3414" s="44">
        <f>IF(AND($Q3414=1,数据录入!$B3414&gt;=$B$2,数据录入!$B3414&lt;=$D$2),N(R3413)+1,N(R3413))</f>
      </c>
    </row>
    <row r="3415" s="44" customFormat="1" spans="1:23">
      <c r="A3415" s="116"/>
      <c r="E3415" s="108"/>
      <c r="F3415" s="114"/>
      <c r="G3415" s="114"/>
      <c r="H3415" s="114"/>
      <c r="Q3415" s="44">
        <f>IF(数据录入!$B3415="",0,IF(OR(数据录入!$D3415="投标保证金",数据录入!$D3415="合同履约保证金",ISNUMBER(FIND("保证金",数据录入!$E3415))),1,0))</f>
      </c>
      <c r="R3415" s="44">
        <f>IF(AND($Q3415=1,数据录入!$B3415&gt;=$B$2,数据录入!$B3415&lt;=$D$2),N(R3414)+1,N(R3414))</f>
      </c>
    </row>
    <row r="3416" s="44" customFormat="1" spans="1:23">
      <c r="A3416" s="116"/>
      <c r="E3416" s="108"/>
      <c r="F3416" s="114"/>
      <c r="G3416" s="114"/>
      <c r="H3416" s="114"/>
      <c r="Q3416" s="44">
        <f>IF(数据录入!$B3416="",0,IF(OR(数据录入!$D3416="投标保证金",数据录入!$D3416="合同履约保证金",ISNUMBER(FIND("保证金",数据录入!$E3416))),1,0))</f>
      </c>
      <c r="R3416" s="44">
        <f>IF(AND($Q3416=1,数据录入!$B3416&gt;=$B$2,数据录入!$B3416&lt;=$D$2),N(R3415)+1,N(R3415))</f>
      </c>
    </row>
    <row r="3417" s="44" customFormat="1" spans="1:23">
      <c r="A3417" s="116"/>
      <c r="E3417" s="108"/>
      <c r="F3417" s="114"/>
      <c r="G3417" s="114"/>
      <c r="H3417" s="114"/>
      <c r="Q3417" s="44">
        <f>IF(数据录入!$B3417="",0,IF(OR(数据录入!$D3417="投标保证金",数据录入!$D3417="合同履约保证金",ISNUMBER(FIND("保证金",数据录入!$E3417))),1,0))</f>
      </c>
      <c r="R3417" s="44">
        <f>IF(AND($Q3417=1,数据录入!$B3417&gt;=$B$2,数据录入!$B3417&lt;=$D$2),N(R3416)+1,N(R3416))</f>
      </c>
    </row>
    <row r="3418" s="44" customFormat="1" spans="1:23">
      <c r="A3418" s="116"/>
      <c r="E3418" s="108"/>
      <c r="F3418" s="114"/>
      <c r="G3418" s="114"/>
      <c r="H3418" s="114"/>
      <c r="Q3418" s="44">
        <f>IF(数据录入!$B3418="",0,IF(OR(数据录入!$D3418="投标保证金",数据录入!$D3418="合同履约保证金",ISNUMBER(FIND("保证金",数据录入!$E3418))),1,0))</f>
      </c>
      <c r="R3418" s="44">
        <f>IF(AND($Q3418=1,数据录入!$B3418&gt;=$B$2,数据录入!$B3418&lt;=$D$2),N(R3417)+1,N(R3417))</f>
      </c>
    </row>
    <row r="3419" s="44" customFormat="1" spans="1:23">
      <c r="A3419" s="116"/>
      <c r="E3419" s="108"/>
      <c r="F3419" s="114"/>
      <c r="G3419" s="114"/>
      <c r="H3419" s="114"/>
      <c r="Q3419" s="44">
        <f>IF(数据录入!$B3419="",0,IF(OR(数据录入!$D3419="投标保证金",数据录入!$D3419="合同履约保证金",ISNUMBER(FIND("保证金",数据录入!$E3419))),1,0))</f>
      </c>
      <c r="R3419" s="44">
        <f>IF(AND($Q3419=1,数据录入!$B3419&gt;=$B$2,数据录入!$B3419&lt;=$D$2),N(R3418)+1,N(R3418))</f>
      </c>
    </row>
    <row r="3420" s="44" customFormat="1" spans="1:23">
      <c r="A3420" s="116"/>
      <c r="E3420" s="108"/>
      <c r="F3420" s="114"/>
      <c r="G3420" s="114"/>
      <c r="H3420" s="114"/>
      <c r="Q3420" s="44">
        <f>IF(数据录入!$B3420="",0,IF(OR(数据录入!$D3420="投标保证金",数据录入!$D3420="合同履约保证金",ISNUMBER(FIND("保证金",数据录入!$E3420))),1,0))</f>
      </c>
      <c r="R3420" s="44">
        <f>IF(AND($Q3420=1,数据录入!$B3420&gt;=$B$2,数据录入!$B3420&lt;=$D$2),N(R3419)+1,N(R3419))</f>
      </c>
    </row>
    <row r="3421" s="44" customFormat="1" spans="1:23">
      <c r="A3421" s="116"/>
      <c r="E3421" s="108"/>
      <c r="F3421" s="114"/>
      <c r="G3421" s="114"/>
      <c r="H3421" s="114"/>
      <c r="Q3421" s="44">
        <f>IF(数据录入!$B3421="",0,IF(OR(数据录入!$D3421="投标保证金",数据录入!$D3421="合同履约保证金",ISNUMBER(FIND("保证金",数据录入!$E3421))),1,0))</f>
      </c>
      <c r="R3421" s="44">
        <f>IF(AND($Q3421=1,数据录入!$B3421&gt;=$B$2,数据录入!$B3421&lt;=$D$2),N(R3420)+1,N(R3420))</f>
      </c>
    </row>
    <row r="3422" s="44" customFormat="1" spans="1:23">
      <c r="A3422" s="116"/>
      <c r="E3422" s="108"/>
      <c r="F3422" s="114"/>
      <c r="G3422" s="114"/>
      <c r="H3422" s="114"/>
      <c r="Q3422" s="44">
        <f>IF(数据录入!$B3422="",0,IF(OR(数据录入!$D3422="投标保证金",数据录入!$D3422="合同履约保证金",ISNUMBER(FIND("保证金",数据录入!$E3422))),1,0))</f>
      </c>
      <c r="R3422" s="44">
        <f>IF(AND($Q3422=1,数据录入!$B3422&gt;=$B$2,数据录入!$B3422&lt;=$D$2),N(R3421)+1,N(R3421))</f>
      </c>
    </row>
    <row r="3423" s="44" customFormat="1" spans="1:23">
      <c r="A3423" s="116"/>
      <c r="E3423" s="108"/>
      <c r="F3423" s="114"/>
      <c r="G3423" s="114"/>
      <c r="H3423" s="114"/>
      <c r="Q3423" s="44">
        <f>IF(数据录入!$B3423="",0,IF(OR(数据录入!$D3423="投标保证金",数据录入!$D3423="合同履约保证金",ISNUMBER(FIND("保证金",数据录入!$E3423))),1,0))</f>
      </c>
      <c r="R3423" s="44">
        <f>IF(AND($Q3423=1,数据录入!$B3423&gt;=$B$2,数据录入!$B3423&lt;=$D$2),N(R3422)+1,N(R3422))</f>
      </c>
    </row>
    <row r="3424" s="44" customFormat="1" spans="1:23">
      <c r="A3424" s="116"/>
      <c r="E3424" s="108"/>
      <c r="F3424" s="114"/>
      <c r="G3424" s="114"/>
      <c r="H3424" s="114"/>
      <c r="Q3424" s="44">
        <f>IF(数据录入!$B3424="",0,IF(OR(数据录入!$D3424="投标保证金",数据录入!$D3424="合同履约保证金",ISNUMBER(FIND("保证金",数据录入!$E3424))),1,0))</f>
      </c>
      <c r="R3424" s="44">
        <f>IF(AND($Q3424=1,数据录入!$B3424&gt;=$B$2,数据录入!$B3424&lt;=$D$2),N(R3423)+1,N(R3423))</f>
      </c>
    </row>
    <row r="3425" s="44" customFormat="1" spans="1:23">
      <c r="A3425" s="116"/>
      <c r="E3425" s="108"/>
      <c r="F3425" s="114"/>
      <c r="G3425" s="114"/>
      <c r="H3425" s="114"/>
      <c r="Q3425" s="44">
        <f>IF(数据录入!$B3425="",0,IF(OR(数据录入!$D3425="投标保证金",数据录入!$D3425="合同履约保证金",ISNUMBER(FIND("保证金",数据录入!$E3425))),1,0))</f>
      </c>
      <c r="R3425" s="44">
        <f>IF(AND($Q3425=1,数据录入!$B3425&gt;=$B$2,数据录入!$B3425&lt;=$D$2),N(R3424)+1,N(R3424))</f>
      </c>
    </row>
    <row r="3426" s="44" customFormat="1" spans="1:23">
      <c r="A3426" s="116"/>
      <c r="E3426" s="108"/>
      <c r="F3426" s="114"/>
      <c r="G3426" s="114"/>
      <c r="H3426" s="114"/>
      <c r="Q3426" s="44">
        <f>IF(数据录入!$B3426="",0,IF(OR(数据录入!$D3426="投标保证金",数据录入!$D3426="合同履约保证金",ISNUMBER(FIND("保证金",数据录入!$E3426))),1,0))</f>
      </c>
      <c r="R3426" s="44">
        <f>IF(AND($Q3426=1,数据录入!$B3426&gt;=$B$2,数据录入!$B3426&lt;=$D$2),N(R3425)+1,N(R3425))</f>
      </c>
    </row>
    <row r="3427" s="44" customFormat="1" spans="1:23">
      <c r="A3427" s="116"/>
      <c r="E3427" s="108"/>
      <c r="F3427" s="114"/>
      <c r="G3427" s="114"/>
      <c r="H3427" s="114"/>
      <c r="Q3427" s="44">
        <f>IF(数据录入!$B3427="",0,IF(OR(数据录入!$D3427="投标保证金",数据录入!$D3427="合同履约保证金",ISNUMBER(FIND("保证金",数据录入!$E3427))),1,0))</f>
      </c>
      <c r="R3427" s="44">
        <f>IF(AND($Q3427=1,数据录入!$B3427&gt;=$B$2,数据录入!$B3427&lt;=$D$2),N(R3426)+1,N(R3426))</f>
      </c>
    </row>
    <row r="3428" s="44" customFormat="1" spans="1:23">
      <c r="A3428" s="116"/>
      <c r="E3428" s="108"/>
      <c r="F3428" s="114"/>
      <c r="G3428" s="114"/>
      <c r="H3428" s="114"/>
      <c r="Q3428" s="44">
        <f>IF(数据录入!$B3428="",0,IF(OR(数据录入!$D3428="投标保证金",数据录入!$D3428="合同履约保证金",ISNUMBER(FIND("保证金",数据录入!$E3428))),1,0))</f>
      </c>
      <c r="R3428" s="44">
        <f>IF(AND($Q3428=1,数据录入!$B3428&gt;=$B$2,数据录入!$B3428&lt;=$D$2),N(R3427)+1,N(R3427))</f>
      </c>
    </row>
    <row r="3429" s="44" customFormat="1" spans="1:23">
      <c r="A3429" s="116"/>
      <c r="E3429" s="108"/>
      <c r="F3429" s="114"/>
      <c r="G3429" s="114"/>
      <c r="H3429" s="114"/>
      <c r="Q3429" s="44">
        <f>IF(数据录入!$B3429="",0,IF(OR(数据录入!$D3429="投标保证金",数据录入!$D3429="合同履约保证金",ISNUMBER(FIND("保证金",数据录入!$E3429))),1,0))</f>
      </c>
      <c r="R3429" s="44">
        <f>IF(AND($Q3429=1,数据录入!$B3429&gt;=$B$2,数据录入!$B3429&lt;=$D$2),N(R3428)+1,N(R3428))</f>
      </c>
    </row>
    <row r="3430" s="44" customFormat="1" spans="1:23">
      <c r="A3430" s="116"/>
      <c r="E3430" s="108"/>
      <c r="F3430" s="114"/>
      <c r="G3430" s="114"/>
      <c r="H3430" s="114"/>
      <c r="Q3430" s="44">
        <f>IF(数据录入!$B3430="",0,IF(OR(数据录入!$D3430="投标保证金",数据录入!$D3430="合同履约保证金",ISNUMBER(FIND("保证金",数据录入!$E3430))),1,0))</f>
      </c>
      <c r="R3430" s="44">
        <f>IF(AND($Q3430=1,数据录入!$B3430&gt;=$B$2,数据录入!$B3430&lt;=$D$2),N(R3429)+1,N(R3429))</f>
      </c>
    </row>
    <row r="3431" s="44" customFormat="1" spans="1:23">
      <c r="A3431" s="116"/>
      <c r="E3431" s="108"/>
      <c r="F3431" s="114"/>
      <c r="G3431" s="114"/>
      <c r="H3431" s="114"/>
      <c r="Q3431" s="44">
        <f>IF(数据录入!$B3431="",0,IF(OR(数据录入!$D3431="投标保证金",数据录入!$D3431="合同履约保证金",ISNUMBER(FIND("保证金",数据录入!$E3431))),1,0))</f>
      </c>
      <c r="R3431" s="44">
        <f>IF(AND($Q3431=1,数据录入!$B3431&gt;=$B$2,数据录入!$B3431&lt;=$D$2),N(R3430)+1,N(R3430))</f>
      </c>
    </row>
    <row r="3432" s="44" customFormat="1" spans="1:23">
      <c r="A3432" s="116"/>
      <c r="E3432" s="108"/>
      <c r="F3432" s="114"/>
      <c r="G3432" s="114"/>
      <c r="H3432" s="114"/>
      <c r="Q3432" s="44">
        <f>IF(数据录入!$B3432="",0,IF(OR(数据录入!$D3432="投标保证金",数据录入!$D3432="合同履约保证金",ISNUMBER(FIND("保证金",数据录入!$E3432))),1,0))</f>
      </c>
      <c r="R3432" s="44">
        <f>IF(AND($Q3432=1,数据录入!$B3432&gt;=$B$2,数据录入!$B3432&lt;=$D$2),N(R3431)+1,N(R3431))</f>
      </c>
    </row>
    <row r="3433" s="44" customFormat="1" spans="1:23">
      <c r="A3433" s="116"/>
      <c r="E3433" s="108"/>
      <c r="F3433" s="114"/>
      <c r="G3433" s="114"/>
      <c r="H3433" s="114"/>
      <c r="Q3433" s="44">
        <f>IF(数据录入!$B3433="",0,IF(OR(数据录入!$D3433="投标保证金",数据录入!$D3433="合同履约保证金",ISNUMBER(FIND("保证金",数据录入!$E3433))),1,0))</f>
      </c>
      <c r="R3433" s="44">
        <f>IF(AND($Q3433=1,数据录入!$B3433&gt;=$B$2,数据录入!$B3433&lt;=$D$2),N(R3432)+1,N(R3432))</f>
      </c>
    </row>
    <row r="3434" s="44" customFormat="1" spans="1:23">
      <c r="A3434" s="116"/>
      <c r="E3434" s="108"/>
      <c r="F3434" s="114"/>
      <c r="G3434" s="114"/>
      <c r="H3434" s="114"/>
      <c r="Q3434" s="44">
        <f>IF(数据录入!$B3434="",0,IF(OR(数据录入!$D3434="投标保证金",数据录入!$D3434="合同履约保证金",ISNUMBER(FIND("保证金",数据录入!$E3434))),1,0))</f>
      </c>
      <c r="R3434" s="44">
        <f>IF(AND($Q3434=1,数据录入!$B3434&gt;=$B$2,数据录入!$B3434&lt;=$D$2),N(R3433)+1,N(R3433))</f>
      </c>
    </row>
    <row r="3435" s="44" customFormat="1" spans="1:23">
      <c r="A3435" s="116"/>
      <c r="E3435" s="108"/>
      <c r="F3435" s="114"/>
      <c r="G3435" s="114"/>
      <c r="H3435" s="114"/>
      <c r="Q3435" s="44">
        <f>IF(数据录入!$B3435="",0,IF(OR(数据录入!$D3435="投标保证金",数据录入!$D3435="合同履约保证金",ISNUMBER(FIND("保证金",数据录入!$E3435))),1,0))</f>
      </c>
      <c r="R3435" s="44">
        <f>IF(AND($Q3435=1,数据录入!$B3435&gt;=$B$2,数据录入!$B3435&lt;=$D$2),N(R3434)+1,N(R3434))</f>
      </c>
    </row>
    <row r="3436" s="44" customFormat="1" spans="1:23">
      <c r="A3436" s="116"/>
      <c r="E3436" s="108"/>
      <c r="F3436" s="114"/>
      <c r="G3436" s="114"/>
      <c r="H3436" s="114"/>
      <c r="Q3436" s="44">
        <f>IF(数据录入!$B3436="",0,IF(OR(数据录入!$D3436="投标保证金",数据录入!$D3436="合同履约保证金",ISNUMBER(FIND("保证金",数据录入!$E3436))),1,0))</f>
      </c>
      <c r="R3436" s="44">
        <f>IF(AND($Q3436=1,数据录入!$B3436&gt;=$B$2,数据录入!$B3436&lt;=$D$2),N(R3435)+1,N(R3435))</f>
      </c>
    </row>
    <row r="3437" s="44" customFormat="1" spans="1:23">
      <c r="A3437" s="116"/>
      <c r="E3437" s="108"/>
      <c r="F3437" s="114"/>
      <c r="G3437" s="114"/>
      <c r="H3437" s="114"/>
      <c r="Q3437" s="44">
        <f>IF(数据录入!$B3437="",0,IF(OR(数据录入!$D3437="投标保证金",数据录入!$D3437="合同履约保证金",ISNUMBER(FIND("保证金",数据录入!$E3437))),1,0))</f>
      </c>
      <c r="R3437" s="44">
        <f>IF(AND($Q3437=1,数据录入!$B3437&gt;=$B$2,数据录入!$B3437&lt;=$D$2),N(R3436)+1,N(R3436))</f>
      </c>
    </row>
    <row r="3438" s="44" customFormat="1" spans="1:23">
      <c r="A3438" s="116"/>
      <c r="E3438" s="108"/>
      <c r="F3438" s="114"/>
      <c r="G3438" s="114"/>
      <c r="H3438" s="114"/>
      <c r="Q3438" s="44">
        <f>IF(数据录入!$B3438="",0,IF(OR(数据录入!$D3438="投标保证金",数据录入!$D3438="合同履约保证金",ISNUMBER(FIND("保证金",数据录入!$E3438))),1,0))</f>
      </c>
      <c r="R3438" s="44">
        <f>IF(AND($Q3438=1,数据录入!$B3438&gt;=$B$2,数据录入!$B3438&lt;=$D$2),N(R3437)+1,N(R3437))</f>
      </c>
    </row>
    <row r="3439" s="44" customFormat="1" spans="1:23">
      <c r="A3439" s="116"/>
      <c r="E3439" s="108"/>
      <c r="F3439" s="114"/>
      <c r="G3439" s="114"/>
      <c r="H3439" s="114"/>
      <c r="Q3439" s="44">
        <f>IF(数据录入!$B3439="",0,IF(OR(数据录入!$D3439="投标保证金",数据录入!$D3439="合同履约保证金",ISNUMBER(FIND("保证金",数据录入!$E3439))),1,0))</f>
      </c>
      <c r="R3439" s="44">
        <f>IF(AND($Q3439=1,数据录入!$B3439&gt;=$B$2,数据录入!$B3439&lt;=$D$2),N(R3438)+1,N(R3438))</f>
      </c>
    </row>
    <row r="3440" s="44" customFormat="1" spans="1:23">
      <c r="A3440" s="116"/>
      <c r="E3440" s="108"/>
      <c r="F3440" s="114"/>
      <c r="G3440" s="114"/>
      <c r="H3440" s="114"/>
      <c r="Q3440" s="44">
        <f>IF(数据录入!$B3440="",0,IF(OR(数据录入!$D3440="投标保证金",数据录入!$D3440="合同履约保证金",ISNUMBER(FIND("保证金",数据录入!$E3440))),1,0))</f>
      </c>
      <c r="R3440" s="44">
        <f>IF(AND($Q3440=1,数据录入!$B3440&gt;=$B$2,数据录入!$B3440&lt;=$D$2),N(R3439)+1,N(R3439))</f>
      </c>
    </row>
    <row r="3441" s="44" customFormat="1" spans="1:23">
      <c r="A3441" s="116"/>
      <c r="E3441" s="108"/>
      <c r="F3441" s="114"/>
      <c r="G3441" s="114"/>
      <c r="H3441" s="114"/>
      <c r="Q3441" s="44">
        <f>IF(数据录入!$B3441="",0,IF(OR(数据录入!$D3441="投标保证金",数据录入!$D3441="合同履约保证金",ISNUMBER(FIND("保证金",数据录入!$E3441))),1,0))</f>
      </c>
      <c r="R3441" s="44">
        <f>IF(AND($Q3441=1,数据录入!$B3441&gt;=$B$2,数据录入!$B3441&lt;=$D$2),N(R3440)+1,N(R3440))</f>
      </c>
    </row>
    <row r="3442" s="44" customFormat="1" spans="1:23">
      <c r="A3442" s="116"/>
      <c r="E3442" s="108"/>
      <c r="F3442" s="114"/>
      <c r="G3442" s="114"/>
      <c r="H3442" s="114"/>
      <c r="Q3442" s="44">
        <f>IF(数据录入!$B3442="",0,IF(OR(数据录入!$D3442="投标保证金",数据录入!$D3442="合同履约保证金",ISNUMBER(FIND("保证金",数据录入!$E3442))),1,0))</f>
      </c>
      <c r="R3442" s="44">
        <f>IF(AND($Q3442=1,数据录入!$B3442&gt;=$B$2,数据录入!$B3442&lt;=$D$2),N(R3441)+1,N(R3441))</f>
      </c>
    </row>
    <row r="3443" s="44" customFormat="1" spans="1:23">
      <c r="A3443" s="116"/>
      <c r="E3443" s="108"/>
      <c r="F3443" s="114"/>
      <c r="G3443" s="114"/>
      <c r="H3443" s="114"/>
      <c r="Q3443" s="44">
        <f>IF(数据录入!$B3443="",0,IF(OR(数据录入!$D3443="投标保证金",数据录入!$D3443="合同履约保证金",ISNUMBER(FIND("保证金",数据录入!$E3443))),1,0))</f>
      </c>
      <c r="R3443" s="44">
        <f>IF(AND($Q3443=1,数据录入!$B3443&gt;=$B$2,数据录入!$B3443&lt;=$D$2),N(R3442)+1,N(R3442))</f>
      </c>
    </row>
    <row r="3444" s="44" customFormat="1" spans="1:23">
      <c r="A3444" s="116"/>
      <c r="E3444" s="108"/>
      <c r="F3444" s="114"/>
      <c r="G3444" s="114"/>
      <c r="H3444" s="114"/>
      <c r="Q3444" s="44">
        <f>IF(数据录入!$B3444="",0,IF(OR(数据录入!$D3444="投标保证金",数据录入!$D3444="合同履约保证金",ISNUMBER(FIND("保证金",数据录入!$E3444))),1,0))</f>
      </c>
      <c r="R3444" s="44">
        <f>IF(AND($Q3444=1,数据录入!$B3444&gt;=$B$2,数据录入!$B3444&lt;=$D$2),N(R3443)+1,N(R3443))</f>
      </c>
    </row>
    <row r="3445" s="44" customFormat="1" spans="1:23">
      <c r="A3445" s="116"/>
      <c r="E3445" s="108"/>
      <c r="F3445" s="114"/>
      <c r="G3445" s="114"/>
      <c r="H3445" s="114"/>
      <c r="Q3445" s="44">
        <f>IF(数据录入!$B3445="",0,IF(OR(数据录入!$D3445="投标保证金",数据录入!$D3445="合同履约保证金",ISNUMBER(FIND("保证金",数据录入!$E3445))),1,0))</f>
      </c>
      <c r="R3445" s="44">
        <f>IF(AND($Q3445=1,数据录入!$B3445&gt;=$B$2,数据录入!$B3445&lt;=$D$2),N(R3444)+1,N(R3444))</f>
      </c>
    </row>
    <row r="3446" s="44" customFormat="1" spans="1:23">
      <c r="A3446" s="116"/>
      <c r="E3446" s="108"/>
      <c r="F3446" s="114"/>
      <c r="G3446" s="114"/>
      <c r="H3446" s="114"/>
      <c r="Q3446" s="44">
        <f>IF(数据录入!$B3446="",0,IF(OR(数据录入!$D3446="投标保证金",数据录入!$D3446="合同履约保证金",ISNUMBER(FIND("保证金",数据录入!$E3446))),1,0))</f>
      </c>
      <c r="R3446" s="44">
        <f>IF(AND($Q3446=1,数据录入!$B3446&gt;=$B$2,数据录入!$B3446&lt;=$D$2),N(R3445)+1,N(R3445))</f>
      </c>
    </row>
    <row r="3447" s="44" customFormat="1" spans="1:23">
      <c r="A3447" s="116"/>
      <c r="E3447" s="108"/>
      <c r="F3447" s="114"/>
      <c r="G3447" s="114"/>
      <c r="H3447" s="114"/>
      <c r="Q3447" s="44">
        <f>IF(数据录入!$B3447="",0,IF(OR(数据录入!$D3447="投标保证金",数据录入!$D3447="合同履约保证金",ISNUMBER(FIND("保证金",数据录入!$E3447))),1,0))</f>
      </c>
      <c r="R3447" s="44">
        <f>IF(AND($Q3447=1,数据录入!$B3447&gt;=$B$2,数据录入!$B3447&lt;=$D$2),N(R3446)+1,N(R3446))</f>
      </c>
    </row>
    <row r="3448" s="44" customFormat="1" spans="1:23">
      <c r="A3448" s="116"/>
      <c r="E3448" s="108"/>
      <c r="F3448" s="114"/>
      <c r="G3448" s="114"/>
      <c r="H3448" s="114"/>
      <c r="Q3448" s="44">
        <f>IF(数据录入!$B3448="",0,IF(OR(数据录入!$D3448="投标保证金",数据录入!$D3448="合同履约保证金",ISNUMBER(FIND("保证金",数据录入!$E3448))),1,0))</f>
      </c>
      <c r="R3448" s="44">
        <f>IF(AND($Q3448=1,数据录入!$B3448&gt;=$B$2,数据录入!$B3448&lt;=$D$2),N(R3447)+1,N(R3447))</f>
      </c>
    </row>
    <row r="3449" s="44" customFormat="1" spans="1:23">
      <c r="A3449" s="116"/>
      <c r="E3449" s="108"/>
      <c r="F3449" s="114"/>
      <c r="G3449" s="114"/>
      <c r="H3449" s="114"/>
      <c r="Q3449" s="44">
        <f>IF(数据录入!$B3449="",0,IF(OR(数据录入!$D3449="投标保证金",数据录入!$D3449="合同履约保证金",ISNUMBER(FIND("保证金",数据录入!$E3449))),1,0))</f>
      </c>
      <c r="R3449" s="44">
        <f>IF(AND($Q3449=1,数据录入!$B3449&gt;=$B$2,数据录入!$B3449&lt;=$D$2),N(R3448)+1,N(R3448))</f>
      </c>
    </row>
    <row r="3450" s="44" customFormat="1" spans="1:23">
      <c r="A3450" s="116"/>
      <c r="E3450" s="108"/>
      <c r="F3450" s="114"/>
      <c r="G3450" s="114"/>
      <c r="H3450" s="114"/>
      <c r="Q3450" s="44">
        <f>IF(数据录入!$B3450="",0,IF(OR(数据录入!$D3450="投标保证金",数据录入!$D3450="合同履约保证金",ISNUMBER(FIND("保证金",数据录入!$E3450))),1,0))</f>
      </c>
      <c r="R3450" s="44">
        <f>IF(AND($Q3450=1,数据录入!$B3450&gt;=$B$2,数据录入!$B3450&lt;=$D$2),N(R3449)+1,N(R3449))</f>
      </c>
    </row>
    <row r="3451" s="44" customFormat="1" spans="1:23">
      <c r="A3451" s="116"/>
      <c r="E3451" s="108"/>
      <c r="F3451" s="114"/>
      <c r="G3451" s="114"/>
      <c r="H3451" s="114"/>
      <c r="Q3451" s="44">
        <f>IF(数据录入!$B3451="",0,IF(OR(数据录入!$D3451="投标保证金",数据录入!$D3451="合同履约保证金",ISNUMBER(FIND("保证金",数据录入!$E3451))),1,0))</f>
      </c>
      <c r="R3451" s="44">
        <f>IF(AND($Q3451=1,数据录入!$B3451&gt;=$B$2,数据录入!$B3451&lt;=$D$2),N(R3450)+1,N(R3450))</f>
      </c>
    </row>
    <row r="3452" s="44" customFormat="1" spans="1:23">
      <c r="A3452" s="116"/>
      <c r="E3452" s="108"/>
      <c r="F3452" s="114"/>
      <c r="G3452" s="114"/>
      <c r="H3452" s="114"/>
      <c r="Q3452" s="44">
        <f>IF(数据录入!$B3452="",0,IF(OR(数据录入!$D3452="投标保证金",数据录入!$D3452="合同履约保证金",ISNUMBER(FIND("保证金",数据录入!$E3452))),1,0))</f>
      </c>
      <c r="R3452" s="44">
        <f>IF(AND($Q3452=1,数据录入!$B3452&gt;=$B$2,数据录入!$B3452&lt;=$D$2),N(R3451)+1,N(R3451))</f>
      </c>
    </row>
    <row r="3453" s="44" customFormat="1" spans="1:23">
      <c r="A3453" s="116"/>
      <c r="E3453" s="108"/>
      <c r="F3453" s="114"/>
      <c r="G3453" s="114"/>
      <c r="H3453" s="114"/>
      <c r="Q3453" s="44">
        <f>IF(数据录入!$B3453="",0,IF(OR(数据录入!$D3453="投标保证金",数据录入!$D3453="合同履约保证金",ISNUMBER(FIND("保证金",数据录入!$E3453))),1,0))</f>
      </c>
      <c r="R3453" s="44">
        <f>IF(AND($Q3453=1,数据录入!$B3453&gt;=$B$2,数据录入!$B3453&lt;=$D$2),N(R3452)+1,N(R3452))</f>
      </c>
    </row>
    <row r="3454" s="44" customFormat="1" spans="1:23">
      <c r="A3454" s="116"/>
      <c r="E3454" s="108"/>
      <c r="F3454" s="114"/>
      <c r="G3454" s="114"/>
      <c r="H3454" s="114"/>
      <c r="Q3454" s="44">
        <f>IF(数据录入!$B3454="",0,IF(OR(数据录入!$D3454="投标保证金",数据录入!$D3454="合同履约保证金",ISNUMBER(FIND("保证金",数据录入!$E3454))),1,0))</f>
      </c>
      <c r="R3454" s="44">
        <f>IF(AND($Q3454=1,数据录入!$B3454&gt;=$B$2,数据录入!$B3454&lt;=$D$2),N(R3453)+1,N(R3453))</f>
      </c>
    </row>
    <row r="3455" s="44" customFormat="1" spans="1:23">
      <c r="A3455" s="116"/>
      <c r="E3455" s="108"/>
      <c r="F3455" s="114"/>
      <c r="G3455" s="114"/>
      <c r="H3455" s="114"/>
      <c r="Q3455" s="44">
        <f>IF(数据录入!$B3455="",0,IF(OR(数据录入!$D3455="投标保证金",数据录入!$D3455="合同履约保证金",ISNUMBER(FIND("保证金",数据录入!$E3455))),1,0))</f>
      </c>
      <c r="R3455" s="44">
        <f>IF(AND($Q3455=1,数据录入!$B3455&gt;=$B$2,数据录入!$B3455&lt;=$D$2),N(R3454)+1,N(R3454))</f>
      </c>
    </row>
    <row r="3456" s="44" customFormat="1" spans="1:23">
      <c r="A3456" s="116"/>
      <c r="E3456" s="108"/>
      <c r="F3456" s="114"/>
      <c r="G3456" s="114"/>
      <c r="H3456" s="114"/>
      <c r="Q3456" s="44">
        <f>IF(数据录入!$B3456="",0,IF(OR(数据录入!$D3456="投标保证金",数据录入!$D3456="合同履约保证金",ISNUMBER(FIND("保证金",数据录入!$E3456))),1,0))</f>
      </c>
      <c r="R3456" s="44">
        <f>IF(AND($Q3456=1,数据录入!$B3456&gt;=$B$2,数据录入!$B3456&lt;=$D$2),N(R3455)+1,N(R3455))</f>
      </c>
    </row>
    <row r="3457" s="44" customFormat="1" spans="1:23">
      <c r="A3457" s="116"/>
      <c r="E3457" s="108"/>
      <c r="F3457" s="114"/>
      <c r="G3457" s="114"/>
      <c r="H3457" s="114"/>
      <c r="Q3457" s="44">
        <f>IF(数据录入!$B3457="",0,IF(OR(数据录入!$D3457="投标保证金",数据录入!$D3457="合同履约保证金",ISNUMBER(FIND("保证金",数据录入!$E3457))),1,0))</f>
      </c>
      <c r="R3457" s="44">
        <f>IF(AND($Q3457=1,数据录入!$B3457&gt;=$B$2,数据录入!$B3457&lt;=$D$2),N(R3456)+1,N(R3456))</f>
      </c>
    </row>
    <row r="3458" s="44" customFormat="1" spans="1:23">
      <c r="A3458" s="116"/>
      <c r="E3458" s="108"/>
      <c r="F3458" s="114"/>
      <c r="G3458" s="114"/>
      <c r="H3458" s="114"/>
      <c r="Q3458" s="44">
        <f>IF(数据录入!$B3458="",0,IF(OR(数据录入!$D3458="投标保证金",数据录入!$D3458="合同履约保证金",ISNUMBER(FIND("保证金",数据录入!$E3458))),1,0))</f>
      </c>
      <c r="R3458" s="44">
        <f>IF(AND($Q3458=1,数据录入!$B3458&gt;=$B$2,数据录入!$B3458&lt;=$D$2),N(R3457)+1,N(R3457))</f>
      </c>
    </row>
    <row r="3459" s="44" customFormat="1" spans="1:23">
      <c r="A3459" s="116"/>
      <c r="E3459" s="108"/>
      <c r="F3459" s="114"/>
      <c r="G3459" s="114"/>
      <c r="H3459" s="114"/>
      <c r="Q3459" s="44">
        <f>IF(数据录入!$B3459="",0,IF(OR(数据录入!$D3459="投标保证金",数据录入!$D3459="合同履约保证金",ISNUMBER(FIND("保证金",数据录入!$E3459))),1,0))</f>
      </c>
      <c r="R3459" s="44">
        <f>IF(AND($Q3459=1,数据录入!$B3459&gt;=$B$2,数据录入!$B3459&lt;=$D$2),N(R3458)+1,N(R3458))</f>
      </c>
    </row>
    <row r="3460" s="44" customFormat="1" spans="1:23">
      <c r="A3460" s="116"/>
      <c r="E3460" s="108"/>
      <c r="F3460" s="114"/>
      <c r="G3460" s="114"/>
      <c r="H3460" s="114"/>
      <c r="Q3460" s="44">
        <f>IF(数据录入!$B3460="",0,IF(OR(数据录入!$D3460="投标保证金",数据录入!$D3460="合同履约保证金",ISNUMBER(FIND("保证金",数据录入!$E3460))),1,0))</f>
      </c>
      <c r="R3460" s="44">
        <f>IF(AND($Q3460=1,数据录入!$B3460&gt;=$B$2,数据录入!$B3460&lt;=$D$2),N(R3459)+1,N(R3459))</f>
      </c>
    </row>
    <row r="3461" s="44" customFormat="1" spans="1:23">
      <c r="A3461" s="116"/>
      <c r="E3461" s="108"/>
      <c r="F3461" s="114"/>
      <c r="G3461" s="114"/>
      <c r="H3461" s="114"/>
      <c r="Q3461" s="44">
        <f>IF(数据录入!$B3461="",0,IF(OR(数据录入!$D3461="投标保证金",数据录入!$D3461="合同履约保证金",ISNUMBER(FIND("保证金",数据录入!$E3461))),1,0))</f>
      </c>
      <c r="R3461" s="44">
        <f>IF(AND($Q3461=1,数据录入!$B3461&gt;=$B$2,数据录入!$B3461&lt;=$D$2),N(R3460)+1,N(R3460))</f>
      </c>
    </row>
    <row r="3462" s="44" customFormat="1" spans="1:23">
      <c r="A3462" s="116"/>
      <c r="E3462" s="108"/>
      <c r="F3462" s="114"/>
      <c r="G3462" s="114"/>
      <c r="H3462" s="114"/>
      <c r="Q3462" s="44">
        <f>IF(数据录入!$B3462="",0,IF(OR(数据录入!$D3462="投标保证金",数据录入!$D3462="合同履约保证金",ISNUMBER(FIND("保证金",数据录入!$E3462))),1,0))</f>
      </c>
      <c r="R3462" s="44">
        <f>IF(AND($Q3462=1,数据录入!$B3462&gt;=$B$2,数据录入!$B3462&lt;=$D$2),N(R3461)+1,N(R3461))</f>
      </c>
    </row>
    <row r="3463" s="44" customFormat="1" spans="1:23">
      <c r="A3463" s="116"/>
      <c r="E3463" s="108"/>
      <c r="F3463" s="114"/>
      <c r="G3463" s="114"/>
      <c r="H3463" s="114"/>
      <c r="Q3463" s="44">
        <f>IF(数据录入!$B3463="",0,IF(OR(数据录入!$D3463="投标保证金",数据录入!$D3463="合同履约保证金",ISNUMBER(FIND("保证金",数据录入!$E3463))),1,0))</f>
      </c>
      <c r="R3463" s="44">
        <f>IF(AND($Q3463=1,数据录入!$B3463&gt;=$B$2,数据录入!$B3463&lt;=$D$2),N(R3462)+1,N(R3462))</f>
      </c>
    </row>
    <row r="3464" s="44" customFormat="1" spans="1:23">
      <c r="A3464" s="116"/>
      <c r="E3464" s="108"/>
      <c r="F3464" s="114"/>
      <c r="G3464" s="114"/>
      <c r="H3464" s="114"/>
      <c r="Q3464" s="44">
        <f>IF(数据录入!$B3464="",0,IF(OR(数据录入!$D3464="投标保证金",数据录入!$D3464="合同履约保证金",ISNUMBER(FIND("保证金",数据录入!$E3464))),1,0))</f>
      </c>
      <c r="R3464" s="44">
        <f>IF(AND($Q3464=1,数据录入!$B3464&gt;=$B$2,数据录入!$B3464&lt;=$D$2),N(R3463)+1,N(R3463))</f>
      </c>
    </row>
    <row r="3465" s="44" customFormat="1" spans="1:23">
      <c r="A3465" s="116"/>
      <c r="E3465" s="108"/>
      <c r="F3465" s="114"/>
      <c r="G3465" s="114"/>
      <c r="H3465" s="114"/>
      <c r="Q3465" s="44">
        <f>IF(数据录入!$B3465="",0,IF(OR(数据录入!$D3465="投标保证金",数据录入!$D3465="合同履约保证金",ISNUMBER(FIND("保证金",数据录入!$E3465))),1,0))</f>
      </c>
      <c r="R3465" s="44">
        <f>IF(AND($Q3465=1,数据录入!$B3465&gt;=$B$2,数据录入!$B3465&lt;=$D$2),N(R3464)+1,N(R3464))</f>
      </c>
    </row>
    <row r="3466" s="44" customFormat="1" spans="1:23">
      <c r="A3466" s="116"/>
      <c r="E3466" s="108"/>
      <c r="F3466" s="114"/>
      <c r="G3466" s="114"/>
      <c r="H3466" s="114"/>
      <c r="Q3466" s="44">
        <f>IF(数据录入!$B3466="",0,IF(OR(数据录入!$D3466="投标保证金",数据录入!$D3466="合同履约保证金",ISNUMBER(FIND("保证金",数据录入!$E3466))),1,0))</f>
      </c>
      <c r="R3466" s="44">
        <f>IF(AND($Q3466=1,数据录入!$B3466&gt;=$B$2,数据录入!$B3466&lt;=$D$2),N(R3465)+1,N(R3465))</f>
      </c>
    </row>
    <row r="3467" s="44" customFormat="1" spans="1:23">
      <c r="A3467" s="116"/>
      <c r="E3467" s="108"/>
      <c r="F3467" s="114"/>
      <c r="G3467" s="114"/>
      <c r="H3467" s="114"/>
      <c r="Q3467" s="44">
        <f>IF(数据录入!$B3467="",0,IF(OR(数据录入!$D3467="投标保证金",数据录入!$D3467="合同履约保证金",ISNUMBER(FIND("保证金",数据录入!$E3467))),1,0))</f>
      </c>
      <c r="R3467" s="44">
        <f>IF(AND($Q3467=1,数据录入!$B3467&gt;=$B$2,数据录入!$B3467&lt;=$D$2),N(R3466)+1,N(R3466))</f>
      </c>
    </row>
    <row r="3468" s="44" customFormat="1" spans="1:23">
      <c r="A3468" s="116"/>
      <c r="E3468" s="108"/>
      <c r="F3468" s="114"/>
      <c r="G3468" s="114"/>
      <c r="H3468" s="114"/>
      <c r="Q3468" s="44">
        <f>IF(数据录入!$B3468="",0,IF(OR(数据录入!$D3468="投标保证金",数据录入!$D3468="合同履约保证金",ISNUMBER(FIND("保证金",数据录入!$E3468))),1,0))</f>
      </c>
      <c r="R3468" s="44">
        <f>IF(AND($Q3468=1,数据录入!$B3468&gt;=$B$2,数据录入!$B3468&lt;=$D$2),N(R3467)+1,N(R3467))</f>
      </c>
    </row>
    <row r="3469" s="44" customFormat="1" spans="1:23">
      <c r="A3469" s="116"/>
      <c r="E3469" s="108"/>
      <c r="F3469" s="114"/>
      <c r="G3469" s="114"/>
      <c r="H3469" s="114"/>
      <c r="Q3469" s="44">
        <f>IF(数据录入!$B3469="",0,IF(OR(数据录入!$D3469="投标保证金",数据录入!$D3469="合同履约保证金",ISNUMBER(FIND("保证金",数据录入!$E3469))),1,0))</f>
      </c>
      <c r="R3469" s="44">
        <f>IF(AND($Q3469=1,数据录入!$B3469&gt;=$B$2,数据录入!$B3469&lt;=$D$2),N(R3468)+1,N(R3468))</f>
      </c>
    </row>
    <row r="3470" s="44" customFormat="1" spans="1:23">
      <c r="A3470" s="116"/>
      <c r="E3470" s="108"/>
      <c r="F3470" s="114"/>
      <c r="G3470" s="114"/>
      <c r="H3470" s="114"/>
      <c r="Q3470" s="44">
        <f>IF(数据录入!$B3470="",0,IF(OR(数据录入!$D3470="投标保证金",数据录入!$D3470="合同履约保证金",ISNUMBER(FIND("保证金",数据录入!$E3470))),1,0))</f>
      </c>
      <c r="R3470" s="44">
        <f>IF(AND($Q3470=1,数据录入!$B3470&gt;=$B$2,数据录入!$B3470&lt;=$D$2),N(R3469)+1,N(R3469))</f>
      </c>
    </row>
    <row r="3471" s="44" customFormat="1" spans="1:23">
      <c r="A3471" s="116"/>
      <c r="E3471" s="108"/>
      <c r="F3471" s="114"/>
      <c r="G3471" s="114"/>
      <c r="H3471" s="114"/>
      <c r="Q3471" s="44">
        <f>IF(数据录入!$B3471="",0,IF(OR(数据录入!$D3471="投标保证金",数据录入!$D3471="合同履约保证金",ISNUMBER(FIND("保证金",数据录入!$E3471))),1,0))</f>
      </c>
      <c r="R3471" s="44">
        <f>IF(AND($Q3471=1,数据录入!$B3471&gt;=$B$2,数据录入!$B3471&lt;=$D$2),N(R3470)+1,N(R3470))</f>
      </c>
    </row>
    <row r="3472" s="44" customFormat="1" spans="1:23">
      <c r="A3472" s="116"/>
      <c r="E3472" s="108"/>
      <c r="F3472" s="114"/>
      <c r="G3472" s="114"/>
      <c r="H3472" s="114"/>
      <c r="Q3472" s="44">
        <f>IF(数据录入!$B3472="",0,IF(OR(数据录入!$D3472="投标保证金",数据录入!$D3472="合同履约保证金",ISNUMBER(FIND("保证金",数据录入!$E3472))),1,0))</f>
      </c>
      <c r="R3472" s="44">
        <f>IF(AND($Q3472=1,数据录入!$B3472&gt;=$B$2,数据录入!$B3472&lt;=$D$2),N(R3471)+1,N(R3471))</f>
      </c>
    </row>
    <row r="3473" s="44" customFormat="1" spans="1:23">
      <c r="A3473" s="116"/>
      <c r="E3473" s="108"/>
      <c r="F3473" s="114"/>
      <c r="G3473" s="114"/>
      <c r="H3473" s="114"/>
      <c r="Q3473" s="44">
        <f>IF(数据录入!$B3473="",0,IF(OR(数据录入!$D3473="投标保证金",数据录入!$D3473="合同履约保证金",ISNUMBER(FIND("保证金",数据录入!$E3473))),1,0))</f>
      </c>
      <c r="R3473" s="44">
        <f>IF(AND($Q3473=1,数据录入!$B3473&gt;=$B$2,数据录入!$B3473&lt;=$D$2),N(R3472)+1,N(R3472))</f>
      </c>
    </row>
    <row r="3474" s="44" customFormat="1" spans="1:23">
      <c r="A3474" s="116"/>
      <c r="E3474" s="108"/>
      <c r="F3474" s="114"/>
      <c r="G3474" s="114"/>
      <c r="H3474" s="114"/>
      <c r="Q3474" s="44">
        <f>IF(数据录入!$B3474="",0,IF(OR(数据录入!$D3474="投标保证金",数据录入!$D3474="合同履约保证金",ISNUMBER(FIND("保证金",数据录入!$E3474))),1,0))</f>
      </c>
      <c r="R3474" s="44">
        <f>IF(AND($Q3474=1,数据录入!$B3474&gt;=$B$2,数据录入!$B3474&lt;=$D$2),N(R3473)+1,N(R3473))</f>
      </c>
    </row>
    <row r="3475" s="44" customFormat="1" spans="1:23">
      <c r="A3475" s="116"/>
      <c r="E3475" s="108"/>
      <c r="F3475" s="114"/>
      <c r="G3475" s="114"/>
      <c r="H3475" s="114"/>
      <c r="Q3475" s="44">
        <f>IF(数据录入!$B3475="",0,IF(OR(数据录入!$D3475="投标保证金",数据录入!$D3475="合同履约保证金",ISNUMBER(FIND("保证金",数据录入!$E3475))),1,0))</f>
      </c>
      <c r="R3475" s="44">
        <f>IF(AND($Q3475=1,数据录入!$B3475&gt;=$B$2,数据录入!$B3475&lt;=$D$2),N(R3474)+1,N(R3474))</f>
      </c>
    </row>
    <row r="3476" s="44" customFormat="1" spans="1:23">
      <c r="A3476" s="116"/>
      <c r="E3476" s="108"/>
      <c r="F3476" s="114"/>
      <c r="G3476" s="114"/>
      <c r="H3476" s="114"/>
      <c r="Q3476" s="44">
        <f>IF(数据录入!$B3476="",0,IF(OR(数据录入!$D3476="投标保证金",数据录入!$D3476="合同履约保证金",ISNUMBER(FIND("保证金",数据录入!$E3476))),1,0))</f>
      </c>
      <c r="R3476" s="44">
        <f>IF(AND($Q3476=1,数据录入!$B3476&gt;=$B$2,数据录入!$B3476&lt;=$D$2),N(R3475)+1,N(R3475))</f>
      </c>
    </row>
    <row r="3477" s="44" customFormat="1" spans="1:23">
      <c r="A3477" s="116"/>
      <c r="E3477" s="108"/>
      <c r="F3477" s="114"/>
      <c r="G3477" s="114"/>
      <c r="H3477" s="114"/>
      <c r="Q3477" s="44">
        <f>IF(数据录入!$B3477="",0,IF(OR(数据录入!$D3477="投标保证金",数据录入!$D3477="合同履约保证金",ISNUMBER(FIND("保证金",数据录入!$E3477))),1,0))</f>
      </c>
      <c r="R3477" s="44">
        <f>IF(AND($Q3477=1,数据录入!$B3477&gt;=$B$2,数据录入!$B3477&lt;=$D$2),N(R3476)+1,N(R3476))</f>
      </c>
    </row>
    <row r="3478" s="44" customFormat="1" spans="1:23">
      <c r="A3478" s="116"/>
      <c r="E3478" s="108"/>
      <c r="F3478" s="114"/>
      <c r="G3478" s="114"/>
      <c r="H3478" s="114"/>
      <c r="Q3478" s="44">
        <f>IF(数据录入!$B3478="",0,IF(OR(数据录入!$D3478="投标保证金",数据录入!$D3478="合同履约保证金",ISNUMBER(FIND("保证金",数据录入!$E3478))),1,0))</f>
      </c>
      <c r="R3478" s="44">
        <f>IF(AND($Q3478=1,数据录入!$B3478&gt;=$B$2,数据录入!$B3478&lt;=$D$2),N(R3477)+1,N(R3477))</f>
      </c>
    </row>
    <row r="3479" s="44" customFormat="1" spans="1:23">
      <c r="A3479" s="116"/>
      <c r="E3479" s="108"/>
      <c r="F3479" s="114"/>
      <c r="G3479" s="114"/>
      <c r="H3479" s="114"/>
      <c r="Q3479" s="44">
        <f>IF(数据录入!$B3479="",0,IF(OR(数据录入!$D3479="投标保证金",数据录入!$D3479="合同履约保证金",ISNUMBER(FIND("保证金",数据录入!$E3479))),1,0))</f>
      </c>
      <c r="R3479" s="44">
        <f>IF(AND($Q3479=1,数据录入!$B3479&gt;=$B$2,数据录入!$B3479&lt;=$D$2),N(R3478)+1,N(R3478))</f>
      </c>
    </row>
    <row r="3480" s="44" customFormat="1" spans="1:23">
      <c r="A3480" s="116"/>
      <c r="E3480" s="108"/>
      <c r="F3480" s="114"/>
      <c r="G3480" s="114"/>
      <c r="H3480" s="114"/>
      <c r="Q3480" s="44">
        <f>IF(数据录入!$B3480="",0,IF(OR(数据录入!$D3480="投标保证金",数据录入!$D3480="合同履约保证金",ISNUMBER(FIND("保证金",数据录入!$E3480))),1,0))</f>
      </c>
      <c r="R3480" s="44">
        <f>IF(AND($Q3480=1,数据录入!$B3480&gt;=$B$2,数据录入!$B3480&lt;=$D$2),N(R3479)+1,N(R3479))</f>
      </c>
    </row>
    <row r="3481" s="44" customFormat="1" spans="1:23">
      <c r="A3481" s="116"/>
      <c r="E3481" s="108"/>
      <c r="F3481" s="114"/>
      <c r="G3481" s="114"/>
      <c r="H3481" s="114"/>
      <c r="Q3481" s="44">
        <f>IF(数据录入!$B3481="",0,IF(OR(数据录入!$D3481="投标保证金",数据录入!$D3481="合同履约保证金",ISNUMBER(FIND("保证金",数据录入!$E3481))),1,0))</f>
      </c>
      <c r="R3481" s="44">
        <f>IF(AND($Q3481=1,数据录入!$B3481&gt;=$B$2,数据录入!$B3481&lt;=$D$2),N(R3480)+1,N(R3480))</f>
      </c>
    </row>
    <row r="3482" s="44" customFormat="1" spans="1:23">
      <c r="A3482" s="116"/>
      <c r="E3482" s="108"/>
      <c r="F3482" s="114"/>
      <c r="G3482" s="114"/>
      <c r="H3482" s="114"/>
      <c r="Q3482" s="44">
        <f>IF(数据录入!$B3482="",0,IF(OR(数据录入!$D3482="投标保证金",数据录入!$D3482="合同履约保证金",ISNUMBER(FIND("保证金",数据录入!$E3482))),1,0))</f>
      </c>
      <c r="R3482" s="44">
        <f>IF(AND($Q3482=1,数据录入!$B3482&gt;=$B$2,数据录入!$B3482&lt;=$D$2),N(R3481)+1,N(R3481))</f>
      </c>
    </row>
    <row r="3483" s="44" customFormat="1" spans="1:23">
      <c r="A3483" s="116"/>
      <c r="E3483" s="108"/>
      <c r="F3483" s="114"/>
      <c r="G3483" s="114"/>
      <c r="H3483" s="114"/>
      <c r="Q3483" s="44">
        <f>IF(数据录入!$B3483="",0,IF(OR(数据录入!$D3483="投标保证金",数据录入!$D3483="合同履约保证金",ISNUMBER(FIND("保证金",数据录入!$E3483))),1,0))</f>
      </c>
      <c r="R3483" s="44">
        <f>IF(AND($Q3483=1,数据录入!$B3483&gt;=$B$2,数据录入!$B3483&lt;=$D$2),N(R3482)+1,N(R3482))</f>
      </c>
    </row>
    <row r="3484" s="44" customFormat="1" spans="1:23">
      <c r="A3484" s="116"/>
      <c r="E3484" s="108"/>
      <c r="F3484" s="114"/>
      <c r="G3484" s="114"/>
      <c r="H3484" s="114"/>
      <c r="Q3484" s="44">
        <f>IF(数据录入!$B3484="",0,IF(OR(数据录入!$D3484="投标保证金",数据录入!$D3484="合同履约保证金",ISNUMBER(FIND("保证金",数据录入!$E3484))),1,0))</f>
      </c>
      <c r="R3484" s="44">
        <f>IF(AND($Q3484=1,数据录入!$B3484&gt;=$B$2,数据录入!$B3484&lt;=$D$2),N(R3483)+1,N(R3483))</f>
      </c>
    </row>
    <row r="3485" s="44" customFormat="1" spans="1:23">
      <c r="A3485" s="116"/>
      <c r="E3485" s="108"/>
      <c r="F3485" s="114"/>
      <c r="G3485" s="114"/>
      <c r="H3485" s="114"/>
      <c r="Q3485" s="44">
        <f>IF(数据录入!$B3485="",0,IF(OR(数据录入!$D3485="投标保证金",数据录入!$D3485="合同履约保证金",ISNUMBER(FIND("保证金",数据录入!$E3485))),1,0))</f>
      </c>
      <c r="R3485" s="44">
        <f>IF(AND($Q3485=1,数据录入!$B3485&gt;=$B$2,数据录入!$B3485&lt;=$D$2),N(R3484)+1,N(R3484))</f>
      </c>
    </row>
    <row r="3486" s="44" customFormat="1" spans="1:23">
      <c r="A3486" s="116"/>
      <c r="E3486" s="108"/>
      <c r="F3486" s="114"/>
      <c r="G3486" s="114"/>
      <c r="H3486" s="114"/>
      <c r="Q3486" s="44">
        <f>IF(数据录入!$B3486="",0,IF(OR(数据录入!$D3486="投标保证金",数据录入!$D3486="合同履约保证金",ISNUMBER(FIND("保证金",数据录入!$E3486))),1,0))</f>
      </c>
      <c r="R3486" s="44">
        <f>IF(AND($Q3486=1,数据录入!$B3486&gt;=$B$2,数据录入!$B3486&lt;=$D$2),N(R3485)+1,N(R3485))</f>
      </c>
    </row>
    <row r="3487" s="44" customFormat="1" spans="1:23">
      <c r="A3487" s="116"/>
      <c r="E3487" s="108"/>
      <c r="F3487" s="114"/>
      <c r="G3487" s="114"/>
      <c r="H3487" s="114"/>
      <c r="Q3487" s="44">
        <f>IF(数据录入!$B3487="",0,IF(OR(数据录入!$D3487="投标保证金",数据录入!$D3487="合同履约保证金",ISNUMBER(FIND("保证金",数据录入!$E3487))),1,0))</f>
      </c>
      <c r="R3487" s="44">
        <f>IF(AND($Q3487=1,数据录入!$B3487&gt;=$B$2,数据录入!$B3487&lt;=$D$2),N(R3486)+1,N(R3486))</f>
      </c>
    </row>
    <row r="3488" s="44" customFormat="1" spans="1:23">
      <c r="A3488" s="116"/>
      <c r="E3488" s="108"/>
      <c r="F3488" s="114"/>
      <c r="G3488" s="114"/>
      <c r="H3488" s="114"/>
      <c r="Q3488" s="44">
        <f>IF(数据录入!$B3488="",0,IF(OR(数据录入!$D3488="投标保证金",数据录入!$D3488="合同履约保证金",ISNUMBER(FIND("保证金",数据录入!$E3488))),1,0))</f>
      </c>
      <c r="R3488" s="44">
        <f>IF(AND($Q3488=1,数据录入!$B3488&gt;=$B$2,数据录入!$B3488&lt;=$D$2),N(R3487)+1,N(R3487))</f>
      </c>
    </row>
    <row r="3489" s="44" customFormat="1" spans="1:23">
      <c r="A3489" s="116"/>
      <c r="E3489" s="108"/>
      <c r="F3489" s="114"/>
      <c r="G3489" s="114"/>
      <c r="H3489" s="114"/>
      <c r="Q3489" s="44">
        <f>IF(数据录入!$B3489="",0,IF(OR(数据录入!$D3489="投标保证金",数据录入!$D3489="合同履约保证金",ISNUMBER(FIND("保证金",数据录入!$E3489))),1,0))</f>
      </c>
      <c r="R3489" s="44">
        <f>IF(AND($Q3489=1,数据录入!$B3489&gt;=$B$2,数据录入!$B3489&lt;=$D$2),N(R3488)+1,N(R3488))</f>
      </c>
    </row>
    <row r="3490" s="44" customFormat="1" spans="1:23">
      <c r="A3490" s="116"/>
      <c r="E3490" s="108"/>
      <c r="F3490" s="114"/>
      <c r="G3490" s="114"/>
      <c r="H3490" s="114"/>
      <c r="Q3490" s="44">
        <f>IF(数据录入!$B3490="",0,IF(OR(数据录入!$D3490="投标保证金",数据录入!$D3490="合同履约保证金",ISNUMBER(FIND("保证金",数据录入!$E3490))),1,0))</f>
      </c>
      <c r="R3490" s="44">
        <f>IF(AND($Q3490=1,数据录入!$B3490&gt;=$B$2,数据录入!$B3490&lt;=$D$2),N(R3489)+1,N(R3489))</f>
      </c>
    </row>
    <row r="3491" s="44" customFormat="1" spans="1:23">
      <c r="A3491" s="116"/>
      <c r="E3491" s="108"/>
      <c r="F3491" s="114"/>
      <c r="G3491" s="114"/>
      <c r="H3491" s="114"/>
      <c r="Q3491" s="44">
        <f>IF(数据录入!$B3491="",0,IF(OR(数据录入!$D3491="投标保证金",数据录入!$D3491="合同履约保证金",ISNUMBER(FIND("保证金",数据录入!$E3491))),1,0))</f>
      </c>
      <c r="R3491" s="44">
        <f>IF(AND($Q3491=1,数据录入!$B3491&gt;=$B$2,数据录入!$B3491&lt;=$D$2),N(R3490)+1,N(R3490))</f>
      </c>
    </row>
    <row r="3492" s="44" customFormat="1" spans="1:23">
      <c r="A3492" s="116"/>
      <c r="E3492" s="108"/>
      <c r="F3492" s="114"/>
      <c r="G3492" s="114"/>
      <c r="H3492" s="114"/>
      <c r="Q3492" s="44">
        <f>IF(数据录入!$B3492="",0,IF(OR(数据录入!$D3492="投标保证金",数据录入!$D3492="合同履约保证金",ISNUMBER(FIND("保证金",数据录入!$E3492))),1,0))</f>
      </c>
      <c r="R3492" s="44">
        <f>IF(AND($Q3492=1,数据录入!$B3492&gt;=$B$2,数据录入!$B3492&lt;=$D$2),N(R3491)+1,N(R3491))</f>
      </c>
    </row>
    <row r="3493" s="44" customFormat="1" spans="1:23">
      <c r="A3493" s="116"/>
      <c r="E3493" s="108"/>
      <c r="F3493" s="114"/>
      <c r="G3493" s="114"/>
      <c r="H3493" s="114"/>
      <c r="Q3493" s="44">
        <f>IF(数据录入!$B3493="",0,IF(OR(数据录入!$D3493="投标保证金",数据录入!$D3493="合同履约保证金",ISNUMBER(FIND("保证金",数据录入!$E3493))),1,0))</f>
      </c>
      <c r="R3493" s="44">
        <f>IF(AND($Q3493=1,数据录入!$B3493&gt;=$B$2,数据录入!$B3493&lt;=$D$2),N(R3492)+1,N(R3492))</f>
      </c>
    </row>
    <row r="3494" s="44" customFormat="1" spans="1:23">
      <c r="A3494" s="116"/>
      <c r="E3494" s="108"/>
      <c r="F3494" s="114"/>
      <c r="G3494" s="114"/>
      <c r="H3494" s="114"/>
      <c r="Q3494" s="44">
        <f>IF(数据录入!$B3494="",0,IF(OR(数据录入!$D3494="投标保证金",数据录入!$D3494="合同履约保证金",ISNUMBER(FIND("保证金",数据录入!$E3494))),1,0))</f>
      </c>
      <c r="R3494" s="44">
        <f>IF(AND($Q3494=1,数据录入!$B3494&gt;=$B$2,数据录入!$B3494&lt;=$D$2),N(R3493)+1,N(R3493))</f>
      </c>
    </row>
    <row r="3495" s="44" customFormat="1" spans="1:23">
      <c r="A3495" s="116"/>
      <c r="E3495" s="108"/>
      <c r="F3495" s="114"/>
      <c r="G3495" s="114"/>
      <c r="H3495" s="114"/>
      <c r="Q3495" s="44">
        <f>IF(数据录入!$B3495="",0,IF(OR(数据录入!$D3495="投标保证金",数据录入!$D3495="合同履约保证金",ISNUMBER(FIND("保证金",数据录入!$E3495))),1,0))</f>
      </c>
      <c r="R3495" s="44">
        <f>IF(AND($Q3495=1,数据录入!$B3495&gt;=$B$2,数据录入!$B3495&lt;=$D$2),N(R3494)+1,N(R3494))</f>
      </c>
    </row>
    <row r="3496" s="44" customFormat="1" spans="1:23">
      <c r="A3496" s="116"/>
      <c r="E3496" s="108"/>
      <c r="F3496" s="114"/>
      <c r="G3496" s="114"/>
      <c r="H3496" s="114"/>
      <c r="Q3496" s="44">
        <f>IF(数据录入!$B3496="",0,IF(OR(数据录入!$D3496="投标保证金",数据录入!$D3496="合同履约保证金",ISNUMBER(FIND("保证金",数据录入!$E3496))),1,0))</f>
      </c>
      <c r="R3496" s="44">
        <f>IF(AND($Q3496=1,数据录入!$B3496&gt;=$B$2,数据录入!$B3496&lt;=$D$2),N(R3495)+1,N(R3495))</f>
      </c>
    </row>
    <row r="3497" s="44" customFormat="1" spans="1:23">
      <c r="A3497" s="116"/>
      <c r="E3497" s="108"/>
      <c r="F3497" s="114"/>
      <c r="G3497" s="114"/>
      <c r="H3497" s="114"/>
      <c r="Q3497" s="44">
        <f>IF(数据录入!$B3497="",0,IF(OR(数据录入!$D3497="投标保证金",数据录入!$D3497="合同履约保证金",ISNUMBER(FIND("保证金",数据录入!$E3497))),1,0))</f>
      </c>
      <c r="R3497" s="44">
        <f>IF(AND($Q3497=1,数据录入!$B3497&gt;=$B$2,数据录入!$B3497&lt;=$D$2),N(R3496)+1,N(R3496))</f>
      </c>
    </row>
    <row r="3498" s="44" customFormat="1" spans="1:23">
      <c r="A3498" s="116"/>
      <c r="E3498" s="108"/>
      <c r="F3498" s="114"/>
      <c r="G3498" s="114"/>
      <c r="H3498" s="114"/>
      <c r="Q3498" s="44">
        <f>IF(数据录入!$B3498="",0,IF(OR(数据录入!$D3498="投标保证金",数据录入!$D3498="合同履约保证金",ISNUMBER(FIND("保证金",数据录入!$E3498))),1,0))</f>
      </c>
      <c r="R3498" s="44">
        <f>IF(AND($Q3498=1,数据录入!$B3498&gt;=$B$2,数据录入!$B3498&lt;=$D$2),N(R3497)+1,N(R3497))</f>
      </c>
    </row>
    <row r="3499" s="44" customFormat="1" spans="1:23">
      <c r="A3499" s="116"/>
      <c r="E3499" s="108"/>
      <c r="F3499" s="114"/>
      <c r="G3499" s="114"/>
      <c r="H3499" s="114"/>
      <c r="Q3499" s="44">
        <f>IF(数据录入!$B3499="",0,IF(OR(数据录入!$D3499="投标保证金",数据录入!$D3499="合同履约保证金",ISNUMBER(FIND("保证金",数据录入!$E3499))),1,0))</f>
      </c>
      <c r="R3499" s="44">
        <f>IF(AND($Q3499=1,数据录入!$B3499&gt;=$B$2,数据录入!$B3499&lt;=$D$2),N(R3498)+1,N(R3498))</f>
      </c>
    </row>
    <row r="3500" s="44" customFormat="1" spans="1:23">
      <c r="A3500" s="116"/>
      <c r="E3500" s="108"/>
      <c r="F3500" s="114"/>
      <c r="G3500" s="114"/>
      <c r="H3500" s="114"/>
      <c r="Q3500" s="44">
        <f>IF(数据录入!$B3500="",0,IF(OR(数据录入!$D3500="投标保证金",数据录入!$D3500="合同履约保证金",ISNUMBER(FIND("保证金",数据录入!$E3500))),1,0))</f>
      </c>
      <c r="R3500" s="44">
        <f>IF(AND($Q3500=1,数据录入!$B3500&gt;=$B$2,数据录入!$B3500&lt;=$D$2),N(R3499)+1,N(R3499))</f>
      </c>
    </row>
    <row r="3501" s="44" customFormat="1" spans="1:23">
      <c r="A3501" s="116"/>
      <c r="E3501" s="108"/>
      <c r="F3501" s="114"/>
      <c r="G3501" s="114"/>
      <c r="H3501" s="114"/>
      <c r="Q3501" s="44">
        <f>IF(数据录入!$B3501="",0,IF(OR(数据录入!$D3501="投标保证金",数据录入!$D3501="合同履约保证金",ISNUMBER(FIND("保证金",数据录入!$E3501))),1,0))</f>
      </c>
      <c r="R3501" s="44">
        <f>IF(AND($Q3501=1,数据录入!$B3501&gt;=$B$2,数据录入!$B3501&lt;=$D$2),N(R3500)+1,N(R3500))</f>
      </c>
    </row>
    <row r="3502" s="44" customFormat="1" spans="1:23">
      <c r="A3502" s="116"/>
      <c r="E3502" s="108"/>
      <c r="F3502" s="114"/>
      <c r="G3502" s="114"/>
      <c r="H3502" s="114"/>
      <c r="Q3502" s="44">
        <f>IF(数据录入!$B3502="",0,IF(OR(数据录入!$D3502="投标保证金",数据录入!$D3502="合同履约保证金",ISNUMBER(FIND("保证金",数据录入!$E3502))),1,0))</f>
      </c>
      <c r="R3502" s="44">
        <f>IF(AND($Q3502=1,数据录入!$B3502&gt;=$B$2,数据录入!$B3502&lt;=$D$2),N(R3501)+1,N(R3501))</f>
      </c>
    </row>
    <row r="3503" s="44" customFormat="1" spans="1:23">
      <c r="A3503" s="116"/>
      <c r="E3503" s="108"/>
      <c r="F3503" s="114"/>
      <c r="G3503" s="114"/>
      <c r="H3503" s="114"/>
      <c r="Q3503" s="44">
        <f>IF(数据录入!$B3503="",0,IF(OR(数据录入!$D3503="投标保证金",数据录入!$D3503="合同履约保证金",ISNUMBER(FIND("保证金",数据录入!$E3503))),1,0))</f>
      </c>
      <c r="R3503" s="44">
        <f>IF(AND($Q3503=1,数据录入!$B3503&gt;=$B$2,数据录入!$B3503&lt;=$D$2),N(R3502)+1,N(R3502))</f>
      </c>
    </row>
    <row r="3504" s="44" customFormat="1" spans="1:23">
      <c r="A3504" s="116"/>
      <c r="E3504" s="108"/>
      <c r="F3504" s="114"/>
      <c r="G3504" s="114"/>
      <c r="H3504" s="114"/>
      <c r="Q3504" s="44">
        <f>IF(数据录入!$B3504="",0,IF(OR(数据录入!$D3504="投标保证金",数据录入!$D3504="合同履约保证金",ISNUMBER(FIND("保证金",数据录入!$E3504))),1,0))</f>
      </c>
      <c r="R3504" s="44">
        <f>IF(AND($Q3504=1,数据录入!$B3504&gt;=$B$2,数据录入!$B3504&lt;=$D$2),N(R3503)+1,N(R3503))</f>
      </c>
    </row>
    <row r="3505" s="44" customFormat="1" spans="1:23">
      <c r="A3505" s="116"/>
      <c r="E3505" s="108"/>
      <c r="F3505" s="114"/>
      <c r="G3505" s="114"/>
      <c r="H3505" s="114"/>
      <c r="Q3505" s="44">
        <f>IF(数据录入!$B3505="",0,IF(OR(数据录入!$D3505="投标保证金",数据录入!$D3505="合同履约保证金",ISNUMBER(FIND("保证金",数据录入!$E3505))),1,0))</f>
      </c>
      <c r="R3505" s="44">
        <f>IF(AND($Q3505=1,数据录入!$B3505&gt;=$B$2,数据录入!$B3505&lt;=$D$2),N(R3504)+1,N(R3504))</f>
      </c>
    </row>
    <row r="3506" s="44" customFormat="1" spans="1:23">
      <c r="A3506" s="116"/>
      <c r="E3506" s="108"/>
      <c r="F3506" s="114"/>
      <c r="G3506" s="114"/>
      <c r="H3506" s="114"/>
      <c r="Q3506" s="44">
        <f>IF(数据录入!$B3506="",0,IF(OR(数据录入!$D3506="投标保证金",数据录入!$D3506="合同履约保证金",ISNUMBER(FIND("保证金",数据录入!$E3506))),1,0))</f>
      </c>
      <c r="R3506" s="44">
        <f>IF(AND($Q3506=1,数据录入!$B3506&gt;=$B$2,数据录入!$B3506&lt;=$D$2),N(R3505)+1,N(R3505))</f>
      </c>
    </row>
    <row r="3507" s="44" customFormat="1" spans="1:23">
      <c r="A3507" s="116"/>
      <c r="E3507" s="108"/>
      <c r="F3507" s="114"/>
      <c r="G3507" s="114"/>
      <c r="H3507" s="114"/>
      <c r="Q3507" s="44">
        <f>IF(数据录入!$B3507="",0,IF(OR(数据录入!$D3507="投标保证金",数据录入!$D3507="合同履约保证金",ISNUMBER(FIND("保证金",数据录入!$E3507))),1,0))</f>
      </c>
      <c r="R3507" s="44">
        <f>IF(AND($Q3507=1,数据录入!$B3507&gt;=$B$2,数据录入!$B3507&lt;=$D$2),N(R3506)+1,N(R3506))</f>
      </c>
    </row>
    <row r="3508" s="44" customFormat="1" spans="1:23">
      <c r="A3508" s="116"/>
      <c r="E3508" s="108"/>
      <c r="F3508" s="114"/>
      <c r="G3508" s="114"/>
      <c r="H3508" s="114"/>
      <c r="Q3508" s="44">
        <f>IF(数据录入!$B3508="",0,IF(OR(数据录入!$D3508="投标保证金",数据录入!$D3508="合同履约保证金",ISNUMBER(FIND("保证金",数据录入!$E3508))),1,0))</f>
      </c>
      <c r="R3508" s="44">
        <f>IF(AND($Q3508=1,数据录入!$B3508&gt;=$B$2,数据录入!$B3508&lt;=$D$2),N(R3507)+1,N(R3507))</f>
      </c>
    </row>
    <row r="3509" s="44" customFormat="1" spans="1:23">
      <c r="A3509" s="116"/>
      <c r="E3509" s="108"/>
      <c r="F3509" s="114"/>
      <c r="G3509" s="114"/>
      <c r="H3509" s="114"/>
      <c r="Q3509" s="44">
        <f>IF(数据录入!$B3509="",0,IF(OR(数据录入!$D3509="投标保证金",数据录入!$D3509="合同履约保证金",ISNUMBER(FIND("保证金",数据录入!$E3509))),1,0))</f>
      </c>
      <c r="R3509" s="44">
        <f>IF(AND($Q3509=1,数据录入!$B3509&gt;=$B$2,数据录入!$B3509&lt;=$D$2),N(R3508)+1,N(R3508))</f>
      </c>
    </row>
    <row r="3510" s="44" customFormat="1" spans="1:23">
      <c r="A3510" s="116"/>
      <c r="E3510" s="108"/>
      <c r="F3510" s="114"/>
      <c r="G3510" s="114"/>
      <c r="H3510" s="114"/>
      <c r="Q3510" s="44">
        <f>IF(数据录入!$B3510="",0,IF(OR(数据录入!$D3510="投标保证金",数据录入!$D3510="合同履约保证金",ISNUMBER(FIND("保证金",数据录入!$E3510))),1,0))</f>
      </c>
      <c r="R3510" s="44">
        <f>IF(AND($Q3510=1,数据录入!$B3510&gt;=$B$2,数据录入!$B3510&lt;=$D$2),N(R3509)+1,N(R3509))</f>
      </c>
    </row>
    <row r="3511" s="44" customFormat="1" spans="1:23">
      <c r="A3511" s="116"/>
      <c r="E3511" s="108"/>
      <c r="F3511" s="114"/>
      <c r="G3511" s="114"/>
      <c r="H3511" s="114"/>
      <c r="Q3511" s="44">
        <f>IF(数据录入!$B3511="",0,IF(OR(数据录入!$D3511="投标保证金",数据录入!$D3511="合同履约保证金",ISNUMBER(FIND("保证金",数据录入!$E3511))),1,0))</f>
      </c>
      <c r="R3511" s="44">
        <f>IF(AND($Q3511=1,数据录入!$B3511&gt;=$B$2,数据录入!$B3511&lt;=$D$2),N(R3510)+1,N(R3510))</f>
      </c>
    </row>
    <row r="3512" s="44" customFormat="1" spans="1:23">
      <c r="A3512" s="116"/>
      <c r="E3512" s="108"/>
      <c r="F3512" s="114"/>
      <c r="G3512" s="114"/>
      <c r="H3512" s="114"/>
      <c r="Q3512" s="44">
        <f>IF(数据录入!$B3512="",0,IF(OR(数据录入!$D3512="投标保证金",数据录入!$D3512="合同履约保证金",ISNUMBER(FIND("保证金",数据录入!$E3512))),1,0))</f>
      </c>
      <c r="R3512" s="44">
        <f>IF(AND($Q3512=1,数据录入!$B3512&gt;=$B$2,数据录入!$B3512&lt;=$D$2),N(R3511)+1,N(R3511))</f>
      </c>
    </row>
    <row r="3513" s="44" customFormat="1" spans="1:23">
      <c r="A3513" s="116"/>
      <c r="E3513" s="108"/>
      <c r="F3513" s="114"/>
      <c r="G3513" s="114"/>
      <c r="H3513" s="114"/>
      <c r="Q3513" s="44">
        <f>IF(数据录入!$B3513="",0,IF(OR(数据录入!$D3513="投标保证金",数据录入!$D3513="合同履约保证金",ISNUMBER(FIND("保证金",数据录入!$E3513))),1,0))</f>
      </c>
      <c r="R3513" s="44">
        <f>IF(AND($Q3513=1,数据录入!$B3513&gt;=$B$2,数据录入!$B3513&lt;=$D$2),N(R3512)+1,N(R3512))</f>
      </c>
    </row>
    <row r="3514" s="44" customFormat="1" spans="1:23">
      <c r="A3514" s="116"/>
      <c r="E3514" s="108"/>
      <c r="F3514" s="114"/>
      <c r="G3514" s="114"/>
      <c r="H3514" s="114"/>
      <c r="Q3514" s="44">
        <f>IF(数据录入!$B3514="",0,IF(OR(数据录入!$D3514="投标保证金",数据录入!$D3514="合同履约保证金",ISNUMBER(FIND("保证金",数据录入!$E3514))),1,0))</f>
      </c>
      <c r="R3514" s="44">
        <f>IF(AND($Q3514=1,数据录入!$B3514&gt;=$B$2,数据录入!$B3514&lt;=$D$2),N(R3513)+1,N(R3513))</f>
      </c>
    </row>
    <row r="3515" s="44" customFormat="1" spans="1:23">
      <c r="A3515" s="116"/>
      <c r="E3515" s="108"/>
      <c r="F3515" s="114"/>
      <c r="G3515" s="114"/>
      <c r="H3515" s="114"/>
      <c r="Q3515" s="44">
        <f>IF(数据录入!$B3515="",0,IF(OR(数据录入!$D3515="投标保证金",数据录入!$D3515="合同履约保证金",ISNUMBER(FIND("保证金",数据录入!$E3515))),1,0))</f>
      </c>
      <c r="R3515" s="44">
        <f>IF(AND($Q3515=1,数据录入!$B3515&gt;=$B$2,数据录入!$B3515&lt;=$D$2),N(R3514)+1,N(R3514))</f>
      </c>
    </row>
    <row r="3516" s="44" customFormat="1" spans="1:23">
      <c r="A3516" s="116"/>
      <c r="E3516" s="108"/>
      <c r="F3516" s="114"/>
      <c r="G3516" s="114"/>
      <c r="H3516" s="114"/>
      <c r="Q3516" s="44">
        <f>IF(数据录入!$B3516="",0,IF(OR(数据录入!$D3516="投标保证金",数据录入!$D3516="合同履约保证金",ISNUMBER(FIND("保证金",数据录入!$E3516))),1,0))</f>
      </c>
      <c r="R3516" s="44">
        <f>IF(AND($Q3516=1,数据录入!$B3516&gt;=$B$2,数据录入!$B3516&lt;=$D$2),N(R3515)+1,N(R3515))</f>
      </c>
    </row>
    <row r="3517" s="44" customFormat="1" spans="1:23">
      <c r="A3517" s="116"/>
      <c r="E3517" s="108"/>
      <c r="F3517" s="114"/>
      <c r="G3517" s="114"/>
      <c r="H3517" s="114"/>
      <c r="Q3517" s="44">
        <f>IF(数据录入!$B3517="",0,IF(OR(数据录入!$D3517="投标保证金",数据录入!$D3517="合同履约保证金",ISNUMBER(FIND("保证金",数据录入!$E3517))),1,0))</f>
      </c>
      <c r="R3517" s="44">
        <f>IF(AND($Q3517=1,数据录入!$B3517&gt;=$B$2,数据录入!$B3517&lt;=$D$2),N(R3516)+1,N(R3516))</f>
      </c>
    </row>
    <row r="3518" s="44" customFormat="1" spans="1:23">
      <c r="A3518" s="116"/>
      <c r="E3518" s="108"/>
      <c r="F3518" s="114"/>
      <c r="G3518" s="114"/>
      <c r="H3518" s="114"/>
      <c r="Q3518" s="44">
        <f>IF(数据录入!$B3518="",0,IF(OR(数据录入!$D3518="投标保证金",数据录入!$D3518="合同履约保证金",ISNUMBER(FIND("保证金",数据录入!$E3518))),1,0))</f>
      </c>
      <c r="R3518" s="44">
        <f>IF(AND($Q3518=1,数据录入!$B3518&gt;=$B$2,数据录入!$B3518&lt;=$D$2),N(R3517)+1,N(R3517))</f>
      </c>
    </row>
    <row r="3519" s="44" customFormat="1" spans="1:23">
      <c r="A3519" s="116"/>
      <c r="E3519" s="108"/>
      <c r="F3519" s="114"/>
      <c r="G3519" s="114"/>
      <c r="H3519" s="114"/>
      <c r="Q3519" s="44">
        <f>IF(数据录入!$B3519="",0,IF(OR(数据录入!$D3519="投标保证金",数据录入!$D3519="合同履约保证金",ISNUMBER(FIND("保证金",数据录入!$E3519))),1,0))</f>
      </c>
      <c r="R3519" s="44">
        <f>IF(AND($Q3519=1,数据录入!$B3519&gt;=$B$2,数据录入!$B3519&lt;=$D$2),N(R3518)+1,N(R3518))</f>
      </c>
    </row>
    <row r="3520" s="44" customFormat="1" spans="1:23">
      <c r="A3520" s="116"/>
      <c r="E3520" s="108"/>
      <c r="F3520" s="114"/>
      <c r="G3520" s="114"/>
      <c r="H3520" s="114"/>
      <c r="Q3520" s="44">
        <f>IF(数据录入!$B3520="",0,IF(OR(数据录入!$D3520="投标保证金",数据录入!$D3520="合同履约保证金",ISNUMBER(FIND("保证金",数据录入!$E3520))),1,0))</f>
      </c>
      <c r="R3520" s="44">
        <f>IF(AND($Q3520=1,数据录入!$B3520&gt;=$B$2,数据录入!$B3520&lt;=$D$2),N(R3519)+1,N(R3519))</f>
      </c>
    </row>
    <row r="3521" s="44" customFormat="1" spans="1:23">
      <c r="A3521" s="116"/>
      <c r="E3521" s="108"/>
      <c r="F3521" s="114"/>
      <c r="G3521" s="114"/>
      <c r="H3521" s="114"/>
      <c r="Q3521" s="44">
        <f>IF(数据录入!$B3521="",0,IF(OR(数据录入!$D3521="投标保证金",数据录入!$D3521="合同履约保证金",ISNUMBER(FIND("保证金",数据录入!$E3521))),1,0))</f>
      </c>
      <c r="R3521" s="44">
        <f>IF(AND($Q3521=1,数据录入!$B3521&gt;=$B$2,数据录入!$B3521&lt;=$D$2),N(R3520)+1,N(R3520))</f>
      </c>
    </row>
    <row r="3522" s="44" customFormat="1" spans="1:23">
      <c r="A3522" s="116"/>
      <c r="E3522" s="108"/>
      <c r="F3522" s="114"/>
      <c r="G3522" s="114"/>
      <c r="H3522" s="114"/>
      <c r="Q3522" s="44">
        <f>IF(数据录入!$B3522="",0,IF(OR(数据录入!$D3522="投标保证金",数据录入!$D3522="合同履约保证金",ISNUMBER(FIND("保证金",数据录入!$E3522))),1,0))</f>
      </c>
      <c r="R3522" s="44">
        <f>IF(AND($Q3522=1,数据录入!$B3522&gt;=$B$2,数据录入!$B3522&lt;=$D$2),N(R3521)+1,N(R3521))</f>
      </c>
    </row>
    <row r="3523" s="44" customFormat="1" spans="1:23">
      <c r="A3523" s="116"/>
      <c r="E3523" s="108"/>
      <c r="F3523" s="114"/>
      <c r="G3523" s="114"/>
      <c r="H3523" s="114"/>
      <c r="Q3523" s="44">
        <f>IF(数据录入!$B3523="",0,IF(OR(数据录入!$D3523="投标保证金",数据录入!$D3523="合同履约保证金",ISNUMBER(FIND("保证金",数据录入!$E3523))),1,0))</f>
      </c>
      <c r="R3523" s="44">
        <f>IF(AND($Q3523=1,数据录入!$B3523&gt;=$B$2,数据录入!$B3523&lt;=$D$2),N(R3522)+1,N(R3522))</f>
      </c>
    </row>
    <row r="3524" s="44" customFormat="1" spans="1:23">
      <c r="A3524" s="116"/>
      <c r="E3524" s="108"/>
      <c r="F3524" s="114"/>
      <c r="G3524" s="114"/>
      <c r="H3524" s="114"/>
      <c r="Q3524" s="44">
        <f>IF(数据录入!$B3524="",0,IF(OR(数据录入!$D3524="投标保证金",数据录入!$D3524="合同履约保证金",ISNUMBER(FIND("保证金",数据录入!$E3524))),1,0))</f>
      </c>
      <c r="R3524" s="44">
        <f>IF(AND($Q3524=1,数据录入!$B3524&gt;=$B$2,数据录入!$B3524&lt;=$D$2),N(R3523)+1,N(R3523))</f>
      </c>
    </row>
    <row r="3525" s="44" customFormat="1" spans="1:23">
      <c r="A3525" s="116"/>
      <c r="E3525" s="108"/>
      <c r="F3525" s="114"/>
      <c r="G3525" s="114"/>
      <c r="H3525" s="114"/>
      <c r="Q3525" s="44">
        <f>IF(数据录入!$B3525="",0,IF(OR(数据录入!$D3525="投标保证金",数据录入!$D3525="合同履约保证金",ISNUMBER(FIND("保证金",数据录入!$E3525))),1,0))</f>
      </c>
      <c r="R3525" s="44">
        <f>IF(AND($Q3525=1,数据录入!$B3525&gt;=$B$2,数据录入!$B3525&lt;=$D$2),N(R3524)+1,N(R3524))</f>
      </c>
    </row>
    <row r="3526" s="44" customFormat="1" spans="1:23">
      <c r="A3526" s="116"/>
      <c r="E3526" s="108"/>
      <c r="F3526" s="114"/>
      <c r="G3526" s="114"/>
      <c r="H3526" s="114"/>
      <c r="Q3526" s="44">
        <f>IF(数据录入!$B3526="",0,IF(OR(数据录入!$D3526="投标保证金",数据录入!$D3526="合同履约保证金",ISNUMBER(FIND("保证金",数据录入!$E3526))),1,0))</f>
      </c>
      <c r="R3526" s="44">
        <f>IF(AND($Q3526=1,数据录入!$B3526&gt;=$B$2,数据录入!$B3526&lt;=$D$2),N(R3525)+1,N(R3525))</f>
      </c>
    </row>
    <row r="3527" s="44" customFormat="1" spans="1:23">
      <c r="A3527" s="116"/>
      <c r="E3527" s="108"/>
      <c r="F3527" s="114"/>
      <c r="G3527" s="114"/>
      <c r="H3527" s="114"/>
      <c r="Q3527" s="44">
        <f>IF(数据录入!$B3527="",0,IF(OR(数据录入!$D3527="投标保证金",数据录入!$D3527="合同履约保证金",ISNUMBER(FIND("保证金",数据录入!$E3527))),1,0))</f>
      </c>
      <c r="R3527" s="44">
        <f>IF(AND($Q3527=1,数据录入!$B3527&gt;=$B$2,数据录入!$B3527&lt;=$D$2),N(R3526)+1,N(R3526))</f>
      </c>
    </row>
    <row r="3528" s="44" customFormat="1" spans="1:23">
      <c r="A3528" s="116"/>
      <c r="E3528" s="108"/>
      <c r="F3528" s="114"/>
      <c r="G3528" s="114"/>
      <c r="H3528" s="114"/>
      <c r="Q3528" s="44">
        <f>IF(数据录入!$B3528="",0,IF(OR(数据录入!$D3528="投标保证金",数据录入!$D3528="合同履约保证金",ISNUMBER(FIND("保证金",数据录入!$E3528))),1,0))</f>
      </c>
      <c r="R3528" s="44">
        <f>IF(AND($Q3528=1,数据录入!$B3528&gt;=$B$2,数据录入!$B3528&lt;=$D$2),N(R3527)+1,N(R3527))</f>
      </c>
    </row>
    <row r="3529" s="44" customFormat="1" spans="1:23">
      <c r="A3529" s="116"/>
      <c r="E3529" s="108"/>
      <c r="F3529" s="114"/>
      <c r="G3529" s="114"/>
      <c r="H3529" s="114"/>
      <c r="Q3529" s="44">
        <f>IF(数据录入!$B3529="",0,IF(OR(数据录入!$D3529="投标保证金",数据录入!$D3529="合同履约保证金",ISNUMBER(FIND("保证金",数据录入!$E3529))),1,0))</f>
      </c>
      <c r="R3529" s="44">
        <f>IF(AND($Q3529=1,数据录入!$B3529&gt;=$B$2,数据录入!$B3529&lt;=$D$2),N(R3528)+1,N(R3528))</f>
      </c>
    </row>
    <row r="3530" s="44" customFormat="1" spans="1:23">
      <c r="A3530" s="116"/>
      <c r="E3530" s="108"/>
      <c r="F3530" s="114"/>
      <c r="G3530" s="114"/>
      <c r="H3530" s="114"/>
      <c r="Q3530" s="44">
        <f>IF(数据录入!$B3530="",0,IF(OR(数据录入!$D3530="投标保证金",数据录入!$D3530="合同履约保证金",ISNUMBER(FIND("保证金",数据录入!$E3530))),1,0))</f>
      </c>
      <c r="R3530" s="44">
        <f>IF(AND($Q3530=1,数据录入!$B3530&gt;=$B$2,数据录入!$B3530&lt;=$D$2),N(R3529)+1,N(R3529))</f>
      </c>
    </row>
    <row r="3531" s="44" customFormat="1" spans="1:23">
      <c r="A3531" s="116"/>
      <c r="E3531" s="108"/>
      <c r="F3531" s="114"/>
      <c r="G3531" s="114"/>
      <c r="H3531" s="114"/>
      <c r="Q3531" s="44">
        <f>IF(数据录入!$B3531="",0,IF(OR(数据录入!$D3531="投标保证金",数据录入!$D3531="合同履约保证金",ISNUMBER(FIND("保证金",数据录入!$E3531))),1,0))</f>
      </c>
      <c r="R3531" s="44">
        <f>IF(AND($Q3531=1,数据录入!$B3531&gt;=$B$2,数据录入!$B3531&lt;=$D$2),N(R3530)+1,N(R3530))</f>
      </c>
    </row>
    <row r="3532" s="44" customFormat="1" spans="1:23">
      <c r="A3532" s="116"/>
      <c r="E3532" s="108"/>
      <c r="F3532" s="114"/>
      <c r="G3532" s="114"/>
      <c r="H3532" s="114"/>
      <c r="Q3532" s="44">
        <f>IF(数据录入!$B3532="",0,IF(OR(数据录入!$D3532="投标保证金",数据录入!$D3532="合同履约保证金",ISNUMBER(FIND("保证金",数据录入!$E3532))),1,0))</f>
      </c>
      <c r="R3532" s="44">
        <f>IF(AND($Q3532=1,数据录入!$B3532&gt;=$B$2,数据录入!$B3532&lt;=$D$2),N(R3531)+1,N(R3531))</f>
      </c>
    </row>
    <row r="3533" s="44" customFormat="1" spans="1:23">
      <c r="A3533" s="116"/>
      <c r="E3533" s="108"/>
      <c r="F3533" s="114"/>
      <c r="G3533" s="114"/>
      <c r="H3533" s="114"/>
      <c r="Q3533" s="44">
        <f>IF(数据录入!$B3533="",0,IF(OR(数据录入!$D3533="投标保证金",数据录入!$D3533="合同履约保证金",ISNUMBER(FIND("保证金",数据录入!$E3533))),1,0))</f>
      </c>
      <c r="R3533" s="44">
        <f>IF(AND($Q3533=1,数据录入!$B3533&gt;=$B$2,数据录入!$B3533&lt;=$D$2),N(R3532)+1,N(R3532))</f>
      </c>
    </row>
    <row r="3534" s="44" customFormat="1" spans="1:23">
      <c r="A3534" s="116"/>
      <c r="E3534" s="108"/>
      <c r="F3534" s="114"/>
      <c r="G3534" s="114"/>
      <c r="H3534" s="114"/>
      <c r="Q3534" s="44">
        <f>IF(数据录入!$B3534="",0,IF(OR(数据录入!$D3534="投标保证金",数据录入!$D3534="合同履约保证金",ISNUMBER(FIND("保证金",数据录入!$E3534))),1,0))</f>
      </c>
      <c r="R3534" s="44">
        <f>IF(AND($Q3534=1,数据录入!$B3534&gt;=$B$2,数据录入!$B3534&lt;=$D$2),N(R3533)+1,N(R3533))</f>
      </c>
    </row>
    <row r="3535" s="44" customFormat="1" spans="1:23">
      <c r="A3535" s="116"/>
      <c r="E3535" s="108"/>
      <c r="F3535" s="114"/>
      <c r="G3535" s="114"/>
      <c r="H3535" s="114"/>
      <c r="Q3535" s="44">
        <f>IF(数据录入!$B3535="",0,IF(OR(数据录入!$D3535="投标保证金",数据录入!$D3535="合同履约保证金",ISNUMBER(FIND("保证金",数据录入!$E3535))),1,0))</f>
      </c>
      <c r="R3535" s="44">
        <f>IF(AND($Q3535=1,数据录入!$B3535&gt;=$B$2,数据录入!$B3535&lt;=$D$2),N(R3534)+1,N(R3534))</f>
      </c>
    </row>
    <row r="3536" s="44" customFormat="1" spans="1:23">
      <c r="A3536" s="116"/>
      <c r="E3536" s="108"/>
      <c r="F3536" s="114"/>
      <c r="G3536" s="114"/>
      <c r="H3536" s="114"/>
      <c r="Q3536" s="44">
        <f>IF(数据录入!$B3536="",0,IF(OR(数据录入!$D3536="投标保证金",数据录入!$D3536="合同履约保证金",ISNUMBER(FIND("保证金",数据录入!$E3536))),1,0))</f>
      </c>
      <c r="R3536" s="44">
        <f>IF(AND($Q3536=1,数据录入!$B3536&gt;=$B$2,数据录入!$B3536&lt;=$D$2),N(R3535)+1,N(R3535))</f>
      </c>
    </row>
    <row r="3537" s="44" customFormat="1" spans="1:23">
      <c r="A3537" s="116"/>
      <c r="E3537" s="108"/>
      <c r="F3537" s="114"/>
      <c r="G3537" s="114"/>
      <c r="H3537" s="114"/>
      <c r="Q3537" s="44">
        <f>IF(数据录入!$B3537="",0,IF(OR(数据录入!$D3537="投标保证金",数据录入!$D3537="合同履约保证金",ISNUMBER(FIND("保证金",数据录入!$E3537))),1,0))</f>
      </c>
      <c r="R3537" s="44">
        <f>IF(AND($Q3537=1,数据录入!$B3537&gt;=$B$2,数据录入!$B3537&lt;=$D$2),N(R3536)+1,N(R3536))</f>
      </c>
    </row>
    <row r="3538" s="44" customFormat="1" spans="1:23">
      <c r="A3538" s="116"/>
      <c r="E3538" s="108"/>
      <c r="F3538" s="114"/>
      <c r="G3538" s="114"/>
      <c r="H3538" s="114"/>
      <c r="Q3538" s="44">
        <f>IF(数据录入!$B3538="",0,IF(OR(数据录入!$D3538="投标保证金",数据录入!$D3538="合同履约保证金",ISNUMBER(FIND("保证金",数据录入!$E3538))),1,0))</f>
      </c>
      <c r="R3538" s="44">
        <f>IF(AND($Q3538=1,数据录入!$B3538&gt;=$B$2,数据录入!$B3538&lt;=$D$2),N(R3537)+1,N(R3537))</f>
      </c>
    </row>
    <row r="3539" s="44" customFormat="1" spans="1:23">
      <c r="A3539" s="116"/>
      <c r="E3539" s="108"/>
      <c r="F3539" s="114"/>
      <c r="G3539" s="114"/>
      <c r="H3539" s="114"/>
      <c r="Q3539" s="44">
        <f>IF(数据录入!$B3539="",0,IF(OR(数据录入!$D3539="投标保证金",数据录入!$D3539="合同履约保证金",ISNUMBER(FIND("保证金",数据录入!$E3539))),1,0))</f>
      </c>
      <c r="R3539" s="44">
        <f>IF(AND($Q3539=1,数据录入!$B3539&gt;=$B$2,数据录入!$B3539&lt;=$D$2),N(R3538)+1,N(R3538))</f>
      </c>
    </row>
    <row r="3540" s="44" customFormat="1" spans="1:23">
      <c r="A3540" s="116"/>
      <c r="E3540" s="108"/>
      <c r="F3540" s="114"/>
      <c r="G3540" s="114"/>
      <c r="H3540" s="114"/>
      <c r="Q3540" s="44">
        <f>IF(数据录入!$B3540="",0,IF(OR(数据录入!$D3540="投标保证金",数据录入!$D3540="合同履约保证金",ISNUMBER(FIND("保证金",数据录入!$E3540))),1,0))</f>
      </c>
      <c r="R3540" s="44">
        <f>IF(AND($Q3540=1,数据录入!$B3540&gt;=$B$2,数据录入!$B3540&lt;=$D$2),N(R3539)+1,N(R3539))</f>
      </c>
    </row>
    <row r="3541" s="44" customFormat="1" spans="1:23">
      <c r="A3541" s="116"/>
      <c r="E3541" s="108"/>
      <c r="F3541" s="114"/>
      <c r="G3541" s="114"/>
      <c r="H3541" s="114"/>
      <c r="Q3541" s="44">
        <f>IF(数据录入!$B3541="",0,IF(OR(数据录入!$D3541="投标保证金",数据录入!$D3541="合同履约保证金",ISNUMBER(FIND("保证金",数据录入!$E3541))),1,0))</f>
      </c>
      <c r="R3541" s="44">
        <f>IF(AND($Q3541=1,数据录入!$B3541&gt;=$B$2,数据录入!$B3541&lt;=$D$2),N(R3540)+1,N(R3540))</f>
      </c>
    </row>
    <row r="3542" s="44" customFormat="1" spans="1:23">
      <c r="A3542" s="116"/>
      <c r="E3542" s="108"/>
      <c r="F3542" s="114"/>
      <c r="G3542" s="114"/>
      <c r="H3542" s="114"/>
      <c r="Q3542" s="44">
        <f>IF(数据录入!$B3542="",0,IF(OR(数据录入!$D3542="投标保证金",数据录入!$D3542="合同履约保证金",ISNUMBER(FIND("保证金",数据录入!$E3542))),1,0))</f>
      </c>
      <c r="R3542" s="44">
        <f>IF(AND($Q3542=1,数据录入!$B3542&gt;=$B$2,数据录入!$B3542&lt;=$D$2),N(R3541)+1,N(R3541))</f>
      </c>
    </row>
    <row r="3543" s="44" customFormat="1" spans="1:23">
      <c r="A3543" s="116"/>
      <c r="E3543" s="108"/>
      <c r="F3543" s="114"/>
      <c r="G3543" s="114"/>
      <c r="H3543" s="114"/>
      <c r="Q3543" s="44">
        <f>IF(数据录入!$B3543="",0,IF(OR(数据录入!$D3543="投标保证金",数据录入!$D3543="合同履约保证金",ISNUMBER(FIND("保证金",数据录入!$E3543))),1,0))</f>
      </c>
      <c r="R3543" s="44">
        <f>IF(AND($Q3543=1,数据录入!$B3543&gt;=$B$2,数据录入!$B3543&lt;=$D$2),N(R3542)+1,N(R3542))</f>
      </c>
    </row>
    <row r="3544" s="44" customFormat="1" spans="1:23">
      <c r="A3544" s="116"/>
      <c r="E3544" s="108"/>
      <c r="F3544" s="114"/>
      <c r="G3544" s="114"/>
      <c r="H3544" s="114"/>
      <c r="Q3544" s="44">
        <f>IF(数据录入!$B3544="",0,IF(OR(数据录入!$D3544="投标保证金",数据录入!$D3544="合同履约保证金",ISNUMBER(FIND("保证金",数据录入!$E3544))),1,0))</f>
      </c>
      <c r="R3544" s="44">
        <f>IF(AND($Q3544=1,数据录入!$B3544&gt;=$B$2,数据录入!$B3544&lt;=$D$2),N(R3543)+1,N(R3543))</f>
      </c>
    </row>
    <row r="3545" s="44" customFormat="1" spans="1:23">
      <c r="A3545" s="116"/>
      <c r="E3545" s="108"/>
      <c r="F3545" s="114"/>
      <c r="G3545" s="114"/>
      <c r="H3545" s="114"/>
      <c r="Q3545" s="44">
        <f>IF(数据录入!$B3545="",0,IF(OR(数据录入!$D3545="投标保证金",数据录入!$D3545="合同履约保证金",ISNUMBER(FIND("保证金",数据录入!$E3545))),1,0))</f>
      </c>
      <c r="R3545" s="44">
        <f>IF(AND($Q3545=1,数据录入!$B3545&gt;=$B$2,数据录入!$B3545&lt;=$D$2),N(R3544)+1,N(R3544))</f>
      </c>
    </row>
    <row r="3546" s="44" customFormat="1" spans="1:23">
      <c r="A3546" s="116"/>
      <c r="E3546" s="108"/>
      <c r="F3546" s="114"/>
      <c r="G3546" s="114"/>
      <c r="H3546" s="114"/>
      <c r="Q3546" s="44">
        <f>IF(数据录入!$B3546="",0,IF(OR(数据录入!$D3546="投标保证金",数据录入!$D3546="合同履约保证金",ISNUMBER(FIND("保证金",数据录入!$E3546))),1,0))</f>
      </c>
      <c r="R3546" s="44">
        <f>IF(AND($Q3546=1,数据录入!$B3546&gt;=$B$2,数据录入!$B3546&lt;=$D$2),N(R3545)+1,N(R3545))</f>
      </c>
    </row>
    <row r="3547" s="44" customFormat="1" spans="1:23">
      <c r="A3547" s="116"/>
      <c r="E3547" s="108"/>
      <c r="F3547" s="114"/>
      <c r="G3547" s="114"/>
      <c r="H3547" s="114"/>
      <c r="Q3547" s="44">
        <f>IF(数据录入!$B3547="",0,IF(OR(数据录入!$D3547="投标保证金",数据录入!$D3547="合同履约保证金",ISNUMBER(FIND("保证金",数据录入!$E3547))),1,0))</f>
      </c>
      <c r="R3547" s="44">
        <f>IF(AND($Q3547=1,数据录入!$B3547&gt;=$B$2,数据录入!$B3547&lt;=$D$2),N(R3546)+1,N(R3546))</f>
      </c>
    </row>
    <row r="3548" s="44" customFormat="1" spans="1:23">
      <c r="A3548" s="116"/>
      <c r="E3548" s="108"/>
      <c r="F3548" s="114"/>
      <c r="G3548" s="114"/>
      <c r="H3548" s="114"/>
      <c r="Q3548" s="44">
        <f>IF(数据录入!$B3548="",0,IF(OR(数据录入!$D3548="投标保证金",数据录入!$D3548="合同履约保证金",ISNUMBER(FIND("保证金",数据录入!$E3548))),1,0))</f>
      </c>
      <c r="R3548" s="44">
        <f>IF(AND($Q3548=1,数据录入!$B3548&gt;=$B$2,数据录入!$B3548&lt;=$D$2),N(R3547)+1,N(R3547))</f>
      </c>
    </row>
    <row r="3549" s="44" customFormat="1" spans="1:23">
      <c r="A3549" s="116"/>
      <c r="E3549" s="108"/>
      <c r="F3549" s="114"/>
      <c r="G3549" s="114"/>
      <c r="H3549" s="114"/>
      <c r="Q3549" s="44">
        <f>IF(数据录入!$B3549="",0,IF(OR(数据录入!$D3549="投标保证金",数据录入!$D3549="合同履约保证金",ISNUMBER(FIND("保证金",数据录入!$E3549))),1,0))</f>
      </c>
      <c r="R3549" s="44">
        <f>IF(AND($Q3549=1,数据录入!$B3549&gt;=$B$2,数据录入!$B3549&lt;=$D$2),N(R3548)+1,N(R3548))</f>
      </c>
    </row>
    <row r="3550" s="44" customFormat="1" spans="1:23">
      <c r="A3550" s="116"/>
      <c r="E3550" s="108"/>
      <c r="F3550" s="114"/>
      <c r="G3550" s="114"/>
      <c r="H3550" s="114"/>
      <c r="Q3550" s="44">
        <f>IF(数据录入!$B3550="",0,IF(OR(数据录入!$D3550="投标保证金",数据录入!$D3550="合同履约保证金",ISNUMBER(FIND("保证金",数据录入!$E3550))),1,0))</f>
      </c>
      <c r="R3550" s="44">
        <f>IF(AND($Q3550=1,数据录入!$B3550&gt;=$B$2,数据录入!$B3550&lt;=$D$2),N(R3549)+1,N(R3549))</f>
      </c>
    </row>
    <row r="3551" s="44" customFormat="1" spans="1:23">
      <c r="A3551" s="116"/>
      <c r="E3551" s="108"/>
      <c r="F3551" s="114"/>
      <c r="G3551" s="114"/>
      <c r="H3551" s="114"/>
      <c r="Q3551" s="44">
        <f>IF(数据录入!$B3551="",0,IF(OR(数据录入!$D3551="投标保证金",数据录入!$D3551="合同履约保证金",ISNUMBER(FIND("保证金",数据录入!$E3551))),1,0))</f>
      </c>
      <c r="R3551" s="44">
        <f>IF(AND($Q3551=1,数据录入!$B3551&gt;=$B$2,数据录入!$B3551&lt;=$D$2),N(R3550)+1,N(R3550))</f>
      </c>
    </row>
    <row r="3552" s="44" customFormat="1" spans="1:23">
      <c r="A3552" s="116"/>
      <c r="E3552" s="108"/>
      <c r="F3552" s="114"/>
      <c r="G3552" s="114"/>
      <c r="H3552" s="114"/>
      <c r="Q3552" s="44">
        <f>IF(数据录入!$B3552="",0,IF(OR(数据录入!$D3552="投标保证金",数据录入!$D3552="合同履约保证金",ISNUMBER(FIND("保证金",数据录入!$E3552))),1,0))</f>
      </c>
      <c r="R3552" s="44">
        <f>IF(AND($Q3552=1,数据录入!$B3552&gt;=$B$2,数据录入!$B3552&lt;=$D$2),N(R3551)+1,N(R3551))</f>
      </c>
    </row>
    <row r="3553" s="44" customFormat="1" spans="1:23">
      <c r="A3553" s="116"/>
      <c r="E3553" s="108"/>
      <c r="F3553" s="114"/>
      <c r="G3553" s="114"/>
      <c r="H3553" s="114"/>
      <c r="Q3553" s="44">
        <f>IF(数据录入!$B3553="",0,IF(OR(数据录入!$D3553="投标保证金",数据录入!$D3553="合同履约保证金",ISNUMBER(FIND("保证金",数据录入!$E3553))),1,0))</f>
      </c>
      <c r="R3553" s="44">
        <f>IF(AND($Q3553=1,数据录入!$B3553&gt;=$B$2,数据录入!$B3553&lt;=$D$2),N(R3552)+1,N(R3552))</f>
      </c>
    </row>
    <row r="3554" s="44" customFormat="1" spans="1:23">
      <c r="A3554" s="116"/>
      <c r="E3554" s="108"/>
      <c r="F3554" s="114"/>
      <c r="G3554" s="114"/>
      <c r="H3554" s="114"/>
      <c r="Q3554" s="44">
        <f>IF(数据录入!$B3554="",0,IF(OR(数据录入!$D3554="投标保证金",数据录入!$D3554="合同履约保证金",ISNUMBER(FIND("保证金",数据录入!$E3554))),1,0))</f>
      </c>
      <c r="R3554" s="44">
        <f>IF(AND($Q3554=1,数据录入!$B3554&gt;=$B$2,数据录入!$B3554&lt;=$D$2),N(R3553)+1,N(R3553))</f>
      </c>
    </row>
    <row r="3555" s="44" customFormat="1" spans="1:23">
      <c r="A3555" s="116"/>
      <c r="E3555" s="108"/>
      <c r="F3555" s="114"/>
      <c r="G3555" s="114"/>
      <c r="H3555" s="114"/>
      <c r="Q3555" s="44">
        <f>IF(数据录入!$B3555="",0,IF(OR(数据录入!$D3555="投标保证金",数据录入!$D3555="合同履约保证金",ISNUMBER(FIND("保证金",数据录入!$E3555))),1,0))</f>
      </c>
      <c r="R3555" s="44">
        <f>IF(AND($Q3555=1,数据录入!$B3555&gt;=$B$2,数据录入!$B3555&lt;=$D$2),N(R3554)+1,N(R3554))</f>
      </c>
    </row>
    <row r="3556" s="44" customFormat="1" spans="1:23">
      <c r="A3556" s="116"/>
      <c r="E3556" s="108"/>
      <c r="F3556" s="114"/>
      <c r="G3556" s="114"/>
      <c r="H3556" s="114"/>
      <c r="Q3556" s="44">
        <f>IF(数据录入!$B3556="",0,IF(OR(数据录入!$D3556="投标保证金",数据录入!$D3556="合同履约保证金",ISNUMBER(FIND("保证金",数据录入!$E3556))),1,0))</f>
      </c>
      <c r="R3556" s="44">
        <f>IF(AND($Q3556=1,数据录入!$B3556&gt;=$B$2,数据录入!$B3556&lt;=$D$2),N(R3555)+1,N(R3555))</f>
      </c>
    </row>
    <row r="3557" s="44" customFormat="1" spans="1:23">
      <c r="A3557" s="116"/>
      <c r="E3557" s="108"/>
      <c r="F3557" s="114"/>
      <c r="G3557" s="114"/>
      <c r="H3557" s="114"/>
      <c r="Q3557" s="44">
        <f>IF(数据录入!$B3557="",0,IF(OR(数据录入!$D3557="投标保证金",数据录入!$D3557="合同履约保证金",ISNUMBER(FIND("保证金",数据录入!$E3557))),1,0))</f>
      </c>
      <c r="R3557" s="44">
        <f>IF(AND($Q3557=1,数据录入!$B3557&gt;=$B$2,数据录入!$B3557&lt;=$D$2),N(R3556)+1,N(R3556))</f>
      </c>
    </row>
    <row r="3558" s="44" customFormat="1" spans="1:23">
      <c r="A3558" s="116"/>
      <c r="E3558" s="108"/>
      <c r="F3558" s="114"/>
      <c r="G3558" s="114"/>
      <c r="H3558" s="114"/>
      <c r="Q3558" s="44">
        <f>IF(数据录入!$B3558="",0,IF(OR(数据录入!$D3558="投标保证金",数据录入!$D3558="合同履约保证金",ISNUMBER(FIND("保证金",数据录入!$E3558))),1,0))</f>
      </c>
      <c r="R3558" s="44">
        <f>IF(AND($Q3558=1,数据录入!$B3558&gt;=$B$2,数据录入!$B3558&lt;=$D$2),N(R3557)+1,N(R3557))</f>
      </c>
    </row>
    <row r="3559" s="44" customFormat="1" spans="1:23">
      <c r="A3559" s="116"/>
      <c r="E3559" s="108"/>
      <c r="F3559" s="114"/>
      <c r="G3559" s="114"/>
      <c r="H3559" s="114"/>
      <c r="Q3559" s="44">
        <f>IF(数据录入!$B3559="",0,IF(OR(数据录入!$D3559="投标保证金",数据录入!$D3559="合同履约保证金",ISNUMBER(FIND("保证金",数据录入!$E3559))),1,0))</f>
      </c>
      <c r="R3559" s="44">
        <f>IF(AND($Q3559=1,数据录入!$B3559&gt;=$B$2,数据录入!$B3559&lt;=$D$2),N(R3558)+1,N(R3558))</f>
      </c>
    </row>
    <row r="3560" s="44" customFormat="1" spans="1:23">
      <c r="A3560" s="116"/>
      <c r="E3560" s="108"/>
      <c r="F3560" s="114"/>
      <c r="G3560" s="114"/>
      <c r="H3560" s="114"/>
      <c r="Q3560" s="44">
        <f>IF(数据录入!$B3560="",0,IF(OR(数据录入!$D3560="投标保证金",数据录入!$D3560="合同履约保证金",ISNUMBER(FIND("保证金",数据录入!$E3560))),1,0))</f>
      </c>
      <c r="R3560" s="44">
        <f>IF(AND($Q3560=1,数据录入!$B3560&gt;=$B$2,数据录入!$B3560&lt;=$D$2),N(R3559)+1,N(R3559))</f>
      </c>
    </row>
    <row r="3561" s="44" customFormat="1" spans="1:23">
      <c r="A3561" s="116"/>
      <c r="E3561" s="108"/>
      <c r="F3561" s="114"/>
      <c r="G3561" s="114"/>
      <c r="H3561" s="114"/>
      <c r="Q3561" s="44">
        <f>IF(数据录入!$B3561="",0,IF(OR(数据录入!$D3561="投标保证金",数据录入!$D3561="合同履约保证金",ISNUMBER(FIND("保证金",数据录入!$E3561))),1,0))</f>
      </c>
      <c r="R3561" s="44">
        <f>IF(AND($Q3561=1,数据录入!$B3561&gt;=$B$2,数据录入!$B3561&lt;=$D$2),N(R3560)+1,N(R3560))</f>
      </c>
    </row>
    <row r="3562" s="44" customFormat="1" spans="1:23">
      <c r="A3562" s="116"/>
      <c r="E3562" s="108"/>
      <c r="F3562" s="114"/>
      <c r="G3562" s="114"/>
      <c r="H3562" s="114"/>
      <c r="Q3562" s="44">
        <f>IF(数据录入!$B3562="",0,IF(OR(数据录入!$D3562="投标保证金",数据录入!$D3562="合同履约保证金",ISNUMBER(FIND("保证金",数据录入!$E3562))),1,0))</f>
      </c>
      <c r="R3562" s="44">
        <f>IF(AND($Q3562=1,数据录入!$B3562&gt;=$B$2,数据录入!$B3562&lt;=$D$2),N(R3561)+1,N(R3561))</f>
      </c>
    </row>
    <row r="3563" s="44" customFormat="1" spans="1:23">
      <c r="A3563" s="116"/>
      <c r="E3563" s="108"/>
      <c r="F3563" s="114"/>
      <c r="G3563" s="114"/>
      <c r="H3563" s="114"/>
      <c r="Q3563" s="44">
        <f>IF(数据录入!$B3563="",0,IF(OR(数据录入!$D3563="投标保证金",数据录入!$D3563="合同履约保证金",ISNUMBER(FIND("保证金",数据录入!$E3563))),1,0))</f>
      </c>
      <c r="R3563" s="44">
        <f>IF(AND($Q3563=1,数据录入!$B3563&gt;=$B$2,数据录入!$B3563&lt;=$D$2),N(R3562)+1,N(R3562))</f>
      </c>
    </row>
    <row r="3564" s="44" customFormat="1" spans="1:23">
      <c r="A3564" s="116"/>
      <c r="E3564" s="108"/>
      <c r="F3564" s="114"/>
      <c r="G3564" s="114"/>
      <c r="H3564" s="114"/>
      <c r="Q3564" s="44">
        <f>IF(数据录入!$B3564="",0,IF(OR(数据录入!$D3564="投标保证金",数据录入!$D3564="合同履约保证金",ISNUMBER(FIND("保证金",数据录入!$E3564))),1,0))</f>
      </c>
      <c r="R3564" s="44">
        <f>IF(AND($Q3564=1,数据录入!$B3564&gt;=$B$2,数据录入!$B3564&lt;=$D$2),N(R3563)+1,N(R3563))</f>
      </c>
    </row>
    <row r="3565" s="44" customFormat="1" spans="1:23">
      <c r="A3565" s="116"/>
      <c r="E3565" s="108"/>
      <c r="F3565" s="114"/>
      <c r="G3565" s="114"/>
      <c r="H3565" s="114"/>
      <c r="Q3565" s="44">
        <f>IF(数据录入!$B3565="",0,IF(OR(数据录入!$D3565="投标保证金",数据录入!$D3565="合同履约保证金",ISNUMBER(FIND("保证金",数据录入!$E3565))),1,0))</f>
      </c>
      <c r="R3565" s="44">
        <f>IF(AND($Q3565=1,数据录入!$B3565&gt;=$B$2,数据录入!$B3565&lt;=$D$2),N(R3564)+1,N(R3564))</f>
      </c>
    </row>
    <row r="3566" s="44" customFormat="1" spans="1:23">
      <c r="A3566" s="116"/>
      <c r="E3566" s="108"/>
      <c r="F3566" s="114"/>
      <c r="G3566" s="114"/>
      <c r="H3566" s="114"/>
      <c r="Q3566" s="44">
        <f>IF(数据录入!$B3566="",0,IF(OR(数据录入!$D3566="投标保证金",数据录入!$D3566="合同履约保证金",ISNUMBER(FIND("保证金",数据录入!$E3566))),1,0))</f>
      </c>
      <c r="R3566" s="44">
        <f>IF(AND($Q3566=1,数据录入!$B3566&gt;=$B$2,数据录入!$B3566&lt;=$D$2),N(R3565)+1,N(R3565))</f>
      </c>
    </row>
    <row r="3567" s="44" customFormat="1" spans="1:23">
      <c r="A3567" s="116"/>
      <c r="E3567" s="108"/>
      <c r="F3567" s="114"/>
      <c r="G3567" s="114"/>
      <c r="H3567" s="114"/>
      <c r="Q3567" s="44">
        <f>IF(数据录入!$B3567="",0,IF(OR(数据录入!$D3567="投标保证金",数据录入!$D3567="合同履约保证金",ISNUMBER(FIND("保证金",数据录入!$E3567))),1,0))</f>
      </c>
      <c r="R3567" s="44">
        <f>IF(AND($Q3567=1,数据录入!$B3567&gt;=$B$2,数据录入!$B3567&lt;=$D$2),N(R3566)+1,N(R3566))</f>
      </c>
    </row>
    <row r="3568" s="44" customFormat="1" spans="1:23">
      <c r="A3568" s="116"/>
      <c r="E3568" s="108"/>
      <c r="F3568" s="114"/>
      <c r="G3568" s="114"/>
      <c r="H3568" s="114"/>
      <c r="Q3568" s="44">
        <f>IF(数据录入!$B3568="",0,IF(OR(数据录入!$D3568="投标保证金",数据录入!$D3568="合同履约保证金",ISNUMBER(FIND("保证金",数据录入!$E3568))),1,0))</f>
      </c>
      <c r="R3568" s="44">
        <f>IF(AND($Q3568=1,数据录入!$B3568&gt;=$B$2,数据录入!$B3568&lt;=$D$2),N(R3567)+1,N(R3567))</f>
      </c>
    </row>
    <row r="3569" s="44" customFormat="1" spans="1:23">
      <c r="A3569" s="116"/>
      <c r="E3569" s="108"/>
      <c r="F3569" s="114"/>
      <c r="G3569" s="114"/>
      <c r="H3569" s="114"/>
      <c r="Q3569" s="44">
        <f>IF(数据录入!$B3569="",0,IF(OR(数据录入!$D3569="投标保证金",数据录入!$D3569="合同履约保证金",ISNUMBER(FIND("保证金",数据录入!$E3569))),1,0))</f>
      </c>
      <c r="R3569" s="44">
        <f>IF(AND($Q3569=1,数据录入!$B3569&gt;=$B$2,数据录入!$B3569&lt;=$D$2),N(R3568)+1,N(R3568))</f>
      </c>
    </row>
    <row r="3570" s="44" customFormat="1" spans="1:23">
      <c r="A3570" s="116"/>
      <c r="E3570" s="108"/>
      <c r="F3570" s="114"/>
      <c r="G3570" s="114"/>
      <c r="H3570" s="114"/>
      <c r="Q3570" s="44">
        <f>IF(数据录入!$B3570="",0,IF(OR(数据录入!$D3570="投标保证金",数据录入!$D3570="合同履约保证金",ISNUMBER(FIND("保证金",数据录入!$E3570))),1,0))</f>
      </c>
      <c r="R3570" s="44">
        <f>IF(AND($Q3570=1,数据录入!$B3570&gt;=$B$2,数据录入!$B3570&lt;=$D$2),N(R3569)+1,N(R3569))</f>
      </c>
    </row>
    <row r="3571" s="44" customFormat="1" spans="1:23">
      <c r="A3571" s="116"/>
      <c r="E3571" s="108"/>
      <c r="F3571" s="114"/>
      <c r="G3571" s="114"/>
      <c r="H3571" s="114"/>
      <c r="Q3571" s="44">
        <f>IF(数据录入!$B3571="",0,IF(OR(数据录入!$D3571="投标保证金",数据录入!$D3571="合同履约保证金",ISNUMBER(FIND("保证金",数据录入!$E3571))),1,0))</f>
      </c>
      <c r="R3571" s="44">
        <f>IF(AND($Q3571=1,数据录入!$B3571&gt;=$B$2,数据录入!$B3571&lt;=$D$2),N(R3570)+1,N(R3570))</f>
      </c>
    </row>
    <row r="3572" s="44" customFormat="1" spans="1:23">
      <c r="A3572" s="116"/>
      <c r="E3572" s="108"/>
      <c r="F3572" s="114"/>
      <c r="G3572" s="114"/>
      <c r="H3572" s="114"/>
      <c r="Q3572" s="44">
        <f>IF(数据录入!$B3572="",0,IF(OR(数据录入!$D3572="投标保证金",数据录入!$D3572="合同履约保证金",ISNUMBER(FIND("保证金",数据录入!$E3572))),1,0))</f>
      </c>
      <c r="R3572" s="44">
        <f>IF(AND($Q3572=1,数据录入!$B3572&gt;=$B$2,数据录入!$B3572&lt;=$D$2),N(R3571)+1,N(R3571))</f>
      </c>
    </row>
    <row r="3573" s="44" customFormat="1" spans="1:23">
      <c r="A3573" s="116"/>
      <c r="E3573" s="108"/>
      <c r="F3573" s="114"/>
      <c r="G3573" s="114"/>
      <c r="H3573" s="114"/>
      <c r="Q3573" s="44">
        <f>IF(数据录入!$B3573="",0,IF(OR(数据录入!$D3573="投标保证金",数据录入!$D3573="合同履约保证金",ISNUMBER(FIND("保证金",数据录入!$E3573))),1,0))</f>
      </c>
      <c r="R3573" s="44">
        <f>IF(AND($Q3573=1,数据录入!$B3573&gt;=$B$2,数据录入!$B3573&lt;=$D$2),N(R3572)+1,N(R3572))</f>
      </c>
    </row>
    <row r="3574" s="44" customFormat="1" spans="1:23">
      <c r="A3574" s="116"/>
      <c r="E3574" s="108"/>
      <c r="F3574" s="114"/>
      <c r="G3574" s="114"/>
      <c r="H3574" s="114"/>
      <c r="Q3574" s="44">
        <f>IF(数据录入!$B3574="",0,IF(OR(数据录入!$D3574="投标保证金",数据录入!$D3574="合同履约保证金",ISNUMBER(FIND("保证金",数据录入!$E3574))),1,0))</f>
      </c>
      <c r="R3574" s="44">
        <f>IF(AND($Q3574=1,数据录入!$B3574&gt;=$B$2,数据录入!$B3574&lt;=$D$2),N(R3573)+1,N(R3573))</f>
      </c>
    </row>
    <row r="3575" s="44" customFormat="1" spans="1:23">
      <c r="A3575" s="116"/>
      <c r="E3575" s="108"/>
      <c r="F3575" s="114"/>
      <c r="G3575" s="114"/>
      <c r="H3575" s="114"/>
      <c r="Q3575" s="44">
        <f>IF(数据录入!$B3575="",0,IF(OR(数据录入!$D3575="投标保证金",数据录入!$D3575="合同履约保证金",ISNUMBER(FIND("保证金",数据录入!$E3575))),1,0))</f>
      </c>
      <c r="R3575" s="44">
        <f>IF(AND($Q3575=1,数据录入!$B3575&gt;=$B$2,数据录入!$B3575&lt;=$D$2),N(R3574)+1,N(R3574))</f>
      </c>
    </row>
    <row r="3576" s="44" customFormat="1" spans="1:23">
      <c r="A3576" s="116"/>
      <c r="E3576" s="108"/>
      <c r="F3576" s="114"/>
      <c r="G3576" s="114"/>
      <c r="H3576" s="114"/>
      <c r="Q3576" s="44">
        <f>IF(数据录入!$B3576="",0,IF(OR(数据录入!$D3576="投标保证金",数据录入!$D3576="合同履约保证金",ISNUMBER(FIND("保证金",数据录入!$E3576))),1,0))</f>
      </c>
      <c r="R3576" s="44">
        <f>IF(AND($Q3576=1,数据录入!$B3576&gt;=$B$2,数据录入!$B3576&lt;=$D$2),N(R3575)+1,N(R3575))</f>
      </c>
    </row>
    <row r="3577" s="44" customFormat="1" spans="1:23">
      <c r="A3577" s="116"/>
      <c r="E3577" s="108"/>
      <c r="F3577" s="114"/>
      <c r="G3577" s="114"/>
      <c r="H3577" s="114"/>
      <c r="Q3577" s="44">
        <f>IF(数据录入!$B3577="",0,IF(OR(数据录入!$D3577="投标保证金",数据录入!$D3577="合同履约保证金",ISNUMBER(FIND("保证金",数据录入!$E3577))),1,0))</f>
      </c>
      <c r="R3577" s="44">
        <f>IF(AND($Q3577=1,数据录入!$B3577&gt;=$B$2,数据录入!$B3577&lt;=$D$2),N(R3576)+1,N(R3576))</f>
      </c>
    </row>
    <row r="3578" s="44" customFormat="1" spans="1:23">
      <c r="A3578" s="116"/>
      <c r="E3578" s="108"/>
      <c r="F3578" s="114"/>
      <c r="G3578" s="114"/>
      <c r="H3578" s="114"/>
      <c r="Q3578" s="44">
        <f>IF(数据录入!$B3578="",0,IF(OR(数据录入!$D3578="投标保证金",数据录入!$D3578="合同履约保证金",ISNUMBER(FIND("保证金",数据录入!$E3578))),1,0))</f>
      </c>
      <c r="R3578" s="44">
        <f>IF(AND($Q3578=1,数据录入!$B3578&gt;=$B$2,数据录入!$B3578&lt;=$D$2),N(R3577)+1,N(R3577))</f>
      </c>
    </row>
    <row r="3579" s="44" customFormat="1" spans="1:23">
      <c r="A3579" s="116"/>
      <c r="E3579" s="108"/>
      <c r="F3579" s="114"/>
      <c r="G3579" s="114"/>
      <c r="H3579" s="114"/>
      <c r="Q3579" s="44">
        <f>IF(数据录入!$B3579="",0,IF(OR(数据录入!$D3579="投标保证金",数据录入!$D3579="合同履约保证金",ISNUMBER(FIND("保证金",数据录入!$E3579))),1,0))</f>
      </c>
      <c r="R3579" s="44">
        <f>IF(AND($Q3579=1,数据录入!$B3579&gt;=$B$2,数据录入!$B3579&lt;=$D$2),N(R3578)+1,N(R3578))</f>
      </c>
    </row>
    <row r="3580" s="44" customFormat="1" spans="1:23">
      <c r="A3580" s="116"/>
      <c r="E3580" s="108"/>
      <c r="F3580" s="114"/>
      <c r="G3580" s="114"/>
      <c r="H3580" s="114"/>
      <c r="Q3580" s="44">
        <f>IF(数据录入!$B3580="",0,IF(OR(数据录入!$D3580="投标保证金",数据录入!$D3580="合同履约保证金",ISNUMBER(FIND("保证金",数据录入!$E3580))),1,0))</f>
      </c>
      <c r="R3580" s="44">
        <f>IF(AND($Q3580=1,数据录入!$B3580&gt;=$B$2,数据录入!$B3580&lt;=$D$2),N(R3579)+1,N(R3579))</f>
      </c>
    </row>
    <row r="3581" s="44" customFormat="1" spans="1:23">
      <c r="A3581" s="116"/>
      <c r="E3581" s="108"/>
      <c r="F3581" s="114"/>
      <c r="G3581" s="114"/>
      <c r="H3581" s="114"/>
      <c r="Q3581" s="44">
        <f>IF(数据录入!$B3581="",0,IF(OR(数据录入!$D3581="投标保证金",数据录入!$D3581="合同履约保证金",ISNUMBER(FIND("保证金",数据录入!$E3581))),1,0))</f>
      </c>
      <c r="R3581" s="44">
        <f>IF(AND($Q3581=1,数据录入!$B3581&gt;=$B$2,数据录入!$B3581&lt;=$D$2),N(R3580)+1,N(R3580))</f>
      </c>
    </row>
    <row r="3582" s="44" customFormat="1" spans="1:23">
      <c r="A3582" s="116"/>
      <c r="E3582" s="108"/>
      <c r="F3582" s="114"/>
      <c r="G3582" s="114"/>
      <c r="H3582" s="114"/>
      <c r="Q3582" s="44">
        <f>IF(数据录入!$B3582="",0,IF(OR(数据录入!$D3582="投标保证金",数据录入!$D3582="合同履约保证金",ISNUMBER(FIND("保证金",数据录入!$E3582))),1,0))</f>
      </c>
      <c r="R3582" s="44">
        <f>IF(AND($Q3582=1,数据录入!$B3582&gt;=$B$2,数据录入!$B3582&lt;=$D$2),N(R3581)+1,N(R3581))</f>
      </c>
    </row>
    <row r="3583" s="44" customFormat="1" spans="1:23">
      <c r="A3583" s="116"/>
      <c r="E3583" s="108"/>
      <c r="F3583" s="114"/>
      <c r="G3583" s="114"/>
      <c r="H3583" s="114"/>
      <c r="Q3583" s="44">
        <f>IF(数据录入!$B3583="",0,IF(OR(数据录入!$D3583="投标保证金",数据录入!$D3583="合同履约保证金",ISNUMBER(FIND("保证金",数据录入!$E3583))),1,0))</f>
      </c>
      <c r="R3583" s="44">
        <f>IF(AND($Q3583=1,数据录入!$B3583&gt;=$B$2,数据录入!$B3583&lt;=$D$2),N(R3582)+1,N(R3582))</f>
      </c>
    </row>
    <row r="3584" s="44" customFormat="1" spans="1:23">
      <c r="A3584" s="116"/>
      <c r="E3584" s="108"/>
      <c r="F3584" s="114"/>
      <c r="G3584" s="114"/>
      <c r="H3584" s="114"/>
      <c r="Q3584" s="44">
        <f>IF(数据录入!$B3584="",0,IF(OR(数据录入!$D3584="投标保证金",数据录入!$D3584="合同履约保证金",ISNUMBER(FIND("保证金",数据录入!$E3584))),1,0))</f>
      </c>
      <c r="R3584" s="44">
        <f>IF(AND($Q3584=1,数据录入!$B3584&gt;=$B$2,数据录入!$B3584&lt;=$D$2),N(R3583)+1,N(R3583))</f>
      </c>
    </row>
    <row r="3585" s="44" customFormat="1" spans="1:23">
      <c r="A3585" s="116"/>
      <c r="E3585" s="108"/>
      <c r="F3585" s="114"/>
      <c r="G3585" s="114"/>
      <c r="H3585" s="114"/>
      <c r="Q3585" s="44">
        <f>IF(数据录入!$B3585="",0,IF(OR(数据录入!$D3585="投标保证金",数据录入!$D3585="合同履约保证金",ISNUMBER(FIND("保证金",数据录入!$E3585))),1,0))</f>
      </c>
      <c r="R3585" s="44">
        <f>IF(AND($Q3585=1,数据录入!$B3585&gt;=$B$2,数据录入!$B3585&lt;=$D$2),N(R3584)+1,N(R3584))</f>
      </c>
    </row>
    <row r="3586" s="44" customFormat="1" spans="1:23">
      <c r="A3586" s="116"/>
      <c r="E3586" s="108"/>
      <c r="F3586" s="114"/>
      <c r="G3586" s="114"/>
      <c r="H3586" s="114"/>
      <c r="Q3586" s="44">
        <f>IF(数据录入!$B3586="",0,IF(OR(数据录入!$D3586="投标保证金",数据录入!$D3586="合同履约保证金",ISNUMBER(FIND("保证金",数据录入!$E3586))),1,0))</f>
      </c>
      <c r="R3586" s="44">
        <f>IF(AND($Q3586=1,数据录入!$B3586&gt;=$B$2,数据录入!$B3586&lt;=$D$2),N(R3585)+1,N(R3585))</f>
      </c>
    </row>
    <row r="3587" s="44" customFormat="1" spans="1:23">
      <c r="A3587" s="116"/>
      <c r="E3587" s="108"/>
      <c r="F3587" s="114"/>
      <c r="G3587" s="114"/>
      <c r="H3587" s="114"/>
      <c r="Q3587" s="44">
        <f>IF(数据录入!$B3587="",0,IF(OR(数据录入!$D3587="投标保证金",数据录入!$D3587="合同履约保证金",ISNUMBER(FIND("保证金",数据录入!$E3587))),1,0))</f>
      </c>
      <c r="R3587" s="44">
        <f>IF(AND($Q3587=1,数据录入!$B3587&gt;=$B$2,数据录入!$B3587&lt;=$D$2),N(R3586)+1,N(R3586))</f>
      </c>
    </row>
    <row r="3588" s="44" customFormat="1" spans="1:23">
      <c r="A3588" s="116"/>
      <c r="E3588" s="108"/>
      <c r="F3588" s="114"/>
      <c r="G3588" s="114"/>
      <c r="H3588" s="114"/>
      <c r="Q3588" s="44">
        <f>IF(数据录入!$B3588="",0,IF(OR(数据录入!$D3588="投标保证金",数据录入!$D3588="合同履约保证金",ISNUMBER(FIND("保证金",数据录入!$E3588))),1,0))</f>
      </c>
      <c r="R3588" s="44">
        <f>IF(AND($Q3588=1,数据录入!$B3588&gt;=$B$2,数据录入!$B3588&lt;=$D$2),N(R3587)+1,N(R3587))</f>
      </c>
    </row>
    <row r="3589" s="44" customFormat="1" spans="1:23">
      <c r="A3589" s="116"/>
      <c r="E3589" s="108"/>
      <c r="F3589" s="114"/>
      <c r="G3589" s="114"/>
      <c r="H3589" s="114"/>
      <c r="Q3589" s="44">
        <f>IF(数据录入!$B3589="",0,IF(OR(数据录入!$D3589="投标保证金",数据录入!$D3589="合同履约保证金",ISNUMBER(FIND("保证金",数据录入!$E3589))),1,0))</f>
      </c>
      <c r="R3589" s="44">
        <f>IF(AND($Q3589=1,数据录入!$B3589&gt;=$B$2,数据录入!$B3589&lt;=$D$2),N(R3588)+1,N(R3588))</f>
      </c>
    </row>
    <row r="3590" s="44" customFormat="1" spans="1:23">
      <c r="A3590" s="116"/>
      <c r="E3590" s="108"/>
      <c r="F3590" s="114"/>
      <c r="G3590" s="114"/>
      <c r="H3590" s="114"/>
      <c r="Q3590" s="44">
        <f>IF(数据录入!$B3590="",0,IF(OR(数据录入!$D3590="投标保证金",数据录入!$D3590="合同履约保证金",ISNUMBER(FIND("保证金",数据录入!$E3590))),1,0))</f>
      </c>
      <c r="R3590" s="44">
        <f>IF(AND($Q3590=1,数据录入!$B3590&gt;=$B$2,数据录入!$B3590&lt;=$D$2),N(R3589)+1,N(R3589))</f>
      </c>
    </row>
    <row r="3591" s="44" customFormat="1" spans="1:23">
      <c r="A3591" s="116"/>
      <c r="E3591" s="108"/>
      <c r="F3591" s="114"/>
      <c r="G3591" s="114"/>
      <c r="H3591" s="114"/>
      <c r="Q3591" s="44">
        <f>IF(数据录入!$B3591="",0,IF(OR(数据录入!$D3591="投标保证金",数据录入!$D3591="合同履约保证金",ISNUMBER(FIND("保证金",数据录入!$E3591))),1,0))</f>
      </c>
      <c r="R3591" s="44">
        <f>IF(AND($Q3591=1,数据录入!$B3591&gt;=$B$2,数据录入!$B3591&lt;=$D$2),N(R3590)+1,N(R3590))</f>
      </c>
    </row>
    <row r="3592" s="44" customFormat="1" spans="1:23">
      <c r="A3592" s="116"/>
      <c r="E3592" s="108"/>
      <c r="F3592" s="114"/>
      <c r="G3592" s="114"/>
      <c r="H3592" s="114"/>
      <c r="Q3592" s="44">
        <f>IF(数据录入!$B3592="",0,IF(OR(数据录入!$D3592="投标保证金",数据录入!$D3592="合同履约保证金",ISNUMBER(FIND("保证金",数据录入!$E3592))),1,0))</f>
      </c>
      <c r="R3592" s="44">
        <f>IF(AND($Q3592=1,数据录入!$B3592&gt;=$B$2,数据录入!$B3592&lt;=$D$2),N(R3591)+1,N(R3591))</f>
      </c>
    </row>
    <row r="3593" s="44" customFormat="1" spans="1:23">
      <c r="A3593" s="116"/>
      <c r="E3593" s="108"/>
      <c r="F3593" s="114"/>
      <c r="G3593" s="114"/>
      <c r="H3593" s="114"/>
      <c r="Q3593" s="44">
        <f>IF(数据录入!$B3593="",0,IF(OR(数据录入!$D3593="投标保证金",数据录入!$D3593="合同履约保证金",ISNUMBER(FIND("保证金",数据录入!$E3593))),1,0))</f>
      </c>
      <c r="R3593" s="44">
        <f>IF(AND($Q3593=1,数据录入!$B3593&gt;=$B$2,数据录入!$B3593&lt;=$D$2),N(R3592)+1,N(R3592))</f>
      </c>
    </row>
    <row r="3594" s="44" customFormat="1" spans="1:23">
      <c r="A3594" s="116"/>
      <c r="E3594" s="108"/>
      <c r="F3594" s="114"/>
      <c r="G3594" s="114"/>
      <c r="H3594" s="114"/>
      <c r="Q3594" s="44">
        <f>IF(数据录入!$B3594="",0,IF(OR(数据录入!$D3594="投标保证金",数据录入!$D3594="合同履约保证金",ISNUMBER(FIND("保证金",数据录入!$E3594))),1,0))</f>
      </c>
      <c r="R3594" s="44">
        <f>IF(AND($Q3594=1,数据录入!$B3594&gt;=$B$2,数据录入!$B3594&lt;=$D$2),N(R3593)+1,N(R3593))</f>
      </c>
    </row>
    <row r="3595" s="44" customFormat="1" spans="1:23">
      <c r="A3595" s="116"/>
      <c r="E3595" s="108"/>
      <c r="F3595" s="114"/>
      <c r="G3595" s="114"/>
      <c r="H3595" s="114"/>
      <c r="Q3595" s="44">
        <f>IF(数据录入!$B3595="",0,IF(OR(数据录入!$D3595="投标保证金",数据录入!$D3595="合同履约保证金",ISNUMBER(FIND("保证金",数据录入!$E3595))),1,0))</f>
      </c>
      <c r="R3595" s="44">
        <f>IF(AND($Q3595=1,数据录入!$B3595&gt;=$B$2,数据录入!$B3595&lt;=$D$2),N(R3594)+1,N(R3594))</f>
      </c>
    </row>
    <row r="3596" s="44" customFormat="1" spans="1:23">
      <c r="A3596" s="116"/>
      <c r="E3596" s="108"/>
      <c r="F3596" s="114"/>
      <c r="G3596" s="114"/>
      <c r="H3596" s="114"/>
      <c r="Q3596" s="44">
        <f>IF(数据录入!$B3596="",0,IF(OR(数据录入!$D3596="投标保证金",数据录入!$D3596="合同履约保证金",ISNUMBER(FIND("保证金",数据录入!$E3596))),1,0))</f>
      </c>
      <c r="R3596" s="44">
        <f>IF(AND($Q3596=1,数据录入!$B3596&gt;=$B$2,数据录入!$B3596&lt;=$D$2),N(R3595)+1,N(R3595))</f>
      </c>
    </row>
    <row r="3597" s="44" customFormat="1" spans="1:23">
      <c r="A3597" s="116"/>
      <c r="E3597" s="108"/>
      <c r="F3597" s="114"/>
      <c r="G3597" s="114"/>
      <c r="H3597" s="114"/>
      <c r="Q3597" s="44">
        <f>IF(数据录入!$B3597="",0,IF(OR(数据录入!$D3597="投标保证金",数据录入!$D3597="合同履约保证金",ISNUMBER(FIND("保证金",数据录入!$E3597))),1,0))</f>
      </c>
      <c r="R3597" s="44">
        <f>IF(AND($Q3597=1,数据录入!$B3597&gt;=$B$2,数据录入!$B3597&lt;=$D$2),N(R3596)+1,N(R3596))</f>
      </c>
    </row>
    <row r="3598" s="44" customFormat="1" spans="1:23">
      <c r="A3598" s="116"/>
      <c r="E3598" s="108"/>
      <c r="F3598" s="114"/>
      <c r="G3598" s="114"/>
      <c r="H3598" s="114"/>
      <c r="Q3598" s="44">
        <f>IF(数据录入!$B3598="",0,IF(OR(数据录入!$D3598="投标保证金",数据录入!$D3598="合同履约保证金",ISNUMBER(FIND("保证金",数据录入!$E3598))),1,0))</f>
      </c>
      <c r="R3598" s="44">
        <f>IF(AND($Q3598=1,数据录入!$B3598&gt;=$B$2,数据录入!$B3598&lt;=$D$2),N(R3597)+1,N(R3597))</f>
      </c>
    </row>
    <row r="3599" s="44" customFormat="1" spans="1:23">
      <c r="A3599" s="116"/>
      <c r="E3599" s="108"/>
      <c r="F3599" s="114"/>
      <c r="G3599" s="114"/>
      <c r="H3599" s="114"/>
      <c r="Q3599" s="44">
        <f>IF(数据录入!$B3599="",0,IF(OR(数据录入!$D3599="投标保证金",数据录入!$D3599="合同履约保证金",ISNUMBER(FIND("保证金",数据录入!$E3599))),1,0))</f>
      </c>
      <c r="R3599" s="44">
        <f>IF(AND($Q3599=1,数据录入!$B3599&gt;=$B$2,数据录入!$B3599&lt;=$D$2),N(R3598)+1,N(R3598))</f>
      </c>
    </row>
    <row r="3600" s="44" customFormat="1" spans="1:23">
      <c r="A3600" s="116"/>
      <c r="E3600" s="108"/>
      <c r="F3600" s="114"/>
      <c r="G3600" s="114"/>
      <c r="H3600" s="114"/>
      <c r="Q3600" s="44">
        <f>IF(数据录入!$B3600="",0,IF(OR(数据录入!$D3600="投标保证金",数据录入!$D3600="合同履约保证金",ISNUMBER(FIND("保证金",数据录入!$E3600))),1,0))</f>
      </c>
      <c r="R3600" s="44">
        <f>IF(AND($Q3600=1,数据录入!$B3600&gt;=$B$2,数据录入!$B3600&lt;=$D$2),N(R3599)+1,N(R3599))</f>
      </c>
    </row>
    <row r="3601" s="44" customFormat="1" spans="1:23">
      <c r="A3601" s="116"/>
      <c r="E3601" s="108"/>
      <c r="F3601" s="114"/>
      <c r="G3601" s="114"/>
      <c r="H3601" s="114"/>
      <c r="Q3601" s="44">
        <f>IF(数据录入!$B3601="",0,IF(OR(数据录入!$D3601="投标保证金",数据录入!$D3601="合同履约保证金",ISNUMBER(FIND("保证金",数据录入!$E3601))),1,0))</f>
      </c>
      <c r="R3601" s="44">
        <f>IF(AND($Q3601=1,数据录入!$B3601&gt;=$B$2,数据录入!$B3601&lt;=$D$2),N(R3600)+1,N(R3600))</f>
      </c>
    </row>
    <row r="3602" s="44" customFormat="1" spans="1:23">
      <c r="A3602" s="116"/>
      <c r="E3602" s="108"/>
      <c r="F3602" s="114"/>
      <c r="G3602" s="114"/>
      <c r="H3602" s="114"/>
      <c r="Q3602" s="44">
        <f>IF(数据录入!$B3602="",0,IF(OR(数据录入!$D3602="投标保证金",数据录入!$D3602="合同履约保证金",ISNUMBER(FIND("保证金",数据录入!$E3602))),1,0))</f>
      </c>
      <c r="R3602" s="44">
        <f>IF(AND($Q3602=1,数据录入!$B3602&gt;=$B$2,数据录入!$B3602&lt;=$D$2),N(R3601)+1,N(R3601))</f>
      </c>
    </row>
    <row r="3603" s="44" customFormat="1" spans="1:23">
      <c r="A3603" s="116"/>
      <c r="E3603" s="108"/>
      <c r="F3603" s="114"/>
      <c r="G3603" s="114"/>
      <c r="H3603" s="114"/>
      <c r="Q3603" s="44">
        <f>IF(数据录入!$B3603="",0,IF(OR(数据录入!$D3603="投标保证金",数据录入!$D3603="合同履约保证金",ISNUMBER(FIND("保证金",数据录入!$E3603))),1,0))</f>
      </c>
      <c r="R3603" s="44">
        <f>IF(AND($Q3603=1,数据录入!$B3603&gt;=$B$2,数据录入!$B3603&lt;=$D$2),N(R3602)+1,N(R3602))</f>
      </c>
    </row>
    <row r="3604" s="44" customFormat="1" spans="1:23">
      <c r="A3604" s="116"/>
      <c r="E3604" s="108"/>
      <c r="F3604" s="114"/>
      <c r="G3604" s="114"/>
      <c r="H3604" s="114"/>
      <c r="Q3604" s="44">
        <f>IF(数据录入!$B3604="",0,IF(OR(数据录入!$D3604="投标保证金",数据录入!$D3604="合同履约保证金",ISNUMBER(FIND("保证金",数据录入!$E3604))),1,0))</f>
      </c>
      <c r="R3604" s="44">
        <f>IF(AND($Q3604=1,数据录入!$B3604&gt;=$B$2,数据录入!$B3604&lt;=$D$2),N(R3603)+1,N(R3603))</f>
      </c>
    </row>
    <row r="3605" s="44" customFormat="1" spans="1:23">
      <c r="A3605" s="116"/>
      <c r="E3605" s="108"/>
      <c r="F3605" s="114"/>
      <c r="G3605" s="114"/>
      <c r="H3605" s="114"/>
      <c r="Q3605" s="44">
        <f>IF(数据录入!$B3605="",0,IF(OR(数据录入!$D3605="投标保证金",数据录入!$D3605="合同履约保证金",ISNUMBER(FIND("保证金",数据录入!$E3605))),1,0))</f>
      </c>
      <c r="R3605" s="44">
        <f>IF(AND($Q3605=1,数据录入!$B3605&gt;=$B$2,数据录入!$B3605&lt;=$D$2),N(R3604)+1,N(R3604))</f>
      </c>
    </row>
    <row r="3606" s="44" customFormat="1" spans="1:23">
      <c r="A3606" s="116"/>
      <c r="E3606" s="108"/>
      <c r="F3606" s="114"/>
      <c r="G3606" s="114"/>
      <c r="H3606" s="114"/>
      <c r="Q3606" s="44">
        <f>IF(数据录入!$B3606="",0,IF(OR(数据录入!$D3606="投标保证金",数据录入!$D3606="合同履约保证金",ISNUMBER(FIND("保证金",数据录入!$E3606))),1,0))</f>
      </c>
      <c r="R3606" s="44">
        <f>IF(AND($Q3606=1,数据录入!$B3606&gt;=$B$2,数据录入!$B3606&lt;=$D$2),N(R3605)+1,N(R3605))</f>
      </c>
    </row>
    <row r="3607" s="44" customFormat="1" spans="1:23">
      <c r="A3607" s="116"/>
      <c r="E3607" s="108"/>
      <c r="F3607" s="114"/>
      <c r="G3607" s="114"/>
      <c r="H3607" s="114"/>
      <c r="Q3607" s="44">
        <f>IF(数据录入!$B3607="",0,IF(OR(数据录入!$D3607="投标保证金",数据录入!$D3607="合同履约保证金",ISNUMBER(FIND("保证金",数据录入!$E3607))),1,0))</f>
      </c>
      <c r="R3607" s="44">
        <f>IF(AND($Q3607=1,数据录入!$B3607&gt;=$B$2,数据录入!$B3607&lt;=$D$2),N(R3606)+1,N(R3606))</f>
      </c>
    </row>
    <row r="3608" s="44" customFormat="1" spans="1:23">
      <c r="A3608" s="116"/>
      <c r="E3608" s="108"/>
      <c r="F3608" s="114"/>
      <c r="G3608" s="114"/>
      <c r="H3608" s="114"/>
      <c r="Q3608" s="44">
        <f>IF(数据录入!$B3608="",0,IF(OR(数据录入!$D3608="投标保证金",数据录入!$D3608="合同履约保证金",ISNUMBER(FIND("保证金",数据录入!$E3608))),1,0))</f>
      </c>
      <c r="R3608" s="44">
        <f>IF(AND($Q3608=1,数据录入!$B3608&gt;=$B$2,数据录入!$B3608&lt;=$D$2),N(R3607)+1,N(R3607))</f>
      </c>
    </row>
    <row r="3609" s="44" customFormat="1" spans="1:23">
      <c r="A3609" s="116"/>
      <c r="E3609" s="108"/>
      <c r="F3609" s="114"/>
      <c r="G3609" s="114"/>
      <c r="H3609" s="114"/>
      <c r="Q3609" s="44">
        <f>IF(数据录入!$B3609="",0,IF(OR(数据录入!$D3609="投标保证金",数据录入!$D3609="合同履约保证金",ISNUMBER(FIND("保证金",数据录入!$E3609))),1,0))</f>
      </c>
      <c r="R3609" s="44">
        <f>IF(AND($Q3609=1,数据录入!$B3609&gt;=$B$2,数据录入!$B3609&lt;=$D$2),N(R3608)+1,N(R3608))</f>
      </c>
    </row>
    <row r="3610" s="44" customFormat="1" spans="1:23">
      <c r="A3610" s="116"/>
      <c r="E3610" s="108"/>
      <c r="F3610" s="114"/>
      <c r="G3610" s="114"/>
      <c r="H3610" s="114"/>
      <c r="Q3610" s="44">
        <f>IF(数据录入!$B3610="",0,IF(OR(数据录入!$D3610="投标保证金",数据录入!$D3610="合同履约保证金",ISNUMBER(FIND("保证金",数据录入!$E3610))),1,0))</f>
      </c>
      <c r="R3610" s="44">
        <f>IF(AND($Q3610=1,数据录入!$B3610&gt;=$B$2,数据录入!$B3610&lt;=$D$2),N(R3609)+1,N(R3609))</f>
      </c>
    </row>
    <row r="3611" s="44" customFormat="1" spans="1:23">
      <c r="A3611" s="116"/>
      <c r="E3611" s="108"/>
      <c r="F3611" s="114"/>
      <c r="G3611" s="114"/>
      <c r="H3611" s="114"/>
      <c r="Q3611" s="44">
        <f>IF(数据录入!$B3611="",0,IF(OR(数据录入!$D3611="投标保证金",数据录入!$D3611="合同履约保证金",ISNUMBER(FIND("保证金",数据录入!$E3611))),1,0))</f>
      </c>
      <c r="R3611" s="44">
        <f>IF(AND($Q3611=1,数据录入!$B3611&gt;=$B$2,数据录入!$B3611&lt;=$D$2),N(R3610)+1,N(R3610))</f>
      </c>
    </row>
    <row r="3612" s="44" customFormat="1" spans="1:23">
      <c r="A3612" s="116"/>
      <c r="E3612" s="108"/>
      <c r="F3612" s="114"/>
      <c r="G3612" s="114"/>
      <c r="H3612" s="114"/>
      <c r="Q3612" s="44">
        <f>IF(数据录入!$B3612="",0,IF(OR(数据录入!$D3612="投标保证金",数据录入!$D3612="合同履约保证金",ISNUMBER(FIND("保证金",数据录入!$E3612))),1,0))</f>
      </c>
      <c r="R3612" s="44">
        <f>IF(AND($Q3612=1,数据录入!$B3612&gt;=$B$2,数据录入!$B3612&lt;=$D$2),N(R3611)+1,N(R3611))</f>
      </c>
    </row>
    <row r="3613" s="44" customFormat="1" spans="1:23">
      <c r="A3613" s="116"/>
      <c r="E3613" s="108"/>
      <c r="F3613" s="114"/>
      <c r="G3613" s="114"/>
      <c r="H3613" s="114"/>
      <c r="Q3613" s="44">
        <f>IF(数据录入!$B3613="",0,IF(OR(数据录入!$D3613="投标保证金",数据录入!$D3613="合同履约保证金",ISNUMBER(FIND("保证金",数据录入!$E3613))),1,0))</f>
      </c>
      <c r="R3613" s="44">
        <f>IF(AND($Q3613=1,数据录入!$B3613&gt;=$B$2,数据录入!$B3613&lt;=$D$2),N(R3612)+1,N(R3612))</f>
      </c>
    </row>
    <row r="3614" s="44" customFormat="1" spans="1:23">
      <c r="A3614" s="116"/>
      <c r="E3614" s="108"/>
      <c r="F3614" s="114"/>
      <c r="G3614" s="114"/>
      <c r="H3614" s="114"/>
      <c r="Q3614" s="44">
        <f>IF(数据录入!$B3614="",0,IF(OR(数据录入!$D3614="投标保证金",数据录入!$D3614="合同履约保证金",ISNUMBER(FIND("保证金",数据录入!$E3614))),1,0))</f>
      </c>
      <c r="R3614" s="44">
        <f>IF(AND($Q3614=1,数据录入!$B3614&gt;=$B$2,数据录入!$B3614&lt;=$D$2),N(R3613)+1,N(R3613))</f>
      </c>
    </row>
    <row r="3615" s="44" customFormat="1" spans="1:23">
      <c r="A3615" s="116"/>
      <c r="E3615" s="108"/>
      <c r="F3615" s="114"/>
      <c r="G3615" s="114"/>
      <c r="H3615" s="114"/>
      <c r="Q3615" s="44">
        <f>IF(数据录入!$B3615="",0,IF(OR(数据录入!$D3615="投标保证金",数据录入!$D3615="合同履约保证金",ISNUMBER(FIND("保证金",数据录入!$E3615))),1,0))</f>
      </c>
      <c r="R3615" s="44">
        <f>IF(AND($Q3615=1,数据录入!$B3615&gt;=$B$2,数据录入!$B3615&lt;=$D$2),N(R3614)+1,N(R3614))</f>
      </c>
    </row>
    <row r="3616" s="44" customFormat="1" spans="1:23">
      <c r="A3616" s="116"/>
      <c r="E3616" s="108"/>
      <c r="F3616" s="114"/>
      <c r="G3616" s="114"/>
      <c r="H3616" s="114"/>
      <c r="Q3616" s="44">
        <f>IF(数据录入!$B3616="",0,IF(OR(数据录入!$D3616="投标保证金",数据录入!$D3616="合同履约保证金",ISNUMBER(FIND("保证金",数据录入!$E3616))),1,0))</f>
      </c>
      <c r="R3616" s="44">
        <f>IF(AND($Q3616=1,数据录入!$B3616&gt;=$B$2,数据录入!$B3616&lt;=$D$2),N(R3615)+1,N(R3615))</f>
      </c>
    </row>
    <row r="3617" s="44" customFormat="1" spans="1:23">
      <c r="A3617" s="116"/>
      <c r="E3617" s="108"/>
      <c r="F3617" s="114"/>
      <c r="G3617" s="114"/>
      <c r="H3617" s="114"/>
      <c r="Q3617" s="44">
        <f>IF(数据录入!$B3617="",0,IF(OR(数据录入!$D3617="投标保证金",数据录入!$D3617="合同履约保证金",ISNUMBER(FIND("保证金",数据录入!$E3617))),1,0))</f>
      </c>
      <c r="R3617" s="44">
        <f>IF(AND($Q3617=1,数据录入!$B3617&gt;=$B$2,数据录入!$B3617&lt;=$D$2),N(R3616)+1,N(R3616))</f>
      </c>
    </row>
    <row r="3618" s="44" customFormat="1" spans="1:23">
      <c r="A3618" s="116"/>
      <c r="E3618" s="108"/>
      <c r="F3618" s="114"/>
      <c r="G3618" s="114"/>
      <c r="H3618" s="114"/>
      <c r="Q3618" s="44">
        <f>IF(数据录入!$B3618="",0,IF(OR(数据录入!$D3618="投标保证金",数据录入!$D3618="合同履约保证金",ISNUMBER(FIND("保证金",数据录入!$E3618))),1,0))</f>
      </c>
      <c r="R3618" s="44">
        <f>IF(AND($Q3618=1,数据录入!$B3618&gt;=$B$2,数据录入!$B3618&lt;=$D$2),N(R3617)+1,N(R3617))</f>
      </c>
    </row>
    <row r="3619" s="44" customFormat="1" spans="1:23">
      <c r="A3619" s="116"/>
      <c r="E3619" s="108"/>
      <c r="F3619" s="114"/>
      <c r="G3619" s="114"/>
      <c r="H3619" s="114"/>
      <c r="Q3619" s="44">
        <f>IF(数据录入!$B3619="",0,IF(OR(数据录入!$D3619="投标保证金",数据录入!$D3619="合同履约保证金",ISNUMBER(FIND("保证金",数据录入!$E3619))),1,0))</f>
      </c>
      <c r="R3619" s="44">
        <f>IF(AND($Q3619=1,数据录入!$B3619&gt;=$B$2,数据录入!$B3619&lt;=$D$2),N(R3618)+1,N(R3618))</f>
      </c>
    </row>
    <row r="3620" s="44" customFormat="1" spans="1:23">
      <c r="A3620" s="116"/>
      <c r="E3620" s="108"/>
      <c r="F3620" s="114"/>
      <c r="G3620" s="114"/>
      <c r="H3620" s="114"/>
      <c r="Q3620" s="44">
        <f>IF(数据录入!$B3620="",0,IF(OR(数据录入!$D3620="投标保证金",数据录入!$D3620="合同履约保证金",ISNUMBER(FIND("保证金",数据录入!$E3620))),1,0))</f>
      </c>
      <c r="R3620" s="44">
        <f>IF(AND($Q3620=1,数据录入!$B3620&gt;=$B$2,数据录入!$B3620&lt;=$D$2),N(R3619)+1,N(R3619))</f>
      </c>
    </row>
    <row r="3621" s="44" customFormat="1" spans="1:23">
      <c r="A3621" s="116"/>
      <c r="E3621" s="108"/>
      <c r="F3621" s="114"/>
      <c r="G3621" s="114"/>
      <c r="H3621" s="114"/>
      <c r="Q3621" s="44">
        <f>IF(数据录入!$B3621="",0,IF(OR(数据录入!$D3621="投标保证金",数据录入!$D3621="合同履约保证金",ISNUMBER(FIND("保证金",数据录入!$E3621))),1,0))</f>
      </c>
      <c r="R3621" s="44">
        <f>IF(AND($Q3621=1,数据录入!$B3621&gt;=$B$2,数据录入!$B3621&lt;=$D$2),N(R3620)+1,N(R3620))</f>
      </c>
    </row>
    <row r="3622" s="44" customFormat="1" spans="1:23">
      <c r="A3622" s="116"/>
      <c r="E3622" s="108"/>
      <c r="F3622" s="114"/>
      <c r="G3622" s="114"/>
      <c r="H3622" s="114"/>
      <c r="Q3622" s="44">
        <f>IF(数据录入!$B3622="",0,IF(OR(数据录入!$D3622="投标保证金",数据录入!$D3622="合同履约保证金",ISNUMBER(FIND("保证金",数据录入!$E3622))),1,0))</f>
      </c>
      <c r="R3622" s="44">
        <f>IF(AND($Q3622=1,数据录入!$B3622&gt;=$B$2,数据录入!$B3622&lt;=$D$2),N(R3621)+1,N(R3621))</f>
      </c>
    </row>
    <row r="3623" s="44" customFormat="1" spans="1:23">
      <c r="A3623" s="116"/>
      <c r="E3623" s="108"/>
      <c r="F3623" s="114"/>
      <c r="G3623" s="114"/>
      <c r="H3623" s="114"/>
      <c r="Q3623" s="44">
        <f>IF(数据录入!$B3623="",0,IF(OR(数据录入!$D3623="投标保证金",数据录入!$D3623="合同履约保证金",ISNUMBER(FIND("保证金",数据录入!$E3623))),1,0))</f>
      </c>
      <c r="R3623" s="44">
        <f>IF(AND($Q3623=1,数据录入!$B3623&gt;=$B$2,数据录入!$B3623&lt;=$D$2),N(R3622)+1,N(R3622))</f>
      </c>
    </row>
    <row r="3624" s="44" customFormat="1" spans="1:23">
      <c r="A3624" s="116"/>
      <c r="E3624" s="108"/>
      <c r="F3624" s="114"/>
      <c r="G3624" s="114"/>
      <c r="H3624" s="114"/>
      <c r="Q3624" s="44">
        <f>IF(数据录入!$B3624="",0,IF(OR(数据录入!$D3624="投标保证金",数据录入!$D3624="合同履约保证金",ISNUMBER(FIND("保证金",数据录入!$E3624))),1,0))</f>
      </c>
      <c r="R3624" s="44">
        <f>IF(AND($Q3624=1,数据录入!$B3624&gt;=$B$2,数据录入!$B3624&lt;=$D$2),N(R3623)+1,N(R3623))</f>
      </c>
    </row>
    <row r="3625" s="44" customFormat="1" spans="1:23">
      <c r="A3625" s="116"/>
      <c r="E3625" s="108"/>
      <c r="F3625" s="114"/>
      <c r="G3625" s="114"/>
      <c r="H3625" s="114"/>
      <c r="Q3625" s="44">
        <f>IF(数据录入!$B3625="",0,IF(OR(数据录入!$D3625="投标保证金",数据录入!$D3625="合同履约保证金",ISNUMBER(FIND("保证金",数据录入!$E3625))),1,0))</f>
      </c>
      <c r="R3625" s="44">
        <f>IF(AND($Q3625=1,数据录入!$B3625&gt;=$B$2,数据录入!$B3625&lt;=$D$2),N(R3624)+1,N(R3624))</f>
      </c>
    </row>
    <row r="3626" s="44" customFormat="1" spans="1:23">
      <c r="A3626" s="116"/>
      <c r="E3626" s="108"/>
      <c r="F3626" s="114"/>
      <c r="G3626" s="114"/>
      <c r="H3626" s="114"/>
      <c r="Q3626" s="44">
        <f>IF(数据录入!$B3626="",0,IF(OR(数据录入!$D3626="投标保证金",数据录入!$D3626="合同履约保证金",ISNUMBER(FIND("保证金",数据录入!$E3626))),1,0))</f>
      </c>
      <c r="R3626" s="44">
        <f>IF(AND($Q3626=1,数据录入!$B3626&gt;=$B$2,数据录入!$B3626&lt;=$D$2),N(R3625)+1,N(R3625))</f>
      </c>
    </row>
    <row r="3627" s="44" customFormat="1" spans="1:23">
      <c r="A3627" s="116"/>
      <c r="E3627" s="108"/>
      <c r="F3627" s="114"/>
      <c r="G3627" s="114"/>
      <c r="H3627" s="114"/>
      <c r="Q3627" s="44">
        <f>IF(数据录入!$B3627="",0,IF(OR(数据录入!$D3627="投标保证金",数据录入!$D3627="合同履约保证金",ISNUMBER(FIND("保证金",数据录入!$E3627))),1,0))</f>
      </c>
      <c r="R3627" s="44">
        <f>IF(AND($Q3627=1,数据录入!$B3627&gt;=$B$2,数据录入!$B3627&lt;=$D$2),N(R3626)+1,N(R3626))</f>
      </c>
    </row>
    <row r="3628" s="44" customFormat="1" spans="1:23">
      <c r="A3628" s="116"/>
      <c r="E3628" s="108"/>
      <c r="F3628" s="114"/>
      <c r="G3628" s="114"/>
      <c r="H3628" s="114"/>
      <c r="Q3628" s="44">
        <f>IF(数据录入!$B3628="",0,IF(OR(数据录入!$D3628="投标保证金",数据录入!$D3628="合同履约保证金",ISNUMBER(FIND("保证金",数据录入!$E3628))),1,0))</f>
      </c>
      <c r="R3628" s="44">
        <f>IF(AND($Q3628=1,数据录入!$B3628&gt;=$B$2,数据录入!$B3628&lt;=$D$2),N(R3627)+1,N(R3627))</f>
      </c>
    </row>
    <row r="3629" s="44" customFormat="1" spans="1:23">
      <c r="A3629" s="116"/>
      <c r="E3629" s="108"/>
      <c r="F3629" s="114"/>
      <c r="G3629" s="114"/>
      <c r="H3629" s="114"/>
      <c r="Q3629" s="44">
        <f>IF(数据录入!$B3629="",0,IF(OR(数据录入!$D3629="投标保证金",数据录入!$D3629="合同履约保证金",ISNUMBER(FIND("保证金",数据录入!$E3629))),1,0))</f>
      </c>
      <c r="R3629" s="44">
        <f>IF(AND($Q3629=1,数据录入!$B3629&gt;=$B$2,数据录入!$B3629&lt;=$D$2),N(R3628)+1,N(R3628))</f>
      </c>
    </row>
    <row r="3630" s="44" customFormat="1" spans="1:23">
      <c r="A3630" s="116"/>
      <c r="E3630" s="108"/>
      <c r="F3630" s="114"/>
      <c r="G3630" s="114"/>
      <c r="H3630" s="114"/>
      <c r="Q3630" s="44">
        <f>IF(数据录入!$B3630="",0,IF(OR(数据录入!$D3630="投标保证金",数据录入!$D3630="合同履约保证金",ISNUMBER(FIND("保证金",数据录入!$E3630))),1,0))</f>
      </c>
      <c r="R3630" s="44">
        <f>IF(AND($Q3630=1,数据录入!$B3630&gt;=$B$2,数据录入!$B3630&lt;=$D$2),N(R3629)+1,N(R3629))</f>
      </c>
    </row>
    <row r="3631" s="44" customFormat="1" spans="1:23">
      <c r="A3631" s="116"/>
      <c r="E3631" s="108"/>
      <c r="F3631" s="114"/>
      <c r="G3631" s="114"/>
      <c r="H3631" s="114"/>
      <c r="Q3631" s="44">
        <f>IF(数据录入!$B3631="",0,IF(OR(数据录入!$D3631="投标保证金",数据录入!$D3631="合同履约保证金",ISNUMBER(FIND("保证金",数据录入!$E3631))),1,0))</f>
      </c>
      <c r="R3631" s="44">
        <f>IF(AND($Q3631=1,数据录入!$B3631&gt;=$B$2,数据录入!$B3631&lt;=$D$2),N(R3630)+1,N(R3630))</f>
      </c>
    </row>
    <row r="3632" s="44" customFormat="1" spans="1:23">
      <c r="A3632" s="116"/>
      <c r="E3632" s="108"/>
      <c r="F3632" s="114"/>
      <c r="G3632" s="114"/>
      <c r="H3632" s="114"/>
      <c r="Q3632" s="44">
        <f>IF(数据录入!$B3632="",0,IF(OR(数据录入!$D3632="投标保证金",数据录入!$D3632="合同履约保证金",ISNUMBER(FIND("保证金",数据录入!$E3632))),1,0))</f>
      </c>
      <c r="R3632" s="44">
        <f>IF(AND($Q3632=1,数据录入!$B3632&gt;=$B$2,数据录入!$B3632&lt;=$D$2),N(R3631)+1,N(R3631))</f>
      </c>
    </row>
    <row r="3633" s="44" customFormat="1" spans="1:23">
      <c r="A3633" s="116"/>
      <c r="E3633" s="108"/>
      <c r="F3633" s="114"/>
      <c r="G3633" s="114"/>
      <c r="H3633" s="114"/>
      <c r="Q3633" s="44">
        <f>IF(数据录入!$B3633="",0,IF(OR(数据录入!$D3633="投标保证金",数据录入!$D3633="合同履约保证金",ISNUMBER(FIND("保证金",数据录入!$E3633))),1,0))</f>
      </c>
      <c r="R3633" s="44">
        <f>IF(AND($Q3633=1,数据录入!$B3633&gt;=$B$2,数据录入!$B3633&lt;=$D$2),N(R3632)+1,N(R3632))</f>
      </c>
    </row>
    <row r="3634" s="44" customFormat="1" spans="1:23">
      <c r="A3634" s="116"/>
      <c r="E3634" s="108"/>
      <c r="F3634" s="114"/>
      <c r="G3634" s="114"/>
      <c r="H3634" s="114"/>
      <c r="Q3634" s="44">
        <f>IF(数据录入!$B3634="",0,IF(OR(数据录入!$D3634="投标保证金",数据录入!$D3634="合同履约保证金",ISNUMBER(FIND("保证金",数据录入!$E3634))),1,0))</f>
      </c>
      <c r="R3634" s="44">
        <f>IF(AND($Q3634=1,数据录入!$B3634&gt;=$B$2,数据录入!$B3634&lt;=$D$2),N(R3633)+1,N(R3633))</f>
      </c>
    </row>
    <row r="3635" s="44" customFormat="1" spans="1:23">
      <c r="A3635" s="116"/>
      <c r="E3635" s="108"/>
      <c r="F3635" s="114"/>
      <c r="G3635" s="114"/>
      <c r="H3635" s="114"/>
      <c r="Q3635" s="44">
        <f>IF(数据录入!$B3635="",0,IF(OR(数据录入!$D3635="投标保证金",数据录入!$D3635="合同履约保证金",ISNUMBER(FIND("保证金",数据录入!$E3635))),1,0))</f>
      </c>
      <c r="R3635" s="44">
        <f>IF(AND($Q3635=1,数据录入!$B3635&gt;=$B$2,数据录入!$B3635&lt;=$D$2),N(R3634)+1,N(R3634))</f>
      </c>
    </row>
    <row r="3636" s="44" customFormat="1" spans="1:23">
      <c r="A3636" s="116"/>
      <c r="E3636" s="108"/>
      <c r="F3636" s="114"/>
      <c r="G3636" s="114"/>
      <c r="H3636" s="114"/>
      <c r="Q3636" s="44">
        <f>IF(数据录入!$B3636="",0,IF(OR(数据录入!$D3636="投标保证金",数据录入!$D3636="合同履约保证金",ISNUMBER(FIND("保证金",数据录入!$E3636))),1,0))</f>
      </c>
      <c r="R3636" s="44">
        <f>IF(AND($Q3636=1,数据录入!$B3636&gt;=$B$2,数据录入!$B3636&lt;=$D$2),N(R3635)+1,N(R3635))</f>
      </c>
    </row>
    <row r="3637" s="44" customFormat="1" spans="1:23">
      <c r="A3637" s="116"/>
      <c r="E3637" s="108"/>
      <c r="F3637" s="114"/>
      <c r="G3637" s="114"/>
      <c r="H3637" s="114"/>
      <c r="Q3637" s="44">
        <f>IF(数据录入!$B3637="",0,IF(OR(数据录入!$D3637="投标保证金",数据录入!$D3637="合同履约保证金",ISNUMBER(FIND("保证金",数据录入!$E3637))),1,0))</f>
      </c>
      <c r="R3637" s="44">
        <f>IF(AND($Q3637=1,数据录入!$B3637&gt;=$B$2,数据录入!$B3637&lt;=$D$2),N(R3636)+1,N(R3636))</f>
      </c>
    </row>
    <row r="3638" s="44" customFormat="1" spans="1:23">
      <c r="A3638" s="116"/>
      <c r="E3638" s="108"/>
      <c r="F3638" s="114"/>
      <c r="G3638" s="114"/>
      <c r="H3638" s="114"/>
      <c r="Q3638" s="44">
        <f>IF(数据录入!$B3638="",0,IF(OR(数据录入!$D3638="投标保证金",数据录入!$D3638="合同履约保证金",ISNUMBER(FIND("保证金",数据录入!$E3638))),1,0))</f>
      </c>
      <c r="R3638" s="44">
        <f>IF(AND($Q3638=1,数据录入!$B3638&gt;=$B$2,数据录入!$B3638&lt;=$D$2),N(R3637)+1,N(R3637))</f>
      </c>
    </row>
    <row r="3639" s="44" customFormat="1" spans="1:23">
      <c r="A3639" s="116"/>
      <c r="E3639" s="108"/>
      <c r="F3639" s="114"/>
      <c r="G3639" s="114"/>
      <c r="H3639" s="114"/>
      <c r="Q3639" s="44">
        <f>IF(数据录入!$B3639="",0,IF(OR(数据录入!$D3639="投标保证金",数据录入!$D3639="合同履约保证金",ISNUMBER(FIND("保证金",数据录入!$E3639))),1,0))</f>
      </c>
      <c r="R3639" s="44">
        <f>IF(AND($Q3639=1,数据录入!$B3639&gt;=$B$2,数据录入!$B3639&lt;=$D$2),N(R3638)+1,N(R3638))</f>
      </c>
    </row>
    <row r="3640" s="44" customFormat="1" spans="1:23">
      <c r="A3640" s="116"/>
      <c r="E3640" s="108"/>
      <c r="F3640" s="114"/>
      <c r="G3640" s="114"/>
      <c r="H3640" s="114"/>
      <c r="Q3640" s="44">
        <f>IF(数据录入!$B3640="",0,IF(OR(数据录入!$D3640="投标保证金",数据录入!$D3640="合同履约保证金",ISNUMBER(FIND("保证金",数据录入!$E3640))),1,0))</f>
      </c>
      <c r="R3640" s="44">
        <f>IF(AND($Q3640=1,数据录入!$B3640&gt;=$B$2,数据录入!$B3640&lt;=$D$2),N(R3639)+1,N(R3639))</f>
      </c>
    </row>
    <row r="3641" s="44" customFormat="1" spans="1:23">
      <c r="A3641" s="116"/>
      <c r="E3641" s="108"/>
      <c r="F3641" s="114"/>
      <c r="G3641" s="114"/>
      <c r="H3641" s="114"/>
      <c r="Q3641" s="44">
        <f>IF(数据录入!$B3641="",0,IF(OR(数据录入!$D3641="投标保证金",数据录入!$D3641="合同履约保证金",ISNUMBER(FIND("保证金",数据录入!$E3641))),1,0))</f>
      </c>
      <c r="R3641" s="44">
        <f>IF(AND($Q3641=1,数据录入!$B3641&gt;=$B$2,数据录入!$B3641&lt;=$D$2),N(R3640)+1,N(R3640))</f>
      </c>
    </row>
    <row r="3642" s="44" customFormat="1" spans="1:23">
      <c r="A3642" s="116"/>
      <c r="E3642" s="108"/>
      <c r="F3642" s="114"/>
      <c r="G3642" s="114"/>
      <c r="H3642" s="114"/>
      <c r="Q3642" s="44">
        <f>IF(数据录入!$B3642="",0,IF(OR(数据录入!$D3642="投标保证金",数据录入!$D3642="合同履约保证金",ISNUMBER(FIND("保证金",数据录入!$E3642))),1,0))</f>
      </c>
      <c r="R3642" s="44">
        <f>IF(AND($Q3642=1,数据录入!$B3642&gt;=$B$2,数据录入!$B3642&lt;=$D$2),N(R3641)+1,N(R3641))</f>
      </c>
    </row>
    <row r="3643" s="44" customFormat="1" spans="1:23">
      <c r="A3643" s="116"/>
      <c r="E3643" s="108"/>
      <c r="F3643" s="114"/>
      <c r="G3643" s="114"/>
      <c r="H3643" s="114"/>
      <c r="Q3643" s="44">
        <f>IF(数据录入!$B3643="",0,IF(OR(数据录入!$D3643="投标保证金",数据录入!$D3643="合同履约保证金",ISNUMBER(FIND("保证金",数据录入!$E3643))),1,0))</f>
      </c>
      <c r="R3643" s="44">
        <f>IF(AND($Q3643=1,数据录入!$B3643&gt;=$B$2,数据录入!$B3643&lt;=$D$2),N(R3642)+1,N(R3642))</f>
      </c>
    </row>
    <row r="3644" s="44" customFormat="1" spans="1:23">
      <c r="A3644" s="116"/>
      <c r="E3644" s="108"/>
      <c r="F3644" s="114"/>
      <c r="G3644" s="114"/>
      <c r="H3644" s="114"/>
      <c r="Q3644" s="44">
        <f>IF(数据录入!$B3644="",0,IF(OR(数据录入!$D3644="投标保证金",数据录入!$D3644="合同履约保证金",ISNUMBER(FIND("保证金",数据录入!$E3644))),1,0))</f>
      </c>
      <c r="R3644" s="44">
        <f>IF(AND($Q3644=1,数据录入!$B3644&gt;=$B$2,数据录入!$B3644&lt;=$D$2),N(R3643)+1,N(R3643))</f>
      </c>
    </row>
    <row r="3645" s="44" customFormat="1" spans="1:23">
      <c r="A3645" s="116"/>
      <c r="E3645" s="108"/>
      <c r="F3645" s="114"/>
      <c r="G3645" s="114"/>
      <c r="H3645" s="114"/>
      <c r="Q3645" s="44">
        <f>IF(数据录入!$B3645="",0,IF(OR(数据录入!$D3645="投标保证金",数据录入!$D3645="合同履约保证金",ISNUMBER(FIND("保证金",数据录入!$E3645))),1,0))</f>
      </c>
      <c r="R3645" s="44">
        <f>IF(AND($Q3645=1,数据录入!$B3645&gt;=$B$2,数据录入!$B3645&lt;=$D$2),N(R3644)+1,N(R3644))</f>
      </c>
    </row>
    <row r="3646" s="44" customFormat="1" spans="1:23">
      <c r="A3646" s="116"/>
      <c r="E3646" s="108"/>
      <c r="F3646" s="114"/>
      <c r="G3646" s="114"/>
      <c r="H3646" s="114"/>
      <c r="Q3646" s="44">
        <f>IF(数据录入!$B3646="",0,IF(OR(数据录入!$D3646="投标保证金",数据录入!$D3646="合同履约保证金",ISNUMBER(FIND("保证金",数据录入!$E3646))),1,0))</f>
      </c>
      <c r="R3646" s="44">
        <f>IF(AND($Q3646=1,数据录入!$B3646&gt;=$B$2,数据录入!$B3646&lt;=$D$2),N(R3645)+1,N(R3645))</f>
      </c>
    </row>
    <row r="3647" s="44" customFormat="1" spans="1:23">
      <c r="A3647" s="116"/>
      <c r="E3647" s="108"/>
      <c r="F3647" s="114"/>
      <c r="G3647" s="114"/>
      <c r="H3647" s="114"/>
      <c r="Q3647" s="44">
        <f>IF(数据录入!$B3647="",0,IF(OR(数据录入!$D3647="投标保证金",数据录入!$D3647="合同履约保证金",ISNUMBER(FIND("保证金",数据录入!$E3647))),1,0))</f>
      </c>
      <c r="R3647" s="44">
        <f>IF(AND($Q3647=1,数据录入!$B3647&gt;=$B$2,数据录入!$B3647&lt;=$D$2),N(R3646)+1,N(R3646))</f>
      </c>
    </row>
    <row r="3648" s="44" customFormat="1" spans="1:23">
      <c r="A3648" s="116"/>
      <c r="E3648" s="108"/>
      <c r="F3648" s="114"/>
      <c r="G3648" s="114"/>
      <c r="H3648" s="114"/>
      <c r="Q3648" s="44">
        <f>IF(数据录入!$B3648="",0,IF(OR(数据录入!$D3648="投标保证金",数据录入!$D3648="合同履约保证金",ISNUMBER(FIND("保证金",数据录入!$E3648))),1,0))</f>
      </c>
      <c r="R3648" s="44">
        <f>IF(AND($Q3648=1,数据录入!$B3648&gt;=$B$2,数据录入!$B3648&lt;=$D$2),N(R3647)+1,N(R3647))</f>
      </c>
    </row>
    <row r="3649" s="44" customFormat="1" spans="1:23">
      <c r="A3649" s="116"/>
      <c r="E3649" s="108"/>
      <c r="F3649" s="114"/>
      <c r="G3649" s="114"/>
      <c r="H3649" s="114"/>
      <c r="Q3649" s="44">
        <f>IF(数据录入!$B3649="",0,IF(OR(数据录入!$D3649="投标保证金",数据录入!$D3649="合同履约保证金",ISNUMBER(FIND("保证金",数据录入!$E3649))),1,0))</f>
      </c>
      <c r="R3649" s="44">
        <f>IF(AND($Q3649=1,数据录入!$B3649&gt;=$B$2,数据录入!$B3649&lt;=$D$2),N(R3648)+1,N(R3648))</f>
      </c>
    </row>
    <row r="3650" s="44" customFormat="1" spans="1:23">
      <c r="A3650" s="116"/>
      <c r="E3650" s="108"/>
      <c r="F3650" s="114"/>
      <c r="G3650" s="114"/>
      <c r="H3650" s="114"/>
      <c r="Q3650" s="44">
        <f>IF(数据录入!$B3650="",0,IF(OR(数据录入!$D3650="投标保证金",数据录入!$D3650="合同履约保证金",ISNUMBER(FIND("保证金",数据录入!$E3650))),1,0))</f>
      </c>
      <c r="R3650" s="44">
        <f>IF(AND($Q3650=1,数据录入!$B3650&gt;=$B$2,数据录入!$B3650&lt;=$D$2),N(R3649)+1,N(R3649))</f>
      </c>
    </row>
    <row r="3651" s="44" customFormat="1" spans="1:23">
      <c r="A3651" s="116"/>
      <c r="E3651" s="108"/>
      <c r="F3651" s="114"/>
      <c r="G3651" s="114"/>
      <c r="H3651" s="114"/>
      <c r="Q3651" s="44">
        <f>IF(数据录入!$B3651="",0,IF(OR(数据录入!$D3651="投标保证金",数据录入!$D3651="合同履约保证金",ISNUMBER(FIND("保证金",数据录入!$E3651))),1,0))</f>
      </c>
      <c r="R3651" s="44">
        <f>IF(AND($Q3651=1,数据录入!$B3651&gt;=$B$2,数据录入!$B3651&lt;=$D$2),N(R3650)+1,N(R3650))</f>
      </c>
    </row>
    <row r="3652" s="44" customFormat="1" spans="1:23">
      <c r="A3652" s="116"/>
      <c r="E3652" s="108"/>
      <c r="F3652" s="114"/>
      <c r="G3652" s="114"/>
      <c r="H3652" s="114"/>
      <c r="Q3652" s="44">
        <f>IF(数据录入!$B3652="",0,IF(OR(数据录入!$D3652="投标保证金",数据录入!$D3652="合同履约保证金",ISNUMBER(FIND("保证金",数据录入!$E3652))),1,0))</f>
      </c>
      <c r="R3652" s="44">
        <f>IF(AND($Q3652=1,数据录入!$B3652&gt;=$B$2,数据录入!$B3652&lt;=$D$2),N(R3651)+1,N(R3651))</f>
      </c>
    </row>
    <row r="3653" s="44" customFormat="1" spans="1:23">
      <c r="A3653" s="116"/>
      <c r="E3653" s="108"/>
      <c r="F3653" s="114"/>
      <c r="G3653" s="114"/>
      <c r="H3653" s="114"/>
      <c r="Q3653" s="44">
        <f>IF(数据录入!$B3653="",0,IF(OR(数据录入!$D3653="投标保证金",数据录入!$D3653="合同履约保证金",ISNUMBER(FIND("保证金",数据录入!$E3653))),1,0))</f>
      </c>
      <c r="R3653" s="44">
        <f>IF(AND($Q3653=1,数据录入!$B3653&gt;=$B$2,数据录入!$B3653&lt;=$D$2),N(R3652)+1,N(R3652))</f>
      </c>
    </row>
    <row r="3654" s="44" customFormat="1" spans="1:23">
      <c r="A3654" s="116"/>
      <c r="E3654" s="108"/>
      <c r="F3654" s="114"/>
      <c r="G3654" s="114"/>
      <c r="H3654" s="114"/>
      <c r="Q3654" s="44">
        <f>IF(数据录入!$B3654="",0,IF(OR(数据录入!$D3654="投标保证金",数据录入!$D3654="合同履约保证金",ISNUMBER(FIND("保证金",数据录入!$E3654))),1,0))</f>
      </c>
      <c r="R3654" s="44">
        <f>IF(AND($Q3654=1,数据录入!$B3654&gt;=$B$2,数据录入!$B3654&lt;=$D$2),N(R3653)+1,N(R3653))</f>
      </c>
    </row>
    <row r="3655" s="44" customFormat="1" spans="1:23">
      <c r="A3655" s="116"/>
      <c r="E3655" s="108"/>
      <c r="F3655" s="114"/>
      <c r="G3655" s="114"/>
      <c r="H3655" s="114"/>
      <c r="Q3655" s="44">
        <f>IF(数据录入!$B3655="",0,IF(OR(数据录入!$D3655="投标保证金",数据录入!$D3655="合同履约保证金",ISNUMBER(FIND("保证金",数据录入!$E3655))),1,0))</f>
      </c>
      <c r="R3655" s="44">
        <f>IF(AND($Q3655=1,数据录入!$B3655&gt;=$B$2,数据录入!$B3655&lt;=$D$2),N(R3654)+1,N(R3654))</f>
      </c>
    </row>
    <row r="3656" s="44" customFormat="1" spans="1:23">
      <c r="A3656" s="116"/>
      <c r="E3656" s="108"/>
      <c r="F3656" s="114"/>
      <c r="G3656" s="114"/>
      <c r="H3656" s="114"/>
      <c r="Q3656" s="44">
        <f>IF(数据录入!$B3656="",0,IF(OR(数据录入!$D3656="投标保证金",数据录入!$D3656="合同履约保证金",ISNUMBER(FIND("保证金",数据录入!$E3656))),1,0))</f>
      </c>
      <c r="R3656" s="44">
        <f>IF(AND($Q3656=1,数据录入!$B3656&gt;=$B$2,数据录入!$B3656&lt;=$D$2),N(R3655)+1,N(R3655))</f>
      </c>
    </row>
    <row r="3657" s="44" customFormat="1" spans="1:23">
      <c r="A3657" s="116"/>
      <c r="E3657" s="108"/>
      <c r="F3657" s="114"/>
      <c r="G3657" s="114"/>
      <c r="H3657" s="114"/>
      <c r="Q3657" s="44">
        <f>IF(数据录入!$B3657="",0,IF(OR(数据录入!$D3657="投标保证金",数据录入!$D3657="合同履约保证金",ISNUMBER(FIND("保证金",数据录入!$E3657))),1,0))</f>
      </c>
      <c r="R3657" s="44">
        <f>IF(AND($Q3657=1,数据录入!$B3657&gt;=$B$2,数据录入!$B3657&lt;=$D$2),N(R3656)+1,N(R3656))</f>
      </c>
    </row>
    <row r="3658" s="44" customFormat="1" spans="1:23">
      <c r="A3658" s="116"/>
      <c r="E3658" s="108"/>
      <c r="F3658" s="114"/>
      <c r="G3658" s="114"/>
      <c r="H3658" s="114"/>
      <c r="Q3658" s="44">
        <f>IF(数据录入!$B3658="",0,IF(OR(数据录入!$D3658="投标保证金",数据录入!$D3658="合同履约保证金",ISNUMBER(FIND("保证金",数据录入!$E3658))),1,0))</f>
      </c>
      <c r="R3658" s="44">
        <f>IF(AND($Q3658=1,数据录入!$B3658&gt;=$B$2,数据录入!$B3658&lt;=$D$2),N(R3657)+1,N(R3657))</f>
      </c>
    </row>
    <row r="3659" s="44" customFormat="1" spans="1:23">
      <c r="A3659" s="116"/>
      <c r="E3659" s="108"/>
      <c r="F3659" s="114"/>
      <c r="G3659" s="114"/>
      <c r="H3659" s="114"/>
      <c r="Q3659" s="44">
        <f>IF(数据录入!$B3659="",0,IF(OR(数据录入!$D3659="投标保证金",数据录入!$D3659="合同履约保证金",ISNUMBER(FIND("保证金",数据录入!$E3659))),1,0))</f>
      </c>
      <c r="R3659" s="44">
        <f>IF(AND($Q3659=1,数据录入!$B3659&gt;=$B$2,数据录入!$B3659&lt;=$D$2),N(R3658)+1,N(R3658))</f>
      </c>
    </row>
    <row r="3660" s="44" customFormat="1" spans="1:23">
      <c r="A3660" s="116"/>
      <c r="E3660" s="108"/>
      <c r="F3660" s="114"/>
      <c r="G3660" s="114"/>
      <c r="H3660" s="114"/>
      <c r="Q3660" s="44">
        <f>IF(数据录入!$B3660="",0,IF(OR(数据录入!$D3660="投标保证金",数据录入!$D3660="合同履约保证金",ISNUMBER(FIND("保证金",数据录入!$E3660))),1,0))</f>
      </c>
      <c r="R3660" s="44">
        <f>IF(AND($Q3660=1,数据录入!$B3660&gt;=$B$2,数据录入!$B3660&lt;=$D$2),N(R3659)+1,N(R3659))</f>
      </c>
    </row>
    <row r="3661" s="44" customFormat="1" spans="1:23">
      <c r="A3661" s="116"/>
      <c r="E3661" s="108"/>
      <c r="F3661" s="114"/>
      <c r="G3661" s="114"/>
      <c r="H3661" s="114"/>
      <c r="Q3661" s="44">
        <f>IF(数据录入!$B3661="",0,IF(OR(数据录入!$D3661="投标保证金",数据录入!$D3661="合同履约保证金",ISNUMBER(FIND("保证金",数据录入!$E3661))),1,0))</f>
      </c>
      <c r="R3661" s="44">
        <f>IF(AND($Q3661=1,数据录入!$B3661&gt;=$B$2,数据录入!$B3661&lt;=$D$2),N(R3660)+1,N(R3660))</f>
      </c>
    </row>
    <row r="3662" s="44" customFormat="1" spans="1:23">
      <c r="A3662" s="116"/>
      <c r="E3662" s="108"/>
      <c r="F3662" s="114"/>
      <c r="G3662" s="114"/>
      <c r="H3662" s="114"/>
      <c r="Q3662" s="44">
        <f>IF(数据录入!$B3662="",0,IF(OR(数据录入!$D3662="投标保证金",数据录入!$D3662="合同履约保证金",ISNUMBER(FIND("保证金",数据录入!$E3662))),1,0))</f>
      </c>
      <c r="R3662" s="44">
        <f>IF(AND($Q3662=1,数据录入!$B3662&gt;=$B$2,数据录入!$B3662&lt;=$D$2),N(R3661)+1,N(R3661))</f>
      </c>
    </row>
    <row r="3663" s="44" customFormat="1" spans="1:23">
      <c r="A3663" s="116"/>
      <c r="E3663" s="108"/>
      <c r="F3663" s="114"/>
      <c r="G3663" s="114"/>
      <c r="H3663" s="114"/>
      <c r="Q3663" s="44">
        <f>IF(数据录入!$B3663="",0,IF(OR(数据录入!$D3663="投标保证金",数据录入!$D3663="合同履约保证金",ISNUMBER(FIND("保证金",数据录入!$E3663))),1,0))</f>
      </c>
      <c r="R3663" s="44">
        <f>IF(AND($Q3663=1,数据录入!$B3663&gt;=$B$2,数据录入!$B3663&lt;=$D$2),N(R3662)+1,N(R3662))</f>
      </c>
    </row>
    <row r="3664" s="44" customFormat="1" spans="1:23">
      <c r="A3664" s="116"/>
      <c r="E3664" s="108"/>
      <c r="F3664" s="114"/>
      <c r="G3664" s="114"/>
      <c r="H3664" s="114"/>
      <c r="Q3664" s="44">
        <f>IF(数据录入!$B3664="",0,IF(OR(数据录入!$D3664="投标保证金",数据录入!$D3664="合同履约保证金",ISNUMBER(FIND("保证金",数据录入!$E3664))),1,0))</f>
      </c>
      <c r="R3664" s="44">
        <f>IF(AND($Q3664=1,数据录入!$B3664&gt;=$B$2,数据录入!$B3664&lt;=$D$2),N(R3663)+1,N(R3663))</f>
      </c>
    </row>
    <row r="3665" s="44" customFormat="1" spans="1:23">
      <c r="A3665" s="116"/>
      <c r="E3665" s="108"/>
      <c r="F3665" s="114"/>
      <c r="G3665" s="114"/>
      <c r="H3665" s="114"/>
      <c r="Q3665" s="44">
        <f>IF(数据录入!$B3665="",0,IF(OR(数据录入!$D3665="投标保证金",数据录入!$D3665="合同履约保证金",ISNUMBER(FIND("保证金",数据录入!$E3665))),1,0))</f>
      </c>
      <c r="R3665" s="44">
        <f>IF(AND($Q3665=1,数据录入!$B3665&gt;=$B$2,数据录入!$B3665&lt;=$D$2),N(R3664)+1,N(R3664))</f>
      </c>
    </row>
    <row r="3666" s="44" customFormat="1" spans="1:23">
      <c r="A3666" s="116"/>
      <c r="E3666" s="108"/>
      <c r="F3666" s="114"/>
      <c r="G3666" s="114"/>
      <c r="H3666" s="114"/>
      <c r="Q3666" s="44">
        <f>IF(数据录入!$B3666="",0,IF(OR(数据录入!$D3666="投标保证金",数据录入!$D3666="合同履约保证金",ISNUMBER(FIND("保证金",数据录入!$E3666))),1,0))</f>
      </c>
      <c r="R3666" s="44">
        <f>IF(AND($Q3666=1,数据录入!$B3666&gt;=$B$2,数据录入!$B3666&lt;=$D$2),N(R3665)+1,N(R3665))</f>
      </c>
    </row>
    <row r="3667" s="44" customFormat="1" spans="1:23">
      <c r="A3667" s="116"/>
      <c r="E3667" s="108"/>
      <c r="F3667" s="114"/>
      <c r="G3667" s="114"/>
      <c r="H3667" s="114"/>
      <c r="Q3667" s="44">
        <f>IF(数据录入!$B3667="",0,IF(OR(数据录入!$D3667="投标保证金",数据录入!$D3667="合同履约保证金",ISNUMBER(FIND("保证金",数据录入!$E3667))),1,0))</f>
      </c>
      <c r="R3667" s="44">
        <f>IF(AND($Q3667=1,数据录入!$B3667&gt;=$B$2,数据录入!$B3667&lt;=$D$2),N(R3666)+1,N(R3666))</f>
      </c>
    </row>
    <row r="3668" s="44" customFormat="1" spans="1:23">
      <c r="A3668" s="116"/>
      <c r="E3668" s="108"/>
      <c r="F3668" s="114"/>
      <c r="G3668" s="114"/>
      <c r="H3668" s="114"/>
      <c r="Q3668" s="44">
        <f>IF(数据录入!$B3668="",0,IF(OR(数据录入!$D3668="投标保证金",数据录入!$D3668="合同履约保证金",ISNUMBER(FIND("保证金",数据录入!$E3668))),1,0))</f>
      </c>
      <c r="R3668" s="44">
        <f>IF(AND($Q3668=1,数据录入!$B3668&gt;=$B$2,数据录入!$B3668&lt;=$D$2),N(R3667)+1,N(R3667))</f>
      </c>
    </row>
    <row r="3669" s="44" customFormat="1" spans="1:23">
      <c r="A3669" s="116"/>
      <c r="E3669" s="108"/>
      <c r="F3669" s="114"/>
      <c r="G3669" s="114"/>
      <c r="H3669" s="114"/>
      <c r="Q3669" s="44">
        <f>IF(数据录入!$B3669="",0,IF(OR(数据录入!$D3669="投标保证金",数据录入!$D3669="合同履约保证金",ISNUMBER(FIND("保证金",数据录入!$E3669))),1,0))</f>
      </c>
      <c r="R3669" s="44">
        <f>IF(AND($Q3669=1,数据录入!$B3669&gt;=$B$2,数据录入!$B3669&lt;=$D$2),N(R3668)+1,N(R3668))</f>
      </c>
    </row>
    <row r="3670" s="44" customFormat="1" spans="1:23">
      <c r="A3670" s="116"/>
      <c r="E3670" s="108"/>
      <c r="F3670" s="114"/>
      <c r="G3670" s="114"/>
      <c r="H3670" s="114"/>
      <c r="Q3670" s="44">
        <f>IF(数据录入!$B3670="",0,IF(OR(数据录入!$D3670="投标保证金",数据录入!$D3670="合同履约保证金",ISNUMBER(FIND("保证金",数据录入!$E3670))),1,0))</f>
      </c>
      <c r="R3670" s="44">
        <f>IF(AND($Q3670=1,数据录入!$B3670&gt;=$B$2,数据录入!$B3670&lt;=$D$2),N(R3669)+1,N(R3669))</f>
      </c>
    </row>
    <row r="3671" s="44" customFormat="1" spans="1:23">
      <c r="A3671" s="116"/>
      <c r="E3671" s="108"/>
      <c r="F3671" s="114"/>
      <c r="G3671" s="114"/>
      <c r="H3671" s="114"/>
      <c r="Q3671" s="44">
        <f>IF(数据录入!$B3671="",0,IF(OR(数据录入!$D3671="投标保证金",数据录入!$D3671="合同履约保证金",ISNUMBER(FIND("保证金",数据录入!$E3671))),1,0))</f>
      </c>
      <c r="R3671" s="44">
        <f>IF(AND($Q3671=1,数据录入!$B3671&gt;=$B$2,数据录入!$B3671&lt;=$D$2),N(R3670)+1,N(R3670))</f>
      </c>
    </row>
    <row r="3672" s="44" customFormat="1" spans="1:23">
      <c r="A3672" s="116"/>
      <c r="E3672" s="108"/>
      <c r="F3672" s="114"/>
      <c r="G3672" s="114"/>
      <c r="H3672" s="114"/>
      <c r="Q3672" s="44">
        <f>IF(数据录入!$B3672="",0,IF(OR(数据录入!$D3672="投标保证金",数据录入!$D3672="合同履约保证金",ISNUMBER(FIND("保证金",数据录入!$E3672))),1,0))</f>
      </c>
      <c r="R3672" s="44">
        <f>IF(AND($Q3672=1,数据录入!$B3672&gt;=$B$2,数据录入!$B3672&lt;=$D$2),N(R3671)+1,N(R3671))</f>
      </c>
    </row>
    <row r="3673" s="44" customFormat="1" spans="1:23">
      <c r="A3673" s="116"/>
      <c r="E3673" s="108"/>
      <c r="F3673" s="114"/>
      <c r="G3673" s="114"/>
      <c r="H3673" s="114"/>
      <c r="Q3673" s="44">
        <f>IF(数据录入!$B3673="",0,IF(OR(数据录入!$D3673="投标保证金",数据录入!$D3673="合同履约保证金",ISNUMBER(FIND("保证金",数据录入!$E3673))),1,0))</f>
      </c>
      <c r="R3673" s="44">
        <f>IF(AND($Q3673=1,数据录入!$B3673&gt;=$B$2,数据录入!$B3673&lt;=$D$2),N(R3672)+1,N(R3672))</f>
      </c>
    </row>
    <row r="3674" s="44" customFormat="1" spans="1:23">
      <c r="A3674" s="116"/>
      <c r="E3674" s="108"/>
      <c r="F3674" s="114"/>
      <c r="G3674" s="114"/>
      <c r="H3674" s="114"/>
      <c r="Q3674" s="44">
        <f>IF(数据录入!$B3674="",0,IF(OR(数据录入!$D3674="投标保证金",数据录入!$D3674="合同履约保证金",ISNUMBER(FIND("保证金",数据录入!$E3674))),1,0))</f>
      </c>
      <c r="R3674" s="44">
        <f>IF(AND($Q3674=1,数据录入!$B3674&gt;=$B$2,数据录入!$B3674&lt;=$D$2),N(R3673)+1,N(R3673))</f>
      </c>
    </row>
    <row r="3675" s="44" customFormat="1" spans="1:23">
      <c r="A3675" s="116"/>
      <c r="E3675" s="108"/>
      <c r="F3675" s="114"/>
      <c r="G3675" s="114"/>
      <c r="H3675" s="114"/>
      <c r="Q3675" s="44">
        <f>IF(数据录入!$B3675="",0,IF(OR(数据录入!$D3675="投标保证金",数据录入!$D3675="合同履约保证金",ISNUMBER(FIND("保证金",数据录入!$E3675))),1,0))</f>
      </c>
      <c r="R3675" s="44">
        <f>IF(AND($Q3675=1,数据录入!$B3675&gt;=$B$2,数据录入!$B3675&lt;=$D$2),N(R3674)+1,N(R3674))</f>
      </c>
    </row>
    <row r="3676" s="44" customFormat="1" spans="1:23">
      <c r="A3676" s="116"/>
      <c r="E3676" s="108"/>
      <c r="F3676" s="114"/>
      <c r="G3676" s="114"/>
      <c r="H3676" s="114"/>
      <c r="Q3676" s="44">
        <f>IF(数据录入!$B3676="",0,IF(OR(数据录入!$D3676="投标保证金",数据录入!$D3676="合同履约保证金",ISNUMBER(FIND("保证金",数据录入!$E3676))),1,0))</f>
      </c>
      <c r="R3676" s="44">
        <f>IF(AND($Q3676=1,数据录入!$B3676&gt;=$B$2,数据录入!$B3676&lt;=$D$2),N(R3675)+1,N(R3675))</f>
      </c>
    </row>
    <row r="3677" s="44" customFormat="1" spans="1:23">
      <c r="A3677" s="116"/>
      <c r="E3677" s="108"/>
      <c r="F3677" s="114"/>
      <c r="G3677" s="114"/>
      <c r="H3677" s="114"/>
      <c r="Q3677" s="44">
        <f>IF(数据录入!$B3677="",0,IF(OR(数据录入!$D3677="投标保证金",数据录入!$D3677="合同履约保证金",ISNUMBER(FIND("保证金",数据录入!$E3677))),1,0))</f>
      </c>
      <c r="R3677" s="44">
        <f>IF(AND($Q3677=1,数据录入!$B3677&gt;=$B$2,数据录入!$B3677&lt;=$D$2),N(R3676)+1,N(R3676))</f>
      </c>
    </row>
    <row r="3678" s="44" customFormat="1" spans="1:23">
      <c r="A3678" s="116"/>
      <c r="E3678" s="108"/>
      <c r="F3678" s="114"/>
      <c r="G3678" s="114"/>
      <c r="H3678" s="114"/>
      <c r="Q3678" s="44">
        <f>IF(数据录入!$B3678="",0,IF(OR(数据录入!$D3678="投标保证金",数据录入!$D3678="合同履约保证金",ISNUMBER(FIND("保证金",数据录入!$E3678))),1,0))</f>
      </c>
      <c r="R3678" s="44">
        <f>IF(AND($Q3678=1,数据录入!$B3678&gt;=$B$2,数据录入!$B3678&lt;=$D$2),N(R3677)+1,N(R3677))</f>
      </c>
    </row>
    <row r="3679" s="44" customFormat="1" spans="1:23">
      <c r="A3679" s="116"/>
      <c r="E3679" s="108"/>
      <c r="F3679" s="114"/>
      <c r="G3679" s="114"/>
      <c r="H3679" s="114"/>
      <c r="Q3679" s="44">
        <f>IF(数据录入!$B3679="",0,IF(OR(数据录入!$D3679="投标保证金",数据录入!$D3679="合同履约保证金",ISNUMBER(FIND("保证金",数据录入!$E3679))),1,0))</f>
      </c>
      <c r="R3679" s="44">
        <f>IF(AND($Q3679=1,数据录入!$B3679&gt;=$B$2,数据录入!$B3679&lt;=$D$2),N(R3678)+1,N(R3678))</f>
      </c>
    </row>
    <row r="3680" s="44" customFormat="1" spans="1:23">
      <c r="A3680" s="116"/>
      <c r="E3680" s="108"/>
      <c r="F3680" s="114"/>
      <c r="G3680" s="114"/>
      <c r="H3680" s="114"/>
      <c r="Q3680" s="44">
        <f>IF(数据录入!$B3680="",0,IF(OR(数据录入!$D3680="投标保证金",数据录入!$D3680="合同履约保证金",ISNUMBER(FIND("保证金",数据录入!$E3680))),1,0))</f>
      </c>
      <c r="R3680" s="44">
        <f>IF(AND($Q3680=1,数据录入!$B3680&gt;=$B$2,数据录入!$B3680&lt;=$D$2),N(R3679)+1,N(R3679))</f>
      </c>
    </row>
    <row r="3681" s="44" customFormat="1" spans="1:23">
      <c r="A3681" s="116"/>
      <c r="E3681" s="108"/>
      <c r="F3681" s="114"/>
      <c r="G3681" s="114"/>
      <c r="H3681" s="114"/>
      <c r="Q3681" s="44">
        <f>IF(数据录入!$B3681="",0,IF(OR(数据录入!$D3681="投标保证金",数据录入!$D3681="合同履约保证金",ISNUMBER(FIND("保证金",数据录入!$E3681))),1,0))</f>
      </c>
      <c r="R3681" s="44">
        <f>IF(AND($Q3681=1,数据录入!$B3681&gt;=$B$2,数据录入!$B3681&lt;=$D$2),N(R3680)+1,N(R3680))</f>
      </c>
    </row>
    <row r="3682" s="44" customFormat="1" spans="1:23">
      <c r="A3682" s="116"/>
      <c r="E3682" s="108"/>
      <c r="F3682" s="114"/>
      <c r="G3682" s="114"/>
      <c r="H3682" s="114"/>
      <c r="Q3682" s="44">
        <f>IF(数据录入!$B3682="",0,IF(OR(数据录入!$D3682="投标保证金",数据录入!$D3682="合同履约保证金",ISNUMBER(FIND("保证金",数据录入!$E3682))),1,0))</f>
      </c>
      <c r="R3682" s="44">
        <f>IF(AND($Q3682=1,数据录入!$B3682&gt;=$B$2,数据录入!$B3682&lt;=$D$2),N(R3681)+1,N(R3681))</f>
      </c>
    </row>
    <row r="3683" s="44" customFormat="1" spans="1:23">
      <c r="A3683" s="116"/>
      <c r="E3683" s="108"/>
      <c r="F3683" s="114"/>
      <c r="G3683" s="114"/>
      <c r="H3683" s="114"/>
      <c r="Q3683" s="44">
        <f>IF(数据录入!$B3683="",0,IF(OR(数据录入!$D3683="投标保证金",数据录入!$D3683="合同履约保证金",ISNUMBER(FIND("保证金",数据录入!$E3683))),1,0))</f>
      </c>
      <c r="R3683" s="44">
        <f>IF(AND($Q3683=1,数据录入!$B3683&gt;=$B$2,数据录入!$B3683&lt;=$D$2),N(R3682)+1,N(R3682))</f>
      </c>
    </row>
    <row r="3684" s="44" customFormat="1" spans="1:23">
      <c r="A3684" s="116"/>
      <c r="E3684" s="108"/>
      <c r="F3684" s="114"/>
      <c r="G3684" s="114"/>
      <c r="H3684" s="114"/>
      <c r="Q3684" s="44">
        <f>IF(数据录入!$B3684="",0,IF(OR(数据录入!$D3684="投标保证金",数据录入!$D3684="合同履约保证金",ISNUMBER(FIND("保证金",数据录入!$E3684))),1,0))</f>
      </c>
      <c r="R3684" s="44">
        <f>IF(AND($Q3684=1,数据录入!$B3684&gt;=$B$2,数据录入!$B3684&lt;=$D$2),N(R3683)+1,N(R3683))</f>
      </c>
    </row>
    <row r="3685" s="44" customFormat="1" spans="1:23">
      <c r="A3685" s="116"/>
      <c r="E3685" s="108"/>
      <c r="F3685" s="114"/>
      <c r="G3685" s="114"/>
      <c r="H3685" s="114"/>
      <c r="Q3685" s="44">
        <f>IF(数据录入!$B3685="",0,IF(OR(数据录入!$D3685="投标保证金",数据录入!$D3685="合同履约保证金",ISNUMBER(FIND("保证金",数据录入!$E3685))),1,0))</f>
      </c>
      <c r="R3685" s="44">
        <f>IF(AND($Q3685=1,数据录入!$B3685&gt;=$B$2,数据录入!$B3685&lt;=$D$2),N(R3684)+1,N(R3684))</f>
      </c>
    </row>
    <row r="3686" s="44" customFormat="1" spans="1:23">
      <c r="A3686" s="116"/>
      <c r="E3686" s="108"/>
      <c r="F3686" s="114"/>
      <c r="G3686" s="114"/>
      <c r="H3686" s="114"/>
      <c r="Q3686" s="44">
        <f>IF(数据录入!$B3686="",0,IF(OR(数据录入!$D3686="投标保证金",数据录入!$D3686="合同履约保证金",ISNUMBER(FIND("保证金",数据录入!$E3686))),1,0))</f>
      </c>
      <c r="R3686" s="44">
        <f>IF(AND($Q3686=1,数据录入!$B3686&gt;=$B$2,数据录入!$B3686&lt;=$D$2),N(R3685)+1,N(R3685))</f>
      </c>
    </row>
    <row r="3687" s="44" customFormat="1" spans="1:23">
      <c r="A3687" s="116"/>
      <c r="E3687" s="108"/>
      <c r="F3687" s="114"/>
      <c r="G3687" s="114"/>
      <c r="H3687" s="114"/>
      <c r="Q3687" s="44">
        <f>IF(数据录入!$B3687="",0,IF(OR(数据录入!$D3687="投标保证金",数据录入!$D3687="合同履约保证金",ISNUMBER(FIND("保证金",数据录入!$E3687))),1,0))</f>
      </c>
      <c r="R3687" s="44">
        <f>IF(AND($Q3687=1,数据录入!$B3687&gt;=$B$2,数据录入!$B3687&lt;=$D$2),N(R3686)+1,N(R3686))</f>
      </c>
    </row>
    <row r="3688" s="44" customFormat="1" spans="1:23">
      <c r="A3688" s="116"/>
      <c r="E3688" s="108"/>
      <c r="F3688" s="114"/>
      <c r="G3688" s="114"/>
      <c r="H3688" s="114"/>
      <c r="Q3688" s="44">
        <f>IF(数据录入!$B3688="",0,IF(OR(数据录入!$D3688="投标保证金",数据录入!$D3688="合同履约保证金",ISNUMBER(FIND("保证金",数据录入!$E3688))),1,0))</f>
      </c>
      <c r="R3688" s="44">
        <f>IF(AND($Q3688=1,数据录入!$B3688&gt;=$B$2,数据录入!$B3688&lt;=$D$2),N(R3687)+1,N(R3687))</f>
      </c>
    </row>
    <row r="3689" s="44" customFormat="1" spans="1:23">
      <c r="A3689" s="116"/>
      <c r="E3689" s="108"/>
      <c r="F3689" s="114"/>
      <c r="G3689" s="114"/>
      <c r="H3689" s="114"/>
      <c r="Q3689" s="44">
        <f>IF(数据录入!$B3689="",0,IF(OR(数据录入!$D3689="投标保证金",数据录入!$D3689="合同履约保证金",ISNUMBER(FIND("保证金",数据录入!$E3689))),1,0))</f>
      </c>
      <c r="R3689" s="44">
        <f>IF(AND($Q3689=1,数据录入!$B3689&gt;=$B$2,数据录入!$B3689&lt;=$D$2),N(R3688)+1,N(R3688))</f>
      </c>
    </row>
    <row r="3690" s="44" customFormat="1" spans="1:23">
      <c r="A3690" s="116"/>
      <c r="E3690" s="108"/>
      <c r="F3690" s="114"/>
      <c r="G3690" s="114"/>
      <c r="H3690" s="114"/>
      <c r="Q3690" s="44">
        <f>IF(数据录入!$B3690="",0,IF(OR(数据录入!$D3690="投标保证金",数据录入!$D3690="合同履约保证金",ISNUMBER(FIND("保证金",数据录入!$E3690))),1,0))</f>
      </c>
      <c r="R3690" s="44">
        <f>IF(AND($Q3690=1,数据录入!$B3690&gt;=$B$2,数据录入!$B3690&lt;=$D$2),N(R3689)+1,N(R3689))</f>
      </c>
    </row>
    <row r="3691" s="44" customFormat="1" spans="1:23">
      <c r="A3691" s="116"/>
      <c r="E3691" s="108"/>
      <c r="F3691" s="114"/>
      <c r="G3691" s="114"/>
      <c r="H3691" s="114"/>
      <c r="Q3691" s="44">
        <f>IF(数据录入!$B3691="",0,IF(OR(数据录入!$D3691="投标保证金",数据录入!$D3691="合同履约保证金",ISNUMBER(FIND("保证金",数据录入!$E3691))),1,0))</f>
      </c>
      <c r="R3691" s="44">
        <f>IF(AND($Q3691=1,数据录入!$B3691&gt;=$B$2,数据录入!$B3691&lt;=$D$2),N(R3690)+1,N(R3690))</f>
      </c>
    </row>
    <row r="3692" s="44" customFormat="1" spans="1:23">
      <c r="A3692" s="116"/>
      <c r="E3692" s="108"/>
      <c r="F3692" s="114"/>
      <c r="G3692" s="114"/>
      <c r="H3692" s="114"/>
      <c r="Q3692" s="44">
        <f>IF(数据录入!$B3692="",0,IF(OR(数据录入!$D3692="投标保证金",数据录入!$D3692="合同履约保证金",ISNUMBER(FIND("保证金",数据录入!$E3692))),1,0))</f>
      </c>
      <c r="R3692" s="44">
        <f>IF(AND($Q3692=1,数据录入!$B3692&gt;=$B$2,数据录入!$B3692&lt;=$D$2),N(R3691)+1,N(R3691))</f>
      </c>
    </row>
    <row r="3693" s="44" customFormat="1" spans="1:23">
      <c r="A3693" s="116"/>
      <c r="E3693" s="108"/>
      <c r="F3693" s="114"/>
      <c r="G3693" s="114"/>
      <c r="H3693" s="114"/>
      <c r="Q3693" s="44">
        <f>IF(数据录入!$B3693="",0,IF(OR(数据录入!$D3693="投标保证金",数据录入!$D3693="合同履约保证金",ISNUMBER(FIND("保证金",数据录入!$E3693))),1,0))</f>
      </c>
      <c r="R3693" s="44">
        <f>IF(AND($Q3693=1,数据录入!$B3693&gt;=$B$2,数据录入!$B3693&lt;=$D$2),N(R3692)+1,N(R3692))</f>
      </c>
    </row>
    <row r="3694" s="44" customFormat="1" spans="1:23">
      <c r="A3694" s="116"/>
      <c r="E3694" s="108"/>
      <c r="F3694" s="114"/>
      <c r="G3694" s="114"/>
      <c r="H3694" s="114"/>
      <c r="Q3694" s="44">
        <f>IF(数据录入!$B3694="",0,IF(OR(数据录入!$D3694="投标保证金",数据录入!$D3694="合同履约保证金",ISNUMBER(FIND("保证金",数据录入!$E3694))),1,0))</f>
      </c>
      <c r="R3694" s="44">
        <f>IF(AND($Q3694=1,数据录入!$B3694&gt;=$B$2,数据录入!$B3694&lt;=$D$2),N(R3693)+1,N(R3693))</f>
      </c>
    </row>
    <row r="3695" s="44" customFormat="1" spans="1:23">
      <c r="A3695" s="116"/>
      <c r="E3695" s="108"/>
      <c r="F3695" s="114"/>
      <c r="G3695" s="114"/>
      <c r="H3695" s="114"/>
      <c r="Q3695" s="44">
        <f>IF(数据录入!$B3695="",0,IF(OR(数据录入!$D3695="投标保证金",数据录入!$D3695="合同履约保证金",ISNUMBER(FIND("保证金",数据录入!$E3695))),1,0))</f>
      </c>
      <c r="R3695" s="44">
        <f>IF(AND($Q3695=1,数据录入!$B3695&gt;=$B$2,数据录入!$B3695&lt;=$D$2),N(R3694)+1,N(R3694))</f>
      </c>
    </row>
    <row r="3696" s="44" customFormat="1" spans="1:23">
      <c r="A3696" s="116"/>
      <c r="E3696" s="108"/>
      <c r="F3696" s="114"/>
      <c r="G3696" s="114"/>
      <c r="H3696" s="114"/>
      <c r="Q3696" s="44">
        <f>IF(数据录入!$B3696="",0,IF(OR(数据录入!$D3696="投标保证金",数据录入!$D3696="合同履约保证金",ISNUMBER(FIND("保证金",数据录入!$E3696))),1,0))</f>
      </c>
      <c r="R3696" s="44">
        <f>IF(AND($Q3696=1,数据录入!$B3696&gt;=$B$2,数据录入!$B3696&lt;=$D$2),N(R3695)+1,N(R3695))</f>
      </c>
    </row>
    <row r="3697" s="44" customFormat="1" spans="1:23">
      <c r="A3697" s="116"/>
      <c r="E3697" s="108"/>
      <c r="F3697" s="114"/>
      <c r="G3697" s="114"/>
      <c r="H3697" s="114"/>
      <c r="Q3697" s="44">
        <f>IF(数据录入!$B3697="",0,IF(OR(数据录入!$D3697="投标保证金",数据录入!$D3697="合同履约保证金",ISNUMBER(FIND("保证金",数据录入!$E3697))),1,0))</f>
      </c>
      <c r="R3697" s="44">
        <f>IF(AND($Q3697=1,数据录入!$B3697&gt;=$B$2,数据录入!$B3697&lt;=$D$2),N(R3696)+1,N(R3696))</f>
      </c>
    </row>
    <row r="3698" s="44" customFormat="1" spans="1:23">
      <c r="A3698" s="116"/>
      <c r="E3698" s="108"/>
      <c r="F3698" s="114"/>
      <c r="G3698" s="114"/>
      <c r="H3698" s="114"/>
      <c r="Q3698" s="44">
        <f>IF(数据录入!$B3698="",0,IF(OR(数据录入!$D3698="投标保证金",数据录入!$D3698="合同履约保证金",ISNUMBER(FIND("保证金",数据录入!$E3698))),1,0))</f>
      </c>
      <c r="R3698" s="44">
        <f>IF(AND($Q3698=1,数据录入!$B3698&gt;=$B$2,数据录入!$B3698&lt;=$D$2),N(R3697)+1,N(R3697))</f>
      </c>
    </row>
    <row r="3699" s="44" customFormat="1" spans="1:23">
      <c r="A3699" s="116"/>
      <c r="E3699" s="108"/>
      <c r="F3699" s="114"/>
      <c r="G3699" s="114"/>
      <c r="H3699" s="114"/>
      <c r="Q3699" s="44">
        <f>IF(数据录入!$B3699="",0,IF(OR(数据录入!$D3699="投标保证金",数据录入!$D3699="合同履约保证金",ISNUMBER(FIND("保证金",数据录入!$E3699))),1,0))</f>
      </c>
      <c r="R3699" s="44">
        <f>IF(AND($Q3699=1,数据录入!$B3699&gt;=$B$2,数据录入!$B3699&lt;=$D$2),N(R3698)+1,N(R3698))</f>
      </c>
    </row>
    <row r="3700" s="44" customFormat="1" spans="1:23">
      <c r="A3700" s="116"/>
      <c r="E3700" s="108"/>
      <c r="F3700" s="114"/>
      <c r="G3700" s="114"/>
      <c r="H3700" s="114"/>
      <c r="Q3700" s="44">
        <f>IF(数据录入!$B3700="",0,IF(OR(数据录入!$D3700="投标保证金",数据录入!$D3700="合同履约保证金",ISNUMBER(FIND("保证金",数据录入!$E3700))),1,0))</f>
      </c>
      <c r="R3700" s="44">
        <f>IF(AND($Q3700=1,数据录入!$B3700&gt;=$B$2,数据录入!$B3700&lt;=$D$2),N(R3699)+1,N(R3699))</f>
      </c>
    </row>
    <row r="3701" s="44" customFormat="1" spans="1:23">
      <c r="A3701" s="116"/>
      <c r="E3701" s="108"/>
      <c r="F3701" s="114"/>
      <c r="G3701" s="114"/>
      <c r="H3701" s="114"/>
      <c r="Q3701" s="44">
        <f>IF(数据录入!$B3701="",0,IF(OR(数据录入!$D3701="投标保证金",数据录入!$D3701="合同履约保证金",ISNUMBER(FIND("保证金",数据录入!$E3701))),1,0))</f>
      </c>
      <c r="R3701" s="44">
        <f>IF(AND($Q3701=1,数据录入!$B3701&gt;=$B$2,数据录入!$B3701&lt;=$D$2),N(R3700)+1,N(R3700))</f>
      </c>
    </row>
    <row r="3702" s="44" customFormat="1" spans="1:23">
      <c r="A3702" s="116"/>
      <c r="E3702" s="108"/>
      <c r="F3702" s="114"/>
      <c r="G3702" s="114"/>
      <c r="H3702" s="114"/>
      <c r="Q3702" s="44">
        <f>IF(数据录入!$B3702="",0,IF(OR(数据录入!$D3702="投标保证金",数据录入!$D3702="合同履约保证金",ISNUMBER(FIND("保证金",数据录入!$E3702))),1,0))</f>
      </c>
      <c r="R3702" s="44">
        <f>IF(AND($Q3702=1,数据录入!$B3702&gt;=$B$2,数据录入!$B3702&lt;=$D$2),N(R3701)+1,N(R3701))</f>
      </c>
    </row>
    <row r="3703" s="44" customFormat="1" spans="1:23">
      <c r="A3703" s="116"/>
      <c r="E3703" s="108"/>
      <c r="F3703" s="114"/>
      <c r="G3703" s="114"/>
      <c r="H3703" s="114"/>
      <c r="Q3703" s="44">
        <f>IF(数据录入!$B3703="",0,IF(OR(数据录入!$D3703="投标保证金",数据录入!$D3703="合同履约保证金",ISNUMBER(FIND("保证金",数据录入!$E3703))),1,0))</f>
      </c>
      <c r="R3703" s="44">
        <f>IF(AND($Q3703=1,数据录入!$B3703&gt;=$B$2,数据录入!$B3703&lt;=$D$2),N(R3702)+1,N(R3702))</f>
      </c>
    </row>
    <row r="3704" s="44" customFormat="1" spans="1:23">
      <c r="A3704" s="116"/>
      <c r="E3704" s="108"/>
      <c r="F3704" s="114"/>
      <c r="G3704" s="114"/>
      <c r="H3704" s="114"/>
      <c r="Q3704" s="44">
        <f>IF(数据录入!$B3704="",0,IF(OR(数据录入!$D3704="投标保证金",数据录入!$D3704="合同履约保证金",ISNUMBER(FIND("保证金",数据录入!$E3704))),1,0))</f>
      </c>
      <c r="R3704" s="44">
        <f>IF(AND($Q3704=1,数据录入!$B3704&gt;=$B$2,数据录入!$B3704&lt;=$D$2),N(R3703)+1,N(R3703))</f>
      </c>
    </row>
    <row r="3705" s="44" customFormat="1" spans="1:23">
      <c r="A3705" s="116"/>
      <c r="E3705" s="108"/>
      <c r="F3705" s="114"/>
      <c r="G3705" s="114"/>
      <c r="H3705" s="114"/>
      <c r="Q3705" s="44">
        <f>IF(数据录入!$B3705="",0,IF(OR(数据录入!$D3705="投标保证金",数据录入!$D3705="合同履约保证金",ISNUMBER(FIND("保证金",数据录入!$E3705))),1,0))</f>
      </c>
      <c r="R3705" s="44">
        <f>IF(AND($Q3705=1,数据录入!$B3705&gt;=$B$2,数据录入!$B3705&lt;=$D$2),N(R3704)+1,N(R3704))</f>
      </c>
    </row>
    <row r="3706" s="44" customFormat="1" spans="1:23">
      <c r="A3706" s="116"/>
      <c r="E3706" s="108"/>
      <c r="F3706" s="114"/>
      <c r="G3706" s="114"/>
      <c r="H3706" s="114"/>
      <c r="Q3706" s="44">
        <f>IF(数据录入!$B3706="",0,IF(OR(数据录入!$D3706="投标保证金",数据录入!$D3706="合同履约保证金",ISNUMBER(FIND("保证金",数据录入!$E3706))),1,0))</f>
      </c>
      <c r="R3706" s="44">
        <f>IF(AND($Q3706=1,数据录入!$B3706&gt;=$B$2,数据录入!$B3706&lt;=$D$2),N(R3705)+1,N(R3705))</f>
      </c>
    </row>
    <row r="3707" s="44" customFormat="1" spans="1:23">
      <c r="A3707" s="116"/>
      <c r="E3707" s="108"/>
      <c r="F3707" s="114"/>
      <c r="G3707" s="114"/>
      <c r="H3707" s="114"/>
      <c r="Q3707" s="44">
        <f>IF(数据录入!$B3707="",0,IF(OR(数据录入!$D3707="投标保证金",数据录入!$D3707="合同履约保证金",ISNUMBER(FIND("保证金",数据录入!$E3707))),1,0))</f>
      </c>
      <c r="R3707" s="44">
        <f>IF(AND($Q3707=1,数据录入!$B3707&gt;=$B$2,数据录入!$B3707&lt;=$D$2),N(R3706)+1,N(R3706))</f>
      </c>
    </row>
    <row r="3708" s="44" customFormat="1" spans="1:23">
      <c r="A3708" s="116"/>
      <c r="E3708" s="108"/>
      <c r="F3708" s="114"/>
      <c r="G3708" s="114"/>
      <c r="H3708" s="114"/>
      <c r="Q3708" s="44">
        <f>IF(数据录入!$B3708="",0,IF(OR(数据录入!$D3708="投标保证金",数据录入!$D3708="合同履约保证金",ISNUMBER(FIND("保证金",数据录入!$E3708))),1,0))</f>
      </c>
      <c r="R3708" s="44">
        <f>IF(AND($Q3708=1,数据录入!$B3708&gt;=$B$2,数据录入!$B3708&lt;=$D$2),N(R3707)+1,N(R3707))</f>
      </c>
    </row>
    <row r="3709" s="44" customFormat="1" spans="1:23">
      <c r="A3709" s="116"/>
      <c r="E3709" s="108"/>
      <c r="F3709" s="114"/>
      <c r="G3709" s="114"/>
      <c r="H3709" s="114"/>
      <c r="Q3709" s="44">
        <f>IF(数据录入!$B3709="",0,IF(OR(数据录入!$D3709="投标保证金",数据录入!$D3709="合同履约保证金",ISNUMBER(FIND("保证金",数据录入!$E3709))),1,0))</f>
      </c>
      <c r="R3709" s="44">
        <f>IF(AND($Q3709=1,数据录入!$B3709&gt;=$B$2,数据录入!$B3709&lt;=$D$2),N(R3708)+1,N(R3708))</f>
      </c>
    </row>
    <row r="3710" s="44" customFormat="1" spans="1:23">
      <c r="A3710" s="116"/>
      <c r="E3710" s="108"/>
      <c r="F3710" s="114"/>
      <c r="G3710" s="114"/>
      <c r="H3710" s="114"/>
      <c r="Q3710" s="44">
        <f>IF(数据录入!$B3710="",0,IF(OR(数据录入!$D3710="投标保证金",数据录入!$D3710="合同履约保证金",ISNUMBER(FIND("保证金",数据录入!$E3710))),1,0))</f>
      </c>
      <c r="R3710" s="44">
        <f>IF(AND($Q3710=1,数据录入!$B3710&gt;=$B$2,数据录入!$B3710&lt;=$D$2),N(R3709)+1,N(R3709))</f>
      </c>
    </row>
    <row r="3711" s="44" customFormat="1" spans="1:23">
      <c r="A3711" s="116"/>
      <c r="E3711" s="108"/>
      <c r="F3711" s="114"/>
      <c r="G3711" s="114"/>
      <c r="H3711" s="114"/>
      <c r="Q3711" s="44">
        <f>IF(数据录入!$B3711="",0,IF(OR(数据录入!$D3711="投标保证金",数据录入!$D3711="合同履约保证金",ISNUMBER(FIND("保证金",数据录入!$E3711))),1,0))</f>
      </c>
      <c r="R3711" s="44">
        <f>IF(AND($Q3711=1,数据录入!$B3711&gt;=$B$2,数据录入!$B3711&lt;=$D$2),N(R3710)+1,N(R3710))</f>
      </c>
    </row>
    <row r="3712" s="44" customFormat="1" spans="1:23">
      <c r="A3712" s="116"/>
      <c r="E3712" s="108"/>
      <c r="F3712" s="114"/>
      <c r="G3712" s="114"/>
      <c r="H3712" s="114"/>
      <c r="Q3712" s="44">
        <f>IF(数据录入!$B3712="",0,IF(OR(数据录入!$D3712="投标保证金",数据录入!$D3712="合同履约保证金",ISNUMBER(FIND("保证金",数据录入!$E3712))),1,0))</f>
      </c>
      <c r="R3712" s="44">
        <f>IF(AND($Q3712=1,数据录入!$B3712&gt;=$B$2,数据录入!$B3712&lt;=$D$2),N(R3711)+1,N(R3711))</f>
      </c>
    </row>
    <row r="3713" s="44" customFormat="1" spans="1:23">
      <c r="A3713" s="116"/>
      <c r="E3713" s="108"/>
      <c r="F3713" s="114"/>
      <c r="G3713" s="114"/>
      <c r="H3713" s="114"/>
      <c r="Q3713" s="44">
        <f>IF(数据录入!$B3713="",0,IF(OR(数据录入!$D3713="投标保证金",数据录入!$D3713="合同履约保证金",ISNUMBER(FIND("保证金",数据录入!$E3713))),1,0))</f>
      </c>
      <c r="R3713" s="44">
        <f>IF(AND($Q3713=1,数据录入!$B3713&gt;=$B$2,数据录入!$B3713&lt;=$D$2),N(R3712)+1,N(R3712))</f>
      </c>
    </row>
    <row r="3714" s="44" customFormat="1" spans="1:23">
      <c r="A3714" s="116"/>
      <c r="E3714" s="108"/>
      <c r="F3714" s="114"/>
      <c r="G3714" s="114"/>
      <c r="H3714" s="114"/>
      <c r="Q3714" s="44">
        <f>IF(数据录入!$B3714="",0,IF(OR(数据录入!$D3714="投标保证金",数据录入!$D3714="合同履约保证金",ISNUMBER(FIND("保证金",数据录入!$E3714))),1,0))</f>
      </c>
      <c r="R3714" s="44">
        <f>IF(AND($Q3714=1,数据录入!$B3714&gt;=$B$2,数据录入!$B3714&lt;=$D$2),N(R3713)+1,N(R3713))</f>
      </c>
    </row>
    <row r="3715" s="44" customFormat="1" spans="1:23">
      <c r="A3715" s="116"/>
      <c r="E3715" s="108"/>
      <c r="F3715" s="114"/>
      <c r="G3715" s="114"/>
      <c r="H3715" s="114"/>
      <c r="Q3715" s="44">
        <f>IF(数据录入!$B3715="",0,IF(OR(数据录入!$D3715="投标保证金",数据录入!$D3715="合同履约保证金",ISNUMBER(FIND("保证金",数据录入!$E3715))),1,0))</f>
      </c>
      <c r="R3715" s="44">
        <f>IF(AND($Q3715=1,数据录入!$B3715&gt;=$B$2,数据录入!$B3715&lt;=$D$2),N(R3714)+1,N(R3714))</f>
      </c>
    </row>
    <row r="3716" s="44" customFormat="1" spans="1:23">
      <c r="A3716" s="116"/>
      <c r="E3716" s="108"/>
      <c r="F3716" s="114"/>
      <c r="G3716" s="114"/>
      <c r="H3716" s="114"/>
      <c r="Q3716" s="44">
        <f>IF(数据录入!$B3716="",0,IF(OR(数据录入!$D3716="投标保证金",数据录入!$D3716="合同履约保证金",ISNUMBER(FIND("保证金",数据录入!$E3716))),1,0))</f>
      </c>
      <c r="R3716" s="44">
        <f>IF(AND($Q3716=1,数据录入!$B3716&gt;=$B$2,数据录入!$B3716&lt;=$D$2),N(R3715)+1,N(R3715))</f>
      </c>
    </row>
    <row r="3717" s="44" customFormat="1" spans="1:23">
      <c r="A3717" s="116"/>
      <c r="E3717" s="108"/>
      <c r="F3717" s="114"/>
      <c r="G3717" s="114"/>
      <c r="H3717" s="114"/>
      <c r="Q3717" s="44">
        <f>IF(数据录入!$B3717="",0,IF(OR(数据录入!$D3717="投标保证金",数据录入!$D3717="合同履约保证金",ISNUMBER(FIND("保证金",数据录入!$E3717))),1,0))</f>
      </c>
      <c r="R3717" s="44">
        <f>IF(AND($Q3717=1,数据录入!$B3717&gt;=$B$2,数据录入!$B3717&lt;=$D$2),N(R3716)+1,N(R3716))</f>
      </c>
    </row>
    <row r="3718" s="44" customFormat="1" spans="1:23">
      <c r="A3718" s="116"/>
      <c r="E3718" s="108"/>
      <c r="F3718" s="114"/>
      <c r="G3718" s="114"/>
      <c r="H3718" s="114"/>
      <c r="Q3718" s="44">
        <f>IF(数据录入!$B3718="",0,IF(OR(数据录入!$D3718="投标保证金",数据录入!$D3718="合同履约保证金",ISNUMBER(FIND("保证金",数据录入!$E3718))),1,0))</f>
      </c>
      <c r="R3718" s="44">
        <f>IF(AND($Q3718=1,数据录入!$B3718&gt;=$B$2,数据录入!$B3718&lt;=$D$2),N(R3717)+1,N(R3717))</f>
      </c>
    </row>
    <row r="3719" s="44" customFormat="1" spans="1:23">
      <c r="A3719" s="116"/>
      <c r="E3719" s="108"/>
      <c r="F3719" s="114"/>
      <c r="G3719" s="114"/>
      <c r="H3719" s="114"/>
      <c r="Q3719" s="44">
        <f>IF(数据录入!$B3719="",0,IF(OR(数据录入!$D3719="投标保证金",数据录入!$D3719="合同履约保证金",ISNUMBER(FIND("保证金",数据录入!$E3719))),1,0))</f>
      </c>
      <c r="R3719" s="44">
        <f>IF(AND($Q3719=1,数据录入!$B3719&gt;=$B$2,数据录入!$B3719&lt;=$D$2),N(R3718)+1,N(R3718))</f>
      </c>
    </row>
    <row r="3720" s="44" customFormat="1" spans="1:23">
      <c r="A3720" s="116"/>
      <c r="E3720" s="108"/>
      <c r="F3720" s="114"/>
      <c r="G3720" s="114"/>
      <c r="H3720" s="114"/>
      <c r="Q3720" s="44">
        <f>IF(数据录入!$B3720="",0,IF(OR(数据录入!$D3720="投标保证金",数据录入!$D3720="合同履约保证金",ISNUMBER(FIND("保证金",数据录入!$E3720))),1,0))</f>
      </c>
      <c r="R3720" s="44">
        <f>IF(AND($Q3720=1,数据录入!$B3720&gt;=$B$2,数据录入!$B3720&lt;=$D$2),N(R3719)+1,N(R3719))</f>
      </c>
    </row>
    <row r="3721" s="44" customFormat="1" spans="1:23">
      <c r="A3721" s="116"/>
      <c r="E3721" s="108"/>
      <c r="F3721" s="114"/>
      <c r="G3721" s="114"/>
      <c r="H3721" s="114"/>
      <c r="Q3721" s="44">
        <f>IF(数据录入!$B3721="",0,IF(OR(数据录入!$D3721="投标保证金",数据录入!$D3721="合同履约保证金",ISNUMBER(FIND("保证金",数据录入!$E3721))),1,0))</f>
      </c>
      <c r="R3721" s="44">
        <f>IF(AND($Q3721=1,数据录入!$B3721&gt;=$B$2,数据录入!$B3721&lt;=$D$2),N(R3720)+1,N(R3720))</f>
      </c>
    </row>
    <row r="3722" s="44" customFormat="1" spans="1:23">
      <c r="A3722" s="116"/>
      <c r="E3722" s="108"/>
      <c r="F3722" s="114"/>
      <c r="G3722" s="114"/>
      <c r="H3722" s="114"/>
      <c r="Q3722" s="44">
        <f>IF(数据录入!$B3722="",0,IF(OR(数据录入!$D3722="投标保证金",数据录入!$D3722="合同履约保证金",ISNUMBER(FIND("保证金",数据录入!$E3722))),1,0))</f>
      </c>
      <c r="R3722" s="44">
        <f>IF(AND($Q3722=1,数据录入!$B3722&gt;=$B$2,数据录入!$B3722&lt;=$D$2),N(R3721)+1,N(R3721))</f>
      </c>
    </row>
    <row r="3723" s="44" customFormat="1" spans="1:23">
      <c r="A3723" s="116"/>
      <c r="E3723" s="108"/>
      <c r="F3723" s="114"/>
      <c r="G3723" s="114"/>
      <c r="H3723" s="114"/>
      <c r="Q3723" s="44">
        <f>IF(数据录入!$B3723="",0,IF(OR(数据录入!$D3723="投标保证金",数据录入!$D3723="合同履约保证金",ISNUMBER(FIND("保证金",数据录入!$E3723))),1,0))</f>
      </c>
      <c r="R3723" s="44">
        <f>IF(AND($Q3723=1,数据录入!$B3723&gt;=$B$2,数据录入!$B3723&lt;=$D$2),N(R3722)+1,N(R3722))</f>
      </c>
    </row>
    <row r="3724" s="44" customFormat="1" spans="1:23">
      <c r="A3724" s="116"/>
      <c r="E3724" s="108"/>
      <c r="F3724" s="114"/>
      <c r="G3724" s="114"/>
      <c r="H3724" s="114"/>
      <c r="Q3724" s="44">
        <f>IF(数据录入!$B3724="",0,IF(OR(数据录入!$D3724="投标保证金",数据录入!$D3724="合同履约保证金",ISNUMBER(FIND("保证金",数据录入!$E3724))),1,0))</f>
      </c>
      <c r="R3724" s="44">
        <f>IF(AND($Q3724=1,数据录入!$B3724&gt;=$B$2,数据录入!$B3724&lt;=$D$2),N(R3723)+1,N(R3723))</f>
      </c>
    </row>
    <row r="3725" s="44" customFormat="1" spans="1:23">
      <c r="A3725" s="116"/>
      <c r="E3725" s="108"/>
      <c r="F3725" s="114"/>
      <c r="G3725" s="114"/>
      <c r="H3725" s="114"/>
      <c r="Q3725" s="44">
        <f>IF(数据录入!$B3725="",0,IF(OR(数据录入!$D3725="投标保证金",数据录入!$D3725="合同履约保证金",ISNUMBER(FIND("保证金",数据录入!$E3725))),1,0))</f>
      </c>
      <c r="R3725" s="44">
        <f>IF(AND($Q3725=1,数据录入!$B3725&gt;=$B$2,数据录入!$B3725&lt;=$D$2),N(R3724)+1,N(R3724))</f>
      </c>
    </row>
    <row r="3726" s="44" customFormat="1" spans="1:23">
      <c r="A3726" s="116"/>
      <c r="E3726" s="108"/>
      <c r="F3726" s="114"/>
      <c r="G3726" s="114"/>
      <c r="H3726" s="114"/>
      <c r="Q3726" s="44">
        <f>IF(数据录入!$B3726="",0,IF(OR(数据录入!$D3726="投标保证金",数据录入!$D3726="合同履约保证金",ISNUMBER(FIND("保证金",数据录入!$E3726))),1,0))</f>
      </c>
      <c r="R3726" s="44">
        <f>IF(AND($Q3726=1,数据录入!$B3726&gt;=$B$2,数据录入!$B3726&lt;=$D$2),N(R3725)+1,N(R3725))</f>
      </c>
    </row>
    <row r="3727" s="44" customFormat="1" spans="1:23">
      <c r="A3727" s="116"/>
      <c r="E3727" s="108"/>
      <c r="F3727" s="114"/>
      <c r="G3727" s="114"/>
      <c r="H3727" s="114"/>
      <c r="Q3727" s="44">
        <f>IF(数据录入!$B3727="",0,IF(OR(数据录入!$D3727="投标保证金",数据录入!$D3727="合同履约保证金",ISNUMBER(FIND("保证金",数据录入!$E3727))),1,0))</f>
      </c>
      <c r="R3727" s="44">
        <f>IF(AND($Q3727=1,数据录入!$B3727&gt;=$B$2,数据录入!$B3727&lt;=$D$2),N(R3726)+1,N(R3726))</f>
      </c>
    </row>
    <row r="3728" s="44" customFormat="1" spans="1:23">
      <c r="A3728" s="116"/>
      <c r="E3728" s="108"/>
      <c r="F3728" s="114"/>
      <c r="G3728" s="114"/>
      <c r="H3728" s="114"/>
      <c r="Q3728" s="44">
        <f>IF(数据录入!$B3728="",0,IF(OR(数据录入!$D3728="投标保证金",数据录入!$D3728="合同履约保证金",ISNUMBER(FIND("保证金",数据录入!$E3728))),1,0))</f>
      </c>
      <c r="R3728" s="44">
        <f>IF(AND($Q3728=1,数据录入!$B3728&gt;=$B$2,数据录入!$B3728&lt;=$D$2),N(R3727)+1,N(R3727))</f>
      </c>
    </row>
    <row r="3729" s="44" customFormat="1" spans="1:23">
      <c r="A3729" s="116"/>
      <c r="E3729" s="108"/>
      <c r="F3729" s="114"/>
      <c r="G3729" s="114"/>
      <c r="H3729" s="114"/>
      <c r="Q3729" s="44">
        <f>IF(数据录入!$B3729="",0,IF(OR(数据录入!$D3729="投标保证金",数据录入!$D3729="合同履约保证金",ISNUMBER(FIND("保证金",数据录入!$E3729))),1,0))</f>
      </c>
      <c r="R3729" s="44">
        <f>IF(AND($Q3729=1,数据录入!$B3729&gt;=$B$2,数据录入!$B3729&lt;=$D$2),N(R3728)+1,N(R3728))</f>
      </c>
    </row>
    <row r="3730" s="44" customFormat="1" spans="1:23">
      <c r="A3730" s="116"/>
      <c r="E3730" s="108"/>
      <c r="F3730" s="114"/>
      <c r="G3730" s="114"/>
      <c r="H3730" s="114"/>
      <c r="Q3730" s="44">
        <f>IF(数据录入!$B3730="",0,IF(OR(数据录入!$D3730="投标保证金",数据录入!$D3730="合同履约保证金",ISNUMBER(FIND("保证金",数据录入!$E3730))),1,0))</f>
      </c>
      <c r="R3730" s="44">
        <f>IF(AND($Q3730=1,数据录入!$B3730&gt;=$B$2,数据录入!$B3730&lt;=$D$2),N(R3729)+1,N(R3729))</f>
      </c>
    </row>
    <row r="3731" s="44" customFormat="1" spans="1:23">
      <c r="A3731" s="116"/>
      <c r="E3731" s="108"/>
      <c r="F3731" s="114"/>
      <c r="G3731" s="114"/>
      <c r="H3731" s="114"/>
      <c r="Q3731" s="44">
        <f>IF(数据录入!$B3731="",0,IF(OR(数据录入!$D3731="投标保证金",数据录入!$D3731="合同履约保证金",ISNUMBER(FIND("保证金",数据录入!$E3731))),1,0))</f>
      </c>
      <c r="R3731" s="44">
        <f>IF(AND($Q3731=1,数据录入!$B3731&gt;=$B$2,数据录入!$B3731&lt;=$D$2),N(R3730)+1,N(R3730))</f>
      </c>
    </row>
    <row r="3732" s="44" customFormat="1" spans="1:23">
      <c r="A3732" s="116"/>
      <c r="E3732" s="108"/>
      <c r="F3732" s="114"/>
      <c r="G3732" s="114"/>
      <c r="H3732" s="114"/>
      <c r="Q3732" s="44">
        <f>IF(数据录入!$B3732="",0,IF(OR(数据录入!$D3732="投标保证金",数据录入!$D3732="合同履约保证金",ISNUMBER(FIND("保证金",数据录入!$E3732))),1,0))</f>
      </c>
      <c r="R3732" s="44">
        <f>IF(AND($Q3732=1,数据录入!$B3732&gt;=$B$2,数据录入!$B3732&lt;=$D$2),N(R3731)+1,N(R3731))</f>
      </c>
    </row>
    <row r="3733" s="44" customFormat="1" spans="1:23">
      <c r="A3733" s="116"/>
      <c r="E3733" s="108"/>
      <c r="F3733" s="114"/>
      <c r="G3733" s="114"/>
      <c r="H3733" s="114"/>
      <c r="Q3733" s="44">
        <f>IF(数据录入!$B3733="",0,IF(OR(数据录入!$D3733="投标保证金",数据录入!$D3733="合同履约保证金",ISNUMBER(FIND("保证金",数据录入!$E3733))),1,0))</f>
      </c>
      <c r="R3733" s="44">
        <f>IF(AND($Q3733=1,数据录入!$B3733&gt;=$B$2,数据录入!$B3733&lt;=$D$2),N(R3732)+1,N(R3732))</f>
      </c>
    </row>
    <row r="3734" s="44" customFormat="1" spans="1:23">
      <c r="A3734" s="116"/>
      <c r="E3734" s="108"/>
      <c r="F3734" s="114"/>
      <c r="G3734" s="114"/>
      <c r="H3734" s="114"/>
      <c r="Q3734" s="44">
        <f>IF(数据录入!$B3734="",0,IF(OR(数据录入!$D3734="投标保证金",数据录入!$D3734="合同履约保证金",ISNUMBER(FIND("保证金",数据录入!$E3734))),1,0))</f>
      </c>
      <c r="R3734" s="44">
        <f>IF(AND($Q3734=1,数据录入!$B3734&gt;=$B$2,数据录入!$B3734&lt;=$D$2),N(R3733)+1,N(R3733))</f>
      </c>
    </row>
    <row r="3735" s="44" customFormat="1" spans="1:23">
      <c r="A3735" s="116"/>
      <c r="E3735" s="108"/>
      <c r="F3735" s="114"/>
      <c r="G3735" s="114"/>
      <c r="H3735" s="114"/>
      <c r="Q3735" s="44">
        <f>IF(数据录入!$B3735="",0,IF(OR(数据录入!$D3735="投标保证金",数据录入!$D3735="合同履约保证金",ISNUMBER(FIND("保证金",数据录入!$E3735))),1,0))</f>
      </c>
      <c r="R3735" s="44">
        <f>IF(AND($Q3735=1,数据录入!$B3735&gt;=$B$2,数据录入!$B3735&lt;=$D$2),N(R3734)+1,N(R3734))</f>
      </c>
    </row>
    <row r="3736" s="44" customFormat="1" spans="1:23">
      <c r="A3736" s="116"/>
      <c r="E3736" s="108"/>
      <c r="F3736" s="114"/>
      <c r="G3736" s="114"/>
      <c r="H3736" s="114"/>
      <c r="Q3736" s="44">
        <f>IF(数据录入!$B3736="",0,IF(OR(数据录入!$D3736="投标保证金",数据录入!$D3736="合同履约保证金",ISNUMBER(FIND("保证金",数据录入!$E3736))),1,0))</f>
      </c>
      <c r="R3736" s="44">
        <f>IF(AND($Q3736=1,数据录入!$B3736&gt;=$B$2,数据录入!$B3736&lt;=$D$2),N(R3735)+1,N(R3735))</f>
      </c>
    </row>
    <row r="3737" s="44" customFormat="1" spans="1:23">
      <c r="A3737" s="116"/>
      <c r="E3737" s="108"/>
      <c r="F3737" s="114"/>
      <c r="G3737" s="114"/>
      <c r="H3737" s="114"/>
      <c r="Q3737" s="44">
        <f>IF(数据录入!$B3737="",0,IF(OR(数据录入!$D3737="投标保证金",数据录入!$D3737="合同履约保证金",ISNUMBER(FIND("保证金",数据录入!$E3737))),1,0))</f>
      </c>
      <c r="R3737" s="44">
        <f>IF(AND($Q3737=1,数据录入!$B3737&gt;=$B$2,数据录入!$B3737&lt;=$D$2),N(R3736)+1,N(R3736))</f>
      </c>
    </row>
    <row r="3738" s="44" customFormat="1" spans="1:23">
      <c r="A3738" s="116"/>
      <c r="E3738" s="108"/>
      <c r="F3738" s="114"/>
      <c r="G3738" s="114"/>
      <c r="H3738" s="114"/>
      <c r="Q3738" s="44">
        <f>IF(数据录入!$B3738="",0,IF(OR(数据录入!$D3738="投标保证金",数据录入!$D3738="合同履约保证金",ISNUMBER(FIND("保证金",数据录入!$E3738))),1,0))</f>
      </c>
      <c r="R3738" s="44">
        <f>IF(AND($Q3738=1,数据录入!$B3738&gt;=$B$2,数据录入!$B3738&lt;=$D$2),N(R3737)+1,N(R3737))</f>
      </c>
    </row>
    <row r="3739" s="44" customFormat="1" spans="1:23">
      <c r="A3739" s="116"/>
      <c r="E3739" s="108"/>
      <c r="F3739" s="114"/>
      <c r="G3739" s="114"/>
      <c r="H3739" s="114"/>
      <c r="Q3739" s="44">
        <f>IF(数据录入!$B3739="",0,IF(OR(数据录入!$D3739="投标保证金",数据录入!$D3739="合同履约保证金",ISNUMBER(FIND("保证金",数据录入!$E3739))),1,0))</f>
      </c>
      <c r="R3739" s="44">
        <f>IF(AND($Q3739=1,数据录入!$B3739&gt;=$B$2,数据录入!$B3739&lt;=$D$2),N(R3738)+1,N(R3738))</f>
      </c>
    </row>
    <row r="3740" s="44" customFormat="1" spans="1:23">
      <c r="A3740" s="116"/>
      <c r="E3740" s="108"/>
      <c r="F3740" s="114"/>
      <c r="G3740" s="114"/>
      <c r="H3740" s="114"/>
      <c r="Q3740" s="44">
        <f>IF(数据录入!$B3740="",0,IF(OR(数据录入!$D3740="投标保证金",数据录入!$D3740="合同履约保证金",ISNUMBER(FIND("保证金",数据录入!$E3740))),1,0))</f>
      </c>
      <c r="R3740" s="44">
        <f>IF(AND($Q3740=1,数据录入!$B3740&gt;=$B$2,数据录入!$B3740&lt;=$D$2),N(R3739)+1,N(R3739))</f>
      </c>
    </row>
    <row r="3741" s="44" customFormat="1" spans="1:23">
      <c r="A3741" s="116"/>
      <c r="E3741" s="108"/>
      <c r="F3741" s="114"/>
      <c r="G3741" s="114"/>
      <c r="H3741" s="114"/>
      <c r="Q3741" s="44">
        <f>IF(数据录入!$B3741="",0,IF(OR(数据录入!$D3741="投标保证金",数据录入!$D3741="合同履约保证金",ISNUMBER(FIND("保证金",数据录入!$E3741))),1,0))</f>
      </c>
      <c r="R3741" s="44">
        <f>IF(AND($Q3741=1,数据录入!$B3741&gt;=$B$2,数据录入!$B3741&lt;=$D$2),N(R3740)+1,N(R3740))</f>
      </c>
    </row>
    <row r="3742" s="44" customFormat="1" spans="1:23">
      <c r="A3742" s="116"/>
      <c r="E3742" s="108"/>
      <c r="F3742" s="114"/>
      <c r="G3742" s="114"/>
      <c r="H3742" s="114"/>
      <c r="Q3742" s="44">
        <f>IF(数据录入!$B3742="",0,IF(OR(数据录入!$D3742="投标保证金",数据录入!$D3742="合同履约保证金",ISNUMBER(FIND("保证金",数据录入!$E3742))),1,0))</f>
      </c>
      <c r="R3742" s="44">
        <f>IF(AND($Q3742=1,数据录入!$B3742&gt;=$B$2,数据录入!$B3742&lt;=$D$2),N(R3741)+1,N(R3741))</f>
      </c>
    </row>
    <row r="3743" s="44" customFormat="1" spans="1:23">
      <c r="A3743" s="116"/>
      <c r="E3743" s="108"/>
      <c r="F3743" s="114"/>
      <c r="G3743" s="114"/>
      <c r="H3743" s="114"/>
      <c r="Q3743" s="44">
        <f>IF(数据录入!$B3743="",0,IF(OR(数据录入!$D3743="投标保证金",数据录入!$D3743="合同履约保证金",ISNUMBER(FIND("保证金",数据录入!$E3743))),1,0))</f>
      </c>
      <c r="R3743" s="44">
        <f>IF(AND($Q3743=1,数据录入!$B3743&gt;=$B$2,数据录入!$B3743&lt;=$D$2),N(R3742)+1,N(R3742))</f>
      </c>
    </row>
    <row r="3744" s="44" customFormat="1" spans="1:23">
      <c r="A3744" s="116"/>
      <c r="E3744" s="108"/>
      <c r="F3744" s="114"/>
      <c r="G3744" s="114"/>
      <c r="H3744" s="114"/>
      <c r="Q3744" s="44">
        <f>IF(数据录入!$B3744="",0,IF(OR(数据录入!$D3744="投标保证金",数据录入!$D3744="合同履约保证金",ISNUMBER(FIND("保证金",数据录入!$E3744))),1,0))</f>
      </c>
      <c r="R3744" s="44">
        <f>IF(AND($Q3744=1,数据录入!$B3744&gt;=$B$2,数据录入!$B3744&lt;=$D$2),N(R3743)+1,N(R3743))</f>
      </c>
    </row>
    <row r="3745" s="44" customFormat="1" spans="1:23">
      <c r="A3745" s="116"/>
      <c r="E3745" s="108"/>
      <c r="F3745" s="114"/>
      <c r="G3745" s="114"/>
      <c r="H3745" s="114"/>
      <c r="Q3745" s="44">
        <f>IF(数据录入!$B3745="",0,IF(OR(数据录入!$D3745="投标保证金",数据录入!$D3745="合同履约保证金",ISNUMBER(FIND("保证金",数据录入!$E3745))),1,0))</f>
      </c>
      <c r="R3745" s="44">
        <f>IF(AND($Q3745=1,数据录入!$B3745&gt;=$B$2,数据录入!$B3745&lt;=$D$2),N(R3744)+1,N(R3744))</f>
      </c>
    </row>
    <row r="3746" s="44" customFormat="1" spans="1:23">
      <c r="A3746" s="116"/>
      <c r="E3746" s="108"/>
      <c r="F3746" s="114"/>
      <c r="G3746" s="114"/>
      <c r="H3746" s="114"/>
      <c r="Q3746" s="44">
        <f>IF(数据录入!$B3746="",0,IF(OR(数据录入!$D3746="投标保证金",数据录入!$D3746="合同履约保证金",ISNUMBER(FIND("保证金",数据录入!$E3746))),1,0))</f>
      </c>
      <c r="R3746" s="44">
        <f>IF(AND($Q3746=1,数据录入!$B3746&gt;=$B$2,数据录入!$B3746&lt;=$D$2),N(R3745)+1,N(R3745))</f>
      </c>
    </row>
    <row r="3747" s="44" customFormat="1" spans="1:23">
      <c r="A3747" s="116"/>
      <c r="E3747" s="108"/>
      <c r="F3747" s="114"/>
      <c r="G3747" s="114"/>
      <c r="H3747" s="114"/>
      <c r="Q3747" s="44">
        <f>IF(数据录入!$B3747="",0,IF(OR(数据录入!$D3747="投标保证金",数据录入!$D3747="合同履约保证金",ISNUMBER(FIND("保证金",数据录入!$E3747))),1,0))</f>
      </c>
      <c r="R3747" s="44">
        <f>IF(AND($Q3747=1,数据录入!$B3747&gt;=$B$2,数据录入!$B3747&lt;=$D$2),N(R3746)+1,N(R3746))</f>
      </c>
    </row>
    <row r="3748" s="44" customFormat="1" spans="1:23">
      <c r="A3748" s="116"/>
      <c r="E3748" s="108"/>
      <c r="F3748" s="114"/>
      <c r="G3748" s="114"/>
      <c r="H3748" s="114"/>
      <c r="Q3748" s="44">
        <f>IF(数据录入!$B3748="",0,IF(OR(数据录入!$D3748="投标保证金",数据录入!$D3748="合同履约保证金",ISNUMBER(FIND("保证金",数据录入!$E3748))),1,0))</f>
      </c>
      <c r="R3748" s="44">
        <f>IF(AND($Q3748=1,数据录入!$B3748&gt;=$B$2,数据录入!$B3748&lt;=$D$2),N(R3747)+1,N(R3747))</f>
      </c>
    </row>
    <row r="3749" s="44" customFormat="1" spans="1:23">
      <c r="A3749" s="116"/>
      <c r="E3749" s="108"/>
      <c r="F3749" s="114"/>
      <c r="G3749" s="114"/>
      <c r="H3749" s="114"/>
      <c r="Q3749" s="44">
        <f>IF(数据录入!$B3749="",0,IF(OR(数据录入!$D3749="投标保证金",数据录入!$D3749="合同履约保证金",ISNUMBER(FIND("保证金",数据录入!$E3749))),1,0))</f>
      </c>
      <c r="R3749" s="44">
        <f>IF(AND($Q3749=1,数据录入!$B3749&gt;=$B$2,数据录入!$B3749&lt;=$D$2),N(R3748)+1,N(R3748))</f>
      </c>
    </row>
    <row r="3750" s="44" customFormat="1" spans="1:23">
      <c r="A3750" s="116"/>
      <c r="E3750" s="108"/>
      <c r="F3750" s="114"/>
      <c r="G3750" s="114"/>
      <c r="H3750" s="114"/>
      <c r="Q3750" s="44">
        <f>IF(数据录入!$B3750="",0,IF(OR(数据录入!$D3750="投标保证金",数据录入!$D3750="合同履约保证金",ISNUMBER(FIND("保证金",数据录入!$E3750))),1,0))</f>
      </c>
      <c r="R3750" s="44">
        <f>IF(AND($Q3750=1,数据录入!$B3750&gt;=$B$2,数据录入!$B3750&lt;=$D$2),N(R3749)+1,N(R3749))</f>
      </c>
    </row>
    <row r="3751" s="44" customFormat="1" spans="1:23">
      <c r="A3751" s="116"/>
      <c r="E3751" s="108"/>
      <c r="F3751" s="114"/>
      <c r="G3751" s="114"/>
      <c r="H3751" s="114"/>
      <c r="Q3751" s="44">
        <f>IF(数据录入!$B3751="",0,IF(OR(数据录入!$D3751="投标保证金",数据录入!$D3751="合同履约保证金",ISNUMBER(FIND("保证金",数据录入!$E3751))),1,0))</f>
      </c>
      <c r="R3751" s="44">
        <f>IF(AND($Q3751=1,数据录入!$B3751&gt;=$B$2,数据录入!$B3751&lt;=$D$2),N(R3750)+1,N(R3750))</f>
      </c>
    </row>
    <row r="3752" s="44" customFormat="1" spans="1:23">
      <c r="A3752" s="116"/>
      <c r="E3752" s="108"/>
      <c r="F3752" s="114"/>
      <c r="G3752" s="114"/>
      <c r="H3752" s="114"/>
      <c r="Q3752" s="44">
        <f>IF(数据录入!$B3752="",0,IF(OR(数据录入!$D3752="投标保证金",数据录入!$D3752="合同履约保证金",ISNUMBER(FIND("保证金",数据录入!$E3752))),1,0))</f>
      </c>
      <c r="R3752" s="44">
        <f>IF(AND($Q3752=1,数据录入!$B3752&gt;=$B$2,数据录入!$B3752&lt;=$D$2),N(R3751)+1,N(R3751))</f>
      </c>
    </row>
    <row r="3753" s="44" customFormat="1" spans="1:23">
      <c r="A3753" s="116"/>
      <c r="E3753" s="108"/>
      <c r="F3753" s="114"/>
      <c r="G3753" s="114"/>
      <c r="H3753" s="114"/>
      <c r="Q3753" s="44">
        <f>IF(数据录入!$B3753="",0,IF(OR(数据录入!$D3753="投标保证金",数据录入!$D3753="合同履约保证金",ISNUMBER(FIND("保证金",数据录入!$E3753))),1,0))</f>
      </c>
      <c r="R3753" s="44">
        <f>IF(AND($Q3753=1,数据录入!$B3753&gt;=$B$2,数据录入!$B3753&lt;=$D$2),N(R3752)+1,N(R3752))</f>
      </c>
    </row>
    <row r="3754" s="44" customFormat="1" spans="1:23">
      <c r="A3754" s="116"/>
      <c r="E3754" s="108"/>
      <c r="F3754" s="114"/>
      <c r="G3754" s="114"/>
      <c r="H3754" s="114"/>
      <c r="Q3754" s="44">
        <f>IF(数据录入!$B3754="",0,IF(OR(数据录入!$D3754="投标保证金",数据录入!$D3754="合同履约保证金",ISNUMBER(FIND("保证金",数据录入!$E3754))),1,0))</f>
      </c>
      <c r="R3754" s="44">
        <f>IF(AND($Q3754=1,数据录入!$B3754&gt;=$B$2,数据录入!$B3754&lt;=$D$2),N(R3753)+1,N(R3753))</f>
      </c>
    </row>
    <row r="3755" s="44" customFormat="1" spans="1:23">
      <c r="A3755" s="116"/>
      <c r="E3755" s="108"/>
      <c r="F3755" s="114"/>
      <c r="G3755" s="114"/>
      <c r="H3755" s="114"/>
      <c r="Q3755" s="44">
        <f>IF(数据录入!$B3755="",0,IF(OR(数据录入!$D3755="投标保证金",数据录入!$D3755="合同履约保证金",ISNUMBER(FIND("保证金",数据录入!$E3755))),1,0))</f>
      </c>
      <c r="R3755" s="44">
        <f>IF(AND($Q3755=1,数据录入!$B3755&gt;=$B$2,数据录入!$B3755&lt;=$D$2),N(R3754)+1,N(R3754))</f>
      </c>
    </row>
    <row r="3756" s="44" customFormat="1" spans="1:23">
      <c r="A3756" s="116"/>
      <c r="E3756" s="108"/>
      <c r="F3756" s="114"/>
      <c r="G3756" s="114"/>
      <c r="H3756" s="114"/>
      <c r="Q3756" s="44">
        <f>IF(数据录入!$B3756="",0,IF(OR(数据录入!$D3756="投标保证金",数据录入!$D3756="合同履约保证金",ISNUMBER(FIND("保证金",数据录入!$E3756))),1,0))</f>
      </c>
      <c r="R3756" s="44">
        <f>IF(AND($Q3756=1,数据录入!$B3756&gt;=$B$2,数据录入!$B3756&lt;=$D$2),N(R3755)+1,N(R3755))</f>
      </c>
    </row>
    <row r="3757" s="44" customFormat="1" spans="1:23">
      <c r="A3757" s="116"/>
      <c r="E3757" s="108"/>
      <c r="F3757" s="114"/>
      <c r="G3757" s="114"/>
      <c r="H3757" s="114"/>
      <c r="Q3757" s="44">
        <f>IF(数据录入!$B3757="",0,IF(OR(数据录入!$D3757="投标保证金",数据录入!$D3757="合同履约保证金",ISNUMBER(FIND("保证金",数据录入!$E3757))),1,0))</f>
      </c>
      <c r="R3757" s="44">
        <f>IF(AND($Q3757=1,数据录入!$B3757&gt;=$B$2,数据录入!$B3757&lt;=$D$2),N(R3756)+1,N(R3756))</f>
      </c>
    </row>
    <row r="3758" s="44" customFormat="1" spans="1:23">
      <c r="A3758" s="116"/>
      <c r="E3758" s="108"/>
      <c r="F3758" s="114"/>
      <c r="G3758" s="114"/>
      <c r="H3758" s="114"/>
      <c r="Q3758" s="44">
        <f>IF(数据录入!$B3758="",0,IF(OR(数据录入!$D3758="投标保证金",数据录入!$D3758="合同履约保证金",ISNUMBER(FIND("保证金",数据录入!$E3758))),1,0))</f>
      </c>
      <c r="R3758" s="44">
        <f>IF(AND($Q3758=1,数据录入!$B3758&gt;=$B$2,数据录入!$B3758&lt;=$D$2),N(R3757)+1,N(R3757))</f>
      </c>
    </row>
    <row r="3759" s="44" customFormat="1" spans="1:23">
      <c r="A3759" s="116"/>
      <c r="E3759" s="108"/>
      <c r="F3759" s="114"/>
      <c r="G3759" s="114"/>
      <c r="H3759" s="114"/>
      <c r="Q3759" s="44">
        <f>IF(数据录入!$B3759="",0,IF(OR(数据录入!$D3759="投标保证金",数据录入!$D3759="合同履约保证金",ISNUMBER(FIND("保证金",数据录入!$E3759))),1,0))</f>
      </c>
      <c r="R3759" s="44">
        <f>IF(AND($Q3759=1,数据录入!$B3759&gt;=$B$2,数据录入!$B3759&lt;=$D$2),N(R3758)+1,N(R3758))</f>
      </c>
    </row>
    <row r="3760" s="44" customFormat="1" spans="1:23">
      <c r="A3760" s="116"/>
      <c r="E3760" s="108"/>
      <c r="F3760" s="114"/>
      <c r="G3760" s="114"/>
      <c r="H3760" s="114"/>
      <c r="Q3760" s="44">
        <f>IF(数据录入!$B3760="",0,IF(OR(数据录入!$D3760="投标保证金",数据录入!$D3760="合同履约保证金",ISNUMBER(FIND("保证金",数据录入!$E3760))),1,0))</f>
      </c>
      <c r="R3760" s="44">
        <f>IF(AND($Q3760=1,数据录入!$B3760&gt;=$B$2,数据录入!$B3760&lt;=$D$2),N(R3759)+1,N(R3759))</f>
      </c>
    </row>
    <row r="3761" s="44" customFormat="1" spans="1:23">
      <c r="A3761" s="116"/>
      <c r="E3761" s="108"/>
      <c r="F3761" s="114"/>
      <c r="G3761" s="114"/>
      <c r="H3761" s="114"/>
      <c r="Q3761" s="44">
        <f>IF(数据录入!$B3761="",0,IF(OR(数据录入!$D3761="投标保证金",数据录入!$D3761="合同履约保证金",ISNUMBER(FIND("保证金",数据录入!$E3761))),1,0))</f>
      </c>
      <c r="R3761" s="44">
        <f>IF(AND($Q3761=1,数据录入!$B3761&gt;=$B$2,数据录入!$B3761&lt;=$D$2),N(R3760)+1,N(R3760))</f>
      </c>
    </row>
    <row r="3762" s="44" customFormat="1" spans="1:23">
      <c r="A3762" s="116"/>
      <c r="E3762" s="108"/>
      <c r="F3762" s="114"/>
      <c r="G3762" s="114"/>
      <c r="H3762" s="114"/>
      <c r="Q3762" s="44">
        <f>IF(数据录入!$B3762="",0,IF(OR(数据录入!$D3762="投标保证金",数据录入!$D3762="合同履约保证金",ISNUMBER(FIND("保证金",数据录入!$E3762))),1,0))</f>
      </c>
      <c r="R3762" s="44">
        <f>IF(AND($Q3762=1,数据录入!$B3762&gt;=$B$2,数据录入!$B3762&lt;=$D$2),N(R3761)+1,N(R3761))</f>
      </c>
    </row>
    <row r="3763" s="44" customFormat="1" spans="1:23">
      <c r="A3763" s="116"/>
      <c r="E3763" s="108"/>
      <c r="F3763" s="114"/>
      <c r="G3763" s="114"/>
      <c r="H3763" s="114"/>
      <c r="Q3763" s="44">
        <f>IF(数据录入!$B3763="",0,IF(OR(数据录入!$D3763="投标保证金",数据录入!$D3763="合同履约保证金",ISNUMBER(FIND("保证金",数据录入!$E3763))),1,0))</f>
      </c>
      <c r="R3763" s="44">
        <f>IF(AND($Q3763=1,数据录入!$B3763&gt;=$B$2,数据录入!$B3763&lt;=$D$2),N(R3762)+1,N(R3762))</f>
      </c>
    </row>
    <row r="3764" s="44" customFormat="1" spans="1:23">
      <c r="A3764" s="116"/>
      <c r="E3764" s="108"/>
      <c r="F3764" s="114"/>
      <c r="G3764" s="114"/>
      <c r="H3764" s="114"/>
      <c r="Q3764" s="44">
        <f>IF(数据录入!$B3764="",0,IF(OR(数据录入!$D3764="投标保证金",数据录入!$D3764="合同履约保证金",ISNUMBER(FIND("保证金",数据录入!$E3764))),1,0))</f>
      </c>
      <c r="R3764" s="44">
        <f>IF(AND($Q3764=1,数据录入!$B3764&gt;=$B$2,数据录入!$B3764&lt;=$D$2),N(R3763)+1,N(R3763))</f>
      </c>
    </row>
    <row r="3765" s="44" customFormat="1" spans="1:23">
      <c r="A3765" s="116"/>
      <c r="E3765" s="108"/>
      <c r="F3765" s="114"/>
      <c r="G3765" s="114"/>
      <c r="H3765" s="114"/>
      <c r="Q3765" s="44">
        <f>IF(数据录入!$B3765="",0,IF(OR(数据录入!$D3765="投标保证金",数据录入!$D3765="合同履约保证金",ISNUMBER(FIND("保证金",数据录入!$E3765))),1,0))</f>
      </c>
      <c r="R3765" s="44">
        <f>IF(AND($Q3765=1,数据录入!$B3765&gt;=$B$2,数据录入!$B3765&lt;=$D$2),N(R3764)+1,N(R3764))</f>
      </c>
    </row>
    <row r="3766" s="44" customFormat="1" spans="1:23">
      <c r="A3766" s="116"/>
      <c r="E3766" s="108"/>
      <c r="F3766" s="114"/>
      <c r="G3766" s="114"/>
      <c r="H3766" s="114"/>
      <c r="Q3766" s="44">
        <f>IF(数据录入!$B3766="",0,IF(OR(数据录入!$D3766="投标保证金",数据录入!$D3766="合同履约保证金",ISNUMBER(FIND("保证金",数据录入!$E3766))),1,0))</f>
      </c>
      <c r="R3766" s="44">
        <f>IF(AND($Q3766=1,数据录入!$B3766&gt;=$B$2,数据录入!$B3766&lt;=$D$2),N(R3765)+1,N(R3765))</f>
      </c>
    </row>
    <row r="3767" s="44" customFormat="1" spans="1:23">
      <c r="A3767" s="116"/>
      <c r="E3767" s="108"/>
      <c r="F3767" s="114"/>
      <c r="G3767" s="114"/>
      <c r="H3767" s="114"/>
      <c r="Q3767" s="44">
        <f>IF(数据录入!$B3767="",0,IF(OR(数据录入!$D3767="投标保证金",数据录入!$D3767="合同履约保证金",ISNUMBER(FIND("保证金",数据录入!$E3767))),1,0))</f>
      </c>
      <c r="R3767" s="44">
        <f>IF(AND($Q3767=1,数据录入!$B3767&gt;=$B$2,数据录入!$B3767&lt;=$D$2),N(R3766)+1,N(R3766))</f>
      </c>
    </row>
    <row r="3768" s="44" customFormat="1" spans="1:23">
      <c r="A3768" s="116"/>
      <c r="E3768" s="108"/>
      <c r="F3768" s="114"/>
      <c r="G3768" s="114"/>
      <c r="H3768" s="114"/>
      <c r="Q3768" s="44">
        <f>IF(数据录入!$B3768="",0,IF(OR(数据录入!$D3768="投标保证金",数据录入!$D3768="合同履约保证金",ISNUMBER(FIND("保证金",数据录入!$E3768))),1,0))</f>
      </c>
      <c r="R3768" s="44">
        <f>IF(AND($Q3768=1,数据录入!$B3768&gt;=$B$2,数据录入!$B3768&lt;=$D$2),N(R3767)+1,N(R3767))</f>
      </c>
    </row>
    <row r="3769" s="44" customFormat="1" spans="1:23">
      <c r="A3769" s="116"/>
      <c r="E3769" s="108"/>
      <c r="F3769" s="114"/>
      <c r="G3769" s="114"/>
      <c r="H3769" s="114"/>
      <c r="Q3769" s="44">
        <f>IF(数据录入!$B3769="",0,IF(OR(数据录入!$D3769="投标保证金",数据录入!$D3769="合同履约保证金",ISNUMBER(FIND("保证金",数据录入!$E3769))),1,0))</f>
      </c>
      <c r="R3769" s="44">
        <f>IF(AND($Q3769=1,数据录入!$B3769&gt;=$B$2,数据录入!$B3769&lt;=$D$2),N(R3768)+1,N(R3768))</f>
      </c>
    </row>
    <row r="3770" s="44" customFormat="1" spans="1:23">
      <c r="A3770" s="116"/>
      <c r="E3770" s="108"/>
      <c r="F3770" s="114"/>
      <c r="G3770" s="114"/>
      <c r="H3770" s="114"/>
      <c r="Q3770" s="44">
        <f>IF(数据录入!$B3770="",0,IF(OR(数据录入!$D3770="投标保证金",数据录入!$D3770="合同履约保证金",ISNUMBER(FIND("保证金",数据录入!$E3770))),1,0))</f>
      </c>
      <c r="R3770" s="44">
        <f>IF(AND($Q3770=1,数据录入!$B3770&gt;=$B$2,数据录入!$B3770&lt;=$D$2),N(R3769)+1,N(R3769))</f>
      </c>
    </row>
    <row r="3771" s="44" customFormat="1" spans="1:23">
      <c r="A3771" s="116"/>
      <c r="E3771" s="108"/>
      <c r="F3771" s="114"/>
      <c r="G3771" s="114"/>
      <c r="H3771" s="114"/>
      <c r="Q3771" s="44">
        <f>IF(数据录入!$B3771="",0,IF(OR(数据录入!$D3771="投标保证金",数据录入!$D3771="合同履约保证金",ISNUMBER(FIND("保证金",数据录入!$E3771))),1,0))</f>
      </c>
      <c r="R3771" s="44">
        <f>IF(AND($Q3771=1,数据录入!$B3771&gt;=$B$2,数据录入!$B3771&lt;=$D$2),N(R3770)+1,N(R3770))</f>
      </c>
    </row>
    <row r="3772" s="44" customFormat="1" spans="1:23">
      <c r="A3772" s="116"/>
      <c r="E3772" s="108"/>
      <c r="F3772" s="114"/>
      <c r="G3772" s="114"/>
      <c r="H3772" s="114"/>
      <c r="Q3772" s="44">
        <f>IF(数据录入!$B3772="",0,IF(OR(数据录入!$D3772="投标保证金",数据录入!$D3772="合同履约保证金",ISNUMBER(FIND("保证金",数据录入!$E3772))),1,0))</f>
      </c>
      <c r="R3772" s="44">
        <f>IF(AND($Q3772=1,数据录入!$B3772&gt;=$B$2,数据录入!$B3772&lt;=$D$2),N(R3771)+1,N(R3771))</f>
      </c>
    </row>
    <row r="3773" s="44" customFormat="1" spans="1:23">
      <c r="A3773" s="116"/>
      <c r="E3773" s="108"/>
      <c r="F3773" s="114"/>
      <c r="G3773" s="114"/>
      <c r="H3773" s="114"/>
      <c r="Q3773" s="44">
        <f>IF(数据录入!$B3773="",0,IF(OR(数据录入!$D3773="投标保证金",数据录入!$D3773="合同履约保证金",ISNUMBER(FIND("保证金",数据录入!$E3773))),1,0))</f>
      </c>
      <c r="R3773" s="44">
        <f>IF(AND($Q3773=1,数据录入!$B3773&gt;=$B$2,数据录入!$B3773&lt;=$D$2),N(R3772)+1,N(R3772))</f>
      </c>
    </row>
    <row r="3774" s="44" customFormat="1" spans="1:23">
      <c r="A3774" s="116"/>
      <c r="E3774" s="108"/>
      <c r="F3774" s="114"/>
      <c r="G3774" s="114"/>
      <c r="H3774" s="114"/>
      <c r="Q3774" s="44">
        <f>IF(数据录入!$B3774="",0,IF(OR(数据录入!$D3774="投标保证金",数据录入!$D3774="合同履约保证金",ISNUMBER(FIND("保证金",数据录入!$E3774))),1,0))</f>
      </c>
      <c r="R3774" s="44">
        <f>IF(AND($Q3774=1,数据录入!$B3774&gt;=$B$2,数据录入!$B3774&lt;=$D$2),N(R3773)+1,N(R3773))</f>
      </c>
    </row>
    <row r="3775" s="44" customFormat="1" spans="1:23">
      <c r="A3775" s="116"/>
      <c r="E3775" s="108"/>
      <c r="F3775" s="114"/>
      <c r="G3775" s="114"/>
      <c r="H3775" s="114"/>
      <c r="Q3775" s="44">
        <f>IF(数据录入!$B3775="",0,IF(OR(数据录入!$D3775="投标保证金",数据录入!$D3775="合同履约保证金",ISNUMBER(FIND("保证金",数据录入!$E3775))),1,0))</f>
      </c>
      <c r="R3775" s="44">
        <f>IF(AND($Q3775=1,数据录入!$B3775&gt;=$B$2,数据录入!$B3775&lt;=$D$2),N(R3774)+1,N(R3774))</f>
      </c>
    </row>
    <row r="3776" s="44" customFormat="1" spans="1:23">
      <c r="A3776" s="116"/>
      <c r="E3776" s="108"/>
      <c r="F3776" s="114"/>
      <c r="G3776" s="114"/>
      <c r="H3776" s="114"/>
      <c r="Q3776" s="44">
        <f>IF(数据录入!$B3776="",0,IF(OR(数据录入!$D3776="投标保证金",数据录入!$D3776="合同履约保证金",ISNUMBER(FIND("保证金",数据录入!$E3776))),1,0))</f>
      </c>
      <c r="R3776" s="44">
        <f>IF(AND($Q3776=1,数据录入!$B3776&gt;=$B$2,数据录入!$B3776&lt;=$D$2),N(R3775)+1,N(R3775))</f>
      </c>
    </row>
    <row r="3777" s="44" customFormat="1" spans="1:23">
      <c r="A3777" s="116"/>
      <c r="E3777" s="108"/>
      <c r="F3777" s="114"/>
      <c r="G3777" s="114"/>
      <c r="H3777" s="114"/>
      <c r="Q3777" s="44">
        <f>IF(数据录入!$B3777="",0,IF(OR(数据录入!$D3777="投标保证金",数据录入!$D3777="合同履约保证金",ISNUMBER(FIND("保证金",数据录入!$E3777))),1,0))</f>
      </c>
      <c r="R3777" s="44">
        <f>IF(AND($Q3777=1,数据录入!$B3777&gt;=$B$2,数据录入!$B3777&lt;=$D$2),N(R3776)+1,N(R3776))</f>
      </c>
    </row>
    <row r="3778" s="44" customFormat="1" spans="1:23">
      <c r="A3778" s="116"/>
      <c r="E3778" s="108"/>
      <c r="F3778" s="114"/>
      <c r="G3778" s="114"/>
      <c r="H3778" s="114"/>
      <c r="Q3778" s="44">
        <f>IF(数据录入!$B3778="",0,IF(OR(数据录入!$D3778="投标保证金",数据录入!$D3778="合同履约保证金",ISNUMBER(FIND("保证金",数据录入!$E3778))),1,0))</f>
      </c>
      <c r="R3778" s="44">
        <f>IF(AND($Q3778=1,数据录入!$B3778&gt;=$B$2,数据录入!$B3778&lt;=$D$2),N(R3777)+1,N(R3777))</f>
      </c>
    </row>
    <row r="3779" s="44" customFormat="1" spans="1:23">
      <c r="A3779" s="116"/>
      <c r="E3779" s="108"/>
      <c r="F3779" s="114"/>
      <c r="G3779" s="114"/>
      <c r="H3779" s="114"/>
      <c r="Q3779" s="44">
        <f>IF(数据录入!$B3779="",0,IF(OR(数据录入!$D3779="投标保证金",数据录入!$D3779="合同履约保证金",ISNUMBER(FIND("保证金",数据录入!$E3779))),1,0))</f>
      </c>
      <c r="R3779" s="44">
        <f>IF(AND($Q3779=1,数据录入!$B3779&gt;=$B$2,数据录入!$B3779&lt;=$D$2),N(R3778)+1,N(R3778))</f>
      </c>
    </row>
    <row r="3780" s="44" customFormat="1" spans="1:23">
      <c r="A3780" s="116"/>
      <c r="E3780" s="108"/>
      <c r="F3780" s="114"/>
      <c r="G3780" s="114"/>
      <c r="H3780" s="114"/>
      <c r="Q3780" s="44">
        <f>IF(数据录入!$B3780="",0,IF(OR(数据录入!$D3780="投标保证金",数据录入!$D3780="合同履约保证金",ISNUMBER(FIND("保证金",数据录入!$E3780))),1,0))</f>
      </c>
      <c r="R3780" s="44">
        <f>IF(AND($Q3780=1,数据录入!$B3780&gt;=$B$2,数据录入!$B3780&lt;=$D$2),N(R3779)+1,N(R3779))</f>
      </c>
    </row>
    <row r="3781" s="44" customFormat="1" spans="1:23">
      <c r="A3781" s="116"/>
      <c r="E3781" s="108"/>
      <c r="F3781" s="114"/>
      <c r="G3781" s="114"/>
      <c r="H3781" s="114"/>
      <c r="Q3781" s="44">
        <f>IF(数据录入!$B3781="",0,IF(OR(数据录入!$D3781="投标保证金",数据录入!$D3781="合同履约保证金",ISNUMBER(FIND("保证金",数据录入!$E3781))),1,0))</f>
      </c>
      <c r="R3781" s="44">
        <f>IF(AND($Q3781=1,数据录入!$B3781&gt;=$B$2,数据录入!$B3781&lt;=$D$2),N(R3780)+1,N(R3780))</f>
      </c>
    </row>
    <row r="3782" s="44" customFormat="1" spans="1:23">
      <c r="A3782" s="116"/>
      <c r="E3782" s="108"/>
      <c r="F3782" s="114"/>
      <c r="G3782" s="114"/>
      <c r="H3782" s="114"/>
      <c r="Q3782" s="44">
        <f>IF(数据录入!$B3782="",0,IF(OR(数据录入!$D3782="投标保证金",数据录入!$D3782="合同履约保证金",ISNUMBER(FIND("保证金",数据录入!$E3782))),1,0))</f>
      </c>
      <c r="R3782" s="44">
        <f>IF(AND($Q3782=1,数据录入!$B3782&gt;=$B$2,数据录入!$B3782&lt;=$D$2),N(R3781)+1,N(R3781))</f>
      </c>
    </row>
    <row r="3783" s="44" customFormat="1" spans="1:23">
      <c r="A3783" s="116"/>
      <c r="E3783" s="108"/>
      <c r="F3783" s="114"/>
      <c r="G3783" s="114"/>
      <c r="H3783" s="114"/>
      <c r="Q3783" s="44">
        <f>IF(数据录入!$B3783="",0,IF(OR(数据录入!$D3783="投标保证金",数据录入!$D3783="合同履约保证金",ISNUMBER(FIND("保证金",数据录入!$E3783))),1,0))</f>
      </c>
      <c r="R3783" s="44">
        <f>IF(AND($Q3783=1,数据录入!$B3783&gt;=$B$2,数据录入!$B3783&lt;=$D$2),N(R3782)+1,N(R3782))</f>
      </c>
    </row>
    <row r="3784" s="44" customFormat="1" spans="1:23">
      <c r="A3784" s="116"/>
      <c r="E3784" s="108"/>
      <c r="F3784" s="114"/>
      <c r="G3784" s="114"/>
      <c r="H3784" s="114"/>
      <c r="Q3784" s="44">
        <f>IF(数据录入!$B3784="",0,IF(OR(数据录入!$D3784="投标保证金",数据录入!$D3784="合同履约保证金",ISNUMBER(FIND("保证金",数据录入!$E3784))),1,0))</f>
      </c>
      <c r="R3784" s="44">
        <f>IF(AND($Q3784=1,数据录入!$B3784&gt;=$B$2,数据录入!$B3784&lt;=$D$2),N(R3783)+1,N(R3783))</f>
      </c>
    </row>
    <row r="3785" s="44" customFormat="1" spans="1:23">
      <c r="A3785" s="116"/>
      <c r="E3785" s="108"/>
      <c r="F3785" s="114"/>
      <c r="G3785" s="114"/>
      <c r="H3785" s="114"/>
      <c r="Q3785" s="44">
        <f>IF(数据录入!$B3785="",0,IF(OR(数据录入!$D3785="投标保证金",数据录入!$D3785="合同履约保证金",ISNUMBER(FIND("保证金",数据录入!$E3785))),1,0))</f>
      </c>
      <c r="R3785" s="44">
        <f>IF(AND($Q3785=1,数据录入!$B3785&gt;=$B$2,数据录入!$B3785&lt;=$D$2),N(R3784)+1,N(R3784))</f>
      </c>
    </row>
    <row r="3786" s="44" customFormat="1" spans="1:23">
      <c r="A3786" s="116"/>
      <c r="E3786" s="108"/>
      <c r="F3786" s="114"/>
      <c r="G3786" s="114"/>
      <c r="H3786" s="114"/>
      <c r="Q3786" s="44">
        <f>IF(数据录入!$B3786="",0,IF(OR(数据录入!$D3786="投标保证金",数据录入!$D3786="合同履约保证金",ISNUMBER(FIND("保证金",数据录入!$E3786))),1,0))</f>
      </c>
      <c r="R3786" s="44">
        <f>IF(AND($Q3786=1,数据录入!$B3786&gt;=$B$2,数据录入!$B3786&lt;=$D$2),N(R3785)+1,N(R3785))</f>
      </c>
    </row>
    <row r="3787" s="44" customFormat="1" spans="1:23">
      <c r="A3787" s="116"/>
      <c r="E3787" s="108"/>
      <c r="F3787" s="114"/>
      <c r="G3787" s="114"/>
      <c r="H3787" s="114"/>
      <c r="Q3787" s="44">
        <f>IF(数据录入!$B3787="",0,IF(OR(数据录入!$D3787="投标保证金",数据录入!$D3787="合同履约保证金",ISNUMBER(FIND("保证金",数据录入!$E3787))),1,0))</f>
      </c>
      <c r="R3787" s="44">
        <f>IF(AND($Q3787=1,数据录入!$B3787&gt;=$B$2,数据录入!$B3787&lt;=$D$2),N(R3786)+1,N(R3786))</f>
      </c>
    </row>
    <row r="3788" s="44" customFormat="1" spans="1:23">
      <c r="A3788" s="116"/>
      <c r="E3788" s="108"/>
      <c r="F3788" s="114"/>
      <c r="G3788" s="114"/>
      <c r="H3788" s="114"/>
      <c r="Q3788" s="44">
        <f>IF(数据录入!$B3788="",0,IF(OR(数据录入!$D3788="投标保证金",数据录入!$D3788="合同履约保证金",ISNUMBER(FIND("保证金",数据录入!$E3788))),1,0))</f>
      </c>
      <c r="R3788" s="44">
        <f>IF(AND($Q3788=1,数据录入!$B3788&gt;=$B$2,数据录入!$B3788&lt;=$D$2),N(R3787)+1,N(R3787))</f>
      </c>
    </row>
    <row r="3789" s="44" customFormat="1" spans="1:23">
      <c r="A3789" s="116"/>
      <c r="E3789" s="108"/>
      <c r="F3789" s="114"/>
      <c r="G3789" s="114"/>
      <c r="H3789" s="114"/>
      <c r="Q3789" s="44">
        <f>IF(数据录入!$B3789="",0,IF(OR(数据录入!$D3789="投标保证金",数据录入!$D3789="合同履约保证金",ISNUMBER(FIND("保证金",数据录入!$E3789))),1,0))</f>
      </c>
      <c r="R3789" s="44">
        <f>IF(AND($Q3789=1,数据录入!$B3789&gt;=$B$2,数据录入!$B3789&lt;=$D$2),N(R3788)+1,N(R3788))</f>
      </c>
    </row>
    <row r="3790" s="44" customFormat="1" spans="1:23">
      <c r="A3790" s="116"/>
      <c r="E3790" s="108"/>
      <c r="F3790" s="114"/>
      <c r="G3790" s="114"/>
      <c r="H3790" s="114"/>
      <c r="Q3790" s="44">
        <f>IF(数据录入!$B3790="",0,IF(OR(数据录入!$D3790="投标保证金",数据录入!$D3790="合同履约保证金",ISNUMBER(FIND("保证金",数据录入!$E3790))),1,0))</f>
      </c>
      <c r="R3790" s="44">
        <f>IF(AND($Q3790=1,数据录入!$B3790&gt;=$B$2,数据录入!$B3790&lt;=$D$2),N(R3789)+1,N(R3789))</f>
      </c>
    </row>
    <row r="3791" s="44" customFormat="1" spans="1:23">
      <c r="A3791" s="116"/>
      <c r="E3791" s="108"/>
      <c r="F3791" s="114"/>
      <c r="G3791" s="114"/>
      <c r="H3791" s="114"/>
      <c r="Q3791" s="44">
        <f>IF(数据录入!$B3791="",0,IF(OR(数据录入!$D3791="投标保证金",数据录入!$D3791="合同履约保证金",ISNUMBER(FIND("保证金",数据录入!$E3791))),1,0))</f>
      </c>
      <c r="R3791" s="44">
        <f>IF(AND($Q3791=1,数据录入!$B3791&gt;=$B$2,数据录入!$B3791&lt;=$D$2),N(R3790)+1,N(R3790))</f>
      </c>
    </row>
    <row r="3792" s="44" customFormat="1" spans="1:23">
      <c r="A3792" s="116"/>
      <c r="E3792" s="108"/>
      <c r="F3792" s="114"/>
      <c r="G3792" s="114"/>
      <c r="H3792" s="114"/>
      <c r="Q3792" s="44">
        <f>IF(数据录入!$B3792="",0,IF(OR(数据录入!$D3792="投标保证金",数据录入!$D3792="合同履约保证金",ISNUMBER(FIND("保证金",数据录入!$E3792))),1,0))</f>
      </c>
      <c r="R3792" s="44">
        <f>IF(AND($Q3792=1,数据录入!$B3792&gt;=$B$2,数据录入!$B3792&lt;=$D$2),N(R3791)+1,N(R3791))</f>
      </c>
    </row>
    <row r="3793" s="44" customFormat="1" spans="1:23">
      <c r="A3793" s="116"/>
      <c r="E3793" s="108"/>
      <c r="F3793" s="114"/>
      <c r="G3793" s="114"/>
      <c r="H3793" s="114"/>
      <c r="Q3793" s="44">
        <f>IF(数据录入!$B3793="",0,IF(OR(数据录入!$D3793="投标保证金",数据录入!$D3793="合同履约保证金",ISNUMBER(FIND("保证金",数据录入!$E3793))),1,0))</f>
      </c>
      <c r="R3793" s="44">
        <f>IF(AND($Q3793=1,数据录入!$B3793&gt;=$B$2,数据录入!$B3793&lt;=$D$2),N(R3792)+1,N(R3792))</f>
      </c>
    </row>
    <row r="3794" s="44" customFormat="1" spans="1:23">
      <c r="A3794" s="116"/>
      <c r="E3794" s="108"/>
      <c r="F3794" s="114"/>
      <c r="G3794" s="114"/>
      <c r="H3794" s="114"/>
      <c r="Q3794" s="44">
        <f>IF(数据录入!$B3794="",0,IF(OR(数据录入!$D3794="投标保证金",数据录入!$D3794="合同履约保证金",ISNUMBER(FIND("保证金",数据录入!$E3794))),1,0))</f>
      </c>
      <c r="R3794" s="44">
        <f>IF(AND($Q3794=1,数据录入!$B3794&gt;=$B$2,数据录入!$B3794&lt;=$D$2),N(R3793)+1,N(R3793))</f>
      </c>
    </row>
    <row r="3795" s="44" customFormat="1" spans="1:23">
      <c r="A3795" s="116"/>
      <c r="E3795" s="108"/>
      <c r="F3795" s="114"/>
      <c r="G3795" s="114"/>
      <c r="H3795" s="114"/>
      <c r="Q3795" s="44">
        <f>IF(数据录入!$B3795="",0,IF(OR(数据录入!$D3795="投标保证金",数据录入!$D3795="合同履约保证金",ISNUMBER(FIND("保证金",数据录入!$E3795))),1,0))</f>
      </c>
      <c r="R3795" s="44">
        <f>IF(AND($Q3795=1,数据录入!$B3795&gt;=$B$2,数据录入!$B3795&lt;=$D$2),N(R3794)+1,N(R3794))</f>
      </c>
    </row>
    <row r="3796" s="44" customFormat="1" spans="1:23">
      <c r="A3796" s="116"/>
      <c r="E3796" s="108"/>
      <c r="F3796" s="114"/>
      <c r="G3796" s="114"/>
      <c r="H3796" s="114"/>
      <c r="Q3796" s="44">
        <f>IF(数据录入!$B3796="",0,IF(OR(数据录入!$D3796="投标保证金",数据录入!$D3796="合同履约保证金",ISNUMBER(FIND("保证金",数据录入!$E3796))),1,0))</f>
      </c>
      <c r="R3796" s="44">
        <f>IF(AND($Q3796=1,数据录入!$B3796&gt;=$B$2,数据录入!$B3796&lt;=$D$2),N(R3795)+1,N(R3795))</f>
      </c>
    </row>
    <row r="3797" s="44" customFormat="1" spans="1:23">
      <c r="A3797" s="116"/>
      <c r="E3797" s="108"/>
      <c r="F3797" s="114"/>
      <c r="G3797" s="114"/>
      <c r="H3797" s="114"/>
      <c r="Q3797" s="44">
        <f>IF(数据录入!$B3797="",0,IF(OR(数据录入!$D3797="投标保证金",数据录入!$D3797="合同履约保证金",ISNUMBER(FIND("保证金",数据录入!$E3797))),1,0))</f>
      </c>
      <c r="R3797" s="44">
        <f>IF(AND($Q3797=1,数据录入!$B3797&gt;=$B$2,数据录入!$B3797&lt;=$D$2),N(R3796)+1,N(R3796))</f>
      </c>
    </row>
    <row r="3798" s="44" customFormat="1" spans="1:23">
      <c r="A3798" s="116"/>
      <c r="E3798" s="108"/>
      <c r="F3798" s="114"/>
      <c r="G3798" s="114"/>
      <c r="H3798" s="114"/>
      <c r="Q3798" s="44">
        <f>IF(数据录入!$B3798="",0,IF(OR(数据录入!$D3798="投标保证金",数据录入!$D3798="合同履约保证金",ISNUMBER(FIND("保证金",数据录入!$E3798))),1,0))</f>
      </c>
      <c r="R3798" s="44">
        <f>IF(AND($Q3798=1,数据录入!$B3798&gt;=$B$2,数据录入!$B3798&lt;=$D$2),N(R3797)+1,N(R3797))</f>
      </c>
    </row>
    <row r="3799" s="44" customFormat="1" spans="1:23">
      <c r="A3799" s="116"/>
      <c r="E3799" s="108"/>
      <c r="F3799" s="114"/>
      <c r="G3799" s="114"/>
      <c r="H3799" s="114"/>
      <c r="Q3799" s="44">
        <f>IF(数据录入!$B3799="",0,IF(OR(数据录入!$D3799="投标保证金",数据录入!$D3799="合同履约保证金",ISNUMBER(FIND("保证金",数据录入!$E3799))),1,0))</f>
      </c>
      <c r="R3799" s="44">
        <f>IF(AND($Q3799=1,数据录入!$B3799&gt;=$B$2,数据录入!$B3799&lt;=$D$2),N(R3798)+1,N(R3798))</f>
      </c>
    </row>
    <row r="3800" s="44" customFormat="1" spans="1:23">
      <c r="A3800" s="116"/>
      <c r="E3800" s="108"/>
      <c r="F3800" s="114"/>
      <c r="G3800" s="114"/>
      <c r="H3800" s="114"/>
      <c r="Q3800" s="44">
        <f>IF(数据录入!$B3800="",0,IF(OR(数据录入!$D3800="投标保证金",数据录入!$D3800="合同履约保证金",ISNUMBER(FIND("保证金",数据录入!$E3800))),1,0))</f>
      </c>
      <c r="R3800" s="44">
        <f>IF(AND($Q3800=1,数据录入!$B3800&gt;=$B$2,数据录入!$B3800&lt;=$D$2),N(R3799)+1,N(R3799))</f>
      </c>
    </row>
    <row r="3801" s="44" customFormat="1" spans="1:23">
      <c r="A3801" s="116"/>
      <c r="E3801" s="108"/>
      <c r="F3801" s="114"/>
      <c r="G3801" s="114"/>
      <c r="H3801" s="114"/>
      <c r="Q3801" s="44">
        <f>IF(数据录入!$B3801="",0,IF(OR(数据录入!$D3801="投标保证金",数据录入!$D3801="合同履约保证金",ISNUMBER(FIND("保证金",数据录入!$E3801))),1,0))</f>
      </c>
      <c r="R3801" s="44">
        <f>IF(AND($Q3801=1,数据录入!$B3801&gt;=$B$2,数据录入!$B3801&lt;=$D$2),N(R3800)+1,N(R3800))</f>
      </c>
    </row>
    <row r="3802" s="44" customFormat="1" spans="1:23">
      <c r="A3802" s="116"/>
      <c r="E3802" s="108"/>
      <c r="F3802" s="114"/>
      <c r="G3802" s="114"/>
      <c r="H3802" s="114"/>
      <c r="Q3802" s="44">
        <f>IF(数据录入!$B3802="",0,IF(OR(数据录入!$D3802="投标保证金",数据录入!$D3802="合同履约保证金",ISNUMBER(FIND("保证金",数据录入!$E3802))),1,0))</f>
      </c>
      <c r="R3802" s="44">
        <f>IF(AND($Q3802=1,数据录入!$B3802&gt;=$B$2,数据录入!$B3802&lt;=$D$2),N(R3801)+1,N(R3801))</f>
      </c>
    </row>
    <row r="3803" s="44" customFormat="1" spans="1:23">
      <c r="A3803" s="116"/>
      <c r="E3803" s="108"/>
      <c r="F3803" s="114"/>
      <c r="G3803" s="114"/>
      <c r="H3803" s="114"/>
      <c r="Q3803" s="44">
        <f>IF(数据录入!$B3803="",0,IF(OR(数据录入!$D3803="投标保证金",数据录入!$D3803="合同履约保证金",ISNUMBER(FIND("保证金",数据录入!$E3803))),1,0))</f>
      </c>
      <c r="R3803" s="44">
        <f>IF(AND($Q3803=1,数据录入!$B3803&gt;=$B$2,数据录入!$B3803&lt;=$D$2),N(R3802)+1,N(R3802))</f>
      </c>
    </row>
    <row r="3804" s="44" customFormat="1" spans="1:23">
      <c r="A3804" s="116"/>
      <c r="E3804" s="108"/>
      <c r="F3804" s="114"/>
      <c r="G3804" s="114"/>
      <c r="H3804" s="114"/>
      <c r="Q3804" s="44">
        <f>IF(数据录入!$B3804="",0,IF(OR(数据录入!$D3804="投标保证金",数据录入!$D3804="合同履约保证金",ISNUMBER(FIND("保证金",数据录入!$E3804))),1,0))</f>
      </c>
      <c r="R3804" s="44">
        <f>IF(AND($Q3804=1,数据录入!$B3804&gt;=$B$2,数据录入!$B3804&lt;=$D$2),N(R3803)+1,N(R3803))</f>
      </c>
    </row>
    <row r="3805" s="44" customFormat="1" spans="1:23">
      <c r="A3805" s="116"/>
      <c r="E3805" s="108"/>
      <c r="F3805" s="114"/>
      <c r="G3805" s="114"/>
      <c r="H3805" s="114"/>
      <c r="Q3805" s="44">
        <f>IF(数据录入!$B3805="",0,IF(OR(数据录入!$D3805="投标保证金",数据录入!$D3805="合同履约保证金",ISNUMBER(FIND("保证金",数据录入!$E3805))),1,0))</f>
      </c>
      <c r="R3805" s="44">
        <f>IF(AND($Q3805=1,数据录入!$B3805&gt;=$B$2,数据录入!$B3805&lt;=$D$2),N(R3804)+1,N(R3804))</f>
      </c>
    </row>
    <row r="3806" s="44" customFormat="1" spans="1:23">
      <c r="A3806" s="116"/>
      <c r="E3806" s="108"/>
      <c r="F3806" s="114"/>
      <c r="G3806" s="114"/>
      <c r="H3806" s="114"/>
      <c r="Q3806" s="44">
        <f>IF(数据录入!$B3806="",0,IF(OR(数据录入!$D3806="投标保证金",数据录入!$D3806="合同履约保证金",ISNUMBER(FIND("保证金",数据录入!$E3806))),1,0))</f>
      </c>
      <c r="R3806" s="44">
        <f>IF(AND($Q3806=1,数据录入!$B3806&gt;=$B$2,数据录入!$B3806&lt;=$D$2),N(R3805)+1,N(R3805))</f>
      </c>
    </row>
    <row r="3807" s="44" customFormat="1" spans="1:23">
      <c r="A3807" s="116"/>
      <c r="E3807" s="108"/>
      <c r="F3807" s="114"/>
      <c r="G3807" s="114"/>
      <c r="H3807" s="114"/>
      <c r="Q3807" s="44">
        <f>IF(数据录入!$B3807="",0,IF(OR(数据录入!$D3807="投标保证金",数据录入!$D3807="合同履约保证金",ISNUMBER(FIND("保证金",数据录入!$E3807))),1,0))</f>
      </c>
      <c r="R3807" s="44">
        <f>IF(AND($Q3807=1,数据录入!$B3807&gt;=$B$2,数据录入!$B3807&lt;=$D$2),N(R3806)+1,N(R3806))</f>
      </c>
    </row>
    <row r="3808" s="44" customFormat="1" spans="1:23">
      <c r="A3808" s="116"/>
      <c r="E3808" s="108"/>
      <c r="F3808" s="114"/>
      <c r="G3808" s="114"/>
      <c r="H3808" s="114"/>
      <c r="Q3808" s="44">
        <f>IF(数据录入!$B3808="",0,IF(OR(数据录入!$D3808="投标保证金",数据录入!$D3808="合同履约保证金",ISNUMBER(FIND("保证金",数据录入!$E3808))),1,0))</f>
      </c>
      <c r="R3808" s="44">
        <f>IF(AND($Q3808=1,数据录入!$B3808&gt;=$B$2,数据录入!$B3808&lt;=$D$2),N(R3807)+1,N(R3807))</f>
      </c>
    </row>
    <row r="3809" s="44" customFormat="1" spans="1:23">
      <c r="A3809" s="116"/>
      <c r="E3809" s="108"/>
      <c r="F3809" s="114"/>
      <c r="G3809" s="114"/>
      <c r="H3809" s="114"/>
      <c r="Q3809" s="44">
        <f>IF(数据录入!$B3809="",0,IF(OR(数据录入!$D3809="投标保证金",数据录入!$D3809="合同履约保证金",ISNUMBER(FIND("保证金",数据录入!$E3809))),1,0))</f>
      </c>
      <c r="R3809" s="44">
        <f>IF(AND($Q3809=1,数据录入!$B3809&gt;=$B$2,数据录入!$B3809&lt;=$D$2),N(R3808)+1,N(R3808))</f>
      </c>
    </row>
    <row r="3810" s="44" customFormat="1" spans="1:23">
      <c r="A3810" s="116"/>
      <c r="E3810" s="108"/>
      <c r="F3810" s="114"/>
      <c r="G3810" s="114"/>
      <c r="H3810" s="114"/>
      <c r="Q3810" s="44">
        <f>IF(数据录入!$B3810="",0,IF(OR(数据录入!$D3810="投标保证金",数据录入!$D3810="合同履约保证金",ISNUMBER(FIND("保证金",数据录入!$E3810))),1,0))</f>
      </c>
      <c r="R3810" s="44">
        <f>IF(AND($Q3810=1,数据录入!$B3810&gt;=$B$2,数据录入!$B3810&lt;=$D$2),N(R3809)+1,N(R3809))</f>
      </c>
    </row>
    <row r="3811" s="44" customFormat="1" spans="1:23">
      <c r="A3811" s="116"/>
      <c r="E3811" s="108"/>
      <c r="F3811" s="114"/>
      <c r="G3811" s="114"/>
      <c r="H3811" s="114"/>
      <c r="Q3811" s="44">
        <f>IF(数据录入!$B3811="",0,IF(OR(数据录入!$D3811="投标保证金",数据录入!$D3811="合同履约保证金",ISNUMBER(FIND("保证金",数据录入!$E3811))),1,0))</f>
      </c>
      <c r="R3811" s="44">
        <f>IF(AND($Q3811=1,数据录入!$B3811&gt;=$B$2,数据录入!$B3811&lt;=$D$2),N(R3810)+1,N(R3810))</f>
      </c>
    </row>
    <row r="3812" s="44" customFormat="1" spans="1:23">
      <c r="A3812" s="116"/>
      <c r="E3812" s="108"/>
      <c r="F3812" s="114"/>
      <c r="G3812" s="114"/>
      <c r="H3812" s="114"/>
      <c r="Q3812" s="44">
        <f>IF(数据录入!$B3812="",0,IF(OR(数据录入!$D3812="投标保证金",数据录入!$D3812="合同履约保证金",ISNUMBER(FIND("保证金",数据录入!$E3812))),1,0))</f>
      </c>
      <c r="R3812" s="44">
        <f>IF(AND($Q3812=1,数据录入!$B3812&gt;=$B$2,数据录入!$B3812&lt;=$D$2),N(R3811)+1,N(R3811))</f>
      </c>
    </row>
    <row r="3813" s="44" customFormat="1" spans="1:23">
      <c r="A3813" s="116"/>
      <c r="E3813" s="108"/>
      <c r="F3813" s="114"/>
      <c r="G3813" s="114"/>
      <c r="H3813" s="114"/>
      <c r="Q3813" s="44">
        <f>IF(数据录入!$B3813="",0,IF(OR(数据录入!$D3813="投标保证金",数据录入!$D3813="合同履约保证金",ISNUMBER(FIND("保证金",数据录入!$E3813))),1,0))</f>
      </c>
      <c r="R3813" s="44">
        <f>IF(AND($Q3813=1,数据录入!$B3813&gt;=$B$2,数据录入!$B3813&lt;=$D$2),N(R3812)+1,N(R3812))</f>
      </c>
    </row>
    <row r="3814" s="44" customFormat="1" spans="1:23">
      <c r="A3814" s="116"/>
      <c r="E3814" s="108"/>
      <c r="F3814" s="114"/>
      <c r="G3814" s="114"/>
      <c r="H3814" s="114"/>
      <c r="Q3814" s="44">
        <f>IF(数据录入!$B3814="",0,IF(OR(数据录入!$D3814="投标保证金",数据录入!$D3814="合同履约保证金",ISNUMBER(FIND("保证金",数据录入!$E3814))),1,0))</f>
      </c>
      <c r="R3814" s="44">
        <f>IF(AND($Q3814=1,数据录入!$B3814&gt;=$B$2,数据录入!$B3814&lt;=$D$2),N(R3813)+1,N(R3813))</f>
      </c>
    </row>
    <row r="3815" s="44" customFormat="1" spans="1:23">
      <c r="A3815" s="116"/>
      <c r="E3815" s="108"/>
      <c r="F3815" s="114"/>
      <c r="G3815" s="114"/>
      <c r="H3815" s="114"/>
      <c r="Q3815" s="44">
        <f>IF(数据录入!$B3815="",0,IF(OR(数据录入!$D3815="投标保证金",数据录入!$D3815="合同履约保证金",ISNUMBER(FIND("保证金",数据录入!$E3815))),1,0))</f>
      </c>
      <c r="R3815" s="44">
        <f>IF(AND($Q3815=1,数据录入!$B3815&gt;=$B$2,数据录入!$B3815&lt;=$D$2),N(R3814)+1,N(R3814))</f>
      </c>
    </row>
    <row r="3816" s="44" customFormat="1" spans="1:23">
      <c r="A3816" s="116"/>
      <c r="E3816" s="108"/>
      <c r="F3816" s="114"/>
      <c r="G3816" s="114"/>
      <c r="H3816" s="114"/>
      <c r="Q3816" s="44">
        <f>IF(数据录入!$B3816="",0,IF(OR(数据录入!$D3816="投标保证金",数据录入!$D3816="合同履约保证金",ISNUMBER(FIND("保证金",数据录入!$E3816))),1,0))</f>
      </c>
      <c r="R3816" s="44">
        <f>IF(AND($Q3816=1,数据录入!$B3816&gt;=$B$2,数据录入!$B3816&lt;=$D$2),N(R3815)+1,N(R3815))</f>
      </c>
    </row>
    <row r="3817" s="44" customFormat="1" spans="1:23">
      <c r="A3817" s="116"/>
      <c r="E3817" s="108"/>
      <c r="F3817" s="114"/>
      <c r="G3817" s="114"/>
      <c r="H3817" s="114"/>
      <c r="Q3817" s="44">
        <f>IF(数据录入!$B3817="",0,IF(OR(数据录入!$D3817="投标保证金",数据录入!$D3817="合同履约保证金",ISNUMBER(FIND("保证金",数据录入!$E3817))),1,0))</f>
      </c>
      <c r="R3817" s="44">
        <f>IF(AND($Q3817=1,数据录入!$B3817&gt;=$B$2,数据录入!$B3817&lt;=$D$2),N(R3816)+1,N(R3816))</f>
      </c>
    </row>
    <row r="3818" s="44" customFormat="1" spans="1:23">
      <c r="A3818" s="116"/>
      <c r="E3818" s="108"/>
      <c r="F3818" s="114"/>
      <c r="G3818" s="114"/>
      <c r="H3818" s="114"/>
      <c r="Q3818" s="44">
        <f>IF(数据录入!$B3818="",0,IF(OR(数据录入!$D3818="投标保证金",数据录入!$D3818="合同履约保证金",ISNUMBER(FIND("保证金",数据录入!$E3818))),1,0))</f>
      </c>
      <c r="R3818" s="44">
        <f>IF(AND($Q3818=1,数据录入!$B3818&gt;=$B$2,数据录入!$B3818&lt;=$D$2),N(R3817)+1,N(R3817))</f>
      </c>
    </row>
    <row r="3819" s="44" customFormat="1" spans="1:23">
      <c r="A3819" s="116"/>
      <c r="E3819" s="108"/>
      <c r="F3819" s="114"/>
      <c r="G3819" s="114"/>
      <c r="H3819" s="114"/>
      <c r="Q3819" s="44">
        <f>IF(数据录入!$B3819="",0,IF(OR(数据录入!$D3819="投标保证金",数据录入!$D3819="合同履约保证金",ISNUMBER(FIND("保证金",数据录入!$E3819))),1,0))</f>
      </c>
      <c r="R3819" s="44">
        <f>IF(AND($Q3819=1,数据录入!$B3819&gt;=$B$2,数据录入!$B3819&lt;=$D$2),N(R3818)+1,N(R3818))</f>
      </c>
    </row>
    <row r="3820" s="44" customFormat="1" spans="1:23">
      <c r="A3820" s="116"/>
      <c r="E3820" s="108"/>
      <c r="F3820" s="114"/>
      <c r="G3820" s="114"/>
      <c r="H3820" s="114"/>
      <c r="Q3820" s="44">
        <f>IF(数据录入!$B3820="",0,IF(OR(数据录入!$D3820="投标保证金",数据录入!$D3820="合同履约保证金",ISNUMBER(FIND("保证金",数据录入!$E3820))),1,0))</f>
      </c>
      <c r="R3820" s="44">
        <f>IF(AND($Q3820=1,数据录入!$B3820&gt;=$B$2,数据录入!$B3820&lt;=$D$2),N(R3819)+1,N(R3819))</f>
      </c>
    </row>
    <row r="3821" s="44" customFormat="1" spans="1:23">
      <c r="A3821" s="116"/>
      <c r="E3821" s="108"/>
      <c r="F3821" s="114"/>
      <c r="G3821" s="114"/>
      <c r="H3821" s="114"/>
      <c r="Q3821" s="44">
        <f>IF(数据录入!$B3821="",0,IF(OR(数据录入!$D3821="投标保证金",数据录入!$D3821="合同履约保证金",ISNUMBER(FIND("保证金",数据录入!$E3821))),1,0))</f>
      </c>
      <c r="R3821" s="44">
        <f>IF(AND($Q3821=1,数据录入!$B3821&gt;=$B$2,数据录入!$B3821&lt;=$D$2),N(R3820)+1,N(R3820))</f>
      </c>
    </row>
    <row r="3822" s="44" customFormat="1" spans="1:23">
      <c r="A3822" s="116"/>
      <c r="E3822" s="108"/>
      <c r="F3822" s="114"/>
      <c r="G3822" s="114"/>
      <c r="H3822" s="114"/>
      <c r="Q3822" s="44">
        <f>IF(数据录入!$B3822="",0,IF(OR(数据录入!$D3822="投标保证金",数据录入!$D3822="合同履约保证金",ISNUMBER(FIND("保证金",数据录入!$E3822))),1,0))</f>
      </c>
      <c r="R3822" s="44">
        <f>IF(AND($Q3822=1,数据录入!$B3822&gt;=$B$2,数据录入!$B3822&lt;=$D$2),N(R3821)+1,N(R3821))</f>
      </c>
    </row>
    <row r="3823" s="44" customFormat="1" spans="1:23">
      <c r="A3823" s="116"/>
      <c r="E3823" s="108"/>
      <c r="F3823" s="114"/>
      <c r="G3823" s="114"/>
      <c r="H3823" s="114"/>
      <c r="Q3823" s="44">
        <f>IF(数据录入!$B3823="",0,IF(OR(数据录入!$D3823="投标保证金",数据录入!$D3823="合同履约保证金",ISNUMBER(FIND("保证金",数据录入!$E3823))),1,0))</f>
      </c>
      <c r="R3823" s="44">
        <f>IF(AND($Q3823=1,数据录入!$B3823&gt;=$B$2,数据录入!$B3823&lt;=$D$2),N(R3822)+1,N(R3822))</f>
      </c>
    </row>
    <row r="3824" s="44" customFormat="1" spans="1:23">
      <c r="A3824" s="116"/>
      <c r="E3824" s="108"/>
      <c r="F3824" s="114"/>
      <c r="G3824" s="114"/>
      <c r="H3824" s="114"/>
      <c r="Q3824" s="44">
        <f>IF(数据录入!$B3824="",0,IF(OR(数据录入!$D3824="投标保证金",数据录入!$D3824="合同履约保证金",ISNUMBER(FIND("保证金",数据录入!$E3824))),1,0))</f>
      </c>
      <c r="R3824" s="44">
        <f>IF(AND($Q3824=1,数据录入!$B3824&gt;=$B$2,数据录入!$B3824&lt;=$D$2),N(R3823)+1,N(R3823))</f>
      </c>
    </row>
    <row r="3825" s="44" customFormat="1" spans="1:23">
      <c r="A3825" s="116"/>
      <c r="E3825" s="108"/>
      <c r="F3825" s="114"/>
      <c r="G3825" s="114"/>
      <c r="H3825" s="114"/>
      <c r="Q3825" s="44">
        <f>IF(数据录入!$B3825="",0,IF(OR(数据录入!$D3825="投标保证金",数据录入!$D3825="合同履约保证金",ISNUMBER(FIND("保证金",数据录入!$E3825))),1,0))</f>
      </c>
      <c r="R3825" s="44">
        <f>IF(AND($Q3825=1,数据录入!$B3825&gt;=$B$2,数据录入!$B3825&lt;=$D$2),N(R3824)+1,N(R3824))</f>
      </c>
    </row>
    <row r="3826" s="44" customFormat="1" spans="1:23">
      <c r="A3826" s="116"/>
      <c r="E3826" s="108"/>
      <c r="F3826" s="114"/>
      <c r="G3826" s="114"/>
      <c r="H3826" s="114"/>
      <c r="Q3826" s="44">
        <f>IF(数据录入!$B3826="",0,IF(OR(数据录入!$D3826="投标保证金",数据录入!$D3826="合同履约保证金",ISNUMBER(FIND("保证金",数据录入!$E3826))),1,0))</f>
      </c>
      <c r="R3826" s="44">
        <f>IF(AND($Q3826=1,数据录入!$B3826&gt;=$B$2,数据录入!$B3826&lt;=$D$2),N(R3825)+1,N(R3825))</f>
      </c>
    </row>
    <row r="3827" s="44" customFormat="1" spans="1:23">
      <c r="A3827" s="116"/>
      <c r="E3827" s="108"/>
      <c r="F3827" s="114"/>
      <c r="G3827" s="114"/>
      <c r="H3827" s="114"/>
      <c r="Q3827" s="44">
        <f>IF(数据录入!$B3827="",0,IF(OR(数据录入!$D3827="投标保证金",数据录入!$D3827="合同履约保证金",ISNUMBER(FIND("保证金",数据录入!$E3827))),1,0))</f>
      </c>
      <c r="R3827" s="44">
        <f>IF(AND($Q3827=1,数据录入!$B3827&gt;=$B$2,数据录入!$B3827&lt;=$D$2),N(R3826)+1,N(R3826))</f>
      </c>
    </row>
    <row r="3828" s="44" customFormat="1" spans="1:23">
      <c r="A3828" s="116"/>
      <c r="E3828" s="108"/>
      <c r="F3828" s="114"/>
      <c r="G3828" s="114"/>
      <c r="H3828" s="114"/>
      <c r="Q3828" s="44">
        <f>IF(数据录入!$B3828="",0,IF(OR(数据录入!$D3828="投标保证金",数据录入!$D3828="合同履约保证金",ISNUMBER(FIND("保证金",数据录入!$E3828))),1,0))</f>
      </c>
      <c r="R3828" s="44">
        <f>IF(AND($Q3828=1,数据录入!$B3828&gt;=$B$2,数据录入!$B3828&lt;=$D$2),N(R3827)+1,N(R3827))</f>
      </c>
    </row>
    <row r="3829" s="44" customFormat="1" spans="1:23">
      <c r="A3829" s="116"/>
      <c r="E3829" s="108"/>
      <c r="F3829" s="114"/>
      <c r="G3829" s="114"/>
      <c r="H3829" s="114"/>
      <c r="Q3829" s="44">
        <f>IF(数据录入!$B3829="",0,IF(OR(数据录入!$D3829="投标保证金",数据录入!$D3829="合同履约保证金",ISNUMBER(FIND("保证金",数据录入!$E3829))),1,0))</f>
      </c>
      <c r="R3829" s="44">
        <f>IF(AND($Q3829=1,数据录入!$B3829&gt;=$B$2,数据录入!$B3829&lt;=$D$2),N(R3828)+1,N(R3828))</f>
      </c>
    </row>
    <row r="3830" s="44" customFormat="1" spans="1:23">
      <c r="A3830" s="116"/>
      <c r="E3830" s="108"/>
      <c r="F3830" s="114"/>
      <c r="G3830" s="114"/>
      <c r="H3830" s="114"/>
      <c r="Q3830" s="44">
        <f>IF(数据录入!$B3830="",0,IF(OR(数据录入!$D3830="投标保证金",数据录入!$D3830="合同履约保证金",ISNUMBER(FIND("保证金",数据录入!$E3830))),1,0))</f>
      </c>
      <c r="R3830" s="44">
        <f>IF(AND($Q3830=1,数据录入!$B3830&gt;=$B$2,数据录入!$B3830&lt;=$D$2),N(R3829)+1,N(R3829))</f>
      </c>
    </row>
    <row r="3831" s="44" customFormat="1" spans="1:23">
      <c r="A3831" s="116"/>
      <c r="E3831" s="108"/>
      <c r="F3831" s="114"/>
      <c r="G3831" s="114"/>
      <c r="H3831" s="114"/>
      <c r="Q3831" s="44">
        <f>IF(数据录入!$B3831="",0,IF(OR(数据录入!$D3831="投标保证金",数据录入!$D3831="合同履约保证金",ISNUMBER(FIND("保证金",数据录入!$E3831))),1,0))</f>
      </c>
      <c r="R3831" s="44">
        <f>IF(AND($Q3831=1,数据录入!$B3831&gt;=$B$2,数据录入!$B3831&lt;=$D$2),N(R3830)+1,N(R3830))</f>
      </c>
    </row>
    <row r="3832" s="44" customFormat="1" spans="1:23">
      <c r="A3832" s="116"/>
      <c r="E3832" s="108"/>
      <c r="F3832" s="114"/>
      <c r="G3832" s="114"/>
      <c r="H3832" s="114"/>
      <c r="Q3832" s="44">
        <f>IF(数据录入!$B3832="",0,IF(OR(数据录入!$D3832="投标保证金",数据录入!$D3832="合同履约保证金",ISNUMBER(FIND("保证金",数据录入!$E3832))),1,0))</f>
      </c>
      <c r="R3832" s="44">
        <f>IF(AND($Q3832=1,数据录入!$B3832&gt;=$B$2,数据录入!$B3832&lt;=$D$2),N(R3831)+1,N(R3831))</f>
      </c>
    </row>
    <row r="3833" s="44" customFormat="1" spans="1:23">
      <c r="A3833" s="116"/>
      <c r="E3833" s="108"/>
      <c r="F3833" s="114"/>
      <c r="G3833" s="114"/>
      <c r="H3833" s="114"/>
      <c r="Q3833" s="44">
        <f>IF(数据录入!$B3833="",0,IF(OR(数据录入!$D3833="投标保证金",数据录入!$D3833="合同履约保证金",ISNUMBER(FIND("保证金",数据录入!$E3833))),1,0))</f>
      </c>
      <c r="R3833" s="44">
        <f>IF(AND($Q3833=1,数据录入!$B3833&gt;=$B$2,数据录入!$B3833&lt;=$D$2),N(R3832)+1,N(R3832))</f>
      </c>
    </row>
    <row r="3834" s="44" customFormat="1" spans="1:23">
      <c r="A3834" s="116"/>
      <c r="E3834" s="108"/>
      <c r="F3834" s="114"/>
      <c r="G3834" s="114"/>
      <c r="H3834" s="114"/>
      <c r="Q3834" s="44">
        <f>IF(数据录入!$B3834="",0,IF(OR(数据录入!$D3834="投标保证金",数据录入!$D3834="合同履约保证金",ISNUMBER(FIND("保证金",数据录入!$E3834))),1,0))</f>
      </c>
      <c r="R3834" s="44">
        <f>IF(AND($Q3834=1,数据录入!$B3834&gt;=$B$2,数据录入!$B3834&lt;=$D$2),N(R3833)+1,N(R3833))</f>
      </c>
    </row>
    <row r="3835" s="44" customFormat="1" spans="1:23">
      <c r="A3835" s="116"/>
      <c r="E3835" s="108"/>
      <c r="F3835" s="114"/>
      <c r="G3835" s="114"/>
      <c r="H3835" s="114"/>
      <c r="Q3835" s="44">
        <f>IF(数据录入!$B3835="",0,IF(OR(数据录入!$D3835="投标保证金",数据录入!$D3835="合同履约保证金",ISNUMBER(FIND("保证金",数据录入!$E3835))),1,0))</f>
      </c>
      <c r="R3835" s="44">
        <f>IF(AND($Q3835=1,数据录入!$B3835&gt;=$B$2,数据录入!$B3835&lt;=$D$2),N(R3834)+1,N(R3834))</f>
      </c>
    </row>
    <row r="3836" s="44" customFormat="1" spans="1:23">
      <c r="A3836" s="116"/>
      <c r="E3836" s="108"/>
      <c r="F3836" s="114"/>
      <c r="G3836" s="114"/>
      <c r="H3836" s="114"/>
      <c r="Q3836" s="44">
        <f>IF(数据录入!$B3836="",0,IF(OR(数据录入!$D3836="投标保证金",数据录入!$D3836="合同履约保证金",ISNUMBER(FIND("保证金",数据录入!$E3836))),1,0))</f>
      </c>
      <c r="R3836" s="44">
        <f>IF(AND($Q3836=1,数据录入!$B3836&gt;=$B$2,数据录入!$B3836&lt;=$D$2),N(R3835)+1,N(R3835))</f>
      </c>
    </row>
    <row r="3837" s="44" customFormat="1" spans="1:23">
      <c r="A3837" s="116"/>
      <c r="E3837" s="108"/>
      <c r="F3837" s="114"/>
      <c r="G3837" s="114"/>
      <c r="H3837" s="114"/>
      <c r="Q3837" s="44">
        <f>IF(数据录入!$B3837="",0,IF(OR(数据录入!$D3837="投标保证金",数据录入!$D3837="合同履约保证金",ISNUMBER(FIND("保证金",数据录入!$E3837))),1,0))</f>
      </c>
      <c r="R3837" s="44">
        <f>IF(AND($Q3837=1,数据录入!$B3837&gt;=$B$2,数据录入!$B3837&lt;=$D$2),N(R3836)+1,N(R3836))</f>
      </c>
    </row>
    <row r="3838" s="44" customFormat="1" spans="1:23">
      <c r="A3838" s="116"/>
      <c r="E3838" s="108"/>
      <c r="F3838" s="114"/>
      <c r="G3838" s="114"/>
      <c r="H3838" s="114"/>
      <c r="Q3838" s="44">
        <f>IF(数据录入!$B3838="",0,IF(OR(数据录入!$D3838="投标保证金",数据录入!$D3838="合同履约保证金",ISNUMBER(FIND("保证金",数据录入!$E3838))),1,0))</f>
      </c>
      <c r="R3838" s="44">
        <f>IF(AND($Q3838=1,数据录入!$B3838&gt;=$B$2,数据录入!$B3838&lt;=$D$2),N(R3837)+1,N(R3837))</f>
      </c>
    </row>
    <row r="3839" s="44" customFormat="1" spans="1:23">
      <c r="A3839" s="116"/>
      <c r="E3839" s="108"/>
      <c r="F3839" s="114"/>
      <c r="G3839" s="114"/>
      <c r="H3839" s="114"/>
      <c r="Q3839" s="44">
        <f>IF(数据录入!$B3839="",0,IF(OR(数据录入!$D3839="投标保证金",数据录入!$D3839="合同履约保证金",ISNUMBER(FIND("保证金",数据录入!$E3839))),1,0))</f>
      </c>
      <c r="R3839" s="44">
        <f>IF(AND($Q3839=1,数据录入!$B3839&gt;=$B$2,数据录入!$B3839&lt;=$D$2),N(R3838)+1,N(R3838))</f>
      </c>
    </row>
    <row r="3840" s="44" customFormat="1" spans="1:23">
      <c r="A3840" s="116"/>
      <c r="E3840" s="108"/>
      <c r="F3840" s="114"/>
      <c r="G3840" s="114"/>
      <c r="H3840" s="114"/>
      <c r="Q3840" s="44">
        <f>IF(数据录入!$B3840="",0,IF(OR(数据录入!$D3840="投标保证金",数据录入!$D3840="合同履约保证金",ISNUMBER(FIND("保证金",数据录入!$E3840))),1,0))</f>
      </c>
      <c r="R3840" s="44">
        <f>IF(AND($Q3840=1,数据录入!$B3840&gt;=$B$2,数据录入!$B3840&lt;=$D$2),N(R3839)+1,N(R3839))</f>
      </c>
    </row>
    <row r="3841" s="44" customFormat="1" spans="1:23">
      <c r="A3841" s="116"/>
      <c r="E3841" s="108"/>
      <c r="F3841" s="114"/>
      <c r="G3841" s="114"/>
      <c r="H3841" s="114"/>
      <c r="Q3841" s="44">
        <f>IF(数据录入!$B3841="",0,IF(OR(数据录入!$D3841="投标保证金",数据录入!$D3841="合同履约保证金",ISNUMBER(FIND("保证金",数据录入!$E3841))),1,0))</f>
      </c>
      <c r="R3841" s="44">
        <f>IF(AND($Q3841=1,数据录入!$B3841&gt;=$B$2,数据录入!$B3841&lt;=$D$2),N(R3840)+1,N(R3840))</f>
      </c>
    </row>
    <row r="3842" s="44" customFormat="1" spans="1:23">
      <c r="A3842" s="116"/>
      <c r="E3842" s="108"/>
      <c r="F3842" s="114"/>
      <c r="G3842" s="114"/>
      <c r="H3842" s="114"/>
      <c r="Q3842" s="44">
        <f>IF(数据录入!$B3842="",0,IF(OR(数据录入!$D3842="投标保证金",数据录入!$D3842="合同履约保证金",ISNUMBER(FIND("保证金",数据录入!$E3842))),1,0))</f>
      </c>
      <c r="R3842" s="44">
        <f>IF(AND($Q3842=1,数据录入!$B3842&gt;=$B$2,数据录入!$B3842&lt;=$D$2),N(R3841)+1,N(R3841))</f>
      </c>
    </row>
    <row r="3843" s="44" customFormat="1" spans="1:23">
      <c r="A3843" s="116"/>
      <c r="E3843" s="108"/>
      <c r="F3843" s="114"/>
      <c r="G3843" s="114"/>
      <c r="H3843" s="114"/>
      <c r="Q3843" s="44">
        <f>IF(数据录入!$B3843="",0,IF(OR(数据录入!$D3843="投标保证金",数据录入!$D3843="合同履约保证金",ISNUMBER(FIND("保证金",数据录入!$E3843))),1,0))</f>
      </c>
      <c r="R3843" s="44">
        <f>IF(AND($Q3843=1,数据录入!$B3843&gt;=$B$2,数据录入!$B3843&lt;=$D$2),N(R3842)+1,N(R3842))</f>
      </c>
    </row>
    <row r="3844" s="44" customFormat="1" spans="1:23">
      <c r="A3844" s="116"/>
      <c r="E3844" s="108"/>
      <c r="F3844" s="114"/>
      <c r="G3844" s="114"/>
      <c r="H3844" s="114"/>
      <c r="Q3844" s="44">
        <f>IF(数据录入!$B3844="",0,IF(OR(数据录入!$D3844="投标保证金",数据录入!$D3844="合同履约保证金",ISNUMBER(FIND("保证金",数据录入!$E3844))),1,0))</f>
      </c>
      <c r="R3844" s="44">
        <f>IF(AND($Q3844=1,数据录入!$B3844&gt;=$B$2,数据录入!$B3844&lt;=$D$2),N(R3843)+1,N(R3843))</f>
      </c>
    </row>
    <row r="3845" s="44" customFormat="1" spans="1:23">
      <c r="A3845" s="116"/>
      <c r="E3845" s="108"/>
      <c r="F3845" s="114"/>
      <c r="G3845" s="114"/>
      <c r="H3845" s="114"/>
      <c r="Q3845" s="44">
        <f>IF(数据录入!$B3845="",0,IF(OR(数据录入!$D3845="投标保证金",数据录入!$D3845="合同履约保证金",ISNUMBER(FIND("保证金",数据录入!$E3845))),1,0))</f>
      </c>
      <c r="R3845" s="44">
        <f>IF(AND($Q3845=1,数据录入!$B3845&gt;=$B$2,数据录入!$B3845&lt;=$D$2),N(R3844)+1,N(R3844))</f>
      </c>
    </row>
    <row r="3846" s="44" customFormat="1" spans="1:23">
      <c r="A3846" s="116"/>
      <c r="E3846" s="108"/>
      <c r="F3846" s="114"/>
      <c r="G3846" s="114"/>
      <c r="H3846" s="114"/>
      <c r="Q3846" s="44">
        <f>IF(数据录入!$B3846="",0,IF(OR(数据录入!$D3846="投标保证金",数据录入!$D3846="合同履约保证金",ISNUMBER(FIND("保证金",数据录入!$E3846))),1,0))</f>
      </c>
      <c r="R3846" s="44">
        <f>IF(AND($Q3846=1,数据录入!$B3846&gt;=$B$2,数据录入!$B3846&lt;=$D$2),N(R3845)+1,N(R3845))</f>
      </c>
    </row>
    <row r="3847" s="44" customFormat="1" spans="1:23">
      <c r="A3847" s="116"/>
      <c r="E3847" s="108"/>
      <c r="F3847" s="114"/>
      <c r="G3847" s="114"/>
      <c r="H3847" s="114"/>
      <c r="Q3847" s="44">
        <f>IF(数据录入!$B3847="",0,IF(OR(数据录入!$D3847="投标保证金",数据录入!$D3847="合同履约保证金",ISNUMBER(FIND("保证金",数据录入!$E3847))),1,0))</f>
      </c>
      <c r="R3847" s="44">
        <f>IF(AND($Q3847=1,数据录入!$B3847&gt;=$B$2,数据录入!$B3847&lt;=$D$2),N(R3846)+1,N(R3846))</f>
      </c>
    </row>
    <row r="3848" s="44" customFormat="1" spans="1:23">
      <c r="A3848" s="116"/>
      <c r="E3848" s="108"/>
      <c r="F3848" s="114"/>
      <c r="G3848" s="114"/>
      <c r="H3848" s="114"/>
      <c r="Q3848" s="44">
        <f>IF(数据录入!$B3848="",0,IF(OR(数据录入!$D3848="投标保证金",数据录入!$D3848="合同履约保证金",ISNUMBER(FIND("保证金",数据录入!$E3848))),1,0))</f>
      </c>
      <c r="R3848" s="44">
        <f>IF(AND($Q3848=1,数据录入!$B3848&gt;=$B$2,数据录入!$B3848&lt;=$D$2),N(R3847)+1,N(R3847))</f>
      </c>
    </row>
    <row r="3849" s="44" customFormat="1" spans="1:23">
      <c r="A3849" s="116"/>
      <c r="E3849" s="108"/>
      <c r="F3849" s="114"/>
      <c r="G3849" s="114"/>
      <c r="H3849" s="114"/>
      <c r="Q3849" s="44">
        <f>IF(数据录入!$B3849="",0,IF(OR(数据录入!$D3849="投标保证金",数据录入!$D3849="合同履约保证金",ISNUMBER(FIND("保证金",数据录入!$E3849))),1,0))</f>
      </c>
      <c r="R3849" s="44">
        <f>IF(AND($Q3849=1,数据录入!$B3849&gt;=$B$2,数据录入!$B3849&lt;=$D$2),N(R3848)+1,N(R3848))</f>
      </c>
    </row>
    <row r="3850" s="44" customFormat="1" spans="1:23">
      <c r="A3850" s="116"/>
      <c r="E3850" s="108"/>
      <c r="F3850" s="114"/>
      <c r="G3850" s="114"/>
      <c r="H3850" s="114"/>
      <c r="Q3850" s="44">
        <f>IF(数据录入!$B3850="",0,IF(OR(数据录入!$D3850="投标保证金",数据录入!$D3850="合同履约保证金",ISNUMBER(FIND("保证金",数据录入!$E3850))),1,0))</f>
      </c>
      <c r="R3850" s="44">
        <f>IF(AND($Q3850=1,数据录入!$B3850&gt;=$B$2,数据录入!$B3850&lt;=$D$2),N(R3849)+1,N(R3849))</f>
      </c>
    </row>
    <row r="3851" s="44" customFormat="1" spans="1:23">
      <c r="A3851" s="116"/>
      <c r="E3851" s="108"/>
      <c r="F3851" s="114"/>
      <c r="G3851" s="114"/>
      <c r="H3851" s="114"/>
      <c r="Q3851" s="44">
        <f>IF(数据录入!$B3851="",0,IF(OR(数据录入!$D3851="投标保证金",数据录入!$D3851="合同履约保证金",ISNUMBER(FIND("保证金",数据录入!$E3851))),1,0))</f>
      </c>
      <c r="R3851" s="44">
        <f>IF(AND($Q3851=1,数据录入!$B3851&gt;=$B$2,数据录入!$B3851&lt;=$D$2),N(R3850)+1,N(R3850))</f>
      </c>
    </row>
    <row r="3852" s="44" customFormat="1" spans="1:23">
      <c r="A3852" s="116"/>
      <c r="E3852" s="108"/>
      <c r="F3852" s="114"/>
      <c r="G3852" s="114"/>
      <c r="H3852" s="114"/>
      <c r="Q3852" s="44">
        <f>IF(数据录入!$B3852="",0,IF(OR(数据录入!$D3852="投标保证金",数据录入!$D3852="合同履约保证金",ISNUMBER(FIND("保证金",数据录入!$E3852))),1,0))</f>
      </c>
      <c r="R3852" s="44">
        <f>IF(AND($Q3852=1,数据录入!$B3852&gt;=$B$2,数据录入!$B3852&lt;=$D$2),N(R3851)+1,N(R3851))</f>
      </c>
    </row>
    <row r="3853" s="44" customFormat="1" spans="1:23">
      <c r="A3853" s="116"/>
      <c r="E3853" s="108"/>
      <c r="F3853" s="114"/>
      <c r="G3853" s="114"/>
      <c r="H3853" s="114"/>
      <c r="Q3853" s="44">
        <f>IF(数据录入!$B3853="",0,IF(OR(数据录入!$D3853="投标保证金",数据录入!$D3853="合同履约保证金",ISNUMBER(FIND("保证金",数据录入!$E3853))),1,0))</f>
      </c>
      <c r="R3853" s="44">
        <f>IF(AND($Q3853=1,数据录入!$B3853&gt;=$B$2,数据录入!$B3853&lt;=$D$2),N(R3852)+1,N(R3852))</f>
      </c>
    </row>
    <row r="3854" s="44" customFormat="1" spans="1:23">
      <c r="A3854" s="116"/>
      <c r="E3854" s="108"/>
      <c r="F3854" s="114"/>
      <c r="G3854" s="114"/>
      <c r="H3854" s="114"/>
      <c r="Q3854" s="44">
        <f>IF(数据录入!$B3854="",0,IF(OR(数据录入!$D3854="投标保证金",数据录入!$D3854="合同履约保证金",ISNUMBER(FIND("保证金",数据录入!$E3854))),1,0))</f>
      </c>
      <c r="R3854" s="44">
        <f>IF(AND($Q3854=1,数据录入!$B3854&gt;=$B$2,数据录入!$B3854&lt;=$D$2),N(R3853)+1,N(R3853))</f>
      </c>
    </row>
    <row r="3855" s="44" customFormat="1" spans="1:23">
      <c r="A3855" s="116"/>
      <c r="E3855" s="108"/>
      <c r="F3855" s="114"/>
      <c r="G3855" s="114"/>
      <c r="H3855" s="114"/>
      <c r="Q3855" s="44">
        <f>IF(数据录入!$B3855="",0,IF(OR(数据录入!$D3855="投标保证金",数据录入!$D3855="合同履约保证金",ISNUMBER(FIND("保证金",数据录入!$E3855))),1,0))</f>
      </c>
      <c r="R3855" s="44">
        <f>IF(AND($Q3855=1,数据录入!$B3855&gt;=$B$2,数据录入!$B3855&lt;=$D$2),N(R3854)+1,N(R3854))</f>
      </c>
    </row>
    <row r="3856" s="44" customFormat="1" spans="1:23">
      <c r="A3856" s="116"/>
      <c r="E3856" s="108"/>
      <c r="F3856" s="114"/>
      <c r="G3856" s="114"/>
      <c r="H3856" s="114"/>
      <c r="Q3856" s="44">
        <f>IF(数据录入!$B3856="",0,IF(OR(数据录入!$D3856="投标保证金",数据录入!$D3856="合同履约保证金",ISNUMBER(FIND("保证金",数据录入!$E3856))),1,0))</f>
      </c>
      <c r="R3856" s="44">
        <f>IF(AND($Q3856=1,数据录入!$B3856&gt;=$B$2,数据录入!$B3856&lt;=$D$2),N(R3855)+1,N(R3855))</f>
      </c>
    </row>
    <row r="3857" s="44" customFormat="1" spans="1:23">
      <c r="A3857" s="116"/>
      <c r="E3857" s="108"/>
      <c r="F3857" s="114"/>
      <c r="G3857" s="114"/>
      <c r="H3857" s="114"/>
      <c r="Q3857" s="44">
        <f>IF(数据录入!$B3857="",0,IF(OR(数据录入!$D3857="投标保证金",数据录入!$D3857="合同履约保证金",ISNUMBER(FIND("保证金",数据录入!$E3857))),1,0))</f>
      </c>
      <c r="R3857" s="44">
        <f>IF(AND($Q3857=1,数据录入!$B3857&gt;=$B$2,数据录入!$B3857&lt;=$D$2),N(R3856)+1,N(R3856))</f>
      </c>
    </row>
    <row r="3858" s="44" customFormat="1" spans="1:23">
      <c r="A3858" s="116"/>
      <c r="E3858" s="108"/>
      <c r="F3858" s="114"/>
      <c r="G3858" s="114"/>
      <c r="H3858" s="114"/>
      <c r="Q3858" s="44">
        <f>IF(数据录入!$B3858="",0,IF(OR(数据录入!$D3858="投标保证金",数据录入!$D3858="合同履约保证金",ISNUMBER(FIND("保证金",数据录入!$E3858))),1,0))</f>
      </c>
      <c r="R3858" s="44">
        <f>IF(AND($Q3858=1,数据录入!$B3858&gt;=$B$2,数据录入!$B3858&lt;=$D$2),N(R3857)+1,N(R3857))</f>
      </c>
    </row>
    <row r="3859" s="44" customFormat="1" spans="1:23">
      <c r="A3859" s="116"/>
      <c r="E3859" s="108"/>
      <c r="F3859" s="114"/>
      <c r="G3859" s="114"/>
      <c r="H3859" s="114"/>
      <c r="Q3859" s="44">
        <f>IF(数据录入!$B3859="",0,IF(OR(数据录入!$D3859="投标保证金",数据录入!$D3859="合同履约保证金",ISNUMBER(FIND("保证金",数据录入!$E3859))),1,0))</f>
      </c>
      <c r="R3859" s="44">
        <f>IF(AND($Q3859=1,数据录入!$B3859&gt;=$B$2,数据录入!$B3859&lt;=$D$2),N(R3858)+1,N(R3858))</f>
      </c>
    </row>
    <row r="3860" s="44" customFormat="1" spans="1:23">
      <c r="A3860" s="116"/>
      <c r="E3860" s="108"/>
      <c r="F3860" s="114"/>
      <c r="G3860" s="114"/>
      <c r="H3860" s="114"/>
      <c r="Q3860" s="44">
        <f>IF(数据录入!$B3860="",0,IF(OR(数据录入!$D3860="投标保证金",数据录入!$D3860="合同履约保证金",ISNUMBER(FIND("保证金",数据录入!$E3860))),1,0))</f>
      </c>
      <c r="R3860" s="44">
        <f>IF(AND($Q3860=1,数据录入!$B3860&gt;=$B$2,数据录入!$B3860&lt;=$D$2),N(R3859)+1,N(R3859))</f>
      </c>
    </row>
    <row r="3861" s="44" customFormat="1" spans="1:23">
      <c r="A3861" s="116"/>
      <c r="E3861" s="108"/>
      <c r="F3861" s="114"/>
      <c r="G3861" s="114"/>
      <c r="H3861" s="114"/>
      <c r="Q3861" s="44">
        <f>IF(数据录入!$B3861="",0,IF(OR(数据录入!$D3861="投标保证金",数据录入!$D3861="合同履约保证金",ISNUMBER(FIND("保证金",数据录入!$E3861))),1,0))</f>
      </c>
      <c r="R3861" s="44">
        <f>IF(AND($Q3861=1,数据录入!$B3861&gt;=$B$2,数据录入!$B3861&lt;=$D$2),N(R3860)+1,N(R3860))</f>
      </c>
    </row>
    <row r="3862" s="44" customFormat="1" spans="1:23">
      <c r="A3862" s="116"/>
      <c r="E3862" s="108"/>
      <c r="F3862" s="114"/>
      <c r="G3862" s="114"/>
      <c r="H3862" s="114"/>
      <c r="Q3862" s="44">
        <f>IF(数据录入!$B3862="",0,IF(OR(数据录入!$D3862="投标保证金",数据录入!$D3862="合同履约保证金",ISNUMBER(FIND("保证金",数据录入!$E3862))),1,0))</f>
      </c>
      <c r="R3862" s="44">
        <f>IF(AND($Q3862=1,数据录入!$B3862&gt;=$B$2,数据录入!$B3862&lt;=$D$2),N(R3861)+1,N(R3861))</f>
      </c>
    </row>
    <row r="3863" s="44" customFormat="1" spans="1:23">
      <c r="A3863" s="116"/>
      <c r="E3863" s="108"/>
      <c r="F3863" s="114"/>
      <c r="G3863" s="114"/>
      <c r="H3863" s="114"/>
      <c r="Q3863" s="44">
        <f>IF(数据录入!$B3863="",0,IF(OR(数据录入!$D3863="投标保证金",数据录入!$D3863="合同履约保证金",ISNUMBER(FIND("保证金",数据录入!$E3863))),1,0))</f>
      </c>
      <c r="R3863" s="44">
        <f>IF(AND($Q3863=1,数据录入!$B3863&gt;=$B$2,数据录入!$B3863&lt;=$D$2),N(R3862)+1,N(R3862))</f>
      </c>
    </row>
    <row r="3864" s="44" customFormat="1" spans="1:23">
      <c r="A3864" s="116"/>
      <c r="E3864" s="108"/>
      <c r="F3864" s="114"/>
      <c r="G3864" s="114"/>
      <c r="H3864" s="114"/>
      <c r="Q3864" s="44">
        <f>IF(数据录入!$B3864="",0,IF(OR(数据录入!$D3864="投标保证金",数据录入!$D3864="合同履约保证金",ISNUMBER(FIND("保证金",数据录入!$E3864))),1,0))</f>
      </c>
      <c r="R3864" s="44">
        <f>IF(AND($Q3864=1,数据录入!$B3864&gt;=$B$2,数据录入!$B3864&lt;=$D$2),N(R3863)+1,N(R3863))</f>
      </c>
    </row>
    <row r="3865" s="44" customFormat="1" spans="1:23">
      <c r="A3865" s="116"/>
      <c r="E3865" s="108"/>
      <c r="F3865" s="114"/>
      <c r="G3865" s="114"/>
      <c r="H3865" s="114"/>
      <c r="Q3865" s="44">
        <f>IF(数据录入!$B3865="",0,IF(OR(数据录入!$D3865="投标保证金",数据录入!$D3865="合同履约保证金",ISNUMBER(FIND("保证金",数据录入!$E3865))),1,0))</f>
      </c>
      <c r="R3865" s="44">
        <f>IF(AND($Q3865=1,数据录入!$B3865&gt;=$B$2,数据录入!$B3865&lt;=$D$2),N(R3864)+1,N(R3864))</f>
      </c>
    </row>
    <row r="3866" s="44" customFormat="1" spans="1:23">
      <c r="A3866" s="116"/>
      <c r="E3866" s="108"/>
      <c r="F3866" s="114"/>
      <c r="G3866" s="114"/>
      <c r="H3866" s="114"/>
      <c r="Q3866" s="44">
        <f>IF(数据录入!$B3866="",0,IF(OR(数据录入!$D3866="投标保证金",数据录入!$D3866="合同履约保证金",ISNUMBER(FIND("保证金",数据录入!$E3866))),1,0))</f>
      </c>
      <c r="R3866" s="44">
        <f>IF(AND($Q3866=1,数据录入!$B3866&gt;=$B$2,数据录入!$B3866&lt;=$D$2),N(R3865)+1,N(R3865))</f>
      </c>
    </row>
    <row r="3867" s="44" customFormat="1" spans="1:23">
      <c r="A3867" s="116"/>
      <c r="E3867" s="108"/>
      <c r="F3867" s="114"/>
      <c r="G3867" s="114"/>
      <c r="H3867" s="114"/>
      <c r="Q3867" s="44">
        <f>IF(数据录入!$B3867="",0,IF(OR(数据录入!$D3867="投标保证金",数据录入!$D3867="合同履约保证金",ISNUMBER(FIND("保证金",数据录入!$E3867))),1,0))</f>
      </c>
      <c r="R3867" s="44">
        <f>IF(AND($Q3867=1,数据录入!$B3867&gt;=$B$2,数据录入!$B3867&lt;=$D$2),N(R3866)+1,N(R3866))</f>
      </c>
    </row>
    <row r="3868" s="44" customFormat="1" spans="1:23">
      <c r="A3868" s="116"/>
      <c r="E3868" s="108"/>
      <c r="F3868" s="114"/>
      <c r="G3868" s="114"/>
      <c r="H3868" s="114"/>
      <c r="Q3868" s="44">
        <f>IF(数据录入!$B3868="",0,IF(OR(数据录入!$D3868="投标保证金",数据录入!$D3868="合同履约保证金",ISNUMBER(FIND("保证金",数据录入!$E3868))),1,0))</f>
      </c>
      <c r="R3868" s="44">
        <f>IF(AND($Q3868=1,数据录入!$B3868&gt;=$B$2,数据录入!$B3868&lt;=$D$2),N(R3867)+1,N(R3867))</f>
      </c>
    </row>
    <row r="3869" s="44" customFormat="1" spans="1:23">
      <c r="A3869" s="116"/>
      <c r="E3869" s="108"/>
      <c r="F3869" s="114"/>
      <c r="G3869" s="114"/>
      <c r="H3869" s="114"/>
      <c r="Q3869" s="44">
        <f>IF(数据录入!$B3869="",0,IF(OR(数据录入!$D3869="投标保证金",数据录入!$D3869="合同履约保证金",ISNUMBER(FIND("保证金",数据录入!$E3869))),1,0))</f>
      </c>
      <c r="R3869" s="44">
        <f>IF(AND($Q3869=1,数据录入!$B3869&gt;=$B$2,数据录入!$B3869&lt;=$D$2),N(R3868)+1,N(R3868))</f>
      </c>
    </row>
    <row r="3870" s="44" customFormat="1" spans="1:23">
      <c r="A3870" s="116"/>
      <c r="E3870" s="108"/>
      <c r="F3870" s="114"/>
      <c r="G3870" s="114"/>
      <c r="H3870" s="114"/>
      <c r="Q3870" s="44">
        <f>IF(数据录入!$B3870="",0,IF(OR(数据录入!$D3870="投标保证金",数据录入!$D3870="合同履约保证金",ISNUMBER(FIND("保证金",数据录入!$E3870))),1,0))</f>
      </c>
      <c r="R3870" s="44">
        <f>IF(AND($Q3870=1,数据录入!$B3870&gt;=$B$2,数据录入!$B3870&lt;=$D$2),N(R3869)+1,N(R3869))</f>
      </c>
    </row>
    <row r="3871" s="44" customFormat="1" spans="1:23">
      <c r="A3871" s="116"/>
      <c r="E3871" s="108"/>
      <c r="F3871" s="114"/>
      <c r="G3871" s="114"/>
      <c r="H3871" s="114"/>
      <c r="Q3871" s="44">
        <f>IF(数据录入!$B3871="",0,IF(OR(数据录入!$D3871="投标保证金",数据录入!$D3871="合同履约保证金",ISNUMBER(FIND("保证金",数据录入!$E3871))),1,0))</f>
      </c>
      <c r="R3871" s="44">
        <f>IF(AND($Q3871=1,数据录入!$B3871&gt;=$B$2,数据录入!$B3871&lt;=$D$2),N(R3870)+1,N(R3870))</f>
      </c>
    </row>
    <row r="3872" s="44" customFormat="1" spans="1:23">
      <c r="A3872" s="116"/>
      <c r="E3872" s="108"/>
      <c r="F3872" s="114"/>
      <c r="G3872" s="114"/>
      <c r="H3872" s="114"/>
      <c r="Q3872" s="44">
        <f>IF(数据录入!$B3872="",0,IF(OR(数据录入!$D3872="投标保证金",数据录入!$D3872="合同履约保证金",ISNUMBER(FIND("保证金",数据录入!$E3872))),1,0))</f>
      </c>
      <c r="R3872" s="44">
        <f>IF(AND($Q3872=1,数据录入!$B3872&gt;=$B$2,数据录入!$B3872&lt;=$D$2),N(R3871)+1,N(R3871))</f>
      </c>
    </row>
    <row r="3873" s="44" customFormat="1" spans="1:23">
      <c r="A3873" s="116"/>
      <c r="E3873" s="108"/>
      <c r="F3873" s="114"/>
      <c r="G3873" s="114"/>
      <c r="H3873" s="114"/>
      <c r="Q3873" s="44">
        <f>IF(数据录入!$B3873="",0,IF(OR(数据录入!$D3873="投标保证金",数据录入!$D3873="合同履约保证金",ISNUMBER(FIND("保证金",数据录入!$E3873))),1,0))</f>
      </c>
      <c r="R3873" s="44">
        <f>IF(AND($Q3873=1,数据录入!$B3873&gt;=$B$2,数据录入!$B3873&lt;=$D$2),N(R3872)+1,N(R3872))</f>
      </c>
    </row>
    <row r="3874" s="44" customFormat="1" spans="1:23">
      <c r="A3874" s="116"/>
      <c r="E3874" s="108"/>
      <c r="F3874" s="114"/>
      <c r="G3874" s="114"/>
      <c r="H3874" s="114"/>
      <c r="Q3874" s="44">
        <f>IF(数据录入!$B3874="",0,IF(OR(数据录入!$D3874="投标保证金",数据录入!$D3874="合同履约保证金",ISNUMBER(FIND("保证金",数据录入!$E3874))),1,0))</f>
      </c>
      <c r="R3874" s="44">
        <f>IF(AND($Q3874=1,数据录入!$B3874&gt;=$B$2,数据录入!$B3874&lt;=$D$2),N(R3873)+1,N(R3873))</f>
      </c>
    </row>
    <row r="3875" s="44" customFormat="1" spans="1:23">
      <c r="A3875" s="116"/>
      <c r="E3875" s="108"/>
      <c r="F3875" s="114"/>
      <c r="G3875" s="114"/>
      <c r="H3875" s="114"/>
      <c r="Q3875" s="44">
        <f>IF(数据录入!$B3875="",0,IF(OR(数据录入!$D3875="投标保证金",数据录入!$D3875="合同履约保证金",ISNUMBER(FIND("保证金",数据录入!$E3875))),1,0))</f>
      </c>
      <c r="R3875" s="44">
        <f>IF(AND($Q3875=1,数据录入!$B3875&gt;=$B$2,数据录入!$B3875&lt;=$D$2),N(R3874)+1,N(R3874))</f>
      </c>
    </row>
    <row r="3876" s="44" customFormat="1" spans="1:23">
      <c r="A3876" s="116"/>
      <c r="E3876" s="108"/>
      <c r="F3876" s="114"/>
      <c r="G3876" s="114"/>
      <c r="H3876" s="114"/>
      <c r="Q3876" s="44">
        <f>IF(数据录入!$B3876="",0,IF(OR(数据录入!$D3876="投标保证金",数据录入!$D3876="合同履约保证金",ISNUMBER(FIND("保证金",数据录入!$E3876))),1,0))</f>
      </c>
      <c r="R3876" s="44">
        <f>IF(AND($Q3876=1,数据录入!$B3876&gt;=$B$2,数据录入!$B3876&lt;=$D$2),N(R3875)+1,N(R3875))</f>
      </c>
    </row>
    <row r="3877" s="44" customFormat="1" spans="1:23">
      <c r="A3877" s="116"/>
      <c r="E3877" s="108"/>
      <c r="F3877" s="114"/>
      <c r="G3877" s="114"/>
      <c r="H3877" s="114"/>
      <c r="Q3877" s="44">
        <f>IF(数据录入!$B3877="",0,IF(OR(数据录入!$D3877="投标保证金",数据录入!$D3877="合同履约保证金",ISNUMBER(FIND("保证金",数据录入!$E3877))),1,0))</f>
      </c>
      <c r="R3877" s="44">
        <f>IF(AND($Q3877=1,数据录入!$B3877&gt;=$B$2,数据录入!$B3877&lt;=$D$2),N(R3876)+1,N(R3876))</f>
      </c>
    </row>
    <row r="3878" s="44" customFormat="1" spans="1:23">
      <c r="A3878" s="116"/>
      <c r="E3878" s="108"/>
      <c r="F3878" s="114"/>
      <c r="G3878" s="114"/>
      <c r="H3878" s="114"/>
      <c r="Q3878" s="44">
        <f>IF(数据录入!$B3878="",0,IF(OR(数据录入!$D3878="投标保证金",数据录入!$D3878="合同履约保证金",ISNUMBER(FIND("保证金",数据录入!$E3878))),1,0))</f>
      </c>
      <c r="R3878" s="44">
        <f>IF(AND($Q3878=1,数据录入!$B3878&gt;=$B$2,数据录入!$B3878&lt;=$D$2),N(R3877)+1,N(R3877))</f>
      </c>
    </row>
    <row r="3879" s="44" customFormat="1" spans="1:23">
      <c r="A3879" s="116"/>
      <c r="E3879" s="108"/>
      <c r="F3879" s="114"/>
      <c r="G3879" s="114"/>
      <c r="H3879" s="114"/>
      <c r="Q3879" s="44">
        <f>IF(数据录入!$B3879="",0,IF(OR(数据录入!$D3879="投标保证金",数据录入!$D3879="合同履约保证金",ISNUMBER(FIND("保证金",数据录入!$E3879))),1,0))</f>
      </c>
      <c r="R3879" s="44">
        <f>IF(AND($Q3879=1,数据录入!$B3879&gt;=$B$2,数据录入!$B3879&lt;=$D$2),N(R3878)+1,N(R3878))</f>
      </c>
    </row>
    <row r="3880" s="44" customFormat="1" spans="1:23">
      <c r="A3880" s="116"/>
      <c r="E3880" s="108"/>
      <c r="F3880" s="114"/>
      <c r="G3880" s="114"/>
      <c r="H3880" s="114"/>
      <c r="Q3880" s="44">
        <f>IF(数据录入!$B3880="",0,IF(OR(数据录入!$D3880="投标保证金",数据录入!$D3880="合同履约保证金",ISNUMBER(FIND("保证金",数据录入!$E3880))),1,0))</f>
      </c>
      <c r="R3880" s="44">
        <f>IF(AND($Q3880=1,数据录入!$B3880&gt;=$B$2,数据录入!$B3880&lt;=$D$2),N(R3879)+1,N(R3879))</f>
      </c>
    </row>
    <row r="3881" s="44" customFormat="1" spans="1:23">
      <c r="A3881" s="116"/>
      <c r="E3881" s="108"/>
      <c r="F3881" s="114"/>
      <c r="G3881" s="114"/>
      <c r="H3881" s="114"/>
      <c r="Q3881" s="44">
        <f>IF(数据录入!$B3881="",0,IF(OR(数据录入!$D3881="投标保证金",数据录入!$D3881="合同履约保证金",ISNUMBER(FIND("保证金",数据录入!$E3881))),1,0))</f>
      </c>
      <c r="R3881" s="44">
        <f>IF(AND($Q3881=1,数据录入!$B3881&gt;=$B$2,数据录入!$B3881&lt;=$D$2),N(R3880)+1,N(R3880))</f>
      </c>
    </row>
    <row r="3882" s="44" customFormat="1" spans="1:23">
      <c r="A3882" s="116"/>
      <c r="E3882" s="108"/>
      <c r="F3882" s="114"/>
      <c r="G3882" s="114"/>
      <c r="H3882" s="114"/>
      <c r="Q3882" s="44">
        <f>IF(数据录入!$B3882="",0,IF(OR(数据录入!$D3882="投标保证金",数据录入!$D3882="合同履约保证金",ISNUMBER(FIND("保证金",数据录入!$E3882))),1,0))</f>
      </c>
      <c r="R3882" s="44">
        <f>IF(AND($Q3882=1,数据录入!$B3882&gt;=$B$2,数据录入!$B3882&lt;=$D$2),N(R3881)+1,N(R3881))</f>
      </c>
    </row>
    <row r="3883" s="44" customFormat="1" spans="1:23">
      <c r="A3883" s="116"/>
      <c r="E3883" s="108"/>
      <c r="F3883" s="114"/>
      <c r="G3883" s="114"/>
      <c r="H3883" s="114"/>
      <c r="Q3883" s="44">
        <f>IF(数据录入!$B3883="",0,IF(OR(数据录入!$D3883="投标保证金",数据录入!$D3883="合同履约保证金",ISNUMBER(FIND("保证金",数据录入!$E3883))),1,0))</f>
      </c>
      <c r="R3883" s="44">
        <f>IF(AND($Q3883=1,数据录入!$B3883&gt;=$B$2,数据录入!$B3883&lt;=$D$2),N(R3882)+1,N(R3882))</f>
      </c>
    </row>
    <row r="3884" s="44" customFormat="1" spans="1:23">
      <c r="A3884" s="116"/>
      <c r="E3884" s="108"/>
      <c r="F3884" s="114"/>
      <c r="G3884" s="114"/>
      <c r="H3884" s="114"/>
      <c r="Q3884" s="44">
        <f>IF(数据录入!$B3884="",0,IF(OR(数据录入!$D3884="投标保证金",数据录入!$D3884="合同履约保证金",ISNUMBER(FIND("保证金",数据录入!$E3884))),1,0))</f>
      </c>
      <c r="R3884" s="44">
        <f>IF(AND($Q3884=1,数据录入!$B3884&gt;=$B$2,数据录入!$B3884&lt;=$D$2),N(R3883)+1,N(R3883))</f>
      </c>
    </row>
    <row r="3885" s="44" customFormat="1" spans="1:23">
      <c r="A3885" s="116"/>
      <c r="E3885" s="108"/>
      <c r="F3885" s="114"/>
      <c r="G3885" s="114"/>
      <c r="H3885" s="114"/>
      <c r="Q3885" s="44">
        <f>IF(数据录入!$B3885="",0,IF(OR(数据录入!$D3885="投标保证金",数据录入!$D3885="合同履约保证金",ISNUMBER(FIND("保证金",数据录入!$E3885))),1,0))</f>
      </c>
      <c r="R3885" s="44">
        <f>IF(AND($Q3885=1,数据录入!$B3885&gt;=$B$2,数据录入!$B3885&lt;=$D$2),N(R3884)+1,N(R3884))</f>
      </c>
    </row>
    <row r="3886" s="44" customFormat="1" spans="1:23">
      <c r="A3886" s="116"/>
      <c r="E3886" s="108"/>
      <c r="F3886" s="114"/>
      <c r="G3886" s="114"/>
      <c r="H3886" s="114"/>
      <c r="Q3886" s="44">
        <f>IF(数据录入!$B3886="",0,IF(OR(数据录入!$D3886="投标保证金",数据录入!$D3886="合同履约保证金",ISNUMBER(FIND("保证金",数据录入!$E3886))),1,0))</f>
      </c>
      <c r="R3886" s="44">
        <f>IF(AND($Q3886=1,数据录入!$B3886&gt;=$B$2,数据录入!$B3886&lt;=$D$2),N(R3885)+1,N(R3885))</f>
      </c>
    </row>
    <row r="3887" s="44" customFormat="1" spans="1:23">
      <c r="A3887" s="116"/>
      <c r="E3887" s="108"/>
      <c r="F3887" s="114"/>
      <c r="G3887" s="114"/>
      <c r="H3887" s="114"/>
      <c r="Q3887" s="44">
        <f>IF(数据录入!$B3887="",0,IF(OR(数据录入!$D3887="投标保证金",数据录入!$D3887="合同履约保证金",ISNUMBER(FIND("保证金",数据录入!$E3887))),1,0))</f>
      </c>
      <c r="R3887" s="44">
        <f>IF(AND($Q3887=1,数据录入!$B3887&gt;=$B$2,数据录入!$B3887&lt;=$D$2),N(R3886)+1,N(R3886))</f>
      </c>
    </row>
    <row r="3888" s="44" customFormat="1" spans="1:23">
      <c r="A3888" s="116"/>
      <c r="E3888" s="108"/>
      <c r="F3888" s="114"/>
      <c r="G3888" s="114"/>
      <c r="H3888" s="114"/>
      <c r="Q3888" s="44">
        <f>IF(数据录入!$B3888="",0,IF(OR(数据录入!$D3888="投标保证金",数据录入!$D3888="合同履约保证金",ISNUMBER(FIND("保证金",数据录入!$E3888))),1,0))</f>
      </c>
      <c r="R3888" s="44">
        <f>IF(AND($Q3888=1,数据录入!$B3888&gt;=$B$2,数据录入!$B3888&lt;=$D$2),N(R3887)+1,N(R3887))</f>
      </c>
    </row>
    <row r="3889" s="44" customFormat="1" spans="1:23">
      <c r="A3889" s="116"/>
      <c r="E3889" s="108"/>
      <c r="F3889" s="114"/>
      <c r="G3889" s="114"/>
      <c r="H3889" s="114"/>
      <c r="Q3889" s="44">
        <f>IF(数据录入!$B3889="",0,IF(OR(数据录入!$D3889="投标保证金",数据录入!$D3889="合同履约保证金",ISNUMBER(FIND("保证金",数据录入!$E3889))),1,0))</f>
      </c>
      <c r="R3889" s="44">
        <f>IF(AND($Q3889=1,数据录入!$B3889&gt;=$B$2,数据录入!$B3889&lt;=$D$2),N(R3888)+1,N(R3888))</f>
      </c>
    </row>
    <row r="3890" s="44" customFormat="1" spans="1:23">
      <c r="A3890" s="116"/>
      <c r="E3890" s="108"/>
      <c r="F3890" s="114"/>
      <c r="G3890" s="114"/>
      <c r="H3890" s="114"/>
      <c r="Q3890" s="44">
        <f>IF(数据录入!$B3890="",0,IF(OR(数据录入!$D3890="投标保证金",数据录入!$D3890="合同履约保证金",ISNUMBER(FIND("保证金",数据录入!$E3890))),1,0))</f>
      </c>
      <c r="R3890" s="44">
        <f>IF(AND($Q3890=1,数据录入!$B3890&gt;=$B$2,数据录入!$B3890&lt;=$D$2),N(R3889)+1,N(R3889))</f>
      </c>
    </row>
    <row r="3891" s="44" customFormat="1" spans="1:23">
      <c r="A3891" s="116"/>
      <c r="E3891" s="108"/>
      <c r="F3891" s="114"/>
      <c r="G3891" s="114"/>
      <c r="H3891" s="114"/>
      <c r="Q3891" s="44">
        <f>IF(数据录入!$B3891="",0,IF(OR(数据录入!$D3891="投标保证金",数据录入!$D3891="合同履约保证金",ISNUMBER(FIND("保证金",数据录入!$E3891))),1,0))</f>
      </c>
      <c r="R3891" s="44">
        <f>IF(AND($Q3891=1,数据录入!$B3891&gt;=$B$2,数据录入!$B3891&lt;=$D$2),N(R3890)+1,N(R3890))</f>
      </c>
    </row>
    <row r="3892" s="44" customFormat="1" spans="1:23">
      <c r="A3892" s="116"/>
      <c r="E3892" s="108"/>
      <c r="F3892" s="114"/>
      <c r="G3892" s="114"/>
      <c r="H3892" s="114"/>
      <c r="Q3892" s="44">
        <f>IF(数据录入!$B3892="",0,IF(OR(数据录入!$D3892="投标保证金",数据录入!$D3892="合同履约保证金",ISNUMBER(FIND("保证金",数据录入!$E3892))),1,0))</f>
      </c>
      <c r="R3892" s="44">
        <f>IF(AND($Q3892=1,数据录入!$B3892&gt;=$B$2,数据录入!$B3892&lt;=$D$2),N(R3891)+1,N(R3891))</f>
      </c>
    </row>
    <row r="3893" s="44" customFormat="1" spans="1:23">
      <c r="A3893" s="116"/>
      <c r="E3893" s="108"/>
      <c r="F3893" s="114"/>
      <c r="G3893" s="114"/>
      <c r="H3893" s="114"/>
      <c r="Q3893" s="44">
        <f>IF(数据录入!$B3893="",0,IF(OR(数据录入!$D3893="投标保证金",数据录入!$D3893="合同履约保证金",ISNUMBER(FIND("保证金",数据录入!$E3893))),1,0))</f>
      </c>
      <c r="R3893" s="44">
        <f>IF(AND($Q3893=1,数据录入!$B3893&gt;=$B$2,数据录入!$B3893&lt;=$D$2),N(R3892)+1,N(R3892))</f>
      </c>
    </row>
    <row r="3894" s="44" customFormat="1" spans="1:23">
      <c r="A3894" s="116"/>
      <c r="E3894" s="108"/>
      <c r="F3894" s="114"/>
      <c r="G3894" s="114"/>
      <c r="H3894" s="114"/>
      <c r="Q3894" s="44">
        <f>IF(数据录入!$B3894="",0,IF(OR(数据录入!$D3894="投标保证金",数据录入!$D3894="合同履约保证金",ISNUMBER(FIND("保证金",数据录入!$E3894))),1,0))</f>
      </c>
      <c r="R3894" s="44">
        <f>IF(AND($Q3894=1,数据录入!$B3894&gt;=$B$2,数据录入!$B3894&lt;=$D$2),N(R3893)+1,N(R3893))</f>
      </c>
    </row>
    <row r="3895" s="44" customFormat="1" spans="1:23">
      <c r="A3895" s="116"/>
      <c r="E3895" s="108"/>
      <c r="F3895" s="114"/>
      <c r="G3895" s="114"/>
      <c r="H3895" s="114"/>
      <c r="Q3895" s="44">
        <f>IF(数据录入!$B3895="",0,IF(OR(数据录入!$D3895="投标保证金",数据录入!$D3895="合同履约保证金",ISNUMBER(FIND("保证金",数据录入!$E3895))),1,0))</f>
      </c>
      <c r="R3895" s="44">
        <f>IF(AND($Q3895=1,数据录入!$B3895&gt;=$B$2,数据录入!$B3895&lt;=$D$2),N(R3894)+1,N(R3894))</f>
      </c>
    </row>
    <row r="3896" s="44" customFormat="1" spans="1:23">
      <c r="A3896" s="116"/>
      <c r="E3896" s="108"/>
      <c r="F3896" s="114"/>
      <c r="G3896" s="114"/>
      <c r="H3896" s="114"/>
      <c r="Q3896" s="44">
        <f>IF(数据录入!$B3896="",0,IF(OR(数据录入!$D3896="投标保证金",数据录入!$D3896="合同履约保证金",ISNUMBER(FIND("保证金",数据录入!$E3896))),1,0))</f>
      </c>
      <c r="R3896" s="44">
        <f>IF(AND($Q3896=1,数据录入!$B3896&gt;=$B$2,数据录入!$B3896&lt;=$D$2),N(R3895)+1,N(R3895))</f>
      </c>
    </row>
    <row r="3897" s="44" customFormat="1" spans="1:23">
      <c r="A3897" s="116"/>
      <c r="E3897" s="108"/>
      <c r="F3897" s="114"/>
      <c r="G3897" s="114"/>
      <c r="H3897" s="114"/>
      <c r="Q3897" s="44">
        <f>IF(数据录入!$B3897="",0,IF(OR(数据录入!$D3897="投标保证金",数据录入!$D3897="合同履约保证金",ISNUMBER(FIND("保证金",数据录入!$E3897))),1,0))</f>
      </c>
      <c r="R3897" s="44">
        <f>IF(AND($Q3897=1,数据录入!$B3897&gt;=$B$2,数据录入!$B3897&lt;=$D$2),N(R3896)+1,N(R3896))</f>
      </c>
    </row>
    <row r="3898" s="44" customFormat="1" spans="1:23">
      <c r="A3898" s="116"/>
      <c r="E3898" s="108"/>
      <c r="F3898" s="114"/>
      <c r="G3898" s="114"/>
      <c r="H3898" s="114"/>
      <c r="Q3898" s="44">
        <f>IF(数据录入!$B3898="",0,IF(OR(数据录入!$D3898="投标保证金",数据录入!$D3898="合同履约保证金",ISNUMBER(FIND("保证金",数据录入!$E3898))),1,0))</f>
      </c>
      <c r="R3898" s="44">
        <f>IF(AND($Q3898=1,数据录入!$B3898&gt;=$B$2,数据录入!$B3898&lt;=$D$2),N(R3897)+1,N(R3897))</f>
      </c>
    </row>
    <row r="3899" s="44" customFormat="1" spans="1:23">
      <c r="A3899" s="116"/>
      <c r="E3899" s="108"/>
      <c r="F3899" s="114"/>
      <c r="G3899" s="114"/>
      <c r="H3899" s="114"/>
      <c r="Q3899" s="44">
        <f>IF(数据录入!$B3899="",0,IF(OR(数据录入!$D3899="投标保证金",数据录入!$D3899="合同履约保证金",ISNUMBER(FIND("保证金",数据录入!$E3899))),1,0))</f>
      </c>
      <c r="R3899" s="44">
        <f>IF(AND($Q3899=1,数据录入!$B3899&gt;=$B$2,数据录入!$B3899&lt;=$D$2),N(R3898)+1,N(R3898))</f>
      </c>
    </row>
    <row r="3900" s="44" customFormat="1" spans="1:23">
      <c r="A3900" s="116"/>
      <c r="E3900" s="108"/>
      <c r="F3900" s="114"/>
      <c r="G3900" s="114"/>
      <c r="H3900" s="114"/>
      <c r="Q3900" s="44">
        <f>IF(数据录入!$B3900="",0,IF(OR(数据录入!$D3900="投标保证金",数据录入!$D3900="合同履约保证金",ISNUMBER(FIND("保证金",数据录入!$E3900))),1,0))</f>
      </c>
      <c r="R3900" s="44">
        <f>IF(AND($Q3900=1,数据录入!$B3900&gt;=$B$2,数据录入!$B3900&lt;=$D$2),N(R3899)+1,N(R3899))</f>
      </c>
    </row>
    <row r="3901" s="44" customFormat="1" spans="1:23">
      <c r="A3901" s="116"/>
      <c r="E3901" s="108"/>
      <c r="F3901" s="114"/>
      <c r="G3901" s="114"/>
      <c r="H3901" s="114"/>
      <c r="Q3901" s="44">
        <f>IF(数据录入!$B3901="",0,IF(OR(数据录入!$D3901="投标保证金",数据录入!$D3901="合同履约保证金",ISNUMBER(FIND("保证金",数据录入!$E3901))),1,0))</f>
      </c>
      <c r="R3901" s="44">
        <f>IF(AND($Q3901=1,数据录入!$B3901&gt;=$B$2,数据录入!$B3901&lt;=$D$2),N(R3900)+1,N(R3900))</f>
      </c>
    </row>
    <row r="3902" s="44" customFormat="1" spans="1:23">
      <c r="A3902" s="116"/>
      <c r="E3902" s="108"/>
      <c r="F3902" s="114"/>
      <c r="G3902" s="114"/>
      <c r="H3902" s="114"/>
      <c r="Q3902" s="44">
        <f>IF(数据录入!$B3902="",0,IF(OR(数据录入!$D3902="投标保证金",数据录入!$D3902="合同履约保证金",ISNUMBER(FIND("保证金",数据录入!$E3902))),1,0))</f>
      </c>
      <c r="R3902" s="44">
        <f>IF(AND($Q3902=1,数据录入!$B3902&gt;=$B$2,数据录入!$B3902&lt;=$D$2),N(R3901)+1,N(R3901))</f>
      </c>
    </row>
    <row r="3903" s="44" customFormat="1" spans="1:23">
      <c r="A3903" s="116"/>
      <c r="E3903" s="108"/>
      <c r="F3903" s="114"/>
      <c r="G3903" s="114"/>
      <c r="H3903" s="114"/>
      <c r="Q3903" s="44">
        <f>IF(数据录入!$B3903="",0,IF(OR(数据录入!$D3903="投标保证金",数据录入!$D3903="合同履约保证金",ISNUMBER(FIND("保证金",数据录入!$E3903))),1,0))</f>
      </c>
      <c r="R3903" s="44">
        <f>IF(AND($Q3903=1,数据录入!$B3903&gt;=$B$2,数据录入!$B3903&lt;=$D$2),N(R3902)+1,N(R3902))</f>
      </c>
    </row>
    <row r="3904" s="44" customFormat="1" spans="1:23">
      <c r="A3904" s="116"/>
      <c r="E3904" s="108"/>
      <c r="F3904" s="114"/>
      <c r="G3904" s="114"/>
      <c r="H3904" s="114"/>
      <c r="Q3904" s="44">
        <f>IF(数据录入!$B3904="",0,IF(OR(数据录入!$D3904="投标保证金",数据录入!$D3904="合同履约保证金",ISNUMBER(FIND("保证金",数据录入!$E3904))),1,0))</f>
      </c>
      <c r="R3904" s="44">
        <f>IF(AND($Q3904=1,数据录入!$B3904&gt;=$B$2,数据录入!$B3904&lt;=$D$2),N(R3903)+1,N(R3903))</f>
      </c>
    </row>
    <row r="3905" s="44" customFormat="1" spans="1:23">
      <c r="A3905" s="116"/>
      <c r="E3905" s="108"/>
      <c r="F3905" s="114"/>
      <c r="G3905" s="114"/>
      <c r="H3905" s="114"/>
      <c r="Q3905" s="44">
        <f>IF(数据录入!$B3905="",0,IF(OR(数据录入!$D3905="投标保证金",数据录入!$D3905="合同履约保证金",ISNUMBER(FIND("保证金",数据录入!$E3905))),1,0))</f>
      </c>
      <c r="R3905" s="44">
        <f>IF(AND($Q3905=1,数据录入!$B3905&gt;=$B$2,数据录入!$B3905&lt;=$D$2),N(R3904)+1,N(R3904))</f>
      </c>
    </row>
    <row r="3906" s="44" customFormat="1" spans="1:23">
      <c r="A3906" s="116"/>
      <c r="E3906" s="108"/>
      <c r="F3906" s="114"/>
      <c r="G3906" s="114"/>
      <c r="H3906" s="114"/>
      <c r="Q3906" s="44">
        <f>IF(数据录入!$B3906="",0,IF(OR(数据录入!$D3906="投标保证金",数据录入!$D3906="合同履约保证金",ISNUMBER(FIND("保证金",数据录入!$E3906))),1,0))</f>
      </c>
      <c r="R3906" s="44">
        <f>IF(AND($Q3906=1,数据录入!$B3906&gt;=$B$2,数据录入!$B3906&lt;=$D$2),N(R3905)+1,N(R3905))</f>
      </c>
    </row>
    <row r="3907" s="44" customFormat="1" spans="1:23">
      <c r="A3907" s="116"/>
      <c r="E3907" s="108"/>
      <c r="F3907" s="114"/>
      <c r="G3907" s="114"/>
      <c r="H3907" s="114"/>
      <c r="Q3907" s="44">
        <f>IF(数据录入!$B3907="",0,IF(OR(数据录入!$D3907="投标保证金",数据录入!$D3907="合同履约保证金",ISNUMBER(FIND("保证金",数据录入!$E3907))),1,0))</f>
      </c>
      <c r="R3907" s="44">
        <f>IF(AND($Q3907=1,数据录入!$B3907&gt;=$B$2,数据录入!$B3907&lt;=$D$2),N(R3906)+1,N(R3906))</f>
      </c>
    </row>
    <row r="3908" s="44" customFormat="1" spans="1:23">
      <c r="A3908" s="116"/>
      <c r="E3908" s="108"/>
      <c r="F3908" s="114"/>
      <c r="G3908" s="114"/>
      <c r="H3908" s="114"/>
      <c r="Q3908" s="44">
        <f>IF(数据录入!$B3908="",0,IF(OR(数据录入!$D3908="投标保证金",数据录入!$D3908="合同履约保证金",ISNUMBER(FIND("保证金",数据录入!$E3908))),1,0))</f>
      </c>
      <c r="R3908" s="44">
        <f>IF(AND($Q3908=1,数据录入!$B3908&gt;=$B$2,数据录入!$B3908&lt;=$D$2),N(R3907)+1,N(R3907))</f>
      </c>
    </row>
    <row r="3909" s="44" customFormat="1" spans="1:23">
      <c r="A3909" s="116"/>
      <c r="E3909" s="108"/>
      <c r="F3909" s="114"/>
      <c r="G3909" s="114"/>
      <c r="H3909" s="114"/>
      <c r="Q3909" s="44">
        <f>IF(数据录入!$B3909="",0,IF(OR(数据录入!$D3909="投标保证金",数据录入!$D3909="合同履约保证金",ISNUMBER(FIND("保证金",数据录入!$E3909))),1,0))</f>
      </c>
      <c r="R3909" s="44">
        <f>IF(AND($Q3909=1,数据录入!$B3909&gt;=$B$2,数据录入!$B3909&lt;=$D$2),N(R3908)+1,N(R3908))</f>
      </c>
    </row>
    <row r="3910" s="44" customFormat="1" spans="1:23">
      <c r="A3910" s="116"/>
      <c r="E3910" s="108"/>
      <c r="F3910" s="114"/>
      <c r="G3910" s="114"/>
      <c r="H3910" s="114"/>
      <c r="Q3910" s="44">
        <f>IF(数据录入!$B3910="",0,IF(OR(数据录入!$D3910="投标保证金",数据录入!$D3910="合同履约保证金",ISNUMBER(FIND("保证金",数据录入!$E3910))),1,0))</f>
      </c>
      <c r="R3910" s="44">
        <f>IF(AND($Q3910=1,数据录入!$B3910&gt;=$B$2,数据录入!$B3910&lt;=$D$2),N(R3909)+1,N(R3909))</f>
      </c>
    </row>
    <row r="3911" s="44" customFormat="1" spans="1:23">
      <c r="A3911" s="116"/>
      <c r="E3911" s="108"/>
      <c r="F3911" s="114"/>
      <c r="G3911" s="114"/>
      <c r="H3911" s="114"/>
      <c r="Q3911" s="44">
        <f>IF(数据录入!$B3911="",0,IF(OR(数据录入!$D3911="投标保证金",数据录入!$D3911="合同履约保证金",ISNUMBER(FIND("保证金",数据录入!$E3911))),1,0))</f>
      </c>
      <c r="R3911" s="44">
        <f>IF(AND($Q3911=1,数据录入!$B3911&gt;=$B$2,数据录入!$B3911&lt;=$D$2),N(R3910)+1,N(R3910))</f>
      </c>
    </row>
    <row r="3912" s="44" customFormat="1" spans="1:23">
      <c r="A3912" s="116"/>
      <c r="E3912" s="108"/>
      <c r="F3912" s="114"/>
      <c r="G3912" s="114"/>
      <c r="H3912" s="114"/>
      <c r="Q3912" s="44">
        <f>IF(数据录入!$B3912="",0,IF(OR(数据录入!$D3912="投标保证金",数据录入!$D3912="合同履约保证金",ISNUMBER(FIND("保证金",数据录入!$E3912))),1,0))</f>
      </c>
      <c r="R3912" s="44">
        <f>IF(AND($Q3912=1,数据录入!$B3912&gt;=$B$2,数据录入!$B3912&lt;=$D$2),N(R3911)+1,N(R3911))</f>
      </c>
    </row>
    <row r="3913" s="44" customFormat="1" spans="1:23">
      <c r="A3913" s="116"/>
      <c r="E3913" s="108"/>
      <c r="F3913" s="114"/>
      <c r="G3913" s="114"/>
      <c r="H3913" s="114"/>
      <c r="Q3913" s="44">
        <f>IF(数据录入!$B3913="",0,IF(OR(数据录入!$D3913="投标保证金",数据录入!$D3913="合同履约保证金",ISNUMBER(FIND("保证金",数据录入!$E3913))),1,0))</f>
      </c>
      <c r="R3913" s="44">
        <f>IF(AND($Q3913=1,数据录入!$B3913&gt;=$B$2,数据录入!$B3913&lt;=$D$2),N(R3912)+1,N(R3912))</f>
      </c>
    </row>
    <row r="3914" s="44" customFormat="1" spans="1:23">
      <c r="A3914" s="116"/>
      <c r="E3914" s="108"/>
      <c r="F3914" s="114"/>
      <c r="G3914" s="114"/>
      <c r="H3914" s="114"/>
      <c r="Q3914" s="44">
        <f>IF(数据录入!$B3914="",0,IF(OR(数据录入!$D3914="投标保证金",数据录入!$D3914="合同履约保证金",ISNUMBER(FIND("保证金",数据录入!$E3914))),1,0))</f>
      </c>
      <c r="R3914" s="44">
        <f>IF(AND($Q3914=1,数据录入!$B3914&gt;=$B$2,数据录入!$B3914&lt;=$D$2),N(R3913)+1,N(R3913))</f>
      </c>
    </row>
    <row r="3915" s="44" customFormat="1" spans="1:23">
      <c r="A3915" s="116"/>
      <c r="E3915" s="108"/>
      <c r="F3915" s="114"/>
      <c r="G3915" s="114"/>
      <c r="H3915" s="114"/>
      <c r="Q3915" s="44">
        <f>IF(数据录入!$B3915="",0,IF(OR(数据录入!$D3915="投标保证金",数据录入!$D3915="合同履约保证金",ISNUMBER(FIND("保证金",数据录入!$E3915))),1,0))</f>
      </c>
      <c r="R3915" s="44">
        <f>IF(AND($Q3915=1,数据录入!$B3915&gt;=$B$2,数据录入!$B3915&lt;=$D$2),N(R3914)+1,N(R3914))</f>
      </c>
    </row>
    <row r="3916" s="44" customFormat="1" spans="1:23">
      <c r="A3916" s="116"/>
      <c r="E3916" s="108"/>
      <c r="F3916" s="114"/>
      <c r="G3916" s="114"/>
      <c r="H3916" s="114"/>
      <c r="Q3916" s="44">
        <f>IF(数据录入!$B3916="",0,IF(OR(数据录入!$D3916="投标保证金",数据录入!$D3916="合同履约保证金",ISNUMBER(FIND("保证金",数据录入!$E3916))),1,0))</f>
      </c>
      <c r="R3916" s="44">
        <f>IF(AND($Q3916=1,数据录入!$B3916&gt;=$B$2,数据录入!$B3916&lt;=$D$2),N(R3915)+1,N(R3915))</f>
      </c>
    </row>
    <row r="3917" s="44" customFormat="1" spans="1:23">
      <c r="A3917" s="116"/>
      <c r="E3917" s="108"/>
      <c r="F3917" s="114"/>
      <c r="G3917" s="114"/>
      <c r="H3917" s="114"/>
      <c r="Q3917" s="44">
        <f>IF(数据录入!$B3917="",0,IF(OR(数据录入!$D3917="投标保证金",数据录入!$D3917="合同履约保证金",ISNUMBER(FIND("保证金",数据录入!$E3917))),1,0))</f>
      </c>
      <c r="R3917" s="44">
        <f>IF(AND($Q3917=1,数据录入!$B3917&gt;=$B$2,数据录入!$B3917&lt;=$D$2),N(R3916)+1,N(R3916))</f>
      </c>
    </row>
    <row r="3918" s="44" customFormat="1" spans="1:23">
      <c r="A3918" s="116"/>
      <c r="E3918" s="108"/>
      <c r="F3918" s="114"/>
      <c r="G3918" s="114"/>
      <c r="H3918" s="114"/>
      <c r="Q3918" s="44">
        <f>IF(数据录入!$B3918="",0,IF(OR(数据录入!$D3918="投标保证金",数据录入!$D3918="合同履约保证金",ISNUMBER(FIND("保证金",数据录入!$E3918))),1,0))</f>
      </c>
      <c r="R3918" s="44">
        <f>IF(AND($Q3918=1,数据录入!$B3918&gt;=$B$2,数据录入!$B3918&lt;=$D$2),N(R3917)+1,N(R3917))</f>
      </c>
    </row>
    <row r="3919" s="44" customFormat="1" spans="1:23">
      <c r="A3919" s="116"/>
      <c r="E3919" s="108"/>
      <c r="F3919" s="114"/>
      <c r="G3919" s="114"/>
      <c r="H3919" s="114"/>
      <c r="Q3919" s="44">
        <f>IF(数据录入!$B3919="",0,IF(OR(数据录入!$D3919="投标保证金",数据录入!$D3919="合同履约保证金",ISNUMBER(FIND("保证金",数据录入!$E3919))),1,0))</f>
      </c>
      <c r="R3919" s="44">
        <f>IF(AND($Q3919=1,数据录入!$B3919&gt;=$B$2,数据录入!$B3919&lt;=$D$2),N(R3918)+1,N(R3918))</f>
      </c>
    </row>
    <row r="3920" s="44" customFormat="1" spans="1:23">
      <c r="A3920" s="116"/>
      <c r="E3920" s="108"/>
      <c r="F3920" s="114"/>
      <c r="G3920" s="114"/>
      <c r="H3920" s="114"/>
      <c r="Q3920" s="44">
        <f>IF(数据录入!$B3920="",0,IF(OR(数据录入!$D3920="投标保证金",数据录入!$D3920="合同履约保证金",ISNUMBER(FIND("保证金",数据录入!$E3920))),1,0))</f>
      </c>
      <c r="R3920" s="44">
        <f>IF(AND($Q3920=1,数据录入!$B3920&gt;=$B$2,数据录入!$B3920&lt;=$D$2),N(R3919)+1,N(R3919))</f>
      </c>
    </row>
    <row r="3921" s="44" customFormat="1" spans="1:23">
      <c r="A3921" s="116"/>
      <c r="E3921" s="108"/>
      <c r="F3921" s="114"/>
      <c r="G3921" s="114"/>
      <c r="H3921" s="114"/>
      <c r="Q3921" s="44">
        <f>IF(数据录入!$B3921="",0,IF(OR(数据录入!$D3921="投标保证金",数据录入!$D3921="合同履约保证金",ISNUMBER(FIND("保证金",数据录入!$E3921))),1,0))</f>
      </c>
      <c r="R3921" s="44">
        <f>IF(AND($Q3921=1,数据录入!$B3921&gt;=$B$2,数据录入!$B3921&lt;=$D$2),N(R3920)+1,N(R3920))</f>
      </c>
    </row>
    <row r="3922" s="44" customFormat="1" spans="1:23">
      <c r="A3922" s="116"/>
      <c r="E3922" s="108"/>
      <c r="F3922" s="114"/>
      <c r="G3922" s="114"/>
      <c r="H3922" s="114"/>
      <c r="Q3922" s="44">
        <f>IF(数据录入!$B3922="",0,IF(OR(数据录入!$D3922="投标保证金",数据录入!$D3922="合同履约保证金",ISNUMBER(FIND("保证金",数据录入!$E3922))),1,0))</f>
      </c>
      <c r="R3922" s="44">
        <f>IF(AND($Q3922=1,数据录入!$B3922&gt;=$B$2,数据录入!$B3922&lt;=$D$2),N(R3921)+1,N(R3921))</f>
      </c>
    </row>
    <row r="3923" s="44" customFormat="1" spans="1:23">
      <c r="A3923" s="116"/>
      <c r="E3923" s="108"/>
      <c r="F3923" s="114"/>
      <c r="G3923" s="114"/>
      <c r="H3923" s="114"/>
      <c r="Q3923" s="44">
        <f>IF(数据录入!$B3923="",0,IF(OR(数据录入!$D3923="投标保证金",数据录入!$D3923="合同履约保证金",ISNUMBER(FIND("保证金",数据录入!$E3923))),1,0))</f>
      </c>
      <c r="R3923" s="44">
        <f>IF(AND($Q3923=1,数据录入!$B3923&gt;=$B$2,数据录入!$B3923&lt;=$D$2),N(R3922)+1,N(R3922))</f>
      </c>
    </row>
    <row r="3924" s="44" customFormat="1" spans="1:23">
      <c r="A3924" s="116"/>
      <c r="E3924" s="108"/>
      <c r="F3924" s="114"/>
      <c r="G3924" s="114"/>
      <c r="H3924" s="114"/>
      <c r="Q3924" s="44">
        <f>IF(数据录入!$B3924="",0,IF(OR(数据录入!$D3924="投标保证金",数据录入!$D3924="合同履约保证金",ISNUMBER(FIND("保证金",数据录入!$E3924))),1,0))</f>
      </c>
      <c r="R3924" s="44">
        <f>IF(AND($Q3924=1,数据录入!$B3924&gt;=$B$2,数据录入!$B3924&lt;=$D$2),N(R3923)+1,N(R3923))</f>
      </c>
    </row>
    <row r="3925" s="44" customFormat="1" spans="1:23">
      <c r="A3925" s="116"/>
      <c r="E3925" s="108"/>
      <c r="F3925" s="114"/>
      <c r="G3925" s="114"/>
      <c r="H3925" s="114"/>
      <c r="Q3925" s="44">
        <f>IF(数据录入!$B3925="",0,IF(OR(数据录入!$D3925="投标保证金",数据录入!$D3925="合同履约保证金",ISNUMBER(FIND("保证金",数据录入!$E3925))),1,0))</f>
      </c>
      <c r="R3925" s="44">
        <f>IF(AND($Q3925=1,数据录入!$B3925&gt;=$B$2,数据录入!$B3925&lt;=$D$2),N(R3924)+1,N(R3924))</f>
      </c>
    </row>
    <row r="3926" s="44" customFormat="1" spans="1:23">
      <c r="A3926" s="116"/>
      <c r="E3926" s="108"/>
      <c r="F3926" s="114"/>
      <c r="G3926" s="114"/>
      <c r="H3926" s="114"/>
      <c r="Q3926" s="44">
        <f>IF(数据录入!$B3926="",0,IF(OR(数据录入!$D3926="投标保证金",数据录入!$D3926="合同履约保证金",ISNUMBER(FIND("保证金",数据录入!$E3926))),1,0))</f>
      </c>
      <c r="R3926" s="44">
        <f>IF(AND($Q3926=1,数据录入!$B3926&gt;=$B$2,数据录入!$B3926&lt;=$D$2),N(R3925)+1,N(R3925))</f>
      </c>
    </row>
    <row r="3927" s="44" customFormat="1" spans="1:23">
      <c r="A3927" s="116"/>
      <c r="E3927" s="108"/>
      <c r="F3927" s="114"/>
      <c r="G3927" s="114"/>
      <c r="H3927" s="114"/>
      <c r="Q3927" s="44">
        <f>IF(数据录入!$B3927="",0,IF(OR(数据录入!$D3927="投标保证金",数据录入!$D3927="合同履约保证金",ISNUMBER(FIND("保证金",数据录入!$E3927))),1,0))</f>
      </c>
      <c r="R3927" s="44">
        <f>IF(AND($Q3927=1,数据录入!$B3927&gt;=$B$2,数据录入!$B3927&lt;=$D$2),N(R3926)+1,N(R3926))</f>
      </c>
    </row>
    <row r="3928" s="44" customFormat="1" spans="1:23">
      <c r="A3928" s="116"/>
      <c r="E3928" s="108"/>
      <c r="F3928" s="114"/>
      <c r="G3928" s="114"/>
      <c r="H3928" s="114"/>
      <c r="Q3928" s="44">
        <f>IF(数据录入!$B3928="",0,IF(OR(数据录入!$D3928="投标保证金",数据录入!$D3928="合同履约保证金",ISNUMBER(FIND("保证金",数据录入!$E3928))),1,0))</f>
      </c>
      <c r="R3928" s="44">
        <f>IF(AND($Q3928=1,数据录入!$B3928&gt;=$B$2,数据录入!$B3928&lt;=$D$2),N(R3927)+1,N(R3927))</f>
      </c>
    </row>
    <row r="3929" s="44" customFormat="1" spans="1:23">
      <c r="A3929" s="116"/>
      <c r="E3929" s="108"/>
      <c r="F3929" s="114"/>
      <c r="G3929" s="114"/>
      <c r="H3929" s="114"/>
      <c r="Q3929" s="44">
        <f>IF(数据录入!$B3929="",0,IF(OR(数据录入!$D3929="投标保证金",数据录入!$D3929="合同履约保证金",ISNUMBER(FIND("保证金",数据录入!$E3929))),1,0))</f>
      </c>
      <c r="R3929" s="44">
        <f>IF(AND($Q3929=1,数据录入!$B3929&gt;=$B$2,数据录入!$B3929&lt;=$D$2),N(R3928)+1,N(R3928))</f>
      </c>
    </row>
    <row r="3930" s="44" customFormat="1" spans="1:23">
      <c r="A3930" s="116"/>
      <c r="E3930" s="108"/>
      <c r="F3930" s="114"/>
      <c r="G3930" s="114"/>
      <c r="H3930" s="114"/>
      <c r="Q3930" s="44">
        <f>IF(数据录入!$B3930="",0,IF(OR(数据录入!$D3930="投标保证金",数据录入!$D3930="合同履约保证金",ISNUMBER(FIND("保证金",数据录入!$E3930))),1,0))</f>
      </c>
      <c r="R3930" s="44">
        <f>IF(AND($Q3930=1,数据录入!$B3930&gt;=$B$2,数据录入!$B3930&lt;=$D$2),N(R3929)+1,N(R3929))</f>
      </c>
    </row>
    <row r="3931" s="44" customFormat="1" spans="1:23">
      <c r="A3931" s="116"/>
      <c r="E3931" s="108"/>
      <c r="F3931" s="114"/>
      <c r="G3931" s="114"/>
      <c r="H3931" s="114"/>
      <c r="Q3931" s="44">
        <f>IF(数据录入!$B3931="",0,IF(OR(数据录入!$D3931="投标保证金",数据录入!$D3931="合同履约保证金",ISNUMBER(FIND("保证金",数据录入!$E3931))),1,0))</f>
      </c>
      <c r="R3931" s="44">
        <f>IF(AND($Q3931=1,数据录入!$B3931&gt;=$B$2,数据录入!$B3931&lt;=$D$2),N(R3930)+1,N(R3930))</f>
      </c>
    </row>
    <row r="3932" s="44" customFormat="1" spans="1:23">
      <c r="A3932" s="116"/>
      <c r="E3932" s="108"/>
      <c r="F3932" s="114"/>
      <c r="G3932" s="114"/>
      <c r="H3932" s="114"/>
      <c r="Q3932" s="44">
        <f>IF(数据录入!$B3932="",0,IF(OR(数据录入!$D3932="投标保证金",数据录入!$D3932="合同履约保证金",ISNUMBER(FIND("保证金",数据录入!$E3932))),1,0))</f>
      </c>
      <c r="R3932" s="44">
        <f>IF(AND($Q3932=1,数据录入!$B3932&gt;=$B$2,数据录入!$B3932&lt;=$D$2),N(R3931)+1,N(R3931))</f>
      </c>
    </row>
    <row r="3933" s="44" customFormat="1" spans="1:23">
      <c r="A3933" s="116"/>
      <c r="E3933" s="108"/>
      <c r="F3933" s="114"/>
      <c r="G3933" s="114"/>
      <c r="H3933" s="114"/>
      <c r="Q3933" s="44">
        <f>IF(数据录入!$B3933="",0,IF(OR(数据录入!$D3933="投标保证金",数据录入!$D3933="合同履约保证金",ISNUMBER(FIND("保证金",数据录入!$E3933))),1,0))</f>
      </c>
      <c r="R3933" s="44">
        <f>IF(AND($Q3933=1,数据录入!$B3933&gt;=$B$2,数据录入!$B3933&lt;=$D$2),N(R3932)+1,N(R3932))</f>
      </c>
    </row>
    <row r="3934" s="44" customFormat="1" spans="1:23">
      <c r="A3934" s="116"/>
      <c r="E3934" s="108"/>
      <c r="F3934" s="114"/>
      <c r="G3934" s="114"/>
      <c r="H3934" s="114"/>
      <c r="Q3934" s="44">
        <f>IF(数据录入!$B3934="",0,IF(OR(数据录入!$D3934="投标保证金",数据录入!$D3934="合同履约保证金",ISNUMBER(FIND("保证金",数据录入!$E3934))),1,0))</f>
      </c>
      <c r="R3934" s="44">
        <f>IF(AND($Q3934=1,数据录入!$B3934&gt;=$B$2,数据录入!$B3934&lt;=$D$2),N(R3933)+1,N(R3933))</f>
      </c>
    </row>
    <row r="3935" s="44" customFormat="1" spans="1:23">
      <c r="A3935" s="116"/>
      <c r="E3935" s="108"/>
      <c r="F3935" s="114"/>
      <c r="G3935" s="114"/>
      <c r="H3935" s="114"/>
      <c r="Q3935" s="44">
        <f>IF(数据录入!$B3935="",0,IF(OR(数据录入!$D3935="投标保证金",数据录入!$D3935="合同履约保证金",ISNUMBER(FIND("保证金",数据录入!$E3935))),1,0))</f>
      </c>
      <c r="R3935" s="44">
        <f>IF(AND($Q3935=1,数据录入!$B3935&gt;=$B$2,数据录入!$B3935&lt;=$D$2),N(R3934)+1,N(R3934))</f>
      </c>
    </row>
    <row r="3936" s="44" customFormat="1" spans="1:23">
      <c r="A3936" s="116"/>
      <c r="E3936" s="108"/>
      <c r="F3936" s="114"/>
      <c r="G3936" s="114"/>
      <c r="H3936" s="114"/>
      <c r="Q3936" s="44">
        <f>IF(数据录入!$B3936="",0,IF(OR(数据录入!$D3936="投标保证金",数据录入!$D3936="合同履约保证金",ISNUMBER(FIND("保证金",数据录入!$E3936))),1,0))</f>
      </c>
      <c r="R3936" s="44">
        <f>IF(AND($Q3936=1,数据录入!$B3936&gt;=$B$2,数据录入!$B3936&lt;=$D$2),N(R3935)+1,N(R3935))</f>
      </c>
    </row>
    <row r="3937" s="44" customFormat="1" spans="1:23">
      <c r="A3937" s="116"/>
      <c r="E3937" s="108"/>
      <c r="F3937" s="114"/>
      <c r="G3937" s="114"/>
      <c r="H3937" s="114"/>
      <c r="Q3937" s="44">
        <f>IF(数据录入!$B3937="",0,IF(OR(数据录入!$D3937="投标保证金",数据录入!$D3937="合同履约保证金",ISNUMBER(FIND("保证金",数据录入!$E3937))),1,0))</f>
      </c>
      <c r="R3937" s="44">
        <f>IF(AND($Q3937=1,数据录入!$B3937&gt;=$B$2,数据录入!$B3937&lt;=$D$2),N(R3936)+1,N(R3936))</f>
      </c>
    </row>
    <row r="3938" s="44" customFormat="1" spans="1:23">
      <c r="A3938" s="116"/>
      <c r="E3938" s="108"/>
      <c r="F3938" s="114"/>
      <c r="G3938" s="114"/>
      <c r="H3938" s="114"/>
      <c r="Q3938" s="44">
        <f>IF(数据录入!$B3938="",0,IF(OR(数据录入!$D3938="投标保证金",数据录入!$D3938="合同履约保证金",ISNUMBER(FIND("保证金",数据录入!$E3938))),1,0))</f>
      </c>
      <c r="R3938" s="44">
        <f>IF(AND($Q3938=1,数据录入!$B3938&gt;=$B$2,数据录入!$B3938&lt;=$D$2),N(R3937)+1,N(R3937))</f>
      </c>
    </row>
    <row r="3939" s="44" customFormat="1" spans="1:23">
      <c r="A3939" s="116"/>
      <c r="E3939" s="108"/>
      <c r="F3939" s="114"/>
      <c r="G3939" s="114"/>
      <c r="H3939" s="114"/>
      <c r="Q3939" s="44">
        <f>IF(数据录入!$B3939="",0,IF(OR(数据录入!$D3939="投标保证金",数据录入!$D3939="合同履约保证金",ISNUMBER(FIND("保证金",数据录入!$E3939))),1,0))</f>
      </c>
      <c r="R3939" s="44">
        <f>IF(AND($Q3939=1,数据录入!$B3939&gt;=$B$2,数据录入!$B3939&lt;=$D$2),N(R3938)+1,N(R3938))</f>
      </c>
    </row>
    <row r="3940" s="44" customFormat="1" spans="1:23">
      <c r="A3940" s="116"/>
      <c r="E3940" s="108"/>
      <c r="F3940" s="114"/>
      <c r="G3940" s="114"/>
      <c r="H3940" s="114"/>
      <c r="Q3940" s="44">
        <f>IF(数据录入!$B3940="",0,IF(OR(数据录入!$D3940="投标保证金",数据录入!$D3940="合同履约保证金",ISNUMBER(FIND("保证金",数据录入!$E3940))),1,0))</f>
      </c>
      <c r="R3940" s="44">
        <f>IF(AND($Q3940=1,数据录入!$B3940&gt;=$B$2,数据录入!$B3940&lt;=$D$2),N(R3939)+1,N(R3939))</f>
      </c>
    </row>
    <row r="3941" s="44" customFormat="1" spans="1:23">
      <c r="A3941" s="116"/>
      <c r="E3941" s="108"/>
      <c r="F3941" s="114"/>
      <c r="G3941" s="114"/>
      <c r="H3941" s="114"/>
      <c r="Q3941" s="44">
        <f>IF(数据录入!$B3941="",0,IF(OR(数据录入!$D3941="投标保证金",数据录入!$D3941="合同履约保证金",ISNUMBER(FIND("保证金",数据录入!$E3941))),1,0))</f>
      </c>
      <c r="R3941" s="44">
        <f>IF(AND($Q3941=1,数据录入!$B3941&gt;=$B$2,数据录入!$B3941&lt;=$D$2),N(R3940)+1,N(R3940))</f>
      </c>
    </row>
    <row r="3942" s="44" customFormat="1" spans="1:23">
      <c r="A3942" s="116"/>
      <c r="E3942" s="108"/>
      <c r="F3942" s="114"/>
      <c r="G3942" s="114"/>
      <c r="H3942" s="114"/>
      <c r="Q3942" s="44">
        <f>IF(数据录入!$B3942="",0,IF(OR(数据录入!$D3942="投标保证金",数据录入!$D3942="合同履约保证金",ISNUMBER(FIND("保证金",数据录入!$E3942))),1,0))</f>
      </c>
      <c r="R3942" s="44">
        <f>IF(AND($Q3942=1,数据录入!$B3942&gt;=$B$2,数据录入!$B3942&lt;=$D$2),N(R3941)+1,N(R3941))</f>
      </c>
    </row>
    <row r="3943" s="44" customFormat="1" spans="1:23">
      <c r="A3943" s="116"/>
      <c r="E3943" s="108"/>
      <c r="F3943" s="114"/>
      <c r="G3943" s="114"/>
      <c r="H3943" s="114"/>
      <c r="Q3943" s="44">
        <f>IF(数据录入!$B3943="",0,IF(OR(数据录入!$D3943="投标保证金",数据录入!$D3943="合同履约保证金",ISNUMBER(FIND("保证金",数据录入!$E3943))),1,0))</f>
      </c>
      <c r="R3943" s="44">
        <f>IF(AND($Q3943=1,数据录入!$B3943&gt;=$B$2,数据录入!$B3943&lt;=$D$2),N(R3942)+1,N(R3942))</f>
      </c>
    </row>
    <row r="3944" s="44" customFormat="1" spans="1:23">
      <c r="A3944" s="116"/>
      <c r="E3944" s="108"/>
      <c r="F3944" s="114"/>
      <c r="G3944" s="114"/>
      <c r="H3944" s="114"/>
      <c r="Q3944" s="44">
        <f>IF(数据录入!$B3944="",0,IF(OR(数据录入!$D3944="投标保证金",数据录入!$D3944="合同履约保证金",ISNUMBER(FIND("保证金",数据录入!$E3944))),1,0))</f>
      </c>
      <c r="R3944" s="44">
        <f>IF(AND($Q3944=1,数据录入!$B3944&gt;=$B$2,数据录入!$B3944&lt;=$D$2),N(R3943)+1,N(R3943))</f>
      </c>
    </row>
    <row r="3945" s="44" customFormat="1" spans="1:23">
      <c r="A3945" s="116"/>
      <c r="E3945" s="108"/>
      <c r="F3945" s="114"/>
      <c r="G3945" s="114"/>
      <c r="H3945" s="114"/>
      <c r="Q3945" s="44">
        <f>IF(数据录入!$B3945="",0,IF(OR(数据录入!$D3945="投标保证金",数据录入!$D3945="合同履约保证金",ISNUMBER(FIND("保证金",数据录入!$E3945))),1,0))</f>
      </c>
      <c r="R3945" s="44">
        <f>IF(AND($Q3945=1,数据录入!$B3945&gt;=$B$2,数据录入!$B3945&lt;=$D$2),N(R3944)+1,N(R3944))</f>
      </c>
    </row>
    <row r="3946" s="44" customFormat="1" spans="1:23">
      <c r="A3946" s="116"/>
      <c r="E3946" s="108"/>
      <c r="F3946" s="114"/>
      <c r="G3946" s="114"/>
      <c r="H3946" s="114"/>
      <c r="Q3946" s="44">
        <f>IF(数据录入!$B3946="",0,IF(OR(数据录入!$D3946="投标保证金",数据录入!$D3946="合同履约保证金",ISNUMBER(FIND("保证金",数据录入!$E3946))),1,0))</f>
      </c>
      <c r="R3946" s="44">
        <f>IF(AND($Q3946=1,数据录入!$B3946&gt;=$B$2,数据录入!$B3946&lt;=$D$2),N(R3945)+1,N(R3945))</f>
      </c>
    </row>
    <row r="3947" s="44" customFormat="1" spans="1:23">
      <c r="A3947" s="116"/>
      <c r="E3947" s="108"/>
      <c r="F3947" s="114"/>
      <c r="G3947" s="114"/>
      <c r="H3947" s="114"/>
      <c r="Q3947" s="44">
        <f>IF(数据录入!$B3947="",0,IF(OR(数据录入!$D3947="投标保证金",数据录入!$D3947="合同履约保证金",ISNUMBER(FIND("保证金",数据录入!$E3947))),1,0))</f>
      </c>
      <c r="R3947" s="44">
        <f>IF(AND($Q3947=1,数据录入!$B3947&gt;=$B$2,数据录入!$B3947&lt;=$D$2),N(R3946)+1,N(R3946))</f>
      </c>
    </row>
    <row r="3948" s="44" customFormat="1" spans="1:23">
      <c r="A3948" s="116"/>
      <c r="E3948" s="108"/>
      <c r="F3948" s="114"/>
      <c r="G3948" s="114"/>
      <c r="H3948" s="114"/>
      <c r="Q3948" s="44">
        <f>IF(数据录入!$B3948="",0,IF(OR(数据录入!$D3948="投标保证金",数据录入!$D3948="合同履约保证金",ISNUMBER(FIND("保证金",数据录入!$E3948))),1,0))</f>
      </c>
      <c r="R3948" s="44">
        <f>IF(AND($Q3948=1,数据录入!$B3948&gt;=$B$2,数据录入!$B3948&lt;=$D$2),N(R3947)+1,N(R3947))</f>
      </c>
    </row>
    <row r="3949" s="44" customFormat="1" spans="1:23">
      <c r="A3949" s="116"/>
      <c r="E3949" s="108"/>
      <c r="F3949" s="114"/>
      <c r="G3949" s="114"/>
      <c r="H3949" s="114"/>
      <c r="Q3949" s="44">
        <f>IF(数据录入!$B3949="",0,IF(OR(数据录入!$D3949="投标保证金",数据录入!$D3949="合同履约保证金",ISNUMBER(FIND("保证金",数据录入!$E3949))),1,0))</f>
      </c>
      <c r="R3949" s="44">
        <f>IF(AND($Q3949=1,数据录入!$B3949&gt;=$B$2,数据录入!$B3949&lt;=$D$2),N(R3948)+1,N(R3948))</f>
      </c>
    </row>
    <row r="3950" s="44" customFormat="1" spans="1:23">
      <c r="A3950" s="116"/>
      <c r="E3950" s="108"/>
      <c r="F3950" s="114"/>
      <c r="G3950" s="114"/>
      <c r="H3950" s="114"/>
      <c r="Q3950" s="44">
        <f>IF(数据录入!$B3950="",0,IF(OR(数据录入!$D3950="投标保证金",数据录入!$D3950="合同履约保证金",ISNUMBER(FIND("保证金",数据录入!$E3950))),1,0))</f>
      </c>
      <c r="R3950" s="44">
        <f>IF(AND($Q3950=1,数据录入!$B3950&gt;=$B$2,数据录入!$B3950&lt;=$D$2),N(R3949)+1,N(R3949))</f>
      </c>
    </row>
    <row r="3951" s="44" customFormat="1" spans="1:23">
      <c r="A3951" s="116"/>
      <c r="E3951" s="108"/>
      <c r="F3951" s="114"/>
      <c r="G3951" s="114"/>
      <c r="H3951" s="114"/>
      <c r="Q3951" s="44">
        <f>IF(数据录入!$B3951="",0,IF(OR(数据录入!$D3951="投标保证金",数据录入!$D3951="合同履约保证金",ISNUMBER(FIND("保证金",数据录入!$E3951))),1,0))</f>
      </c>
      <c r="R3951" s="44">
        <f>IF(AND($Q3951=1,数据录入!$B3951&gt;=$B$2,数据录入!$B3951&lt;=$D$2),N(R3950)+1,N(R3950))</f>
      </c>
    </row>
    <row r="3952" s="44" customFormat="1" spans="1:23">
      <c r="A3952" s="116"/>
      <c r="E3952" s="108"/>
      <c r="F3952" s="114"/>
      <c r="G3952" s="114"/>
      <c r="H3952" s="114"/>
      <c r="Q3952" s="44">
        <f>IF(数据录入!$B3952="",0,IF(OR(数据录入!$D3952="投标保证金",数据录入!$D3952="合同履约保证金",ISNUMBER(FIND("保证金",数据录入!$E3952))),1,0))</f>
      </c>
      <c r="R3952" s="44">
        <f>IF(AND($Q3952=1,数据录入!$B3952&gt;=$B$2,数据录入!$B3952&lt;=$D$2),N(R3951)+1,N(R3951))</f>
      </c>
    </row>
    <row r="3953" s="44" customFormat="1" spans="1:23">
      <c r="A3953" s="116"/>
      <c r="E3953" s="108"/>
      <c r="F3953" s="114"/>
      <c r="G3953" s="114"/>
      <c r="H3953" s="114"/>
      <c r="Q3953" s="44">
        <f>IF(数据录入!$B3953="",0,IF(OR(数据录入!$D3953="投标保证金",数据录入!$D3953="合同履约保证金",ISNUMBER(FIND("保证金",数据录入!$E3953))),1,0))</f>
      </c>
      <c r="R3953" s="44">
        <f>IF(AND($Q3953=1,数据录入!$B3953&gt;=$B$2,数据录入!$B3953&lt;=$D$2),N(R3952)+1,N(R3952))</f>
      </c>
    </row>
    <row r="3954" s="44" customFormat="1" spans="1:23">
      <c r="A3954" s="116"/>
      <c r="E3954" s="108"/>
      <c r="F3954" s="114"/>
      <c r="G3954" s="114"/>
      <c r="H3954" s="114"/>
      <c r="Q3954" s="44">
        <f>IF(数据录入!$B3954="",0,IF(OR(数据录入!$D3954="投标保证金",数据录入!$D3954="合同履约保证金",ISNUMBER(FIND("保证金",数据录入!$E3954))),1,0))</f>
      </c>
      <c r="R3954" s="44">
        <f>IF(AND($Q3954=1,数据录入!$B3954&gt;=$B$2,数据录入!$B3954&lt;=$D$2),N(R3953)+1,N(R3953))</f>
      </c>
    </row>
    <row r="3955" s="44" customFormat="1" spans="1:23">
      <c r="A3955" s="116"/>
      <c r="E3955" s="108"/>
      <c r="F3955" s="114"/>
      <c r="G3955" s="114"/>
      <c r="H3955" s="114"/>
      <c r="Q3955" s="44">
        <f>IF(数据录入!$B3955="",0,IF(OR(数据录入!$D3955="投标保证金",数据录入!$D3955="合同履约保证金",ISNUMBER(FIND("保证金",数据录入!$E3955))),1,0))</f>
      </c>
      <c r="R3955" s="44">
        <f>IF(AND($Q3955=1,数据录入!$B3955&gt;=$B$2,数据录入!$B3955&lt;=$D$2),N(R3954)+1,N(R3954))</f>
      </c>
    </row>
    <row r="3956" s="44" customFormat="1" spans="1:23">
      <c r="A3956" s="116"/>
      <c r="E3956" s="108"/>
      <c r="F3956" s="114"/>
      <c r="G3956" s="114"/>
      <c r="H3956" s="114"/>
      <c r="Q3956" s="44">
        <f>IF(数据录入!$B3956="",0,IF(OR(数据录入!$D3956="投标保证金",数据录入!$D3956="合同履约保证金",ISNUMBER(FIND("保证金",数据录入!$E3956))),1,0))</f>
      </c>
      <c r="R3956" s="44">
        <f>IF(AND($Q3956=1,数据录入!$B3956&gt;=$B$2,数据录入!$B3956&lt;=$D$2),N(R3955)+1,N(R3955))</f>
      </c>
    </row>
    <row r="3957" s="44" customFormat="1" spans="1:23">
      <c r="A3957" s="116"/>
      <c r="E3957" s="108"/>
      <c r="F3957" s="114"/>
      <c r="G3957" s="114"/>
      <c r="H3957" s="114"/>
      <c r="Q3957" s="44">
        <f>IF(数据录入!$B3957="",0,IF(OR(数据录入!$D3957="投标保证金",数据录入!$D3957="合同履约保证金",ISNUMBER(FIND("保证金",数据录入!$E3957))),1,0))</f>
      </c>
      <c r="R3957" s="44">
        <f>IF(AND($Q3957=1,数据录入!$B3957&gt;=$B$2,数据录入!$B3957&lt;=$D$2),N(R3956)+1,N(R3956))</f>
      </c>
    </row>
    <row r="3958" s="44" customFormat="1" spans="1:23">
      <c r="A3958" s="116"/>
      <c r="E3958" s="108"/>
      <c r="F3958" s="114"/>
      <c r="G3958" s="114"/>
      <c r="H3958" s="114"/>
      <c r="Q3958" s="44">
        <f>IF(数据录入!$B3958="",0,IF(OR(数据录入!$D3958="投标保证金",数据录入!$D3958="合同履约保证金",ISNUMBER(FIND("保证金",数据录入!$E3958))),1,0))</f>
      </c>
      <c r="R3958" s="44">
        <f>IF(AND($Q3958=1,数据录入!$B3958&gt;=$B$2,数据录入!$B3958&lt;=$D$2),N(R3957)+1,N(R3957))</f>
      </c>
    </row>
    <row r="3959" s="44" customFormat="1" spans="1:23">
      <c r="A3959" s="116"/>
      <c r="E3959" s="108"/>
      <c r="F3959" s="114"/>
      <c r="G3959" s="114"/>
      <c r="H3959" s="114"/>
      <c r="Q3959" s="44">
        <f>IF(数据录入!$B3959="",0,IF(OR(数据录入!$D3959="投标保证金",数据录入!$D3959="合同履约保证金",ISNUMBER(FIND("保证金",数据录入!$E3959))),1,0))</f>
      </c>
      <c r="R3959" s="44">
        <f>IF(AND($Q3959=1,数据录入!$B3959&gt;=$B$2,数据录入!$B3959&lt;=$D$2),N(R3958)+1,N(R3958))</f>
      </c>
    </row>
    <row r="3960" s="44" customFormat="1" spans="1:23">
      <c r="A3960" s="116"/>
      <c r="E3960" s="108"/>
      <c r="F3960" s="114"/>
      <c r="G3960" s="114"/>
      <c r="H3960" s="114"/>
      <c r="Q3960" s="44">
        <f>IF(数据录入!$B3960="",0,IF(OR(数据录入!$D3960="投标保证金",数据录入!$D3960="合同履约保证金",ISNUMBER(FIND("保证金",数据录入!$E3960))),1,0))</f>
      </c>
      <c r="R3960" s="44">
        <f>IF(AND($Q3960=1,数据录入!$B3960&gt;=$B$2,数据录入!$B3960&lt;=$D$2),N(R3959)+1,N(R3959))</f>
      </c>
    </row>
    <row r="3961" s="44" customFormat="1" spans="1:23">
      <c r="A3961" s="116"/>
      <c r="E3961" s="108"/>
      <c r="F3961" s="114"/>
      <c r="G3961" s="114"/>
      <c r="H3961" s="114"/>
      <c r="Q3961" s="44">
        <f>IF(数据录入!$B3961="",0,IF(OR(数据录入!$D3961="投标保证金",数据录入!$D3961="合同履约保证金",ISNUMBER(FIND("保证金",数据录入!$E3961))),1,0))</f>
      </c>
      <c r="R3961" s="44">
        <f>IF(AND($Q3961=1,数据录入!$B3961&gt;=$B$2,数据录入!$B3961&lt;=$D$2),N(R3960)+1,N(R3960))</f>
      </c>
    </row>
    <row r="3962" s="44" customFormat="1" spans="1:23">
      <c r="A3962" s="116"/>
      <c r="E3962" s="108"/>
      <c r="F3962" s="114"/>
      <c r="G3962" s="114"/>
      <c r="H3962" s="114"/>
      <c r="Q3962" s="44">
        <f>IF(数据录入!$B3962="",0,IF(OR(数据录入!$D3962="投标保证金",数据录入!$D3962="合同履约保证金",ISNUMBER(FIND("保证金",数据录入!$E3962))),1,0))</f>
      </c>
      <c r="R3962" s="44">
        <f>IF(AND($Q3962=1,数据录入!$B3962&gt;=$B$2,数据录入!$B3962&lt;=$D$2),N(R3961)+1,N(R3961))</f>
      </c>
    </row>
    <row r="3963" s="44" customFormat="1" spans="1:23">
      <c r="A3963" s="116"/>
      <c r="E3963" s="108"/>
      <c r="F3963" s="114"/>
      <c r="G3963" s="114"/>
      <c r="H3963" s="114"/>
      <c r="Q3963" s="44">
        <f>IF(数据录入!$B3963="",0,IF(OR(数据录入!$D3963="投标保证金",数据录入!$D3963="合同履约保证金",ISNUMBER(FIND("保证金",数据录入!$E3963))),1,0))</f>
      </c>
      <c r="R3963" s="44">
        <f>IF(AND($Q3963=1,数据录入!$B3963&gt;=$B$2,数据录入!$B3963&lt;=$D$2),N(R3962)+1,N(R3962))</f>
      </c>
    </row>
    <row r="3964" s="44" customFormat="1" spans="1:23">
      <c r="A3964" s="116"/>
      <c r="E3964" s="108"/>
      <c r="F3964" s="114"/>
      <c r="G3964" s="114"/>
      <c r="H3964" s="114"/>
      <c r="Q3964" s="44">
        <f>IF(数据录入!$B3964="",0,IF(OR(数据录入!$D3964="投标保证金",数据录入!$D3964="合同履约保证金",ISNUMBER(FIND("保证金",数据录入!$E3964))),1,0))</f>
      </c>
      <c r="R3964" s="44">
        <f>IF(AND($Q3964=1,数据录入!$B3964&gt;=$B$2,数据录入!$B3964&lt;=$D$2),N(R3963)+1,N(R3963))</f>
      </c>
    </row>
    <row r="3965" s="44" customFormat="1" spans="1:23">
      <c r="A3965" s="116"/>
      <c r="E3965" s="108"/>
      <c r="F3965" s="114"/>
      <c r="G3965" s="114"/>
      <c r="H3965" s="114"/>
      <c r="Q3965" s="44">
        <f>IF(数据录入!$B3965="",0,IF(OR(数据录入!$D3965="投标保证金",数据录入!$D3965="合同履约保证金",ISNUMBER(FIND("保证金",数据录入!$E3965))),1,0))</f>
      </c>
      <c r="R3965" s="44">
        <f>IF(AND($Q3965=1,数据录入!$B3965&gt;=$B$2,数据录入!$B3965&lt;=$D$2),N(R3964)+1,N(R3964))</f>
      </c>
    </row>
    <row r="3966" s="44" customFormat="1" spans="1:23">
      <c r="A3966" s="116"/>
      <c r="E3966" s="108"/>
      <c r="F3966" s="114"/>
      <c r="G3966" s="114"/>
      <c r="H3966" s="114"/>
      <c r="Q3966" s="44">
        <f>IF(数据录入!$B3966="",0,IF(OR(数据录入!$D3966="投标保证金",数据录入!$D3966="合同履约保证金",ISNUMBER(FIND("保证金",数据录入!$E3966))),1,0))</f>
      </c>
      <c r="R3966" s="44">
        <f>IF(AND($Q3966=1,数据录入!$B3966&gt;=$B$2,数据录入!$B3966&lt;=$D$2),N(R3965)+1,N(R3965))</f>
      </c>
    </row>
    <row r="3967" s="44" customFormat="1" spans="1:23">
      <c r="A3967" s="116"/>
      <c r="E3967" s="108"/>
      <c r="F3967" s="114"/>
      <c r="G3967" s="114"/>
      <c r="H3967" s="114"/>
      <c r="Q3967" s="44">
        <f>IF(数据录入!$B3967="",0,IF(OR(数据录入!$D3967="投标保证金",数据录入!$D3967="合同履约保证金",ISNUMBER(FIND("保证金",数据录入!$E3967))),1,0))</f>
      </c>
      <c r="R3967" s="44">
        <f>IF(AND($Q3967=1,数据录入!$B3967&gt;=$B$2,数据录入!$B3967&lt;=$D$2),N(R3966)+1,N(R3966))</f>
      </c>
    </row>
    <row r="3968" s="44" customFormat="1" spans="1:23">
      <c r="A3968" s="116"/>
      <c r="E3968" s="108"/>
      <c r="F3968" s="114"/>
      <c r="G3968" s="114"/>
      <c r="H3968" s="114"/>
      <c r="Q3968" s="44">
        <f>IF(数据录入!$B3968="",0,IF(OR(数据录入!$D3968="投标保证金",数据录入!$D3968="合同履约保证金",ISNUMBER(FIND("保证金",数据录入!$E3968))),1,0))</f>
      </c>
      <c r="R3968" s="44">
        <f>IF(AND($Q3968=1,数据录入!$B3968&gt;=$B$2,数据录入!$B3968&lt;=$D$2),N(R3967)+1,N(R3967))</f>
      </c>
    </row>
    <row r="3969" s="44" customFormat="1" spans="1:23">
      <c r="A3969" s="116"/>
      <c r="E3969" s="108"/>
      <c r="F3969" s="114"/>
      <c r="G3969" s="114"/>
      <c r="H3969" s="114"/>
      <c r="Q3969" s="44">
        <f>IF(数据录入!$B3969="",0,IF(OR(数据录入!$D3969="投标保证金",数据录入!$D3969="合同履约保证金",ISNUMBER(FIND("保证金",数据录入!$E3969))),1,0))</f>
      </c>
      <c r="R3969" s="44">
        <f>IF(AND($Q3969=1,数据录入!$B3969&gt;=$B$2,数据录入!$B3969&lt;=$D$2),N(R3968)+1,N(R3968))</f>
      </c>
    </row>
    <row r="3970" s="44" customFormat="1" spans="1:23">
      <c r="A3970" s="116"/>
      <c r="E3970" s="108"/>
      <c r="F3970" s="114"/>
      <c r="G3970" s="114"/>
      <c r="H3970" s="114"/>
      <c r="Q3970" s="44">
        <f>IF(数据录入!$B3970="",0,IF(OR(数据录入!$D3970="投标保证金",数据录入!$D3970="合同履约保证金",ISNUMBER(FIND("保证金",数据录入!$E3970))),1,0))</f>
      </c>
      <c r="R3970" s="44">
        <f>IF(AND($Q3970=1,数据录入!$B3970&gt;=$B$2,数据录入!$B3970&lt;=$D$2),N(R3969)+1,N(R3969))</f>
      </c>
    </row>
    <row r="3971" s="44" customFormat="1" spans="1:23">
      <c r="A3971" s="116"/>
      <c r="E3971" s="108"/>
      <c r="F3971" s="114"/>
      <c r="G3971" s="114"/>
      <c r="H3971" s="114"/>
      <c r="Q3971" s="44">
        <f>IF(数据录入!$B3971="",0,IF(OR(数据录入!$D3971="投标保证金",数据录入!$D3971="合同履约保证金",ISNUMBER(FIND("保证金",数据录入!$E3971))),1,0))</f>
      </c>
      <c r="R3971" s="44">
        <f>IF(AND($Q3971=1,数据录入!$B3971&gt;=$B$2,数据录入!$B3971&lt;=$D$2),N(R3970)+1,N(R3970))</f>
      </c>
    </row>
    <row r="3972" s="44" customFormat="1" spans="1:23">
      <c r="A3972" s="116"/>
      <c r="E3972" s="108"/>
      <c r="F3972" s="114"/>
      <c r="G3972" s="114"/>
      <c r="H3972" s="114"/>
      <c r="Q3972" s="44">
        <f>IF(数据录入!$B3972="",0,IF(OR(数据录入!$D3972="投标保证金",数据录入!$D3972="合同履约保证金",ISNUMBER(FIND("保证金",数据录入!$E3972))),1,0))</f>
      </c>
      <c r="R3972" s="44">
        <f>IF(AND($Q3972=1,数据录入!$B3972&gt;=$B$2,数据录入!$B3972&lt;=$D$2),N(R3971)+1,N(R3971))</f>
      </c>
    </row>
    <row r="3973" s="44" customFormat="1" spans="1:23">
      <c r="A3973" s="116"/>
      <c r="E3973" s="108"/>
      <c r="F3973" s="114"/>
      <c r="G3973" s="114"/>
      <c r="H3973" s="114"/>
      <c r="Q3973" s="44">
        <f>IF(数据录入!$B3973="",0,IF(OR(数据录入!$D3973="投标保证金",数据录入!$D3973="合同履约保证金",ISNUMBER(FIND("保证金",数据录入!$E3973))),1,0))</f>
      </c>
      <c r="R3973" s="44">
        <f>IF(AND($Q3973=1,数据录入!$B3973&gt;=$B$2,数据录入!$B3973&lt;=$D$2),N(R3972)+1,N(R3972))</f>
      </c>
    </row>
    <row r="3974" s="44" customFormat="1" spans="1:23">
      <c r="A3974" s="116"/>
      <c r="E3974" s="108"/>
      <c r="F3974" s="114"/>
      <c r="G3974" s="114"/>
      <c r="H3974" s="114"/>
      <c r="Q3974" s="44">
        <f>IF(数据录入!$B3974="",0,IF(OR(数据录入!$D3974="投标保证金",数据录入!$D3974="合同履约保证金",ISNUMBER(FIND("保证金",数据录入!$E3974))),1,0))</f>
      </c>
      <c r="R3974" s="44">
        <f>IF(AND($Q3974=1,数据录入!$B3974&gt;=$B$2,数据录入!$B3974&lt;=$D$2),N(R3973)+1,N(R3973))</f>
      </c>
    </row>
    <row r="3975" s="44" customFormat="1" spans="1:23">
      <c r="A3975" s="116"/>
      <c r="E3975" s="108"/>
      <c r="F3975" s="114"/>
      <c r="G3975" s="114"/>
      <c r="H3975" s="114"/>
      <c r="Q3975" s="44">
        <f>IF(数据录入!$B3975="",0,IF(OR(数据录入!$D3975="投标保证金",数据录入!$D3975="合同履约保证金",ISNUMBER(FIND("保证金",数据录入!$E3975))),1,0))</f>
      </c>
      <c r="R3975" s="44">
        <f>IF(AND($Q3975=1,数据录入!$B3975&gt;=$B$2,数据录入!$B3975&lt;=$D$2),N(R3974)+1,N(R3974))</f>
      </c>
    </row>
    <row r="3976" s="44" customFormat="1" spans="1:23">
      <c r="A3976" s="116"/>
      <c r="E3976" s="108"/>
      <c r="F3976" s="114"/>
      <c r="G3976" s="114"/>
      <c r="H3976" s="114"/>
      <c r="Q3976" s="44">
        <f>IF(数据录入!$B3976="",0,IF(OR(数据录入!$D3976="投标保证金",数据录入!$D3976="合同履约保证金",ISNUMBER(FIND("保证金",数据录入!$E3976))),1,0))</f>
      </c>
      <c r="R3976" s="44">
        <f>IF(AND($Q3976=1,数据录入!$B3976&gt;=$B$2,数据录入!$B3976&lt;=$D$2),N(R3975)+1,N(R3975))</f>
      </c>
    </row>
    <row r="3977" s="44" customFormat="1" spans="1:23">
      <c r="A3977" s="116"/>
      <c r="E3977" s="108"/>
      <c r="F3977" s="114"/>
      <c r="G3977" s="114"/>
      <c r="H3977" s="114"/>
      <c r="Q3977" s="44">
        <f>IF(数据录入!$B3977="",0,IF(OR(数据录入!$D3977="投标保证金",数据录入!$D3977="合同履约保证金",ISNUMBER(FIND("保证金",数据录入!$E3977))),1,0))</f>
      </c>
      <c r="R3977" s="44">
        <f>IF(AND($Q3977=1,数据录入!$B3977&gt;=$B$2,数据录入!$B3977&lt;=$D$2),N(R3976)+1,N(R3976))</f>
      </c>
    </row>
    <row r="3978" s="44" customFormat="1" spans="1:23">
      <c r="A3978" s="116"/>
      <c r="E3978" s="108"/>
      <c r="F3978" s="114"/>
      <c r="G3978" s="114"/>
      <c r="H3978" s="114"/>
      <c r="Q3978" s="44">
        <f>IF(数据录入!$B3978="",0,IF(OR(数据录入!$D3978="投标保证金",数据录入!$D3978="合同履约保证金",ISNUMBER(FIND("保证金",数据录入!$E3978))),1,0))</f>
      </c>
      <c r="R3978" s="44">
        <f>IF(AND($Q3978=1,数据录入!$B3978&gt;=$B$2,数据录入!$B3978&lt;=$D$2),N(R3977)+1,N(R3977))</f>
      </c>
    </row>
    <row r="3979" s="44" customFormat="1" spans="1:23">
      <c r="A3979" s="116"/>
      <c r="E3979" s="108"/>
      <c r="F3979" s="114"/>
      <c r="G3979" s="114"/>
      <c r="H3979" s="114"/>
      <c r="Q3979" s="44">
        <f>IF(数据录入!$B3979="",0,IF(OR(数据录入!$D3979="投标保证金",数据录入!$D3979="合同履约保证金",ISNUMBER(FIND("保证金",数据录入!$E3979))),1,0))</f>
      </c>
      <c r="R3979" s="44">
        <f>IF(AND($Q3979=1,数据录入!$B3979&gt;=$B$2,数据录入!$B3979&lt;=$D$2),N(R3978)+1,N(R3978))</f>
      </c>
    </row>
    <row r="3980" s="44" customFormat="1" spans="1:23">
      <c r="A3980" s="116"/>
      <c r="E3980" s="108"/>
      <c r="F3980" s="114"/>
      <c r="G3980" s="114"/>
      <c r="H3980" s="114"/>
      <c r="Q3980" s="44">
        <f>IF(数据录入!$B3980="",0,IF(OR(数据录入!$D3980="投标保证金",数据录入!$D3980="合同履约保证金",ISNUMBER(FIND("保证金",数据录入!$E3980))),1,0))</f>
      </c>
      <c r="R3980" s="44">
        <f>IF(AND($Q3980=1,数据录入!$B3980&gt;=$B$2,数据录入!$B3980&lt;=$D$2),N(R3979)+1,N(R3979))</f>
      </c>
    </row>
    <row r="3981" s="44" customFormat="1" spans="1:23">
      <c r="A3981" s="116"/>
      <c r="E3981" s="108"/>
      <c r="F3981" s="114"/>
      <c r="G3981" s="114"/>
      <c r="H3981" s="114"/>
      <c r="Q3981" s="44">
        <f>IF(数据录入!$B3981="",0,IF(OR(数据录入!$D3981="投标保证金",数据录入!$D3981="合同履约保证金",ISNUMBER(FIND("保证金",数据录入!$E3981))),1,0))</f>
      </c>
      <c r="R3981" s="44">
        <f>IF(AND($Q3981=1,数据录入!$B3981&gt;=$B$2,数据录入!$B3981&lt;=$D$2),N(R3980)+1,N(R3980))</f>
      </c>
    </row>
    <row r="3982" s="44" customFormat="1" spans="1:23">
      <c r="A3982" s="116"/>
      <c r="E3982" s="108"/>
      <c r="F3982" s="114"/>
      <c r="G3982" s="114"/>
      <c r="H3982" s="114"/>
      <c r="Q3982" s="44">
        <f>IF(数据录入!$B3982="",0,IF(OR(数据录入!$D3982="投标保证金",数据录入!$D3982="合同履约保证金",ISNUMBER(FIND("保证金",数据录入!$E3982))),1,0))</f>
      </c>
      <c r="R3982" s="44">
        <f>IF(AND($Q3982=1,数据录入!$B3982&gt;=$B$2,数据录入!$B3982&lt;=$D$2),N(R3981)+1,N(R3981))</f>
      </c>
    </row>
    <row r="3983" s="44" customFormat="1" spans="1:23">
      <c r="A3983" s="116"/>
      <c r="E3983" s="108"/>
      <c r="F3983" s="114"/>
      <c r="G3983" s="114"/>
      <c r="H3983" s="114"/>
      <c r="Q3983" s="44">
        <f>IF(数据录入!$B3983="",0,IF(OR(数据录入!$D3983="投标保证金",数据录入!$D3983="合同履约保证金",ISNUMBER(FIND("保证金",数据录入!$E3983))),1,0))</f>
      </c>
      <c r="R3983" s="44">
        <f>IF(AND($Q3983=1,数据录入!$B3983&gt;=$B$2,数据录入!$B3983&lt;=$D$2),N(R3982)+1,N(R3982))</f>
      </c>
    </row>
    <row r="3984" s="44" customFormat="1" spans="1:23">
      <c r="A3984" s="116"/>
      <c r="E3984" s="108"/>
      <c r="F3984" s="114"/>
      <c r="G3984" s="114"/>
      <c r="H3984" s="114"/>
      <c r="Q3984" s="44">
        <f>IF(数据录入!$B3984="",0,IF(OR(数据录入!$D3984="投标保证金",数据录入!$D3984="合同履约保证金",ISNUMBER(FIND("保证金",数据录入!$E3984))),1,0))</f>
      </c>
      <c r="R3984" s="44">
        <f>IF(AND($Q3984=1,数据录入!$B3984&gt;=$B$2,数据录入!$B3984&lt;=$D$2),N(R3983)+1,N(R3983))</f>
      </c>
    </row>
    <row r="3985" s="44" customFormat="1" spans="1:23">
      <c r="A3985" s="116"/>
      <c r="E3985" s="108"/>
      <c r="F3985" s="114"/>
      <c r="G3985" s="114"/>
      <c r="H3985" s="114"/>
      <c r="Q3985" s="44">
        <f>IF(数据录入!$B3985="",0,IF(OR(数据录入!$D3985="投标保证金",数据录入!$D3985="合同履约保证金",ISNUMBER(FIND("保证金",数据录入!$E3985))),1,0))</f>
      </c>
      <c r="R3985" s="44">
        <f>IF(AND($Q3985=1,数据录入!$B3985&gt;=$B$2,数据录入!$B3985&lt;=$D$2),N(R3984)+1,N(R3984))</f>
      </c>
    </row>
    <row r="3986" s="44" customFormat="1" spans="1:23">
      <c r="A3986" s="116"/>
      <c r="E3986" s="108"/>
      <c r="F3986" s="114"/>
      <c r="G3986" s="114"/>
      <c r="H3986" s="114"/>
      <c r="Q3986" s="44">
        <f>IF(数据录入!$B3986="",0,IF(OR(数据录入!$D3986="投标保证金",数据录入!$D3986="合同履约保证金",ISNUMBER(FIND("保证金",数据录入!$E3986))),1,0))</f>
      </c>
      <c r="R3986" s="44">
        <f>IF(AND($Q3986=1,数据录入!$B3986&gt;=$B$2,数据录入!$B3986&lt;=$D$2),N(R3985)+1,N(R3985))</f>
      </c>
    </row>
    <row r="3987" s="44" customFormat="1" spans="1:23">
      <c r="A3987" s="116"/>
      <c r="E3987" s="108"/>
      <c r="F3987" s="114"/>
      <c r="G3987" s="114"/>
      <c r="H3987" s="114"/>
      <c r="Q3987" s="44">
        <f>IF(数据录入!$B3987="",0,IF(OR(数据录入!$D3987="投标保证金",数据录入!$D3987="合同履约保证金",ISNUMBER(FIND("保证金",数据录入!$E3987))),1,0))</f>
      </c>
      <c r="R3987" s="44">
        <f>IF(AND($Q3987=1,数据录入!$B3987&gt;=$B$2,数据录入!$B3987&lt;=$D$2),N(R3986)+1,N(R3986))</f>
      </c>
    </row>
    <row r="3988" s="44" customFormat="1" spans="1:23">
      <c r="A3988" s="116"/>
      <c r="E3988" s="108"/>
      <c r="F3988" s="114"/>
      <c r="G3988" s="114"/>
      <c r="H3988" s="114"/>
      <c r="Q3988" s="44">
        <f>IF(数据录入!$B3988="",0,IF(OR(数据录入!$D3988="投标保证金",数据录入!$D3988="合同履约保证金",ISNUMBER(FIND("保证金",数据录入!$E3988))),1,0))</f>
      </c>
      <c r="R3988" s="44">
        <f>IF(AND($Q3988=1,数据录入!$B3988&gt;=$B$2,数据录入!$B3988&lt;=$D$2),N(R3987)+1,N(R3987))</f>
      </c>
    </row>
    <row r="3989" s="44" customFormat="1" spans="1:23">
      <c r="A3989" s="116"/>
      <c r="E3989" s="108"/>
      <c r="F3989" s="114"/>
      <c r="G3989" s="114"/>
      <c r="H3989" s="114"/>
      <c r="Q3989" s="44">
        <f>IF(数据录入!$B3989="",0,IF(OR(数据录入!$D3989="投标保证金",数据录入!$D3989="合同履约保证金",ISNUMBER(FIND("保证金",数据录入!$E3989))),1,0))</f>
      </c>
      <c r="R3989" s="44">
        <f>IF(AND($Q3989=1,数据录入!$B3989&gt;=$B$2,数据录入!$B3989&lt;=$D$2),N(R3988)+1,N(R3988))</f>
      </c>
    </row>
    <row r="3990" s="44" customFormat="1" spans="1:23">
      <c r="A3990" s="116"/>
      <c r="E3990" s="108"/>
      <c r="F3990" s="114"/>
      <c r="G3990" s="114"/>
      <c r="H3990" s="114"/>
      <c r="Q3990" s="44">
        <f>IF(数据录入!$B3990="",0,IF(OR(数据录入!$D3990="投标保证金",数据录入!$D3990="合同履约保证金",ISNUMBER(FIND("保证金",数据录入!$E3990))),1,0))</f>
      </c>
      <c r="R3990" s="44">
        <f>IF(AND($Q3990=1,数据录入!$B3990&gt;=$B$2,数据录入!$B3990&lt;=$D$2),N(R3989)+1,N(R3989))</f>
      </c>
    </row>
    <row r="3991" s="44" customFormat="1" spans="1:23">
      <c r="A3991" s="116"/>
      <c r="E3991" s="108"/>
      <c r="F3991" s="114"/>
      <c r="G3991" s="114"/>
      <c r="H3991" s="114"/>
      <c r="Q3991" s="44">
        <f>IF(数据录入!$B3991="",0,IF(OR(数据录入!$D3991="投标保证金",数据录入!$D3991="合同履约保证金",ISNUMBER(FIND("保证金",数据录入!$E3991))),1,0))</f>
      </c>
      <c r="R3991" s="44">
        <f>IF(AND($Q3991=1,数据录入!$B3991&gt;=$B$2,数据录入!$B3991&lt;=$D$2),N(R3990)+1,N(R3990))</f>
      </c>
    </row>
    <row r="3992" s="44" customFormat="1" spans="1:23">
      <c r="A3992" s="116"/>
      <c r="E3992" s="108"/>
      <c r="F3992" s="114"/>
      <c r="G3992" s="114"/>
      <c r="H3992" s="114"/>
      <c r="Q3992" s="44">
        <f>IF(数据录入!$B3992="",0,IF(OR(数据录入!$D3992="投标保证金",数据录入!$D3992="合同履约保证金",ISNUMBER(FIND("保证金",数据录入!$E3992))),1,0))</f>
      </c>
      <c r="R3992" s="44">
        <f>IF(AND($Q3992=1,数据录入!$B3992&gt;=$B$2,数据录入!$B3992&lt;=$D$2),N(R3991)+1,N(R3991))</f>
      </c>
    </row>
    <row r="3993" s="44" customFormat="1" spans="1:23">
      <c r="A3993" s="116"/>
      <c r="E3993" s="108"/>
      <c r="F3993" s="114"/>
      <c r="G3993" s="114"/>
      <c r="H3993" s="114"/>
      <c r="Q3993" s="44">
        <f>IF(数据录入!$B3993="",0,IF(OR(数据录入!$D3993="投标保证金",数据录入!$D3993="合同履约保证金",ISNUMBER(FIND("保证金",数据录入!$E3993))),1,0))</f>
      </c>
      <c r="R3993" s="44">
        <f>IF(AND($Q3993=1,数据录入!$B3993&gt;=$B$2,数据录入!$B3993&lt;=$D$2),N(R3992)+1,N(R3992))</f>
      </c>
    </row>
    <row r="3994" s="44" customFormat="1" spans="1:23">
      <c r="A3994" s="116"/>
      <c r="E3994" s="108"/>
      <c r="F3994" s="114"/>
      <c r="G3994" s="114"/>
      <c r="H3994" s="114"/>
      <c r="Q3994" s="44">
        <f>IF(数据录入!$B3994="",0,IF(OR(数据录入!$D3994="投标保证金",数据录入!$D3994="合同履约保证金",ISNUMBER(FIND("保证金",数据录入!$E3994))),1,0))</f>
      </c>
      <c r="R3994" s="44">
        <f>IF(AND($Q3994=1,数据录入!$B3994&gt;=$B$2,数据录入!$B3994&lt;=$D$2),N(R3993)+1,N(R3993))</f>
      </c>
    </row>
    <row r="3995" s="44" customFormat="1" spans="1:23">
      <c r="A3995" s="116"/>
      <c r="E3995" s="108"/>
      <c r="F3995" s="114"/>
      <c r="G3995" s="114"/>
      <c r="H3995" s="114"/>
      <c r="Q3995" s="44">
        <f>IF(数据录入!$B3995="",0,IF(OR(数据录入!$D3995="投标保证金",数据录入!$D3995="合同履约保证金",ISNUMBER(FIND("保证金",数据录入!$E3995))),1,0))</f>
      </c>
      <c r="R3995" s="44">
        <f>IF(AND($Q3995=1,数据录入!$B3995&gt;=$B$2,数据录入!$B3995&lt;=$D$2),N(R3994)+1,N(R3994))</f>
      </c>
    </row>
    <row r="3996" s="44" customFormat="1" spans="1:23">
      <c r="A3996" s="116"/>
      <c r="E3996" s="108"/>
      <c r="F3996" s="114"/>
      <c r="G3996" s="114"/>
      <c r="H3996" s="114"/>
      <c r="Q3996" s="44">
        <f>IF(数据录入!$B3996="",0,IF(OR(数据录入!$D3996="投标保证金",数据录入!$D3996="合同履约保证金",ISNUMBER(FIND("保证金",数据录入!$E3996))),1,0))</f>
      </c>
      <c r="R3996" s="44">
        <f>IF(AND($Q3996=1,数据录入!$B3996&gt;=$B$2,数据录入!$B3996&lt;=$D$2),N(R3995)+1,N(R3995))</f>
      </c>
    </row>
    <row r="3997" s="44" customFormat="1" spans="1:23">
      <c r="A3997" s="116"/>
      <c r="E3997" s="108"/>
      <c r="F3997" s="114"/>
      <c r="G3997" s="114"/>
      <c r="H3997" s="114"/>
      <c r="Q3997" s="44">
        <f>IF(数据录入!$B3997="",0,IF(OR(数据录入!$D3997="投标保证金",数据录入!$D3997="合同履约保证金",ISNUMBER(FIND("保证金",数据录入!$E3997))),1,0))</f>
      </c>
      <c r="R3997" s="44">
        <f>IF(AND($Q3997=1,数据录入!$B3997&gt;=$B$2,数据录入!$B3997&lt;=$D$2),N(R3996)+1,N(R3996))</f>
      </c>
    </row>
    <row r="3998" s="44" customFormat="1" spans="1:23">
      <c r="A3998" s="116"/>
      <c r="E3998" s="108"/>
      <c r="F3998" s="114"/>
      <c r="G3998" s="114"/>
      <c r="H3998" s="114"/>
      <c r="Q3998" s="44">
        <f>IF(数据录入!$B3998="",0,IF(OR(数据录入!$D3998="投标保证金",数据录入!$D3998="合同履约保证金",ISNUMBER(FIND("保证金",数据录入!$E3998))),1,0))</f>
      </c>
      <c r="R3998" s="44">
        <f>IF(AND($Q3998=1,数据录入!$B3998&gt;=$B$2,数据录入!$B3998&lt;=$D$2),N(R3997)+1,N(R3997))</f>
      </c>
    </row>
    <row r="3999" s="44" customFormat="1" spans="1:23">
      <c r="A3999" s="116"/>
      <c r="E3999" s="108"/>
      <c r="F3999" s="114"/>
      <c r="G3999" s="114"/>
      <c r="H3999" s="114"/>
      <c r="Q3999" s="44">
        <f>IF(数据录入!$B3999="",0,IF(OR(数据录入!$D3999="投标保证金",数据录入!$D3999="合同履约保证金",ISNUMBER(FIND("保证金",数据录入!$E3999))),1,0))</f>
      </c>
      <c r="R3999" s="44">
        <f>IF(AND($Q3999=1,数据录入!$B3999&gt;=$B$2,数据录入!$B3999&lt;=$D$2),N(R3998)+1,N(R3998))</f>
      </c>
    </row>
    <row r="4000" s="44" customFormat="1" spans="1:23">
      <c r="A4000" s="116"/>
      <c r="E4000" s="108"/>
      <c r="F4000" s="114"/>
      <c r="G4000" s="114"/>
      <c r="H4000" s="114"/>
      <c r="Q4000" s="44">
        <f>IF(数据录入!$B4000="",0,IF(OR(数据录入!$D4000="投标保证金",数据录入!$D4000="合同履约保证金",ISNUMBER(FIND("保证金",数据录入!$E4000))),1,0))</f>
      </c>
      <c r="R4000" s="44">
        <f>IF(AND($Q4000=1,数据录入!$B4000&gt;=$B$2,数据录入!$B4000&lt;=$D$2),N(R3999)+1,N(R3999))</f>
      </c>
    </row>
    <row r="4001" s="44" customFormat="1" spans="1:23">
      <c r="A4001" s="116"/>
      <c r="E4001" s="108"/>
      <c r="F4001" s="114"/>
      <c r="G4001" s="114"/>
      <c r="H4001" s="114"/>
      <c r="Q4001" s="44">
        <f>IF(数据录入!$B4001="",0,IF(OR(数据录入!$D4001="投标保证金",数据录入!$D4001="合同履约保证金",ISNUMBER(FIND("保证金",数据录入!$E4001))),1,0))</f>
      </c>
      <c r="R4001" s="44">
        <f>IF(AND($Q4001=1,数据录入!$B4001&gt;=$B$2,数据录入!$B4001&lt;=$D$2),N(R4000)+1,N(R4000))</f>
      </c>
    </row>
    <row r="4002" s="44" customFormat="1" spans="1:23">
      <c r="A4002" s="116"/>
      <c r="E4002" s="108"/>
      <c r="F4002" s="114"/>
      <c r="G4002" s="114"/>
      <c r="H4002" s="114"/>
      <c r="Q4002" s="44">
        <f>IF(数据录入!$B4002="",0,IF(OR(数据录入!$D4002="投标保证金",数据录入!$D4002="合同履约保证金",ISNUMBER(FIND("保证金",数据录入!$E4002))),1,0))</f>
      </c>
      <c r="R4002" s="44">
        <f>IF(AND($Q4002=1,数据录入!$B4002&gt;=$B$2,数据录入!$B4002&lt;=$D$2),N(R4001)+1,N(R4001))</f>
      </c>
    </row>
    <row r="4003" s="44" customFormat="1" spans="1:23">
      <c r="A4003" s="116"/>
      <c r="E4003" s="108"/>
      <c r="F4003" s="114"/>
      <c r="G4003" s="114"/>
      <c r="H4003" s="114"/>
      <c r="Q4003" s="44">
        <f>IF(数据录入!$B4003="",0,IF(OR(数据录入!$D4003="投标保证金",数据录入!$D4003="合同履约保证金",ISNUMBER(FIND("保证金",数据录入!$E4003))),1,0))</f>
      </c>
      <c r="R4003" s="44">
        <f>IF(AND($Q4003=1,数据录入!$B4003&gt;=$B$2,数据录入!$B4003&lt;=$D$2),N(R4002)+1,N(R4002))</f>
      </c>
    </row>
    <row r="4004" s="44" customFormat="1" spans="1:23">
      <c r="A4004" s="116"/>
      <c r="E4004" s="108"/>
      <c r="F4004" s="114"/>
      <c r="G4004" s="114"/>
      <c r="H4004" s="114"/>
      <c r="Q4004" s="44">
        <f>IF(数据录入!$B4004="",0,IF(OR(数据录入!$D4004="投标保证金",数据录入!$D4004="合同履约保证金",ISNUMBER(FIND("保证金",数据录入!$E4004))),1,0))</f>
      </c>
      <c r="R4004" s="44">
        <f>IF(AND($Q4004=1,数据录入!$B4004&gt;=$B$2,数据录入!$B4004&lt;=$D$2),N(R4003)+1,N(R4003))</f>
      </c>
    </row>
    <row r="4005" s="44" customFormat="1" spans="1:23">
      <c r="A4005" s="116"/>
      <c r="E4005" s="108"/>
      <c r="F4005" s="114"/>
      <c r="G4005" s="114"/>
      <c r="H4005" s="114"/>
      <c r="Q4005" s="44">
        <f>IF(数据录入!$B4005="",0,IF(OR(数据录入!$D4005="投标保证金",数据录入!$D4005="合同履约保证金",ISNUMBER(FIND("保证金",数据录入!$E4005))),1,0))</f>
      </c>
      <c r="R4005" s="44">
        <f>IF(AND($Q4005=1,数据录入!$B4005&gt;=$B$2,数据录入!$B4005&lt;=$D$2),N(R4004)+1,N(R4004))</f>
      </c>
    </row>
    <row r="4006" s="44" customFormat="1" spans="1:23">
      <c r="A4006" s="116"/>
      <c r="E4006" s="108"/>
      <c r="F4006" s="114"/>
      <c r="G4006" s="114"/>
      <c r="H4006" s="114"/>
      <c r="Q4006" s="44">
        <f>IF(数据录入!$B4006="",0,IF(OR(数据录入!$D4006="投标保证金",数据录入!$D4006="合同履约保证金",ISNUMBER(FIND("保证金",数据录入!$E4006))),1,0))</f>
      </c>
      <c r="R4006" s="44">
        <f>IF(AND($Q4006=1,数据录入!$B4006&gt;=$B$2,数据录入!$B4006&lt;=$D$2),N(R4005)+1,N(R4005))</f>
      </c>
    </row>
    <row r="4007" s="44" customFormat="1" spans="1:23">
      <c r="A4007" s="116"/>
      <c r="E4007" s="108"/>
      <c r="F4007" s="114"/>
      <c r="G4007" s="114"/>
      <c r="H4007" s="114"/>
      <c r="Q4007" s="44">
        <f>IF(数据录入!$B4007="",0,IF(OR(数据录入!$D4007="投标保证金",数据录入!$D4007="合同履约保证金",ISNUMBER(FIND("保证金",数据录入!$E4007))),1,0))</f>
      </c>
      <c r="R4007" s="44">
        <f>IF(AND($Q4007=1,数据录入!$B4007&gt;=$B$2,数据录入!$B4007&lt;=$D$2),N(R4006)+1,N(R4006))</f>
      </c>
    </row>
    <row r="4008" s="44" customFormat="1" spans="1:23">
      <c r="A4008" s="116"/>
      <c r="E4008" s="108"/>
      <c r="F4008" s="114"/>
      <c r="G4008" s="114"/>
      <c r="H4008" s="114"/>
      <c r="Q4008" s="44">
        <f>IF(数据录入!$B4008="",0,IF(OR(数据录入!$D4008="投标保证金",数据录入!$D4008="合同履约保证金",ISNUMBER(FIND("保证金",数据录入!$E4008))),1,0))</f>
      </c>
      <c r="R4008" s="44">
        <f>IF(AND($Q4008=1,数据录入!$B4008&gt;=$B$2,数据录入!$B4008&lt;=$D$2),N(R4007)+1,N(R4007))</f>
      </c>
    </row>
    <row r="4009" s="44" customFormat="1" spans="1:23">
      <c r="A4009" s="116"/>
      <c r="E4009" s="108"/>
      <c r="F4009" s="114"/>
      <c r="G4009" s="114"/>
      <c r="H4009" s="114"/>
      <c r="Q4009" s="44">
        <f>IF(数据录入!$B4009="",0,IF(OR(数据录入!$D4009="投标保证金",数据录入!$D4009="合同履约保证金",ISNUMBER(FIND("保证金",数据录入!$E4009))),1,0))</f>
      </c>
      <c r="R4009" s="44">
        <f>IF(AND($Q4009=1,数据录入!$B4009&gt;=$B$2,数据录入!$B4009&lt;=$D$2),N(R4008)+1,N(R4008))</f>
      </c>
    </row>
    <row r="4010" s="44" customFormat="1" spans="1:23">
      <c r="A4010" s="116"/>
      <c r="E4010" s="108"/>
      <c r="F4010" s="114"/>
      <c r="G4010" s="114"/>
      <c r="H4010" s="114"/>
      <c r="Q4010" s="44">
        <f>IF(数据录入!$B4010="",0,IF(OR(数据录入!$D4010="投标保证金",数据录入!$D4010="合同履约保证金",ISNUMBER(FIND("保证金",数据录入!$E4010))),1,0))</f>
      </c>
      <c r="R4010" s="44">
        <f>IF(AND($Q4010=1,数据录入!$B4010&gt;=$B$2,数据录入!$B4010&lt;=$D$2),N(R4009)+1,N(R4009))</f>
      </c>
    </row>
    <row r="4011" s="44" customFormat="1" spans="1:23">
      <c r="A4011" s="116"/>
      <c r="E4011" s="108"/>
      <c r="F4011" s="114"/>
      <c r="G4011" s="114"/>
      <c r="H4011" s="114"/>
      <c r="Q4011" s="44">
        <f>IF(数据录入!$B4011="",0,IF(OR(数据录入!$D4011="投标保证金",数据录入!$D4011="合同履约保证金",ISNUMBER(FIND("保证金",数据录入!$E4011))),1,0))</f>
      </c>
      <c r="R4011" s="44">
        <f>IF(AND($Q4011=1,数据录入!$B4011&gt;=$B$2,数据录入!$B4011&lt;=$D$2),N(R4010)+1,N(R4010))</f>
      </c>
    </row>
    <row r="4012" s="44" customFormat="1" spans="1:23">
      <c r="A4012" s="116"/>
      <c r="E4012" s="108"/>
      <c r="F4012" s="114"/>
      <c r="G4012" s="114"/>
      <c r="H4012" s="114"/>
      <c r="Q4012" s="44">
        <f>IF(数据录入!$B4012="",0,IF(OR(数据录入!$D4012="投标保证金",数据录入!$D4012="合同履约保证金",ISNUMBER(FIND("保证金",数据录入!$E4012))),1,0))</f>
      </c>
      <c r="R4012" s="44">
        <f>IF(AND($Q4012=1,数据录入!$B4012&gt;=$B$2,数据录入!$B4012&lt;=$D$2),N(R4011)+1,N(R4011))</f>
      </c>
    </row>
    <row r="4013" s="44" customFormat="1" spans="1:23">
      <c r="A4013" s="116"/>
      <c r="E4013" s="108"/>
      <c r="F4013" s="114"/>
      <c r="G4013" s="114"/>
      <c r="H4013" s="114"/>
      <c r="Q4013" s="44">
        <f>IF(数据录入!$B4013="",0,IF(OR(数据录入!$D4013="投标保证金",数据录入!$D4013="合同履约保证金",ISNUMBER(FIND("保证金",数据录入!$E4013))),1,0))</f>
      </c>
      <c r="R4013" s="44">
        <f>IF(AND($Q4013=1,数据录入!$B4013&gt;=$B$2,数据录入!$B4013&lt;=$D$2),N(R4012)+1,N(R4012))</f>
      </c>
    </row>
    <row r="4014" s="44" customFormat="1" spans="1:23">
      <c r="A4014" s="116"/>
      <c r="E4014" s="108"/>
      <c r="F4014" s="114"/>
      <c r="G4014" s="114"/>
      <c r="H4014" s="114"/>
      <c r="Q4014" s="44">
        <f>IF(数据录入!$B4014="",0,IF(OR(数据录入!$D4014="投标保证金",数据录入!$D4014="合同履约保证金",ISNUMBER(FIND("保证金",数据录入!$E4014))),1,0))</f>
      </c>
      <c r="R4014" s="44">
        <f>IF(AND($Q4014=1,数据录入!$B4014&gt;=$B$2,数据录入!$B4014&lt;=$D$2),N(R4013)+1,N(R4013))</f>
      </c>
    </row>
    <row r="4015" s="44" customFormat="1" spans="1:23">
      <c r="A4015" s="116"/>
      <c r="E4015" s="108"/>
      <c r="F4015" s="114"/>
      <c r="G4015" s="114"/>
      <c r="H4015" s="114"/>
      <c r="Q4015" s="44">
        <f>IF(数据录入!$B4015="",0,IF(OR(数据录入!$D4015="投标保证金",数据录入!$D4015="合同履约保证金",ISNUMBER(FIND("保证金",数据录入!$E4015))),1,0))</f>
      </c>
      <c r="R4015" s="44">
        <f>IF(AND($Q4015=1,数据录入!$B4015&gt;=$B$2,数据录入!$B4015&lt;=$D$2),N(R4014)+1,N(R4014))</f>
      </c>
    </row>
    <row r="4016" s="44" customFormat="1" spans="1:23">
      <c r="A4016" s="116"/>
      <c r="E4016" s="108"/>
      <c r="F4016" s="114"/>
      <c r="G4016" s="114"/>
      <c r="H4016" s="114"/>
      <c r="Q4016" s="44">
        <f>IF(数据录入!$B4016="",0,IF(OR(数据录入!$D4016="投标保证金",数据录入!$D4016="合同履约保证金",ISNUMBER(FIND("保证金",数据录入!$E4016))),1,0))</f>
      </c>
      <c r="R4016" s="44">
        <f>IF(AND($Q4016=1,数据录入!$B4016&gt;=$B$2,数据录入!$B4016&lt;=$D$2),N(R4015)+1,N(R4015))</f>
      </c>
    </row>
    <row r="4017" s="44" customFormat="1" spans="1:23">
      <c r="A4017" s="116"/>
      <c r="E4017" s="108"/>
      <c r="F4017" s="114"/>
      <c r="G4017" s="114"/>
      <c r="H4017" s="114"/>
      <c r="Q4017" s="44">
        <f>IF(数据录入!$B4017="",0,IF(OR(数据录入!$D4017="投标保证金",数据录入!$D4017="合同履约保证金",ISNUMBER(FIND("保证金",数据录入!$E4017))),1,0))</f>
      </c>
      <c r="R4017" s="44">
        <f>IF(AND($Q4017=1,数据录入!$B4017&gt;=$B$2,数据录入!$B4017&lt;=$D$2),N(R4016)+1,N(R4016))</f>
      </c>
    </row>
    <row r="4018" s="44" customFormat="1" spans="1:23">
      <c r="A4018" s="116"/>
      <c r="E4018" s="108"/>
      <c r="F4018" s="114"/>
      <c r="G4018" s="114"/>
      <c r="H4018" s="114"/>
      <c r="Q4018" s="44">
        <f>IF(数据录入!$B4018="",0,IF(OR(数据录入!$D4018="投标保证金",数据录入!$D4018="合同履约保证金",ISNUMBER(FIND("保证金",数据录入!$E4018))),1,0))</f>
      </c>
      <c r="R4018" s="44">
        <f>IF(AND($Q4018=1,数据录入!$B4018&gt;=$B$2,数据录入!$B4018&lt;=$D$2),N(R4017)+1,N(R4017))</f>
      </c>
    </row>
    <row r="4019" s="44" customFormat="1" spans="1:23">
      <c r="A4019" s="116"/>
      <c r="E4019" s="108"/>
      <c r="F4019" s="114"/>
      <c r="G4019" s="114"/>
      <c r="H4019" s="114"/>
      <c r="Q4019" s="44">
        <f>IF(数据录入!$B4019="",0,IF(OR(数据录入!$D4019="投标保证金",数据录入!$D4019="合同履约保证金",ISNUMBER(FIND("保证金",数据录入!$E4019))),1,0))</f>
      </c>
      <c r="R4019" s="44">
        <f>IF(AND($Q4019=1,数据录入!$B4019&gt;=$B$2,数据录入!$B4019&lt;=$D$2),N(R4018)+1,N(R4018))</f>
      </c>
    </row>
    <row r="4020" s="44" customFormat="1" spans="1:23">
      <c r="A4020" s="116"/>
      <c r="E4020" s="108"/>
      <c r="F4020" s="114"/>
      <c r="G4020" s="114"/>
      <c r="H4020" s="114"/>
      <c r="Q4020" s="44">
        <f>IF(数据录入!$B4020="",0,IF(OR(数据录入!$D4020="投标保证金",数据录入!$D4020="合同履约保证金",ISNUMBER(FIND("保证金",数据录入!$E4020))),1,0))</f>
      </c>
      <c r="R4020" s="44">
        <f>IF(AND($Q4020=1,数据录入!$B4020&gt;=$B$2,数据录入!$B4020&lt;=$D$2),N(R4019)+1,N(R4019))</f>
      </c>
    </row>
    <row r="4021" s="44" customFormat="1" spans="1:23">
      <c r="A4021" s="116"/>
      <c r="E4021" s="108"/>
      <c r="F4021" s="114"/>
      <c r="G4021" s="114"/>
      <c r="H4021" s="114"/>
      <c r="Q4021" s="44">
        <f>IF(数据录入!$B4021="",0,IF(OR(数据录入!$D4021="投标保证金",数据录入!$D4021="合同履约保证金",ISNUMBER(FIND("保证金",数据录入!$E4021))),1,0))</f>
      </c>
      <c r="R4021" s="44">
        <f>IF(AND($Q4021=1,数据录入!$B4021&gt;=$B$2,数据录入!$B4021&lt;=$D$2),N(R4020)+1,N(R4020))</f>
      </c>
    </row>
    <row r="4022" s="44" customFormat="1" spans="1:23">
      <c r="A4022" s="116"/>
      <c r="E4022" s="108"/>
      <c r="F4022" s="114"/>
      <c r="G4022" s="114"/>
      <c r="H4022" s="114"/>
      <c r="Q4022" s="44">
        <f>IF(数据录入!$B4022="",0,IF(OR(数据录入!$D4022="投标保证金",数据录入!$D4022="合同履约保证金",ISNUMBER(FIND("保证金",数据录入!$E4022))),1,0))</f>
      </c>
      <c r="R4022" s="44">
        <f>IF(AND($Q4022=1,数据录入!$B4022&gt;=$B$2,数据录入!$B4022&lt;=$D$2),N(R4021)+1,N(R4021))</f>
      </c>
    </row>
    <row r="4023" s="44" customFormat="1" spans="1:23">
      <c r="A4023" s="116"/>
      <c r="E4023" s="108"/>
      <c r="F4023" s="114"/>
      <c r="G4023" s="114"/>
      <c r="H4023" s="114"/>
      <c r="Q4023" s="44">
        <f>IF(数据录入!$B4023="",0,IF(OR(数据录入!$D4023="投标保证金",数据录入!$D4023="合同履约保证金",ISNUMBER(FIND("保证金",数据录入!$E4023))),1,0))</f>
      </c>
      <c r="R4023" s="44">
        <f>IF(AND($Q4023=1,数据录入!$B4023&gt;=$B$2,数据录入!$B4023&lt;=$D$2),N(R4022)+1,N(R4022))</f>
      </c>
    </row>
    <row r="4024" s="44" customFormat="1" spans="1:23">
      <c r="A4024" s="116"/>
      <c r="E4024" s="108"/>
      <c r="F4024" s="114"/>
      <c r="G4024" s="114"/>
      <c r="H4024" s="114"/>
      <c r="Q4024" s="44">
        <f>IF(数据录入!$B4024="",0,IF(OR(数据录入!$D4024="投标保证金",数据录入!$D4024="合同履约保证金",ISNUMBER(FIND("保证金",数据录入!$E4024))),1,0))</f>
      </c>
      <c r="R4024" s="44">
        <f>IF(AND($Q4024=1,数据录入!$B4024&gt;=$B$2,数据录入!$B4024&lt;=$D$2),N(R4023)+1,N(R4023))</f>
      </c>
    </row>
    <row r="4025" s="44" customFormat="1" spans="1:23">
      <c r="A4025" s="116"/>
      <c r="E4025" s="108"/>
      <c r="F4025" s="114"/>
      <c r="G4025" s="114"/>
      <c r="H4025" s="114"/>
      <c r="Q4025" s="44">
        <f>IF(数据录入!$B4025="",0,IF(OR(数据录入!$D4025="投标保证金",数据录入!$D4025="合同履约保证金",ISNUMBER(FIND("保证金",数据录入!$E4025))),1,0))</f>
      </c>
      <c r="R4025" s="44">
        <f>IF(AND($Q4025=1,数据录入!$B4025&gt;=$B$2,数据录入!$B4025&lt;=$D$2),N(R4024)+1,N(R4024))</f>
      </c>
    </row>
    <row r="4026" s="44" customFormat="1" spans="1:23">
      <c r="A4026" s="116"/>
      <c r="E4026" s="108"/>
      <c r="F4026" s="114"/>
      <c r="G4026" s="114"/>
      <c r="H4026" s="114"/>
      <c r="Q4026" s="44">
        <f>IF(数据录入!$B4026="",0,IF(OR(数据录入!$D4026="投标保证金",数据录入!$D4026="合同履约保证金",ISNUMBER(FIND("保证金",数据录入!$E4026))),1,0))</f>
      </c>
      <c r="R4026" s="44">
        <f>IF(AND($Q4026=1,数据录入!$B4026&gt;=$B$2,数据录入!$B4026&lt;=$D$2),N(R4025)+1,N(R4025))</f>
      </c>
    </row>
    <row r="4027" s="44" customFormat="1" spans="1:23">
      <c r="A4027" s="116"/>
      <c r="E4027" s="108"/>
      <c r="F4027" s="114"/>
      <c r="G4027" s="114"/>
      <c r="H4027" s="114"/>
      <c r="Q4027" s="44">
        <f>IF(数据录入!$B4027="",0,IF(OR(数据录入!$D4027="投标保证金",数据录入!$D4027="合同履约保证金",ISNUMBER(FIND("保证金",数据录入!$E4027))),1,0))</f>
      </c>
      <c r="R4027" s="44">
        <f>IF(AND($Q4027=1,数据录入!$B4027&gt;=$B$2,数据录入!$B4027&lt;=$D$2),N(R4026)+1,N(R4026))</f>
      </c>
    </row>
    <row r="4028" s="44" customFormat="1" spans="1:23">
      <c r="A4028" s="116"/>
      <c r="E4028" s="108"/>
      <c r="F4028" s="114"/>
      <c r="G4028" s="114"/>
      <c r="H4028" s="114"/>
      <c r="Q4028" s="44">
        <f>IF(数据录入!$B4028="",0,IF(OR(数据录入!$D4028="投标保证金",数据录入!$D4028="合同履约保证金",ISNUMBER(FIND("保证金",数据录入!$E4028))),1,0))</f>
      </c>
      <c r="R4028" s="44">
        <f>IF(AND($Q4028=1,数据录入!$B4028&gt;=$B$2,数据录入!$B4028&lt;=$D$2),N(R4027)+1,N(R4027))</f>
      </c>
    </row>
    <row r="4029" s="44" customFormat="1" spans="1:23">
      <c r="A4029" s="116"/>
      <c r="E4029" s="108"/>
      <c r="F4029" s="114"/>
      <c r="G4029" s="114"/>
      <c r="H4029" s="114"/>
      <c r="Q4029" s="44">
        <f>IF(数据录入!$B4029="",0,IF(OR(数据录入!$D4029="投标保证金",数据录入!$D4029="合同履约保证金",ISNUMBER(FIND("保证金",数据录入!$E4029))),1,0))</f>
      </c>
      <c r="R4029" s="44">
        <f>IF(AND($Q4029=1,数据录入!$B4029&gt;=$B$2,数据录入!$B4029&lt;=$D$2),N(R4028)+1,N(R4028))</f>
      </c>
    </row>
    <row r="4030" s="44" customFormat="1" spans="1:23">
      <c r="A4030" s="116"/>
      <c r="E4030" s="108"/>
      <c r="F4030" s="114"/>
      <c r="G4030" s="114"/>
      <c r="H4030" s="114"/>
      <c r="Q4030" s="44">
        <f>IF(数据录入!$B4030="",0,IF(OR(数据录入!$D4030="投标保证金",数据录入!$D4030="合同履约保证金",ISNUMBER(FIND("保证金",数据录入!$E4030))),1,0))</f>
      </c>
      <c r="R4030" s="44">
        <f>IF(AND($Q4030=1,数据录入!$B4030&gt;=$B$2,数据录入!$B4030&lt;=$D$2),N(R4029)+1,N(R4029))</f>
      </c>
    </row>
    <row r="4031" s="44" customFormat="1" spans="1:23">
      <c r="A4031" s="116"/>
      <c r="E4031" s="108"/>
      <c r="F4031" s="114"/>
      <c r="G4031" s="114"/>
      <c r="H4031" s="114"/>
      <c r="Q4031" s="44">
        <f>IF(数据录入!$B4031="",0,IF(OR(数据录入!$D4031="投标保证金",数据录入!$D4031="合同履约保证金",ISNUMBER(FIND("保证金",数据录入!$E4031))),1,0))</f>
      </c>
      <c r="R4031" s="44">
        <f>IF(AND($Q4031=1,数据录入!$B4031&gt;=$B$2,数据录入!$B4031&lt;=$D$2),N(R4030)+1,N(R4030))</f>
      </c>
    </row>
    <row r="4032" s="44" customFormat="1" spans="1:23">
      <c r="A4032" s="116"/>
      <c r="E4032" s="108"/>
      <c r="F4032" s="114"/>
      <c r="G4032" s="114"/>
      <c r="H4032" s="114"/>
      <c r="Q4032" s="44">
        <f>IF(数据录入!$B4032="",0,IF(OR(数据录入!$D4032="投标保证金",数据录入!$D4032="合同履约保证金",ISNUMBER(FIND("保证金",数据录入!$E4032))),1,0))</f>
      </c>
      <c r="R4032" s="44">
        <f>IF(AND($Q4032=1,数据录入!$B4032&gt;=$B$2,数据录入!$B4032&lt;=$D$2),N(R4031)+1,N(R4031))</f>
      </c>
    </row>
    <row r="4033" s="44" customFormat="1" spans="1:23">
      <c r="A4033" s="116"/>
      <c r="E4033" s="108"/>
      <c r="F4033" s="114"/>
      <c r="G4033" s="114"/>
      <c r="H4033" s="114"/>
      <c r="Q4033" s="44">
        <f>IF(数据录入!$B4033="",0,IF(OR(数据录入!$D4033="投标保证金",数据录入!$D4033="合同履约保证金",ISNUMBER(FIND("保证金",数据录入!$E4033))),1,0))</f>
      </c>
      <c r="R4033" s="44">
        <f>IF(AND($Q4033=1,数据录入!$B4033&gt;=$B$2,数据录入!$B4033&lt;=$D$2),N(R4032)+1,N(R4032))</f>
      </c>
    </row>
    <row r="4034" s="44" customFormat="1" spans="1:23">
      <c r="A4034" s="116"/>
      <c r="E4034" s="108"/>
      <c r="F4034" s="114"/>
      <c r="G4034" s="114"/>
      <c r="H4034" s="114"/>
      <c r="Q4034" s="44">
        <f>IF(数据录入!$B4034="",0,IF(OR(数据录入!$D4034="投标保证金",数据录入!$D4034="合同履约保证金",ISNUMBER(FIND("保证金",数据录入!$E4034))),1,0))</f>
      </c>
      <c r="R4034" s="44">
        <f>IF(AND($Q4034=1,数据录入!$B4034&gt;=$B$2,数据录入!$B4034&lt;=$D$2),N(R4033)+1,N(R4033))</f>
      </c>
    </row>
    <row r="4035" s="44" customFormat="1" spans="1:23">
      <c r="A4035" s="116"/>
      <c r="E4035" s="108"/>
      <c r="F4035" s="114"/>
      <c r="G4035" s="114"/>
      <c r="H4035" s="114"/>
      <c r="Q4035" s="44">
        <f>IF(数据录入!$B4035="",0,IF(OR(数据录入!$D4035="投标保证金",数据录入!$D4035="合同履约保证金",ISNUMBER(FIND("保证金",数据录入!$E4035))),1,0))</f>
      </c>
      <c r="R4035" s="44">
        <f>IF(AND($Q4035=1,数据录入!$B4035&gt;=$B$2,数据录入!$B4035&lt;=$D$2),N(R4034)+1,N(R4034))</f>
      </c>
    </row>
    <row r="4036" s="44" customFormat="1" spans="1:23">
      <c r="A4036" s="116"/>
      <c r="E4036" s="108"/>
      <c r="F4036" s="114"/>
      <c r="G4036" s="114"/>
      <c r="H4036" s="114"/>
      <c r="Q4036" s="44">
        <f>IF(数据录入!$B4036="",0,IF(OR(数据录入!$D4036="投标保证金",数据录入!$D4036="合同履约保证金",ISNUMBER(FIND("保证金",数据录入!$E4036))),1,0))</f>
      </c>
      <c r="R4036" s="44">
        <f>IF(AND($Q4036=1,数据录入!$B4036&gt;=$B$2,数据录入!$B4036&lt;=$D$2),N(R4035)+1,N(R4035))</f>
      </c>
    </row>
    <row r="4037" s="44" customFormat="1" spans="1:23">
      <c r="A4037" s="116"/>
      <c r="E4037" s="108"/>
      <c r="F4037" s="114"/>
      <c r="G4037" s="114"/>
      <c r="H4037" s="114"/>
      <c r="Q4037" s="44">
        <f>IF(数据录入!$B4037="",0,IF(OR(数据录入!$D4037="投标保证金",数据录入!$D4037="合同履约保证金",ISNUMBER(FIND("保证金",数据录入!$E4037))),1,0))</f>
      </c>
      <c r="R4037" s="44">
        <f>IF(AND($Q4037=1,数据录入!$B4037&gt;=$B$2,数据录入!$B4037&lt;=$D$2),N(R4036)+1,N(R4036))</f>
      </c>
    </row>
    <row r="4038" s="44" customFormat="1" spans="1:23">
      <c r="A4038" s="116"/>
      <c r="E4038" s="108"/>
      <c r="F4038" s="114"/>
      <c r="G4038" s="114"/>
      <c r="H4038" s="114"/>
      <c r="Q4038" s="44">
        <f>IF(数据录入!$B4038="",0,IF(OR(数据录入!$D4038="投标保证金",数据录入!$D4038="合同履约保证金",ISNUMBER(FIND("保证金",数据录入!$E4038))),1,0))</f>
      </c>
      <c r="R4038" s="44">
        <f>IF(AND($Q4038=1,数据录入!$B4038&gt;=$B$2,数据录入!$B4038&lt;=$D$2),N(R4037)+1,N(R4037))</f>
      </c>
    </row>
    <row r="4039" s="44" customFormat="1" spans="1:23">
      <c r="A4039" s="116"/>
      <c r="E4039" s="108"/>
      <c r="F4039" s="114"/>
      <c r="G4039" s="114"/>
      <c r="H4039" s="114"/>
      <c r="Q4039" s="44">
        <f>IF(数据录入!$B4039="",0,IF(OR(数据录入!$D4039="投标保证金",数据录入!$D4039="合同履约保证金",ISNUMBER(FIND("保证金",数据录入!$E4039))),1,0))</f>
      </c>
      <c r="R4039" s="44">
        <f>IF(AND($Q4039=1,数据录入!$B4039&gt;=$B$2,数据录入!$B4039&lt;=$D$2),N(R4038)+1,N(R4038))</f>
      </c>
    </row>
    <row r="4040" s="44" customFormat="1" spans="1:23">
      <c r="A4040" s="116"/>
      <c r="E4040" s="108"/>
      <c r="F4040" s="114"/>
      <c r="G4040" s="114"/>
      <c r="H4040" s="114"/>
      <c r="Q4040" s="44">
        <f>IF(数据录入!$B4040="",0,IF(OR(数据录入!$D4040="投标保证金",数据录入!$D4040="合同履约保证金",ISNUMBER(FIND("保证金",数据录入!$E4040))),1,0))</f>
      </c>
      <c r="R4040" s="44">
        <f>IF(AND($Q4040=1,数据录入!$B4040&gt;=$B$2,数据录入!$B4040&lt;=$D$2),N(R4039)+1,N(R4039))</f>
      </c>
    </row>
    <row r="4041" s="44" customFormat="1" spans="1:23">
      <c r="A4041" s="116"/>
      <c r="E4041" s="108"/>
      <c r="F4041" s="114"/>
      <c r="G4041" s="114"/>
      <c r="H4041" s="114"/>
      <c r="Q4041" s="44">
        <f>IF(数据录入!$B4041="",0,IF(OR(数据录入!$D4041="投标保证金",数据录入!$D4041="合同履约保证金",ISNUMBER(FIND("保证金",数据录入!$E4041))),1,0))</f>
      </c>
      <c r="R4041" s="44">
        <f>IF(AND($Q4041=1,数据录入!$B4041&gt;=$B$2,数据录入!$B4041&lt;=$D$2),N(R4040)+1,N(R4040))</f>
      </c>
    </row>
    <row r="4042" s="44" customFormat="1" spans="1:23">
      <c r="A4042" s="116"/>
      <c r="E4042" s="108"/>
      <c r="F4042" s="114"/>
      <c r="G4042" s="114"/>
      <c r="H4042" s="114"/>
      <c r="Q4042" s="44">
        <f>IF(数据录入!$B4042="",0,IF(OR(数据录入!$D4042="投标保证金",数据录入!$D4042="合同履约保证金",ISNUMBER(FIND("保证金",数据录入!$E4042))),1,0))</f>
      </c>
      <c r="R4042" s="44">
        <f>IF(AND($Q4042=1,数据录入!$B4042&gt;=$B$2,数据录入!$B4042&lt;=$D$2),N(R4041)+1,N(R4041))</f>
      </c>
    </row>
    <row r="4043" s="44" customFormat="1" spans="1:23">
      <c r="A4043" s="116"/>
      <c r="E4043" s="108"/>
      <c r="F4043" s="114"/>
      <c r="G4043" s="114"/>
      <c r="H4043" s="114"/>
      <c r="Q4043" s="44">
        <f>IF(数据录入!$B4043="",0,IF(OR(数据录入!$D4043="投标保证金",数据录入!$D4043="合同履约保证金",ISNUMBER(FIND("保证金",数据录入!$E4043))),1,0))</f>
      </c>
      <c r="R4043" s="44">
        <f>IF(AND($Q4043=1,数据录入!$B4043&gt;=$B$2,数据录入!$B4043&lt;=$D$2),N(R4042)+1,N(R4042))</f>
      </c>
    </row>
    <row r="4044" s="44" customFormat="1" spans="1:23">
      <c r="A4044" s="116"/>
      <c r="E4044" s="108"/>
      <c r="F4044" s="114"/>
      <c r="G4044" s="114"/>
      <c r="H4044" s="114"/>
      <c r="Q4044" s="44">
        <f>IF(数据录入!$B4044="",0,IF(OR(数据录入!$D4044="投标保证金",数据录入!$D4044="合同履约保证金",ISNUMBER(FIND("保证金",数据录入!$E4044))),1,0))</f>
      </c>
      <c r="R4044" s="44">
        <f>IF(AND($Q4044=1,数据录入!$B4044&gt;=$B$2,数据录入!$B4044&lt;=$D$2),N(R4043)+1,N(R4043))</f>
      </c>
    </row>
    <row r="4045" s="44" customFormat="1" spans="1:23">
      <c r="A4045" s="116"/>
      <c r="E4045" s="108"/>
      <c r="F4045" s="114"/>
      <c r="G4045" s="114"/>
      <c r="H4045" s="114"/>
      <c r="Q4045" s="44">
        <f>IF(数据录入!$B4045="",0,IF(OR(数据录入!$D4045="投标保证金",数据录入!$D4045="合同履约保证金",ISNUMBER(FIND("保证金",数据录入!$E4045))),1,0))</f>
      </c>
      <c r="R4045" s="44">
        <f>IF(AND($Q4045=1,数据录入!$B4045&gt;=$B$2,数据录入!$B4045&lt;=$D$2),N(R4044)+1,N(R4044))</f>
      </c>
    </row>
    <row r="4046" s="44" customFormat="1" spans="1:23">
      <c r="A4046" s="116"/>
      <c r="E4046" s="108"/>
      <c r="F4046" s="114"/>
      <c r="G4046" s="114"/>
      <c r="H4046" s="114"/>
      <c r="Q4046" s="44">
        <f>IF(数据录入!$B4046="",0,IF(OR(数据录入!$D4046="投标保证金",数据录入!$D4046="合同履约保证金",ISNUMBER(FIND("保证金",数据录入!$E4046))),1,0))</f>
      </c>
      <c r="R4046" s="44">
        <f>IF(AND($Q4046=1,数据录入!$B4046&gt;=$B$2,数据录入!$B4046&lt;=$D$2),N(R4045)+1,N(R4045))</f>
      </c>
    </row>
    <row r="4047" s="44" customFormat="1" spans="1:23">
      <c r="A4047" s="116"/>
      <c r="E4047" s="108"/>
      <c r="F4047" s="114"/>
      <c r="G4047" s="114"/>
      <c r="H4047" s="114"/>
      <c r="Q4047" s="44">
        <f>IF(数据录入!$B4047="",0,IF(OR(数据录入!$D4047="投标保证金",数据录入!$D4047="合同履约保证金",ISNUMBER(FIND("保证金",数据录入!$E4047))),1,0))</f>
      </c>
      <c r="R4047" s="44">
        <f>IF(AND($Q4047=1,数据录入!$B4047&gt;=$B$2,数据录入!$B4047&lt;=$D$2),N(R4046)+1,N(R4046))</f>
      </c>
    </row>
    <row r="4048" s="44" customFormat="1" spans="1:23">
      <c r="A4048" s="116"/>
      <c r="E4048" s="108"/>
      <c r="F4048" s="114"/>
      <c r="G4048" s="114"/>
      <c r="H4048" s="114"/>
      <c r="Q4048" s="44">
        <f>IF(数据录入!$B4048="",0,IF(OR(数据录入!$D4048="投标保证金",数据录入!$D4048="合同履约保证金",ISNUMBER(FIND("保证金",数据录入!$E4048))),1,0))</f>
      </c>
      <c r="R4048" s="44">
        <f>IF(AND($Q4048=1,数据录入!$B4048&gt;=$B$2,数据录入!$B4048&lt;=$D$2),N(R4047)+1,N(R4047))</f>
      </c>
    </row>
    <row r="4049" s="44" customFormat="1" spans="1:23">
      <c r="A4049" s="116"/>
      <c r="E4049" s="108"/>
      <c r="F4049" s="114"/>
      <c r="G4049" s="114"/>
      <c r="H4049" s="114"/>
      <c r="Q4049" s="44">
        <f>IF(数据录入!$B4049="",0,IF(OR(数据录入!$D4049="投标保证金",数据录入!$D4049="合同履约保证金",ISNUMBER(FIND("保证金",数据录入!$E4049))),1,0))</f>
      </c>
      <c r="R4049" s="44">
        <f>IF(AND($Q4049=1,数据录入!$B4049&gt;=$B$2,数据录入!$B4049&lt;=$D$2),N(R4048)+1,N(R4048))</f>
      </c>
    </row>
    <row r="4050" s="44" customFormat="1" spans="1:23">
      <c r="A4050" s="116"/>
      <c r="E4050" s="108"/>
      <c r="F4050" s="114"/>
      <c r="G4050" s="114"/>
      <c r="H4050" s="114"/>
      <c r="Q4050" s="44">
        <f>IF(数据录入!$B4050="",0,IF(OR(数据录入!$D4050="投标保证金",数据录入!$D4050="合同履约保证金",ISNUMBER(FIND("保证金",数据录入!$E4050))),1,0))</f>
      </c>
      <c r="R4050" s="44">
        <f>IF(AND($Q4050=1,数据录入!$B4050&gt;=$B$2,数据录入!$B4050&lt;=$D$2),N(R4049)+1,N(R4049))</f>
      </c>
    </row>
    <row r="4051" s="44" customFormat="1" spans="1:23">
      <c r="A4051" s="116"/>
      <c r="E4051" s="108"/>
      <c r="F4051" s="114"/>
      <c r="G4051" s="114"/>
      <c r="H4051" s="114"/>
      <c r="Q4051" s="44">
        <f>IF(数据录入!$B4051="",0,IF(OR(数据录入!$D4051="投标保证金",数据录入!$D4051="合同履约保证金",ISNUMBER(FIND("保证金",数据录入!$E4051))),1,0))</f>
      </c>
      <c r="R4051" s="44">
        <f>IF(AND($Q4051=1,数据录入!$B4051&gt;=$B$2,数据录入!$B4051&lt;=$D$2),N(R4050)+1,N(R4050))</f>
      </c>
    </row>
    <row r="4052" s="44" customFormat="1" spans="1:23">
      <c r="A4052" s="116"/>
      <c r="E4052" s="108"/>
      <c r="F4052" s="114"/>
      <c r="G4052" s="114"/>
      <c r="H4052" s="114"/>
      <c r="Q4052" s="44">
        <f>IF(数据录入!$B4052="",0,IF(OR(数据录入!$D4052="投标保证金",数据录入!$D4052="合同履约保证金",ISNUMBER(FIND("保证金",数据录入!$E4052))),1,0))</f>
      </c>
      <c r="R4052" s="44">
        <f>IF(AND($Q4052=1,数据录入!$B4052&gt;=$B$2,数据录入!$B4052&lt;=$D$2),N(R4051)+1,N(R4051))</f>
      </c>
    </row>
    <row r="4053" s="44" customFormat="1" spans="1:23">
      <c r="A4053" s="116"/>
      <c r="E4053" s="108"/>
      <c r="F4053" s="114"/>
      <c r="G4053" s="114"/>
      <c r="H4053" s="114"/>
      <c r="Q4053" s="44">
        <f>IF(数据录入!$B4053="",0,IF(OR(数据录入!$D4053="投标保证金",数据录入!$D4053="合同履约保证金",ISNUMBER(FIND("保证金",数据录入!$E4053))),1,0))</f>
      </c>
      <c r="R4053" s="44">
        <f>IF(AND($Q4053=1,数据录入!$B4053&gt;=$B$2,数据录入!$B4053&lt;=$D$2),N(R4052)+1,N(R4052))</f>
      </c>
    </row>
    <row r="4054" s="44" customFormat="1" spans="1:23">
      <c r="A4054" s="116"/>
      <c r="E4054" s="108"/>
      <c r="F4054" s="114"/>
      <c r="G4054" s="114"/>
      <c r="H4054" s="114"/>
      <c r="Q4054" s="44">
        <f>IF(数据录入!$B4054="",0,IF(OR(数据录入!$D4054="投标保证金",数据录入!$D4054="合同履约保证金",ISNUMBER(FIND("保证金",数据录入!$E4054))),1,0))</f>
      </c>
      <c r="R4054" s="44">
        <f>IF(AND($Q4054=1,数据录入!$B4054&gt;=$B$2,数据录入!$B4054&lt;=$D$2),N(R4053)+1,N(R4053))</f>
      </c>
    </row>
    <row r="4055" s="44" customFormat="1" spans="1:23">
      <c r="A4055" s="116"/>
      <c r="E4055" s="108"/>
      <c r="F4055" s="114"/>
      <c r="G4055" s="114"/>
      <c r="H4055" s="114"/>
      <c r="Q4055" s="44">
        <f>IF(数据录入!$B4055="",0,IF(OR(数据录入!$D4055="投标保证金",数据录入!$D4055="合同履约保证金",ISNUMBER(FIND("保证金",数据录入!$E4055))),1,0))</f>
      </c>
      <c r="R4055" s="44">
        <f>IF(AND($Q4055=1,数据录入!$B4055&gt;=$B$2,数据录入!$B4055&lt;=$D$2),N(R4054)+1,N(R4054))</f>
      </c>
    </row>
    <row r="4056" s="44" customFormat="1" spans="1:23">
      <c r="A4056" s="116"/>
      <c r="E4056" s="108"/>
      <c r="F4056" s="114"/>
      <c r="G4056" s="114"/>
      <c r="H4056" s="114"/>
      <c r="Q4056" s="44">
        <f>IF(数据录入!$B4056="",0,IF(OR(数据录入!$D4056="投标保证金",数据录入!$D4056="合同履约保证金",ISNUMBER(FIND("保证金",数据录入!$E4056))),1,0))</f>
      </c>
      <c r="R4056" s="44">
        <f>IF(AND($Q4056=1,数据录入!$B4056&gt;=$B$2,数据录入!$B4056&lt;=$D$2),N(R4055)+1,N(R4055))</f>
      </c>
    </row>
    <row r="4057" s="44" customFormat="1" spans="1:23">
      <c r="A4057" s="116"/>
      <c r="E4057" s="108"/>
      <c r="F4057" s="114"/>
      <c r="G4057" s="114"/>
      <c r="H4057" s="114"/>
      <c r="Q4057" s="44">
        <f>IF(数据录入!$B4057="",0,IF(OR(数据录入!$D4057="投标保证金",数据录入!$D4057="合同履约保证金",ISNUMBER(FIND("保证金",数据录入!$E4057))),1,0))</f>
      </c>
      <c r="R4057" s="44">
        <f>IF(AND($Q4057=1,数据录入!$B4057&gt;=$B$2,数据录入!$B4057&lt;=$D$2),N(R4056)+1,N(R4056))</f>
      </c>
    </row>
    <row r="4058" s="44" customFormat="1" spans="1:23">
      <c r="A4058" s="116"/>
      <c r="E4058" s="108"/>
      <c r="F4058" s="114"/>
      <c r="G4058" s="114"/>
      <c r="H4058" s="114"/>
      <c r="Q4058" s="44">
        <f>IF(数据录入!$B4058="",0,IF(OR(数据录入!$D4058="投标保证金",数据录入!$D4058="合同履约保证金",ISNUMBER(FIND("保证金",数据录入!$E4058))),1,0))</f>
      </c>
      <c r="R4058" s="44">
        <f>IF(AND($Q4058=1,数据录入!$B4058&gt;=$B$2,数据录入!$B4058&lt;=$D$2),N(R4057)+1,N(R4057))</f>
      </c>
    </row>
    <row r="4059" s="44" customFormat="1" spans="1:23">
      <c r="A4059" s="116"/>
      <c r="E4059" s="108"/>
      <c r="F4059" s="114"/>
      <c r="G4059" s="114"/>
      <c r="H4059" s="114"/>
      <c r="Q4059" s="44">
        <f>IF(数据录入!$B4059="",0,IF(OR(数据录入!$D4059="投标保证金",数据录入!$D4059="合同履约保证金",ISNUMBER(FIND("保证金",数据录入!$E4059))),1,0))</f>
      </c>
      <c r="R4059" s="44">
        <f>IF(AND($Q4059=1,数据录入!$B4059&gt;=$B$2,数据录入!$B4059&lt;=$D$2),N(R4058)+1,N(R4058))</f>
      </c>
    </row>
    <row r="4060" s="44" customFormat="1" spans="1:23">
      <c r="A4060" s="116"/>
      <c r="E4060" s="108"/>
      <c r="F4060" s="114"/>
      <c r="G4060" s="114"/>
      <c r="H4060" s="114"/>
      <c r="Q4060" s="44">
        <f>IF(数据录入!$B4060="",0,IF(OR(数据录入!$D4060="投标保证金",数据录入!$D4060="合同履约保证金",ISNUMBER(FIND("保证金",数据录入!$E4060))),1,0))</f>
      </c>
      <c r="R4060" s="44">
        <f>IF(AND($Q4060=1,数据录入!$B4060&gt;=$B$2,数据录入!$B4060&lt;=$D$2),N(R4059)+1,N(R4059))</f>
      </c>
    </row>
    <row r="4061" s="44" customFormat="1" spans="1:23">
      <c r="A4061" s="116"/>
      <c r="E4061" s="108"/>
      <c r="F4061" s="114"/>
      <c r="G4061" s="114"/>
      <c r="H4061" s="114"/>
      <c r="Q4061" s="44">
        <f>IF(数据录入!$B4061="",0,IF(OR(数据录入!$D4061="投标保证金",数据录入!$D4061="合同履约保证金",ISNUMBER(FIND("保证金",数据录入!$E4061))),1,0))</f>
      </c>
      <c r="R4061" s="44">
        <f>IF(AND($Q4061=1,数据录入!$B4061&gt;=$B$2,数据录入!$B4061&lt;=$D$2),N(R4060)+1,N(R4060))</f>
      </c>
    </row>
    <row r="4062" s="44" customFormat="1" spans="1:23">
      <c r="A4062" s="116"/>
      <c r="E4062" s="108"/>
      <c r="F4062" s="114"/>
      <c r="G4062" s="114"/>
      <c r="H4062" s="114"/>
      <c r="Q4062" s="44">
        <f>IF(数据录入!$B4062="",0,IF(OR(数据录入!$D4062="投标保证金",数据录入!$D4062="合同履约保证金",ISNUMBER(FIND("保证金",数据录入!$E4062))),1,0))</f>
      </c>
      <c r="R4062" s="44">
        <f>IF(AND($Q4062=1,数据录入!$B4062&gt;=$B$2,数据录入!$B4062&lt;=$D$2),N(R4061)+1,N(R4061))</f>
      </c>
    </row>
    <row r="4063" s="44" customFormat="1" spans="1:23">
      <c r="A4063" s="116"/>
      <c r="E4063" s="108"/>
      <c r="F4063" s="114"/>
      <c r="G4063" s="114"/>
      <c r="H4063" s="114"/>
      <c r="Q4063" s="44">
        <f>IF(数据录入!$B4063="",0,IF(OR(数据录入!$D4063="投标保证金",数据录入!$D4063="合同履约保证金",ISNUMBER(FIND("保证金",数据录入!$E4063))),1,0))</f>
      </c>
      <c r="R4063" s="44">
        <f>IF(AND($Q4063=1,数据录入!$B4063&gt;=$B$2,数据录入!$B4063&lt;=$D$2),N(R4062)+1,N(R4062))</f>
      </c>
    </row>
    <row r="4064" s="44" customFormat="1" spans="1:23">
      <c r="A4064" s="116"/>
      <c r="E4064" s="108"/>
      <c r="F4064" s="114"/>
      <c r="G4064" s="114"/>
      <c r="H4064" s="114"/>
      <c r="Q4064" s="44">
        <f>IF(数据录入!$B4064="",0,IF(OR(数据录入!$D4064="投标保证金",数据录入!$D4064="合同履约保证金",ISNUMBER(FIND("保证金",数据录入!$E4064))),1,0))</f>
      </c>
      <c r="R4064" s="44">
        <f>IF(AND($Q4064=1,数据录入!$B4064&gt;=$B$2,数据录入!$B4064&lt;=$D$2),N(R4063)+1,N(R4063))</f>
      </c>
    </row>
    <row r="4065" s="44" customFormat="1" spans="1:23">
      <c r="A4065" s="116"/>
      <c r="E4065" s="108"/>
      <c r="F4065" s="114"/>
      <c r="G4065" s="114"/>
      <c r="H4065" s="114"/>
      <c r="Q4065" s="44">
        <f>IF(数据录入!$B4065="",0,IF(OR(数据录入!$D4065="投标保证金",数据录入!$D4065="合同履约保证金",ISNUMBER(FIND("保证金",数据录入!$E4065))),1,0))</f>
      </c>
      <c r="R4065" s="44">
        <f>IF(AND($Q4065=1,数据录入!$B4065&gt;=$B$2,数据录入!$B4065&lt;=$D$2),N(R4064)+1,N(R4064))</f>
      </c>
    </row>
    <row r="4066" s="44" customFormat="1" spans="1:23">
      <c r="A4066" s="116"/>
      <c r="E4066" s="108"/>
      <c r="F4066" s="114"/>
      <c r="G4066" s="114"/>
      <c r="H4066" s="114"/>
      <c r="Q4066" s="44">
        <f>IF(数据录入!$B4066="",0,IF(OR(数据录入!$D4066="投标保证金",数据录入!$D4066="合同履约保证金",ISNUMBER(FIND("保证金",数据录入!$E4066))),1,0))</f>
      </c>
      <c r="R4066" s="44">
        <f>IF(AND($Q4066=1,数据录入!$B4066&gt;=$B$2,数据录入!$B4066&lt;=$D$2),N(R4065)+1,N(R4065))</f>
      </c>
    </row>
    <row r="4067" s="44" customFormat="1" spans="1:23">
      <c r="A4067" s="116"/>
      <c r="E4067" s="108"/>
      <c r="F4067" s="114"/>
      <c r="G4067" s="114"/>
      <c r="H4067" s="114"/>
      <c r="Q4067" s="44">
        <f>IF(数据录入!$B4067="",0,IF(OR(数据录入!$D4067="投标保证金",数据录入!$D4067="合同履约保证金",ISNUMBER(FIND("保证金",数据录入!$E4067))),1,0))</f>
      </c>
      <c r="R4067" s="44">
        <f>IF(AND($Q4067=1,数据录入!$B4067&gt;=$B$2,数据录入!$B4067&lt;=$D$2),N(R4066)+1,N(R4066))</f>
      </c>
    </row>
    <row r="4068" s="44" customFormat="1" spans="1:23">
      <c r="A4068" s="116"/>
      <c r="E4068" s="108"/>
      <c r="F4068" s="114"/>
      <c r="G4068" s="114"/>
      <c r="H4068" s="114"/>
      <c r="Q4068" s="44">
        <f>IF(数据录入!$B4068="",0,IF(OR(数据录入!$D4068="投标保证金",数据录入!$D4068="合同履约保证金",ISNUMBER(FIND("保证金",数据录入!$E4068))),1,0))</f>
      </c>
      <c r="R4068" s="44">
        <f>IF(AND($Q4068=1,数据录入!$B4068&gt;=$B$2,数据录入!$B4068&lt;=$D$2),N(R4067)+1,N(R4067))</f>
      </c>
    </row>
    <row r="4069" s="44" customFormat="1" spans="1:23">
      <c r="A4069" s="116"/>
      <c r="E4069" s="108"/>
      <c r="F4069" s="114"/>
      <c r="G4069" s="114"/>
      <c r="H4069" s="114"/>
      <c r="Q4069" s="44">
        <f>IF(数据录入!$B4069="",0,IF(OR(数据录入!$D4069="投标保证金",数据录入!$D4069="合同履约保证金",ISNUMBER(FIND("保证金",数据录入!$E4069))),1,0))</f>
      </c>
      <c r="R4069" s="44">
        <f>IF(AND($Q4069=1,数据录入!$B4069&gt;=$B$2,数据录入!$B4069&lt;=$D$2),N(R4068)+1,N(R4068))</f>
      </c>
    </row>
    <row r="4070" s="44" customFormat="1" spans="1:23">
      <c r="A4070" s="116"/>
      <c r="E4070" s="108"/>
      <c r="F4070" s="114"/>
      <c r="G4070" s="114"/>
      <c r="H4070" s="114"/>
      <c r="Q4070" s="44">
        <f>IF(数据录入!$B4070="",0,IF(OR(数据录入!$D4070="投标保证金",数据录入!$D4070="合同履约保证金",ISNUMBER(FIND("保证金",数据录入!$E4070))),1,0))</f>
      </c>
      <c r="R4070" s="44">
        <f>IF(AND($Q4070=1,数据录入!$B4070&gt;=$B$2,数据录入!$B4070&lt;=$D$2),N(R4069)+1,N(R4069))</f>
      </c>
    </row>
    <row r="4071" s="44" customFormat="1" spans="1:23">
      <c r="A4071" s="116"/>
      <c r="E4071" s="108"/>
      <c r="F4071" s="114"/>
      <c r="G4071" s="114"/>
      <c r="H4071" s="114"/>
      <c r="Q4071" s="44">
        <f>IF(数据录入!$B4071="",0,IF(OR(数据录入!$D4071="投标保证金",数据录入!$D4071="合同履约保证金",ISNUMBER(FIND("保证金",数据录入!$E4071))),1,0))</f>
      </c>
      <c r="R4071" s="44">
        <f>IF(AND($Q4071=1,数据录入!$B4071&gt;=$B$2,数据录入!$B4071&lt;=$D$2),N(R4070)+1,N(R4070))</f>
      </c>
    </row>
    <row r="4072" s="44" customFormat="1" spans="1:23">
      <c r="A4072" s="116"/>
      <c r="E4072" s="108"/>
      <c r="F4072" s="114"/>
      <c r="G4072" s="114"/>
      <c r="H4072" s="114"/>
      <c r="Q4072" s="44">
        <f>IF(数据录入!$B4072="",0,IF(OR(数据录入!$D4072="投标保证金",数据录入!$D4072="合同履约保证金",ISNUMBER(FIND("保证金",数据录入!$E4072))),1,0))</f>
      </c>
      <c r="R4072" s="44">
        <f>IF(AND($Q4072=1,数据录入!$B4072&gt;=$B$2,数据录入!$B4072&lt;=$D$2),N(R4071)+1,N(R4071))</f>
      </c>
    </row>
    <row r="4073" s="44" customFormat="1" spans="1:23">
      <c r="A4073" s="116"/>
      <c r="E4073" s="108"/>
      <c r="F4073" s="114"/>
      <c r="G4073" s="114"/>
      <c r="H4073" s="114"/>
      <c r="Q4073" s="44">
        <f>IF(数据录入!$B4073="",0,IF(OR(数据录入!$D4073="投标保证金",数据录入!$D4073="合同履约保证金",ISNUMBER(FIND("保证金",数据录入!$E4073))),1,0))</f>
      </c>
      <c r="R4073" s="44">
        <f>IF(AND($Q4073=1,数据录入!$B4073&gt;=$B$2,数据录入!$B4073&lt;=$D$2),N(R4072)+1,N(R4072))</f>
      </c>
    </row>
    <row r="4074" s="44" customFormat="1" spans="1:23">
      <c r="A4074" s="116"/>
      <c r="E4074" s="108"/>
      <c r="F4074" s="114"/>
      <c r="G4074" s="114"/>
      <c r="H4074" s="114"/>
      <c r="Q4074" s="44">
        <f>IF(数据录入!$B4074="",0,IF(OR(数据录入!$D4074="投标保证金",数据录入!$D4074="合同履约保证金",ISNUMBER(FIND("保证金",数据录入!$E4074))),1,0))</f>
      </c>
      <c r="R4074" s="44">
        <f>IF(AND($Q4074=1,数据录入!$B4074&gt;=$B$2,数据录入!$B4074&lt;=$D$2),N(R4073)+1,N(R4073))</f>
      </c>
    </row>
    <row r="4075" s="44" customFormat="1" spans="1:23">
      <c r="A4075" s="116"/>
      <c r="E4075" s="108"/>
      <c r="F4075" s="114"/>
      <c r="G4075" s="114"/>
      <c r="H4075" s="114"/>
      <c r="Q4075" s="44">
        <f>IF(数据录入!$B4075="",0,IF(OR(数据录入!$D4075="投标保证金",数据录入!$D4075="合同履约保证金",ISNUMBER(FIND("保证金",数据录入!$E4075))),1,0))</f>
      </c>
      <c r="R4075" s="44">
        <f>IF(AND($Q4075=1,数据录入!$B4075&gt;=$B$2,数据录入!$B4075&lt;=$D$2),N(R4074)+1,N(R4074))</f>
      </c>
    </row>
    <row r="4076" s="44" customFormat="1" spans="1:23">
      <c r="A4076" s="116"/>
      <c r="E4076" s="108"/>
      <c r="F4076" s="114"/>
      <c r="G4076" s="114"/>
      <c r="H4076" s="114"/>
      <c r="Q4076" s="44">
        <f>IF(数据录入!$B4076="",0,IF(OR(数据录入!$D4076="投标保证金",数据录入!$D4076="合同履约保证金",ISNUMBER(FIND("保证金",数据录入!$E4076))),1,0))</f>
      </c>
      <c r="R4076" s="44">
        <f>IF(AND($Q4076=1,数据录入!$B4076&gt;=$B$2,数据录入!$B4076&lt;=$D$2),N(R4075)+1,N(R4075))</f>
      </c>
    </row>
    <row r="4077" s="44" customFormat="1" spans="1:23">
      <c r="A4077" s="116"/>
      <c r="E4077" s="108"/>
      <c r="F4077" s="114"/>
      <c r="G4077" s="114"/>
      <c r="H4077" s="114"/>
      <c r="Q4077" s="44">
        <f>IF(数据录入!$B4077="",0,IF(OR(数据录入!$D4077="投标保证金",数据录入!$D4077="合同履约保证金",ISNUMBER(FIND("保证金",数据录入!$E4077))),1,0))</f>
      </c>
      <c r="R4077" s="44">
        <f>IF(AND($Q4077=1,数据录入!$B4077&gt;=$B$2,数据录入!$B4077&lt;=$D$2),N(R4076)+1,N(R4076))</f>
      </c>
    </row>
    <row r="4078" s="44" customFormat="1" spans="1:23">
      <c r="A4078" s="116"/>
      <c r="E4078" s="108"/>
      <c r="F4078" s="114"/>
      <c r="G4078" s="114"/>
      <c r="H4078" s="114"/>
      <c r="Q4078" s="44">
        <f>IF(数据录入!$B4078="",0,IF(OR(数据录入!$D4078="投标保证金",数据录入!$D4078="合同履约保证金",ISNUMBER(FIND("保证金",数据录入!$E4078))),1,0))</f>
      </c>
      <c r="R4078" s="44">
        <f>IF(AND($Q4078=1,数据录入!$B4078&gt;=$B$2,数据录入!$B4078&lt;=$D$2),N(R4077)+1,N(R4077))</f>
      </c>
    </row>
    <row r="4079" s="44" customFormat="1" spans="1:23">
      <c r="A4079" s="116"/>
      <c r="E4079" s="108"/>
      <c r="F4079" s="114"/>
      <c r="G4079" s="114"/>
      <c r="H4079" s="114"/>
      <c r="Q4079" s="44">
        <f>IF(数据录入!$B4079="",0,IF(OR(数据录入!$D4079="投标保证金",数据录入!$D4079="合同履约保证金",ISNUMBER(FIND("保证金",数据录入!$E4079))),1,0))</f>
      </c>
      <c r="R4079" s="44">
        <f>IF(AND($Q4079=1,数据录入!$B4079&gt;=$B$2,数据录入!$B4079&lt;=$D$2),N(R4078)+1,N(R4078))</f>
      </c>
    </row>
    <row r="4080" s="44" customFormat="1" spans="1:23">
      <c r="A4080" s="116"/>
      <c r="E4080" s="108"/>
      <c r="F4080" s="114"/>
      <c r="G4080" s="114"/>
      <c r="H4080" s="114"/>
      <c r="Q4080" s="44">
        <f>IF(数据录入!$B4080="",0,IF(OR(数据录入!$D4080="投标保证金",数据录入!$D4080="合同履约保证金",ISNUMBER(FIND("保证金",数据录入!$E4080))),1,0))</f>
      </c>
      <c r="R4080" s="44">
        <f>IF(AND($Q4080=1,数据录入!$B4080&gt;=$B$2,数据录入!$B4080&lt;=$D$2),N(R4079)+1,N(R4079))</f>
      </c>
    </row>
    <row r="4081" s="44" customFormat="1" spans="1:23">
      <c r="A4081" s="116"/>
      <c r="E4081" s="108"/>
      <c r="F4081" s="114"/>
      <c r="G4081" s="114"/>
      <c r="H4081" s="114"/>
      <c r="Q4081" s="44">
        <f>IF(数据录入!$B4081="",0,IF(OR(数据录入!$D4081="投标保证金",数据录入!$D4081="合同履约保证金",ISNUMBER(FIND("保证金",数据录入!$E4081))),1,0))</f>
      </c>
      <c r="R4081" s="44">
        <f>IF(AND($Q4081=1,数据录入!$B4081&gt;=$B$2,数据录入!$B4081&lt;=$D$2),N(R4080)+1,N(R4080))</f>
      </c>
    </row>
    <row r="4082" s="44" customFormat="1" spans="1:23">
      <c r="A4082" s="116"/>
      <c r="E4082" s="108"/>
      <c r="F4082" s="114"/>
      <c r="G4082" s="114"/>
      <c r="H4082" s="114"/>
      <c r="Q4082" s="44">
        <f>IF(数据录入!$B4082="",0,IF(OR(数据录入!$D4082="投标保证金",数据录入!$D4082="合同履约保证金",ISNUMBER(FIND("保证金",数据录入!$E4082))),1,0))</f>
      </c>
      <c r="R4082" s="44">
        <f>IF(AND($Q4082=1,数据录入!$B4082&gt;=$B$2,数据录入!$B4082&lt;=$D$2),N(R4081)+1,N(R4081))</f>
      </c>
    </row>
    <row r="4083" s="44" customFormat="1" spans="1:23">
      <c r="A4083" s="116"/>
      <c r="E4083" s="108"/>
      <c r="F4083" s="114"/>
      <c r="G4083" s="114"/>
      <c r="H4083" s="114"/>
      <c r="Q4083" s="44">
        <f>IF(数据录入!$B4083="",0,IF(OR(数据录入!$D4083="投标保证金",数据录入!$D4083="合同履约保证金",ISNUMBER(FIND("保证金",数据录入!$E4083))),1,0))</f>
      </c>
      <c r="R4083" s="44">
        <f>IF(AND($Q4083=1,数据录入!$B4083&gt;=$B$2,数据录入!$B4083&lt;=$D$2),N(R4082)+1,N(R4082))</f>
      </c>
    </row>
    <row r="4084" s="44" customFormat="1" spans="1:23">
      <c r="A4084" s="116"/>
      <c r="E4084" s="108"/>
      <c r="F4084" s="114"/>
      <c r="G4084" s="114"/>
      <c r="H4084" s="114"/>
      <c r="Q4084" s="44">
        <f>IF(数据录入!$B4084="",0,IF(OR(数据录入!$D4084="投标保证金",数据录入!$D4084="合同履约保证金",ISNUMBER(FIND("保证金",数据录入!$E4084))),1,0))</f>
      </c>
      <c r="R4084" s="44">
        <f>IF(AND($Q4084=1,数据录入!$B4084&gt;=$B$2,数据录入!$B4084&lt;=$D$2),N(R4083)+1,N(R4083))</f>
      </c>
    </row>
    <row r="4085" s="44" customFormat="1" spans="1:23">
      <c r="A4085" s="116"/>
      <c r="E4085" s="108"/>
      <c r="F4085" s="114"/>
      <c r="G4085" s="114"/>
      <c r="H4085" s="114"/>
      <c r="Q4085" s="44">
        <f>IF(数据录入!$B4085="",0,IF(OR(数据录入!$D4085="投标保证金",数据录入!$D4085="合同履约保证金",ISNUMBER(FIND("保证金",数据录入!$E4085))),1,0))</f>
      </c>
      <c r="R4085" s="44">
        <f>IF(AND($Q4085=1,数据录入!$B4085&gt;=$B$2,数据录入!$B4085&lt;=$D$2),N(R4084)+1,N(R4084))</f>
      </c>
    </row>
    <row r="4086" s="44" customFormat="1" spans="1:23">
      <c r="A4086" s="116"/>
      <c r="E4086" s="108"/>
      <c r="F4086" s="114"/>
      <c r="G4086" s="114"/>
      <c r="H4086" s="114"/>
      <c r="Q4086" s="44">
        <f>IF(数据录入!$B4086="",0,IF(OR(数据录入!$D4086="投标保证金",数据录入!$D4086="合同履约保证金",ISNUMBER(FIND("保证金",数据录入!$E4086))),1,0))</f>
      </c>
      <c r="R4086" s="44">
        <f>IF(AND($Q4086=1,数据录入!$B4086&gt;=$B$2,数据录入!$B4086&lt;=$D$2),N(R4085)+1,N(R4085))</f>
      </c>
    </row>
    <row r="4087" s="44" customFormat="1" spans="1:23">
      <c r="A4087" s="116"/>
      <c r="E4087" s="108"/>
      <c r="F4087" s="114"/>
      <c r="G4087" s="114"/>
      <c r="H4087" s="114"/>
      <c r="Q4087" s="44">
        <f>IF(数据录入!$B4087="",0,IF(OR(数据录入!$D4087="投标保证金",数据录入!$D4087="合同履约保证金",ISNUMBER(FIND("保证金",数据录入!$E4087))),1,0))</f>
      </c>
      <c r="R4087" s="44">
        <f>IF(AND($Q4087=1,数据录入!$B4087&gt;=$B$2,数据录入!$B4087&lt;=$D$2),N(R4086)+1,N(R4086))</f>
      </c>
    </row>
    <row r="4088" s="44" customFormat="1" spans="1:23">
      <c r="A4088" s="116"/>
      <c r="E4088" s="108"/>
      <c r="F4088" s="114"/>
      <c r="G4088" s="114"/>
      <c r="H4088" s="114"/>
      <c r="Q4088" s="44">
        <f>IF(数据录入!$B4088="",0,IF(OR(数据录入!$D4088="投标保证金",数据录入!$D4088="合同履约保证金",ISNUMBER(FIND("保证金",数据录入!$E4088))),1,0))</f>
      </c>
      <c r="R4088" s="44">
        <f>IF(AND($Q4088=1,数据录入!$B4088&gt;=$B$2,数据录入!$B4088&lt;=$D$2),N(R4087)+1,N(R4087))</f>
      </c>
    </row>
    <row r="4089" s="44" customFormat="1" spans="1:23">
      <c r="A4089" s="116"/>
      <c r="E4089" s="108"/>
      <c r="F4089" s="114"/>
      <c r="G4089" s="114"/>
      <c r="H4089" s="114"/>
      <c r="Q4089" s="44">
        <f>IF(数据录入!$B4089="",0,IF(OR(数据录入!$D4089="投标保证金",数据录入!$D4089="合同履约保证金",ISNUMBER(FIND("保证金",数据录入!$E4089))),1,0))</f>
      </c>
      <c r="R4089" s="44">
        <f>IF(AND($Q4089=1,数据录入!$B4089&gt;=$B$2,数据录入!$B4089&lt;=$D$2),N(R4088)+1,N(R4088))</f>
      </c>
    </row>
    <row r="4090" s="44" customFormat="1" spans="1:23">
      <c r="A4090" s="116"/>
      <c r="E4090" s="108"/>
      <c r="F4090" s="114"/>
      <c r="G4090" s="114"/>
      <c r="H4090" s="114"/>
      <c r="Q4090" s="44">
        <f>IF(数据录入!$B4090="",0,IF(OR(数据录入!$D4090="投标保证金",数据录入!$D4090="合同履约保证金",ISNUMBER(FIND("保证金",数据录入!$E4090))),1,0))</f>
      </c>
      <c r="R4090" s="44">
        <f>IF(AND($Q4090=1,数据录入!$B4090&gt;=$B$2,数据录入!$B4090&lt;=$D$2),N(R4089)+1,N(R4089))</f>
      </c>
    </row>
    <row r="4091" s="44" customFormat="1" spans="1:23">
      <c r="A4091" s="116"/>
      <c r="E4091" s="108"/>
      <c r="F4091" s="114"/>
      <c r="G4091" s="114"/>
      <c r="H4091" s="114"/>
      <c r="Q4091" s="44">
        <f>IF(数据录入!$B4091="",0,IF(OR(数据录入!$D4091="投标保证金",数据录入!$D4091="合同履约保证金",ISNUMBER(FIND("保证金",数据录入!$E4091))),1,0))</f>
      </c>
      <c r="R4091" s="44">
        <f>IF(AND($Q4091=1,数据录入!$B4091&gt;=$B$2,数据录入!$B4091&lt;=$D$2),N(R4090)+1,N(R4090))</f>
      </c>
    </row>
    <row r="4092" s="44" customFormat="1" spans="1:23">
      <c r="A4092" s="116"/>
      <c r="E4092" s="108"/>
      <c r="F4092" s="114"/>
      <c r="G4092" s="114"/>
      <c r="H4092" s="114"/>
      <c r="Q4092" s="44">
        <f>IF(数据录入!$B4092="",0,IF(OR(数据录入!$D4092="投标保证金",数据录入!$D4092="合同履约保证金",ISNUMBER(FIND("保证金",数据录入!$E4092))),1,0))</f>
      </c>
      <c r="R4092" s="44">
        <f>IF(AND($Q4092=1,数据录入!$B4092&gt;=$B$2,数据录入!$B4092&lt;=$D$2),N(R4091)+1,N(R4091))</f>
      </c>
    </row>
    <row r="4093" s="44" customFormat="1" spans="1:23">
      <c r="A4093" s="116"/>
      <c r="E4093" s="108"/>
      <c r="F4093" s="114"/>
      <c r="G4093" s="114"/>
      <c r="H4093" s="114"/>
      <c r="Q4093" s="44">
        <f>IF(数据录入!$B4093="",0,IF(OR(数据录入!$D4093="投标保证金",数据录入!$D4093="合同履约保证金",ISNUMBER(FIND("保证金",数据录入!$E4093))),1,0))</f>
      </c>
      <c r="R4093" s="44">
        <f>IF(AND($Q4093=1,数据录入!$B4093&gt;=$B$2,数据录入!$B4093&lt;=$D$2),N(R4092)+1,N(R4092))</f>
      </c>
    </row>
    <row r="4094" s="44" customFormat="1" spans="1:23">
      <c r="A4094" s="116"/>
      <c r="E4094" s="108"/>
      <c r="F4094" s="114"/>
      <c r="G4094" s="114"/>
      <c r="H4094" s="114"/>
      <c r="Q4094" s="44">
        <f>IF(数据录入!$B4094="",0,IF(OR(数据录入!$D4094="投标保证金",数据录入!$D4094="合同履约保证金",ISNUMBER(FIND("保证金",数据录入!$E4094))),1,0))</f>
      </c>
      <c r="R4094" s="44">
        <f>IF(AND($Q4094=1,数据录入!$B4094&gt;=$B$2,数据录入!$B4094&lt;=$D$2),N(R4093)+1,N(R4093))</f>
      </c>
    </row>
    <row r="4095" s="44" customFormat="1" spans="1:23">
      <c r="A4095" s="116"/>
      <c r="E4095" s="108"/>
      <c r="F4095" s="114"/>
      <c r="G4095" s="114"/>
      <c r="H4095" s="114"/>
      <c r="Q4095" s="44">
        <f>IF(数据录入!$B4095="",0,IF(OR(数据录入!$D4095="投标保证金",数据录入!$D4095="合同履约保证金",ISNUMBER(FIND("保证金",数据录入!$E4095))),1,0))</f>
      </c>
      <c r="R4095" s="44">
        <f>IF(AND($Q4095=1,数据录入!$B4095&gt;=$B$2,数据录入!$B4095&lt;=$D$2),N(R4094)+1,N(R4094))</f>
      </c>
    </row>
    <row r="4096" s="44" customFormat="1" spans="1:23">
      <c r="A4096" s="116"/>
      <c r="E4096" s="108"/>
      <c r="F4096" s="114"/>
      <c r="G4096" s="114"/>
      <c r="H4096" s="114"/>
      <c r="Q4096" s="44">
        <f>IF(数据录入!$B4096="",0,IF(OR(数据录入!$D4096="投标保证金",数据录入!$D4096="合同履约保证金",ISNUMBER(FIND("保证金",数据录入!$E4096))),1,0))</f>
      </c>
      <c r="R4096" s="44">
        <f>IF(AND($Q4096=1,数据录入!$B4096&gt;=$B$2,数据录入!$B4096&lt;=$D$2),N(R4095)+1,N(R4095))</f>
      </c>
    </row>
    <row r="4097" s="44" customFormat="1" spans="1:23">
      <c r="A4097" s="116"/>
      <c r="E4097" s="108"/>
      <c r="F4097" s="114"/>
      <c r="G4097" s="114"/>
      <c r="H4097" s="114"/>
      <c r="Q4097" s="44">
        <f>IF(数据录入!$B4097="",0,IF(OR(数据录入!$D4097="投标保证金",数据录入!$D4097="合同履约保证金",ISNUMBER(FIND("保证金",数据录入!$E4097))),1,0))</f>
      </c>
      <c r="R4097" s="44">
        <f>IF(AND($Q4097=1,数据录入!$B4097&gt;=$B$2,数据录入!$B4097&lt;=$D$2),N(R4096)+1,N(R4096))</f>
      </c>
    </row>
    <row r="4098" s="44" customFormat="1" spans="1:23">
      <c r="A4098" s="116"/>
      <c r="E4098" s="108"/>
      <c r="F4098" s="114"/>
      <c r="G4098" s="114"/>
      <c r="H4098" s="114"/>
      <c r="Q4098" s="44">
        <f>IF(数据录入!$B4098="",0,IF(OR(数据录入!$D4098="投标保证金",数据录入!$D4098="合同履约保证金",ISNUMBER(FIND("保证金",数据录入!$E4098))),1,0))</f>
      </c>
      <c r="R4098" s="44">
        <f>IF(AND($Q4098=1,数据录入!$B4098&gt;=$B$2,数据录入!$B4098&lt;=$D$2),N(R4097)+1,N(R4097))</f>
      </c>
    </row>
    <row r="4099" s="44" customFormat="1" spans="1:23">
      <c r="A4099" s="116"/>
      <c r="E4099" s="108"/>
      <c r="F4099" s="114"/>
      <c r="G4099" s="114"/>
      <c r="H4099" s="114"/>
      <c r="Q4099" s="44">
        <f>IF(数据录入!$B4099="",0,IF(OR(数据录入!$D4099="投标保证金",数据录入!$D4099="合同履约保证金",ISNUMBER(FIND("保证金",数据录入!$E4099))),1,0))</f>
      </c>
      <c r="R4099" s="44">
        <f>IF(AND($Q4099=1,数据录入!$B4099&gt;=$B$2,数据录入!$B4099&lt;=$D$2),N(R4098)+1,N(R4098))</f>
      </c>
    </row>
    <row r="4100" s="44" customFormat="1" spans="1:23">
      <c r="A4100" s="116"/>
      <c r="E4100" s="108"/>
      <c r="F4100" s="114"/>
      <c r="G4100" s="114"/>
      <c r="H4100" s="114"/>
      <c r="Q4100" s="44">
        <f>IF(数据录入!$B4100="",0,IF(OR(数据录入!$D4100="投标保证金",数据录入!$D4100="合同履约保证金",ISNUMBER(FIND("保证金",数据录入!$E4100))),1,0))</f>
      </c>
      <c r="R4100" s="44">
        <f>IF(AND($Q4100=1,数据录入!$B4100&gt;=$B$2,数据录入!$B4100&lt;=$D$2),N(R4099)+1,N(R4099))</f>
      </c>
    </row>
    <row r="4101" s="44" customFormat="1" spans="1:23">
      <c r="A4101" s="116"/>
      <c r="E4101" s="108"/>
      <c r="F4101" s="114"/>
      <c r="G4101" s="114"/>
      <c r="H4101" s="114"/>
      <c r="Q4101" s="44">
        <f>IF(数据录入!$B4101="",0,IF(OR(数据录入!$D4101="投标保证金",数据录入!$D4101="合同履约保证金",ISNUMBER(FIND("保证金",数据录入!$E4101))),1,0))</f>
      </c>
      <c r="R4101" s="44">
        <f>IF(AND($Q4101=1,数据录入!$B4101&gt;=$B$2,数据录入!$B4101&lt;=$D$2),N(R4100)+1,N(R4100))</f>
      </c>
    </row>
    <row r="4102" s="44" customFormat="1" spans="1:23">
      <c r="A4102" s="116"/>
      <c r="E4102" s="108"/>
      <c r="F4102" s="114"/>
      <c r="G4102" s="114"/>
      <c r="H4102" s="114"/>
      <c r="Q4102" s="44">
        <f>IF(数据录入!$B4102="",0,IF(OR(数据录入!$D4102="投标保证金",数据录入!$D4102="合同履约保证金",ISNUMBER(FIND("保证金",数据录入!$E4102))),1,0))</f>
      </c>
      <c r="R4102" s="44">
        <f>IF(AND($Q4102=1,数据录入!$B4102&gt;=$B$2,数据录入!$B4102&lt;=$D$2),N(R4101)+1,N(R4101))</f>
      </c>
    </row>
    <row r="4103" s="44" customFormat="1" spans="1:23">
      <c r="A4103" s="116"/>
      <c r="E4103" s="108"/>
      <c r="F4103" s="114"/>
      <c r="G4103" s="114"/>
      <c r="H4103" s="114"/>
      <c r="Q4103" s="44">
        <f>IF(数据录入!$B4103="",0,IF(OR(数据录入!$D4103="投标保证金",数据录入!$D4103="合同履约保证金",ISNUMBER(FIND("保证金",数据录入!$E4103))),1,0))</f>
      </c>
      <c r="R4103" s="44">
        <f>IF(AND($Q4103=1,数据录入!$B4103&gt;=$B$2,数据录入!$B4103&lt;=$D$2),N(R4102)+1,N(R4102))</f>
      </c>
    </row>
    <row r="4104" s="44" customFormat="1" spans="1:23">
      <c r="A4104" s="116"/>
      <c r="E4104" s="108"/>
      <c r="F4104" s="114"/>
      <c r="G4104" s="114"/>
      <c r="H4104" s="114"/>
      <c r="Q4104" s="44">
        <f>IF(数据录入!$B4104="",0,IF(OR(数据录入!$D4104="投标保证金",数据录入!$D4104="合同履约保证金",ISNUMBER(FIND("保证金",数据录入!$E4104))),1,0))</f>
      </c>
      <c r="R4104" s="44">
        <f>IF(AND($Q4104=1,数据录入!$B4104&gt;=$B$2,数据录入!$B4104&lt;=$D$2),N(R4103)+1,N(R4103))</f>
      </c>
    </row>
    <row r="4105" s="44" customFormat="1" spans="1:23">
      <c r="A4105" s="116"/>
      <c r="E4105" s="108"/>
      <c r="F4105" s="114"/>
      <c r="G4105" s="114"/>
      <c r="H4105" s="114"/>
      <c r="Q4105" s="44">
        <f>IF(数据录入!$B4105="",0,IF(OR(数据录入!$D4105="投标保证金",数据录入!$D4105="合同履约保证金",ISNUMBER(FIND("保证金",数据录入!$E4105))),1,0))</f>
      </c>
      <c r="R4105" s="44">
        <f>IF(AND($Q4105=1,数据录入!$B4105&gt;=$B$2,数据录入!$B4105&lt;=$D$2),N(R4104)+1,N(R4104))</f>
      </c>
    </row>
    <row r="4106" s="44" customFormat="1" spans="1:23">
      <c r="A4106" s="116"/>
      <c r="E4106" s="108"/>
      <c r="F4106" s="114"/>
      <c r="G4106" s="114"/>
      <c r="H4106" s="114"/>
      <c r="Q4106" s="44">
        <f>IF(数据录入!$B4106="",0,IF(OR(数据录入!$D4106="投标保证金",数据录入!$D4106="合同履约保证金",ISNUMBER(FIND("保证金",数据录入!$E4106))),1,0))</f>
      </c>
      <c r="R4106" s="44">
        <f>IF(AND($Q4106=1,数据录入!$B4106&gt;=$B$2,数据录入!$B4106&lt;=$D$2),N(R4105)+1,N(R4105))</f>
      </c>
    </row>
    <row r="4107" s="44" customFormat="1" spans="1:23">
      <c r="A4107" s="116"/>
      <c r="E4107" s="108"/>
      <c r="F4107" s="114"/>
      <c r="G4107" s="114"/>
      <c r="H4107" s="114"/>
      <c r="Q4107" s="44">
        <f>IF(数据录入!$B4107="",0,IF(OR(数据录入!$D4107="投标保证金",数据录入!$D4107="合同履约保证金",ISNUMBER(FIND("保证金",数据录入!$E4107))),1,0))</f>
      </c>
      <c r="R4107" s="44">
        <f>IF(AND($Q4107=1,数据录入!$B4107&gt;=$B$2,数据录入!$B4107&lt;=$D$2),N(R4106)+1,N(R4106))</f>
      </c>
    </row>
    <row r="4108" s="44" customFormat="1" spans="1:23">
      <c r="A4108" s="116"/>
      <c r="E4108" s="108"/>
      <c r="F4108" s="114"/>
      <c r="G4108" s="114"/>
      <c r="H4108" s="114"/>
      <c r="Q4108" s="44">
        <f>IF(数据录入!$B4108="",0,IF(OR(数据录入!$D4108="投标保证金",数据录入!$D4108="合同履约保证金",ISNUMBER(FIND("保证金",数据录入!$E4108))),1,0))</f>
      </c>
      <c r="R4108" s="44">
        <f>IF(AND($Q4108=1,数据录入!$B4108&gt;=$B$2,数据录入!$B4108&lt;=$D$2),N(R4107)+1,N(R4107))</f>
      </c>
    </row>
    <row r="4109" s="44" customFormat="1" spans="1:23">
      <c r="A4109" s="116"/>
      <c r="E4109" s="108"/>
      <c r="F4109" s="114"/>
      <c r="G4109" s="114"/>
      <c r="H4109" s="114"/>
      <c r="Q4109" s="44">
        <f>IF(数据录入!$B4109="",0,IF(OR(数据录入!$D4109="投标保证金",数据录入!$D4109="合同履约保证金",ISNUMBER(FIND("保证金",数据录入!$E4109))),1,0))</f>
      </c>
      <c r="R4109" s="44">
        <f>IF(AND($Q4109=1,数据录入!$B4109&gt;=$B$2,数据录入!$B4109&lt;=$D$2),N(R4108)+1,N(R4108))</f>
      </c>
    </row>
    <row r="4110" s="44" customFormat="1" spans="1:23">
      <c r="A4110" s="116"/>
      <c r="E4110" s="108"/>
      <c r="F4110" s="114"/>
      <c r="G4110" s="114"/>
      <c r="H4110" s="114"/>
      <c r="Q4110" s="44">
        <f>IF(数据录入!$B4110="",0,IF(OR(数据录入!$D4110="投标保证金",数据录入!$D4110="合同履约保证金",ISNUMBER(FIND("保证金",数据录入!$E4110))),1,0))</f>
      </c>
      <c r="R4110" s="44">
        <f>IF(AND($Q4110=1,数据录入!$B4110&gt;=$B$2,数据录入!$B4110&lt;=$D$2),N(R4109)+1,N(R4109))</f>
      </c>
    </row>
    <row r="4111" s="44" customFormat="1" spans="1:23">
      <c r="A4111" s="116"/>
      <c r="E4111" s="108"/>
      <c r="F4111" s="114"/>
      <c r="G4111" s="114"/>
      <c r="H4111" s="114"/>
      <c r="Q4111" s="44">
        <f>IF(数据录入!$B4111="",0,IF(OR(数据录入!$D4111="投标保证金",数据录入!$D4111="合同履约保证金",ISNUMBER(FIND("保证金",数据录入!$E4111))),1,0))</f>
      </c>
      <c r="R4111" s="44">
        <f>IF(AND($Q4111=1,数据录入!$B4111&gt;=$B$2,数据录入!$B4111&lt;=$D$2),N(R4110)+1,N(R4110))</f>
      </c>
    </row>
    <row r="4112" s="44" customFormat="1" spans="1:23">
      <c r="A4112" s="116"/>
      <c r="E4112" s="108"/>
      <c r="F4112" s="114"/>
      <c r="G4112" s="114"/>
      <c r="H4112" s="114"/>
      <c r="Q4112" s="44">
        <f>IF(数据录入!$B4112="",0,IF(OR(数据录入!$D4112="投标保证金",数据录入!$D4112="合同履约保证金",ISNUMBER(FIND("保证金",数据录入!$E4112))),1,0))</f>
      </c>
      <c r="R4112" s="44">
        <f>IF(AND($Q4112=1,数据录入!$B4112&gt;=$B$2,数据录入!$B4112&lt;=$D$2),N(R4111)+1,N(R4111))</f>
      </c>
    </row>
    <row r="4113" s="44" customFormat="1" spans="1:23">
      <c r="A4113" s="116"/>
      <c r="E4113" s="108"/>
      <c r="F4113" s="114"/>
      <c r="G4113" s="114"/>
      <c r="H4113" s="114"/>
      <c r="Q4113" s="44">
        <f>IF(数据录入!$B4113="",0,IF(OR(数据录入!$D4113="投标保证金",数据录入!$D4113="合同履约保证金",ISNUMBER(FIND("保证金",数据录入!$E4113))),1,0))</f>
      </c>
      <c r="R4113" s="44">
        <f>IF(AND($Q4113=1,数据录入!$B4113&gt;=$B$2,数据录入!$B4113&lt;=$D$2),N(R4112)+1,N(R4112))</f>
      </c>
    </row>
    <row r="4114" s="44" customFormat="1" spans="1:23">
      <c r="A4114" s="116"/>
      <c r="E4114" s="108"/>
      <c r="F4114" s="114"/>
      <c r="G4114" s="114"/>
      <c r="H4114" s="114"/>
      <c r="Q4114" s="44">
        <f>IF(数据录入!$B4114="",0,IF(OR(数据录入!$D4114="投标保证金",数据录入!$D4114="合同履约保证金",ISNUMBER(FIND("保证金",数据录入!$E4114))),1,0))</f>
      </c>
      <c r="R4114" s="44">
        <f>IF(AND($Q4114=1,数据录入!$B4114&gt;=$B$2,数据录入!$B4114&lt;=$D$2),N(R4113)+1,N(R4113))</f>
      </c>
    </row>
    <row r="4115" s="44" customFormat="1" spans="1:23">
      <c r="A4115" s="116"/>
      <c r="E4115" s="108"/>
      <c r="F4115" s="114"/>
      <c r="G4115" s="114"/>
      <c r="H4115" s="114"/>
      <c r="Q4115" s="44">
        <f>IF(数据录入!$B4115="",0,IF(OR(数据录入!$D4115="投标保证金",数据录入!$D4115="合同履约保证金",ISNUMBER(FIND("保证金",数据录入!$E4115))),1,0))</f>
      </c>
      <c r="R4115" s="44">
        <f>IF(AND($Q4115=1,数据录入!$B4115&gt;=$B$2,数据录入!$B4115&lt;=$D$2),N(R4114)+1,N(R4114))</f>
      </c>
    </row>
    <row r="4116" s="44" customFormat="1" spans="1:23">
      <c r="A4116" s="116"/>
      <c r="E4116" s="108"/>
      <c r="F4116" s="114"/>
      <c r="G4116" s="114"/>
      <c r="H4116" s="114"/>
      <c r="Q4116" s="44">
        <f>IF(数据录入!$B4116="",0,IF(OR(数据录入!$D4116="投标保证金",数据录入!$D4116="合同履约保证金",ISNUMBER(FIND("保证金",数据录入!$E4116))),1,0))</f>
      </c>
      <c r="R4116" s="44">
        <f>IF(AND($Q4116=1,数据录入!$B4116&gt;=$B$2,数据录入!$B4116&lt;=$D$2),N(R4115)+1,N(R4115))</f>
      </c>
    </row>
    <row r="4117" s="44" customFormat="1" spans="1:23">
      <c r="A4117" s="116"/>
      <c r="E4117" s="108"/>
      <c r="F4117" s="114"/>
      <c r="G4117" s="114"/>
      <c r="H4117" s="114"/>
      <c r="Q4117" s="44">
        <f>IF(数据录入!$B4117="",0,IF(OR(数据录入!$D4117="投标保证金",数据录入!$D4117="合同履约保证金",ISNUMBER(FIND("保证金",数据录入!$E4117))),1,0))</f>
      </c>
      <c r="R4117" s="44">
        <f>IF(AND($Q4117=1,数据录入!$B4117&gt;=$B$2,数据录入!$B4117&lt;=$D$2),N(R4116)+1,N(R4116))</f>
      </c>
    </row>
    <row r="4118" s="44" customFormat="1" spans="1:23">
      <c r="A4118" s="116"/>
      <c r="E4118" s="108"/>
      <c r="F4118" s="114"/>
      <c r="G4118" s="114"/>
      <c r="H4118" s="114"/>
      <c r="Q4118" s="44">
        <f>IF(数据录入!$B4118="",0,IF(OR(数据录入!$D4118="投标保证金",数据录入!$D4118="合同履约保证金",ISNUMBER(FIND("保证金",数据录入!$E4118))),1,0))</f>
      </c>
      <c r="R4118" s="44">
        <f>IF(AND($Q4118=1,数据录入!$B4118&gt;=$B$2,数据录入!$B4118&lt;=$D$2),N(R4117)+1,N(R4117))</f>
      </c>
    </row>
    <row r="4119" s="44" customFormat="1" spans="1:23">
      <c r="A4119" s="116"/>
      <c r="E4119" s="108"/>
      <c r="F4119" s="114"/>
      <c r="G4119" s="114"/>
      <c r="H4119" s="114"/>
      <c r="Q4119" s="44">
        <f>IF(数据录入!$B4119="",0,IF(OR(数据录入!$D4119="投标保证金",数据录入!$D4119="合同履约保证金",ISNUMBER(FIND("保证金",数据录入!$E4119))),1,0))</f>
      </c>
      <c r="R4119" s="44">
        <f>IF(AND($Q4119=1,数据录入!$B4119&gt;=$B$2,数据录入!$B4119&lt;=$D$2),N(R4118)+1,N(R4118))</f>
      </c>
    </row>
    <row r="4120" s="44" customFormat="1" spans="1:23">
      <c r="A4120" s="116"/>
      <c r="E4120" s="108"/>
      <c r="F4120" s="114"/>
      <c r="G4120" s="114"/>
      <c r="H4120" s="114"/>
      <c r="Q4120" s="44">
        <f>IF(数据录入!$B4120="",0,IF(OR(数据录入!$D4120="投标保证金",数据录入!$D4120="合同履约保证金",ISNUMBER(FIND("保证金",数据录入!$E4120))),1,0))</f>
      </c>
      <c r="R4120" s="44">
        <f>IF(AND($Q4120=1,数据录入!$B4120&gt;=$B$2,数据录入!$B4120&lt;=$D$2),N(R4119)+1,N(R4119))</f>
      </c>
    </row>
    <row r="4121" s="44" customFormat="1" spans="1:23">
      <c r="A4121" s="116"/>
      <c r="E4121" s="108"/>
      <c r="F4121" s="114"/>
      <c r="G4121" s="114"/>
      <c r="H4121" s="114"/>
      <c r="Q4121" s="44">
        <f>IF(数据录入!$B4121="",0,IF(OR(数据录入!$D4121="投标保证金",数据录入!$D4121="合同履约保证金",ISNUMBER(FIND("保证金",数据录入!$E4121))),1,0))</f>
      </c>
      <c r="R4121" s="44">
        <f>IF(AND($Q4121=1,数据录入!$B4121&gt;=$B$2,数据录入!$B4121&lt;=$D$2),N(R4120)+1,N(R4120))</f>
      </c>
    </row>
    <row r="4122" s="44" customFormat="1" spans="1:23">
      <c r="A4122" s="116"/>
      <c r="E4122" s="108"/>
      <c r="F4122" s="114"/>
      <c r="G4122" s="114"/>
      <c r="H4122" s="114"/>
      <c r="Q4122" s="44">
        <f>IF(数据录入!$B4122="",0,IF(OR(数据录入!$D4122="投标保证金",数据录入!$D4122="合同履约保证金",ISNUMBER(FIND("保证金",数据录入!$E4122))),1,0))</f>
      </c>
      <c r="R4122" s="44">
        <f>IF(AND($Q4122=1,数据录入!$B4122&gt;=$B$2,数据录入!$B4122&lt;=$D$2),N(R4121)+1,N(R4121))</f>
      </c>
    </row>
    <row r="4123" s="44" customFormat="1" spans="1:23">
      <c r="A4123" s="116"/>
      <c r="E4123" s="108"/>
      <c r="F4123" s="114"/>
      <c r="G4123" s="114"/>
      <c r="H4123" s="114"/>
      <c r="Q4123" s="44">
        <f>IF(数据录入!$B4123="",0,IF(OR(数据录入!$D4123="投标保证金",数据录入!$D4123="合同履约保证金",ISNUMBER(FIND("保证金",数据录入!$E4123))),1,0))</f>
      </c>
      <c r="R4123" s="44">
        <f>IF(AND($Q4123=1,数据录入!$B4123&gt;=$B$2,数据录入!$B4123&lt;=$D$2),N(R4122)+1,N(R4122))</f>
      </c>
    </row>
    <row r="4124" s="44" customFormat="1" spans="1:23">
      <c r="A4124" s="116"/>
      <c r="E4124" s="108"/>
      <c r="F4124" s="114"/>
      <c r="G4124" s="114"/>
      <c r="H4124" s="114"/>
      <c r="Q4124" s="44">
        <f>IF(数据录入!$B4124="",0,IF(OR(数据录入!$D4124="投标保证金",数据录入!$D4124="合同履约保证金",ISNUMBER(FIND("保证金",数据录入!$E4124))),1,0))</f>
      </c>
      <c r="R4124" s="44">
        <f>IF(AND($Q4124=1,数据录入!$B4124&gt;=$B$2,数据录入!$B4124&lt;=$D$2),N(R4123)+1,N(R4123))</f>
      </c>
    </row>
    <row r="4125" s="44" customFormat="1" spans="1:23">
      <c r="A4125" s="116"/>
      <c r="E4125" s="108"/>
      <c r="F4125" s="114"/>
      <c r="G4125" s="114"/>
      <c r="H4125" s="114"/>
      <c r="Q4125" s="44">
        <f>IF(数据录入!$B4125="",0,IF(OR(数据录入!$D4125="投标保证金",数据录入!$D4125="合同履约保证金",ISNUMBER(FIND("保证金",数据录入!$E4125))),1,0))</f>
      </c>
      <c r="R4125" s="44">
        <f>IF(AND($Q4125=1,数据录入!$B4125&gt;=$B$2,数据录入!$B4125&lt;=$D$2),N(R4124)+1,N(R4124))</f>
      </c>
    </row>
    <row r="4126" s="44" customFormat="1" spans="1:23">
      <c r="A4126" s="116"/>
      <c r="E4126" s="108"/>
      <c r="F4126" s="114"/>
      <c r="G4126" s="114"/>
      <c r="H4126" s="114"/>
      <c r="Q4126" s="44">
        <f>IF(数据录入!$B4126="",0,IF(OR(数据录入!$D4126="投标保证金",数据录入!$D4126="合同履约保证金",ISNUMBER(FIND("保证金",数据录入!$E4126))),1,0))</f>
      </c>
      <c r="R4126" s="44">
        <f>IF(AND($Q4126=1,数据录入!$B4126&gt;=$B$2,数据录入!$B4126&lt;=$D$2),N(R4125)+1,N(R4125))</f>
      </c>
    </row>
    <row r="4127" s="44" customFormat="1" spans="1:23">
      <c r="A4127" s="116"/>
      <c r="E4127" s="108"/>
      <c r="F4127" s="114"/>
      <c r="G4127" s="114"/>
      <c r="H4127" s="114"/>
      <c r="Q4127" s="44">
        <f>IF(数据录入!$B4127="",0,IF(OR(数据录入!$D4127="投标保证金",数据录入!$D4127="合同履约保证金",ISNUMBER(FIND("保证金",数据录入!$E4127))),1,0))</f>
      </c>
      <c r="R4127" s="44">
        <f>IF(AND($Q4127=1,数据录入!$B4127&gt;=$B$2,数据录入!$B4127&lt;=$D$2),N(R4126)+1,N(R4126))</f>
      </c>
    </row>
    <row r="4128" s="44" customFormat="1" spans="1:23">
      <c r="A4128" s="116"/>
      <c r="E4128" s="108"/>
      <c r="F4128" s="114"/>
      <c r="G4128" s="114"/>
      <c r="H4128" s="114"/>
      <c r="Q4128" s="44">
        <f>IF(数据录入!$B4128="",0,IF(OR(数据录入!$D4128="投标保证金",数据录入!$D4128="合同履约保证金",ISNUMBER(FIND("保证金",数据录入!$E4128))),1,0))</f>
      </c>
      <c r="R4128" s="44">
        <f>IF(AND($Q4128=1,数据录入!$B4128&gt;=$B$2,数据录入!$B4128&lt;=$D$2),N(R4127)+1,N(R4127))</f>
      </c>
    </row>
    <row r="4129" s="44" customFormat="1" spans="1:23">
      <c r="A4129" s="116"/>
      <c r="E4129" s="108"/>
      <c r="F4129" s="114"/>
      <c r="G4129" s="114"/>
      <c r="H4129" s="114"/>
      <c r="Q4129" s="44">
        <f>IF(数据录入!$B4129="",0,IF(OR(数据录入!$D4129="投标保证金",数据录入!$D4129="合同履约保证金",ISNUMBER(FIND("保证金",数据录入!$E4129))),1,0))</f>
      </c>
      <c r="R4129" s="44">
        <f>IF(AND($Q4129=1,数据录入!$B4129&gt;=$B$2,数据录入!$B4129&lt;=$D$2),N(R4128)+1,N(R4128))</f>
      </c>
    </row>
    <row r="4130" s="44" customFormat="1" spans="1:23">
      <c r="A4130" s="116"/>
      <c r="E4130" s="108"/>
      <c r="F4130" s="114"/>
      <c r="G4130" s="114"/>
      <c r="H4130" s="114"/>
      <c r="Q4130" s="44">
        <f>IF(数据录入!$B4130="",0,IF(OR(数据录入!$D4130="投标保证金",数据录入!$D4130="合同履约保证金",ISNUMBER(FIND("保证金",数据录入!$E4130))),1,0))</f>
      </c>
      <c r="R4130" s="44">
        <f>IF(AND($Q4130=1,数据录入!$B4130&gt;=$B$2,数据录入!$B4130&lt;=$D$2),N(R4129)+1,N(R4129))</f>
      </c>
    </row>
    <row r="4131" s="44" customFormat="1" spans="1:23">
      <c r="A4131" s="116"/>
      <c r="E4131" s="108"/>
      <c r="F4131" s="114"/>
      <c r="G4131" s="114"/>
      <c r="H4131" s="114"/>
      <c r="Q4131" s="44">
        <f>IF(数据录入!$B4131="",0,IF(OR(数据录入!$D4131="投标保证金",数据录入!$D4131="合同履约保证金",ISNUMBER(FIND("保证金",数据录入!$E4131))),1,0))</f>
      </c>
      <c r="R4131" s="44">
        <f>IF(AND($Q4131=1,数据录入!$B4131&gt;=$B$2,数据录入!$B4131&lt;=$D$2),N(R4130)+1,N(R4130))</f>
      </c>
    </row>
    <row r="4132" s="44" customFormat="1" spans="1:23">
      <c r="A4132" s="116"/>
      <c r="E4132" s="108"/>
      <c r="F4132" s="114"/>
      <c r="G4132" s="114"/>
      <c r="H4132" s="114"/>
      <c r="Q4132" s="44">
        <f>IF(数据录入!$B4132="",0,IF(OR(数据录入!$D4132="投标保证金",数据录入!$D4132="合同履约保证金",ISNUMBER(FIND("保证金",数据录入!$E4132))),1,0))</f>
      </c>
      <c r="R4132" s="44">
        <f>IF(AND($Q4132=1,数据录入!$B4132&gt;=$B$2,数据录入!$B4132&lt;=$D$2),N(R4131)+1,N(R4131))</f>
      </c>
    </row>
    <row r="4133" s="44" customFormat="1" spans="1:23">
      <c r="A4133" s="116"/>
      <c r="E4133" s="108"/>
      <c r="F4133" s="114"/>
      <c r="G4133" s="114"/>
      <c r="H4133" s="114"/>
      <c r="Q4133" s="44">
        <f>IF(数据录入!$B4133="",0,IF(OR(数据录入!$D4133="投标保证金",数据录入!$D4133="合同履约保证金",ISNUMBER(FIND("保证金",数据录入!$E4133))),1,0))</f>
      </c>
      <c r="R4133" s="44">
        <f>IF(AND($Q4133=1,数据录入!$B4133&gt;=$B$2,数据录入!$B4133&lt;=$D$2),N(R4132)+1,N(R4132))</f>
      </c>
    </row>
    <row r="4134" s="44" customFormat="1" spans="1:23">
      <c r="A4134" s="116"/>
      <c r="E4134" s="108"/>
      <c r="F4134" s="114"/>
      <c r="G4134" s="114"/>
      <c r="H4134" s="114"/>
      <c r="Q4134" s="44">
        <f>IF(数据录入!$B4134="",0,IF(OR(数据录入!$D4134="投标保证金",数据录入!$D4134="合同履约保证金",ISNUMBER(FIND("保证金",数据录入!$E4134))),1,0))</f>
      </c>
      <c r="R4134" s="44">
        <f>IF(AND($Q4134=1,数据录入!$B4134&gt;=$B$2,数据录入!$B4134&lt;=$D$2),N(R4133)+1,N(R4133))</f>
      </c>
    </row>
    <row r="4135" s="44" customFormat="1" spans="1:23">
      <c r="A4135" s="116"/>
      <c r="E4135" s="108"/>
      <c r="F4135" s="114"/>
      <c r="G4135" s="114"/>
      <c r="H4135" s="114"/>
      <c r="Q4135" s="44">
        <f>IF(数据录入!$B4135="",0,IF(OR(数据录入!$D4135="投标保证金",数据录入!$D4135="合同履约保证金",ISNUMBER(FIND("保证金",数据录入!$E4135))),1,0))</f>
      </c>
      <c r="R4135" s="44">
        <f>IF(AND($Q4135=1,数据录入!$B4135&gt;=$B$2,数据录入!$B4135&lt;=$D$2),N(R4134)+1,N(R4134))</f>
      </c>
    </row>
    <row r="4136" s="44" customFormat="1" spans="1:23">
      <c r="A4136" s="116"/>
      <c r="E4136" s="108"/>
      <c r="F4136" s="114"/>
      <c r="G4136" s="114"/>
      <c r="H4136" s="114"/>
      <c r="Q4136" s="44">
        <f>IF(数据录入!$B4136="",0,IF(OR(数据录入!$D4136="投标保证金",数据录入!$D4136="合同履约保证金",ISNUMBER(FIND("保证金",数据录入!$E4136))),1,0))</f>
      </c>
      <c r="R4136" s="44">
        <f>IF(AND($Q4136=1,数据录入!$B4136&gt;=$B$2,数据录入!$B4136&lt;=$D$2),N(R4135)+1,N(R4135))</f>
      </c>
    </row>
    <row r="4137" s="44" customFormat="1" spans="1:23">
      <c r="A4137" s="116"/>
      <c r="E4137" s="108"/>
      <c r="F4137" s="114"/>
      <c r="G4137" s="114"/>
      <c r="H4137" s="114"/>
      <c r="Q4137" s="44">
        <f>IF(数据录入!$B4137="",0,IF(OR(数据录入!$D4137="投标保证金",数据录入!$D4137="合同履约保证金",ISNUMBER(FIND("保证金",数据录入!$E4137))),1,0))</f>
      </c>
      <c r="R4137" s="44">
        <f>IF(AND($Q4137=1,数据录入!$B4137&gt;=$B$2,数据录入!$B4137&lt;=$D$2),N(R4136)+1,N(R4136))</f>
      </c>
    </row>
    <row r="4138" s="44" customFormat="1" spans="1:23">
      <c r="A4138" s="116"/>
      <c r="E4138" s="108"/>
      <c r="F4138" s="114"/>
      <c r="G4138" s="114"/>
      <c r="H4138" s="114"/>
      <c r="Q4138" s="44">
        <f>IF(数据录入!$B4138="",0,IF(OR(数据录入!$D4138="投标保证金",数据录入!$D4138="合同履约保证金",ISNUMBER(FIND("保证金",数据录入!$E4138))),1,0))</f>
      </c>
      <c r="R4138" s="44">
        <f>IF(AND($Q4138=1,数据录入!$B4138&gt;=$B$2,数据录入!$B4138&lt;=$D$2),N(R4137)+1,N(R4137))</f>
      </c>
    </row>
    <row r="4139" s="44" customFormat="1" spans="1:23">
      <c r="A4139" s="116"/>
      <c r="E4139" s="108"/>
      <c r="F4139" s="114"/>
      <c r="G4139" s="114"/>
      <c r="H4139" s="114"/>
      <c r="Q4139" s="44">
        <f>IF(数据录入!$B4139="",0,IF(OR(数据录入!$D4139="投标保证金",数据录入!$D4139="合同履约保证金",ISNUMBER(FIND("保证金",数据录入!$E4139))),1,0))</f>
      </c>
      <c r="R4139" s="44">
        <f>IF(AND($Q4139=1,数据录入!$B4139&gt;=$B$2,数据录入!$B4139&lt;=$D$2),N(R4138)+1,N(R4138))</f>
      </c>
    </row>
    <row r="4140" s="44" customFormat="1" spans="1:23">
      <c r="A4140" s="116"/>
      <c r="E4140" s="108"/>
      <c r="F4140" s="114"/>
      <c r="G4140" s="114"/>
      <c r="H4140" s="114"/>
      <c r="Q4140" s="44">
        <f>IF(数据录入!$B4140="",0,IF(OR(数据录入!$D4140="投标保证金",数据录入!$D4140="合同履约保证金",ISNUMBER(FIND("保证金",数据录入!$E4140))),1,0))</f>
      </c>
      <c r="R4140" s="44">
        <f>IF(AND($Q4140=1,数据录入!$B4140&gt;=$B$2,数据录入!$B4140&lt;=$D$2),N(R4139)+1,N(R4139))</f>
      </c>
    </row>
    <row r="4141" s="44" customFormat="1" spans="1:23">
      <c r="A4141" s="116"/>
      <c r="E4141" s="108"/>
      <c r="F4141" s="114"/>
      <c r="G4141" s="114"/>
      <c r="H4141" s="114"/>
      <c r="Q4141" s="44">
        <f>IF(数据录入!$B4141="",0,IF(OR(数据录入!$D4141="投标保证金",数据录入!$D4141="合同履约保证金",ISNUMBER(FIND("保证金",数据录入!$E4141))),1,0))</f>
      </c>
      <c r="R4141" s="44">
        <f>IF(AND($Q4141=1,数据录入!$B4141&gt;=$B$2,数据录入!$B4141&lt;=$D$2),N(R4140)+1,N(R4140))</f>
      </c>
    </row>
    <row r="4142" s="44" customFormat="1" spans="1:23">
      <c r="A4142" s="116"/>
      <c r="E4142" s="108"/>
      <c r="F4142" s="114"/>
      <c r="G4142" s="114"/>
      <c r="H4142" s="114"/>
      <c r="Q4142" s="44">
        <f>IF(数据录入!$B4142="",0,IF(OR(数据录入!$D4142="投标保证金",数据录入!$D4142="合同履约保证金",ISNUMBER(FIND("保证金",数据录入!$E4142))),1,0))</f>
      </c>
      <c r="R4142" s="44">
        <f>IF(AND($Q4142=1,数据录入!$B4142&gt;=$B$2,数据录入!$B4142&lt;=$D$2),N(R4141)+1,N(R4141))</f>
      </c>
    </row>
    <row r="4143" s="44" customFormat="1" spans="1:23">
      <c r="A4143" s="116"/>
      <c r="E4143" s="108"/>
      <c r="F4143" s="114"/>
      <c r="G4143" s="114"/>
      <c r="H4143" s="114"/>
      <c r="Q4143" s="44">
        <f>IF(数据录入!$B4143="",0,IF(OR(数据录入!$D4143="投标保证金",数据录入!$D4143="合同履约保证金",ISNUMBER(FIND("保证金",数据录入!$E4143))),1,0))</f>
      </c>
      <c r="R4143" s="44">
        <f>IF(AND($Q4143=1,数据录入!$B4143&gt;=$B$2,数据录入!$B4143&lt;=$D$2),N(R4142)+1,N(R4142))</f>
      </c>
    </row>
    <row r="4144" s="44" customFormat="1" spans="1:23">
      <c r="A4144" s="116"/>
      <c r="E4144" s="108"/>
      <c r="F4144" s="114"/>
      <c r="G4144" s="114"/>
      <c r="H4144" s="114"/>
      <c r="Q4144" s="44">
        <f>IF(数据录入!$B4144="",0,IF(OR(数据录入!$D4144="投标保证金",数据录入!$D4144="合同履约保证金",ISNUMBER(FIND("保证金",数据录入!$E4144))),1,0))</f>
      </c>
      <c r="R4144" s="44">
        <f>IF(AND($Q4144=1,数据录入!$B4144&gt;=$B$2,数据录入!$B4144&lt;=$D$2),N(R4143)+1,N(R4143))</f>
      </c>
    </row>
    <row r="4145" s="44" customFormat="1" spans="1:23">
      <c r="A4145" s="116"/>
      <c r="E4145" s="108"/>
      <c r="F4145" s="114"/>
      <c r="G4145" s="114"/>
      <c r="H4145" s="114"/>
      <c r="Q4145" s="44">
        <f>IF(数据录入!$B4145="",0,IF(OR(数据录入!$D4145="投标保证金",数据录入!$D4145="合同履约保证金",ISNUMBER(FIND("保证金",数据录入!$E4145))),1,0))</f>
      </c>
      <c r="R4145" s="44">
        <f>IF(AND($Q4145=1,数据录入!$B4145&gt;=$B$2,数据录入!$B4145&lt;=$D$2),N(R4144)+1,N(R4144))</f>
      </c>
    </row>
    <row r="4146" s="44" customFormat="1" spans="1:23">
      <c r="A4146" s="116"/>
      <c r="E4146" s="108"/>
      <c r="F4146" s="114"/>
      <c r="G4146" s="114"/>
      <c r="H4146" s="114"/>
      <c r="Q4146" s="44">
        <f>IF(数据录入!$B4146="",0,IF(OR(数据录入!$D4146="投标保证金",数据录入!$D4146="合同履约保证金",ISNUMBER(FIND("保证金",数据录入!$E4146))),1,0))</f>
      </c>
      <c r="R4146" s="44">
        <f>IF(AND($Q4146=1,数据录入!$B4146&gt;=$B$2,数据录入!$B4146&lt;=$D$2),N(R4145)+1,N(R4145))</f>
      </c>
    </row>
    <row r="4147" s="44" customFormat="1" spans="1:23">
      <c r="A4147" s="116"/>
      <c r="E4147" s="108"/>
      <c r="F4147" s="114"/>
      <c r="G4147" s="114"/>
      <c r="H4147" s="114"/>
      <c r="Q4147" s="44">
        <f>IF(数据录入!$B4147="",0,IF(OR(数据录入!$D4147="投标保证金",数据录入!$D4147="合同履约保证金",ISNUMBER(FIND("保证金",数据录入!$E4147))),1,0))</f>
      </c>
      <c r="R4147" s="44">
        <f>IF(AND($Q4147=1,数据录入!$B4147&gt;=$B$2,数据录入!$B4147&lt;=$D$2),N(R4146)+1,N(R4146))</f>
      </c>
    </row>
    <row r="4148" s="44" customFormat="1" spans="1:23">
      <c r="A4148" s="116"/>
      <c r="E4148" s="108"/>
      <c r="F4148" s="114"/>
      <c r="G4148" s="114"/>
      <c r="H4148" s="114"/>
      <c r="Q4148" s="44">
        <f>IF(数据录入!$B4148="",0,IF(OR(数据录入!$D4148="投标保证金",数据录入!$D4148="合同履约保证金",ISNUMBER(FIND("保证金",数据录入!$E4148))),1,0))</f>
      </c>
      <c r="R4148" s="44">
        <f>IF(AND($Q4148=1,数据录入!$B4148&gt;=$B$2,数据录入!$B4148&lt;=$D$2),N(R4147)+1,N(R4147))</f>
      </c>
    </row>
    <row r="4149" s="44" customFormat="1" spans="1:23">
      <c r="A4149" s="116"/>
      <c r="E4149" s="108"/>
      <c r="F4149" s="114"/>
      <c r="G4149" s="114"/>
      <c r="H4149" s="114"/>
      <c r="Q4149" s="44">
        <f>IF(数据录入!$B4149="",0,IF(OR(数据录入!$D4149="投标保证金",数据录入!$D4149="合同履约保证金",ISNUMBER(FIND("保证金",数据录入!$E4149))),1,0))</f>
      </c>
      <c r="R4149" s="44">
        <f>IF(AND($Q4149=1,数据录入!$B4149&gt;=$B$2,数据录入!$B4149&lt;=$D$2),N(R4148)+1,N(R4148))</f>
      </c>
    </row>
    <row r="4150" s="44" customFormat="1" spans="1:23">
      <c r="A4150" s="116"/>
      <c r="E4150" s="108"/>
      <c r="F4150" s="114"/>
      <c r="G4150" s="114"/>
      <c r="H4150" s="114"/>
      <c r="Q4150" s="44">
        <f>IF(数据录入!$B4150="",0,IF(OR(数据录入!$D4150="投标保证金",数据录入!$D4150="合同履约保证金",ISNUMBER(FIND("保证金",数据录入!$E4150))),1,0))</f>
      </c>
      <c r="R4150" s="44">
        <f>IF(AND($Q4150=1,数据录入!$B4150&gt;=$B$2,数据录入!$B4150&lt;=$D$2),N(R4149)+1,N(R4149))</f>
      </c>
    </row>
    <row r="4151" s="44" customFormat="1" spans="1:23">
      <c r="A4151" s="116"/>
      <c r="E4151" s="108"/>
      <c r="F4151" s="114"/>
      <c r="G4151" s="114"/>
      <c r="H4151" s="114"/>
      <c r="Q4151" s="44">
        <f>IF(数据录入!$B4151="",0,IF(OR(数据录入!$D4151="投标保证金",数据录入!$D4151="合同履约保证金",ISNUMBER(FIND("保证金",数据录入!$E4151))),1,0))</f>
      </c>
      <c r="R4151" s="44">
        <f>IF(AND($Q4151=1,数据录入!$B4151&gt;=$B$2,数据录入!$B4151&lt;=$D$2),N(R4150)+1,N(R4150))</f>
      </c>
    </row>
    <row r="4152" s="44" customFormat="1" spans="1:23">
      <c r="A4152" s="116"/>
      <c r="E4152" s="108"/>
      <c r="F4152" s="114"/>
      <c r="G4152" s="114"/>
      <c r="H4152" s="114"/>
      <c r="Q4152" s="44">
        <f>IF(数据录入!$B4152="",0,IF(OR(数据录入!$D4152="投标保证金",数据录入!$D4152="合同履约保证金",ISNUMBER(FIND("保证金",数据录入!$E4152))),1,0))</f>
      </c>
      <c r="R4152" s="44">
        <f>IF(AND($Q4152=1,数据录入!$B4152&gt;=$B$2,数据录入!$B4152&lt;=$D$2),N(R4151)+1,N(R4151))</f>
      </c>
    </row>
    <row r="4153" s="44" customFormat="1" spans="1:23">
      <c r="A4153" s="116"/>
      <c r="E4153" s="108"/>
      <c r="F4153" s="114"/>
      <c r="G4153" s="114"/>
      <c r="H4153" s="114"/>
      <c r="Q4153" s="44">
        <f>IF(数据录入!$B4153="",0,IF(OR(数据录入!$D4153="投标保证金",数据录入!$D4153="合同履约保证金",ISNUMBER(FIND("保证金",数据录入!$E4153))),1,0))</f>
      </c>
      <c r="R4153" s="44">
        <f>IF(AND($Q4153=1,数据录入!$B4153&gt;=$B$2,数据录入!$B4153&lt;=$D$2),N(R4152)+1,N(R4152))</f>
      </c>
    </row>
    <row r="4154" s="44" customFormat="1" spans="1:23">
      <c r="A4154" s="116"/>
      <c r="E4154" s="108"/>
      <c r="F4154" s="114"/>
      <c r="G4154" s="114"/>
      <c r="H4154" s="114"/>
      <c r="Q4154" s="44">
        <f>IF(数据录入!$B4154="",0,IF(OR(数据录入!$D4154="投标保证金",数据录入!$D4154="合同履约保证金",ISNUMBER(FIND("保证金",数据录入!$E4154))),1,0))</f>
      </c>
      <c r="R4154" s="44">
        <f>IF(AND($Q4154=1,数据录入!$B4154&gt;=$B$2,数据录入!$B4154&lt;=$D$2),N(R4153)+1,N(R4153))</f>
      </c>
    </row>
    <row r="4155" s="44" customFormat="1" spans="1:23">
      <c r="A4155" s="116"/>
      <c r="E4155" s="108"/>
      <c r="F4155" s="114"/>
      <c r="G4155" s="114"/>
      <c r="H4155" s="114"/>
      <c r="Q4155" s="44">
        <f>IF(数据录入!$B4155="",0,IF(OR(数据录入!$D4155="投标保证金",数据录入!$D4155="合同履约保证金",ISNUMBER(FIND("保证金",数据录入!$E4155))),1,0))</f>
      </c>
      <c r="R4155" s="44">
        <f>IF(AND($Q4155=1,数据录入!$B4155&gt;=$B$2,数据录入!$B4155&lt;=$D$2),N(R4154)+1,N(R4154))</f>
      </c>
    </row>
    <row r="4156" s="44" customFormat="1" spans="1:23">
      <c r="A4156" s="116"/>
      <c r="E4156" s="108"/>
      <c r="F4156" s="114"/>
      <c r="G4156" s="114"/>
      <c r="H4156" s="114"/>
      <c r="Q4156" s="44">
        <f>IF(数据录入!$B4156="",0,IF(OR(数据录入!$D4156="投标保证金",数据录入!$D4156="合同履约保证金",ISNUMBER(FIND("保证金",数据录入!$E4156))),1,0))</f>
      </c>
      <c r="R4156" s="44">
        <f>IF(AND($Q4156=1,数据录入!$B4156&gt;=$B$2,数据录入!$B4156&lt;=$D$2),N(R4155)+1,N(R4155))</f>
      </c>
    </row>
    <row r="4157" s="44" customFormat="1" spans="1:23">
      <c r="A4157" s="116"/>
      <c r="E4157" s="108"/>
      <c r="F4157" s="114"/>
      <c r="G4157" s="114"/>
      <c r="H4157" s="114"/>
      <c r="Q4157" s="44">
        <f>IF(数据录入!$B4157="",0,IF(OR(数据录入!$D4157="投标保证金",数据录入!$D4157="合同履约保证金",ISNUMBER(FIND("保证金",数据录入!$E4157))),1,0))</f>
      </c>
      <c r="R4157" s="44">
        <f>IF(AND($Q4157=1,数据录入!$B4157&gt;=$B$2,数据录入!$B4157&lt;=$D$2),N(R4156)+1,N(R4156))</f>
      </c>
    </row>
    <row r="4158" s="44" customFormat="1" spans="1:23">
      <c r="A4158" s="116"/>
      <c r="E4158" s="108"/>
      <c r="F4158" s="114"/>
      <c r="G4158" s="114"/>
      <c r="H4158" s="114"/>
      <c r="Q4158" s="44">
        <f>IF(数据录入!$B4158="",0,IF(OR(数据录入!$D4158="投标保证金",数据录入!$D4158="合同履约保证金",ISNUMBER(FIND("保证金",数据录入!$E4158))),1,0))</f>
      </c>
      <c r="R4158" s="44">
        <f>IF(AND($Q4158=1,数据录入!$B4158&gt;=$B$2,数据录入!$B4158&lt;=$D$2),N(R4157)+1,N(R4157))</f>
      </c>
    </row>
    <row r="4159" s="44" customFormat="1" spans="1:23">
      <c r="A4159" s="116"/>
      <c r="E4159" s="108"/>
      <c r="F4159" s="114"/>
      <c r="G4159" s="114"/>
      <c r="H4159" s="114"/>
      <c r="Q4159" s="44">
        <f>IF(数据录入!$B4159="",0,IF(OR(数据录入!$D4159="投标保证金",数据录入!$D4159="合同履约保证金",ISNUMBER(FIND("保证金",数据录入!$E4159))),1,0))</f>
      </c>
      <c r="R4159" s="44">
        <f>IF(AND($Q4159=1,数据录入!$B4159&gt;=$B$2,数据录入!$B4159&lt;=$D$2),N(R4158)+1,N(R4158))</f>
      </c>
    </row>
    <row r="4160" s="44" customFormat="1" spans="1:23">
      <c r="A4160" s="116"/>
      <c r="E4160" s="108"/>
      <c r="F4160" s="114"/>
      <c r="G4160" s="114"/>
      <c r="H4160" s="114"/>
      <c r="Q4160" s="44">
        <f>IF(数据录入!$B4160="",0,IF(OR(数据录入!$D4160="投标保证金",数据录入!$D4160="合同履约保证金",ISNUMBER(FIND("保证金",数据录入!$E4160))),1,0))</f>
      </c>
      <c r="R4160" s="44">
        <f>IF(AND($Q4160=1,数据录入!$B4160&gt;=$B$2,数据录入!$B4160&lt;=$D$2),N(R4159)+1,N(R4159))</f>
      </c>
    </row>
    <row r="4161" s="44" customFormat="1" spans="1:23">
      <c r="A4161" s="116"/>
      <c r="E4161" s="108"/>
      <c r="F4161" s="114"/>
      <c r="G4161" s="114"/>
      <c r="H4161" s="114"/>
      <c r="Q4161" s="44">
        <f>IF(数据录入!$B4161="",0,IF(OR(数据录入!$D4161="投标保证金",数据录入!$D4161="合同履约保证金",ISNUMBER(FIND("保证金",数据录入!$E4161))),1,0))</f>
      </c>
      <c r="R4161" s="44">
        <f>IF(AND($Q4161=1,数据录入!$B4161&gt;=$B$2,数据录入!$B4161&lt;=$D$2),N(R4160)+1,N(R4160))</f>
      </c>
    </row>
    <row r="4162" s="44" customFormat="1" spans="1:23">
      <c r="A4162" s="116"/>
      <c r="E4162" s="108"/>
      <c r="F4162" s="114"/>
      <c r="G4162" s="114"/>
      <c r="H4162" s="114"/>
      <c r="Q4162" s="44">
        <f>IF(数据录入!$B4162="",0,IF(OR(数据录入!$D4162="投标保证金",数据录入!$D4162="合同履约保证金",ISNUMBER(FIND("保证金",数据录入!$E4162))),1,0))</f>
      </c>
      <c r="R4162" s="44">
        <f>IF(AND($Q4162=1,数据录入!$B4162&gt;=$B$2,数据录入!$B4162&lt;=$D$2),N(R4161)+1,N(R4161))</f>
      </c>
    </row>
    <row r="4163" s="44" customFormat="1" spans="1:23">
      <c r="A4163" s="116"/>
      <c r="E4163" s="108"/>
      <c r="F4163" s="114"/>
      <c r="G4163" s="114"/>
      <c r="H4163" s="114"/>
      <c r="Q4163" s="44">
        <f>IF(数据录入!$B4163="",0,IF(OR(数据录入!$D4163="投标保证金",数据录入!$D4163="合同履约保证金",ISNUMBER(FIND("保证金",数据录入!$E4163))),1,0))</f>
      </c>
      <c r="R4163" s="44">
        <f>IF(AND($Q4163=1,数据录入!$B4163&gt;=$B$2,数据录入!$B4163&lt;=$D$2),N(R4162)+1,N(R4162))</f>
      </c>
    </row>
    <row r="4164" s="44" customFormat="1" spans="1:23">
      <c r="A4164" s="116"/>
      <c r="E4164" s="108"/>
      <c r="F4164" s="114"/>
      <c r="G4164" s="114"/>
      <c r="H4164" s="114"/>
      <c r="Q4164" s="44">
        <f>IF(数据录入!$B4164="",0,IF(OR(数据录入!$D4164="投标保证金",数据录入!$D4164="合同履约保证金",ISNUMBER(FIND("保证金",数据录入!$E4164))),1,0))</f>
      </c>
      <c r="R4164" s="44">
        <f>IF(AND($Q4164=1,数据录入!$B4164&gt;=$B$2,数据录入!$B4164&lt;=$D$2),N(R4163)+1,N(R4163))</f>
      </c>
    </row>
    <row r="4165" s="44" customFormat="1" spans="1:23">
      <c r="A4165" s="116"/>
      <c r="E4165" s="108"/>
      <c r="F4165" s="114"/>
      <c r="G4165" s="114"/>
      <c r="H4165" s="114"/>
      <c r="Q4165" s="44">
        <f>IF(数据录入!$B4165="",0,IF(OR(数据录入!$D4165="投标保证金",数据录入!$D4165="合同履约保证金",ISNUMBER(FIND("保证金",数据录入!$E4165))),1,0))</f>
      </c>
      <c r="R4165" s="44">
        <f>IF(AND($Q4165=1,数据录入!$B4165&gt;=$B$2,数据录入!$B4165&lt;=$D$2),N(R4164)+1,N(R4164))</f>
      </c>
    </row>
    <row r="4166" s="44" customFormat="1" spans="1:23">
      <c r="A4166" s="116"/>
      <c r="E4166" s="108"/>
      <c r="F4166" s="114"/>
      <c r="G4166" s="114"/>
      <c r="H4166" s="114"/>
      <c r="Q4166" s="44">
        <f>IF(数据录入!$B4166="",0,IF(OR(数据录入!$D4166="投标保证金",数据录入!$D4166="合同履约保证金",ISNUMBER(FIND("保证金",数据录入!$E4166))),1,0))</f>
      </c>
      <c r="R4166" s="44">
        <f>IF(AND($Q4166=1,数据录入!$B4166&gt;=$B$2,数据录入!$B4166&lt;=$D$2),N(R4165)+1,N(R4165))</f>
      </c>
    </row>
    <row r="4167" s="44" customFormat="1" spans="1:23">
      <c r="A4167" s="116"/>
      <c r="E4167" s="108"/>
      <c r="F4167" s="114"/>
      <c r="G4167" s="114"/>
      <c r="H4167" s="114"/>
      <c r="Q4167" s="44">
        <f>IF(数据录入!$B4167="",0,IF(OR(数据录入!$D4167="投标保证金",数据录入!$D4167="合同履约保证金",ISNUMBER(FIND("保证金",数据录入!$E4167))),1,0))</f>
      </c>
      <c r="R4167" s="44">
        <f>IF(AND($Q4167=1,数据录入!$B4167&gt;=$B$2,数据录入!$B4167&lt;=$D$2),N(R4166)+1,N(R4166))</f>
      </c>
    </row>
    <row r="4168" s="44" customFormat="1" spans="1:23">
      <c r="A4168" s="116"/>
      <c r="E4168" s="108"/>
      <c r="F4168" s="114"/>
      <c r="G4168" s="114"/>
      <c r="H4168" s="114"/>
      <c r="Q4168" s="44">
        <f>IF(数据录入!$B4168="",0,IF(OR(数据录入!$D4168="投标保证金",数据录入!$D4168="合同履约保证金",ISNUMBER(FIND("保证金",数据录入!$E4168))),1,0))</f>
      </c>
      <c r="R4168" s="44">
        <f>IF(AND($Q4168=1,数据录入!$B4168&gt;=$B$2,数据录入!$B4168&lt;=$D$2),N(R4167)+1,N(R4167))</f>
      </c>
    </row>
    <row r="4169" s="44" customFormat="1" spans="1:23">
      <c r="A4169" s="116"/>
      <c r="E4169" s="108"/>
      <c r="F4169" s="114"/>
      <c r="G4169" s="114"/>
      <c r="H4169" s="114"/>
      <c r="Q4169" s="44">
        <f>IF(数据录入!$B4169="",0,IF(OR(数据录入!$D4169="投标保证金",数据录入!$D4169="合同履约保证金",ISNUMBER(FIND("保证金",数据录入!$E4169))),1,0))</f>
      </c>
      <c r="R4169" s="44">
        <f>IF(AND($Q4169=1,数据录入!$B4169&gt;=$B$2,数据录入!$B4169&lt;=$D$2),N(R4168)+1,N(R4168))</f>
      </c>
    </row>
    <row r="4170" s="44" customFormat="1" spans="1:23">
      <c r="A4170" s="116"/>
      <c r="E4170" s="108"/>
      <c r="F4170" s="114"/>
      <c r="G4170" s="114"/>
      <c r="H4170" s="114"/>
      <c r="Q4170" s="44">
        <f>IF(数据录入!$B4170="",0,IF(OR(数据录入!$D4170="投标保证金",数据录入!$D4170="合同履约保证金",ISNUMBER(FIND("保证金",数据录入!$E4170))),1,0))</f>
      </c>
      <c r="R4170" s="44">
        <f>IF(AND($Q4170=1,数据录入!$B4170&gt;=$B$2,数据录入!$B4170&lt;=$D$2),N(R4169)+1,N(R4169))</f>
      </c>
    </row>
    <row r="4171" s="44" customFormat="1" spans="1:23">
      <c r="A4171" s="116"/>
      <c r="E4171" s="108"/>
      <c r="F4171" s="114"/>
      <c r="G4171" s="114"/>
      <c r="H4171" s="114"/>
      <c r="Q4171" s="44">
        <f>IF(数据录入!$B4171="",0,IF(OR(数据录入!$D4171="投标保证金",数据录入!$D4171="合同履约保证金",ISNUMBER(FIND("保证金",数据录入!$E4171))),1,0))</f>
      </c>
      <c r="R4171" s="44">
        <f>IF(AND($Q4171=1,数据录入!$B4171&gt;=$B$2,数据录入!$B4171&lt;=$D$2),N(R4170)+1,N(R4170))</f>
      </c>
    </row>
    <row r="4172" s="44" customFormat="1" spans="1:23">
      <c r="A4172" s="116"/>
      <c r="E4172" s="108"/>
      <c r="F4172" s="114"/>
      <c r="G4172" s="114"/>
      <c r="H4172" s="114"/>
      <c r="Q4172" s="44">
        <f>IF(数据录入!$B4172="",0,IF(OR(数据录入!$D4172="投标保证金",数据录入!$D4172="合同履约保证金",ISNUMBER(FIND("保证金",数据录入!$E4172))),1,0))</f>
      </c>
      <c r="R4172" s="44">
        <f>IF(AND($Q4172=1,数据录入!$B4172&gt;=$B$2,数据录入!$B4172&lt;=$D$2),N(R4171)+1,N(R4171))</f>
      </c>
    </row>
    <row r="4173" s="44" customFormat="1" spans="1:23">
      <c r="A4173" s="116"/>
      <c r="E4173" s="108"/>
      <c r="F4173" s="114"/>
      <c r="G4173" s="114"/>
      <c r="H4173" s="114"/>
      <c r="Q4173" s="44">
        <f>IF(数据录入!$B4173="",0,IF(OR(数据录入!$D4173="投标保证金",数据录入!$D4173="合同履约保证金",ISNUMBER(FIND("保证金",数据录入!$E4173))),1,0))</f>
      </c>
      <c r="R4173" s="44">
        <f>IF(AND($Q4173=1,数据录入!$B4173&gt;=$B$2,数据录入!$B4173&lt;=$D$2),N(R4172)+1,N(R4172))</f>
      </c>
    </row>
    <row r="4174" s="44" customFormat="1" spans="1:23">
      <c r="A4174" s="116"/>
      <c r="E4174" s="108"/>
      <c r="F4174" s="114"/>
      <c r="G4174" s="114"/>
      <c r="H4174" s="114"/>
      <c r="Q4174" s="44">
        <f>IF(数据录入!$B4174="",0,IF(OR(数据录入!$D4174="投标保证金",数据录入!$D4174="合同履约保证金",ISNUMBER(FIND("保证金",数据录入!$E4174))),1,0))</f>
      </c>
      <c r="R4174" s="44">
        <f>IF(AND($Q4174=1,数据录入!$B4174&gt;=$B$2,数据录入!$B4174&lt;=$D$2),N(R4173)+1,N(R4173))</f>
      </c>
    </row>
    <row r="4175" s="44" customFormat="1" spans="1:23">
      <c r="A4175" s="116"/>
      <c r="E4175" s="108"/>
      <c r="F4175" s="114"/>
      <c r="G4175" s="114"/>
      <c r="H4175" s="114"/>
      <c r="Q4175" s="44">
        <f>IF(数据录入!$B4175="",0,IF(OR(数据录入!$D4175="投标保证金",数据录入!$D4175="合同履约保证金",ISNUMBER(FIND("保证金",数据录入!$E4175))),1,0))</f>
      </c>
      <c r="R4175" s="44">
        <f>IF(AND($Q4175=1,数据录入!$B4175&gt;=$B$2,数据录入!$B4175&lt;=$D$2),N(R4174)+1,N(R4174))</f>
      </c>
    </row>
    <row r="4176" s="44" customFormat="1" spans="1:23">
      <c r="A4176" s="116"/>
      <c r="E4176" s="108"/>
      <c r="F4176" s="114"/>
      <c r="G4176" s="114"/>
      <c r="H4176" s="114"/>
      <c r="Q4176" s="44">
        <f>IF(数据录入!$B4176="",0,IF(OR(数据录入!$D4176="投标保证金",数据录入!$D4176="合同履约保证金",ISNUMBER(FIND("保证金",数据录入!$E4176))),1,0))</f>
      </c>
      <c r="R4176" s="44">
        <f>IF(AND($Q4176=1,数据录入!$B4176&gt;=$B$2,数据录入!$B4176&lt;=$D$2),N(R4175)+1,N(R4175))</f>
      </c>
    </row>
    <row r="4177" s="44" customFormat="1" spans="1:23">
      <c r="A4177" s="116"/>
      <c r="E4177" s="108"/>
      <c r="F4177" s="114"/>
      <c r="G4177" s="114"/>
      <c r="H4177" s="114"/>
      <c r="Q4177" s="44">
        <f>IF(数据录入!$B4177="",0,IF(OR(数据录入!$D4177="投标保证金",数据录入!$D4177="合同履约保证金",ISNUMBER(FIND("保证金",数据录入!$E4177))),1,0))</f>
      </c>
      <c r="R4177" s="44">
        <f>IF(AND($Q4177=1,数据录入!$B4177&gt;=$B$2,数据录入!$B4177&lt;=$D$2),N(R4176)+1,N(R4176))</f>
      </c>
    </row>
    <row r="4178" s="44" customFormat="1" spans="1:23">
      <c r="A4178" s="116"/>
      <c r="E4178" s="108"/>
      <c r="F4178" s="114"/>
      <c r="G4178" s="114"/>
      <c r="H4178" s="114"/>
      <c r="Q4178" s="44">
        <f>IF(数据录入!$B4178="",0,IF(OR(数据录入!$D4178="投标保证金",数据录入!$D4178="合同履约保证金",ISNUMBER(FIND("保证金",数据录入!$E4178))),1,0))</f>
      </c>
      <c r="R4178" s="44">
        <f>IF(AND($Q4178=1,数据录入!$B4178&gt;=$B$2,数据录入!$B4178&lt;=$D$2),N(R4177)+1,N(R4177))</f>
      </c>
    </row>
    <row r="4179" s="44" customFormat="1" spans="1:23">
      <c r="A4179" s="116"/>
      <c r="E4179" s="108"/>
      <c r="F4179" s="114"/>
      <c r="G4179" s="114"/>
      <c r="H4179" s="114"/>
      <c r="Q4179" s="44">
        <f>IF(数据录入!$B4179="",0,IF(OR(数据录入!$D4179="投标保证金",数据录入!$D4179="合同履约保证金",ISNUMBER(FIND("保证金",数据录入!$E4179))),1,0))</f>
      </c>
      <c r="R4179" s="44">
        <f>IF(AND($Q4179=1,数据录入!$B4179&gt;=$B$2,数据录入!$B4179&lt;=$D$2),N(R4178)+1,N(R4178))</f>
      </c>
    </row>
    <row r="4180" s="44" customFormat="1" spans="1:23">
      <c r="A4180" s="116"/>
      <c r="E4180" s="108"/>
      <c r="F4180" s="114"/>
      <c r="G4180" s="114"/>
      <c r="H4180" s="114"/>
      <c r="Q4180" s="44">
        <f>IF(数据录入!$B4180="",0,IF(OR(数据录入!$D4180="投标保证金",数据录入!$D4180="合同履约保证金",ISNUMBER(FIND("保证金",数据录入!$E4180))),1,0))</f>
      </c>
      <c r="R4180" s="44">
        <f>IF(AND($Q4180=1,数据录入!$B4180&gt;=$B$2,数据录入!$B4180&lt;=$D$2),N(R4179)+1,N(R4179))</f>
      </c>
    </row>
    <row r="4181" s="44" customFormat="1" spans="1:23">
      <c r="A4181" s="116"/>
      <c r="E4181" s="108"/>
      <c r="F4181" s="114"/>
      <c r="G4181" s="114"/>
      <c r="H4181" s="114"/>
      <c r="Q4181" s="44">
        <f>IF(数据录入!$B4181="",0,IF(OR(数据录入!$D4181="投标保证金",数据录入!$D4181="合同履约保证金",ISNUMBER(FIND("保证金",数据录入!$E4181))),1,0))</f>
      </c>
      <c r="R4181" s="44">
        <f>IF(AND($Q4181=1,数据录入!$B4181&gt;=$B$2,数据录入!$B4181&lt;=$D$2),N(R4180)+1,N(R4180))</f>
      </c>
    </row>
    <row r="4182" s="44" customFormat="1" spans="1:23">
      <c r="A4182" s="116"/>
      <c r="E4182" s="108"/>
      <c r="F4182" s="114"/>
      <c r="G4182" s="114"/>
      <c r="H4182" s="114"/>
      <c r="Q4182" s="44">
        <f>IF(数据录入!$B4182="",0,IF(OR(数据录入!$D4182="投标保证金",数据录入!$D4182="合同履约保证金",ISNUMBER(FIND("保证金",数据录入!$E4182))),1,0))</f>
      </c>
      <c r="R4182" s="44">
        <f>IF(AND($Q4182=1,数据录入!$B4182&gt;=$B$2,数据录入!$B4182&lt;=$D$2),N(R4181)+1,N(R4181))</f>
      </c>
    </row>
    <row r="4183" s="44" customFormat="1" spans="1:23">
      <c r="A4183" s="116"/>
      <c r="E4183" s="108"/>
      <c r="F4183" s="114"/>
      <c r="G4183" s="114"/>
      <c r="H4183" s="114"/>
      <c r="Q4183" s="44">
        <f>IF(数据录入!$B4183="",0,IF(OR(数据录入!$D4183="投标保证金",数据录入!$D4183="合同履约保证金",ISNUMBER(FIND("保证金",数据录入!$E4183))),1,0))</f>
      </c>
      <c r="R4183" s="44">
        <f>IF(AND($Q4183=1,数据录入!$B4183&gt;=$B$2,数据录入!$B4183&lt;=$D$2),N(R4182)+1,N(R4182))</f>
      </c>
    </row>
    <row r="4184" s="44" customFormat="1" spans="1:23">
      <c r="A4184" s="116"/>
      <c r="E4184" s="108"/>
      <c r="F4184" s="114"/>
      <c r="G4184" s="114"/>
      <c r="H4184" s="114"/>
      <c r="Q4184" s="44">
        <f>IF(数据录入!$B4184="",0,IF(OR(数据录入!$D4184="投标保证金",数据录入!$D4184="合同履约保证金",ISNUMBER(FIND("保证金",数据录入!$E4184))),1,0))</f>
      </c>
      <c r="R4184" s="44">
        <f>IF(AND($Q4184=1,数据录入!$B4184&gt;=$B$2,数据录入!$B4184&lt;=$D$2),N(R4183)+1,N(R4183))</f>
      </c>
    </row>
    <row r="4185" s="44" customFormat="1" spans="1:23">
      <c r="A4185" s="116"/>
      <c r="E4185" s="108"/>
      <c r="F4185" s="114"/>
      <c r="G4185" s="114"/>
      <c r="H4185" s="114"/>
      <c r="Q4185" s="44">
        <f>IF(数据录入!$B4185="",0,IF(OR(数据录入!$D4185="投标保证金",数据录入!$D4185="合同履约保证金",ISNUMBER(FIND("保证金",数据录入!$E4185))),1,0))</f>
      </c>
      <c r="R4185" s="44">
        <f>IF(AND($Q4185=1,数据录入!$B4185&gt;=$B$2,数据录入!$B4185&lt;=$D$2),N(R4184)+1,N(R4184))</f>
      </c>
    </row>
    <row r="4186" s="44" customFormat="1" spans="1:23">
      <c r="A4186" s="116"/>
      <c r="E4186" s="108"/>
      <c r="F4186" s="114"/>
      <c r="G4186" s="114"/>
      <c r="H4186" s="114"/>
      <c r="Q4186" s="44">
        <f>IF(数据录入!$B4186="",0,IF(OR(数据录入!$D4186="投标保证金",数据录入!$D4186="合同履约保证金",ISNUMBER(FIND("保证金",数据录入!$E4186))),1,0))</f>
      </c>
      <c r="R4186" s="44">
        <f>IF(AND($Q4186=1,数据录入!$B4186&gt;=$B$2,数据录入!$B4186&lt;=$D$2),N(R4185)+1,N(R4185))</f>
      </c>
    </row>
    <row r="4187" s="44" customFormat="1" spans="1:23">
      <c r="A4187" s="116"/>
      <c r="E4187" s="108"/>
      <c r="F4187" s="114"/>
      <c r="G4187" s="114"/>
      <c r="H4187" s="114"/>
      <c r="Q4187" s="44">
        <f>IF(数据录入!$B4187="",0,IF(OR(数据录入!$D4187="投标保证金",数据录入!$D4187="合同履约保证金",ISNUMBER(FIND("保证金",数据录入!$E4187))),1,0))</f>
      </c>
      <c r="R4187" s="44">
        <f>IF(AND($Q4187=1,数据录入!$B4187&gt;=$B$2,数据录入!$B4187&lt;=$D$2),N(R4186)+1,N(R4186))</f>
      </c>
    </row>
    <row r="4188" s="44" customFormat="1" spans="1:23">
      <c r="A4188" s="116"/>
      <c r="E4188" s="108"/>
      <c r="F4188" s="114"/>
      <c r="G4188" s="114"/>
      <c r="H4188" s="114"/>
      <c r="Q4188" s="44">
        <f>IF(数据录入!$B4188="",0,IF(OR(数据录入!$D4188="投标保证金",数据录入!$D4188="合同履约保证金",ISNUMBER(FIND("保证金",数据录入!$E4188))),1,0))</f>
      </c>
      <c r="R4188" s="44">
        <f>IF(AND($Q4188=1,数据录入!$B4188&gt;=$B$2,数据录入!$B4188&lt;=$D$2),N(R4187)+1,N(R4187))</f>
      </c>
    </row>
    <row r="4189" s="44" customFormat="1" spans="1:23">
      <c r="A4189" s="116"/>
      <c r="E4189" s="108"/>
      <c r="F4189" s="114"/>
      <c r="G4189" s="114"/>
      <c r="H4189" s="114"/>
      <c r="Q4189" s="44">
        <f>IF(数据录入!$B4189="",0,IF(OR(数据录入!$D4189="投标保证金",数据录入!$D4189="合同履约保证金",ISNUMBER(FIND("保证金",数据录入!$E4189))),1,0))</f>
      </c>
      <c r="R4189" s="44">
        <f>IF(AND($Q4189=1,数据录入!$B4189&gt;=$B$2,数据录入!$B4189&lt;=$D$2),N(R4188)+1,N(R4188))</f>
      </c>
    </row>
    <row r="4190" s="44" customFormat="1" spans="1:23">
      <c r="A4190" s="116"/>
      <c r="E4190" s="108"/>
      <c r="F4190" s="114"/>
      <c r="G4190" s="114"/>
      <c r="H4190" s="114"/>
      <c r="Q4190" s="44">
        <f>IF(数据录入!$B4190="",0,IF(OR(数据录入!$D4190="投标保证金",数据录入!$D4190="合同履约保证金",ISNUMBER(FIND("保证金",数据录入!$E4190))),1,0))</f>
      </c>
      <c r="R4190" s="44">
        <f>IF(AND($Q4190=1,数据录入!$B4190&gt;=$B$2,数据录入!$B4190&lt;=$D$2),N(R4189)+1,N(R4189))</f>
      </c>
    </row>
    <row r="4191" s="44" customFormat="1" spans="1:23">
      <c r="A4191" s="116"/>
      <c r="E4191" s="108"/>
      <c r="F4191" s="114"/>
      <c r="G4191" s="114"/>
      <c r="H4191" s="114"/>
      <c r="Q4191" s="44">
        <f>IF(数据录入!$B4191="",0,IF(OR(数据录入!$D4191="投标保证金",数据录入!$D4191="合同履约保证金",ISNUMBER(FIND("保证金",数据录入!$E4191))),1,0))</f>
      </c>
      <c r="R4191" s="44">
        <f>IF(AND($Q4191=1,数据录入!$B4191&gt;=$B$2,数据录入!$B4191&lt;=$D$2),N(R4190)+1,N(R4190))</f>
      </c>
    </row>
    <row r="4192" s="44" customFormat="1" spans="1:23">
      <c r="A4192" s="116"/>
      <c r="E4192" s="108"/>
      <c r="F4192" s="114"/>
      <c r="G4192" s="114"/>
      <c r="H4192" s="114"/>
      <c r="Q4192" s="44">
        <f>IF(数据录入!$B4192="",0,IF(OR(数据录入!$D4192="投标保证金",数据录入!$D4192="合同履约保证金",ISNUMBER(FIND("保证金",数据录入!$E4192))),1,0))</f>
      </c>
      <c r="R4192" s="44">
        <f>IF(AND($Q4192=1,数据录入!$B4192&gt;=$B$2,数据录入!$B4192&lt;=$D$2),N(R4191)+1,N(R4191))</f>
      </c>
    </row>
    <row r="4193" s="44" customFormat="1" spans="1:23">
      <c r="A4193" s="116"/>
      <c r="E4193" s="108"/>
      <c r="F4193" s="114"/>
      <c r="G4193" s="114"/>
      <c r="H4193" s="114"/>
      <c r="Q4193" s="44">
        <f>IF(数据录入!$B4193="",0,IF(OR(数据录入!$D4193="投标保证金",数据录入!$D4193="合同履约保证金",ISNUMBER(FIND("保证金",数据录入!$E4193))),1,0))</f>
      </c>
      <c r="R4193" s="44">
        <f>IF(AND($Q4193=1,数据录入!$B4193&gt;=$B$2,数据录入!$B4193&lt;=$D$2),N(R4192)+1,N(R4192))</f>
      </c>
    </row>
    <row r="4194" s="44" customFormat="1" spans="1:23">
      <c r="A4194" s="116"/>
      <c r="E4194" s="108"/>
      <c r="F4194" s="114"/>
      <c r="G4194" s="114"/>
      <c r="H4194" s="114"/>
      <c r="Q4194" s="44">
        <f>IF(数据录入!$B4194="",0,IF(OR(数据录入!$D4194="投标保证金",数据录入!$D4194="合同履约保证金",ISNUMBER(FIND("保证金",数据录入!$E4194))),1,0))</f>
      </c>
      <c r="R4194" s="44">
        <f>IF(AND($Q4194=1,数据录入!$B4194&gt;=$B$2,数据录入!$B4194&lt;=$D$2),N(R4193)+1,N(R4193))</f>
      </c>
    </row>
    <row r="4195" s="44" customFormat="1" spans="1:23">
      <c r="A4195" s="116"/>
      <c r="E4195" s="108"/>
      <c r="F4195" s="114"/>
      <c r="G4195" s="114"/>
      <c r="H4195" s="114"/>
      <c r="Q4195" s="44">
        <f>IF(数据录入!$B4195="",0,IF(OR(数据录入!$D4195="投标保证金",数据录入!$D4195="合同履约保证金",ISNUMBER(FIND("保证金",数据录入!$E4195))),1,0))</f>
      </c>
      <c r="R4195" s="44">
        <f>IF(AND($Q4195=1,数据录入!$B4195&gt;=$B$2,数据录入!$B4195&lt;=$D$2),N(R4194)+1,N(R4194))</f>
      </c>
    </row>
    <row r="4196" s="44" customFormat="1" spans="1:23">
      <c r="A4196" s="116"/>
      <c r="E4196" s="108"/>
      <c r="F4196" s="114"/>
      <c r="G4196" s="114"/>
      <c r="H4196" s="114"/>
      <c r="Q4196" s="44">
        <f>IF(数据录入!$B4196="",0,IF(OR(数据录入!$D4196="投标保证金",数据录入!$D4196="合同履约保证金",ISNUMBER(FIND("保证金",数据录入!$E4196))),1,0))</f>
      </c>
      <c r="R4196" s="44">
        <f>IF(AND($Q4196=1,数据录入!$B4196&gt;=$B$2,数据录入!$B4196&lt;=$D$2),N(R4195)+1,N(R4195))</f>
      </c>
    </row>
    <row r="4197" s="44" customFormat="1" spans="1:23">
      <c r="A4197" s="116"/>
      <c r="E4197" s="108"/>
      <c r="F4197" s="114"/>
      <c r="G4197" s="114"/>
      <c r="H4197" s="114"/>
      <c r="Q4197" s="44">
        <f>IF(数据录入!$B4197="",0,IF(OR(数据录入!$D4197="投标保证金",数据录入!$D4197="合同履约保证金",ISNUMBER(FIND("保证金",数据录入!$E4197))),1,0))</f>
      </c>
      <c r="R4197" s="44">
        <f>IF(AND($Q4197=1,数据录入!$B4197&gt;=$B$2,数据录入!$B4197&lt;=$D$2),N(R4196)+1,N(R4196))</f>
      </c>
    </row>
    <row r="4198" s="44" customFormat="1" spans="1:23">
      <c r="A4198" s="116"/>
      <c r="E4198" s="108"/>
      <c r="F4198" s="114"/>
      <c r="G4198" s="114"/>
      <c r="H4198" s="114"/>
      <c r="Q4198" s="44">
        <f>IF(数据录入!$B4198="",0,IF(OR(数据录入!$D4198="投标保证金",数据录入!$D4198="合同履约保证金",ISNUMBER(FIND("保证金",数据录入!$E4198))),1,0))</f>
      </c>
      <c r="R4198" s="44">
        <f>IF(AND($Q4198=1,数据录入!$B4198&gt;=$B$2,数据录入!$B4198&lt;=$D$2),N(R4197)+1,N(R4197))</f>
      </c>
    </row>
    <row r="4199" s="44" customFormat="1" spans="1:23">
      <c r="A4199" s="116"/>
      <c r="E4199" s="108"/>
      <c r="F4199" s="114"/>
      <c r="G4199" s="114"/>
      <c r="H4199" s="114"/>
      <c r="Q4199" s="44">
        <f>IF(数据录入!$B4199="",0,IF(OR(数据录入!$D4199="投标保证金",数据录入!$D4199="合同履约保证金",ISNUMBER(FIND("保证金",数据录入!$E4199))),1,0))</f>
      </c>
      <c r="R4199" s="44">
        <f>IF(AND($Q4199=1,数据录入!$B4199&gt;=$B$2,数据录入!$B4199&lt;=$D$2),N(R4198)+1,N(R4198))</f>
      </c>
    </row>
    <row r="4200" s="44" customFormat="1" spans="1:23">
      <c r="A4200" s="116"/>
      <c r="E4200" s="108"/>
      <c r="F4200" s="114"/>
      <c r="G4200" s="114"/>
      <c r="H4200" s="114"/>
      <c r="Q4200" s="44">
        <f>IF(数据录入!$B4200="",0,IF(OR(数据录入!$D4200="投标保证金",数据录入!$D4200="合同履约保证金",ISNUMBER(FIND("保证金",数据录入!$E4200))),1,0))</f>
      </c>
      <c r="R4200" s="44">
        <f>IF(AND($Q4200=1,数据录入!$B4200&gt;=$B$2,数据录入!$B4200&lt;=$D$2),N(R4199)+1,N(R4199))</f>
      </c>
    </row>
    <row r="4201" s="44" customFormat="1" spans="1:23">
      <c r="A4201" s="116"/>
      <c r="E4201" s="108"/>
      <c r="F4201" s="114"/>
      <c r="G4201" s="114"/>
      <c r="H4201" s="114"/>
      <c r="Q4201" s="44">
        <f>IF(数据录入!$B4201="",0,IF(OR(数据录入!$D4201="投标保证金",数据录入!$D4201="合同履约保证金",ISNUMBER(FIND("保证金",数据录入!$E4201))),1,0))</f>
      </c>
      <c r="R4201" s="44">
        <f>IF(AND($Q4201=1,数据录入!$B4201&gt;=$B$2,数据录入!$B4201&lt;=$D$2),N(R4200)+1,N(R4200))</f>
      </c>
    </row>
    <row r="4202" s="44" customFormat="1" spans="1:23">
      <c r="A4202" s="116"/>
      <c r="E4202" s="108"/>
      <c r="F4202" s="114"/>
      <c r="G4202" s="114"/>
      <c r="H4202" s="114"/>
      <c r="Q4202" s="44">
        <f>IF(数据录入!$B4202="",0,IF(OR(数据录入!$D4202="投标保证金",数据录入!$D4202="合同履约保证金",ISNUMBER(FIND("保证金",数据录入!$E4202))),1,0))</f>
      </c>
      <c r="R4202" s="44">
        <f>IF(AND($Q4202=1,数据录入!$B4202&gt;=$B$2,数据录入!$B4202&lt;=$D$2),N(R4201)+1,N(R4201))</f>
      </c>
    </row>
    <row r="4203" s="44" customFormat="1" spans="1:23">
      <c r="A4203" s="116"/>
      <c r="E4203" s="108"/>
      <c r="F4203" s="114"/>
      <c r="G4203" s="114"/>
      <c r="H4203" s="114"/>
      <c r="Q4203" s="44">
        <f>IF(数据录入!$B4203="",0,IF(OR(数据录入!$D4203="投标保证金",数据录入!$D4203="合同履约保证金",ISNUMBER(FIND("保证金",数据录入!$E4203))),1,0))</f>
      </c>
      <c r="R4203" s="44">
        <f>IF(AND($Q4203=1,数据录入!$B4203&gt;=$B$2,数据录入!$B4203&lt;=$D$2),N(R4202)+1,N(R4202))</f>
      </c>
    </row>
    <row r="4204" s="44" customFormat="1" spans="1:23">
      <c r="A4204" s="116"/>
      <c r="E4204" s="108"/>
      <c r="F4204" s="114"/>
      <c r="G4204" s="114"/>
      <c r="H4204" s="114"/>
      <c r="Q4204" s="44">
        <f>IF(数据录入!$B4204="",0,IF(OR(数据录入!$D4204="投标保证金",数据录入!$D4204="合同履约保证金",ISNUMBER(FIND("保证金",数据录入!$E4204))),1,0))</f>
      </c>
      <c r="R4204" s="44">
        <f>IF(AND($Q4204=1,数据录入!$B4204&gt;=$B$2,数据录入!$B4204&lt;=$D$2),N(R4203)+1,N(R4203))</f>
      </c>
    </row>
    <row r="4205" s="44" customFormat="1" spans="1:23">
      <c r="A4205" s="116"/>
      <c r="E4205" s="108"/>
      <c r="F4205" s="114"/>
      <c r="G4205" s="114"/>
      <c r="H4205" s="114"/>
      <c r="Q4205" s="44">
        <f>IF(数据录入!$B4205="",0,IF(OR(数据录入!$D4205="投标保证金",数据录入!$D4205="合同履约保证金",ISNUMBER(FIND("保证金",数据录入!$E4205))),1,0))</f>
      </c>
      <c r="R4205" s="44">
        <f>IF(AND($Q4205=1,数据录入!$B4205&gt;=$B$2,数据录入!$B4205&lt;=$D$2),N(R4204)+1,N(R4204))</f>
      </c>
    </row>
    <row r="4206" s="44" customFormat="1" spans="1:23">
      <c r="A4206" s="116"/>
      <c r="E4206" s="108"/>
      <c r="F4206" s="114"/>
      <c r="G4206" s="114"/>
      <c r="H4206" s="114"/>
      <c r="Q4206" s="44">
        <f>IF(数据录入!$B4206="",0,IF(OR(数据录入!$D4206="投标保证金",数据录入!$D4206="合同履约保证金",ISNUMBER(FIND("保证金",数据录入!$E4206))),1,0))</f>
      </c>
      <c r="R4206" s="44">
        <f>IF(AND($Q4206=1,数据录入!$B4206&gt;=$B$2,数据录入!$B4206&lt;=$D$2),N(R4205)+1,N(R4205))</f>
      </c>
    </row>
    <row r="4207" s="44" customFormat="1" spans="1:23">
      <c r="A4207" s="116"/>
      <c r="E4207" s="108"/>
      <c r="F4207" s="114"/>
      <c r="G4207" s="114"/>
      <c r="H4207" s="114"/>
      <c r="Q4207" s="44">
        <f>IF(数据录入!$B4207="",0,IF(OR(数据录入!$D4207="投标保证金",数据录入!$D4207="合同履约保证金",ISNUMBER(FIND("保证金",数据录入!$E4207))),1,0))</f>
      </c>
      <c r="R4207" s="44">
        <f>IF(AND($Q4207=1,数据录入!$B4207&gt;=$B$2,数据录入!$B4207&lt;=$D$2),N(R4206)+1,N(R4206))</f>
      </c>
    </row>
    <row r="4208" s="44" customFormat="1" spans="1:23">
      <c r="A4208" s="116"/>
      <c r="E4208" s="108"/>
      <c r="F4208" s="114"/>
      <c r="G4208" s="114"/>
      <c r="H4208" s="114"/>
      <c r="Q4208" s="44">
        <f>IF(数据录入!$B4208="",0,IF(OR(数据录入!$D4208="投标保证金",数据录入!$D4208="合同履约保证金",ISNUMBER(FIND("保证金",数据录入!$E4208))),1,0))</f>
      </c>
      <c r="R4208" s="44">
        <f>IF(AND($Q4208=1,数据录入!$B4208&gt;=$B$2,数据录入!$B4208&lt;=$D$2),N(R4207)+1,N(R4207))</f>
      </c>
    </row>
    <row r="4209" s="44" customFormat="1" spans="1:23">
      <c r="A4209" s="116"/>
      <c r="E4209" s="108"/>
      <c r="F4209" s="114"/>
      <c r="G4209" s="114"/>
      <c r="H4209" s="114"/>
      <c r="Q4209" s="44">
        <f>IF(数据录入!$B4209="",0,IF(OR(数据录入!$D4209="投标保证金",数据录入!$D4209="合同履约保证金",ISNUMBER(FIND("保证金",数据录入!$E4209))),1,0))</f>
      </c>
      <c r="R4209" s="44">
        <f>IF(AND($Q4209=1,数据录入!$B4209&gt;=$B$2,数据录入!$B4209&lt;=$D$2),N(R4208)+1,N(R4208))</f>
      </c>
    </row>
    <row r="4210" s="44" customFormat="1" spans="1:23">
      <c r="A4210" s="116"/>
      <c r="E4210" s="108"/>
      <c r="F4210" s="114"/>
      <c r="G4210" s="114"/>
      <c r="H4210" s="114"/>
      <c r="Q4210" s="44">
        <f>IF(数据录入!$B4210="",0,IF(OR(数据录入!$D4210="投标保证金",数据录入!$D4210="合同履约保证金",ISNUMBER(FIND("保证金",数据录入!$E4210))),1,0))</f>
      </c>
      <c r="R4210" s="44">
        <f>IF(AND($Q4210=1,数据录入!$B4210&gt;=$B$2,数据录入!$B4210&lt;=$D$2),N(R4209)+1,N(R4209))</f>
      </c>
    </row>
    <row r="4211" s="44" customFormat="1" spans="1:23">
      <c r="A4211" s="116"/>
      <c r="E4211" s="108"/>
      <c r="F4211" s="114"/>
      <c r="G4211" s="114"/>
      <c r="H4211" s="114"/>
      <c r="Q4211" s="44">
        <f>IF(数据录入!$B4211="",0,IF(OR(数据录入!$D4211="投标保证金",数据录入!$D4211="合同履约保证金",ISNUMBER(FIND("保证金",数据录入!$E4211))),1,0))</f>
      </c>
      <c r="R4211" s="44">
        <f>IF(AND($Q4211=1,数据录入!$B4211&gt;=$B$2,数据录入!$B4211&lt;=$D$2),N(R4210)+1,N(R4210))</f>
      </c>
    </row>
    <row r="4212" s="44" customFormat="1" spans="1:23">
      <c r="A4212" s="116"/>
      <c r="E4212" s="108"/>
      <c r="F4212" s="114"/>
      <c r="G4212" s="114"/>
      <c r="H4212" s="114"/>
      <c r="Q4212" s="44">
        <f>IF(数据录入!$B4212="",0,IF(OR(数据录入!$D4212="投标保证金",数据录入!$D4212="合同履约保证金",ISNUMBER(FIND("保证金",数据录入!$E4212))),1,0))</f>
      </c>
      <c r="R4212" s="44">
        <f>IF(AND($Q4212=1,数据录入!$B4212&gt;=$B$2,数据录入!$B4212&lt;=$D$2),N(R4211)+1,N(R4211))</f>
      </c>
    </row>
    <row r="4213" s="44" customFormat="1" spans="1:23">
      <c r="A4213" s="116"/>
      <c r="E4213" s="108"/>
      <c r="F4213" s="114"/>
      <c r="G4213" s="114"/>
      <c r="H4213" s="114"/>
      <c r="Q4213" s="44">
        <f>IF(数据录入!$B4213="",0,IF(OR(数据录入!$D4213="投标保证金",数据录入!$D4213="合同履约保证金",ISNUMBER(FIND("保证金",数据录入!$E4213))),1,0))</f>
      </c>
      <c r="R4213" s="44">
        <f>IF(AND($Q4213=1,数据录入!$B4213&gt;=$B$2,数据录入!$B4213&lt;=$D$2),N(R4212)+1,N(R4212))</f>
      </c>
    </row>
    <row r="4214" s="44" customFormat="1" spans="1:23">
      <c r="A4214" s="116"/>
      <c r="E4214" s="108"/>
      <c r="F4214" s="114"/>
      <c r="G4214" s="114"/>
      <c r="H4214" s="114"/>
      <c r="Q4214" s="44">
        <f>IF(数据录入!$B4214="",0,IF(OR(数据录入!$D4214="投标保证金",数据录入!$D4214="合同履约保证金",ISNUMBER(FIND("保证金",数据录入!$E4214))),1,0))</f>
      </c>
      <c r="R4214" s="44">
        <f>IF(AND($Q4214=1,数据录入!$B4214&gt;=$B$2,数据录入!$B4214&lt;=$D$2),N(R4213)+1,N(R4213))</f>
      </c>
    </row>
    <row r="4215" s="44" customFormat="1" spans="1:23">
      <c r="A4215" s="116"/>
      <c r="E4215" s="108"/>
      <c r="F4215" s="114"/>
      <c r="G4215" s="114"/>
      <c r="H4215" s="114"/>
      <c r="Q4215" s="44">
        <f>IF(数据录入!$B4215="",0,IF(OR(数据录入!$D4215="投标保证金",数据录入!$D4215="合同履约保证金",ISNUMBER(FIND("保证金",数据录入!$E4215))),1,0))</f>
      </c>
      <c r="R4215" s="44">
        <f>IF(AND($Q4215=1,数据录入!$B4215&gt;=$B$2,数据录入!$B4215&lt;=$D$2),N(R4214)+1,N(R4214))</f>
      </c>
    </row>
    <row r="4216" s="44" customFormat="1" spans="1:23">
      <c r="A4216" s="116"/>
      <c r="E4216" s="108"/>
      <c r="F4216" s="114"/>
      <c r="G4216" s="114"/>
      <c r="H4216" s="114"/>
      <c r="Q4216" s="44">
        <f>IF(数据录入!$B4216="",0,IF(OR(数据录入!$D4216="投标保证金",数据录入!$D4216="合同履约保证金",ISNUMBER(FIND("保证金",数据录入!$E4216))),1,0))</f>
      </c>
      <c r="R4216" s="44">
        <f>IF(AND($Q4216=1,数据录入!$B4216&gt;=$B$2,数据录入!$B4216&lt;=$D$2),N(R4215)+1,N(R4215))</f>
      </c>
    </row>
    <row r="4217" s="44" customFormat="1" spans="1:23">
      <c r="A4217" s="116"/>
      <c r="E4217" s="108"/>
      <c r="F4217" s="114"/>
      <c r="G4217" s="114"/>
      <c r="H4217" s="114"/>
      <c r="Q4217" s="44">
        <f>IF(数据录入!$B4217="",0,IF(OR(数据录入!$D4217="投标保证金",数据录入!$D4217="合同履约保证金",ISNUMBER(FIND("保证金",数据录入!$E4217))),1,0))</f>
      </c>
      <c r="R4217" s="44">
        <f>IF(AND($Q4217=1,数据录入!$B4217&gt;=$B$2,数据录入!$B4217&lt;=$D$2),N(R4216)+1,N(R4216))</f>
      </c>
    </row>
    <row r="4218" s="44" customFormat="1" spans="1:23">
      <c r="A4218" s="116"/>
      <c r="E4218" s="108"/>
      <c r="F4218" s="114"/>
      <c r="G4218" s="114"/>
      <c r="H4218" s="114"/>
      <c r="Q4218" s="44">
        <f>IF(数据录入!$B4218="",0,IF(OR(数据录入!$D4218="投标保证金",数据录入!$D4218="合同履约保证金",ISNUMBER(FIND("保证金",数据录入!$E4218))),1,0))</f>
      </c>
      <c r="R4218" s="44">
        <f>IF(AND($Q4218=1,数据录入!$B4218&gt;=$B$2,数据录入!$B4218&lt;=$D$2),N(R4217)+1,N(R4217))</f>
      </c>
    </row>
    <row r="4219" s="44" customFormat="1" spans="1:23">
      <c r="A4219" s="116"/>
      <c r="E4219" s="108"/>
      <c r="F4219" s="114"/>
      <c r="G4219" s="114"/>
      <c r="H4219" s="114"/>
      <c r="Q4219" s="44">
        <f>IF(数据录入!$B4219="",0,IF(OR(数据录入!$D4219="投标保证金",数据录入!$D4219="合同履约保证金",ISNUMBER(FIND("保证金",数据录入!$E4219))),1,0))</f>
      </c>
      <c r="R4219" s="44">
        <f>IF(AND($Q4219=1,数据录入!$B4219&gt;=$B$2,数据录入!$B4219&lt;=$D$2),N(R4218)+1,N(R4218))</f>
      </c>
    </row>
    <row r="4220" s="44" customFormat="1" spans="1:23">
      <c r="A4220" s="116"/>
      <c r="E4220" s="108"/>
      <c r="F4220" s="114"/>
      <c r="G4220" s="114"/>
      <c r="H4220" s="114"/>
      <c r="Q4220" s="44">
        <f>IF(数据录入!$B4220="",0,IF(OR(数据录入!$D4220="投标保证金",数据录入!$D4220="合同履约保证金",ISNUMBER(FIND("保证金",数据录入!$E4220))),1,0))</f>
      </c>
      <c r="R4220" s="44">
        <f>IF(AND($Q4220=1,数据录入!$B4220&gt;=$B$2,数据录入!$B4220&lt;=$D$2),N(R4219)+1,N(R4219))</f>
      </c>
    </row>
    <row r="4221" s="44" customFormat="1" spans="1:23">
      <c r="A4221" s="116"/>
      <c r="E4221" s="108"/>
      <c r="F4221" s="114"/>
      <c r="G4221" s="114"/>
      <c r="H4221" s="114"/>
      <c r="Q4221" s="44">
        <f>IF(数据录入!$B4221="",0,IF(OR(数据录入!$D4221="投标保证金",数据录入!$D4221="合同履约保证金",ISNUMBER(FIND("保证金",数据录入!$E4221))),1,0))</f>
      </c>
      <c r="R4221" s="44">
        <f>IF(AND($Q4221=1,数据录入!$B4221&gt;=$B$2,数据录入!$B4221&lt;=$D$2),N(R4220)+1,N(R4220))</f>
      </c>
    </row>
    <row r="4222" s="44" customFormat="1" spans="1:23">
      <c r="A4222" s="116"/>
      <c r="E4222" s="108"/>
      <c r="F4222" s="114"/>
      <c r="G4222" s="114"/>
      <c r="H4222" s="114"/>
      <c r="Q4222" s="44">
        <f>IF(数据录入!$B4222="",0,IF(OR(数据录入!$D4222="投标保证金",数据录入!$D4222="合同履约保证金",ISNUMBER(FIND("保证金",数据录入!$E4222))),1,0))</f>
      </c>
      <c r="R4222" s="44">
        <f>IF(AND($Q4222=1,数据录入!$B4222&gt;=$B$2,数据录入!$B4222&lt;=$D$2),N(R4221)+1,N(R4221))</f>
      </c>
    </row>
    <row r="4223" s="44" customFormat="1" spans="1:23">
      <c r="A4223" s="116"/>
      <c r="E4223" s="108"/>
      <c r="F4223" s="114"/>
      <c r="G4223" s="114"/>
      <c r="H4223" s="114"/>
      <c r="Q4223" s="44">
        <f>IF(数据录入!$B4223="",0,IF(OR(数据录入!$D4223="投标保证金",数据录入!$D4223="合同履约保证金",ISNUMBER(FIND("保证金",数据录入!$E4223))),1,0))</f>
      </c>
      <c r="R4223" s="44">
        <f>IF(AND($Q4223=1,数据录入!$B4223&gt;=$B$2,数据录入!$B4223&lt;=$D$2),N(R4222)+1,N(R4222))</f>
      </c>
    </row>
    <row r="4224" s="44" customFormat="1" spans="1:23">
      <c r="A4224" s="116"/>
      <c r="E4224" s="108"/>
      <c r="F4224" s="114"/>
      <c r="G4224" s="114"/>
      <c r="H4224" s="114"/>
      <c r="Q4224" s="44">
        <f>IF(数据录入!$B4224="",0,IF(OR(数据录入!$D4224="投标保证金",数据录入!$D4224="合同履约保证金",ISNUMBER(FIND("保证金",数据录入!$E4224))),1,0))</f>
      </c>
      <c r="R4224" s="44">
        <f>IF(AND($Q4224=1,数据录入!$B4224&gt;=$B$2,数据录入!$B4224&lt;=$D$2),N(R4223)+1,N(R4223))</f>
      </c>
    </row>
    <row r="4225" s="44" customFormat="1" spans="1:23">
      <c r="A4225" s="116"/>
      <c r="E4225" s="108"/>
      <c r="F4225" s="114"/>
      <c r="G4225" s="114"/>
      <c r="H4225" s="114"/>
      <c r="Q4225" s="44">
        <f>IF(数据录入!$B4225="",0,IF(OR(数据录入!$D4225="投标保证金",数据录入!$D4225="合同履约保证金",ISNUMBER(FIND("保证金",数据录入!$E4225))),1,0))</f>
      </c>
      <c r="R4225" s="44">
        <f>IF(AND($Q4225=1,数据录入!$B4225&gt;=$B$2,数据录入!$B4225&lt;=$D$2),N(R4224)+1,N(R4224))</f>
      </c>
    </row>
    <row r="4226" s="44" customFormat="1" spans="1:23">
      <c r="A4226" s="116"/>
      <c r="E4226" s="108"/>
      <c r="F4226" s="114"/>
      <c r="G4226" s="114"/>
      <c r="H4226" s="114"/>
      <c r="Q4226" s="44">
        <f>IF(数据录入!$B4226="",0,IF(OR(数据录入!$D4226="投标保证金",数据录入!$D4226="合同履约保证金",ISNUMBER(FIND("保证金",数据录入!$E4226))),1,0))</f>
      </c>
      <c r="R4226" s="44">
        <f>IF(AND($Q4226=1,数据录入!$B4226&gt;=$B$2,数据录入!$B4226&lt;=$D$2),N(R4225)+1,N(R4225))</f>
      </c>
    </row>
    <row r="4227" s="44" customFormat="1" spans="1:23">
      <c r="A4227" s="116"/>
      <c r="E4227" s="108"/>
      <c r="F4227" s="114"/>
      <c r="G4227" s="114"/>
      <c r="H4227" s="114"/>
      <c r="Q4227" s="44">
        <f>IF(数据录入!$B4227="",0,IF(OR(数据录入!$D4227="投标保证金",数据录入!$D4227="合同履约保证金",ISNUMBER(FIND("保证金",数据录入!$E4227))),1,0))</f>
      </c>
      <c r="R4227" s="44">
        <f>IF(AND($Q4227=1,数据录入!$B4227&gt;=$B$2,数据录入!$B4227&lt;=$D$2),N(R4226)+1,N(R4226))</f>
      </c>
    </row>
    <row r="4228" s="44" customFormat="1" spans="1:23">
      <c r="A4228" s="116"/>
      <c r="E4228" s="108"/>
      <c r="F4228" s="114"/>
      <c r="G4228" s="114"/>
      <c r="H4228" s="114"/>
      <c r="Q4228" s="44">
        <f>IF(数据录入!$B4228="",0,IF(OR(数据录入!$D4228="投标保证金",数据录入!$D4228="合同履约保证金",ISNUMBER(FIND("保证金",数据录入!$E4228))),1,0))</f>
      </c>
      <c r="R4228" s="44">
        <f>IF(AND($Q4228=1,数据录入!$B4228&gt;=$B$2,数据录入!$B4228&lt;=$D$2),N(R4227)+1,N(R4227))</f>
      </c>
    </row>
    <row r="4229" s="44" customFormat="1" spans="1:23">
      <c r="A4229" s="116"/>
      <c r="E4229" s="108"/>
      <c r="F4229" s="114"/>
      <c r="G4229" s="114"/>
      <c r="H4229" s="114"/>
      <c r="Q4229" s="44">
        <f>IF(数据录入!$B4229="",0,IF(OR(数据录入!$D4229="投标保证金",数据录入!$D4229="合同履约保证金",ISNUMBER(FIND("保证金",数据录入!$E4229))),1,0))</f>
      </c>
      <c r="R4229" s="44">
        <f>IF(AND($Q4229=1,数据录入!$B4229&gt;=$B$2,数据录入!$B4229&lt;=$D$2),N(R4228)+1,N(R4228))</f>
      </c>
    </row>
    <row r="4230" s="44" customFormat="1" spans="1:23">
      <c r="A4230" s="116"/>
      <c r="E4230" s="108"/>
      <c r="F4230" s="114"/>
      <c r="G4230" s="114"/>
      <c r="H4230" s="114"/>
      <c r="Q4230" s="44">
        <f>IF(数据录入!$B4230="",0,IF(OR(数据录入!$D4230="投标保证金",数据录入!$D4230="合同履约保证金",ISNUMBER(FIND("保证金",数据录入!$E4230))),1,0))</f>
      </c>
      <c r="R4230" s="44">
        <f>IF(AND($Q4230=1,数据录入!$B4230&gt;=$B$2,数据录入!$B4230&lt;=$D$2),N(R4229)+1,N(R4229))</f>
      </c>
    </row>
    <row r="4231" s="44" customFormat="1" spans="1:23">
      <c r="A4231" s="116"/>
      <c r="E4231" s="108"/>
      <c r="F4231" s="114"/>
      <c r="G4231" s="114"/>
      <c r="H4231" s="114"/>
      <c r="Q4231" s="44">
        <f>IF(数据录入!$B4231="",0,IF(OR(数据录入!$D4231="投标保证金",数据录入!$D4231="合同履约保证金",ISNUMBER(FIND("保证金",数据录入!$E4231))),1,0))</f>
      </c>
      <c r="R4231" s="44">
        <f>IF(AND($Q4231=1,数据录入!$B4231&gt;=$B$2,数据录入!$B4231&lt;=$D$2),N(R4230)+1,N(R4230))</f>
      </c>
    </row>
    <row r="4232" s="44" customFormat="1" spans="1:23">
      <c r="A4232" s="116"/>
      <c r="E4232" s="108"/>
      <c r="F4232" s="114"/>
      <c r="G4232" s="114"/>
      <c r="H4232" s="114"/>
      <c r="Q4232" s="44">
        <f>IF(数据录入!$B4232="",0,IF(OR(数据录入!$D4232="投标保证金",数据录入!$D4232="合同履约保证金",ISNUMBER(FIND("保证金",数据录入!$E4232))),1,0))</f>
      </c>
      <c r="R4232" s="44">
        <f>IF(AND($Q4232=1,数据录入!$B4232&gt;=$B$2,数据录入!$B4232&lt;=$D$2),N(R4231)+1,N(R4231))</f>
      </c>
    </row>
    <row r="4233" s="44" customFormat="1" spans="1:23">
      <c r="A4233" s="116"/>
      <c r="E4233" s="108"/>
      <c r="F4233" s="114"/>
      <c r="G4233" s="114"/>
      <c r="H4233" s="114"/>
      <c r="Q4233" s="44">
        <f>IF(数据录入!$B4233="",0,IF(OR(数据录入!$D4233="投标保证金",数据录入!$D4233="合同履约保证金",ISNUMBER(FIND("保证金",数据录入!$E4233))),1,0))</f>
      </c>
      <c r="R4233" s="44">
        <f>IF(AND($Q4233=1,数据录入!$B4233&gt;=$B$2,数据录入!$B4233&lt;=$D$2),N(R4232)+1,N(R4232))</f>
      </c>
    </row>
    <row r="4234" s="44" customFormat="1" spans="1:23">
      <c r="A4234" s="116"/>
      <c r="E4234" s="108"/>
      <c r="F4234" s="114"/>
      <c r="G4234" s="114"/>
      <c r="H4234" s="114"/>
      <c r="Q4234" s="44">
        <f>IF(数据录入!$B4234="",0,IF(OR(数据录入!$D4234="投标保证金",数据录入!$D4234="合同履约保证金",ISNUMBER(FIND("保证金",数据录入!$E4234))),1,0))</f>
      </c>
      <c r="R4234" s="44">
        <f>IF(AND($Q4234=1,数据录入!$B4234&gt;=$B$2,数据录入!$B4234&lt;=$D$2),N(R4233)+1,N(R4233))</f>
      </c>
    </row>
    <row r="4235" s="44" customFormat="1" spans="1:23">
      <c r="A4235" s="116"/>
      <c r="E4235" s="108"/>
      <c r="F4235" s="114"/>
      <c r="G4235" s="114"/>
      <c r="H4235" s="114"/>
      <c r="Q4235" s="44">
        <f>IF(数据录入!$B4235="",0,IF(OR(数据录入!$D4235="投标保证金",数据录入!$D4235="合同履约保证金",ISNUMBER(FIND("保证金",数据录入!$E4235))),1,0))</f>
      </c>
      <c r="R4235" s="44">
        <f>IF(AND($Q4235=1,数据录入!$B4235&gt;=$B$2,数据录入!$B4235&lt;=$D$2),N(R4234)+1,N(R4234))</f>
      </c>
    </row>
    <row r="4236" s="44" customFormat="1" spans="1:23">
      <c r="A4236" s="116"/>
      <c r="E4236" s="108"/>
      <c r="F4236" s="114"/>
      <c r="G4236" s="114"/>
      <c r="H4236" s="114"/>
      <c r="Q4236" s="44">
        <f>IF(数据录入!$B4236="",0,IF(OR(数据录入!$D4236="投标保证金",数据录入!$D4236="合同履约保证金",ISNUMBER(FIND("保证金",数据录入!$E4236))),1,0))</f>
      </c>
      <c r="R4236" s="44">
        <f>IF(AND($Q4236=1,数据录入!$B4236&gt;=$B$2,数据录入!$B4236&lt;=$D$2),N(R4235)+1,N(R4235))</f>
      </c>
    </row>
    <row r="4237" s="44" customFormat="1" spans="1:23">
      <c r="A4237" s="116"/>
      <c r="E4237" s="108"/>
      <c r="F4237" s="114"/>
      <c r="G4237" s="114"/>
      <c r="H4237" s="114"/>
      <c r="Q4237" s="44">
        <f>IF(数据录入!$B4237="",0,IF(OR(数据录入!$D4237="投标保证金",数据录入!$D4237="合同履约保证金",ISNUMBER(FIND("保证金",数据录入!$E4237))),1,0))</f>
      </c>
      <c r="R4237" s="44">
        <f>IF(AND($Q4237=1,数据录入!$B4237&gt;=$B$2,数据录入!$B4237&lt;=$D$2),N(R4236)+1,N(R4236))</f>
      </c>
    </row>
    <row r="4238" s="44" customFormat="1" spans="1:23">
      <c r="A4238" s="116"/>
      <c r="E4238" s="108"/>
      <c r="F4238" s="114"/>
      <c r="G4238" s="114"/>
      <c r="H4238" s="114"/>
      <c r="Q4238" s="44">
        <f>IF(数据录入!$B4238="",0,IF(OR(数据录入!$D4238="投标保证金",数据录入!$D4238="合同履约保证金",ISNUMBER(FIND("保证金",数据录入!$E4238))),1,0))</f>
      </c>
      <c r="R4238" s="44">
        <f>IF(AND($Q4238=1,数据录入!$B4238&gt;=$B$2,数据录入!$B4238&lt;=$D$2),N(R4237)+1,N(R4237))</f>
      </c>
    </row>
    <row r="4239" s="44" customFormat="1" spans="1:23">
      <c r="A4239" s="116"/>
      <c r="E4239" s="108"/>
      <c r="F4239" s="114"/>
      <c r="G4239" s="114"/>
      <c r="H4239" s="114"/>
      <c r="Q4239" s="44">
        <f>IF(数据录入!$B4239="",0,IF(OR(数据录入!$D4239="投标保证金",数据录入!$D4239="合同履约保证金",ISNUMBER(FIND("保证金",数据录入!$E4239))),1,0))</f>
      </c>
      <c r="R4239" s="44">
        <f>IF(AND($Q4239=1,数据录入!$B4239&gt;=$B$2,数据录入!$B4239&lt;=$D$2),N(R4238)+1,N(R4238))</f>
      </c>
    </row>
    <row r="4240" s="44" customFormat="1" spans="1:23">
      <c r="A4240" s="116"/>
      <c r="E4240" s="108"/>
      <c r="F4240" s="114"/>
      <c r="G4240" s="114"/>
      <c r="H4240" s="114"/>
      <c r="Q4240" s="44">
        <f>IF(数据录入!$B4240="",0,IF(OR(数据录入!$D4240="投标保证金",数据录入!$D4240="合同履约保证金",ISNUMBER(FIND("保证金",数据录入!$E4240))),1,0))</f>
      </c>
      <c r="R4240" s="44">
        <f>IF(AND($Q4240=1,数据录入!$B4240&gt;=$B$2,数据录入!$B4240&lt;=$D$2),N(R4239)+1,N(R4239))</f>
      </c>
    </row>
    <row r="4241" s="44" customFormat="1" spans="1:23">
      <c r="A4241" s="116"/>
      <c r="E4241" s="108"/>
      <c r="F4241" s="114"/>
      <c r="G4241" s="114"/>
      <c r="H4241" s="114"/>
      <c r="Q4241" s="44">
        <f>IF(数据录入!$B4241="",0,IF(OR(数据录入!$D4241="投标保证金",数据录入!$D4241="合同履约保证金",ISNUMBER(FIND("保证金",数据录入!$E4241))),1,0))</f>
      </c>
      <c r="R4241" s="44">
        <f>IF(AND($Q4241=1,数据录入!$B4241&gt;=$B$2,数据录入!$B4241&lt;=$D$2),N(R4240)+1,N(R4240))</f>
      </c>
    </row>
    <row r="4242" s="44" customFormat="1" spans="1:23">
      <c r="A4242" s="116"/>
      <c r="E4242" s="108"/>
      <c r="F4242" s="114"/>
      <c r="G4242" s="114"/>
      <c r="H4242" s="114"/>
      <c r="Q4242" s="44">
        <f>IF(数据录入!$B4242="",0,IF(OR(数据录入!$D4242="投标保证金",数据录入!$D4242="合同履约保证金",ISNUMBER(FIND("保证金",数据录入!$E4242))),1,0))</f>
      </c>
      <c r="R4242" s="44">
        <f>IF(AND($Q4242=1,数据录入!$B4242&gt;=$B$2,数据录入!$B4242&lt;=$D$2),N(R4241)+1,N(R4241))</f>
      </c>
    </row>
    <row r="4243" s="44" customFormat="1" spans="1:23">
      <c r="A4243" s="116"/>
      <c r="E4243" s="108"/>
      <c r="F4243" s="114"/>
      <c r="G4243" s="114"/>
      <c r="H4243" s="114"/>
      <c r="Q4243" s="44">
        <f>IF(数据录入!$B4243="",0,IF(OR(数据录入!$D4243="投标保证金",数据录入!$D4243="合同履约保证金",ISNUMBER(FIND("保证金",数据录入!$E4243))),1,0))</f>
      </c>
      <c r="R4243" s="44">
        <f>IF(AND($Q4243=1,数据录入!$B4243&gt;=$B$2,数据录入!$B4243&lt;=$D$2),N(R4242)+1,N(R4242))</f>
      </c>
    </row>
    <row r="4244" s="44" customFormat="1" spans="1:23">
      <c r="A4244" s="116"/>
      <c r="E4244" s="108"/>
      <c r="F4244" s="114"/>
      <c r="G4244" s="114"/>
      <c r="H4244" s="114"/>
      <c r="Q4244" s="44">
        <f>IF(数据录入!$B4244="",0,IF(OR(数据录入!$D4244="投标保证金",数据录入!$D4244="合同履约保证金",ISNUMBER(FIND("保证金",数据录入!$E4244))),1,0))</f>
      </c>
      <c r="R4244" s="44">
        <f>IF(AND($Q4244=1,数据录入!$B4244&gt;=$B$2,数据录入!$B4244&lt;=$D$2),N(R4243)+1,N(R4243))</f>
      </c>
    </row>
    <row r="4245" s="44" customFormat="1" spans="1:23">
      <c r="A4245" s="116"/>
      <c r="E4245" s="108"/>
      <c r="F4245" s="114"/>
      <c r="G4245" s="114"/>
      <c r="H4245" s="114"/>
      <c r="Q4245" s="44">
        <f>IF(数据录入!$B4245="",0,IF(OR(数据录入!$D4245="投标保证金",数据录入!$D4245="合同履约保证金",ISNUMBER(FIND("保证金",数据录入!$E4245))),1,0))</f>
      </c>
      <c r="R4245" s="44">
        <f>IF(AND($Q4245=1,数据录入!$B4245&gt;=$B$2,数据录入!$B4245&lt;=$D$2),N(R4244)+1,N(R4244))</f>
      </c>
    </row>
    <row r="4246" s="44" customFormat="1" spans="1:23">
      <c r="A4246" s="116"/>
      <c r="E4246" s="108"/>
      <c r="F4246" s="114"/>
      <c r="G4246" s="114"/>
      <c r="H4246" s="114"/>
      <c r="Q4246" s="44">
        <f>IF(数据录入!$B4246="",0,IF(OR(数据录入!$D4246="投标保证金",数据录入!$D4246="合同履约保证金",ISNUMBER(FIND("保证金",数据录入!$E4246))),1,0))</f>
      </c>
      <c r="R4246" s="44">
        <f>IF(AND($Q4246=1,数据录入!$B4246&gt;=$B$2,数据录入!$B4246&lt;=$D$2),N(R4245)+1,N(R4245))</f>
      </c>
    </row>
    <row r="4247" s="44" customFormat="1" spans="1:23">
      <c r="A4247" s="116"/>
      <c r="E4247" s="108"/>
      <c r="F4247" s="114"/>
      <c r="G4247" s="114"/>
      <c r="H4247" s="114"/>
      <c r="Q4247" s="44">
        <f>IF(数据录入!$B4247="",0,IF(OR(数据录入!$D4247="投标保证金",数据录入!$D4247="合同履约保证金",ISNUMBER(FIND("保证金",数据录入!$E4247))),1,0))</f>
      </c>
      <c r="R4247" s="44">
        <f>IF(AND($Q4247=1,数据录入!$B4247&gt;=$B$2,数据录入!$B4247&lt;=$D$2),N(R4246)+1,N(R4246))</f>
      </c>
    </row>
    <row r="4248" s="44" customFormat="1" spans="1:23">
      <c r="A4248" s="116"/>
      <c r="E4248" s="108"/>
      <c r="F4248" s="114"/>
      <c r="G4248" s="114"/>
      <c r="H4248" s="114"/>
      <c r="Q4248" s="44">
        <f>IF(数据录入!$B4248="",0,IF(OR(数据录入!$D4248="投标保证金",数据录入!$D4248="合同履约保证金",ISNUMBER(FIND("保证金",数据录入!$E4248))),1,0))</f>
      </c>
      <c r="R4248" s="44">
        <f>IF(AND($Q4248=1,数据录入!$B4248&gt;=$B$2,数据录入!$B4248&lt;=$D$2),N(R4247)+1,N(R4247))</f>
      </c>
    </row>
    <row r="4249" s="44" customFormat="1" spans="1:23">
      <c r="A4249" s="116"/>
      <c r="E4249" s="108"/>
      <c r="F4249" s="114"/>
      <c r="G4249" s="114"/>
      <c r="H4249" s="114"/>
      <c r="Q4249" s="44">
        <f>IF(数据录入!$B4249="",0,IF(OR(数据录入!$D4249="投标保证金",数据录入!$D4249="合同履约保证金",ISNUMBER(FIND("保证金",数据录入!$E4249))),1,0))</f>
      </c>
      <c r="R4249" s="44">
        <f>IF(AND($Q4249=1,数据录入!$B4249&gt;=$B$2,数据录入!$B4249&lt;=$D$2),N(R4248)+1,N(R4248))</f>
      </c>
    </row>
    <row r="4250" s="44" customFormat="1" spans="1:23">
      <c r="A4250" s="116"/>
      <c r="E4250" s="108"/>
      <c r="F4250" s="114"/>
      <c r="G4250" s="114"/>
      <c r="H4250" s="114"/>
      <c r="Q4250" s="44">
        <f>IF(数据录入!$B4250="",0,IF(OR(数据录入!$D4250="投标保证金",数据录入!$D4250="合同履约保证金",ISNUMBER(FIND("保证金",数据录入!$E4250))),1,0))</f>
      </c>
      <c r="R4250" s="44">
        <f>IF(AND($Q4250=1,数据录入!$B4250&gt;=$B$2,数据录入!$B4250&lt;=$D$2),N(R4249)+1,N(R4249))</f>
      </c>
    </row>
    <row r="4251" s="44" customFormat="1" spans="1:23">
      <c r="A4251" s="116"/>
      <c r="E4251" s="108"/>
      <c r="F4251" s="114"/>
      <c r="G4251" s="114"/>
      <c r="H4251" s="114"/>
      <c r="Q4251" s="44">
        <f>IF(数据录入!$B4251="",0,IF(OR(数据录入!$D4251="投标保证金",数据录入!$D4251="合同履约保证金",ISNUMBER(FIND("保证金",数据录入!$E4251))),1,0))</f>
      </c>
      <c r="R4251" s="44">
        <f>IF(AND($Q4251=1,数据录入!$B4251&gt;=$B$2,数据录入!$B4251&lt;=$D$2),N(R4250)+1,N(R4250))</f>
      </c>
    </row>
    <row r="4252" s="44" customFormat="1" spans="1:23">
      <c r="A4252" s="116"/>
      <c r="E4252" s="108"/>
      <c r="F4252" s="114"/>
      <c r="G4252" s="114"/>
      <c r="H4252" s="114"/>
      <c r="Q4252" s="44">
        <f>IF(数据录入!$B4252="",0,IF(OR(数据录入!$D4252="投标保证金",数据录入!$D4252="合同履约保证金",ISNUMBER(FIND("保证金",数据录入!$E4252))),1,0))</f>
      </c>
      <c r="R4252" s="44">
        <f>IF(AND($Q4252=1,数据录入!$B4252&gt;=$B$2,数据录入!$B4252&lt;=$D$2),N(R4251)+1,N(R4251))</f>
      </c>
    </row>
    <row r="4253" s="44" customFormat="1" spans="1:23">
      <c r="A4253" s="116"/>
      <c r="E4253" s="108"/>
      <c r="F4253" s="114"/>
      <c r="G4253" s="114"/>
      <c r="H4253" s="114"/>
      <c r="Q4253" s="44">
        <f>IF(数据录入!$B4253="",0,IF(OR(数据录入!$D4253="投标保证金",数据录入!$D4253="合同履约保证金",ISNUMBER(FIND("保证金",数据录入!$E4253))),1,0))</f>
      </c>
      <c r="R4253" s="44">
        <f>IF(AND($Q4253=1,数据录入!$B4253&gt;=$B$2,数据录入!$B4253&lt;=$D$2),N(R4252)+1,N(R4252))</f>
      </c>
    </row>
    <row r="4254" s="44" customFormat="1" spans="1:23">
      <c r="A4254" s="116"/>
      <c r="E4254" s="108"/>
      <c r="F4254" s="114"/>
      <c r="G4254" s="114"/>
      <c r="H4254" s="114"/>
      <c r="Q4254" s="44">
        <f>IF(数据录入!$B4254="",0,IF(OR(数据录入!$D4254="投标保证金",数据录入!$D4254="合同履约保证金",ISNUMBER(FIND("保证金",数据录入!$E4254))),1,0))</f>
      </c>
      <c r="R4254" s="44">
        <f>IF(AND($Q4254=1,数据录入!$B4254&gt;=$B$2,数据录入!$B4254&lt;=$D$2),N(R4253)+1,N(R4253))</f>
      </c>
    </row>
    <row r="4255" s="44" customFormat="1" spans="1:23">
      <c r="A4255" s="116"/>
      <c r="E4255" s="108"/>
      <c r="F4255" s="114"/>
      <c r="G4255" s="114"/>
      <c r="H4255" s="114"/>
      <c r="Q4255" s="44">
        <f>IF(数据录入!$B4255="",0,IF(OR(数据录入!$D4255="投标保证金",数据录入!$D4255="合同履约保证金",ISNUMBER(FIND("保证金",数据录入!$E4255))),1,0))</f>
      </c>
      <c r="R4255" s="44">
        <f>IF(AND($Q4255=1,数据录入!$B4255&gt;=$B$2,数据录入!$B4255&lt;=$D$2),N(R4254)+1,N(R4254))</f>
      </c>
    </row>
    <row r="4256" s="44" customFormat="1" spans="1:23">
      <c r="A4256" s="116"/>
      <c r="E4256" s="108"/>
      <c r="F4256" s="114"/>
      <c r="G4256" s="114"/>
      <c r="H4256" s="114"/>
      <c r="Q4256" s="44">
        <f>IF(数据录入!$B4256="",0,IF(OR(数据录入!$D4256="投标保证金",数据录入!$D4256="合同履约保证金",ISNUMBER(FIND("保证金",数据录入!$E4256))),1,0))</f>
      </c>
      <c r="R4256" s="44">
        <f>IF(AND($Q4256=1,数据录入!$B4256&gt;=$B$2,数据录入!$B4256&lt;=$D$2),N(R4255)+1,N(R4255))</f>
      </c>
    </row>
    <row r="4257" s="44" customFormat="1" spans="1:23">
      <c r="A4257" s="116"/>
      <c r="E4257" s="108"/>
      <c r="F4257" s="114"/>
      <c r="G4257" s="114"/>
      <c r="H4257" s="114"/>
      <c r="Q4257" s="44">
        <f>IF(数据录入!$B4257="",0,IF(OR(数据录入!$D4257="投标保证金",数据录入!$D4257="合同履约保证金",ISNUMBER(FIND("保证金",数据录入!$E4257))),1,0))</f>
      </c>
      <c r="R4257" s="44">
        <f>IF(AND($Q4257=1,数据录入!$B4257&gt;=$B$2,数据录入!$B4257&lt;=$D$2),N(R4256)+1,N(R4256))</f>
      </c>
    </row>
    <row r="4258" s="44" customFormat="1" spans="1:23">
      <c r="A4258" s="116"/>
      <c r="E4258" s="108"/>
      <c r="F4258" s="114"/>
      <c r="G4258" s="114"/>
      <c r="H4258" s="114"/>
      <c r="Q4258" s="44">
        <f>IF(数据录入!$B4258="",0,IF(OR(数据录入!$D4258="投标保证金",数据录入!$D4258="合同履约保证金",ISNUMBER(FIND("保证金",数据录入!$E4258))),1,0))</f>
      </c>
      <c r="R4258" s="44">
        <f>IF(AND($Q4258=1,数据录入!$B4258&gt;=$B$2,数据录入!$B4258&lt;=$D$2),N(R4257)+1,N(R4257))</f>
      </c>
    </row>
    <row r="4259" s="44" customFormat="1" spans="1:23">
      <c r="A4259" s="116"/>
      <c r="E4259" s="108"/>
      <c r="F4259" s="114"/>
      <c r="G4259" s="114"/>
      <c r="H4259" s="114"/>
      <c r="Q4259" s="44">
        <f>IF(数据录入!$B4259="",0,IF(OR(数据录入!$D4259="投标保证金",数据录入!$D4259="合同履约保证金",ISNUMBER(FIND("保证金",数据录入!$E4259))),1,0))</f>
      </c>
      <c r="R4259" s="44">
        <f>IF(AND($Q4259=1,数据录入!$B4259&gt;=$B$2,数据录入!$B4259&lt;=$D$2),N(R4258)+1,N(R4258))</f>
      </c>
    </row>
    <row r="4260" s="44" customFormat="1" spans="1:23">
      <c r="A4260" s="116"/>
      <c r="E4260" s="108"/>
      <c r="F4260" s="114"/>
      <c r="G4260" s="114"/>
      <c r="H4260" s="114"/>
      <c r="Q4260" s="44">
        <f>IF(数据录入!$B4260="",0,IF(OR(数据录入!$D4260="投标保证金",数据录入!$D4260="合同履约保证金",ISNUMBER(FIND("保证金",数据录入!$E4260))),1,0))</f>
      </c>
      <c r="R4260" s="44">
        <f>IF(AND($Q4260=1,数据录入!$B4260&gt;=$B$2,数据录入!$B4260&lt;=$D$2),N(R4259)+1,N(R4259))</f>
      </c>
    </row>
    <row r="4261" s="44" customFormat="1" spans="1:23">
      <c r="A4261" s="116"/>
      <c r="E4261" s="108"/>
      <c r="F4261" s="114"/>
      <c r="G4261" s="114"/>
      <c r="H4261" s="114"/>
      <c r="Q4261" s="44">
        <f>IF(数据录入!$B4261="",0,IF(OR(数据录入!$D4261="投标保证金",数据录入!$D4261="合同履约保证金",ISNUMBER(FIND("保证金",数据录入!$E4261))),1,0))</f>
      </c>
      <c r="R4261" s="44">
        <f>IF(AND($Q4261=1,数据录入!$B4261&gt;=$B$2,数据录入!$B4261&lt;=$D$2),N(R4260)+1,N(R4260))</f>
      </c>
    </row>
    <row r="4262" s="44" customFormat="1" spans="1:23">
      <c r="A4262" s="116"/>
      <c r="E4262" s="108"/>
      <c r="F4262" s="114"/>
      <c r="G4262" s="114"/>
      <c r="H4262" s="114"/>
      <c r="Q4262" s="44">
        <f>IF(数据录入!$B4262="",0,IF(OR(数据录入!$D4262="投标保证金",数据录入!$D4262="合同履约保证金",ISNUMBER(FIND("保证金",数据录入!$E4262))),1,0))</f>
      </c>
      <c r="R4262" s="44">
        <f>IF(AND($Q4262=1,数据录入!$B4262&gt;=$B$2,数据录入!$B4262&lt;=$D$2),N(R4261)+1,N(R4261))</f>
      </c>
    </row>
    <row r="4263" s="44" customFormat="1" spans="1:23">
      <c r="A4263" s="116"/>
      <c r="E4263" s="108"/>
      <c r="F4263" s="114"/>
      <c r="G4263" s="114"/>
      <c r="H4263" s="114"/>
      <c r="Q4263" s="44">
        <f>IF(数据录入!$B4263="",0,IF(OR(数据录入!$D4263="投标保证金",数据录入!$D4263="合同履约保证金",ISNUMBER(FIND("保证金",数据录入!$E4263))),1,0))</f>
      </c>
      <c r="R4263" s="44">
        <f>IF(AND($Q4263=1,数据录入!$B4263&gt;=$B$2,数据录入!$B4263&lt;=$D$2),N(R4262)+1,N(R4262))</f>
      </c>
    </row>
    <row r="4264" s="44" customFormat="1" spans="1:23">
      <c r="A4264" s="116"/>
      <c r="E4264" s="108"/>
      <c r="F4264" s="114"/>
      <c r="G4264" s="114"/>
      <c r="H4264" s="114"/>
      <c r="Q4264" s="44">
        <f>IF(数据录入!$B4264="",0,IF(OR(数据录入!$D4264="投标保证金",数据录入!$D4264="合同履约保证金",ISNUMBER(FIND("保证金",数据录入!$E4264))),1,0))</f>
      </c>
      <c r="R4264" s="44">
        <f>IF(AND($Q4264=1,数据录入!$B4264&gt;=$B$2,数据录入!$B4264&lt;=$D$2),N(R4263)+1,N(R4263))</f>
      </c>
    </row>
    <row r="4265" s="44" customFormat="1" spans="1:23">
      <c r="A4265" s="116"/>
      <c r="E4265" s="108"/>
      <c r="F4265" s="114"/>
      <c r="G4265" s="114"/>
      <c r="H4265" s="114"/>
      <c r="Q4265" s="44">
        <f>IF(数据录入!$B4265="",0,IF(OR(数据录入!$D4265="投标保证金",数据录入!$D4265="合同履约保证金",ISNUMBER(FIND("保证金",数据录入!$E4265))),1,0))</f>
      </c>
      <c r="R4265" s="44">
        <f>IF(AND($Q4265=1,数据录入!$B4265&gt;=$B$2,数据录入!$B4265&lt;=$D$2),N(R4264)+1,N(R4264))</f>
      </c>
    </row>
    <row r="4266" s="44" customFormat="1" spans="1:23">
      <c r="A4266" s="116"/>
      <c r="E4266" s="108"/>
      <c r="F4266" s="114"/>
      <c r="G4266" s="114"/>
      <c r="H4266" s="114"/>
      <c r="Q4266" s="44">
        <f>IF(数据录入!$B4266="",0,IF(OR(数据录入!$D4266="投标保证金",数据录入!$D4266="合同履约保证金",ISNUMBER(FIND("保证金",数据录入!$E4266))),1,0))</f>
      </c>
      <c r="R4266" s="44">
        <f>IF(AND($Q4266=1,数据录入!$B4266&gt;=$B$2,数据录入!$B4266&lt;=$D$2),N(R4265)+1,N(R4265))</f>
      </c>
    </row>
    <row r="4267" s="44" customFormat="1" spans="1:23">
      <c r="A4267" s="116"/>
      <c r="E4267" s="108"/>
      <c r="F4267" s="114"/>
      <c r="G4267" s="114"/>
      <c r="H4267" s="114"/>
      <c r="Q4267" s="44">
        <f>IF(数据录入!$B4267="",0,IF(OR(数据录入!$D4267="投标保证金",数据录入!$D4267="合同履约保证金",ISNUMBER(FIND("保证金",数据录入!$E4267))),1,0))</f>
      </c>
      <c r="R4267" s="44">
        <f>IF(AND($Q4267=1,数据录入!$B4267&gt;=$B$2,数据录入!$B4267&lt;=$D$2),N(R4266)+1,N(R4266))</f>
      </c>
    </row>
    <row r="4268" s="44" customFormat="1" spans="1:23">
      <c r="A4268" s="116"/>
      <c r="E4268" s="108"/>
      <c r="F4268" s="114"/>
      <c r="G4268" s="114"/>
      <c r="H4268" s="114"/>
      <c r="Q4268" s="44">
        <f>IF(数据录入!$B4268="",0,IF(OR(数据录入!$D4268="投标保证金",数据录入!$D4268="合同履约保证金",ISNUMBER(FIND("保证金",数据录入!$E4268))),1,0))</f>
      </c>
      <c r="R4268" s="44">
        <f>IF(AND($Q4268=1,数据录入!$B4268&gt;=$B$2,数据录入!$B4268&lt;=$D$2),N(R4267)+1,N(R4267))</f>
      </c>
    </row>
    <row r="4269" s="44" customFormat="1" spans="1:23">
      <c r="A4269" s="116"/>
      <c r="E4269" s="108"/>
      <c r="F4269" s="114"/>
      <c r="G4269" s="114"/>
      <c r="H4269" s="114"/>
      <c r="Q4269" s="44">
        <f>IF(数据录入!$B4269="",0,IF(OR(数据录入!$D4269="投标保证金",数据录入!$D4269="合同履约保证金",ISNUMBER(FIND("保证金",数据录入!$E4269))),1,0))</f>
      </c>
      <c r="R4269" s="44">
        <f>IF(AND($Q4269=1,数据录入!$B4269&gt;=$B$2,数据录入!$B4269&lt;=$D$2),N(R4268)+1,N(R4268))</f>
      </c>
    </row>
    <row r="4270" s="44" customFormat="1" spans="1:23">
      <c r="A4270" s="116"/>
      <c r="E4270" s="108"/>
      <c r="F4270" s="114"/>
      <c r="G4270" s="114"/>
      <c r="H4270" s="114"/>
      <c r="Q4270" s="44">
        <f>IF(数据录入!$B4270="",0,IF(OR(数据录入!$D4270="投标保证金",数据录入!$D4270="合同履约保证金",ISNUMBER(FIND("保证金",数据录入!$E4270))),1,0))</f>
      </c>
      <c r="R4270" s="44">
        <f>IF(AND($Q4270=1,数据录入!$B4270&gt;=$B$2,数据录入!$B4270&lt;=$D$2),N(R4269)+1,N(R4269))</f>
      </c>
    </row>
    <row r="4271" s="44" customFormat="1" spans="1:23">
      <c r="A4271" s="116"/>
      <c r="E4271" s="108"/>
      <c r="F4271" s="114"/>
      <c r="G4271" s="114"/>
      <c r="H4271" s="114"/>
      <c r="Q4271" s="44">
        <f>IF(数据录入!$B4271="",0,IF(OR(数据录入!$D4271="投标保证金",数据录入!$D4271="合同履约保证金",ISNUMBER(FIND("保证金",数据录入!$E4271))),1,0))</f>
      </c>
      <c r="R4271" s="44">
        <f>IF(AND($Q4271=1,数据录入!$B4271&gt;=$B$2,数据录入!$B4271&lt;=$D$2),N(R4270)+1,N(R4270))</f>
      </c>
    </row>
    <row r="4272" s="44" customFormat="1" spans="1:23">
      <c r="A4272" s="116"/>
      <c r="E4272" s="108"/>
      <c r="F4272" s="114"/>
      <c r="G4272" s="114"/>
      <c r="H4272" s="114"/>
      <c r="Q4272" s="44">
        <f>IF(数据录入!$B4272="",0,IF(OR(数据录入!$D4272="投标保证金",数据录入!$D4272="合同履约保证金",ISNUMBER(FIND("保证金",数据录入!$E4272))),1,0))</f>
      </c>
      <c r="R4272" s="44">
        <f>IF(AND($Q4272=1,数据录入!$B4272&gt;=$B$2,数据录入!$B4272&lt;=$D$2),N(R4271)+1,N(R4271))</f>
      </c>
    </row>
    <row r="4273" s="44" customFormat="1" spans="1:23">
      <c r="A4273" s="116"/>
      <c r="E4273" s="108"/>
      <c r="F4273" s="114"/>
      <c r="G4273" s="114"/>
      <c r="H4273" s="114"/>
      <c r="Q4273" s="44">
        <f>IF(数据录入!$B4273="",0,IF(OR(数据录入!$D4273="投标保证金",数据录入!$D4273="合同履约保证金",ISNUMBER(FIND("保证金",数据录入!$E4273))),1,0))</f>
      </c>
      <c r="R4273" s="44">
        <f>IF(AND($Q4273=1,数据录入!$B4273&gt;=$B$2,数据录入!$B4273&lt;=$D$2),N(R4272)+1,N(R4272))</f>
      </c>
    </row>
    <row r="4274" s="44" customFormat="1" spans="1:23">
      <c r="A4274" s="116"/>
      <c r="E4274" s="108"/>
      <c r="F4274" s="114"/>
      <c r="G4274" s="114"/>
      <c r="H4274" s="114"/>
      <c r="Q4274" s="44">
        <f>IF(数据录入!$B4274="",0,IF(OR(数据录入!$D4274="投标保证金",数据录入!$D4274="合同履约保证金",ISNUMBER(FIND("保证金",数据录入!$E4274))),1,0))</f>
      </c>
      <c r="R4274" s="44">
        <f>IF(AND($Q4274=1,数据录入!$B4274&gt;=$B$2,数据录入!$B4274&lt;=$D$2),N(R4273)+1,N(R4273))</f>
      </c>
    </row>
    <row r="4275" s="44" customFormat="1" spans="1:23">
      <c r="A4275" s="116"/>
      <c r="E4275" s="108"/>
      <c r="F4275" s="114"/>
      <c r="G4275" s="114"/>
      <c r="H4275" s="114"/>
      <c r="Q4275" s="44">
        <f>IF(数据录入!$B4275="",0,IF(OR(数据录入!$D4275="投标保证金",数据录入!$D4275="合同履约保证金",ISNUMBER(FIND("保证金",数据录入!$E4275))),1,0))</f>
      </c>
      <c r="R4275" s="44">
        <f>IF(AND($Q4275=1,数据录入!$B4275&gt;=$B$2,数据录入!$B4275&lt;=$D$2),N(R4274)+1,N(R4274))</f>
      </c>
    </row>
    <row r="4276" s="44" customFormat="1" spans="1:23">
      <c r="A4276" s="116"/>
      <c r="E4276" s="108"/>
      <c r="F4276" s="114"/>
      <c r="G4276" s="114"/>
      <c r="H4276" s="114"/>
      <c r="Q4276" s="44">
        <f>IF(数据录入!$B4276="",0,IF(OR(数据录入!$D4276="投标保证金",数据录入!$D4276="合同履约保证金",ISNUMBER(FIND("保证金",数据录入!$E4276))),1,0))</f>
      </c>
      <c r="R4276" s="44">
        <f>IF(AND($Q4276=1,数据录入!$B4276&gt;=$B$2,数据录入!$B4276&lt;=$D$2),N(R4275)+1,N(R4275))</f>
      </c>
    </row>
    <row r="4277" s="44" customFormat="1" spans="1:23">
      <c r="A4277" s="116"/>
      <c r="E4277" s="108"/>
      <c r="F4277" s="114"/>
      <c r="G4277" s="114"/>
      <c r="H4277" s="114"/>
      <c r="Q4277" s="44">
        <f>IF(数据录入!$B4277="",0,IF(OR(数据录入!$D4277="投标保证金",数据录入!$D4277="合同履约保证金",ISNUMBER(FIND("保证金",数据录入!$E4277))),1,0))</f>
      </c>
      <c r="R4277" s="44">
        <f>IF(AND($Q4277=1,数据录入!$B4277&gt;=$B$2,数据录入!$B4277&lt;=$D$2),N(R4276)+1,N(R4276))</f>
      </c>
    </row>
    <row r="4278" s="44" customFormat="1" spans="1:23">
      <c r="A4278" s="116"/>
      <c r="E4278" s="108"/>
      <c r="F4278" s="114"/>
      <c r="G4278" s="114"/>
      <c r="H4278" s="114"/>
      <c r="Q4278" s="44">
        <f>IF(数据录入!$B4278="",0,IF(OR(数据录入!$D4278="投标保证金",数据录入!$D4278="合同履约保证金",ISNUMBER(FIND("保证金",数据录入!$E4278))),1,0))</f>
      </c>
      <c r="R4278" s="44">
        <f>IF(AND($Q4278=1,数据录入!$B4278&gt;=$B$2,数据录入!$B4278&lt;=$D$2),N(R4277)+1,N(R4277))</f>
      </c>
    </row>
    <row r="4279" s="44" customFormat="1" spans="1:23">
      <c r="A4279" s="116"/>
      <c r="E4279" s="108"/>
      <c r="F4279" s="114"/>
      <c r="G4279" s="114"/>
      <c r="H4279" s="114"/>
      <c r="Q4279" s="44">
        <f>IF(数据录入!$B4279="",0,IF(OR(数据录入!$D4279="投标保证金",数据录入!$D4279="合同履约保证金",ISNUMBER(FIND("保证金",数据录入!$E4279))),1,0))</f>
      </c>
      <c r="R4279" s="44">
        <f>IF(AND($Q4279=1,数据录入!$B4279&gt;=$B$2,数据录入!$B4279&lt;=$D$2),N(R4278)+1,N(R4278))</f>
      </c>
    </row>
    <row r="4280" s="44" customFormat="1" spans="1:23">
      <c r="A4280" s="116"/>
      <c r="E4280" s="108"/>
      <c r="F4280" s="114"/>
      <c r="G4280" s="114"/>
      <c r="H4280" s="114"/>
      <c r="Q4280" s="44">
        <f>IF(数据录入!$B4280="",0,IF(OR(数据录入!$D4280="投标保证金",数据录入!$D4280="合同履约保证金",ISNUMBER(FIND("保证金",数据录入!$E4280))),1,0))</f>
      </c>
      <c r="R4280" s="44">
        <f>IF(AND($Q4280=1,数据录入!$B4280&gt;=$B$2,数据录入!$B4280&lt;=$D$2),N(R4279)+1,N(R4279))</f>
      </c>
    </row>
    <row r="4281" s="44" customFormat="1" spans="1:23">
      <c r="A4281" s="116"/>
      <c r="E4281" s="108"/>
      <c r="F4281" s="114"/>
      <c r="G4281" s="114"/>
      <c r="H4281" s="114"/>
      <c r="Q4281" s="44">
        <f>IF(数据录入!$B4281="",0,IF(OR(数据录入!$D4281="投标保证金",数据录入!$D4281="合同履约保证金",ISNUMBER(FIND("保证金",数据录入!$E4281))),1,0))</f>
      </c>
      <c r="R4281" s="44">
        <f>IF(AND($Q4281=1,数据录入!$B4281&gt;=$B$2,数据录入!$B4281&lt;=$D$2),N(R4280)+1,N(R4280))</f>
      </c>
    </row>
    <row r="4282" s="44" customFormat="1" spans="1:23">
      <c r="A4282" s="116"/>
      <c r="E4282" s="108"/>
      <c r="F4282" s="114"/>
      <c r="G4282" s="114"/>
      <c r="H4282" s="114"/>
      <c r="Q4282" s="44">
        <f>IF(数据录入!$B4282="",0,IF(OR(数据录入!$D4282="投标保证金",数据录入!$D4282="合同履约保证金",ISNUMBER(FIND("保证金",数据录入!$E4282))),1,0))</f>
      </c>
      <c r="R4282" s="44">
        <f>IF(AND($Q4282=1,数据录入!$B4282&gt;=$B$2,数据录入!$B4282&lt;=$D$2),N(R4281)+1,N(R4281))</f>
      </c>
    </row>
    <row r="4283" s="44" customFormat="1" spans="1:23">
      <c r="A4283" s="116"/>
      <c r="E4283" s="108"/>
      <c r="F4283" s="114"/>
      <c r="G4283" s="114"/>
      <c r="H4283" s="114"/>
      <c r="Q4283" s="44">
        <f>IF(数据录入!$B4283="",0,IF(OR(数据录入!$D4283="投标保证金",数据录入!$D4283="合同履约保证金",ISNUMBER(FIND("保证金",数据录入!$E4283))),1,0))</f>
      </c>
      <c r="R4283" s="44">
        <f>IF(AND($Q4283=1,数据录入!$B4283&gt;=$B$2,数据录入!$B4283&lt;=$D$2),N(R4282)+1,N(R4282))</f>
      </c>
    </row>
    <row r="4284" s="44" customFormat="1" spans="1:23">
      <c r="A4284" s="116"/>
      <c r="E4284" s="108"/>
      <c r="F4284" s="114"/>
      <c r="G4284" s="114"/>
      <c r="H4284" s="114"/>
      <c r="Q4284" s="44">
        <f>IF(数据录入!$B4284="",0,IF(OR(数据录入!$D4284="投标保证金",数据录入!$D4284="合同履约保证金",ISNUMBER(FIND("保证金",数据录入!$E4284))),1,0))</f>
      </c>
      <c r="R4284" s="44">
        <f>IF(AND($Q4284=1,数据录入!$B4284&gt;=$B$2,数据录入!$B4284&lt;=$D$2),N(R4283)+1,N(R4283))</f>
      </c>
    </row>
    <row r="4285" s="44" customFormat="1" spans="1:23">
      <c r="A4285" s="116"/>
      <c r="E4285" s="108"/>
      <c r="F4285" s="114"/>
      <c r="G4285" s="114"/>
      <c r="H4285" s="114"/>
      <c r="Q4285" s="44">
        <f>IF(数据录入!$B4285="",0,IF(OR(数据录入!$D4285="投标保证金",数据录入!$D4285="合同履约保证金",ISNUMBER(FIND("保证金",数据录入!$E4285))),1,0))</f>
      </c>
      <c r="R4285" s="44">
        <f>IF(AND($Q4285=1,数据录入!$B4285&gt;=$B$2,数据录入!$B4285&lt;=$D$2),N(R4284)+1,N(R4284))</f>
      </c>
    </row>
    <row r="4286" s="44" customFormat="1" spans="1:23">
      <c r="A4286" s="116"/>
      <c r="E4286" s="108"/>
      <c r="F4286" s="114"/>
      <c r="G4286" s="114"/>
      <c r="H4286" s="114"/>
      <c r="Q4286" s="44">
        <f>IF(数据录入!$B4286="",0,IF(OR(数据录入!$D4286="投标保证金",数据录入!$D4286="合同履约保证金",ISNUMBER(FIND("保证金",数据录入!$E4286))),1,0))</f>
      </c>
      <c r="R4286" s="44">
        <f>IF(AND($Q4286=1,数据录入!$B4286&gt;=$B$2,数据录入!$B4286&lt;=$D$2),N(R4285)+1,N(R4285))</f>
      </c>
    </row>
    <row r="4287" s="44" customFormat="1" spans="1:23">
      <c r="A4287" s="116"/>
      <c r="E4287" s="108"/>
      <c r="F4287" s="114"/>
      <c r="G4287" s="114"/>
      <c r="H4287" s="114"/>
      <c r="Q4287" s="44">
        <f>IF(数据录入!$B4287="",0,IF(OR(数据录入!$D4287="投标保证金",数据录入!$D4287="合同履约保证金",ISNUMBER(FIND("保证金",数据录入!$E4287))),1,0))</f>
      </c>
      <c r="R4287" s="44">
        <f>IF(AND($Q4287=1,数据录入!$B4287&gt;=$B$2,数据录入!$B4287&lt;=$D$2),N(R4286)+1,N(R4286))</f>
      </c>
    </row>
    <row r="4288" s="44" customFormat="1" spans="1:23">
      <c r="A4288" s="116"/>
      <c r="E4288" s="108"/>
      <c r="F4288" s="114"/>
      <c r="G4288" s="114"/>
      <c r="H4288" s="114"/>
      <c r="Q4288" s="44">
        <f>IF(数据录入!$B4288="",0,IF(OR(数据录入!$D4288="投标保证金",数据录入!$D4288="合同履约保证金",ISNUMBER(FIND("保证金",数据录入!$E4288))),1,0))</f>
      </c>
      <c r="R4288" s="44">
        <f>IF(AND($Q4288=1,数据录入!$B4288&gt;=$B$2,数据录入!$B4288&lt;=$D$2),N(R4287)+1,N(R4287))</f>
      </c>
    </row>
    <row r="4289" s="44" customFormat="1" spans="1:23">
      <c r="A4289" s="116"/>
      <c r="E4289" s="108"/>
      <c r="F4289" s="114"/>
      <c r="G4289" s="114"/>
      <c r="H4289" s="114"/>
      <c r="Q4289" s="44">
        <f>IF(数据录入!$B4289="",0,IF(OR(数据录入!$D4289="投标保证金",数据录入!$D4289="合同履约保证金",ISNUMBER(FIND("保证金",数据录入!$E4289))),1,0))</f>
      </c>
      <c r="R4289" s="44">
        <f>IF(AND($Q4289=1,数据录入!$B4289&gt;=$B$2,数据录入!$B4289&lt;=$D$2),N(R4288)+1,N(R4288))</f>
      </c>
    </row>
    <row r="4290" s="44" customFormat="1" spans="1:23">
      <c r="A4290" s="116"/>
      <c r="E4290" s="108"/>
      <c r="F4290" s="114"/>
      <c r="G4290" s="114"/>
      <c r="H4290" s="114"/>
      <c r="Q4290" s="44">
        <f>IF(数据录入!$B4290="",0,IF(OR(数据录入!$D4290="投标保证金",数据录入!$D4290="合同履约保证金",ISNUMBER(FIND("保证金",数据录入!$E4290))),1,0))</f>
      </c>
      <c r="R4290" s="44">
        <f>IF(AND($Q4290=1,数据录入!$B4290&gt;=$B$2,数据录入!$B4290&lt;=$D$2),N(R4289)+1,N(R4289))</f>
      </c>
    </row>
    <row r="4291" s="44" customFormat="1" spans="1:23">
      <c r="A4291" s="116"/>
      <c r="E4291" s="108"/>
      <c r="F4291" s="114"/>
      <c r="G4291" s="114"/>
      <c r="H4291" s="114"/>
      <c r="Q4291" s="44">
        <f>IF(数据录入!$B4291="",0,IF(OR(数据录入!$D4291="投标保证金",数据录入!$D4291="合同履约保证金",ISNUMBER(FIND("保证金",数据录入!$E4291))),1,0))</f>
      </c>
      <c r="R4291" s="44">
        <f>IF(AND($Q4291=1,数据录入!$B4291&gt;=$B$2,数据录入!$B4291&lt;=$D$2),N(R4290)+1,N(R4290))</f>
      </c>
    </row>
    <row r="4292" s="44" customFormat="1" spans="1:23">
      <c r="A4292" s="116"/>
      <c r="E4292" s="108"/>
      <c r="F4292" s="114"/>
      <c r="G4292" s="114"/>
      <c r="H4292" s="114"/>
      <c r="Q4292" s="44">
        <f>IF(数据录入!$B4292="",0,IF(OR(数据录入!$D4292="投标保证金",数据录入!$D4292="合同履约保证金",ISNUMBER(FIND("保证金",数据录入!$E4292))),1,0))</f>
      </c>
      <c r="R4292" s="44">
        <f>IF(AND($Q4292=1,数据录入!$B4292&gt;=$B$2,数据录入!$B4292&lt;=$D$2),N(R4291)+1,N(R4291))</f>
      </c>
    </row>
    <row r="4293" s="44" customFormat="1" spans="1:23">
      <c r="A4293" s="116"/>
      <c r="E4293" s="108"/>
      <c r="F4293" s="114"/>
      <c r="G4293" s="114"/>
      <c r="H4293" s="114"/>
      <c r="Q4293" s="44">
        <f>IF(数据录入!$B4293="",0,IF(OR(数据录入!$D4293="投标保证金",数据录入!$D4293="合同履约保证金",ISNUMBER(FIND("保证金",数据录入!$E4293))),1,0))</f>
      </c>
      <c r="R4293" s="44">
        <f>IF(AND($Q4293=1,数据录入!$B4293&gt;=$B$2,数据录入!$B4293&lt;=$D$2),N(R4292)+1,N(R4292))</f>
      </c>
    </row>
    <row r="4294" s="44" customFormat="1" spans="1:23">
      <c r="A4294" s="116"/>
      <c r="E4294" s="108"/>
      <c r="F4294" s="114"/>
      <c r="G4294" s="114"/>
      <c r="H4294" s="114"/>
      <c r="Q4294" s="44">
        <f>IF(数据录入!$B4294="",0,IF(OR(数据录入!$D4294="投标保证金",数据录入!$D4294="合同履约保证金",ISNUMBER(FIND("保证金",数据录入!$E4294))),1,0))</f>
      </c>
      <c r="R4294" s="44">
        <f>IF(AND($Q4294=1,数据录入!$B4294&gt;=$B$2,数据录入!$B4294&lt;=$D$2),N(R4293)+1,N(R4293))</f>
      </c>
    </row>
    <row r="4295" s="44" customFormat="1" spans="1:23">
      <c r="A4295" s="116"/>
      <c r="E4295" s="108"/>
      <c r="F4295" s="114"/>
      <c r="G4295" s="114"/>
      <c r="H4295" s="114"/>
      <c r="Q4295" s="44">
        <f>IF(数据录入!$B4295="",0,IF(OR(数据录入!$D4295="投标保证金",数据录入!$D4295="合同履约保证金",ISNUMBER(FIND("保证金",数据录入!$E4295))),1,0))</f>
      </c>
      <c r="R4295" s="44">
        <f>IF(AND($Q4295=1,数据录入!$B4295&gt;=$B$2,数据录入!$B4295&lt;=$D$2),N(R4294)+1,N(R4294))</f>
      </c>
    </row>
    <row r="4296" s="44" customFormat="1" spans="1:23">
      <c r="A4296" s="116"/>
      <c r="E4296" s="108"/>
      <c r="F4296" s="114"/>
      <c r="G4296" s="114"/>
      <c r="H4296" s="114"/>
      <c r="Q4296" s="44">
        <f>IF(数据录入!$B4296="",0,IF(OR(数据录入!$D4296="投标保证金",数据录入!$D4296="合同履约保证金",ISNUMBER(FIND("保证金",数据录入!$E4296))),1,0))</f>
      </c>
      <c r="R4296" s="44">
        <f>IF(AND($Q4296=1,数据录入!$B4296&gt;=$B$2,数据录入!$B4296&lt;=$D$2),N(R4295)+1,N(R4295))</f>
      </c>
    </row>
    <row r="4297" s="44" customFormat="1" spans="1:23">
      <c r="A4297" s="116"/>
      <c r="E4297" s="108"/>
      <c r="F4297" s="114"/>
      <c r="G4297" s="114"/>
      <c r="H4297" s="114"/>
      <c r="Q4297" s="44">
        <f>IF(数据录入!$B4297="",0,IF(OR(数据录入!$D4297="投标保证金",数据录入!$D4297="合同履约保证金",ISNUMBER(FIND("保证金",数据录入!$E4297))),1,0))</f>
      </c>
      <c r="R4297" s="44">
        <f>IF(AND($Q4297=1,数据录入!$B4297&gt;=$B$2,数据录入!$B4297&lt;=$D$2),N(R4296)+1,N(R4296))</f>
      </c>
    </row>
    <row r="4298" s="44" customFormat="1" spans="1:23">
      <c r="A4298" s="116"/>
      <c r="E4298" s="108"/>
      <c r="F4298" s="114"/>
      <c r="G4298" s="114"/>
      <c r="H4298" s="114"/>
      <c r="Q4298" s="44">
        <f>IF(数据录入!$B4298="",0,IF(OR(数据录入!$D4298="投标保证金",数据录入!$D4298="合同履约保证金",ISNUMBER(FIND("保证金",数据录入!$E4298))),1,0))</f>
      </c>
      <c r="R4298" s="44">
        <f>IF(AND($Q4298=1,数据录入!$B4298&gt;=$B$2,数据录入!$B4298&lt;=$D$2),N(R4297)+1,N(R4297))</f>
      </c>
    </row>
    <row r="4299" s="44" customFormat="1" spans="1:23">
      <c r="A4299" s="116"/>
      <c r="E4299" s="108"/>
      <c r="F4299" s="114"/>
      <c r="G4299" s="114"/>
      <c r="H4299" s="114"/>
      <c r="Q4299" s="44">
        <f>IF(数据录入!$B4299="",0,IF(OR(数据录入!$D4299="投标保证金",数据录入!$D4299="合同履约保证金",ISNUMBER(FIND("保证金",数据录入!$E4299))),1,0))</f>
      </c>
      <c r="R4299" s="44">
        <f>IF(AND($Q4299=1,数据录入!$B4299&gt;=$B$2,数据录入!$B4299&lt;=$D$2),N(R4298)+1,N(R4298))</f>
      </c>
    </row>
    <row r="4300" s="44" customFormat="1" spans="1:23">
      <c r="A4300" s="116"/>
      <c r="E4300" s="108"/>
      <c r="F4300" s="114"/>
      <c r="G4300" s="114"/>
      <c r="H4300" s="114"/>
      <c r="Q4300" s="44">
        <f>IF(数据录入!$B4300="",0,IF(OR(数据录入!$D4300="投标保证金",数据录入!$D4300="合同履约保证金",ISNUMBER(FIND("保证金",数据录入!$E4300))),1,0))</f>
      </c>
      <c r="R4300" s="44">
        <f>IF(AND($Q4300=1,数据录入!$B4300&gt;=$B$2,数据录入!$B4300&lt;=$D$2),N(R4299)+1,N(R4299))</f>
      </c>
    </row>
    <row r="4301" s="44" customFormat="1" spans="1:23">
      <c r="A4301" s="116"/>
      <c r="E4301" s="108"/>
      <c r="F4301" s="114"/>
      <c r="G4301" s="114"/>
      <c r="H4301" s="114"/>
      <c r="Q4301" s="44">
        <f>IF(数据录入!$B4301="",0,IF(OR(数据录入!$D4301="投标保证金",数据录入!$D4301="合同履约保证金",ISNUMBER(FIND("保证金",数据录入!$E4301))),1,0))</f>
      </c>
      <c r="R4301" s="44">
        <f>IF(AND($Q4301=1,数据录入!$B4301&gt;=$B$2,数据录入!$B4301&lt;=$D$2),N(R4300)+1,N(R4300))</f>
      </c>
    </row>
    <row r="4302" s="44" customFormat="1" spans="1:23">
      <c r="A4302" s="116"/>
      <c r="E4302" s="108"/>
      <c r="F4302" s="114"/>
      <c r="G4302" s="114"/>
      <c r="H4302" s="114"/>
      <c r="Q4302" s="44">
        <f>IF(数据录入!$B4302="",0,IF(OR(数据录入!$D4302="投标保证金",数据录入!$D4302="合同履约保证金",ISNUMBER(FIND("保证金",数据录入!$E4302))),1,0))</f>
      </c>
      <c r="R4302" s="44">
        <f>IF(AND($Q4302=1,数据录入!$B4302&gt;=$B$2,数据录入!$B4302&lt;=$D$2),N(R4301)+1,N(R4301))</f>
      </c>
    </row>
    <row r="4303" s="44" customFormat="1" spans="1:23">
      <c r="A4303" s="116"/>
      <c r="E4303" s="108"/>
      <c r="F4303" s="114"/>
      <c r="G4303" s="114"/>
      <c r="H4303" s="114"/>
      <c r="Q4303" s="44">
        <f>IF(数据录入!$B4303="",0,IF(OR(数据录入!$D4303="投标保证金",数据录入!$D4303="合同履约保证金",ISNUMBER(FIND("保证金",数据录入!$E4303))),1,0))</f>
      </c>
      <c r="R4303" s="44">
        <f>IF(AND($Q4303=1,数据录入!$B4303&gt;=$B$2,数据录入!$B4303&lt;=$D$2),N(R4302)+1,N(R4302))</f>
      </c>
    </row>
    <row r="4304" s="44" customFormat="1" spans="1:23">
      <c r="A4304" s="116"/>
      <c r="E4304" s="108"/>
      <c r="F4304" s="114"/>
      <c r="G4304" s="114"/>
      <c r="H4304" s="114"/>
      <c r="Q4304" s="44">
        <f>IF(数据录入!$B4304="",0,IF(OR(数据录入!$D4304="投标保证金",数据录入!$D4304="合同履约保证金",ISNUMBER(FIND("保证金",数据录入!$E4304))),1,0))</f>
      </c>
      <c r="R4304" s="44">
        <f>IF(AND($Q4304=1,数据录入!$B4304&gt;=$B$2,数据录入!$B4304&lt;=$D$2),N(R4303)+1,N(R4303))</f>
      </c>
    </row>
    <row r="4305" s="44" customFormat="1" spans="1:23">
      <c r="A4305" s="116"/>
      <c r="E4305" s="108"/>
      <c r="F4305" s="114"/>
      <c r="G4305" s="114"/>
      <c r="H4305" s="114"/>
      <c r="Q4305" s="44">
        <f>IF(数据录入!$B4305="",0,IF(OR(数据录入!$D4305="投标保证金",数据录入!$D4305="合同履约保证金",ISNUMBER(FIND("保证金",数据录入!$E4305))),1,0))</f>
      </c>
      <c r="R4305" s="44">
        <f>IF(AND($Q4305=1,数据录入!$B4305&gt;=$B$2,数据录入!$B4305&lt;=$D$2),N(R4304)+1,N(R4304))</f>
      </c>
    </row>
    <row r="4306" s="44" customFormat="1" spans="1:23">
      <c r="A4306" s="116"/>
      <c r="E4306" s="108"/>
      <c r="F4306" s="114"/>
      <c r="G4306" s="114"/>
      <c r="H4306" s="114"/>
      <c r="Q4306" s="44">
        <f>IF(数据录入!$B4306="",0,IF(OR(数据录入!$D4306="投标保证金",数据录入!$D4306="合同履约保证金",ISNUMBER(FIND("保证金",数据录入!$E4306))),1,0))</f>
      </c>
      <c r="R4306" s="44">
        <f>IF(AND($Q4306=1,数据录入!$B4306&gt;=$B$2,数据录入!$B4306&lt;=$D$2),N(R4305)+1,N(R4305))</f>
      </c>
    </row>
    <row r="4307" s="44" customFormat="1" spans="1:23">
      <c r="A4307" s="116"/>
      <c r="E4307" s="108"/>
      <c r="F4307" s="114"/>
      <c r="G4307" s="114"/>
      <c r="H4307" s="114"/>
      <c r="Q4307" s="44">
        <f>IF(数据录入!$B4307="",0,IF(OR(数据录入!$D4307="投标保证金",数据录入!$D4307="合同履约保证金",ISNUMBER(FIND("保证金",数据录入!$E4307))),1,0))</f>
      </c>
      <c r="R4307" s="44">
        <f>IF(AND($Q4307=1,数据录入!$B4307&gt;=$B$2,数据录入!$B4307&lt;=$D$2),N(R4306)+1,N(R4306))</f>
      </c>
    </row>
    <row r="4308" s="44" customFormat="1" spans="1:23">
      <c r="A4308" s="116"/>
      <c r="E4308" s="108"/>
      <c r="F4308" s="114"/>
      <c r="G4308" s="114"/>
      <c r="H4308" s="114"/>
      <c r="Q4308" s="44">
        <f>IF(数据录入!$B4308="",0,IF(OR(数据录入!$D4308="投标保证金",数据录入!$D4308="合同履约保证金",ISNUMBER(FIND("保证金",数据录入!$E4308))),1,0))</f>
      </c>
      <c r="R4308" s="44">
        <f>IF(AND($Q4308=1,数据录入!$B4308&gt;=$B$2,数据录入!$B4308&lt;=$D$2),N(R4307)+1,N(R4307))</f>
      </c>
    </row>
    <row r="4309" s="44" customFormat="1" spans="1:23">
      <c r="A4309" s="116"/>
      <c r="E4309" s="108"/>
      <c r="F4309" s="114"/>
      <c r="G4309" s="114"/>
      <c r="H4309" s="114"/>
      <c r="Q4309" s="44">
        <f>IF(数据录入!$B4309="",0,IF(OR(数据录入!$D4309="投标保证金",数据录入!$D4309="合同履约保证金",ISNUMBER(FIND("保证金",数据录入!$E4309))),1,0))</f>
      </c>
      <c r="R4309" s="44">
        <f>IF(AND($Q4309=1,数据录入!$B4309&gt;=$B$2,数据录入!$B4309&lt;=$D$2),N(R4308)+1,N(R4308))</f>
      </c>
    </row>
    <row r="4310" s="44" customFormat="1" spans="1:23">
      <c r="A4310" s="116"/>
      <c r="E4310" s="108"/>
      <c r="F4310" s="114"/>
      <c r="G4310" s="114"/>
      <c r="H4310" s="114"/>
      <c r="Q4310" s="44">
        <f>IF(数据录入!$B4310="",0,IF(OR(数据录入!$D4310="投标保证金",数据录入!$D4310="合同履约保证金",ISNUMBER(FIND("保证金",数据录入!$E4310))),1,0))</f>
      </c>
      <c r="R4310" s="44">
        <f>IF(AND($Q4310=1,数据录入!$B4310&gt;=$B$2,数据录入!$B4310&lt;=$D$2),N(R4309)+1,N(R4309))</f>
      </c>
    </row>
    <row r="4311" s="44" customFormat="1" spans="1:23">
      <c r="A4311" s="116"/>
      <c r="E4311" s="108"/>
      <c r="F4311" s="114"/>
      <c r="G4311" s="114"/>
      <c r="H4311" s="114"/>
      <c r="Q4311" s="44">
        <f>IF(数据录入!$B4311="",0,IF(OR(数据录入!$D4311="投标保证金",数据录入!$D4311="合同履约保证金",ISNUMBER(FIND("保证金",数据录入!$E4311))),1,0))</f>
      </c>
      <c r="R4311" s="44">
        <f>IF(AND($Q4311=1,数据录入!$B4311&gt;=$B$2,数据录入!$B4311&lt;=$D$2),N(R4310)+1,N(R4310))</f>
      </c>
    </row>
    <row r="4312" s="44" customFormat="1" spans="1:23">
      <c r="A4312" s="116"/>
      <c r="E4312" s="108"/>
      <c r="F4312" s="114"/>
      <c r="G4312" s="114"/>
      <c r="H4312" s="114"/>
      <c r="Q4312" s="44">
        <f>IF(数据录入!$B4312="",0,IF(OR(数据录入!$D4312="投标保证金",数据录入!$D4312="合同履约保证金",ISNUMBER(FIND("保证金",数据录入!$E4312))),1,0))</f>
      </c>
      <c r="R4312" s="44">
        <f>IF(AND($Q4312=1,数据录入!$B4312&gt;=$B$2,数据录入!$B4312&lt;=$D$2),N(R4311)+1,N(R4311))</f>
      </c>
    </row>
    <row r="4313" s="44" customFormat="1" spans="1:23">
      <c r="A4313" s="116"/>
      <c r="E4313" s="108"/>
      <c r="F4313" s="114"/>
      <c r="G4313" s="114"/>
      <c r="H4313" s="114"/>
      <c r="Q4313" s="44">
        <f>IF(数据录入!$B4313="",0,IF(OR(数据录入!$D4313="投标保证金",数据录入!$D4313="合同履约保证金",ISNUMBER(FIND("保证金",数据录入!$E4313))),1,0))</f>
      </c>
      <c r="R4313" s="44">
        <f>IF(AND($Q4313=1,数据录入!$B4313&gt;=$B$2,数据录入!$B4313&lt;=$D$2),N(R4312)+1,N(R4312))</f>
      </c>
    </row>
    <row r="4314" s="44" customFormat="1" spans="1:23">
      <c r="A4314" s="116"/>
      <c r="E4314" s="108"/>
      <c r="F4314" s="114"/>
      <c r="G4314" s="114"/>
      <c r="H4314" s="114"/>
      <c r="Q4314" s="44">
        <f>IF(数据录入!$B4314="",0,IF(OR(数据录入!$D4314="投标保证金",数据录入!$D4314="合同履约保证金",ISNUMBER(FIND("保证金",数据录入!$E4314))),1,0))</f>
      </c>
      <c r="R4314" s="44">
        <f>IF(AND($Q4314=1,数据录入!$B4314&gt;=$B$2,数据录入!$B4314&lt;=$D$2),N(R4313)+1,N(R4313))</f>
      </c>
    </row>
    <row r="4315" s="44" customFormat="1" spans="1:23">
      <c r="A4315" s="116"/>
      <c r="E4315" s="108"/>
      <c r="F4315" s="114"/>
      <c r="G4315" s="114"/>
      <c r="H4315" s="114"/>
      <c r="Q4315" s="44">
        <f>IF(数据录入!$B4315="",0,IF(OR(数据录入!$D4315="投标保证金",数据录入!$D4315="合同履约保证金",ISNUMBER(FIND("保证金",数据录入!$E4315))),1,0))</f>
      </c>
      <c r="R4315" s="44">
        <f>IF(AND($Q4315=1,数据录入!$B4315&gt;=$B$2,数据录入!$B4315&lt;=$D$2),N(R4314)+1,N(R4314))</f>
      </c>
    </row>
    <row r="4316" s="44" customFormat="1" spans="1:23">
      <c r="A4316" s="116"/>
      <c r="E4316" s="108"/>
      <c r="F4316" s="114"/>
      <c r="G4316" s="114"/>
      <c r="H4316" s="114"/>
      <c r="Q4316" s="44">
        <f>IF(数据录入!$B4316="",0,IF(OR(数据录入!$D4316="投标保证金",数据录入!$D4316="合同履约保证金",ISNUMBER(FIND("保证金",数据录入!$E4316))),1,0))</f>
      </c>
      <c r="R4316" s="44">
        <f>IF(AND($Q4316=1,数据录入!$B4316&gt;=$B$2,数据录入!$B4316&lt;=$D$2),N(R4315)+1,N(R4315))</f>
      </c>
    </row>
    <row r="4317" s="44" customFormat="1" spans="1:23">
      <c r="A4317" s="116"/>
      <c r="E4317" s="108"/>
      <c r="F4317" s="114"/>
      <c r="G4317" s="114"/>
      <c r="H4317" s="114"/>
      <c r="Q4317" s="44">
        <f>IF(数据录入!$B4317="",0,IF(OR(数据录入!$D4317="投标保证金",数据录入!$D4317="合同履约保证金",ISNUMBER(FIND("保证金",数据录入!$E4317))),1,0))</f>
      </c>
      <c r="R4317" s="44">
        <f>IF(AND($Q4317=1,数据录入!$B4317&gt;=$B$2,数据录入!$B4317&lt;=$D$2),N(R4316)+1,N(R4316))</f>
      </c>
    </row>
    <row r="4318" s="44" customFormat="1" spans="1:23">
      <c r="A4318" s="116"/>
      <c r="E4318" s="108"/>
      <c r="F4318" s="114"/>
      <c r="G4318" s="114"/>
      <c r="H4318" s="114"/>
      <c r="Q4318" s="44">
        <f>IF(数据录入!$B4318="",0,IF(OR(数据录入!$D4318="投标保证金",数据录入!$D4318="合同履约保证金",ISNUMBER(FIND("保证金",数据录入!$E4318))),1,0))</f>
      </c>
      <c r="R4318" s="44">
        <f>IF(AND($Q4318=1,数据录入!$B4318&gt;=$B$2,数据录入!$B4318&lt;=$D$2),N(R4317)+1,N(R4317))</f>
      </c>
    </row>
    <row r="4319" s="44" customFormat="1" spans="1:23">
      <c r="A4319" s="116"/>
      <c r="E4319" s="108"/>
      <c r="F4319" s="114"/>
      <c r="G4319" s="114"/>
      <c r="H4319" s="114"/>
      <c r="Q4319" s="44">
        <f>IF(数据录入!$B4319="",0,IF(OR(数据录入!$D4319="投标保证金",数据录入!$D4319="合同履约保证金",ISNUMBER(FIND("保证金",数据录入!$E4319))),1,0))</f>
      </c>
      <c r="R4319" s="44">
        <f>IF(AND($Q4319=1,数据录入!$B4319&gt;=$B$2,数据录入!$B4319&lt;=$D$2),N(R4318)+1,N(R4318))</f>
      </c>
    </row>
    <row r="4320" s="44" customFormat="1" spans="1:23">
      <c r="A4320" s="116"/>
      <c r="E4320" s="108"/>
      <c r="F4320" s="114"/>
      <c r="G4320" s="114"/>
      <c r="H4320" s="114"/>
      <c r="Q4320" s="44">
        <f>IF(数据录入!$B4320="",0,IF(OR(数据录入!$D4320="投标保证金",数据录入!$D4320="合同履约保证金",ISNUMBER(FIND("保证金",数据录入!$E4320))),1,0))</f>
      </c>
      <c r="R4320" s="44">
        <f>IF(AND($Q4320=1,数据录入!$B4320&gt;=$B$2,数据录入!$B4320&lt;=$D$2),N(R4319)+1,N(R4319))</f>
      </c>
    </row>
    <row r="4321" s="44" customFormat="1" spans="1:23">
      <c r="A4321" s="116"/>
      <c r="E4321" s="108"/>
      <c r="F4321" s="114"/>
      <c r="G4321" s="114"/>
      <c r="H4321" s="114"/>
      <c r="Q4321" s="44">
        <f>IF(数据录入!$B4321="",0,IF(OR(数据录入!$D4321="投标保证金",数据录入!$D4321="合同履约保证金",ISNUMBER(FIND("保证金",数据录入!$E4321))),1,0))</f>
      </c>
      <c r="R4321" s="44">
        <f>IF(AND($Q4321=1,数据录入!$B4321&gt;=$B$2,数据录入!$B4321&lt;=$D$2),N(R4320)+1,N(R4320))</f>
      </c>
    </row>
    <row r="4322" s="44" customFormat="1" spans="1:23">
      <c r="A4322" s="116"/>
      <c r="E4322" s="108"/>
      <c r="F4322" s="114"/>
      <c r="G4322" s="114"/>
      <c r="H4322" s="114"/>
      <c r="Q4322" s="44">
        <f>IF(数据录入!$B4322="",0,IF(OR(数据录入!$D4322="投标保证金",数据录入!$D4322="合同履约保证金",ISNUMBER(FIND("保证金",数据录入!$E4322))),1,0))</f>
      </c>
      <c r="R4322" s="44">
        <f>IF(AND($Q4322=1,数据录入!$B4322&gt;=$B$2,数据录入!$B4322&lt;=$D$2),N(R4321)+1,N(R4321))</f>
      </c>
    </row>
    <row r="4323" s="44" customFormat="1" spans="1:23">
      <c r="A4323" s="116"/>
      <c r="E4323" s="108"/>
      <c r="F4323" s="114"/>
      <c r="G4323" s="114"/>
      <c r="H4323" s="114"/>
      <c r="Q4323" s="44">
        <f>IF(数据录入!$B4323="",0,IF(OR(数据录入!$D4323="投标保证金",数据录入!$D4323="合同履约保证金",ISNUMBER(FIND("保证金",数据录入!$E4323))),1,0))</f>
      </c>
      <c r="R4323" s="44">
        <f>IF(AND($Q4323=1,数据录入!$B4323&gt;=$B$2,数据录入!$B4323&lt;=$D$2),N(R4322)+1,N(R4322))</f>
      </c>
    </row>
    <row r="4324" s="44" customFormat="1" spans="1:23">
      <c r="A4324" s="116"/>
      <c r="E4324" s="108"/>
      <c r="F4324" s="114"/>
      <c r="G4324" s="114"/>
      <c r="H4324" s="114"/>
      <c r="Q4324" s="44">
        <f>IF(数据录入!$B4324="",0,IF(OR(数据录入!$D4324="投标保证金",数据录入!$D4324="合同履约保证金",ISNUMBER(FIND("保证金",数据录入!$E4324))),1,0))</f>
      </c>
      <c r="R4324" s="44">
        <f>IF(AND($Q4324=1,数据录入!$B4324&gt;=$B$2,数据录入!$B4324&lt;=$D$2),N(R4323)+1,N(R4323))</f>
      </c>
    </row>
    <row r="4325" s="44" customFormat="1" spans="1:23">
      <c r="A4325" s="116"/>
      <c r="E4325" s="108"/>
      <c r="F4325" s="114"/>
      <c r="G4325" s="114"/>
      <c r="H4325" s="114"/>
      <c r="Q4325" s="44">
        <f>IF(数据录入!$B4325="",0,IF(OR(数据录入!$D4325="投标保证金",数据录入!$D4325="合同履约保证金",ISNUMBER(FIND("保证金",数据录入!$E4325))),1,0))</f>
      </c>
      <c r="R4325" s="44">
        <f>IF(AND($Q4325=1,数据录入!$B4325&gt;=$B$2,数据录入!$B4325&lt;=$D$2),N(R4324)+1,N(R4324))</f>
      </c>
    </row>
    <row r="4326" s="44" customFormat="1" spans="1:23">
      <c r="A4326" s="116"/>
      <c r="E4326" s="108"/>
      <c r="F4326" s="114"/>
      <c r="G4326" s="114"/>
      <c r="H4326" s="114"/>
      <c r="Q4326" s="44">
        <f>IF(数据录入!$B4326="",0,IF(OR(数据录入!$D4326="投标保证金",数据录入!$D4326="合同履约保证金",ISNUMBER(FIND("保证金",数据录入!$E4326))),1,0))</f>
      </c>
      <c r="R4326" s="44">
        <f>IF(AND($Q4326=1,数据录入!$B4326&gt;=$B$2,数据录入!$B4326&lt;=$D$2),N(R4325)+1,N(R4325))</f>
      </c>
    </row>
    <row r="4327" s="44" customFormat="1" spans="1:23">
      <c r="A4327" s="116"/>
      <c r="E4327" s="108"/>
      <c r="F4327" s="114"/>
      <c r="G4327" s="114"/>
      <c r="H4327" s="114"/>
      <c r="Q4327" s="44">
        <f>IF(数据录入!$B4327="",0,IF(OR(数据录入!$D4327="投标保证金",数据录入!$D4327="合同履约保证金",ISNUMBER(FIND("保证金",数据录入!$E4327))),1,0))</f>
      </c>
      <c r="R4327" s="44">
        <f>IF(AND($Q4327=1,数据录入!$B4327&gt;=$B$2,数据录入!$B4327&lt;=$D$2),N(R4326)+1,N(R4326))</f>
      </c>
    </row>
    <row r="4328" s="44" customFormat="1" spans="1:23">
      <c r="A4328" s="116"/>
      <c r="E4328" s="108"/>
      <c r="F4328" s="114"/>
      <c r="G4328" s="114"/>
      <c r="H4328" s="114"/>
      <c r="Q4328" s="44">
        <f>IF(数据录入!$B4328="",0,IF(OR(数据录入!$D4328="投标保证金",数据录入!$D4328="合同履约保证金",ISNUMBER(FIND("保证金",数据录入!$E4328))),1,0))</f>
      </c>
      <c r="R4328" s="44">
        <f>IF(AND($Q4328=1,数据录入!$B4328&gt;=$B$2,数据录入!$B4328&lt;=$D$2),N(R4327)+1,N(R4327))</f>
      </c>
    </row>
    <row r="4329" s="44" customFormat="1" spans="1:23">
      <c r="A4329" s="116"/>
      <c r="E4329" s="108"/>
      <c r="F4329" s="114"/>
      <c r="G4329" s="114"/>
      <c r="H4329" s="114"/>
      <c r="Q4329" s="44">
        <f>IF(数据录入!$B4329="",0,IF(OR(数据录入!$D4329="投标保证金",数据录入!$D4329="合同履约保证金",ISNUMBER(FIND("保证金",数据录入!$E4329))),1,0))</f>
      </c>
      <c r="R4329" s="44">
        <f>IF(AND($Q4329=1,数据录入!$B4329&gt;=$B$2,数据录入!$B4329&lt;=$D$2),N(R4328)+1,N(R4328))</f>
      </c>
    </row>
    <row r="4330" s="44" customFormat="1" spans="1:23">
      <c r="A4330" s="116"/>
      <c r="E4330" s="108"/>
      <c r="F4330" s="114"/>
      <c r="G4330" s="114"/>
      <c r="H4330" s="114"/>
      <c r="Q4330" s="44">
        <f>IF(数据录入!$B4330="",0,IF(OR(数据录入!$D4330="投标保证金",数据录入!$D4330="合同履约保证金",ISNUMBER(FIND("保证金",数据录入!$E4330))),1,0))</f>
      </c>
      <c r="R4330" s="44">
        <f>IF(AND($Q4330=1,数据录入!$B4330&gt;=$B$2,数据录入!$B4330&lt;=$D$2),N(R4329)+1,N(R4329))</f>
      </c>
    </row>
    <row r="4331" s="44" customFormat="1" spans="1:23">
      <c r="A4331" s="116"/>
      <c r="E4331" s="108"/>
      <c r="F4331" s="114"/>
      <c r="G4331" s="114"/>
      <c r="H4331" s="114"/>
      <c r="Q4331" s="44">
        <f>IF(数据录入!$B4331="",0,IF(OR(数据录入!$D4331="投标保证金",数据录入!$D4331="合同履约保证金",ISNUMBER(FIND("保证金",数据录入!$E4331))),1,0))</f>
      </c>
      <c r="R4331" s="44">
        <f>IF(AND($Q4331=1,数据录入!$B4331&gt;=$B$2,数据录入!$B4331&lt;=$D$2),N(R4330)+1,N(R4330))</f>
      </c>
    </row>
    <row r="4332" s="44" customFormat="1" spans="1:23">
      <c r="A4332" s="116"/>
      <c r="E4332" s="108"/>
      <c r="F4332" s="114"/>
      <c r="G4332" s="114"/>
      <c r="H4332" s="114"/>
      <c r="Q4332" s="44">
        <f>IF(数据录入!$B4332="",0,IF(OR(数据录入!$D4332="投标保证金",数据录入!$D4332="合同履约保证金",ISNUMBER(FIND("保证金",数据录入!$E4332))),1,0))</f>
      </c>
      <c r="R4332" s="44">
        <f>IF(AND($Q4332=1,数据录入!$B4332&gt;=$B$2,数据录入!$B4332&lt;=$D$2),N(R4331)+1,N(R4331))</f>
      </c>
    </row>
    <row r="4333" s="44" customFormat="1" spans="1:23">
      <c r="A4333" s="116"/>
      <c r="E4333" s="108"/>
      <c r="F4333" s="114"/>
      <c r="G4333" s="114"/>
      <c r="H4333" s="114"/>
      <c r="Q4333" s="44">
        <f>IF(数据录入!$B4333="",0,IF(OR(数据录入!$D4333="投标保证金",数据录入!$D4333="合同履约保证金",ISNUMBER(FIND("保证金",数据录入!$E4333))),1,0))</f>
      </c>
      <c r="R4333" s="44">
        <f>IF(AND($Q4333=1,数据录入!$B4333&gt;=$B$2,数据录入!$B4333&lt;=$D$2),N(R4332)+1,N(R4332))</f>
      </c>
    </row>
    <row r="4334" s="44" customFormat="1" spans="1:23">
      <c r="A4334" s="116"/>
      <c r="E4334" s="108"/>
      <c r="F4334" s="114"/>
      <c r="G4334" s="114"/>
      <c r="H4334" s="114"/>
      <c r="Q4334" s="44">
        <f>IF(数据录入!$B4334="",0,IF(OR(数据录入!$D4334="投标保证金",数据录入!$D4334="合同履约保证金",ISNUMBER(FIND("保证金",数据录入!$E4334))),1,0))</f>
      </c>
      <c r="R4334" s="44">
        <f>IF(AND($Q4334=1,数据录入!$B4334&gt;=$B$2,数据录入!$B4334&lt;=$D$2),N(R4333)+1,N(R4333))</f>
      </c>
    </row>
    <row r="4335" s="44" customFormat="1" spans="1:23">
      <c r="A4335" s="116"/>
      <c r="E4335" s="108"/>
      <c r="F4335" s="114"/>
      <c r="G4335" s="114"/>
      <c r="H4335" s="114"/>
      <c r="Q4335" s="44">
        <f>IF(数据录入!$B4335="",0,IF(OR(数据录入!$D4335="投标保证金",数据录入!$D4335="合同履约保证金",ISNUMBER(FIND("保证金",数据录入!$E4335))),1,0))</f>
      </c>
      <c r="R4335" s="44">
        <f>IF(AND($Q4335=1,数据录入!$B4335&gt;=$B$2,数据录入!$B4335&lt;=$D$2),N(R4334)+1,N(R4334))</f>
      </c>
    </row>
    <row r="4336" s="44" customFormat="1" spans="1:23">
      <c r="A4336" s="116"/>
      <c r="E4336" s="108"/>
      <c r="F4336" s="114"/>
      <c r="G4336" s="114"/>
      <c r="H4336" s="114"/>
      <c r="Q4336" s="44">
        <f>IF(数据录入!$B4336="",0,IF(OR(数据录入!$D4336="投标保证金",数据录入!$D4336="合同履约保证金",ISNUMBER(FIND("保证金",数据录入!$E4336))),1,0))</f>
      </c>
      <c r="R4336" s="44">
        <f>IF(AND($Q4336=1,数据录入!$B4336&gt;=$B$2,数据录入!$B4336&lt;=$D$2),N(R4335)+1,N(R4335))</f>
      </c>
    </row>
    <row r="4337" s="44" customFormat="1" spans="1:23">
      <c r="A4337" s="116"/>
      <c r="E4337" s="108"/>
      <c r="F4337" s="114"/>
      <c r="G4337" s="114"/>
      <c r="H4337" s="114"/>
      <c r="Q4337" s="44">
        <f>IF(数据录入!$B4337="",0,IF(OR(数据录入!$D4337="投标保证金",数据录入!$D4337="合同履约保证金",ISNUMBER(FIND("保证金",数据录入!$E4337))),1,0))</f>
      </c>
      <c r="R4337" s="44">
        <f>IF(AND($Q4337=1,数据录入!$B4337&gt;=$B$2,数据录入!$B4337&lt;=$D$2),N(R4336)+1,N(R4336))</f>
      </c>
    </row>
    <row r="4338" s="44" customFormat="1" spans="1:23">
      <c r="A4338" s="116"/>
      <c r="E4338" s="108"/>
      <c r="F4338" s="114"/>
      <c r="G4338" s="114"/>
      <c r="H4338" s="114"/>
      <c r="Q4338" s="44">
        <f>IF(数据录入!$B4338="",0,IF(OR(数据录入!$D4338="投标保证金",数据录入!$D4338="合同履约保证金",ISNUMBER(FIND("保证金",数据录入!$E4338))),1,0))</f>
      </c>
      <c r="R4338" s="44">
        <f>IF(AND($Q4338=1,数据录入!$B4338&gt;=$B$2,数据录入!$B4338&lt;=$D$2),N(R4337)+1,N(R4337))</f>
      </c>
    </row>
    <row r="4339" s="44" customFormat="1" spans="1:23">
      <c r="A4339" s="116"/>
      <c r="E4339" s="108"/>
      <c r="F4339" s="114"/>
      <c r="G4339" s="114"/>
      <c r="H4339" s="114"/>
      <c r="Q4339" s="44">
        <f>IF(数据录入!$B4339="",0,IF(OR(数据录入!$D4339="投标保证金",数据录入!$D4339="合同履约保证金",ISNUMBER(FIND("保证金",数据录入!$E4339))),1,0))</f>
      </c>
      <c r="R4339" s="44">
        <f>IF(AND($Q4339=1,数据录入!$B4339&gt;=$B$2,数据录入!$B4339&lt;=$D$2),N(R4338)+1,N(R4338))</f>
      </c>
    </row>
    <row r="4340" s="44" customFormat="1" spans="1:23">
      <c r="A4340" s="116"/>
      <c r="E4340" s="108"/>
      <c r="F4340" s="114"/>
      <c r="G4340" s="114"/>
      <c r="H4340" s="114"/>
      <c r="Q4340" s="44">
        <f>IF(数据录入!$B4340="",0,IF(OR(数据录入!$D4340="投标保证金",数据录入!$D4340="合同履约保证金",ISNUMBER(FIND("保证金",数据录入!$E4340))),1,0))</f>
      </c>
      <c r="R4340" s="44">
        <f>IF(AND($Q4340=1,数据录入!$B4340&gt;=$B$2,数据录入!$B4340&lt;=$D$2),N(R4339)+1,N(R4339))</f>
      </c>
    </row>
    <row r="4341" s="44" customFormat="1" spans="1:23">
      <c r="A4341" s="116"/>
      <c r="E4341" s="108"/>
      <c r="F4341" s="114"/>
      <c r="G4341" s="114"/>
      <c r="H4341" s="114"/>
      <c r="Q4341" s="44">
        <f>IF(数据录入!$B4341="",0,IF(OR(数据录入!$D4341="投标保证金",数据录入!$D4341="合同履约保证金",ISNUMBER(FIND("保证金",数据录入!$E4341))),1,0))</f>
      </c>
      <c r="R4341" s="44">
        <f>IF(AND($Q4341=1,数据录入!$B4341&gt;=$B$2,数据录入!$B4341&lt;=$D$2),N(R4340)+1,N(R4340))</f>
      </c>
    </row>
    <row r="4342" s="44" customFormat="1" spans="1:23">
      <c r="A4342" s="116"/>
      <c r="E4342" s="108"/>
      <c r="F4342" s="114"/>
      <c r="G4342" s="114"/>
      <c r="H4342" s="114"/>
      <c r="Q4342" s="44">
        <f>IF(数据录入!$B4342="",0,IF(OR(数据录入!$D4342="投标保证金",数据录入!$D4342="合同履约保证金",ISNUMBER(FIND("保证金",数据录入!$E4342))),1,0))</f>
      </c>
      <c r="R4342" s="44">
        <f>IF(AND($Q4342=1,数据录入!$B4342&gt;=$B$2,数据录入!$B4342&lt;=$D$2),N(R4341)+1,N(R4341))</f>
      </c>
    </row>
    <row r="4343" s="44" customFormat="1" spans="1:23">
      <c r="A4343" s="116"/>
      <c r="E4343" s="108"/>
      <c r="F4343" s="114"/>
      <c r="G4343" s="114"/>
      <c r="H4343" s="114"/>
      <c r="Q4343" s="44">
        <f>IF(数据录入!$B4343="",0,IF(OR(数据录入!$D4343="投标保证金",数据录入!$D4343="合同履约保证金",ISNUMBER(FIND("保证金",数据录入!$E4343))),1,0))</f>
      </c>
      <c r="R4343" s="44">
        <f>IF(AND($Q4343=1,数据录入!$B4343&gt;=$B$2,数据录入!$B4343&lt;=$D$2),N(R4342)+1,N(R4342))</f>
      </c>
    </row>
    <row r="4344" s="44" customFormat="1" spans="1:23">
      <c r="A4344" s="116"/>
      <c r="E4344" s="108"/>
      <c r="F4344" s="114"/>
      <c r="G4344" s="114"/>
      <c r="H4344" s="114"/>
      <c r="Q4344" s="44">
        <f>IF(数据录入!$B4344="",0,IF(OR(数据录入!$D4344="投标保证金",数据录入!$D4344="合同履约保证金",ISNUMBER(FIND("保证金",数据录入!$E4344))),1,0))</f>
      </c>
      <c r="R4344" s="44">
        <f>IF(AND($Q4344=1,数据录入!$B4344&gt;=$B$2,数据录入!$B4344&lt;=$D$2),N(R4343)+1,N(R4343))</f>
      </c>
    </row>
    <row r="4345" s="44" customFormat="1" spans="1:23">
      <c r="A4345" s="116"/>
      <c r="E4345" s="108"/>
      <c r="F4345" s="114"/>
      <c r="G4345" s="114"/>
      <c r="H4345" s="114"/>
      <c r="Q4345" s="44">
        <f>IF(数据录入!$B4345="",0,IF(OR(数据录入!$D4345="投标保证金",数据录入!$D4345="合同履约保证金",ISNUMBER(FIND("保证金",数据录入!$E4345))),1,0))</f>
      </c>
      <c r="R4345" s="44">
        <f>IF(AND($Q4345=1,数据录入!$B4345&gt;=$B$2,数据录入!$B4345&lt;=$D$2),N(R4344)+1,N(R4344))</f>
      </c>
    </row>
    <row r="4346" s="44" customFormat="1" spans="1:23">
      <c r="A4346" s="116"/>
      <c r="E4346" s="108"/>
      <c r="F4346" s="114"/>
      <c r="G4346" s="114"/>
      <c r="H4346" s="114"/>
      <c r="Q4346" s="44">
        <f>IF(数据录入!$B4346="",0,IF(OR(数据录入!$D4346="投标保证金",数据录入!$D4346="合同履约保证金",ISNUMBER(FIND("保证金",数据录入!$E4346))),1,0))</f>
      </c>
      <c r="R4346" s="44">
        <f>IF(AND($Q4346=1,数据录入!$B4346&gt;=$B$2,数据录入!$B4346&lt;=$D$2),N(R4345)+1,N(R4345))</f>
      </c>
    </row>
    <row r="4347" s="44" customFormat="1" spans="1:23">
      <c r="A4347" s="116"/>
      <c r="E4347" s="108"/>
      <c r="F4347" s="114"/>
      <c r="G4347" s="114"/>
      <c r="H4347" s="114"/>
      <c r="Q4347" s="44">
        <f>IF(数据录入!$B4347="",0,IF(OR(数据录入!$D4347="投标保证金",数据录入!$D4347="合同履约保证金",ISNUMBER(FIND("保证金",数据录入!$E4347))),1,0))</f>
      </c>
      <c r="R4347" s="44">
        <f>IF(AND($Q4347=1,数据录入!$B4347&gt;=$B$2,数据录入!$B4347&lt;=$D$2),N(R4346)+1,N(R4346))</f>
      </c>
    </row>
    <row r="4348" s="44" customFormat="1" spans="1:23">
      <c r="A4348" s="116"/>
      <c r="E4348" s="108"/>
      <c r="F4348" s="114"/>
      <c r="G4348" s="114"/>
      <c r="H4348" s="114"/>
      <c r="Q4348" s="44">
        <f>IF(数据录入!$B4348="",0,IF(OR(数据录入!$D4348="投标保证金",数据录入!$D4348="合同履约保证金",ISNUMBER(FIND("保证金",数据录入!$E4348))),1,0))</f>
      </c>
      <c r="R4348" s="44">
        <f>IF(AND($Q4348=1,数据录入!$B4348&gt;=$B$2,数据录入!$B4348&lt;=$D$2),N(R4347)+1,N(R4347))</f>
      </c>
    </row>
    <row r="4349" s="44" customFormat="1" spans="1:23">
      <c r="A4349" s="116"/>
      <c r="E4349" s="108"/>
      <c r="F4349" s="114"/>
      <c r="G4349" s="114"/>
      <c r="H4349" s="114"/>
      <c r="Q4349" s="44">
        <f>IF(数据录入!$B4349="",0,IF(OR(数据录入!$D4349="投标保证金",数据录入!$D4349="合同履约保证金",ISNUMBER(FIND("保证金",数据录入!$E4349))),1,0))</f>
      </c>
      <c r="R4349" s="44">
        <f>IF(AND($Q4349=1,数据录入!$B4349&gt;=$B$2,数据录入!$B4349&lt;=$D$2),N(R4348)+1,N(R4348))</f>
      </c>
    </row>
    <row r="4350" s="44" customFormat="1" spans="1:23">
      <c r="A4350" s="116"/>
      <c r="E4350" s="108"/>
      <c r="F4350" s="114"/>
      <c r="G4350" s="114"/>
      <c r="H4350" s="114"/>
      <c r="Q4350" s="44">
        <f>IF(数据录入!$B4350="",0,IF(OR(数据录入!$D4350="投标保证金",数据录入!$D4350="合同履约保证金",ISNUMBER(FIND("保证金",数据录入!$E4350))),1,0))</f>
      </c>
      <c r="R4350" s="44">
        <f>IF(AND($Q4350=1,数据录入!$B4350&gt;=$B$2,数据录入!$B4350&lt;=$D$2),N(R4349)+1,N(R4349))</f>
      </c>
    </row>
    <row r="4351" s="44" customFormat="1" spans="1:23">
      <c r="A4351" s="116"/>
      <c r="E4351" s="108"/>
      <c r="F4351" s="114"/>
      <c r="G4351" s="114"/>
      <c r="H4351" s="114"/>
      <c r="Q4351" s="44">
        <f>IF(数据录入!$B4351="",0,IF(OR(数据录入!$D4351="投标保证金",数据录入!$D4351="合同履约保证金",ISNUMBER(FIND("保证金",数据录入!$E4351))),1,0))</f>
      </c>
      <c r="R4351" s="44">
        <f>IF(AND($Q4351=1,数据录入!$B4351&gt;=$B$2,数据录入!$B4351&lt;=$D$2),N(R4350)+1,N(R4350))</f>
      </c>
    </row>
    <row r="4352" s="44" customFormat="1" spans="1:23">
      <c r="A4352" s="116"/>
      <c r="E4352" s="108"/>
      <c r="F4352" s="114"/>
      <c r="G4352" s="114"/>
      <c r="H4352" s="114"/>
      <c r="Q4352" s="44">
        <f>IF(数据录入!$B4352="",0,IF(OR(数据录入!$D4352="投标保证金",数据录入!$D4352="合同履约保证金",ISNUMBER(FIND("保证金",数据录入!$E4352))),1,0))</f>
      </c>
      <c r="R4352" s="44">
        <f>IF(AND($Q4352=1,数据录入!$B4352&gt;=$B$2,数据录入!$B4352&lt;=$D$2),N(R4351)+1,N(R4351))</f>
      </c>
    </row>
    <row r="4353" s="44" customFormat="1" spans="1:23">
      <c r="A4353" s="116"/>
      <c r="E4353" s="108"/>
      <c r="F4353" s="114"/>
      <c r="G4353" s="114"/>
      <c r="H4353" s="114"/>
      <c r="Q4353" s="44">
        <f>IF(数据录入!$B4353="",0,IF(OR(数据录入!$D4353="投标保证金",数据录入!$D4353="合同履约保证金",ISNUMBER(FIND("保证金",数据录入!$E4353))),1,0))</f>
      </c>
      <c r="R4353" s="44">
        <f>IF(AND($Q4353=1,数据录入!$B4353&gt;=$B$2,数据录入!$B4353&lt;=$D$2),N(R4352)+1,N(R4352))</f>
      </c>
    </row>
    <row r="4354" s="44" customFormat="1" spans="1:23">
      <c r="A4354" s="116"/>
      <c r="E4354" s="108"/>
      <c r="F4354" s="114"/>
      <c r="G4354" s="114"/>
      <c r="H4354" s="114"/>
      <c r="Q4354" s="44">
        <f>IF(数据录入!$B4354="",0,IF(OR(数据录入!$D4354="投标保证金",数据录入!$D4354="合同履约保证金",ISNUMBER(FIND("保证金",数据录入!$E4354))),1,0))</f>
      </c>
      <c r="R4354" s="44">
        <f>IF(AND($Q4354=1,数据录入!$B4354&gt;=$B$2,数据录入!$B4354&lt;=$D$2),N(R4353)+1,N(R4353))</f>
      </c>
    </row>
    <row r="4355" s="44" customFormat="1" spans="1:23">
      <c r="A4355" s="116"/>
      <c r="E4355" s="108"/>
      <c r="F4355" s="114"/>
      <c r="G4355" s="114"/>
      <c r="H4355" s="114"/>
      <c r="Q4355" s="44">
        <f>IF(数据录入!$B4355="",0,IF(OR(数据录入!$D4355="投标保证金",数据录入!$D4355="合同履约保证金",ISNUMBER(FIND("保证金",数据录入!$E4355))),1,0))</f>
      </c>
      <c r="R4355" s="44">
        <f>IF(AND($Q4355=1,数据录入!$B4355&gt;=$B$2,数据录入!$B4355&lt;=$D$2),N(R4354)+1,N(R4354))</f>
      </c>
    </row>
    <row r="4356" s="44" customFormat="1" spans="1:23">
      <c r="A4356" s="116"/>
      <c r="E4356" s="108"/>
      <c r="F4356" s="114"/>
      <c r="G4356" s="114"/>
      <c r="H4356" s="114"/>
      <c r="Q4356" s="44">
        <f>IF(数据录入!$B4356="",0,IF(OR(数据录入!$D4356="投标保证金",数据录入!$D4356="合同履约保证金",ISNUMBER(FIND("保证金",数据录入!$E4356))),1,0))</f>
      </c>
      <c r="R4356" s="44">
        <f>IF(AND($Q4356=1,数据录入!$B4356&gt;=$B$2,数据录入!$B4356&lt;=$D$2),N(R4355)+1,N(R4355))</f>
      </c>
    </row>
    <row r="4357" s="44" customFormat="1" spans="1:23">
      <c r="A4357" s="116"/>
      <c r="E4357" s="108"/>
      <c r="F4357" s="114"/>
      <c r="G4357" s="114"/>
      <c r="H4357" s="114"/>
      <c r="Q4357" s="44">
        <f>IF(数据录入!$B4357="",0,IF(OR(数据录入!$D4357="投标保证金",数据录入!$D4357="合同履约保证金",ISNUMBER(FIND("保证金",数据录入!$E4357))),1,0))</f>
      </c>
      <c r="R4357" s="44">
        <f>IF(AND($Q4357=1,数据录入!$B4357&gt;=$B$2,数据录入!$B4357&lt;=$D$2),N(R4356)+1,N(R4356))</f>
      </c>
    </row>
    <row r="4358" s="44" customFormat="1" spans="1:23">
      <c r="A4358" s="116"/>
      <c r="E4358" s="108"/>
      <c r="F4358" s="114"/>
      <c r="G4358" s="114"/>
      <c r="H4358" s="114"/>
      <c r="Q4358" s="44">
        <f>IF(数据录入!$B4358="",0,IF(OR(数据录入!$D4358="投标保证金",数据录入!$D4358="合同履约保证金",ISNUMBER(FIND("保证金",数据录入!$E4358))),1,0))</f>
      </c>
      <c r="R4358" s="44">
        <f>IF(AND($Q4358=1,数据录入!$B4358&gt;=$B$2,数据录入!$B4358&lt;=$D$2),N(R4357)+1,N(R4357))</f>
      </c>
    </row>
    <row r="4359" s="44" customFormat="1" spans="1:23">
      <c r="A4359" s="116"/>
      <c r="E4359" s="108"/>
      <c r="F4359" s="114"/>
      <c r="G4359" s="114"/>
      <c r="H4359" s="114"/>
      <c r="Q4359" s="44">
        <f>IF(数据录入!$B4359="",0,IF(OR(数据录入!$D4359="投标保证金",数据录入!$D4359="合同履约保证金",ISNUMBER(FIND("保证金",数据录入!$E4359))),1,0))</f>
      </c>
      <c r="R4359" s="44">
        <f>IF(AND($Q4359=1,数据录入!$B4359&gt;=$B$2,数据录入!$B4359&lt;=$D$2),N(R4358)+1,N(R4358))</f>
      </c>
    </row>
    <row r="4360" s="44" customFormat="1" spans="1:23">
      <c r="A4360" s="116"/>
      <c r="E4360" s="108"/>
      <c r="F4360" s="114"/>
      <c r="G4360" s="114"/>
      <c r="H4360" s="114"/>
      <c r="Q4360" s="44">
        <f>IF(数据录入!$B4360="",0,IF(OR(数据录入!$D4360="投标保证金",数据录入!$D4360="合同履约保证金",ISNUMBER(FIND("保证金",数据录入!$E4360))),1,0))</f>
      </c>
      <c r="R4360" s="44">
        <f>IF(AND($Q4360=1,数据录入!$B4360&gt;=$B$2,数据录入!$B4360&lt;=$D$2),N(R4359)+1,N(R4359))</f>
      </c>
    </row>
    <row r="4361" s="44" customFormat="1" spans="1:23">
      <c r="A4361" s="116"/>
      <c r="E4361" s="108"/>
      <c r="F4361" s="114"/>
      <c r="G4361" s="114"/>
      <c r="H4361" s="114"/>
      <c r="Q4361" s="44">
        <f>IF(数据录入!$B4361="",0,IF(OR(数据录入!$D4361="投标保证金",数据录入!$D4361="合同履约保证金",ISNUMBER(FIND("保证金",数据录入!$E4361))),1,0))</f>
      </c>
      <c r="R4361" s="44">
        <f>IF(AND($Q4361=1,数据录入!$B4361&gt;=$B$2,数据录入!$B4361&lt;=$D$2),N(R4360)+1,N(R4360))</f>
      </c>
    </row>
    <row r="4362" s="44" customFormat="1" spans="1:23">
      <c r="A4362" s="116"/>
      <c r="E4362" s="108"/>
      <c r="F4362" s="114"/>
      <c r="G4362" s="114"/>
      <c r="H4362" s="114"/>
      <c r="Q4362" s="44">
        <f>IF(数据录入!$B4362="",0,IF(OR(数据录入!$D4362="投标保证金",数据录入!$D4362="合同履约保证金",ISNUMBER(FIND("保证金",数据录入!$E4362))),1,0))</f>
      </c>
      <c r="R4362" s="44">
        <f>IF(AND($Q4362=1,数据录入!$B4362&gt;=$B$2,数据录入!$B4362&lt;=$D$2),N(R4361)+1,N(R4361))</f>
      </c>
    </row>
    <row r="4363" s="44" customFormat="1" spans="1:23">
      <c r="A4363" s="116"/>
      <c r="E4363" s="108"/>
      <c r="F4363" s="114"/>
      <c r="G4363" s="114"/>
      <c r="H4363" s="114"/>
      <c r="Q4363" s="44">
        <f>IF(数据录入!$B4363="",0,IF(OR(数据录入!$D4363="投标保证金",数据录入!$D4363="合同履约保证金",ISNUMBER(FIND("保证金",数据录入!$E4363))),1,0))</f>
      </c>
      <c r="R4363" s="44">
        <f>IF(AND($Q4363=1,数据录入!$B4363&gt;=$B$2,数据录入!$B4363&lt;=$D$2),N(R4362)+1,N(R4362))</f>
      </c>
    </row>
    <row r="4364" s="44" customFormat="1" spans="1:23">
      <c r="A4364" s="116"/>
      <c r="E4364" s="108"/>
      <c r="F4364" s="114"/>
      <c r="G4364" s="114"/>
      <c r="H4364" s="114"/>
      <c r="Q4364" s="44">
        <f>IF(数据录入!$B4364="",0,IF(OR(数据录入!$D4364="投标保证金",数据录入!$D4364="合同履约保证金",ISNUMBER(FIND("保证金",数据录入!$E4364))),1,0))</f>
      </c>
      <c r="R4364" s="44">
        <f>IF(AND($Q4364=1,数据录入!$B4364&gt;=$B$2,数据录入!$B4364&lt;=$D$2),N(R4363)+1,N(R4363))</f>
      </c>
    </row>
    <row r="4365" s="44" customFormat="1" spans="1:23">
      <c r="A4365" s="116"/>
      <c r="E4365" s="108"/>
      <c r="F4365" s="114"/>
      <c r="G4365" s="114"/>
      <c r="H4365" s="114"/>
      <c r="Q4365" s="44">
        <f>IF(数据录入!$B4365="",0,IF(OR(数据录入!$D4365="投标保证金",数据录入!$D4365="合同履约保证金",ISNUMBER(FIND("保证金",数据录入!$E4365))),1,0))</f>
      </c>
      <c r="R4365" s="44">
        <f>IF(AND($Q4365=1,数据录入!$B4365&gt;=$B$2,数据录入!$B4365&lt;=$D$2),N(R4364)+1,N(R4364))</f>
      </c>
    </row>
    <row r="4366" s="44" customFormat="1" spans="1:23">
      <c r="A4366" s="116"/>
      <c r="E4366" s="108"/>
      <c r="F4366" s="114"/>
      <c r="G4366" s="114"/>
      <c r="H4366" s="114"/>
      <c r="Q4366" s="44">
        <f>IF(数据录入!$B4366="",0,IF(OR(数据录入!$D4366="投标保证金",数据录入!$D4366="合同履约保证金",ISNUMBER(FIND("保证金",数据录入!$E4366))),1,0))</f>
      </c>
      <c r="R4366" s="44">
        <f>IF(AND($Q4366=1,数据录入!$B4366&gt;=$B$2,数据录入!$B4366&lt;=$D$2),N(R4365)+1,N(R4365))</f>
      </c>
    </row>
    <row r="4367" s="44" customFormat="1" spans="1:23">
      <c r="A4367" s="116"/>
      <c r="E4367" s="108"/>
      <c r="F4367" s="114"/>
      <c r="G4367" s="114"/>
      <c r="H4367" s="114"/>
      <c r="Q4367" s="44">
        <f>IF(数据录入!$B4367="",0,IF(OR(数据录入!$D4367="投标保证金",数据录入!$D4367="合同履约保证金",ISNUMBER(FIND("保证金",数据录入!$E4367))),1,0))</f>
      </c>
      <c r="R4367" s="44">
        <f>IF(AND($Q4367=1,数据录入!$B4367&gt;=$B$2,数据录入!$B4367&lt;=$D$2),N(R4366)+1,N(R4366))</f>
      </c>
    </row>
    <row r="4368" s="44" customFormat="1" spans="1:23">
      <c r="A4368" s="116"/>
      <c r="E4368" s="108"/>
      <c r="F4368" s="114"/>
      <c r="G4368" s="114"/>
      <c r="H4368" s="114"/>
      <c r="Q4368" s="44">
        <f>IF(数据录入!$B4368="",0,IF(OR(数据录入!$D4368="投标保证金",数据录入!$D4368="合同履约保证金",ISNUMBER(FIND("保证金",数据录入!$E4368))),1,0))</f>
      </c>
      <c r="R4368" s="44">
        <f>IF(AND($Q4368=1,数据录入!$B4368&gt;=$B$2,数据录入!$B4368&lt;=$D$2),N(R4367)+1,N(R4367))</f>
      </c>
    </row>
    <row r="4369" s="44" customFormat="1" spans="1:23">
      <c r="A4369" s="116"/>
      <c r="E4369" s="108"/>
      <c r="F4369" s="114"/>
      <c r="G4369" s="114"/>
      <c r="H4369" s="114"/>
      <c r="Q4369" s="44">
        <f>IF(数据录入!$B4369="",0,IF(OR(数据录入!$D4369="投标保证金",数据录入!$D4369="合同履约保证金",ISNUMBER(FIND("保证金",数据录入!$E4369))),1,0))</f>
      </c>
      <c r="R4369" s="44">
        <f>IF(AND($Q4369=1,数据录入!$B4369&gt;=$B$2,数据录入!$B4369&lt;=$D$2),N(R4368)+1,N(R4368))</f>
      </c>
    </row>
    <row r="4370" s="44" customFormat="1" spans="1:23">
      <c r="A4370" s="116"/>
      <c r="E4370" s="108"/>
      <c r="F4370" s="114"/>
      <c r="G4370" s="114"/>
      <c r="H4370" s="114"/>
      <c r="Q4370" s="44">
        <f>IF(数据录入!$B4370="",0,IF(OR(数据录入!$D4370="投标保证金",数据录入!$D4370="合同履约保证金",ISNUMBER(FIND("保证金",数据录入!$E4370))),1,0))</f>
      </c>
      <c r="R4370" s="44">
        <f>IF(AND($Q4370=1,数据录入!$B4370&gt;=$B$2,数据录入!$B4370&lt;=$D$2),N(R4369)+1,N(R4369))</f>
      </c>
    </row>
    <row r="4371" s="44" customFormat="1" spans="1:23">
      <c r="A4371" s="116"/>
      <c r="E4371" s="108"/>
      <c r="F4371" s="114"/>
      <c r="G4371" s="114"/>
      <c r="H4371" s="114"/>
      <c r="Q4371" s="44">
        <f>IF(数据录入!$B4371="",0,IF(OR(数据录入!$D4371="投标保证金",数据录入!$D4371="合同履约保证金",ISNUMBER(FIND("保证金",数据录入!$E4371))),1,0))</f>
      </c>
      <c r="R4371" s="44">
        <f>IF(AND($Q4371=1,数据录入!$B4371&gt;=$B$2,数据录入!$B4371&lt;=$D$2),N(R4370)+1,N(R4370))</f>
      </c>
    </row>
    <row r="4372" s="44" customFormat="1" spans="1:23">
      <c r="A4372" s="116"/>
      <c r="E4372" s="108"/>
      <c r="F4372" s="114"/>
      <c r="G4372" s="114"/>
      <c r="H4372" s="114"/>
      <c r="Q4372" s="44">
        <f>IF(数据录入!$B4372="",0,IF(OR(数据录入!$D4372="投标保证金",数据录入!$D4372="合同履约保证金",ISNUMBER(FIND("保证金",数据录入!$E4372))),1,0))</f>
      </c>
      <c r="R4372" s="44">
        <f>IF(AND($Q4372=1,数据录入!$B4372&gt;=$B$2,数据录入!$B4372&lt;=$D$2),N(R4371)+1,N(R4371))</f>
      </c>
    </row>
    <row r="4373" s="44" customFormat="1" spans="1:23">
      <c r="A4373" s="116"/>
      <c r="E4373" s="108"/>
      <c r="F4373" s="114"/>
      <c r="G4373" s="114"/>
      <c r="H4373" s="114"/>
      <c r="Q4373" s="44">
        <f>IF(数据录入!$B4373="",0,IF(OR(数据录入!$D4373="投标保证金",数据录入!$D4373="合同履约保证金",ISNUMBER(FIND("保证金",数据录入!$E4373))),1,0))</f>
      </c>
      <c r="R4373" s="44">
        <f>IF(AND($Q4373=1,数据录入!$B4373&gt;=$B$2,数据录入!$B4373&lt;=$D$2),N(R4372)+1,N(R4372))</f>
      </c>
    </row>
    <row r="4374" s="44" customFormat="1" spans="1:23">
      <c r="A4374" s="116"/>
      <c r="E4374" s="108"/>
      <c r="F4374" s="114"/>
      <c r="G4374" s="114"/>
      <c r="H4374" s="114"/>
      <c r="Q4374" s="44">
        <f>IF(数据录入!$B4374="",0,IF(OR(数据录入!$D4374="投标保证金",数据录入!$D4374="合同履约保证金",ISNUMBER(FIND("保证金",数据录入!$E4374))),1,0))</f>
      </c>
      <c r="R4374" s="44">
        <f>IF(AND($Q4374=1,数据录入!$B4374&gt;=$B$2,数据录入!$B4374&lt;=$D$2),N(R4373)+1,N(R4373))</f>
      </c>
    </row>
    <row r="4375" s="44" customFormat="1" spans="1:23">
      <c r="A4375" s="116"/>
      <c r="E4375" s="108"/>
      <c r="F4375" s="114"/>
      <c r="G4375" s="114"/>
      <c r="H4375" s="114"/>
      <c r="Q4375" s="44">
        <f>IF(数据录入!$B4375="",0,IF(OR(数据录入!$D4375="投标保证金",数据录入!$D4375="合同履约保证金",ISNUMBER(FIND("保证金",数据录入!$E4375))),1,0))</f>
      </c>
      <c r="R4375" s="44">
        <f>IF(AND($Q4375=1,数据录入!$B4375&gt;=$B$2,数据录入!$B4375&lt;=$D$2),N(R4374)+1,N(R4374))</f>
      </c>
    </row>
    <row r="4376" s="44" customFormat="1" spans="1:23">
      <c r="A4376" s="116"/>
      <c r="E4376" s="108"/>
      <c r="F4376" s="114"/>
      <c r="G4376" s="114"/>
      <c r="H4376" s="114"/>
      <c r="Q4376" s="44">
        <f>IF(数据录入!$B4376="",0,IF(OR(数据录入!$D4376="投标保证金",数据录入!$D4376="合同履约保证金",ISNUMBER(FIND("保证金",数据录入!$E4376))),1,0))</f>
      </c>
      <c r="R4376" s="44">
        <f>IF(AND($Q4376=1,数据录入!$B4376&gt;=$B$2,数据录入!$B4376&lt;=$D$2),N(R4375)+1,N(R4375))</f>
      </c>
    </row>
    <row r="4377" s="44" customFormat="1" spans="1:23">
      <c r="A4377" s="116"/>
      <c r="E4377" s="108"/>
      <c r="F4377" s="114"/>
      <c r="G4377" s="114"/>
      <c r="H4377" s="114"/>
      <c r="Q4377" s="44">
        <f>IF(数据录入!$B4377="",0,IF(OR(数据录入!$D4377="投标保证金",数据录入!$D4377="合同履约保证金",ISNUMBER(FIND("保证金",数据录入!$E4377))),1,0))</f>
      </c>
      <c r="R4377" s="44">
        <f>IF(AND($Q4377=1,数据录入!$B4377&gt;=$B$2,数据录入!$B4377&lt;=$D$2),N(R4376)+1,N(R4376))</f>
      </c>
    </row>
    <row r="4378" s="44" customFormat="1" spans="1:23">
      <c r="A4378" s="116"/>
      <c r="E4378" s="108"/>
      <c r="F4378" s="114"/>
      <c r="G4378" s="114"/>
      <c r="H4378" s="114"/>
      <c r="Q4378" s="44">
        <f>IF(数据录入!$B4378="",0,IF(OR(数据录入!$D4378="投标保证金",数据录入!$D4378="合同履约保证金",ISNUMBER(FIND("保证金",数据录入!$E4378))),1,0))</f>
      </c>
      <c r="R4378" s="44">
        <f>IF(AND($Q4378=1,数据录入!$B4378&gt;=$B$2,数据录入!$B4378&lt;=$D$2),N(R4377)+1,N(R4377))</f>
      </c>
    </row>
    <row r="4379" s="44" customFormat="1" spans="1:23">
      <c r="A4379" s="116"/>
      <c r="E4379" s="108"/>
      <c r="F4379" s="114"/>
      <c r="G4379" s="114"/>
      <c r="H4379" s="114"/>
      <c r="Q4379" s="44">
        <f>IF(数据录入!$B4379="",0,IF(OR(数据录入!$D4379="投标保证金",数据录入!$D4379="合同履约保证金",ISNUMBER(FIND("保证金",数据录入!$E4379))),1,0))</f>
      </c>
      <c r="R4379" s="44">
        <f>IF(AND($Q4379=1,数据录入!$B4379&gt;=$B$2,数据录入!$B4379&lt;=$D$2),N(R4378)+1,N(R4378))</f>
      </c>
    </row>
    <row r="4380" s="44" customFormat="1" spans="1:23">
      <c r="A4380" s="116"/>
      <c r="E4380" s="108"/>
      <c r="F4380" s="114"/>
      <c r="G4380" s="114"/>
      <c r="H4380" s="114"/>
      <c r="Q4380" s="44">
        <f>IF(数据录入!$B4380="",0,IF(OR(数据录入!$D4380="投标保证金",数据录入!$D4380="合同履约保证金",ISNUMBER(FIND("保证金",数据录入!$E4380))),1,0))</f>
      </c>
      <c r="R4380" s="44">
        <f>IF(AND($Q4380=1,数据录入!$B4380&gt;=$B$2,数据录入!$B4380&lt;=$D$2),N(R4379)+1,N(R4379))</f>
      </c>
    </row>
    <row r="4381" s="44" customFormat="1" spans="1:23">
      <c r="A4381" s="116"/>
      <c r="E4381" s="108"/>
      <c r="F4381" s="114"/>
      <c r="G4381" s="114"/>
      <c r="H4381" s="114"/>
      <c r="Q4381" s="44">
        <f>IF(数据录入!$B4381="",0,IF(OR(数据录入!$D4381="投标保证金",数据录入!$D4381="合同履约保证金",ISNUMBER(FIND("保证金",数据录入!$E4381))),1,0))</f>
      </c>
      <c r="R4381" s="44">
        <f>IF(AND($Q4381=1,数据录入!$B4381&gt;=$B$2,数据录入!$B4381&lt;=$D$2),N(R4380)+1,N(R4380))</f>
      </c>
    </row>
    <row r="4382" s="44" customFormat="1" spans="1:23">
      <c r="A4382" s="116"/>
      <c r="E4382" s="108"/>
      <c r="F4382" s="114"/>
      <c r="G4382" s="114"/>
      <c r="H4382" s="114"/>
      <c r="Q4382" s="44">
        <f>IF(数据录入!$B4382="",0,IF(OR(数据录入!$D4382="投标保证金",数据录入!$D4382="合同履约保证金",ISNUMBER(FIND("保证金",数据录入!$E4382))),1,0))</f>
      </c>
      <c r="R4382" s="44">
        <f>IF(AND($Q4382=1,数据录入!$B4382&gt;=$B$2,数据录入!$B4382&lt;=$D$2),N(R4381)+1,N(R4381))</f>
      </c>
    </row>
    <row r="4383" s="44" customFormat="1" spans="1:23">
      <c r="A4383" s="116"/>
      <c r="E4383" s="108"/>
      <c r="F4383" s="114"/>
      <c r="G4383" s="114"/>
      <c r="H4383" s="114"/>
      <c r="Q4383" s="44">
        <f>IF(数据录入!$B4383="",0,IF(OR(数据录入!$D4383="投标保证金",数据录入!$D4383="合同履约保证金",ISNUMBER(FIND("保证金",数据录入!$E4383))),1,0))</f>
      </c>
      <c r="R4383" s="44">
        <f>IF(AND($Q4383=1,数据录入!$B4383&gt;=$B$2,数据录入!$B4383&lt;=$D$2),N(R4382)+1,N(R4382))</f>
      </c>
    </row>
    <row r="4384" s="44" customFormat="1" spans="1:23">
      <c r="A4384" s="116"/>
      <c r="E4384" s="108"/>
      <c r="F4384" s="114"/>
      <c r="G4384" s="114"/>
      <c r="H4384" s="114"/>
      <c r="Q4384" s="44">
        <f>IF(数据录入!$B4384="",0,IF(OR(数据录入!$D4384="投标保证金",数据录入!$D4384="合同履约保证金",ISNUMBER(FIND("保证金",数据录入!$E4384))),1,0))</f>
      </c>
      <c r="R4384" s="44">
        <f>IF(AND($Q4384=1,数据录入!$B4384&gt;=$B$2,数据录入!$B4384&lt;=$D$2),N(R4383)+1,N(R4383))</f>
      </c>
    </row>
    <row r="4385" s="44" customFormat="1" spans="1:23">
      <c r="A4385" s="116"/>
      <c r="E4385" s="108"/>
      <c r="F4385" s="114"/>
      <c r="G4385" s="114"/>
      <c r="H4385" s="114"/>
      <c r="Q4385" s="44">
        <f>IF(数据录入!$B4385="",0,IF(OR(数据录入!$D4385="投标保证金",数据录入!$D4385="合同履约保证金",ISNUMBER(FIND("保证金",数据录入!$E4385))),1,0))</f>
      </c>
      <c r="R4385" s="44">
        <f>IF(AND($Q4385=1,数据录入!$B4385&gt;=$B$2,数据录入!$B4385&lt;=$D$2),N(R4384)+1,N(R4384))</f>
      </c>
    </row>
    <row r="4386" s="44" customFormat="1" spans="1:23">
      <c r="A4386" s="116"/>
      <c r="E4386" s="108"/>
      <c r="F4386" s="114"/>
      <c r="G4386" s="114"/>
      <c r="H4386" s="114"/>
      <c r="Q4386" s="44">
        <f>IF(数据录入!$B4386="",0,IF(OR(数据录入!$D4386="投标保证金",数据录入!$D4386="合同履约保证金",ISNUMBER(FIND("保证金",数据录入!$E4386))),1,0))</f>
      </c>
      <c r="R4386" s="44">
        <f>IF(AND($Q4386=1,数据录入!$B4386&gt;=$B$2,数据录入!$B4386&lt;=$D$2),N(R4385)+1,N(R4385))</f>
      </c>
    </row>
    <row r="4387" s="44" customFormat="1" spans="1:23">
      <c r="A4387" s="116"/>
      <c r="E4387" s="108"/>
      <c r="F4387" s="114"/>
      <c r="G4387" s="114"/>
      <c r="H4387" s="114"/>
      <c r="Q4387" s="44">
        <f>IF(数据录入!$B4387="",0,IF(OR(数据录入!$D4387="投标保证金",数据录入!$D4387="合同履约保证金",ISNUMBER(FIND("保证金",数据录入!$E4387))),1,0))</f>
      </c>
      <c r="R4387" s="44">
        <f>IF(AND($Q4387=1,数据录入!$B4387&gt;=$B$2,数据录入!$B4387&lt;=$D$2),N(R4386)+1,N(R4386))</f>
      </c>
    </row>
    <row r="4388" s="44" customFormat="1" spans="1:23">
      <c r="A4388" s="116"/>
      <c r="E4388" s="108"/>
      <c r="F4388" s="114"/>
      <c r="G4388" s="114"/>
      <c r="H4388" s="114"/>
      <c r="Q4388" s="44">
        <f>IF(数据录入!$B4388="",0,IF(OR(数据录入!$D4388="投标保证金",数据录入!$D4388="合同履约保证金",ISNUMBER(FIND("保证金",数据录入!$E4388))),1,0))</f>
      </c>
      <c r="R4388" s="44">
        <f>IF(AND($Q4388=1,数据录入!$B4388&gt;=$B$2,数据录入!$B4388&lt;=$D$2),N(R4387)+1,N(R4387))</f>
      </c>
    </row>
    <row r="4389" s="44" customFormat="1" spans="1:23">
      <c r="A4389" s="116"/>
      <c r="E4389" s="108"/>
      <c r="F4389" s="114"/>
      <c r="G4389" s="114"/>
      <c r="H4389" s="114"/>
      <c r="Q4389" s="44">
        <f>IF(数据录入!$B4389="",0,IF(OR(数据录入!$D4389="投标保证金",数据录入!$D4389="合同履约保证金",ISNUMBER(FIND("保证金",数据录入!$E4389))),1,0))</f>
      </c>
      <c r="R4389" s="44">
        <f>IF(AND($Q4389=1,数据录入!$B4389&gt;=$B$2,数据录入!$B4389&lt;=$D$2),N(R4388)+1,N(R4388))</f>
      </c>
    </row>
    <row r="4390" s="44" customFormat="1" spans="1:23">
      <c r="A4390" s="116"/>
      <c r="E4390" s="108"/>
      <c r="F4390" s="114"/>
      <c r="G4390" s="114"/>
      <c r="H4390" s="114"/>
      <c r="Q4390" s="44">
        <f>IF(数据录入!$B4390="",0,IF(OR(数据录入!$D4390="投标保证金",数据录入!$D4390="合同履约保证金",ISNUMBER(FIND("保证金",数据录入!$E4390))),1,0))</f>
      </c>
      <c r="R4390" s="44">
        <f>IF(AND($Q4390=1,数据录入!$B4390&gt;=$B$2,数据录入!$B4390&lt;=$D$2),N(R4389)+1,N(R4389))</f>
      </c>
    </row>
    <row r="4391" s="44" customFormat="1" spans="1:23">
      <c r="A4391" s="116"/>
      <c r="E4391" s="108"/>
      <c r="F4391" s="114"/>
      <c r="G4391" s="114"/>
      <c r="H4391" s="114"/>
      <c r="Q4391" s="44">
        <f>IF(数据录入!$B4391="",0,IF(OR(数据录入!$D4391="投标保证金",数据录入!$D4391="合同履约保证金",ISNUMBER(FIND("保证金",数据录入!$E4391))),1,0))</f>
      </c>
      <c r="R4391" s="44">
        <f>IF(AND($Q4391=1,数据录入!$B4391&gt;=$B$2,数据录入!$B4391&lt;=$D$2),N(R4390)+1,N(R4390))</f>
      </c>
    </row>
    <row r="4392" s="44" customFormat="1" spans="1:23">
      <c r="A4392" s="116"/>
      <c r="E4392" s="108"/>
      <c r="F4392" s="114"/>
      <c r="G4392" s="114"/>
      <c r="H4392" s="114"/>
      <c r="Q4392" s="44">
        <f>IF(数据录入!$B4392="",0,IF(OR(数据录入!$D4392="投标保证金",数据录入!$D4392="合同履约保证金",ISNUMBER(FIND("保证金",数据录入!$E4392))),1,0))</f>
      </c>
      <c r="R4392" s="44">
        <f>IF(AND($Q4392=1,数据录入!$B4392&gt;=$B$2,数据录入!$B4392&lt;=$D$2),N(R4391)+1,N(R4391))</f>
      </c>
    </row>
    <row r="4393" s="44" customFormat="1" spans="1:23">
      <c r="A4393" s="116"/>
      <c r="E4393" s="108"/>
      <c r="F4393" s="114"/>
      <c r="G4393" s="114"/>
      <c r="H4393" s="114"/>
      <c r="Q4393" s="44">
        <f>IF(数据录入!$B4393="",0,IF(OR(数据录入!$D4393="投标保证金",数据录入!$D4393="合同履约保证金",ISNUMBER(FIND("保证金",数据录入!$E4393))),1,0))</f>
      </c>
      <c r="R4393" s="44">
        <f>IF(AND($Q4393=1,数据录入!$B4393&gt;=$B$2,数据录入!$B4393&lt;=$D$2),N(R4392)+1,N(R4392))</f>
      </c>
    </row>
    <row r="4394" s="44" customFormat="1" spans="1:23">
      <c r="A4394" s="116"/>
      <c r="E4394" s="108"/>
      <c r="F4394" s="114"/>
      <c r="G4394" s="114"/>
      <c r="H4394" s="114"/>
      <c r="Q4394" s="44">
        <f>IF(数据录入!$B4394="",0,IF(OR(数据录入!$D4394="投标保证金",数据录入!$D4394="合同履约保证金",ISNUMBER(FIND("保证金",数据录入!$E4394))),1,0))</f>
      </c>
      <c r="R4394" s="44">
        <f>IF(AND($Q4394=1,数据录入!$B4394&gt;=$B$2,数据录入!$B4394&lt;=$D$2),N(R4393)+1,N(R4393))</f>
      </c>
    </row>
    <row r="4395" s="44" customFormat="1" spans="1:23">
      <c r="A4395" s="116"/>
      <c r="E4395" s="108"/>
      <c r="F4395" s="114"/>
      <c r="G4395" s="114"/>
      <c r="H4395" s="114"/>
      <c r="Q4395" s="44">
        <f>IF(数据录入!$B4395="",0,IF(OR(数据录入!$D4395="投标保证金",数据录入!$D4395="合同履约保证金",ISNUMBER(FIND("保证金",数据录入!$E4395))),1,0))</f>
      </c>
      <c r="R4395" s="44">
        <f>IF(AND($Q4395=1,数据录入!$B4395&gt;=$B$2,数据录入!$B4395&lt;=$D$2),N(R4394)+1,N(R4394))</f>
      </c>
    </row>
    <row r="4396" s="44" customFormat="1" spans="1:23">
      <c r="A4396" s="116"/>
      <c r="E4396" s="108"/>
      <c r="F4396" s="114"/>
      <c r="G4396" s="114"/>
      <c r="H4396" s="114"/>
      <c r="Q4396" s="44">
        <f>IF(数据录入!$B4396="",0,IF(OR(数据录入!$D4396="投标保证金",数据录入!$D4396="合同履约保证金",ISNUMBER(FIND("保证金",数据录入!$E4396))),1,0))</f>
      </c>
      <c r="R4396" s="44">
        <f>IF(AND($Q4396=1,数据录入!$B4396&gt;=$B$2,数据录入!$B4396&lt;=$D$2),N(R4395)+1,N(R4395))</f>
      </c>
    </row>
    <row r="4397" s="44" customFormat="1" spans="1:23">
      <c r="A4397" s="116"/>
      <c r="E4397" s="108"/>
      <c r="F4397" s="114"/>
      <c r="G4397" s="114"/>
      <c r="H4397" s="114"/>
      <c r="Q4397" s="44">
        <f>IF(数据录入!$B4397="",0,IF(OR(数据录入!$D4397="投标保证金",数据录入!$D4397="合同履约保证金",ISNUMBER(FIND("保证金",数据录入!$E4397))),1,0))</f>
      </c>
      <c r="R4397" s="44">
        <f>IF(AND($Q4397=1,数据录入!$B4397&gt;=$B$2,数据录入!$B4397&lt;=$D$2),N(R4396)+1,N(R4396))</f>
      </c>
    </row>
    <row r="4398" s="44" customFormat="1" spans="1:23">
      <c r="A4398" s="116"/>
      <c r="E4398" s="108"/>
      <c r="F4398" s="114"/>
      <c r="G4398" s="114"/>
      <c r="H4398" s="114"/>
      <c r="Q4398" s="44">
        <f>IF(数据录入!$B4398="",0,IF(OR(数据录入!$D4398="投标保证金",数据录入!$D4398="合同履约保证金",ISNUMBER(FIND("保证金",数据录入!$E4398))),1,0))</f>
      </c>
      <c r="R4398" s="44">
        <f>IF(AND($Q4398=1,数据录入!$B4398&gt;=$B$2,数据录入!$B4398&lt;=$D$2),N(R4397)+1,N(R4397))</f>
      </c>
    </row>
    <row r="4399" s="44" customFormat="1" spans="1:23">
      <c r="A4399" s="116"/>
      <c r="E4399" s="108"/>
      <c r="F4399" s="114"/>
      <c r="G4399" s="114"/>
      <c r="H4399" s="114"/>
      <c r="Q4399" s="44">
        <f>IF(数据录入!$B4399="",0,IF(OR(数据录入!$D4399="投标保证金",数据录入!$D4399="合同履约保证金",ISNUMBER(FIND("保证金",数据录入!$E4399))),1,0))</f>
      </c>
      <c r="R4399" s="44">
        <f>IF(AND($Q4399=1,数据录入!$B4399&gt;=$B$2,数据录入!$B4399&lt;=$D$2),N(R4398)+1,N(R4398))</f>
      </c>
    </row>
    <row r="4400" s="44" customFormat="1" spans="1:23">
      <c r="A4400" s="116"/>
      <c r="E4400" s="108"/>
      <c r="F4400" s="114"/>
      <c r="G4400" s="114"/>
      <c r="H4400" s="114"/>
      <c r="Q4400" s="44">
        <f>IF(数据录入!$B4400="",0,IF(OR(数据录入!$D4400="投标保证金",数据录入!$D4400="合同履约保证金",ISNUMBER(FIND("保证金",数据录入!$E4400))),1,0))</f>
      </c>
      <c r="R4400" s="44">
        <f>IF(AND($Q4400=1,数据录入!$B4400&gt;=$B$2,数据录入!$B4400&lt;=$D$2),N(R4399)+1,N(R4399))</f>
      </c>
    </row>
    <row r="4401" s="44" customFormat="1" spans="1:23">
      <c r="A4401" s="116"/>
      <c r="E4401" s="108"/>
      <c r="F4401" s="114"/>
      <c r="G4401" s="114"/>
      <c r="H4401" s="114"/>
      <c r="Q4401" s="44">
        <f>IF(数据录入!$B4401="",0,IF(OR(数据录入!$D4401="投标保证金",数据录入!$D4401="合同履约保证金",ISNUMBER(FIND("保证金",数据录入!$E4401))),1,0))</f>
      </c>
      <c r="R4401" s="44">
        <f>IF(AND($Q4401=1,数据录入!$B4401&gt;=$B$2,数据录入!$B4401&lt;=$D$2),N(R4400)+1,N(R4400))</f>
      </c>
    </row>
    <row r="4402" s="44" customFormat="1" spans="1:23">
      <c r="A4402" s="116"/>
      <c r="E4402" s="108"/>
      <c r="F4402" s="114"/>
      <c r="G4402" s="114"/>
      <c r="H4402" s="114"/>
      <c r="Q4402" s="44">
        <f>IF(数据录入!$B4402="",0,IF(OR(数据录入!$D4402="投标保证金",数据录入!$D4402="合同履约保证金",ISNUMBER(FIND("保证金",数据录入!$E4402))),1,0))</f>
      </c>
      <c r="R4402" s="44">
        <f>IF(AND($Q4402=1,数据录入!$B4402&gt;=$B$2,数据录入!$B4402&lt;=$D$2),N(R4401)+1,N(R4401))</f>
      </c>
    </row>
    <row r="4403" s="44" customFormat="1" spans="1:23">
      <c r="A4403" s="116"/>
      <c r="E4403" s="108"/>
      <c r="F4403" s="114"/>
      <c r="G4403" s="114"/>
      <c r="H4403" s="114"/>
      <c r="Q4403" s="44">
        <f>IF(数据录入!$B4403="",0,IF(OR(数据录入!$D4403="投标保证金",数据录入!$D4403="合同履约保证金",ISNUMBER(FIND("保证金",数据录入!$E4403))),1,0))</f>
      </c>
      <c r="R4403" s="44">
        <f>IF(AND($Q4403=1,数据录入!$B4403&gt;=$B$2,数据录入!$B4403&lt;=$D$2),N(R4402)+1,N(R4402))</f>
      </c>
    </row>
    <row r="4404" s="44" customFormat="1" spans="1:23">
      <c r="A4404" s="116"/>
      <c r="E4404" s="108"/>
      <c r="F4404" s="114"/>
      <c r="G4404" s="114"/>
      <c r="H4404" s="114"/>
      <c r="Q4404" s="44">
        <f>IF(数据录入!$B4404="",0,IF(OR(数据录入!$D4404="投标保证金",数据录入!$D4404="合同履约保证金",ISNUMBER(FIND("保证金",数据录入!$E4404))),1,0))</f>
      </c>
      <c r="R4404" s="44">
        <f>IF(AND($Q4404=1,数据录入!$B4404&gt;=$B$2,数据录入!$B4404&lt;=$D$2),N(R4403)+1,N(R4403))</f>
      </c>
    </row>
    <row r="4405" s="44" customFormat="1" spans="1:23">
      <c r="A4405" s="116"/>
      <c r="E4405" s="108"/>
      <c r="F4405" s="114"/>
      <c r="G4405" s="114"/>
      <c r="H4405" s="114"/>
      <c r="Q4405" s="44">
        <f>IF(数据录入!$B4405="",0,IF(OR(数据录入!$D4405="投标保证金",数据录入!$D4405="合同履约保证金",ISNUMBER(FIND("保证金",数据录入!$E4405))),1,0))</f>
      </c>
      <c r="R4405" s="44">
        <f>IF(AND($Q4405=1,数据录入!$B4405&gt;=$B$2,数据录入!$B4405&lt;=$D$2),N(R4404)+1,N(R4404))</f>
      </c>
    </row>
    <row r="4406" s="44" customFormat="1" spans="1:23">
      <c r="A4406" s="116"/>
      <c r="E4406" s="108"/>
      <c r="F4406" s="114"/>
      <c r="G4406" s="114"/>
      <c r="H4406" s="114"/>
      <c r="Q4406" s="44">
        <f>IF(数据录入!$B4406="",0,IF(OR(数据录入!$D4406="投标保证金",数据录入!$D4406="合同履约保证金",ISNUMBER(FIND("保证金",数据录入!$E4406))),1,0))</f>
      </c>
      <c r="R4406" s="44">
        <f>IF(AND($Q4406=1,数据录入!$B4406&gt;=$B$2,数据录入!$B4406&lt;=$D$2),N(R4405)+1,N(R4405))</f>
      </c>
    </row>
    <row r="4407" s="44" customFormat="1" spans="1:23">
      <c r="A4407" s="116"/>
      <c r="E4407" s="108"/>
      <c r="F4407" s="114"/>
      <c r="G4407" s="114"/>
      <c r="H4407" s="114"/>
      <c r="Q4407" s="44">
        <f>IF(数据录入!$B4407="",0,IF(OR(数据录入!$D4407="投标保证金",数据录入!$D4407="合同履约保证金",ISNUMBER(FIND("保证金",数据录入!$E4407))),1,0))</f>
      </c>
      <c r="R4407" s="44">
        <f>IF(AND($Q4407=1,数据录入!$B4407&gt;=$B$2,数据录入!$B4407&lt;=$D$2),N(R4406)+1,N(R4406))</f>
      </c>
    </row>
    <row r="4408" s="44" customFormat="1" spans="1:23">
      <c r="A4408" s="116"/>
      <c r="E4408" s="108"/>
      <c r="F4408" s="114"/>
      <c r="G4408" s="114"/>
      <c r="H4408" s="114"/>
      <c r="Q4408" s="44">
        <f>IF(数据录入!$B4408="",0,IF(OR(数据录入!$D4408="投标保证金",数据录入!$D4408="合同履约保证金",ISNUMBER(FIND("保证金",数据录入!$E4408))),1,0))</f>
      </c>
      <c r="R4408" s="44">
        <f>IF(AND($Q4408=1,数据录入!$B4408&gt;=$B$2,数据录入!$B4408&lt;=$D$2),N(R4407)+1,N(R4407))</f>
      </c>
    </row>
    <row r="4409" s="44" customFormat="1" spans="1:23">
      <c r="A4409" s="116"/>
      <c r="E4409" s="108"/>
      <c r="F4409" s="114"/>
      <c r="G4409" s="114"/>
      <c r="H4409" s="114"/>
      <c r="Q4409" s="44">
        <f>IF(数据录入!$B4409="",0,IF(OR(数据录入!$D4409="投标保证金",数据录入!$D4409="合同履约保证金",ISNUMBER(FIND("保证金",数据录入!$E4409))),1,0))</f>
      </c>
      <c r="R4409" s="44">
        <f>IF(AND($Q4409=1,数据录入!$B4409&gt;=$B$2,数据录入!$B4409&lt;=$D$2),N(R4408)+1,N(R4408))</f>
      </c>
    </row>
    <row r="4410" s="44" customFormat="1" spans="1:23">
      <c r="A4410" s="116"/>
      <c r="E4410" s="108"/>
      <c r="F4410" s="114"/>
      <c r="G4410" s="114"/>
      <c r="H4410" s="114"/>
      <c r="Q4410" s="44">
        <f>IF(数据录入!$B4410="",0,IF(OR(数据录入!$D4410="投标保证金",数据录入!$D4410="合同履约保证金",ISNUMBER(FIND("保证金",数据录入!$E4410))),1,0))</f>
      </c>
      <c r="R4410" s="44">
        <f>IF(AND($Q4410=1,数据录入!$B4410&gt;=$B$2,数据录入!$B4410&lt;=$D$2),N(R4409)+1,N(R4409))</f>
      </c>
    </row>
    <row r="4411" s="44" customFormat="1" spans="1:23">
      <c r="A4411" s="116"/>
      <c r="E4411" s="108"/>
      <c r="F4411" s="114"/>
      <c r="G4411" s="114"/>
      <c r="H4411" s="114"/>
      <c r="Q4411" s="44">
        <f>IF(数据录入!$B4411="",0,IF(OR(数据录入!$D4411="投标保证金",数据录入!$D4411="合同履约保证金",ISNUMBER(FIND("保证金",数据录入!$E4411))),1,0))</f>
      </c>
      <c r="R4411" s="44">
        <f>IF(AND($Q4411=1,数据录入!$B4411&gt;=$B$2,数据录入!$B4411&lt;=$D$2),N(R4410)+1,N(R4410))</f>
      </c>
    </row>
    <row r="4412" s="44" customFormat="1" spans="1:23">
      <c r="A4412" s="116"/>
      <c r="E4412" s="108"/>
      <c r="F4412" s="114"/>
      <c r="G4412" s="114"/>
      <c r="H4412" s="114"/>
      <c r="Q4412" s="44">
        <f>IF(数据录入!$B4412="",0,IF(OR(数据录入!$D4412="投标保证金",数据录入!$D4412="合同履约保证金",ISNUMBER(FIND("保证金",数据录入!$E4412))),1,0))</f>
      </c>
      <c r="R4412" s="44">
        <f>IF(AND($Q4412=1,数据录入!$B4412&gt;=$B$2,数据录入!$B4412&lt;=$D$2),N(R4411)+1,N(R4411))</f>
      </c>
    </row>
    <row r="4413" s="44" customFormat="1" spans="1:23">
      <c r="A4413" s="116"/>
      <c r="E4413" s="108"/>
      <c r="F4413" s="114"/>
      <c r="G4413" s="114"/>
      <c r="H4413" s="114"/>
      <c r="Q4413" s="44">
        <f>IF(数据录入!$B4413="",0,IF(OR(数据录入!$D4413="投标保证金",数据录入!$D4413="合同履约保证金",ISNUMBER(FIND("保证金",数据录入!$E4413))),1,0))</f>
      </c>
      <c r="R4413" s="44">
        <f>IF(AND($Q4413=1,数据录入!$B4413&gt;=$B$2,数据录入!$B4413&lt;=$D$2),N(R4412)+1,N(R4412))</f>
      </c>
    </row>
    <row r="4414" s="44" customFormat="1" spans="1:23">
      <c r="A4414" s="116"/>
      <c r="E4414" s="108"/>
      <c r="F4414" s="114"/>
      <c r="G4414" s="114"/>
      <c r="H4414" s="114"/>
      <c r="Q4414" s="44">
        <f>IF(数据录入!$B4414="",0,IF(OR(数据录入!$D4414="投标保证金",数据录入!$D4414="合同履约保证金",ISNUMBER(FIND("保证金",数据录入!$E4414))),1,0))</f>
      </c>
      <c r="R4414" s="44">
        <f>IF(AND($Q4414=1,数据录入!$B4414&gt;=$B$2,数据录入!$B4414&lt;=$D$2),N(R4413)+1,N(R4413))</f>
      </c>
    </row>
    <row r="4415" s="44" customFormat="1" spans="1:23">
      <c r="A4415" s="116"/>
      <c r="E4415" s="108"/>
      <c r="F4415" s="114"/>
      <c r="G4415" s="114"/>
      <c r="H4415" s="114"/>
      <c r="Q4415" s="44">
        <f>IF(数据录入!$B4415="",0,IF(OR(数据录入!$D4415="投标保证金",数据录入!$D4415="合同履约保证金",ISNUMBER(FIND("保证金",数据录入!$E4415))),1,0))</f>
      </c>
      <c r="R4415" s="44">
        <f>IF(AND($Q4415=1,数据录入!$B4415&gt;=$B$2,数据录入!$B4415&lt;=$D$2),N(R4414)+1,N(R4414))</f>
      </c>
    </row>
    <row r="4416" s="44" customFormat="1" spans="1:23">
      <c r="A4416" s="116"/>
      <c r="E4416" s="108"/>
      <c r="F4416" s="114"/>
      <c r="G4416" s="114"/>
      <c r="H4416" s="114"/>
      <c r="Q4416" s="44">
        <f>IF(数据录入!$B4416="",0,IF(OR(数据录入!$D4416="投标保证金",数据录入!$D4416="合同履约保证金",ISNUMBER(FIND("保证金",数据录入!$E4416))),1,0))</f>
      </c>
      <c r="R4416" s="44">
        <f>IF(AND($Q4416=1,数据录入!$B4416&gt;=$B$2,数据录入!$B4416&lt;=$D$2),N(R4415)+1,N(R4415))</f>
      </c>
    </row>
    <row r="4417" s="44" customFormat="1" spans="1:23">
      <c r="A4417" s="116"/>
      <c r="E4417" s="108"/>
      <c r="F4417" s="114"/>
      <c r="G4417" s="114"/>
      <c r="H4417" s="114"/>
      <c r="Q4417" s="44">
        <f>IF(数据录入!$B4417="",0,IF(OR(数据录入!$D4417="投标保证金",数据录入!$D4417="合同履约保证金",ISNUMBER(FIND("保证金",数据录入!$E4417))),1,0))</f>
      </c>
      <c r="R4417" s="44">
        <f>IF(AND($Q4417=1,数据录入!$B4417&gt;=$B$2,数据录入!$B4417&lt;=$D$2),N(R4416)+1,N(R4416))</f>
      </c>
    </row>
    <row r="4418" s="44" customFormat="1" spans="1:23">
      <c r="A4418" s="116"/>
      <c r="E4418" s="108"/>
      <c r="F4418" s="114"/>
      <c r="G4418" s="114"/>
      <c r="H4418" s="114"/>
      <c r="Q4418" s="44">
        <f>IF(数据录入!$B4418="",0,IF(OR(数据录入!$D4418="投标保证金",数据录入!$D4418="合同履约保证金",ISNUMBER(FIND("保证金",数据录入!$E4418))),1,0))</f>
      </c>
      <c r="R4418" s="44">
        <f>IF(AND($Q4418=1,数据录入!$B4418&gt;=$B$2,数据录入!$B4418&lt;=$D$2),N(R4417)+1,N(R4417))</f>
      </c>
    </row>
    <row r="4419" s="44" customFormat="1" spans="1:23">
      <c r="A4419" s="116"/>
      <c r="E4419" s="108"/>
      <c r="F4419" s="114"/>
      <c r="G4419" s="114"/>
      <c r="H4419" s="114"/>
      <c r="Q4419" s="44">
        <f>IF(数据录入!$B4419="",0,IF(OR(数据录入!$D4419="投标保证金",数据录入!$D4419="合同履约保证金",ISNUMBER(FIND("保证金",数据录入!$E4419))),1,0))</f>
      </c>
      <c r="R4419" s="44">
        <f>IF(AND($Q4419=1,数据录入!$B4419&gt;=$B$2,数据录入!$B4419&lt;=$D$2),N(R4418)+1,N(R4418))</f>
      </c>
    </row>
    <row r="4420" s="44" customFormat="1" spans="1:23">
      <c r="A4420" s="116"/>
      <c r="E4420" s="108"/>
      <c r="F4420" s="114"/>
      <c r="G4420" s="114"/>
      <c r="H4420" s="114"/>
      <c r="Q4420" s="44">
        <f>IF(数据录入!$B4420="",0,IF(OR(数据录入!$D4420="投标保证金",数据录入!$D4420="合同履约保证金",ISNUMBER(FIND("保证金",数据录入!$E4420))),1,0))</f>
      </c>
      <c r="R4420" s="44">
        <f>IF(AND($Q4420=1,数据录入!$B4420&gt;=$B$2,数据录入!$B4420&lt;=$D$2),N(R4419)+1,N(R4419))</f>
      </c>
    </row>
    <row r="4421" s="44" customFormat="1" spans="1:23">
      <c r="A4421" s="116"/>
      <c r="E4421" s="108"/>
      <c r="F4421" s="114"/>
      <c r="G4421" s="114"/>
      <c r="H4421" s="114"/>
      <c r="Q4421" s="44">
        <f>IF(数据录入!$B4421="",0,IF(OR(数据录入!$D4421="投标保证金",数据录入!$D4421="合同履约保证金",ISNUMBER(FIND("保证金",数据录入!$E4421))),1,0))</f>
      </c>
      <c r="R4421" s="44">
        <f>IF(AND($Q4421=1,数据录入!$B4421&gt;=$B$2,数据录入!$B4421&lt;=$D$2),N(R4420)+1,N(R4420))</f>
      </c>
    </row>
    <row r="4422" s="44" customFormat="1" spans="1:23">
      <c r="A4422" s="116"/>
      <c r="E4422" s="108"/>
      <c r="F4422" s="114"/>
      <c r="G4422" s="114"/>
      <c r="H4422" s="114"/>
      <c r="Q4422" s="44">
        <f>IF(数据录入!$B4422="",0,IF(OR(数据录入!$D4422="投标保证金",数据录入!$D4422="合同履约保证金",ISNUMBER(FIND("保证金",数据录入!$E4422))),1,0))</f>
      </c>
      <c r="R4422" s="44">
        <f>IF(AND($Q4422=1,数据录入!$B4422&gt;=$B$2,数据录入!$B4422&lt;=$D$2),N(R4421)+1,N(R4421))</f>
      </c>
    </row>
    <row r="4423" s="44" customFormat="1" spans="1:23">
      <c r="A4423" s="116"/>
      <c r="E4423" s="108"/>
      <c r="F4423" s="114"/>
      <c r="G4423" s="114"/>
      <c r="H4423" s="114"/>
      <c r="Q4423" s="44">
        <f>IF(数据录入!$B4423="",0,IF(OR(数据录入!$D4423="投标保证金",数据录入!$D4423="合同履约保证金",ISNUMBER(FIND("保证金",数据录入!$E4423))),1,0))</f>
      </c>
      <c r="R4423" s="44">
        <f>IF(AND($Q4423=1,数据录入!$B4423&gt;=$B$2,数据录入!$B4423&lt;=$D$2),N(R4422)+1,N(R4422))</f>
      </c>
    </row>
    <row r="4424" s="44" customFormat="1" spans="1:23">
      <c r="A4424" s="116"/>
      <c r="E4424" s="108"/>
      <c r="F4424" s="114"/>
      <c r="G4424" s="114"/>
      <c r="H4424" s="114"/>
      <c r="Q4424" s="44">
        <f>IF(数据录入!$B4424="",0,IF(OR(数据录入!$D4424="投标保证金",数据录入!$D4424="合同履约保证金",ISNUMBER(FIND("保证金",数据录入!$E4424))),1,0))</f>
      </c>
      <c r="R4424" s="44">
        <f>IF(AND($Q4424=1,数据录入!$B4424&gt;=$B$2,数据录入!$B4424&lt;=$D$2),N(R4423)+1,N(R4423))</f>
      </c>
    </row>
    <row r="4425" s="44" customFormat="1" spans="1:23">
      <c r="A4425" s="116"/>
      <c r="E4425" s="108"/>
      <c r="F4425" s="114"/>
      <c r="G4425" s="114"/>
      <c r="H4425" s="114"/>
      <c r="Q4425" s="44">
        <f>IF(数据录入!$B4425="",0,IF(OR(数据录入!$D4425="投标保证金",数据录入!$D4425="合同履约保证金",ISNUMBER(FIND("保证金",数据录入!$E4425))),1,0))</f>
      </c>
      <c r="R4425" s="44">
        <f>IF(AND($Q4425=1,数据录入!$B4425&gt;=$B$2,数据录入!$B4425&lt;=$D$2),N(R4424)+1,N(R4424))</f>
      </c>
    </row>
    <row r="4426" s="44" customFormat="1" spans="1:23">
      <c r="A4426" s="116"/>
      <c r="E4426" s="108"/>
      <c r="F4426" s="114"/>
      <c r="G4426" s="114"/>
      <c r="H4426" s="114"/>
      <c r="Q4426" s="44">
        <f>IF(数据录入!$B4426="",0,IF(OR(数据录入!$D4426="投标保证金",数据录入!$D4426="合同履约保证金",ISNUMBER(FIND("保证金",数据录入!$E4426))),1,0))</f>
      </c>
      <c r="R4426" s="44">
        <f>IF(AND($Q4426=1,数据录入!$B4426&gt;=$B$2,数据录入!$B4426&lt;=$D$2),N(R4425)+1,N(R4425))</f>
      </c>
    </row>
    <row r="4427" s="44" customFormat="1" spans="1:23">
      <c r="A4427" s="116"/>
      <c r="E4427" s="108"/>
      <c r="F4427" s="114"/>
      <c r="G4427" s="114"/>
      <c r="H4427" s="114"/>
      <c r="Q4427" s="44">
        <f>IF(数据录入!$B4427="",0,IF(OR(数据录入!$D4427="投标保证金",数据录入!$D4427="合同履约保证金",ISNUMBER(FIND("保证金",数据录入!$E4427))),1,0))</f>
      </c>
      <c r="R4427" s="44">
        <f>IF(AND($Q4427=1,数据录入!$B4427&gt;=$B$2,数据录入!$B4427&lt;=$D$2),N(R4426)+1,N(R4426))</f>
      </c>
    </row>
    <row r="4428" s="44" customFormat="1" spans="1:23">
      <c r="A4428" s="116"/>
      <c r="E4428" s="108"/>
      <c r="F4428" s="114"/>
      <c r="G4428" s="114"/>
      <c r="H4428" s="114"/>
      <c r="Q4428" s="44">
        <f>IF(数据录入!$B4428="",0,IF(OR(数据录入!$D4428="投标保证金",数据录入!$D4428="合同履约保证金",ISNUMBER(FIND("保证金",数据录入!$E4428))),1,0))</f>
      </c>
      <c r="R4428" s="44">
        <f>IF(AND($Q4428=1,数据录入!$B4428&gt;=$B$2,数据录入!$B4428&lt;=$D$2),N(R4427)+1,N(R4427))</f>
      </c>
    </row>
    <row r="4429" s="44" customFormat="1" spans="1:23">
      <c r="A4429" s="116"/>
      <c r="E4429" s="108"/>
      <c r="F4429" s="114"/>
      <c r="G4429" s="114"/>
      <c r="H4429" s="114"/>
      <c r="Q4429" s="44">
        <f>IF(数据录入!$B4429="",0,IF(OR(数据录入!$D4429="投标保证金",数据录入!$D4429="合同履约保证金",ISNUMBER(FIND("保证金",数据录入!$E4429))),1,0))</f>
      </c>
      <c r="R4429" s="44">
        <f>IF(AND($Q4429=1,数据录入!$B4429&gt;=$B$2,数据录入!$B4429&lt;=$D$2),N(R4428)+1,N(R4428))</f>
      </c>
    </row>
    <row r="4430" s="44" customFormat="1" spans="1:23">
      <c r="A4430" s="116"/>
      <c r="E4430" s="108"/>
      <c r="F4430" s="114"/>
      <c r="G4430" s="114"/>
      <c r="H4430" s="114"/>
      <c r="Q4430" s="44">
        <f>IF(数据录入!$B4430="",0,IF(OR(数据录入!$D4430="投标保证金",数据录入!$D4430="合同履约保证金",ISNUMBER(FIND("保证金",数据录入!$E4430))),1,0))</f>
      </c>
      <c r="R4430" s="44">
        <f>IF(AND($Q4430=1,数据录入!$B4430&gt;=$B$2,数据录入!$B4430&lt;=$D$2),N(R4429)+1,N(R4429))</f>
      </c>
    </row>
    <row r="4431" s="44" customFormat="1" spans="1:23">
      <c r="A4431" s="116"/>
      <c r="E4431" s="108"/>
      <c r="F4431" s="114"/>
      <c r="G4431" s="114"/>
      <c r="H4431" s="114"/>
      <c r="Q4431" s="44">
        <f>IF(数据录入!$B4431="",0,IF(OR(数据录入!$D4431="投标保证金",数据录入!$D4431="合同履约保证金",ISNUMBER(FIND("保证金",数据录入!$E4431))),1,0))</f>
      </c>
      <c r="R4431" s="44">
        <f>IF(AND($Q4431=1,数据录入!$B4431&gt;=$B$2,数据录入!$B4431&lt;=$D$2),N(R4430)+1,N(R4430))</f>
      </c>
    </row>
    <row r="4432" s="44" customFormat="1" spans="1:23">
      <c r="A4432" s="116"/>
      <c r="E4432" s="108"/>
      <c r="F4432" s="114"/>
      <c r="G4432" s="114"/>
      <c r="H4432" s="114"/>
      <c r="Q4432" s="44">
        <f>IF(数据录入!$B4432="",0,IF(OR(数据录入!$D4432="投标保证金",数据录入!$D4432="合同履约保证金",ISNUMBER(FIND("保证金",数据录入!$E4432))),1,0))</f>
      </c>
      <c r="R4432" s="44">
        <f>IF(AND($Q4432=1,数据录入!$B4432&gt;=$B$2,数据录入!$B4432&lt;=$D$2),N(R4431)+1,N(R4431))</f>
      </c>
    </row>
    <row r="4433" s="44" customFormat="1" spans="1:23">
      <c r="A4433" s="116"/>
      <c r="E4433" s="108"/>
      <c r="F4433" s="114"/>
      <c r="G4433" s="114"/>
      <c r="H4433" s="114"/>
      <c r="Q4433" s="44">
        <f>IF(数据录入!$B4433="",0,IF(OR(数据录入!$D4433="投标保证金",数据录入!$D4433="合同履约保证金",ISNUMBER(FIND("保证金",数据录入!$E4433))),1,0))</f>
      </c>
      <c r="R4433" s="44">
        <f>IF(AND($Q4433=1,数据录入!$B4433&gt;=$B$2,数据录入!$B4433&lt;=$D$2),N(R4432)+1,N(R4432))</f>
      </c>
    </row>
    <row r="4434" s="44" customFormat="1" spans="1:23">
      <c r="A4434" s="116"/>
      <c r="E4434" s="108"/>
      <c r="F4434" s="114"/>
      <c r="G4434" s="114"/>
      <c r="H4434" s="114"/>
      <c r="Q4434" s="44">
        <f>IF(数据录入!$B4434="",0,IF(OR(数据录入!$D4434="投标保证金",数据录入!$D4434="合同履约保证金",ISNUMBER(FIND("保证金",数据录入!$E4434))),1,0))</f>
      </c>
      <c r="R4434" s="44">
        <f>IF(AND($Q4434=1,数据录入!$B4434&gt;=$B$2,数据录入!$B4434&lt;=$D$2),N(R4433)+1,N(R4433))</f>
      </c>
    </row>
    <row r="4435" s="44" customFormat="1" spans="1:23">
      <c r="A4435" s="116"/>
      <c r="E4435" s="108"/>
      <c r="F4435" s="114"/>
      <c r="G4435" s="114"/>
      <c r="H4435" s="114"/>
      <c r="Q4435" s="44">
        <f>IF(数据录入!$B4435="",0,IF(OR(数据录入!$D4435="投标保证金",数据录入!$D4435="合同履约保证金",ISNUMBER(FIND("保证金",数据录入!$E4435))),1,0))</f>
      </c>
      <c r="R4435" s="44">
        <f>IF(AND($Q4435=1,数据录入!$B4435&gt;=$B$2,数据录入!$B4435&lt;=$D$2),N(R4434)+1,N(R4434))</f>
      </c>
    </row>
    <row r="4436" s="44" customFormat="1" spans="1:23">
      <c r="A4436" s="116"/>
      <c r="E4436" s="108"/>
      <c r="F4436" s="114"/>
      <c r="G4436" s="114"/>
      <c r="H4436" s="114"/>
      <c r="Q4436" s="44">
        <f>IF(数据录入!$B4436="",0,IF(OR(数据录入!$D4436="投标保证金",数据录入!$D4436="合同履约保证金",ISNUMBER(FIND("保证金",数据录入!$E4436))),1,0))</f>
      </c>
      <c r="R4436" s="44">
        <f>IF(AND($Q4436=1,数据录入!$B4436&gt;=$B$2,数据录入!$B4436&lt;=$D$2),N(R4435)+1,N(R4435))</f>
      </c>
    </row>
    <row r="4437" s="44" customFormat="1" spans="1:23">
      <c r="A4437" s="116"/>
      <c r="E4437" s="108"/>
      <c r="F4437" s="114"/>
      <c r="G4437" s="114"/>
      <c r="H4437" s="114"/>
      <c r="Q4437" s="44">
        <f>IF(数据录入!$B4437="",0,IF(OR(数据录入!$D4437="投标保证金",数据录入!$D4437="合同履约保证金",ISNUMBER(FIND("保证金",数据录入!$E4437))),1,0))</f>
      </c>
      <c r="R4437" s="44">
        <f>IF(AND($Q4437=1,数据录入!$B4437&gt;=$B$2,数据录入!$B4437&lt;=$D$2),N(R4436)+1,N(R4436))</f>
      </c>
    </row>
    <row r="4438" s="44" customFormat="1" spans="1:23">
      <c r="A4438" s="116"/>
      <c r="E4438" s="108"/>
      <c r="F4438" s="114"/>
      <c r="G4438" s="114"/>
      <c r="H4438" s="114"/>
      <c r="Q4438" s="44">
        <f>IF(数据录入!$B4438="",0,IF(OR(数据录入!$D4438="投标保证金",数据录入!$D4438="合同履约保证金",ISNUMBER(FIND("保证金",数据录入!$E4438))),1,0))</f>
      </c>
      <c r="R4438" s="44">
        <f>IF(AND($Q4438=1,数据录入!$B4438&gt;=$B$2,数据录入!$B4438&lt;=$D$2),N(R4437)+1,N(R4437))</f>
      </c>
    </row>
    <row r="4439" s="44" customFormat="1" spans="1:23">
      <c r="A4439" s="116"/>
      <c r="E4439" s="108"/>
      <c r="F4439" s="114"/>
      <c r="G4439" s="114"/>
      <c r="H4439" s="114"/>
      <c r="Q4439" s="44">
        <f>IF(数据录入!$B4439="",0,IF(OR(数据录入!$D4439="投标保证金",数据录入!$D4439="合同履约保证金",ISNUMBER(FIND("保证金",数据录入!$E4439))),1,0))</f>
      </c>
      <c r="R4439" s="44">
        <f>IF(AND($Q4439=1,数据录入!$B4439&gt;=$B$2,数据录入!$B4439&lt;=$D$2),N(R4438)+1,N(R4438))</f>
      </c>
    </row>
    <row r="4440" s="44" customFormat="1" spans="1:23">
      <c r="A4440" s="116"/>
      <c r="E4440" s="108"/>
      <c r="F4440" s="114"/>
      <c r="G4440" s="114"/>
      <c r="H4440" s="114"/>
      <c r="Q4440" s="44">
        <f>IF(数据录入!$B4440="",0,IF(OR(数据录入!$D4440="投标保证金",数据录入!$D4440="合同履约保证金",ISNUMBER(FIND("保证金",数据录入!$E4440))),1,0))</f>
      </c>
      <c r="R4440" s="44">
        <f>IF(AND($Q4440=1,数据录入!$B4440&gt;=$B$2,数据录入!$B4440&lt;=$D$2),N(R4439)+1,N(R4439))</f>
      </c>
    </row>
    <row r="4441" s="44" customFormat="1" spans="1:23">
      <c r="A4441" s="116"/>
      <c r="E4441" s="108"/>
      <c r="F4441" s="114"/>
      <c r="G4441" s="114"/>
      <c r="H4441" s="114"/>
      <c r="Q4441" s="44">
        <f>IF(数据录入!$B4441="",0,IF(OR(数据录入!$D4441="投标保证金",数据录入!$D4441="合同履约保证金",ISNUMBER(FIND("保证金",数据录入!$E4441))),1,0))</f>
      </c>
      <c r="R4441" s="44">
        <f>IF(AND($Q4441=1,数据录入!$B4441&gt;=$B$2,数据录入!$B4441&lt;=$D$2),N(R4440)+1,N(R4440))</f>
      </c>
    </row>
    <row r="4442" s="44" customFormat="1" spans="1:23">
      <c r="A4442" s="116"/>
      <c r="E4442" s="108"/>
      <c r="F4442" s="114"/>
      <c r="G4442" s="114"/>
      <c r="H4442" s="114"/>
      <c r="Q4442" s="44">
        <f>IF(数据录入!$B4442="",0,IF(OR(数据录入!$D4442="投标保证金",数据录入!$D4442="合同履约保证金",ISNUMBER(FIND("保证金",数据录入!$E4442))),1,0))</f>
      </c>
      <c r="R4442" s="44">
        <f>IF(AND($Q4442=1,数据录入!$B4442&gt;=$B$2,数据录入!$B4442&lt;=$D$2),N(R4441)+1,N(R4441))</f>
      </c>
    </row>
    <row r="4443" s="44" customFormat="1" spans="1:23">
      <c r="A4443" s="116"/>
      <c r="E4443" s="108"/>
      <c r="F4443" s="114"/>
      <c r="G4443" s="114"/>
      <c r="H4443" s="114"/>
      <c r="Q4443" s="44">
        <f>IF(数据录入!$B4443="",0,IF(OR(数据录入!$D4443="投标保证金",数据录入!$D4443="合同履约保证金",ISNUMBER(FIND("保证金",数据录入!$E4443))),1,0))</f>
      </c>
      <c r="R4443" s="44">
        <f>IF(AND($Q4443=1,数据录入!$B4443&gt;=$B$2,数据录入!$B4443&lt;=$D$2),N(R4442)+1,N(R4442))</f>
      </c>
    </row>
    <row r="4444" s="44" customFormat="1" spans="1:23">
      <c r="A4444" s="116"/>
      <c r="E4444" s="108"/>
      <c r="F4444" s="114"/>
      <c r="G4444" s="114"/>
      <c r="H4444" s="114"/>
      <c r="Q4444" s="44">
        <f>IF(数据录入!$B4444="",0,IF(OR(数据录入!$D4444="投标保证金",数据录入!$D4444="合同履约保证金",ISNUMBER(FIND("保证金",数据录入!$E4444))),1,0))</f>
      </c>
      <c r="R4444" s="44">
        <f>IF(AND($Q4444=1,数据录入!$B4444&gt;=$B$2,数据录入!$B4444&lt;=$D$2),N(R4443)+1,N(R4443))</f>
      </c>
    </row>
    <row r="4445" s="44" customFormat="1" spans="1:23">
      <c r="A4445" s="116"/>
      <c r="E4445" s="108"/>
      <c r="F4445" s="114"/>
      <c r="G4445" s="114"/>
      <c r="H4445" s="114"/>
      <c r="Q4445" s="44">
        <f>IF(数据录入!$B4445="",0,IF(OR(数据录入!$D4445="投标保证金",数据录入!$D4445="合同履约保证金",ISNUMBER(FIND("保证金",数据录入!$E4445))),1,0))</f>
      </c>
      <c r="R4445" s="44">
        <f>IF(AND($Q4445=1,数据录入!$B4445&gt;=$B$2,数据录入!$B4445&lt;=$D$2),N(R4444)+1,N(R4444))</f>
      </c>
    </row>
    <row r="4446" s="44" customFormat="1" spans="1:23">
      <c r="A4446" s="116"/>
      <c r="E4446" s="108"/>
      <c r="F4446" s="114"/>
      <c r="G4446" s="114"/>
      <c r="H4446" s="114"/>
      <c r="Q4446" s="44">
        <f>IF(数据录入!$B4446="",0,IF(OR(数据录入!$D4446="投标保证金",数据录入!$D4446="合同履约保证金",ISNUMBER(FIND("保证金",数据录入!$E4446))),1,0))</f>
      </c>
      <c r="R4446" s="44">
        <f>IF(AND($Q4446=1,数据录入!$B4446&gt;=$B$2,数据录入!$B4446&lt;=$D$2),N(R4445)+1,N(R4445))</f>
      </c>
    </row>
    <row r="4447" s="44" customFormat="1" spans="1:23">
      <c r="A4447" s="116"/>
      <c r="E4447" s="108"/>
      <c r="F4447" s="114"/>
      <c r="G4447" s="114"/>
      <c r="H4447" s="114"/>
      <c r="Q4447" s="44">
        <f>IF(数据录入!$B4447="",0,IF(OR(数据录入!$D4447="投标保证金",数据录入!$D4447="合同履约保证金",ISNUMBER(FIND("保证金",数据录入!$E4447))),1,0))</f>
      </c>
      <c r="R4447" s="44">
        <f>IF(AND($Q4447=1,数据录入!$B4447&gt;=$B$2,数据录入!$B4447&lt;=$D$2),N(R4446)+1,N(R4446))</f>
      </c>
    </row>
    <row r="4448" s="44" customFormat="1" spans="1:23">
      <c r="A4448" s="116"/>
      <c r="E4448" s="108"/>
      <c r="F4448" s="114"/>
      <c r="G4448" s="114"/>
      <c r="H4448" s="114"/>
      <c r="Q4448" s="44">
        <f>IF(数据录入!$B4448="",0,IF(OR(数据录入!$D4448="投标保证金",数据录入!$D4448="合同履约保证金",ISNUMBER(FIND("保证金",数据录入!$E4448))),1,0))</f>
      </c>
      <c r="R4448" s="44">
        <f>IF(AND($Q4448=1,数据录入!$B4448&gt;=$B$2,数据录入!$B4448&lt;=$D$2),N(R4447)+1,N(R4447))</f>
      </c>
    </row>
    <row r="4449" s="44" customFormat="1" spans="1:23">
      <c r="A4449" s="116"/>
      <c r="E4449" s="108"/>
      <c r="F4449" s="114"/>
      <c r="G4449" s="114"/>
      <c r="H4449" s="114"/>
      <c r="Q4449" s="44">
        <f>IF(数据录入!$B4449="",0,IF(OR(数据录入!$D4449="投标保证金",数据录入!$D4449="合同履约保证金",ISNUMBER(FIND("保证金",数据录入!$E4449))),1,0))</f>
      </c>
      <c r="R4449" s="44">
        <f>IF(AND($Q4449=1,数据录入!$B4449&gt;=$B$2,数据录入!$B4449&lt;=$D$2),N(R4448)+1,N(R4448))</f>
      </c>
    </row>
    <row r="4450" s="44" customFormat="1" spans="1:23">
      <c r="A4450" s="116"/>
      <c r="E4450" s="108"/>
      <c r="F4450" s="114"/>
      <c r="G4450" s="114"/>
      <c r="H4450" s="114"/>
      <c r="Q4450" s="44">
        <f>IF(数据录入!$B4450="",0,IF(OR(数据录入!$D4450="投标保证金",数据录入!$D4450="合同履约保证金",ISNUMBER(FIND("保证金",数据录入!$E4450))),1,0))</f>
      </c>
      <c r="R4450" s="44">
        <f>IF(AND($Q4450=1,数据录入!$B4450&gt;=$B$2,数据录入!$B4450&lt;=$D$2),N(R4449)+1,N(R4449))</f>
      </c>
    </row>
    <row r="4451" s="44" customFormat="1" spans="1:23">
      <c r="A4451" s="116"/>
      <c r="E4451" s="108"/>
      <c r="F4451" s="114"/>
      <c r="G4451" s="114"/>
      <c r="H4451" s="114"/>
      <c r="Q4451" s="44">
        <f>IF(数据录入!$B4451="",0,IF(OR(数据录入!$D4451="投标保证金",数据录入!$D4451="合同履约保证金",ISNUMBER(FIND("保证金",数据录入!$E4451))),1,0))</f>
      </c>
      <c r="R4451" s="44">
        <f>IF(AND($Q4451=1,数据录入!$B4451&gt;=$B$2,数据录入!$B4451&lt;=$D$2),N(R4450)+1,N(R4450))</f>
      </c>
    </row>
    <row r="4452" s="44" customFormat="1" spans="1:23">
      <c r="A4452" s="116"/>
      <c r="E4452" s="108"/>
      <c r="F4452" s="114"/>
      <c r="G4452" s="114"/>
      <c r="H4452" s="114"/>
      <c r="Q4452" s="44">
        <f>IF(数据录入!$B4452="",0,IF(OR(数据录入!$D4452="投标保证金",数据录入!$D4452="合同履约保证金",ISNUMBER(FIND("保证金",数据录入!$E4452))),1,0))</f>
      </c>
      <c r="R4452" s="44">
        <f>IF(AND($Q4452=1,数据录入!$B4452&gt;=$B$2,数据录入!$B4452&lt;=$D$2),N(R4451)+1,N(R4451))</f>
      </c>
    </row>
    <row r="4453" s="44" customFormat="1" spans="1:23">
      <c r="A4453" s="116"/>
      <c r="E4453" s="108"/>
      <c r="F4453" s="114"/>
      <c r="G4453" s="114"/>
      <c r="H4453" s="114"/>
      <c r="Q4453" s="44">
        <f>IF(数据录入!$B4453="",0,IF(OR(数据录入!$D4453="投标保证金",数据录入!$D4453="合同履约保证金",ISNUMBER(FIND("保证金",数据录入!$E4453))),1,0))</f>
      </c>
      <c r="R4453" s="44">
        <f>IF(AND($Q4453=1,数据录入!$B4453&gt;=$B$2,数据录入!$B4453&lt;=$D$2),N(R4452)+1,N(R4452))</f>
      </c>
    </row>
    <row r="4454" s="44" customFormat="1" spans="1:23">
      <c r="A4454" s="116"/>
      <c r="E4454" s="108"/>
      <c r="F4454" s="114"/>
      <c r="G4454" s="114"/>
      <c r="H4454" s="114"/>
      <c r="Q4454" s="44">
        <f>IF(数据录入!$B4454="",0,IF(OR(数据录入!$D4454="投标保证金",数据录入!$D4454="合同履约保证金",ISNUMBER(FIND("保证金",数据录入!$E4454))),1,0))</f>
      </c>
      <c r="R4454" s="44">
        <f>IF(AND($Q4454=1,数据录入!$B4454&gt;=$B$2,数据录入!$B4454&lt;=$D$2),N(R4453)+1,N(R4453))</f>
      </c>
    </row>
    <row r="4455" s="44" customFormat="1" spans="1:23">
      <c r="A4455" s="116"/>
      <c r="E4455" s="108"/>
      <c r="F4455" s="114"/>
      <c r="G4455" s="114"/>
      <c r="H4455" s="114"/>
      <c r="Q4455" s="44">
        <f>IF(数据录入!$B4455="",0,IF(OR(数据录入!$D4455="投标保证金",数据录入!$D4455="合同履约保证金",ISNUMBER(FIND("保证金",数据录入!$E4455))),1,0))</f>
      </c>
      <c r="R4455" s="44">
        <f>IF(AND($Q4455=1,数据录入!$B4455&gt;=$B$2,数据录入!$B4455&lt;=$D$2),N(R4454)+1,N(R4454))</f>
      </c>
    </row>
    <row r="4456" s="44" customFormat="1" spans="1:23">
      <c r="A4456" s="116"/>
      <c r="E4456" s="108"/>
      <c r="F4456" s="114"/>
      <c r="G4456" s="114"/>
      <c r="H4456" s="114"/>
      <c r="Q4456" s="44">
        <f>IF(数据录入!$B4456="",0,IF(OR(数据录入!$D4456="投标保证金",数据录入!$D4456="合同履约保证金",ISNUMBER(FIND("保证金",数据录入!$E4456))),1,0))</f>
      </c>
      <c r="R4456" s="44">
        <f>IF(AND($Q4456=1,数据录入!$B4456&gt;=$B$2,数据录入!$B4456&lt;=$D$2),N(R4455)+1,N(R4455))</f>
      </c>
    </row>
    <row r="4457" s="44" customFormat="1" spans="1:23">
      <c r="A4457" s="116"/>
      <c r="E4457" s="108"/>
      <c r="F4457" s="114"/>
      <c r="G4457" s="114"/>
      <c r="H4457" s="114"/>
      <c r="Q4457" s="44">
        <f>IF(数据录入!$B4457="",0,IF(OR(数据录入!$D4457="投标保证金",数据录入!$D4457="合同履约保证金",ISNUMBER(FIND("保证金",数据录入!$E4457))),1,0))</f>
      </c>
      <c r="R4457" s="44">
        <f>IF(AND($Q4457=1,数据录入!$B4457&gt;=$B$2,数据录入!$B4457&lt;=$D$2),N(R4456)+1,N(R4456))</f>
      </c>
    </row>
    <row r="4458" s="44" customFormat="1" spans="1:23">
      <c r="A4458" s="116"/>
      <c r="E4458" s="108"/>
      <c r="F4458" s="114"/>
      <c r="G4458" s="114"/>
      <c r="H4458" s="114"/>
      <c r="Q4458" s="44">
        <f>IF(数据录入!$B4458="",0,IF(OR(数据录入!$D4458="投标保证金",数据录入!$D4458="合同履约保证金",ISNUMBER(FIND("保证金",数据录入!$E4458))),1,0))</f>
      </c>
      <c r="R4458" s="44">
        <f>IF(AND($Q4458=1,数据录入!$B4458&gt;=$B$2,数据录入!$B4458&lt;=$D$2),N(R4457)+1,N(R4457))</f>
      </c>
    </row>
    <row r="4459" s="44" customFormat="1" spans="1:23">
      <c r="A4459" s="116"/>
      <c r="E4459" s="108"/>
      <c r="F4459" s="114"/>
      <c r="G4459" s="114"/>
      <c r="H4459" s="114"/>
      <c r="Q4459" s="44">
        <f>IF(数据录入!$B4459="",0,IF(OR(数据录入!$D4459="投标保证金",数据录入!$D4459="合同履约保证金",ISNUMBER(FIND("保证金",数据录入!$E4459))),1,0))</f>
      </c>
      <c r="R4459" s="44">
        <f>IF(AND($Q4459=1,数据录入!$B4459&gt;=$B$2,数据录入!$B4459&lt;=$D$2),N(R4458)+1,N(R4458))</f>
      </c>
    </row>
    <row r="4460" s="44" customFormat="1" spans="1:23">
      <c r="A4460" s="116"/>
      <c r="E4460" s="108"/>
      <c r="F4460" s="114"/>
      <c r="G4460" s="114"/>
      <c r="H4460" s="114"/>
      <c r="Q4460" s="44">
        <f>IF(数据录入!$B4460="",0,IF(OR(数据录入!$D4460="投标保证金",数据录入!$D4460="合同履约保证金",ISNUMBER(FIND("保证金",数据录入!$E4460))),1,0))</f>
      </c>
      <c r="R4460" s="44">
        <f>IF(AND($Q4460=1,数据录入!$B4460&gt;=$B$2,数据录入!$B4460&lt;=$D$2),N(R4459)+1,N(R4459))</f>
      </c>
    </row>
    <row r="4461" s="44" customFormat="1" spans="1:23">
      <c r="A4461" s="116"/>
      <c r="E4461" s="108"/>
      <c r="F4461" s="114"/>
      <c r="G4461" s="114"/>
      <c r="H4461" s="114"/>
      <c r="Q4461" s="44">
        <f>IF(数据录入!$B4461="",0,IF(OR(数据录入!$D4461="投标保证金",数据录入!$D4461="合同履约保证金",ISNUMBER(FIND("保证金",数据录入!$E4461))),1,0))</f>
      </c>
      <c r="R4461" s="44">
        <f>IF(AND($Q4461=1,数据录入!$B4461&gt;=$B$2,数据录入!$B4461&lt;=$D$2),N(R4460)+1,N(R4460))</f>
      </c>
    </row>
    <row r="4462" s="44" customFormat="1" spans="1:23">
      <c r="A4462" s="116"/>
      <c r="E4462" s="108"/>
      <c r="F4462" s="114"/>
      <c r="G4462" s="114"/>
      <c r="H4462" s="114"/>
      <c r="Q4462" s="44">
        <f>IF(数据录入!$B4462="",0,IF(OR(数据录入!$D4462="投标保证金",数据录入!$D4462="合同履约保证金",ISNUMBER(FIND("保证金",数据录入!$E4462))),1,0))</f>
      </c>
      <c r="R4462" s="44">
        <f>IF(AND($Q4462=1,数据录入!$B4462&gt;=$B$2,数据录入!$B4462&lt;=$D$2),N(R4461)+1,N(R4461))</f>
      </c>
    </row>
    <row r="4463" s="44" customFormat="1" spans="1:23">
      <c r="A4463" s="116"/>
      <c r="E4463" s="108"/>
      <c r="F4463" s="114"/>
      <c r="G4463" s="114"/>
      <c r="H4463" s="114"/>
      <c r="Q4463" s="44">
        <f>IF(数据录入!$B4463="",0,IF(OR(数据录入!$D4463="投标保证金",数据录入!$D4463="合同履约保证金",ISNUMBER(FIND("保证金",数据录入!$E4463))),1,0))</f>
      </c>
      <c r="R4463" s="44">
        <f>IF(AND($Q4463=1,数据录入!$B4463&gt;=$B$2,数据录入!$B4463&lt;=$D$2),N(R4462)+1,N(R4462))</f>
      </c>
    </row>
    <row r="4464" s="44" customFormat="1" spans="1:23">
      <c r="A4464" s="116"/>
      <c r="E4464" s="108"/>
      <c r="F4464" s="114"/>
      <c r="G4464" s="114"/>
      <c r="H4464" s="114"/>
      <c r="Q4464" s="44">
        <f>IF(数据录入!$B4464="",0,IF(OR(数据录入!$D4464="投标保证金",数据录入!$D4464="合同履约保证金",ISNUMBER(FIND("保证金",数据录入!$E4464))),1,0))</f>
      </c>
      <c r="R4464" s="44">
        <f>IF(AND($Q4464=1,数据录入!$B4464&gt;=$B$2,数据录入!$B4464&lt;=$D$2),N(R4463)+1,N(R4463))</f>
      </c>
    </row>
    <row r="4465" s="44" customFormat="1" spans="1:23">
      <c r="A4465" s="116"/>
      <c r="E4465" s="108"/>
      <c r="F4465" s="114"/>
      <c r="G4465" s="114"/>
      <c r="H4465" s="114"/>
      <c r="Q4465" s="44">
        <f>IF(数据录入!$B4465="",0,IF(OR(数据录入!$D4465="投标保证金",数据录入!$D4465="合同履约保证金",ISNUMBER(FIND("保证金",数据录入!$E4465))),1,0))</f>
      </c>
      <c r="R4465" s="44">
        <f>IF(AND($Q4465=1,数据录入!$B4465&gt;=$B$2,数据录入!$B4465&lt;=$D$2),N(R4464)+1,N(R4464))</f>
      </c>
    </row>
    <row r="4466" s="44" customFormat="1" spans="1:23">
      <c r="A4466" s="116"/>
      <c r="E4466" s="108"/>
      <c r="F4466" s="114"/>
      <c r="G4466" s="114"/>
      <c r="H4466" s="114"/>
      <c r="Q4466" s="44">
        <f>IF(数据录入!$B4466="",0,IF(OR(数据录入!$D4466="投标保证金",数据录入!$D4466="合同履约保证金",ISNUMBER(FIND("保证金",数据录入!$E4466))),1,0))</f>
      </c>
      <c r="R4466" s="44">
        <f>IF(AND($Q4466=1,数据录入!$B4466&gt;=$B$2,数据录入!$B4466&lt;=$D$2),N(R4465)+1,N(R4465))</f>
      </c>
    </row>
    <row r="4467" s="44" customFormat="1" spans="1:23">
      <c r="A4467" s="116"/>
      <c r="E4467" s="108"/>
      <c r="F4467" s="114"/>
      <c r="G4467" s="114"/>
      <c r="H4467" s="114"/>
      <c r="Q4467" s="44">
        <f>IF(数据录入!$B4467="",0,IF(OR(数据录入!$D4467="投标保证金",数据录入!$D4467="合同履约保证金",ISNUMBER(FIND("保证金",数据录入!$E4467))),1,0))</f>
      </c>
      <c r="R4467" s="44">
        <f>IF(AND($Q4467=1,数据录入!$B4467&gt;=$B$2,数据录入!$B4467&lt;=$D$2),N(R4466)+1,N(R4466))</f>
      </c>
    </row>
    <row r="4468" s="44" customFormat="1" spans="1:23">
      <c r="A4468" s="116"/>
      <c r="E4468" s="108"/>
      <c r="F4468" s="114"/>
      <c r="G4468" s="114"/>
      <c r="H4468" s="114"/>
      <c r="Q4468" s="44">
        <f>IF(数据录入!$B4468="",0,IF(OR(数据录入!$D4468="投标保证金",数据录入!$D4468="合同履约保证金",ISNUMBER(FIND("保证金",数据录入!$E4468))),1,0))</f>
      </c>
      <c r="R4468" s="44">
        <f>IF(AND($Q4468=1,数据录入!$B4468&gt;=$B$2,数据录入!$B4468&lt;=$D$2),N(R4467)+1,N(R4467))</f>
      </c>
    </row>
    <row r="4469" s="44" customFormat="1" spans="1:23">
      <c r="A4469" s="116"/>
      <c r="E4469" s="108"/>
      <c r="F4469" s="114"/>
      <c r="G4469" s="114"/>
      <c r="H4469" s="114"/>
      <c r="Q4469" s="44">
        <f>IF(数据录入!$B4469="",0,IF(OR(数据录入!$D4469="投标保证金",数据录入!$D4469="合同履约保证金",ISNUMBER(FIND("保证金",数据录入!$E4469))),1,0))</f>
      </c>
      <c r="R4469" s="44">
        <f>IF(AND($Q4469=1,数据录入!$B4469&gt;=$B$2,数据录入!$B4469&lt;=$D$2),N(R4468)+1,N(R4468))</f>
      </c>
    </row>
    <row r="4470" s="44" customFormat="1" spans="1:23">
      <c r="A4470" s="116"/>
      <c r="E4470" s="108"/>
      <c r="F4470" s="114"/>
      <c r="G4470" s="114"/>
      <c r="H4470" s="114"/>
      <c r="Q4470" s="44">
        <f>IF(数据录入!$B4470="",0,IF(OR(数据录入!$D4470="投标保证金",数据录入!$D4470="合同履约保证金",ISNUMBER(FIND("保证金",数据录入!$E4470))),1,0))</f>
      </c>
      <c r="R4470" s="44">
        <f>IF(AND($Q4470=1,数据录入!$B4470&gt;=$B$2,数据录入!$B4470&lt;=$D$2),N(R4469)+1,N(R4469))</f>
      </c>
    </row>
    <row r="4471" s="44" customFormat="1" spans="1:23">
      <c r="A4471" s="116"/>
      <c r="E4471" s="108"/>
      <c r="F4471" s="114"/>
      <c r="G4471" s="114"/>
      <c r="H4471" s="114"/>
      <c r="Q4471" s="44">
        <f>IF(数据录入!$B4471="",0,IF(OR(数据录入!$D4471="投标保证金",数据录入!$D4471="合同履约保证金",ISNUMBER(FIND("保证金",数据录入!$E4471))),1,0))</f>
      </c>
      <c r="R4471" s="44">
        <f>IF(AND($Q4471=1,数据录入!$B4471&gt;=$B$2,数据录入!$B4471&lt;=$D$2),N(R4470)+1,N(R4470))</f>
      </c>
    </row>
    <row r="4472" s="44" customFormat="1" spans="1:23">
      <c r="A4472" s="116"/>
      <c r="E4472" s="108"/>
      <c r="F4472" s="114"/>
      <c r="G4472" s="114"/>
      <c r="H4472" s="114"/>
      <c r="Q4472" s="44">
        <f>IF(数据录入!$B4472="",0,IF(OR(数据录入!$D4472="投标保证金",数据录入!$D4472="合同履约保证金",ISNUMBER(FIND("保证金",数据录入!$E4472))),1,0))</f>
      </c>
      <c r="R4472" s="44">
        <f>IF(AND($Q4472=1,数据录入!$B4472&gt;=$B$2,数据录入!$B4472&lt;=$D$2),N(R4471)+1,N(R4471))</f>
      </c>
    </row>
    <row r="4473" s="44" customFormat="1" spans="1:23">
      <c r="A4473" s="116"/>
      <c r="E4473" s="108"/>
      <c r="F4473" s="114"/>
      <c r="G4473" s="114"/>
      <c r="H4473" s="114"/>
      <c r="Q4473" s="44">
        <f>IF(数据录入!$B4473="",0,IF(OR(数据录入!$D4473="投标保证金",数据录入!$D4473="合同履约保证金",ISNUMBER(FIND("保证金",数据录入!$E4473))),1,0))</f>
      </c>
      <c r="R4473" s="44">
        <f>IF(AND($Q4473=1,数据录入!$B4473&gt;=$B$2,数据录入!$B4473&lt;=$D$2),N(R4472)+1,N(R4472))</f>
      </c>
    </row>
    <row r="4474" s="44" customFormat="1" spans="1:23">
      <c r="A4474" s="116"/>
      <c r="E4474" s="108"/>
      <c r="F4474" s="114"/>
      <c r="G4474" s="114"/>
      <c r="H4474" s="114"/>
      <c r="Q4474" s="44">
        <f>IF(数据录入!$B4474="",0,IF(OR(数据录入!$D4474="投标保证金",数据录入!$D4474="合同履约保证金",ISNUMBER(FIND("保证金",数据录入!$E4474))),1,0))</f>
      </c>
      <c r="R4474" s="44">
        <f>IF(AND($Q4474=1,数据录入!$B4474&gt;=$B$2,数据录入!$B4474&lt;=$D$2),N(R4473)+1,N(R4473))</f>
      </c>
    </row>
    <row r="4475" s="44" customFormat="1" spans="1:23">
      <c r="A4475" s="116"/>
      <c r="E4475" s="108"/>
      <c r="F4475" s="114"/>
      <c r="G4475" s="114"/>
      <c r="H4475" s="114"/>
      <c r="Q4475" s="44">
        <f>IF(数据录入!$B4475="",0,IF(OR(数据录入!$D4475="投标保证金",数据录入!$D4475="合同履约保证金",ISNUMBER(FIND("保证金",数据录入!$E4475))),1,0))</f>
      </c>
      <c r="R4475" s="44">
        <f>IF(AND($Q4475=1,数据录入!$B4475&gt;=$B$2,数据录入!$B4475&lt;=$D$2),N(R4474)+1,N(R4474))</f>
      </c>
    </row>
    <row r="4476" s="44" customFormat="1" spans="1:23">
      <c r="A4476" s="116"/>
      <c r="E4476" s="108"/>
      <c r="F4476" s="114"/>
      <c r="G4476" s="114"/>
      <c r="H4476" s="114"/>
      <c r="Q4476" s="44">
        <f>IF(数据录入!$B4476="",0,IF(OR(数据录入!$D4476="投标保证金",数据录入!$D4476="合同履约保证金",ISNUMBER(FIND("保证金",数据录入!$E4476))),1,0))</f>
      </c>
      <c r="R4476" s="44">
        <f>IF(AND($Q4476=1,数据录入!$B4476&gt;=$B$2,数据录入!$B4476&lt;=$D$2),N(R4475)+1,N(R4475))</f>
      </c>
    </row>
    <row r="4477" s="44" customFormat="1" spans="1:23">
      <c r="A4477" s="116"/>
      <c r="E4477" s="108"/>
      <c r="F4477" s="114"/>
      <c r="G4477" s="114"/>
      <c r="H4477" s="114"/>
      <c r="Q4477" s="44">
        <f>IF(数据录入!$B4477="",0,IF(OR(数据录入!$D4477="投标保证金",数据录入!$D4477="合同履约保证金",ISNUMBER(FIND("保证金",数据录入!$E4477))),1,0))</f>
      </c>
      <c r="R4477" s="44">
        <f>IF(AND($Q4477=1,数据录入!$B4477&gt;=$B$2,数据录入!$B4477&lt;=$D$2),N(R4476)+1,N(R4476))</f>
      </c>
    </row>
    <row r="4478" s="44" customFormat="1" spans="1:23">
      <c r="A4478" s="116"/>
      <c r="E4478" s="108"/>
      <c r="F4478" s="114"/>
      <c r="G4478" s="114"/>
      <c r="H4478" s="114"/>
      <c r="Q4478" s="44">
        <f>IF(数据录入!$B4478="",0,IF(OR(数据录入!$D4478="投标保证金",数据录入!$D4478="合同履约保证金",ISNUMBER(FIND("保证金",数据录入!$E4478))),1,0))</f>
      </c>
      <c r="R4478" s="44">
        <f>IF(AND($Q4478=1,数据录入!$B4478&gt;=$B$2,数据录入!$B4478&lt;=$D$2),N(R4477)+1,N(R4477))</f>
      </c>
    </row>
    <row r="4479" s="44" customFormat="1" spans="1:23">
      <c r="A4479" s="116"/>
      <c r="E4479" s="108"/>
      <c r="F4479" s="114"/>
      <c r="G4479" s="114"/>
      <c r="H4479" s="114"/>
      <c r="Q4479" s="44">
        <f>IF(数据录入!$B4479="",0,IF(OR(数据录入!$D4479="投标保证金",数据录入!$D4479="合同履约保证金",ISNUMBER(FIND("保证金",数据录入!$E4479))),1,0))</f>
      </c>
      <c r="R4479" s="44">
        <f>IF(AND($Q4479=1,数据录入!$B4479&gt;=$B$2,数据录入!$B4479&lt;=$D$2),N(R4478)+1,N(R4478))</f>
      </c>
    </row>
    <row r="4480" s="44" customFormat="1" spans="1:23">
      <c r="A4480" s="116"/>
      <c r="E4480" s="108"/>
      <c r="F4480" s="114"/>
      <c r="G4480" s="114"/>
      <c r="H4480" s="114"/>
      <c r="Q4480" s="44">
        <f>IF(数据录入!$B4480="",0,IF(OR(数据录入!$D4480="投标保证金",数据录入!$D4480="合同履约保证金",ISNUMBER(FIND("保证金",数据录入!$E4480))),1,0))</f>
      </c>
      <c r="R4480" s="44">
        <f>IF(AND($Q4480=1,数据录入!$B4480&gt;=$B$2,数据录入!$B4480&lt;=$D$2),N(R4479)+1,N(R4479))</f>
      </c>
    </row>
    <row r="4481" s="44" customFormat="1" spans="1:23">
      <c r="A4481" s="116"/>
      <c r="E4481" s="108"/>
      <c r="F4481" s="114"/>
      <c r="G4481" s="114"/>
      <c r="H4481" s="114"/>
      <c r="Q4481" s="44">
        <f>IF(数据录入!$B4481="",0,IF(OR(数据录入!$D4481="投标保证金",数据录入!$D4481="合同履约保证金",ISNUMBER(FIND("保证金",数据录入!$E4481))),1,0))</f>
      </c>
      <c r="R4481" s="44">
        <f>IF(AND($Q4481=1,数据录入!$B4481&gt;=$B$2,数据录入!$B4481&lt;=$D$2),N(R4480)+1,N(R4480))</f>
      </c>
    </row>
    <row r="4482" s="44" customFormat="1" spans="1:23">
      <c r="A4482" s="116"/>
      <c r="E4482" s="108"/>
      <c r="F4482" s="114"/>
      <c r="G4482" s="114"/>
      <c r="H4482" s="114"/>
      <c r="Q4482" s="44">
        <f>IF(数据录入!$B4482="",0,IF(OR(数据录入!$D4482="投标保证金",数据录入!$D4482="合同履约保证金",ISNUMBER(FIND("保证金",数据录入!$E4482))),1,0))</f>
      </c>
      <c r="R4482" s="44">
        <f>IF(AND($Q4482=1,数据录入!$B4482&gt;=$B$2,数据录入!$B4482&lt;=$D$2),N(R4481)+1,N(R4481))</f>
      </c>
    </row>
    <row r="4483" s="44" customFormat="1" spans="1:23">
      <c r="A4483" s="116"/>
      <c r="E4483" s="108"/>
      <c r="F4483" s="114"/>
      <c r="G4483" s="114"/>
      <c r="H4483" s="114"/>
      <c r="Q4483" s="44">
        <f>IF(数据录入!$B4483="",0,IF(OR(数据录入!$D4483="投标保证金",数据录入!$D4483="合同履约保证金",ISNUMBER(FIND("保证金",数据录入!$E4483))),1,0))</f>
      </c>
      <c r="R4483" s="44">
        <f>IF(AND($Q4483=1,数据录入!$B4483&gt;=$B$2,数据录入!$B4483&lt;=$D$2),N(R4482)+1,N(R4482))</f>
      </c>
    </row>
    <row r="4484" s="44" customFormat="1" spans="1:23">
      <c r="A4484" s="116"/>
      <c r="E4484" s="108"/>
      <c r="F4484" s="114"/>
      <c r="G4484" s="114"/>
      <c r="H4484" s="114"/>
      <c r="Q4484" s="44">
        <f>IF(数据录入!$B4484="",0,IF(OR(数据录入!$D4484="投标保证金",数据录入!$D4484="合同履约保证金",ISNUMBER(FIND("保证金",数据录入!$E4484))),1,0))</f>
      </c>
      <c r="R4484" s="44">
        <f>IF(AND($Q4484=1,数据录入!$B4484&gt;=$B$2,数据录入!$B4484&lt;=$D$2),N(R4483)+1,N(R4483))</f>
      </c>
    </row>
    <row r="4485" s="44" customFormat="1" spans="1:23">
      <c r="A4485" s="116"/>
      <c r="E4485" s="108"/>
      <c r="F4485" s="114"/>
      <c r="G4485" s="114"/>
      <c r="H4485" s="114"/>
      <c r="Q4485" s="44">
        <f>IF(数据录入!$B4485="",0,IF(OR(数据录入!$D4485="投标保证金",数据录入!$D4485="合同履约保证金",ISNUMBER(FIND("保证金",数据录入!$E4485))),1,0))</f>
      </c>
      <c r="R4485" s="44">
        <f>IF(AND($Q4485=1,数据录入!$B4485&gt;=$B$2,数据录入!$B4485&lt;=$D$2),N(R4484)+1,N(R4484))</f>
      </c>
    </row>
    <row r="4486" s="44" customFormat="1" spans="1:23">
      <c r="A4486" s="116"/>
      <c r="E4486" s="108"/>
      <c r="F4486" s="114"/>
      <c r="G4486" s="114"/>
      <c r="H4486" s="114"/>
      <c r="Q4486" s="44">
        <f>IF(数据录入!$B4486="",0,IF(OR(数据录入!$D4486="投标保证金",数据录入!$D4486="合同履约保证金",ISNUMBER(FIND("保证金",数据录入!$E4486))),1,0))</f>
      </c>
      <c r="R4486" s="44">
        <f>IF(AND($Q4486=1,数据录入!$B4486&gt;=$B$2,数据录入!$B4486&lt;=$D$2),N(R4485)+1,N(R4485))</f>
      </c>
    </row>
    <row r="4487" s="44" customFormat="1" spans="1:23">
      <c r="A4487" s="116"/>
      <c r="E4487" s="108"/>
      <c r="F4487" s="114"/>
      <c r="G4487" s="114"/>
      <c r="H4487" s="114"/>
      <c r="Q4487" s="44">
        <f>IF(数据录入!$B4487="",0,IF(OR(数据录入!$D4487="投标保证金",数据录入!$D4487="合同履约保证金",ISNUMBER(FIND("保证金",数据录入!$E4487))),1,0))</f>
      </c>
      <c r="R4487" s="44">
        <f>IF(AND($Q4487=1,数据录入!$B4487&gt;=$B$2,数据录入!$B4487&lt;=$D$2),N(R4486)+1,N(R4486))</f>
      </c>
    </row>
    <row r="4488" s="44" customFormat="1" spans="1:23">
      <c r="A4488" s="116"/>
      <c r="E4488" s="108"/>
      <c r="F4488" s="114"/>
      <c r="G4488" s="114"/>
      <c r="H4488" s="114"/>
      <c r="Q4488" s="44">
        <f>IF(数据录入!$B4488="",0,IF(OR(数据录入!$D4488="投标保证金",数据录入!$D4488="合同履约保证金",ISNUMBER(FIND("保证金",数据录入!$E4488))),1,0))</f>
      </c>
      <c r="R4488" s="44">
        <f>IF(AND($Q4488=1,数据录入!$B4488&gt;=$B$2,数据录入!$B4488&lt;=$D$2),N(R4487)+1,N(R4487))</f>
      </c>
    </row>
    <row r="4489" s="44" customFormat="1" spans="1:23">
      <c r="A4489" s="116"/>
      <c r="E4489" s="108"/>
      <c r="F4489" s="114"/>
      <c r="G4489" s="114"/>
      <c r="H4489" s="114"/>
      <c r="Q4489" s="44">
        <f>IF(数据录入!$B4489="",0,IF(OR(数据录入!$D4489="投标保证金",数据录入!$D4489="合同履约保证金",ISNUMBER(FIND("保证金",数据录入!$E4489))),1,0))</f>
      </c>
      <c r="R4489" s="44">
        <f>IF(AND($Q4489=1,数据录入!$B4489&gt;=$B$2,数据录入!$B4489&lt;=$D$2),N(R4488)+1,N(R4488))</f>
      </c>
    </row>
    <row r="4490" s="44" customFormat="1" spans="1:23">
      <c r="A4490" s="116"/>
      <c r="E4490" s="108"/>
      <c r="F4490" s="114"/>
      <c r="G4490" s="114"/>
      <c r="H4490" s="114"/>
      <c r="Q4490" s="44">
        <f>IF(数据录入!$B4490="",0,IF(OR(数据录入!$D4490="投标保证金",数据录入!$D4490="合同履约保证金",ISNUMBER(FIND("保证金",数据录入!$E4490))),1,0))</f>
      </c>
      <c r="R4490" s="44">
        <f>IF(AND($Q4490=1,数据录入!$B4490&gt;=$B$2,数据录入!$B4490&lt;=$D$2),N(R4489)+1,N(R4489))</f>
      </c>
    </row>
    <row r="4491" s="44" customFormat="1" spans="1:23">
      <c r="A4491" s="116"/>
      <c r="E4491" s="108"/>
      <c r="F4491" s="114"/>
      <c r="G4491" s="114"/>
      <c r="H4491" s="114"/>
      <c r="Q4491" s="44">
        <f>IF(数据录入!$B4491="",0,IF(OR(数据录入!$D4491="投标保证金",数据录入!$D4491="合同履约保证金",ISNUMBER(FIND("保证金",数据录入!$E4491))),1,0))</f>
      </c>
      <c r="R4491" s="44">
        <f>IF(AND($Q4491=1,数据录入!$B4491&gt;=$B$2,数据录入!$B4491&lt;=$D$2),N(R4490)+1,N(R4490))</f>
      </c>
    </row>
    <row r="4492" s="44" customFormat="1" spans="1:23">
      <c r="A4492" s="116"/>
      <c r="E4492" s="108"/>
      <c r="F4492" s="114"/>
      <c r="G4492" s="114"/>
      <c r="H4492" s="114"/>
      <c r="Q4492" s="44">
        <f>IF(数据录入!$B4492="",0,IF(OR(数据录入!$D4492="投标保证金",数据录入!$D4492="合同履约保证金",ISNUMBER(FIND("保证金",数据录入!$E4492))),1,0))</f>
      </c>
      <c r="R4492" s="44">
        <f>IF(AND($Q4492=1,数据录入!$B4492&gt;=$B$2,数据录入!$B4492&lt;=$D$2),N(R4491)+1,N(R4491))</f>
      </c>
    </row>
    <row r="4493" s="44" customFormat="1" spans="1:23">
      <c r="A4493" s="116"/>
      <c r="E4493" s="108"/>
      <c r="F4493" s="114"/>
      <c r="G4493" s="114"/>
      <c r="H4493" s="114"/>
      <c r="Q4493" s="44">
        <f>IF(数据录入!$B4493="",0,IF(OR(数据录入!$D4493="投标保证金",数据录入!$D4493="合同履约保证金",ISNUMBER(FIND("保证金",数据录入!$E4493))),1,0))</f>
      </c>
      <c r="R4493" s="44">
        <f>IF(AND($Q4493=1,数据录入!$B4493&gt;=$B$2,数据录入!$B4493&lt;=$D$2),N(R4492)+1,N(R4492))</f>
      </c>
    </row>
    <row r="4494" s="44" customFormat="1" spans="1:23">
      <c r="A4494" s="116"/>
      <c r="E4494" s="108"/>
      <c r="F4494" s="114"/>
      <c r="G4494" s="114"/>
      <c r="H4494" s="114"/>
      <c r="Q4494" s="44">
        <f>IF(数据录入!$B4494="",0,IF(OR(数据录入!$D4494="投标保证金",数据录入!$D4494="合同履约保证金",ISNUMBER(FIND("保证金",数据录入!$E4494))),1,0))</f>
      </c>
      <c r="R4494" s="44">
        <f>IF(AND($Q4494=1,数据录入!$B4494&gt;=$B$2,数据录入!$B4494&lt;=$D$2),N(R4493)+1,N(R4493))</f>
      </c>
    </row>
    <row r="4495" s="44" customFormat="1" spans="1:23">
      <c r="A4495" s="116"/>
      <c r="E4495" s="108"/>
      <c r="F4495" s="114"/>
      <c r="G4495" s="114"/>
      <c r="H4495" s="114"/>
      <c r="Q4495" s="44">
        <f>IF(数据录入!$B4495="",0,IF(OR(数据录入!$D4495="投标保证金",数据录入!$D4495="合同履约保证金",ISNUMBER(FIND("保证金",数据录入!$E4495))),1,0))</f>
      </c>
      <c r="R4495" s="44">
        <f>IF(AND($Q4495=1,数据录入!$B4495&gt;=$B$2,数据录入!$B4495&lt;=$D$2),N(R4494)+1,N(R4494))</f>
      </c>
    </row>
    <row r="4496" s="44" customFormat="1" spans="1:23">
      <c r="A4496" s="116"/>
      <c r="E4496" s="108"/>
      <c r="F4496" s="114"/>
      <c r="G4496" s="114"/>
      <c r="H4496" s="114"/>
      <c r="Q4496" s="44">
        <f>IF(数据录入!$B4496="",0,IF(OR(数据录入!$D4496="投标保证金",数据录入!$D4496="合同履约保证金",ISNUMBER(FIND("保证金",数据录入!$E4496))),1,0))</f>
      </c>
      <c r="R4496" s="44">
        <f>IF(AND($Q4496=1,数据录入!$B4496&gt;=$B$2,数据录入!$B4496&lt;=$D$2),N(R4495)+1,N(R4495))</f>
      </c>
    </row>
    <row r="4497" s="44" customFormat="1" spans="1:23">
      <c r="A4497" s="116"/>
      <c r="E4497" s="108"/>
      <c r="F4497" s="114"/>
      <c r="G4497" s="114"/>
      <c r="H4497" s="114"/>
      <c r="Q4497" s="44">
        <f>IF(数据录入!$B4497="",0,IF(OR(数据录入!$D4497="投标保证金",数据录入!$D4497="合同履约保证金",ISNUMBER(FIND("保证金",数据录入!$E4497))),1,0))</f>
      </c>
      <c r="R4497" s="44">
        <f>IF(AND($Q4497=1,数据录入!$B4497&gt;=$B$2,数据录入!$B4497&lt;=$D$2),N(R4496)+1,N(R4496))</f>
      </c>
    </row>
    <row r="4498" s="44" customFormat="1" spans="1:23">
      <c r="A4498" s="116"/>
      <c r="E4498" s="108"/>
      <c r="F4498" s="114"/>
      <c r="G4498" s="114"/>
      <c r="H4498" s="114"/>
      <c r="Q4498" s="44">
        <f>IF(数据录入!$B4498="",0,IF(OR(数据录入!$D4498="投标保证金",数据录入!$D4498="合同履约保证金",ISNUMBER(FIND("保证金",数据录入!$E4498))),1,0))</f>
      </c>
      <c r="R4498" s="44">
        <f>IF(AND($Q4498=1,数据录入!$B4498&gt;=$B$2,数据录入!$B4498&lt;=$D$2),N(R4497)+1,N(R4497))</f>
      </c>
    </row>
    <row r="4499" s="44" customFormat="1" spans="1:23">
      <c r="A4499" s="116"/>
      <c r="E4499" s="108"/>
      <c r="F4499" s="114"/>
      <c r="G4499" s="114"/>
      <c r="H4499" s="114"/>
      <c r="Q4499" s="44">
        <f>IF(数据录入!$B4499="",0,IF(OR(数据录入!$D4499="投标保证金",数据录入!$D4499="合同履约保证金",ISNUMBER(FIND("保证金",数据录入!$E4499))),1,0))</f>
      </c>
      <c r="R4499" s="44">
        <f>IF(AND($Q4499=1,数据录入!$B4499&gt;=$B$2,数据录入!$B4499&lt;=$D$2),N(R4498)+1,N(R4498))</f>
      </c>
    </row>
    <row r="4500" s="44" customFormat="1" spans="1:23">
      <c r="A4500" s="116"/>
      <c r="E4500" s="108"/>
      <c r="F4500" s="114"/>
      <c r="G4500" s="114"/>
      <c r="H4500" s="114"/>
      <c r="Q4500" s="44">
        <f>IF(数据录入!$B4500="",0,IF(OR(数据录入!$D4500="投标保证金",数据录入!$D4500="合同履约保证金",ISNUMBER(FIND("保证金",数据录入!$E4500))),1,0))</f>
      </c>
      <c r="R4500" s="44">
        <f>IF(AND($Q4500=1,数据录入!$B4500&gt;=$B$2,数据录入!$B4500&lt;=$D$2),N(R4499)+1,N(R4499))</f>
      </c>
    </row>
    <row r="4501" s="44" customFormat="1" spans="1:23">
      <c r="A4501" s="116"/>
      <c r="E4501" s="108"/>
      <c r="F4501" s="114"/>
      <c r="G4501" s="114"/>
      <c r="H4501" s="114"/>
      <c r="Q4501" s="44">
        <f>IF(数据录入!$B4501="",0,IF(OR(数据录入!$D4501="投标保证金",数据录入!$D4501="合同履约保证金",ISNUMBER(FIND("保证金",数据录入!$E4501))),1,0))</f>
      </c>
      <c r="R4501" s="44">
        <f>IF(AND($Q4501=1,数据录入!$B4501&gt;=$B$2,数据录入!$B4501&lt;=$D$2),N(R4500)+1,N(R4500))</f>
      </c>
    </row>
    <row r="4502" s="44" customFormat="1" spans="1:23">
      <c r="A4502" s="116"/>
      <c r="E4502" s="108"/>
      <c r="F4502" s="114"/>
      <c r="G4502" s="114"/>
      <c r="H4502" s="114"/>
      <c r="Q4502" s="44">
        <f>IF(数据录入!$B4502="",0,IF(OR(数据录入!$D4502="投标保证金",数据录入!$D4502="合同履约保证金",ISNUMBER(FIND("保证金",数据录入!$E4502))),1,0))</f>
      </c>
      <c r="R4502" s="44">
        <f>IF(AND($Q4502=1,数据录入!$B4502&gt;=$B$2,数据录入!$B4502&lt;=$D$2),N(R4501)+1,N(R4501))</f>
      </c>
    </row>
    <row r="4503" s="44" customFormat="1" spans="1:23">
      <c r="A4503" s="116"/>
      <c r="E4503" s="108"/>
      <c r="F4503" s="114"/>
      <c r="G4503" s="114"/>
      <c r="H4503" s="114"/>
      <c r="Q4503" s="44">
        <f>IF(数据录入!$B4503="",0,IF(OR(数据录入!$D4503="投标保证金",数据录入!$D4503="合同履约保证金",ISNUMBER(FIND("保证金",数据录入!$E4503))),1,0))</f>
      </c>
      <c r="R4503" s="44">
        <f>IF(AND($Q4503=1,数据录入!$B4503&gt;=$B$2,数据录入!$B4503&lt;=$D$2),N(R4502)+1,N(R4502))</f>
      </c>
    </row>
    <row r="4504" s="44" customFormat="1" spans="1:23">
      <c r="A4504" s="116"/>
      <c r="E4504" s="108"/>
      <c r="F4504" s="114"/>
      <c r="G4504" s="114"/>
      <c r="H4504" s="114"/>
      <c r="Q4504" s="44">
        <f>IF(数据录入!$B4504="",0,IF(OR(数据录入!$D4504="投标保证金",数据录入!$D4504="合同履约保证金",ISNUMBER(FIND("保证金",数据录入!$E4504))),1,0))</f>
      </c>
      <c r="R4504" s="44">
        <f>IF(AND($Q4504=1,数据录入!$B4504&gt;=$B$2,数据录入!$B4504&lt;=$D$2),N(R4503)+1,N(R4503))</f>
      </c>
    </row>
    <row r="4505" s="44" customFormat="1" spans="1:23">
      <c r="A4505" s="116"/>
      <c r="E4505" s="108"/>
      <c r="F4505" s="114"/>
      <c r="G4505" s="114"/>
      <c r="H4505" s="114"/>
      <c r="Q4505" s="44">
        <f>IF(数据录入!$B4505="",0,IF(OR(数据录入!$D4505="投标保证金",数据录入!$D4505="合同履约保证金",ISNUMBER(FIND("保证金",数据录入!$E4505))),1,0))</f>
      </c>
      <c r="R4505" s="44">
        <f>IF(AND($Q4505=1,数据录入!$B4505&gt;=$B$2,数据录入!$B4505&lt;=$D$2),N(R4504)+1,N(R4504))</f>
      </c>
    </row>
    <row r="4506" s="44" customFormat="1" spans="1:23">
      <c r="A4506" s="116"/>
      <c r="E4506" s="108"/>
      <c r="F4506" s="114"/>
      <c r="G4506" s="114"/>
      <c r="H4506" s="114"/>
      <c r="Q4506" s="44">
        <f>IF(数据录入!$B4506="",0,IF(OR(数据录入!$D4506="投标保证金",数据录入!$D4506="合同履约保证金",ISNUMBER(FIND("保证金",数据录入!$E4506))),1,0))</f>
      </c>
      <c r="R4506" s="44">
        <f>IF(AND($Q4506=1,数据录入!$B4506&gt;=$B$2,数据录入!$B4506&lt;=$D$2),N(R4505)+1,N(R4505))</f>
      </c>
    </row>
    <row r="4507" s="44" customFormat="1" spans="1:23">
      <c r="A4507" s="116"/>
      <c r="E4507" s="108"/>
      <c r="F4507" s="114"/>
      <c r="G4507" s="114"/>
      <c r="H4507" s="114"/>
      <c r="Q4507" s="44">
        <f>IF(数据录入!$B4507="",0,IF(OR(数据录入!$D4507="投标保证金",数据录入!$D4507="合同履约保证金",ISNUMBER(FIND("保证金",数据录入!$E4507))),1,0))</f>
      </c>
      <c r="R4507" s="44">
        <f>IF(AND($Q4507=1,数据录入!$B4507&gt;=$B$2,数据录入!$B4507&lt;=$D$2),N(R4506)+1,N(R4506))</f>
      </c>
    </row>
    <row r="4508" s="44" customFormat="1" spans="1:23">
      <c r="A4508" s="116"/>
      <c r="E4508" s="108"/>
      <c r="F4508" s="114"/>
      <c r="G4508" s="114"/>
      <c r="H4508" s="114"/>
      <c r="Q4508" s="44">
        <f>IF(数据录入!$B4508="",0,IF(OR(数据录入!$D4508="投标保证金",数据录入!$D4508="合同履约保证金",ISNUMBER(FIND("保证金",数据录入!$E4508))),1,0))</f>
      </c>
      <c r="R4508" s="44">
        <f>IF(AND($Q4508=1,数据录入!$B4508&gt;=$B$2,数据录入!$B4508&lt;=$D$2),N(R4507)+1,N(R4507))</f>
      </c>
    </row>
    <row r="4509" s="44" customFormat="1" spans="1:23">
      <c r="A4509" s="116"/>
      <c r="E4509" s="108"/>
      <c r="F4509" s="114"/>
      <c r="G4509" s="114"/>
      <c r="H4509" s="114"/>
      <c r="Q4509" s="44">
        <f>IF(数据录入!$B4509="",0,IF(OR(数据录入!$D4509="投标保证金",数据录入!$D4509="合同履约保证金",ISNUMBER(FIND("保证金",数据录入!$E4509))),1,0))</f>
      </c>
      <c r="R4509" s="44">
        <f>IF(AND($Q4509=1,数据录入!$B4509&gt;=$B$2,数据录入!$B4509&lt;=$D$2),N(R4508)+1,N(R4508))</f>
      </c>
    </row>
    <row r="4510" s="44" customFormat="1" spans="1:23">
      <c r="A4510" s="116"/>
      <c r="E4510" s="108"/>
      <c r="F4510" s="114"/>
      <c r="G4510" s="114"/>
      <c r="H4510" s="114"/>
      <c r="Q4510" s="44">
        <f>IF(数据录入!$B4510="",0,IF(OR(数据录入!$D4510="投标保证金",数据录入!$D4510="合同履约保证金",ISNUMBER(FIND("保证金",数据录入!$E4510))),1,0))</f>
      </c>
      <c r="R4510" s="44">
        <f>IF(AND($Q4510=1,数据录入!$B4510&gt;=$B$2,数据录入!$B4510&lt;=$D$2),N(R4509)+1,N(R4509))</f>
      </c>
    </row>
    <row r="4511" s="44" customFormat="1" spans="1:23">
      <c r="A4511" s="116"/>
      <c r="E4511" s="108"/>
      <c r="F4511" s="114"/>
      <c r="G4511" s="114"/>
      <c r="H4511" s="114"/>
      <c r="Q4511" s="44">
        <f>IF(数据录入!$B4511="",0,IF(OR(数据录入!$D4511="投标保证金",数据录入!$D4511="合同履约保证金",ISNUMBER(FIND("保证金",数据录入!$E4511))),1,0))</f>
      </c>
      <c r="R4511" s="44">
        <f>IF(AND($Q4511=1,数据录入!$B4511&gt;=$B$2,数据录入!$B4511&lt;=$D$2),N(R4510)+1,N(R4510))</f>
      </c>
    </row>
    <row r="4512" s="44" customFormat="1" spans="1:23">
      <c r="A4512" s="116"/>
      <c r="E4512" s="108"/>
      <c r="F4512" s="114"/>
      <c r="G4512" s="114"/>
      <c r="H4512" s="114"/>
      <c r="Q4512" s="44">
        <f>IF(数据录入!$B4512="",0,IF(OR(数据录入!$D4512="投标保证金",数据录入!$D4512="合同履约保证金",ISNUMBER(FIND("保证金",数据录入!$E4512))),1,0))</f>
      </c>
      <c r="R4512" s="44">
        <f>IF(AND($Q4512=1,数据录入!$B4512&gt;=$B$2,数据录入!$B4512&lt;=$D$2),N(R4511)+1,N(R4511))</f>
      </c>
    </row>
    <row r="4513" s="44" customFormat="1" spans="1:23">
      <c r="A4513" s="116"/>
      <c r="E4513" s="108"/>
      <c r="F4513" s="114"/>
      <c r="G4513" s="114"/>
      <c r="H4513" s="114"/>
      <c r="Q4513" s="44">
        <f>IF(数据录入!$B4513="",0,IF(OR(数据录入!$D4513="投标保证金",数据录入!$D4513="合同履约保证金",ISNUMBER(FIND("保证金",数据录入!$E4513))),1,0))</f>
      </c>
      <c r="R4513" s="44">
        <f>IF(AND($Q4513=1,数据录入!$B4513&gt;=$B$2,数据录入!$B4513&lt;=$D$2),N(R4512)+1,N(R4512))</f>
      </c>
    </row>
    <row r="4514" s="44" customFormat="1" spans="1:23">
      <c r="A4514" s="116"/>
      <c r="E4514" s="108"/>
      <c r="F4514" s="114"/>
      <c r="G4514" s="114"/>
      <c r="H4514" s="114"/>
      <c r="Q4514" s="44">
        <f>IF(数据录入!$B4514="",0,IF(OR(数据录入!$D4514="投标保证金",数据录入!$D4514="合同履约保证金",ISNUMBER(FIND("保证金",数据录入!$E4514))),1,0))</f>
      </c>
      <c r="R4514" s="44">
        <f>IF(AND($Q4514=1,数据录入!$B4514&gt;=$B$2,数据录入!$B4514&lt;=$D$2),N(R4513)+1,N(R4513))</f>
      </c>
    </row>
    <row r="4515" s="44" customFormat="1" spans="1:23">
      <c r="A4515" s="116"/>
      <c r="E4515" s="108"/>
      <c r="F4515" s="114"/>
      <c r="G4515" s="114"/>
      <c r="H4515" s="114"/>
      <c r="Q4515" s="44">
        <f>IF(数据录入!$B4515="",0,IF(OR(数据录入!$D4515="投标保证金",数据录入!$D4515="合同履约保证金",ISNUMBER(FIND("保证金",数据录入!$E4515))),1,0))</f>
      </c>
      <c r="R4515" s="44">
        <f>IF(AND($Q4515=1,数据录入!$B4515&gt;=$B$2,数据录入!$B4515&lt;=$D$2),N(R4514)+1,N(R4514))</f>
      </c>
    </row>
    <row r="4516" s="44" customFormat="1" spans="1:23">
      <c r="A4516" s="116"/>
      <c r="E4516" s="108"/>
      <c r="F4516" s="114"/>
      <c r="G4516" s="114"/>
      <c r="H4516" s="114"/>
      <c r="Q4516" s="44">
        <f>IF(数据录入!$B4516="",0,IF(OR(数据录入!$D4516="投标保证金",数据录入!$D4516="合同履约保证金",ISNUMBER(FIND("保证金",数据录入!$E4516))),1,0))</f>
      </c>
      <c r="R4516" s="44">
        <f>IF(AND($Q4516=1,数据录入!$B4516&gt;=$B$2,数据录入!$B4516&lt;=$D$2),N(R4515)+1,N(R4515))</f>
      </c>
    </row>
    <row r="4517" s="44" customFormat="1" spans="1:23">
      <c r="A4517" s="116"/>
      <c r="E4517" s="108"/>
      <c r="F4517" s="114"/>
      <c r="G4517" s="114"/>
      <c r="H4517" s="114"/>
      <c r="Q4517" s="44">
        <f>IF(数据录入!$B4517="",0,IF(OR(数据录入!$D4517="投标保证金",数据录入!$D4517="合同履约保证金",ISNUMBER(FIND("保证金",数据录入!$E4517))),1,0))</f>
      </c>
      <c r="R4517" s="44">
        <f>IF(AND($Q4517=1,数据录入!$B4517&gt;=$B$2,数据录入!$B4517&lt;=$D$2),N(R4516)+1,N(R4516))</f>
      </c>
    </row>
    <row r="4518" s="44" customFormat="1" spans="1:23">
      <c r="A4518" s="116"/>
      <c r="E4518" s="108"/>
      <c r="F4518" s="114"/>
      <c r="G4518" s="114"/>
      <c r="H4518" s="114"/>
      <c r="Q4518" s="44">
        <f>IF(数据录入!$B4518="",0,IF(OR(数据录入!$D4518="投标保证金",数据录入!$D4518="合同履约保证金",ISNUMBER(FIND("保证金",数据录入!$E4518))),1,0))</f>
      </c>
      <c r="R4518" s="44">
        <f>IF(AND($Q4518=1,数据录入!$B4518&gt;=$B$2,数据录入!$B4518&lt;=$D$2),N(R4517)+1,N(R4517))</f>
      </c>
    </row>
    <row r="4519" s="44" customFormat="1" spans="1:23">
      <c r="A4519" s="116"/>
      <c r="E4519" s="108"/>
      <c r="F4519" s="114"/>
      <c r="G4519" s="114"/>
      <c r="H4519" s="114"/>
      <c r="Q4519" s="44">
        <f>IF(数据录入!$B4519="",0,IF(OR(数据录入!$D4519="投标保证金",数据录入!$D4519="合同履约保证金",ISNUMBER(FIND("保证金",数据录入!$E4519))),1,0))</f>
      </c>
      <c r="R4519" s="44">
        <f>IF(AND($Q4519=1,数据录入!$B4519&gt;=$B$2,数据录入!$B4519&lt;=$D$2),N(R4518)+1,N(R4518))</f>
      </c>
    </row>
    <row r="4520" s="44" customFormat="1" spans="1:23">
      <c r="A4520" s="116"/>
      <c r="E4520" s="108"/>
      <c r="F4520" s="114"/>
      <c r="G4520" s="114"/>
      <c r="H4520" s="114"/>
      <c r="Q4520" s="44">
        <f>IF(数据录入!$B4520="",0,IF(OR(数据录入!$D4520="投标保证金",数据录入!$D4520="合同履约保证金",ISNUMBER(FIND("保证金",数据录入!$E4520))),1,0))</f>
      </c>
      <c r="R4520" s="44">
        <f>IF(AND($Q4520=1,数据录入!$B4520&gt;=$B$2,数据录入!$B4520&lt;=$D$2),N(R4519)+1,N(R4519))</f>
      </c>
    </row>
    <row r="4521" s="44" customFormat="1" spans="1:23">
      <c r="A4521" s="116"/>
      <c r="E4521" s="108"/>
      <c r="F4521" s="114"/>
      <c r="G4521" s="114"/>
      <c r="H4521" s="114"/>
      <c r="Q4521" s="44">
        <f>IF(数据录入!$B4521="",0,IF(OR(数据录入!$D4521="投标保证金",数据录入!$D4521="合同履约保证金",ISNUMBER(FIND("保证金",数据录入!$E4521))),1,0))</f>
      </c>
      <c r="R4521" s="44">
        <f>IF(AND($Q4521=1,数据录入!$B4521&gt;=$B$2,数据录入!$B4521&lt;=$D$2),N(R4520)+1,N(R4520))</f>
      </c>
    </row>
    <row r="4522" s="44" customFormat="1" spans="1:23">
      <c r="A4522" s="116"/>
      <c r="E4522" s="108"/>
      <c r="F4522" s="114"/>
      <c r="G4522" s="114"/>
      <c r="H4522" s="114"/>
      <c r="Q4522" s="44">
        <f>IF(数据录入!$B4522="",0,IF(OR(数据录入!$D4522="投标保证金",数据录入!$D4522="合同履约保证金",ISNUMBER(FIND("保证金",数据录入!$E4522))),1,0))</f>
      </c>
      <c r="R4522" s="44">
        <f>IF(AND($Q4522=1,数据录入!$B4522&gt;=$B$2,数据录入!$B4522&lt;=$D$2),N(R4521)+1,N(R4521))</f>
      </c>
    </row>
    <row r="4523" s="44" customFormat="1" spans="1:23">
      <c r="A4523" s="116"/>
      <c r="E4523" s="108"/>
      <c r="F4523" s="114"/>
      <c r="G4523" s="114"/>
      <c r="H4523" s="114"/>
      <c r="Q4523" s="44">
        <f>IF(数据录入!$B4523="",0,IF(OR(数据录入!$D4523="投标保证金",数据录入!$D4523="合同履约保证金",ISNUMBER(FIND("保证金",数据录入!$E4523))),1,0))</f>
      </c>
      <c r="R4523" s="44">
        <f>IF(AND($Q4523=1,数据录入!$B4523&gt;=$B$2,数据录入!$B4523&lt;=$D$2),N(R4522)+1,N(R4522))</f>
      </c>
    </row>
    <row r="4524" s="44" customFormat="1" spans="1:23">
      <c r="A4524" s="116"/>
      <c r="E4524" s="108"/>
      <c r="F4524" s="114"/>
      <c r="G4524" s="114"/>
      <c r="H4524" s="114"/>
      <c r="Q4524" s="44">
        <f>IF(数据录入!$B4524="",0,IF(OR(数据录入!$D4524="投标保证金",数据录入!$D4524="合同履约保证金",ISNUMBER(FIND("保证金",数据录入!$E4524))),1,0))</f>
      </c>
      <c r="R4524" s="44">
        <f>IF(AND($Q4524=1,数据录入!$B4524&gt;=$B$2,数据录入!$B4524&lt;=$D$2),N(R4523)+1,N(R4523))</f>
      </c>
    </row>
    <row r="4525" s="44" customFormat="1" spans="1:23">
      <c r="A4525" s="116"/>
      <c r="E4525" s="108"/>
      <c r="F4525" s="114"/>
      <c r="G4525" s="114"/>
      <c r="H4525" s="114"/>
      <c r="Q4525" s="44">
        <f>IF(数据录入!$B4525="",0,IF(OR(数据录入!$D4525="投标保证金",数据录入!$D4525="合同履约保证金",ISNUMBER(FIND("保证金",数据录入!$E4525))),1,0))</f>
      </c>
      <c r="R4525" s="44">
        <f>IF(AND($Q4525=1,数据录入!$B4525&gt;=$B$2,数据录入!$B4525&lt;=$D$2),N(R4524)+1,N(R4524))</f>
      </c>
    </row>
    <row r="4526" s="44" customFormat="1" spans="1:23">
      <c r="A4526" s="116"/>
      <c r="E4526" s="108"/>
      <c r="F4526" s="114"/>
      <c r="G4526" s="114"/>
      <c r="H4526" s="114"/>
      <c r="Q4526" s="44">
        <f>IF(数据录入!$B4526="",0,IF(OR(数据录入!$D4526="投标保证金",数据录入!$D4526="合同履约保证金",ISNUMBER(FIND("保证金",数据录入!$E4526))),1,0))</f>
      </c>
      <c r="R4526" s="44">
        <f>IF(AND($Q4526=1,数据录入!$B4526&gt;=$B$2,数据录入!$B4526&lt;=$D$2),N(R4525)+1,N(R4525))</f>
      </c>
    </row>
    <row r="4527" s="44" customFormat="1" spans="1:23">
      <c r="A4527" s="116"/>
      <c r="E4527" s="108"/>
      <c r="F4527" s="114"/>
      <c r="G4527" s="114"/>
      <c r="H4527" s="114"/>
      <c r="Q4527" s="44">
        <f>IF(数据录入!$B4527="",0,IF(OR(数据录入!$D4527="投标保证金",数据录入!$D4527="合同履约保证金",ISNUMBER(FIND("保证金",数据录入!$E4527))),1,0))</f>
      </c>
      <c r="R4527" s="44">
        <f>IF(AND($Q4527=1,数据录入!$B4527&gt;=$B$2,数据录入!$B4527&lt;=$D$2),N(R4526)+1,N(R4526))</f>
      </c>
    </row>
    <row r="4528" s="44" customFormat="1" spans="1:23">
      <c r="A4528" s="116"/>
      <c r="E4528" s="108"/>
      <c r="F4528" s="114"/>
      <c r="G4528" s="114"/>
      <c r="H4528" s="114"/>
      <c r="Q4528" s="44">
        <f>IF(数据录入!$B4528="",0,IF(OR(数据录入!$D4528="投标保证金",数据录入!$D4528="合同履约保证金",ISNUMBER(FIND("保证金",数据录入!$E4528))),1,0))</f>
      </c>
      <c r="R4528" s="44">
        <f>IF(AND($Q4528=1,数据录入!$B4528&gt;=$B$2,数据录入!$B4528&lt;=$D$2),N(R4527)+1,N(R4527))</f>
      </c>
    </row>
    <row r="4529" s="44" customFormat="1" spans="1:23">
      <c r="A4529" s="116"/>
      <c r="E4529" s="108"/>
      <c r="F4529" s="114"/>
      <c r="G4529" s="114"/>
      <c r="H4529" s="114"/>
      <c r="Q4529" s="44">
        <f>IF(数据录入!$B4529="",0,IF(OR(数据录入!$D4529="投标保证金",数据录入!$D4529="合同履约保证金",ISNUMBER(FIND("保证金",数据录入!$E4529))),1,0))</f>
      </c>
      <c r="R4529" s="44">
        <f>IF(AND($Q4529=1,数据录入!$B4529&gt;=$B$2,数据录入!$B4529&lt;=$D$2),N(R4528)+1,N(R4528))</f>
      </c>
    </row>
    <row r="4530" s="44" customFormat="1" spans="1:23">
      <c r="A4530" s="116"/>
      <c r="E4530" s="108"/>
      <c r="F4530" s="114"/>
      <c r="G4530" s="114"/>
      <c r="H4530" s="114"/>
      <c r="Q4530" s="44">
        <f>IF(数据录入!$B4530="",0,IF(OR(数据录入!$D4530="投标保证金",数据录入!$D4530="合同履约保证金",ISNUMBER(FIND("保证金",数据录入!$E4530))),1,0))</f>
      </c>
      <c r="R4530" s="44">
        <f>IF(AND($Q4530=1,数据录入!$B4530&gt;=$B$2,数据录入!$B4530&lt;=$D$2),N(R4529)+1,N(R4529))</f>
      </c>
    </row>
    <row r="4531" s="44" customFormat="1" spans="1:23">
      <c r="A4531" s="116"/>
      <c r="E4531" s="108"/>
      <c r="F4531" s="114"/>
      <c r="G4531" s="114"/>
      <c r="H4531" s="114"/>
      <c r="Q4531" s="44">
        <f>IF(数据录入!$B4531="",0,IF(OR(数据录入!$D4531="投标保证金",数据录入!$D4531="合同履约保证金",ISNUMBER(FIND("保证金",数据录入!$E4531))),1,0))</f>
      </c>
      <c r="R4531" s="44">
        <f>IF(AND($Q4531=1,数据录入!$B4531&gt;=$B$2,数据录入!$B4531&lt;=$D$2),N(R4530)+1,N(R4530))</f>
      </c>
    </row>
    <row r="4532" s="44" customFormat="1" spans="1:23">
      <c r="A4532" s="116"/>
      <c r="E4532" s="108"/>
      <c r="F4532" s="114"/>
      <c r="G4532" s="114"/>
      <c r="H4532" s="114"/>
      <c r="Q4532" s="44">
        <f>IF(数据录入!$B4532="",0,IF(OR(数据录入!$D4532="投标保证金",数据录入!$D4532="合同履约保证金",ISNUMBER(FIND("保证金",数据录入!$E4532))),1,0))</f>
      </c>
      <c r="R4532" s="44">
        <f>IF(AND($Q4532=1,数据录入!$B4532&gt;=$B$2,数据录入!$B4532&lt;=$D$2),N(R4531)+1,N(R4531))</f>
      </c>
    </row>
    <row r="4533" s="44" customFormat="1" spans="1:23">
      <c r="A4533" s="116"/>
      <c r="E4533" s="108"/>
      <c r="F4533" s="114"/>
      <c r="G4533" s="114"/>
      <c r="H4533" s="114"/>
      <c r="Q4533" s="44">
        <f>IF(数据录入!$B4533="",0,IF(OR(数据录入!$D4533="投标保证金",数据录入!$D4533="合同履约保证金",ISNUMBER(FIND("保证金",数据录入!$E4533))),1,0))</f>
      </c>
      <c r="R4533" s="44">
        <f>IF(AND($Q4533=1,数据录入!$B4533&gt;=$B$2,数据录入!$B4533&lt;=$D$2),N(R4532)+1,N(R4532))</f>
      </c>
    </row>
    <row r="4534" s="44" customFormat="1" spans="1:23">
      <c r="A4534" s="116"/>
      <c r="E4534" s="108"/>
      <c r="F4534" s="114"/>
      <c r="G4534" s="114"/>
      <c r="H4534" s="114"/>
      <c r="Q4534" s="44">
        <f>IF(数据录入!$B4534="",0,IF(OR(数据录入!$D4534="投标保证金",数据录入!$D4534="合同履约保证金",ISNUMBER(FIND("保证金",数据录入!$E4534))),1,0))</f>
      </c>
      <c r="R4534" s="44">
        <f>IF(AND($Q4534=1,数据录入!$B4534&gt;=$B$2,数据录入!$B4534&lt;=$D$2),N(R4533)+1,N(R4533))</f>
      </c>
    </row>
    <row r="4535" s="44" customFormat="1" spans="1:23">
      <c r="A4535" s="116"/>
      <c r="E4535" s="108"/>
      <c r="F4535" s="114"/>
      <c r="G4535" s="114"/>
      <c r="H4535" s="114"/>
      <c r="Q4535" s="44">
        <f>IF(数据录入!$B4535="",0,IF(OR(数据录入!$D4535="投标保证金",数据录入!$D4535="合同履约保证金",ISNUMBER(FIND("保证金",数据录入!$E4535))),1,0))</f>
      </c>
      <c r="R4535" s="44">
        <f>IF(AND($Q4535=1,数据录入!$B4535&gt;=$B$2,数据录入!$B4535&lt;=$D$2),N(R4534)+1,N(R4534))</f>
      </c>
    </row>
    <row r="4536" s="44" customFormat="1" spans="1:23">
      <c r="A4536" s="116"/>
      <c r="E4536" s="108"/>
      <c r="F4536" s="114"/>
      <c r="G4536" s="114"/>
      <c r="H4536" s="114"/>
      <c r="Q4536" s="44">
        <f>IF(数据录入!$B4536="",0,IF(OR(数据录入!$D4536="投标保证金",数据录入!$D4536="合同履约保证金",ISNUMBER(FIND("保证金",数据录入!$E4536))),1,0))</f>
      </c>
      <c r="R4536" s="44">
        <f>IF(AND($Q4536=1,数据录入!$B4536&gt;=$B$2,数据录入!$B4536&lt;=$D$2),N(R4535)+1,N(R4535))</f>
      </c>
    </row>
    <row r="4537" s="44" customFormat="1" spans="1:23">
      <c r="A4537" s="116"/>
      <c r="E4537" s="108"/>
      <c r="F4537" s="114"/>
      <c r="G4537" s="114"/>
      <c r="H4537" s="114"/>
      <c r="Q4537" s="44">
        <f>IF(数据录入!$B4537="",0,IF(OR(数据录入!$D4537="投标保证金",数据录入!$D4537="合同履约保证金",ISNUMBER(FIND("保证金",数据录入!$E4537))),1,0))</f>
      </c>
      <c r="R4537" s="44">
        <f>IF(AND($Q4537=1,数据录入!$B4537&gt;=$B$2,数据录入!$B4537&lt;=$D$2),N(R4536)+1,N(R4536))</f>
      </c>
    </row>
    <row r="4538" s="44" customFormat="1" spans="1:23">
      <c r="A4538" s="116"/>
      <c r="E4538" s="108"/>
      <c r="F4538" s="114"/>
      <c r="G4538" s="114"/>
      <c r="H4538" s="114"/>
      <c r="Q4538" s="44">
        <f>IF(数据录入!$B4538="",0,IF(OR(数据录入!$D4538="投标保证金",数据录入!$D4538="合同履约保证金",ISNUMBER(FIND("保证金",数据录入!$E4538))),1,0))</f>
      </c>
      <c r="R4538" s="44">
        <f>IF(AND($Q4538=1,数据录入!$B4538&gt;=$B$2,数据录入!$B4538&lt;=$D$2),N(R4537)+1,N(R4537))</f>
      </c>
    </row>
    <row r="4539" s="44" customFormat="1" spans="1:23">
      <c r="A4539" s="116"/>
      <c r="E4539" s="108"/>
      <c r="F4539" s="114"/>
      <c r="G4539" s="114"/>
      <c r="H4539" s="114"/>
      <c r="Q4539" s="44">
        <f>IF(数据录入!$B4539="",0,IF(OR(数据录入!$D4539="投标保证金",数据录入!$D4539="合同履约保证金",ISNUMBER(FIND("保证金",数据录入!$E4539))),1,0))</f>
      </c>
      <c r="R4539" s="44">
        <f>IF(AND($Q4539=1,数据录入!$B4539&gt;=$B$2,数据录入!$B4539&lt;=$D$2),N(R4538)+1,N(R4538))</f>
      </c>
    </row>
    <row r="4540" s="44" customFormat="1" spans="1:23">
      <c r="A4540" s="116"/>
      <c r="E4540" s="108"/>
      <c r="F4540" s="114"/>
      <c r="G4540" s="114"/>
      <c r="H4540" s="114"/>
      <c r="Q4540" s="44">
        <f>IF(数据录入!$B4540="",0,IF(OR(数据录入!$D4540="投标保证金",数据录入!$D4540="合同履约保证金",ISNUMBER(FIND("保证金",数据录入!$E4540))),1,0))</f>
      </c>
      <c r="R4540" s="44">
        <f>IF(AND($Q4540=1,数据录入!$B4540&gt;=$B$2,数据录入!$B4540&lt;=$D$2),N(R4539)+1,N(R4539))</f>
      </c>
    </row>
    <row r="4541" s="44" customFormat="1" spans="1:23">
      <c r="A4541" s="116"/>
      <c r="E4541" s="108"/>
      <c r="F4541" s="114"/>
      <c r="G4541" s="114"/>
      <c r="H4541" s="114"/>
      <c r="Q4541" s="44">
        <f>IF(数据录入!$B4541="",0,IF(OR(数据录入!$D4541="投标保证金",数据录入!$D4541="合同履约保证金",ISNUMBER(FIND("保证金",数据录入!$E4541))),1,0))</f>
      </c>
      <c r="R4541" s="44">
        <f>IF(AND($Q4541=1,数据录入!$B4541&gt;=$B$2,数据录入!$B4541&lt;=$D$2),N(R4540)+1,N(R4540))</f>
      </c>
    </row>
    <row r="4542" s="44" customFormat="1" spans="1:23">
      <c r="A4542" s="116"/>
      <c r="E4542" s="108"/>
      <c r="F4542" s="114"/>
      <c r="G4542" s="114"/>
      <c r="H4542" s="114"/>
      <c r="Q4542" s="44">
        <f>IF(数据录入!$B4542="",0,IF(OR(数据录入!$D4542="投标保证金",数据录入!$D4542="合同履约保证金",ISNUMBER(FIND("保证金",数据录入!$E4542))),1,0))</f>
      </c>
      <c r="R4542" s="44">
        <f>IF(AND($Q4542=1,数据录入!$B4542&gt;=$B$2,数据录入!$B4542&lt;=$D$2),N(R4541)+1,N(R4541))</f>
      </c>
    </row>
    <row r="4543" s="44" customFormat="1" spans="1:23">
      <c r="A4543" s="116"/>
      <c r="E4543" s="108"/>
      <c r="F4543" s="114"/>
      <c r="G4543" s="114"/>
      <c r="H4543" s="114"/>
      <c r="Q4543" s="44">
        <f>IF(数据录入!$B4543="",0,IF(OR(数据录入!$D4543="投标保证金",数据录入!$D4543="合同履约保证金",ISNUMBER(FIND("保证金",数据录入!$E4543))),1,0))</f>
      </c>
      <c r="R4543" s="44">
        <f>IF(AND($Q4543=1,数据录入!$B4543&gt;=$B$2,数据录入!$B4543&lt;=$D$2),N(R4542)+1,N(R4542))</f>
      </c>
    </row>
    <row r="4544" s="44" customFormat="1" spans="1:23">
      <c r="A4544" s="116"/>
      <c r="E4544" s="108"/>
      <c r="F4544" s="114"/>
      <c r="G4544" s="114"/>
      <c r="H4544" s="114"/>
      <c r="Q4544" s="44">
        <f>IF(数据录入!$B4544="",0,IF(OR(数据录入!$D4544="投标保证金",数据录入!$D4544="合同履约保证金",ISNUMBER(FIND("保证金",数据录入!$E4544))),1,0))</f>
      </c>
      <c r="R4544" s="44">
        <f>IF(AND($Q4544=1,数据录入!$B4544&gt;=$B$2,数据录入!$B4544&lt;=$D$2),N(R4543)+1,N(R4543))</f>
      </c>
    </row>
    <row r="4545" s="44" customFormat="1" spans="1:23">
      <c r="A4545" s="116"/>
      <c r="E4545" s="108"/>
      <c r="F4545" s="114"/>
      <c r="G4545" s="114"/>
      <c r="H4545" s="114"/>
      <c r="Q4545" s="44">
        <f>IF(数据录入!$B4545="",0,IF(OR(数据录入!$D4545="投标保证金",数据录入!$D4545="合同履约保证金",ISNUMBER(FIND("保证金",数据录入!$E4545))),1,0))</f>
      </c>
      <c r="R4545" s="44">
        <f>IF(AND($Q4545=1,数据录入!$B4545&gt;=$B$2,数据录入!$B4545&lt;=$D$2),N(R4544)+1,N(R4544))</f>
      </c>
    </row>
    <row r="4546" s="44" customFormat="1" spans="1:23">
      <c r="A4546" s="116"/>
      <c r="E4546" s="108"/>
      <c r="F4546" s="114"/>
      <c r="G4546" s="114"/>
      <c r="H4546" s="114"/>
      <c r="Q4546" s="44">
        <f>IF(数据录入!$B4546="",0,IF(OR(数据录入!$D4546="投标保证金",数据录入!$D4546="合同履约保证金",ISNUMBER(FIND("保证金",数据录入!$E4546))),1,0))</f>
      </c>
      <c r="R4546" s="44">
        <f>IF(AND($Q4546=1,数据录入!$B4546&gt;=$B$2,数据录入!$B4546&lt;=$D$2),N(R4545)+1,N(R4545))</f>
      </c>
    </row>
    <row r="4547" s="44" customFormat="1" spans="1:23">
      <c r="A4547" s="116"/>
      <c r="E4547" s="108"/>
      <c r="F4547" s="114"/>
      <c r="G4547" s="114"/>
      <c r="H4547" s="114"/>
      <c r="Q4547" s="44">
        <f>IF(数据录入!$B4547="",0,IF(OR(数据录入!$D4547="投标保证金",数据录入!$D4547="合同履约保证金",ISNUMBER(FIND("保证金",数据录入!$E4547))),1,0))</f>
      </c>
      <c r="R4547" s="44">
        <f>IF(AND($Q4547=1,数据录入!$B4547&gt;=$B$2,数据录入!$B4547&lt;=$D$2),N(R4546)+1,N(R4546))</f>
      </c>
    </row>
    <row r="4548" s="44" customFormat="1" spans="1:23">
      <c r="A4548" s="116"/>
      <c r="E4548" s="108"/>
      <c r="F4548" s="114"/>
      <c r="G4548" s="114"/>
      <c r="H4548" s="114"/>
      <c r="Q4548" s="44">
        <f>IF(数据录入!$B4548="",0,IF(OR(数据录入!$D4548="投标保证金",数据录入!$D4548="合同履约保证金",ISNUMBER(FIND("保证金",数据录入!$E4548))),1,0))</f>
      </c>
      <c r="R4548" s="44">
        <f>IF(AND($Q4548=1,数据录入!$B4548&gt;=$B$2,数据录入!$B4548&lt;=$D$2),N(R4547)+1,N(R4547))</f>
      </c>
    </row>
    <row r="4549" s="44" customFormat="1" spans="1:23">
      <c r="A4549" s="116"/>
      <c r="E4549" s="108"/>
      <c r="F4549" s="114"/>
      <c r="G4549" s="114"/>
      <c r="H4549" s="114"/>
      <c r="Q4549" s="44">
        <f>IF(数据录入!$B4549="",0,IF(OR(数据录入!$D4549="投标保证金",数据录入!$D4549="合同履约保证金",ISNUMBER(FIND("保证金",数据录入!$E4549))),1,0))</f>
      </c>
      <c r="R4549" s="44">
        <f>IF(AND($Q4549=1,数据录入!$B4549&gt;=$B$2,数据录入!$B4549&lt;=$D$2),N(R4548)+1,N(R4548))</f>
      </c>
    </row>
    <row r="4550" s="44" customFormat="1" spans="1:23">
      <c r="A4550" s="116"/>
      <c r="E4550" s="108"/>
      <c r="F4550" s="114"/>
      <c r="G4550" s="114"/>
      <c r="H4550" s="114"/>
      <c r="Q4550" s="44">
        <f>IF(数据录入!$B4550="",0,IF(OR(数据录入!$D4550="投标保证金",数据录入!$D4550="合同履约保证金",ISNUMBER(FIND("保证金",数据录入!$E4550))),1,0))</f>
      </c>
      <c r="R4550" s="44">
        <f>IF(AND($Q4550=1,数据录入!$B4550&gt;=$B$2,数据录入!$B4550&lt;=$D$2),N(R4549)+1,N(R4549))</f>
      </c>
    </row>
    <row r="4551" s="44" customFormat="1" spans="1:23">
      <c r="A4551" s="116"/>
      <c r="E4551" s="108"/>
      <c r="F4551" s="114"/>
      <c r="G4551" s="114"/>
      <c r="H4551" s="114"/>
      <c r="Q4551" s="44">
        <f>IF(数据录入!$B4551="",0,IF(OR(数据录入!$D4551="投标保证金",数据录入!$D4551="合同履约保证金",ISNUMBER(FIND("保证金",数据录入!$E4551))),1,0))</f>
      </c>
      <c r="R4551" s="44">
        <f>IF(AND($Q4551=1,数据录入!$B4551&gt;=$B$2,数据录入!$B4551&lt;=$D$2),N(R4550)+1,N(R4550))</f>
      </c>
    </row>
    <row r="4552" s="44" customFormat="1" spans="1:23">
      <c r="A4552" s="116"/>
      <c r="E4552" s="108"/>
      <c r="F4552" s="114"/>
      <c r="G4552" s="114"/>
      <c r="H4552" s="114"/>
      <c r="Q4552" s="44">
        <f>IF(数据录入!$B4552="",0,IF(OR(数据录入!$D4552="投标保证金",数据录入!$D4552="合同履约保证金",ISNUMBER(FIND("保证金",数据录入!$E4552))),1,0))</f>
      </c>
      <c r="R4552" s="44">
        <f>IF(AND($Q4552=1,数据录入!$B4552&gt;=$B$2,数据录入!$B4552&lt;=$D$2),N(R4551)+1,N(R4551))</f>
      </c>
    </row>
    <row r="4553" s="44" customFormat="1" spans="1:23">
      <c r="A4553" s="116"/>
      <c r="E4553" s="108"/>
      <c r="F4553" s="114"/>
      <c r="G4553" s="114"/>
      <c r="H4553" s="114"/>
      <c r="Q4553" s="44">
        <f>IF(数据录入!$B4553="",0,IF(OR(数据录入!$D4553="投标保证金",数据录入!$D4553="合同履约保证金",ISNUMBER(FIND("保证金",数据录入!$E4553))),1,0))</f>
      </c>
      <c r="R4553" s="44">
        <f>IF(AND($Q4553=1,数据录入!$B4553&gt;=$B$2,数据录入!$B4553&lt;=$D$2),N(R4552)+1,N(R4552))</f>
      </c>
    </row>
    <row r="4554" s="44" customFormat="1" spans="1:23">
      <c r="A4554" s="116"/>
      <c r="E4554" s="108"/>
      <c r="F4554" s="114"/>
      <c r="G4554" s="114"/>
      <c r="H4554" s="114"/>
      <c r="Q4554" s="44">
        <f>IF(数据录入!$B4554="",0,IF(OR(数据录入!$D4554="投标保证金",数据录入!$D4554="合同履约保证金",ISNUMBER(FIND("保证金",数据录入!$E4554))),1,0))</f>
      </c>
      <c r="R4554" s="44">
        <f>IF(AND($Q4554=1,数据录入!$B4554&gt;=$B$2,数据录入!$B4554&lt;=$D$2),N(R4553)+1,N(R4553))</f>
      </c>
    </row>
    <row r="4555" s="44" customFormat="1" spans="1:23">
      <c r="A4555" s="116"/>
      <c r="E4555" s="108"/>
      <c r="F4555" s="114"/>
      <c r="G4555" s="114"/>
      <c r="H4555" s="114"/>
      <c r="Q4555" s="44">
        <f>IF(数据录入!$B4555="",0,IF(OR(数据录入!$D4555="投标保证金",数据录入!$D4555="合同履约保证金",ISNUMBER(FIND("保证金",数据录入!$E4555))),1,0))</f>
      </c>
      <c r="R4555" s="44">
        <f>IF(AND($Q4555=1,数据录入!$B4555&gt;=$B$2,数据录入!$B4555&lt;=$D$2),N(R4554)+1,N(R4554))</f>
      </c>
    </row>
    <row r="4556" s="44" customFormat="1" spans="1:23">
      <c r="A4556" s="116"/>
      <c r="E4556" s="108"/>
      <c r="F4556" s="114"/>
      <c r="G4556" s="114"/>
      <c r="H4556" s="114"/>
      <c r="Q4556" s="44">
        <f>IF(数据录入!$B4556="",0,IF(OR(数据录入!$D4556="投标保证金",数据录入!$D4556="合同履约保证金",ISNUMBER(FIND("保证金",数据录入!$E4556))),1,0))</f>
      </c>
      <c r="R4556" s="44">
        <f>IF(AND($Q4556=1,数据录入!$B4556&gt;=$B$2,数据录入!$B4556&lt;=$D$2),N(R4555)+1,N(R4555))</f>
      </c>
    </row>
    <row r="4557" s="44" customFormat="1" spans="1:23">
      <c r="A4557" s="116"/>
      <c r="E4557" s="108"/>
      <c r="F4557" s="114"/>
      <c r="G4557" s="114"/>
      <c r="H4557" s="114"/>
      <c r="Q4557" s="44">
        <f>IF(数据录入!$B4557="",0,IF(OR(数据录入!$D4557="投标保证金",数据录入!$D4557="合同履约保证金",ISNUMBER(FIND("保证金",数据录入!$E4557))),1,0))</f>
      </c>
      <c r="R4557" s="44">
        <f>IF(AND($Q4557=1,数据录入!$B4557&gt;=$B$2,数据录入!$B4557&lt;=$D$2),N(R4556)+1,N(R4556))</f>
      </c>
    </row>
    <row r="4558" s="44" customFormat="1" spans="1:23">
      <c r="A4558" s="116"/>
      <c r="E4558" s="108"/>
      <c r="F4558" s="114"/>
      <c r="G4558" s="114"/>
      <c r="H4558" s="114"/>
      <c r="Q4558" s="44">
        <f>IF(数据录入!$B4558="",0,IF(OR(数据录入!$D4558="投标保证金",数据录入!$D4558="合同履约保证金",ISNUMBER(FIND("保证金",数据录入!$E4558))),1,0))</f>
      </c>
      <c r="R4558" s="44">
        <f>IF(AND($Q4558=1,数据录入!$B4558&gt;=$B$2,数据录入!$B4558&lt;=$D$2),N(R4557)+1,N(R4557))</f>
      </c>
    </row>
    <row r="4559" s="44" customFormat="1" spans="1:23">
      <c r="A4559" s="116"/>
      <c r="E4559" s="108"/>
      <c r="F4559" s="114"/>
      <c r="G4559" s="114"/>
      <c r="H4559" s="114"/>
      <c r="Q4559" s="44">
        <f>IF(数据录入!$B4559="",0,IF(OR(数据录入!$D4559="投标保证金",数据录入!$D4559="合同履约保证金",ISNUMBER(FIND("保证金",数据录入!$E4559))),1,0))</f>
      </c>
      <c r="R4559" s="44">
        <f>IF(AND($Q4559=1,数据录入!$B4559&gt;=$B$2,数据录入!$B4559&lt;=$D$2),N(R4558)+1,N(R4558))</f>
      </c>
    </row>
    <row r="4560" s="44" customFormat="1" spans="1:23">
      <c r="A4560" s="116"/>
      <c r="E4560" s="108"/>
      <c r="F4560" s="114"/>
      <c r="G4560" s="114"/>
      <c r="H4560" s="114"/>
      <c r="Q4560" s="44">
        <f>IF(数据录入!$B4560="",0,IF(OR(数据录入!$D4560="投标保证金",数据录入!$D4560="合同履约保证金",ISNUMBER(FIND("保证金",数据录入!$E4560))),1,0))</f>
      </c>
      <c r="R4560" s="44">
        <f>IF(AND($Q4560=1,数据录入!$B4560&gt;=$B$2,数据录入!$B4560&lt;=$D$2),N(R4559)+1,N(R4559))</f>
      </c>
    </row>
    <row r="4561" s="44" customFormat="1" spans="1:23">
      <c r="A4561" s="116"/>
      <c r="E4561" s="108"/>
      <c r="F4561" s="114"/>
      <c r="G4561" s="114"/>
      <c r="H4561" s="114"/>
      <c r="Q4561" s="44">
        <f>IF(数据录入!$B4561="",0,IF(OR(数据录入!$D4561="投标保证金",数据录入!$D4561="合同履约保证金",ISNUMBER(FIND("保证金",数据录入!$E4561))),1,0))</f>
      </c>
      <c r="R4561" s="44">
        <f>IF(AND($Q4561=1,数据录入!$B4561&gt;=$B$2,数据录入!$B4561&lt;=$D$2),N(R4560)+1,N(R4560))</f>
      </c>
    </row>
    <row r="4562" s="44" customFormat="1" spans="1:23">
      <c r="A4562" s="116"/>
      <c r="E4562" s="108"/>
      <c r="F4562" s="114"/>
      <c r="G4562" s="114"/>
      <c r="H4562" s="114"/>
      <c r="Q4562" s="44">
        <f>IF(数据录入!$B4562="",0,IF(OR(数据录入!$D4562="投标保证金",数据录入!$D4562="合同履约保证金",ISNUMBER(FIND("保证金",数据录入!$E4562))),1,0))</f>
      </c>
      <c r="R4562" s="44">
        <f>IF(AND($Q4562=1,数据录入!$B4562&gt;=$B$2,数据录入!$B4562&lt;=$D$2),N(R4561)+1,N(R4561))</f>
      </c>
    </row>
    <row r="4563" s="44" customFormat="1" spans="1:23">
      <c r="A4563" s="116"/>
      <c r="E4563" s="108"/>
      <c r="F4563" s="114"/>
      <c r="G4563" s="114"/>
      <c r="H4563" s="114"/>
      <c r="Q4563" s="44">
        <f>IF(数据录入!$B4563="",0,IF(OR(数据录入!$D4563="投标保证金",数据录入!$D4563="合同履约保证金",ISNUMBER(FIND("保证金",数据录入!$E4563))),1,0))</f>
      </c>
      <c r="R4563" s="44">
        <f>IF(AND($Q4563=1,数据录入!$B4563&gt;=$B$2,数据录入!$B4563&lt;=$D$2),N(R4562)+1,N(R4562))</f>
      </c>
    </row>
    <row r="4564" s="44" customFormat="1" spans="1:23">
      <c r="A4564" s="116"/>
      <c r="E4564" s="108"/>
      <c r="F4564" s="114"/>
      <c r="G4564" s="114"/>
      <c r="H4564" s="114"/>
      <c r="Q4564" s="44">
        <f>IF(数据录入!$B4564="",0,IF(OR(数据录入!$D4564="投标保证金",数据录入!$D4564="合同履约保证金",ISNUMBER(FIND("保证金",数据录入!$E4564))),1,0))</f>
      </c>
      <c r="R4564" s="44">
        <f>IF(AND($Q4564=1,数据录入!$B4564&gt;=$B$2,数据录入!$B4564&lt;=$D$2),N(R4563)+1,N(R4563))</f>
      </c>
    </row>
    <row r="4565" s="44" customFormat="1" spans="1:23">
      <c r="A4565" s="116"/>
      <c r="E4565" s="108"/>
      <c r="F4565" s="114"/>
      <c r="G4565" s="114"/>
      <c r="H4565" s="114"/>
      <c r="Q4565" s="44">
        <f>IF(数据录入!$B4565="",0,IF(OR(数据录入!$D4565="投标保证金",数据录入!$D4565="合同履约保证金",ISNUMBER(FIND("保证金",数据录入!$E4565))),1,0))</f>
      </c>
      <c r="R4565" s="44">
        <f>IF(AND($Q4565=1,数据录入!$B4565&gt;=$B$2,数据录入!$B4565&lt;=$D$2),N(R4564)+1,N(R4564))</f>
      </c>
    </row>
    <row r="4566" s="44" customFormat="1" spans="1:23">
      <c r="A4566" s="116"/>
      <c r="E4566" s="108"/>
      <c r="F4566" s="114"/>
      <c r="G4566" s="114"/>
      <c r="H4566" s="114"/>
      <c r="Q4566" s="44">
        <f>IF(数据录入!$B4566="",0,IF(OR(数据录入!$D4566="投标保证金",数据录入!$D4566="合同履约保证金",ISNUMBER(FIND("保证金",数据录入!$E4566))),1,0))</f>
      </c>
      <c r="R4566" s="44">
        <f>IF(AND($Q4566=1,数据录入!$B4566&gt;=$B$2,数据录入!$B4566&lt;=$D$2),N(R4565)+1,N(R4565))</f>
      </c>
    </row>
    <row r="4567" s="44" customFormat="1" spans="1:23">
      <c r="A4567" s="116"/>
      <c r="E4567" s="108"/>
      <c r="F4567" s="114"/>
      <c r="G4567" s="114"/>
      <c r="H4567" s="114"/>
      <c r="Q4567" s="44">
        <f>IF(数据录入!$B4567="",0,IF(OR(数据录入!$D4567="投标保证金",数据录入!$D4567="合同履约保证金",ISNUMBER(FIND("保证金",数据录入!$E4567))),1,0))</f>
      </c>
      <c r="R4567" s="44">
        <f>IF(AND($Q4567=1,数据录入!$B4567&gt;=$B$2,数据录入!$B4567&lt;=$D$2),N(R4566)+1,N(R4566))</f>
      </c>
    </row>
    <row r="4568" s="44" customFormat="1" spans="1:23">
      <c r="A4568" s="116"/>
      <c r="E4568" s="108"/>
      <c r="F4568" s="114"/>
      <c r="G4568" s="114"/>
      <c r="H4568" s="114"/>
      <c r="Q4568" s="44">
        <f>IF(数据录入!$B4568="",0,IF(OR(数据录入!$D4568="投标保证金",数据录入!$D4568="合同履约保证金",ISNUMBER(FIND("保证金",数据录入!$E4568))),1,0))</f>
      </c>
      <c r="R4568" s="44">
        <f>IF(AND($Q4568=1,数据录入!$B4568&gt;=$B$2,数据录入!$B4568&lt;=$D$2),N(R4567)+1,N(R4567))</f>
      </c>
    </row>
    <row r="4569" s="44" customFormat="1" spans="1:23">
      <c r="A4569" s="116"/>
      <c r="E4569" s="108"/>
      <c r="F4569" s="114"/>
      <c r="G4569" s="114"/>
      <c r="H4569" s="114"/>
      <c r="Q4569" s="44">
        <f>IF(数据录入!$B4569="",0,IF(OR(数据录入!$D4569="投标保证金",数据录入!$D4569="合同履约保证金",ISNUMBER(FIND("保证金",数据录入!$E4569))),1,0))</f>
      </c>
      <c r="R4569" s="44">
        <f>IF(AND($Q4569=1,数据录入!$B4569&gt;=$B$2,数据录入!$B4569&lt;=$D$2),N(R4568)+1,N(R4568))</f>
      </c>
    </row>
    <row r="4570" s="44" customFormat="1" spans="1:23">
      <c r="A4570" s="116"/>
      <c r="E4570" s="108"/>
      <c r="F4570" s="114"/>
      <c r="G4570" s="114"/>
      <c r="H4570" s="114"/>
      <c r="Q4570" s="44">
        <f>IF(数据录入!$B4570="",0,IF(OR(数据录入!$D4570="投标保证金",数据录入!$D4570="合同履约保证金",ISNUMBER(FIND("保证金",数据录入!$E4570))),1,0))</f>
      </c>
      <c r="R4570" s="44">
        <f>IF(AND($Q4570=1,数据录入!$B4570&gt;=$B$2,数据录入!$B4570&lt;=$D$2),N(R4569)+1,N(R4569))</f>
      </c>
    </row>
    <row r="4571" s="44" customFormat="1" spans="1:23">
      <c r="A4571" s="116"/>
      <c r="E4571" s="108"/>
      <c r="F4571" s="114"/>
      <c r="G4571" s="114"/>
      <c r="H4571" s="114"/>
      <c r="Q4571" s="44">
        <f>IF(数据录入!$B4571="",0,IF(OR(数据录入!$D4571="投标保证金",数据录入!$D4571="合同履约保证金",ISNUMBER(FIND("保证金",数据录入!$E4571))),1,0))</f>
      </c>
      <c r="R4571" s="44">
        <f>IF(AND($Q4571=1,数据录入!$B4571&gt;=$B$2,数据录入!$B4571&lt;=$D$2),N(R4570)+1,N(R4570))</f>
      </c>
    </row>
    <row r="4572" s="44" customFormat="1" spans="1:23">
      <c r="A4572" s="116"/>
      <c r="E4572" s="108"/>
      <c r="F4572" s="114"/>
      <c r="G4572" s="114"/>
      <c r="H4572" s="114"/>
      <c r="Q4572" s="44">
        <f>IF(数据录入!$B4572="",0,IF(OR(数据录入!$D4572="投标保证金",数据录入!$D4572="合同履约保证金",ISNUMBER(FIND("保证金",数据录入!$E4572))),1,0))</f>
      </c>
      <c r="R4572" s="44">
        <f>IF(AND($Q4572=1,数据录入!$B4572&gt;=$B$2,数据录入!$B4572&lt;=$D$2),N(R4571)+1,N(R4571))</f>
      </c>
    </row>
    <row r="4573" s="44" customFormat="1" spans="1:23">
      <c r="A4573" s="116"/>
      <c r="E4573" s="108"/>
      <c r="F4573" s="114"/>
      <c r="G4573" s="114"/>
      <c r="H4573" s="114"/>
      <c r="Q4573" s="44">
        <f>IF(数据录入!$B4573="",0,IF(OR(数据录入!$D4573="投标保证金",数据录入!$D4573="合同履约保证金",ISNUMBER(FIND("保证金",数据录入!$E4573))),1,0))</f>
      </c>
      <c r="R4573" s="44">
        <f>IF(AND($Q4573=1,数据录入!$B4573&gt;=$B$2,数据录入!$B4573&lt;=$D$2),N(R4572)+1,N(R4572))</f>
      </c>
    </row>
    <row r="4574" s="44" customFormat="1" spans="1:23">
      <c r="A4574" s="116"/>
      <c r="E4574" s="108"/>
      <c r="F4574" s="114"/>
      <c r="G4574" s="114"/>
      <c r="H4574" s="114"/>
      <c r="Q4574" s="44">
        <f>IF(数据录入!$B4574="",0,IF(OR(数据录入!$D4574="投标保证金",数据录入!$D4574="合同履约保证金",ISNUMBER(FIND("保证金",数据录入!$E4574))),1,0))</f>
      </c>
      <c r="R4574" s="44">
        <f>IF(AND($Q4574=1,数据录入!$B4574&gt;=$B$2,数据录入!$B4574&lt;=$D$2),N(R4573)+1,N(R4573))</f>
      </c>
    </row>
    <row r="4575" s="44" customFormat="1" spans="1:23">
      <c r="A4575" s="116"/>
      <c r="E4575" s="108"/>
      <c r="F4575" s="114"/>
      <c r="G4575" s="114"/>
      <c r="H4575" s="114"/>
      <c r="Q4575" s="44">
        <f>IF(数据录入!$B4575="",0,IF(OR(数据录入!$D4575="投标保证金",数据录入!$D4575="合同履约保证金",ISNUMBER(FIND("保证金",数据录入!$E4575))),1,0))</f>
      </c>
      <c r="R4575" s="44">
        <f>IF(AND($Q4575=1,数据录入!$B4575&gt;=$B$2,数据录入!$B4575&lt;=$D$2),N(R4574)+1,N(R4574))</f>
      </c>
    </row>
    <row r="4576" s="44" customFormat="1" spans="1:23">
      <c r="A4576" s="116"/>
      <c r="E4576" s="108"/>
      <c r="F4576" s="114"/>
      <c r="G4576" s="114"/>
      <c r="H4576" s="114"/>
      <c r="Q4576" s="44">
        <f>IF(数据录入!$B4576="",0,IF(OR(数据录入!$D4576="投标保证金",数据录入!$D4576="合同履约保证金",ISNUMBER(FIND("保证金",数据录入!$E4576))),1,0))</f>
      </c>
      <c r="R4576" s="44">
        <f>IF(AND($Q4576=1,数据录入!$B4576&gt;=$B$2,数据录入!$B4576&lt;=$D$2),N(R4575)+1,N(R4575))</f>
      </c>
    </row>
    <row r="4577" s="44" customFormat="1" spans="1:23">
      <c r="A4577" s="116"/>
      <c r="E4577" s="108"/>
      <c r="F4577" s="114"/>
      <c r="G4577" s="114"/>
      <c r="H4577" s="114"/>
      <c r="Q4577" s="44">
        <f>IF(数据录入!$B4577="",0,IF(OR(数据录入!$D4577="投标保证金",数据录入!$D4577="合同履约保证金",ISNUMBER(FIND("保证金",数据录入!$E4577))),1,0))</f>
      </c>
      <c r="R4577" s="44">
        <f>IF(AND($Q4577=1,数据录入!$B4577&gt;=$B$2,数据录入!$B4577&lt;=$D$2),N(R4576)+1,N(R4576))</f>
      </c>
    </row>
    <row r="4578" s="44" customFormat="1" spans="1:23">
      <c r="A4578" s="116"/>
      <c r="E4578" s="108"/>
      <c r="F4578" s="114"/>
      <c r="G4578" s="114"/>
      <c r="H4578" s="114"/>
      <c r="Q4578" s="44">
        <f>IF(数据录入!$B4578="",0,IF(OR(数据录入!$D4578="投标保证金",数据录入!$D4578="合同履约保证金",ISNUMBER(FIND("保证金",数据录入!$E4578))),1,0))</f>
      </c>
      <c r="R4578" s="44">
        <f>IF(AND($Q4578=1,数据录入!$B4578&gt;=$B$2,数据录入!$B4578&lt;=$D$2),N(R4577)+1,N(R4577))</f>
      </c>
    </row>
    <row r="4579" s="44" customFormat="1" spans="1:23">
      <c r="A4579" s="116"/>
      <c r="E4579" s="108"/>
      <c r="F4579" s="114"/>
      <c r="G4579" s="114"/>
      <c r="H4579" s="114"/>
      <c r="Q4579" s="44">
        <f>IF(数据录入!$B4579="",0,IF(OR(数据录入!$D4579="投标保证金",数据录入!$D4579="合同履约保证金",ISNUMBER(FIND("保证金",数据录入!$E4579))),1,0))</f>
      </c>
      <c r="R4579" s="44">
        <f>IF(AND($Q4579=1,数据录入!$B4579&gt;=$B$2,数据录入!$B4579&lt;=$D$2),N(R4578)+1,N(R4578))</f>
      </c>
    </row>
    <row r="4580" s="44" customFormat="1" spans="1:23">
      <c r="A4580" s="116"/>
      <c r="E4580" s="108"/>
      <c r="F4580" s="114"/>
      <c r="G4580" s="114"/>
      <c r="H4580" s="114"/>
      <c r="Q4580" s="44">
        <f>IF(数据录入!$B4580="",0,IF(OR(数据录入!$D4580="投标保证金",数据录入!$D4580="合同履约保证金",ISNUMBER(FIND("保证金",数据录入!$E4580))),1,0))</f>
      </c>
      <c r="R4580" s="44">
        <f>IF(AND($Q4580=1,数据录入!$B4580&gt;=$B$2,数据录入!$B4580&lt;=$D$2),N(R4579)+1,N(R4579))</f>
      </c>
    </row>
    <row r="4581" s="44" customFormat="1" spans="1:23">
      <c r="A4581" s="116"/>
      <c r="E4581" s="108"/>
      <c r="F4581" s="114"/>
      <c r="G4581" s="114"/>
      <c r="H4581" s="114"/>
      <c r="Q4581" s="44">
        <f>IF(数据录入!$B4581="",0,IF(OR(数据录入!$D4581="投标保证金",数据录入!$D4581="合同履约保证金",ISNUMBER(FIND("保证金",数据录入!$E4581))),1,0))</f>
      </c>
      <c r="R4581" s="44">
        <f>IF(AND($Q4581=1,数据录入!$B4581&gt;=$B$2,数据录入!$B4581&lt;=$D$2),N(R4580)+1,N(R4580))</f>
      </c>
    </row>
    <row r="4582" s="44" customFormat="1" spans="1:23">
      <c r="A4582" s="116"/>
      <c r="E4582" s="108"/>
      <c r="F4582" s="114"/>
      <c r="G4582" s="114"/>
      <c r="H4582" s="114"/>
      <c r="Q4582" s="44">
        <f>IF(数据录入!$B4582="",0,IF(OR(数据录入!$D4582="投标保证金",数据录入!$D4582="合同履约保证金",ISNUMBER(FIND("保证金",数据录入!$E4582))),1,0))</f>
      </c>
      <c r="R4582" s="44">
        <f>IF(AND($Q4582=1,数据录入!$B4582&gt;=$B$2,数据录入!$B4582&lt;=$D$2),N(R4581)+1,N(R4581))</f>
      </c>
    </row>
    <row r="4583" s="44" customFormat="1" spans="1:23">
      <c r="A4583" s="116"/>
      <c r="E4583" s="108"/>
      <c r="F4583" s="114"/>
      <c r="G4583" s="114"/>
      <c r="H4583" s="114"/>
      <c r="Q4583" s="44">
        <f>IF(数据录入!$B4583="",0,IF(OR(数据录入!$D4583="投标保证金",数据录入!$D4583="合同履约保证金",ISNUMBER(FIND("保证金",数据录入!$E4583))),1,0))</f>
      </c>
      <c r="R4583" s="44">
        <f>IF(AND($Q4583=1,数据录入!$B4583&gt;=$B$2,数据录入!$B4583&lt;=$D$2),N(R4582)+1,N(R4582))</f>
      </c>
    </row>
    <row r="4584" s="44" customFormat="1" spans="1:23">
      <c r="A4584" s="116"/>
      <c r="E4584" s="108"/>
      <c r="F4584" s="114"/>
      <c r="G4584" s="114"/>
      <c r="H4584" s="114"/>
      <c r="Q4584" s="44">
        <f>IF(数据录入!$B4584="",0,IF(OR(数据录入!$D4584="投标保证金",数据录入!$D4584="合同履约保证金",ISNUMBER(FIND("保证金",数据录入!$E4584))),1,0))</f>
      </c>
      <c r="R4584" s="44">
        <f>IF(AND($Q4584=1,数据录入!$B4584&gt;=$B$2,数据录入!$B4584&lt;=$D$2),N(R4583)+1,N(R4583))</f>
      </c>
    </row>
    <row r="4585" s="44" customFormat="1" spans="1:23">
      <c r="A4585" s="116"/>
      <c r="E4585" s="108"/>
      <c r="F4585" s="114"/>
      <c r="G4585" s="114"/>
      <c r="H4585" s="114"/>
      <c r="Q4585" s="44">
        <f>IF(数据录入!$B4585="",0,IF(OR(数据录入!$D4585="投标保证金",数据录入!$D4585="合同履约保证金",ISNUMBER(FIND("保证金",数据录入!$E4585))),1,0))</f>
      </c>
      <c r="R4585" s="44">
        <f>IF(AND($Q4585=1,数据录入!$B4585&gt;=$B$2,数据录入!$B4585&lt;=$D$2),N(R4584)+1,N(R4584))</f>
      </c>
    </row>
    <row r="4586" s="44" customFormat="1" spans="1:23">
      <c r="A4586" s="116"/>
      <c r="E4586" s="108"/>
      <c r="F4586" s="114"/>
      <c r="G4586" s="114"/>
      <c r="H4586" s="114"/>
      <c r="Q4586" s="44">
        <f>IF(数据录入!$B4586="",0,IF(OR(数据录入!$D4586="投标保证金",数据录入!$D4586="合同履约保证金",ISNUMBER(FIND("保证金",数据录入!$E4586))),1,0))</f>
      </c>
      <c r="R4586" s="44">
        <f>IF(AND($Q4586=1,数据录入!$B4586&gt;=$B$2,数据录入!$B4586&lt;=$D$2),N(R4585)+1,N(R4585))</f>
      </c>
    </row>
    <row r="4587" s="44" customFormat="1" spans="1:23">
      <c r="A4587" s="116"/>
      <c r="E4587" s="108"/>
      <c r="F4587" s="114"/>
      <c r="G4587" s="114"/>
      <c r="H4587" s="114"/>
      <c r="Q4587" s="44">
        <f>IF(数据录入!$B4587="",0,IF(OR(数据录入!$D4587="投标保证金",数据录入!$D4587="合同履约保证金",ISNUMBER(FIND("保证金",数据录入!$E4587))),1,0))</f>
      </c>
      <c r="R4587" s="44">
        <f>IF(AND($Q4587=1,数据录入!$B4587&gt;=$B$2,数据录入!$B4587&lt;=$D$2),N(R4586)+1,N(R4586))</f>
      </c>
    </row>
    <row r="4588" s="44" customFormat="1" spans="1:23">
      <c r="A4588" s="116"/>
      <c r="E4588" s="108"/>
      <c r="F4588" s="114"/>
      <c r="G4588" s="114"/>
      <c r="H4588" s="114"/>
      <c r="Q4588" s="44">
        <f>IF(数据录入!$B4588="",0,IF(OR(数据录入!$D4588="投标保证金",数据录入!$D4588="合同履约保证金",ISNUMBER(FIND("保证金",数据录入!$E4588))),1,0))</f>
      </c>
      <c r="R4588" s="44">
        <f>IF(AND($Q4588=1,数据录入!$B4588&gt;=$B$2,数据录入!$B4588&lt;=$D$2),N(R4587)+1,N(R4587))</f>
      </c>
    </row>
    <row r="4589" s="44" customFormat="1" spans="1:23">
      <c r="A4589" s="116"/>
      <c r="E4589" s="108"/>
      <c r="F4589" s="114"/>
      <c r="G4589" s="114"/>
      <c r="H4589" s="114"/>
      <c r="Q4589" s="44">
        <f>IF(数据录入!$B4589="",0,IF(OR(数据录入!$D4589="投标保证金",数据录入!$D4589="合同履约保证金",ISNUMBER(FIND("保证金",数据录入!$E4589))),1,0))</f>
      </c>
      <c r="R4589" s="44">
        <f>IF(AND($Q4589=1,数据录入!$B4589&gt;=$B$2,数据录入!$B4589&lt;=$D$2),N(R4588)+1,N(R4588))</f>
      </c>
    </row>
    <row r="4590" s="44" customFormat="1" spans="1:23">
      <c r="A4590" s="116"/>
      <c r="E4590" s="108"/>
      <c r="F4590" s="114"/>
      <c r="G4590" s="114"/>
      <c r="H4590" s="114"/>
      <c r="Q4590" s="44">
        <f>IF(数据录入!$B4590="",0,IF(OR(数据录入!$D4590="投标保证金",数据录入!$D4590="合同履约保证金",ISNUMBER(FIND("保证金",数据录入!$E4590))),1,0))</f>
      </c>
      <c r="R4590" s="44">
        <f>IF(AND($Q4590=1,数据录入!$B4590&gt;=$B$2,数据录入!$B4590&lt;=$D$2),N(R4589)+1,N(R4589))</f>
      </c>
    </row>
    <row r="4591" s="44" customFormat="1" spans="1:23">
      <c r="A4591" s="116"/>
      <c r="E4591" s="108"/>
      <c r="F4591" s="114"/>
      <c r="G4591" s="114"/>
      <c r="H4591" s="114"/>
      <c r="Q4591" s="44">
        <f>IF(数据录入!$B4591="",0,IF(OR(数据录入!$D4591="投标保证金",数据录入!$D4591="合同履约保证金",ISNUMBER(FIND("保证金",数据录入!$E4591))),1,0))</f>
      </c>
      <c r="R4591" s="44">
        <f>IF(AND($Q4591=1,数据录入!$B4591&gt;=$B$2,数据录入!$B4591&lt;=$D$2),N(R4590)+1,N(R4590))</f>
      </c>
    </row>
    <row r="4592" s="44" customFormat="1" spans="1:23">
      <c r="A4592" s="116"/>
      <c r="E4592" s="108"/>
      <c r="F4592" s="114"/>
      <c r="G4592" s="114"/>
      <c r="H4592" s="114"/>
      <c r="Q4592" s="44">
        <f>IF(数据录入!$B4592="",0,IF(OR(数据录入!$D4592="投标保证金",数据录入!$D4592="合同履约保证金",ISNUMBER(FIND("保证金",数据录入!$E4592))),1,0))</f>
      </c>
      <c r="R4592" s="44">
        <f>IF(AND($Q4592=1,数据录入!$B4592&gt;=$B$2,数据录入!$B4592&lt;=$D$2),N(R4591)+1,N(R4591))</f>
      </c>
    </row>
    <row r="4593" s="44" customFormat="1" spans="1:23">
      <c r="A4593" s="116"/>
      <c r="E4593" s="108"/>
      <c r="F4593" s="114"/>
      <c r="G4593" s="114"/>
      <c r="H4593" s="114"/>
      <c r="Q4593" s="44">
        <f>IF(数据录入!$B4593="",0,IF(OR(数据录入!$D4593="投标保证金",数据录入!$D4593="合同履约保证金",ISNUMBER(FIND("保证金",数据录入!$E4593))),1,0))</f>
      </c>
      <c r="R4593" s="44">
        <f>IF(AND($Q4593=1,数据录入!$B4593&gt;=$B$2,数据录入!$B4593&lt;=$D$2),N(R4592)+1,N(R4592))</f>
      </c>
    </row>
    <row r="4594" s="44" customFormat="1" spans="1:23">
      <c r="A4594" s="116"/>
      <c r="E4594" s="108"/>
      <c r="F4594" s="114"/>
      <c r="G4594" s="114"/>
      <c r="H4594" s="114"/>
      <c r="Q4594" s="44">
        <f>IF(数据录入!$B4594="",0,IF(OR(数据录入!$D4594="投标保证金",数据录入!$D4594="合同履约保证金",ISNUMBER(FIND("保证金",数据录入!$E4594))),1,0))</f>
      </c>
      <c r="R4594" s="44">
        <f>IF(AND($Q4594=1,数据录入!$B4594&gt;=$B$2,数据录入!$B4594&lt;=$D$2),N(R4593)+1,N(R4593))</f>
      </c>
    </row>
    <row r="4595" s="44" customFormat="1" spans="1:23">
      <c r="A4595" s="116"/>
      <c r="E4595" s="108"/>
      <c r="F4595" s="114"/>
      <c r="G4595" s="114"/>
      <c r="H4595" s="114"/>
      <c r="Q4595" s="44">
        <f>IF(数据录入!$B4595="",0,IF(OR(数据录入!$D4595="投标保证金",数据录入!$D4595="合同履约保证金",ISNUMBER(FIND("保证金",数据录入!$E4595))),1,0))</f>
      </c>
      <c r="R4595" s="44">
        <f>IF(AND($Q4595=1,数据录入!$B4595&gt;=$B$2,数据录入!$B4595&lt;=$D$2),N(R4594)+1,N(R4594))</f>
      </c>
    </row>
    <row r="4596" s="44" customFormat="1" spans="1:23">
      <c r="A4596" s="116"/>
      <c r="E4596" s="108"/>
      <c r="F4596" s="114"/>
      <c r="G4596" s="114"/>
      <c r="H4596" s="114"/>
      <c r="Q4596" s="44">
        <f>IF(数据录入!$B4596="",0,IF(OR(数据录入!$D4596="投标保证金",数据录入!$D4596="合同履约保证金",ISNUMBER(FIND("保证金",数据录入!$E4596))),1,0))</f>
      </c>
      <c r="R4596" s="44">
        <f>IF(AND($Q4596=1,数据录入!$B4596&gt;=$B$2,数据录入!$B4596&lt;=$D$2),N(R4595)+1,N(R4595))</f>
      </c>
    </row>
    <row r="4597" s="44" customFormat="1" spans="1:23">
      <c r="A4597" s="116"/>
      <c r="E4597" s="108"/>
      <c r="F4597" s="114"/>
      <c r="G4597" s="114"/>
      <c r="H4597" s="114"/>
      <c r="Q4597" s="44">
        <f>IF(数据录入!$B4597="",0,IF(OR(数据录入!$D4597="投标保证金",数据录入!$D4597="合同履约保证金",ISNUMBER(FIND("保证金",数据录入!$E4597))),1,0))</f>
      </c>
      <c r="R4597" s="44">
        <f>IF(AND($Q4597=1,数据录入!$B4597&gt;=$B$2,数据录入!$B4597&lt;=$D$2),N(R4596)+1,N(R4596))</f>
      </c>
    </row>
    <row r="4598" s="44" customFormat="1" spans="1:23">
      <c r="A4598" s="116"/>
      <c r="E4598" s="108"/>
      <c r="F4598" s="114"/>
      <c r="G4598" s="114"/>
      <c r="H4598" s="114"/>
      <c r="Q4598" s="44">
        <f>IF(数据录入!$B4598="",0,IF(OR(数据录入!$D4598="投标保证金",数据录入!$D4598="合同履约保证金",ISNUMBER(FIND("保证金",数据录入!$E4598))),1,0))</f>
      </c>
      <c r="R4598" s="44">
        <f>IF(AND($Q4598=1,数据录入!$B4598&gt;=$B$2,数据录入!$B4598&lt;=$D$2),N(R4597)+1,N(R4597))</f>
      </c>
    </row>
    <row r="4599" s="44" customFormat="1" spans="1:23">
      <c r="A4599" s="116"/>
      <c r="E4599" s="108"/>
      <c r="F4599" s="114"/>
      <c r="G4599" s="114"/>
      <c r="H4599" s="114"/>
      <c r="Q4599" s="44">
        <f>IF(数据录入!$B4599="",0,IF(OR(数据录入!$D4599="投标保证金",数据录入!$D4599="合同履约保证金",ISNUMBER(FIND("保证金",数据录入!$E4599))),1,0))</f>
      </c>
      <c r="R4599" s="44">
        <f>IF(AND($Q4599=1,数据录入!$B4599&gt;=$B$2,数据录入!$B4599&lt;=$D$2),N(R4598)+1,N(R4598))</f>
      </c>
    </row>
    <row r="4600" s="44" customFormat="1" spans="1:23">
      <c r="A4600" s="116"/>
      <c r="E4600" s="108"/>
      <c r="F4600" s="114"/>
      <c r="G4600" s="114"/>
      <c r="H4600" s="114"/>
      <c r="Q4600" s="44">
        <f>IF(数据录入!$B4600="",0,IF(OR(数据录入!$D4600="投标保证金",数据录入!$D4600="合同履约保证金",ISNUMBER(FIND("保证金",数据录入!$E4600))),1,0))</f>
      </c>
      <c r="R4600" s="44">
        <f>IF(AND($Q4600=1,数据录入!$B4600&gt;=$B$2,数据录入!$B4600&lt;=$D$2),N(R4599)+1,N(R4599))</f>
      </c>
    </row>
    <row r="4601" s="44" customFormat="1" spans="1:23">
      <c r="A4601" s="116"/>
      <c r="E4601" s="108"/>
      <c r="F4601" s="114"/>
      <c r="G4601" s="114"/>
      <c r="H4601" s="114"/>
      <c r="Q4601" s="44">
        <f>IF(数据录入!$B4601="",0,IF(OR(数据录入!$D4601="投标保证金",数据录入!$D4601="合同履约保证金",ISNUMBER(FIND("保证金",数据录入!$E4601))),1,0))</f>
      </c>
      <c r="R4601" s="44">
        <f>IF(AND($Q4601=1,数据录入!$B4601&gt;=$B$2,数据录入!$B4601&lt;=$D$2),N(R4600)+1,N(R4600))</f>
      </c>
    </row>
    <row r="4602" s="44" customFormat="1" spans="1:23">
      <c r="A4602" s="116"/>
      <c r="E4602" s="108"/>
      <c r="F4602" s="114"/>
      <c r="G4602" s="114"/>
      <c r="H4602" s="114"/>
      <c r="Q4602" s="44">
        <f>IF(数据录入!$B4602="",0,IF(OR(数据录入!$D4602="投标保证金",数据录入!$D4602="合同履约保证金",ISNUMBER(FIND("保证金",数据录入!$E4602))),1,0))</f>
      </c>
      <c r="R4602" s="44">
        <f>IF(AND($Q4602=1,数据录入!$B4602&gt;=$B$2,数据录入!$B4602&lt;=$D$2),N(R4601)+1,N(R4601))</f>
      </c>
    </row>
    <row r="4603" s="44" customFormat="1" spans="1:23">
      <c r="A4603" s="116"/>
      <c r="E4603" s="108"/>
      <c r="F4603" s="114"/>
      <c r="G4603" s="114"/>
      <c r="H4603" s="114"/>
      <c r="Q4603" s="44">
        <f>IF(数据录入!$B4603="",0,IF(OR(数据录入!$D4603="投标保证金",数据录入!$D4603="合同履约保证金",ISNUMBER(FIND("保证金",数据录入!$E4603))),1,0))</f>
      </c>
      <c r="R4603" s="44">
        <f>IF(AND($Q4603=1,数据录入!$B4603&gt;=$B$2,数据录入!$B4603&lt;=$D$2),N(R4602)+1,N(R4602))</f>
      </c>
    </row>
    <row r="4604" s="44" customFormat="1" spans="1:23">
      <c r="A4604" s="116"/>
      <c r="E4604" s="108"/>
      <c r="F4604" s="114"/>
      <c r="G4604" s="114"/>
      <c r="H4604" s="114"/>
      <c r="Q4604" s="44">
        <f>IF(数据录入!$B4604="",0,IF(OR(数据录入!$D4604="投标保证金",数据录入!$D4604="合同履约保证金",ISNUMBER(FIND("保证金",数据录入!$E4604))),1,0))</f>
      </c>
      <c r="R4604" s="44">
        <f>IF(AND($Q4604=1,数据录入!$B4604&gt;=$B$2,数据录入!$B4604&lt;=$D$2),N(R4603)+1,N(R4603))</f>
      </c>
    </row>
    <row r="4605" s="44" customFormat="1" spans="1:23">
      <c r="A4605" s="116"/>
      <c r="E4605" s="108"/>
      <c r="F4605" s="114"/>
      <c r="G4605" s="114"/>
      <c r="H4605" s="114"/>
      <c r="Q4605" s="44">
        <f>IF(数据录入!$B4605="",0,IF(OR(数据录入!$D4605="投标保证金",数据录入!$D4605="合同履约保证金",ISNUMBER(FIND("保证金",数据录入!$E4605))),1,0))</f>
      </c>
      <c r="R4605" s="44">
        <f>IF(AND($Q4605=1,数据录入!$B4605&gt;=$B$2,数据录入!$B4605&lt;=$D$2),N(R4604)+1,N(R4604))</f>
      </c>
    </row>
    <row r="4606" s="44" customFormat="1" spans="1:23">
      <c r="A4606" s="116"/>
      <c r="E4606" s="108"/>
      <c r="F4606" s="114"/>
      <c r="G4606" s="114"/>
      <c r="H4606" s="114"/>
      <c r="Q4606" s="44">
        <f>IF(数据录入!$B4606="",0,IF(OR(数据录入!$D4606="投标保证金",数据录入!$D4606="合同履约保证金",ISNUMBER(FIND("保证金",数据录入!$E4606))),1,0))</f>
      </c>
      <c r="R4606" s="44">
        <f>IF(AND($Q4606=1,数据录入!$B4606&gt;=$B$2,数据录入!$B4606&lt;=$D$2),N(R4605)+1,N(R4605))</f>
      </c>
    </row>
    <row r="4607" s="44" customFormat="1" spans="1:23">
      <c r="A4607" s="116"/>
      <c r="E4607" s="108"/>
      <c r="F4607" s="114"/>
      <c r="G4607" s="114"/>
      <c r="H4607" s="114"/>
      <c r="Q4607" s="44">
        <f>IF(数据录入!$B4607="",0,IF(OR(数据录入!$D4607="投标保证金",数据录入!$D4607="合同履约保证金",ISNUMBER(FIND("保证金",数据录入!$E4607))),1,0))</f>
      </c>
      <c r="R4607" s="44">
        <f>IF(AND($Q4607=1,数据录入!$B4607&gt;=$B$2,数据录入!$B4607&lt;=$D$2),N(R4606)+1,N(R4606))</f>
      </c>
    </row>
    <row r="4608" s="44" customFormat="1" spans="1:23">
      <c r="A4608" s="116"/>
      <c r="E4608" s="108"/>
      <c r="F4608" s="114"/>
      <c r="G4608" s="114"/>
      <c r="H4608" s="114"/>
      <c r="Q4608" s="44">
        <f>IF(数据录入!$B4608="",0,IF(OR(数据录入!$D4608="投标保证金",数据录入!$D4608="合同履约保证金",ISNUMBER(FIND("保证金",数据录入!$E4608))),1,0))</f>
      </c>
      <c r="R4608" s="44">
        <f>IF(AND($Q4608=1,数据录入!$B4608&gt;=$B$2,数据录入!$B4608&lt;=$D$2),N(R4607)+1,N(R4607))</f>
      </c>
    </row>
    <row r="4609" s="44" customFormat="1" spans="1:23">
      <c r="A4609" s="116"/>
      <c r="E4609" s="108"/>
      <c r="F4609" s="114"/>
      <c r="G4609" s="114"/>
      <c r="H4609" s="114"/>
      <c r="Q4609" s="44">
        <f>IF(数据录入!$B4609="",0,IF(OR(数据录入!$D4609="投标保证金",数据录入!$D4609="合同履约保证金",ISNUMBER(FIND("保证金",数据录入!$E4609))),1,0))</f>
      </c>
      <c r="R4609" s="44">
        <f>IF(AND($Q4609=1,数据录入!$B4609&gt;=$B$2,数据录入!$B4609&lt;=$D$2),N(R4608)+1,N(R4608))</f>
      </c>
    </row>
    <row r="4610" s="44" customFormat="1" spans="1:23">
      <c r="A4610" s="116"/>
      <c r="E4610" s="108"/>
      <c r="F4610" s="114"/>
      <c r="G4610" s="114"/>
      <c r="H4610" s="114"/>
      <c r="Q4610" s="44">
        <f>IF(数据录入!$B4610="",0,IF(OR(数据录入!$D4610="投标保证金",数据录入!$D4610="合同履约保证金",ISNUMBER(FIND("保证金",数据录入!$E4610))),1,0))</f>
      </c>
      <c r="R4610" s="44">
        <f>IF(AND($Q4610=1,数据录入!$B4610&gt;=$B$2,数据录入!$B4610&lt;=$D$2),N(R4609)+1,N(R4609))</f>
      </c>
    </row>
    <row r="4611" s="44" customFormat="1" spans="1:23">
      <c r="A4611" s="116"/>
      <c r="E4611" s="108"/>
      <c r="F4611" s="114"/>
      <c r="G4611" s="114"/>
      <c r="H4611" s="114"/>
      <c r="Q4611" s="44">
        <f>IF(数据录入!$B4611="",0,IF(OR(数据录入!$D4611="投标保证金",数据录入!$D4611="合同履约保证金",ISNUMBER(FIND("保证金",数据录入!$E4611))),1,0))</f>
      </c>
      <c r="R4611" s="44">
        <f>IF(AND($Q4611=1,数据录入!$B4611&gt;=$B$2,数据录入!$B4611&lt;=$D$2),N(R4610)+1,N(R4610))</f>
      </c>
    </row>
    <row r="4612" s="44" customFormat="1" spans="1:23">
      <c r="A4612" s="116"/>
      <c r="E4612" s="108"/>
      <c r="F4612" s="114"/>
      <c r="G4612" s="114"/>
      <c r="H4612" s="114"/>
      <c r="Q4612" s="44">
        <f>IF(数据录入!$B4612="",0,IF(OR(数据录入!$D4612="投标保证金",数据录入!$D4612="合同履约保证金",ISNUMBER(FIND("保证金",数据录入!$E4612))),1,0))</f>
      </c>
      <c r="R4612" s="44">
        <f>IF(AND($Q4612=1,数据录入!$B4612&gt;=$B$2,数据录入!$B4612&lt;=$D$2),N(R4611)+1,N(R4611))</f>
      </c>
    </row>
    <row r="4613" s="44" customFormat="1" spans="1:23">
      <c r="A4613" s="116"/>
      <c r="E4613" s="108"/>
      <c r="F4613" s="114"/>
      <c r="G4613" s="114"/>
      <c r="H4613" s="114"/>
      <c r="Q4613" s="44">
        <f>IF(数据录入!$B4613="",0,IF(OR(数据录入!$D4613="投标保证金",数据录入!$D4613="合同履约保证金",ISNUMBER(FIND("保证金",数据录入!$E4613))),1,0))</f>
      </c>
      <c r="R4613" s="44">
        <f>IF(AND($Q4613=1,数据录入!$B4613&gt;=$B$2,数据录入!$B4613&lt;=$D$2),N(R4612)+1,N(R4612))</f>
      </c>
    </row>
    <row r="4614" s="44" customFormat="1" spans="1:23">
      <c r="A4614" s="116"/>
      <c r="E4614" s="108"/>
      <c r="F4614" s="114"/>
      <c r="G4614" s="114"/>
      <c r="H4614" s="114"/>
      <c r="Q4614" s="44">
        <f>IF(数据录入!$B4614="",0,IF(OR(数据录入!$D4614="投标保证金",数据录入!$D4614="合同履约保证金",ISNUMBER(FIND("保证金",数据录入!$E4614))),1,0))</f>
      </c>
      <c r="R4614" s="44">
        <f>IF(AND($Q4614=1,数据录入!$B4614&gt;=$B$2,数据录入!$B4614&lt;=$D$2),N(R4613)+1,N(R4613))</f>
      </c>
    </row>
    <row r="4615" s="44" customFormat="1" spans="1:23">
      <c r="A4615" s="116"/>
      <c r="E4615" s="108"/>
      <c r="F4615" s="114"/>
      <c r="G4615" s="114"/>
      <c r="H4615" s="114"/>
      <c r="Q4615" s="44">
        <f>IF(数据录入!$B4615="",0,IF(OR(数据录入!$D4615="投标保证金",数据录入!$D4615="合同履约保证金",ISNUMBER(FIND("保证金",数据录入!$E4615))),1,0))</f>
      </c>
      <c r="R4615" s="44">
        <f>IF(AND($Q4615=1,数据录入!$B4615&gt;=$B$2,数据录入!$B4615&lt;=$D$2),N(R4614)+1,N(R4614))</f>
      </c>
    </row>
    <row r="4616" s="44" customFormat="1" spans="1:23">
      <c r="A4616" s="116"/>
      <c r="E4616" s="108"/>
      <c r="F4616" s="114"/>
      <c r="G4616" s="114"/>
      <c r="H4616" s="114"/>
      <c r="Q4616" s="44">
        <f>IF(数据录入!$B4616="",0,IF(OR(数据录入!$D4616="投标保证金",数据录入!$D4616="合同履约保证金",ISNUMBER(FIND("保证金",数据录入!$E4616))),1,0))</f>
      </c>
      <c r="R4616" s="44">
        <f>IF(AND($Q4616=1,数据录入!$B4616&gt;=$B$2,数据录入!$B4616&lt;=$D$2),N(R4615)+1,N(R4615))</f>
      </c>
    </row>
    <row r="4617" s="44" customFormat="1" spans="1:23">
      <c r="A4617" s="116"/>
      <c r="E4617" s="108"/>
      <c r="F4617" s="114"/>
      <c r="G4617" s="114"/>
      <c r="H4617" s="114"/>
      <c r="Q4617" s="44">
        <f>IF(数据录入!$B4617="",0,IF(OR(数据录入!$D4617="投标保证金",数据录入!$D4617="合同履约保证金",ISNUMBER(FIND("保证金",数据录入!$E4617))),1,0))</f>
      </c>
      <c r="R4617" s="44">
        <f>IF(AND($Q4617=1,数据录入!$B4617&gt;=$B$2,数据录入!$B4617&lt;=$D$2),N(R4616)+1,N(R4616))</f>
      </c>
    </row>
    <row r="4618" s="44" customFormat="1" spans="1:23">
      <c r="A4618" s="116"/>
      <c r="E4618" s="108"/>
      <c r="F4618" s="114"/>
      <c r="G4618" s="114"/>
      <c r="H4618" s="114"/>
      <c r="Q4618" s="44">
        <f>IF(数据录入!$B4618="",0,IF(OR(数据录入!$D4618="投标保证金",数据录入!$D4618="合同履约保证金",ISNUMBER(FIND("保证金",数据录入!$E4618))),1,0))</f>
      </c>
      <c r="R4618" s="44">
        <f>IF(AND($Q4618=1,数据录入!$B4618&gt;=$B$2,数据录入!$B4618&lt;=$D$2),N(R4617)+1,N(R4617))</f>
      </c>
    </row>
    <row r="4619" s="44" customFormat="1" spans="1:23">
      <c r="A4619" s="116"/>
      <c r="E4619" s="108"/>
      <c r="F4619" s="114"/>
      <c r="G4619" s="114"/>
      <c r="H4619" s="114"/>
      <c r="Q4619" s="44">
        <f>IF(数据录入!$B4619="",0,IF(OR(数据录入!$D4619="投标保证金",数据录入!$D4619="合同履约保证金",ISNUMBER(FIND("保证金",数据录入!$E4619))),1,0))</f>
      </c>
      <c r="R4619" s="44">
        <f>IF(AND($Q4619=1,数据录入!$B4619&gt;=$B$2,数据录入!$B4619&lt;=$D$2),N(R4618)+1,N(R4618))</f>
      </c>
    </row>
    <row r="4620" s="44" customFormat="1" spans="1:23">
      <c r="A4620" s="116"/>
      <c r="E4620" s="108"/>
      <c r="F4620" s="114"/>
      <c r="G4620" s="114"/>
      <c r="H4620" s="114"/>
      <c r="Q4620" s="44">
        <f>IF(数据录入!$B4620="",0,IF(OR(数据录入!$D4620="投标保证金",数据录入!$D4620="合同履约保证金",ISNUMBER(FIND("保证金",数据录入!$E4620))),1,0))</f>
      </c>
      <c r="R4620" s="44">
        <f>IF(AND($Q4620=1,数据录入!$B4620&gt;=$B$2,数据录入!$B4620&lt;=$D$2),N(R4619)+1,N(R4619))</f>
      </c>
    </row>
    <row r="4621" s="44" customFormat="1" spans="1:23">
      <c r="A4621" s="116"/>
      <c r="E4621" s="108"/>
      <c r="F4621" s="114"/>
      <c r="G4621" s="114"/>
      <c r="H4621" s="114"/>
      <c r="Q4621" s="44">
        <f>IF(数据录入!$B4621="",0,IF(OR(数据录入!$D4621="投标保证金",数据录入!$D4621="合同履约保证金",ISNUMBER(FIND("保证金",数据录入!$E4621))),1,0))</f>
      </c>
      <c r="R4621" s="44">
        <f>IF(AND($Q4621=1,数据录入!$B4621&gt;=$B$2,数据录入!$B4621&lt;=$D$2),N(R4620)+1,N(R4620))</f>
      </c>
    </row>
    <row r="4622" s="44" customFormat="1" spans="1:23">
      <c r="A4622" s="116"/>
      <c r="E4622" s="108"/>
      <c r="F4622" s="114"/>
      <c r="G4622" s="114"/>
      <c r="H4622" s="114"/>
      <c r="Q4622" s="44">
        <f>IF(数据录入!$B4622="",0,IF(OR(数据录入!$D4622="投标保证金",数据录入!$D4622="合同履约保证金",ISNUMBER(FIND("保证金",数据录入!$E4622))),1,0))</f>
      </c>
      <c r="R4622" s="44">
        <f>IF(AND($Q4622=1,数据录入!$B4622&gt;=$B$2,数据录入!$B4622&lt;=$D$2),N(R4621)+1,N(R4621))</f>
      </c>
    </row>
    <row r="4623" s="44" customFormat="1" spans="1:23">
      <c r="A4623" s="116"/>
      <c r="E4623" s="108"/>
      <c r="F4623" s="114"/>
      <c r="G4623" s="114"/>
      <c r="H4623" s="114"/>
      <c r="Q4623" s="44">
        <f>IF(数据录入!$B4623="",0,IF(OR(数据录入!$D4623="投标保证金",数据录入!$D4623="合同履约保证金",ISNUMBER(FIND("保证金",数据录入!$E4623))),1,0))</f>
      </c>
      <c r="R4623" s="44">
        <f>IF(AND($Q4623=1,数据录入!$B4623&gt;=$B$2,数据录入!$B4623&lt;=$D$2),N(R4622)+1,N(R4622))</f>
      </c>
    </row>
    <row r="4624" s="44" customFormat="1" spans="1:23">
      <c r="A4624" s="116"/>
      <c r="E4624" s="108"/>
      <c r="F4624" s="114"/>
      <c r="G4624" s="114"/>
      <c r="H4624" s="114"/>
      <c r="Q4624" s="44">
        <f>IF(数据录入!$B4624="",0,IF(OR(数据录入!$D4624="投标保证金",数据录入!$D4624="合同履约保证金",ISNUMBER(FIND("保证金",数据录入!$E4624))),1,0))</f>
      </c>
      <c r="R4624" s="44">
        <f>IF(AND($Q4624=1,数据录入!$B4624&gt;=$B$2,数据录入!$B4624&lt;=$D$2),N(R4623)+1,N(R4623))</f>
      </c>
    </row>
    <row r="4625" s="44" customFormat="1" spans="1:23">
      <c r="A4625" s="116"/>
      <c r="E4625" s="108"/>
      <c r="F4625" s="114"/>
      <c r="G4625" s="114"/>
      <c r="H4625" s="114"/>
      <c r="Q4625" s="44">
        <f>IF(数据录入!$B4625="",0,IF(OR(数据录入!$D4625="投标保证金",数据录入!$D4625="合同履约保证金",ISNUMBER(FIND("保证金",数据录入!$E4625))),1,0))</f>
      </c>
      <c r="R4625" s="44">
        <f>IF(AND($Q4625=1,数据录入!$B4625&gt;=$B$2,数据录入!$B4625&lt;=$D$2),N(R4624)+1,N(R4624))</f>
      </c>
    </row>
    <row r="4626" s="44" customFormat="1" spans="1:23">
      <c r="A4626" s="116"/>
      <c r="E4626" s="108"/>
      <c r="F4626" s="114"/>
      <c r="G4626" s="114"/>
      <c r="H4626" s="114"/>
      <c r="Q4626" s="44">
        <f>IF(数据录入!$B4626="",0,IF(OR(数据录入!$D4626="投标保证金",数据录入!$D4626="合同履约保证金",ISNUMBER(FIND("保证金",数据录入!$E4626))),1,0))</f>
      </c>
      <c r="R4626" s="44">
        <f>IF(AND($Q4626=1,数据录入!$B4626&gt;=$B$2,数据录入!$B4626&lt;=$D$2),N(R4625)+1,N(R4625))</f>
      </c>
    </row>
    <row r="4627" s="44" customFormat="1" spans="1:23">
      <c r="A4627" s="116"/>
      <c r="E4627" s="108"/>
      <c r="F4627" s="114"/>
      <c r="G4627" s="114"/>
      <c r="H4627" s="114"/>
      <c r="Q4627" s="44">
        <f>IF(数据录入!$B4627="",0,IF(OR(数据录入!$D4627="投标保证金",数据录入!$D4627="合同履约保证金",ISNUMBER(FIND("保证金",数据录入!$E4627))),1,0))</f>
      </c>
      <c r="R4627" s="44">
        <f>IF(AND($Q4627=1,数据录入!$B4627&gt;=$B$2,数据录入!$B4627&lt;=$D$2),N(R4626)+1,N(R4626))</f>
      </c>
    </row>
    <row r="4628" s="44" customFormat="1" spans="1:23">
      <c r="A4628" s="116"/>
      <c r="E4628" s="108"/>
      <c r="F4628" s="114"/>
      <c r="G4628" s="114"/>
      <c r="H4628" s="114"/>
      <c r="Q4628" s="44">
        <f>IF(数据录入!$B4628="",0,IF(OR(数据录入!$D4628="投标保证金",数据录入!$D4628="合同履约保证金",ISNUMBER(FIND("保证金",数据录入!$E4628))),1,0))</f>
      </c>
      <c r="R4628" s="44">
        <f>IF(AND($Q4628=1,数据录入!$B4628&gt;=$B$2,数据录入!$B4628&lt;=$D$2),N(R4627)+1,N(R4627))</f>
      </c>
    </row>
    <row r="4629" s="44" customFormat="1" spans="1:23">
      <c r="A4629" s="116"/>
      <c r="E4629" s="108"/>
      <c r="F4629" s="114"/>
      <c r="G4629" s="114"/>
      <c r="H4629" s="114"/>
      <c r="Q4629" s="44">
        <f>IF(数据录入!$B4629="",0,IF(OR(数据录入!$D4629="投标保证金",数据录入!$D4629="合同履约保证金",ISNUMBER(FIND("保证金",数据录入!$E4629))),1,0))</f>
      </c>
      <c r="R4629" s="44">
        <f>IF(AND($Q4629=1,数据录入!$B4629&gt;=$B$2,数据录入!$B4629&lt;=$D$2),N(R4628)+1,N(R4628))</f>
      </c>
    </row>
    <row r="4630" s="44" customFormat="1" spans="1:23">
      <c r="A4630" s="116"/>
      <c r="E4630" s="108"/>
      <c r="F4630" s="114"/>
      <c r="G4630" s="114"/>
      <c r="H4630" s="114"/>
      <c r="Q4630" s="44">
        <f>IF(数据录入!$B4630="",0,IF(OR(数据录入!$D4630="投标保证金",数据录入!$D4630="合同履约保证金",ISNUMBER(FIND("保证金",数据录入!$E4630))),1,0))</f>
      </c>
      <c r="R4630" s="44">
        <f>IF(AND($Q4630=1,数据录入!$B4630&gt;=$B$2,数据录入!$B4630&lt;=$D$2),N(R4629)+1,N(R4629))</f>
      </c>
    </row>
    <row r="4631" s="44" customFormat="1" spans="1:23">
      <c r="A4631" s="116"/>
      <c r="E4631" s="108"/>
      <c r="F4631" s="114"/>
      <c r="G4631" s="114"/>
      <c r="H4631" s="114"/>
      <c r="Q4631" s="44">
        <f>IF(数据录入!$B4631="",0,IF(OR(数据录入!$D4631="投标保证金",数据录入!$D4631="合同履约保证金",ISNUMBER(FIND("保证金",数据录入!$E4631))),1,0))</f>
      </c>
      <c r="R4631" s="44">
        <f>IF(AND($Q4631=1,数据录入!$B4631&gt;=$B$2,数据录入!$B4631&lt;=$D$2),N(R4630)+1,N(R4630))</f>
      </c>
    </row>
    <row r="4632" s="44" customFormat="1" spans="1:23">
      <c r="A4632" s="116"/>
      <c r="E4632" s="108"/>
      <c r="F4632" s="114"/>
      <c r="G4632" s="114"/>
      <c r="H4632" s="114"/>
      <c r="Q4632" s="44">
        <f>IF(数据录入!$B4632="",0,IF(OR(数据录入!$D4632="投标保证金",数据录入!$D4632="合同履约保证金",ISNUMBER(FIND("保证金",数据录入!$E4632))),1,0))</f>
      </c>
      <c r="R4632" s="44">
        <f>IF(AND($Q4632=1,数据录入!$B4632&gt;=$B$2,数据录入!$B4632&lt;=$D$2),N(R4631)+1,N(R4631))</f>
      </c>
    </row>
    <row r="4633" s="44" customFormat="1" spans="1:23">
      <c r="A4633" s="116"/>
      <c r="E4633" s="108"/>
      <c r="F4633" s="114"/>
      <c r="G4633" s="114"/>
      <c r="H4633" s="114"/>
      <c r="Q4633" s="44">
        <f>IF(数据录入!$B4633="",0,IF(OR(数据录入!$D4633="投标保证金",数据录入!$D4633="合同履约保证金",ISNUMBER(FIND("保证金",数据录入!$E4633))),1,0))</f>
      </c>
      <c r="R4633" s="44">
        <f>IF(AND($Q4633=1,数据录入!$B4633&gt;=$B$2,数据录入!$B4633&lt;=$D$2),N(R4632)+1,N(R4632))</f>
      </c>
    </row>
    <row r="4634" s="44" customFormat="1" spans="1:23">
      <c r="A4634" s="116"/>
      <c r="E4634" s="108"/>
      <c r="F4634" s="114"/>
      <c r="G4634" s="114"/>
      <c r="H4634" s="114"/>
      <c r="Q4634" s="44">
        <f>IF(数据录入!$B4634="",0,IF(OR(数据录入!$D4634="投标保证金",数据录入!$D4634="合同履约保证金",ISNUMBER(FIND("保证金",数据录入!$E4634))),1,0))</f>
      </c>
      <c r="R4634" s="44">
        <f>IF(AND($Q4634=1,数据录入!$B4634&gt;=$B$2,数据录入!$B4634&lt;=$D$2),N(R4633)+1,N(R4633))</f>
      </c>
    </row>
    <row r="4635" s="44" customFormat="1" spans="1:23">
      <c r="A4635" s="116"/>
      <c r="E4635" s="108"/>
      <c r="F4635" s="114"/>
      <c r="G4635" s="114"/>
      <c r="H4635" s="114"/>
      <c r="Q4635" s="44">
        <f>IF(数据录入!$B4635="",0,IF(OR(数据录入!$D4635="投标保证金",数据录入!$D4635="合同履约保证金",ISNUMBER(FIND("保证金",数据录入!$E4635))),1,0))</f>
      </c>
      <c r="R4635" s="44">
        <f>IF(AND($Q4635=1,数据录入!$B4635&gt;=$B$2,数据录入!$B4635&lt;=$D$2),N(R4634)+1,N(R4634))</f>
      </c>
    </row>
    <row r="4636" s="44" customFormat="1" spans="1:23">
      <c r="A4636" s="116"/>
      <c r="E4636" s="108"/>
      <c r="F4636" s="114"/>
      <c r="G4636" s="114"/>
      <c r="H4636" s="114"/>
      <c r="Q4636" s="44">
        <f>IF(数据录入!$B4636="",0,IF(OR(数据录入!$D4636="投标保证金",数据录入!$D4636="合同履约保证金",ISNUMBER(FIND("保证金",数据录入!$E4636))),1,0))</f>
      </c>
      <c r="R4636" s="44">
        <f>IF(AND($Q4636=1,数据录入!$B4636&gt;=$B$2,数据录入!$B4636&lt;=$D$2),N(R4635)+1,N(R4635))</f>
      </c>
    </row>
    <row r="4637" s="44" customFormat="1" spans="1:23">
      <c r="A4637" s="116"/>
      <c r="E4637" s="108"/>
      <c r="F4637" s="114"/>
      <c r="G4637" s="114"/>
      <c r="H4637" s="114"/>
      <c r="Q4637" s="44">
        <f>IF(数据录入!$B4637="",0,IF(OR(数据录入!$D4637="投标保证金",数据录入!$D4637="合同履约保证金",ISNUMBER(FIND("保证金",数据录入!$E4637))),1,0))</f>
      </c>
      <c r="R4637" s="44">
        <f>IF(AND($Q4637=1,数据录入!$B4637&gt;=$B$2,数据录入!$B4637&lt;=$D$2),N(R4636)+1,N(R4636))</f>
      </c>
    </row>
    <row r="4638" s="44" customFormat="1" spans="1:23">
      <c r="A4638" s="116"/>
      <c r="E4638" s="108"/>
      <c r="F4638" s="114"/>
      <c r="G4638" s="114"/>
      <c r="H4638" s="114"/>
      <c r="Q4638" s="44">
        <f>IF(数据录入!$B4638="",0,IF(OR(数据录入!$D4638="投标保证金",数据录入!$D4638="合同履约保证金",ISNUMBER(FIND("保证金",数据录入!$E4638))),1,0))</f>
      </c>
      <c r="R4638" s="44">
        <f>IF(AND($Q4638=1,数据录入!$B4638&gt;=$B$2,数据录入!$B4638&lt;=$D$2),N(R4637)+1,N(R4637))</f>
      </c>
    </row>
    <row r="4639" s="44" customFormat="1" spans="1:23">
      <c r="A4639" s="116"/>
      <c r="E4639" s="108"/>
      <c r="F4639" s="114"/>
      <c r="G4639" s="114"/>
      <c r="H4639" s="114"/>
      <c r="Q4639" s="44">
        <f>IF(数据录入!$B4639="",0,IF(OR(数据录入!$D4639="投标保证金",数据录入!$D4639="合同履约保证金",ISNUMBER(FIND("保证金",数据录入!$E4639))),1,0))</f>
      </c>
      <c r="R4639" s="44">
        <f>IF(AND($Q4639=1,数据录入!$B4639&gt;=$B$2,数据录入!$B4639&lt;=$D$2),N(R4638)+1,N(R4638))</f>
      </c>
    </row>
    <row r="4640" s="44" customFormat="1" spans="1:23">
      <c r="A4640" s="116"/>
      <c r="E4640" s="108"/>
      <c r="F4640" s="114"/>
      <c r="G4640" s="114"/>
      <c r="H4640" s="114"/>
      <c r="Q4640" s="44">
        <f>IF(数据录入!$B4640="",0,IF(OR(数据录入!$D4640="投标保证金",数据录入!$D4640="合同履约保证金",ISNUMBER(FIND("保证金",数据录入!$E4640))),1,0))</f>
      </c>
      <c r="R4640" s="44">
        <f>IF(AND($Q4640=1,数据录入!$B4640&gt;=$B$2,数据录入!$B4640&lt;=$D$2),N(R4639)+1,N(R4639))</f>
      </c>
    </row>
    <row r="4641" s="44" customFormat="1" spans="1:23">
      <c r="A4641" s="116"/>
      <c r="E4641" s="108"/>
      <c r="F4641" s="114"/>
      <c r="G4641" s="114"/>
      <c r="H4641" s="114"/>
      <c r="Q4641" s="44">
        <f>IF(数据录入!$B4641="",0,IF(OR(数据录入!$D4641="投标保证金",数据录入!$D4641="合同履约保证金",ISNUMBER(FIND("保证金",数据录入!$E4641))),1,0))</f>
      </c>
      <c r="R4641" s="44">
        <f>IF(AND($Q4641=1,数据录入!$B4641&gt;=$B$2,数据录入!$B4641&lt;=$D$2),N(R4640)+1,N(R4640))</f>
      </c>
    </row>
    <row r="4642" s="44" customFormat="1" spans="1:23">
      <c r="A4642" s="116"/>
      <c r="E4642" s="108"/>
      <c r="F4642" s="114"/>
      <c r="G4642" s="114"/>
      <c r="H4642" s="114"/>
      <c r="Q4642" s="44">
        <f>IF(数据录入!$B4642="",0,IF(OR(数据录入!$D4642="投标保证金",数据录入!$D4642="合同履约保证金",ISNUMBER(FIND("保证金",数据录入!$E4642))),1,0))</f>
      </c>
      <c r="R4642" s="44">
        <f>IF(AND($Q4642=1,数据录入!$B4642&gt;=$B$2,数据录入!$B4642&lt;=$D$2),N(R4641)+1,N(R4641))</f>
      </c>
    </row>
    <row r="4643" s="44" customFormat="1" spans="1:23">
      <c r="A4643" s="116"/>
      <c r="E4643" s="108"/>
      <c r="F4643" s="114"/>
      <c r="G4643" s="114"/>
      <c r="H4643" s="114"/>
      <c r="Q4643" s="44">
        <f>IF(数据录入!$B4643="",0,IF(OR(数据录入!$D4643="投标保证金",数据录入!$D4643="合同履约保证金",ISNUMBER(FIND("保证金",数据录入!$E4643))),1,0))</f>
      </c>
      <c r="R4643" s="44">
        <f>IF(AND($Q4643=1,数据录入!$B4643&gt;=$B$2,数据录入!$B4643&lt;=$D$2),N(R4642)+1,N(R4642))</f>
      </c>
    </row>
    <row r="4644" s="44" customFormat="1" spans="1:23">
      <c r="A4644" s="116"/>
      <c r="E4644" s="108"/>
      <c r="F4644" s="114"/>
      <c r="G4644" s="114"/>
      <c r="H4644" s="114"/>
      <c r="Q4644" s="44">
        <f>IF(数据录入!$B4644="",0,IF(OR(数据录入!$D4644="投标保证金",数据录入!$D4644="合同履约保证金",ISNUMBER(FIND("保证金",数据录入!$E4644))),1,0))</f>
      </c>
      <c r="R4644" s="44">
        <f>IF(AND($Q4644=1,数据录入!$B4644&gt;=$B$2,数据录入!$B4644&lt;=$D$2),N(R4643)+1,N(R4643))</f>
      </c>
    </row>
    <row r="4645" s="44" customFormat="1" spans="1:23">
      <c r="A4645" s="116"/>
      <c r="E4645" s="108"/>
      <c r="F4645" s="114"/>
      <c r="G4645" s="114"/>
      <c r="H4645" s="114"/>
      <c r="Q4645" s="44">
        <f>IF(数据录入!$B4645="",0,IF(OR(数据录入!$D4645="投标保证金",数据录入!$D4645="合同履约保证金",ISNUMBER(FIND("保证金",数据录入!$E4645))),1,0))</f>
      </c>
      <c r="R4645" s="44">
        <f>IF(AND($Q4645=1,数据录入!$B4645&gt;=$B$2,数据录入!$B4645&lt;=$D$2),N(R4644)+1,N(R4644))</f>
      </c>
    </row>
    <row r="4646" s="44" customFormat="1" spans="1:23">
      <c r="A4646" s="116"/>
      <c r="E4646" s="108"/>
      <c r="F4646" s="114"/>
      <c r="G4646" s="114"/>
      <c r="H4646" s="114"/>
      <c r="Q4646" s="44">
        <f>IF(数据录入!$B4646="",0,IF(OR(数据录入!$D4646="投标保证金",数据录入!$D4646="合同履约保证金",ISNUMBER(FIND("保证金",数据录入!$E4646))),1,0))</f>
      </c>
      <c r="R4646" s="44">
        <f>IF(AND($Q4646=1,数据录入!$B4646&gt;=$B$2,数据录入!$B4646&lt;=$D$2),N(R4645)+1,N(R4645))</f>
      </c>
    </row>
    <row r="4647" s="44" customFormat="1" spans="1:23">
      <c r="A4647" s="116"/>
      <c r="E4647" s="108"/>
      <c r="F4647" s="114"/>
      <c r="G4647" s="114"/>
      <c r="H4647" s="114"/>
      <c r="Q4647" s="44">
        <f>IF(数据录入!$B4647="",0,IF(OR(数据录入!$D4647="投标保证金",数据录入!$D4647="合同履约保证金",ISNUMBER(FIND("保证金",数据录入!$E4647))),1,0))</f>
      </c>
      <c r="R4647" s="44">
        <f>IF(AND($Q4647=1,数据录入!$B4647&gt;=$B$2,数据录入!$B4647&lt;=$D$2),N(R4646)+1,N(R4646))</f>
      </c>
    </row>
    <row r="4648" s="44" customFormat="1" spans="1:23">
      <c r="A4648" s="116"/>
      <c r="E4648" s="108"/>
      <c r="F4648" s="114"/>
      <c r="G4648" s="114"/>
      <c r="H4648" s="114"/>
      <c r="Q4648" s="44">
        <f>IF(数据录入!$B4648="",0,IF(OR(数据录入!$D4648="投标保证金",数据录入!$D4648="合同履约保证金",ISNUMBER(FIND("保证金",数据录入!$E4648))),1,0))</f>
      </c>
      <c r="R4648" s="44">
        <f>IF(AND($Q4648=1,数据录入!$B4648&gt;=$B$2,数据录入!$B4648&lt;=$D$2),N(R4647)+1,N(R4647))</f>
      </c>
    </row>
    <row r="4649" s="44" customFormat="1" spans="1:23">
      <c r="A4649" s="116"/>
      <c r="E4649" s="108"/>
      <c r="F4649" s="114"/>
      <c r="G4649" s="114"/>
      <c r="H4649" s="114"/>
      <c r="Q4649" s="44">
        <f>IF(数据录入!$B4649="",0,IF(OR(数据录入!$D4649="投标保证金",数据录入!$D4649="合同履约保证金",ISNUMBER(FIND("保证金",数据录入!$E4649))),1,0))</f>
      </c>
      <c r="R4649" s="44">
        <f>IF(AND($Q4649=1,数据录入!$B4649&gt;=$B$2,数据录入!$B4649&lt;=$D$2),N(R4648)+1,N(R4648))</f>
      </c>
    </row>
    <row r="4650" s="44" customFormat="1" spans="1:23">
      <c r="A4650" s="116"/>
      <c r="E4650" s="108"/>
      <c r="F4650" s="114"/>
      <c r="G4650" s="114"/>
      <c r="H4650" s="114"/>
      <c r="Q4650" s="44">
        <f>IF(数据录入!$B4650="",0,IF(OR(数据录入!$D4650="投标保证金",数据录入!$D4650="合同履约保证金",ISNUMBER(FIND("保证金",数据录入!$E4650))),1,0))</f>
      </c>
      <c r="R4650" s="44">
        <f>IF(AND($Q4650=1,数据录入!$B4650&gt;=$B$2,数据录入!$B4650&lt;=$D$2),N(R4649)+1,N(R4649))</f>
      </c>
    </row>
    <row r="4651" s="44" customFormat="1" spans="1:23">
      <c r="A4651" s="116"/>
      <c r="E4651" s="108"/>
      <c r="F4651" s="114"/>
      <c r="G4651" s="114"/>
      <c r="H4651" s="114"/>
      <c r="Q4651" s="44">
        <f>IF(数据录入!$B4651="",0,IF(OR(数据录入!$D4651="投标保证金",数据录入!$D4651="合同履约保证金",ISNUMBER(FIND("保证金",数据录入!$E4651))),1,0))</f>
      </c>
      <c r="R4651" s="44">
        <f>IF(AND($Q4651=1,数据录入!$B4651&gt;=$B$2,数据录入!$B4651&lt;=$D$2),N(R4650)+1,N(R4650))</f>
      </c>
    </row>
    <row r="4652" s="44" customFormat="1" spans="1:23">
      <c r="A4652" s="116"/>
      <c r="E4652" s="108"/>
      <c r="F4652" s="114"/>
      <c r="G4652" s="114"/>
      <c r="H4652" s="114"/>
      <c r="Q4652" s="44">
        <f>IF(数据录入!$B4652="",0,IF(OR(数据录入!$D4652="投标保证金",数据录入!$D4652="合同履约保证金",ISNUMBER(FIND("保证金",数据录入!$E4652))),1,0))</f>
      </c>
      <c r="R4652" s="44">
        <f>IF(AND($Q4652=1,数据录入!$B4652&gt;=$B$2,数据录入!$B4652&lt;=$D$2),N(R4651)+1,N(R4651))</f>
      </c>
    </row>
    <row r="4653" s="44" customFormat="1" spans="1:23">
      <c r="A4653" s="116"/>
      <c r="E4653" s="108"/>
      <c r="F4653" s="114"/>
      <c r="G4653" s="114"/>
      <c r="H4653" s="114"/>
      <c r="Q4653" s="44">
        <f>IF(数据录入!$B4653="",0,IF(OR(数据录入!$D4653="投标保证金",数据录入!$D4653="合同履约保证金",ISNUMBER(FIND("保证金",数据录入!$E4653))),1,0))</f>
      </c>
      <c r="R4653" s="44">
        <f>IF(AND($Q4653=1,数据录入!$B4653&gt;=$B$2,数据录入!$B4653&lt;=$D$2),N(R4652)+1,N(R4652))</f>
      </c>
    </row>
    <row r="4654" s="44" customFormat="1" spans="1:23">
      <c r="A4654" s="116"/>
      <c r="E4654" s="108"/>
      <c r="F4654" s="114"/>
      <c r="G4654" s="114"/>
      <c r="H4654" s="114"/>
      <c r="Q4654" s="44">
        <f>IF(数据录入!$B4654="",0,IF(OR(数据录入!$D4654="投标保证金",数据录入!$D4654="合同履约保证金",ISNUMBER(FIND("保证金",数据录入!$E4654))),1,0))</f>
      </c>
      <c r="R4654" s="44">
        <f>IF(AND($Q4654=1,数据录入!$B4654&gt;=$B$2,数据录入!$B4654&lt;=$D$2),N(R4653)+1,N(R4653))</f>
      </c>
    </row>
    <row r="4655" s="44" customFormat="1" spans="1:23">
      <c r="A4655" s="116"/>
      <c r="E4655" s="108"/>
      <c r="F4655" s="114"/>
      <c r="G4655" s="114"/>
      <c r="H4655" s="114"/>
      <c r="Q4655" s="44">
        <f>IF(数据录入!$B4655="",0,IF(OR(数据录入!$D4655="投标保证金",数据录入!$D4655="合同履约保证金",ISNUMBER(FIND("保证金",数据录入!$E4655))),1,0))</f>
      </c>
      <c r="R4655" s="44">
        <f>IF(AND($Q4655=1,数据录入!$B4655&gt;=$B$2,数据录入!$B4655&lt;=$D$2),N(R4654)+1,N(R4654))</f>
      </c>
    </row>
    <row r="4656" s="44" customFormat="1" spans="1:23">
      <c r="A4656" s="116"/>
      <c r="E4656" s="108"/>
      <c r="F4656" s="114"/>
      <c r="G4656" s="114"/>
      <c r="H4656" s="114"/>
      <c r="Q4656" s="44">
        <f>IF(数据录入!$B4656="",0,IF(OR(数据录入!$D4656="投标保证金",数据录入!$D4656="合同履约保证金",ISNUMBER(FIND("保证金",数据录入!$E4656))),1,0))</f>
      </c>
      <c r="R4656" s="44">
        <f>IF(AND($Q4656=1,数据录入!$B4656&gt;=$B$2,数据录入!$B4656&lt;=$D$2),N(R4655)+1,N(R4655))</f>
      </c>
    </row>
    <row r="4657" s="44" customFormat="1" spans="1:23">
      <c r="A4657" s="116"/>
      <c r="E4657" s="108"/>
      <c r="F4657" s="114"/>
      <c r="G4657" s="114"/>
      <c r="H4657" s="114"/>
      <c r="Q4657" s="44">
        <f>IF(数据录入!$B4657="",0,IF(OR(数据录入!$D4657="投标保证金",数据录入!$D4657="合同履约保证金",ISNUMBER(FIND("保证金",数据录入!$E4657))),1,0))</f>
      </c>
      <c r="R4657" s="44">
        <f>IF(AND($Q4657=1,数据录入!$B4657&gt;=$B$2,数据录入!$B4657&lt;=$D$2),N(R4656)+1,N(R4656))</f>
      </c>
    </row>
    <row r="4658" s="44" customFormat="1" spans="1:23">
      <c r="A4658" s="116"/>
      <c r="E4658" s="108"/>
      <c r="F4658" s="114"/>
      <c r="G4658" s="114"/>
      <c r="H4658" s="114"/>
      <c r="Q4658" s="44">
        <f>IF(数据录入!$B4658="",0,IF(OR(数据录入!$D4658="投标保证金",数据录入!$D4658="合同履约保证金",ISNUMBER(FIND("保证金",数据录入!$E4658))),1,0))</f>
      </c>
      <c r="R4658" s="44">
        <f>IF(AND($Q4658=1,数据录入!$B4658&gt;=$B$2,数据录入!$B4658&lt;=$D$2),N(R4657)+1,N(R4657))</f>
      </c>
    </row>
    <row r="4659" s="44" customFormat="1" spans="1:23">
      <c r="A4659" s="116"/>
      <c r="E4659" s="108"/>
      <c r="F4659" s="114"/>
      <c r="G4659" s="114"/>
      <c r="H4659" s="114"/>
      <c r="Q4659" s="44">
        <f>IF(数据录入!$B4659="",0,IF(OR(数据录入!$D4659="投标保证金",数据录入!$D4659="合同履约保证金",ISNUMBER(FIND("保证金",数据录入!$E4659))),1,0))</f>
      </c>
      <c r="R4659" s="44">
        <f>IF(AND($Q4659=1,数据录入!$B4659&gt;=$B$2,数据录入!$B4659&lt;=$D$2),N(R4658)+1,N(R4658))</f>
      </c>
    </row>
    <row r="4660" s="44" customFormat="1" spans="1:23">
      <c r="A4660" s="116"/>
      <c r="E4660" s="108"/>
      <c r="F4660" s="114"/>
      <c r="G4660" s="114"/>
      <c r="H4660" s="114"/>
      <c r="Q4660" s="44">
        <f>IF(数据录入!$B4660="",0,IF(OR(数据录入!$D4660="投标保证金",数据录入!$D4660="合同履约保证金",ISNUMBER(FIND("保证金",数据录入!$E4660))),1,0))</f>
      </c>
      <c r="R4660" s="44">
        <f>IF(AND($Q4660=1,数据录入!$B4660&gt;=$B$2,数据录入!$B4660&lt;=$D$2),N(R4659)+1,N(R4659))</f>
      </c>
    </row>
    <row r="4661" s="44" customFormat="1" spans="1:23">
      <c r="A4661" s="116"/>
      <c r="E4661" s="108"/>
      <c r="F4661" s="114"/>
      <c r="G4661" s="114"/>
      <c r="H4661" s="114"/>
      <c r="Q4661" s="44">
        <f>IF(数据录入!$B4661="",0,IF(OR(数据录入!$D4661="投标保证金",数据录入!$D4661="合同履约保证金",ISNUMBER(FIND("保证金",数据录入!$E4661))),1,0))</f>
      </c>
      <c r="R4661" s="44">
        <f>IF(AND($Q4661=1,数据录入!$B4661&gt;=$B$2,数据录入!$B4661&lt;=$D$2),N(R4660)+1,N(R4660))</f>
      </c>
    </row>
    <row r="4662" s="44" customFormat="1" spans="1:23">
      <c r="A4662" s="116"/>
      <c r="E4662" s="108"/>
      <c r="F4662" s="114"/>
      <c r="G4662" s="114"/>
      <c r="H4662" s="114"/>
      <c r="Q4662" s="44">
        <f>IF(数据录入!$B4662="",0,IF(OR(数据录入!$D4662="投标保证金",数据录入!$D4662="合同履约保证金",ISNUMBER(FIND("保证金",数据录入!$E4662))),1,0))</f>
      </c>
      <c r="R4662" s="44">
        <f>IF(AND($Q4662=1,数据录入!$B4662&gt;=$B$2,数据录入!$B4662&lt;=$D$2),N(R4661)+1,N(R4661))</f>
      </c>
    </row>
    <row r="4663" s="44" customFormat="1" spans="1:23">
      <c r="A4663" s="116"/>
      <c r="E4663" s="108"/>
      <c r="F4663" s="114"/>
      <c r="G4663" s="114"/>
      <c r="H4663" s="114"/>
      <c r="Q4663" s="44">
        <f>IF(数据录入!$B4663="",0,IF(OR(数据录入!$D4663="投标保证金",数据录入!$D4663="合同履约保证金",ISNUMBER(FIND("保证金",数据录入!$E4663))),1,0))</f>
      </c>
      <c r="R4663" s="44">
        <f>IF(AND($Q4663=1,数据录入!$B4663&gt;=$B$2,数据录入!$B4663&lt;=$D$2),N(R4662)+1,N(R4662))</f>
      </c>
    </row>
    <row r="4664" s="44" customFormat="1" spans="1:23">
      <c r="A4664" s="116"/>
      <c r="E4664" s="108"/>
      <c r="F4664" s="114"/>
      <c r="G4664" s="114"/>
      <c r="H4664" s="114"/>
      <c r="Q4664" s="44">
        <f>IF(数据录入!$B4664="",0,IF(OR(数据录入!$D4664="投标保证金",数据录入!$D4664="合同履约保证金",ISNUMBER(FIND("保证金",数据录入!$E4664))),1,0))</f>
      </c>
      <c r="R4664" s="44">
        <f>IF(AND($Q4664=1,数据录入!$B4664&gt;=$B$2,数据录入!$B4664&lt;=$D$2),N(R4663)+1,N(R4663))</f>
      </c>
    </row>
    <row r="4665" s="44" customFormat="1" spans="1:23">
      <c r="A4665" s="116"/>
      <c r="E4665" s="108"/>
      <c r="F4665" s="114"/>
      <c r="G4665" s="114"/>
      <c r="H4665" s="114"/>
      <c r="Q4665" s="44">
        <f>IF(数据录入!$B4665="",0,IF(OR(数据录入!$D4665="投标保证金",数据录入!$D4665="合同履约保证金",ISNUMBER(FIND("保证金",数据录入!$E4665))),1,0))</f>
      </c>
      <c r="R4665" s="44">
        <f>IF(AND($Q4665=1,数据录入!$B4665&gt;=$B$2,数据录入!$B4665&lt;=$D$2),N(R4664)+1,N(R4664))</f>
      </c>
    </row>
    <row r="4666" s="44" customFormat="1" spans="1:23">
      <c r="A4666" s="116"/>
      <c r="E4666" s="108"/>
      <c r="F4666" s="114"/>
      <c r="G4666" s="114"/>
      <c r="H4666" s="114"/>
      <c r="Q4666" s="44">
        <f>IF(数据录入!$B4666="",0,IF(OR(数据录入!$D4666="投标保证金",数据录入!$D4666="合同履约保证金",ISNUMBER(FIND("保证金",数据录入!$E4666))),1,0))</f>
      </c>
      <c r="R4666" s="44">
        <f>IF(AND($Q4666=1,数据录入!$B4666&gt;=$B$2,数据录入!$B4666&lt;=$D$2),N(R4665)+1,N(R4665))</f>
      </c>
    </row>
    <row r="4667" s="44" customFormat="1" spans="1:23">
      <c r="A4667" s="116"/>
      <c r="E4667" s="108"/>
      <c r="F4667" s="114"/>
      <c r="G4667" s="114"/>
      <c r="H4667" s="114"/>
      <c r="Q4667" s="44">
        <f>IF(数据录入!$B4667="",0,IF(OR(数据录入!$D4667="投标保证金",数据录入!$D4667="合同履约保证金",ISNUMBER(FIND("保证金",数据录入!$E4667))),1,0))</f>
      </c>
      <c r="R4667" s="44">
        <f>IF(AND($Q4667=1,数据录入!$B4667&gt;=$B$2,数据录入!$B4667&lt;=$D$2),N(R4666)+1,N(R4666))</f>
      </c>
    </row>
    <row r="4668" s="44" customFormat="1" spans="1:23">
      <c r="A4668" s="116"/>
      <c r="E4668" s="108"/>
      <c r="F4668" s="114"/>
      <c r="G4668" s="114"/>
      <c r="H4668" s="114"/>
      <c r="Q4668" s="44">
        <f>IF(数据录入!$B4668="",0,IF(OR(数据录入!$D4668="投标保证金",数据录入!$D4668="合同履约保证金",ISNUMBER(FIND("保证金",数据录入!$E4668))),1,0))</f>
      </c>
      <c r="R4668" s="44">
        <f>IF(AND($Q4668=1,数据录入!$B4668&gt;=$B$2,数据录入!$B4668&lt;=$D$2),N(R4667)+1,N(R4667))</f>
      </c>
    </row>
    <row r="4669" s="44" customFormat="1" spans="1:23">
      <c r="A4669" s="116"/>
      <c r="E4669" s="108"/>
      <c r="F4669" s="114"/>
      <c r="G4669" s="114"/>
      <c r="H4669" s="114"/>
      <c r="Q4669" s="44">
        <f>IF(数据录入!$B4669="",0,IF(OR(数据录入!$D4669="投标保证金",数据录入!$D4669="合同履约保证金",ISNUMBER(FIND("保证金",数据录入!$E4669))),1,0))</f>
      </c>
      <c r="R4669" s="44">
        <f>IF(AND($Q4669=1,数据录入!$B4669&gt;=$B$2,数据录入!$B4669&lt;=$D$2),N(R4668)+1,N(R4668))</f>
      </c>
    </row>
    <row r="4670" s="44" customFormat="1" spans="1:23">
      <c r="A4670" s="116"/>
      <c r="E4670" s="108"/>
      <c r="F4670" s="114"/>
      <c r="G4670" s="114"/>
      <c r="H4670" s="114"/>
      <c r="Q4670" s="44">
        <f>IF(数据录入!$B4670="",0,IF(OR(数据录入!$D4670="投标保证金",数据录入!$D4670="合同履约保证金",ISNUMBER(FIND("保证金",数据录入!$E4670))),1,0))</f>
      </c>
      <c r="R4670" s="44">
        <f>IF(AND($Q4670=1,数据录入!$B4670&gt;=$B$2,数据录入!$B4670&lt;=$D$2),N(R4669)+1,N(R4669))</f>
      </c>
    </row>
    <row r="4671" s="44" customFormat="1" spans="1:23">
      <c r="A4671" s="116"/>
      <c r="E4671" s="108"/>
      <c r="F4671" s="114"/>
      <c r="G4671" s="114"/>
      <c r="H4671" s="114"/>
      <c r="Q4671" s="44">
        <f>IF(数据录入!$B4671="",0,IF(OR(数据录入!$D4671="投标保证金",数据录入!$D4671="合同履约保证金",ISNUMBER(FIND("保证金",数据录入!$E4671))),1,0))</f>
      </c>
      <c r="R4671" s="44">
        <f>IF(AND($Q4671=1,数据录入!$B4671&gt;=$B$2,数据录入!$B4671&lt;=$D$2),N(R4670)+1,N(R4670))</f>
      </c>
    </row>
    <row r="4672" s="44" customFormat="1" spans="1:23">
      <c r="A4672" s="116"/>
      <c r="E4672" s="108"/>
      <c r="F4672" s="114"/>
      <c r="G4672" s="114"/>
      <c r="H4672" s="114"/>
      <c r="Q4672" s="44">
        <f>IF(数据录入!$B4672="",0,IF(OR(数据录入!$D4672="投标保证金",数据录入!$D4672="合同履约保证金",ISNUMBER(FIND("保证金",数据录入!$E4672))),1,0))</f>
      </c>
      <c r="R4672" s="44">
        <f>IF(AND($Q4672=1,数据录入!$B4672&gt;=$B$2,数据录入!$B4672&lt;=$D$2),N(R4671)+1,N(R4671))</f>
      </c>
    </row>
    <row r="4673" s="44" customFormat="1" spans="1:23">
      <c r="A4673" s="116"/>
      <c r="E4673" s="108"/>
      <c r="F4673" s="114"/>
      <c r="G4673" s="114"/>
      <c r="H4673" s="114"/>
      <c r="Q4673" s="44">
        <f>IF(数据录入!$B4673="",0,IF(OR(数据录入!$D4673="投标保证金",数据录入!$D4673="合同履约保证金",ISNUMBER(FIND("保证金",数据录入!$E4673))),1,0))</f>
      </c>
      <c r="R4673" s="44">
        <f>IF(AND($Q4673=1,数据录入!$B4673&gt;=$B$2,数据录入!$B4673&lt;=$D$2),N(R4672)+1,N(R4672))</f>
      </c>
    </row>
    <row r="4674" s="44" customFormat="1" spans="1:23">
      <c r="A4674" s="116"/>
      <c r="E4674" s="108"/>
      <c r="F4674" s="114"/>
      <c r="G4674" s="114"/>
      <c r="H4674" s="114"/>
      <c r="Q4674" s="44">
        <f>IF(数据录入!$B4674="",0,IF(OR(数据录入!$D4674="投标保证金",数据录入!$D4674="合同履约保证金",ISNUMBER(FIND("保证金",数据录入!$E4674))),1,0))</f>
      </c>
      <c r="R4674" s="44">
        <f>IF(AND($Q4674=1,数据录入!$B4674&gt;=$B$2,数据录入!$B4674&lt;=$D$2),N(R4673)+1,N(R4673))</f>
      </c>
    </row>
    <row r="4675" s="44" customFormat="1" spans="1:23">
      <c r="A4675" s="116"/>
      <c r="E4675" s="108"/>
      <c r="F4675" s="114"/>
      <c r="G4675" s="114"/>
      <c r="H4675" s="114"/>
      <c r="Q4675" s="44">
        <f>IF(数据录入!$B4675="",0,IF(OR(数据录入!$D4675="投标保证金",数据录入!$D4675="合同履约保证金",ISNUMBER(FIND("保证金",数据录入!$E4675))),1,0))</f>
      </c>
      <c r="R4675" s="44">
        <f>IF(AND($Q4675=1,数据录入!$B4675&gt;=$B$2,数据录入!$B4675&lt;=$D$2),N(R4674)+1,N(R4674))</f>
      </c>
    </row>
    <row r="4676" s="44" customFormat="1" spans="1:23">
      <c r="A4676" s="116"/>
      <c r="E4676" s="108"/>
      <c r="F4676" s="114"/>
      <c r="G4676" s="114"/>
      <c r="H4676" s="114"/>
      <c r="Q4676" s="44">
        <f>IF(数据录入!$B4676="",0,IF(OR(数据录入!$D4676="投标保证金",数据录入!$D4676="合同履约保证金",ISNUMBER(FIND("保证金",数据录入!$E4676))),1,0))</f>
      </c>
      <c r="R4676" s="44">
        <f>IF(AND($Q4676=1,数据录入!$B4676&gt;=$B$2,数据录入!$B4676&lt;=$D$2),N(R4675)+1,N(R4675))</f>
      </c>
    </row>
    <row r="4677" s="44" customFormat="1" spans="1:23">
      <c r="A4677" s="116"/>
      <c r="E4677" s="108"/>
      <c r="F4677" s="114"/>
      <c r="G4677" s="114"/>
      <c r="H4677" s="114"/>
      <c r="Q4677" s="44">
        <f>IF(数据录入!$B4677="",0,IF(OR(数据录入!$D4677="投标保证金",数据录入!$D4677="合同履约保证金",ISNUMBER(FIND("保证金",数据录入!$E4677))),1,0))</f>
      </c>
      <c r="R4677" s="44">
        <f>IF(AND($Q4677=1,数据录入!$B4677&gt;=$B$2,数据录入!$B4677&lt;=$D$2),N(R4676)+1,N(R4676))</f>
      </c>
    </row>
    <row r="4678" s="44" customFormat="1" spans="1:23">
      <c r="A4678" s="116"/>
      <c r="E4678" s="108"/>
      <c r="F4678" s="114"/>
      <c r="G4678" s="114"/>
      <c r="H4678" s="114"/>
      <c r="Q4678" s="44">
        <f>IF(数据录入!$B4678="",0,IF(OR(数据录入!$D4678="投标保证金",数据录入!$D4678="合同履约保证金",ISNUMBER(FIND("保证金",数据录入!$E4678))),1,0))</f>
      </c>
      <c r="R4678" s="44">
        <f>IF(AND($Q4678=1,数据录入!$B4678&gt;=$B$2,数据录入!$B4678&lt;=$D$2),N(R4677)+1,N(R4677))</f>
      </c>
    </row>
    <row r="4679" s="44" customFormat="1" spans="1:23">
      <c r="A4679" s="116"/>
      <c r="E4679" s="108"/>
      <c r="F4679" s="114"/>
      <c r="G4679" s="114"/>
      <c r="H4679" s="114"/>
      <c r="Q4679" s="44">
        <f>IF(数据录入!$B4679="",0,IF(OR(数据录入!$D4679="投标保证金",数据录入!$D4679="合同履约保证金",ISNUMBER(FIND("保证金",数据录入!$E4679))),1,0))</f>
      </c>
      <c r="R4679" s="44">
        <f>IF(AND($Q4679=1,数据录入!$B4679&gt;=$B$2,数据录入!$B4679&lt;=$D$2),N(R4678)+1,N(R4678))</f>
      </c>
    </row>
    <row r="4680" s="44" customFormat="1" spans="1:23">
      <c r="A4680" s="116"/>
      <c r="E4680" s="108"/>
      <c r="F4680" s="114"/>
      <c r="G4680" s="114"/>
      <c r="H4680" s="114"/>
      <c r="Q4680" s="44">
        <f>IF(数据录入!$B4680="",0,IF(OR(数据录入!$D4680="投标保证金",数据录入!$D4680="合同履约保证金",ISNUMBER(FIND("保证金",数据录入!$E4680))),1,0))</f>
      </c>
      <c r="R4680" s="44">
        <f>IF(AND($Q4680=1,数据录入!$B4680&gt;=$B$2,数据录入!$B4680&lt;=$D$2),N(R4679)+1,N(R4679))</f>
      </c>
    </row>
    <row r="4681" s="44" customFormat="1" spans="1:23">
      <c r="A4681" s="116"/>
      <c r="E4681" s="108"/>
      <c r="F4681" s="114"/>
      <c r="G4681" s="114"/>
      <c r="H4681" s="114"/>
      <c r="Q4681" s="44">
        <f>IF(数据录入!$B4681="",0,IF(OR(数据录入!$D4681="投标保证金",数据录入!$D4681="合同履约保证金",ISNUMBER(FIND("保证金",数据录入!$E4681))),1,0))</f>
      </c>
      <c r="R4681" s="44">
        <f>IF(AND($Q4681=1,数据录入!$B4681&gt;=$B$2,数据录入!$B4681&lt;=$D$2),N(R4680)+1,N(R4680))</f>
      </c>
    </row>
    <row r="4682" s="44" customFormat="1" spans="1:23">
      <c r="A4682" s="116"/>
      <c r="E4682" s="108"/>
      <c r="F4682" s="114"/>
      <c r="G4682" s="114"/>
      <c r="H4682" s="114"/>
      <c r="Q4682" s="44">
        <f>IF(数据录入!$B4682="",0,IF(OR(数据录入!$D4682="投标保证金",数据录入!$D4682="合同履约保证金",ISNUMBER(FIND("保证金",数据录入!$E4682))),1,0))</f>
      </c>
      <c r="R4682" s="44">
        <f>IF(AND($Q4682=1,数据录入!$B4682&gt;=$B$2,数据录入!$B4682&lt;=$D$2),N(R4681)+1,N(R4681))</f>
      </c>
    </row>
    <row r="4683" s="44" customFormat="1" spans="1:23">
      <c r="A4683" s="116"/>
      <c r="E4683" s="108"/>
      <c r="F4683" s="114"/>
      <c r="G4683" s="114"/>
      <c r="H4683" s="114"/>
      <c r="Q4683" s="44">
        <f>IF(数据录入!$B4683="",0,IF(OR(数据录入!$D4683="投标保证金",数据录入!$D4683="合同履约保证金",ISNUMBER(FIND("保证金",数据录入!$E4683))),1,0))</f>
      </c>
      <c r="R4683" s="44">
        <f>IF(AND($Q4683=1,数据录入!$B4683&gt;=$B$2,数据录入!$B4683&lt;=$D$2),N(R4682)+1,N(R4682))</f>
      </c>
    </row>
    <row r="4684" s="44" customFormat="1" spans="1:23">
      <c r="A4684" s="116"/>
      <c r="E4684" s="108"/>
      <c r="F4684" s="114"/>
      <c r="G4684" s="114"/>
      <c r="H4684" s="114"/>
      <c r="Q4684" s="44">
        <f>IF(数据录入!$B4684="",0,IF(OR(数据录入!$D4684="投标保证金",数据录入!$D4684="合同履约保证金",ISNUMBER(FIND("保证金",数据录入!$E4684))),1,0))</f>
      </c>
      <c r="R4684" s="44">
        <f>IF(AND($Q4684=1,数据录入!$B4684&gt;=$B$2,数据录入!$B4684&lt;=$D$2),N(R4683)+1,N(R4683))</f>
      </c>
    </row>
    <row r="4685" s="44" customFormat="1" spans="1:23">
      <c r="A4685" s="116"/>
      <c r="E4685" s="108"/>
      <c r="F4685" s="114"/>
      <c r="G4685" s="114"/>
      <c r="H4685" s="114"/>
      <c r="Q4685" s="44">
        <f>IF(数据录入!$B4685="",0,IF(OR(数据录入!$D4685="投标保证金",数据录入!$D4685="合同履约保证金",ISNUMBER(FIND("保证金",数据录入!$E4685))),1,0))</f>
      </c>
      <c r="R4685" s="44">
        <f>IF(AND($Q4685=1,数据录入!$B4685&gt;=$B$2,数据录入!$B4685&lt;=$D$2),N(R4684)+1,N(R4684))</f>
      </c>
    </row>
    <row r="4686" s="44" customFormat="1" spans="1:23">
      <c r="A4686" s="116"/>
      <c r="E4686" s="108"/>
      <c r="F4686" s="114"/>
      <c r="G4686" s="114"/>
      <c r="H4686" s="114"/>
      <c r="Q4686" s="44">
        <f>IF(数据录入!$B4686="",0,IF(OR(数据录入!$D4686="投标保证金",数据录入!$D4686="合同履约保证金",ISNUMBER(FIND("保证金",数据录入!$E4686))),1,0))</f>
      </c>
      <c r="R4686" s="44">
        <f>IF(AND($Q4686=1,数据录入!$B4686&gt;=$B$2,数据录入!$B4686&lt;=$D$2),N(R4685)+1,N(R4685))</f>
      </c>
    </row>
    <row r="4687" s="44" customFormat="1" spans="1:23">
      <c r="A4687" s="116"/>
      <c r="E4687" s="108"/>
      <c r="F4687" s="114"/>
      <c r="G4687" s="114"/>
      <c r="H4687" s="114"/>
      <c r="Q4687" s="44">
        <f>IF(数据录入!$B4687="",0,IF(OR(数据录入!$D4687="投标保证金",数据录入!$D4687="合同履约保证金",ISNUMBER(FIND("保证金",数据录入!$E4687))),1,0))</f>
      </c>
      <c r="R4687" s="44">
        <f>IF(AND($Q4687=1,数据录入!$B4687&gt;=$B$2,数据录入!$B4687&lt;=$D$2),N(R4686)+1,N(R4686))</f>
      </c>
    </row>
    <row r="4688" s="44" customFormat="1" spans="1:23">
      <c r="A4688" s="116"/>
      <c r="E4688" s="108"/>
      <c r="F4688" s="114"/>
      <c r="G4688" s="114"/>
      <c r="H4688" s="114"/>
      <c r="Q4688" s="44">
        <f>IF(数据录入!$B4688="",0,IF(OR(数据录入!$D4688="投标保证金",数据录入!$D4688="合同履约保证金",ISNUMBER(FIND("保证金",数据录入!$E4688))),1,0))</f>
      </c>
      <c r="R4688" s="44">
        <f>IF(AND($Q4688=1,数据录入!$B4688&gt;=$B$2,数据录入!$B4688&lt;=$D$2),N(R4687)+1,N(R4687))</f>
      </c>
    </row>
    <row r="4689" s="44" customFormat="1" spans="1:23">
      <c r="A4689" s="116"/>
      <c r="E4689" s="108"/>
      <c r="F4689" s="114"/>
      <c r="G4689" s="114"/>
      <c r="H4689" s="114"/>
      <c r="Q4689" s="44">
        <f>IF(数据录入!$B4689="",0,IF(OR(数据录入!$D4689="投标保证金",数据录入!$D4689="合同履约保证金",ISNUMBER(FIND("保证金",数据录入!$E4689))),1,0))</f>
      </c>
      <c r="R4689" s="44">
        <f>IF(AND($Q4689=1,数据录入!$B4689&gt;=$B$2,数据录入!$B4689&lt;=$D$2),N(R4688)+1,N(R4688))</f>
      </c>
    </row>
    <row r="4690" s="44" customFormat="1" spans="1:23">
      <c r="A4690" s="116"/>
      <c r="E4690" s="108"/>
      <c r="F4690" s="114"/>
      <c r="G4690" s="114"/>
      <c r="H4690" s="114"/>
      <c r="Q4690" s="44">
        <f>IF(数据录入!$B4690="",0,IF(OR(数据录入!$D4690="投标保证金",数据录入!$D4690="合同履约保证金",ISNUMBER(FIND("保证金",数据录入!$E4690))),1,0))</f>
      </c>
      <c r="R4690" s="44">
        <f>IF(AND($Q4690=1,数据录入!$B4690&gt;=$B$2,数据录入!$B4690&lt;=$D$2),N(R4689)+1,N(R4689))</f>
      </c>
    </row>
    <row r="4691" s="44" customFormat="1" spans="1:23">
      <c r="A4691" s="116"/>
      <c r="E4691" s="108"/>
      <c r="F4691" s="114"/>
      <c r="G4691" s="114"/>
      <c r="H4691" s="114"/>
      <c r="Q4691" s="44">
        <f>IF(数据录入!$B4691="",0,IF(OR(数据录入!$D4691="投标保证金",数据录入!$D4691="合同履约保证金",ISNUMBER(FIND("保证金",数据录入!$E4691))),1,0))</f>
      </c>
      <c r="R4691" s="44">
        <f>IF(AND($Q4691=1,数据录入!$B4691&gt;=$B$2,数据录入!$B4691&lt;=$D$2),N(R4690)+1,N(R4690))</f>
      </c>
    </row>
    <row r="4692" s="44" customFormat="1" spans="1:23">
      <c r="A4692" s="116"/>
      <c r="E4692" s="108"/>
      <c r="F4692" s="114"/>
      <c r="G4692" s="114"/>
      <c r="H4692" s="114"/>
      <c r="Q4692" s="44">
        <f>IF(数据录入!$B4692="",0,IF(OR(数据录入!$D4692="投标保证金",数据录入!$D4692="合同履约保证金",ISNUMBER(FIND("保证金",数据录入!$E4692))),1,0))</f>
      </c>
      <c r="R4692" s="44">
        <f>IF(AND($Q4692=1,数据录入!$B4692&gt;=$B$2,数据录入!$B4692&lt;=$D$2),N(R4691)+1,N(R4691))</f>
      </c>
    </row>
    <row r="4693" s="44" customFormat="1" spans="1:23">
      <c r="A4693" s="116"/>
      <c r="E4693" s="108"/>
      <c r="F4693" s="114"/>
      <c r="G4693" s="114"/>
      <c r="H4693" s="114"/>
      <c r="Q4693" s="44">
        <f>IF(数据录入!$B4693="",0,IF(OR(数据录入!$D4693="投标保证金",数据录入!$D4693="合同履约保证金",ISNUMBER(FIND("保证金",数据录入!$E4693))),1,0))</f>
      </c>
      <c r="R4693" s="44">
        <f>IF(AND($Q4693=1,数据录入!$B4693&gt;=$B$2,数据录入!$B4693&lt;=$D$2),N(R4692)+1,N(R4692))</f>
      </c>
    </row>
    <row r="4694" s="44" customFormat="1" spans="1:23">
      <c r="A4694" s="116"/>
      <c r="E4694" s="108"/>
      <c r="F4694" s="114"/>
      <c r="G4694" s="114"/>
      <c r="H4694" s="114"/>
      <c r="Q4694" s="44">
        <f>IF(数据录入!$B4694="",0,IF(OR(数据录入!$D4694="投标保证金",数据录入!$D4694="合同履约保证金",ISNUMBER(FIND("保证金",数据录入!$E4694))),1,0))</f>
      </c>
      <c r="R4694" s="44">
        <f>IF(AND($Q4694=1,数据录入!$B4694&gt;=$B$2,数据录入!$B4694&lt;=$D$2),N(R4693)+1,N(R4693))</f>
      </c>
    </row>
    <row r="4695" s="44" customFormat="1" spans="1:23">
      <c r="A4695" s="116"/>
      <c r="E4695" s="108"/>
      <c r="F4695" s="114"/>
      <c r="G4695" s="114"/>
      <c r="H4695" s="114"/>
      <c r="Q4695" s="44">
        <f>IF(数据录入!$B4695="",0,IF(OR(数据录入!$D4695="投标保证金",数据录入!$D4695="合同履约保证金",ISNUMBER(FIND("保证金",数据录入!$E4695))),1,0))</f>
      </c>
      <c r="R4695" s="44">
        <f>IF(AND($Q4695=1,数据录入!$B4695&gt;=$B$2,数据录入!$B4695&lt;=$D$2),N(R4694)+1,N(R4694))</f>
      </c>
    </row>
    <row r="4696" s="44" customFormat="1" spans="1:23">
      <c r="A4696" s="116"/>
      <c r="E4696" s="108"/>
      <c r="F4696" s="114"/>
      <c r="G4696" s="114"/>
      <c r="H4696" s="114"/>
      <c r="Q4696" s="44">
        <f>IF(数据录入!$B4696="",0,IF(OR(数据录入!$D4696="投标保证金",数据录入!$D4696="合同履约保证金",ISNUMBER(FIND("保证金",数据录入!$E4696))),1,0))</f>
      </c>
      <c r="R4696" s="44">
        <f>IF(AND($Q4696=1,数据录入!$B4696&gt;=$B$2,数据录入!$B4696&lt;=$D$2),N(R4695)+1,N(R4695))</f>
      </c>
    </row>
    <row r="4697" s="44" customFormat="1" spans="1:23">
      <c r="A4697" s="116"/>
      <c r="E4697" s="108"/>
      <c r="F4697" s="114"/>
      <c r="G4697" s="114"/>
      <c r="H4697" s="114"/>
      <c r="Q4697" s="44">
        <f>IF(数据录入!$B4697="",0,IF(OR(数据录入!$D4697="投标保证金",数据录入!$D4697="合同履约保证金",ISNUMBER(FIND("保证金",数据录入!$E4697))),1,0))</f>
      </c>
      <c r="R4697" s="44">
        <f>IF(AND($Q4697=1,数据录入!$B4697&gt;=$B$2,数据录入!$B4697&lt;=$D$2),N(R4696)+1,N(R4696))</f>
      </c>
    </row>
    <row r="4698" s="44" customFormat="1" spans="1:23">
      <c r="A4698" s="116"/>
      <c r="E4698" s="108"/>
      <c r="F4698" s="114"/>
      <c r="G4698" s="114"/>
      <c r="H4698" s="114"/>
      <c r="Q4698" s="44">
        <f>IF(数据录入!$B4698="",0,IF(OR(数据录入!$D4698="投标保证金",数据录入!$D4698="合同履约保证金",ISNUMBER(FIND("保证金",数据录入!$E4698))),1,0))</f>
      </c>
      <c r="R4698" s="44">
        <f>IF(AND($Q4698=1,数据录入!$B4698&gt;=$B$2,数据录入!$B4698&lt;=$D$2),N(R4697)+1,N(R4697))</f>
      </c>
    </row>
    <row r="4699" s="44" customFormat="1" spans="1:23">
      <c r="A4699" s="116"/>
      <c r="E4699" s="108"/>
      <c r="F4699" s="114"/>
      <c r="G4699" s="114"/>
      <c r="H4699" s="114"/>
      <c r="Q4699" s="44">
        <f>IF(数据录入!$B4699="",0,IF(OR(数据录入!$D4699="投标保证金",数据录入!$D4699="合同履约保证金",ISNUMBER(FIND("保证金",数据录入!$E4699))),1,0))</f>
      </c>
      <c r="R4699" s="44">
        <f>IF(AND($Q4699=1,数据录入!$B4699&gt;=$B$2,数据录入!$B4699&lt;=$D$2),N(R4698)+1,N(R4698))</f>
      </c>
    </row>
    <row r="4700" s="44" customFormat="1" spans="1:23">
      <c r="A4700" s="116"/>
      <c r="E4700" s="108"/>
      <c r="F4700" s="114"/>
      <c r="G4700" s="114"/>
      <c r="H4700" s="114"/>
      <c r="Q4700" s="44">
        <f>IF(数据录入!$B4700="",0,IF(OR(数据录入!$D4700="投标保证金",数据录入!$D4700="合同履约保证金",ISNUMBER(FIND("保证金",数据录入!$E4700))),1,0))</f>
      </c>
      <c r="R4700" s="44">
        <f>IF(AND($Q4700=1,数据录入!$B4700&gt;=$B$2,数据录入!$B4700&lt;=$D$2),N(R4699)+1,N(R4699))</f>
      </c>
    </row>
    <row r="4701" s="44" customFormat="1" spans="1:23">
      <c r="A4701" s="116"/>
      <c r="E4701" s="108"/>
      <c r="F4701" s="114"/>
      <c r="G4701" s="114"/>
      <c r="H4701" s="114"/>
      <c r="Q4701" s="44">
        <f>IF(数据录入!$B4701="",0,IF(OR(数据录入!$D4701="投标保证金",数据录入!$D4701="合同履约保证金",ISNUMBER(FIND("保证金",数据录入!$E4701))),1,0))</f>
      </c>
      <c r="R4701" s="44">
        <f>IF(AND($Q4701=1,数据录入!$B4701&gt;=$B$2,数据录入!$B4701&lt;=$D$2),N(R4700)+1,N(R4700))</f>
      </c>
    </row>
    <row r="4702" s="44" customFormat="1" spans="1:23">
      <c r="A4702" s="116"/>
      <c r="E4702" s="108"/>
      <c r="F4702" s="114"/>
      <c r="G4702" s="114"/>
      <c r="H4702" s="114"/>
      <c r="Q4702" s="44">
        <f>IF(数据录入!$B4702="",0,IF(OR(数据录入!$D4702="投标保证金",数据录入!$D4702="合同履约保证金",ISNUMBER(FIND("保证金",数据录入!$E4702))),1,0))</f>
      </c>
      <c r="R4702" s="44">
        <f>IF(AND($Q4702=1,数据录入!$B4702&gt;=$B$2,数据录入!$B4702&lt;=$D$2),N(R4701)+1,N(R4701))</f>
      </c>
    </row>
    <row r="4703" s="44" customFormat="1" spans="1:23">
      <c r="A4703" s="116"/>
      <c r="E4703" s="108"/>
      <c r="F4703" s="114"/>
      <c r="G4703" s="114"/>
      <c r="H4703" s="114"/>
      <c r="Q4703" s="44">
        <f>IF(数据录入!$B4703="",0,IF(OR(数据录入!$D4703="投标保证金",数据录入!$D4703="合同履约保证金",ISNUMBER(FIND("保证金",数据录入!$E4703))),1,0))</f>
      </c>
      <c r="R4703" s="44">
        <f>IF(AND($Q4703=1,数据录入!$B4703&gt;=$B$2,数据录入!$B4703&lt;=$D$2),N(R4702)+1,N(R4702))</f>
      </c>
    </row>
    <row r="4704" s="44" customFormat="1" spans="1:23">
      <c r="A4704" s="116"/>
      <c r="E4704" s="108"/>
      <c r="F4704" s="114"/>
      <c r="G4704" s="114"/>
      <c r="H4704" s="114"/>
      <c r="Q4704" s="44">
        <f>IF(数据录入!$B4704="",0,IF(OR(数据录入!$D4704="投标保证金",数据录入!$D4704="合同履约保证金",ISNUMBER(FIND("保证金",数据录入!$E4704))),1,0))</f>
      </c>
      <c r="R4704" s="44">
        <f>IF(AND($Q4704=1,数据录入!$B4704&gt;=$B$2,数据录入!$B4704&lt;=$D$2),N(R4703)+1,N(R4703))</f>
      </c>
    </row>
    <row r="4705" s="44" customFormat="1" spans="1:23">
      <c r="A4705" s="116"/>
      <c r="E4705" s="108"/>
      <c r="F4705" s="114"/>
      <c r="G4705" s="114"/>
      <c r="H4705" s="114"/>
      <c r="Q4705" s="44">
        <f>IF(数据录入!$B4705="",0,IF(OR(数据录入!$D4705="投标保证金",数据录入!$D4705="合同履约保证金",ISNUMBER(FIND("保证金",数据录入!$E4705))),1,0))</f>
      </c>
      <c r="R4705" s="44">
        <f>IF(AND($Q4705=1,数据录入!$B4705&gt;=$B$2,数据录入!$B4705&lt;=$D$2),N(R4704)+1,N(R4704))</f>
      </c>
    </row>
    <row r="4706" s="44" customFormat="1" spans="1:23">
      <c r="A4706" s="116"/>
      <c r="E4706" s="108"/>
      <c r="F4706" s="114"/>
      <c r="G4706" s="114"/>
      <c r="H4706" s="114"/>
      <c r="Q4706" s="44">
        <f>IF(数据录入!$B4706="",0,IF(OR(数据录入!$D4706="投标保证金",数据录入!$D4706="合同履约保证金",ISNUMBER(FIND("保证金",数据录入!$E4706))),1,0))</f>
      </c>
      <c r="R4706" s="44">
        <f>IF(AND($Q4706=1,数据录入!$B4706&gt;=$B$2,数据录入!$B4706&lt;=$D$2),N(R4705)+1,N(R4705))</f>
      </c>
    </row>
    <row r="4707" s="44" customFormat="1" spans="1:23">
      <c r="A4707" s="116"/>
      <c r="E4707" s="108"/>
      <c r="F4707" s="114"/>
      <c r="G4707" s="114"/>
      <c r="H4707" s="114"/>
      <c r="Q4707" s="44">
        <f>IF(数据录入!$B4707="",0,IF(OR(数据录入!$D4707="投标保证金",数据录入!$D4707="合同履约保证金",ISNUMBER(FIND("保证金",数据录入!$E4707))),1,0))</f>
      </c>
      <c r="R4707" s="44">
        <f>IF(AND($Q4707=1,数据录入!$B4707&gt;=$B$2,数据录入!$B4707&lt;=$D$2),N(R4706)+1,N(R4706))</f>
      </c>
    </row>
    <row r="4708" s="44" customFormat="1" spans="1:23">
      <c r="A4708" s="116"/>
      <c r="E4708" s="108"/>
      <c r="F4708" s="114"/>
      <c r="G4708" s="114"/>
      <c r="H4708" s="114"/>
      <c r="Q4708" s="44">
        <f>IF(数据录入!$B4708="",0,IF(OR(数据录入!$D4708="投标保证金",数据录入!$D4708="合同履约保证金",ISNUMBER(FIND("保证金",数据录入!$E4708))),1,0))</f>
      </c>
      <c r="R4708" s="44">
        <f>IF(AND($Q4708=1,数据录入!$B4708&gt;=$B$2,数据录入!$B4708&lt;=$D$2),N(R4707)+1,N(R4707))</f>
      </c>
    </row>
    <row r="4709" s="44" customFormat="1" spans="1:23">
      <c r="A4709" s="116"/>
      <c r="E4709" s="108"/>
      <c r="F4709" s="114"/>
      <c r="G4709" s="114"/>
      <c r="H4709" s="114"/>
      <c r="Q4709" s="44">
        <f>IF(数据录入!$B4709="",0,IF(OR(数据录入!$D4709="投标保证金",数据录入!$D4709="合同履约保证金",ISNUMBER(FIND("保证金",数据录入!$E4709))),1,0))</f>
      </c>
      <c r="R4709" s="44">
        <f>IF(AND($Q4709=1,数据录入!$B4709&gt;=$B$2,数据录入!$B4709&lt;=$D$2),N(R4708)+1,N(R4708))</f>
      </c>
    </row>
    <row r="4710" s="44" customFormat="1" spans="1:23">
      <c r="A4710" s="116"/>
      <c r="E4710" s="108"/>
      <c r="F4710" s="114"/>
      <c r="G4710" s="114"/>
      <c r="H4710" s="114"/>
      <c r="Q4710" s="44">
        <f>IF(数据录入!$B4710="",0,IF(OR(数据录入!$D4710="投标保证金",数据录入!$D4710="合同履约保证金",ISNUMBER(FIND("保证金",数据录入!$E4710))),1,0))</f>
      </c>
      <c r="R4710" s="44">
        <f>IF(AND($Q4710=1,数据录入!$B4710&gt;=$B$2,数据录入!$B4710&lt;=$D$2),N(R4709)+1,N(R4709))</f>
      </c>
    </row>
    <row r="4711" s="44" customFormat="1" spans="1:23">
      <c r="A4711" s="116"/>
      <c r="E4711" s="108"/>
      <c r="F4711" s="114"/>
      <c r="G4711" s="114"/>
      <c r="H4711" s="114"/>
      <c r="Q4711" s="44">
        <f>IF(数据录入!$B4711="",0,IF(OR(数据录入!$D4711="投标保证金",数据录入!$D4711="合同履约保证金",ISNUMBER(FIND("保证金",数据录入!$E4711))),1,0))</f>
      </c>
      <c r="R4711" s="44">
        <f>IF(AND($Q4711=1,数据录入!$B4711&gt;=$B$2,数据录入!$B4711&lt;=$D$2),N(R4710)+1,N(R4710))</f>
      </c>
    </row>
    <row r="4712" s="44" customFormat="1" spans="1:23">
      <c r="A4712" s="116"/>
      <c r="E4712" s="108"/>
      <c r="F4712" s="114"/>
      <c r="G4712" s="114"/>
      <c r="H4712" s="114"/>
      <c r="Q4712" s="44">
        <f>IF(数据录入!$B4712="",0,IF(OR(数据录入!$D4712="投标保证金",数据录入!$D4712="合同履约保证金",ISNUMBER(FIND("保证金",数据录入!$E4712))),1,0))</f>
      </c>
      <c r="R4712" s="44">
        <f>IF(AND($Q4712=1,数据录入!$B4712&gt;=$B$2,数据录入!$B4712&lt;=$D$2),N(R4711)+1,N(R4711))</f>
      </c>
    </row>
    <row r="4713" s="44" customFormat="1" spans="1:23">
      <c r="A4713" s="116"/>
      <c r="E4713" s="108"/>
      <c r="F4713" s="114"/>
      <c r="G4713" s="114"/>
      <c r="H4713" s="114"/>
      <c r="Q4713" s="44">
        <f>IF(数据录入!$B4713="",0,IF(OR(数据录入!$D4713="投标保证金",数据录入!$D4713="合同履约保证金",ISNUMBER(FIND("保证金",数据录入!$E4713))),1,0))</f>
      </c>
      <c r="R4713" s="44">
        <f>IF(AND($Q4713=1,数据录入!$B4713&gt;=$B$2,数据录入!$B4713&lt;=$D$2),N(R4712)+1,N(R4712))</f>
      </c>
    </row>
    <row r="4714" s="44" customFormat="1" spans="1:23">
      <c r="A4714" s="116"/>
      <c r="E4714" s="108"/>
      <c r="F4714" s="114"/>
      <c r="G4714" s="114"/>
      <c r="H4714" s="114"/>
      <c r="Q4714" s="44">
        <f>IF(数据录入!$B4714="",0,IF(OR(数据录入!$D4714="投标保证金",数据录入!$D4714="合同履约保证金",ISNUMBER(FIND("保证金",数据录入!$E4714))),1,0))</f>
      </c>
      <c r="R4714" s="44">
        <f>IF(AND($Q4714=1,数据录入!$B4714&gt;=$B$2,数据录入!$B4714&lt;=$D$2),N(R4713)+1,N(R4713))</f>
      </c>
    </row>
    <row r="4715" s="44" customFormat="1" spans="1:23">
      <c r="A4715" s="116"/>
      <c r="E4715" s="108"/>
      <c r="F4715" s="114"/>
      <c r="G4715" s="114"/>
      <c r="H4715" s="114"/>
      <c r="Q4715" s="44">
        <f>IF(数据录入!$B4715="",0,IF(OR(数据录入!$D4715="投标保证金",数据录入!$D4715="合同履约保证金",ISNUMBER(FIND("保证金",数据录入!$E4715))),1,0))</f>
      </c>
      <c r="R4715" s="44">
        <f>IF(AND($Q4715=1,数据录入!$B4715&gt;=$B$2,数据录入!$B4715&lt;=$D$2),N(R4714)+1,N(R4714))</f>
      </c>
    </row>
    <row r="4716" s="44" customFormat="1" spans="1:23">
      <c r="A4716" s="116"/>
      <c r="E4716" s="108"/>
      <c r="F4716" s="114"/>
      <c r="G4716" s="114"/>
      <c r="H4716" s="114"/>
      <c r="Q4716" s="44">
        <f>IF(数据录入!$B4716="",0,IF(OR(数据录入!$D4716="投标保证金",数据录入!$D4716="合同履约保证金",ISNUMBER(FIND("保证金",数据录入!$E4716))),1,0))</f>
      </c>
      <c r="R4716" s="44">
        <f>IF(AND($Q4716=1,数据录入!$B4716&gt;=$B$2,数据录入!$B4716&lt;=$D$2),N(R4715)+1,N(R4715))</f>
      </c>
    </row>
    <row r="4717" s="44" customFormat="1" spans="1:23">
      <c r="A4717" s="116"/>
      <c r="E4717" s="108"/>
      <c r="F4717" s="114"/>
      <c r="G4717" s="114"/>
      <c r="H4717" s="114"/>
      <c r="Q4717" s="44">
        <f>IF(数据录入!$B4717="",0,IF(OR(数据录入!$D4717="投标保证金",数据录入!$D4717="合同履约保证金",ISNUMBER(FIND("保证金",数据录入!$E4717))),1,0))</f>
      </c>
      <c r="R4717" s="44">
        <f>IF(AND($Q4717=1,数据录入!$B4717&gt;=$B$2,数据录入!$B4717&lt;=$D$2),N(R4716)+1,N(R4716))</f>
      </c>
    </row>
    <row r="4718" s="44" customFormat="1" spans="1:23">
      <c r="A4718" s="116"/>
      <c r="E4718" s="108"/>
      <c r="F4718" s="114"/>
      <c r="G4718" s="114"/>
      <c r="H4718" s="114"/>
      <c r="Q4718" s="44">
        <f>IF(数据录入!$B4718="",0,IF(OR(数据录入!$D4718="投标保证金",数据录入!$D4718="合同履约保证金",ISNUMBER(FIND("保证金",数据录入!$E4718))),1,0))</f>
      </c>
      <c r="R4718" s="44">
        <f>IF(AND($Q4718=1,数据录入!$B4718&gt;=$B$2,数据录入!$B4718&lt;=$D$2),N(R4717)+1,N(R4717))</f>
      </c>
    </row>
    <row r="4719" s="44" customFormat="1" spans="1:23">
      <c r="A4719" s="116"/>
      <c r="E4719" s="108"/>
      <c r="F4719" s="114"/>
      <c r="G4719" s="114"/>
      <c r="H4719" s="114"/>
      <c r="Q4719" s="44">
        <f>IF(数据录入!$B4719="",0,IF(OR(数据录入!$D4719="投标保证金",数据录入!$D4719="合同履约保证金",ISNUMBER(FIND("保证金",数据录入!$E4719))),1,0))</f>
      </c>
      <c r="R4719" s="44">
        <f>IF(AND($Q4719=1,数据录入!$B4719&gt;=$B$2,数据录入!$B4719&lt;=$D$2),N(R4718)+1,N(R4718))</f>
      </c>
    </row>
    <row r="4720" s="44" customFormat="1" spans="1:23">
      <c r="A4720" s="116"/>
      <c r="E4720" s="108"/>
      <c r="F4720" s="114"/>
      <c r="G4720" s="114"/>
      <c r="H4720" s="114"/>
      <c r="Q4720" s="44">
        <f>IF(数据录入!$B4720="",0,IF(OR(数据录入!$D4720="投标保证金",数据录入!$D4720="合同履约保证金",ISNUMBER(FIND("保证金",数据录入!$E4720))),1,0))</f>
      </c>
      <c r="R4720" s="44">
        <f>IF(AND($Q4720=1,数据录入!$B4720&gt;=$B$2,数据录入!$B4720&lt;=$D$2),N(R4719)+1,N(R4719))</f>
      </c>
    </row>
    <row r="4721" s="44" customFormat="1" spans="1:23">
      <c r="A4721" s="116"/>
      <c r="E4721" s="108"/>
      <c r="F4721" s="114"/>
      <c r="G4721" s="114"/>
      <c r="H4721" s="114"/>
      <c r="Q4721" s="44">
        <f>IF(数据录入!$B4721="",0,IF(OR(数据录入!$D4721="投标保证金",数据录入!$D4721="合同履约保证金",ISNUMBER(FIND("保证金",数据录入!$E4721))),1,0))</f>
      </c>
      <c r="R4721" s="44">
        <f>IF(AND($Q4721=1,数据录入!$B4721&gt;=$B$2,数据录入!$B4721&lt;=$D$2),N(R4720)+1,N(R4720))</f>
      </c>
    </row>
    <row r="4722" s="44" customFormat="1" spans="1:23">
      <c r="A4722" s="116"/>
      <c r="E4722" s="108"/>
      <c r="F4722" s="114"/>
      <c r="G4722" s="114"/>
      <c r="H4722" s="114"/>
      <c r="Q4722" s="44">
        <f>IF(数据录入!$B4722="",0,IF(OR(数据录入!$D4722="投标保证金",数据录入!$D4722="合同履约保证金",ISNUMBER(FIND("保证金",数据录入!$E4722))),1,0))</f>
      </c>
      <c r="R4722" s="44">
        <f>IF(AND($Q4722=1,数据录入!$B4722&gt;=$B$2,数据录入!$B4722&lt;=$D$2),N(R4721)+1,N(R4721))</f>
      </c>
    </row>
    <row r="4723" s="44" customFormat="1" spans="1:23">
      <c r="A4723" s="116"/>
      <c r="E4723" s="108"/>
      <c r="F4723" s="114"/>
      <c r="G4723" s="114"/>
      <c r="H4723" s="114"/>
      <c r="Q4723" s="44">
        <f>IF(数据录入!$B4723="",0,IF(OR(数据录入!$D4723="投标保证金",数据录入!$D4723="合同履约保证金",ISNUMBER(FIND("保证金",数据录入!$E4723))),1,0))</f>
      </c>
      <c r="R4723" s="44">
        <f>IF(AND($Q4723=1,数据录入!$B4723&gt;=$B$2,数据录入!$B4723&lt;=$D$2),N(R4722)+1,N(R4722))</f>
      </c>
    </row>
    <row r="4724" s="44" customFormat="1" spans="1:23">
      <c r="A4724" s="116"/>
      <c r="E4724" s="108"/>
      <c r="F4724" s="114"/>
      <c r="G4724" s="114"/>
      <c r="H4724" s="114"/>
      <c r="Q4724" s="44">
        <f>IF(数据录入!$B4724="",0,IF(OR(数据录入!$D4724="投标保证金",数据录入!$D4724="合同履约保证金",ISNUMBER(FIND("保证金",数据录入!$E4724))),1,0))</f>
      </c>
      <c r="R4724" s="44">
        <f>IF(AND($Q4724=1,数据录入!$B4724&gt;=$B$2,数据录入!$B4724&lt;=$D$2),N(R4723)+1,N(R4723))</f>
      </c>
    </row>
    <row r="4725" s="44" customFormat="1" spans="1:23">
      <c r="A4725" s="116"/>
      <c r="E4725" s="108"/>
      <c r="F4725" s="114"/>
      <c r="G4725" s="114"/>
      <c r="H4725" s="114"/>
      <c r="Q4725" s="44">
        <f>IF(数据录入!$B4725="",0,IF(OR(数据录入!$D4725="投标保证金",数据录入!$D4725="合同履约保证金",ISNUMBER(FIND("保证金",数据录入!$E4725))),1,0))</f>
      </c>
      <c r="R4725" s="44">
        <f>IF(AND($Q4725=1,数据录入!$B4725&gt;=$B$2,数据录入!$B4725&lt;=$D$2),N(R4724)+1,N(R4724))</f>
      </c>
    </row>
    <row r="4726" s="44" customFormat="1" spans="1:23">
      <c r="A4726" s="116"/>
      <c r="E4726" s="108"/>
      <c r="F4726" s="114"/>
      <c r="G4726" s="114"/>
      <c r="H4726" s="114"/>
      <c r="Q4726" s="44">
        <f>IF(数据录入!$B4726="",0,IF(OR(数据录入!$D4726="投标保证金",数据录入!$D4726="合同履约保证金",ISNUMBER(FIND("保证金",数据录入!$E4726))),1,0))</f>
      </c>
      <c r="R4726" s="44">
        <f>IF(AND($Q4726=1,数据录入!$B4726&gt;=$B$2,数据录入!$B4726&lt;=$D$2),N(R4725)+1,N(R4725))</f>
      </c>
    </row>
    <row r="4727" s="44" customFormat="1" spans="1:23">
      <c r="A4727" s="116"/>
      <c r="E4727" s="108"/>
      <c r="F4727" s="114"/>
      <c r="G4727" s="114"/>
      <c r="H4727" s="114"/>
      <c r="Q4727" s="44">
        <f>IF(数据录入!$B4727="",0,IF(OR(数据录入!$D4727="投标保证金",数据录入!$D4727="合同履约保证金",ISNUMBER(FIND("保证金",数据录入!$E4727))),1,0))</f>
      </c>
      <c r="R4727" s="44">
        <f>IF(AND($Q4727=1,数据录入!$B4727&gt;=$B$2,数据录入!$B4727&lt;=$D$2),N(R4726)+1,N(R4726))</f>
      </c>
    </row>
    <row r="4728" s="44" customFormat="1" spans="1:23">
      <c r="A4728" s="116"/>
      <c r="E4728" s="108"/>
      <c r="F4728" s="114"/>
      <c r="G4728" s="114"/>
      <c r="H4728" s="114"/>
      <c r="Q4728" s="44">
        <f>IF(数据录入!$B4728="",0,IF(OR(数据录入!$D4728="投标保证金",数据录入!$D4728="合同履约保证金",ISNUMBER(FIND("保证金",数据录入!$E4728))),1,0))</f>
      </c>
      <c r="R4728" s="44">
        <f>IF(AND($Q4728=1,数据录入!$B4728&gt;=$B$2,数据录入!$B4728&lt;=$D$2),N(R4727)+1,N(R4727))</f>
      </c>
    </row>
    <row r="4729" s="44" customFormat="1" spans="1:23">
      <c r="A4729" s="116"/>
      <c r="E4729" s="108"/>
      <c r="F4729" s="114"/>
      <c r="G4729" s="114"/>
      <c r="H4729" s="114"/>
      <c r="Q4729" s="44">
        <f>IF(数据录入!$B4729="",0,IF(OR(数据录入!$D4729="投标保证金",数据录入!$D4729="合同履约保证金",ISNUMBER(FIND("保证金",数据录入!$E4729))),1,0))</f>
      </c>
      <c r="R4729" s="44">
        <f>IF(AND($Q4729=1,数据录入!$B4729&gt;=$B$2,数据录入!$B4729&lt;=$D$2),N(R4728)+1,N(R4728))</f>
      </c>
    </row>
    <row r="4730" s="44" customFormat="1" spans="1:23">
      <c r="A4730" s="116"/>
      <c r="E4730" s="108"/>
      <c r="F4730" s="114"/>
      <c r="G4730" s="114"/>
      <c r="H4730" s="114"/>
      <c r="Q4730" s="44">
        <f>IF(数据录入!$B4730="",0,IF(OR(数据录入!$D4730="投标保证金",数据录入!$D4730="合同履约保证金",ISNUMBER(FIND("保证金",数据录入!$E4730))),1,0))</f>
      </c>
      <c r="R4730" s="44">
        <f>IF(AND($Q4730=1,数据录入!$B4730&gt;=$B$2,数据录入!$B4730&lt;=$D$2),N(R4729)+1,N(R4729))</f>
      </c>
    </row>
    <row r="4731" s="44" customFormat="1" spans="1:23">
      <c r="A4731" s="116"/>
      <c r="E4731" s="108"/>
      <c r="F4731" s="114"/>
      <c r="G4731" s="114"/>
      <c r="H4731" s="114"/>
      <c r="Q4731" s="44">
        <f>IF(数据录入!$B4731="",0,IF(OR(数据录入!$D4731="投标保证金",数据录入!$D4731="合同履约保证金",ISNUMBER(FIND("保证金",数据录入!$E4731))),1,0))</f>
      </c>
      <c r="R4731" s="44">
        <f>IF(AND($Q4731=1,数据录入!$B4731&gt;=$B$2,数据录入!$B4731&lt;=$D$2),N(R4730)+1,N(R4730))</f>
      </c>
    </row>
    <row r="4732" s="44" customFormat="1" spans="1:23">
      <c r="A4732" s="116"/>
      <c r="E4732" s="108"/>
      <c r="F4732" s="114"/>
      <c r="G4732" s="114"/>
      <c r="H4732" s="114"/>
      <c r="Q4732" s="44">
        <f>IF(数据录入!$B4732="",0,IF(OR(数据录入!$D4732="投标保证金",数据录入!$D4732="合同履约保证金",ISNUMBER(FIND("保证金",数据录入!$E4732))),1,0))</f>
      </c>
      <c r="R4732" s="44">
        <f>IF(AND($Q4732=1,数据录入!$B4732&gt;=$B$2,数据录入!$B4732&lt;=$D$2),N(R4731)+1,N(R4731))</f>
      </c>
    </row>
    <row r="4733" s="44" customFormat="1" spans="1:23">
      <c r="A4733" s="116"/>
      <c r="E4733" s="108"/>
      <c r="F4733" s="114"/>
      <c r="G4733" s="114"/>
      <c r="H4733" s="114"/>
      <c r="Q4733" s="44">
        <f>IF(数据录入!$B4733="",0,IF(OR(数据录入!$D4733="投标保证金",数据录入!$D4733="合同履约保证金",ISNUMBER(FIND("保证金",数据录入!$E4733))),1,0))</f>
      </c>
      <c r="R4733" s="44">
        <f>IF(AND($Q4733=1,数据录入!$B4733&gt;=$B$2,数据录入!$B4733&lt;=$D$2),N(R4732)+1,N(R4732))</f>
      </c>
    </row>
    <row r="4734" s="44" customFormat="1" spans="1:23">
      <c r="A4734" s="116"/>
      <c r="E4734" s="108"/>
      <c r="F4734" s="114"/>
      <c r="G4734" s="114"/>
      <c r="H4734" s="114"/>
      <c r="Q4734" s="44">
        <f>IF(数据录入!$B4734="",0,IF(OR(数据录入!$D4734="投标保证金",数据录入!$D4734="合同履约保证金",ISNUMBER(FIND("保证金",数据录入!$E4734))),1,0))</f>
      </c>
      <c r="R4734" s="44">
        <f>IF(AND($Q4734=1,数据录入!$B4734&gt;=$B$2,数据录入!$B4734&lt;=$D$2),N(R4733)+1,N(R4733))</f>
      </c>
    </row>
    <row r="4735" s="44" customFormat="1" spans="1:23">
      <c r="A4735" s="116"/>
      <c r="E4735" s="108"/>
      <c r="F4735" s="114"/>
      <c r="G4735" s="114"/>
      <c r="H4735" s="114"/>
      <c r="Q4735" s="44">
        <f>IF(数据录入!$B4735="",0,IF(OR(数据录入!$D4735="投标保证金",数据录入!$D4735="合同履约保证金",ISNUMBER(FIND("保证金",数据录入!$E4735))),1,0))</f>
      </c>
      <c r="R4735" s="44">
        <f>IF(AND($Q4735=1,数据录入!$B4735&gt;=$B$2,数据录入!$B4735&lt;=$D$2),N(R4734)+1,N(R4734))</f>
      </c>
    </row>
    <row r="4736" s="44" customFormat="1" spans="1:23">
      <c r="A4736" s="116"/>
      <c r="E4736" s="108"/>
      <c r="F4736" s="114"/>
      <c r="G4736" s="114"/>
      <c r="H4736" s="114"/>
      <c r="Q4736" s="44">
        <f>IF(数据录入!$B4736="",0,IF(OR(数据录入!$D4736="投标保证金",数据录入!$D4736="合同履约保证金",ISNUMBER(FIND("保证金",数据录入!$E4736))),1,0))</f>
      </c>
      <c r="R4736" s="44">
        <f>IF(AND($Q4736=1,数据录入!$B4736&gt;=$B$2,数据录入!$B4736&lt;=$D$2),N(R4735)+1,N(R4735))</f>
      </c>
    </row>
    <row r="4737" s="44" customFormat="1" spans="1:23">
      <c r="A4737" s="116"/>
      <c r="E4737" s="108"/>
      <c r="F4737" s="114"/>
      <c r="G4737" s="114"/>
      <c r="H4737" s="114"/>
      <c r="Q4737" s="44">
        <f>IF(数据录入!$B4737="",0,IF(OR(数据录入!$D4737="投标保证金",数据录入!$D4737="合同履约保证金",ISNUMBER(FIND("保证金",数据录入!$E4737))),1,0))</f>
      </c>
      <c r="R4737" s="44">
        <f>IF(AND($Q4737=1,数据录入!$B4737&gt;=$B$2,数据录入!$B4737&lt;=$D$2),N(R4736)+1,N(R4736))</f>
      </c>
    </row>
    <row r="4738" s="44" customFormat="1" spans="1:23">
      <c r="A4738" s="116"/>
      <c r="E4738" s="108"/>
      <c r="F4738" s="114"/>
      <c r="G4738" s="114"/>
      <c r="H4738" s="114"/>
      <c r="Q4738" s="44">
        <f>IF(数据录入!$B4738="",0,IF(OR(数据录入!$D4738="投标保证金",数据录入!$D4738="合同履约保证金",ISNUMBER(FIND("保证金",数据录入!$E4738))),1,0))</f>
      </c>
      <c r="R4738" s="44">
        <f>IF(AND($Q4738=1,数据录入!$B4738&gt;=$B$2,数据录入!$B4738&lt;=$D$2),N(R4737)+1,N(R4737))</f>
      </c>
    </row>
    <row r="4739" s="44" customFormat="1" spans="1:23">
      <c r="A4739" s="116"/>
      <c r="E4739" s="108"/>
      <c r="F4739" s="114"/>
      <c r="G4739" s="114"/>
      <c r="H4739" s="114"/>
      <c r="Q4739" s="44">
        <f>IF(数据录入!$B4739="",0,IF(OR(数据录入!$D4739="投标保证金",数据录入!$D4739="合同履约保证金",ISNUMBER(FIND("保证金",数据录入!$E4739))),1,0))</f>
      </c>
      <c r="R4739" s="44">
        <f>IF(AND($Q4739=1,数据录入!$B4739&gt;=$B$2,数据录入!$B4739&lt;=$D$2),N(R4738)+1,N(R4738))</f>
      </c>
    </row>
    <row r="4740" s="44" customFormat="1" spans="1:23">
      <c r="A4740" s="116"/>
      <c r="E4740" s="108"/>
      <c r="F4740" s="114"/>
      <c r="G4740" s="114"/>
      <c r="H4740" s="114"/>
      <c r="Q4740" s="44">
        <f>IF(数据录入!$B4740="",0,IF(OR(数据录入!$D4740="投标保证金",数据录入!$D4740="合同履约保证金",ISNUMBER(FIND("保证金",数据录入!$E4740))),1,0))</f>
      </c>
      <c r="R4740" s="44">
        <f>IF(AND($Q4740=1,数据录入!$B4740&gt;=$B$2,数据录入!$B4740&lt;=$D$2),N(R4739)+1,N(R4739))</f>
      </c>
    </row>
    <row r="4741" s="44" customFormat="1" spans="1:23">
      <c r="A4741" s="116"/>
      <c r="E4741" s="108"/>
      <c r="F4741" s="114"/>
      <c r="G4741" s="114"/>
      <c r="H4741" s="114"/>
      <c r="Q4741" s="44">
        <f>IF(数据录入!$B4741="",0,IF(OR(数据录入!$D4741="投标保证金",数据录入!$D4741="合同履约保证金",ISNUMBER(FIND("保证金",数据录入!$E4741))),1,0))</f>
      </c>
      <c r="R4741" s="44">
        <f>IF(AND($Q4741=1,数据录入!$B4741&gt;=$B$2,数据录入!$B4741&lt;=$D$2),N(R4740)+1,N(R4740))</f>
      </c>
    </row>
    <row r="4742" s="44" customFormat="1" spans="1:23">
      <c r="A4742" s="116"/>
      <c r="E4742" s="108"/>
      <c r="F4742" s="114"/>
      <c r="G4742" s="114"/>
      <c r="H4742" s="114"/>
      <c r="Q4742" s="44">
        <f>IF(数据录入!$B4742="",0,IF(OR(数据录入!$D4742="投标保证金",数据录入!$D4742="合同履约保证金",ISNUMBER(FIND("保证金",数据录入!$E4742))),1,0))</f>
      </c>
      <c r="R4742" s="44">
        <f>IF(AND($Q4742=1,数据录入!$B4742&gt;=$B$2,数据录入!$B4742&lt;=$D$2),N(R4741)+1,N(R4741))</f>
      </c>
    </row>
    <row r="4743" s="44" customFormat="1" spans="1:23">
      <c r="A4743" s="116"/>
      <c r="E4743" s="108"/>
      <c r="F4743" s="114"/>
      <c r="G4743" s="114"/>
      <c r="H4743" s="114"/>
      <c r="Q4743" s="44">
        <f>IF(数据录入!$B4743="",0,IF(OR(数据录入!$D4743="投标保证金",数据录入!$D4743="合同履约保证金",ISNUMBER(FIND("保证金",数据录入!$E4743))),1,0))</f>
      </c>
      <c r="R4743" s="44">
        <f>IF(AND($Q4743=1,数据录入!$B4743&gt;=$B$2,数据录入!$B4743&lt;=$D$2),N(R4742)+1,N(R4742))</f>
      </c>
    </row>
    <row r="4744" s="44" customFormat="1" spans="1:23">
      <c r="A4744" s="116"/>
      <c r="E4744" s="108"/>
      <c r="F4744" s="114"/>
      <c r="G4744" s="114"/>
      <c r="H4744" s="114"/>
      <c r="Q4744" s="44">
        <f>IF(数据录入!$B4744="",0,IF(OR(数据录入!$D4744="投标保证金",数据录入!$D4744="合同履约保证金",ISNUMBER(FIND("保证金",数据录入!$E4744))),1,0))</f>
      </c>
      <c r="R4744" s="44">
        <f>IF(AND($Q4744=1,数据录入!$B4744&gt;=$B$2,数据录入!$B4744&lt;=$D$2),N(R4743)+1,N(R4743))</f>
      </c>
    </row>
    <row r="4745" s="44" customFormat="1" spans="1:23">
      <c r="A4745" s="116"/>
      <c r="E4745" s="108"/>
      <c r="F4745" s="114"/>
      <c r="G4745" s="114"/>
      <c r="H4745" s="114"/>
      <c r="Q4745" s="44">
        <f>IF(数据录入!$B4745="",0,IF(OR(数据录入!$D4745="投标保证金",数据录入!$D4745="合同履约保证金",ISNUMBER(FIND("保证金",数据录入!$E4745))),1,0))</f>
      </c>
      <c r="R4745" s="44">
        <f>IF(AND($Q4745=1,数据录入!$B4745&gt;=$B$2,数据录入!$B4745&lt;=$D$2),N(R4744)+1,N(R4744))</f>
      </c>
    </row>
    <row r="4746" s="44" customFormat="1" spans="1:23">
      <c r="A4746" s="116"/>
      <c r="E4746" s="108"/>
      <c r="F4746" s="114"/>
      <c r="G4746" s="114"/>
      <c r="H4746" s="114"/>
      <c r="Q4746" s="44">
        <f>IF(数据录入!$B4746="",0,IF(OR(数据录入!$D4746="投标保证金",数据录入!$D4746="合同履约保证金",ISNUMBER(FIND("保证金",数据录入!$E4746))),1,0))</f>
      </c>
      <c r="R4746" s="44">
        <f>IF(AND($Q4746=1,数据录入!$B4746&gt;=$B$2,数据录入!$B4746&lt;=$D$2),N(R4745)+1,N(R4745))</f>
      </c>
    </row>
    <row r="4747" s="44" customFormat="1" spans="1:23">
      <c r="A4747" s="116"/>
      <c r="E4747" s="108"/>
      <c r="F4747" s="114"/>
      <c r="G4747" s="114"/>
      <c r="H4747" s="114"/>
      <c r="Q4747" s="44">
        <f>IF(数据录入!$B4747="",0,IF(OR(数据录入!$D4747="投标保证金",数据录入!$D4747="合同履约保证金",ISNUMBER(FIND("保证金",数据录入!$E4747))),1,0))</f>
      </c>
      <c r="R4747" s="44">
        <f>IF(AND($Q4747=1,数据录入!$B4747&gt;=$B$2,数据录入!$B4747&lt;=$D$2),N(R4746)+1,N(R4746))</f>
      </c>
    </row>
    <row r="4748" s="44" customFormat="1" spans="1:23">
      <c r="A4748" s="116"/>
      <c r="E4748" s="108"/>
      <c r="F4748" s="114"/>
      <c r="G4748" s="114"/>
      <c r="H4748" s="114"/>
      <c r="Q4748" s="44">
        <f>IF(数据录入!$B4748="",0,IF(OR(数据录入!$D4748="投标保证金",数据录入!$D4748="合同履约保证金",ISNUMBER(FIND("保证金",数据录入!$E4748))),1,0))</f>
      </c>
      <c r="R4748" s="44">
        <f>IF(AND($Q4748=1,数据录入!$B4748&gt;=$B$2,数据录入!$B4748&lt;=$D$2),N(R4747)+1,N(R4747))</f>
      </c>
    </row>
    <row r="4749" s="44" customFormat="1" spans="1:23">
      <c r="A4749" s="116"/>
      <c r="E4749" s="108"/>
      <c r="F4749" s="114"/>
      <c r="G4749" s="114"/>
      <c r="H4749" s="114"/>
      <c r="Q4749" s="44">
        <f>IF(数据录入!$B4749="",0,IF(OR(数据录入!$D4749="投标保证金",数据录入!$D4749="合同履约保证金",ISNUMBER(FIND("保证金",数据录入!$E4749))),1,0))</f>
      </c>
      <c r="R4749" s="44">
        <f>IF(AND($Q4749=1,数据录入!$B4749&gt;=$B$2,数据录入!$B4749&lt;=$D$2),N(R4748)+1,N(R4748))</f>
      </c>
    </row>
    <row r="4750" s="44" customFormat="1" spans="1:23">
      <c r="A4750" s="116"/>
      <c r="E4750" s="108"/>
      <c r="F4750" s="114"/>
      <c r="G4750" s="114"/>
      <c r="H4750" s="114"/>
      <c r="Q4750" s="44">
        <f>IF(数据录入!$B4750="",0,IF(OR(数据录入!$D4750="投标保证金",数据录入!$D4750="合同履约保证金",ISNUMBER(FIND("保证金",数据录入!$E4750))),1,0))</f>
      </c>
      <c r="R4750" s="44">
        <f>IF(AND($Q4750=1,数据录入!$B4750&gt;=$B$2,数据录入!$B4750&lt;=$D$2),N(R4749)+1,N(R4749))</f>
      </c>
    </row>
    <row r="4751" s="44" customFormat="1" spans="1:23">
      <c r="A4751" s="116"/>
      <c r="E4751" s="108"/>
      <c r="F4751" s="114"/>
      <c r="G4751" s="114"/>
      <c r="H4751" s="114"/>
      <c r="Q4751" s="44">
        <f>IF(数据录入!$B4751="",0,IF(OR(数据录入!$D4751="投标保证金",数据录入!$D4751="合同履约保证金",ISNUMBER(FIND("保证金",数据录入!$E4751))),1,0))</f>
      </c>
      <c r="R4751" s="44">
        <f>IF(AND($Q4751=1,数据录入!$B4751&gt;=$B$2,数据录入!$B4751&lt;=$D$2),N(R4750)+1,N(R4750))</f>
      </c>
    </row>
    <row r="4752" s="44" customFormat="1" spans="1:23">
      <c r="A4752" s="116"/>
      <c r="E4752" s="108"/>
      <c r="F4752" s="114"/>
      <c r="G4752" s="114"/>
      <c r="H4752" s="114"/>
      <c r="Q4752" s="44">
        <f>IF(数据录入!$B4752="",0,IF(OR(数据录入!$D4752="投标保证金",数据录入!$D4752="合同履约保证金",ISNUMBER(FIND("保证金",数据录入!$E4752))),1,0))</f>
      </c>
      <c r="R4752" s="44">
        <f>IF(AND($Q4752=1,数据录入!$B4752&gt;=$B$2,数据录入!$B4752&lt;=$D$2),N(R4751)+1,N(R4751))</f>
      </c>
    </row>
    <row r="4753" s="44" customFormat="1" spans="1:23">
      <c r="A4753" s="116"/>
      <c r="E4753" s="108"/>
      <c r="F4753" s="114"/>
      <c r="G4753" s="114"/>
      <c r="H4753" s="114"/>
      <c r="Q4753" s="44">
        <f>IF(数据录入!$B4753="",0,IF(OR(数据录入!$D4753="投标保证金",数据录入!$D4753="合同履约保证金",ISNUMBER(FIND("保证金",数据录入!$E4753))),1,0))</f>
      </c>
      <c r="R4753" s="44">
        <f>IF(AND($Q4753=1,数据录入!$B4753&gt;=$B$2,数据录入!$B4753&lt;=$D$2),N(R4752)+1,N(R4752))</f>
      </c>
    </row>
    <row r="4754" s="44" customFormat="1" spans="1:23">
      <c r="A4754" s="116"/>
      <c r="E4754" s="108"/>
      <c r="F4754" s="114"/>
      <c r="G4754" s="114"/>
      <c r="H4754" s="114"/>
      <c r="Q4754" s="44">
        <f>IF(数据录入!$B4754="",0,IF(OR(数据录入!$D4754="投标保证金",数据录入!$D4754="合同履约保证金",ISNUMBER(FIND("保证金",数据录入!$E4754))),1,0))</f>
      </c>
      <c r="R4754" s="44">
        <f>IF(AND($Q4754=1,数据录入!$B4754&gt;=$B$2,数据录入!$B4754&lt;=$D$2),N(R4753)+1,N(R4753))</f>
      </c>
    </row>
    <row r="4755" s="44" customFormat="1" spans="1:23">
      <c r="A4755" s="116"/>
      <c r="E4755" s="108"/>
      <c r="F4755" s="114"/>
      <c r="G4755" s="114"/>
      <c r="H4755" s="114"/>
      <c r="Q4755" s="44">
        <f>IF(数据录入!$B4755="",0,IF(OR(数据录入!$D4755="投标保证金",数据录入!$D4755="合同履约保证金",ISNUMBER(FIND("保证金",数据录入!$E4755))),1,0))</f>
      </c>
      <c r="R4755" s="44">
        <f>IF(AND($Q4755=1,数据录入!$B4755&gt;=$B$2,数据录入!$B4755&lt;=$D$2),N(R4754)+1,N(R4754))</f>
      </c>
    </row>
    <row r="4756" s="44" customFormat="1" spans="1:23">
      <c r="A4756" s="116"/>
      <c r="E4756" s="108"/>
      <c r="F4756" s="114"/>
      <c r="G4756" s="114"/>
      <c r="H4756" s="114"/>
      <c r="Q4756" s="44">
        <f>IF(数据录入!$B4756="",0,IF(OR(数据录入!$D4756="投标保证金",数据录入!$D4756="合同履约保证金",ISNUMBER(FIND("保证金",数据录入!$E4756))),1,0))</f>
      </c>
      <c r="R4756" s="44">
        <f>IF(AND($Q4756=1,数据录入!$B4756&gt;=$B$2,数据录入!$B4756&lt;=$D$2),N(R4755)+1,N(R4755))</f>
      </c>
    </row>
    <row r="4757" s="44" customFormat="1" spans="1:23">
      <c r="A4757" s="116"/>
      <c r="E4757" s="108"/>
      <c r="F4757" s="114"/>
      <c r="G4757" s="114"/>
      <c r="H4757" s="114"/>
      <c r="Q4757" s="44">
        <f>IF(数据录入!$B4757="",0,IF(OR(数据录入!$D4757="投标保证金",数据录入!$D4757="合同履约保证金",ISNUMBER(FIND("保证金",数据录入!$E4757))),1,0))</f>
      </c>
      <c r="R4757" s="44">
        <f>IF(AND($Q4757=1,数据录入!$B4757&gt;=$B$2,数据录入!$B4757&lt;=$D$2),N(R4756)+1,N(R4756))</f>
      </c>
    </row>
    <row r="4758" s="44" customFormat="1" spans="1:23">
      <c r="A4758" s="116"/>
      <c r="E4758" s="108"/>
      <c r="F4758" s="114"/>
      <c r="G4758" s="114"/>
      <c r="H4758" s="114"/>
      <c r="Q4758" s="44">
        <f>IF(数据录入!$B4758="",0,IF(OR(数据录入!$D4758="投标保证金",数据录入!$D4758="合同履约保证金",ISNUMBER(FIND("保证金",数据录入!$E4758))),1,0))</f>
      </c>
      <c r="R4758" s="44">
        <f>IF(AND($Q4758=1,数据录入!$B4758&gt;=$B$2,数据录入!$B4758&lt;=$D$2),N(R4757)+1,N(R4757))</f>
      </c>
    </row>
    <row r="4759" s="44" customFormat="1" spans="1:23">
      <c r="A4759" s="116"/>
      <c r="E4759" s="108"/>
      <c r="F4759" s="114"/>
      <c r="G4759" s="114"/>
      <c r="H4759" s="114"/>
      <c r="Q4759" s="44">
        <f>IF(数据录入!$B4759="",0,IF(OR(数据录入!$D4759="投标保证金",数据录入!$D4759="合同履约保证金",ISNUMBER(FIND("保证金",数据录入!$E4759))),1,0))</f>
      </c>
      <c r="R4759" s="44">
        <f>IF(AND($Q4759=1,数据录入!$B4759&gt;=$B$2,数据录入!$B4759&lt;=$D$2),N(R4758)+1,N(R4758))</f>
      </c>
    </row>
    <row r="4760" s="44" customFormat="1" spans="1:23">
      <c r="A4760" s="116"/>
      <c r="E4760" s="108"/>
      <c r="F4760" s="114"/>
      <c r="G4760" s="114"/>
      <c r="H4760" s="114"/>
      <c r="Q4760" s="44">
        <f>IF(数据录入!$B4760="",0,IF(OR(数据录入!$D4760="投标保证金",数据录入!$D4760="合同履约保证金",ISNUMBER(FIND("保证金",数据录入!$E4760))),1,0))</f>
      </c>
      <c r="R4760" s="44">
        <f>IF(AND($Q4760=1,数据录入!$B4760&gt;=$B$2,数据录入!$B4760&lt;=$D$2),N(R4759)+1,N(R4759))</f>
      </c>
    </row>
    <row r="4761" s="44" customFormat="1" spans="1:23">
      <c r="A4761" s="116"/>
      <c r="E4761" s="108"/>
      <c r="F4761" s="114"/>
      <c r="G4761" s="114"/>
      <c r="H4761" s="114"/>
      <c r="Q4761" s="44">
        <f>IF(数据录入!$B4761="",0,IF(OR(数据录入!$D4761="投标保证金",数据录入!$D4761="合同履约保证金",ISNUMBER(FIND("保证金",数据录入!$E4761))),1,0))</f>
      </c>
      <c r="R4761" s="44">
        <f>IF(AND($Q4761=1,数据录入!$B4761&gt;=$B$2,数据录入!$B4761&lt;=$D$2),N(R4760)+1,N(R4760))</f>
      </c>
    </row>
    <row r="4762" s="44" customFormat="1" spans="1:23">
      <c r="A4762" s="116"/>
      <c r="E4762" s="108"/>
      <c r="F4762" s="114"/>
      <c r="G4762" s="114"/>
      <c r="H4762" s="114"/>
      <c r="Q4762" s="44">
        <f>IF(数据录入!$B4762="",0,IF(OR(数据录入!$D4762="投标保证金",数据录入!$D4762="合同履约保证金",ISNUMBER(FIND("保证金",数据录入!$E4762))),1,0))</f>
      </c>
      <c r="R4762" s="44">
        <f>IF(AND($Q4762=1,数据录入!$B4762&gt;=$B$2,数据录入!$B4762&lt;=$D$2),N(R4761)+1,N(R4761))</f>
      </c>
    </row>
    <row r="4763" s="44" customFormat="1" spans="1:23">
      <c r="A4763" s="116"/>
      <c r="E4763" s="108"/>
      <c r="F4763" s="114"/>
      <c r="G4763" s="114"/>
      <c r="H4763" s="114"/>
      <c r="Q4763" s="44">
        <f>IF(数据录入!$B4763="",0,IF(OR(数据录入!$D4763="投标保证金",数据录入!$D4763="合同履约保证金",ISNUMBER(FIND("保证金",数据录入!$E4763))),1,0))</f>
      </c>
      <c r="R4763" s="44">
        <f>IF(AND($Q4763=1,数据录入!$B4763&gt;=$B$2,数据录入!$B4763&lt;=$D$2),N(R4762)+1,N(R4762))</f>
      </c>
    </row>
    <row r="4764" s="44" customFormat="1" spans="1:23">
      <c r="A4764" s="116"/>
      <c r="E4764" s="108"/>
      <c r="F4764" s="114"/>
      <c r="G4764" s="114"/>
      <c r="H4764" s="114"/>
      <c r="Q4764" s="44">
        <f>IF(数据录入!$B4764="",0,IF(OR(数据录入!$D4764="投标保证金",数据录入!$D4764="合同履约保证金",ISNUMBER(FIND("保证金",数据录入!$E4764))),1,0))</f>
      </c>
      <c r="R4764" s="44">
        <f>IF(AND($Q4764=1,数据录入!$B4764&gt;=$B$2,数据录入!$B4764&lt;=$D$2),N(R4763)+1,N(R4763))</f>
      </c>
    </row>
    <row r="4765" s="44" customFormat="1" spans="1:23">
      <c r="A4765" s="116"/>
      <c r="E4765" s="108"/>
      <c r="F4765" s="114"/>
      <c r="G4765" s="114"/>
      <c r="H4765" s="114"/>
      <c r="Q4765" s="44">
        <f>IF(数据录入!$B4765="",0,IF(OR(数据录入!$D4765="投标保证金",数据录入!$D4765="合同履约保证金",ISNUMBER(FIND("保证金",数据录入!$E4765))),1,0))</f>
      </c>
      <c r="R4765" s="44">
        <f>IF(AND($Q4765=1,数据录入!$B4765&gt;=$B$2,数据录入!$B4765&lt;=$D$2),N(R4764)+1,N(R4764))</f>
      </c>
    </row>
    <row r="4766" s="44" customFormat="1" spans="1:23">
      <c r="A4766" s="116"/>
      <c r="E4766" s="108"/>
      <c r="F4766" s="114"/>
      <c r="G4766" s="114"/>
      <c r="H4766" s="114"/>
      <c r="Q4766" s="44">
        <f>IF(数据录入!$B4766="",0,IF(OR(数据录入!$D4766="投标保证金",数据录入!$D4766="合同履约保证金",ISNUMBER(FIND("保证金",数据录入!$E4766))),1,0))</f>
      </c>
      <c r="R4766" s="44">
        <f>IF(AND($Q4766=1,数据录入!$B4766&gt;=$B$2,数据录入!$B4766&lt;=$D$2),N(R4765)+1,N(R4765))</f>
      </c>
    </row>
    <row r="4767" s="44" customFormat="1" spans="1:23">
      <c r="A4767" s="116"/>
      <c r="E4767" s="108"/>
      <c r="F4767" s="114"/>
      <c r="G4767" s="114"/>
      <c r="H4767" s="114"/>
      <c r="Q4767" s="44">
        <f>IF(数据录入!$B4767="",0,IF(OR(数据录入!$D4767="投标保证金",数据录入!$D4767="合同履约保证金",ISNUMBER(FIND("保证金",数据录入!$E4767))),1,0))</f>
      </c>
      <c r="R4767" s="44">
        <f>IF(AND($Q4767=1,数据录入!$B4767&gt;=$B$2,数据录入!$B4767&lt;=$D$2),N(R4766)+1,N(R4766))</f>
      </c>
    </row>
    <row r="4768" s="44" customFormat="1" spans="1:23">
      <c r="A4768" s="116"/>
      <c r="E4768" s="108"/>
      <c r="F4768" s="114"/>
      <c r="G4768" s="114"/>
      <c r="H4768" s="114"/>
      <c r="Q4768" s="44">
        <f>IF(数据录入!$B4768="",0,IF(OR(数据录入!$D4768="投标保证金",数据录入!$D4768="合同履约保证金",ISNUMBER(FIND("保证金",数据录入!$E4768))),1,0))</f>
      </c>
      <c r="R4768" s="44">
        <f>IF(AND($Q4768=1,数据录入!$B4768&gt;=$B$2,数据录入!$B4768&lt;=$D$2),N(R4767)+1,N(R4767))</f>
      </c>
    </row>
    <row r="4769" s="44" customFormat="1" spans="1:23">
      <c r="A4769" s="116"/>
      <c r="E4769" s="108"/>
      <c r="F4769" s="114"/>
      <c r="G4769" s="114"/>
      <c r="H4769" s="114"/>
      <c r="Q4769" s="44">
        <f>IF(数据录入!$B4769="",0,IF(OR(数据录入!$D4769="投标保证金",数据录入!$D4769="合同履约保证金",ISNUMBER(FIND("保证金",数据录入!$E4769))),1,0))</f>
      </c>
      <c r="R4769" s="44">
        <f>IF(AND($Q4769=1,数据录入!$B4769&gt;=$B$2,数据录入!$B4769&lt;=$D$2),N(R4768)+1,N(R4768))</f>
      </c>
    </row>
    <row r="4770" s="44" customFormat="1" spans="1:23">
      <c r="A4770" s="116"/>
      <c r="E4770" s="108"/>
      <c r="F4770" s="114"/>
      <c r="G4770" s="114"/>
      <c r="H4770" s="114"/>
      <c r="Q4770" s="44">
        <f>IF(数据录入!$B4770="",0,IF(OR(数据录入!$D4770="投标保证金",数据录入!$D4770="合同履约保证金",ISNUMBER(FIND("保证金",数据录入!$E4770))),1,0))</f>
      </c>
      <c r="R4770" s="44">
        <f>IF(AND($Q4770=1,数据录入!$B4770&gt;=$B$2,数据录入!$B4770&lt;=$D$2),N(R4769)+1,N(R4769))</f>
      </c>
    </row>
    <row r="4771" s="44" customFormat="1" spans="1:23">
      <c r="A4771" s="116"/>
      <c r="E4771" s="108"/>
      <c r="F4771" s="114"/>
      <c r="G4771" s="114"/>
      <c r="H4771" s="114"/>
      <c r="Q4771" s="44">
        <f>IF(数据录入!$B4771="",0,IF(OR(数据录入!$D4771="投标保证金",数据录入!$D4771="合同履约保证金",ISNUMBER(FIND("保证金",数据录入!$E4771))),1,0))</f>
      </c>
      <c r="R4771" s="44">
        <f>IF(AND($Q4771=1,数据录入!$B4771&gt;=$B$2,数据录入!$B4771&lt;=$D$2),N(R4770)+1,N(R4770))</f>
      </c>
    </row>
    <row r="4772" s="44" customFormat="1" spans="1:23">
      <c r="A4772" s="116"/>
      <c r="E4772" s="108"/>
      <c r="F4772" s="114"/>
      <c r="G4772" s="114"/>
      <c r="H4772" s="114"/>
      <c r="Q4772" s="44">
        <f>IF(数据录入!$B4772="",0,IF(OR(数据录入!$D4772="投标保证金",数据录入!$D4772="合同履约保证金",ISNUMBER(FIND("保证金",数据录入!$E4772))),1,0))</f>
      </c>
      <c r="R4772" s="44">
        <f>IF(AND($Q4772=1,数据录入!$B4772&gt;=$B$2,数据录入!$B4772&lt;=$D$2),N(R4771)+1,N(R4771))</f>
      </c>
    </row>
    <row r="4773" s="44" customFormat="1" spans="1:23">
      <c r="A4773" s="116"/>
      <c r="E4773" s="108"/>
      <c r="F4773" s="114"/>
      <c r="G4773" s="114"/>
      <c r="H4773" s="114"/>
      <c r="Q4773" s="44">
        <f>IF(数据录入!$B4773="",0,IF(OR(数据录入!$D4773="投标保证金",数据录入!$D4773="合同履约保证金",ISNUMBER(FIND("保证金",数据录入!$E4773))),1,0))</f>
      </c>
      <c r="R4773" s="44">
        <f>IF(AND($Q4773=1,数据录入!$B4773&gt;=$B$2,数据录入!$B4773&lt;=$D$2),N(R4772)+1,N(R4772))</f>
      </c>
    </row>
    <row r="4774" s="44" customFormat="1" spans="1:23">
      <c r="A4774" s="116"/>
      <c r="E4774" s="108"/>
      <c r="F4774" s="114"/>
      <c r="G4774" s="114"/>
      <c r="H4774" s="114"/>
      <c r="Q4774" s="44">
        <f>IF(数据录入!$B4774="",0,IF(OR(数据录入!$D4774="投标保证金",数据录入!$D4774="合同履约保证金",ISNUMBER(FIND("保证金",数据录入!$E4774))),1,0))</f>
      </c>
      <c r="R4774" s="44">
        <f>IF(AND($Q4774=1,数据录入!$B4774&gt;=$B$2,数据录入!$B4774&lt;=$D$2),N(R4773)+1,N(R4773))</f>
      </c>
    </row>
    <row r="4775" s="44" customFormat="1" spans="1:23">
      <c r="A4775" s="116"/>
      <c r="E4775" s="108"/>
      <c r="F4775" s="114"/>
      <c r="G4775" s="114"/>
      <c r="H4775" s="114"/>
      <c r="Q4775" s="44">
        <f>IF(数据录入!$B4775="",0,IF(OR(数据录入!$D4775="投标保证金",数据录入!$D4775="合同履约保证金",ISNUMBER(FIND("保证金",数据录入!$E4775))),1,0))</f>
      </c>
      <c r="R4775" s="44">
        <f>IF(AND($Q4775=1,数据录入!$B4775&gt;=$B$2,数据录入!$B4775&lt;=$D$2),N(R4774)+1,N(R4774))</f>
      </c>
    </row>
    <row r="4776" s="44" customFormat="1" spans="1:23">
      <c r="A4776" s="116"/>
      <c r="E4776" s="108"/>
      <c r="F4776" s="114"/>
      <c r="G4776" s="114"/>
      <c r="H4776" s="114"/>
      <c r="Q4776" s="44">
        <f>IF(数据录入!$B4776="",0,IF(OR(数据录入!$D4776="投标保证金",数据录入!$D4776="合同履约保证金",ISNUMBER(FIND("保证金",数据录入!$E4776))),1,0))</f>
      </c>
      <c r="R4776" s="44">
        <f>IF(AND($Q4776=1,数据录入!$B4776&gt;=$B$2,数据录入!$B4776&lt;=$D$2),N(R4775)+1,N(R4775))</f>
      </c>
    </row>
    <row r="4777" s="44" customFormat="1" spans="1:23">
      <c r="A4777" s="116"/>
      <c r="E4777" s="108"/>
      <c r="F4777" s="114"/>
      <c r="G4777" s="114"/>
      <c r="H4777" s="114"/>
      <c r="Q4777" s="44">
        <f>IF(数据录入!$B4777="",0,IF(OR(数据录入!$D4777="投标保证金",数据录入!$D4777="合同履约保证金",ISNUMBER(FIND("保证金",数据录入!$E4777))),1,0))</f>
      </c>
      <c r="R4777" s="44">
        <f>IF(AND($Q4777=1,数据录入!$B4777&gt;=$B$2,数据录入!$B4777&lt;=$D$2),N(R4776)+1,N(R4776))</f>
      </c>
    </row>
    <row r="4778" s="44" customFormat="1" spans="1:23">
      <c r="A4778" s="116"/>
      <c r="E4778" s="108"/>
      <c r="F4778" s="114"/>
      <c r="G4778" s="114"/>
      <c r="H4778" s="114"/>
      <c r="Q4778" s="44">
        <f>IF(数据录入!$B4778="",0,IF(OR(数据录入!$D4778="投标保证金",数据录入!$D4778="合同履约保证金",ISNUMBER(FIND("保证金",数据录入!$E4778))),1,0))</f>
      </c>
      <c r="R4778" s="44">
        <f>IF(AND($Q4778=1,数据录入!$B4778&gt;=$B$2,数据录入!$B4778&lt;=$D$2),N(R4777)+1,N(R4777))</f>
      </c>
    </row>
    <row r="4779" s="44" customFormat="1" spans="1:23">
      <c r="A4779" s="116"/>
      <c r="E4779" s="108"/>
      <c r="F4779" s="114"/>
      <c r="G4779" s="114"/>
      <c r="H4779" s="114"/>
      <c r="Q4779" s="44">
        <f>IF(数据录入!$B4779="",0,IF(OR(数据录入!$D4779="投标保证金",数据录入!$D4779="合同履约保证金",ISNUMBER(FIND("保证金",数据录入!$E4779))),1,0))</f>
      </c>
      <c r="R4779" s="44">
        <f>IF(AND($Q4779=1,数据录入!$B4779&gt;=$B$2,数据录入!$B4779&lt;=$D$2),N(R4778)+1,N(R4778))</f>
      </c>
    </row>
    <row r="4780" s="44" customFormat="1" spans="1:23">
      <c r="A4780" s="116"/>
      <c r="E4780" s="108"/>
      <c r="F4780" s="114"/>
      <c r="G4780" s="114"/>
      <c r="H4780" s="114"/>
      <c r="Q4780" s="44">
        <f>IF(数据录入!$B4780="",0,IF(OR(数据录入!$D4780="投标保证金",数据录入!$D4780="合同履约保证金",ISNUMBER(FIND("保证金",数据录入!$E4780))),1,0))</f>
      </c>
      <c r="R4780" s="44">
        <f>IF(AND($Q4780=1,数据录入!$B4780&gt;=$B$2,数据录入!$B4780&lt;=$D$2),N(R4779)+1,N(R4779))</f>
      </c>
    </row>
    <row r="4781" s="44" customFormat="1" spans="1:23">
      <c r="A4781" s="116"/>
      <c r="E4781" s="108"/>
      <c r="F4781" s="114"/>
      <c r="G4781" s="114"/>
      <c r="H4781" s="114"/>
      <c r="Q4781" s="44">
        <f>IF(数据录入!$B4781="",0,IF(OR(数据录入!$D4781="投标保证金",数据录入!$D4781="合同履约保证金",ISNUMBER(FIND("保证金",数据录入!$E4781))),1,0))</f>
      </c>
      <c r="R4781" s="44">
        <f>IF(AND($Q4781=1,数据录入!$B4781&gt;=$B$2,数据录入!$B4781&lt;=$D$2),N(R4780)+1,N(R4780))</f>
      </c>
    </row>
    <row r="4782" s="44" customFormat="1" spans="1:23">
      <c r="A4782" s="116"/>
      <c r="E4782" s="108"/>
      <c r="F4782" s="114"/>
      <c r="G4782" s="114"/>
      <c r="H4782" s="114"/>
      <c r="Q4782" s="44">
        <f>IF(数据录入!$B4782="",0,IF(OR(数据录入!$D4782="投标保证金",数据录入!$D4782="合同履约保证金",ISNUMBER(FIND("保证金",数据录入!$E4782))),1,0))</f>
      </c>
      <c r="R4782" s="44">
        <f>IF(AND($Q4782=1,数据录入!$B4782&gt;=$B$2,数据录入!$B4782&lt;=$D$2),N(R4781)+1,N(R4781))</f>
      </c>
    </row>
    <row r="4783" s="44" customFormat="1" spans="1:23">
      <c r="A4783" s="116"/>
      <c r="E4783" s="108"/>
      <c r="F4783" s="114"/>
      <c r="G4783" s="114"/>
      <c r="H4783" s="114"/>
      <c r="Q4783" s="44">
        <f>IF(数据录入!$B4783="",0,IF(OR(数据录入!$D4783="投标保证金",数据录入!$D4783="合同履约保证金",ISNUMBER(FIND("保证金",数据录入!$E4783))),1,0))</f>
      </c>
      <c r="R4783" s="44">
        <f>IF(AND($Q4783=1,数据录入!$B4783&gt;=$B$2,数据录入!$B4783&lt;=$D$2),N(R4782)+1,N(R4782))</f>
      </c>
    </row>
    <row r="4784" s="44" customFormat="1" spans="1:23">
      <c r="A4784" s="116"/>
      <c r="E4784" s="108"/>
      <c r="F4784" s="114"/>
      <c r="G4784" s="114"/>
      <c r="H4784" s="114"/>
      <c r="Q4784" s="44">
        <f>IF(数据录入!$B4784="",0,IF(OR(数据录入!$D4784="投标保证金",数据录入!$D4784="合同履约保证金",ISNUMBER(FIND("保证金",数据录入!$E4784))),1,0))</f>
      </c>
      <c r="R4784" s="44">
        <f>IF(AND($Q4784=1,数据录入!$B4784&gt;=$B$2,数据录入!$B4784&lt;=$D$2),N(R4783)+1,N(R4783))</f>
      </c>
    </row>
    <row r="4785" s="44" customFormat="1" spans="1:23">
      <c r="A4785" s="116"/>
      <c r="E4785" s="108"/>
      <c r="F4785" s="114"/>
      <c r="G4785" s="114"/>
      <c r="H4785" s="114"/>
      <c r="Q4785" s="44">
        <f>IF(数据录入!$B4785="",0,IF(OR(数据录入!$D4785="投标保证金",数据录入!$D4785="合同履约保证金",ISNUMBER(FIND("保证金",数据录入!$E4785))),1,0))</f>
      </c>
      <c r="R4785" s="44">
        <f>IF(AND($Q4785=1,数据录入!$B4785&gt;=$B$2,数据录入!$B4785&lt;=$D$2),N(R4784)+1,N(R4784))</f>
      </c>
    </row>
    <row r="4786" s="44" customFormat="1" spans="1:23">
      <c r="A4786" s="116"/>
      <c r="E4786" s="108"/>
      <c r="F4786" s="114"/>
      <c r="G4786" s="114"/>
      <c r="H4786" s="114"/>
      <c r="Q4786" s="44">
        <f>IF(数据录入!$B4786="",0,IF(OR(数据录入!$D4786="投标保证金",数据录入!$D4786="合同履约保证金",ISNUMBER(FIND("保证金",数据录入!$E4786))),1,0))</f>
      </c>
      <c r="R4786" s="44">
        <f>IF(AND($Q4786=1,数据录入!$B4786&gt;=$B$2,数据录入!$B4786&lt;=$D$2),N(R4785)+1,N(R4785))</f>
      </c>
    </row>
    <row r="4787" s="44" customFormat="1" spans="1:23">
      <c r="A4787" s="116"/>
      <c r="E4787" s="108"/>
      <c r="F4787" s="114"/>
      <c r="G4787" s="114"/>
      <c r="H4787" s="114"/>
      <c r="Q4787" s="44">
        <f>IF(数据录入!$B4787="",0,IF(OR(数据录入!$D4787="投标保证金",数据录入!$D4787="合同履约保证金",ISNUMBER(FIND("保证金",数据录入!$E4787))),1,0))</f>
      </c>
      <c r="R4787" s="44">
        <f>IF(AND($Q4787=1,数据录入!$B4787&gt;=$B$2,数据录入!$B4787&lt;=$D$2),N(R4786)+1,N(R4786))</f>
      </c>
    </row>
    <row r="4788" s="44" customFormat="1" spans="1:23">
      <c r="A4788" s="116"/>
      <c r="E4788" s="108"/>
      <c r="F4788" s="114"/>
      <c r="G4788" s="114"/>
      <c r="H4788" s="114"/>
      <c r="Q4788" s="44">
        <f>IF(数据录入!$B4788="",0,IF(OR(数据录入!$D4788="投标保证金",数据录入!$D4788="合同履约保证金",ISNUMBER(FIND("保证金",数据录入!$E4788))),1,0))</f>
      </c>
      <c r="R4788" s="44">
        <f>IF(AND($Q4788=1,数据录入!$B4788&gt;=$B$2,数据录入!$B4788&lt;=$D$2),N(R4787)+1,N(R4787))</f>
      </c>
    </row>
    <row r="4789" s="44" customFormat="1" spans="1:23">
      <c r="A4789" s="116"/>
      <c r="E4789" s="108"/>
      <c r="F4789" s="114"/>
      <c r="G4789" s="114"/>
      <c r="H4789" s="114"/>
      <c r="Q4789" s="44">
        <f>IF(数据录入!$B4789="",0,IF(OR(数据录入!$D4789="投标保证金",数据录入!$D4789="合同履约保证金",ISNUMBER(FIND("保证金",数据录入!$E4789))),1,0))</f>
      </c>
      <c r="R4789" s="44">
        <f>IF(AND($Q4789=1,数据录入!$B4789&gt;=$B$2,数据录入!$B4789&lt;=$D$2),N(R4788)+1,N(R4788))</f>
      </c>
    </row>
    <row r="4790" s="44" customFormat="1" spans="1:23">
      <c r="A4790" s="116"/>
      <c r="E4790" s="108"/>
      <c r="F4790" s="114"/>
      <c r="G4790" s="114"/>
      <c r="H4790" s="114"/>
      <c r="Q4790" s="44">
        <f>IF(数据录入!$B4790="",0,IF(OR(数据录入!$D4790="投标保证金",数据录入!$D4790="合同履约保证金",ISNUMBER(FIND("保证金",数据录入!$E4790))),1,0))</f>
      </c>
      <c r="R4790" s="44">
        <f>IF(AND($Q4790=1,数据录入!$B4790&gt;=$B$2,数据录入!$B4790&lt;=$D$2),N(R4789)+1,N(R4789))</f>
      </c>
    </row>
    <row r="4791" s="44" customFormat="1" spans="1:23">
      <c r="A4791" s="116"/>
      <c r="E4791" s="108"/>
      <c r="F4791" s="114"/>
      <c r="G4791" s="114"/>
      <c r="H4791" s="114"/>
      <c r="Q4791" s="44">
        <f>IF(数据录入!$B4791="",0,IF(OR(数据录入!$D4791="投标保证金",数据录入!$D4791="合同履约保证金",ISNUMBER(FIND("保证金",数据录入!$E4791))),1,0))</f>
      </c>
      <c r="R4791" s="44">
        <f>IF(AND($Q4791=1,数据录入!$B4791&gt;=$B$2,数据录入!$B4791&lt;=$D$2),N(R4790)+1,N(R4790))</f>
      </c>
    </row>
    <row r="4792" s="44" customFormat="1" spans="1:23">
      <c r="A4792" s="116"/>
      <c r="E4792" s="108"/>
      <c r="F4792" s="114"/>
      <c r="G4792" s="114"/>
      <c r="H4792" s="114"/>
      <c r="Q4792" s="44">
        <f>IF(数据录入!$B4792="",0,IF(OR(数据录入!$D4792="投标保证金",数据录入!$D4792="合同履约保证金",ISNUMBER(FIND("保证金",数据录入!$E4792))),1,0))</f>
      </c>
      <c r="R4792" s="44">
        <f>IF(AND($Q4792=1,数据录入!$B4792&gt;=$B$2,数据录入!$B4792&lt;=$D$2),N(R4791)+1,N(R4791))</f>
      </c>
    </row>
    <row r="4793" s="44" customFormat="1" spans="1:23">
      <c r="A4793" s="116"/>
      <c r="E4793" s="108"/>
      <c r="F4793" s="114"/>
      <c r="G4793" s="114"/>
      <c r="H4793" s="114"/>
      <c r="Q4793" s="44">
        <f>IF(数据录入!$B4793="",0,IF(OR(数据录入!$D4793="投标保证金",数据录入!$D4793="合同履约保证金",ISNUMBER(FIND("保证金",数据录入!$E4793))),1,0))</f>
      </c>
      <c r="R4793" s="44">
        <f>IF(AND($Q4793=1,数据录入!$B4793&gt;=$B$2,数据录入!$B4793&lt;=$D$2),N(R4792)+1,N(R4792))</f>
      </c>
    </row>
    <row r="4794" s="44" customFormat="1" spans="1:23">
      <c r="A4794" s="116"/>
      <c r="E4794" s="108"/>
      <c r="F4794" s="114"/>
      <c r="G4794" s="114"/>
      <c r="H4794" s="114"/>
      <c r="Q4794" s="44">
        <f>IF(数据录入!$B4794="",0,IF(OR(数据录入!$D4794="投标保证金",数据录入!$D4794="合同履约保证金",ISNUMBER(FIND("保证金",数据录入!$E4794))),1,0))</f>
      </c>
      <c r="R4794" s="44">
        <f>IF(AND($Q4794=1,数据录入!$B4794&gt;=$B$2,数据录入!$B4794&lt;=$D$2),N(R4793)+1,N(R4793))</f>
      </c>
    </row>
    <row r="4795" s="44" customFormat="1" spans="1:23">
      <c r="A4795" s="116"/>
      <c r="E4795" s="108"/>
      <c r="F4795" s="114"/>
      <c r="G4795" s="114"/>
      <c r="H4795" s="114"/>
      <c r="Q4795" s="44">
        <f>IF(数据录入!$B4795="",0,IF(OR(数据录入!$D4795="投标保证金",数据录入!$D4795="合同履约保证金",ISNUMBER(FIND("保证金",数据录入!$E4795))),1,0))</f>
      </c>
      <c r="R4795" s="44">
        <f>IF(AND($Q4795=1,数据录入!$B4795&gt;=$B$2,数据录入!$B4795&lt;=$D$2),N(R4794)+1,N(R4794))</f>
      </c>
    </row>
    <row r="4796" s="44" customFormat="1" spans="1:23">
      <c r="A4796" s="116"/>
      <c r="E4796" s="108"/>
      <c r="F4796" s="114"/>
      <c r="G4796" s="114"/>
      <c r="H4796" s="114"/>
      <c r="Q4796" s="44">
        <f>IF(数据录入!$B4796="",0,IF(OR(数据录入!$D4796="投标保证金",数据录入!$D4796="合同履约保证金",ISNUMBER(FIND("保证金",数据录入!$E4796))),1,0))</f>
      </c>
      <c r="R4796" s="44">
        <f>IF(AND($Q4796=1,数据录入!$B4796&gt;=$B$2,数据录入!$B4796&lt;=$D$2),N(R4795)+1,N(R4795))</f>
      </c>
    </row>
    <row r="4797" s="44" customFormat="1" spans="1:23">
      <c r="A4797" s="116"/>
      <c r="E4797" s="108"/>
      <c r="F4797" s="114"/>
      <c r="G4797" s="114"/>
      <c r="H4797" s="114"/>
      <c r="Q4797" s="44">
        <f>IF(数据录入!$B4797="",0,IF(OR(数据录入!$D4797="投标保证金",数据录入!$D4797="合同履约保证金",ISNUMBER(FIND("保证金",数据录入!$E4797))),1,0))</f>
      </c>
      <c r="R4797" s="44">
        <f>IF(AND($Q4797=1,数据录入!$B4797&gt;=$B$2,数据录入!$B4797&lt;=$D$2),N(R4796)+1,N(R4796))</f>
      </c>
    </row>
    <row r="4798" s="44" customFormat="1" spans="1:23">
      <c r="A4798" s="116"/>
      <c r="E4798" s="108"/>
      <c r="F4798" s="114"/>
      <c r="G4798" s="114"/>
      <c r="H4798" s="114"/>
      <c r="Q4798" s="44">
        <f>IF(数据录入!$B4798="",0,IF(OR(数据录入!$D4798="投标保证金",数据录入!$D4798="合同履约保证金",ISNUMBER(FIND("保证金",数据录入!$E4798))),1,0))</f>
      </c>
      <c r="R4798" s="44">
        <f>IF(AND($Q4798=1,数据录入!$B4798&gt;=$B$2,数据录入!$B4798&lt;=$D$2),N(R4797)+1,N(R4797))</f>
      </c>
    </row>
    <row r="4799" s="44" customFormat="1" spans="1:23">
      <c r="A4799" s="116"/>
      <c r="E4799" s="108"/>
      <c r="F4799" s="114"/>
      <c r="G4799" s="114"/>
      <c r="H4799" s="114"/>
      <c r="Q4799" s="44">
        <f>IF(数据录入!$B4799="",0,IF(OR(数据录入!$D4799="投标保证金",数据录入!$D4799="合同履约保证金",ISNUMBER(FIND("保证金",数据录入!$E4799))),1,0))</f>
      </c>
      <c r="R4799" s="44">
        <f>IF(AND($Q4799=1,数据录入!$B4799&gt;=$B$2,数据录入!$B4799&lt;=$D$2),N(R4798)+1,N(R4798))</f>
      </c>
    </row>
    <row r="4800" s="44" customFormat="1" spans="1:23">
      <c r="A4800" s="116"/>
      <c r="E4800" s="108"/>
      <c r="F4800" s="114"/>
      <c r="G4800" s="114"/>
      <c r="H4800" s="114"/>
      <c r="Q4800" s="44">
        <f>IF(数据录入!$B4800="",0,IF(OR(数据录入!$D4800="投标保证金",数据录入!$D4800="合同履约保证金",ISNUMBER(FIND("保证金",数据录入!$E4800))),1,0))</f>
      </c>
      <c r="R4800" s="44">
        <f>IF(AND($Q4800=1,数据录入!$B4800&gt;=$B$2,数据录入!$B4800&lt;=$D$2),N(R4799)+1,N(R4799))</f>
      </c>
    </row>
    <row r="4801" s="44" customFormat="1" spans="1:23">
      <c r="A4801" s="116"/>
      <c r="E4801" s="108"/>
      <c r="F4801" s="114"/>
      <c r="G4801" s="114"/>
      <c r="H4801" s="114"/>
      <c r="Q4801" s="44">
        <f>IF(数据录入!$B4801="",0,IF(OR(数据录入!$D4801="投标保证金",数据录入!$D4801="合同履约保证金",ISNUMBER(FIND("保证金",数据录入!$E4801))),1,0))</f>
      </c>
      <c r="R4801" s="44">
        <f>IF(AND($Q4801=1,数据录入!$B4801&gt;=$B$2,数据录入!$B4801&lt;=$D$2),N(R4800)+1,N(R4800))</f>
      </c>
    </row>
    <row r="4802" s="44" customFormat="1" spans="1:23">
      <c r="A4802" s="116"/>
      <c r="E4802" s="108"/>
      <c r="F4802" s="114"/>
      <c r="G4802" s="114"/>
      <c r="H4802" s="114"/>
      <c r="Q4802" s="44">
        <f>IF(数据录入!$B4802="",0,IF(OR(数据录入!$D4802="投标保证金",数据录入!$D4802="合同履约保证金",ISNUMBER(FIND("保证金",数据录入!$E4802))),1,0))</f>
      </c>
      <c r="R4802" s="44">
        <f>IF(AND($Q4802=1,数据录入!$B4802&gt;=$B$2,数据录入!$B4802&lt;=$D$2),N(R4801)+1,N(R4801))</f>
      </c>
    </row>
    <row r="4803" s="44" customFormat="1" spans="1:23">
      <c r="A4803" s="116"/>
      <c r="E4803" s="108"/>
      <c r="F4803" s="114"/>
      <c r="G4803" s="114"/>
      <c r="H4803" s="114"/>
      <c r="Q4803" s="44">
        <f>IF(数据录入!$B4803="",0,IF(OR(数据录入!$D4803="投标保证金",数据录入!$D4803="合同履约保证金",ISNUMBER(FIND("保证金",数据录入!$E4803))),1,0))</f>
      </c>
      <c r="R4803" s="44">
        <f>IF(AND($Q4803=1,数据录入!$B4803&gt;=$B$2,数据录入!$B4803&lt;=$D$2),N(R4802)+1,N(R4802))</f>
      </c>
    </row>
    <row r="4804" s="44" customFormat="1" spans="1:23">
      <c r="A4804" s="116"/>
      <c r="E4804" s="108"/>
      <c r="F4804" s="114"/>
      <c r="G4804" s="114"/>
      <c r="H4804" s="114"/>
      <c r="Q4804" s="44">
        <f>IF(数据录入!$B4804="",0,IF(OR(数据录入!$D4804="投标保证金",数据录入!$D4804="合同履约保证金",ISNUMBER(FIND("保证金",数据录入!$E4804))),1,0))</f>
      </c>
      <c r="R4804" s="44">
        <f>IF(AND($Q4804=1,数据录入!$B4804&gt;=$B$2,数据录入!$B4804&lt;=$D$2),N(R4803)+1,N(R4803))</f>
      </c>
    </row>
    <row r="4805" s="44" customFormat="1" spans="1:23">
      <c r="A4805" s="116"/>
      <c r="E4805" s="108"/>
      <c r="F4805" s="114"/>
      <c r="G4805" s="114"/>
      <c r="H4805" s="114"/>
      <c r="Q4805" s="44">
        <f>IF(数据录入!$B4805="",0,IF(OR(数据录入!$D4805="投标保证金",数据录入!$D4805="合同履约保证金",ISNUMBER(FIND("保证金",数据录入!$E4805))),1,0))</f>
      </c>
      <c r="R4805" s="44">
        <f>IF(AND($Q4805=1,数据录入!$B4805&gt;=$B$2,数据录入!$B4805&lt;=$D$2),N(R4804)+1,N(R4804))</f>
      </c>
    </row>
    <row r="4806" s="44" customFormat="1" spans="1:23">
      <c r="A4806" s="116"/>
      <c r="E4806" s="108"/>
      <c r="F4806" s="114"/>
      <c r="G4806" s="114"/>
      <c r="H4806" s="114"/>
      <c r="Q4806" s="44">
        <f>IF(数据录入!$B4806="",0,IF(OR(数据录入!$D4806="投标保证金",数据录入!$D4806="合同履约保证金",ISNUMBER(FIND("保证金",数据录入!$E4806))),1,0))</f>
      </c>
      <c r="R4806" s="44">
        <f>IF(AND($Q4806=1,数据录入!$B4806&gt;=$B$2,数据录入!$B4806&lt;=$D$2),N(R4805)+1,N(R4805))</f>
      </c>
    </row>
    <row r="4807" s="44" customFormat="1" spans="1:23">
      <c r="A4807" s="116"/>
      <c r="E4807" s="108"/>
      <c r="F4807" s="114"/>
      <c r="G4807" s="114"/>
      <c r="H4807" s="114"/>
      <c r="Q4807" s="44">
        <f>IF(数据录入!$B4807="",0,IF(OR(数据录入!$D4807="投标保证金",数据录入!$D4807="合同履约保证金",ISNUMBER(FIND("保证金",数据录入!$E4807))),1,0))</f>
      </c>
      <c r="R4807" s="44">
        <f>IF(AND($Q4807=1,数据录入!$B4807&gt;=$B$2,数据录入!$B4807&lt;=$D$2),N(R4806)+1,N(R4806))</f>
      </c>
    </row>
    <row r="4808" s="44" customFormat="1" spans="1:23">
      <c r="A4808" s="116"/>
      <c r="E4808" s="108"/>
      <c r="F4808" s="114"/>
      <c r="G4808" s="114"/>
      <c r="H4808" s="114"/>
      <c r="Q4808" s="44">
        <f>IF(数据录入!$B4808="",0,IF(OR(数据录入!$D4808="投标保证金",数据录入!$D4808="合同履约保证金",ISNUMBER(FIND("保证金",数据录入!$E4808))),1,0))</f>
      </c>
      <c r="R4808" s="44">
        <f>IF(AND($Q4808=1,数据录入!$B4808&gt;=$B$2,数据录入!$B4808&lt;=$D$2),N(R4807)+1,N(R4807))</f>
      </c>
    </row>
    <row r="4809" s="44" customFormat="1" spans="1:23">
      <c r="A4809" s="116"/>
      <c r="E4809" s="108"/>
      <c r="F4809" s="114"/>
      <c r="G4809" s="114"/>
      <c r="H4809" s="114"/>
      <c r="Q4809" s="44">
        <f>IF(数据录入!$B4809="",0,IF(OR(数据录入!$D4809="投标保证金",数据录入!$D4809="合同履约保证金",ISNUMBER(FIND("保证金",数据录入!$E4809))),1,0))</f>
      </c>
      <c r="R4809" s="44">
        <f>IF(AND($Q4809=1,数据录入!$B4809&gt;=$B$2,数据录入!$B4809&lt;=$D$2),N(R4808)+1,N(R4808))</f>
      </c>
    </row>
    <row r="4810" s="44" customFormat="1" spans="1:23">
      <c r="A4810" s="116"/>
      <c r="E4810" s="108"/>
      <c r="F4810" s="114"/>
      <c r="G4810" s="114"/>
      <c r="H4810" s="114"/>
      <c r="Q4810" s="44">
        <f>IF(数据录入!$B4810="",0,IF(OR(数据录入!$D4810="投标保证金",数据录入!$D4810="合同履约保证金",ISNUMBER(FIND("保证金",数据录入!$E4810))),1,0))</f>
      </c>
      <c r="R4810" s="44">
        <f>IF(AND($Q4810=1,数据录入!$B4810&gt;=$B$2,数据录入!$B4810&lt;=$D$2),N(R4809)+1,N(R4809))</f>
      </c>
    </row>
    <row r="4811" s="44" customFormat="1" spans="1:23">
      <c r="A4811" s="116"/>
      <c r="E4811" s="108"/>
      <c r="F4811" s="114"/>
      <c r="G4811" s="114"/>
      <c r="H4811" s="114"/>
      <c r="Q4811" s="44">
        <f>IF(数据录入!$B4811="",0,IF(OR(数据录入!$D4811="投标保证金",数据录入!$D4811="合同履约保证金",ISNUMBER(FIND("保证金",数据录入!$E4811))),1,0))</f>
      </c>
      <c r="R4811" s="44">
        <f>IF(AND($Q4811=1,数据录入!$B4811&gt;=$B$2,数据录入!$B4811&lt;=$D$2),N(R4810)+1,N(R4810))</f>
      </c>
    </row>
    <row r="4812" s="44" customFormat="1" spans="1:23">
      <c r="A4812" s="116"/>
      <c r="E4812" s="108"/>
      <c r="F4812" s="114"/>
      <c r="G4812" s="114"/>
      <c r="H4812" s="114"/>
      <c r="Q4812" s="44">
        <f>IF(数据录入!$B4812="",0,IF(OR(数据录入!$D4812="投标保证金",数据录入!$D4812="合同履约保证金",ISNUMBER(FIND("保证金",数据录入!$E4812))),1,0))</f>
      </c>
      <c r="R4812" s="44">
        <f>IF(AND($Q4812=1,数据录入!$B4812&gt;=$B$2,数据录入!$B4812&lt;=$D$2),N(R4811)+1,N(R4811))</f>
      </c>
    </row>
    <row r="4813" s="44" customFormat="1" spans="1:23">
      <c r="A4813" s="116"/>
      <c r="E4813" s="108"/>
      <c r="F4813" s="114"/>
      <c r="G4813" s="114"/>
      <c r="H4813" s="114"/>
      <c r="Q4813" s="44">
        <f>IF(数据录入!$B4813="",0,IF(OR(数据录入!$D4813="投标保证金",数据录入!$D4813="合同履约保证金",ISNUMBER(FIND("保证金",数据录入!$E4813))),1,0))</f>
      </c>
      <c r="R4813" s="44">
        <f>IF(AND($Q4813=1,数据录入!$B4813&gt;=$B$2,数据录入!$B4813&lt;=$D$2),N(R4812)+1,N(R4812))</f>
      </c>
    </row>
    <row r="4814" s="44" customFormat="1" spans="1:23">
      <c r="A4814" s="116"/>
      <c r="E4814" s="108"/>
      <c r="F4814" s="114"/>
      <c r="G4814" s="114"/>
      <c r="H4814" s="114"/>
      <c r="Q4814" s="44">
        <f>IF(数据录入!$B4814="",0,IF(OR(数据录入!$D4814="投标保证金",数据录入!$D4814="合同履约保证金",ISNUMBER(FIND("保证金",数据录入!$E4814))),1,0))</f>
      </c>
      <c r="R4814" s="44">
        <f>IF(AND($Q4814=1,数据录入!$B4814&gt;=$B$2,数据录入!$B4814&lt;=$D$2),N(R4813)+1,N(R4813))</f>
      </c>
    </row>
    <row r="4815" s="44" customFormat="1" spans="1:23">
      <c r="A4815" s="116"/>
      <c r="E4815" s="108"/>
      <c r="F4815" s="114"/>
      <c r="G4815" s="114"/>
      <c r="H4815" s="114"/>
      <c r="Q4815" s="44">
        <f>IF(数据录入!$B4815="",0,IF(OR(数据录入!$D4815="投标保证金",数据录入!$D4815="合同履约保证金",ISNUMBER(FIND("保证金",数据录入!$E4815))),1,0))</f>
      </c>
      <c r="R4815" s="44">
        <f>IF(AND($Q4815=1,数据录入!$B4815&gt;=$B$2,数据录入!$B4815&lt;=$D$2),N(R4814)+1,N(R4814))</f>
      </c>
    </row>
    <row r="4816" s="44" customFormat="1" spans="1:23">
      <c r="A4816" s="116"/>
      <c r="E4816" s="108"/>
      <c r="F4816" s="114"/>
      <c r="G4816" s="114"/>
      <c r="H4816" s="114"/>
      <c r="Q4816" s="44">
        <f>IF(数据录入!$B4816="",0,IF(OR(数据录入!$D4816="投标保证金",数据录入!$D4816="合同履约保证金",ISNUMBER(FIND("保证金",数据录入!$E4816))),1,0))</f>
      </c>
      <c r="R4816" s="44">
        <f>IF(AND($Q4816=1,数据录入!$B4816&gt;=$B$2,数据录入!$B4816&lt;=$D$2),N(R4815)+1,N(R4815))</f>
      </c>
    </row>
    <row r="4817" s="44" customFormat="1" spans="1:23">
      <c r="A4817" s="116"/>
      <c r="E4817" s="108"/>
      <c r="F4817" s="114"/>
      <c r="G4817" s="114"/>
      <c r="H4817" s="114"/>
      <c r="Q4817" s="44">
        <f>IF(数据录入!$B4817="",0,IF(OR(数据录入!$D4817="投标保证金",数据录入!$D4817="合同履约保证金",ISNUMBER(FIND("保证金",数据录入!$E4817))),1,0))</f>
      </c>
      <c r="R4817" s="44">
        <f>IF(AND($Q4817=1,数据录入!$B4817&gt;=$B$2,数据录入!$B4817&lt;=$D$2),N(R4816)+1,N(R4816))</f>
      </c>
    </row>
    <row r="4818" s="44" customFormat="1" spans="1:23">
      <c r="A4818" s="116"/>
      <c r="E4818" s="108"/>
      <c r="F4818" s="114"/>
      <c r="G4818" s="114"/>
      <c r="H4818" s="114"/>
      <c r="Q4818" s="44">
        <f>IF(数据录入!$B4818="",0,IF(OR(数据录入!$D4818="投标保证金",数据录入!$D4818="合同履约保证金",ISNUMBER(FIND("保证金",数据录入!$E4818))),1,0))</f>
      </c>
      <c r="R4818" s="44">
        <f>IF(AND($Q4818=1,数据录入!$B4818&gt;=$B$2,数据录入!$B4818&lt;=$D$2),N(R4817)+1,N(R4817))</f>
      </c>
    </row>
    <row r="4819" s="44" customFormat="1" spans="1:23">
      <c r="A4819" s="116"/>
      <c r="E4819" s="108"/>
      <c r="F4819" s="114"/>
      <c r="G4819" s="114"/>
      <c r="H4819" s="114"/>
      <c r="Q4819" s="44">
        <f>IF(数据录入!$B4819="",0,IF(OR(数据录入!$D4819="投标保证金",数据录入!$D4819="合同履约保证金",ISNUMBER(FIND("保证金",数据录入!$E4819))),1,0))</f>
      </c>
      <c r="R4819" s="44">
        <f>IF(AND($Q4819=1,数据录入!$B4819&gt;=$B$2,数据录入!$B4819&lt;=$D$2),N(R4818)+1,N(R4818))</f>
      </c>
    </row>
    <row r="4820" s="44" customFormat="1" spans="1:23">
      <c r="A4820" s="116"/>
      <c r="E4820" s="108"/>
      <c r="F4820" s="114"/>
      <c r="G4820" s="114"/>
      <c r="H4820" s="114"/>
      <c r="Q4820" s="44">
        <f>IF(数据录入!$B4820="",0,IF(OR(数据录入!$D4820="投标保证金",数据录入!$D4820="合同履约保证金",ISNUMBER(FIND("保证金",数据录入!$E4820))),1,0))</f>
      </c>
      <c r="R4820" s="44">
        <f>IF(AND($Q4820=1,数据录入!$B4820&gt;=$B$2,数据录入!$B4820&lt;=$D$2),N(R4819)+1,N(R4819))</f>
      </c>
    </row>
    <row r="4821" s="44" customFormat="1" spans="1:23">
      <c r="A4821" s="116"/>
      <c r="E4821" s="108"/>
      <c r="F4821" s="114"/>
      <c r="G4821" s="114"/>
      <c r="H4821" s="114"/>
      <c r="Q4821" s="44">
        <f>IF(数据录入!$B4821="",0,IF(OR(数据录入!$D4821="投标保证金",数据录入!$D4821="合同履约保证金",ISNUMBER(FIND("保证金",数据录入!$E4821))),1,0))</f>
      </c>
      <c r="R4821" s="44">
        <f>IF(AND($Q4821=1,数据录入!$B4821&gt;=$B$2,数据录入!$B4821&lt;=$D$2),N(R4820)+1,N(R4820))</f>
      </c>
    </row>
    <row r="4822" s="44" customFormat="1" spans="1:23">
      <c r="A4822" s="116"/>
      <c r="E4822" s="108"/>
      <c r="F4822" s="114"/>
      <c r="G4822" s="114"/>
      <c r="H4822" s="114"/>
      <c r="Q4822" s="44">
        <f>IF(数据录入!$B4822="",0,IF(OR(数据录入!$D4822="投标保证金",数据录入!$D4822="合同履约保证金",ISNUMBER(FIND("保证金",数据录入!$E4822))),1,0))</f>
      </c>
      <c r="R4822" s="44">
        <f>IF(AND($Q4822=1,数据录入!$B4822&gt;=$B$2,数据录入!$B4822&lt;=$D$2),N(R4821)+1,N(R4821))</f>
      </c>
    </row>
    <row r="4823" s="44" customFormat="1" spans="1:23">
      <c r="A4823" s="116"/>
      <c r="E4823" s="108"/>
      <c r="F4823" s="114"/>
      <c r="G4823" s="114"/>
      <c r="H4823" s="114"/>
      <c r="Q4823" s="44">
        <f>IF(数据录入!$B4823="",0,IF(OR(数据录入!$D4823="投标保证金",数据录入!$D4823="合同履约保证金",ISNUMBER(FIND("保证金",数据录入!$E4823))),1,0))</f>
      </c>
      <c r="R4823" s="44">
        <f>IF(AND($Q4823=1,数据录入!$B4823&gt;=$B$2,数据录入!$B4823&lt;=$D$2),N(R4822)+1,N(R4822))</f>
      </c>
    </row>
    <row r="4824" s="44" customFormat="1" spans="1:23">
      <c r="A4824" s="116"/>
      <c r="E4824" s="108"/>
      <c r="F4824" s="114"/>
      <c r="G4824" s="114"/>
      <c r="H4824" s="114"/>
      <c r="Q4824" s="44">
        <f>IF(数据录入!$B4824="",0,IF(OR(数据录入!$D4824="投标保证金",数据录入!$D4824="合同履约保证金",ISNUMBER(FIND("保证金",数据录入!$E4824))),1,0))</f>
      </c>
      <c r="R4824" s="44">
        <f>IF(AND($Q4824=1,数据录入!$B4824&gt;=$B$2,数据录入!$B4824&lt;=$D$2),N(R4823)+1,N(R4823))</f>
      </c>
    </row>
    <row r="4825" s="44" customFormat="1" spans="1:23">
      <c r="A4825" s="116"/>
      <c r="E4825" s="108"/>
      <c r="F4825" s="114"/>
      <c r="G4825" s="114"/>
      <c r="H4825" s="114"/>
      <c r="Q4825" s="44">
        <f>IF(数据录入!$B4825="",0,IF(OR(数据录入!$D4825="投标保证金",数据录入!$D4825="合同履约保证金",ISNUMBER(FIND("保证金",数据录入!$E4825))),1,0))</f>
      </c>
      <c r="R4825" s="44">
        <f>IF(AND($Q4825=1,数据录入!$B4825&gt;=$B$2,数据录入!$B4825&lt;=$D$2),N(R4824)+1,N(R4824))</f>
      </c>
    </row>
    <row r="4826" s="44" customFormat="1" spans="1:23">
      <c r="A4826" s="116"/>
      <c r="E4826" s="108"/>
      <c r="F4826" s="114"/>
      <c r="G4826" s="114"/>
      <c r="H4826" s="114"/>
      <c r="Q4826" s="44">
        <f>IF(数据录入!$B4826="",0,IF(OR(数据录入!$D4826="投标保证金",数据录入!$D4826="合同履约保证金",ISNUMBER(FIND("保证金",数据录入!$E4826))),1,0))</f>
      </c>
      <c r="R4826" s="44">
        <f>IF(AND($Q4826=1,数据录入!$B4826&gt;=$B$2,数据录入!$B4826&lt;=$D$2),N(R4825)+1,N(R4825))</f>
      </c>
    </row>
    <row r="4827" s="44" customFormat="1" spans="1:23">
      <c r="A4827" s="116"/>
      <c r="E4827" s="108"/>
      <c r="F4827" s="114"/>
      <c r="G4827" s="114"/>
      <c r="H4827" s="114"/>
      <c r="Q4827" s="44">
        <f>IF(数据录入!$B4827="",0,IF(OR(数据录入!$D4827="投标保证金",数据录入!$D4827="合同履约保证金",ISNUMBER(FIND("保证金",数据录入!$E4827))),1,0))</f>
      </c>
      <c r="R4827" s="44">
        <f>IF(AND($Q4827=1,数据录入!$B4827&gt;=$B$2,数据录入!$B4827&lt;=$D$2),N(R4826)+1,N(R4826))</f>
      </c>
    </row>
    <row r="4828" s="44" customFormat="1" spans="1:23">
      <c r="A4828" s="116"/>
      <c r="E4828" s="108"/>
      <c r="F4828" s="114"/>
      <c r="G4828" s="114"/>
      <c r="H4828" s="114"/>
      <c r="Q4828" s="44">
        <f>IF(数据录入!$B4828="",0,IF(OR(数据录入!$D4828="投标保证金",数据录入!$D4828="合同履约保证金",ISNUMBER(FIND("保证金",数据录入!$E4828))),1,0))</f>
      </c>
      <c r="R4828" s="44">
        <f>IF(AND($Q4828=1,数据录入!$B4828&gt;=$B$2,数据录入!$B4828&lt;=$D$2),N(R4827)+1,N(R4827))</f>
      </c>
    </row>
    <row r="4829" s="44" customFormat="1" spans="1:23">
      <c r="A4829" s="116"/>
      <c r="E4829" s="108"/>
      <c r="F4829" s="114"/>
      <c r="G4829" s="114"/>
      <c r="H4829" s="114"/>
      <c r="Q4829" s="44">
        <f>IF(数据录入!$B4829="",0,IF(OR(数据录入!$D4829="投标保证金",数据录入!$D4829="合同履约保证金",ISNUMBER(FIND("保证金",数据录入!$E4829))),1,0))</f>
      </c>
      <c r="R4829" s="44">
        <f>IF(AND($Q4829=1,数据录入!$B4829&gt;=$B$2,数据录入!$B4829&lt;=$D$2),N(R4828)+1,N(R4828))</f>
      </c>
    </row>
    <row r="4830" s="44" customFormat="1" spans="1:23">
      <c r="A4830" s="116"/>
      <c r="E4830" s="108"/>
      <c r="F4830" s="114"/>
      <c r="G4830" s="114"/>
      <c r="H4830" s="114"/>
      <c r="Q4830" s="44">
        <f>IF(数据录入!$B4830="",0,IF(OR(数据录入!$D4830="投标保证金",数据录入!$D4830="合同履约保证金",ISNUMBER(FIND("保证金",数据录入!$E4830))),1,0))</f>
      </c>
      <c r="R4830" s="44">
        <f>IF(AND($Q4830=1,数据录入!$B4830&gt;=$B$2,数据录入!$B4830&lt;=$D$2),N(R4829)+1,N(R4829))</f>
      </c>
    </row>
    <row r="4831" s="44" customFormat="1" spans="1:23">
      <c r="A4831" s="116"/>
      <c r="E4831" s="108"/>
      <c r="F4831" s="114"/>
      <c r="G4831" s="114"/>
      <c r="H4831" s="114"/>
      <c r="Q4831" s="44">
        <f>IF(数据录入!$B4831="",0,IF(OR(数据录入!$D4831="投标保证金",数据录入!$D4831="合同履约保证金",ISNUMBER(FIND("保证金",数据录入!$E4831))),1,0))</f>
      </c>
      <c r="R4831" s="44">
        <f>IF(AND($Q4831=1,数据录入!$B4831&gt;=$B$2,数据录入!$B4831&lt;=$D$2),N(R4830)+1,N(R4830))</f>
      </c>
    </row>
    <row r="4832" s="44" customFormat="1" spans="1:23">
      <c r="A4832" s="116"/>
      <c r="E4832" s="108"/>
      <c r="F4832" s="114"/>
      <c r="G4832" s="114"/>
      <c r="H4832" s="114"/>
      <c r="Q4832" s="44">
        <f>IF(数据录入!$B4832="",0,IF(OR(数据录入!$D4832="投标保证金",数据录入!$D4832="合同履约保证金",ISNUMBER(FIND("保证金",数据录入!$E4832))),1,0))</f>
      </c>
      <c r="R4832" s="44">
        <f>IF(AND($Q4832=1,数据录入!$B4832&gt;=$B$2,数据录入!$B4832&lt;=$D$2),N(R4831)+1,N(R4831))</f>
      </c>
    </row>
    <row r="4833" s="44" customFormat="1" spans="1:23">
      <c r="A4833" s="116"/>
      <c r="E4833" s="108"/>
      <c r="F4833" s="114"/>
      <c r="G4833" s="114"/>
      <c r="H4833" s="114"/>
      <c r="Q4833" s="44">
        <f>IF(数据录入!$B4833="",0,IF(OR(数据录入!$D4833="投标保证金",数据录入!$D4833="合同履约保证金",ISNUMBER(FIND("保证金",数据录入!$E4833))),1,0))</f>
      </c>
      <c r="R4833" s="44">
        <f>IF(AND($Q4833=1,数据录入!$B4833&gt;=$B$2,数据录入!$B4833&lt;=$D$2),N(R4832)+1,N(R4832))</f>
      </c>
    </row>
    <row r="4834" s="44" customFormat="1" spans="1:23">
      <c r="A4834" s="116"/>
      <c r="E4834" s="108"/>
      <c r="F4834" s="114"/>
      <c r="G4834" s="114"/>
      <c r="H4834" s="114"/>
      <c r="Q4834" s="44">
        <f>IF(数据录入!$B4834="",0,IF(OR(数据录入!$D4834="投标保证金",数据录入!$D4834="合同履约保证金",ISNUMBER(FIND("保证金",数据录入!$E4834))),1,0))</f>
      </c>
      <c r="R4834" s="44">
        <f>IF(AND($Q4834=1,数据录入!$B4834&gt;=$B$2,数据录入!$B4834&lt;=$D$2),N(R4833)+1,N(R4833))</f>
      </c>
    </row>
    <row r="4835" s="44" customFormat="1" spans="1:23">
      <c r="A4835" s="116"/>
      <c r="E4835" s="108"/>
      <c r="F4835" s="114"/>
      <c r="G4835" s="114"/>
      <c r="H4835" s="114"/>
      <c r="Q4835" s="44">
        <f>IF(数据录入!$B4835="",0,IF(OR(数据录入!$D4835="投标保证金",数据录入!$D4835="合同履约保证金",ISNUMBER(FIND("保证金",数据录入!$E4835))),1,0))</f>
      </c>
      <c r="R4835" s="44">
        <f>IF(AND($Q4835=1,数据录入!$B4835&gt;=$B$2,数据录入!$B4835&lt;=$D$2),N(R4834)+1,N(R4834))</f>
      </c>
    </row>
    <row r="4836" s="44" customFormat="1" spans="1:23">
      <c r="A4836" s="116"/>
      <c r="E4836" s="108"/>
      <c r="F4836" s="114"/>
      <c r="G4836" s="114"/>
      <c r="H4836" s="114"/>
      <c r="Q4836" s="44">
        <f>IF(数据录入!$B4836="",0,IF(OR(数据录入!$D4836="投标保证金",数据录入!$D4836="合同履约保证金",ISNUMBER(FIND("保证金",数据录入!$E4836))),1,0))</f>
      </c>
      <c r="R4836" s="44">
        <f>IF(AND($Q4836=1,数据录入!$B4836&gt;=$B$2,数据录入!$B4836&lt;=$D$2),N(R4835)+1,N(R4835))</f>
      </c>
    </row>
    <row r="4837" s="44" customFormat="1" spans="1:23">
      <c r="A4837" s="116"/>
      <c r="E4837" s="108"/>
      <c r="F4837" s="114"/>
      <c r="G4837" s="114"/>
      <c r="H4837" s="114"/>
      <c r="Q4837" s="44">
        <f>IF(数据录入!$B4837="",0,IF(OR(数据录入!$D4837="投标保证金",数据录入!$D4837="合同履约保证金",ISNUMBER(FIND("保证金",数据录入!$E4837))),1,0))</f>
      </c>
      <c r="R4837" s="44">
        <f>IF(AND($Q4837=1,数据录入!$B4837&gt;=$B$2,数据录入!$B4837&lt;=$D$2),N(R4836)+1,N(R4836))</f>
      </c>
    </row>
    <row r="4838" s="44" customFormat="1" spans="1:23">
      <c r="A4838" s="116"/>
      <c r="E4838" s="108"/>
      <c r="F4838" s="114"/>
      <c r="G4838" s="114"/>
      <c r="H4838" s="114"/>
      <c r="Q4838" s="44">
        <f>IF(数据录入!$B4838="",0,IF(OR(数据录入!$D4838="投标保证金",数据录入!$D4838="合同履约保证金",ISNUMBER(FIND("保证金",数据录入!$E4838))),1,0))</f>
      </c>
      <c r="R4838" s="44">
        <f>IF(AND($Q4838=1,数据录入!$B4838&gt;=$B$2,数据录入!$B4838&lt;=$D$2),N(R4837)+1,N(R4837))</f>
      </c>
    </row>
    <row r="4839" s="44" customFormat="1" spans="1:23">
      <c r="A4839" s="116"/>
      <c r="E4839" s="108"/>
      <c r="F4839" s="114"/>
      <c r="G4839" s="114"/>
      <c r="H4839" s="114"/>
      <c r="Q4839" s="44">
        <f>IF(数据录入!$B4839="",0,IF(OR(数据录入!$D4839="投标保证金",数据录入!$D4839="合同履约保证金",ISNUMBER(FIND("保证金",数据录入!$E4839))),1,0))</f>
      </c>
      <c r="R4839" s="44">
        <f>IF(AND($Q4839=1,数据录入!$B4839&gt;=$B$2,数据录入!$B4839&lt;=$D$2),N(R4838)+1,N(R4838))</f>
      </c>
    </row>
    <row r="4840" s="44" customFormat="1" spans="1:23">
      <c r="A4840" s="116"/>
      <c r="E4840" s="108"/>
      <c r="F4840" s="114"/>
      <c r="G4840" s="114"/>
      <c r="H4840" s="114"/>
      <c r="Q4840" s="44">
        <f>IF(数据录入!$B4840="",0,IF(OR(数据录入!$D4840="投标保证金",数据录入!$D4840="合同履约保证金",ISNUMBER(FIND("保证金",数据录入!$E4840))),1,0))</f>
      </c>
      <c r="R4840" s="44">
        <f>IF(AND($Q4840=1,数据录入!$B4840&gt;=$B$2,数据录入!$B4840&lt;=$D$2),N(R4839)+1,N(R4839))</f>
      </c>
    </row>
    <row r="4841" s="44" customFormat="1" spans="1:23">
      <c r="A4841" s="116"/>
      <c r="E4841" s="108"/>
      <c r="F4841" s="114"/>
      <c r="G4841" s="114"/>
      <c r="H4841" s="114"/>
      <c r="Q4841" s="44">
        <f>IF(数据录入!$B4841="",0,IF(OR(数据录入!$D4841="投标保证金",数据录入!$D4841="合同履约保证金",ISNUMBER(FIND("保证金",数据录入!$E4841))),1,0))</f>
      </c>
      <c r="R4841" s="44">
        <f>IF(AND($Q4841=1,数据录入!$B4841&gt;=$B$2,数据录入!$B4841&lt;=$D$2),N(R4840)+1,N(R4840))</f>
      </c>
    </row>
    <row r="4842" s="44" customFormat="1" spans="1:23">
      <c r="A4842" s="116"/>
      <c r="E4842" s="108"/>
      <c r="F4842" s="114"/>
      <c r="G4842" s="114"/>
      <c r="H4842" s="114"/>
      <c r="Q4842" s="44">
        <f>IF(数据录入!$B4842="",0,IF(OR(数据录入!$D4842="投标保证金",数据录入!$D4842="合同履约保证金",ISNUMBER(FIND("保证金",数据录入!$E4842))),1,0))</f>
      </c>
      <c r="R4842" s="44">
        <f>IF(AND($Q4842=1,数据录入!$B4842&gt;=$B$2,数据录入!$B4842&lt;=$D$2),N(R4841)+1,N(R4841))</f>
      </c>
    </row>
    <row r="4843" s="44" customFormat="1" spans="1:23">
      <c r="A4843" s="116"/>
      <c r="E4843" s="108"/>
      <c r="F4843" s="114"/>
      <c r="G4843" s="114"/>
      <c r="H4843" s="114"/>
      <c r="Q4843" s="44">
        <f>IF(数据录入!$B4843="",0,IF(OR(数据录入!$D4843="投标保证金",数据录入!$D4843="合同履约保证金",ISNUMBER(FIND("保证金",数据录入!$E4843))),1,0))</f>
      </c>
      <c r="R4843" s="44">
        <f>IF(AND($Q4843=1,数据录入!$B4843&gt;=$B$2,数据录入!$B4843&lt;=$D$2),N(R4842)+1,N(R4842))</f>
      </c>
    </row>
    <row r="4844" s="44" customFormat="1" spans="1:23">
      <c r="A4844" s="116"/>
      <c r="E4844" s="108"/>
      <c r="F4844" s="114"/>
      <c r="G4844" s="114"/>
      <c r="H4844" s="114"/>
      <c r="Q4844" s="44">
        <f>IF(数据录入!$B4844="",0,IF(OR(数据录入!$D4844="投标保证金",数据录入!$D4844="合同履约保证金",ISNUMBER(FIND("保证金",数据录入!$E4844))),1,0))</f>
      </c>
      <c r="R4844" s="44">
        <f>IF(AND($Q4844=1,数据录入!$B4844&gt;=$B$2,数据录入!$B4844&lt;=$D$2),N(R4843)+1,N(R4843))</f>
      </c>
    </row>
    <row r="4845" s="44" customFormat="1" spans="1:23">
      <c r="A4845" s="116"/>
      <c r="E4845" s="108"/>
      <c r="F4845" s="114"/>
      <c r="G4845" s="114"/>
      <c r="H4845" s="114"/>
      <c r="Q4845" s="44">
        <f>IF(数据录入!$B4845="",0,IF(OR(数据录入!$D4845="投标保证金",数据录入!$D4845="合同履约保证金",ISNUMBER(FIND("保证金",数据录入!$E4845))),1,0))</f>
      </c>
      <c r="R4845" s="44">
        <f>IF(AND($Q4845=1,数据录入!$B4845&gt;=$B$2,数据录入!$B4845&lt;=$D$2),N(R4844)+1,N(R4844))</f>
      </c>
    </row>
    <row r="4846" s="44" customFormat="1" spans="1:23">
      <c r="A4846" s="116"/>
      <c r="E4846" s="108"/>
      <c r="F4846" s="114"/>
      <c r="G4846" s="114"/>
      <c r="H4846" s="114"/>
      <c r="Q4846" s="44">
        <f>IF(数据录入!$B4846="",0,IF(OR(数据录入!$D4846="投标保证金",数据录入!$D4846="合同履约保证金",ISNUMBER(FIND("保证金",数据录入!$E4846))),1,0))</f>
      </c>
      <c r="R4846" s="44">
        <f>IF(AND($Q4846=1,数据录入!$B4846&gt;=$B$2,数据录入!$B4846&lt;=$D$2),N(R4845)+1,N(R4845))</f>
      </c>
    </row>
    <row r="4847" s="44" customFormat="1" spans="1:23">
      <c r="A4847" s="116"/>
      <c r="E4847" s="108"/>
      <c r="F4847" s="114"/>
      <c r="G4847" s="114"/>
      <c r="H4847" s="114"/>
      <c r="Q4847" s="44">
        <f>IF(数据录入!$B4847="",0,IF(OR(数据录入!$D4847="投标保证金",数据录入!$D4847="合同履约保证金",ISNUMBER(FIND("保证金",数据录入!$E4847))),1,0))</f>
      </c>
      <c r="R4847" s="44">
        <f>IF(AND($Q4847=1,数据录入!$B4847&gt;=$B$2,数据录入!$B4847&lt;=$D$2),N(R4846)+1,N(R4846))</f>
      </c>
    </row>
    <row r="4848" s="44" customFormat="1" spans="1:23">
      <c r="A4848" s="116"/>
      <c r="E4848" s="108"/>
      <c r="F4848" s="114"/>
      <c r="G4848" s="114"/>
      <c r="H4848" s="114"/>
      <c r="Q4848" s="44">
        <f>IF(数据录入!$B4848="",0,IF(OR(数据录入!$D4848="投标保证金",数据录入!$D4848="合同履约保证金",ISNUMBER(FIND("保证金",数据录入!$E4848))),1,0))</f>
      </c>
      <c r="R4848" s="44">
        <f>IF(AND($Q4848=1,数据录入!$B4848&gt;=$B$2,数据录入!$B4848&lt;=$D$2),N(R4847)+1,N(R4847))</f>
      </c>
    </row>
    <row r="4849" s="44" customFormat="1" spans="1:23">
      <c r="A4849" s="116"/>
      <c r="E4849" s="108"/>
      <c r="F4849" s="114"/>
      <c r="G4849" s="114"/>
      <c r="H4849" s="114"/>
      <c r="Q4849" s="44">
        <f>IF(数据录入!$B4849="",0,IF(OR(数据录入!$D4849="投标保证金",数据录入!$D4849="合同履约保证金",ISNUMBER(FIND("保证金",数据录入!$E4849))),1,0))</f>
      </c>
      <c r="R4849" s="44">
        <f>IF(AND($Q4849=1,数据录入!$B4849&gt;=$B$2,数据录入!$B4849&lt;=$D$2),N(R4848)+1,N(R4848))</f>
      </c>
    </row>
    <row r="4850" s="44" customFormat="1" spans="1:23">
      <c r="A4850" s="116"/>
      <c r="E4850" s="108"/>
      <c r="F4850" s="114"/>
      <c r="G4850" s="114"/>
      <c r="H4850" s="114"/>
      <c r="Q4850" s="44">
        <f>IF(数据录入!$B4850="",0,IF(OR(数据录入!$D4850="投标保证金",数据录入!$D4850="合同履约保证金",ISNUMBER(FIND("保证金",数据录入!$E4850))),1,0))</f>
      </c>
      <c r="R4850" s="44">
        <f>IF(AND($Q4850=1,数据录入!$B4850&gt;=$B$2,数据录入!$B4850&lt;=$D$2),N(R4849)+1,N(R4849))</f>
      </c>
    </row>
    <row r="4851" s="44" customFormat="1" spans="1:23">
      <c r="A4851" s="116"/>
      <c r="E4851" s="108"/>
      <c r="F4851" s="114"/>
      <c r="G4851" s="114"/>
      <c r="H4851" s="114"/>
      <c r="Q4851" s="44">
        <f>IF(数据录入!$B4851="",0,IF(OR(数据录入!$D4851="投标保证金",数据录入!$D4851="合同履约保证金",ISNUMBER(FIND("保证金",数据录入!$E4851))),1,0))</f>
      </c>
      <c r="R4851" s="44">
        <f>IF(AND($Q4851=1,数据录入!$B4851&gt;=$B$2,数据录入!$B4851&lt;=$D$2),N(R4850)+1,N(R4850))</f>
      </c>
    </row>
    <row r="4852" s="44" customFormat="1" spans="1:23">
      <c r="A4852" s="116"/>
      <c r="E4852" s="108"/>
      <c r="F4852" s="114"/>
      <c r="G4852" s="114"/>
      <c r="H4852" s="114"/>
      <c r="Q4852" s="44">
        <f>IF(数据录入!$B4852="",0,IF(OR(数据录入!$D4852="投标保证金",数据录入!$D4852="合同履约保证金",ISNUMBER(FIND("保证金",数据录入!$E4852))),1,0))</f>
      </c>
      <c r="R4852" s="44">
        <f>IF(AND($Q4852=1,数据录入!$B4852&gt;=$B$2,数据录入!$B4852&lt;=$D$2),N(R4851)+1,N(R4851))</f>
      </c>
    </row>
    <row r="4853" s="44" customFormat="1" spans="1:23">
      <c r="A4853" s="116"/>
      <c r="E4853" s="108"/>
      <c r="F4853" s="114"/>
      <c r="G4853" s="114"/>
      <c r="H4853" s="114"/>
      <c r="Q4853" s="44">
        <f>IF(数据录入!$B4853="",0,IF(OR(数据录入!$D4853="投标保证金",数据录入!$D4853="合同履约保证金",ISNUMBER(FIND("保证金",数据录入!$E4853))),1,0))</f>
      </c>
      <c r="R4853" s="44">
        <f>IF(AND($Q4853=1,数据录入!$B4853&gt;=$B$2,数据录入!$B4853&lt;=$D$2),N(R4852)+1,N(R4852))</f>
      </c>
    </row>
    <row r="4854" s="44" customFormat="1" spans="1:23">
      <c r="A4854" s="116"/>
      <c r="E4854" s="108"/>
      <c r="F4854" s="114"/>
      <c r="G4854" s="114"/>
      <c r="H4854" s="114"/>
      <c r="Q4854" s="44">
        <f>IF(数据录入!$B4854="",0,IF(OR(数据录入!$D4854="投标保证金",数据录入!$D4854="合同履约保证金",ISNUMBER(FIND("保证金",数据录入!$E4854))),1,0))</f>
      </c>
      <c r="R4854" s="44">
        <f>IF(AND($Q4854=1,数据录入!$B4854&gt;=$B$2,数据录入!$B4854&lt;=$D$2),N(R4853)+1,N(R4853))</f>
      </c>
    </row>
    <row r="4855" s="44" customFormat="1" spans="1:23">
      <c r="A4855" s="116"/>
      <c r="E4855" s="108"/>
      <c r="F4855" s="114"/>
      <c r="G4855" s="114"/>
      <c r="H4855" s="114"/>
      <c r="Q4855" s="44">
        <f>IF(数据录入!$B4855="",0,IF(OR(数据录入!$D4855="投标保证金",数据录入!$D4855="合同履约保证金",ISNUMBER(FIND("保证金",数据录入!$E4855))),1,0))</f>
      </c>
      <c r="R4855" s="44">
        <f>IF(AND($Q4855=1,数据录入!$B4855&gt;=$B$2,数据录入!$B4855&lt;=$D$2),N(R4854)+1,N(R4854))</f>
      </c>
    </row>
    <row r="4856" s="44" customFormat="1" spans="1:23">
      <c r="A4856" s="116"/>
      <c r="E4856" s="108"/>
      <c r="F4856" s="114"/>
      <c r="G4856" s="114"/>
      <c r="H4856" s="114"/>
      <c r="Q4856" s="44">
        <f>IF(数据录入!$B4856="",0,IF(OR(数据录入!$D4856="投标保证金",数据录入!$D4856="合同履约保证金",ISNUMBER(FIND("保证金",数据录入!$E4856))),1,0))</f>
      </c>
      <c r="R4856" s="44">
        <f>IF(AND($Q4856=1,数据录入!$B4856&gt;=$B$2,数据录入!$B4856&lt;=$D$2),N(R4855)+1,N(R4855))</f>
      </c>
    </row>
    <row r="4857" s="44" customFormat="1" spans="1:23">
      <c r="A4857" s="116"/>
      <c r="E4857" s="108"/>
      <c r="F4857" s="114"/>
      <c r="G4857" s="114"/>
      <c r="H4857" s="114"/>
      <c r="Q4857" s="44">
        <f>IF(数据录入!$B4857="",0,IF(OR(数据录入!$D4857="投标保证金",数据录入!$D4857="合同履约保证金",ISNUMBER(FIND("保证金",数据录入!$E4857))),1,0))</f>
      </c>
      <c r="R4857" s="44">
        <f>IF(AND($Q4857=1,数据录入!$B4857&gt;=$B$2,数据录入!$B4857&lt;=$D$2),N(R4856)+1,N(R4856))</f>
      </c>
    </row>
    <row r="4858" s="44" customFormat="1" spans="1:23">
      <c r="A4858" s="116"/>
      <c r="E4858" s="108"/>
      <c r="F4858" s="114"/>
      <c r="G4858" s="114"/>
      <c r="H4858" s="114"/>
      <c r="Q4858" s="44">
        <f>IF(数据录入!$B4858="",0,IF(OR(数据录入!$D4858="投标保证金",数据录入!$D4858="合同履约保证金",ISNUMBER(FIND("保证金",数据录入!$E4858))),1,0))</f>
      </c>
      <c r="R4858" s="44">
        <f>IF(AND($Q4858=1,数据录入!$B4858&gt;=$B$2,数据录入!$B4858&lt;=$D$2),N(R4857)+1,N(R4857))</f>
      </c>
    </row>
    <row r="4859" s="44" customFormat="1" spans="1:23">
      <c r="A4859" s="116"/>
      <c r="E4859" s="108"/>
      <c r="F4859" s="114"/>
      <c r="G4859" s="114"/>
      <c r="H4859" s="114"/>
      <c r="Q4859" s="44">
        <f>IF(数据录入!$B4859="",0,IF(OR(数据录入!$D4859="投标保证金",数据录入!$D4859="合同履约保证金",ISNUMBER(FIND("保证金",数据录入!$E4859))),1,0))</f>
      </c>
      <c r="R4859" s="44">
        <f>IF(AND($Q4859=1,数据录入!$B4859&gt;=$B$2,数据录入!$B4859&lt;=$D$2),N(R4858)+1,N(R4858))</f>
      </c>
    </row>
    <row r="4860" s="44" customFormat="1" spans="1:23">
      <c r="A4860" s="116"/>
      <c r="E4860" s="108"/>
      <c r="F4860" s="114"/>
      <c r="G4860" s="114"/>
      <c r="H4860" s="114"/>
      <c r="Q4860" s="44">
        <f>IF(数据录入!$B4860="",0,IF(OR(数据录入!$D4860="投标保证金",数据录入!$D4860="合同履约保证金",ISNUMBER(FIND("保证金",数据录入!$E4860))),1,0))</f>
      </c>
      <c r="R4860" s="44">
        <f>IF(AND($Q4860=1,数据录入!$B4860&gt;=$B$2,数据录入!$B4860&lt;=$D$2),N(R4859)+1,N(R4859))</f>
      </c>
    </row>
    <row r="4861" s="44" customFormat="1" spans="1:23">
      <c r="A4861" s="116"/>
      <c r="E4861" s="108"/>
      <c r="F4861" s="114"/>
      <c r="G4861" s="114"/>
      <c r="H4861" s="114"/>
      <c r="Q4861" s="44">
        <f>IF(数据录入!$B4861="",0,IF(OR(数据录入!$D4861="投标保证金",数据录入!$D4861="合同履约保证金",ISNUMBER(FIND("保证金",数据录入!$E4861))),1,0))</f>
      </c>
      <c r="R4861" s="44">
        <f>IF(AND($Q4861=1,数据录入!$B4861&gt;=$B$2,数据录入!$B4861&lt;=$D$2),N(R4860)+1,N(R4860))</f>
      </c>
    </row>
    <row r="4862" s="44" customFormat="1" spans="1:23">
      <c r="A4862" s="116"/>
      <c r="E4862" s="108"/>
      <c r="F4862" s="114"/>
      <c r="G4862" s="114"/>
      <c r="H4862" s="114"/>
      <c r="Q4862" s="44">
        <f>IF(数据录入!$B4862="",0,IF(OR(数据录入!$D4862="投标保证金",数据录入!$D4862="合同履约保证金",ISNUMBER(FIND("保证金",数据录入!$E4862))),1,0))</f>
      </c>
      <c r="R4862" s="44">
        <f>IF(AND($Q4862=1,数据录入!$B4862&gt;=$B$2,数据录入!$B4862&lt;=$D$2),N(R4861)+1,N(R4861))</f>
      </c>
    </row>
    <row r="4863" s="44" customFormat="1" spans="1:23">
      <c r="A4863" s="116"/>
      <c r="E4863" s="108"/>
      <c r="F4863" s="114"/>
      <c r="G4863" s="114"/>
      <c r="H4863" s="114"/>
      <c r="Q4863" s="44">
        <f>IF(数据录入!$B4863="",0,IF(OR(数据录入!$D4863="投标保证金",数据录入!$D4863="合同履约保证金",ISNUMBER(FIND("保证金",数据录入!$E4863))),1,0))</f>
      </c>
      <c r="R4863" s="44">
        <f>IF(AND($Q4863=1,数据录入!$B4863&gt;=$B$2,数据录入!$B4863&lt;=$D$2),N(R4862)+1,N(R4862))</f>
      </c>
    </row>
    <row r="4864" s="44" customFormat="1" spans="1:23">
      <c r="A4864" s="116"/>
      <c r="E4864" s="108"/>
      <c r="F4864" s="114"/>
      <c r="G4864" s="114"/>
      <c r="H4864" s="114"/>
      <c r="Q4864" s="44">
        <f>IF(数据录入!$B4864="",0,IF(OR(数据录入!$D4864="投标保证金",数据录入!$D4864="合同履约保证金",ISNUMBER(FIND("保证金",数据录入!$E4864))),1,0))</f>
      </c>
      <c r="R4864" s="44">
        <f>IF(AND($Q4864=1,数据录入!$B4864&gt;=$B$2,数据录入!$B4864&lt;=$D$2),N(R4863)+1,N(R4863))</f>
      </c>
    </row>
    <row r="4865" s="44" customFormat="1" spans="1:23">
      <c r="A4865" s="116"/>
      <c r="E4865" s="108"/>
      <c r="F4865" s="114"/>
      <c r="G4865" s="114"/>
      <c r="H4865" s="114"/>
      <c r="Q4865" s="44">
        <f>IF(数据录入!$B4865="",0,IF(OR(数据录入!$D4865="投标保证金",数据录入!$D4865="合同履约保证金",ISNUMBER(FIND("保证金",数据录入!$E4865))),1,0))</f>
      </c>
      <c r="R4865" s="44">
        <f>IF(AND($Q4865=1,数据录入!$B4865&gt;=$B$2,数据录入!$B4865&lt;=$D$2),N(R4864)+1,N(R4864))</f>
      </c>
    </row>
    <row r="4866" s="44" customFormat="1" spans="1:23">
      <c r="A4866" s="116"/>
      <c r="E4866" s="108"/>
      <c r="F4866" s="114"/>
      <c r="G4866" s="114"/>
      <c r="H4866" s="114"/>
      <c r="Q4866" s="44">
        <f>IF(数据录入!$B4866="",0,IF(OR(数据录入!$D4866="投标保证金",数据录入!$D4866="合同履约保证金",ISNUMBER(FIND("保证金",数据录入!$E4866))),1,0))</f>
      </c>
      <c r="R4866" s="44">
        <f>IF(AND($Q4866=1,数据录入!$B4866&gt;=$B$2,数据录入!$B4866&lt;=$D$2),N(R4865)+1,N(R4865))</f>
      </c>
    </row>
    <row r="4867" s="44" customFormat="1" spans="1:23">
      <c r="A4867" s="116"/>
      <c r="E4867" s="108"/>
      <c r="F4867" s="114"/>
      <c r="G4867" s="114"/>
      <c r="H4867" s="114"/>
      <c r="Q4867" s="44">
        <f>IF(数据录入!$B4867="",0,IF(OR(数据录入!$D4867="投标保证金",数据录入!$D4867="合同履约保证金",ISNUMBER(FIND("保证金",数据录入!$E4867))),1,0))</f>
      </c>
      <c r="R4867" s="44">
        <f>IF(AND($Q4867=1,数据录入!$B4867&gt;=$B$2,数据录入!$B4867&lt;=$D$2),N(R4866)+1,N(R4866))</f>
      </c>
    </row>
    <row r="4868" s="44" customFormat="1" spans="1:23">
      <c r="A4868" s="116"/>
      <c r="E4868" s="108"/>
      <c r="F4868" s="114"/>
      <c r="G4868" s="114"/>
      <c r="H4868" s="114"/>
      <c r="Q4868" s="44">
        <f>IF(数据录入!$B4868="",0,IF(OR(数据录入!$D4868="投标保证金",数据录入!$D4868="合同履约保证金",ISNUMBER(FIND("保证金",数据录入!$E4868))),1,0))</f>
      </c>
      <c r="R4868" s="44">
        <f>IF(AND($Q4868=1,数据录入!$B4868&gt;=$B$2,数据录入!$B4868&lt;=$D$2),N(R4867)+1,N(R4867))</f>
      </c>
    </row>
    <row r="4869" s="44" customFormat="1" spans="1:23">
      <c r="A4869" s="116"/>
      <c r="E4869" s="108"/>
      <c r="F4869" s="114"/>
      <c r="G4869" s="114"/>
      <c r="H4869" s="114"/>
      <c r="Q4869" s="44">
        <f>IF(数据录入!$B4869="",0,IF(OR(数据录入!$D4869="投标保证金",数据录入!$D4869="合同履约保证金",ISNUMBER(FIND("保证金",数据录入!$E4869))),1,0))</f>
      </c>
      <c r="R4869" s="44">
        <f>IF(AND($Q4869=1,数据录入!$B4869&gt;=$B$2,数据录入!$B4869&lt;=$D$2),N(R4868)+1,N(R4868))</f>
      </c>
    </row>
    <row r="4870" s="44" customFormat="1" spans="1:23">
      <c r="A4870" s="116"/>
      <c r="E4870" s="108"/>
      <c r="F4870" s="114"/>
      <c r="G4870" s="114"/>
      <c r="H4870" s="114"/>
      <c r="Q4870" s="44">
        <f>IF(数据录入!$B4870="",0,IF(OR(数据录入!$D4870="投标保证金",数据录入!$D4870="合同履约保证金",ISNUMBER(FIND("保证金",数据录入!$E4870))),1,0))</f>
      </c>
      <c r="R4870" s="44">
        <f>IF(AND($Q4870=1,数据录入!$B4870&gt;=$B$2,数据录入!$B4870&lt;=$D$2),N(R4869)+1,N(R4869))</f>
      </c>
    </row>
    <row r="4871" s="44" customFormat="1" spans="1:23">
      <c r="A4871" s="116"/>
      <c r="E4871" s="108"/>
      <c r="F4871" s="114"/>
      <c r="G4871" s="114"/>
      <c r="H4871" s="114"/>
      <c r="Q4871" s="44">
        <f>IF(数据录入!$B4871="",0,IF(OR(数据录入!$D4871="投标保证金",数据录入!$D4871="合同履约保证金",ISNUMBER(FIND("保证金",数据录入!$E4871))),1,0))</f>
      </c>
      <c r="R4871" s="44">
        <f>IF(AND($Q4871=1,数据录入!$B4871&gt;=$B$2,数据录入!$B4871&lt;=$D$2),N(R4870)+1,N(R4870))</f>
      </c>
    </row>
    <row r="4872" s="44" customFormat="1" spans="1:23">
      <c r="A4872" s="116"/>
      <c r="E4872" s="108"/>
      <c r="F4872" s="114"/>
      <c r="G4872" s="114"/>
      <c r="H4872" s="114"/>
      <c r="Q4872" s="44">
        <f>IF(数据录入!$B4872="",0,IF(OR(数据录入!$D4872="投标保证金",数据录入!$D4872="合同履约保证金",ISNUMBER(FIND("保证金",数据录入!$E4872))),1,0))</f>
      </c>
      <c r="R4872" s="44">
        <f>IF(AND($Q4872=1,数据录入!$B4872&gt;=$B$2,数据录入!$B4872&lt;=$D$2),N(R4871)+1,N(R4871))</f>
      </c>
    </row>
    <row r="4873" s="44" customFormat="1" spans="1:23">
      <c r="A4873" s="116"/>
      <c r="E4873" s="108"/>
      <c r="F4873" s="114"/>
      <c r="G4873" s="114"/>
      <c r="H4873" s="114"/>
      <c r="Q4873" s="44">
        <f>IF(数据录入!$B4873="",0,IF(OR(数据录入!$D4873="投标保证金",数据录入!$D4873="合同履约保证金",ISNUMBER(FIND("保证金",数据录入!$E4873))),1,0))</f>
      </c>
      <c r="R4873" s="44">
        <f>IF(AND($Q4873=1,数据录入!$B4873&gt;=$B$2,数据录入!$B4873&lt;=$D$2),N(R4872)+1,N(R4872))</f>
      </c>
    </row>
    <row r="4874" s="44" customFormat="1" spans="1:23">
      <c r="A4874" s="116"/>
      <c r="E4874" s="108"/>
      <c r="F4874" s="114"/>
      <c r="G4874" s="114"/>
      <c r="H4874" s="114"/>
      <c r="Q4874" s="44">
        <f>IF(数据录入!$B4874="",0,IF(OR(数据录入!$D4874="投标保证金",数据录入!$D4874="合同履约保证金",ISNUMBER(FIND("保证金",数据录入!$E4874))),1,0))</f>
      </c>
      <c r="R4874" s="44">
        <f>IF(AND($Q4874=1,数据录入!$B4874&gt;=$B$2,数据录入!$B4874&lt;=$D$2),N(R4873)+1,N(R4873))</f>
      </c>
    </row>
    <row r="4875" s="44" customFormat="1" spans="1:23">
      <c r="A4875" s="116"/>
      <c r="E4875" s="108"/>
      <c r="F4875" s="114"/>
      <c r="G4875" s="114"/>
      <c r="H4875" s="114"/>
      <c r="Q4875" s="44">
        <f>IF(数据录入!$B4875="",0,IF(OR(数据录入!$D4875="投标保证金",数据录入!$D4875="合同履约保证金",ISNUMBER(FIND("保证金",数据录入!$E4875))),1,0))</f>
      </c>
      <c r="R4875" s="44">
        <f>IF(AND($Q4875=1,数据录入!$B4875&gt;=$B$2,数据录入!$B4875&lt;=$D$2),N(R4874)+1,N(R4874))</f>
      </c>
    </row>
    <row r="4876" s="44" customFormat="1" spans="1:23">
      <c r="A4876" s="116"/>
      <c r="E4876" s="108"/>
      <c r="F4876" s="114"/>
      <c r="G4876" s="114"/>
      <c r="H4876" s="114"/>
      <c r="Q4876" s="44">
        <f>IF(数据录入!$B4876="",0,IF(OR(数据录入!$D4876="投标保证金",数据录入!$D4876="合同履约保证金",ISNUMBER(FIND("保证金",数据录入!$E4876))),1,0))</f>
      </c>
      <c r="R4876" s="44">
        <f>IF(AND($Q4876=1,数据录入!$B4876&gt;=$B$2,数据录入!$B4876&lt;=$D$2),N(R4875)+1,N(R4875))</f>
      </c>
    </row>
    <row r="4877" s="44" customFormat="1" spans="1:23">
      <c r="A4877" s="116"/>
      <c r="E4877" s="108"/>
      <c r="F4877" s="114"/>
      <c r="G4877" s="114"/>
      <c r="H4877" s="114"/>
      <c r="Q4877" s="44">
        <f>IF(数据录入!$B4877="",0,IF(OR(数据录入!$D4877="投标保证金",数据录入!$D4877="合同履约保证金",ISNUMBER(FIND("保证金",数据录入!$E4877))),1,0))</f>
      </c>
      <c r="R4877" s="44">
        <f>IF(AND($Q4877=1,数据录入!$B4877&gt;=$B$2,数据录入!$B4877&lt;=$D$2),N(R4876)+1,N(R4876))</f>
      </c>
    </row>
    <row r="4878" s="44" customFormat="1" spans="1:23">
      <c r="A4878" s="116"/>
      <c r="E4878" s="108"/>
      <c r="F4878" s="114"/>
      <c r="G4878" s="114"/>
      <c r="H4878" s="114"/>
      <c r="Q4878" s="44">
        <f>IF(数据录入!$B4878="",0,IF(OR(数据录入!$D4878="投标保证金",数据录入!$D4878="合同履约保证金",ISNUMBER(FIND("保证金",数据录入!$E4878))),1,0))</f>
      </c>
      <c r="R4878" s="44">
        <f>IF(AND($Q4878=1,数据录入!$B4878&gt;=$B$2,数据录入!$B4878&lt;=$D$2),N(R4877)+1,N(R4877))</f>
      </c>
    </row>
    <row r="4879" s="44" customFormat="1" spans="1:23">
      <c r="A4879" s="116"/>
      <c r="E4879" s="108"/>
      <c r="F4879" s="114"/>
      <c r="G4879" s="114"/>
      <c r="H4879" s="114"/>
      <c r="Q4879" s="44">
        <f>IF(数据录入!$B4879="",0,IF(OR(数据录入!$D4879="投标保证金",数据录入!$D4879="合同履约保证金",ISNUMBER(FIND("保证金",数据录入!$E4879))),1,0))</f>
      </c>
      <c r="R4879" s="44">
        <f>IF(AND($Q4879=1,数据录入!$B4879&gt;=$B$2,数据录入!$B4879&lt;=$D$2),N(R4878)+1,N(R4878))</f>
      </c>
    </row>
    <row r="4880" s="44" customFormat="1" spans="1:23">
      <c r="A4880" s="116"/>
      <c r="E4880" s="108"/>
      <c r="F4880" s="114"/>
      <c r="G4880" s="114"/>
      <c r="H4880" s="114"/>
      <c r="Q4880" s="44">
        <f>IF(数据录入!$B4880="",0,IF(OR(数据录入!$D4880="投标保证金",数据录入!$D4880="合同履约保证金",ISNUMBER(FIND("保证金",数据录入!$E4880))),1,0))</f>
      </c>
      <c r="R4880" s="44">
        <f>IF(AND($Q4880=1,数据录入!$B4880&gt;=$B$2,数据录入!$B4880&lt;=$D$2),N(R4879)+1,N(R4879))</f>
      </c>
    </row>
    <row r="4881" s="44" customFormat="1" spans="1:23">
      <c r="A4881" s="116"/>
      <c r="E4881" s="108"/>
      <c r="F4881" s="114"/>
      <c r="G4881" s="114"/>
      <c r="H4881" s="114"/>
      <c r="Q4881" s="44">
        <f>IF(数据录入!$B4881="",0,IF(OR(数据录入!$D4881="投标保证金",数据录入!$D4881="合同履约保证金",ISNUMBER(FIND("保证金",数据录入!$E4881))),1,0))</f>
      </c>
      <c r="R4881" s="44">
        <f>IF(AND($Q4881=1,数据录入!$B4881&gt;=$B$2,数据录入!$B4881&lt;=$D$2),N(R4880)+1,N(R4880))</f>
      </c>
    </row>
    <row r="4882" s="44" customFormat="1" spans="1:23">
      <c r="A4882" s="116"/>
      <c r="E4882" s="108"/>
      <c r="F4882" s="114"/>
      <c r="G4882" s="114"/>
      <c r="H4882" s="114"/>
      <c r="Q4882" s="44">
        <f>IF(数据录入!$B4882="",0,IF(OR(数据录入!$D4882="投标保证金",数据录入!$D4882="合同履约保证金",ISNUMBER(FIND("保证金",数据录入!$E4882))),1,0))</f>
      </c>
      <c r="R4882" s="44">
        <f>IF(AND($Q4882=1,数据录入!$B4882&gt;=$B$2,数据录入!$B4882&lt;=$D$2),N(R4881)+1,N(R4881))</f>
      </c>
    </row>
    <row r="4883" s="44" customFormat="1" spans="1:23">
      <c r="A4883" s="116"/>
      <c r="E4883" s="108"/>
      <c r="F4883" s="114"/>
      <c r="G4883" s="114"/>
      <c r="H4883" s="114"/>
      <c r="Q4883" s="44">
        <f>IF(数据录入!$B4883="",0,IF(OR(数据录入!$D4883="投标保证金",数据录入!$D4883="合同履约保证金",ISNUMBER(FIND("保证金",数据录入!$E4883))),1,0))</f>
      </c>
      <c r="R4883" s="44">
        <f>IF(AND($Q4883=1,数据录入!$B4883&gt;=$B$2,数据录入!$B4883&lt;=$D$2),N(R4882)+1,N(R4882))</f>
      </c>
    </row>
    <row r="4884" s="44" customFormat="1" spans="1:23">
      <c r="A4884" s="116"/>
      <c r="E4884" s="108"/>
      <c r="F4884" s="114"/>
      <c r="G4884" s="114"/>
      <c r="H4884" s="114"/>
      <c r="Q4884" s="44">
        <f>IF(数据录入!$B4884="",0,IF(OR(数据录入!$D4884="投标保证金",数据录入!$D4884="合同履约保证金",ISNUMBER(FIND("保证金",数据录入!$E4884))),1,0))</f>
      </c>
      <c r="R4884" s="44">
        <f>IF(AND($Q4884=1,数据录入!$B4884&gt;=$B$2,数据录入!$B4884&lt;=$D$2),N(R4883)+1,N(R4883))</f>
      </c>
    </row>
    <row r="4885" s="44" customFormat="1" spans="1:23">
      <c r="A4885" s="116"/>
      <c r="E4885" s="108"/>
      <c r="F4885" s="114"/>
      <c r="G4885" s="114"/>
      <c r="H4885" s="114"/>
      <c r="Q4885" s="44">
        <f>IF(数据录入!$B4885="",0,IF(OR(数据录入!$D4885="投标保证金",数据录入!$D4885="合同履约保证金",ISNUMBER(FIND("保证金",数据录入!$E4885))),1,0))</f>
      </c>
      <c r="R4885" s="44">
        <f>IF(AND($Q4885=1,数据录入!$B4885&gt;=$B$2,数据录入!$B4885&lt;=$D$2),N(R4884)+1,N(R4884))</f>
      </c>
    </row>
    <row r="4886" s="44" customFormat="1" spans="1:23">
      <c r="A4886" s="116"/>
      <c r="E4886" s="108"/>
      <c r="F4886" s="114"/>
      <c r="G4886" s="114"/>
      <c r="H4886" s="114"/>
      <c r="Q4886" s="44">
        <f>IF(数据录入!$B4886="",0,IF(OR(数据录入!$D4886="投标保证金",数据录入!$D4886="合同履约保证金",ISNUMBER(FIND("保证金",数据录入!$E4886))),1,0))</f>
      </c>
      <c r="R4886" s="44">
        <f>IF(AND($Q4886=1,数据录入!$B4886&gt;=$B$2,数据录入!$B4886&lt;=$D$2),N(R4885)+1,N(R4885))</f>
      </c>
    </row>
    <row r="4887" s="44" customFormat="1" spans="1:23">
      <c r="A4887" s="116"/>
      <c r="E4887" s="108"/>
      <c r="F4887" s="114"/>
      <c r="G4887" s="114"/>
      <c r="H4887" s="114"/>
      <c r="Q4887" s="44">
        <f>IF(数据录入!$B4887="",0,IF(OR(数据录入!$D4887="投标保证金",数据录入!$D4887="合同履约保证金",ISNUMBER(FIND("保证金",数据录入!$E4887))),1,0))</f>
      </c>
      <c r="R4887" s="44">
        <f>IF(AND($Q4887=1,数据录入!$B4887&gt;=$B$2,数据录入!$B4887&lt;=$D$2),N(R4886)+1,N(R4886))</f>
      </c>
    </row>
    <row r="4888" s="44" customFormat="1" spans="1:23">
      <c r="A4888" s="116"/>
      <c r="E4888" s="108"/>
      <c r="F4888" s="114"/>
      <c r="G4888" s="114"/>
      <c r="H4888" s="114"/>
      <c r="Q4888" s="44">
        <f>IF(数据录入!$B4888="",0,IF(OR(数据录入!$D4888="投标保证金",数据录入!$D4888="合同履约保证金",ISNUMBER(FIND("保证金",数据录入!$E4888))),1,0))</f>
      </c>
      <c r="R4888" s="44">
        <f>IF(AND($Q4888=1,数据录入!$B4888&gt;=$B$2,数据录入!$B4888&lt;=$D$2),N(R4887)+1,N(R4887))</f>
      </c>
    </row>
    <row r="4889" s="44" customFormat="1" spans="1:23">
      <c r="A4889" s="116"/>
      <c r="E4889" s="108"/>
      <c r="F4889" s="114"/>
      <c r="G4889" s="114"/>
      <c r="H4889" s="114"/>
      <c r="Q4889" s="44">
        <f>IF(数据录入!$B4889="",0,IF(OR(数据录入!$D4889="投标保证金",数据录入!$D4889="合同履约保证金",ISNUMBER(FIND("保证金",数据录入!$E4889))),1,0))</f>
      </c>
      <c r="R4889" s="44">
        <f>IF(AND($Q4889=1,数据录入!$B4889&gt;=$B$2,数据录入!$B4889&lt;=$D$2),N(R4888)+1,N(R4888))</f>
      </c>
    </row>
    <row r="4890" s="44" customFormat="1" spans="1:23">
      <c r="A4890" s="116"/>
      <c r="E4890" s="108"/>
      <c r="F4890" s="114"/>
      <c r="G4890" s="114"/>
      <c r="H4890" s="114"/>
      <c r="Q4890" s="44">
        <f>IF(数据录入!$B4890="",0,IF(OR(数据录入!$D4890="投标保证金",数据录入!$D4890="合同履约保证金",ISNUMBER(FIND("保证金",数据录入!$E4890))),1,0))</f>
      </c>
      <c r="R4890" s="44">
        <f>IF(AND($Q4890=1,数据录入!$B4890&gt;=$B$2,数据录入!$B4890&lt;=$D$2),N(R4889)+1,N(R4889))</f>
      </c>
    </row>
    <row r="4891" s="44" customFormat="1" spans="1:23">
      <c r="A4891" s="116"/>
      <c r="E4891" s="108"/>
      <c r="F4891" s="114"/>
      <c r="G4891" s="114"/>
      <c r="H4891" s="114"/>
      <c r="Q4891" s="44">
        <f>IF(数据录入!$B4891="",0,IF(OR(数据录入!$D4891="投标保证金",数据录入!$D4891="合同履约保证金",ISNUMBER(FIND("保证金",数据录入!$E4891))),1,0))</f>
      </c>
      <c r="R4891" s="44">
        <f>IF(AND($Q4891=1,数据录入!$B4891&gt;=$B$2,数据录入!$B4891&lt;=$D$2),N(R4890)+1,N(R4890))</f>
      </c>
    </row>
    <row r="4892" s="44" customFormat="1" spans="1:23">
      <c r="A4892" s="116"/>
      <c r="E4892" s="108"/>
      <c r="F4892" s="114"/>
      <c r="G4892" s="114"/>
      <c r="H4892" s="114"/>
      <c r="Q4892" s="44">
        <f>IF(数据录入!$B4892="",0,IF(OR(数据录入!$D4892="投标保证金",数据录入!$D4892="合同履约保证金",ISNUMBER(FIND("保证金",数据录入!$E4892))),1,0))</f>
      </c>
      <c r="R4892" s="44">
        <f>IF(AND($Q4892=1,数据录入!$B4892&gt;=$B$2,数据录入!$B4892&lt;=$D$2),N(R4891)+1,N(R4891))</f>
      </c>
    </row>
    <row r="4893" s="44" customFormat="1" spans="1:23">
      <c r="A4893" s="116"/>
      <c r="E4893" s="108"/>
      <c r="F4893" s="114"/>
      <c r="G4893" s="114"/>
      <c r="H4893" s="114"/>
      <c r="Q4893" s="44">
        <f>IF(数据录入!$B4893="",0,IF(OR(数据录入!$D4893="投标保证金",数据录入!$D4893="合同履约保证金",ISNUMBER(FIND("保证金",数据录入!$E4893))),1,0))</f>
      </c>
      <c r="R4893" s="44">
        <f>IF(AND($Q4893=1,数据录入!$B4893&gt;=$B$2,数据录入!$B4893&lt;=$D$2),N(R4892)+1,N(R4892))</f>
      </c>
    </row>
    <row r="4894" s="44" customFormat="1" spans="1:23">
      <c r="A4894" s="116"/>
      <c r="E4894" s="108"/>
      <c r="F4894" s="114"/>
      <c r="G4894" s="114"/>
      <c r="H4894" s="114"/>
      <c r="Q4894" s="44">
        <f>IF(数据录入!$B4894="",0,IF(OR(数据录入!$D4894="投标保证金",数据录入!$D4894="合同履约保证金",ISNUMBER(FIND("保证金",数据录入!$E4894))),1,0))</f>
      </c>
      <c r="R4894" s="44">
        <f>IF(AND($Q4894=1,数据录入!$B4894&gt;=$B$2,数据录入!$B4894&lt;=$D$2),N(R4893)+1,N(R4893))</f>
      </c>
    </row>
    <row r="4895" s="44" customFormat="1" spans="1:23">
      <c r="A4895" s="116"/>
      <c r="E4895" s="108"/>
      <c r="F4895" s="114"/>
      <c r="G4895" s="114"/>
      <c r="H4895" s="114"/>
      <c r="Q4895" s="44">
        <f>IF(数据录入!$B4895="",0,IF(OR(数据录入!$D4895="投标保证金",数据录入!$D4895="合同履约保证金",ISNUMBER(FIND("保证金",数据录入!$E4895))),1,0))</f>
      </c>
      <c r="R4895" s="44">
        <f>IF(AND($Q4895=1,数据录入!$B4895&gt;=$B$2,数据录入!$B4895&lt;=$D$2),N(R4894)+1,N(R4894))</f>
      </c>
    </row>
    <row r="4896" s="44" customFormat="1" spans="1:23">
      <c r="A4896" s="116"/>
      <c r="E4896" s="108"/>
      <c r="F4896" s="114"/>
      <c r="G4896" s="114"/>
      <c r="H4896" s="114"/>
      <c r="Q4896" s="44">
        <f>IF(数据录入!$B4896="",0,IF(OR(数据录入!$D4896="投标保证金",数据录入!$D4896="合同履约保证金",ISNUMBER(FIND("保证金",数据录入!$E4896))),1,0))</f>
      </c>
      <c r="R4896" s="44">
        <f>IF(AND($Q4896=1,数据录入!$B4896&gt;=$B$2,数据录入!$B4896&lt;=$D$2),N(R4895)+1,N(R4895))</f>
      </c>
    </row>
    <row r="4897" s="44" customFormat="1" spans="1:23">
      <c r="A4897" s="116"/>
      <c r="E4897" s="108"/>
      <c r="F4897" s="114"/>
      <c r="G4897" s="114"/>
      <c r="H4897" s="114"/>
      <c r="Q4897" s="44">
        <f>IF(数据录入!$B4897="",0,IF(OR(数据录入!$D4897="投标保证金",数据录入!$D4897="合同履约保证金",ISNUMBER(FIND("保证金",数据录入!$E4897))),1,0))</f>
      </c>
      <c r="R4897" s="44">
        <f>IF(AND($Q4897=1,数据录入!$B4897&gt;=$B$2,数据录入!$B4897&lt;=$D$2),N(R4896)+1,N(R4896))</f>
      </c>
    </row>
    <row r="4898" s="44" customFormat="1" spans="1:23">
      <c r="A4898" s="116"/>
      <c r="E4898" s="108"/>
      <c r="F4898" s="114"/>
      <c r="G4898" s="114"/>
      <c r="H4898" s="114"/>
      <c r="Q4898" s="44">
        <f>IF(数据录入!$B4898="",0,IF(OR(数据录入!$D4898="投标保证金",数据录入!$D4898="合同履约保证金",ISNUMBER(FIND("保证金",数据录入!$E4898))),1,0))</f>
      </c>
      <c r="R4898" s="44">
        <f>IF(AND($Q4898=1,数据录入!$B4898&gt;=$B$2,数据录入!$B4898&lt;=$D$2),N(R4897)+1,N(R4897))</f>
      </c>
    </row>
    <row r="4899" s="44" customFormat="1" spans="1:23">
      <c r="A4899" s="116"/>
      <c r="E4899" s="108"/>
      <c r="F4899" s="114"/>
      <c r="G4899" s="114"/>
      <c r="H4899" s="114"/>
      <c r="Q4899" s="44">
        <f>IF(数据录入!$B4899="",0,IF(OR(数据录入!$D4899="投标保证金",数据录入!$D4899="合同履约保证金",ISNUMBER(FIND("保证金",数据录入!$E4899))),1,0))</f>
      </c>
      <c r="R4899" s="44">
        <f>IF(AND($Q4899=1,数据录入!$B4899&gt;=$B$2,数据录入!$B4899&lt;=$D$2),N(R4898)+1,N(R4898))</f>
      </c>
    </row>
    <row r="4900" s="44" customFormat="1" spans="1:23">
      <c r="A4900" s="116"/>
      <c r="E4900" s="108"/>
      <c r="F4900" s="114"/>
      <c r="G4900" s="114"/>
      <c r="H4900" s="114"/>
      <c r="Q4900" s="44">
        <f>IF(数据录入!$B4900="",0,IF(OR(数据录入!$D4900="投标保证金",数据录入!$D4900="合同履约保证金",ISNUMBER(FIND("保证金",数据录入!$E4900))),1,0))</f>
      </c>
      <c r="R4900" s="44">
        <f>IF(AND($Q4900=1,数据录入!$B4900&gt;=$B$2,数据录入!$B4900&lt;=$D$2),N(R4899)+1,N(R4899))</f>
      </c>
    </row>
    <row r="4901" s="44" customFormat="1" spans="1:23">
      <c r="A4901" s="116"/>
      <c r="E4901" s="108"/>
      <c r="F4901" s="114"/>
      <c r="G4901" s="114"/>
      <c r="H4901" s="114"/>
      <c r="Q4901" s="44">
        <f>IF(数据录入!$B4901="",0,IF(OR(数据录入!$D4901="投标保证金",数据录入!$D4901="合同履约保证金",ISNUMBER(FIND("保证金",数据录入!$E4901))),1,0))</f>
      </c>
      <c r="R4901" s="44">
        <f>IF(AND($Q4901=1,数据录入!$B4901&gt;=$B$2,数据录入!$B4901&lt;=$D$2),N(R4900)+1,N(R4900))</f>
      </c>
    </row>
    <row r="4902" s="44" customFormat="1" spans="1:23">
      <c r="A4902" s="116"/>
      <c r="E4902" s="108"/>
      <c r="F4902" s="114"/>
      <c r="G4902" s="114"/>
      <c r="H4902" s="114"/>
      <c r="Q4902" s="44">
        <f>IF(数据录入!$B4902="",0,IF(OR(数据录入!$D4902="投标保证金",数据录入!$D4902="合同履约保证金",ISNUMBER(FIND("保证金",数据录入!$E4902))),1,0))</f>
      </c>
      <c r="R4902" s="44">
        <f>IF(AND($Q4902=1,数据录入!$B4902&gt;=$B$2,数据录入!$B4902&lt;=$D$2),N(R4901)+1,N(R4901))</f>
      </c>
    </row>
    <row r="4903" s="44" customFormat="1" spans="1:23">
      <c r="A4903" s="116"/>
      <c r="E4903" s="108"/>
      <c r="F4903" s="114"/>
      <c r="G4903" s="114"/>
      <c r="H4903" s="114"/>
      <c r="Q4903" s="44">
        <f>IF(数据录入!$B4903="",0,IF(OR(数据录入!$D4903="投标保证金",数据录入!$D4903="合同履约保证金",ISNUMBER(FIND("保证金",数据录入!$E4903))),1,0))</f>
      </c>
      <c r="R4903" s="44">
        <f>IF(AND($Q4903=1,数据录入!$B4903&gt;=$B$2,数据录入!$B4903&lt;=$D$2),N(R4902)+1,N(R4902))</f>
      </c>
    </row>
    <row r="4904" s="44" customFormat="1" spans="1:23">
      <c r="A4904" s="116"/>
      <c r="E4904" s="108"/>
      <c r="F4904" s="114"/>
      <c r="G4904" s="114"/>
      <c r="H4904" s="114"/>
      <c r="Q4904" s="44">
        <f>IF(数据录入!$B4904="",0,IF(OR(数据录入!$D4904="投标保证金",数据录入!$D4904="合同履约保证金",ISNUMBER(FIND("保证金",数据录入!$E4904))),1,0))</f>
      </c>
      <c r="R4904" s="44">
        <f>IF(AND($Q4904=1,数据录入!$B4904&gt;=$B$2,数据录入!$B4904&lt;=$D$2),N(R4903)+1,N(R4903))</f>
      </c>
    </row>
    <row r="4905" s="44" customFormat="1" spans="1:23">
      <c r="A4905" s="116"/>
      <c r="E4905" s="108"/>
      <c r="F4905" s="114"/>
      <c r="G4905" s="114"/>
      <c r="H4905" s="114"/>
      <c r="Q4905" s="44">
        <f>IF(数据录入!$B4905="",0,IF(OR(数据录入!$D4905="投标保证金",数据录入!$D4905="合同履约保证金",ISNUMBER(FIND("保证金",数据录入!$E4905))),1,0))</f>
      </c>
      <c r="R4905" s="44">
        <f>IF(AND($Q4905=1,数据录入!$B4905&gt;=$B$2,数据录入!$B4905&lt;=$D$2),N(R4904)+1,N(R4904))</f>
      </c>
    </row>
    <row r="4906" s="44" customFormat="1" spans="1:23">
      <c r="A4906" s="116"/>
      <c r="E4906" s="108"/>
      <c r="F4906" s="114"/>
      <c r="G4906" s="114"/>
      <c r="H4906" s="114"/>
      <c r="Q4906" s="44">
        <f>IF(数据录入!$B4906="",0,IF(OR(数据录入!$D4906="投标保证金",数据录入!$D4906="合同履约保证金",ISNUMBER(FIND("保证金",数据录入!$E4906))),1,0))</f>
      </c>
      <c r="R4906" s="44">
        <f>IF(AND($Q4906=1,数据录入!$B4906&gt;=$B$2,数据录入!$B4906&lt;=$D$2),N(R4905)+1,N(R4905))</f>
      </c>
    </row>
    <row r="4907" s="44" customFormat="1" spans="1:23">
      <c r="A4907" s="116"/>
      <c r="E4907" s="108"/>
      <c r="F4907" s="114"/>
      <c r="G4907" s="114"/>
      <c r="H4907" s="114"/>
      <c r="Q4907" s="44">
        <f>IF(数据录入!$B4907="",0,IF(OR(数据录入!$D4907="投标保证金",数据录入!$D4907="合同履约保证金",ISNUMBER(FIND("保证金",数据录入!$E4907))),1,0))</f>
      </c>
      <c r="R4907" s="44">
        <f>IF(AND($Q4907=1,数据录入!$B4907&gt;=$B$2,数据录入!$B4907&lt;=$D$2),N(R4906)+1,N(R4906))</f>
      </c>
    </row>
    <row r="4908" s="44" customFormat="1" spans="1:23">
      <c r="A4908" s="116"/>
      <c r="E4908" s="108"/>
      <c r="F4908" s="114"/>
      <c r="G4908" s="114"/>
      <c r="H4908" s="114"/>
      <c r="Q4908" s="44">
        <f>IF(数据录入!$B4908="",0,IF(OR(数据录入!$D4908="投标保证金",数据录入!$D4908="合同履约保证金",ISNUMBER(FIND("保证金",数据录入!$E4908))),1,0))</f>
      </c>
      <c r="R4908" s="44">
        <f>IF(AND($Q4908=1,数据录入!$B4908&gt;=$B$2,数据录入!$B4908&lt;=$D$2),N(R4907)+1,N(R4907))</f>
      </c>
    </row>
    <row r="4909" s="44" customFormat="1" spans="1:23">
      <c r="A4909" s="116"/>
      <c r="E4909" s="108"/>
      <c r="F4909" s="114"/>
      <c r="G4909" s="114"/>
      <c r="H4909" s="114"/>
      <c r="Q4909" s="44">
        <f>IF(数据录入!$B4909="",0,IF(OR(数据录入!$D4909="投标保证金",数据录入!$D4909="合同履约保证金",ISNUMBER(FIND("保证金",数据录入!$E4909))),1,0))</f>
      </c>
      <c r="R4909" s="44">
        <f>IF(AND($Q4909=1,数据录入!$B4909&gt;=$B$2,数据录入!$B4909&lt;=$D$2),N(R4908)+1,N(R4908))</f>
      </c>
    </row>
    <row r="4910" s="44" customFormat="1" spans="1:23">
      <c r="A4910" s="116"/>
      <c r="E4910" s="108"/>
      <c r="F4910" s="114"/>
      <c r="G4910" s="114"/>
      <c r="H4910" s="114"/>
      <c r="Q4910" s="44">
        <f>IF(数据录入!$B4910="",0,IF(OR(数据录入!$D4910="投标保证金",数据录入!$D4910="合同履约保证金",ISNUMBER(FIND("保证金",数据录入!$E4910))),1,0))</f>
      </c>
      <c r="R4910" s="44">
        <f>IF(AND($Q4910=1,数据录入!$B4910&gt;=$B$2,数据录入!$B4910&lt;=$D$2),N(R4909)+1,N(R4909))</f>
      </c>
    </row>
    <row r="4911" s="44" customFormat="1" spans="1:23">
      <c r="A4911" s="116"/>
      <c r="E4911" s="108"/>
      <c r="F4911" s="114"/>
      <c r="G4911" s="114"/>
      <c r="H4911" s="114"/>
      <c r="Q4911" s="44">
        <f>IF(数据录入!$B4911="",0,IF(OR(数据录入!$D4911="投标保证金",数据录入!$D4911="合同履约保证金",ISNUMBER(FIND("保证金",数据录入!$E4911))),1,0))</f>
      </c>
      <c r="R4911" s="44">
        <f>IF(AND($Q4911=1,数据录入!$B4911&gt;=$B$2,数据录入!$B4911&lt;=$D$2),N(R4910)+1,N(R4910))</f>
      </c>
    </row>
    <row r="4912" s="44" customFormat="1" spans="1:23">
      <c r="A4912" s="116"/>
      <c r="E4912" s="108"/>
      <c r="F4912" s="114"/>
      <c r="G4912" s="114"/>
      <c r="H4912" s="114"/>
      <c r="Q4912" s="44">
        <f>IF(数据录入!$B4912="",0,IF(OR(数据录入!$D4912="投标保证金",数据录入!$D4912="合同履约保证金",ISNUMBER(FIND("保证金",数据录入!$E4912))),1,0))</f>
      </c>
      <c r="R4912" s="44">
        <f>IF(AND($Q4912=1,数据录入!$B4912&gt;=$B$2,数据录入!$B4912&lt;=$D$2),N(R4911)+1,N(R4911))</f>
      </c>
    </row>
    <row r="4913" s="44" customFormat="1" spans="1:23">
      <c r="A4913" s="116"/>
      <c r="E4913" s="108"/>
      <c r="F4913" s="114"/>
      <c r="G4913" s="114"/>
      <c r="H4913" s="114"/>
      <c r="Q4913" s="44">
        <f>IF(数据录入!$B4913="",0,IF(OR(数据录入!$D4913="投标保证金",数据录入!$D4913="合同履约保证金",ISNUMBER(FIND("保证金",数据录入!$E4913))),1,0))</f>
      </c>
      <c r="R4913" s="44">
        <f>IF(AND($Q4913=1,数据录入!$B4913&gt;=$B$2,数据录入!$B4913&lt;=$D$2),N(R4912)+1,N(R4912))</f>
      </c>
    </row>
    <row r="4914" s="44" customFormat="1" spans="1:23">
      <c r="A4914" s="116"/>
      <c r="E4914" s="108"/>
      <c r="F4914" s="114"/>
      <c r="G4914" s="114"/>
      <c r="H4914" s="114"/>
      <c r="Q4914" s="44">
        <f>IF(数据录入!$B4914="",0,IF(OR(数据录入!$D4914="投标保证金",数据录入!$D4914="合同履约保证金",ISNUMBER(FIND("保证金",数据录入!$E4914))),1,0))</f>
      </c>
      <c r="R4914" s="44">
        <f>IF(AND($Q4914=1,数据录入!$B4914&gt;=$B$2,数据录入!$B4914&lt;=$D$2),N(R4913)+1,N(R4913))</f>
      </c>
    </row>
    <row r="4915" s="44" customFormat="1" spans="1:23">
      <c r="A4915" s="116"/>
      <c r="E4915" s="108"/>
      <c r="F4915" s="114"/>
      <c r="G4915" s="114"/>
      <c r="H4915" s="114"/>
      <c r="Q4915" s="44">
        <f>IF(数据录入!$B4915="",0,IF(OR(数据录入!$D4915="投标保证金",数据录入!$D4915="合同履约保证金",ISNUMBER(FIND("保证金",数据录入!$E4915))),1,0))</f>
      </c>
      <c r="R4915" s="44">
        <f>IF(AND($Q4915=1,数据录入!$B4915&gt;=$B$2,数据录入!$B4915&lt;=$D$2),N(R4914)+1,N(R4914))</f>
      </c>
    </row>
    <row r="4916" s="44" customFormat="1" spans="1:23">
      <c r="A4916" s="116"/>
      <c r="E4916" s="108"/>
      <c r="F4916" s="114"/>
      <c r="G4916" s="114"/>
      <c r="H4916" s="114"/>
      <c r="Q4916" s="44">
        <f>IF(数据录入!$B4916="",0,IF(OR(数据录入!$D4916="投标保证金",数据录入!$D4916="合同履约保证金",ISNUMBER(FIND("保证金",数据录入!$E4916))),1,0))</f>
      </c>
      <c r="R4916" s="44">
        <f>IF(AND($Q4916=1,数据录入!$B4916&gt;=$B$2,数据录入!$B4916&lt;=$D$2),N(R4915)+1,N(R4915))</f>
      </c>
    </row>
    <row r="4917" s="44" customFormat="1" spans="1:23">
      <c r="A4917" s="116"/>
      <c r="E4917" s="108"/>
      <c r="F4917" s="114"/>
      <c r="G4917" s="114"/>
      <c r="H4917" s="114"/>
      <c r="Q4917" s="44">
        <f>IF(数据录入!$B4917="",0,IF(OR(数据录入!$D4917="投标保证金",数据录入!$D4917="合同履约保证金",ISNUMBER(FIND("保证金",数据录入!$E4917))),1,0))</f>
      </c>
      <c r="R4917" s="44">
        <f>IF(AND($Q4917=1,数据录入!$B4917&gt;=$B$2,数据录入!$B4917&lt;=$D$2),N(R4916)+1,N(R4916))</f>
      </c>
    </row>
    <row r="4918" s="44" customFormat="1" spans="1:23">
      <c r="A4918" s="116"/>
      <c r="E4918" s="108"/>
      <c r="F4918" s="114"/>
      <c r="G4918" s="114"/>
      <c r="H4918" s="114"/>
      <c r="Q4918" s="44">
        <f>IF(数据录入!$B4918="",0,IF(OR(数据录入!$D4918="投标保证金",数据录入!$D4918="合同履约保证金",ISNUMBER(FIND("保证金",数据录入!$E4918))),1,0))</f>
      </c>
      <c r="R4918" s="44">
        <f>IF(AND($Q4918=1,数据录入!$B4918&gt;=$B$2,数据录入!$B4918&lt;=$D$2),N(R4917)+1,N(R4917))</f>
      </c>
    </row>
    <row r="4919" s="44" customFormat="1" spans="1:23">
      <c r="A4919" s="116"/>
      <c r="E4919" s="108"/>
      <c r="F4919" s="114"/>
      <c r="G4919" s="114"/>
      <c r="H4919" s="114"/>
      <c r="Q4919" s="44">
        <f>IF(数据录入!$B4919="",0,IF(OR(数据录入!$D4919="投标保证金",数据录入!$D4919="合同履约保证金",ISNUMBER(FIND("保证金",数据录入!$E4919))),1,0))</f>
      </c>
      <c r="R4919" s="44">
        <f>IF(AND($Q4919=1,数据录入!$B4919&gt;=$B$2,数据录入!$B4919&lt;=$D$2),N(R4918)+1,N(R4918))</f>
      </c>
    </row>
    <row r="4920" s="44" customFormat="1" spans="1:23">
      <c r="A4920" s="116"/>
      <c r="E4920" s="108"/>
      <c r="F4920" s="114"/>
      <c r="G4920" s="114"/>
      <c r="H4920" s="114"/>
      <c r="Q4920" s="44">
        <f>IF(数据录入!$B4920="",0,IF(OR(数据录入!$D4920="投标保证金",数据录入!$D4920="合同履约保证金",ISNUMBER(FIND("保证金",数据录入!$E4920))),1,0))</f>
      </c>
      <c r="R4920" s="44">
        <f>IF(AND($Q4920=1,数据录入!$B4920&gt;=$B$2,数据录入!$B4920&lt;=$D$2),N(R4919)+1,N(R4919))</f>
      </c>
    </row>
    <row r="4921" s="44" customFormat="1" spans="1:23">
      <c r="A4921" s="116"/>
      <c r="E4921" s="108"/>
      <c r="F4921" s="114"/>
      <c r="G4921" s="114"/>
      <c r="H4921" s="114"/>
      <c r="Q4921" s="44">
        <f>IF(数据录入!$B4921="",0,IF(OR(数据录入!$D4921="投标保证金",数据录入!$D4921="合同履约保证金",ISNUMBER(FIND("保证金",数据录入!$E4921))),1,0))</f>
      </c>
      <c r="R4921" s="44">
        <f>IF(AND($Q4921=1,数据录入!$B4921&gt;=$B$2,数据录入!$B4921&lt;=$D$2),N(R4920)+1,N(R4920))</f>
      </c>
    </row>
    <row r="4922" s="44" customFormat="1" spans="1:23">
      <c r="A4922" s="116"/>
      <c r="E4922" s="108"/>
      <c r="F4922" s="114"/>
      <c r="G4922" s="114"/>
      <c r="H4922" s="114"/>
      <c r="Q4922" s="44">
        <f>IF(数据录入!$B4922="",0,IF(OR(数据录入!$D4922="投标保证金",数据录入!$D4922="合同履约保证金",ISNUMBER(FIND("保证金",数据录入!$E4922))),1,0))</f>
      </c>
      <c r="R4922" s="44">
        <f>IF(AND($Q4922=1,数据录入!$B4922&gt;=$B$2,数据录入!$B4922&lt;=$D$2),N(R4921)+1,N(R4921))</f>
      </c>
    </row>
    <row r="4923" s="44" customFormat="1" spans="1:23">
      <c r="A4923" s="116"/>
      <c r="E4923" s="108"/>
      <c r="F4923" s="114"/>
      <c r="G4923" s="114"/>
      <c r="H4923" s="114"/>
      <c r="Q4923" s="44">
        <f>IF(数据录入!$B4923="",0,IF(OR(数据录入!$D4923="投标保证金",数据录入!$D4923="合同履约保证金",ISNUMBER(FIND("保证金",数据录入!$E4923))),1,0))</f>
      </c>
      <c r="R4923" s="44">
        <f>IF(AND($Q4923=1,数据录入!$B4923&gt;=$B$2,数据录入!$B4923&lt;=$D$2),N(R4922)+1,N(R4922))</f>
      </c>
    </row>
    <row r="4924" s="44" customFormat="1" spans="1:23">
      <c r="A4924" s="116"/>
      <c r="E4924" s="108"/>
      <c r="F4924" s="114"/>
      <c r="G4924" s="114"/>
      <c r="H4924" s="114"/>
      <c r="Q4924" s="44">
        <f>IF(数据录入!$B4924="",0,IF(OR(数据录入!$D4924="投标保证金",数据录入!$D4924="合同履约保证金",ISNUMBER(FIND("保证金",数据录入!$E4924))),1,0))</f>
      </c>
      <c r="R4924" s="44">
        <f>IF(AND($Q4924=1,数据录入!$B4924&gt;=$B$2,数据录入!$B4924&lt;=$D$2),N(R4923)+1,N(R4923))</f>
      </c>
    </row>
    <row r="4925" s="44" customFormat="1" spans="1:23">
      <c r="A4925" s="116"/>
      <c r="E4925" s="108"/>
      <c r="F4925" s="114"/>
      <c r="G4925" s="114"/>
      <c r="H4925" s="114"/>
      <c r="Q4925" s="44">
        <f>IF(数据录入!$B4925="",0,IF(OR(数据录入!$D4925="投标保证金",数据录入!$D4925="合同履约保证金",ISNUMBER(FIND("保证金",数据录入!$E4925))),1,0))</f>
      </c>
      <c r="R4925" s="44">
        <f>IF(AND($Q4925=1,数据录入!$B4925&gt;=$B$2,数据录入!$B4925&lt;=$D$2),N(R4924)+1,N(R4924))</f>
      </c>
    </row>
    <row r="4926" s="44" customFormat="1" spans="1:23">
      <c r="A4926" s="116"/>
      <c r="E4926" s="108"/>
      <c r="F4926" s="114"/>
      <c r="G4926" s="114"/>
      <c r="H4926" s="114"/>
      <c r="Q4926" s="44">
        <f>IF(数据录入!$B4926="",0,IF(OR(数据录入!$D4926="投标保证金",数据录入!$D4926="合同履约保证金",ISNUMBER(FIND("保证金",数据录入!$E4926))),1,0))</f>
      </c>
      <c r="R4926" s="44">
        <f>IF(AND($Q4926=1,数据录入!$B4926&gt;=$B$2,数据录入!$B4926&lt;=$D$2),N(R4925)+1,N(R4925))</f>
      </c>
    </row>
    <row r="4927" s="44" customFormat="1" spans="1:23">
      <c r="A4927" s="116"/>
      <c r="E4927" s="108"/>
      <c r="F4927" s="114"/>
      <c r="G4927" s="114"/>
      <c r="H4927" s="114"/>
      <c r="Q4927" s="44">
        <f>IF(数据录入!$B4927="",0,IF(OR(数据录入!$D4927="投标保证金",数据录入!$D4927="合同履约保证金",ISNUMBER(FIND("保证金",数据录入!$E4927))),1,0))</f>
      </c>
      <c r="R4927" s="44">
        <f>IF(AND($Q4927=1,数据录入!$B4927&gt;=$B$2,数据录入!$B4927&lt;=$D$2),N(R4926)+1,N(R4926))</f>
      </c>
    </row>
    <row r="4928" s="44" customFormat="1" spans="1:23">
      <c r="A4928" s="116"/>
      <c r="E4928" s="108"/>
      <c r="F4928" s="114"/>
      <c r="G4928" s="114"/>
      <c r="H4928" s="114"/>
      <c r="Q4928" s="44">
        <f>IF(数据录入!$B4928="",0,IF(OR(数据录入!$D4928="投标保证金",数据录入!$D4928="合同履约保证金",ISNUMBER(FIND("保证金",数据录入!$E4928))),1,0))</f>
      </c>
      <c r="R4928" s="44">
        <f>IF(AND($Q4928=1,数据录入!$B4928&gt;=$B$2,数据录入!$B4928&lt;=$D$2),N(R4927)+1,N(R4927))</f>
      </c>
    </row>
    <row r="4929" s="44" customFormat="1" spans="1:23">
      <c r="A4929" s="116"/>
      <c r="E4929" s="108"/>
      <c r="F4929" s="114"/>
      <c r="G4929" s="114"/>
      <c r="H4929" s="114"/>
      <c r="Q4929" s="44">
        <f>IF(数据录入!$B4929="",0,IF(OR(数据录入!$D4929="投标保证金",数据录入!$D4929="合同履约保证金",ISNUMBER(FIND("保证金",数据录入!$E4929))),1,0))</f>
      </c>
      <c r="R4929" s="44">
        <f>IF(AND($Q4929=1,数据录入!$B4929&gt;=$B$2,数据录入!$B4929&lt;=$D$2),N(R4928)+1,N(R4928))</f>
      </c>
    </row>
    <row r="4930" s="44" customFormat="1" spans="1:23">
      <c r="A4930" s="116"/>
      <c r="E4930" s="108"/>
      <c r="F4930" s="114"/>
      <c r="G4930" s="114"/>
      <c r="H4930" s="114"/>
      <c r="Q4930" s="44">
        <f>IF(数据录入!$B4930="",0,IF(OR(数据录入!$D4930="投标保证金",数据录入!$D4930="合同履约保证金",ISNUMBER(FIND("保证金",数据录入!$E4930))),1,0))</f>
      </c>
      <c r="R4930" s="44">
        <f>IF(AND($Q4930=1,数据录入!$B4930&gt;=$B$2,数据录入!$B4930&lt;=$D$2),N(R4929)+1,N(R4929))</f>
      </c>
    </row>
    <row r="4931" s="44" customFormat="1" spans="1:23">
      <c r="A4931" s="116"/>
      <c r="E4931" s="108"/>
      <c r="F4931" s="114"/>
      <c r="G4931" s="114"/>
      <c r="H4931" s="114"/>
      <c r="Q4931" s="44">
        <f>IF(数据录入!$B4931="",0,IF(OR(数据录入!$D4931="投标保证金",数据录入!$D4931="合同履约保证金",ISNUMBER(FIND("保证金",数据录入!$E4931))),1,0))</f>
      </c>
      <c r="R4931" s="44">
        <f>IF(AND($Q4931=1,数据录入!$B4931&gt;=$B$2,数据录入!$B4931&lt;=$D$2),N(R4930)+1,N(R4930))</f>
      </c>
    </row>
    <row r="4932" s="44" customFormat="1" spans="1:23">
      <c r="A4932" s="116"/>
      <c r="E4932" s="108"/>
      <c r="F4932" s="114"/>
      <c r="G4932" s="114"/>
      <c r="H4932" s="114"/>
      <c r="Q4932" s="44">
        <f>IF(数据录入!$B4932="",0,IF(OR(数据录入!$D4932="投标保证金",数据录入!$D4932="合同履约保证金",ISNUMBER(FIND("保证金",数据录入!$E4932))),1,0))</f>
      </c>
      <c r="R4932" s="44">
        <f>IF(AND($Q4932=1,数据录入!$B4932&gt;=$B$2,数据录入!$B4932&lt;=$D$2),N(R4931)+1,N(R4931))</f>
      </c>
    </row>
    <row r="4933" s="44" customFormat="1" spans="1:23">
      <c r="A4933" s="116"/>
      <c r="E4933" s="108"/>
      <c r="F4933" s="114"/>
      <c r="G4933" s="114"/>
      <c r="H4933" s="114"/>
      <c r="Q4933" s="44">
        <f>IF(数据录入!$B4933="",0,IF(OR(数据录入!$D4933="投标保证金",数据录入!$D4933="合同履约保证金",ISNUMBER(FIND("保证金",数据录入!$E4933))),1,0))</f>
      </c>
      <c r="R4933" s="44">
        <f>IF(AND($Q4933=1,数据录入!$B4933&gt;=$B$2,数据录入!$B4933&lt;=$D$2),N(R4932)+1,N(R4932))</f>
      </c>
    </row>
    <row r="4934" s="44" customFormat="1" spans="1:23">
      <c r="A4934" s="116"/>
      <c r="E4934" s="108"/>
      <c r="F4934" s="114"/>
      <c r="G4934" s="114"/>
      <c r="H4934" s="114"/>
      <c r="Q4934" s="44">
        <f>IF(数据录入!$B4934="",0,IF(OR(数据录入!$D4934="投标保证金",数据录入!$D4934="合同履约保证金",ISNUMBER(FIND("保证金",数据录入!$E4934))),1,0))</f>
      </c>
      <c r="R4934" s="44">
        <f>IF(AND($Q4934=1,数据录入!$B4934&gt;=$B$2,数据录入!$B4934&lt;=$D$2),N(R4933)+1,N(R4933))</f>
      </c>
    </row>
    <row r="4935" s="44" customFormat="1" spans="1:23">
      <c r="A4935" s="116"/>
      <c r="E4935" s="108"/>
      <c r="F4935" s="114"/>
      <c r="G4935" s="114"/>
      <c r="H4935" s="114"/>
      <c r="Q4935" s="44">
        <f>IF(数据录入!$B4935="",0,IF(OR(数据录入!$D4935="投标保证金",数据录入!$D4935="合同履约保证金",ISNUMBER(FIND("保证金",数据录入!$E4935))),1,0))</f>
      </c>
      <c r="R4935" s="44">
        <f>IF(AND($Q4935=1,数据录入!$B4935&gt;=$B$2,数据录入!$B4935&lt;=$D$2),N(R4934)+1,N(R4934))</f>
      </c>
    </row>
    <row r="4936" s="44" customFormat="1" spans="1:23">
      <c r="A4936" s="116"/>
      <c r="E4936" s="108"/>
      <c r="F4936" s="114"/>
      <c r="G4936" s="114"/>
      <c r="H4936" s="114"/>
      <c r="Q4936" s="44">
        <f>IF(数据录入!$B4936="",0,IF(OR(数据录入!$D4936="投标保证金",数据录入!$D4936="合同履约保证金",ISNUMBER(FIND("保证金",数据录入!$E4936))),1,0))</f>
      </c>
      <c r="R4936" s="44">
        <f>IF(AND($Q4936=1,数据录入!$B4936&gt;=$B$2,数据录入!$B4936&lt;=$D$2),N(R4935)+1,N(R4935))</f>
      </c>
    </row>
    <row r="4937" s="44" customFormat="1" spans="1:23">
      <c r="A4937" s="116"/>
      <c r="E4937" s="108"/>
      <c r="F4937" s="114"/>
      <c r="G4937" s="114"/>
      <c r="H4937" s="114"/>
      <c r="Q4937" s="44">
        <f>IF(数据录入!$B4937="",0,IF(OR(数据录入!$D4937="投标保证金",数据录入!$D4937="合同履约保证金",ISNUMBER(FIND("保证金",数据录入!$E4937))),1,0))</f>
      </c>
      <c r="R4937" s="44">
        <f>IF(AND($Q4937=1,数据录入!$B4937&gt;=$B$2,数据录入!$B4937&lt;=$D$2),N(R4936)+1,N(R4936))</f>
      </c>
    </row>
    <row r="4938" s="44" customFormat="1" spans="1:23">
      <c r="A4938" s="116"/>
      <c r="E4938" s="108"/>
      <c r="F4938" s="114"/>
      <c r="G4938" s="114"/>
      <c r="H4938" s="114"/>
      <c r="Q4938" s="44">
        <f>IF(数据录入!$B4938="",0,IF(OR(数据录入!$D4938="投标保证金",数据录入!$D4938="合同履约保证金",ISNUMBER(FIND("保证金",数据录入!$E4938))),1,0))</f>
      </c>
      <c r="R4938" s="44">
        <f>IF(AND($Q4938=1,数据录入!$B4938&gt;=$B$2,数据录入!$B4938&lt;=$D$2),N(R4937)+1,N(R4937))</f>
      </c>
    </row>
    <row r="4939" s="44" customFormat="1" spans="1:23">
      <c r="A4939" s="116"/>
      <c r="E4939" s="108"/>
      <c r="F4939" s="114"/>
      <c r="G4939" s="114"/>
      <c r="H4939" s="114"/>
      <c r="Q4939" s="44">
        <f>IF(数据录入!$B4939="",0,IF(OR(数据录入!$D4939="投标保证金",数据录入!$D4939="合同履约保证金",ISNUMBER(FIND("保证金",数据录入!$E4939))),1,0))</f>
      </c>
      <c r="R4939" s="44">
        <f>IF(AND($Q4939=1,数据录入!$B4939&gt;=$B$2,数据录入!$B4939&lt;=$D$2),N(R4938)+1,N(R4938))</f>
      </c>
    </row>
    <row r="4940" s="44" customFormat="1" spans="1:23">
      <c r="A4940" s="116"/>
      <c r="E4940" s="108"/>
      <c r="F4940" s="114"/>
      <c r="G4940" s="114"/>
      <c r="H4940" s="114"/>
      <c r="Q4940" s="44">
        <f>IF(数据录入!$B4940="",0,IF(OR(数据录入!$D4940="投标保证金",数据录入!$D4940="合同履约保证金",ISNUMBER(FIND("保证金",数据录入!$E4940))),1,0))</f>
      </c>
      <c r="R4940" s="44">
        <f>IF(AND($Q4940=1,数据录入!$B4940&gt;=$B$2,数据录入!$B4940&lt;=$D$2),N(R4939)+1,N(R4939))</f>
      </c>
    </row>
    <row r="4941" s="44" customFormat="1" spans="1:23">
      <c r="A4941" s="116"/>
      <c r="E4941" s="108"/>
      <c r="F4941" s="114"/>
      <c r="G4941" s="114"/>
      <c r="H4941" s="114"/>
      <c r="Q4941" s="44">
        <f>IF(数据录入!$B4941="",0,IF(OR(数据录入!$D4941="投标保证金",数据录入!$D4941="合同履约保证金",ISNUMBER(FIND("保证金",数据录入!$E4941))),1,0))</f>
      </c>
      <c r="R4941" s="44">
        <f>IF(AND($Q4941=1,数据录入!$B4941&gt;=$B$2,数据录入!$B4941&lt;=$D$2),N(R4940)+1,N(R4940))</f>
      </c>
    </row>
    <row r="4942" s="44" customFormat="1" spans="1:23">
      <c r="A4942" s="116"/>
      <c r="E4942" s="108"/>
      <c r="F4942" s="114"/>
      <c r="G4942" s="114"/>
      <c r="H4942" s="114"/>
      <c r="Q4942" s="44">
        <f>IF(数据录入!$B4942="",0,IF(OR(数据录入!$D4942="投标保证金",数据录入!$D4942="合同履约保证金",ISNUMBER(FIND("保证金",数据录入!$E4942))),1,0))</f>
      </c>
      <c r="R4942" s="44">
        <f>IF(AND($Q4942=1,数据录入!$B4942&gt;=$B$2,数据录入!$B4942&lt;=$D$2),N(R4941)+1,N(R4941))</f>
      </c>
    </row>
    <row r="4943" s="44" customFormat="1" spans="1:23">
      <c r="A4943" s="116"/>
      <c r="E4943" s="108"/>
      <c r="F4943" s="114"/>
      <c r="G4943" s="114"/>
      <c r="H4943" s="114"/>
      <c r="Q4943" s="44">
        <f>IF(数据录入!$B4943="",0,IF(OR(数据录入!$D4943="投标保证金",数据录入!$D4943="合同履约保证金",ISNUMBER(FIND("保证金",数据录入!$E4943))),1,0))</f>
      </c>
      <c r="R4943" s="44">
        <f>IF(AND($Q4943=1,数据录入!$B4943&gt;=$B$2,数据录入!$B4943&lt;=$D$2),N(R4942)+1,N(R4942))</f>
      </c>
    </row>
    <row r="4944" s="44" customFormat="1" spans="1:23">
      <c r="A4944" s="116"/>
      <c r="E4944" s="108"/>
      <c r="F4944" s="114"/>
      <c r="G4944" s="114"/>
      <c r="H4944" s="114"/>
      <c r="Q4944" s="44">
        <f>IF(数据录入!$B4944="",0,IF(OR(数据录入!$D4944="投标保证金",数据录入!$D4944="合同履约保证金",ISNUMBER(FIND("保证金",数据录入!$E4944))),1,0))</f>
      </c>
      <c r="R4944" s="44">
        <f>IF(AND($Q4944=1,数据录入!$B4944&gt;=$B$2,数据录入!$B4944&lt;=$D$2),N(R4943)+1,N(R4943))</f>
      </c>
    </row>
    <row r="4945" s="44" customFormat="1" spans="1:23">
      <c r="A4945" s="116"/>
      <c r="E4945" s="108"/>
      <c r="F4945" s="114"/>
      <c r="G4945" s="114"/>
      <c r="H4945" s="114"/>
      <c r="Q4945" s="44">
        <f>IF(数据录入!$B4945="",0,IF(OR(数据录入!$D4945="投标保证金",数据录入!$D4945="合同履约保证金",ISNUMBER(FIND("保证金",数据录入!$E4945))),1,0))</f>
      </c>
      <c r="R4945" s="44">
        <f>IF(AND($Q4945=1,数据录入!$B4945&gt;=$B$2,数据录入!$B4945&lt;=$D$2),N(R4944)+1,N(R4944))</f>
      </c>
    </row>
    <row r="4946" s="44" customFormat="1" spans="1:23">
      <c r="A4946" s="116"/>
      <c r="E4946" s="108"/>
      <c r="F4946" s="114"/>
      <c r="G4946" s="114"/>
      <c r="H4946" s="114"/>
      <c r="Q4946" s="44">
        <f>IF(数据录入!$B4946="",0,IF(OR(数据录入!$D4946="投标保证金",数据录入!$D4946="合同履约保证金",ISNUMBER(FIND("保证金",数据录入!$E4946))),1,0))</f>
      </c>
      <c r="R4946" s="44">
        <f>IF(AND($Q4946=1,数据录入!$B4946&gt;=$B$2,数据录入!$B4946&lt;=$D$2),N(R4945)+1,N(R4945))</f>
      </c>
    </row>
    <row r="4947" s="44" customFormat="1" spans="1:23">
      <c r="A4947" s="116"/>
      <c r="E4947" s="108"/>
      <c r="F4947" s="114"/>
      <c r="G4947" s="114"/>
      <c r="H4947" s="114"/>
      <c r="Q4947" s="44">
        <f>IF(数据录入!$B4947="",0,IF(OR(数据录入!$D4947="投标保证金",数据录入!$D4947="合同履约保证金",ISNUMBER(FIND("保证金",数据录入!$E4947))),1,0))</f>
      </c>
      <c r="R4947" s="44">
        <f>IF(AND($Q4947=1,数据录入!$B4947&gt;=$B$2,数据录入!$B4947&lt;=$D$2),N(R4946)+1,N(R4946))</f>
      </c>
    </row>
    <row r="4948" s="44" customFormat="1" spans="1:23">
      <c r="A4948" s="116"/>
      <c r="E4948" s="108"/>
      <c r="F4948" s="114"/>
      <c r="G4948" s="114"/>
      <c r="H4948" s="114"/>
      <c r="Q4948" s="44">
        <f>IF(数据录入!$B4948="",0,IF(OR(数据录入!$D4948="投标保证金",数据录入!$D4948="合同履约保证金",ISNUMBER(FIND("保证金",数据录入!$E4948))),1,0))</f>
      </c>
      <c r="R4948" s="44">
        <f>IF(AND($Q4948=1,数据录入!$B4948&gt;=$B$2,数据录入!$B4948&lt;=$D$2),N(R4947)+1,N(R4947))</f>
      </c>
    </row>
    <row r="4949" s="44" customFormat="1" spans="1:23">
      <c r="A4949" s="116"/>
      <c r="E4949" s="108"/>
      <c r="F4949" s="114"/>
      <c r="G4949" s="114"/>
      <c r="H4949" s="114"/>
      <c r="Q4949" s="44">
        <f>IF(数据录入!$B4949="",0,IF(OR(数据录入!$D4949="投标保证金",数据录入!$D4949="合同履约保证金",ISNUMBER(FIND("保证金",数据录入!$E4949))),1,0))</f>
      </c>
      <c r="R4949" s="44">
        <f>IF(AND($Q4949=1,数据录入!$B4949&gt;=$B$2,数据录入!$B4949&lt;=$D$2),N(R4948)+1,N(R4948))</f>
      </c>
    </row>
    <row r="4950" s="44" customFormat="1" spans="1:23">
      <c r="A4950" s="116"/>
      <c r="E4950" s="108"/>
      <c r="F4950" s="114"/>
      <c r="G4950" s="114"/>
      <c r="H4950" s="114"/>
      <c r="Q4950" s="44">
        <f>IF(数据录入!$B4950="",0,IF(OR(数据录入!$D4950="投标保证金",数据录入!$D4950="合同履约保证金",ISNUMBER(FIND("保证金",数据录入!$E4950))),1,0))</f>
      </c>
      <c r="R4950" s="44">
        <f>IF(AND($Q4950=1,数据录入!$B4950&gt;=$B$2,数据录入!$B4950&lt;=$D$2),N(R4949)+1,N(R4949))</f>
      </c>
    </row>
    <row r="4951" s="44" customFormat="1" spans="1:23">
      <c r="A4951" s="116"/>
      <c r="E4951" s="108"/>
      <c r="F4951" s="114"/>
      <c r="G4951" s="114"/>
      <c r="H4951" s="114"/>
      <c r="Q4951" s="44">
        <f>IF(数据录入!$B4951="",0,IF(OR(数据录入!$D4951="投标保证金",数据录入!$D4951="合同履约保证金",ISNUMBER(FIND("保证金",数据录入!$E4951))),1,0))</f>
      </c>
      <c r="R4951" s="44">
        <f>IF(AND($Q4951=1,数据录入!$B4951&gt;=$B$2,数据录入!$B4951&lt;=$D$2),N(R4950)+1,N(R4950))</f>
      </c>
    </row>
    <row r="4952" s="44" customFormat="1" spans="1:23">
      <c r="A4952" s="116"/>
      <c r="E4952" s="108"/>
      <c r="F4952" s="114"/>
      <c r="G4952" s="114"/>
      <c r="H4952" s="114"/>
      <c r="Q4952" s="44">
        <f>IF(数据录入!$B4952="",0,IF(OR(数据录入!$D4952="投标保证金",数据录入!$D4952="合同履约保证金",ISNUMBER(FIND("保证金",数据录入!$E4952))),1,0))</f>
      </c>
      <c r="R4952" s="44">
        <f>IF(AND($Q4952=1,数据录入!$B4952&gt;=$B$2,数据录入!$B4952&lt;=$D$2),N(R4951)+1,N(R4951))</f>
      </c>
    </row>
    <row r="4953" s="44" customFormat="1" spans="1:23">
      <c r="A4953" s="116"/>
      <c r="E4953" s="108"/>
      <c r="F4953" s="114"/>
      <c r="G4953" s="114"/>
      <c r="H4953" s="114"/>
      <c r="Q4953" s="44">
        <f>IF(数据录入!$B4953="",0,IF(OR(数据录入!$D4953="投标保证金",数据录入!$D4953="合同履约保证金",ISNUMBER(FIND("保证金",数据录入!$E4953))),1,0))</f>
      </c>
      <c r="R4953" s="44">
        <f>IF(AND($Q4953=1,数据录入!$B4953&gt;=$B$2,数据录入!$B4953&lt;=$D$2),N(R4952)+1,N(R4952))</f>
      </c>
    </row>
    <row r="4954" s="44" customFormat="1" spans="1:23">
      <c r="A4954" s="116"/>
      <c r="E4954" s="108"/>
      <c r="F4954" s="114"/>
      <c r="G4954" s="114"/>
      <c r="H4954" s="114"/>
      <c r="Q4954" s="44">
        <f>IF(数据录入!$B4954="",0,IF(OR(数据录入!$D4954="投标保证金",数据录入!$D4954="合同履约保证金",ISNUMBER(FIND("保证金",数据录入!$E4954))),1,0))</f>
      </c>
      <c r="R4954" s="44">
        <f>IF(AND($Q4954=1,数据录入!$B4954&gt;=$B$2,数据录入!$B4954&lt;=$D$2),N(R4953)+1,N(R4953))</f>
      </c>
    </row>
    <row r="4955" s="44" customFormat="1" spans="1:23">
      <c r="A4955" s="116"/>
      <c r="E4955" s="108"/>
      <c r="F4955" s="114"/>
      <c r="G4955" s="114"/>
      <c r="H4955" s="114"/>
      <c r="Q4955" s="44">
        <f>IF(数据录入!$B4955="",0,IF(OR(数据录入!$D4955="投标保证金",数据录入!$D4955="合同履约保证金",ISNUMBER(FIND("保证金",数据录入!$E4955))),1,0))</f>
      </c>
      <c r="R4955" s="44">
        <f>IF(AND($Q4955=1,数据录入!$B4955&gt;=$B$2,数据录入!$B4955&lt;=$D$2),N(R4954)+1,N(R4954))</f>
      </c>
    </row>
    <row r="4956" s="44" customFormat="1" spans="1:23">
      <c r="A4956" s="116"/>
      <c r="E4956" s="108"/>
      <c r="F4956" s="114"/>
      <c r="G4956" s="114"/>
      <c r="H4956" s="114"/>
      <c r="Q4956" s="44">
        <f>IF(数据录入!$B4956="",0,IF(OR(数据录入!$D4956="投标保证金",数据录入!$D4956="合同履约保证金",ISNUMBER(FIND("保证金",数据录入!$E4956))),1,0))</f>
      </c>
      <c r="R4956" s="44">
        <f>IF(AND($Q4956=1,数据录入!$B4956&gt;=$B$2,数据录入!$B4956&lt;=$D$2),N(R4955)+1,N(R4955))</f>
      </c>
    </row>
    <row r="4957" s="44" customFormat="1" spans="1:23">
      <c r="A4957" s="116"/>
      <c r="E4957" s="108"/>
      <c r="F4957" s="114"/>
      <c r="G4957" s="114"/>
      <c r="H4957" s="114"/>
      <c r="Q4957" s="44">
        <f>IF(数据录入!$B4957="",0,IF(OR(数据录入!$D4957="投标保证金",数据录入!$D4957="合同履约保证金",ISNUMBER(FIND("保证金",数据录入!$E4957))),1,0))</f>
      </c>
      <c r="R4957" s="44">
        <f>IF(AND($Q4957=1,数据录入!$B4957&gt;=$B$2,数据录入!$B4957&lt;=$D$2),N(R4956)+1,N(R4956))</f>
      </c>
    </row>
    <row r="4958" s="44" customFormat="1" spans="1:23">
      <c r="A4958" s="116"/>
      <c r="E4958" s="108"/>
      <c r="F4958" s="114"/>
      <c r="G4958" s="114"/>
      <c r="H4958" s="114"/>
      <c r="Q4958" s="44">
        <f>IF(数据录入!$B4958="",0,IF(OR(数据录入!$D4958="投标保证金",数据录入!$D4958="合同履约保证金",ISNUMBER(FIND("保证金",数据录入!$E4958))),1,0))</f>
      </c>
      <c r="R4958" s="44">
        <f>IF(AND($Q4958=1,数据录入!$B4958&gt;=$B$2,数据录入!$B4958&lt;=$D$2),N(R4957)+1,N(R4957))</f>
      </c>
    </row>
    <row r="4959" s="44" customFormat="1" spans="1:23">
      <c r="A4959" s="116"/>
      <c r="E4959" s="108"/>
      <c r="F4959" s="114"/>
      <c r="G4959" s="114"/>
      <c r="H4959" s="114"/>
      <c r="Q4959" s="44">
        <f>IF(数据录入!$B4959="",0,IF(OR(数据录入!$D4959="投标保证金",数据录入!$D4959="合同履约保证金",ISNUMBER(FIND("保证金",数据录入!$E4959))),1,0))</f>
      </c>
      <c r="R4959" s="44">
        <f>IF(AND($Q4959=1,数据录入!$B4959&gt;=$B$2,数据录入!$B4959&lt;=$D$2),N(R4958)+1,N(R4958))</f>
      </c>
    </row>
    <row r="4960" s="44" customFormat="1" spans="1:23">
      <c r="A4960" s="116"/>
      <c r="E4960" s="108"/>
      <c r="F4960" s="114"/>
      <c r="G4960" s="114"/>
      <c r="H4960" s="114"/>
      <c r="Q4960" s="44">
        <f>IF(数据录入!$B4960="",0,IF(OR(数据录入!$D4960="投标保证金",数据录入!$D4960="合同履约保证金",ISNUMBER(FIND("保证金",数据录入!$E4960))),1,0))</f>
      </c>
      <c r="R4960" s="44">
        <f>IF(AND($Q4960=1,数据录入!$B4960&gt;=$B$2,数据录入!$B4960&lt;=$D$2),N(R4959)+1,N(R4959))</f>
      </c>
    </row>
    <row r="4961" s="44" customFormat="1" spans="1:23">
      <c r="A4961" s="116"/>
      <c r="E4961" s="108"/>
      <c r="F4961" s="114"/>
      <c r="G4961" s="114"/>
      <c r="H4961" s="114"/>
      <c r="Q4961" s="44">
        <f>IF(数据录入!$B4961="",0,IF(OR(数据录入!$D4961="投标保证金",数据录入!$D4961="合同履约保证金",ISNUMBER(FIND("保证金",数据录入!$E4961))),1,0))</f>
      </c>
      <c r="R4961" s="44">
        <f>IF(AND($Q4961=1,数据录入!$B4961&gt;=$B$2,数据录入!$B4961&lt;=$D$2),N(R4960)+1,N(R4960))</f>
      </c>
    </row>
    <row r="4962" s="44" customFormat="1" spans="1:23">
      <c r="A4962" s="116"/>
      <c r="E4962" s="108"/>
      <c r="F4962" s="114"/>
      <c r="G4962" s="114"/>
      <c r="H4962" s="114"/>
      <c r="Q4962" s="44">
        <f>IF(数据录入!$B4962="",0,IF(OR(数据录入!$D4962="投标保证金",数据录入!$D4962="合同履约保证金",ISNUMBER(FIND("保证金",数据录入!$E4962))),1,0))</f>
      </c>
      <c r="R4962" s="44">
        <f>IF(AND($Q4962=1,数据录入!$B4962&gt;=$B$2,数据录入!$B4962&lt;=$D$2),N(R4961)+1,N(R4961))</f>
      </c>
    </row>
    <row r="4963" s="44" customFormat="1" spans="1:23">
      <c r="A4963" s="116"/>
      <c r="E4963" s="108"/>
      <c r="F4963" s="114"/>
      <c r="G4963" s="114"/>
      <c r="H4963" s="114"/>
      <c r="Q4963" s="44">
        <f>IF(数据录入!$B4963="",0,IF(OR(数据录入!$D4963="投标保证金",数据录入!$D4963="合同履约保证金",ISNUMBER(FIND("保证金",数据录入!$E4963))),1,0))</f>
      </c>
      <c r="R4963" s="44">
        <f>IF(AND($Q4963=1,数据录入!$B4963&gt;=$B$2,数据录入!$B4963&lt;=$D$2),N(R4962)+1,N(R4962))</f>
      </c>
    </row>
    <row r="4964" s="44" customFormat="1" spans="1:23">
      <c r="A4964" s="116"/>
      <c r="E4964" s="108"/>
      <c r="F4964" s="114"/>
      <c r="G4964" s="114"/>
      <c r="H4964" s="114"/>
      <c r="Q4964" s="44">
        <f>IF(数据录入!$B4964="",0,IF(OR(数据录入!$D4964="投标保证金",数据录入!$D4964="合同履约保证金",ISNUMBER(FIND("保证金",数据录入!$E4964))),1,0))</f>
      </c>
      <c r="R4964" s="44">
        <f>IF(AND($Q4964=1,数据录入!$B4964&gt;=$B$2,数据录入!$B4964&lt;=$D$2),N(R4963)+1,N(R4963))</f>
      </c>
    </row>
    <row r="4965" s="44" customFormat="1" spans="1:23">
      <c r="A4965" s="116"/>
      <c r="E4965" s="108"/>
      <c r="F4965" s="114"/>
      <c r="G4965" s="114"/>
      <c r="H4965" s="114"/>
      <c r="Q4965" s="44">
        <f>IF(数据录入!$B4965="",0,IF(OR(数据录入!$D4965="投标保证金",数据录入!$D4965="合同履约保证金",ISNUMBER(FIND("保证金",数据录入!$E4965))),1,0))</f>
      </c>
      <c r="R4965" s="44">
        <f>IF(AND($Q4965=1,数据录入!$B4965&gt;=$B$2,数据录入!$B4965&lt;=$D$2),N(R4964)+1,N(R4964))</f>
      </c>
    </row>
    <row r="4966" s="44" customFormat="1" spans="1:23">
      <c r="A4966" s="116"/>
      <c r="E4966" s="108"/>
      <c r="F4966" s="114"/>
      <c r="G4966" s="114"/>
      <c r="H4966" s="114"/>
      <c r="Q4966" s="44">
        <f>IF(数据录入!$B4966="",0,IF(OR(数据录入!$D4966="投标保证金",数据录入!$D4966="合同履约保证金",ISNUMBER(FIND("保证金",数据录入!$E4966))),1,0))</f>
      </c>
      <c r="R4966" s="44">
        <f>IF(AND($Q4966=1,数据录入!$B4966&gt;=$B$2,数据录入!$B4966&lt;=$D$2),N(R4965)+1,N(R4965))</f>
      </c>
    </row>
    <row r="4967" s="44" customFormat="1" spans="1:23">
      <c r="A4967" s="116"/>
      <c r="E4967" s="108"/>
      <c r="F4967" s="114"/>
      <c r="G4967" s="114"/>
      <c r="H4967" s="114"/>
      <c r="Q4967" s="44">
        <f>IF(数据录入!$B4967="",0,IF(OR(数据录入!$D4967="投标保证金",数据录入!$D4967="合同履约保证金",ISNUMBER(FIND("保证金",数据录入!$E4967))),1,0))</f>
      </c>
      <c r="R4967" s="44">
        <f>IF(AND($Q4967=1,数据录入!$B4967&gt;=$B$2,数据录入!$B4967&lt;=$D$2),N(R4966)+1,N(R4966))</f>
      </c>
    </row>
    <row r="4968" s="44" customFormat="1" spans="1:23">
      <c r="A4968" s="116"/>
      <c r="E4968" s="108"/>
      <c r="F4968" s="114"/>
      <c r="G4968" s="114"/>
      <c r="H4968" s="114"/>
      <c r="Q4968" s="44">
        <f>IF(数据录入!$B4968="",0,IF(OR(数据录入!$D4968="投标保证金",数据录入!$D4968="合同履约保证金",ISNUMBER(FIND("保证金",数据录入!$E4968))),1,0))</f>
      </c>
      <c r="R4968" s="44">
        <f>IF(AND($Q4968=1,数据录入!$B4968&gt;=$B$2,数据录入!$B4968&lt;=$D$2),N(R4967)+1,N(R4967))</f>
      </c>
    </row>
    <row r="4969" s="44" customFormat="1" spans="1:23">
      <c r="A4969" s="116"/>
      <c r="E4969" s="108"/>
      <c r="F4969" s="114"/>
      <c r="G4969" s="114"/>
      <c r="H4969" s="114"/>
      <c r="Q4969" s="44">
        <f>IF(数据录入!$B4969="",0,IF(OR(数据录入!$D4969="投标保证金",数据录入!$D4969="合同履约保证金",ISNUMBER(FIND("保证金",数据录入!$E4969))),1,0))</f>
      </c>
      <c r="R4969" s="44">
        <f>IF(AND($Q4969=1,数据录入!$B4969&gt;=$B$2,数据录入!$B4969&lt;=$D$2),N(R4968)+1,N(R4968))</f>
      </c>
    </row>
    <row r="4970" s="44" customFormat="1" spans="1:23">
      <c r="A4970" s="116"/>
      <c r="E4970" s="108"/>
      <c r="F4970" s="114"/>
      <c r="G4970" s="114"/>
      <c r="H4970" s="114"/>
      <c r="Q4970" s="44">
        <f>IF(数据录入!$B4970="",0,IF(OR(数据录入!$D4970="投标保证金",数据录入!$D4970="合同履约保证金",ISNUMBER(FIND("保证金",数据录入!$E4970))),1,0))</f>
      </c>
      <c r="R4970" s="44">
        <f>IF(AND($Q4970=1,数据录入!$B4970&gt;=$B$2,数据录入!$B4970&lt;=$D$2),N(R4969)+1,N(R4969))</f>
      </c>
    </row>
    <row r="4971" s="44" customFormat="1" spans="1:23">
      <c r="A4971" s="116"/>
      <c r="E4971" s="108"/>
      <c r="F4971" s="114"/>
      <c r="G4971" s="114"/>
      <c r="H4971" s="114"/>
      <c r="Q4971" s="44">
        <f>IF(数据录入!$B4971="",0,IF(OR(数据录入!$D4971="投标保证金",数据录入!$D4971="合同履约保证金",ISNUMBER(FIND("保证金",数据录入!$E4971))),1,0))</f>
      </c>
      <c r="R4971" s="44">
        <f>IF(AND($Q4971=1,数据录入!$B4971&gt;=$B$2,数据录入!$B4971&lt;=$D$2),N(R4970)+1,N(R4970))</f>
      </c>
    </row>
    <row r="4972" s="44" customFormat="1" spans="1:23">
      <c r="A4972" s="116"/>
      <c r="E4972" s="108"/>
      <c r="F4972" s="114"/>
      <c r="G4972" s="114"/>
      <c r="H4972" s="114"/>
      <c r="Q4972" s="44">
        <f>IF(数据录入!$B4972="",0,IF(OR(数据录入!$D4972="投标保证金",数据录入!$D4972="合同履约保证金",ISNUMBER(FIND("保证金",数据录入!$E4972))),1,0))</f>
      </c>
      <c r="R4972" s="44">
        <f>IF(AND($Q4972=1,数据录入!$B4972&gt;=$B$2,数据录入!$B4972&lt;=$D$2),N(R4971)+1,N(R4971))</f>
      </c>
    </row>
    <row r="4973" s="44" customFormat="1" spans="1:23">
      <c r="A4973" s="116"/>
      <c r="E4973" s="108"/>
      <c r="F4973" s="114"/>
      <c r="G4973" s="114"/>
      <c r="H4973" s="114"/>
      <c r="Q4973" s="44">
        <f>IF(数据录入!$B4973="",0,IF(OR(数据录入!$D4973="投标保证金",数据录入!$D4973="合同履约保证金",ISNUMBER(FIND("保证金",数据录入!$E4973))),1,0))</f>
      </c>
      <c r="R4973" s="44">
        <f>IF(AND($Q4973=1,数据录入!$B4973&gt;=$B$2,数据录入!$B4973&lt;=$D$2),N(R4972)+1,N(R4972))</f>
      </c>
    </row>
    <row r="4974" s="44" customFormat="1" spans="1:23">
      <c r="A4974" s="116"/>
      <c r="E4974" s="108"/>
      <c r="F4974" s="114"/>
      <c r="G4974" s="114"/>
      <c r="H4974" s="114"/>
      <c r="Q4974" s="44">
        <f>IF(数据录入!$B4974="",0,IF(OR(数据录入!$D4974="投标保证金",数据录入!$D4974="合同履约保证金",ISNUMBER(FIND("保证金",数据录入!$E4974))),1,0))</f>
      </c>
      <c r="R4974" s="44">
        <f>IF(AND($Q4974=1,数据录入!$B4974&gt;=$B$2,数据录入!$B4974&lt;=$D$2),N(R4973)+1,N(R4973))</f>
      </c>
    </row>
    <row r="4975" s="44" customFormat="1" spans="1:23">
      <c r="A4975" s="116"/>
      <c r="E4975" s="108"/>
      <c r="F4975" s="114"/>
      <c r="G4975" s="114"/>
      <c r="H4975" s="114"/>
      <c r="Q4975" s="44">
        <f>IF(数据录入!$B4975="",0,IF(OR(数据录入!$D4975="投标保证金",数据录入!$D4975="合同履约保证金",ISNUMBER(FIND("保证金",数据录入!$E4975))),1,0))</f>
      </c>
      <c r="R4975" s="44">
        <f>IF(AND($Q4975=1,数据录入!$B4975&gt;=$B$2,数据录入!$B4975&lt;=$D$2),N(R4974)+1,N(R4974))</f>
      </c>
    </row>
    <row r="4976" s="44" customFormat="1" spans="1:23">
      <c r="A4976" s="116"/>
      <c r="E4976" s="108"/>
      <c r="F4976" s="114"/>
      <c r="G4976" s="114"/>
      <c r="H4976" s="114"/>
      <c r="Q4976" s="44">
        <f>IF(数据录入!$B4976="",0,IF(OR(数据录入!$D4976="投标保证金",数据录入!$D4976="合同履约保证金",ISNUMBER(FIND("保证金",数据录入!$E4976))),1,0))</f>
      </c>
      <c r="R4976" s="44">
        <f>IF(AND($Q4976=1,数据录入!$B4976&gt;=$B$2,数据录入!$B4976&lt;=$D$2),N(R4975)+1,N(R4975))</f>
      </c>
    </row>
    <row r="4977" s="44" customFormat="1" spans="1:23">
      <c r="A4977" s="116"/>
      <c r="E4977" s="108"/>
      <c r="F4977" s="114"/>
      <c r="G4977" s="114"/>
      <c r="H4977" s="114"/>
      <c r="Q4977" s="44">
        <f>IF(数据录入!$B4977="",0,IF(OR(数据录入!$D4977="投标保证金",数据录入!$D4977="合同履约保证金",ISNUMBER(FIND("保证金",数据录入!$E4977))),1,0))</f>
      </c>
      <c r="R4977" s="44">
        <f>IF(AND($Q4977=1,数据录入!$B4977&gt;=$B$2,数据录入!$B4977&lt;=$D$2),N(R4976)+1,N(R4976))</f>
      </c>
    </row>
    <row r="4978" s="44" customFormat="1" spans="1:23">
      <c r="A4978" s="116"/>
      <c r="E4978" s="108"/>
      <c r="F4978" s="114"/>
      <c r="G4978" s="114"/>
      <c r="H4978" s="114"/>
      <c r="Q4978" s="44">
        <f>IF(数据录入!$B4978="",0,IF(OR(数据录入!$D4978="投标保证金",数据录入!$D4978="合同履约保证金",ISNUMBER(FIND("保证金",数据录入!$E4978))),1,0))</f>
      </c>
      <c r="R4978" s="44">
        <f>IF(AND($Q4978=1,数据录入!$B4978&gt;=$B$2,数据录入!$B4978&lt;=$D$2),N(R4977)+1,N(R4977))</f>
      </c>
    </row>
    <row r="4979" s="44" customFormat="1" spans="1:23">
      <c r="A4979" s="116"/>
      <c r="E4979" s="108"/>
      <c r="F4979" s="114"/>
      <c r="G4979" s="114"/>
      <c r="H4979" s="114"/>
      <c r="Q4979" s="44">
        <f>IF(数据录入!$B4979="",0,IF(OR(数据录入!$D4979="投标保证金",数据录入!$D4979="合同履约保证金",ISNUMBER(FIND("保证金",数据录入!$E4979))),1,0))</f>
      </c>
      <c r="R4979" s="44">
        <f>IF(AND($Q4979=1,数据录入!$B4979&gt;=$B$2,数据录入!$B4979&lt;=$D$2),N(R4978)+1,N(R4978))</f>
      </c>
    </row>
    <row r="4980" s="44" customFormat="1" spans="1:23">
      <c r="A4980" s="116"/>
      <c r="E4980" s="108"/>
      <c r="F4980" s="114"/>
      <c r="G4980" s="114"/>
      <c r="H4980" s="114"/>
      <c r="Q4980" s="44">
        <f>IF(数据录入!$B4980="",0,IF(OR(数据录入!$D4980="投标保证金",数据录入!$D4980="合同履约保证金",ISNUMBER(FIND("保证金",数据录入!$E4980))),1,0))</f>
      </c>
      <c r="R4980" s="44">
        <f>IF(AND($Q4980=1,数据录入!$B4980&gt;=$B$2,数据录入!$B4980&lt;=$D$2),N(R4979)+1,N(R4979))</f>
      </c>
    </row>
    <row r="4981" s="44" customFormat="1" spans="1:23">
      <c r="A4981" s="116"/>
      <c r="E4981" s="108"/>
      <c r="F4981" s="114"/>
      <c r="G4981" s="114"/>
      <c r="H4981" s="114"/>
      <c r="Q4981" s="44">
        <f>IF(数据录入!$B4981="",0,IF(OR(数据录入!$D4981="投标保证金",数据录入!$D4981="合同履约保证金",ISNUMBER(FIND("保证金",数据录入!$E4981))),1,0))</f>
      </c>
      <c r="R4981" s="44">
        <f>IF(AND($Q4981=1,数据录入!$B4981&gt;=$B$2,数据录入!$B4981&lt;=$D$2),N(R4980)+1,N(R4980))</f>
      </c>
    </row>
    <row r="4982" s="44" customFormat="1" spans="1:23">
      <c r="A4982" s="116"/>
      <c r="E4982" s="108"/>
      <c r="F4982" s="114"/>
      <c r="G4982" s="114"/>
      <c r="H4982" s="114"/>
      <c r="Q4982" s="44">
        <f>IF(数据录入!$B4982="",0,IF(OR(数据录入!$D4982="投标保证金",数据录入!$D4982="合同履约保证金",ISNUMBER(FIND("保证金",数据录入!$E4982))),1,0))</f>
      </c>
      <c r="R4982" s="44">
        <f>IF(AND($Q4982=1,数据录入!$B4982&gt;=$B$2,数据录入!$B4982&lt;=$D$2),N(R4981)+1,N(R4981))</f>
      </c>
    </row>
    <row r="4983" s="44" customFormat="1" spans="1:23">
      <c r="A4983" s="116"/>
      <c r="E4983" s="108"/>
      <c r="F4983" s="114"/>
      <c r="G4983" s="114"/>
      <c r="H4983" s="114"/>
      <c r="Q4983" s="44">
        <f>IF(数据录入!$B4983="",0,IF(OR(数据录入!$D4983="投标保证金",数据录入!$D4983="合同履约保证金",ISNUMBER(FIND("保证金",数据录入!$E4983))),1,0))</f>
      </c>
      <c r="R4983" s="44">
        <f>IF(AND($Q4983=1,数据录入!$B4983&gt;=$B$2,数据录入!$B4983&lt;=$D$2),N(R4982)+1,N(R4982))</f>
      </c>
    </row>
    <row r="4984" s="44" customFormat="1" spans="1:23">
      <c r="A4984" s="116"/>
      <c r="E4984" s="108"/>
      <c r="F4984" s="114"/>
      <c r="G4984" s="114"/>
      <c r="H4984" s="114"/>
      <c r="Q4984" s="44">
        <f>IF(数据录入!$B4984="",0,IF(OR(数据录入!$D4984="投标保证金",数据录入!$D4984="合同履约保证金",ISNUMBER(FIND("保证金",数据录入!$E4984))),1,0))</f>
      </c>
      <c r="R4984" s="44">
        <f>IF(AND($Q4984=1,数据录入!$B4984&gt;=$B$2,数据录入!$B4984&lt;=$D$2),N(R4983)+1,N(R4983))</f>
      </c>
    </row>
    <row r="4985" s="44" customFormat="1" spans="1:23">
      <c r="A4985" s="116"/>
      <c r="E4985" s="108"/>
      <c r="F4985" s="114"/>
      <c r="G4985" s="114"/>
      <c r="H4985" s="114"/>
      <c r="Q4985" s="44">
        <f>IF(数据录入!$B4985="",0,IF(OR(数据录入!$D4985="投标保证金",数据录入!$D4985="合同履约保证金",ISNUMBER(FIND("保证金",数据录入!$E4985))),1,0))</f>
      </c>
      <c r="R4985" s="44">
        <f>IF(AND($Q4985=1,数据录入!$B4985&gt;=$B$2,数据录入!$B4985&lt;=$D$2),N(R4984)+1,N(R4984))</f>
      </c>
    </row>
    <row r="4986" s="44" customFormat="1" spans="1:23">
      <c r="A4986" s="116"/>
      <c r="E4986" s="108"/>
      <c r="F4986" s="114"/>
      <c r="G4986" s="114"/>
      <c r="H4986" s="114"/>
      <c r="Q4986" s="44">
        <f>IF(数据录入!$B4986="",0,IF(OR(数据录入!$D4986="投标保证金",数据录入!$D4986="合同履约保证金",ISNUMBER(FIND("保证金",数据录入!$E4986))),1,0))</f>
      </c>
      <c r="R4986" s="44">
        <f>IF(AND($Q4986=1,数据录入!$B4986&gt;=$B$2,数据录入!$B4986&lt;=$D$2),N(R4985)+1,N(R4985))</f>
      </c>
    </row>
    <row r="4987" s="44" customFormat="1" spans="1:23">
      <c r="A4987" s="116"/>
      <c r="E4987" s="108"/>
      <c r="F4987" s="114"/>
      <c r="G4987" s="114"/>
      <c r="H4987" s="114"/>
      <c r="Q4987" s="44">
        <f>IF(数据录入!$B4987="",0,IF(OR(数据录入!$D4987="投标保证金",数据录入!$D4987="合同履约保证金",ISNUMBER(FIND("保证金",数据录入!$E4987))),1,0))</f>
      </c>
      <c r="R4987" s="44">
        <f>IF(AND($Q4987=1,数据录入!$B4987&gt;=$B$2,数据录入!$B4987&lt;=$D$2),N(R4986)+1,N(R4986))</f>
      </c>
    </row>
    <row r="4988" s="44" customFormat="1" spans="1:23">
      <c r="A4988" s="116"/>
      <c r="E4988" s="108"/>
      <c r="F4988" s="114"/>
      <c r="G4988" s="114"/>
      <c r="H4988" s="114"/>
      <c r="Q4988" s="44">
        <f>IF(数据录入!$B4988="",0,IF(OR(数据录入!$D4988="投标保证金",数据录入!$D4988="合同履约保证金",ISNUMBER(FIND("保证金",数据录入!$E4988))),1,0))</f>
      </c>
      <c r="R4988" s="44">
        <f>IF(AND($Q4988=1,数据录入!$B4988&gt;=$B$2,数据录入!$B4988&lt;=$D$2),N(R4987)+1,N(R4987))</f>
      </c>
    </row>
    <row r="4989" s="44" customFormat="1" spans="1:23">
      <c r="A4989" s="116"/>
      <c r="E4989" s="108"/>
      <c r="F4989" s="114"/>
      <c r="G4989" s="114"/>
      <c r="H4989" s="114"/>
      <c r="Q4989" s="44">
        <f>IF(数据录入!$B4989="",0,IF(OR(数据录入!$D4989="投标保证金",数据录入!$D4989="合同履约保证金",ISNUMBER(FIND("保证金",数据录入!$E4989))),1,0))</f>
      </c>
      <c r="R4989" s="44">
        <f>IF(AND($Q4989=1,数据录入!$B4989&gt;=$B$2,数据录入!$B4989&lt;=$D$2),N(R4988)+1,N(R4988))</f>
      </c>
    </row>
    <row r="4990" s="44" customFormat="1" spans="1:23">
      <c r="A4990" s="116"/>
      <c r="E4990" s="108"/>
      <c r="F4990" s="114"/>
      <c r="G4990" s="114"/>
      <c r="H4990" s="114"/>
      <c r="Q4990" s="44">
        <f>IF(数据录入!$B4990="",0,IF(OR(数据录入!$D4990="投标保证金",数据录入!$D4990="合同履约保证金",ISNUMBER(FIND("保证金",数据录入!$E4990))),1,0))</f>
      </c>
      <c r="R4990" s="44">
        <f>IF(AND($Q4990=1,数据录入!$B4990&gt;=$B$2,数据录入!$B4990&lt;=$D$2),N(R4989)+1,N(R4989))</f>
      </c>
    </row>
    <row r="4991" s="44" customFormat="1" spans="1:23">
      <c r="A4991" s="116"/>
      <c r="E4991" s="108"/>
      <c r="F4991" s="114"/>
      <c r="G4991" s="114"/>
      <c r="H4991" s="114"/>
      <c r="Q4991" s="44">
        <f>IF(数据录入!$B4991="",0,IF(OR(数据录入!$D4991="投标保证金",数据录入!$D4991="合同履约保证金",ISNUMBER(FIND("保证金",数据录入!$E4991))),1,0))</f>
      </c>
      <c r="R4991" s="44">
        <f>IF(AND($Q4991=1,数据录入!$B4991&gt;=$B$2,数据录入!$B4991&lt;=$D$2),N(R4990)+1,N(R4990))</f>
      </c>
    </row>
    <row r="4992" s="44" customFormat="1" spans="1:23">
      <c r="A4992" s="116"/>
      <c r="E4992" s="108"/>
      <c r="F4992" s="114"/>
      <c r="G4992" s="114"/>
      <c r="H4992" s="114"/>
      <c r="Q4992" s="44">
        <f>IF(数据录入!$B4992="",0,IF(OR(数据录入!$D4992="投标保证金",数据录入!$D4992="合同履约保证金",ISNUMBER(FIND("保证金",数据录入!$E4992))),1,0))</f>
      </c>
      <c r="R4992" s="44">
        <f>IF(AND($Q4992=1,数据录入!$B4992&gt;=$B$2,数据录入!$B4992&lt;=$D$2),N(R4991)+1,N(R4991))</f>
      </c>
    </row>
    <row r="4993" s="44" customFormat="1" spans="1:23">
      <c r="A4993" s="116"/>
      <c r="E4993" s="108"/>
      <c r="F4993" s="114"/>
      <c r="G4993" s="114"/>
      <c r="H4993" s="114"/>
      <c r="Q4993" s="44">
        <f>IF(数据录入!$B4993="",0,IF(OR(数据录入!$D4993="投标保证金",数据录入!$D4993="合同履约保证金",ISNUMBER(FIND("保证金",数据录入!$E4993))),1,0))</f>
      </c>
      <c r="R4993" s="44">
        <f>IF(AND($Q4993=1,数据录入!$B4993&gt;=$B$2,数据录入!$B4993&lt;=$D$2),N(R4992)+1,N(R4992))</f>
      </c>
    </row>
    <row r="4994" s="44" customFormat="1" spans="1:23">
      <c r="A4994" s="116"/>
      <c r="E4994" s="108"/>
      <c r="F4994" s="114"/>
      <c r="G4994" s="114"/>
      <c r="H4994" s="114"/>
      <c r="Q4994" s="44">
        <f>IF(数据录入!$B4994="",0,IF(OR(数据录入!$D4994="投标保证金",数据录入!$D4994="合同履约保证金",ISNUMBER(FIND("保证金",数据录入!$E4994))),1,0))</f>
      </c>
      <c r="R4994" s="44">
        <f>IF(AND($Q4994=1,数据录入!$B4994&gt;=$B$2,数据录入!$B4994&lt;=$D$2),N(R4993)+1,N(R4993))</f>
      </c>
    </row>
    <row r="4995" s="44" customFormat="1" spans="1:23">
      <c r="A4995" s="116"/>
      <c r="E4995" s="108"/>
      <c r="F4995" s="114"/>
      <c r="G4995" s="114"/>
      <c r="H4995" s="114"/>
      <c r="Q4995" s="44">
        <f>IF(数据录入!$B4995="",0,IF(OR(数据录入!$D4995="投标保证金",数据录入!$D4995="合同履约保证金",ISNUMBER(FIND("保证金",数据录入!$E4995))),1,0))</f>
      </c>
      <c r="R4995" s="44">
        <f>IF(AND($Q4995=1,数据录入!$B4995&gt;=$B$2,数据录入!$B4995&lt;=$D$2),N(R4994)+1,N(R4994))</f>
      </c>
    </row>
    <row r="4996" s="44" customFormat="1" spans="1:23">
      <c r="A4996" s="116"/>
      <c r="E4996" s="108"/>
      <c r="F4996" s="114"/>
      <c r="G4996" s="114"/>
      <c r="H4996" s="114"/>
      <c r="Q4996" s="44">
        <f>IF(数据录入!$B4996="",0,IF(OR(数据录入!$D4996="投标保证金",数据录入!$D4996="合同履约保证金",ISNUMBER(FIND("保证金",数据录入!$E4996))),1,0))</f>
      </c>
      <c r="R4996" s="44">
        <f>IF(AND($Q4996=1,数据录入!$B4996&gt;=$B$2,数据录入!$B4996&lt;=$D$2),N(R4995)+1,N(R4995))</f>
      </c>
    </row>
    <row r="4997" s="44" customFormat="1" spans="1:23">
      <c r="A4997" s="116"/>
      <c r="E4997" s="108"/>
      <c r="F4997" s="114"/>
      <c r="G4997" s="114"/>
      <c r="H4997" s="114"/>
      <c r="Q4997" s="44">
        <f>IF(数据录入!$B4997="",0,IF(OR(数据录入!$D4997="投标保证金",数据录入!$D4997="合同履约保证金",ISNUMBER(FIND("保证金",数据录入!$E4997))),1,0))</f>
      </c>
      <c r="R4997" s="44">
        <f>IF(AND($Q4997=1,数据录入!$B4997&gt;=$B$2,数据录入!$B4997&lt;=$D$2),N(R4996)+1,N(R4996))</f>
      </c>
    </row>
    <row r="4998" s="44" customFormat="1" spans="1:23">
      <c r="A4998" s="116"/>
      <c r="E4998" s="108"/>
      <c r="F4998" s="114"/>
      <c r="G4998" s="114"/>
      <c r="H4998" s="114"/>
      <c r="Q4998" s="44">
        <f>IF(数据录入!$B4998="",0,IF(OR(数据录入!$D4998="投标保证金",数据录入!$D4998="合同履约保证金",ISNUMBER(FIND("保证金",数据录入!$E4998))),1,0))</f>
      </c>
      <c r="R4998" s="44">
        <f>IF(AND($Q4998=1,数据录入!$B4998&gt;=$B$2,数据录入!$B4998&lt;=$D$2),N(R4997)+1,N(R4997))</f>
      </c>
    </row>
    <row r="4999" s="44" customFormat="1" spans="1:23">
      <c r="A4999" s="116"/>
      <c r="E4999" s="108"/>
      <c r="F4999" s="114"/>
      <c r="G4999" s="114"/>
      <c r="H4999" s="114"/>
      <c r="Q4999" s="44">
        <f>IF(数据录入!$B4999="",0,IF(OR(数据录入!$D4999="投标保证金",数据录入!$D4999="合同履约保证金",ISNUMBER(FIND("保证金",数据录入!$E4999))),1,0))</f>
      </c>
      <c r="R4999" s="44">
        <f>IF(AND($Q4999=1,数据录入!$B4999&gt;=$B$2,数据录入!$B4999&lt;=$D$2),N(R4998)+1,N(R4998))</f>
      </c>
    </row>
    <row r="5000" s="44" customFormat="1" spans="1:23">
      <c r="A5000" s="116"/>
      <c r="E5000" s="108"/>
      <c r="F5000" s="114"/>
      <c r="G5000" s="114"/>
      <c r="H5000" s="114"/>
    </row>
  </sheetData>
  <mergeCells count="2">
    <mergeCell ref="A1:H1"/>
    <mergeCell ref="A3:E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94"/>
  <sheetViews>
    <sheetView workbookViewId="0">
      <selection activeCell="F2" sqref="F2:K2"/>
    </sheetView>
  </sheetViews>
  <sheetFormatPr defaultColWidth="9" defaultRowHeight="13.5"/>
  <cols>
    <col min="1" max="1" width="3.375" style="26" customWidth="1"/>
    <col min="2" max="2" width="14.0833333333333" style="27" customWidth="1"/>
    <col min="3" max="14" width="12.3666666666667" style="27" customWidth="1"/>
    <col min="15" max="15" width="15.275" style="27" customWidth="1"/>
    <col min="16" max="16" width="9.50833333333333" style="28" customWidth="1"/>
    <col min="17" max="17" width="12.625"/>
  </cols>
  <sheetData>
    <row r="1" customFormat="1" ht="28" customHeight="1" spans="1:16">
      <c r="A1" s="10" t="s">
        <v>254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customFormat="1" ht="20" customHeight="1" spans="1:16">
      <c r="A2" s="34"/>
      <c r="B2" s="34" t="s">
        <v>90</v>
      </c>
      <c r="C2" s="36">
        <f t="shared" ref="C2:N2" si="0">SUM(C4:C38)</f>
        <v>0</v>
      </c>
      <c r="D2" s="36">
        <f t="shared" si="0"/>
        <v>0</v>
      </c>
      <c r="E2" s="36">
        <f t="shared" si="0"/>
        <v>0</v>
      </c>
      <c r="F2" s="36">
        <f t="shared" si="0"/>
        <v>150000</v>
      </c>
      <c r="G2" s="36">
        <f t="shared" si="0"/>
        <v>82400</v>
      </c>
      <c r="H2" s="36">
        <f t="shared" si="0"/>
        <v>108315</v>
      </c>
      <c r="I2" s="36">
        <f t="shared" si="0"/>
        <v>58596.85</v>
      </c>
      <c r="J2" s="36">
        <f t="shared" si="0"/>
        <v>149005</v>
      </c>
      <c r="K2" s="36">
        <f t="shared" si="0"/>
        <v>92960</v>
      </c>
      <c r="L2" s="36">
        <f t="shared" si="0"/>
        <v>0</v>
      </c>
      <c r="M2" s="36">
        <f t="shared" si="0"/>
        <v>0</v>
      </c>
      <c r="N2" s="36">
        <f t="shared" si="0"/>
        <v>0</v>
      </c>
      <c r="O2" s="36">
        <f t="shared" ref="O2:O38" si="1">SUM(C2:N2)</f>
        <v>641276.85</v>
      </c>
      <c r="P2" s="37">
        <f>IF($O$2=0,"",1)</f>
        <v>1</v>
      </c>
    </row>
    <row r="3" customFormat="1" ht="24" customHeight="1" spans="1:16">
      <c r="A3" s="33" t="s">
        <v>255</v>
      </c>
      <c r="B3" s="33" t="s">
        <v>41</v>
      </c>
      <c r="C3" s="33">
        <v>202601</v>
      </c>
      <c r="D3" s="33">
        <v>202602</v>
      </c>
      <c r="E3" s="33">
        <v>202603</v>
      </c>
      <c r="F3" s="33">
        <v>202604</v>
      </c>
      <c r="G3" s="33">
        <v>202605</v>
      </c>
      <c r="H3" s="33">
        <v>202606</v>
      </c>
      <c r="I3" s="33">
        <v>202607</v>
      </c>
      <c r="J3" s="33">
        <v>202608</v>
      </c>
      <c r="K3" s="33">
        <v>202609</v>
      </c>
      <c r="L3" s="33">
        <v>202610</v>
      </c>
      <c r="M3" s="33">
        <v>202611</v>
      </c>
      <c r="N3" s="33">
        <v>202612</v>
      </c>
      <c r="O3" s="33" t="s">
        <v>256</v>
      </c>
      <c r="P3" s="33" t="s">
        <v>257</v>
      </c>
    </row>
    <row r="4" customFormat="1" ht="20" customHeight="1" spans="1:16">
      <c r="A4" s="34">
        <v>1</v>
      </c>
      <c r="B4" s="107" t="s">
        <v>45</v>
      </c>
      <c r="C4" s="36">
        <f>IF($B4="","",SUMIFS(数据录入!$G$5:$G$4999,数据录入!$J$5:$J$4999,$B4,数据录入!$K$5:$K$4999,C$3))</f>
        <v>0</v>
      </c>
      <c r="D4" s="36">
        <f>IF($B4="","",SUMIFS(数据录入!$G$5:$G$4999,数据录入!$J$5:$J$4999,$B4,数据录入!$K$5:$K$4999,D$3))</f>
        <v>0</v>
      </c>
      <c r="E4" s="36">
        <f>IF($B4="","",SUMIFS(数据录入!$G$5:$G$4999,数据录入!$J$5:$J$4999,$B4,数据录入!$K$5:$K$4999,E$3))</f>
        <v>0</v>
      </c>
      <c r="F4" s="36">
        <f>IF($B4="","",SUMIFS(数据录入!$G$5:$G$4999,数据录入!$J$5:$J$4999,$B4,数据录入!$K$5:$K$4999,F$3))</f>
        <v>150000</v>
      </c>
      <c r="G4" s="36">
        <f>IF($B4="","",SUMIFS(数据录入!$G$5:$G$4999,数据录入!$J$5:$J$4999,$B4,数据录入!$K$5:$K$4999,G$3))</f>
        <v>82400</v>
      </c>
      <c r="H4" s="36">
        <f>IF($B4="","",SUMIFS(数据录入!$G$5:$G$4999,数据录入!$J$5:$J$4999,$B4,数据录入!$K$5:$K$4999,H$3))</f>
        <v>0</v>
      </c>
      <c r="I4" s="36">
        <f>IF($B4="","",SUMIFS(数据录入!$G$5:$G$4999,数据录入!$J$5:$J$4999,$B4,数据录入!$K$5:$K$4999,I$3))</f>
        <v>0</v>
      </c>
      <c r="J4" s="36">
        <f>IF($B4="","",SUMIFS(数据录入!$G$5:$G$4999,数据录入!$J$5:$J$4999,$B4,数据录入!$K$5:$K$4999,J$3))</f>
        <v>0</v>
      </c>
      <c r="K4" s="36">
        <f>IF($B4="","",SUMIFS(数据录入!$G$5:$G$4999,数据录入!$J$5:$J$4999,$B4,数据录入!$K$5:$K$4999,K$3))</f>
        <v>92960</v>
      </c>
      <c r="L4" s="36">
        <f>IF($B4="","",SUMIFS(数据录入!$G$5:$G$4999,数据录入!$J$5:$J$4999,$B4,数据录入!$K$5:$K$4999,L$3))</f>
        <v>0</v>
      </c>
      <c r="M4" s="36">
        <f>IF($B4="","",SUMIFS(数据录入!$G$5:$G$4999,数据录入!$J$5:$J$4999,$B4,数据录入!$K$5:$K$4999,M$3))</f>
        <v>0</v>
      </c>
      <c r="N4" s="36">
        <f>IF($B4="","",SUMIFS(数据录入!$G$5:$G$4999,数据录入!$J$5:$J$4999,$B4,数据录入!$K$5:$K$4999,N$3))</f>
        <v>0</v>
      </c>
      <c r="O4" s="36">
        <f>SUM(C4:N4)</f>
        <v>325360</v>
      </c>
      <c r="P4" s="37">
        <f t="shared" ref="P4:P38" si="2">IF($O$2=0,"",O4/$O$2)</f>
        <v>0.507362771632876</v>
      </c>
    </row>
    <row r="5" customFormat="1" ht="20" customHeight="1" spans="1:16">
      <c r="A5" s="34">
        <v>2</v>
      </c>
      <c r="B5" s="63" t="s">
        <v>48</v>
      </c>
      <c r="C5" s="36">
        <f>IF($B5="","",SUMIFS(数据录入!$G$5:$G$4999,数据录入!$J$5:$J$4999,$B5,数据录入!$K$5:$K$4999,C$3))</f>
        <v>0</v>
      </c>
      <c r="D5" s="36">
        <f>IF($B5="","",SUMIFS(数据录入!$G$5:$G$4999,数据录入!$J$5:$J$4999,$B5,数据录入!$K$5:$K$4999,D$3))</f>
        <v>0</v>
      </c>
      <c r="E5" s="36">
        <f>IF($B5="","",SUMIFS(数据录入!$G$5:$G$4999,数据录入!$J$5:$J$4999,$B5,数据录入!$K$5:$K$4999,E$3))</f>
        <v>0</v>
      </c>
      <c r="F5" s="36">
        <f>IF($B5="","",SUMIFS(数据录入!$G$5:$G$4999,数据录入!$J$5:$J$4999,$B5,数据录入!$K$5:$K$4999,F$3))</f>
        <v>0</v>
      </c>
      <c r="G5" s="36">
        <f>IF($B5="","",SUMIFS(数据录入!$G$5:$G$4999,数据录入!$J$5:$J$4999,$B5,数据录入!$K$5:$K$4999,G$3))</f>
        <v>0</v>
      </c>
      <c r="H5" s="36">
        <f>IF($B5="","",SUMIFS(数据录入!$G$5:$G$4999,数据录入!$J$5:$J$4999,$B5,数据录入!$K$5:$K$4999,H$3))</f>
        <v>108315</v>
      </c>
      <c r="I5" s="36">
        <f>IF($B5="","",SUMIFS(数据录入!$G$5:$G$4999,数据录入!$J$5:$J$4999,$B5,数据录入!$K$5:$K$4999,I$3))</f>
        <v>55919</v>
      </c>
      <c r="J5" s="36">
        <f>IF($B5="","",SUMIFS(数据录入!$G$5:$G$4999,数据录入!$J$5:$J$4999,$B5,数据录入!$K$5:$K$4999,J$3))</f>
        <v>138505</v>
      </c>
      <c r="K5" s="36">
        <f>IF($B5="","",SUMIFS(数据录入!$G$5:$G$4999,数据录入!$J$5:$J$4999,$B5,数据录入!$K$5:$K$4999,K$3))</f>
        <v>0</v>
      </c>
      <c r="L5" s="36">
        <f>IF($B5="","",SUMIFS(数据录入!$G$5:$G$4999,数据录入!$J$5:$J$4999,$B5,数据录入!$K$5:$K$4999,L$3))</f>
        <v>0</v>
      </c>
      <c r="M5" s="36">
        <f>IF($B5="","",SUMIFS(数据录入!$G$5:$G$4999,数据录入!$J$5:$J$4999,$B5,数据录入!$K$5:$K$4999,M$3))</f>
        <v>0</v>
      </c>
      <c r="N5" s="36">
        <f>IF($B5="","",SUMIFS(数据录入!$G$5:$G$4999,数据录入!$J$5:$J$4999,$B5,数据录入!$K$5:$K$4999,N$3))</f>
        <v>0</v>
      </c>
      <c r="O5" s="36">
        <f t="shared" si="1"/>
        <v>302739</v>
      </c>
      <c r="P5" s="37">
        <f t="shared" si="2"/>
        <v>0.472087835386542</v>
      </c>
    </row>
    <row r="6" customFormat="1" ht="20" customHeight="1" spans="1:16">
      <c r="A6" s="34">
        <v>3</v>
      </c>
      <c r="B6" s="63" t="s">
        <v>51</v>
      </c>
      <c r="C6" s="36">
        <f>IF($B6="","",SUMIFS(数据录入!$G$5:$G$4999,数据录入!$J$5:$J$4999,$B6,数据录入!$K$5:$K$4999,C$3))</f>
        <v>0</v>
      </c>
      <c r="D6" s="36">
        <f>IF($B6="","",SUMIFS(数据录入!$G$5:$G$4999,数据录入!$J$5:$J$4999,$B6,数据录入!$K$5:$K$4999,D$3))</f>
        <v>0</v>
      </c>
      <c r="E6" s="36">
        <f>IF($B6="","",SUMIFS(数据录入!$G$5:$G$4999,数据录入!$J$5:$J$4999,$B6,数据录入!$K$5:$K$4999,E$3))</f>
        <v>0</v>
      </c>
      <c r="F6" s="36">
        <f>IF($B6="","",SUMIFS(数据录入!$G$5:$G$4999,数据录入!$J$5:$J$4999,$B6,数据录入!$K$5:$K$4999,F$3))</f>
        <v>0</v>
      </c>
      <c r="G6" s="36">
        <f>IF($B6="","",SUMIFS(数据录入!$G$5:$G$4999,数据录入!$J$5:$J$4999,$B6,数据录入!$K$5:$K$4999,G$3))</f>
        <v>0</v>
      </c>
      <c r="H6" s="36">
        <f>IF($B6="","",SUMIFS(数据录入!$G$5:$G$4999,数据录入!$J$5:$J$4999,$B6,数据录入!$K$5:$K$4999,H$3))</f>
        <v>0</v>
      </c>
      <c r="I6" s="36">
        <f>IF($B6="","",SUMIFS(数据录入!$G$5:$G$4999,数据录入!$J$5:$J$4999,$B6,数据录入!$K$5:$K$4999,I$3))</f>
        <v>0</v>
      </c>
      <c r="J6" s="36">
        <f>IF($B6="","",SUMIFS(数据录入!$G$5:$G$4999,数据录入!$J$5:$J$4999,$B6,数据录入!$K$5:$K$4999,J$3))</f>
        <v>0</v>
      </c>
      <c r="K6" s="36">
        <f>IF($B6="","",SUMIFS(数据录入!$G$5:$G$4999,数据录入!$J$5:$J$4999,$B6,数据录入!$K$5:$K$4999,K$3))</f>
        <v>0</v>
      </c>
      <c r="L6" s="36">
        <f>IF($B6="","",SUMIFS(数据录入!$G$5:$G$4999,数据录入!$J$5:$J$4999,$B6,数据录入!$K$5:$K$4999,L$3))</f>
        <v>0</v>
      </c>
      <c r="M6" s="36">
        <f>IF($B6="","",SUMIFS(数据录入!$G$5:$G$4999,数据录入!$J$5:$J$4999,$B6,数据录入!$K$5:$K$4999,M$3))</f>
        <v>0</v>
      </c>
      <c r="N6" s="36">
        <f>IF($B6="","",SUMIFS(数据录入!$G$5:$G$4999,数据录入!$J$5:$J$4999,$B6,数据录入!$K$5:$K$4999,N$3))</f>
        <v>0</v>
      </c>
      <c r="O6" s="36">
        <f t="shared" si="1"/>
        <v>0</v>
      </c>
      <c r="P6" s="37">
        <f t="shared" si="2"/>
        <v>0</v>
      </c>
    </row>
    <row r="7" customFormat="1" ht="20" customHeight="1" spans="1:16">
      <c r="A7" s="34">
        <v>4</v>
      </c>
      <c r="B7" s="63" t="s">
        <v>55</v>
      </c>
      <c r="C7" s="36">
        <f>IF($B7="","",SUMIFS(数据录入!$G$5:$G$4999,数据录入!$J$5:$J$4999,$B7,数据录入!$K$5:$K$4999,C$3))</f>
        <v>0</v>
      </c>
      <c r="D7" s="36">
        <f>IF($B7="","",SUMIFS(数据录入!$G$5:$G$4999,数据录入!$J$5:$J$4999,$B7,数据录入!$K$5:$K$4999,D$3))</f>
        <v>0</v>
      </c>
      <c r="E7" s="36">
        <f>IF($B7="","",SUMIFS(数据录入!$G$5:$G$4999,数据录入!$J$5:$J$4999,$B7,数据录入!$K$5:$K$4999,E$3))</f>
        <v>0</v>
      </c>
      <c r="F7" s="36">
        <f>IF($B7="","",SUMIFS(数据录入!$G$5:$G$4999,数据录入!$J$5:$J$4999,$B7,数据录入!$K$5:$K$4999,F$3))</f>
        <v>0</v>
      </c>
      <c r="G7" s="36">
        <f>IF($B7="","",SUMIFS(数据录入!$G$5:$G$4999,数据录入!$J$5:$J$4999,$B7,数据录入!$K$5:$K$4999,G$3))</f>
        <v>0</v>
      </c>
      <c r="H7" s="36">
        <f>IF($B7="","",SUMIFS(数据录入!$G$5:$G$4999,数据录入!$J$5:$J$4999,$B7,数据录入!$K$5:$K$4999,H$3))</f>
        <v>0</v>
      </c>
      <c r="I7" s="36">
        <f>IF($B7="","",SUMIFS(数据录入!$G$5:$G$4999,数据录入!$J$5:$J$4999,$B7,数据录入!$K$5:$K$4999,I$3))</f>
        <v>2677.85</v>
      </c>
      <c r="J7" s="36">
        <f>IF($B7="","",SUMIFS(数据录入!$G$5:$G$4999,数据录入!$J$5:$J$4999,$B7,数据录入!$K$5:$K$4999,J$3))</f>
        <v>0</v>
      </c>
      <c r="K7" s="36">
        <f>IF($B7="","",SUMIFS(数据录入!$G$5:$G$4999,数据录入!$J$5:$J$4999,$B7,数据录入!$K$5:$K$4999,K$3))</f>
        <v>0</v>
      </c>
      <c r="L7" s="36">
        <f>IF($B7="","",SUMIFS(数据录入!$G$5:$G$4999,数据录入!$J$5:$J$4999,$B7,数据录入!$K$5:$K$4999,L$3))</f>
        <v>0</v>
      </c>
      <c r="M7" s="36">
        <f>IF($B7="","",SUMIFS(数据录入!$G$5:$G$4999,数据录入!$J$5:$J$4999,$B7,数据录入!$K$5:$K$4999,M$3))</f>
        <v>0</v>
      </c>
      <c r="N7" s="36">
        <f>IF($B7="","",SUMIFS(数据录入!$G$5:$G$4999,数据录入!$J$5:$J$4999,$B7,数据录入!$K$5:$K$4999,N$3))</f>
        <v>0</v>
      </c>
      <c r="O7" s="36">
        <f t="shared" si="1"/>
        <v>2677.85</v>
      </c>
      <c r="P7" s="37">
        <f t="shared" si="2"/>
        <v>0.00417580955869528</v>
      </c>
    </row>
    <row r="8" customFormat="1" ht="20" customHeight="1" spans="1:16">
      <c r="A8" s="34">
        <v>5</v>
      </c>
      <c r="B8" s="63" t="s">
        <v>58</v>
      </c>
      <c r="C8" s="36">
        <f>IF($B8="","",SUMIFS(数据录入!$G$5:$G$4999,数据录入!$J$5:$J$4999,$B8,数据录入!$K$5:$K$4999,C$3))</f>
        <v>0</v>
      </c>
      <c r="D8" s="36">
        <f>IF($B8="","",SUMIFS(数据录入!$G$5:$G$4999,数据录入!$J$5:$J$4999,$B8,数据录入!$K$5:$K$4999,D$3))</f>
        <v>0</v>
      </c>
      <c r="E8" s="36">
        <f>IF($B8="","",SUMIFS(数据录入!$G$5:$G$4999,数据录入!$J$5:$J$4999,$B8,数据录入!$K$5:$K$4999,E$3))</f>
        <v>0</v>
      </c>
      <c r="F8" s="36">
        <f>IF($B8="","",SUMIFS(数据录入!$G$5:$G$4999,数据录入!$J$5:$J$4999,$B8,数据录入!$K$5:$K$4999,F$3))</f>
        <v>0</v>
      </c>
      <c r="G8" s="36">
        <f>IF($B8="","",SUMIFS(数据录入!$G$5:$G$4999,数据录入!$J$5:$J$4999,$B8,数据录入!$K$5:$K$4999,G$3))</f>
        <v>0</v>
      </c>
      <c r="H8" s="36">
        <f>IF($B8="","",SUMIFS(数据录入!$G$5:$G$4999,数据录入!$J$5:$J$4999,$B8,数据录入!$K$5:$K$4999,H$3))</f>
        <v>0</v>
      </c>
      <c r="I8" s="36">
        <f>IF($B8="","",SUMIFS(数据录入!$G$5:$G$4999,数据录入!$J$5:$J$4999,$B8,数据录入!$K$5:$K$4999,I$3))</f>
        <v>0</v>
      </c>
      <c r="J8" s="36">
        <f>IF($B8="","",SUMIFS(数据录入!$G$5:$G$4999,数据录入!$J$5:$J$4999,$B8,数据录入!$K$5:$K$4999,J$3))</f>
        <v>10500</v>
      </c>
      <c r="K8" s="36">
        <f>IF($B8="","",SUMIFS(数据录入!$G$5:$G$4999,数据录入!$J$5:$J$4999,$B8,数据录入!$K$5:$K$4999,K$3))</f>
        <v>0</v>
      </c>
      <c r="L8" s="36">
        <f>IF($B8="","",SUMIFS(数据录入!$G$5:$G$4999,数据录入!$J$5:$J$4999,$B8,数据录入!$K$5:$K$4999,L$3))</f>
        <v>0</v>
      </c>
      <c r="M8" s="36">
        <f>IF($B8="","",SUMIFS(数据录入!$G$5:$G$4999,数据录入!$J$5:$J$4999,$B8,数据录入!$K$5:$K$4999,M$3))</f>
        <v>0</v>
      </c>
      <c r="N8" s="36">
        <f>IF($B8="","",SUMIFS(数据录入!$G$5:$G$4999,数据录入!$J$5:$J$4999,$B8,数据录入!$K$5:$K$4999,N$3))</f>
        <v>0</v>
      </c>
      <c r="O8" s="36">
        <f t="shared" si="1"/>
        <v>10500</v>
      </c>
      <c r="P8" s="37">
        <f t="shared" si="2"/>
        <v>0.0163735834218871</v>
      </c>
    </row>
    <row r="9" customFormat="1" ht="20" customHeight="1" spans="1:16">
      <c r="A9" s="34">
        <v>6</v>
      </c>
      <c r="B9" s="63" t="s">
        <v>61</v>
      </c>
      <c r="C9" s="36">
        <f>IF($B9="","",SUMIFS(数据录入!$G$5:$G$4999,数据录入!$J$5:$J$4999,$B9,数据录入!$K$5:$K$4999,C$3))</f>
        <v>0</v>
      </c>
      <c r="D9" s="36">
        <f>IF($B9="","",SUMIFS(数据录入!$G$5:$G$4999,数据录入!$J$5:$J$4999,$B9,数据录入!$K$5:$K$4999,D$3))</f>
        <v>0</v>
      </c>
      <c r="E9" s="36">
        <f>IF($B9="","",SUMIFS(数据录入!$G$5:$G$4999,数据录入!$J$5:$J$4999,$B9,数据录入!$K$5:$K$4999,E$3))</f>
        <v>0</v>
      </c>
      <c r="F9" s="36">
        <f>IF($B9="","",SUMIFS(数据录入!$G$5:$G$4999,数据录入!$J$5:$J$4999,$B9,数据录入!$K$5:$K$4999,F$3))</f>
        <v>0</v>
      </c>
      <c r="G9" s="36">
        <f>IF($B9="","",SUMIFS(数据录入!$G$5:$G$4999,数据录入!$J$5:$J$4999,$B9,数据录入!$K$5:$K$4999,G$3))</f>
        <v>0</v>
      </c>
      <c r="H9" s="36">
        <f>IF($B9="","",SUMIFS(数据录入!$G$5:$G$4999,数据录入!$J$5:$J$4999,$B9,数据录入!$K$5:$K$4999,H$3))</f>
        <v>0</v>
      </c>
      <c r="I9" s="36">
        <f>IF($B9="","",SUMIFS(数据录入!$G$5:$G$4999,数据录入!$J$5:$J$4999,$B9,数据录入!$K$5:$K$4999,I$3))</f>
        <v>0</v>
      </c>
      <c r="J9" s="36">
        <f>IF($B9="","",SUMIFS(数据录入!$G$5:$G$4999,数据录入!$J$5:$J$4999,$B9,数据录入!$K$5:$K$4999,J$3))</f>
        <v>0</v>
      </c>
      <c r="K9" s="36">
        <f>IF($B9="","",SUMIFS(数据录入!$G$5:$G$4999,数据录入!$J$5:$J$4999,$B9,数据录入!$K$5:$K$4999,K$3))</f>
        <v>0</v>
      </c>
      <c r="L9" s="36">
        <f>IF($B9="","",SUMIFS(数据录入!$G$5:$G$4999,数据录入!$J$5:$J$4999,$B9,数据录入!$K$5:$K$4999,L$3))</f>
        <v>0</v>
      </c>
      <c r="M9" s="36">
        <f>IF($B9="","",SUMIFS(数据录入!$G$5:$G$4999,数据录入!$J$5:$J$4999,$B9,数据录入!$K$5:$K$4999,M$3))</f>
        <v>0</v>
      </c>
      <c r="N9" s="36">
        <f>IF($B9="","",SUMIFS(数据录入!$G$5:$G$4999,数据录入!$J$5:$J$4999,$B9,数据录入!$K$5:$K$4999,N$3))</f>
        <v>0</v>
      </c>
      <c r="O9" s="36">
        <f t="shared" si="1"/>
        <v>0</v>
      </c>
      <c r="P9" s="37">
        <f t="shared" si="2"/>
        <v>0</v>
      </c>
    </row>
    <row r="10" customFormat="1" ht="20" customHeight="1" spans="1:16">
      <c r="A10" s="34">
        <v>7</v>
      </c>
      <c r="B10" s="63" t="s">
        <v>64</v>
      </c>
      <c r="C10" s="36">
        <f>IF($B10="","",SUMIFS(数据录入!$G$5:$G$4999,数据录入!$J$5:$J$4999,$B10,数据录入!$K$5:$K$4999,C$3))</f>
        <v>0</v>
      </c>
      <c r="D10" s="36">
        <f>IF($B10="","",SUMIFS(数据录入!$G$5:$G$4999,数据录入!$J$5:$J$4999,$B10,数据录入!$K$5:$K$4999,D$3))</f>
        <v>0</v>
      </c>
      <c r="E10" s="36">
        <f>IF($B10="","",SUMIFS(数据录入!$G$5:$G$4999,数据录入!$J$5:$J$4999,$B10,数据录入!$K$5:$K$4999,E$3))</f>
        <v>0</v>
      </c>
      <c r="F10" s="36">
        <f>IF($B10="","",SUMIFS(数据录入!$G$5:$G$4999,数据录入!$J$5:$J$4999,$B10,数据录入!$K$5:$K$4999,F$3))</f>
        <v>0</v>
      </c>
      <c r="G10" s="36">
        <f>IF($B10="","",SUMIFS(数据录入!$G$5:$G$4999,数据录入!$J$5:$J$4999,$B10,数据录入!$K$5:$K$4999,G$3))</f>
        <v>0</v>
      </c>
      <c r="H10" s="36">
        <f>IF($B10="","",SUMIFS(数据录入!$G$5:$G$4999,数据录入!$J$5:$J$4999,$B10,数据录入!$K$5:$K$4999,H$3))</f>
        <v>0</v>
      </c>
      <c r="I10" s="36">
        <f>IF($B10="","",SUMIFS(数据录入!$G$5:$G$4999,数据录入!$J$5:$J$4999,$B10,数据录入!$K$5:$K$4999,I$3))</f>
        <v>0</v>
      </c>
      <c r="J10" s="36">
        <f>IF($B10="","",SUMIFS(数据录入!$G$5:$G$4999,数据录入!$J$5:$J$4999,$B10,数据录入!$K$5:$K$4999,J$3))</f>
        <v>0</v>
      </c>
      <c r="K10" s="36">
        <f>IF($B10="","",SUMIFS(数据录入!$G$5:$G$4999,数据录入!$J$5:$J$4999,$B10,数据录入!$K$5:$K$4999,K$3))</f>
        <v>0</v>
      </c>
      <c r="L10" s="36">
        <f>IF($B10="","",SUMIFS(数据录入!$G$5:$G$4999,数据录入!$J$5:$J$4999,$B10,数据录入!$K$5:$K$4999,L$3))</f>
        <v>0</v>
      </c>
      <c r="M10" s="36">
        <f>IF($B10="","",SUMIFS(数据录入!$G$5:$G$4999,数据录入!$J$5:$J$4999,$B10,数据录入!$K$5:$K$4999,M$3))</f>
        <v>0</v>
      </c>
      <c r="N10" s="36">
        <f>IF($B10="","",SUMIFS(数据录入!$G$5:$G$4999,数据录入!$J$5:$J$4999,$B10,数据录入!$K$5:$K$4999,N$3))</f>
        <v>0</v>
      </c>
      <c r="O10" s="36">
        <f t="shared" si="1"/>
        <v>0</v>
      </c>
      <c r="P10" s="37">
        <f t="shared" si="2"/>
        <v>0</v>
      </c>
    </row>
    <row r="11" customFormat="1" ht="20" customHeight="1" spans="1:16">
      <c r="A11" s="34">
        <v>8</v>
      </c>
      <c r="B11" s="63" t="s">
        <v>67</v>
      </c>
      <c r="C11" s="36">
        <f>IF($B11="","",SUMIFS(数据录入!$G$5:$G$4999,数据录入!$J$5:$J$4999,$B11,数据录入!$K$5:$K$4999,C$3))</f>
        <v>0</v>
      </c>
      <c r="D11" s="36">
        <f>IF($B11="","",SUMIFS(数据录入!$G$5:$G$4999,数据录入!$J$5:$J$4999,$B11,数据录入!$K$5:$K$4999,D$3))</f>
        <v>0</v>
      </c>
      <c r="E11" s="36">
        <f>IF($B11="","",SUMIFS(数据录入!$G$5:$G$4999,数据录入!$J$5:$J$4999,$B11,数据录入!$K$5:$K$4999,E$3))</f>
        <v>0</v>
      </c>
      <c r="F11" s="36">
        <f>IF($B11="","",SUMIFS(数据录入!$G$5:$G$4999,数据录入!$J$5:$J$4999,$B11,数据录入!$K$5:$K$4999,F$3))</f>
        <v>0</v>
      </c>
      <c r="G11" s="36">
        <f>IF($B11="","",SUMIFS(数据录入!$G$5:$G$4999,数据录入!$J$5:$J$4999,$B11,数据录入!$K$5:$K$4999,G$3))</f>
        <v>0</v>
      </c>
      <c r="H11" s="36">
        <f>IF($B11="","",SUMIFS(数据录入!$G$5:$G$4999,数据录入!$J$5:$J$4999,$B11,数据录入!$K$5:$K$4999,H$3))</f>
        <v>0</v>
      </c>
      <c r="I11" s="36">
        <f>IF($B11="","",SUMIFS(数据录入!$G$5:$G$4999,数据录入!$J$5:$J$4999,$B11,数据录入!$K$5:$K$4999,I$3))</f>
        <v>0</v>
      </c>
      <c r="J11" s="36">
        <f>IF($B11="","",SUMIFS(数据录入!$G$5:$G$4999,数据录入!$J$5:$J$4999,$B11,数据录入!$K$5:$K$4999,J$3))</f>
        <v>0</v>
      </c>
      <c r="K11" s="36">
        <f>IF($B11="","",SUMIFS(数据录入!$G$5:$G$4999,数据录入!$J$5:$J$4999,$B11,数据录入!$K$5:$K$4999,K$3))</f>
        <v>0</v>
      </c>
      <c r="L11" s="36">
        <f>IF($B11="","",SUMIFS(数据录入!$G$5:$G$4999,数据录入!$J$5:$J$4999,$B11,数据录入!$K$5:$K$4999,L$3))</f>
        <v>0</v>
      </c>
      <c r="M11" s="36">
        <f>IF($B11="","",SUMIFS(数据录入!$G$5:$G$4999,数据录入!$J$5:$J$4999,$B11,数据录入!$K$5:$K$4999,M$3))</f>
        <v>0</v>
      </c>
      <c r="N11" s="36">
        <f>IF($B11="","",SUMIFS(数据录入!$G$5:$G$4999,数据录入!$J$5:$J$4999,$B11,数据录入!$K$5:$K$4999,N$3))</f>
        <v>0</v>
      </c>
      <c r="O11" s="36">
        <f t="shared" si="1"/>
        <v>0</v>
      </c>
      <c r="P11" s="37">
        <f t="shared" si="2"/>
        <v>0</v>
      </c>
    </row>
    <row r="12" customFormat="1" ht="20" customHeight="1" spans="1:16">
      <c r="A12" s="34">
        <v>9</v>
      </c>
      <c r="B12" s="63" t="s">
        <v>70</v>
      </c>
      <c r="C12" s="36">
        <f>IF($B12="","",SUMIFS(数据录入!$G$5:$G$4999,数据录入!$J$5:$J$4999,$B12,数据录入!$K$5:$K$4999,C$3))</f>
        <v>0</v>
      </c>
      <c r="D12" s="36">
        <f>IF($B12="","",SUMIFS(数据录入!$G$5:$G$4999,数据录入!$J$5:$J$4999,$B12,数据录入!$K$5:$K$4999,D$3))</f>
        <v>0</v>
      </c>
      <c r="E12" s="36">
        <f>IF($B12="","",SUMIFS(数据录入!$G$5:$G$4999,数据录入!$J$5:$J$4999,$B12,数据录入!$K$5:$K$4999,E$3))</f>
        <v>0</v>
      </c>
      <c r="F12" s="36">
        <f>IF($B12="","",SUMIFS(数据录入!$G$5:$G$4999,数据录入!$J$5:$J$4999,$B12,数据录入!$K$5:$K$4999,F$3))</f>
        <v>0</v>
      </c>
      <c r="G12" s="36">
        <f>IF($B12="","",SUMIFS(数据录入!$G$5:$G$4999,数据录入!$J$5:$J$4999,$B12,数据录入!$K$5:$K$4999,G$3))</f>
        <v>0</v>
      </c>
      <c r="H12" s="36">
        <f>IF($B12="","",SUMIFS(数据录入!$G$5:$G$4999,数据录入!$J$5:$J$4999,$B12,数据录入!$K$5:$K$4999,H$3))</f>
        <v>0</v>
      </c>
      <c r="I12" s="36">
        <f>IF($B12="","",SUMIFS(数据录入!$G$5:$G$4999,数据录入!$J$5:$J$4999,$B12,数据录入!$K$5:$K$4999,I$3))</f>
        <v>0</v>
      </c>
      <c r="J12" s="36">
        <f>IF($B12="","",SUMIFS(数据录入!$G$5:$G$4999,数据录入!$J$5:$J$4999,$B12,数据录入!$K$5:$K$4999,J$3))</f>
        <v>0</v>
      </c>
      <c r="K12" s="36">
        <f>IF($B12="","",SUMIFS(数据录入!$G$5:$G$4999,数据录入!$J$5:$J$4999,$B12,数据录入!$K$5:$K$4999,K$3))</f>
        <v>0</v>
      </c>
      <c r="L12" s="36">
        <f>IF($B12="","",SUMIFS(数据录入!$G$5:$G$4999,数据录入!$J$5:$J$4999,$B12,数据录入!$K$5:$K$4999,L$3))</f>
        <v>0</v>
      </c>
      <c r="M12" s="36">
        <f>IF($B12="","",SUMIFS(数据录入!$G$5:$G$4999,数据录入!$J$5:$J$4999,$B12,数据录入!$K$5:$K$4999,M$3))</f>
        <v>0</v>
      </c>
      <c r="N12" s="36">
        <f>IF($B12="","",SUMIFS(数据录入!$G$5:$G$4999,数据录入!$J$5:$J$4999,$B12,数据录入!$K$5:$K$4999,N$3))</f>
        <v>0</v>
      </c>
      <c r="O12" s="36">
        <f t="shared" si="1"/>
        <v>0</v>
      </c>
      <c r="P12" s="37">
        <f t="shared" si="2"/>
        <v>0</v>
      </c>
    </row>
    <row r="13" customFormat="1" ht="20" customHeight="1" spans="1:16">
      <c r="A13" s="34">
        <v>10</v>
      </c>
      <c r="B13" s="63" t="s">
        <v>73</v>
      </c>
      <c r="C13" s="36">
        <f>IF($B13="","",SUMIFS(数据录入!$G$5:$G$4999,数据录入!$J$5:$J$4999,$B13,数据录入!$K$5:$K$4999,C$3))</f>
        <v>0</v>
      </c>
      <c r="D13" s="36">
        <f>IF($B13="","",SUMIFS(数据录入!$G$5:$G$4999,数据录入!$J$5:$J$4999,$B13,数据录入!$K$5:$K$4999,D$3))</f>
        <v>0</v>
      </c>
      <c r="E13" s="36">
        <f>IF($B13="","",SUMIFS(数据录入!$G$5:$G$4999,数据录入!$J$5:$J$4999,$B13,数据录入!$K$5:$K$4999,E$3))</f>
        <v>0</v>
      </c>
      <c r="F13" s="36">
        <f>IF($B13="","",SUMIFS(数据录入!$G$5:$G$4999,数据录入!$J$5:$J$4999,$B13,数据录入!$K$5:$K$4999,F$3))</f>
        <v>0</v>
      </c>
      <c r="G13" s="36">
        <f>IF($B13="","",SUMIFS(数据录入!$G$5:$G$4999,数据录入!$J$5:$J$4999,$B13,数据录入!$K$5:$K$4999,G$3))</f>
        <v>0</v>
      </c>
      <c r="H13" s="36">
        <f>IF($B13="","",SUMIFS(数据录入!$G$5:$G$4999,数据录入!$J$5:$J$4999,$B13,数据录入!$K$5:$K$4999,H$3))</f>
        <v>0</v>
      </c>
      <c r="I13" s="36">
        <f>IF($B13="","",SUMIFS(数据录入!$G$5:$G$4999,数据录入!$J$5:$J$4999,$B13,数据录入!$K$5:$K$4999,I$3))</f>
        <v>0</v>
      </c>
      <c r="J13" s="36">
        <f>IF($B13="","",SUMIFS(数据录入!$G$5:$G$4999,数据录入!$J$5:$J$4999,$B13,数据录入!$K$5:$K$4999,J$3))</f>
        <v>0</v>
      </c>
      <c r="K13" s="36">
        <f>IF($B13="","",SUMIFS(数据录入!$G$5:$G$4999,数据录入!$J$5:$J$4999,$B13,数据录入!$K$5:$K$4999,K$3))</f>
        <v>0</v>
      </c>
      <c r="L13" s="36">
        <f>IF($B13="","",SUMIFS(数据录入!$G$5:$G$4999,数据录入!$J$5:$J$4999,$B13,数据录入!$K$5:$K$4999,L$3))</f>
        <v>0</v>
      </c>
      <c r="M13" s="36">
        <f>IF($B13="","",SUMIFS(数据录入!$G$5:$G$4999,数据录入!$J$5:$J$4999,$B13,数据录入!$K$5:$K$4999,M$3))</f>
        <v>0</v>
      </c>
      <c r="N13" s="36">
        <f>IF($B13="","",SUMIFS(数据录入!$G$5:$G$4999,数据录入!$J$5:$J$4999,$B13,数据录入!$K$5:$K$4999,N$3))</f>
        <v>0</v>
      </c>
      <c r="O13" s="36">
        <f t="shared" si="1"/>
        <v>0</v>
      </c>
      <c r="P13" s="37">
        <f t="shared" si="2"/>
        <v>0</v>
      </c>
    </row>
    <row r="14" customFormat="1" ht="20" customHeight="1" spans="1:16">
      <c r="A14" s="34">
        <v>11</v>
      </c>
      <c r="B14" s="63" t="s">
        <v>76</v>
      </c>
      <c r="C14" s="36">
        <f>IF($B14="","",SUMIFS(数据录入!$G$5:$G$4999,数据录入!$J$5:$J$4999,$B14,数据录入!$K$5:$K$4999,C$3))</f>
        <v>0</v>
      </c>
      <c r="D14" s="36">
        <f>IF($B14="","",SUMIFS(数据录入!$G$5:$G$4999,数据录入!$J$5:$J$4999,$B14,数据录入!$K$5:$K$4999,D$3))</f>
        <v>0</v>
      </c>
      <c r="E14" s="36">
        <f>IF($B14="","",SUMIFS(数据录入!$G$5:$G$4999,数据录入!$J$5:$J$4999,$B14,数据录入!$K$5:$K$4999,E$3))</f>
        <v>0</v>
      </c>
      <c r="F14" s="36">
        <f>IF($B14="","",SUMIFS(数据录入!$G$5:$G$4999,数据录入!$J$5:$J$4999,$B14,数据录入!$K$5:$K$4999,F$3))</f>
        <v>0</v>
      </c>
      <c r="G14" s="36">
        <f>IF($B14="","",SUMIFS(数据录入!$G$5:$G$4999,数据录入!$J$5:$J$4999,$B14,数据录入!$K$5:$K$4999,G$3))</f>
        <v>0</v>
      </c>
      <c r="H14" s="36">
        <f>IF($B14="","",SUMIFS(数据录入!$G$5:$G$4999,数据录入!$J$5:$J$4999,$B14,数据录入!$K$5:$K$4999,H$3))</f>
        <v>0</v>
      </c>
      <c r="I14" s="36">
        <f>IF($B14="","",SUMIFS(数据录入!$G$5:$G$4999,数据录入!$J$5:$J$4999,$B14,数据录入!$K$5:$K$4999,I$3))</f>
        <v>0</v>
      </c>
      <c r="J14" s="36">
        <f>IF($B14="","",SUMIFS(数据录入!$G$5:$G$4999,数据录入!$J$5:$J$4999,$B14,数据录入!$K$5:$K$4999,J$3))</f>
        <v>0</v>
      </c>
      <c r="K14" s="36">
        <f>IF($B14="","",SUMIFS(数据录入!$G$5:$G$4999,数据录入!$J$5:$J$4999,$B14,数据录入!$K$5:$K$4999,K$3))</f>
        <v>0</v>
      </c>
      <c r="L14" s="36">
        <f>IF($B14="","",SUMIFS(数据录入!$G$5:$G$4999,数据录入!$J$5:$J$4999,$B14,数据录入!$K$5:$K$4999,L$3))</f>
        <v>0</v>
      </c>
      <c r="M14" s="36">
        <f>IF($B14="","",SUMIFS(数据录入!$G$5:$G$4999,数据录入!$J$5:$J$4999,$B14,数据录入!$K$5:$K$4999,M$3))</f>
        <v>0</v>
      </c>
      <c r="N14" s="36">
        <f>IF($B14="","",SUMIFS(数据录入!$G$5:$G$4999,数据录入!$J$5:$J$4999,$B14,数据录入!$K$5:$K$4999,N$3))</f>
        <v>0</v>
      </c>
      <c r="O14" s="36">
        <f t="shared" si="1"/>
        <v>0</v>
      </c>
      <c r="P14" s="37">
        <f t="shared" si="2"/>
        <v>0</v>
      </c>
    </row>
    <row r="15" customFormat="1" ht="20" customHeight="1" spans="1:16">
      <c r="A15" s="34">
        <v>12</v>
      </c>
      <c r="B15" s="63" t="s">
        <v>79</v>
      </c>
      <c r="C15" s="36">
        <f>IF($B15="","",SUMIFS(数据录入!$G$5:$G$4999,数据录入!$J$5:$J$4999,$B15,数据录入!$K$5:$K$4999,C$3))</f>
        <v>0</v>
      </c>
      <c r="D15" s="36">
        <f>IF($B15="","",SUMIFS(数据录入!$G$5:$G$4999,数据录入!$J$5:$J$4999,$B15,数据录入!$K$5:$K$4999,D$3))</f>
        <v>0</v>
      </c>
      <c r="E15" s="36">
        <f>IF($B15="","",SUMIFS(数据录入!$G$5:$G$4999,数据录入!$J$5:$J$4999,$B15,数据录入!$K$5:$K$4999,E$3))</f>
        <v>0</v>
      </c>
      <c r="F15" s="36">
        <f>IF($B15="","",SUMIFS(数据录入!$G$5:$G$4999,数据录入!$J$5:$J$4999,$B15,数据录入!$K$5:$K$4999,F$3))</f>
        <v>0</v>
      </c>
      <c r="G15" s="36">
        <f>IF($B15="","",SUMIFS(数据录入!$G$5:$G$4999,数据录入!$J$5:$J$4999,$B15,数据录入!$K$5:$K$4999,G$3))</f>
        <v>0</v>
      </c>
      <c r="H15" s="36">
        <f>IF($B15="","",SUMIFS(数据录入!$G$5:$G$4999,数据录入!$J$5:$J$4999,$B15,数据录入!$K$5:$K$4999,H$3))</f>
        <v>0</v>
      </c>
      <c r="I15" s="36">
        <f>IF($B15="","",SUMIFS(数据录入!$G$5:$G$4999,数据录入!$J$5:$J$4999,$B15,数据录入!$K$5:$K$4999,I$3))</f>
        <v>0</v>
      </c>
      <c r="J15" s="36">
        <f>IF($B15="","",SUMIFS(数据录入!$G$5:$G$4999,数据录入!$J$5:$J$4999,$B15,数据录入!$K$5:$K$4999,J$3))</f>
        <v>0</v>
      </c>
      <c r="K15" s="36">
        <f>IF($B15="","",SUMIFS(数据录入!$G$5:$G$4999,数据录入!$J$5:$J$4999,$B15,数据录入!$K$5:$K$4999,K$3))</f>
        <v>0</v>
      </c>
      <c r="L15" s="36">
        <f>IF($B15="","",SUMIFS(数据录入!$G$5:$G$4999,数据录入!$J$5:$J$4999,$B15,数据录入!$K$5:$K$4999,L$3))</f>
        <v>0</v>
      </c>
      <c r="M15" s="36">
        <f>IF($B15="","",SUMIFS(数据录入!$G$5:$G$4999,数据录入!$J$5:$J$4999,$B15,数据录入!$K$5:$K$4999,M$3))</f>
        <v>0</v>
      </c>
      <c r="N15" s="36">
        <f>IF($B15="","",SUMIFS(数据录入!$G$5:$G$4999,数据录入!$J$5:$J$4999,$B15,数据录入!$K$5:$K$4999,N$3))</f>
        <v>0</v>
      </c>
      <c r="O15" s="36">
        <f t="shared" si="1"/>
        <v>0</v>
      </c>
      <c r="P15" s="37">
        <f t="shared" si="2"/>
        <v>0</v>
      </c>
    </row>
    <row r="16" customFormat="1" ht="20" customHeight="1" spans="1:16">
      <c r="A16" s="34">
        <v>13</v>
      </c>
      <c r="B16" s="63" t="s">
        <v>82</v>
      </c>
      <c r="C16" s="36">
        <f>IF($B16="","",SUMIFS(数据录入!$G$5:$G$4999,数据录入!$J$5:$J$4999,$B16,数据录入!$K$5:$K$4999,C$3))</f>
        <v>0</v>
      </c>
      <c r="D16" s="36">
        <f>IF($B16="","",SUMIFS(数据录入!$G$5:$G$4999,数据录入!$J$5:$J$4999,$B16,数据录入!$K$5:$K$4999,D$3))</f>
        <v>0</v>
      </c>
      <c r="E16" s="36">
        <f>IF($B16="","",SUMIFS(数据录入!$G$5:$G$4999,数据录入!$J$5:$J$4999,$B16,数据录入!$K$5:$K$4999,E$3))</f>
        <v>0</v>
      </c>
      <c r="F16" s="36">
        <f>IF($B16="","",SUMIFS(数据录入!$G$5:$G$4999,数据录入!$J$5:$J$4999,$B16,数据录入!$K$5:$K$4999,F$3))</f>
        <v>0</v>
      </c>
      <c r="G16" s="36">
        <f>IF($B16="","",SUMIFS(数据录入!$G$5:$G$4999,数据录入!$J$5:$J$4999,$B16,数据录入!$K$5:$K$4999,G$3))</f>
        <v>0</v>
      </c>
      <c r="H16" s="36">
        <f>IF($B16="","",SUMIFS(数据录入!$G$5:$G$4999,数据录入!$J$5:$J$4999,$B16,数据录入!$K$5:$K$4999,H$3))</f>
        <v>0</v>
      </c>
      <c r="I16" s="36">
        <f>IF($B16="","",SUMIFS(数据录入!$G$5:$G$4999,数据录入!$J$5:$J$4999,$B16,数据录入!$K$5:$K$4999,I$3))</f>
        <v>0</v>
      </c>
      <c r="J16" s="36">
        <f>IF($B16="","",SUMIFS(数据录入!$G$5:$G$4999,数据录入!$J$5:$J$4999,$B16,数据录入!$K$5:$K$4999,J$3))</f>
        <v>0</v>
      </c>
      <c r="K16" s="36">
        <f>IF($B16="","",SUMIFS(数据录入!$G$5:$G$4999,数据录入!$J$5:$J$4999,$B16,数据录入!$K$5:$K$4999,K$3))</f>
        <v>0</v>
      </c>
      <c r="L16" s="36">
        <f>IF($B16="","",SUMIFS(数据录入!$G$5:$G$4999,数据录入!$J$5:$J$4999,$B16,数据录入!$K$5:$K$4999,L$3))</f>
        <v>0</v>
      </c>
      <c r="M16" s="36">
        <f>IF($B16="","",SUMIFS(数据录入!$G$5:$G$4999,数据录入!$J$5:$J$4999,$B16,数据录入!$K$5:$K$4999,M$3))</f>
        <v>0</v>
      </c>
      <c r="N16" s="36">
        <f>IF($B16="","",SUMIFS(数据录入!$G$5:$G$4999,数据录入!$J$5:$J$4999,$B16,数据录入!$K$5:$K$4999,N$3))</f>
        <v>0</v>
      </c>
      <c r="O16" s="36">
        <f t="shared" si="1"/>
        <v>0</v>
      </c>
      <c r="P16" s="37">
        <f t="shared" si="2"/>
        <v>0</v>
      </c>
    </row>
    <row r="17" customFormat="1" ht="20" customHeight="1" spans="1:16">
      <c r="A17" s="34">
        <v>14</v>
      </c>
      <c r="B17" s="34"/>
      <c r="C17" s="36" t="str">
        <f>IF($B17="","",SUMIFS(数据录入!$G$5:$G$4999,数据录入!$J$5:$J$4999,$B17,数据录入!$K$5:$K$4999,C$3))</f>
        <v/>
      </c>
      <c r="D17" s="36" t="str">
        <f>IF($B17="","",SUMIFS(数据录入!$G$5:$G$4999,数据录入!$J$5:$J$4999,$B17,数据录入!$K$5:$K$4999,D$3))</f>
        <v/>
      </c>
      <c r="E17" s="36" t="str">
        <f>IF($B17="","",SUMIFS(数据录入!$G$5:$G$4999,数据录入!$J$5:$J$4999,$B17,数据录入!$K$5:$K$4999,E$3))</f>
        <v/>
      </c>
      <c r="F17" s="36" t="str">
        <f>IF($B17="","",SUMIFS(数据录入!$G$5:$G$4999,数据录入!$J$5:$J$4999,$B17,数据录入!$K$5:$K$4999,F$3))</f>
        <v/>
      </c>
      <c r="G17" s="36" t="str">
        <f>IF($B17="","",SUMIFS(数据录入!$G$5:$G$4999,数据录入!$J$5:$J$4999,$B17,数据录入!$K$5:$K$4999,G$3))</f>
        <v/>
      </c>
      <c r="H17" s="36" t="str">
        <f>IF($B17="","",SUMIFS(数据录入!$G$5:$G$4999,数据录入!$J$5:$J$4999,$B17,数据录入!$K$5:$K$4999,H$3))</f>
        <v/>
      </c>
      <c r="I17" s="36" t="str">
        <f>IF($B17="","",SUMIFS(数据录入!$G$5:$G$4999,数据录入!$J$5:$J$4999,$B17,数据录入!$K$5:$K$4999,I$3))</f>
        <v/>
      </c>
      <c r="J17" s="36" t="str">
        <f>IF($B17="","",SUMIFS(数据录入!$G$5:$G$4999,数据录入!$J$5:$J$4999,$B17,数据录入!$K$5:$K$4999,J$3))</f>
        <v/>
      </c>
      <c r="K17" s="36" t="str">
        <f>IF($B17="","",SUMIFS(数据录入!$G$5:$G$4999,数据录入!$J$5:$J$4999,$B17,数据录入!$K$5:$K$4999,K$3))</f>
        <v/>
      </c>
      <c r="L17" s="36" t="str">
        <f>IF($B17="","",SUMIFS(数据录入!$G$5:$G$4999,数据录入!$J$5:$J$4999,$B17,数据录入!$K$5:$K$4999,L$3))</f>
        <v/>
      </c>
      <c r="M17" s="36" t="str">
        <f>IF($B17="","",SUMIFS(数据录入!$G$5:$G$4999,数据录入!$J$5:$J$4999,$B17,数据录入!$K$5:$K$4999,M$3))</f>
        <v/>
      </c>
      <c r="N17" s="36" t="str">
        <f>IF($B17="","",SUMIFS(数据录入!$G$5:$G$4999,数据录入!$J$5:$J$4999,$B17,数据录入!$K$5:$K$4999,N$3))</f>
        <v/>
      </c>
      <c r="O17" s="36">
        <f t="shared" si="1"/>
        <v>0</v>
      </c>
      <c r="P17" s="37">
        <f t="shared" si="2"/>
        <v>0</v>
      </c>
    </row>
    <row r="18" customFormat="1" ht="20" customHeight="1" spans="1:16">
      <c r="A18" s="34">
        <v>15</v>
      </c>
      <c r="B18" s="34"/>
      <c r="C18" s="36" t="str">
        <f>IF($B18="","",SUMIFS(数据录入!$G$5:$G$4999,数据录入!$J$5:$J$4999,$B18,数据录入!$K$5:$K$4999,C$3))</f>
        <v/>
      </c>
      <c r="D18" s="36" t="str">
        <f>IF($B18="","",SUMIFS(数据录入!$G$5:$G$4999,数据录入!$J$5:$J$4999,$B18,数据录入!$K$5:$K$4999,D$3))</f>
        <v/>
      </c>
      <c r="E18" s="36" t="str">
        <f>IF($B18="","",SUMIFS(数据录入!$G$5:$G$4999,数据录入!$J$5:$J$4999,$B18,数据录入!$K$5:$K$4999,E$3))</f>
        <v/>
      </c>
      <c r="F18" s="36" t="str">
        <f>IF($B18="","",SUMIFS(数据录入!$G$5:$G$4999,数据录入!$J$5:$J$4999,$B18,数据录入!$K$5:$K$4999,F$3))</f>
        <v/>
      </c>
      <c r="G18" s="36" t="str">
        <f>IF($B18="","",SUMIFS(数据录入!$G$5:$G$4999,数据录入!$J$5:$J$4999,$B18,数据录入!$K$5:$K$4999,G$3))</f>
        <v/>
      </c>
      <c r="H18" s="36" t="str">
        <f>IF($B18="","",SUMIFS(数据录入!$G$5:$G$4999,数据录入!$J$5:$J$4999,$B18,数据录入!$K$5:$K$4999,H$3))</f>
        <v/>
      </c>
      <c r="I18" s="36" t="str">
        <f>IF($B18="","",SUMIFS(数据录入!$G$5:$G$4999,数据录入!$J$5:$J$4999,$B18,数据录入!$K$5:$K$4999,I$3))</f>
        <v/>
      </c>
      <c r="J18" s="36" t="str">
        <f>IF($B18="","",SUMIFS(数据录入!$G$5:$G$4999,数据录入!$J$5:$J$4999,$B18,数据录入!$K$5:$K$4999,J$3))</f>
        <v/>
      </c>
      <c r="K18" s="36" t="str">
        <f>IF($B18="","",SUMIFS(数据录入!$G$5:$G$4999,数据录入!$J$5:$J$4999,$B18,数据录入!$K$5:$K$4999,K$3))</f>
        <v/>
      </c>
      <c r="L18" s="36" t="str">
        <f>IF($B18="","",SUMIFS(数据录入!$G$5:$G$4999,数据录入!$J$5:$J$4999,$B18,数据录入!$K$5:$K$4999,L$3))</f>
        <v/>
      </c>
      <c r="M18" s="36" t="str">
        <f>IF($B18="","",SUMIFS(数据录入!$G$5:$G$4999,数据录入!$J$5:$J$4999,$B18,数据录入!$K$5:$K$4999,M$3))</f>
        <v/>
      </c>
      <c r="N18" s="36" t="str">
        <f>IF($B18="","",SUMIFS(数据录入!$G$5:$G$4999,数据录入!$J$5:$J$4999,$B18,数据录入!$K$5:$K$4999,N$3))</f>
        <v/>
      </c>
      <c r="O18" s="36">
        <f t="shared" si="1"/>
        <v>0</v>
      </c>
      <c r="P18" s="37">
        <f t="shared" si="2"/>
        <v>0</v>
      </c>
    </row>
    <row r="19" customFormat="1" ht="20" customHeight="1" spans="1:16">
      <c r="A19" s="34">
        <v>16</v>
      </c>
      <c r="B19" s="34"/>
      <c r="C19" s="36" t="str">
        <f>IF($B19="","",SUMIFS(数据录入!$G$5:$G$4999,数据录入!$J$5:$J$4999,$B19,数据录入!$K$5:$K$4999,C$3))</f>
        <v/>
      </c>
      <c r="D19" s="36" t="str">
        <f>IF($B19="","",SUMIFS(数据录入!$G$5:$G$4999,数据录入!$J$5:$J$4999,$B19,数据录入!$K$5:$K$4999,D$3))</f>
        <v/>
      </c>
      <c r="E19" s="36" t="str">
        <f>IF($B19="","",SUMIFS(数据录入!$G$5:$G$4999,数据录入!$J$5:$J$4999,$B19,数据录入!$K$5:$K$4999,E$3))</f>
        <v/>
      </c>
      <c r="F19" s="36" t="str">
        <f>IF($B19="","",SUMIFS(数据录入!$G$5:$G$4999,数据录入!$J$5:$J$4999,$B19,数据录入!$K$5:$K$4999,F$3))</f>
        <v/>
      </c>
      <c r="G19" s="36" t="str">
        <f>IF($B19="","",SUMIFS(数据录入!$G$5:$G$4999,数据录入!$J$5:$J$4999,$B19,数据录入!$K$5:$K$4999,G$3))</f>
        <v/>
      </c>
      <c r="H19" s="36" t="str">
        <f>IF($B19="","",SUMIFS(数据录入!$G$5:$G$4999,数据录入!$J$5:$J$4999,$B19,数据录入!$K$5:$K$4999,H$3))</f>
        <v/>
      </c>
      <c r="I19" s="36" t="str">
        <f>IF($B19="","",SUMIFS(数据录入!$G$5:$G$4999,数据录入!$J$5:$J$4999,$B19,数据录入!$K$5:$K$4999,I$3))</f>
        <v/>
      </c>
      <c r="J19" s="36" t="str">
        <f>IF($B19="","",SUMIFS(数据录入!$G$5:$G$4999,数据录入!$J$5:$J$4999,$B19,数据录入!$K$5:$K$4999,J$3))</f>
        <v/>
      </c>
      <c r="K19" s="36" t="str">
        <f>IF($B19="","",SUMIFS(数据录入!$G$5:$G$4999,数据录入!$J$5:$J$4999,$B19,数据录入!$K$5:$K$4999,K$3))</f>
        <v/>
      </c>
      <c r="L19" s="36" t="str">
        <f>IF($B19="","",SUMIFS(数据录入!$G$5:$G$4999,数据录入!$J$5:$J$4999,$B19,数据录入!$K$5:$K$4999,L$3))</f>
        <v/>
      </c>
      <c r="M19" s="36" t="str">
        <f>IF($B19="","",SUMIFS(数据录入!$G$5:$G$4999,数据录入!$J$5:$J$4999,$B19,数据录入!$K$5:$K$4999,M$3))</f>
        <v/>
      </c>
      <c r="N19" s="36" t="str">
        <f>IF($B19="","",SUMIFS(数据录入!$G$5:$G$4999,数据录入!$J$5:$J$4999,$B19,数据录入!$K$5:$K$4999,N$3))</f>
        <v/>
      </c>
      <c r="O19" s="36">
        <f t="shared" si="1"/>
        <v>0</v>
      </c>
      <c r="P19" s="37">
        <f t="shared" si="2"/>
        <v>0</v>
      </c>
    </row>
    <row r="20" customFormat="1" ht="28" customHeight="1" spans="1:16">
      <c r="A20" s="34">
        <v>17</v>
      </c>
      <c r="B20" s="34"/>
      <c r="C20" s="36" t="str">
        <f>IF($B20="","",SUMIFS(数据录入!$G$5:$G$4999,数据录入!$J$5:$J$4999,$B20,数据录入!$K$5:$K$4999,C$3))</f>
        <v/>
      </c>
      <c r="D20" s="36" t="str">
        <f>IF($B20="","",SUMIFS(数据录入!$G$5:$G$4999,数据录入!$J$5:$J$4999,$B20,数据录入!$K$5:$K$4999,D$3))</f>
        <v/>
      </c>
      <c r="E20" s="36" t="str">
        <f>IF($B20="","",SUMIFS(数据录入!$G$5:$G$4999,数据录入!$J$5:$J$4999,$B20,数据录入!$K$5:$K$4999,E$3))</f>
        <v/>
      </c>
      <c r="F20" s="36" t="str">
        <f>IF($B20="","",SUMIFS(数据录入!$G$5:$G$4999,数据录入!$J$5:$J$4999,$B20,数据录入!$K$5:$K$4999,F$3))</f>
        <v/>
      </c>
      <c r="G20" s="36" t="str">
        <f>IF($B20="","",SUMIFS(数据录入!$G$5:$G$4999,数据录入!$J$5:$J$4999,$B20,数据录入!$K$5:$K$4999,G$3))</f>
        <v/>
      </c>
      <c r="H20" s="36" t="str">
        <f>IF($B20="","",SUMIFS(数据录入!$G$5:$G$4999,数据录入!$J$5:$J$4999,$B20,数据录入!$K$5:$K$4999,H$3))</f>
        <v/>
      </c>
      <c r="I20" s="36" t="str">
        <f>IF($B20="","",SUMIFS(数据录入!$G$5:$G$4999,数据录入!$J$5:$J$4999,$B20,数据录入!$K$5:$K$4999,I$3))</f>
        <v/>
      </c>
      <c r="J20" s="36" t="str">
        <f>IF($B20="","",SUMIFS(数据录入!$G$5:$G$4999,数据录入!$J$5:$J$4999,$B20,数据录入!$K$5:$K$4999,J$3))</f>
        <v/>
      </c>
      <c r="K20" s="36" t="str">
        <f>IF($B20="","",SUMIFS(数据录入!$G$5:$G$4999,数据录入!$J$5:$J$4999,$B20,数据录入!$K$5:$K$4999,K$3))</f>
        <v/>
      </c>
      <c r="L20" s="36" t="str">
        <f>IF($B20="","",SUMIFS(数据录入!$G$5:$G$4999,数据录入!$J$5:$J$4999,$B20,数据录入!$K$5:$K$4999,L$3))</f>
        <v/>
      </c>
      <c r="M20" s="36" t="str">
        <f>IF($B20="","",SUMIFS(数据录入!$G$5:$G$4999,数据录入!$J$5:$J$4999,$B20,数据录入!$K$5:$K$4999,M$3))</f>
        <v/>
      </c>
      <c r="N20" s="36" t="str">
        <f>IF($B20="","",SUMIFS(数据录入!$G$5:$G$4999,数据录入!$J$5:$J$4999,$B20,数据录入!$K$5:$K$4999,N$3))</f>
        <v/>
      </c>
      <c r="O20" s="36">
        <f t="shared" si="1"/>
        <v>0</v>
      </c>
      <c r="P20" s="37">
        <f t="shared" si="2"/>
        <v>0</v>
      </c>
    </row>
    <row r="21" customFormat="1" ht="20" customHeight="1" spans="1:16">
      <c r="A21" s="34">
        <v>18</v>
      </c>
      <c r="B21" s="34"/>
      <c r="C21" s="36" t="str">
        <f>IF($B21="","",SUMIFS(数据录入!$G$5:$G$4999,数据录入!$J$5:$J$4999,$B21,数据录入!$K$5:$K$4999,C$3))</f>
        <v/>
      </c>
      <c r="D21" s="36" t="str">
        <f>IF($B21="","",SUMIFS(数据录入!$G$5:$G$4999,数据录入!$J$5:$J$4999,$B21,数据录入!$K$5:$K$4999,D$3))</f>
        <v/>
      </c>
      <c r="E21" s="36" t="str">
        <f>IF($B21="","",SUMIFS(数据录入!$G$5:$G$4999,数据录入!$J$5:$J$4999,$B21,数据录入!$K$5:$K$4999,E$3))</f>
        <v/>
      </c>
      <c r="F21" s="36" t="str">
        <f>IF($B21="","",SUMIFS(数据录入!$G$5:$G$4999,数据录入!$J$5:$J$4999,$B21,数据录入!$K$5:$K$4999,F$3))</f>
        <v/>
      </c>
      <c r="G21" s="36" t="str">
        <f>IF($B21="","",SUMIFS(数据录入!$G$5:$G$4999,数据录入!$J$5:$J$4999,$B21,数据录入!$K$5:$K$4999,G$3))</f>
        <v/>
      </c>
      <c r="H21" s="36" t="str">
        <f>IF($B21="","",SUMIFS(数据录入!$G$5:$G$4999,数据录入!$J$5:$J$4999,$B21,数据录入!$K$5:$K$4999,H$3))</f>
        <v/>
      </c>
      <c r="I21" s="36" t="str">
        <f>IF($B21="","",SUMIFS(数据录入!$G$5:$G$4999,数据录入!$J$5:$J$4999,$B21,数据录入!$K$5:$K$4999,I$3))</f>
        <v/>
      </c>
      <c r="J21" s="36" t="str">
        <f>IF($B21="","",SUMIFS(数据录入!$G$5:$G$4999,数据录入!$J$5:$J$4999,$B21,数据录入!$K$5:$K$4999,J$3))</f>
        <v/>
      </c>
      <c r="K21" s="36" t="str">
        <f>IF($B21="","",SUMIFS(数据录入!$G$5:$G$4999,数据录入!$J$5:$J$4999,$B21,数据录入!$K$5:$K$4999,K$3))</f>
        <v/>
      </c>
      <c r="L21" s="36" t="str">
        <f>IF($B21="","",SUMIFS(数据录入!$G$5:$G$4999,数据录入!$J$5:$J$4999,$B21,数据录入!$K$5:$K$4999,L$3))</f>
        <v/>
      </c>
      <c r="M21" s="36" t="str">
        <f>IF($B21="","",SUMIFS(数据录入!$G$5:$G$4999,数据录入!$J$5:$J$4999,$B21,数据录入!$K$5:$K$4999,M$3))</f>
        <v/>
      </c>
      <c r="N21" s="36" t="str">
        <f>IF($B21="","",SUMIFS(数据录入!$G$5:$G$4999,数据录入!$J$5:$J$4999,$B21,数据录入!$K$5:$K$4999,N$3))</f>
        <v/>
      </c>
      <c r="O21" s="36">
        <f t="shared" si="1"/>
        <v>0</v>
      </c>
      <c r="P21" s="37">
        <f t="shared" si="2"/>
        <v>0</v>
      </c>
    </row>
    <row r="22" customFormat="1" ht="20" customHeight="1" spans="1:16">
      <c r="A22" s="34">
        <v>19</v>
      </c>
      <c r="B22" s="34"/>
      <c r="C22" s="36" t="str">
        <f>IF($B22="","",SUMIFS(数据录入!$G$5:$G$4999,数据录入!$J$5:$J$4999,$B22,数据录入!$K$5:$K$4999,C$3))</f>
        <v/>
      </c>
      <c r="D22" s="36" t="str">
        <f>IF($B22="","",SUMIFS(数据录入!$G$5:$G$4999,数据录入!$J$5:$J$4999,$B22,数据录入!$K$5:$K$4999,D$3))</f>
        <v/>
      </c>
      <c r="E22" s="36" t="str">
        <f>IF($B22="","",SUMIFS(数据录入!$G$5:$G$4999,数据录入!$J$5:$J$4999,$B22,数据录入!$K$5:$K$4999,E$3))</f>
        <v/>
      </c>
      <c r="F22" s="36" t="str">
        <f>IF($B22="","",SUMIFS(数据录入!$G$5:$G$4999,数据录入!$J$5:$J$4999,$B22,数据录入!$K$5:$K$4999,F$3))</f>
        <v/>
      </c>
      <c r="G22" s="36" t="str">
        <f>IF($B22="","",SUMIFS(数据录入!$G$5:$G$4999,数据录入!$J$5:$J$4999,$B22,数据录入!$K$5:$K$4999,G$3))</f>
        <v/>
      </c>
      <c r="H22" s="36" t="str">
        <f>IF($B22="","",SUMIFS(数据录入!$G$5:$G$4999,数据录入!$J$5:$J$4999,$B22,数据录入!$K$5:$K$4999,H$3))</f>
        <v/>
      </c>
      <c r="I22" s="36" t="str">
        <f>IF($B22="","",SUMIFS(数据录入!$G$5:$G$4999,数据录入!$J$5:$J$4999,$B22,数据录入!$K$5:$K$4999,I$3))</f>
        <v/>
      </c>
      <c r="J22" s="36" t="str">
        <f>IF($B22="","",SUMIFS(数据录入!$G$5:$G$4999,数据录入!$J$5:$J$4999,$B22,数据录入!$K$5:$K$4999,J$3))</f>
        <v/>
      </c>
      <c r="K22" s="36" t="str">
        <f>IF($B22="","",SUMIFS(数据录入!$G$5:$G$4999,数据录入!$J$5:$J$4999,$B22,数据录入!$K$5:$K$4999,K$3))</f>
        <v/>
      </c>
      <c r="L22" s="36" t="str">
        <f>IF($B22="","",SUMIFS(数据录入!$G$5:$G$4999,数据录入!$J$5:$J$4999,$B22,数据录入!$K$5:$K$4999,L$3))</f>
        <v/>
      </c>
      <c r="M22" s="36" t="str">
        <f>IF($B22="","",SUMIFS(数据录入!$G$5:$G$4999,数据录入!$J$5:$J$4999,$B22,数据录入!$K$5:$K$4999,M$3))</f>
        <v/>
      </c>
      <c r="N22" s="36" t="str">
        <f>IF($B22="","",SUMIFS(数据录入!$G$5:$G$4999,数据录入!$J$5:$J$4999,$B22,数据录入!$K$5:$K$4999,N$3))</f>
        <v/>
      </c>
      <c r="O22" s="36">
        <f t="shared" si="1"/>
        <v>0</v>
      </c>
      <c r="P22" s="37">
        <f t="shared" si="2"/>
        <v>0</v>
      </c>
    </row>
    <row r="23" customFormat="1" ht="20" customHeight="1" spans="1:16">
      <c r="A23" s="34">
        <v>20</v>
      </c>
      <c r="B23" s="34"/>
      <c r="C23" s="36" t="str">
        <f>IF($B23="","",SUMIFS(数据录入!$G$5:$G$4999,数据录入!$J$5:$J$4999,$B23,数据录入!$K$5:$K$4999,C$3))</f>
        <v/>
      </c>
      <c r="D23" s="36" t="str">
        <f>IF($B23="","",SUMIFS(数据录入!$G$5:$G$4999,数据录入!$J$5:$J$4999,$B23,数据录入!$K$5:$K$4999,D$3))</f>
        <v/>
      </c>
      <c r="E23" s="36" t="str">
        <f>IF($B23="","",SUMIFS(数据录入!$G$5:$G$4999,数据录入!$J$5:$J$4999,$B23,数据录入!$K$5:$K$4999,E$3))</f>
        <v/>
      </c>
      <c r="F23" s="36" t="str">
        <f>IF($B23="","",SUMIFS(数据录入!$G$5:$G$4999,数据录入!$J$5:$J$4999,$B23,数据录入!$K$5:$K$4999,F$3))</f>
        <v/>
      </c>
      <c r="G23" s="36" t="str">
        <f>IF($B23="","",SUMIFS(数据录入!$G$5:$G$4999,数据录入!$J$5:$J$4999,$B23,数据录入!$K$5:$K$4999,G$3))</f>
        <v/>
      </c>
      <c r="H23" s="36" t="str">
        <f>IF($B23="","",SUMIFS(数据录入!$G$5:$G$4999,数据录入!$J$5:$J$4999,$B23,数据录入!$K$5:$K$4999,H$3))</f>
        <v/>
      </c>
      <c r="I23" s="36" t="str">
        <f>IF($B23="","",SUMIFS(数据录入!$G$5:$G$4999,数据录入!$J$5:$J$4999,$B23,数据录入!$K$5:$K$4999,I$3))</f>
        <v/>
      </c>
      <c r="J23" s="36" t="str">
        <f>IF($B23="","",SUMIFS(数据录入!$G$5:$G$4999,数据录入!$J$5:$J$4999,$B23,数据录入!$K$5:$K$4999,J$3))</f>
        <v/>
      </c>
      <c r="K23" s="36" t="str">
        <f>IF($B23="","",SUMIFS(数据录入!$G$5:$G$4999,数据录入!$J$5:$J$4999,$B23,数据录入!$K$5:$K$4999,K$3))</f>
        <v/>
      </c>
      <c r="L23" s="36" t="str">
        <f>IF($B23="","",SUMIFS(数据录入!$G$5:$G$4999,数据录入!$J$5:$J$4999,$B23,数据录入!$K$5:$K$4999,L$3))</f>
        <v/>
      </c>
      <c r="M23" s="36" t="str">
        <f>IF($B23="","",SUMIFS(数据录入!$G$5:$G$4999,数据录入!$J$5:$J$4999,$B23,数据录入!$K$5:$K$4999,M$3))</f>
        <v/>
      </c>
      <c r="N23" s="36" t="str">
        <f>IF($B23="","",SUMIFS(数据录入!$G$5:$G$4999,数据录入!$J$5:$J$4999,$B23,数据录入!$K$5:$K$4999,N$3))</f>
        <v/>
      </c>
      <c r="O23" s="36">
        <f t="shared" si="1"/>
        <v>0</v>
      </c>
      <c r="P23" s="37">
        <f t="shared" si="2"/>
        <v>0</v>
      </c>
    </row>
    <row r="24" customFormat="1" ht="20" customHeight="1" spans="1:16">
      <c r="A24" s="34">
        <v>21</v>
      </c>
      <c r="B24" s="34"/>
      <c r="C24" s="36" t="str">
        <f>IF($B24="","",SUMIFS(数据录入!$G$5:$G$4999,数据录入!$J$5:$J$4999,$B24,数据录入!$K$5:$K$4999,C$3))</f>
        <v/>
      </c>
      <c r="D24" s="36" t="str">
        <f>IF($B24="","",SUMIFS(数据录入!$G$5:$G$4999,数据录入!$J$5:$J$4999,$B24,数据录入!$K$5:$K$4999,D$3))</f>
        <v/>
      </c>
      <c r="E24" s="36" t="str">
        <f>IF($B24="","",SUMIFS(数据录入!$G$5:$G$4999,数据录入!$J$5:$J$4999,$B24,数据录入!$K$5:$K$4999,E$3))</f>
        <v/>
      </c>
      <c r="F24" s="36" t="str">
        <f>IF($B24="","",SUMIFS(数据录入!$G$5:$G$4999,数据录入!$J$5:$J$4999,$B24,数据录入!$K$5:$K$4999,F$3))</f>
        <v/>
      </c>
      <c r="G24" s="36" t="str">
        <f>IF($B24="","",SUMIFS(数据录入!$G$5:$G$4999,数据录入!$J$5:$J$4999,$B24,数据录入!$K$5:$K$4999,G$3))</f>
        <v/>
      </c>
      <c r="H24" s="36" t="str">
        <f>IF($B24="","",SUMIFS(数据录入!$G$5:$G$4999,数据录入!$J$5:$J$4999,$B24,数据录入!$K$5:$K$4999,H$3))</f>
        <v/>
      </c>
      <c r="I24" s="36" t="str">
        <f>IF($B24="","",SUMIFS(数据录入!$G$5:$G$4999,数据录入!$J$5:$J$4999,$B24,数据录入!$K$5:$K$4999,I$3))</f>
        <v/>
      </c>
      <c r="J24" s="36" t="str">
        <f>IF($B24="","",SUMIFS(数据录入!$G$5:$G$4999,数据录入!$J$5:$J$4999,$B24,数据录入!$K$5:$K$4999,J$3))</f>
        <v/>
      </c>
      <c r="K24" s="36" t="str">
        <f>IF($B24="","",SUMIFS(数据录入!$G$5:$G$4999,数据录入!$J$5:$J$4999,$B24,数据录入!$K$5:$K$4999,K$3))</f>
        <v/>
      </c>
      <c r="L24" s="36" t="str">
        <f>IF($B24="","",SUMIFS(数据录入!$G$5:$G$4999,数据录入!$J$5:$J$4999,$B24,数据录入!$K$5:$K$4999,L$3))</f>
        <v/>
      </c>
      <c r="M24" s="36" t="str">
        <f>IF($B24="","",SUMIFS(数据录入!$G$5:$G$4999,数据录入!$J$5:$J$4999,$B24,数据录入!$K$5:$K$4999,M$3))</f>
        <v/>
      </c>
      <c r="N24" s="36" t="str">
        <f>IF($B24="","",SUMIFS(数据录入!$G$5:$G$4999,数据录入!$J$5:$J$4999,$B24,数据录入!$K$5:$K$4999,N$3))</f>
        <v/>
      </c>
      <c r="O24" s="36">
        <f t="shared" si="1"/>
        <v>0</v>
      </c>
      <c r="P24" s="37">
        <f t="shared" si="2"/>
        <v>0</v>
      </c>
    </row>
    <row r="25" customFormat="1" ht="20" customHeight="1" spans="1:16">
      <c r="A25" s="34">
        <v>22</v>
      </c>
      <c r="B25" s="34"/>
      <c r="C25" s="36" t="str">
        <f>IF($B25="","",SUMIFS(数据录入!$G$5:$G$4999,数据录入!$J$5:$J$4999,$B25,数据录入!$K$5:$K$4999,C$3))</f>
        <v/>
      </c>
      <c r="D25" s="36" t="str">
        <f>IF($B25="","",SUMIFS(数据录入!$G$5:$G$4999,数据录入!$J$5:$J$4999,$B25,数据录入!$K$5:$K$4999,D$3))</f>
        <v/>
      </c>
      <c r="E25" s="36" t="str">
        <f>IF($B25="","",SUMIFS(数据录入!$G$5:$G$4999,数据录入!$J$5:$J$4999,$B25,数据录入!$K$5:$K$4999,E$3))</f>
        <v/>
      </c>
      <c r="F25" s="36" t="str">
        <f>IF($B25="","",SUMIFS(数据录入!$G$5:$G$4999,数据录入!$J$5:$J$4999,$B25,数据录入!$K$5:$K$4999,F$3))</f>
        <v/>
      </c>
      <c r="G25" s="36" t="str">
        <f>IF($B25="","",SUMIFS(数据录入!$G$5:$G$4999,数据录入!$J$5:$J$4999,$B25,数据录入!$K$5:$K$4999,G$3))</f>
        <v/>
      </c>
      <c r="H25" s="36" t="str">
        <f>IF($B25="","",SUMIFS(数据录入!$G$5:$G$4999,数据录入!$J$5:$J$4999,$B25,数据录入!$K$5:$K$4999,H$3))</f>
        <v/>
      </c>
      <c r="I25" s="36" t="str">
        <f>IF($B25="","",SUMIFS(数据录入!$G$5:$G$4999,数据录入!$J$5:$J$4999,$B25,数据录入!$K$5:$K$4999,I$3))</f>
        <v/>
      </c>
      <c r="J25" s="36" t="str">
        <f>IF($B25="","",SUMIFS(数据录入!$G$5:$G$4999,数据录入!$J$5:$J$4999,$B25,数据录入!$K$5:$K$4999,J$3))</f>
        <v/>
      </c>
      <c r="K25" s="36" t="str">
        <f>IF($B25="","",SUMIFS(数据录入!$G$5:$G$4999,数据录入!$J$5:$J$4999,$B25,数据录入!$K$5:$K$4999,K$3))</f>
        <v/>
      </c>
      <c r="L25" s="36" t="str">
        <f>IF($B25="","",SUMIFS(数据录入!$G$5:$G$4999,数据录入!$J$5:$J$4999,$B25,数据录入!$K$5:$K$4999,L$3))</f>
        <v/>
      </c>
      <c r="M25" s="36" t="str">
        <f>IF($B25="","",SUMIFS(数据录入!$G$5:$G$4999,数据录入!$J$5:$J$4999,$B25,数据录入!$K$5:$K$4999,M$3))</f>
        <v/>
      </c>
      <c r="N25" s="36" t="str">
        <f>IF($B25="","",SUMIFS(数据录入!$G$5:$G$4999,数据录入!$J$5:$J$4999,$B25,数据录入!$K$5:$K$4999,N$3))</f>
        <v/>
      </c>
      <c r="O25" s="36">
        <f t="shared" si="1"/>
        <v>0</v>
      </c>
      <c r="P25" s="37">
        <f t="shared" si="2"/>
        <v>0</v>
      </c>
    </row>
    <row r="26" customFormat="1" ht="20" customHeight="1" spans="1:16">
      <c r="A26" s="34">
        <v>23</v>
      </c>
      <c r="B26" s="34"/>
      <c r="C26" s="36" t="str">
        <f>IF($B26="","",SUMIFS(数据录入!$G$5:$G$4999,数据录入!$J$5:$J$4999,$B26,数据录入!$K$5:$K$4999,C$3))</f>
        <v/>
      </c>
      <c r="D26" s="36" t="str">
        <f>IF($B26="","",SUMIFS(数据录入!$G$5:$G$4999,数据录入!$J$5:$J$4999,$B26,数据录入!$K$5:$K$4999,D$3))</f>
        <v/>
      </c>
      <c r="E26" s="36" t="str">
        <f>IF($B26="","",SUMIFS(数据录入!$G$5:$G$4999,数据录入!$J$5:$J$4999,$B26,数据录入!$K$5:$K$4999,E$3))</f>
        <v/>
      </c>
      <c r="F26" s="36" t="str">
        <f>IF($B26="","",SUMIFS(数据录入!$G$5:$G$4999,数据录入!$J$5:$J$4999,$B26,数据录入!$K$5:$K$4999,F$3))</f>
        <v/>
      </c>
      <c r="G26" s="36" t="str">
        <f>IF($B26="","",SUMIFS(数据录入!$G$5:$G$4999,数据录入!$J$5:$J$4999,$B26,数据录入!$K$5:$K$4999,G$3))</f>
        <v/>
      </c>
      <c r="H26" s="36" t="str">
        <f>IF($B26="","",SUMIFS(数据录入!$G$5:$G$4999,数据录入!$J$5:$J$4999,$B26,数据录入!$K$5:$K$4999,H$3))</f>
        <v/>
      </c>
      <c r="I26" s="36" t="str">
        <f>IF($B26="","",SUMIFS(数据录入!$G$5:$G$4999,数据录入!$J$5:$J$4999,$B26,数据录入!$K$5:$K$4999,I$3))</f>
        <v/>
      </c>
      <c r="J26" s="36" t="str">
        <f>IF($B26="","",SUMIFS(数据录入!$G$5:$G$4999,数据录入!$J$5:$J$4999,$B26,数据录入!$K$5:$K$4999,J$3))</f>
        <v/>
      </c>
      <c r="K26" s="36" t="str">
        <f>IF($B26="","",SUMIFS(数据录入!$G$5:$G$4999,数据录入!$J$5:$J$4999,$B26,数据录入!$K$5:$K$4999,K$3))</f>
        <v/>
      </c>
      <c r="L26" s="36" t="str">
        <f>IF($B26="","",SUMIFS(数据录入!$G$5:$G$4999,数据录入!$J$5:$J$4999,$B26,数据录入!$K$5:$K$4999,L$3))</f>
        <v/>
      </c>
      <c r="M26" s="36" t="str">
        <f>IF($B26="","",SUMIFS(数据录入!$G$5:$G$4999,数据录入!$J$5:$J$4999,$B26,数据录入!$K$5:$K$4999,M$3))</f>
        <v/>
      </c>
      <c r="N26" s="36" t="str">
        <f>IF($B26="","",SUMIFS(数据录入!$G$5:$G$4999,数据录入!$J$5:$J$4999,$B26,数据录入!$K$5:$K$4999,N$3))</f>
        <v/>
      </c>
      <c r="O26" s="36">
        <f t="shared" si="1"/>
        <v>0</v>
      </c>
      <c r="P26" s="37">
        <f t="shared" si="2"/>
        <v>0</v>
      </c>
    </row>
    <row r="27" customFormat="1" ht="20" customHeight="1" spans="1:16">
      <c r="A27" s="34">
        <v>24</v>
      </c>
      <c r="B27" s="34"/>
      <c r="C27" s="36" t="str">
        <f>IF($B27="","",SUMIFS(数据录入!$G$5:$G$4999,数据录入!$J$5:$J$4999,$B27,数据录入!$K$5:$K$4999,C$3))</f>
        <v/>
      </c>
      <c r="D27" s="36" t="str">
        <f>IF($B27="","",SUMIFS(数据录入!$G$5:$G$4999,数据录入!$J$5:$J$4999,$B27,数据录入!$K$5:$K$4999,D$3))</f>
        <v/>
      </c>
      <c r="E27" s="36" t="str">
        <f>IF($B27="","",SUMIFS(数据录入!$G$5:$G$4999,数据录入!$J$5:$J$4999,$B27,数据录入!$K$5:$K$4999,E$3))</f>
        <v/>
      </c>
      <c r="F27" s="36" t="str">
        <f>IF($B27="","",SUMIFS(数据录入!$G$5:$G$4999,数据录入!$J$5:$J$4999,$B27,数据录入!$K$5:$K$4999,F$3))</f>
        <v/>
      </c>
      <c r="G27" s="36" t="str">
        <f>IF($B27="","",SUMIFS(数据录入!$G$5:$G$4999,数据录入!$J$5:$J$4999,$B27,数据录入!$K$5:$K$4999,G$3))</f>
        <v/>
      </c>
      <c r="H27" s="36" t="str">
        <f>IF($B27="","",SUMIFS(数据录入!$G$5:$G$4999,数据录入!$J$5:$J$4999,$B27,数据录入!$K$5:$K$4999,H$3))</f>
        <v/>
      </c>
      <c r="I27" s="36" t="str">
        <f>IF($B27="","",SUMIFS(数据录入!$G$5:$G$4999,数据录入!$J$5:$J$4999,$B27,数据录入!$K$5:$K$4999,I$3))</f>
        <v/>
      </c>
      <c r="J27" s="36" t="str">
        <f>IF($B27="","",SUMIFS(数据录入!$G$5:$G$4999,数据录入!$J$5:$J$4999,$B27,数据录入!$K$5:$K$4999,J$3))</f>
        <v/>
      </c>
      <c r="K27" s="36" t="str">
        <f>IF($B27="","",SUMIFS(数据录入!$G$5:$G$4999,数据录入!$J$5:$J$4999,$B27,数据录入!$K$5:$K$4999,K$3))</f>
        <v/>
      </c>
      <c r="L27" s="36" t="str">
        <f>IF($B27="","",SUMIFS(数据录入!$G$5:$G$4999,数据录入!$J$5:$J$4999,$B27,数据录入!$K$5:$K$4999,L$3))</f>
        <v/>
      </c>
      <c r="M27" s="36" t="str">
        <f>IF($B27="","",SUMIFS(数据录入!$G$5:$G$4999,数据录入!$J$5:$J$4999,$B27,数据录入!$K$5:$K$4999,M$3))</f>
        <v/>
      </c>
      <c r="N27" s="36" t="str">
        <f>IF($B27="","",SUMIFS(数据录入!$G$5:$G$4999,数据录入!$J$5:$J$4999,$B27,数据录入!$K$5:$K$4999,N$3))</f>
        <v/>
      </c>
      <c r="O27" s="36">
        <f t="shared" si="1"/>
        <v>0</v>
      </c>
      <c r="P27" s="37">
        <f t="shared" si="2"/>
        <v>0</v>
      </c>
    </row>
    <row r="28" customFormat="1" ht="20" customHeight="1" spans="1:16">
      <c r="A28" s="34">
        <v>25</v>
      </c>
      <c r="B28" s="34"/>
      <c r="C28" s="36" t="str">
        <f>IF($B28="","",SUMIFS(数据录入!$G$5:$G$4999,数据录入!$J$5:$J$4999,$B28,数据录入!$K$5:$K$4999,C$3))</f>
        <v/>
      </c>
      <c r="D28" s="36" t="str">
        <f>IF($B28="","",SUMIFS(数据录入!$G$5:$G$4999,数据录入!$J$5:$J$4999,$B28,数据录入!$K$5:$K$4999,D$3))</f>
        <v/>
      </c>
      <c r="E28" s="36" t="str">
        <f>IF($B28="","",SUMIFS(数据录入!$G$5:$G$4999,数据录入!$J$5:$J$4999,$B28,数据录入!$K$5:$K$4999,E$3))</f>
        <v/>
      </c>
      <c r="F28" s="36" t="str">
        <f>IF($B28="","",SUMIFS(数据录入!$G$5:$G$4999,数据录入!$J$5:$J$4999,$B28,数据录入!$K$5:$K$4999,F$3))</f>
        <v/>
      </c>
      <c r="G28" s="36" t="str">
        <f>IF($B28="","",SUMIFS(数据录入!$G$5:$G$4999,数据录入!$J$5:$J$4999,$B28,数据录入!$K$5:$K$4999,G$3))</f>
        <v/>
      </c>
      <c r="H28" s="36" t="str">
        <f>IF($B28="","",SUMIFS(数据录入!$G$5:$G$4999,数据录入!$J$5:$J$4999,$B28,数据录入!$K$5:$K$4999,H$3))</f>
        <v/>
      </c>
      <c r="I28" s="36" t="str">
        <f>IF($B28="","",SUMIFS(数据录入!$G$5:$G$4999,数据录入!$J$5:$J$4999,$B28,数据录入!$K$5:$K$4999,I$3))</f>
        <v/>
      </c>
      <c r="J28" s="36" t="str">
        <f>IF($B28="","",SUMIFS(数据录入!$G$5:$G$4999,数据录入!$J$5:$J$4999,$B28,数据录入!$K$5:$K$4999,J$3))</f>
        <v/>
      </c>
      <c r="K28" s="36" t="str">
        <f>IF($B28="","",SUMIFS(数据录入!$G$5:$G$4999,数据录入!$J$5:$J$4999,$B28,数据录入!$K$5:$K$4999,K$3))</f>
        <v/>
      </c>
      <c r="L28" s="36" t="str">
        <f>IF($B28="","",SUMIFS(数据录入!$G$5:$G$4999,数据录入!$J$5:$J$4999,$B28,数据录入!$K$5:$K$4999,L$3))</f>
        <v/>
      </c>
      <c r="M28" s="36" t="str">
        <f>IF($B28="","",SUMIFS(数据录入!$G$5:$G$4999,数据录入!$J$5:$J$4999,$B28,数据录入!$K$5:$K$4999,M$3))</f>
        <v/>
      </c>
      <c r="N28" s="36" t="str">
        <f>IF($B28="","",SUMIFS(数据录入!$G$5:$G$4999,数据录入!$J$5:$J$4999,$B28,数据录入!$K$5:$K$4999,N$3))</f>
        <v/>
      </c>
      <c r="O28" s="36">
        <f t="shared" si="1"/>
        <v>0</v>
      </c>
      <c r="P28" s="37">
        <f t="shared" si="2"/>
        <v>0</v>
      </c>
    </row>
    <row r="29" customFormat="1" ht="20" customHeight="1" spans="1:16">
      <c r="A29" s="34">
        <v>26</v>
      </c>
      <c r="B29" s="34"/>
      <c r="C29" s="36" t="str">
        <f>IF($B29="","",SUMIFS(数据录入!$G$5:$G$4999,数据录入!$J$5:$J$4999,$B29,数据录入!$K$5:$K$4999,C$3))</f>
        <v/>
      </c>
      <c r="D29" s="36" t="str">
        <f>IF($B29="","",SUMIFS(数据录入!$G$5:$G$4999,数据录入!$J$5:$J$4999,$B29,数据录入!$K$5:$K$4999,D$3))</f>
        <v/>
      </c>
      <c r="E29" s="36" t="str">
        <f>IF($B29="","",SUMIFS(数据录入!$G$5:$G$4999,数据录入!$J$5:$J$4999,$B29,数据录入!$K$5:$K$4999,E$3))</f>
        <v/>
      </c>
      <c r="F29" s="36" t="str">
        <f>IF($B29="","",SUMIFS(数据录入!$G$5:$G$4999,数据录入!$J$5:$J$4999,$B29,数据录入!$K$5:$K$4999,F$3))</f>
        <v/>
      </c>
      <c r="G29" s="36" t="str">
        <f>IF($B29="","",SUMIFS(数据录入!$G$5:$G$4999,数据录入!$J$5:$J$4999,$B29,数据录入!$K$5:$K$4999,G$3))</f>
        <v/>
      </c>
      <c r="H29" s="36" t="str">
        <f>IF($B29="","",SUMIFS(数据录入!$G$5:$G$4999,数据录入!$J$5:$J$4999,$B29,数据录入!$K$5:$K$4999,H$3))</f>
        <v/>
      </c>
      <c r="I29" s="36" t="str">
        <f>IF($B29="","",SUMIFS(数据录入!$G$5:$G$4999,数据录入!$J$5:$J$4999,$B29,数据录入!$K$5:$K$4999,I$3))</f>
        <v/>
      </c>
      <c r="J29" s="36" t="str">
        <f>IF($B29="","",SUMIFS(数据录入!$G$5:$G$4999,数据录入!$J$5:$J$4999,$B29,数据录入!$K$5:$K$4999,J$3))</f>
        <v/>
      </c>
      <c r="K29" s="36" t="str">
        <f>IF($B29="","",SUMIFS(数据录入!$G$5:$G$4999,数据录入!$J$5:$J$4999,$B29,数据录入!$K$5:$K$4999,K$3))</f>
        <v/>
      </c>
      <c r="L29" s="36" t="str">
        <f>IF($B29="","",SUMIFS(数据录入!$G$5:$G$4999,数据录入!$J$5:$J$4999,$B29,数据录入!$K$5:$K$4999,L$3))</f>
        <v/>
      </c>
      <c r="M29" s="36" t="str">
        <f>IF($B29="","",SUMIFS(数据录入!$G$5:$G$4999,数据录入!$J$5:$J$4999,$B29,数据录入!$K$5:$K$4999,M$3))</f>
        <v/>
      </c>
      <c r="N29" s="36" t="str">
        <f>IF($B29="","",SUMIFS(数据录入!$G$5:$G$4999,数据录入!$J$5:$J$4999,$B29,数据录入!$K$5:$K$4999,N$3))</f>
        <v/>
      </c>
      <c r="O29" s="36">
        <f t="shared" si="1"/>
        <v>0</v>
      </c>
      <c r="P29" s="37">
        <f t="shared" si="2"/>
        <v>0</v>
      </c>
    </row>
    <row r="30" customFormat="1" ht="20" customHeight="1" spans="1:16">
      <c r="A30" s="34">
        <v>27</v>
      </c>
      <c r="B30" s="34"/>
      <c r="C30" s="36" t="str">
        <f>IF($B30="","",SUMIFS(数据录入!$G$5:$G$4999,数据录入!$J$5:$J$4999,$B30,数据录入!$K$5:$K$4999,C$3))</f>
        <v/>
      </c>
      <c r="D30" s="36" t="str">
        <f>IF($B30="","",SUMIFS(数据录入!$G$5:$G$4999,数据录入!$J$5:$J$4999,$B30,数据录入!$K$5:$K$4999,D$3))</f>
        <v/>
      </c>
      <c r="E30" s="36" t="str">
        <f>IF($B30="","",SUMIFS(数据录入!$G$5:$G$4999,数据录入!$J$5:$J$4999,$B30,数据录入!$K$5:$K$4999,E$3))</f>
        <v/>
      </c>
      <c r="F30" s="36" t="str">
        <f>IF($B30="","",SUMIFS(数据录入!$G$5:$G$4999,数据录入!$J$5:$J$4999,$B30,数据录入!$K$5:$K$4999,F$3))</f>
        <v/>
      </c>
      <c r="G30" s="36" t="str">
        <f>IF($B30="","",SUMIFS(数据录入!$G$5:$G$4999,数据录入!$J$5:$J$4999,$B30,数据录入!$K$5:$K$4999,G$3))</f>
        <v/>
      </c>
      <c r="H30" s="36" t="str">
        <f>IF($B30="","",SUMIFS(数据录入!$G$5:$G$4999,数据录入!$J$5:$J$4999,$B30,数据录入!$K$5:$K$4999,H$3))</f>
        <v/>
      </c>
      <c r="I30" s="36" t="str">
        <f>IF($B30="","",SUMIFS(数据录入!$G$5:$G$4999,数据录入!$J$5:$J$4999,$B30,数据录入!$K$5:$K$4999,I$3))</f>
        <v/>
      </c>
      <c r="J30" s="36" t="str">
        <f>IF($B30="","",SUMIFS(数据录入!$G$5:$G$4999,数据录入!$J$5:$J$4999,$B30,数据录入!$K$5:$K$4999,J$3))</f>
        <v/>
      </c>
      <c r="K30" s="36" t="str">
        <f>IF($B30="","",SUMIFS(数据录入!$G$5:$G$4999,数据录入!$J$5:$J$4999,$B30,数据录入!$K$5:$K$4999,K$3))</f>
        <v/>
      </c>
      <c r="L30" s="36" t="str">
        <f>IF($B30="","",SUMIFS(数据录入!$G$5:$G$4999,数据录入!$J$5:$J$4999,$B30,数据录入!$K$5:$K$4999,L$3))</f>
        <v/>
      </c>
      <c r="M30" s="36" t="str">
        <f>IF($B30="","",SUMIFS(数据录入!$G$5:$G$4999,数据录入!$J$5:$J$4999,$B30,数据录入!$K$5:$K$4999,M$3))</f>
        <v/>
      </c>
      <c r="N30" s="36" t="str">
        <f>IF($B30="","",SUMIFS(数据录入!$G$5:$G$4999,数据录入!$J$5:$J$4999,$B30,数据录入!$K$5:$K$4999,N$3))</f>
        <v/>
      </c>
      <c r="O30" s="36">
        <f t="shared" si="1"/>
        <v>0</v>
      </c>
      <c r="P30" s="37">
        <f t="shared" si="2"/>
        <v>0</v>
      </c>
    </row>
    <row r="31" customFormat="1" ht="20" customHeight="1" spans="1:16">
      <c r="A31" s="34">
        <v>28</v>
      </c>
      <c r="B31" s="34"/>
      <c r="C31" s="36" t="str">
        <f>IF($B31="","",SUMIFS(数据录入!$G$5:$G$4999,数据录入!$J$5:$J$4999,$B31,数据录入!$K$5:$K$4999,C$3))</f>
        <v/>
      </c>
      <c r="D31" s="36" t="str">
        <f>IF($B31="","",SUMIFS(数据录入!$G$5:$G$4999,数据录入!$J$5:$J$4999,$B31,数据录入!$K$5:$K$4999,D$3))</f>
        <v/>
      </c>
      <c r="E31" s="36" t="str">
        <f>IF($B31="","",SUMIFS(数据录入!$G$5:$G$4999,数据录入!$J$5:$J$4999,$B31,数据录入!$K$5:$K$4999,E$3))</f>
        <v/>
      </c>
      <c r="F31" s="36" t="str">
        <f>IF($B31="","",SUMIFS(数据录入!$G$5:$G$4999,数据录入!$J$5:$J$4999,$B31,数据录入!$K$5:$K$4999,F$3))</f>
        <v/>
      </c>
      <c r="G31" s="36" t="str">
        <f>IF($B31="","",SUMIFS(数据录入!$G$5:$G$4999,数据录入!$J$5:$J$4999,$B31,数据录入!$K$5:$K$4999,G$3))</f>
        <v/>
      </c>
      <c r="H31" s="36" t="str">
        <f>IF($B31="","",SUMIFS(数据录入!$G$5:$G$4999,数据录入!$J$5:$J$4999,$B31,数据录入!$K$5:$K$4999,H$3))</f>
        <v/>
      </c>
      <c r="I31" s="36" t="str">
        <f>IF($B31="","",SUMIFS(数据录入!$G$5:$G$4999,数据录入!$J$5:$J$4999,$B31,数据录入!$K$5:$K$4999,I$3))</f>
        <v/>
      </c>
      <c r="J31" s="36" t="str">
        <f>IF($B31="","",SUMIFS(数据录入!$G$5:$G$4999,数据录入!$J$5:$J$4999,$B31,数据录入!$K$5:$K$4999,J$3))</f>
        <v/>
      </c>
      <c r="K31" s="36" t="str">
        <f>IF($B31="","",SUMIFS(数据录入!$G$5:$G$4999,数据录入!$J$5:$J$4999,$B31,数据录入!$K$5:$K$4999,K$3))</f>
        <v/>
      </c>
      <c r="L31" s="36" t="str">
        <f>IF($B31="","",SUMIFS(数据录入!$G$5:$G$4999,数据录入!$J$5:$J$4999,$B31,数据录入!$K$5:$K$4999,L$3))</f>
        <v/>
      </c>
      <c r="M31" s="36" t="str">
        <f>IF($B31="","",SUMIFS(数据录入!$G$5:$G$4999,数据录入!$J$5:$J$4999,$B31,数据录入!$K$5:$K$4999,M$3))</f>
        <v/>
      </c>
      <c r="N31" s="36" t="str">
        <f>IF($B31="","",SUMIFS(数据录入!$G$5:$G$4999,数据录入!$J$5:$J$4999,$B31,数据录入!$K$5:$K$4999,N$3))</f>
        <v/>
      </c>
      <c r="O31" s="36">
        <f t="shared" si="1"/>
        <v>0</v>
      </c>
      <c r="P31" s="37">
        <f t="shared" si="2"/>
        <v>0</v>
      </c>
    </row>
    <row r="32" customFormat="1" ht="20" customHeight="1" spans="1:16">
      <c r="A32" s="34">
        <v>29</v>
      </c>
      <c r="B32" s="34"/>
      <c r="C32" s="36" t="str">
        <f>IF($B32="","",SUMIFS(数据录入!$G$5:$G$4999,数据录入!$J$5:$J$4999,$B32,数据录入!$K$5:$K$4999,C$3))</f>
        <v/>
      </c>
      <c r="D32" s="36" t="str">
        <f>IF($B32="","",SUMIFS(数据录入!$G$5:$G$4999,数据录入!$J$5:$J$4999,$B32,数据录入!$K$5:$K$4999,D$3))</f>
        <v/>
      </c>
      <c r="E32" s="36" t="str">
        <f>IF($B32="","",SUMIFS(数据录入!$G$5:$G$4999,数据录入!$J$5:$J$4999,$B32,数据录入!$K$5:$K$4999,E$3))</f>
        <v/>
      </c>
      <c r="F32" s="36" t="str">
        <f>IF($B32="","",SUMIFS(数据录入!$G$5:$G$4999,数据录入!$J$5:$J$4999,$B32,数据录入!$K$5:$K$4999,F$3))</f>
        <v/>
      </c>
      <c r="G32" s="36" t="str">
        <f>IF($B32="","",SUMIFS(数据录入!$G$5:$G$4999,数据录入!$J$5:$J$4999,$B32,数据录入!$K$5:$K$4999,G$3))</f>
        <v/>
      </c>
      <c r="H32" s="36" t="str">
        <f>IF($B32="","",SUMIFS(数据录入!$G$5:$G$4999,数据录入!$J$5:$J$4999,$B32,数据录入!$K$5:$K$4999,H$3))</f>
        <v/>
      </c>
      <c r="I32" s="36" t="str">
        <f>IF($B32="","",SUMIFS(数据录入!$G$5:$G$4999,数据录入!$J$5:$J$4999,$B32,数据录入!$K$5:$K$4999,I$3))</f>
        <v/>
      </c>
      <c r="J32" s="36" t="str">
        <f>IF($B32="","",SUMIFS(数据录入!$G$5:$G$4999,数据录入!$J$5:$J$4999,$B32,数据录入!$K$5:$K$4999,J$3))</f>
        <v/>
      </c>
      <c r="K32" s="36" t="str">
        <f>IF($B32="","",SUMIFS(数据录入!$G$5:$G$4999,数据录入!$J$5:$J$4999,$B32,数据录入!$K$5:$K$4999,K$3))</f>
        <v/>
      </c>
      <c r="L32" s="36" t="str">
        <f>IF($B32="","",SUMIFS(数据录入!$G$5:$G$4999,数据录入!$J$5:$J$4999,$B32,数据录入!$K$5:$K$4999,L$3))</f>
        <v/>
      </c>
      <c r="M32" s="36" t="str">
        <f>IF($B32="","",SUMIFS(数据录入!$G$5:$G$4999,数据录入!$J$5:$J$4999,$B32,数据录入!$K$5:$K$4999,M$3))</f>
        <v/>
      </c>
      <c r="N32" s="36" t="str">
        <f>IF($B32="","",SUMIFS(数据录入!$G$5:$G$4999,数据录入!$J$5:$J$4999,$B32,数据录入!$K$5:$K$4999,N$3))</f>
        <v/>
      </c>
      <c r="O32" s="36">
        <f t="shared" si="1"/>
        <v>0</v>
      </c>
      <c r="P32" s="37">
        <f t="shared" si="2"/>
        <v>0</v>
      </c>
    </row>
    <row r="33" customFormat="1" ht="20" customHeight="1" spans="1:16">
      <c r="A33" s="34">
        <v>30</v>
      </c>
      <c r="B33" s="34"/>
      <c r="C33" s="36" t="str">
        <f>IF($B33="","",SUMIFS(数据录入!$G$5:$G$4999,数据录入!$J$5:$J$4999,$B33,数据录入!$K$5:$K$4999,C$3))</f>
        <v/>
      </c>
      <c r="D33" s="36" t="str">
        <f>IF($B33="","",SUMIFS(数据录入!$G$5:$G$4999,数据录入!$J$5:$J$4999,$B33,数据录入!$K$5:$K$4999,D$3))</f>
        <v/>
      </c>
      <c r="E33" s="36" t="str">
        <f>IF($B33="","",SUMIFS(数据录入!$G$5:$G$4999,数据录入!$J$5:$J$4999,$B33,数据录入!$K$5:$K$4999,E$3))</f>
        <v/>
      </c>
      <c r="F33" s="36" t="str">
        <f>IF($B33="","",SUMIFS(数据录入!$G$5:$G$4999,数据录入!$J$5:$J$4999,$B33,数据录入!$K$5:$K$4999,F$3))</f>
        <v/>
      </c>
      <c r="G33" s="36" t="str">
        <f>IF($B33="","",SUMIFS(数据录入!$G$5:$G$4999,数据录入!$J$5:$J$4999,$B33,数据录入!$K$5:$K$4999,G$3))</f>
        <v/>
      </c>
      <c r="H33" s="36" t="str">
        <f>IF($B33="","",SUMIFS(数据录入!$G$5:$G$4999,数据录入!$J$5:$J$4999,$B33,数据录入!$K$5:$K$4999,H$3))</f>
        <v/>
      </c>
      <c r="I33" s="36" t="str">
        <f>IF($B33="","",SUMIFS(数据录入!$G$5:$G$4999,数据录入!$J$5:$J$4999,$B33,数据录入!$K$5:$K$4999,I$3))</f>
        <v/>
      </c>
      <c r="J33" s="36" t="str">
        <f>IF($B33="","",SUMIFS(数据录入!$G$5:$G$4999,数据录入!$J$5:$J$4999,$B33,数据录入!$K$5:$K$4999,J$3))</f>
        <v/>
      </c>
      <c r="K33" s="36" t="str">
        <f>IF($B33="","",SUMIFS(数据录入!$G$5:$G$4999,数据录入!$J$5:$J$4999,$B33,数据录入!$K$5:$K$4999,K$3))</f>
        <v/>
      </c>
      <c r="L33" s="36" t="str">
        <f>IF($B33="","",SUMIFS(数据录入!$G$5:$G$4999,数据录入!$J$5:$J$4999,$B33,数据录入!$K$5:$K$4999,L$3))</f>
        <v/>
      </c>
      <c r="M33" s="36" t="str">
        <f>IF($B33="","",SUMIFS(数据录入!$G$5:$G$4999,数据录入!$J$5:$J$4999,$B33,数据录入!$K$5:$K$4999,M$3))</f>
        <v/>
      </c>
      <c r="N33" s="36" t="str">
        <f>IF($B33="","",SUMIFS(数据录入!$G$5:$G$4999,数据录入!$J$5:$J$4999,$B33,数据录入!$K$5:$K$4999,N$3))</f>
        <v/>
      </c>
      <c r="O33" s="36">
        <f t="shared" si="1"/>
        <v>0</v>
      </c>
      <c r="P33" s="37">
        <f t="shared" si="2"/>
        <v>0</v>
      </c>
    </row>
    <row r="34" customFormat="1" ht="20" customHeight="1" spans="1:16">
      <c r="A34" s="34">
        <v>31</v>
      </c>
      <c r="B34" s="34"/>
      <c r="C34" s="36" t="str">
        <f>IF($B34="","",SUMIFS(数据录入!$G$5:$G$4999,数据录入!$J$5:$J$4999,$B34,数据录入!$K$5:$K$4999,C$3))</f>
        <v/>
      </c>
      <c r="D34" s="36" t="str">
        <f>IF($B34="","",SUMIFS(数据录入!$G$5:$G$4999,数据录入!$J$5:$J$4999,$B34,数据录入!$K$5:$K$4999,D$3))</f>
        <v/>
      </c>
      <c r="E34" s="36" t="str">
        <f>IF($B34="","",SUMIFS(数据录入!$G$5:$G$4999,数据录入!$J$5:$J$4999,$B34,数据录入!$K$5:$K$4999,E$3))</f>
        <v/>
      </c>
      <c r="F34" s="36" t="str">
        <f>IF($B34="","",SUMIFS(数据录入!$G$5:$G$4999,数据录入!$J$5:$J$4999,$B34,数据录入!$K$5:$K$4999,F$3))</f>
        <v/>
      </c>
      <c r="G34" s="36" t="str">
        <f>IF($B34="","",SUMIFS(数据录入!$G$5:$G$4999,数据录入!$J$5:$J$4999,$B34,数据录入!$K$5:$K$4999,G$3))</f>
        <v/>
      </c>
      <c r="H34" s="36" t="str">
        <f>IF($B34="","",SUMIFS(数据录入!$G$5:$G$4999,数据录入!$J$5:$J$4999,$B34,数据录入!$K$5:$K$4999,H$3))</f>
        <v/>
      </c>
      <c r="I34" s="36" t="str">
        <f>IF($B34="","",SUMIFS(数据录入!$G$5:$G$4999,数据录入!$J$5:$J$4999,$B34,数据录入!$K$5:$K$4999,I$3))</f>
        <v/>
      </c>
      <c r="J34" s="36" t="str">
        <f>IF($B34="","",SUMIFS(数据录入!$G$5:$G$4999,数据录入!$J$5:$J$4999,$B34,数据录入!$K$5:$K$4999,J$3))</f>
        <v/>
      </c>
      <c r="K34" s="36" t="str">
        <f>IF($B34="","",SUMIFS(数据录入!$G$5:$G$4999,数据录入!$J$5:$J$4999,$B34,数据录入!$K$5:$K$4999,K$3))</f>
        <v/>
      </c>
      <c r="L34" s="36" t="str">
        <f>IF($B34="","",SUMIFS(数据录入!$G$5:$G$4999,数据录入!$J$5:$J$4999,$B34,数据录入!$K$5:$K$4999,L$3))</f>
        <v/>
      </c>
      <c r="M34" s="36" t="str">
        <f>IF($B34="","",SUMIFS(数据录入!$G$5:$G$4999,数据录入!$J$5:$J$4999,$B34,数据录入!$K$5:$K$4999,M$3))</f>
        <v/>
      </c>
      <c r="N34" s="36" t="str">
        <f>IF($B34="","",SUMIFS(数据录入!$G$5:$G$4999,数据录入!$J$5:$J$4999,$B34,数据录入!$K$5:$K$4999,N$3))</f>
        <v/>
      </c>
      <c r="O34" s="36">
        <f t="shared" si="1"/>
        <v>0</v>
      </c>
      <c r="P34" s="37">
        <f t="shared" si="2"/>
        <v>0</v>
      </c>
    </row>
    <row r="35" customFormat="1" ht="20" customHeight="1" spans="1:16">
      <c r="A35" s="34">
        <v>32</v>
      </c>
      <c r="B35" s="34"/>
      <c r="C35" s="36" t="str">
        <f>IF($B35="","",SUMIFS(数据录入!$G$5:$G$4999,数据录入!$J$5:$J$4999,$B35,数据录入!$K$5:$K$4999,C$3))</f>
        <v/>
      </c>
      <c r="D35" s="36" t="str">
        <f>IF($B35="","",SUMIFS(数据录入!$G$5:$G$4999,数据录入!$J$5:$J$4999,$B35,数据录入!$K$5:$K$4999,D$3))</f>
        <v/>
      </c>
      <c r="E35" s="36" t="str">
        <f>IF($B35="","",SUMIFS(数据录入!$G$5:$G$4999,数据录入!$J$5:$J$4999,$B35,数据录入!$K$5:$K$4999,E$3))</f>
        <v/>
      </c>
      <c r="F35" s="36" t="str">
        <f>IF($B35="","",SUMIFS(数据录入!$G$5:$G$4999,数据录入!$J$5:$J$4999,$B35,数据录入!$K$5:$K$4999,F$3))</f>
        <v/>
      </c>
      <c r="G35" s="36" t="str">
        <f>IF($B35="","",SUMIFS(数据录入!$G$5:$G$4999,数据录入!$J$5:$J$4999,$B35,数据录入!$K$5:$K$4999,G$3))</f>
        <v/>
      </c>
      <c r="H35" s="36" t="str">
        <f>IF($B35="","",SUMIFS(数据录入!$G$5:$G$4999,数据录入!$J$5:$J$4999,$B35,数据录入!$K$5:$K$4999,H$3))</f>
        <v/>
      </c>
      <c r="I35" s="36" t="str">
        <f>IF($B35="","",SUMIFS(数据录入!$G$5:$G$4999,数据录入!$J$5:$J$4999,$B35,数据录入!$K$5:$K$4999,I$3))</f>
        <v/>
      </c>
      <c r="J35" s="36" t="str">
        <f>IF($B35="","",SUMIFS(数据录入!$G$5:$G$4999,数据录入!$J$5:$J$4999,$B35,数据录入!$K$5:$K$4999,J$3))</f>
        <v/>
      </c>
      <c r="K35" s="36" t="str">
        <f>IF($B35="","",SUMIFS(数据录入!$G$5:$G$4999,数据录入!$J$5:$J$4999,$B35,数据录入!$K$5:$K$4999,K$3))</f>
        <v/>
      </c>
      <c r="L35" s="36" t="str">
        <f>IF($B35="","",SUMIFS(数据录入!$G$5:$G$4999,数据录入!$J$5:$J$4999,$B35,数据录入!$K$5:$K$4999,L$3))</f>
        <v/>
      </c>
      <c r="M35" s="36" t="str">
        <f>IF($B35="","",SUMIFS(数据录入!$G$5:$G$4999,数据录入!$J$5:$J$4999,$B35,数据录入!$K$5:$K$4999,M$3))</f>
        <v/>
      </c>
      <c r="N35" s="36" t="str">
        <f>IF($B35="","",SUMIFS(数据录入!$G$5:$G$4999,数据录入!$J$5:$J$4999,$B35,数据录入!$K$5:$K$4999,N$3))</f>
        <v/>
      </c>
      <c r="O35" s="36">
        <f t="shared" si="1"/>
        <v>0</v>
      </c>
      <c r="P35" s="37">
        <f t="shared" si="2"/>
        <v>0</v>
      </c>
    </row>
    <row r="36" customFormat="1" ht="20" customHeight="1" spans="1:16">
      <c r="A36" s="34">
        <v>33</v>
      </c>
      <c r="B36" s="34"/>
      <c r="C36" s="36" t="str">
        <f>IF($B36="","",SUMIFS(数据录入!$G$5:$G$4999,数据录入!$J$5:$J$4999,$B36,数据录入!$K$5:$K$4999,C$3))</f>
        <v/>
      </c>
      <c r="D36" s="36" t="str">
        <f>IF($B36="","",SUMIFS(数据录入!$G$5:$G$4999,数据录入!$J$5:$J$4999,$B36,数据录入!$K$5:$K$4999,D$3))</f>
        <v/>
      </c>
      <c r="E36" s="36" t="str">
        <f>IF($B36="","",SUMIFS(数据录入!$G$5:$G$4999,数据录入!$J$5:$J$4999,$B36,数据录入!$K$5:$K$4999,E$3))</f>
        <v/>
      </c>
      <c r="F36" s="36" t="str">
        <f>IF($B36="","",SUMIFS(数据录入!$G$5:$G$4999,数据录入!$J$5:$J$4999,$B36,数据录入!$K$5:$K$4999,F$3))</f>
        <v/>
      </c>
      <c r="G36" s="36" t="str">
        <f>IF($B36="","",SUMIFS(数据录入!$G$5:$G$4999,数据录入!$J$5:$J$4999,$B36,数据录入!$K$5:$K$4999,G$3))</f>
        <v/>
      </c>
      <c r="H36" s="36" t="str">
        <f>IF($B36="","",SUMIFS(数据录入!$G$5:$G$4999,数据录入!$J$5:$J$4999,$B36,数据录入!$K$5:$K$4999,H$3))</f>
        <v/>
      </c>
      <c r="I36" s="36" t="str">
        <f>IF($B36="","",SUMIFS(数据录入!$G$5:$G$4999,数据录入!$J$5:$J$4999,$B36,数据录入!$K$5:$K$4999,I$3))</f>
        <v/>
      </c>
      <c r="J36" s="36" t="str">
        <f>IF($B36="","",SUMIFS(数据录入!$G$5:$G$4999,数据录入!$J$5:$J$4999,$B36,数据录入!$K$5:$K$4999,J$3))</f>
        <v/>
      </c>
      <c r="K36" s="36" t="str">
        <f>IF($B36="","",SUMIFS(数据录入!$G$5:$G$4999,数据录入!$J$5:$J$4999,$B36,数据录入!$K$5:$K$4999,K$3))</f>
        <v/>
      </c>
      <c r="L36" s="36" t="str">
        <f>IF($B36="","",SUMIFS(数据录入!$G$5:$G$4999,数据录入!$J$5:$J$4999,$B36,数据录入!$K$5:$K$4999,L$3))</f>
        <v/>
      </c>
      <c r="M36" s="36" t="str">
        <f>IF($B36="","",SUMIFS(数据录入!$G$5:$G$4999,数据录入!$J$5:$J$4999,$B36,数据录入!$K$5:$K$4999,M$3))</f>
        <v/>
      </c>
      <c r="N36" s="36" t="str">
        <f>IF($B36="","",SUMIFS(数据录入!$G$5:$G$4999,数据录入!$J$5:$J$4999,$B36,数据录入!$K$5:$K$4999,N$3))</f>
        <v/>
      </c>
      <c r="O36" s="36">
        <f t="shared" si="1"/>
        <v>0</v>
      </c>
      <c r="P36" s="37">
        <f t="shared" si="2"/>
        <v>0</v>
      </c>
    </row>
    <row r="37" customFormat="1" ht="20" customHeight="1" spans="1:16">
      <c r="A37" s="34">
        <v>34</v>
      </c>
      <c r="B37" s="34"/>
      <c r="C37" s="36" t="str">
        <f>IF($B37="","",SUMIFS(数据录入!$G$5:$G$4999,数据录入!$J$5:$J$4999,$B37,数据录入!$K$5:$K$4999,C$3))</f>
        <v/>
      </c>
      <c r="D37" s="36" t="str">
        <f>IF($B37="","",SUMIFS(数据录入!$G$5:$G$4999,数据录入!$J$5:$J$4999,$B37,数据录入!$K$5:$K$4999,D$3))</f>
        <v/>
      </c>
      <c r="E37" s="36" t="str">
        <f>IF($B37="","",SUMIFS(数据录入!$G$5:$G$4999,数据录入!$J$5:$J$4999,$B37,数据录入!$K$5:$K$4999,E$3))</f>
        <v/>
      </c>
      <c r="F37" s="36" t="str">
        <f>IF($B37="","",SUMIFS(数据录入!$G$5:$G$4999,数据录入!$J$5:$J$4999,$B37,数据录入!$K$5:$K$4999,F$3))</f>
        <v/>
      </c>
      <c r="G37" s="36" t="str">
        <f>IF($B37="","",SUMIFS(数据录入!$G$5:$G$4999,数据录入!$J$5:$J$4999,$B37,数据录入!$K$5:$K$4999,G$3))</f>
        <v/>
      </c>
      <c r="H37" s="36" t="str">
        <f>IF($B37="","",SUMIFS(数据录入!$G$5:$G$4999,数据录入!$J$5:$J$4999,$B37,数据录入!$K$5:$K$4999,H$3))</f>
        <v/>
      </c>
      <c r="I37" s="36" t="str">
        <f>IF($B37="","",SUMIFS(数据录入!$G$5:$G$4999,数据录入!$J$5:$J$4999,$B37,数据录入!$K$5:$K$4999,I$3))</f>
        <v/>
      </c>
      <c r="J37" s="36" t="str">
        <f>IF($B37="","",SUMIFS(数据录入!$G$5:$G$4999,数据录入!$J$5:$J$4999,$B37,数据录入!$K$5:$K$4999,J$3))</f>
        <v/>
      </c>
      <c r="K37" s="36" t="str">
        <f>IF($B37="","",SUMIFS(数据录入!$G$5:$G$4999,数据录入!$J$5:$J$4999,$B37,数据录入!$K$5:$K$4999,K$3))</f>
        <v/>
      </c>
      <c r="L37" s="36" t="str">
        <f>IF($B37="","",SUMIFS(数据录入!$G$5:$G$4999,数据录入!$J$5:$J$4999,$B37,数据录入!$K$5:$K$4999,L$3))</f>
        <v/>
      </c>
      <c r="M37" s="36" t="str">
        <f>IF($B37="","",SUMIFS(数据录入!$G$5:$G$4999,数据录入!$J$5:$J$4999,$B37,数据录入!$K$5:$K$4999,M$3))</f>
        <v/>
      </c>
      <c r="N37" s="36" t="str">
        <f>IF($B37="","",SUMIFS(数据录入!$G$5:$G$4999,数据录入!$J$5:$J$4999,$B37,数据录入!$K$5:$K$4999,N$3))</f>
        <v/>
      </c>
      <c r="O37" s="36">
        <f t="shared" si="1"/>
        <v>0</v>
      </c>
      <c r="P37" s="37">
        <f t="shared" si="2"/>
        <v>0</v>
      </c>
    </row>
    <row r="38" customFormat="1" ht="20" customHeight="1" spans="1:16">
      <c r="A38" s="34">
        <v>35</v>
      </c>
      <c r="B38" s="34"/>
      <c r="C38" s="36" t="str">
        <f>IF($B38="","",SUMIFS(数据录入!$G$5:$G$4999,数据录入!$J$5:$J$4999,$B38,数据录入!$K$5:$K$4999,C$3))</f>
        <v/>
      </c>
      <c r="D38" s="36" t="str">
        <f>IF($B38="","",SUMIFS(数据录入!$G$5:$G$4999,数据录入!$J$5:$J$4999,$B38,数据录入!$K$5:$K$4999,D$3))</f>
        <v/>
      </c>
      <c r="E38" s="36" t="str">
        <f>IF($B38="","",SUMIFS(数据录入!$G$5:$G$4999,数据录入!$J$5:$J$4999,$B38,数据录入!$K$5:$K$4999,E$3))</f>
        <v/>
      </c>
      <c r="F38" s="36" t="str">
        <f>IF($B38="","",SUMIFS(数据录入!$G$5:$G$4999,数据录入!$J$5:$J$4999,$B38,数据录入!$K$5:$K$4999,F$3))</f>
        <v/>
      </c>
      <c r="G38" s="36" t="str">
        <f>IF($B38="","",SUMIFS(数据录入!$G$5:$G$4999,数据录入!$J$5:$J$4999,$B38,数据录入!$K$5:$K$4999,G$3))</f>
        <v/>
      </c>
      <c r="H38" s="36" t="str">
        <f>IF($B38="","",SUMIFS(数据录入!$G$5:$G$4999,数据录入!$J$5:$J$4999,$B38,数据录入!$K$5:$K$4999,H$3))</f>
        <v/>
      </c>
      <c r="I38" s="36" t="str">
        <f>IF($B38="","",SUMIFS(数据录入!$G$5:$G$4999,数据录入!$J$5:$J$4999,$B38,数据录入!$K$5:$K$4999,I$3))</f>
        <v/>
      </c>
      <c r="J38" s="36" t="str">
        <f>IF($B38="","",SUMIFS(数据录入!$G$5:$G$4999,数据录入!$J$5:$J$4999,$B38,数据录入!$K$5:$K$4999,J$3))</f>
        <v/>
      </c>
      <c r="K38" s="36" t="str">
        <f>IF($B38="","",SUMIFS(数据录入!$G$5:$G$4999,数据录入!$J$5:$J$4999,$B38,数据录入!$K$5:$K$4999,K$3))</f>
        <v/>
      </c>
      <c r="L38" s="36" t="str">
        <f>IF($B38="","",SUMIFS(数据录入!$G$5:$G$4999,数据录入!$J$5:$J$4999,$B38,数据录入!$K$5:$K$4999,L$3))</f>
        <v/>
      </c>
      <c r="M38" s="36" t="str">
        <f>IF($B38="","",SUMIFS(数据录入!$G$5:$G$4999,数据录入!$J$5:$J$4999,$B38,数据录入!$K$5:$K$4999,M$3))</f>
        <v/>
      </c>
      <c r="N38" s="36" t="str">
        <f>IF($B38="","",SUMIFS(数据录入!$G$5:$G$4999,数据录入!$J$5:$J$4999,$B38,数据录入!$K$5:$K$4999,N$3))</f>
        <v/>
      </c>
      <c r="O38" s="36">
        <f t="shared" si="1"/>
        <v>0</v>
      </c>
      <c r="P38" s="37">
        <f t="shared" si="2"/>
        <v>0</v>
      </c>
    </row>
    <row r="39" customFormat="1" ht="16.5" spans="1:16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customFormat="1" ht="16.5" spans="1:16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</row>
    <row r="41" customFormat="1" ht="16.5" spans="1:16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</row>
    <row r="42" customFormat="1" ht="16.5" spans="1:16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</row>
    <row r="43" customFormat="1" ht="16.5" spans="1:16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</row>
    <row r="44" customFormat="1" ht="16.5" spans="1:16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</row>
    <row r="45" customFormat="1" ht="16.5" spans="1:16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</row>
    <row r="46" customFormat="1" ht="16.5" spans="1:1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</row>
    <row r="47" customFormat="1" ht="16.5" spans="1:16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</row>
    <row r="48" customFormat="1" ht="16.5" spans="1:16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</row>
    <row r="49" customFormat="1" ht="16.5" spans="1:16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</row>
    <row r="50" customFormat="1" ht="16.5" spans="1:16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</row>
    <row r="51" customFormat="1" ht="16.5" spans="1:16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</row>
    <row r="52" customFormat="1" ht="16.5" spans="1:16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</row>
    <row r="53" customFormat="1" ht="16.5" spans="1:16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</row>
    <row r="54" customFormat="1" ht="16.5" spans="1:16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</row>
    <row r="55" customFormat="1" ht="16.5" spans="1:16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</row>
    <row r="56" customFormat="1" ht="16.5" spans="1:1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</row>
    <row r="57" customFormat="1" ht="16.5" spans="1:16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</row>
    <row r="58" customFormat="1" ht="16.5" spans="1:16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</row>
    <row r="59" customFormat="1" ht="16.5" spans="1:16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</row>
    <row r="60" customFormat="1" ht="16.5" spans="1:16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</row>
    <row r="61" customFormat="1" ht="16.5" spans="1:16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</row>
    <row r="62" customFormat="1" ht="16.5" spans="1:16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</row>
    <row r="63" customFormat="1" ht="16.5" spans="1:16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</row>
    <row r="64" customFormat="1" ht="16.5" spans="1:16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customFormat="1" ht="16.5" spans="1:16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</row>
    <row r="66" customFormat="1" ht="16.5" spans="1:1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  <row r="67" customFormat="1" ht="16.5" spans="1:16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customFormat="1" ht="16.5" spans="1:16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</row>
    <row r="69" customFormat="1" ht="16.5" spans="1:16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  <row r="70" customFormat="1" ht="16.5" spans="1:16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customFormat="1" ht="16.5" spans="1:16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</row>
    <row r="72" customFormat="1" ht="16.5" spans="1:16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Format="1" ht="16.5" spans="1:16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</row>
    <row r="74" customFormat="1" ht="16.5" spans="1:16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</row>
    <row r="75" customFormat="1" ht="16.5" spans="1:16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</row>
    <row r="76" customFormat="1" ht="16.5" spans="1:1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</row>
    <row r="77" customFormat="1" ht="16.5" spans="1:16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</row>
    <row r="78" customFormat="1" ht="16.5" spans="1:16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</row>
    <row r="79" customFormat="1" ht="16.5" spans="1:16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</row>
    <row r="80" customFormat="1" ht="16.5" spans="1:16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</row>
    <row r="81" customFormat="1" ht="16.5" spans="1:16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</row>
    <row r="82" customFormat="1" ht="16.5" spans="1:16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</row>
    <row r="83" customFormat="1" ht="16.5" spans="1:16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</row>
    <row r="84" customFormat="1" ht="16.5" spans="1:16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</row>
    <row r="85" customFormat="1" ht="16.5" spans="1:16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</row>
    <row r="86" customFormat="1" ht="16.5" spans="1:1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</row>
    <row r="87" customFormat="1" ht="16.5" spans="1:16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</row>
    <row r="88" customFormat="1" ht="16.5" spans="1:16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</row>
    <row r="89" customFormat="1" ht="16.5" spans="1:16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</row>
    <row r="90" customFormat="1" ht="16.5" spans="1:16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</row>
    <row r="91" customFormat="1" ht="16.5" spans="1:16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</row>
    <row r="92" customFormat="1" ht="16.5" spans="1:16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</row>
    <row r="93" customFormat="1" ht="16.5" spans="1:16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</row>
    <row r="94" customFormat="1" ht="16.5" spans="1:16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</row>
    <row r="95" customFormat="1" ht="16.5" spans="1:16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</row>
    <row r="96" customFormat="1" ht="16.5" spans="1:1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</row>
    <row r="97" customFormat="1" ht="16.5" spans="1:16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</row>
    <row r="98" customFormat="1" ht="16.5" spans="1:16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</row>
    <row r="99" customFormat="1" ht="16.5" spans="1:16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</row>
    <row r="100" customFormat="1" ht="16.5" spans="1:16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</row>
    <row r="101" customFormat="1" ht="16.5" spans="1:16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</row>
    <row r="102" customFormat="1" spans="1:16">
      <c r="A102" s="39"/>
      <c r="B102" s="40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28"/>
    </row>
    <row r="103" customFormat="1" spans="1:16">
      <c r="A103" s="39"/>
      <c r="B103" s="40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28"/>
    </row>
    <row r="104" customFormat="1" spans="1:16">
      <c r="A104" s="39"/>
      <c r="B104" s="40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28"/>
    </row>
    <row r="105" customFormat="1" spans="1:16">
      <c r="A105" s="39"/>
      <c r="B105" s="40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28"/>
    </row>
    <row r="106" customFormat="1" spans="1:16">
      <c r="A106" s="39"/>
      <c r="B106" s="40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28"/>
    </row>
    <row r="107" customFormat="1" spans="1:16">
      <c r="A107" s="39"/>
      <c r="B107" s="40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28"/>
    </row>
    <row r="108" customFormat="1" spans="1:16">
      <c r="A108" s="39"/>
      <c r="B108" s="40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28"/>
    </row>
    <row r="109" customFormat="1" spans="1:16">
      <c r="A109" s="39"/>
      <c r="B109" s="40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28"/>
    </row>
    <row r="110" customFormat="1" spans="1:16">
      <c r="A110" s="39"/>
      <c r="B110" s="40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28"/>
    </row>
    <row r="111" customFormat="1" spans="1:16">
      <c r="A111" s="39"/>
      <c r="B111" s="40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28"/>
    </row>
    <row r="112" customFormat="1" spans="1:16">
      <c r="A112" s="39"/>
      <c r="B112" s="40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28"/>
    </row>
    <row r="113" customFormat="1" spans="1:16">
      <c r="A113" s="39"/>
      <c r="B113" s="40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28"/>
    </row>
    <row r="114" customFormat="1" spans="1:16">
      <c r="A114" s="39"/>
      <c r="B114" s="40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28"/>
    </row>
    <row r="115" customFormat="1" spans="1:16">
      <c r="A115" s="39"/>
      <c r="B115" s="40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28"/>
    </row>
    <row r="116" customFormat="1" spans="1:16">
      <c r="A116" s="39"/>
      <c r="B116" s="40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28"/>
    </row>
    <row r="117" customFormat="1" spans="1:16">
      <c r="A117" s="39"/>
      <c r="B117" s="40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28"/>
    </row>
    <row r="118" customFormat="1" spans="1:16">
      <c r="A118" s="39"/>
      <c r="B118" s="40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28"/>
    </row>
    <row r="119" customFormat="1" spans="1:16">
      <c r="A119" s="39"/>
      <c r="B119" s="40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28"/>
    </row>
    <row r="120" customFormat="1" spans="1:16">
      <c r="A120" s="39"/>
      <c r="B120" s="40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28"/>
    </row>
    <row r="121" customFormat="1" spans="1:16">
      <c r="A121" s="39"/>
      <c r="B121" s="40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28"/>
    </row>
    <row r="122" customFormat="1" spans="1:16">
      <c r="A122" s="39"/>
      <c r="B122" s="40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28"/>
    </row>
    <row r="123" customFormat="1" spans="1:16">
      <c r="A123" s="39"/>
      <c r="B123" s="40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28"/>
    </row>
    <row r="124" customFormat="1" spans="1:16">
      <c r="A124" s="39"/>
      <c r="B124" s="40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28"/>
    </row>
    <row r="125" customFormat="1" spans="1:16">
      <c r="A125" s="39"/>
      <c r="B125" s="40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28"/>
    </row>
    <row r="126" customFormat="1" spans="1:16">
      <c r="A126" s="39"/>
      <c r="B126" s="40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28"/>
    </row>
    <row r="127" customFormat="1" spans="1:16">
      <c r="A127" s="39"/>
      <c r="B127" s="40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28"/>
    </row>
    <row r="128" customFormat="1" spans="1:16">
      <c r="A128" s="39"/>
      <c r="B128" s="40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28"/>
    </row>
    <row r="129" customFormat="1" spans="1:16">
      <c r="A129" s="39"/>
      <c r="B129" s="40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28"/>
    </row>
    <row r="130" customFormat="1" spans="1:16">
      <c r="A130" s="39"/>
      <c r="B130" s="40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28"/>
    </row>
    <row r="131" customFormat="1" spans="1:16">
      <c r="A131" s="39"/>
      <c r="B131" s="40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28"/>
    </row>
    <row r="132" customFormat="1" spans="1:16">
      <c r="A132" s="39"/>
      <c r="B132" s="40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28"/>
    </row>
    <row r="133" customFormat="1" spans="1:16">
      <c r="A133" s="39"/>
      <c r="B133" s="40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28"/>
    </row>
    <row r="134" customFormat="1" spans="1:16">
      <c r="A134" s="39"/>
      <c r="B134" s="40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28"/>
    </row>
    <row r="135" customFormat="1" spans="1:16">
      <c r="A135" s="39"/>
      <c r="B135" s="40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28"/>
    </row>
    <row r="136" customFormat="1" spans="1:16">
      <c r="A136" s="39"/>
      <c r="B136" s="40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28"/>
    </row>
    <row r="137" customFormat="1" spans="1:16">
      <c r="A137" s="39"/>
      <c r="B137" s="40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28"/>
    </row>
    <row r="138" customFormat="1" spans="1:16">
      <c r="A138" s="39"/>
      <c r="B138" s="40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28"/>
    </row>
    <row r="139" customFormat="1" spans="1:16">
      <c r="A139" s="39"/>
      <c r="B139" s="40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28"/>
    </row>
    <row r="140" customFormat="1" spans="1:16">
      <c r="A140" s="39"/>
      <c r="B140" s="40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28"/>
    </row>
    <row r="141" customFormat="1" spans="1:16">
      <c r="A141" s="39"/>
      <c r="B141" s="40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28"/>
    </row>
    <row r="142" customFormat="1" spans="1:16">
      <c r="A142" s="39"/>
      <c r="B142" s="40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28"/>
    </row>
    <row r="143" customFormat="1" spans="1:16">
      <c r="A143" s="39"/>
      <c r="B143" s="40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28"/>
    </row>
    <row r="144" customFormat="1" spans="1:16">
      <c r="A144" s="39"/>
      <c r="B144" s="40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28"/>
    </row>
    <row r="145" customFormat="1" spans="1:16">
      <c r="A145" s="39"/>
      <c r="B145" s="40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28"/>
    </row>
    <row r="146" customFormat="1" spans="1:16">
      <c r="A146" s="39"/>
      <c r="B146" s="40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28"/>
    </row>
    <row r="147" customFormat="1" spans="1:16">
      <c r="A147" s="39"/>
      <c r="B147" s="40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28"/>
    </row>
    <row r="148" customFormat="1" spans="1:16">
      <c r="A148" s="39"/>
      <c r="B148" s="40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28"/>
    </row>
    <row r="149" customFormat="1" spans="1:16">
      <c r="A149" s="39"/>
      <c r="B149" s="40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28"/>
    </row>
    <row r="150" customFormat="1" spans="1:16">
      <c r="A150" s="39"/>
      <c r="B150" s="40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28"/>
    </row>
    <row r="151" customFormat="1" spans="1:16">
      <c r="A151" s="39"/>
      <c r="B151" s="40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28"/>
    </row>
    <row r="152" customFormat="1" spans="1:16">
      <c r="A152" s="39"/>
      <c r="B152" s="40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28"/>
    </row>
    <row r="153" customFormat="1" spans="1:16">
      <c r="A153" s="39"/>
      <c r="B153" s="40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28"/>
    </row>
    <row r="154" customFormat="1" spans="1:16">
      <c r="A154" s="39"/>
      <c r="B154" s="40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28"/>
    </row>
    <row r="155" customFormat="1" spans="1:16">
      <c r="A155" s="39"/>
      <c r="B155" s="40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28"/>
    </row>
    <row r="156" customFormat="1" spans="1:16">
      <c r="A156" s="39"/>
      <c r="B156" s="40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28"/>
    </row>
    <row r="157" customFormat="1" spans="1:16">
      <c r="A157" s="39"/>
      <c r="B157" s="40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28"/>
    </row>
    <row r="158" customFormat="1" spans="1:16">
      <c r="A158" s="39"/>
      <c r="B158" s="40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28"/>
    </row>
    <row r="159" customFormat="1" spans="1:16">
      <c r="A159" s="39"/>
      <c r="B159" s="40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28"/>
    </row>
    <row r="160" customFormat="1" spans="1:16">
      <c r="A160" s="39"/>
      <c r="B160" s="40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28"/>
    </row>
    <row r="161" customFormat="1" spans="1:16">
      <c r="A161" s="39"/>
      <c r="B161" s="40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28"/>
    </row>
    <row r="162" customFormat="1" spans="1:16">
      <c r="A162" s="39"/>
      <c r="B162" s="40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28"/>
    </row>
    <row r="163" customFormat="1" spans="1:16">
      <c r="A163" s="39"/>
      <c r="B163" s="40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28"/>
    </row>
    <row r="164" customFormat="1" spans="1:16">
      <c r="A164" s="39"/>
      <c r="B164" s="40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28"/>
    </row>
    <row r="165" customFormat="1" spans="1:16">
      <c r="A165" s="39"/>
      <c r="B165" s="40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28"/>
    </row>
    <row r="166" customFormat="1" spans="1:16">
      <c r="A166" s="39"/>
      <c r="B166" s="40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28"/>
    </row>
    <row r="167" customFormat="1" spans="1:16">
      <c r="A167" s="39"/>
      <c r="B167" s="40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28"/>
    </row>
    <row r="168" customFormat="1" spans="1:16">
      <c r="A168" s="39"/>
      <c r="B168" s="40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28"/>
    </row>
    <row r="169" customFormat="1" spans="1:16">
      <c r="A169" s="39"/>
      <c r="B169" s="40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28"/>
    </row>
    <row r="170" customFormat="1" spans="1:16">
      <c r="A170" s="39"/>
      <c r="B170" s="40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28"/>
    </row>
    <row r="171" customFormat="1" spans="1:16">
      <c r="A171" s="39"/>
      <c r="B171" s="40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28"/>
    </row>
    <row r="172" customFormat="1" spans="1:16">
      <c r="A172" s="39"/>
      <c r="B172" s="40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28"/>
    </row>
    <row r="173" customFormat="1" spans="1:16">
      <c r="A173" s="39"/>
      <c r="B173" s="40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28"/>
    </row>
    <row r="174" customFormat="1" spans="1:16">
      <c r="A174" s="39"/>
      <c r="B174" s="40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28"/>
    </row>
    <row r="175" customFormat="1" spans="1:16">
      <c r="A175" s="39"/>
      <c r="B175" s="40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28"/>
    </row>
    <row r="176" customFormat="1" spans="1:16">
      <c r="A176" s="39"/>
      <c r="B176" s="40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28"/>
    </row>
    <row r="177" customFormat="1" spans="1:16">
      <c r="A177" s="39"/>
      <c r="B177" s="40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28"/>
    </row>
    <row r="178" customFormat="1" spans="1:16">
      <c r="A178" s="39"/>
      <c r="B178" s="40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28"/>
    </row>
    <row r="179" customFormat="1" spans="1:16">
      <c r="A179" s="39"/>
      <c r="B179" s="40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28"/>
    </row>
    <row r="180" customFormat="1" spans="1:16">
      <c r="A180" s="39"/>
      <c r="B180" s="40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28"/>
    </row>
    <row r="181" customFormat="1" spans="1:16">
      <c r="A181" s="39"/>
      <c r="B181" s="40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28"/>
    </row>
    <row r="182" customFormat="1" spans="1:16">
      <c r="A182" s="39"/>
      <c r="B182" s="40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28"/>
    </row>
    <row r="183" customFormat="1" spans="1:16">
      <c r="A183" s="39"/>
      <c r="B183" s="40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28"/>
    </row>
    <row r="184" customFormat="1" spans="1:16">
      <c r="A184" s="39"/>
      <c r="B184" s="40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28"/>
    </row>
    <row r="185" customFormat="1" spans="1:16">
      <c r="A185" s="39"/>
      <c r="B185" s="40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28"/>
    </row>
    <row r="186" customFormat="1" spans="1:16">
      <c r="A186" s="39"/>
      <c r="B186" s="40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28"/>
    </row>
    <row r="187" customFormat="1" spans="1:16">
      <c r="A187" s="39"/>
      <c r="B187" s="40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28"/>
    </row>
    <row r="188" customFormat="1" spans="1:16">
      <c r="A188" s="39"/>
      <c r="B188" s="40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28"/>
    </row>
    <row r="189" customFormat="1" spans="1:16">
      <c r="A189" s="39"/>
      <c r="B189" s="40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28"/>
    </row>
    <row r="190" customFormat="1" spans="1:16">
      <c r="A190" s="39"/>
      <c r="B190" s="40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28"/>
    </row>
    <row r="191" customFormat="1" spans="1:16">
      <c r="A191" s="39"/>
      <c r="B191" s="40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28"/>
    </row>
    <row r="192" customFormat="1" spans="1:16">
      <c r="A192" s="39"/>
      <c r="B192" s="40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28"/>
    </row>
    <row r="193" customFormat="1" spans="1:16">
      <c r="A193" s="39"/>
      <c r="B193" s="40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28"/>
    </row>
    <row r="194" customFormat="1" spans="1:16">
      <c r="A194" s="39"/>
      <c r="B194" s="4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28"/>
    </row>
    <row r="195" customFormat="1" spans="1:16">
      <c r="A195" s="39"/>
      <c r="B195" s="40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28"/>
    </row>
    <row r="196" customFormat="1" spans="1:16">
      <c r="A196" s="39"/>
      <c r="B196" s="40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28"/>
    </row>
    <row r="197" customFormat="1" spans="1:16">
      <c r="A197" s="39"/>
      <c r="B197" s="40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28"/>
    </row>
    <row r="198" customFormat="1" spans="1:16">
      <c r="A198" s="39"/>
      <c r="B198" s="40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28"/>
    </row>
    <row r="199" customFormat="1" spans="1:16">
      <c r="A199" s="39"/>
      <c r="B199" s="40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28"/>
    </row>
    <row r="200" customFormat="1" spans="1:16">
      <c r="A200" s="39"/>
      <c r="B200" s="40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28"/>
    </row>
    <row r="201" customFormat="1" spans="1:16">
      <c r="A201" s="39"/>
      <c r="B201" s="4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28"/>
    </row>
    <row r="202" customFormat="1" spans="1:16">
      <c r="A202" s="39"/>
      <c r="B202" s="4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28"/>
    </row>
    <row r="203" customFormat="1" spans="1:16">
      <c r="A203" s="39"/>
      <c r="B203" s="40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28"/>
    </row>
    <row r="204" customFormat="1" spans="1:16">
      <c r="A204" s="39"/>
      <c r="B204" s="40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28"/>
    </row>
    <row r="205" customFormat="1" spans="1:16">
      <c r="A205" s="39"/>
      <c r="B205" s="40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28"/>
    </row>
    <row r="206" customFormat="1" spans="1:16">
      <c r="A206" s="39"/>
      <c r="B206" s="40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28"/>
    </row>
    <row r="207" customFormat="1" spans="1:16">
      <c r="A207" s="39"/>
      <c r="B207" s="40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28"/>
    </row>
    <row r="208" customFormat="1" spans="1:16">
      <c r="A208" s="39"/>
      <c r="B208" s="40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28"/>
    </row>
    <row r="209" customFormat="1" spans="1:16">
      <c r="A209" s="39"/>
      <c r="B209" s="40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28"/>
    </row>
    <row r="210" customFormat="1" spans="1:16">
      <c r="A210" s="39"/>
      <c r="B210" s="40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28"/>
    </row>
    <row r="211" customFormat="1" spans="1:16">
      <c r="A211" s="39"/>
      <c r="B211" s="40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28"/>
    </row>
    <row r="212" customFormat="1" spans="1:16">
      <c r="A212" s="39"/>
      <c r="B212" s="40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28"/>
    </row>
    <row r="213" customFormat="1" spans="1:16">
      <c r="A213" s="39"/>
      <c r="B213" s="40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28"/>
    </row>
    <row r="214" customFormat="1" spans="1:16">
      <c r="A214" s="39"/>
      <c r="B214" s="40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28"/>
    </row>
    <row r="215" customFormat="1" spans="1:16">
      <c r="A215" s="39"/>
      <c r="B215" s="40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28"/>
    </row>
    <row r="216" customFormat="1" spans="1:16">
      <c r="A216" s="39"/>
      <c r="B216" s="40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28"/>
    </row>
    <row r="217" customFormat="1" spans="1:16">
      <c r="A217" s="39"/>
      <c r="B217" s="40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28"/>
    </row>
    <row r="218" customFormat="1" spans="1:16">
      <c r="A218" s="39"/>
      <c r="B218" s="40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28"/>
    </row>
    <row r="219" customFormat="1" spans="1:16">
      <c r="A219" s="39"/>
      <c r="B219" s="40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28"/>
    </row>
    <row r="220" customFormat="1" spans="1:16">
      <c r="A220" s="39"/>
      <c r="B220" s="40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28"/>
    </row>
    <row r="221" customFormat="1" spans="1:16">
      <c r="A221" s="39"/>
      <c r="B221" s="40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28"/>
    </row>
    <row r="222" customFormat="1" spans="1:16">
      <c r="A222" s="39"/>
      <c r="B222" s="40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28"/>
    </row>
    <row r="223" customFormat="1" spans="1:16">
      <c r="A223" s="39"/>
      <c r="B223" s="40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28"/>
    </row>
    <row r="224" customFormat="1" spans="1:16">
      <c r="A224" s="39"/>
      <c r="B224" s="40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28"/>
    </row>
    <row r="225" customFormat="1" spans="1:16">
      <c r="A225" s="39"/>
      <c r="B225" s="40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28"/>
    </row>
    <row r="226" customFormat="1" spans="1:16">
      <c r="A226" s="39"/>
      <c r="B226" s="40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28"/>
    </row>
    <row r="227" customFormat="1" spans="1:16">
      <c r="A227" s="39"/>
      <c r="B227" s="40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28"/>
    </row>
    <row r="228" customFormat="1" spans="1:16">
      <c r="A228" s="39"/>
      <c r="B228" s="40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28"/>
    </row>
    <row r="229" customFormat="1" spans="1:16">
      <c r="A229" s="39"/>
      <c r="B229" s="40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28"/>
    </row>
    <row r="230" customFormat="1" spans="1:16">
      <c r="A230" s="39"/>
      <c r="B230" s="40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28"/>
    </row>
    <row r="231" customFormat="1" spans="1:16">
      <c r="A231" s="39"/>
      <c r="B231" s="40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28"/>
    </row>
    <row r="232" customFormat="1" spans="1:16">
      <c r="A232" s="39"/>
      <c r="B232" s="40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28"/>
    </row>
    <row r="233" customFormat="1" spans="1:16">
      <c r="A233" s="39"/>
      <c r="B233" s="40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28"/>
    </row>
    <row r="234" customFormat="1" spans="1:16">
      <c r="A234" s="39"/>
      <c r="B234" s="40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28"/>
    </row>
    <row r="235" customFormat="1" spans="1:16">
      <c r="A235" s="39"/>
      <c r="B235" s="40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28"/>
    </row>
    <row r="236" customFormat="1" spans="1:16">
      <c r="A236" s="39"/>
      <c r="B236" s="40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28"/>
    </row>
    <row r="237" customFormat="1" spans="1:16">
      <c r="A237" s="39"/>
      <c r="B237" s="40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28"/>
    </row>
    <row r="238" customFormat="1" spans="1:16">
      <c r="A238" s="39"/>
      <c r="B238" s="40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28"/>
    </row>
    <row r="239" customFormat="1" spans="1:16">
      <c r="A239" s="39"/>
      <c r="B239" s="40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28"/>
    </row>
    <row r="240" customFormat="1" spans="1:16">
      <c r="A240" s="39"/>
      <c r="B240" s="40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28"/>
    </row>
    <row r="241" customFormat="1" spans="1:16">
      <c r="A241" s="39"/>
      <c r="B241" s="40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28"/>
    </row>
    <row r="242" customFormat="1" spans="1:16">
      <c r="A242" s="39"/>
      <c r="B242" s="40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28"/>
    </row>
    <row r="243" customFormat="1" spans="1:16">
      <c r="A243" s="39"/>
      <c r="B243" s="40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28"/>
    </row>
    <row r="244" customFormat="1" spans="1:16">
      <c r="A244" s="39"/>
      <c r="B244" s="40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28"/>
    </row>
    <row r="245" customFormat="1" spans="1:16">
      <c r="A245" s="39"/>
      <c r="B245" s="40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28"/>
    </row>
    <row r="246" customFormat="1" spans="1:16">
      <c r="A246" s="39"/>
      <c r="B246" s="40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28"/>
    </row>
    <row r="247" customFormat="1" spans="1:16">
      <c r="A247" s="39"/>
      <c r="B247" s="40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28"/>
    </row>
    <row r="248" customFormat="1" spans="1:16">
      <c r="A248" s="39"/>
      <c r="B248" s="40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28"/>
    </row>
    <row r="249" customFormat="1" spans="1:16">
      <c r="A249" s="39"/>
      <c r="B249" s="40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28"/>
    </row>
    <row r="250" customFormat="1" spans="1:16">
      <c r="A250" s="39"/>
      <c r="B250" s="40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28"/>
    </row>
    <row r="251" customFormat="1" spans="1:16">
      <c r="A251" s="39"/>
      <c r="B251" s="40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28"/>
    </row>
    <row r="252" customFormat="1" spans="1:16">
      <c r="A252" s="39"/>
      <c r="B252" s="40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28"/>
    </row>
    <row r="253" customFormat="1" spans="1:16">
      <c r="A253" s="39"/>
      <c r="B253" s="40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28"/>
    </row>
    <row r="254" customFormat="1" spans="1:16">
      <c r="A254" s="39"/>
      <c r="B254" s="40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28"/>
    </row>
    <row r="255" customFormat="1" spans="1:16">
      <c r="A255" s="39"/>
      <c r="B255" s="40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28"/>
    </row>
    <row r="256" customFormat="1" spans="1:16">
      <c r="A256" s="39"/>
      <c r="B256" s="40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28"/>
    </row>
    <row r="257" customFormat="1" spans="1:16">
      <c r="A257" s="39"/>
      <c r="B257" s="40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28"/>
    </row>
    <row r="258" customFormat="1" spans="1:16">
      <c r="A258" s="39"/>
      <c r="B258" s="40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28"/>
    </row>
    <row r="259" customFormat="1" spans="1:16">
      <c r="A259" s="39"/>
      <c r="B259" s="40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28"/>
    </row>
    <row r="260" customFormat="1" spans="1:16">
      <c r="A260" s="39"/>
      <c r="B260" s="40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28"/>
    </row>
    <row r="261" customFormat="1" spans="1:16">
      <c r="A261" s="39"/>
      <c r="B261" s="40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28"/>
    </row>
    <row r="262" customFormat="1" spans="1:16">
      <c r="A262" s="39"/>
      <c r="B262" s="40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28"/>
    </row>
    <row r="263" customFormat="1" spans="1:16">
      <c r="A263" s="39"/>
      <c r="B263" s="40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28"/>
    </row>
    <row r="264" customFormat="1" spans="1:16">
      <c r="A264" s="39"/>
      <c r="B264" s="40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28"/>
    </row>
    <row r="265" customFormat="1" spans="1:16">
      <c r="A265" s="39"/>
      <c r="B265" s="40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28"/>
    </row>
    <row r="266" customFormat="1" spans="1:16">
      <c r="A266" s="39"/>
      <c r="B266" s="40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28"/>
    </row>
    <row r="267" customFormat="1" spans="1:16">
      <c r="A267" s="39"/>
      <c r="B267" s="40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28"/>
    </row>
    <row r="268" customFormat="1" spans="1:16">
      <c r="A268" s="39"/>
      <c r="B268" s="40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28"/>
    </row>
    <row r="269" customFormat="1" spans="1:16">
      <c r="A269" s="39"/>
      <c r="B269" s="40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28"/>
    </row>
    <row r="270" customFormat="1" spans="1:16">
      <c r="A270" s="39"/>
      <c r="B270" s="40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28"/>
    </row>
    <row r="271" customFormat="1" spans="1:16">
      <c r="A271" s="39"/>
      <c r="B271" s="40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28"/>
    </row>
    <row r="272" customFormat="1" spans="1:16">
      <c r="A272" s="39"/>
      <c r="B272" s="40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28"/>
    </row>
    <row r="273" customFormat="1" spans="1:16">
      <c r="A273" s="39"/>
      <c r="B273" s="40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28"/>
    </row>
    <row r="274" customFormat="1" spans="1:16">
      <c r="A274" s="39"/>
      <c r="B274" s="40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28"/>
    </row>
    <row r="275" customFormat="1" spans="1:16">
      <c r="A275" s="39"/>
      <c r="B275" s="40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28"/>
    </row>
    <row r="276" customFormat="1" spans="1:16">
      <c r="A276" s="39"/>
      <c r="B276" s="40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28"/>
    </row>
    <row r="277" customFormat="1" spans="1:16">
      <c r="A277" s="39"/>
      <c r="B277" s="40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28"/>
    </row>
    <row r="278" customFormat="1" spans="1:16">
      <c r="A278" s="39"/>
      <c r="B278" s="40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28"/>
    </row>
    <row r="279" customFormat="1" spans="1:16">
      <c r="A279" s="39"/>
      <c r="B279" s="40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28"/>
    </row>
    <row r="280" customFormat="1" spans="1:16">
      <c r="A280" s="39"/>
      <c r="B280" s="40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28"/>
    </row>
    <row r="281" customFormat="1" spans="1:16">
      <c r="A281" s="39"/>
      <c r="B281" s="40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28"/>
    </row>
    <row r="282" customFormat="1" spans="1:16">
      <c r="A282" s="39"/>
      <c r="B282" s="40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28"/>
    </row>
    <row r="283" customFormat="1" spans="1:16">
      <c r="A283" s="39"/>
      <c r="B283" s="40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28"/>
    </row>
    <row r="284" customFormat="1" spans="1:16">
      <c r="A284" s="39"/>
      <c r="B284" s="40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28"/>
    </row>
    <row r="285" customFormat="1" spans="1:16">
      <c r="A285" s="39"/>
      <c r="B285" s="40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28"/>
    </row>
    <row r="286" customFormat="1" spans="1:16">
      <c r="A286" s="39"/>
      <c r="B286" s="40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28"/>
    </row>
    <row r="287" customFormat="1" spans="1:16">
      <c r="A287" s="39"/>
      <c r="B287" s="40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28"/>
    </row>
    <row r="288" customFormat="1" spans="1:16">
      <c r="A288" s="39"/>
      <c r="B288" s="40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28"/>
    </row>
    <row r="289" customFormat="1" spans="1:16">
      <c r="A289" s="39"/>
      <c r="B289" s="40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28"/>
    </row>
    <row r="290" customFormat="1" spans="1:16">
      <c r="A290" s="39"/>
      <c r="B290" s="40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28"/>
    </row>
    <row r="291" customFormat="1" spans="1:16">
      <c r="A291" s="39"/>
      <c r="B291" s="40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28"/>
    </row>
    <row r="292" customFormat="1" spans="1:16">
      <c r="A292" s="39"/>
      <c r="B292" s="40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28"/>
    </row>
    <row r="293" customFormat="1" spans="1:16">
      <c r="A293" s="39"/>
      <c r="B293" s="40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28"/>
    </row>
    <row r="294" customFormat="1" spans="1:16">
      <c r="A294" s="39"/>
      <c r="B294" s="40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28"/>
    </row>
    <row r="295" customFormat="1" spans="1:16">
      <c r="A295" s="39"/>
      <c r="B295" s="40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28"/>
    </row>
    <row r="296" customFormat="1" spans="1:16">
      <c r="A296" s="39"/>
      <c r="B296" s="40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28"/>
    </row>
    <row r="297" customFormat="1" spans="1:16">
      <c r="A297" s="39"/>
      <c r="B297" s="40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28"/>
    </row>
    <row r="298" customFormat="1" spans="1:16">
      <c r="A298" s="39"/>
      <c r="B298" s="40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28"/>
    </row>
    <row r="299" customFormat="1" spans="1:16">
      <c r="A299" s="39"/>
      <c r="B299" s="40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28"/>
    </row>
    <row r="300" customFormat="1" spans="1:16">
      <c r="A300" s="39"/>
      <c r="B300" s="40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28"/>
    </row>
    <row r="301" customFormat="1" spans="1:16">
      <c r="A301" s="39"/>
      <c r="B301" s="40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28"/>
    </row>
    <row r="302" customFormat="1" spans="1:16">
      <c r="A302" s="39"/>
      <c r="B302" s="40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28"/>
    </row>
    <row r="303" customFormat="1" spans="1:16">
      <c r="A303" s="39"/>
      <c r="B303" s="40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28"/>
    </row>
    <row r="304" customFormat="1" spans="1:16">
      <c r="A304" s="39"/>
      <c r="B304" s="40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28"/>
    </row>
    <row r="305" customFormat="1" spans="1:16">
      <c r="A305" s="39"/>
      <c r="B305" s="40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28"/>
    </row>
    <row r="306" customFormat="1" spans="1:16">
      <c r="A306" s="39"/>
      <c r="B306" s="40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28"/>
    </row>
    <row r="307" customFormat="1" spans="1:16">
      <c r="A307" s="39"/>
      <c r="B307" s="40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28"/>
    </row>
    <row r="308" customFormat="1" spans="1:16">
      <c r="A308" s="39"/>
      <c r="B308" s="40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28"/>
    </row>
    <row r="309" customFormat="1" spans="1:16">
      <c r="A309" s="39"/>
      <c r="B309" s="40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28"/>
    </row>
    <row r="310" customFormat="1" spans="1:16">
      <c r="A310" s="39"/>
      <c r="B310" s="40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28"/>
    </row>
    <row r="311" customFormat="1" spans="1:16">
      <c r="A311" s="39"/>
      <c r="B311" s="40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28"/>
    </row>
    <row r="312" customFormat="1" spans="1:16">
      <c r="A312" s="39"/>
      <c r="B312" s="40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28"/>
    </row>
    <row r="313" customFormat="1" spans="1:16">
      <c r="A313" s="39"/>
      <c r="B313" s="40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28"/>
    </row>
    <row r="314" customFormat="1" spans="1:16">
      <c r="A314" s="39"/>
      <c r="B314" s="40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28"/>
    </row>
    <row r="315" customFormat="1" spans="1:16">
      <c r="A315" s="39"/>
      <c r="B315" s="40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28"/>
    </row>
    <row r="316" customFormat="1" spans="1:16">
      <c r="A316" s="39"/>
      <c r="B316" s="40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28"/>
    </row>
    <row r="317" customFormat="1" spans="1:16">
      <c r="A317" s="39"/>
      <c r="B317" s="40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28"/>
    </row>
    <row r="318" customFormat="1" spans="1:16">
      <c r="A318" s="39"/>
      <c r="B318" s="40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28"/>
    </row>
    <row r="319" customFormat="1" spans="1:16">
      <c r="A319" s="39"/>
      <c r="B319" s="40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28"/>
    </row>
    <row r="320" customFormat="1" spans="1:16">
      <c r="A320" s="39"/>
      <c r="B320" s="40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28"/>
    </row>
    <row r="321" customFormat="1" spans="1:16">
      <c r="A321" s="39"/>
      <c r="B321" s="40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28"/>
    </row>
    <row r="322" customFormat="1" spans="1:16">
      <c r="A322" s="39"/>
      <c r="B322" s="40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28"/>
    </row>
    <row r="323" customFormat="1" spans="1:16">
      <c r="A323" s="39"/>
      <c r="B323" s="40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28"/>
    </row>
    <row r="324" customFormat="1" spans="1:16">
      <c r="A324" s="39"/>
      <c r="B324" s="40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28"/>
    </row>
    <row r="325" customFormat="1" spans="1:16">
      <c r="A325" s="39"/>
      <c r="B325" s="40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28"/>
    </row>
    <row r="326" customFormat="1" spans="1:16">
      <c r="A326" s="39"/>
      <c r="B326" s="40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28"/>
    </row>
    <row r="327" customFormat="1" spans="1:16">
      <c r="A327" s="39"/>
      <c r="B327" s="40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28"/>
    </row>
    <row r="328" customFormat="1" spans="1:16">
      <c r="A328" s="39"/>
      <c r="B328" s="40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28"/>
    </row>
    <row r="329" customFormat="1" spans="1:16">
      <c r="A329" s="39"/>
      <c r="B329" s="40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28"/>
    </row>
    <row r="330" customFormat="1" spans="1:16">
      <c r="A330" s="39"/>
      <c r="B330" s="40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28"/>
    </row>
    <row r="331" customFormat="1" spans="1:16">
      <c r="A331" s="39"/>
      <c r="B331" s="40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28"/>
    </row>
    <row r="332" customFormat="1" spans="1:16">
      <c r="A332" s="39"/>
      <c r="B332" s="40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28"/>
    </row>
    <row r="333" customFormat="1" spans="1:16">
      <c r="A333" s="39"/>
      <c r="B333" s="40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28"/>
    </row>
    <row r="334" customFormat="1" spans="1:16">
      <c r="A334" s="39"/>
      <c r="B334" s="40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28"/>
    </row>
    <row r="335" customFormat="1" spans="1:16">
      <c r="A335" s="39"/>
      <c r="B335" s="40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28"/>
    </row>
    <row r="336" customFormat="1" spans="1:16">
      <c r="A336" s="39"/>
      <c r="B336" s="40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28"/>
    </row>
    <row r="337" customFormat="1" spans="1:16">
      <c r="A337" s="39"/>
      <c r="B337" s="40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28"/>
    </row>
    <row r="338" customFormat="1" spans="1:16">
      <c r="A338" s="39"/>
      <c r="B338" s="40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28"/>
    </row>
    <row r="339" customFormat="1" spans="1:16">
      <c r="A339" s="39"/>
      <c r="B339" s="40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28"/>
    </row>
    <row r="340" customFormat="1" spans="1:16">
      <c r="A340" s="39"/>
      <c r="B340" s="40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28"/>
    </row>
    <row r="341" customFormat="1" spans="1:16">
      <c r="A341" s="39"/>
      <c r="B341" s="40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28"/>
    </row>
    <row r="342" customFormat="1" spans="1:16">
      <c r="A342" s="39"/>
      <c r="B342" s="40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28"/>
    </row>
    <row r="343" customFormat="1" spans="1:16">
      <c r="A343" s="39"/>
      <c r="B343" s="40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28"/>
    </row>
    <row r="344" customFormat="1" spans="1:16">
      <c r="A344" s="39"/>
      <c r="B344" s="40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28"/>
    </row>
    <row r="345" customFormat="1" spans="1:16">
      <c r="A345" s="39"/>
      <c r="B345" s="40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28"/>
    </row>
    <row r="346" customFormat="1" spans="1:16">
      <c r="A346" s="39"/>
      <c r="B346" s="40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28"/>
    </row>
    <row r="347" customFormat="1" spans="1:16">
      <c r="A347" s="39"/>
      <c r="B347" s="40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28"/>
    </row>
    <row r="348" customFormat="1" spans="1:16">
      <c r="A348" s="39"/>
      <c r="B348" s="40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28"/>
    </row>
    <row r="349" customFormat="1" spans="1:16">
      <c r="A349" s="39"/>
      <c r="B349" s="40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28"/>
    </row>
    <row r="350" customFormat="1" spans="1:16">
      <c r="A350" s="39"/>
      <c r="B350" s="40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28"/>
    </row>
    <row r="351" customFormat="1" spans="1:16">
      <c r="A351" s="39"/>
      <c r="B351" s="40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28"/>
    </row>
    <row r="352" customFormat="1" spans="1:16">
      <c r="A352" s="39"/>
      <c r="B352" s="40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28"/>
    </row>
    <row r="353" customFormat="1" spans="1:16">
      <c r="A353" s="39"/>
      <c r="B353" s="40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28"/>
    </row>
    <row r="354" customFormat="1" spans="1:16">
      <c r="A354" s="39"/>
      <c r="B354" s="40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28"/>
    </row>
    <row r="355" customFormat="1" spans="1:16">
      <c r="A355" s="39"/>
      <c r="B355" s="40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28"/>
    </row>
    <row r="356" customFormat="1" spans="1:16">
      <c r="A356" s="39"/>
      <c r="B356" s="40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28"/>
    </row>
    <row r="357" customFormat="1" spans="1:16">
      <c r="A357" s="39"/>
      <c r="B357" s="40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28"/>
    </row>
    <row r="358" customFormat="1" spans="1:16">
      <c r="A358" s="39"/>
      <c r="B358" s="40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28"/>
    </row>
    <row r="359" customFormat="1" spans="1:16">
      <c r="A359" s="39"/>
      <c r="B359" s="40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28"/>
    </row>
    <row r="360" customFormat="1" spans="1:16">
      <c r="A360" s="39"/>
      <c r="B360" s="40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28"/>
    </row>
    <row r="361" customFormat="1" spans="1:16">
      <c r="A361" s="39"/>
      <c r="B361" s="40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28"/>
    </row>
    <row r="362" customFormat="1" spans="1:16">
      <c r="A362" s="39"/>
      <c r="B362" s="40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28"/>
    </row>
    <row r="363" customFormat="1" spans="1:16">
      <c r="A363" s="39"/>
      <c r="B363" s="40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28"/>
    </row>
    <row r="364" customFormat="1" spans="1:16">
      <c r="A364" s="39"/>
      <c r="B364" s="40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28"/>
    </row>
    <row r="365" customFormat="1" spans="1:16">
      <c r="A365" s="39"/>
      <c r="B365" s="40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28"/>
    </row>
    <row r="366" customFormat="1" spans="1:16">
      <c r="A366" s="39"/>
      <c r="B366" s="40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28"/>
    </row>
    <row r="367" customFormat="1" spans="1:16">
      <c r="A367" s="39"/>
      <c r="B367" s="40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28"/>
    </row>
    <row r="368" customFormat="1" spans="1:16">
      <c r="A368" s="39"/>
      <c r="B368" s="40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28"/>
    </row>
    <row r="369" customFormat="1" spans="1:16">
      <c r="A369" s="39"/>
      <c r="B369" s="40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28"/>
    </row>
    <row r="370" customFormat="1" spans="1:16">
      <c r="A370" s="39"/>
      <c r="B370" s="40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28"/>
    </row>
    <row r="371" customFormat="1" spans="1:16">
      <c r="A371" s="39"/>
      <c r="B371" s="40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28"/>
    </row>
    <row r="372" customFormat="1" spans="1:16">
      <c r="A372" s="39"/>
      <c r="B372" s="40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28"/>
    </row>
    <row r="373" customFormat="1" spans="1:16">
      <c r="A373" s="39"/>
      <c r="B373" s="40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28"/>
    </row>
    <row r="374" customFormat="1" spans="1:16">
      <c r="A374" s="39"/>
      <c r="B374" s="40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28"/>
    </row>
    <row r="375" customFormat="1" spans="1:16">
      <c r="A375" s="39"/>
      <c r="B375" s="40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28"/>
    </row>
    <row r="376" customFormat="1" spans="1:16">
      <c r="A376" s="39"/>
      <c r="B376" s="40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28"/>
    </row>
    <row r="377" customFormat="1" spans="1:16">
      <c r="A377" s="39"/>
      <c r="B377" s="40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28"/>
    </row>
    <row r="378" customFormat="1" spans="1:16">
      <c r="A378" s="39"/>
      <c r="B378" s="40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28"/>
    </row>
    <row r="379" customFormat="1" spans="1:16">
      <c r="A379" s="39"/>
      <c r="B379" s="40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28"/>
    </row>
    <row r="380" customFormat="1" spans="1:16">
      <c r="A380" s="39"/>
      <c r="B380" s="40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28"/>
    </row>
    <row r="381" customFormat="1" spans="1:16">
      <c r="A381" s="39"/>
      <c r="B381" s="40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28"/>
    </row>
    <row r="382" customFormat="1" spans="1:16">
      <c r="A382" s="39"/>
      <c r="B382" s="40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28"/>
    </row>
    <row r="383" customFormat="1" spans="1:16">
      <c r="A383" s="39"/>
      <c r="B383" s="40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28"/>
    </row>
    <row r="384" customFormat="1" spans="1:16">
      <c r="A384" s="39"/>
      <c r="B384" s="40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28"/>
    </row>
    <row r="385" customFormat="1" spans="1:16">
      <c r="A385" s="39"/>
      <c r="B385" s="40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28"/>
    </row>
    <row r="386" customFormat="1" spans="1:16">
      <c r="A386" s="39"/>
      <c r="B386" s="40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28"/>
    </row>
    <row r="387" customFormat="1" spans="1:16">
      <c r="A387" s="39"/>
      <c r="B387" s="40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28"/>
    </row>
    <row r="388" customFormat="1" spans="1:16">
      <c r="A388" s="39"/>
      <c r="B388" s="40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28"/>
    </row>
    <row r="389" customFormat="1" spans="1:16">
      <c r="A389" s="39"/>
      <c r="B389" s="40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28"/>
    </row>
    <row r="390" customFormat="1" spans="1:16">
      <c r="A390" s="39"/>
      <c r="B390" s="40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28"/>
    </row>
    <row r="391" customFormat="1" spans="1:16">
      <c r="A391" s="39"/>
      <c r="B391" s="40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28"/>
    </row>
    <row r="392" customFormat="1" spans="1:16">
      <c r="A392" s="39"/>
      <c r="B392" s="40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28"/>
    </row>
    <row r="393" customFormat="1" spans="1:16">
      <c r="A393" s="39"/>
      <c r="B393" s="40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28"/>
    </row>
    <row r="394" customFormat="1" spans="1:16">
      <c r="A394" s="39"/>
      <c r="B394" s="40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28"/>
    </row>
    <row r="395" customFormat="1" spans="1:16">
      <c r="A395" s="39"/>
      <c r="B395" s="40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28"/>
    </row>
    <row r="396" customFormat="1" spans="1:16">
      <c r="A396" s="39"/>
      <c r="B396" s="40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28"/>
    </row>
    <row r="397" customFormat="1" spans="1:16">
      <c r="A397" s="39"/>
      <c r="B397" s="40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28"/>
    </row>
    <row r="398" customFormat="1" spans="1:16">
      <c r="A398" s="39"/>
      <c r="B398" s="40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28"/>
    </row>
    <row r="399" customFormat="1" spans="1:16">
      <c r="A399" s="39"/>
      <c r="B399" s="40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28"/>
    </row>
    <row r="400" customFormat="1" spans="1:16">
      <c r="A400" s="39"/>
      <c r="B400" s="40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28"/>
    </row>
    <row r="401" customFormat="1" spans="1:16">
      <c r="A401" s="39"/>
      <c r="B401" s="40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28"/>
    </row>
    <row r="402" customFormat="1" spans="1:16">
      <c r="A402" s="39"/>
      <c r="B402" s="40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28"/>
    </row>
    <row r="403" customFormat="1" spans="1:16">
      <c r="A403" s="39"/>
      <c r="B403" s="40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28"/>
    </row>
    <row r="404" customFormat="1" spans="1:16">
      <c r="A404" s="39"/>
      <c r="B404" s="40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28"/>
    </row>
    <row r="405" customFormat="1" spans="1:16">
      <c r="A405" s="39"/>
      <c r="B405" s="40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28"/>
    </row>
    <row r="406" customFormat="1" spans="1:16">
      <c r="A406" s="39"/>
      <c r="B406" s="40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28"/>
    </row>
    <row r="407" customFormat="1" spans="1:16">
      <c r="A407" s="39"/>
      <c r="B407" s="40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28"/>
    </row>
    <row r="408" customFormat="1" spans="1:16">
      <c r="A408" s="39"/>
      <c r="B408" s="40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28"/>
    </row>
    <row r="409" customFormat="1" spans="1:16">
      <c r="A409" s="39"/>
      <c r="B409" s="40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28"/>
    </row>
    <row r="410" customFormat="1" spans="1:16">
      <c r="A410" s="39"/>
      <c r="B410" s="40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28"/>
    </row>
    <row r="411" customFormat="1" spans="1:16">
      <c r="A411" s="39"/>
      <c r="B411" s="40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28"/>
    </row>
    <row r="412" customFormat="1" spans="1:16">
      <c r="A412" s="39"/>
      <c r="B412" s="40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28"/>
    </row>
    <row r="413" customFormat="1" spans="1:16">
      <c r="A413" s="39"/>
      <c r="B413" s="40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28"/>
    </row>
    <row r="414" customFormat="1" spans="1:16">
      <c r="A414" s="39"/>
      <c r="B414" s="40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28"/>
    </row>
    <row r="415" customFormat="1" spans="1:16">
      <c r="A415" s="39"/>
      <c r="B415" s="40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28"/>
    </row>
    <row r="416" customFormat="1" spans="1:16">
      <c r="A416" s="39"/>
      <c r="B416" s="40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28"/>
    </row>
    <row r="417" customFormat="1" spans="1:16">
      <c r="A417" s="39"/>
      <c r="B417" s="40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28"/>
    </row>
    <row r="418" customFormat="1" spans="1:16">
      <c r="A418" s="39"/>
      <c r="B418" s="40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28"/>
    </row>
    <row r="419" customFormat="1" spans="1:16">
      <c r="A419" s="39"/>
      <c r="B419" s="40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28"/>
    </row>
    <row r="420" customFormat="1" spans="1:16">
      <c r="A420" s="39"/>
      <c r="B420" s="40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28"/>
    </row>
    <row r="421" customFormat="1" spans="1:16">
      <c r="A421" s="39"/>
      <c r="B421" s="40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28"/>
    </row>
    <row r="422" customFormat="1" spans="1:16">
      <c r="A422" s="39"/>
      <c r="B422" s="40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28"/>
    </row>
    <row r="423" customFormat="1" spans="1:16">
      <c r="A423" s="39"/>
      <c r="B423" s="40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28"/>
    </row>
    <row r="424" customFormat="1" spans="1:16">
      <c r="A424" s="39"/>
      <c r="B424" s="40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28"/>
    </row>
    <row r="425" customFormat="1" spans="1:16">
      <c r="A425" s="39"/>
      <c r="B425" s="40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28"/>
    </row>
    <row r="426" customFormat="1" spans="1:16">
      <c r="A426" s="39"/>
      <c r="B426" s="40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28"/>
    </row>
    <row r="427" customFormat="1" spans="1:16">
      <c r="A427" s="39"/>
      <c r="B427" s="40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28"/>
    </row>
    <row r="428" customFormat="1" spans="1:16">
      <c r="A428" s="39"/>
      <c r="B428" s="40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28"/>
    </row>
    <row r="429" customFormat="1" spans="1:16">
      <c r="A429" s="39"/>
      <c r="B429" s="40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28"/>
    </row>
    <row r="430" customFormat="1" spans="1:16">
      <c r="A430" s="39"/>
      <c r="B430" s="40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28"/>
    </row>
    <row r="431" customFormat="1" spans="1:16">
      <c r="A431" s="39"/>
      <c r="B431" s="40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28"/>
    </row>
    <row r="432" customFormat="1" spans="1:16">
      <c r="A432" s="39"/>
      <c r="B432" s="40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28"/>
    </row>
    <row r="433" customFormat="1" spans="1:16">
      <c r="A433" s="39"/>
      <c r="B433" s="40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28"/>
    </row>
    <row r="434" customFormat="1" spans="1:16">
      <c r="A434" s="39"/>
      <c r="B434" s="40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28"/>
    </row>
    <row r="435" customFormat="1" spans="1:16">
      <c r="A435" s="39"/>
      <c r="B435" s="40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28"/>
    </row>
    <row r="436" customFormat="1" spans="1:16">
      <c r="A436" s="39"/>
      <c r="B436" s="40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28"/>
    </row>
    <row r="437" customFormat="1" spans="1:16">
      <c r="A437" s="39"/>
      <c r="B437" s="40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28"/>
    </row>
    <row r="438" customFormat="1" spans="1:16">
      <c r="A438" s="39"/>
      <c r="B438" s="40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28"/>
    </row>
    <row r="439" customFormat="1" spans="1:16">
      <c r="A439" s="39"/>
      <c r="B439" s="40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28"/>
    </row>
    <row r="440" customFormat="1" spans="1:16">
      <c r="A440" s="39"/>
      <c r="B440" s="40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28"/>
    </row>
    <row r="441" customFormat="1" spans="1:16">
      <c r="A441" s="39"/>
      <c r="B441" s="40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28"/>
    </row>
    <row r="442" customFormat="1" spans="1:16">
      <c r="A442" s="39"/>
      <c r="B442" s="40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28"/>
    </row>
    <row r="443" customFormat="1" spans="1:16">
      <c r="A443" s="39"/>
      <c r="B443" s="40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28"/>
    </row>
    <row r="444" customFormat="1" spans="1:16">
      <c r="A444" s="39"/>
      <c r="B444" s="40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28"/>
    </row>
    <row r="445" customFormat="1" spans="1:16">
      <c r="A445" s="39"/>
      <c r="B445" s="40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28"/>
    </row>
    <row r="446" customFormat="1" spans="1:16">
      <c r="A446" s="39"/>
      <c r="B446" s="40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28"/>
    </row>
    <row r="447" customFormat="1" spans="1:16">
      <c r="A447" s="39"/>
      <c r="B447" s="40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28"/>
    </row>
    <row r="448" customFormat="1" spans="1:16">
      <c r="A448" s="39"/>
      <c r="B448" s="40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28"/>
    </row>
    <row r="449" customFormat="1" spans="1:16">
      <c r="A449" s="39"/>
      <c r="B449" s="40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28"/>
    </row>
    <row r="450" customFormat="1" spans="1:16">
      <c r="A450" s="39"/>
      <c r="B450" s="40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28"/>
    </row>
    <row r="451" customFormat="1" spans="1:16">
      <c r="A451" s="39"/>
      <c r="B451" s="40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28"/>
    </row>
    <row r="452" customFormat="1" spans="1:16">
      <c r="A452" s="39"/>
      <c r="B452" s="40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28"/>
    </row>
    <row r="453" customFormat="1" spans="1:16">
      <c r="A453" s="39"/>
      <c r="B453" s="40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28"/>
    </row>
    <row r="454" customFormat="1" spans="1:16">
      <c r="A454" s="39"/>
      <c r="B454" s="40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28"/>
    </row>
    <row r="455" customFormat="1" spans="1:16">
      <c r="A455" s="39"/>
      <c r="B455" s="40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28"/>
    </row>
    <row r="456" customFormat="1" spans="1:16">
      <c r="A456" s="39"/>
      <c r="B456" s="40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28"/>
    </row>
    <row r="457" customFormat="1" spans="1:16">
      <c r="A457" s="39"/>
      <c r="B457" s="40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28"/>
    </row>
    <row r="458" customFormat="1" spans="1:16">
      <c r="A458" s="39"/>
      <c r="B458" s="40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28"/>
    </row>
    <row r="459" customFormat="1" spans="1:16">
      <c r="A459" s="39"/>
      <c r="B459" s="40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28"/>
    </row>
    <row r="460" customFormat="1" spans="1:16">
      <c r="A460" s="39"/>
      <c r="B460" s="40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28"/>
    </row>
    <row r="461" customFormat="1" spans="1:16">
      <c r="A461" s="39"/>
      <c r="B461" s="40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28"/>
    </row>
    <row r="462" customFormat="1" spans="1:16">
      <c r="A462" s="39"/>
      <c r="B462" s="40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28"/>
    </row>
    <row r="463" customFormat="1" spans="1:16">
      <c r="A463" s="39"/>
      <c r="B463" s="40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28"/>
    </row>
    <row r="464" customFormat="1" spans="1:16">
      <c r="A464" s="39"/>
      <c r="B464" s="40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28"/>
    </row>
    <row r="465" customFormat="1" spans="1:16">
      <c r="A465" s="39"/>
      <c r="B465" s="40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28"/>
    </row>
    <row r="466" customFormat="1" spans="1:16">
      <c r="A466" s="39"/>
      <c r="B466" s="40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28"/>
    </row>
    <row r="467" customFormat="1" spans="1:16">
      <c r="A467" s="39"/>
      <c r="B467" s="40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28"/>
    </row>
    <row r="468" customFormat="1" spans="1:16">
      <c r="A468" s="39"/>
      <c r="B468" s="40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28"/>
    </row>
    <row r="469" customFormat="1" spans="1:16">
      <c r="A469" s="39"/>
      <c r="B469" s="40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28"/>
    </row>
    <row r="470" customFormat="1" spans="1:16">
      <c r="A470" s="39"/>
      <c r="B470" s="40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28"/>
    </row>
    <row r="471" customFormat="1" spans="1:16">
      <c r="A471" s="39"/>
      <c r="B471" s="40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28"/>
    </row>
    <row r="472" customFormat="1" spans="1:16">
      <c r="A472" s="39"/>
      <c r="B472" s="40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28"/>
    </row>
    <row r="473" customFormat="1" spans="1:16">
      <c r="A473" s="39"/>
      <c r="B473" s="40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28"/>
    </row>
    <row r="474" customFormat="1" spans="1:16">
      <c r="A474" s="39"/>
      <c r="B474" s="40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28"/>
    </row>
    <row r="475" customFormat="1" spans="1:16">
      <c r="A475" s="39"/>
      <c r="B475" s="40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28"/>
    </row>
    <row r="476" customFormat="1" spans="1:16">
      <c r="A476" s="39"/>
      <c r="B476" s="40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28"/>
    </row>
    <row r="477" customFormat="1" spans="1:16">
      <c r="A477" s="39"/>
      <c r="B477" s="40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28"/>
    </row>
    <row r="478" customFormat="1" spans="1:16">
      <c r="A478" s="39"/>
      <c r="B478" s="40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28"/>
    </row>
    <row r="479" customFormat="1" spans="1:16">
      <c r="A479" s="39"/>
      <c r="B479" s="40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28"/>
    </row>
    <row r="480" customFormat="1" spans="1:16">
      <c r="A480" s="39"/>
      <c r="B480" s="40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28"/>
    </row>
    <row r="481" customFormat="1" spans="1:16">
      <c r="A481" s="39"/>
      <c r="B481" s="40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28"/>
    </row>
    <row r="482" customFormat="1" spans="1:16">
      <c r="A482" s="39"/>
      <c r="B482" s="40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28"/>
    </row>
    <row r="483" customFormat="1" spans="1:16">
      <c r="A483" s="39"/>
      <c r="B483" s="40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28"/>
    </row>
    <row r="484" customFormat="1" spans="1:16">
      <c r="A484" s="39"/>
      <c r="B484" s="40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28"/>
    </row>
    <row r="485" customFormat="1" spans="1:16">
      <c r="A485" s="39"/>
      <c r="B485" s="40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28"/>
    </row>
    <row r="486" customFormat="1" spans="1:16">
      <c r="A486" s="39"/>
      <c r="B486" s="40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28"/>
    </row>
    <row r="487" customFormat="1" spans="1:16">
      <c r="A487" s="39"/>
      <c r="B487" s="40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28"/>
    </row>
    <row r="488" customFormat="1" spans="1:16">
      <c r="A488" s="39"/>
      <c r="B488" s="40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28"/>
    </row>
    <row r="489" customFormat="1" spans="1:16">
      <c r="A489" s="39"/>
      <c r="B489" s="40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28"/>
    </row>
    <row r="490" customFormat="1" spans="1:16">
      <c r="A490" s="39"/>
      <c r="B490" s="40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28"/>
    </row>
    <row r="491" customFormat="1" spans="1:16">
      <c r="A491" s="39"/>
      <c r="B491" s="40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28"/>
    </row>
    <row r="492" customFormat="1" spans="1:16">
      <c r="A492" s="39"/>
      <c r="B492" s="40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28"/>
    </row>
    <row r="493" customFormat="1" spans="1:16">
      <c r="A493" s="39"/>
      <c r="B493" s="40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28"/>
    </row>
    <row r="494" customFormat="1" spans="1:16">
      <c r="A494" s="39"/>
      <c r="B494" s="40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28"/>
    </row>
    <row r="495" customFormat="1" spans="1:16">
      <c r="A495" s="39"/>
      <c r="B495" s="40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28"/>
    </row>
    <row r="496" customFormat="1" spans="1:16">
      <c r="A496" s="39"/>
      <c r="B496" s="40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28"/>
    </row>
    <row r="497" customFormat="1" spans="1:16">
      <c r="A497" s="39"/>
      <c r="B497" s="40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28"/>
    </row>
    <row r="498" customFormat="1" spans="1:16">
      <c r="A498" s="39"/>
      <c r="B498" s="40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28"/>
    </row>
    <row r="499" customFormat="1" spans="1:16">
      <c r="A499" s="39"/>
      <c r="B499" s="40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28"/>
    </row>
    <row r="500" customFormat="1" spans="1:16">
      <c r="A500" s="39"/>
      <c r="B500" s="40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28"/>
    </row>
    <row r="501" customFormat="1" spans="1:16">
      <c r="A501" s="39"/>
      <c r="B501" s="40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28"/>
    </row>
    <row r="502" customFormat="1" spans="1:16">
      <c r="A502" s="39"/>
      <c r="B502" s="40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28"/>
    </row>
    <row r="503" customFormat="1" spans="1:16">
      <c r="A503" s="39"/>
      <c r="B503" s="40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28"/>
    </row>
    <row r="504" customFormat="1" spans="1:16">
      <c r="A504" s="39"/>
      <c r="B504" s="40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28"/>
    </row>
    <row r="505" customFormat="1" spans="1:16">
      <c r="A505" s="39"/>
      <c r="B505" s="40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28"/>
    </row>
    <row r="506" customFormat="1" spans="1:16">
      <c r="A506" s="39"/>
      <c r="B506" s="40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28"/>
    </row>
    <row r="507" customFormat="1" spans="1:16">
      <c r="A507" s="39"/>
      <c r="B507" s="40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28"/>
    </row>
    <row r="508" customFormat="1" spans="1:16">
      <c r="A508" s="39"/>
      <c r="B508" s="40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28"/>
    </row>
    <row r="509" customFormat="1" spans="1:16">
      <c r="A509" s="39"/>
      <c r="B509" s="40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28"/>
    </row>
    <row r="510" customFormat="1" spans="1:16">
      <c r="A510" s="39"/>
      <c r="B510" s="40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28"/>
    </row>
    <row r="511" customFormat="1" spans="1:16">
      <c r="A511" s="39"/>
      <c r="B511" s="40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28"/>
    </row>
    <row r="512" customFormat="1" spans="1:16">
      <c r="A512" s="39"/>
      <c r="B512" s="40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28"/>
    </row>
    <row r="513" customFormat="1" spans="1:16">
      <c r="A513" s="39"/>
      <c r="B513" s="40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28"/>
    </row>
    <row r="514" customFormat="1" spans="1:16">
      <c r="A514" s="39"/>
      <c r="B514" s="40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28"/>
    </row>
    <row r="515" customFormat="1" spans="1:16">
      <c r="A515" s="39"/>
      <c r="B515" s="40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28"/>
    </row>
    <row r="516" customFormat="1" spans="1:16">
      <c r="A516" s="39"/>
      <c r="B516" s="40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28"/>
    </row>
    <row r="517" customFormat="1" spans="1:16">
      <c r="A517" s="39"/>
      <c r="B517" s="40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28"/>
    </row>
    <row r="518" customFormat="1" spans="1:16">
      <c r="A518" s="39"/>
      <c r="B518" s="40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28"/>
    </row>
    <row r="519" customFormat="1" spans="1:16">
      <c r="A519" s="39"/>
      <c r="B519" s="40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28"/>
    </row>
    <row r="520" customFormat="1" spans="1:16">
      <c r="A520" s="39"/>
      <c r="B520" s="40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28"/>
    </row>
    <row r="521" customFormat="1" spans="1:16">
      <c r="A521" s="39"/>
      <c r="B521" s="40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28"/>
    </row>
    <row r="522" customFormat="1" spans="1:16">
      <c r="A522" s="39"/>
      <c r="B522" s="40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28"/>
    </row>
    <row r="523" customFormat="1" spans="1:16">
      <c r="A523" s="39"/>
      <c r="B523" s="40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28"/>
    </row>
    <row r="524" customFormat="1" spans="1:16">
      <c r="A524" s="39"/>
      <c r="B524" s="40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28"/>
    </row>
    <row r="525" customFormat="1" spans="1:16">
      <c r="A525" s="39"/>
      <c r="B525" s="40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28"/>
    </row>
    <row r="526" customFormat="1" spans="1:16">
      <c r="A526" s="39"/>
      <c r="B526" s="40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28"/>
    </row>
    <row r="527" customFormat="1" spans="1:16">
      <c r="A527" s="39"/>
      <c r="B527" s="40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28"/>
    </row>
    <row r="528" customFormat="1" spans="1:16">
      <c r="A528" s="39"/>
      <c r="B528" s="40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28"/>
    </row>
    <row r="529" customFormat="1" spans="1:16">
      <c r="A529" s="39"/>
      <c r="B529" s="40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28"/>
    </row>
    <row r="530" customFormat="1" spans="1:16">
      <c r="A530" s="39"/>
      <c r="B530" s="40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28"/>
    </row>
    <row r="531" customFormat="1" spans="1:16">
      <c r="A531" s="39"/>
      <c r="B531" s="40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28"/>
    </row>
    <row r="532" customFormat="1" spans="1:16">
      <c r="A532" s="39"/>
      <c r="B532" s="40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28"/>
    </row>
    <row r="533" customFormat="1" spans="1:16">
      <c r="A533" s="39"/>
      <c r="B533" s="40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28"/>
    </row>
    <row r="534" customFormat="1" spans="1:16">
      <c r="A534" s="39"/>
      <c r="B534" s="40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28"/>
    </row>
    <row r="535" customFormat="1" spans="1:16">
      <c r="A535" s="39"/>
      <c r="B535" s="40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28"/>
    </row>
    <row r="536" customFormat="1" spans="1:16">
      <c r="A536" s="39"/>
      <c r="B536" s="40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28"/>
    </row>
    <row r="537" customFormat="1" spans="1:16">
      <c r="A537" s="39"/>
      <c r="B537" s="40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28"/>
    </row>
    <row r="538" customFormat="1" spans="1:16">
      <c r="A538" s="39"/>
      <c r="B538" s="40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28"/>
    </row>
    <row r="539" customFormat="1" spans="1:16">
      <c r="A539" s="39"/>
      <c r="B539" s="40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28"/>
    </row>
    <row r="540" customFormat="1" spans="1:16">
      <c r="A540" s="39"/>
      <c r="B540" s="40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28"/>
    </row>
    <row r="541" customFormat="1" spans="1:16">
      <c r="A541" s="39"/>
      <c r="B541" s="40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28"/>
    </row>
    <row r="542" customFormat="1" spans="1:16">
      <c r="A542" s="39"/>
      <c r="B542" s="40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28"/>
    </row>
    <row r="543" customFormat="1" spans="1:16">
      <c r="A543" s="39"/>
      <c r="B543" s="40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28"/>
    </row>
    <row r="544" customFormat="1" spans="1:16">
      <c r="A544" s="39"/>
      <c r="B544" s="40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28"/>
    </row>
    <row r="545" customFormat="1" spans="1:16">
      <c r="A545" s="39"/>
      <c r="B545" s="40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28"/>
    </row>
    <row r="546" customFormat="1" spans="1:16">
      <c r="A546" s="39"/>
      <c r="B546" s="40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28"/>
    </row>
    <row r="547" customFormat="1" spans="1:16">
      <c r="A547" s="39"/>
      <c r="B547" s="40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28"/>
    </row>
    <row r="548" customFormat="1" spans="1:16">
      <c r="A548" s="39"/>
      <c r="B548" s="40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28"/>
    </row>
    <row r="549" customFormat="1" spans="1:16">
      <c r="A549" s="39"/>
      <c r="B549" s="40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28"/>
    </row>
    <row r="550" customFormat="1" spans="1:16">
      <c r="A550" s="39"/>
      <c r="B550" s="40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28"/>
    </row>
    <row r="551" customFormat="1" spans="1:16">
      <c r="A551" s="39"/>
      <c r="B551" s="40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28"/>
    </row>
    <row r="552" customFormat="1" spans="1:16">
      <c r="A552" s="39"/>
      <c r="B552" s="40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28"/>
    </row>
    <row r="553" customFormat="1" spans="1:16">
      <c r="A553" s="39"/>
      <c r="B553" s="40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28"/>
    </row>
    <row r="554" customFormat="1" spans="1:16">
      <c r="A554" s="39"/>
      <c r="B554" s="40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28"/>
    </row>
    <row r="555" customFormat="1" spans="1:16">
      <c r="A555" s="39"/>
      <c r="B555" s="40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28"/>
    </row>
    <row r="556" customFormat="1" spans="1:16">
      <c r="A556" s="39"/>
      <c r="B556" s="40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28"/>
    </row>
    <row r="557" customFormat="1" spans="1:16">
      <c r="A557" s="39"/>
      <c r="B557" s="40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28"/>
    </row>
    <row r="558" customFormat="1" spans="1:16">
      <c r="A558" s="39"/>
      <c r="B558" s="40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28"/>
    </row>
    <row r="559" customFormat="1" spans="1:16">
      <c r="A559" s="39"/>
      <c r="B559" s="40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28"/>
    </row>
    <row r="560" customFormat="1" spans="1:16">
      <c r="A560" s="39"/>
      <c r="B560" s="40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28"/>
    </row>
    <row r="561" customFormat="1" spans="1:16">
      <c r="A561" s="39"/>
      <c r="B561" s="40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28"/>
    </row>
    <row r="562" customFormat="1" spans="1:16">
      <c r="A562" s="39"/>
      <c r="B562" s="40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28"/>
    </row>
    <row r="563" customFormat="1" spans="1:16">
      <c r="A563" s="39"/>
      <c r="B563" s="40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28"/>
    </row>
    <row r="564" customFormat="1" spans="1:16">
      <c r="A564" s="39"/>
      <c r="B564" s="40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28"/>
    </row>
    <row r="565" customFormat="1" spans="1:16">
      <c r="A565" s="39"/>
      <c r="B565" s="40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28"/>
    </row>
    <row r="566" customFormat="1" spans="1:16">
      <c r="A566" s="39"/>
      <c r="B566" s="40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28"/>
    </row>
    <row r="567" customFormat="1" spans="1:16">
      <c r="A567" s="39"/>
      <c r="B567" s="40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28"/>
    </row>
    <row r="568" customFormat="1" spans="1:16">
      <c r="A568" s="39"/>
      <c r="B568" s="40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28"/>
    </row>
    <row r="569" customFormat="1" spans="1:16">
      <c r="A569" s="39"/>
      <c r="B569" s="40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28"/>
    </row>
    <row r="570" customFormat="1" spans="1:16">
      <c r="A570" s="39"/>
      <c r="B570" s="40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28"/>
    </row>
    <row r="571" customFormat="1" spans="1:16">
      <c r="A571" s="39"/>
      <c r="B571" s="40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28"/>
    </row>
    <row r="572" customFormat="1" spans="1:16">
      <c r="A572" s="39"/>
      <c r="B572" s="40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28"/>
    </row>
    <row r="573" customFormat="1" spans="1:16">
      <c r="A573" s="39"/>
      <c r="B573" s="40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28"/>
    </row>
    <row r="574" customFormat="1" spans="1:16">
      <c r="A574" s="39"/>
      <c r="B574" s="40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28"/>
    </row>
    <row r="575" customFormat="1" spans="1:16">
      <c r="A575" s="39"/>
      <c r="B575" s="40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28"/>
    </row>
    <row r="576" customFormat="1" spans="1:16">
      <c r="A576" s="39"/>
      <c r="B576" s="40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28"/>
    </row>
    <row r="577" customFormat="1" spans="1:16">
      <c r="A577" s="39"/>
      <c r="B577" s="40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28"/>
    </row>
    <row r="578" customFormat="1" spans="1:16">
      <c r="A578" s="39"/>
      <c r="B578" s="40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28"/>
    </row>
    <row r="579" customFormat="1" spans="1:16">
      <c r="A579" s="39"/>
      <c r="B579" s="40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28"/>
    </row>
    <row r="580" customFormat="1" spans="1:16">
      <c r="A580" s="39"/>
      <c r="B580" s="40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28"/>
    </row>
    <row r="581" customFormat="1" spans="1:16">
      <c r="A581" s="39"/>
      <c r="B581" s="40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28"/>
    </row>
    <row r="582" customFormat="1" spans="1:16">
      <c r="A582" s="39"/>
      <c r="B582" s="40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28"/>
    </row>
    <row r="583" customFormat="1" spans="1:16">
      <c r="A583" s="39"/>
      <c r="B583" s="40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28"/>
    </row>
    <row r="584" customFormat="1" spans="1:16">
      <c r="A584" s="39"/>
      <c r="B584" s="40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28"/>
    </row>
    <row r="585" customFormat="1" spans="1:16">
      <c r="A585" s="39"/>
      <c r="B585" s="40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28"/>
    </row>
    <row r="586" customFormat="1" spans="1:16">
      <c r="A586" s="39"/>
      <c r="B586" s="40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28"/>
    </row>
    <row r="587" customFormat="1" spans="1:16">
      <c r="A587" s="39"/>
      <c r="B587" s="40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28"/>
    </row>
    <row r="588" customFormat="1" spans="1:16">
      <c r="A588" s="39"/>
      <c r="B588" s="40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28"/>
    </row>
    <row r="589" customFormat="1" spans="1:16">
      <c r="A589" s="39"/>
      <c r="B589" s="40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28"/>
    </row>
    <row r="590" customFormat="1" spans="1:16">
      <c r="A590" s="39"/>
      <c r="B590" s="40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28"/>
    </row>
    <row r="591" customFormat="1" spans="1:16">
      <c r="A591" s="39"/>
      <c r="B591" s="40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28"/>
    </row>
    <row r="592" customFormat="1" spans="1:16">
      <c r="A592" s="39"/>
      <c r="B592" s="40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28"/>
    </row>
    <row r="593" customFormat="1" spans="1:16">
      <c r="A593" s="39"/>
      <c r="B593" s="40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28"/>
    </row>
    <row r="594" customFormat="1" spans="1:16">
      <c r="A594" s="39"/>
      <c r="B594" s="40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28"/>
    </row>
    <row r="595" customFormat="1" spans="1:16">
      <c r="A595" s="39"/>
      <c r="B595" s="40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28"/>
    </row>
    <row r="596" customFormat="1" spans="1:16">
      <c r="A596" s="39"/>
      <c r="B596" s="40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28"/>
    </row>
    <row r="597" customFormat="1" spans="1:16">
      <c r="A597" s="39"/>
      <c r="B597" s="40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28"/>
    </row>
    <row r="598" customFormat="1" spans="1:16">
      <c r="A598" s="39"/>
      <c r="B598" s="40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28"/>
    </row>
    <row r="599" customFormat="1" spans="1:16">
      <c r="A599" s="39"/>
      <c r="B599" s="40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28"/>
    </row>
    <row r="600" customFormat="1" spans="1:16">
      <c r="A600" s="39"/>
      <c r="B600" s="40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28"/>
    </row>
    <row r="601" customFormat="1" spans="1:16">
      <c r="A601" s="39"/>
      <c r="B601" s="40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28"/>
    </row>
    <row r="602" customFormat="1" spans="1:16">
      <c r="A602" s="39"/>
      <c r="B602" s="40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28"/>
    </row>
    <row r="603" customFormat="1" spans="1:16">
      <c r="A603" s="39"/>
      <c r="B603" s="40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28"/>
    </row>
    <row r="604" customFormat="1" spans="1:16">
      <c r="A604" s="39"/>
      <c r="B604" s="40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28"/>
    </row>
    <row r="605" customFormat="1" spans="1:16">
      <c r="A605" s="39"/>
      <c r="B605" s="40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28"/>
    </row>
    <row r="606" customFormat="1" spans="1:16">
      <c r="A606" s="39"/>
      <c r="B606" s="40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28"/>
    </row>
    <row r="607" customFormat="1" spans="1:16">
      <c r="A607" s="39"/>
      <c r="B607" s="40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28"/>
    </row>
    <row r="608" customFormat="1" spans="1:16">
      <c r="A608" s="39"/>
      <c r="B608" s="40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28"/>
    </row>
    <row r="609" customFormat="1" spans="1:16">
      <c r="A609" s="39"/>
      <c r="B609" s="40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28"/>
    </row>
    <row r="610" customFormat="1" spans="1:16">
      <c r="A610" s="39"/>
      <c r="B610" s="40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28"/>
    </row>
    <row r="611" customFormat="1" spans="1:16">
      <c r="A611" s="39"/>
      <c r="B611" s="40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28"/>
    </row>
    <row r="612" customFormat="1" spans="1:16">
      <c r="A612" s="39"/>
      <c r="B612" s="40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28"/>
    </row>
    <row r="613" customFormat="1" spans="1:16">
      <c r="A613" s="39"/>
      <c r="B613" s="40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28"/>
    </row>
    <row r="614" customFormat="1" spans="1:16">
      <c r="A614" s="39"/>
      <c r="B614" s="40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28"/>
    </row>
    <row r="615" customFormat="1" spans="1:16">
      <c r="A615" s="39"/>
      <c r="B615" s="40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28"/>
    </row>
    <row r="616" customFormat="1" spans="1:16">
      <c r="A616" s="39"/>
      <c r="B616" s="40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28"/>
    </row>
    <row r="617" customFormat="1" spans="1:16">
      <c r="A617" s="39"/>
      <c r="B617" s="40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28"/>
    </row>
    <row r="618" customFormat="1" spans="1:16">
      <c r="A618" s="39"/>
      <c r="B618" s="40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28"/>
    </row>
    <row r="619" customFormat="1" spans="1:16">
      <c r="A619" s="39"/>
      <c r="B619" s="40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28"/>
    </row>
    <row r="620" customFormat="1" spans="1:16">
      <c r="A620" s="39"/>
      <c r="B620" s="40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28"/>
    </row>
    <row r="621" customFormat="1" spans="1:16">
      <c r="A621" s="39"/>
      <c r="B621" s="40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28"/>
    </row>
    <row r="622" customFormat="1" spans="1:16">
      <c r="A622" s="39"/>
      <c r="B622" s="40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28"/>
    </row>
    <row r="623" customFormat="1" spans="1:16">
      <c r="A623" s="39"/>
      <c r="B623" s="40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28"/>
    </row>
    <row r="624" customFormat="1" spans="1:16">
      <c r="A624" s="39"/>
      <c r="B624" s="40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28"/>
    </row>
    <row r="625" customFormat="1" spans="1:16">
      <c r="A625" s="39"/>
      <c r="B625" s="40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28"/>
    </row>
    <row r="626" customFormat="1" spans="1:16">
      <c r="A626" s="39"/>
      <c r="B626" s="40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28"/>
    </row>
    <row r="627" customFormat="1" spans="1:16">
      <c r="A627" s="39"/>
      <c r="B627" s="40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28"/>
    </row>
    <row r="628" customFormat="1" spans="1:16">
      <c r="A628" s="39"/>
      <c r="B628" s="40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28"/>
    </row>
    <row r="629" customFormat="1" spans="1:16">
      <c r="A629" s="39"/>
      <c r="B629" s="40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28"/>
    </row>
    <row r="630" customFormat="1" spans="1:16">
      <c r="A630" s="39"/>
      <c r="B630" s="40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28"/>
    </row>
    <row r="631" customFormat="1" spans="1:16">
      <c r="A631" s="39"/>
      <c r="B631" s="40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28"/>
    </row>
    <row r="632" customFormat="1" spans="1:16">
      <c r="A632" s="39"/>
      <c r="B632" s="40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28"/>
    </row>
    <row r="633" customFormat="1" spans="1:16">
      <c r="A633" s="39"/>
      <c r="B633" s="40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28"/>
    </row>
    <row r="634" customFormat="1" spans="1:16">
      <c r="A634" s="39"/>
      <c r="B634" s="40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28"/>
    </row>
    <row r="635" customFormat="1" spans="1:16">
      <c r="A635" s="39"/>
      <c r="B635" s="40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28"/>
    </row>
    <row r="636" customFormat="1" spans="1:16">
      <c r="A636" s="39"/>
      <c r="B636" s="40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28"/>
    </row>
    <row r="637" customFormat="1" spans="1:16">
      <c r="A637" s="39"/>
      <c r="B637" s="40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28"/>
    </row>
    <row r="638" customFormat="1" spans="1:16">
      <c r="A638" s="39"/>
      <c r="B638" s="40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28"/>
    </row>
    <row r="639" customFormat="1" spans="1:16">
      <c r="A639" s="39"/>
      <c r="B639" s="40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28"/>
    </row>
    <row r="640" customFormat="1" spans="1:16">
      <c r="A640" s="39"/>
      <c r="B640" s="40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28"/>
    </row>
    <row r="641" customFormat="1" spans="1:16">
      <c r="A641" s="39"/>
      <c r="B641" s="40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28"/>
    </row>
    <row r="642" customFormat="1" spans="1:16">
      <c r="A642" s="39"/>
      <c r="B642" s="40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28"/>
    </row>
    <row r="643" customFormat="1" spans="1:16">
      <c r="A643" s="39"/>
      <c r="B643" s="40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28"/>
    </row>
    <row r="644" customFormat="1" spans="1:16">
      <c r="A644" s="39"/>
      <c r="B644" s="40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28"/>
    </row>
    <row r="645" customFormat="1" spans="1:16">
      <c r="A645" s="39"/>
      <c r="B645" s="40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28"/>
    </row>
    <row r="646" customFormat="1" spans="1:16">
      <c r="A646" s="39"/>
      <c r="B646" s="40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28"/>
    </row>
    <row r="647" customFormat="1" spans="1:16">
      <c r="A647" s="39"/>
      <c r="B647" s="40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28"/>
    </row>
    <row r="648" customFormat="1" spans="1:16">
      <c r="A648" s="39"/>
      <c r="B648" s="40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28"/>
    </row>
    <row r="649" customFormat="1" spans="1:16">
      <c r="A649" s="39"/>
      <c r="B649" s="40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28"/>
    </row>
    <row r="650" customFormat="1" spans="1:16">
      <c r="A650" s="39"/>
      <c r="B650" s="40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28"/>
    </row>
    <row r="651" customFormat="1" spans="1:16">
      <c r="A651" s="39"/>
      <c r="B651" s="40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28"/>
    </row>
    <row r="652" customFormat="1" spans="1:16">
      <c r="A652" s="39"/>
      <c r="B652" s="40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28"/>
    </row>
    <row r="653" customFormat="1" spans="1:16">
      <c r="A653" s="39"/>
      <c r="B653" s="40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28"/>
    </row>
    <row r="654" customFormat="1" spans="1:16">
      <c r="A654" s="39"/>
      <c r="B654" s="40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28"/>
    </row>
    <row r="655" customFormat="1" spans="1:16">
      <c r="A655" s="39"/>
      <c r="B655" s="40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28"/>
    </row>
    <row r="656" customFormat="1" spans="1:16">
      <c r="A656" s="39"/>
      <c r="B656" s="40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28"/>
    </row>
    <row r="657" customFormat="1" spans="1:16">
      <c r="A657" s="39"/>
      <c r="B657" s="40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28"/>
    </row>
    <row r="658" customFormat="1" spans="1:16">
      <c r="A658" s="39"/>
      <c r="B658" s="40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28"/>
    </row>
    <row r="659" customFormat="1" spans="1:16">
      <c r="A659" s="39"/>
      <c r="B659" s="40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28"/>
    </row>
    <row r="660" customFormat="1" spans="1:16">
      <c r="A660" s="39"/>
      <c r="B660" s="40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28"/>
    </row>
    <row r="661" customFormat="1" spans="1:16">
      <c r="A661" s="39"/>
      <c r="B661" s="40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28"/>
    </row>
    <row r="662" customFormat="1" spans="1:16">
      <c r="A662" s="39"/>
      <c r="B662" s="40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28"/>
    </row>
    <row r="663" customFormat="1" spans="1:16">
      <c r="A663" s="39"/>
      <c r="B663" s="40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28"/>
    </row>
    <row r="664" customFormat="1" spans="1:16">
      <c r="A664" s="39"/>
      <c r="B664" s="40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28"/>
    </row>
    <row r="665" customFormat="1" spans="1:16">
      <c r="A665" s="39"/>
      <c r="B665" s="40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28"/>
    </row>
    <row r="666" customFormat="1" spans="1:16">
      <c r="A666" s="39"/>
      <c r="B666" s="40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28"/>
    </row>
    <row r="667" customFormat="1" spans="1:16">
      <c r="A667" s="39"/>
      <c r="B667" s="40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28"/>
    </row>
    <row r="668" customFormat="1" spans="1:16">
      <c r="A668" s="39"/>
      <c r="B668" s="40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28"/>
    </row>
    <row r="669" customFormat="1" spans="1:16">
      <c r="A669" s="39"/>
      <c r="B669" s="40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28"/>
    </row>
    <row r="670" customFormat="1" spans="1:16">
      <c r="A670" s="39"/>
      <c r="B670" s="40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28"/>
    </row>
    <row r="671" customFormat="1" spans="1:16">
      <c r="A671" s="39"/>
      <c r="B671" s="40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28"/>
    </row>
    <row r="672" customFormat="1" spans="1:16">
      <c r="A672" s="39"/>
      <c r="B672" s="40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28"/>
    </row>
    <row r="673" customFormat="1" spans="1:16">
      <c r="A673" s="39"/>
      <c r="B673" s="40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28"/>
    </row>
    <row r="674" customFormat="1" spans="1:16">
      <c r="A674" s="39"/>
      <c r="B674" s="40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28"/>
    </row>
    <row r="675" customFormat="1" spans="1:16">
      <c r="A675" s="39"/>
      <c r="B675" s="40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28"/>
    </row>
    <row r="676" customFormat="1" spans="1:16">
      <c r="A676" s="39"/>
      <c r="B676" s="40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28"/>
    </row>
    <row r="677" customFormat="1" spans="1:16">
      <c r="A677" s="39"/>
      <c r="B677" s="40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28"/>
    </row>
    <row r="678" customFormat="1" spans="1:16">
      <c r="A678" s="39"/>
      <c r="B678" s="40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28"/>
    </row>
    <row r="679" customFormat="1" spans="1:16">
      <c r="A679" s="39"/>
      <c r="B679" s="40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28"/>
    </row>
    <row r="680" customFormat="1" spans="1:16">
      <c r="A680" s="39"/>
      <c r="B680" s="40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28"/>
    </row>
    <row r="681" customFormat="1" spans="1:16">
      <c r="A681" s="39"/>
      <c r="B681" s="40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28"/>
    </row>
    <row r="682" customFormat="1" spans="1:16">
      <c r="A682" s="39"/>
      <c r="B682" s="40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28"/>
    </row>
    <row r="683" customFormat="1" spans="1:16">
      <c r="A683" s="39"/>
      <c r="B683" s="40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28"/>
    </row>
    <row r="684" customFormat="1" spans="1:16">
      <c r="A684" s="39"/>
      <c r="B684" s="40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28"/>
    </row>
    <row r="685" customFormat="1" spans="1:16">
      <c r="A685" s="39"/>
      <c r="B685" s="40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28"/>
    </row>
    <row r="686" customFormat="1" spans="1:16">
      <c r="A686" s="39"/>
      <c r="B686" s="40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28"/>
    </row>
    <row r="687" customFormat="1" spans="1:16">
      <c r="A687" s="39"/>
      <c r="B687" s="40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28"/>
    </row>
    <row r="688" customFormat="1" spans="1:16">
      <c r="A688" s="39"/>
      <c r="B688" s="40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28"/>
    </row>
    <row r="689" customFormat="1" spans="1:16">
      <c r="A689" s="39"/>
      <c r="B689" s="40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28"/>
    </row>
    <row r="690" customFormat="1" spans="1:16">
      <c r="A690" s="39"/>
      <c r="B690" s="40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28"/>
    </row>
    <row r="691" customFormat="1" spans="1:16">
      <c r="A691" s="39"/>
      <c r="B691" s="40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28"/>
    </row>
    <row r="692" customFormat="1" spans="1:16">
      <c r="A692" s="39"/>
      <c r="B692" s="40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28"/>
    </row>
    <row r="693" customFormat="1" spans="1:16">
      <c r="A693" s="39"/>
      <c r="B693" s="40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28"/>
    </row>
    <row r="694" customFormat="1" spans="1:16">
      <c r="A694" s="39"/>
      <c r="B694" s="40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28"/>
    </row>
    <row r="695" customFormat="1" spans="1:16">
      <c r="A695" s="39"/>
      <c r="B695" s="40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28"/>
    </row>
    <row r="696" customFormat="1" spans="1:16">
      <c r="A696" s="39"/>
      <c r="B696" s="40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28"/>
    </row>
    <row r="697" customFormat="1" spans="1:16">
      <c r="A697" s="39"/>
      <c r="B697" s="40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28"/>
    </row>
    <row r="698" customFormat="1" spans="1:16">
      <c r="A698" s="39"/>
      <c r="B698" s="40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28"/>
    </row>
    <row r="699" customFormat="1" spans="1:16">
      <c r="A699" s="39"/>
      <c r="B699" s="40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28"/>
    </row>
    <row r="700" customFormat="1" spans="1:16">
      <c r="A700" s="39"/>
      <c r="B700" s="40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28"/>
    </row>
    <row r="701" customFormat="1" spans="1:16">
      <c r="A701" s="39"/>
      <c r="B701" s="40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28"/>
    </row>
    <row r="702" customFormat="1" spans="1:16">
      <c r="A702" s="39"/>
      <c r="B702" s="40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28"/>
    </row>
    <row r="703" customFormat="1" spans="1:16">
      <c r="A703" s="39"/>
      <c r="B703" s="40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28"/>
    </row>
    <row r="704" customFormat="1" spans="1:16">
      <c r="A704" s="39"/>
      <c r="B704" s="40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28"/>
    </row>
    <row r="705" customFormat="1" spans="1:16">
      <c r="A705" s="39"/>
      <c r="B705" s="40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28"/>
    </row>
    <row r="706" customFormat="1" spans="1:16">
      <c r="A706" s="39"/>
      <c r="B706" s="40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28"/>
    </row>
    <row r="707" customFormat="1" spans="1:16">
      <c r="A707" s="39"/>
      <c r="B707" s="40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28"/>
    </row>
    <row r="708" customFormat="1" spans="1:16">
      <c r="A708" s="39"/>
      <c r="B708" s="40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28"/>
    </row>
    <row r="709" customFormat="1" spans="1:16">
      <c r="A709" s="39"/>
      <c r="B709" s="40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28"/>
    </row>
    <row r="710" customFormat="1" spans="1:16">
      <c r="A710" s="39"/>
      <c r="B710" s="40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28"/>
    </row>
    <row r="711" customFormat="1" spans="1:16">
      <c r="A711" s="39"/>
      <c r="B711" s="40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28"/>
    </row>
    <row r="712" customFormat="1" spans="1:16">
      <c r="A712" s="39"/>
      <c r="B712" s="40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28"/>
    </row>
    <row r="713" customFormat="1" spans="1:16">
      <c r="A713" s="39"/>
      <c r="B713" s="40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28"/>
    </row>
    <row r="714" customFormat="1" spans="1:16">
      <c r="A714" s="39"/>
      <c r="B714" s="40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28"/>
    </row>
    <row r="715" customFormat="1" spans="1:16">
      <c r="A715" s="39"/>
      <c r="B715" s="40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28"/>
    </row>
    <row r="716" customFormat="1" spans="1:16">
      <c r="A716" s="39"/>
      <c r="B716" s="40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28"/>
    </row>
    <row r="717" customFormat="1" spans="1:16">
      <c r="A717" s="39"/>
      <c r="B717" s="40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28"/>
    </row>
    <row r="718" customFormat="1" spans="1:16">
      <c r="A718" s="39"/>
      <c r="B718" s="40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28"/>
    </row>
    <row r="719" customFormat="1" spans="1:16">
      <c r="A719" s="39"/>
      <c r="B719" s="40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28"/>
    </row>
    <row r="720" customFormat="1" spans="1:16">
      <c r="A720" s="39"/>
      <c r="B720" s="40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28"/>
    </row>
    <row r="721" customFormat="1" spans="1:16">
      <c r="A721" s="39"/>
      <c r="B721" s="40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28"/>
    </row>
    <row r="722" customFormat="1" spans="1:16">
      <c r="A722" s="39"/>
      <c r="B722" s="40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28"/>
    </row>
    <row r="723" customFormat="1" spans="1:16">
      <c r="A723" s="39"/>
      <c r="B723" s="40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28"/>
    </row>
    <row r="724" customFormat="1" spans="1:16">
      <c r="A724" s="39"/>
      <c r="B724" s="40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28"/>
    </row>
    <row r="725" customFormat="1" spans="1:16">
      <c r="A725" s="39"/>
      <c r="B725" s="40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28"/>
    </row>
    <row r="726" customFormat="1" spans="1:16">
      <c r="A726" s="39"/>
      <c r="B726" s="40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28"/>
    </row>
    <row r="727" customFormat="1" spans="1:16">
      <c r="A727" s="39"/>
      <c r="B727" s="40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28"/>
    </row>
    <row r="728" customFormat="1" spans="1:16">
      <c r="A728" s="39"/>
      <c r="B728" s="40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28"/>
    </row>
    <row r="729" customFormat="1" spans="1:16">
      <c r="A729" s="39"/>
      <c r="B729" s="40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28"/>
    </row>
    <row r="730" customFormat="1" spans="1:16">
      <c r="A730" s="39"/>
      <c r="B730" s="40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28"/>
    </row>
    <row r="731" customFormat="1" spans="1:16">
      <c r="A731" s="39"/>
      <c r="B731" s="40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28"/>
    </row>
    <row r="732" customFormat="1" spans="1:16">
      <c r="A732" s="39"/>
      <c r="B732" s="40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28"/>
    </row>
    <row r="733" customFormat="1" spans="1:16">
      <c r="A733" s="39"/>
      <c r="B733" s="40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28"/>
    </row>
    <row r="734" customFormat="1" spans="1:16">
      <c r="A734" s="39"/>
      <c r="B734" s="40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28"/>
    </row>
    <row r="735" customFormat="1" spans="1:16">
      <c r="A735" s="39"/>
      <c r="B735" s="40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28"/>
    </row>
    <row r="736" customFormat="1" spans="1:16">
      <c r="A736" s="39"/>
      <c r="B736" s="40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28"/>
    </row>
    <row r="737" customFormat="1" spans="1:16">
      <c r="A737" s="39"/>
      <c r="B737" s="40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28"/>
    </row>
    <row r="738" customFormat="1" spans="1:16">
      <c r="A738" s="39"/>
      <c r="B738" s="40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28"/>
    </row>
    <row r="739" customFormat="1" spans="1:16">
      <c r="A739" s="39"/>
      <c r="B739" s="40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28"/>
    </row>
    <row r="740" customFormat="1" spans="1:16">
      <c r="A740" s="39"/>
      <c r="B740" s="40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28"/>
    </row>
    <row r="741" customFormat="1" spans="1:16">
      <c r="A741" s="39"/>
      <c r="B741" s="40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28"/>
    </row>
    <row r="742" customFormat="1" spans="1:16">
      <c r="A742" s="39"/>
      <c r="B742" s="40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28"/>
    </row>
    <row r="743" customFormat="1" spans="1:16">
      <c r="A743" s="39"/>
      <c r="B743" s="40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28"/>
    </row>
    <row r="744" customFormat="1" spans="1:16">
      <c r="A744" s="39"/>
      <c r="B744" s="40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28"/>
    </row>
    <row r="745" customFormat="1" spans="1:16">
      <c r="A745" s="39"/>
      <c r="B745" s="40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28"/>
    </row>
    <row r="746" customFormat="1" spans="1:16">
      <c r="A746" s="39"/>
      <c r="B746" s="40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28"/>
    </row>
    <row r="747" customFormat="1" spans="1:16">
      <c r="A747" s="39"/>
      <c r="B747" s="40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28"/>
    </row>
    <row r="748" customFormat="1" spans="1:16">
      <c r="A748" s="39"/>
      <c r="B748" s="40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28"/>
    </row>
    <row r="749" customFormat="1" spans="1:16">
      <c r="A749" s="39"/>
      <c r="B749" s="40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28"/>
    </row>
    <row r="750" customFormat="1" spans="1:16">
      <c r="A750" s="39"/>
      <c r="B750" s="40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28"/>
    </row>
    <row r="751" customFormat="1" spans="1:16">
      <c r="A751" s="39"/>
      <c r="B751" s="40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28"/>
    </row>
    <row r="752" customFormat="1" spans="1:16">
      <c r="A752" s="39"/>
      <c r="B752" s="40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28"/>
    </row>
    <row r="753" customFormat="1" spans="1:16">
      <c r="A753" s="39"/>
      <c r="B753" s="40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28"/>
    </row>
    <row r="754" customFormat="1" spans="1:16">
      <c r="A754" s="39"/>
      <c r="B754" s="40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28"/>
    </row>
    <row r="755" customFormat="1" spans="1:16">
      <c r="A755" s="39"/>
      <c r="B755" s="40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28"/>
    </row>
    <row r="756" customFormat="1" spans="1:16">
      <c r="A756" s="39"/>
      <c r="B756" s="40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28"/>
    </row>
    <row r="757" customFormat="1" spans="1:16">
      <c r="A757" s="39"/>
      <c r="B757" s="40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28"/>
    </row>
    <row r="758" customFormat="1" spans="1:16">
      <c r="A758" s="39"/>
      <c r="B758" s="40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28"/>
    </row>
    <row r="759" customFormat="1" spans="1:16">
      <c r="A759" s="39"/>
      <c r="B759" s="40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28"/>
    </row>
    <row r="760" customFormat="1" spans="1:16">
      <c r="A760" s="39"/>
      <c r="B760" s="40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28"/>
    </row>
    <row r="761" customFormat="1" spans="1:16">
      <c r="A761" s="39"/>
      <c r="B761" s="40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28"/>
    </row>
    <row r="762" customFormat="1" spans="1:16">
      <c r="A762" s="39"/>
      <c r="B762" s="40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28"/>
    </row>
    <row r="763" customFormat="1" spans="1:16">
      <c r="A763" s="39"/>
      <c r="B763" s="40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28"/>
    </row>
    <row r="764" customFormat="1" spans="1:16">
      <c r="A764" s="39"/>
      <c r="B764" s="40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28"/>
    </row>
    <row r="765" customFormat="1" spans="1:16">
      <c r="A765" s="39"/>
      <c r="B765" s="40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28"/>
    </row>
    <row r="766" customFormat="1" spans="1:16">
      <c r="A766" s="39"/>
      <c r="B766" s="40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28"/>
    </row>
    <row r="767" customFormat="1" spans="1:16">
      <c r="A767" s="39"/>
      <c r="B767" s="40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28"/>
    </row>
    <row r="768" customFormat="1" spans="1:16">
      <c r="A768" s="39"/>
      <c r="B768" s="40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28"/>
    </row>
    <row r="769" customFormat="1" spans="1:16">
      <c r="A769" s="39"/>
      <c r="B769" s="40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28"/>
    </row>
    <row r="770" customFormat="1" spans="1:16">
      <c r="A770" s="39"/>
      <c r="B770" s="40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28"/>
    </row>
    <row r="771" customFormat="1" spans="1:16">
      <c r="A771" s="39"/>
      <c r="B771" s="40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28"/>
    </row>
    <row r="772" customFormat="1" spans="1:16">
      <c r="A772" s="39"/>
      <c r="B772" s="40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28"/>
    </row>
    <row r="773" customFormat="1" spans="1:16">
      <c r="A773" s="39"/>
      <c r="B773" s="40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28"/>
    </row>
    <row r="774" customFormat="1" spans="1:16">
      <c r="A774" s="39"/>
      <c r="B774" s="40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28"/>
    </row>
    <row r="775" customFormat="1" spans="1:16">
      <c r="A775" s="39"/>
      <c r="B775" s="40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28"/>
    </row>
    <row r="776" customFormat="1" spans="1:16">
      <c r="A776" s="39"/>
      <c r="B776" s="40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28"/>
    </row>
    <row r="777" customFormat="1" spans="1:16">
      <c r="A777" s="39"/>
      <c r="B777" s="40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28"/>
    </row>
    <row r="778" customFormat="1" spans="1:16">
      <c r="A778" s="39"/>
      <c r="B778" s="40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28"/>
    </row>
    <row r="779" customFormat="1" spans="1:16">
      <c r="A779" s="39"/>
      <c r="B779" s="40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28"/>
    </row>
    <row r="780" customFormat="1" spans="1:16">
      <c r="A780" s="39"/>
      <c r="B780" s="40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28"/>
    </row>
    <row r="781" customFormat="1" spans="1:16">
      <c r="A781" s="39"/>
      <c r="B781" s="40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28"/>
    </row>
    <row r="782" customFormat="1" spans="1:16">
      <c r="A782" s="39"/>
      <c r="B782" s="40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28"/>
    </row>
    <row r="783" customFormat="1" spans="1:16">
      <c r="A783" s="39"/>
      <c r="B783" s="40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28"/>
    </row>
    <row r="784" customFormat="1" spans="1:16">
      <c r="A784" s="39"/>
      <c r="B784" s="40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28"/>
    </row>
    <row r="785" customFormat="1" spans="1:16">
      <c r="A785" s="39"/>
      <c r="B785" s="40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28"/>
    </row>
    <row r="786" customFormat="1" spans="1:16">
      <c r="A786" s="39"/>
      <c r="B786" s="40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28"/>
    </row>
    <row r="787" customFormat="1" spans="1:16">
      <c r="A787" s="39"/>
      <c r="B787" s="40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28"/>
    </row>
    <row r="788" customFormat="1" spans="1:16">
      <c r="A788" s="39"/>
      <c r="B788" s="40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28"/>
    </row>
    <row r="789" customFormat="1" spans="1:16">
      <c r="A789" s="39"/>
      <c r="B789" s="40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28"/>
    </row>
    <row r="790" customFormat="1" spans="1:16">
      <c r="A790" s="39"/>
      <c r="B790" s="40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28"/>
    </row>
    <row r="791" customFormat="1" spans="1:16">
      <c r="A791" s="39"/>
      <c r="B791" s="40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28"/>
    </row>
    <row r="792" customFormat="1" spans="1:16">
      <c r="A792" s="39"/>
      <c r="B792" s="40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28"/>
    </row>
    <row r="793" customFormat="1" spans="1:16">
      <c r="A793" s="39"/>
      <c r="B793" s="40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28"/>
    </row>
    <row r="794" customFormat="1" spans="1:16">
      <c r="A794" s="39"/>
      <c r="B794" s="40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28"/>
    </row>
    <row r="795" customFormat="1" spans="1:16">
      <c r="A795" s="39"/>
      <c r="B795" s="40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28"/>
    </row>
    <row r="796" customFormat="1" spans="1:16">
      <c r="A796" s="39"/>
      <c r="B796" s="40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28"/>
    </row>
    <row r="797" customFormat="1" spans="1:16">
      <c r="A797" s="39"/>
      <c r="B797" s="40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28"/>
    </row>
    <row r="798" customFormat="1" spans="1:16">
      <c r="A798" s="39"/>
      <c r="B798" s="40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28"/>
    </row>
    <row r="799" customFormat="1" spans="1:16">
      <c r="A799" s="39"/>
      <c r="B799" s="40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28"/>
    </row>
    <row r="800" customFormat="1" spans="1:16">
      <c r="A800" s="39"/>
      <c r="B800" s="40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28"/>
    </row>
    <row r="801" customFormat="1" spans="1:16">
      <c r="A801" s="39"/>
      <c r="B801" s="40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28"/>
    </row>
    <row r="802" customFormat="1" spans="1:16">
      <c r="A802" s="39"/>
      <c r="B802" s="40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28"/>
    </row>
    <row r="803" customFormat="1" spans="1:16">
      <c r="A803" s="39"/>
      <c r="B803" s="40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28"/>
    </row>
    <row r="804" customFormat="1" spans="1:16">
      <c r="A804" s="39"/>
      <c r="B804" s="40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28"/>
    </row>
    <row r="805" customFormat="1" spans="1:16">
      <c r="A805" s="39"/>
      <c r="B805" s="40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28"/>
    </row>
    <row r="806" customFormat="1" spans="1:16">
      <c r="A806" s="39"/>
      <c r="B806" s="40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28"/>
    </row>
    <row r="807" customFormat="1" spans="1:16">
      <c r="A807" s="39"/>
      <c r="B807" s="40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28"/>
    </row>
    <row r="808" customFormat="1" spans="1:16">
      <c r="A808" s="39"/>
      <c r="B808" s="40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28"/>
    </row>
    <row r="809" customFormat="1" spans="1:16">
      <c r="A809" s="39"/>
      <c r="B809" s="40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28"/>
    </row>
    <row r="810" customFormat="1" spans="1:16">
      <c r="A810" s="39"/>
      <c r="B810" s="40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28"/>
    </row>
    <row r="811" customFormat="1" spans="1:16">
      <c r="A811" s="39"/>
      <c r="B811" s="40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28"/>
    </row>
    <row r="812" customFormat="1" spans="1:16">
      <c r="A812" s="39"/>
      <c r="B812" s="40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28"/>
    </row>
    <row r="813" customFormat="1" spans="1:16">
      <c r="A813" s="39"/>
      <c r="B813" s="40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28"/>
    </row>
    <row r="814" customFormat="1" spans="1:16">
      <c r="A814" s="39"/>
      <c r="B814" s="40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28"/>
    </row>
    <row r="815" customFormat="1" spans="1:16">
      <c r="A815" s="39"/>
      <c r="B815" s="40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28"/>
    </row>
    <row r="816" customFormat="1" spans="1:16">
      <c r="A816" s="39"/>
      <c r="B816" s="40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28"/>
    </row>
    <row r="817" customFormat="1" spans="1:16">
      <c r="A817" s="39"/>
      <c r="B817" s="40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28"/>
    </row>
    <row r="818" customFormat="1" spans="1:16">
      <c r="A818" s="39"/>
      <c r="B818" s="40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28"/>
    </row>
    <row r="819" customFormat="1" spans="1:16">
      <c r="A819" s="39"/>
      <c r="B819" s="40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28"/>
    </row>
    <row r="820" customFormat="1" spans="1:16">
      <c r="A820" s="39"/>
      <c r="B820" s="40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28"/>
    </row>
    <row r="821" customFormat="1" spans="1:16">
      <c r="A821" s="39"/>
      <c r="B821" s="40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28"/>
    </row>
    <row r="822" customFormat="1" spans="1:16">
      <c r="A822" s="39"/>
      <c r="B822" s="40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28"/>
    </row>
    <row r="823" customFormat="1" spans="1:16">
      <c r="A823" s="39"/>
      <c r="B823" s="40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28"/>
    </row>
    <row r="824" customFormat="1" spans="1:16">
      <c r="A824" s="39"/>
      <c r="B824" s="40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28"/>
    </row>
    <row r="825" customFormat="1" spans="1:16">
      <c r="A825" s="39"/>
      <c r="B825" s="40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28"/>
    </row>
    <row r="826" customFormat="1" spans="1:16">
      <c r="A826" s="39"/>
      <c r="B826" s="40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28"/>
    </row>
    <row r="827" customFormat="1" spans="1:16">
      <c r="A827" s="39"/>
      <c r="B827" s="40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28"/>
    </row>
    <row r="828" customFormat="1" spans="1:16">
      <c r="A828" s="39"/>
      <c r="B828" s="40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28"/>
    </row>
    <row r="829" customFormat="1" spans="1:16">
      <c r="A829" s="39"/>
      <c r="B829" s="40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28"/>
    </row>
    <row r="830" customFormat="1" spans="1:16">
      <c r="A830" s="39"/>
      <c r="B830" s="40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28"/>
    </row>
    <row r="831" customFormat="1" spans="1:16">
      <c r="A831" s="39"/>
      <c r="B831" s="40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28"/>
    </row>
    <row r="832" customFormat="1" spans="1:16">
      <c r="A832" s="39"/>
      <c r="B832" s="40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28"/>
    </row>
    <row r="833" customFormat="1" spans="1:16">
      <c r="A833" s="39"/>
      <c r="B833" s="40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28"/>
    </row>
    <row r="834" customFormat="1" spans="1:16">
      <c r="A834" s="39"/>
      <c r="B834" s="40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28"/>
    </row>
    <row r="835" customFormat="1" spans="1:16">
      <c r="A835" s="39"/>
      <c r="B835" s="40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28"/>
    </row>
    <row r="836" customFormat="1" spans="1:16">
      <c r="A836" s="39"/>
      <c r="B836" s="40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28"/>
    </row>
    <row r="837" customFormat="1" spans="1:16">
      <c r="A837" s="39"/>
      <c r="B837" s="40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28"/>
    </row>
    <row r="838" customFormat="1" spans="1:16">
      <c r="A838" s="39"/>
      <c r="B838" s="40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28"/>
    </row>
    <row r="839" customFormat="1" spans="1:16">
      <c r="A839" s="39"/>
      <c r="B839" s="40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28"/>
    </row>
    <row r="840" customFormat="1" spans="1:16">
      <c r="A840" s="39"/>
      <c r="B840" s="40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28"/>
    </row>
    <row r="841" customFormat="1" spans="1:16">
      <c r="A841" s="39"/>
      <c r="B841" s="40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28"/>
    </row>
    <row r="842" customFormat="1" spans="1:16">
      <c r="A842" s="39"/>
      <c r="B842" s="40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28"/>
    </row>
    <row r="843" customFormat="1" spans="1:16">
      <c r="A843" s="39"/>
      <c r="B843" s="40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28"/>
    </row>
    <row r="844" customFormat="1" spans="1:16">
      <c r="A844" s="39"/>
      <c r="B844" s="40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28"/>
    </row>
    <row r="845" customFormat="1" spans="1:16">
      <c r="A845" s="39"/>
      <c r="B845" s="40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28"/>
    </row>
    <row r="846" customFormat="1" spans="1:16">
      <c r="A846" s="39"/>
      <c r="B846" s="40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28"/>
    </row>
    <row r="847" customFormat="1" spans="1:16">
      <c r="A847" s="39"/>
      <c r="B847" s="40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28"/>
    </row>
    <row r="848" customFormat="1" spans="1:16">
      <c r="A848" s="39"/>
      <c r="B848" s="40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28"/>
    </row>
    <row r="849" customFormat="1" spans="1:16">
      <c r="A849" s="39"/>
      <c r="B849" s="40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28"/>
    </row>
    <row r="850" customFormat="1" spans="1:16">
      <c r="A850" s="39"/>
      <c r="B850" s="40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28"/>
    </row>
    <row r="851" customFormat="1" spans="1:16">
      <c r="A851" s="39"/>
      <c r="B851" s="40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28"/>
    </row>
    <row r="852" customFormat="1" spans="1:16">
      <c r="A852" s="39"/>
      <c r="B852" s="40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28"/>
    </row>
    <row r="853" customFormat="1" spans="1:16">
      <c r="A853" s="39"/>
      <c r="B853" s="40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28"/>
    </row>
    <row r="854" customFormat="1" spans="1:16">
      <c r="A854" s="39"/>
      <c r="B854" s="40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28"/>
    </row>
    <row r="855" customFormat="1" spans="1:16">
      <c r="A855" s="39"/>
      <c r="B855" s="40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28"/>
    </row>
    <row r="856" customFormat="1" spans="1:16">
      <c r="A856" s="39"/>
      <c r="B856" s="40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28"/>
    </row>
    <row r="857" customFormat="1" spans="1:16">
      <c r="A857" s="39"/>
      <c r="B857" s="40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28"/>
    </row>
    <row r="858" customFormat="1" spans="1:16">
      <c r="A858" s="39"/>
      <c r="B858" s="40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28"/>
    </row>
    <row r="859" customFormat="1" spans="1:16">
      <c r="A859" s="39"/>
      <c r="B859" s="40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28"/>
    </row>
    <row r="860" customFormat="1" spans="1:16">
      <c r="A860" s="39"/>
      <c r="B860" s="40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28"/>
    </row>
    <row r="861" customFormat="1" spans="1:16">
      <c r="A861" s="39"/>
      <c r="B861" s="40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28"/>
    </row>
    <row r="862" customFormat="1" spans="1:16">
      <c r="A862" s="39"/>
      <c r="B862" s="40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28"/>
    </row>
    <row r="863" customFormat="1" spans="1:16">
      <c r="A863" s="39"/>
      <c r="B863" s="40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28"/>
    </row>
    <row r="864" customFormat="1" spans="1:16">
      <c r="A864" s="39"/>
      <c r="B864" s="40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28"/>
    </row>
    <row r="865" customFormat="1" spans="1:16">
      <c r="A865" s="39"/>
      <c r="B865" s="40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28"/>
    </row>
    <row r="866" customFormat="1" spans="1:16">
      <c r="A866" s="39"/>
      <c r="B866" s="40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28"/>
    </row>
    <row r="867" customFormat="1" spans="1:16">
      <c r="A867" s="39"/>
      <c r="B867" s="40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28"/>
    </row>
    <row r="868" customFormat="1" spans="1:16">
      <c r="A868" s="39"/>
      <c r="B868" s="40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28"/>
    </row>
    <row r="869" customFormat="1" spans="1:16">
      <c r="A869" s="39"/>
      <c r="B869" s="40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28"/>
    </row>
    <row r="870" customFormat="1" spans="1:16">
      <c r="A870" s="39"/>
      <c r="B870" s="40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28"/>
    </row>
    <row r="871" customFormat="1" spans="1:16">
      <c r="A871" s="39"/>
      <c r="B871" s="40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28"/>
    </row>
    <row r="872" customFormat="1" spans="1:16">
      <c r="A872" s="39"/>
      <c r="B872" s="40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28"/>
    </row>
    <row r="873" customFormat="1" spans="1:16">
      <c r="A873" s="39"/>
      <c r="B873" s="40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28"/>
    </row>
    <row r="874" customFormat="1" spans="1:16">
      <c r="A874" s="39"/>
      <c r="B874" s="40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28"/>
    </row>
    <row r="875" customFormat="1" spans="1:16">
      <c r="A875" s="39"/>
      <c r="B875" s="40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28"/>
    </row>
    <row r="876" customFormat="1" spans="1:16">
      <c r="A876" s="39"/>
      <c r="B876" s="40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28"/>
    </row>
    <row r="877" customFormat="1" spans="1:16">
      <c r="A877" s="39"/>
      <c r="B877" s="40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28"/>
    </row>
    <row r="878" customFormat="1" spans="1:16">
      <c r="A878" s="39"/>
      <c r="B878" s="40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28"/>
    </row>
    <row r="879" customFormat="1" spans="1:16">
      <c r="A879" s="39"/>
      <c r="B879" s="40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28"/>
    </row>
    <row r="880" customFormat="1" spans="1:16">
      <c r="A880" s="39"/>
      <c r="B880" s="40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28"/>
    </row>
    <row r="881" customFormat="1" spans="1:16">
      <c r="A881" s="39"/>
      <c r="B881" s="40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28"/>
    </row>
    <row r="882" customFormat="1" spans="1:16">
      <c r="A882" s="39"/>
      <c r="B882" s="40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28"/>
    </row>
    <row r="883" customFormat="1" spans="1:16">
      <c r="A883" s="39"/>
      <c r="B883" s="40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28"/>
    </row>
    <row r="884" customFormat="1" spans="1:16">
      <c r="A884" s="39"/>
      <c r="B884" s="40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28"/>
    </row>
    <row r="885" customFormat="1" spans="1:16">
      <c r="A885" s="39"/>
      <c r="B885" s="40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28"/>
    </row>
    <row r="886" customFormat="1" spans="1:16">
      <c r="A886" s="39"/>
      <c r="B886" s="40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28"/>
    </row>
    <row r="887" customFormat="1" spans="1:16">
      <c r="A887" s="39"/>
      <c r="B887" s="40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28"/>
    </row>
    <row r="888" customFormat="1" spans="1:16">
      <c r="A888" s="39"/>
      <c r="B888" s="40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28"/>
    </row>
    <row r="889" customFormat="1" spans="1:16">
      <c r="A889" s="39"/>
      <c r="B889" s="40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28"/>
    </row>
    <row r="890" customFormat="1" spans="1:16">
      <c r="A890" s="39"/>
      <c r="B890" s="40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28"/>
    </row>
    <row r="891" customFormat="1" spans="1:16">
      <c r="A891" s="39"/>
      <c r="B891" s="40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28"/>
    </row>
    <row r="892" customFormat="1" spans="1:16">
      <c r="A892" s="39"/>
      <c r="B892" s="40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28"/>
    </row>
    <row r="893" customFormat="1" spans="1:16">
      <c r="A893" s="39"/>
      <c r="B893" s="40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28"/>
    </row>
    <row r="894" customFormat="1" spans="1:16">
      <c r="A894" s="39"/>
      <c r="B894" s="40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28"/>
    </row>
    <row r="895" customFormat="1" spans="1:16">
      <c r="A895" s="39"/>
      <c r="B895" s="40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28"/>
    </row>
    <row r="896" customFormat="1" spans="1:16">
      <c r="A896" s="39"/>
      <c r="B896" s="40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28"/>
    </row>
    <row r="897" customFormat="1" spans="1:16">
      <c r="A897" s="39"/>
      <c r="B897" s="40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28"/>
    </row>
    <row r="898" customFormat="1" spans="1:16">
      <c r="A898" s="39"/>
      <c r="B898" s="40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28"/>
    </row>
    <row r="899" customFormat="1" spans="1:16">
      <c r="A899" s="39"/>
      <c r="B899" s="40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28"/>
    </row>
    <row r="900" customFormat="1" spans="1:16">
      <c r="A900" s="39"/>
      <c r="B900" s="40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28"/>
    </row>
    <row r="901" customFormat="1" spans="1:16">
      <c r="A901" s="39"/>
      <c r="B901" s="40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28"/>
    </row>
    <row r="902" customFormat="1" spans="1:16">
      <c r="A902" s="39"/>
      <c r="B902" s="40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28"/>
    </row>
    <row r="903" customFormat="1" spans="1:16">
      <c r="A903" s="39"/>
      <c r="B903" s="40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28"/>
    </row>
    <row r="904" customFormat="1" spans="1:16">
      <c r="A904" s="39"/>
      <c r="B904" s="40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28"/>
    </row>
    <row r="905" customFormat="1" spans="1:16">
      <c r="A905" s="39"/>
      <c r="B905" s="40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28"/>
    </row>
    <row r="906" customFormat="1" spans="1:16">
      <c r="A906" s="39"/>
      <c r="B906" s="40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28"/>
    </row>
    <row r="907" customFormat="1" spans="1:16">
      <c r="A907" s="39"/>
      <c r="B907" s="40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28"/>
    </row>
    <row r="908" customFormat="1" spans="1:16">
      <c r="A908" s="39"/>
      <c r="B908" s="40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28"/>
    </row>
    <row r="909" customFormat="1" spans="1:16">
      <c r="A909" s="39"/>
      <c r="B909" s="40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28"/>
    </row>
    <row r="910" customFormat="1" spans="1:16">
      <c r="A910" s="39"/>
      <c r="B910" s="40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28"/>
    </row>
    <row r="911" customFormat="1" spans="1:16">
      <c r="A911" s="39"/>
      <c r="B911" s="40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28"/>
    </row>
    <row r="912" customFormat="1" spans="1:16">
      <c r="A912" s="39"/>
      <c r="B912" s="40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28"/>
    </row>
    <row r="913" customFormat="1" spans="1:16">
      <c r="A913" s="39"/>
      <c r="B913" s="40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28"/>
    </row>
    <row r="914" customFormat="1" spans="1:16">
      <c r="A914" s="39"/>
      <c r="B914" s="40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28"/>
    </row>
    <row r="915" customFormat="1" spans="1:16">
      <c r="A915" s="39"/>
      <c r="B915" s="40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28"/>
    </row>
    <row r="916" customFormat="1" spans="1:16">
      <c r="A916" s="39"/>
      <c r="B916" s="40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28"/>
    </row>
    <row r="917" customFormat="1" spans="1:16">
      <c r="A917" s="39"/>
      <c r="B917" s="40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28"/>
    </row>
    <row r="918" customFormat="1" spans="1:16">
      <c r="A918" s="39"/>
      <c r="B918" s="40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28"/>
    </row>
    <row r="919" customFormat="1" spans="1:16">
      <c r="A919" s="39"/>
      <c r="B919" s="40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28"/>
    </row>
    <row r="920" customFormat="1" spans="1:16">
      <c r="A920" s="39"/>
      <c r="B920" s="40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28"/>
    </row>
    <row r="921" customFormat="1" spans="1:16">
      <c r="A921" s="39"/>
      <c r="B921" s="40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28"/>
    </row>
    <row r="922" customFormat="1" spans="1:16">
      <c r="A922" s="39"/>
      <c r="B922" s="40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28"/>
    </row>
    <row r="923" customFormat="1" spans="1:16">
      <c r="A923" s="39"/>
      <c r="B923" s="40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28"/>
    </row>
    <row r="924" customFormat="1" spans="1:16">
      <c r="A924" s="39"/>
      <c r="B924" s="40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28"/>
    </row>
    <row r="925" customFormat="1" spans="1:16">
      <c r="A925" s="39"/>
      <c r="B925" s="40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28"/>
    </row>
    <row r="926" customFormat="1" spans="1:16">
      <c r="A926" s="39"/>
      <c r="B926" s="40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28"/>
    </row>
    <row r="927" customFormat="1" spans="1:16">
      <c r="A927" s="39"/>
      <c r="B927" s="40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28"/>
    </row>
    <row r="928" customFormat="1" spans="1:16">
      <c r="A928" s="39"/>
      <c r="B928" s="40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28"/>
    </row>
    <row r="929" customFormat="1" spans="1:16">
      <c r="A929" s="39"/>
      <c r="B929" s="40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28"/>
    </row>
    <row r="930" customFormat="1" spans="1:16">
      <c r="A930" s="39"/>
      <c r="B930" s="40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28"/>
    </row>
    <row r="931" customFormat="1" spans="1:16">
      <c r="A931" s="39"/>
      <c r="B931" s="40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28"/>
    </row>
    <row r="932" customFormat="1" spans="1:16">
      <c r="A932" s="39"/>
      <c r="B932" s="40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28"/>
    </row>
    <row r="933" customFormat="1" spans="1:16">
      <c r="A933" s="39"/>
      <c r="B933" s="40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28"/>
    </row>
    <row r="934" customFormat="1" spans="1:16">
      <c r="A934" s="39"/>
      <c r="B934" s="40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28"/>
    </row>
    <row r="935" customFormat="1" spans="1:16">
      <c r="A935" s="39"/>
      <c r="B935" s="40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28"/>
    </row>
    <row r="936" customFormat="1" spans="1:16">
      <c r="A936" s="39"/>
      <c r="B936" s="40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28"/>
    </row>
    <row r="937" customFormat="1" spans="1:16">
      <c r="A937" s="39"/>
      <c r="B937" s="40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28"/>
    </row>
    <row r="938" customFormat="1" spans="1:16">
      <c r="A938" s="39"/>
      <c r="B938" s="40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28"/>
    </row>
    <row r="939" customFormat="1" spans="1:16">
      <c r="A939" s="39"/>
      <c r="B939" s="40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28"/>
    </row>
    <row r="940" customFormat="1" spans="1:16">
      <c r="A940" s="39"/>
      <c r="B940" s="40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28"/>
    </row>
    <row r="941" customFormat="1" spans="1:16">
      <c r="A941" s="39"/>
      <c r="B941" s="40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28"/>
    </row>
    <row r="942" customFormat="1" spans="1:16">
      <c r="A942" s="39"/>
      <c r="B942" s="40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28"/>
    </row>
    <row r="943" customFormat="1" spans="1:16">
      <c r="A943" s="39"/>
      <c r="B943" s="40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28"/>
    </row>
    <row r="944" customFormat="1" spans="1:16">
      <c r="A944" s="39"/>
      <c r="B944" s="40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28"/>
    </row>
    <row r="945" customFormat="1" spans="1:16">
      <c r="A945" s="39"/>
      <c r="B945" s="40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28"/>
    </row>
    <row r="946" customFormat="1" spans="1:16">
      <c r="A946" s="39"/>
      <c r="B946" s="40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28"/>
    </row>
    <row r="947" customFormat="1" spans="1:16">
      <c r="A947" s="39"/>
      <c r="B947" s="40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28"/>
    </row>
    <row r="948" customFormat="1" spans="1:16">
      <c r="A948" s="39"/>
      <c r="B948" s="40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28"/>
    </row>
    <row r="949" customFormat="1" spans="1:16">
      <c r="A949" s="39"/>
      <c r="B949" s="40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28"/>
    </row>
    <row r="950" customFormat="1" spans="1:16">
      <c r="A950" s="39"/>
      <c r="B950" s="40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28"/>
    </row>
    <row r="951" customFormat="1" spans="1:16">
      <c r="A951" s="39"/>
      <c r="B951" s="40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28"/>
    </row>
    <row r="952" customFormat="1" spans="1:16">
      <c r="A952" s="39"/>
      <c r="B952" s="40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28"/>
    </row>
    <row r="953" customFormat="1" spans="1:16">
      <c r="A953" s="39"/>
      <c r="B953" s="40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28"/>
    </row>
    <row r="954" customFormat="1" spans="1:16">
      <c r="A954" s="39"/>
      <c r="B954" s="40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28"/>
    </row>
    <row r="955" customFormat="1" spans="1:16">
      <c r="A955" s="39"/>
      <c r="B955" s="40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28"/>
    </row>
    <row r="956" customFormat="1" spans="1:16">
      <c r="A956" s="39"/>
      <c r="B956" s="40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28"/>
    </row>
    <row r="957" customFormat="1" spans="1:16">
      <c r="A957" s="39"/>
      <c r="B957" s="40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28"/>
    </row>
    <row r="958" customFormat="1" spans="1:16">
      <c r="A958" s="39"/>
      <c r="B958" s="40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28"/>
    </row>
    <row r="959" customFormat="1" spans="1:16">
      <c r="A959" s="39"/>
      <c r="B959" s="40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28"/>
    </row>
    <row r="960" customFormat="1" spans="1:16">
      <c r="A960" s="39"/>
      <c r="B960" s="40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28"/>
    </row>
    <row r="961" customFormat="1" spans="1:16">
      <c r="A961" s="39"/>
      <c r="B961" s="40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28"/>
    </row>
    <row r="962" customFormat="1" spans="1:16">
      <c r="A962" s="39"/>
      <c r="B962" s="40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28"/>
    </row>
    <row r="963" customFormat="1" spans="1:16">
      <c r="A963" s="39"/>
      <c r="B963" s="40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28"/>
    </row>
    <row r="964" customFormat="1" spans="1:16">
      <c r="A964" s="39"/>
      <c r="B964" s="40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28"/>
    </row>
    <row r="965" customFormat="1" spans="1:16">
      <c r="A965" s="39"/>
      <c r="B965" s="40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28"/>
    </row>
    <row r="966" customFormat="1" spans="1:16">
      <c r="A966" s="39"/>
      <c r="B966" s="40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28"/>
    </row>
    <row r="967" customFormat="1" spans="1:16">
      <c r="A967" s="39"/>
      <c r="B967" s="40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28"/>
    </row>
    <row r="968" customFormat="1" spans="1:16">
      <c r="A968" s="39"/>
      <c r="B968" s="40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28"/>
    </row>
    <row r="969" customFormat="1" spans="1:16">
      <c r="A969" s="39"/>
      <c r="B969" s="40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28"/>
    </row>
    <row r="970" customFormat="1" spans="1:16">
      <c r="A970" s="39"/>
      <c r="B970" s="40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28"/>
    </row>
    <row r="971" customFormat="1" spans="1:16">
      <c r="A971" s="39"/>
      <c r="B971" s="40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28"/>
    </row>
    <row r="972" customFormat="1" spans="1:16">
      <c r="A972" s="39"/>
      <c r="B972" s="40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28"/>
    </row>
    <row r="973" customFormat="1" spans="1:16">
      <c r="A973" s="39"/>
      <c r="B973" s="40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28"/>
    </row>
    <row r="974" customFormat="1" spans="1:16">
      <c r="A974" s="39"/>
      <c r="B974" s="40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28"/>
    </row>
    <row r="975" customFormat="1" spans="1:16">
      <c r="A975" s="39"/>
      <c r="B975" s="40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28"/>
    </row>
    <row r="976" customFormat="1" spans="1:16">
      <c r="A976" s="39"/>
      <c r="B976" s="40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28"/>
    </row>
    <row r="977" customFormat="1" spans="1:16">
      <c r="A977" s="39"/>
      <c r="B977" s="40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28"/>
    </row>
    <row r="978" customFormat="1" spans="1:16">
      <c r="A978" s="39"/>
      <c r="B978" s="40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28"/>
    </row>
    <row r="979" customFormat="1" spans="1:16">
      <c r="A979" s="39"/>
      <c r="B979" s="40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28"/>
    </row>
    <row r="980" customFormat="1" spans="1:16">
      <c r="A980" s="39"/>
      <c r="B980" s="40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28"/>
    </row>
    <row r="981" customFormat="1" spans="1:16">
      <c r="A981" s="39"/>
      <c r="B981" s="40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28"/>
    </row>
    <row r="982" customFormat="1" spans="1:16">
      <c r="A982" s="39"/>
      <c r="B982" s="40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28"/>
    </row>
    <row r="983" customFormat="1" spans="1:16">
      <c r="A983" s="39"/>
      <c r="B983" s="40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28"/>
    </row>
    <row r="984" customFormat="1" spans="1:16">
      <c r="A984" s="39"/>
      <c r="B984" s="40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28"/>
    </row>
    <row r="985" customFormat="1" spans="1:16">
      <c r="A985" s="39"/>
      <c r="B985" s="40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28"/>
    </row>
    <row r="986" customFormat="1" spans="1:16">
      <c r="A986" s="39"/>
      <c r="B986" s="40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28"/>
    </row>
    <row r="987" customFormat="1" spans="1:16">
      <c r="A987" s="39"/>
      <c r="B987" s="40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28"/>
    </row>
    <row r="988" customFormat="1" spans="1:16">
      <c r="A988" s="39"/>
      <c r="B988" s="40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28"/>
    </row>
    <row r="989" customFormat="1" spans="1:16">
      <c r="A989" s="39"/>
      <c r="B989" s="40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28"/>
    </row>
    <row r="990" customFormat="1" spans="1:16">
      <c r="A990" s="39"/>
      <c r="B990" s="40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28"/>
    </row>
    <row r="991" customFormat="1" spans="1:16">
      <c r="A991" s="39"/>
      <c r="B991" s="40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28"/>
    </row>
    <row r="992" customFormat="1" spans="1:16">
      <c r="A992" s="39"/>
      <c r="B992" s="40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28"/>
    </row>
    <row r="993" customFormat="1" spans="1:16">
      <c r="A993" s="39"/>
      <c r="B993" s="40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28"/>
    </row>
    <row r="994" customFormat="1" spans="1:16">
      <c r="A994" s="39"/>
      <c r="B994" s="40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28"/>
    </row>
    <row r="995" customFormat="1" spans="1:16">
      <c r="A995" s="39"/>
      <c r="B995" s="40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28"/>
    </row>
    <row r="996" customFormat="1" spans="1:16">
      <c r="A996" s="39"/>
      <c r="B996" s="40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28"/>
    </row>
    <row r="997" customFormat="1" spans="1:16">
      <c r="A997" s="39"/>
      <c r="B997" s="40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28"/>
    </row>
    <row r="998" customFormat="1" spans="1:16">
      <c r="A998" s="39"/>
      <c r="B998" s="40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28"/>
    </row>
    <row r="999" customFormat="1" spans="1:16">
      <c r="A999" s="39"/>
      <c r="B999" s="40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28"/>
    </row>
    <row r="1000" customFormat="1" spans="1:16">
      <c r="A1000" s="39"/>
      <c r="B1000" s="40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28"/>
    </row>
    <row r="1001" customFormat="1" spans="1:16">
      <c r="A1001" s="39"/>
      <c r="B1001" s="40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28"/>
    </row>
    <row r="1002" customFormat="1" spans="1:16">
      <c r="A1002" s="39"/>
      <c r="B1002" s="40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28"/>
    </row>
    <row r="1003" customFormat="1" spans="1:16">
      <c r="A1003" s="39"/>
      <c r="B1003" s="40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28"/>
    </row>
    <row r="1004" customFormat="1" spans="1:16">
      <c r="A1004" s="39"/>
      <c r="B1004" s="40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28"/>
    </row>
    <row r="1005" customFormat="1" spans="1:16">
      <c r="A1005" s="39"/>
      <c r="B1005" s="40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28"/>
    </row>
    <row r="1006" customFormat="1" spans="1:16">
      <c r="A1006" s="39"/>
      <c r="B1006" s="40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28"/>
    </row>
    <row r="1007" customFormat="1" spans="1:16">
      <c r="A1007" s="39"/>
      <c r="B1007" s="40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28"/>
    </row>
    <row r="1008" customFormat="1" spans="1:16">
      <c r="A1008" s="39"/>
      <c r="B1008" s="40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28"/>
    </row>
    <row r="1009" customFormat="1" spans="1:16">
      <c r="A1009" s="39"/>
      <c r="B1009" s="40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28"/>
    </row>
    <row r="1010" customFormat="1" spans="1:16">
      <c r="A1010" s="39"/>
      <c r="B1010" s="40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28"/>
    </row>
    <row r="1011" customFormat="1" spans="1:16">
      <c r="A1011" s="39"/>
      <c r="B1011" s="40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28"/>
    </row>
    <row r="1012" customFormat="1" spans="1:16">
      <c r="A1012" s="39"/>
      <c r="B1012" s="40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28"/>
    </row>
    <row r="1013" customFormat="1" spans="1:16">
      <c r="A1013" s="39"/>
      <c r="B1013" s="40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28"/>
    </row>
    <row r="1014" customFormat="1" spans="1:16">
      <c r="A1014" s="39"/>
      <c r="B1014" s="40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28"/>
    </row>
    <row r="1015" customFormat="1" spans="1:16">
      <c r="A1015" s="39"/>
      <c r="B1015" s="40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28"/>
    </row>
    <row r="1016" customFormat="1" spans="1:16">
      <c r="A1016" s="39"/>
      <c r="B1016" s="40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28"/>
    </row>
    <row r="1017" customFormat="1" spans="1:16">
      <c r="A1017" s="39"/>
      <c r="B1017" s="40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28"/>
    </row>
    <row r="1018" customFormat="1" spans="1:16">
      <c r="A1018" s="39"/>
      <c r="B1018" s="40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28"/>
    </row>
    <row r="1019" customFormat="1" spans="1:16">
      <c r="A1019" s="39"/>
      <c r="B1019" s="40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  <c r="P1019" s="28"/>
    </row>
    <row r="1020" customFormat="1" spans="1:16">
      <c r="A1020" s="39"/>
      <c r="B1020" s="40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  <c r="P1020" s="28"/>
    </row>
    <row r="1021" customFormat="1" spans="1:16">
      <c r="A1021" s="39"/>
      <c r="B1021" s="40"/>
      <c r="C1021" s="41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  <c r="P1021" s="28"/>
    </row>
    <row r="1022" customFormat="1" spans="1:16">
      <c r="A1022" s="39"/>
      <c r="B1022" s="40"/>
      <c r="C1022" s="41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  <c r="P1022" s="28"/>
    </row>
    <row r="1023" customFormat="1" spans="1:16">
      <c r="A1023" s="39"/>
      <c r="B1023" s="40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  <c r="P1023" s="28"/>
    </row>
    <row r="1024" customFormat="1" spans="1:16">
      <c r="A1024" s="39"/>
      <c r="B1024" s="40"/>
      <c r="C1024" s="41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28"/>
    </row>
    <row r="1025" customFormat="1" spans="1:16">
      <c r="A1025" s="39"/>
      <c r="B1025" s="40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  <c r="P1025" s="28"/>
    </row>
    <row r="1026" customFormat="1" spans="1:16">
      <c r="A1026" s="39"/>
      <c r="B1026" s="40"/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  <c r="P1026" s="28"/>
    </row>
    <row r="1027" customFormat="1" spans="1:16">
      <c r="A1027" s="39"/>
      <c r="B1027" s="40"/>
      <c r="C1027" s="41"/>
      <c r="D1027" s="41"/>
      <c r="E1027" s="41"/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  <c r="P1027" s="28"/>
    </row>
    <row r="1028" customFormat="1" spans="1:16">
      <c r="A1028" s="39"/>
      <c r="B1028" s="40"/>
      <c r="C1028" s="41"/>
      <c r="D1028" s="41"/>
      <c r="E1028" s="41"/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  <c r="P1028" s="28"/>
    </row>
    <row r="1029" customFormat="1" spans="1:16">
      <c r="A1029" s="39"/>
      <c r="B1029" s="40"/>
      <c r="C1029" s="41"/>
      <c r="D1029" s="41"/>
      <c r="E1029" s="41"/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  <c r="P1029" s="28"/>
    </row>
    <row r="1030" customFormat="1" spans="1:16">
      <c r="A1030" s="39"/>
      <c r="B1030" s="40"/>
      <c r="C1030" s="41"/>
      <c r="D1030" s="41"/>
      <c r="E1030" s="41"/>
      <c r="F1030" s="41"/>
      <c r="G1030" s="41"/>
      <c r="H1030" s="41"/>
      <c r="I1030" s="41"/>
      <c r="J1030" s="41"/>
      <c r="K1030" s="41"/>
      <c r="L1030" s="41"/>
      <c r="M1030" s="41"/>
      <c r="N1030" s="41"/>
      <c r="O1030" s="41"/>
      <c r="P1030" s="28"/>
    </row>
    <row r="1031" customFormat="1" spans="1:16">
      <c r="A1031" s="39"/>
      <c r="B1031" s="40"/>
      <c r="C1031" s="41"/>
      <c r="D1031" s="41"/>
      <c r="E1031" s="41"/>
      <c r="F1031" s="41"/>
      <c r="G1031" s="41"/>
      <c r="H1031" s="41"/>
      <c r="I1031" s="41"/>
      <c r="J1031" s="41"/>
      <c r="K1031" s="41"/>
      <c r="L1031" s="41"/>
      <c r="M1031" s="41"/>
      <c r="N1031" s="41"/>
      <c r="O1031" s="41"/>
      <c r="P1031" s="28"/>
    </row>
    <row r="1032" customFormat="1" spans="1:16">
      <c r="A1032" s="39"/>
      <c r="B1032" s="40"/>
      <c r="C1032" s="41"/>
      <c r="D1032" s="41"/>
      <c r="E1032" s="41"/>
      <c r="F1032" s="41"/>
      <c r="G1032" s="41"/>
      <c r="H1032" s="41"/>
      <c r="I1032" s="41"/>
      <c r="J1032" s="41"/>
      <c r="K1032" s="41"/>
      <c r="L1032" s="41"/>
      <c r="M1032" s="41"/>
      <c r="N1032" s="41"/>
      <c r="O1032" s="41"/>
      <c r="P1032" s="28"/>
    </row>
    <row r="1033" customFormat="1" spans="1:16">
      <c r="A1033" s="39"/>
      <c r="B1033" s="40"/>
      <c r="C1033" s="41"/>
      <c r="D1033" s="41"/>
      <c r="E1033" s="41"/>
      <c r="F1033" s="41"/>
      <c r="G1033" s="41"/>
      <c r="H1033" s="41"/>
      <c r="I1033" s="41"/>
      <c r="J1033" s="41"/>
      <c r="K1033" s="41"/>
      <c r="L1033" s="41"/>
      <c r="M1033" s="41"/>
      <c r="N1033" s="41"/>
      <c r="O1033" s="41"/>
      <c r="P1033" s="28"/>
    </row>
    <row r="1034" customFormat="1" spans="1:16">
      <c r="A1034" s="39"/>
      <c r="B1034" s="40"/>
      <c r="C1034" s="41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  <c r="P1034" s="28"/>
    </row>
    <row r="1035" customFormat="1" spans="1:16">
      <c r="A1035" s="39"/>
      <c r="B1035" s="40"/>
      <c r="C1035" s="41"/>
      <c r="D1035" s="41"/>
      <c r="E1035" s="41"/>
      <c r="F1035" s="41"/>
      <c r="G1035" s="41"/>
      <c r="H1035" s="41"/>
      <c r="I1035" s="41"/>
      <c r="J1035" s="41"/>
      <c r="K1035" s="41"/>
      <c r="L1035" s="41"/>
      <c r="M1035" s="41"/>
      <c r="N1035" s="41"/>
      <c r="O1035" s="41"/>
      <c r="P1035" s="28"/>
    </row>
    <row r="1036" customFormat="1" spans="1:16">
      <c r="A1036" s="39"/>
      <c r="B1036" s="40"/>
      <c r="C1036" s="41"/>
      <c r="D1036" s="41"/>
      <c r="E1036" s="41"/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  <c r="P1036" s="28"/>
    </row>
    <row r="1037" customFormat="1" spans="1:16">
      <c r="A1037" s="39"/>
      <c r="B1037" s="40"/>
      <c r="C1037" s="41"/>
      <c r="D1037" s="41"/>
      <c r="E1037" s="41"/>
      <c r="F1037" s="41"/>
      <c r="G1037" s="41"/>
      <c r="H1037" s="41"/>
      <c r="I1037" s="41"/>
      <c r="J1037" s="41"/>
      <c r="K1037" s="41"/>
      <c r="L1037" s="41"/>
      <c r="M1037" s="41"/>
      <c r="N1037" s="41"/>
      <c r="O1037" s="41"/>
      <c r="P1037" s="28"/>
    </row>
    <row r="1038" customFormat="1" spans="1:16">
      <c r="A1038" s="39"/>
      <c r="B1038" s="40"/>
      <c r="C1038" s="41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  <c r="P1038" s="28"/>
    </row>
    <row r="1039" customFormat="1" spans="1:16">
      <c r="A1039" s="39"/>
      <c r="B1039" s="40"/>
      <c r="C1039" s="41"/>
      <c r="D1039" s="41"/>
      <c r="E1039" s="41"/>
      <c r="F1039" s="41"/>
      <c r="G1039" s="41"/>
      <c r="H1039" s="41"/>
      <c r="I1039" s="41"/>
      <c r="J1039" s="41"/>
      <c r="K1039" s="41"/>
      <c r="L1039" s="41"/>
      <c r="M1039" s="41"/>
      <c r="N1039" s="41"/>
      <c r="O1039" s="41"/>
      <c r="P1039" s="28"/>
    </row>
    <row r="1040" customFormat="1" spans="1:16">
      <c r="A1040" s="39"/>
      <c r="B1040" s="40"/>
      <c r="C1040" s="41"/>
      <c r="D1040" s="41"/>
      <c r="E1040" s="41"/>
      <c r="F1040" s="41"/>
      <c r="G1040" s="41"/>
      <c r="H1040" s="41"/>
      <c r="I1040" s="41"/>
      <c r="J1040" s="41"/>
      <c r="K1040" s="41"/>
      <c r="L1040" s="41"/>
      <c r="M1040" s="41"/>
      <c r="N1040" s="41"/>
      <c r="O1040" s="41"/>
      <c r="P1040" s="28"/>
    </row>
    <row r="1041" customFormat="1" spans="1:16">
      <c r="A1041" s="39"/>
      <c r="B1041" s="40"/>
      <c r="C1041" s="41"/>
      <c r="D1041" s="41"/>
      <c r="E1041" s="41"/>
      <c r="F1041" s="41"/>
      <c r="G1041" s="41"/>
      <c r="H1041" s="41"/>
      <c r="I1041" s="41"/>
      <c r="J1041" s="41"/>
      <c r="K1041" s="41"/>
      <c r="L1041" s="41"/>
      <c r="M1041" s="41"/>
      <c r="N1041" s="41"/>
      <c r="O1041" s="41"/>
      <c r="P1041" s="28"/>
    </row>
    <row r="1042" customFormat="1" spans="1:16">
      <c r="A1042" s="39"/>
      <c r="B1042" s="40"/>
      <c r="C1042" s="41"/>
      <c r="D1042" s="41"/>
      <c r="E1042" s="41"/>
      <c r="F1042" s="41"/>
      <c r="G1042" s="41"/>
      <c r="H1042" s="41"/>
      <c r="I1042" s="41"/>
      <c r="J1042" s="41"/>
      <c r="K1042" s="41"/>
      <c r="L1042" s="41"/>
      <c r="M1042" s="41"/>
      <c r="N1042" s="41"/>
      <c r="O1042" s="41"/>
      <c r="P1042" s="28"/>
    </row>
    <row r="1043" customFormat="1" spans="1:16">
      <c r="A1043" s="39"/>
      <c r="B1043" s="40"/>
      <c r="C1043" s="41"/>
      <c r="D1043" s="41"/>
      <c r="E1043" s="41"/>
      <c r="F1043" s="41"/>
      <c r="G1043" s="41"/>
      <c r="H1043" s="41"/>
      <c r="I1043" s="41"/>
      <c r="J1043" s="41"/>
      <c r="K1043" s="41"/>
      <c r="L1043" s="41"/>
      <c r="M1043" s="41"/>
      <c r="N1043" s="41"/>
      <c r="O1043" s="41"/>
      <c r="P1043" s="28"/>
    </row>
    <row r="1044" customFormat="1" spans="1:16">
      <c r="A1044" s="39"/>
      <c r="B1044" s="40"/>
      <c r="C1044" s="41"/>
      <c r="D1044" s="41"/>
      <c r="E1044" s="41"/>
      <c r="F1044" s="41"/>
      <c r="G1044" s="41"/>
      <c r="H1044" s="41"/>
      <c r="I1044" s="41"/>
      <c r="J1044" s="41"/>
      <c r="K1044" s="41"/>
      <c r="L1044" s="41"/>
      <c r="M1044" s="41"/>
      <c r="N1044" s="41"/>
      <c r="O1044" s="41"/>
      <c r="P1044" s="28"/>
    </row>
    <row r="1045" customFormat="1" spans="1:16">
      <c r="A1045" s="39"/>
      <c r="B1045" s="40"/>
      <c r="C1045" s="41"/>
      <c r="D1045" s="41"/>
      <c r="E1045" s="41"/>
      <c r="F1045" s="41"/>
      <c r="G1045" s="41"/>
      <c r="H1045" s="41"/>
      <c r="I1045" s="41"/>
      <c r="J1045" s="41"/>
      <c r="K1045" s="41"/>
      <c r="L1045" s="41"/>
      <c r="M1045" s="41"/>
      <c r="N1045" s="41"/>
      <c r="O1045" s="41"/>
      <c r="P1045" s="28"/>
    </row>
    <row r="1046" customFormat="1" spans="1:16">
      <c r="A1046" s="39"/>
      <c r="B1046" s="40"/>
      <c r="C1046" s="41"/>
      <c r="D1046" s="41"/>
      <c r="E1046" s="41"/>
      <c r="F1046" s="41"/>
      <c r="G1046" s="41"/>
      <c r="H1046" s="41"/>
      <c r="I1046" s="41"/>
      <c r="J1046" s="41"/>
      <c r="K1046" s="41"/>
      <c r="L1046" s="41"/>
      <c r="M1046" s="41"/>
      <c r="N1046" s="41"/>
      <c r="O1046" s="41"/>
      <c r="P1046" s="28"/>
    </row>
    <row r="1047" customFormat="1" spans="1:16">
      <c r="A1047" s="39"/>
      <c r="B1047" s="40"/>
      <c r="C1047" s="41"/>
      <c r="D1047" s="41"/>
      <c r="E1047" s="41"/>
      <c r="F1047" s="41"/>
      <c r="G1047" s="41"/>
      <c r="H1047" s="41"/>
      <c r="I1047" s="41"/>
      <c r="J1047" s="41"/>
      <c r="K1047" s="41"/>
      <c r="L1047" s="41"/>
      <c r="M1047" s="41"/>
      <c r="N1047" s="41"/>
      <c r="O1047" s="41"/>
      <c r="P1047" s="28"/>
    </row>
    <row r="1048" customFormat="1" spans="1:16">
      <c r="A1048" s="39"/>
      <c r="B1048" s="40"/>
      <c r="C1048" s="41"/>
      <c r="D1048" s="41"/>
      <c r="E1048" s="41"/>
      <c r="F1048" s="41"/>
      <c r="G1048" s="41"/>
      <c r="H1048" s="41"/>
      <c r="I1048" s="41"/>
      <c r="J1048" s="41"/>
      <c r="K1048" s="41"/>
      <c r="L1048" s="41"/>
      <c r="M1048" s="41"/>
      <c r="N1048" s="41"/>
      <c r="O1048" s="41"/>
      <c r="P1048" s="28"/>
    </row>
    <row r="1049" customFormat="1" spans="1:16">
      <c r="A1049" s="39"/>
      <c r="B1049" s="40"/>
      <c r="C1049" s="41"/>
      <c r="D1049" s="41"/>
      <c r="E1049" s="41"/>
      <c r="F1049" s="41"/>
      <c r="G1049" s="41"/>
      <c r="H1049" s="41"/>
      <c r="I1049" s="41"/>
      <c r="J1049" s="41"/>
      <c r="K1049" s="41"/>
      <c r="L1049" s="41"/>
      <c r="M1049" s="41"/>
      <c r="N1049" s="41"/>
      <c r="O1049" s="41"/>
      <c r="P1049" s="28"/>
    </row>
    <row r="1050" customFormat="1" spans="1:16">
      <c r="A1050" s="39"/>
      <c r="B1050" s="40"/>
      <c r="C1050" s="41"/>
      <c r="D1050" s="41"/>
      <c r="E1050" s="41"/>
      <c r="F1050" s="41"/>
      <c r="G1050" s="41"/>
      <c r="H1050" s="41"/>
      <c r="I1050" s="41"/>
      <c r="J1050" s="41"/>
      <c r="K1050" s="41"/>
      <c r="L1050" s="41"/>
      <c r="M1050" s="41"/>
      <c r="N1050" s="41"/>
      <c r="O1050" s="41"/>
      <c r="P1050" s="28"/>
    </row>
    <row r="1051" customFormat="1" spans="1:16">
      <c r="A1051" s="39"/>
      <c r="B1051" s="40"/>
      <c r="C1051" s="41"/>
      <c r="D1051" s="41"/>
      <c r="E1051" s="41"/>
      <c r="F1051" s="41"/>
      <c r="G1051" s="41"/>
      <c r="H1051" s="41"/>
      <c r="I1051" s="41"/>
      <c r="J1051" s="41"/>
      <c r="K1051" s="41"/>
      <c r="L1051" s="41"/>
      <c r="M1051" s="41"/>
      <c r="N1051" s="41"/>
      <c r="O1051" s="41"/>
      <c r="P1051" s="28"/>
    </row>
    <row r="1052" customFormat="1" spans="1:16">
      <c r="A1052" s="39"/>
      <c r="B1052" s="40"/>
      <c r="C1052" s="41"/>
      <c r="D1052" s="41"/>
      <c r="E1052" s="41"/>
      <c r="F1052" s="41"/>
      <c r="G1052" s="41"/>
      <c r="H1052" s="41"/>
      <c r="I1052" s="41"/>
      <c r="J1052" s="41"/>
      <c r="K1052" s="41"/>
      <c r="L1052" s="41"/>
      <c r="M1052" s="41"/>
      <c r="N1052" s="41"/>
      <c r="O1052" s="41"/>
      <c r="P1052" s="28"/>
    </row>
    <row r="1053" customFormat="1" spans="1:16">
      <c r="A1053" s="39"/>
      <c r="B1053" s="40"/>
      <c r="C1053" s="41"/>
      <c r="D1053" s="41"/>
      <c r="E1053" s="41"/>
      <c r="F1053" s="41"/>
      <c r="G1053" s="41"/>
      <c r="H1053" s="41"/>
      <c r="I1053" s="41"/>
      <c r="J1053" s="41"/>
      <c r="K1053" s="41"/>
      <c r="L1053" s="41"/>
      <c r="M1053" s="41"/>
      <c r="N1053" s="41"/>
      <c r="O1053" s="41"/>
      <c r="P1053" s="28"/>
    </row>
    <row r="1054" customFormat="1" spans="1:16">
      <c r="A1054" s="39"/>
      <c r="B1054" s="40"/>
      <c r="C1054" s="41"/>
      <c r="D1054" s="41"/>
      <c r="E1054" s="41"/>
      <c r="F1054" s="41"/>
      <c r="G1054" s="41"/>
      <c r="H1054" s="41"/>
      <c r="I1054" s="41"/>
      <c r="J1054" s="41"/>
      <c r="K1054" s="41"/>
      <c r="L1054" s="41"/>
      <c r="M1054" s="41"/>
      <c r="N1054" s="41"/>
      <c r="O1054" s="41"/>
      <c r="P1054" s="28"/>
    </row>
    <row r="1055" customFormat="1" spans="1:16">
      <c r="A1055" s="39"/>
      <c r="B1055" s="40"/>
      <c r="C1055" s="41"/>
      <c r="D1055" s="41"/>
      <c r="E1055" s="41"/>
      <c r="F1055" s="41"/>
      <c r="G1055" s="41"/>
      <c r="H1055" s="41"/>
      <c r="I1055" s="41"/>
      <c r="J1055" s="41"/>
      <c r="K1055" s="41"/>
      <c r="L1055" s="41"/>
      <c r="M1055" s="41"/>
      <c r="N1055" s="41"/>
      <c r="O1055" s="41"/>
      <c r="P1055" s="28"/>
    </row>
    <row r="1056" customFormat="1" spans="1:16">
      <c r="A1056" s="39"/>
      <c r="B1056" s="40"/>
      <c r="C1056" s="41"/>
      <c r="D1056" s="41"/>
      <c r="E1056" s="41"/>
      <c r="F1056" s="41"/>
      <c r="G1056" s="41"/>
      <c r="H1056" s="41"/>
      <c r="I1056" s="41"/>
      <c r="J1056" s="41"/>
      <c r="K1056" s="41"/>
      <c r="L1056" s="41"/>
      <c r="M1056" s="41"/>
      <c r="N1056" s="41"/>
      <c r="O1056" s="41"/>
      <c r="P1056" s="28"/>
    </row>
    <row r="1057" customFormat="1" spans="1:16">
      <c r="A1057" s="39"/>
      <c r="B1057" s="40"/>
      <c r="C1057" s="41"/>
      <c r="D1057" s="41"/>
      <c r="E1057" s="41"/>
      <c r="F1057" s="41"/>
      <c r="G1057" s="41"/>
      <c r="H1057" s="41"/>
      <c r="I1057" s="41"/>
      <c r="J1057" s="41"/>
      <c r="K1057" s="41"/>
      <c r="L1057" s="41"/>
      <c r="M1057" s="41"/>
      <c r="N1057" s="41"/>
      <c r="O1057" s="41"/>
      <c r="P1057" s="28"/>
    </row>
    <row r="1058" customFormat="1" spans="1:16">
      <c r="A1058" s="39"/>
      <c r="B1058" s="40"/>
      <c r="C1058" s="41"/>
      <c r="D1058" s="41"/>
      <c r="E1058" s="41"/>
      <c r="F1058" s="41"/>
      <c r="G1058" s="41"/>
      <c r="H1058" s="41"/>
      <c r="I1058" s="41"/>
      <c r="J1058" s="41"/>
      <c r="K1058" s="41"/>
      <c r="L1058" s="41"/>
      <c r="M1058" s="41"/>
      <c r="N1058" s="41"/>
      <c r="O1058" s="41"/>
      <c r="P1058" s="28"/>
    </row>
    <row r="1059" customFormat="1" spans="1:16">
      <c r="A1059" s="39"/>
      <c r="B1059" s="40"/>
      <c r="C1059" s="41"/>
      <c r="D1059" s="41"/>
      <c r="E1059" s="41"/>
      <c r="F1059" s="41"/>
      <c r="G1059" s="41"/>
      <c r="H1059" s="41"/>
      <c r="I1059" s="41"/>
      <c r="J1059" s="41"/>
      <c r="K1059" s="41"/>
      <c r="L1059" s="41"/>
      <c r="M1059" s="41"/>
      <c r="N1059" s="41"/>
      <c r="O1059" s="41"/>
      <c r="P1059" s="28"/>
    </row>
    <row r="1060" customFormat="1" spans="1:16">
      <c r="A1060" s="39"/>
      <c r="B1060" s="40"/>
      <c r="C1060" s="41"/>
      <c r="D1060" s="41"/>
      <c r="E1060" s="41"/>
      <c r="F1060" s="41"/>
      <c r="G1060" s="41"/>
      <c r="H1060" s="41"/>
      <c r="I1060" s="41"/>
      <c r="J1060" s="41"/>
      <c r="K1060" s="41"/>
      <c r="L1060" s="41"/>
      <c r="M1060" s="41"/>
      <c r="N1060" s="41"/>
      <c r="O1060" s="41"/>
      <c r="P1060" s="28"/>
    </row>
    <row r="1061" customFormat="1" spans="1:16">
      <c r="A1061" s="39"/>
      <c r="B1061" s="40"/>
      <c r="C1061" s="41"/>
      <c r="D1061" s="41"/>
      <c r="E1061" s="41"/>
      <c r="F1061" s="41"/>
      <c r="G1061" s="41"/>
      <c r="H1061" s="41"/>
      <c r="I1061" s="41"/>
      <c r="J1061" s="41"/>
      <c r="K1061" s="41"/>
      <c r="L1061" s="41"/>
      <c r="M1061" s="41"/>
      <c r="N1061" s="41"/>
      <c r="O1061" s="41"/>
      <c r="P1061" s="28"/>
    </row>
    <row r="1062" customFormat="1" spans="1:16">
      <c r="A1062" s="39"/>
      <c r="B1062" s="40"/>
      <c r="C1062" s="41"/>
      <c r="D1062" s="41"/>
      <c r="E1062" s="41"/>
      <c r="F1062" s="41"/>
      <c r="G1062" s="41"/>
      <c r="H1062" s="41"/>
      <c r="I1062" s="41"/>
      <c r="J1062" s="41"/>
      <c r="K1062" s="41"/>
      <c r="L1062" s="41"/>
      <c r="M1062" s="41"/>
      <c r="N1062" s="41"/>
      <c r="O1062" s="41"/>
      <c r="P1062" s="28"/>
    </row>
    <row r="1063" customFormat="1" spans="1:16">
      <c r="A1063" s="39"/>
      <c r="B1063" s="40"/>
      <c r="C1063" s="41"/>
      <c r="D1063" s="41"/>
      <c r="E1063" s="41"/>
      <c r="F1063" s="41"/>
      <c r="G1063" s="41"/>
      <c r="H1063" s="41"/>
      <c r="I1063" s="41"/>
      <c r="J1063" s="41"/>
      <c r="K1063" s="41"/>
      <c r="L1063" s="41"/>
      <c r="M1063" s="41"/>
      <c r="N1063" s="41"/>
      <c r="O1063" s="41"/>
      <c r="P1063" s="28"/>
    </row>
    <row r="1064" customFormat="1" spans="1:16">
      <c r="A1064" s="39"/>
      <c r="B1064" s="40"/>
      <c r="C1064" s="41"/>
      <c r="D1064" s="41"/>
      <c r="E1064" s="41"/>
      <c r="F1064" s="41"/>
      <c r="G1064" s="41"/>
      <c r="H1064" s="41"/>
      <c r="I1064" s="41"/>
      <c r="J1064" s="41"/>
      <c r="K1064" s="41"/>
      <c r="L1064" s="41"/>
      <c r="M1064" s="41"/>
      <c r="N1064" s="41"/>
      <c r="O1064" s="41"/>
      <c r="P1064" s="28"/>
    </row>
    <row r="1065" customFormat="1" spans="1:16">
      <c r="A1065" s="39"/>
      <c r="B1065" s="40"/>
      <c r="C1065" s="41"/>
      <c r="D1065" s="41"/>
      <c r="E1065" s="41"/>
      <c r="F1065" s="41"/>
      <c r="G1065" s="41"/>
      <c r="H1065" s="41"/>
      <c r="I1065" s="41"/>
      <c r="J1065" s="41"/>
      <c r="K1065" s="41"/>
      <c r="L1065" s="41"/>
      <c r="M1065" s="41"/>
      <c r="N1065" s="41"/>
      <c r="O1065" s="41"/>
      <c r="P1065" s="28"/>
    </row>
    <row r="1066" customFormat="1" spans="1:16">
      <c r="A1066" s="39"/>
      <c r="B1066" s="40"/>
      <c r="C1066" s="41"/>
      <c r="D1066" s="41"/>
      <c r="E1066" s="41"/>
      <c r="F1066" s="41"/>
      <c r="G1066" s="41"/>
      <c r="H1066" s="41"/>
      <c r="I1066" s="41"/>
      <c r="J1066" s="41"/>
      <c r="K1066" s="41"/>
      <c r="L1066" s="41"/>
      <c r="M1066" s="41"/>
      <c r="N1066" s="41"/>
      <c r="O1066" s="41"/>
      <c r="P1066" s="28"/>
    </row>
    <row r="1067" customFormat="1" spans="1:16">
      <c r="A1067" s="39"/>
      <c r="B1067" s="40"/>
      <c r="C1067" s="41"/>
      <c r="D1067" s="41"/>
      <c r="E1067" s="41"/>
      <c r="F1067" s="41"/>
      <c r="G1067" s="41"/>
      <c r="H1067" s="41"/>
      <c r="I1067" s="41"/>
      <c r="J1067" s="41"/>
      <c r="K1067" s="41"/>
      <c r="L1067" s="41"/>
      <c r="M1067" s="41"/>
      <c r="N1067" s="41"/>
      <c r="O1067" s="41"/>
      <c r="P1067" s="28"/>
    </row>
    <row r="1068" customFormat="1" spans="1:16">
      <c r="A1068" s="39"/>
      <c r="B1068" s="40"/>
      <c r="C1068" s="41"/>
      <c r="D1068" s="41"/>
      <c r="E1068" s="41"/>
      <c r="F1068" s="41"/>
      <c r="G1068" s="41"/>
      <c r="H1068" s="41"/>
      <c r="I1068" s="41"/>
      <c r="J1068" s="41"/>
      <c r="K1068" s="41"/>
      <c r="L1068" s="41"/>
      <c r="M1068" s="41"/>
      <c r="N1068" s="41"/>
      <c r="O1068" s="41"/>
      <c r="P1068" s="28"/>
    </row>
    <row r="1069" customFormat="1" spans="1:16">
      <c r="A1069" s="39"/>
      <c r="B1069" s="40"/>
      <c r="C1069" s="41"/>
      <c r="D1069" s="41"/>
      <c r="E1069" s="41"/>
      <c r="F1069" s="41"/>
      <c r="G1069" s="41"/>
      <c r="H1069" s="41"/>
      <c r="I1069" s="41"/>
      <c r="J1069" s="41"/>
      <c r="K1069" s="41"/>
      <c r="L1069" s="41"/>
      <c r="M1069" s="41"/>
      <c r="N1069" s="41"/>
      <c r="O1069" s="41"/>
      <c r="P1069" s="28"/>
    </row>
    <row r="1070" customFormat="1" spans="1:16">
      <c r="A1070" s="39"/>
      <c r="B1070" s="40"/>
      <c r="C1070" s="41"/>
      <c r="D1070" s="41"/>
      <c r="E1070" s="41"/>
      <c r="F1070" s="41"/>
      <c r="G1070" s="41"/>
      <c r="H1070" s="41"/>
      <c r="I1070" s="41"/>
      <c r="J1070" s="41"/>
      <c r="K1070" s="41"/>
      <c r="L1070" s="41"/>
      <c r="M1070" s="41"/>
      <c r="N1070" s="41"/>
      <c r="O1070" s="41"/>
      <c r="P1070" s="28"/>
    </row>
    <row r="1071" customFormat="1" spans="1:16">
      <c r="A1071" s="39"/>
      <c r="B1071" s="40"/>
      <c r="C1071" s="41"/>
      <c r="D1071" s="41"/>
      <c r="E1071" s="41"/>
      <c r="F1071" s="41"/>
      <c r="G1071" s="41"/>
      <c r="H1071" s="41"/>
      <c r="I1071" s="41"/>
      <c r="J1071" s="41"/>
      <c r="K1071" s="41"/>
      <c r="L1071" s="41"/>
      <c r="M1071" s="41"/>
      <c r="N1071" s="41"/>
      <c r="O1071" s="41"/>
      <c r="P1071" s="28"/>
    </row>
    <row r="1072" customFormat="1" spans="1:16">
      <c r="A1072" s="39"/>
      <c r="B1072" s="40"/>
      <c r="C1072" s="41"/>
      <c r="D1072" s="41"/>
      <c r="E1072" s="41"/>
      <c r="F1072" s="41"/>
      <c r="G1072" s="41"/>
      <c r="H1072" s="41"/>
      <c r="I1072" s="41"/>
      <c r="J1072" s="41"/>
      <c r="K1072" s="41"/>
      <c r="L1072" s="41"/>
      <c r="M1072" s="41"/>
      <c r="N1072" s="41"/>
      <c r="O1072" s="41"/>
      <c r="P1072" s="28"/>
    </row>
    <row r="1073" customFormat="1" spans="1:16">
      <c r="A1073" s="39"/>
      <c r="B1073" s="40"/>
      <c r="C1073" s="41"/>
      <c r="D1073" s="41"/>
      <c r="E1073" s="41"/>
      <c r="F1073" s="41"/>
      <c r="G1073" s="41"/>
      <c r="H1073" s="41"/>
      <c r="I1073" s="41"/>
      <c r="J1073" s="41"/>
      <c r="K1073" s="41"/>
      <c r="L1073" s="41"/>
      <c r="M1073" s="41"/>
      <c r="N1073" s="41"/>
      <c r="O1073" s="41"/>
      <c r="P1073" s="28"/>
    </row>
    <row r="1074" customFormat="1" spans="1:16">
      <c r="A1074" s="39"/>
      <c r="B1074" s="40"/>
      <c r="C1074" s="41"/>
      <c r="D1074" s="41"/>
      <c r="E1074" s="41"/>
      <c r="F1074" s="41"/>
      <c r="G1074" s="41"/>
      <c r="H1074" s="41"/>
      <c r="I1074" s="41"/>
      <c r="J1074" s="41"/>
      <c r="K1074" s="41"/>
      <c r="L1074" s="41"/>
      <c r="M1074" s="41"/>
      <c r="N1074" s="41"/>
      <c r="O1074" s="41"/>
      <c r="P1074" s="28"/>
    </row>
    <row r="1075" customFormat="1" spans="1:16">
      <c r="A1075" s="39"/>
      <c r="B1075" s="40"/>
      <c r="C1075" s="41"/>
      <c r="D1075" s="41"/>
      <c r="E1075" s="41"/>
      <c r="F1075" s="41"/>
      <c r="G1075" s="41"/>
      <c r="H1075" s="41"/>
      <c r="I1075" s="41"/>
      <c r="J1075" s="41"/>
      <c r="K1075" s="41"/>
      <c r="L1075" s="41"/>
      <c r="M1075" s="41"/>
      <c r="N1075" s="41"/>
      <c r="O1075" s="41"/>
      <c r="P1075" s="28"/>
    </row>
    <row r="1076" customFormat="1" spans="1:16">
      <c r="A1076" s="39"/>
      <c r="B1076" s="40"/>
      <c r="C1076" s="41"/>
      <c r="D1076" s="41"/>
      <c r="E1076" s="41"/>
      <c r="F1076" s="41"/>
      <c r="G1076" s="41"/>
      <c r="H1076" s="41"/>
      <c r="I1076" s="41"/>
      <c r="J1076" s="41"/>
      <c r="K1076" s="41"/>
      <c r="L1076" s="41"/>
      <c r="M1076" s="41"/>
      <c r="N1076" s="41"/>
      <c r="O1076" s="41"/>
      <c r="P1076" s="28"/>
    </row>
    <row r="1077" customFormat="1" spans="1:16">
      <c r="A1077" s="39"/>
      <c r="B1077" s="40"/>
      <c r="C1077" s="41"/>
      <c r="D1077" s="41"/>
      <c r="E1077" s="41"/>
      <c r="F1077" s="41"/>
      <c r="G1077" s="41"/>
      <c r="H1077" s="41"/>
      <c r="I1077" s="41"/>
      <c r="J1077" s="41"/>
      <c r="K1077" s="41"/>
      <c r="L1077" s="41"/>
      <c r="M1077" s="41"/>
      <c r="N1077" s="41"/>
      <c r="O1077" s="41"/>
      <c r="P1077" s="28"/>
    </row>
    <row r="1078" customFormat="1" spans="1:16">
      <c r="A1078" s="39"/>
      <c r="B1078" s="40"/>
      <c r="C1078" s="41"/>
      <c r="D1078" s="41"/>
      <c r="E1078" s="41"/>
      <c r="F1078" s="41"/>
      <c r="G1078" s="41"/>
      <c r="H1078" s="41"/>
      <c r="I1078" s="41"/>
      <c r="J1078" s="41"/>
      <c r="K1078" s="41"/>
      <c r="L1078" s="41"/>
      <c r="M1078" s="41"/>
      <c r="N1078" s="41"/>
      <c r="O1078" s="41"/>
      <c r="P1078" s="28"/>
    </row>
    <row r="1079" customFormat="1" spans="1:16">
      <c r="A1079" s="39"/>
      <c r="B1079" s="40"/>
      <c r="C1079" s="41"/>
      <c r="D1079" s="41"/>
      <c r="E1079" s="41"/>
      <c r="F1079" s="41"/>
      <c r="G1079" s="41"/>
      <c r="H1079" s="41"/>
      <c r="I1079" s="41"/>
      <c r="J1079" s="41"/>
      <c r="K1079" s="41"/>
      <c r="L1079" s="41"/>
      <c r="M1079" s="41"/>
      <c r="N1079" s="41"/>
      <c r="O1079" s="41"/>
      <c r="P1079" s="28"/>
    </row>
    <row r="1080" customFormat="1" spans="1:16">
      <c r="A1080" s="39"/>
      <c r="B1080" s="40"/>
      <c r="C1080" s="41"/>
      <c r="D1080" s="41"/>
      <c r="E1080" s="41"/>
      <c r="F1080" s="41"/>
      <c r="G1080" s="41"/>
      <c r="H1080" s="41"/>
      <c r="I1080" s="41"/>
      <c r="J1080" s="41"/>
      <c r="K1080" s="41"/>
      <c r="L1080" s="41"/>
      <c r="M1080" s="41"/>
      <c r="N1080" s="41"/>
      <c r="O1080" s="41"/>
      <c r="P1080" s="28"/>
    </row>
    <row r="1081" customFormat="1" spans="1:16">
      <c r="A1081" s="39"/>
      <c r="B1081" s="40"/>
      <c r="C1081" s="41"/>
      <c r="D1081" s="41"/>
      <c r="E1081" s="41"/>
      <c r="F1081" s="41"/>
      <c r="G1081" s="41"/>
      <c r="H1081" s="41"/>
      <c r="I1081" s="41"/>
      <c r="J1081" s="41"/>
      <c r="K1081" s="41"/>
      <c r="L1081" s="41"/>
      <c r="M1081" s="41"/>
      <c r="N1081" s="41"/>
      <c r="O1081" s="41"/>
      <c r="P1081" s="28"/>
    </row>
    <row r="1082" customFormat="1" spans="1:16">
      <c r="A1082" s="39"/>
      <c r="B1082" s="40"/>
      <c r="C1082" s="41"/>
      <c r="D1082" s="41"/>
      <c r="E1082" s="41"/>
      <c r="F1082" s="41"/>
      <c r="G1082" s="41"/>
      <c r="H1082" s="41"/>
      <c r="I1082" s="41"/>
      <c r="J1082" s="41"/>
      <c r="K1082" s="41"/>
      <c r="L1082" s="41"/>
      <c r="M1082" s="41"/>
      <c r="N1082" s="41"/>
      <c r="O1082" s="41"/>
      <c r="P1082" s="28"/>
    </row>
    <row r="1083" customFormat="1" spans="1:16">
      <c r="A1083" s="39"/>
      <c r="B1083" s="40"/>
      <c r="C1083" s="41"/>
      <c r="D1083" s="41"/>
      <c r="E1083" s="41"/>
      <c r="F1083" s="41"/>
      <c r="G1083" s="41"/>
      <c r="H1083" s="41"/>
      <c r="I1083" s="41"/>
      <c r="J1083" s="41"/>
      <c r="K1083" s="41"/>
      <c r="L1083" s="41"/>
      <c r="M1083" s="41"/>
      <c r="N1083" s="41"/>
      <c r="O1083" s="41"/>
      <c r="P1083" s="28"/>
    </row>
    <row r="1084" customFormat="1" spans="1:16">
      <c r="A1084" s="39"/>
      <c r="B1084" s="40"/>
      <c r="C1084" s="41"/>
      <c r="D1084" s="41"/>
      <c r="E1084" s="41"/>
      <c r="F1084" s="41"/>
      <c r="G1084" s="41"/>
      <c r="H1084" s="41"/>
      <c r="I1084" s="41"/>
      <c r="J1084" s="41"/>
      <c r="K1084" s="41"/>
      <c r="L1084" s="41"/>
      <c r="M1084" s="41"/>
      <c r="N1084" s="41"/>
      <c r="O1084" s="41"/>
      <c r="P1084" s="28"/>
    </row>
    <row r="1085" customFormat="1" spans="1:16">
      <c r="A1085" s="39"/>
      <c r="B1085" s="40"/>
      <c r="C1085" s="41"/>
      <c r="D1085" s="41"/>
      <c r="E1085" s="41"/>
      <c r="F1085" s="41"/>
      <c r="G1085" s="41"/>
      <c r="H1085" s="41"/>
      <c r="I1085" s="41"/>
      <c r="J1085" s="41"/>
      <c r="K1085" s="41"/>
      <c r="L1085" s="41"/>
      <c r="M1085" s="41"/>
      <c r="N1085" s="41"/>
      <c r="O1085" s="41"/>
      <c r="P1085" s="28"/>
    </row>
    <row r="1086" customFormat="1" spans="1:16">
      <c r="A1086" s="39"/>
      <c r="B1086" s="40"/>
      <c r="C1086" s="41"/>
      <c r="D1086" s="41"/>
      <c r="E1086" s="41"/>
      <c r="F1086" s="41"/>
      <c r="G1086" s="41"/>
      <c r="H1086" s="41"/>
      <c r="I1086" s="41"/>
      <c r="J1086" s="41"/>
      <c r="K1086" s="41"/>
      <c r="L1086" s="41"/>
      <c r="M1086" s="41"/>
      <c r="N1086" s="41"/>
      <c r="O1086" s="41"/>
      <c r="P1086" s="28"/>
    </row>
    <row r="1087" customFormat="1" spans="1:16">
      <c r="A1087" s="39"/>
      <c r="B1087" s="40"/>
      <c r="C1087" s="41"/>
      <c r="D1087" s="41"/>
      <c r="E1087" s="41"/>
      <c r="F1087" s="41"/>
      <c r="G1087" s="41"/>
      <c r="H1087" s="41"/>
      <c r="I1087" s="41"/>
      <c r="J1087" s="41"/>
      <c r="K1087" s="41"/>
      <c r="L1087" s="41"/>
      <c r="M1087" s="41"/>
      <c r="N1087" s="41"/>
      <c r="O1087" s="41"/>
      <c r="P1087" s="28"/>
    </row>
    <row r="1088" customFormat="1" spans="1:16">
      <c r="A1088" s="39"/>
      <c r="B1088" s="40"/>
      <c r="C1088" s="41"/>
      <c r="D1088" s="41"/>
      <c r="E1088" s="41"/>
      <c r="F1088" s="41"/>
      <c r="G1088" s="41"/>
      <c r="H1088" s="41"/>
      <c r="I1088" s="41"/>
      <c r="J1088" s="41"/>
      <c r="K1088" s="41"/>
      <c r="L1088" s="41"/>
      <c r="M1088" s="41"/>
      <c r="N1088" s="41"/>
      <c r="O1088" s="41"/>
      <c r="P1088" s="28"/>
    </row>
    <row r="1089" customFormat="1" spans="1:16">
      <c r="A1089" s="39"/>
      <c r="B1089" s="40"/>
      <c r="C1089" s="41"/>
      <c r="D1089" s="41"/>
      <c r="E1089" s="41"/>
      <c r="F1089" s="41"/>
      <c r="G1089" s="41"/>
      <c r="H1089" s="41"/>
      <c r="I1089" s="41"/>
      <c r="J1089" s="41"/>
      <c r="K1089" s="41"/>
      <c r="L1089" s="41"/>
      <c r="M1089" s="41"/>
      <c r="N1089" s="41"/>
      <c r="O1089" s="41"/>
      <c r="P1089" s="28"/>
    </row>
    <row r="1090" customFormat="1" spans="1:16">
      <c r="A1090" s="39"/>
      <c r="B1090" s="40"/>
      <c r="C1090" s="41"/>
      <c r="D1090" s="41"/>
      <c r="E1090" s="41"/>
      <c r="F1090" s="41"/>
      <c r="G1090" s="41"/>
      <c r="H1090" s="41"/>
      <c r="I1090" s="41"/>
      <c r="J1090" s="41"/>
      <c r="K1090" s="41"/>
      <c r="L1090" s="41"/>
      <c r="M1090" s="41"/>
      <c r="N1090" s="41"/>
      <c r="O1090" s="41"/>
      <c r="P1090" s="28"/>
    </row>
    <row r="1091" customFormat="1" spans="1:16">
      <c r="A1091" s="39"/>
      <c r="B1091" s="40"/>
      <c r="C1091" s="41"/>
      <c r="D1091" s="41"/>
      <c r="E1091" s="41"/>
      <c r="F1091" s="41"/>
      <c r="G1091" s="41"/>
      <c r="H1091" s="41"/>
      <c r="I1091" s="41"/>
      <c r="J1091" s="41"/>
      <c r="K1091" s="41"/>
      <c r="L1091" s="41"/>
      <c r="M1091" s="41"/>
      <c r="N1091" s="41"/>
      <c r="O1091" s="41"/>
      <c r="P1091" s="28"/>
    </row>
    <row r="1092" customFormat="1" spans="1:16">
      <c r="A1092" s="39"/>
      <c r="B1092" s="40"/>
      <c r="C1092" s="41"/>
      <c r="D1092" s="41"/>
      <c r="E1092" s="41"/>
      <c r="F1092" s="41"/>
      <c r="G1092" s="41"/>
      <c r="H1092" s="41"/>
      <c r="I1092" s="41"/>
      <c r="J1092" s="41"/>
      <c r="K1092" s="41"/>
      <c r="L1092" s="41"/>
      <c r="M1092" s="41"/>
      <c r="N1092" s="41"/>
      <c r="O1092" s="41"/>
      <c r="P1092" s="28"/>
    </row>
    <row r="1093" customFormat="1" spans="1:16">
      <c r="A1093" s="39"/>
      <c r="B1093" s="40"/>
      <c r="C1093" s="41"/>
      <c r="D1093" s="41"/>
      <c r="E1093" s="41"/>
      <c r="F1093" s="41"/>
      <c r="G1093" s="41"/>
      <c r="H1093" s="41"/>
      <c r="I1093" s="41"/>
      <c r="J1093" s="41"/>
      <c r="K1093" s="41"/>
      <c r="L1093" s="41"/>
      <c r="M1093" s="41"/>
      <c r="N1093" s="41"/>
      <c r="O1093" s="41"/>
      <c r="P1093" s="28"/>
    </row>
    <row r="1094" customFormat="1" spans="1:16">
      <c r="A1094" s="39"/>
      <c r="B1094" s="40"/>
      <c r="C1094" s="41"/>
      <c r="D1094" s="41"/>
      <c r="E1094" s="41"/>
      <c r="F1094" s="41"/>
      <c r="G1094" s="41"/>
      <c r="H1094" s="41"/>
      <c r="I1094" s="41"/>
      <c r="J1094" s="41"/>
      <c r="K1094" s="41"/>
      <c r="L1094" s="41"/>
      <c r="M1094" s="41"/>
      <c r="N1094" s="41"/>
      <c r="O1094" s="41"/>
      <c r="P1094" s="28"/>
    </row>
    <row r="1095" customFormat="1" spans="1:16">
      <c r="A1095" s="39"/>
      <c r="B1095" s="40"/>
      <c r="C1095" s="41"/>
      <c r="D1095" s="41"/>
      <c r="E1095" s="41"/>
      <c r="F1095" s="41"/>
      <c r="G1095" s="41"/>
      <c r="H1095" s="41"/>
      <c r="I1095" s="41"/>
      <c r="J1095" s="41"/>
      <c r="K1095" s="41"/>
      <c r="L1095" s="41"/>
      <c r="M1095" s="41"/>
      <c r="N1095" s="41"/>
      <c r="O1095" s="41"/>
      <c r="P1095" s="28"/>
    </row>
    <row r="1096" customFormat="1" spans="1:16">
      <c r="A1096" s="39"/>
      <c r="B1096" s="40"/>
      <c r="C1096" s="41"/>
      <c r="D1096" s="41"/>
      <c r="E1096" s="41"/>
      <c r="F1096" s="41"/>
      <c r="G1096" s="41"/>
      <c r="H1096" s="41"/>
      <c r="I1096" s="41"/>
      <c r="J1096" s="41"/>
      <c r="K1096" s="41"/>
      <c r="L1096" s="41"/>
      <c r="M1096" s="41"/>
      <c r="N1096" s="41"/>
      <c r="O1096" s="41"/>
      <c r="P1096" s="28"/>
    </row>
    <row r="1097" customFormat="1" spans="1:16">
      <c r="A1097" s="39"/>
      <c r="B1097" s="40"/>
      <c r="C1097" s="41"/>
      <c r="D1097" s="41"/>
      <c r="E1097" s="41"/>
      <c r="F1097" s="41"/>
      <c r="G1097" s="41"/>
      <c r="H1097" s="41"/>
      <c r="I1097" s="41"/>
      <c r="J1097" s="41"/>
      <c r="K1097" s="41"/>
      <c r="L1097" s="41"/>
      <c r="M1097" s="41"/>
      <c r="N1097" s="41"/>
      <c r="O1097" s="41"/>
      <c r="P1097" s="28"/>
    </row>
    <row r="1098" customFormat="1" spans="1:16">
      <c r="A1098" s="39"/>
      <c r="B1098" s="40"/>
      <c r="C1098" s="41"/>
      <c r="D1098" s="41"/>
      <c r="E1098" s="41"/>
      <c r="F1098" s="41"/>
      <c r="G1098" s="41"/>
      <c r="H1098" s="41"/>
      <c r="I1098" s="41"/>
      <c r="J1098" s="41"/>
      <c r="K1098" s="41"/>
      <c r="L1098" s="41"/>
      <c r="M1098" s="41"/>
      <c r="N1098" s="41"/>
      <c r="O1098" s="41"/>
      <c r="P1098" s="28"/>
    </row>
    <row r="1099" customFormat="1" spans="1:16">
      <c r="A1099" s="39"/>
      <c r="B1099" s="40"/>
      <c r="C1099" s="41"/>
      <c r="D1099" s="41"/>
      <c r="E1099" s="41"/>
      <c r="F1099" s="41"/>
      <c r="G1099" s="41"/>
      <c r="H1099" s="41"/>
      <c r="I1099" s="41"/>
      <c r="J1099" s="41"/>
      <c r="K1099" s="41"/>
      <c r="L1099" s="41"/>
      <c r="M1099" s="41"/>
      <c r="N1099" s="41"/>
      <c r="O1099" s="41"/>
      <c r="P1099" s="28"/>
    </row>
    <row r="1100" customFormat="1" spans="1:16">
      <c r="A1100" s="39"/>
      <c r="B1100" s="40"/>
      <c r="C1100" s="41"/>
      <c r="D1100" s="41"/>
      <c r="E1100" s="41"/>
      <c r="F1100" s="41"/>
      <c r="G1100" s="41"/>
      <c r="H1100" s="41"/>
      <c r="I1100" s="41"/>
      <c r="J1100" s="41"/>
      <c r="K1100" s="41"/>
      <c r="L1100" s="41"/>
      <c r="M1100" s="41"/>
      <c r="N1100" s="41"/>
      <c r="O1100" s="41"/>
      <c r="P1100" s="28"/>
    </row>
    <row r="1101" customFormat="1" spans="1:16">
      <c r="A1101" s="39"/>
      <c r="B1101" s="40"/>
      <c r="C1101" s="41"/>
      <c r="D1101" s="41"/>
      <c r="E1101" s="41"/>
      <c r="F1101" s="41"/>
      <c r="G1101" s="41"/>
      <c r="H1101" s="41"/>
      <c r="I1101" s="41"/>
      <c r="J1101" s="41"/>
      <c r="K1101" s="41"/>
      <c r="L1101" s="41"/>
      <c r="M1101" s="41"/>
      <c r="N1101" s="41"/>
      <c r="O1101" s="41"/>
      <c r="P1101" s="28"/>
    </row>
    <row r="1102" customFormat="1" spans="1:16">
      <c r="A1102" s="39"/>
      <c r="B1102" s="40"/>
      <c r="C1102" s="41"/>
      <c r="D1102" s="41"/>
      <c r="E1102" s="41"/>
      <c r="F1102" s="41"/>
      <c r="G1102" s="41"/>
      <c r="H1102" s="41"/>
      <c r="I1102" s="41"/>
      <c r="J1102" s="41"/>
      <c r="K1102" s="41"/>
      <c r="L1102" s="41"/>
      <c r="M1102" s="41"/>
      <c r="N1102" s="41"/>
      <c r="O1102" s="41"/>
      <c r="P1102" s="28"/>
    </row>
    <row r="1103" customFormat="1" spans="1:16">
      <c r="A1103" s="39"/>
      <c r="B1103" s="40"/>
      <c r="C1103" s="41"/>
      <c r="D1103" s="41"/>
      <c r="E1103" s="41"/>
      <c r="F1103" s="41"/>
      <c r="G1103" s="41"/>
      <c r="H1103" s="41"/>
      <c r="I1103" s="41"/>
      <c r="J1103" s="41"/>
      <c r="K1103" s="41"/>
      <c r="L1103" s="41"/>
      <c r="M1103" s="41"/>
      <c r="N1103" s="41"/>
      <c r="O1103" s="41"/>
      <c r="P1103" s="28"/>
    </row>
    <row r="1104" customFormat="1" spans="1:16">
      <c r="A1104" s="39"/>
      <c r="B1104" s="40"/>
      <c r="C1104" s="41"/>
      <c r="D1104" s="41"/>
      <c r="E1104" s="41"/>
      <c r="F1104" s="41"/>
      <c r="G1104" s="41"/>
      <c r="H1104" s="41"/>
      <c r="I1104" s="41"/>
      <c r="J1104" s="41"/>
      <c r="K1104" s="41"/>
      <c r="L1104" s="41"/>
      <c r="M1104" s="41"/>
      <c r="N1104" s="41"/>
      <c r="O1104" s="41"/>
      <c r="P1104" s="28"/>
    </row>
    <row r="1105" customFormat="1" spans="1:16">
      <c r="A1105" s="39"/>
      <c r="B1105" s="40"/>
      <c r="C1105" s="41"/>
      <c r="D1105" s="41"/>
      <c r="E1105" s="41"/>
      <c r="F1105" s="41"/>
      <c r="G1105" s="41"/>
      <c r="H1105" s="41"/>
      <c r="I1105" s="41"/>
      <c r="J1105" s="41"/>
      <c r="K1105" s="41"/>
      <c r="L1105" s="41"/>
      <c r="M1105" s="41"/>
      <c r="N1105" s="41"/>
      <c r="O1105" s="41"/>
      <c r="P1105" s="28"/>
    </row>
    <row r="1106" customFormat="1" spans="1:16">
      <c r="A1106" s="39"/>
      <c r="B1106" s="40"/>
      <c r="C1106" s="41"/>
      <c r="D1106" s="41"/>
      <c r="E1106" s="41"/>
      <c r="F1106" s="41"/>
      <c r="G1106" s="41"/>
      <c r="H1106" s="41"/>
      <c r="I1106" s="41"/>
      <c r="J1106" s="41"/>
      <c r="K1106" s="41"/>
      <c r="L1106" s="41"/>
      <c r="M1106" s="41"/>
      <c r="N1106" s="41"/>
      <c r="O1106" s="41"/>
      <c r="P1106" s="28"/>
    </row>
    <row r="1107" customFormat="1" spans="1:16">
      <c r="A1107" s="39"/>
      <c r="B1107" s="40"/>
      <c r="C1107" s="41"/>
      <c r="D1107" s="41"/>
      <c r="E1107" s="41"/>
      <c r="F1107" s="41"/>
      <c r="G1107" s="41"/>
      <c r="H1107" s="41"/>
      <c r="I1107" s="41"/>
      <c r="J1107" s="41"/>
      <c r="K1107" s="41"/>
      <c r="L1107" s="41"/>
      <c r="M1107" s="41"/>
      <c r="N1107" s="41"/>
      <c r="O1107" s="41"/>
      <c r="P1107" s="28"/>
    </row>
    <row r="1108" customFormat="1" spans="1:16">
      <c r="A1108" s="39"/>
      <c r="B1108" s="40"/>
      <c r="C1108" s="41"/>
      <c r="D1108" s="41"/>
      <c r="E1108" s="41"/>
      <c r="F1108" s="41"/>
      <c r="G1108" s="41"/>
      <c r="H1108" s="41"/>
      <c r="I1108" s="41"/>
      <c r="J1108" s="41"/>
      <c r="K1108" s="41"/>
      <c r="L1108" s="41"/>
      <c r="M1108" s="41"/>
      <c r="N1108" s="41"/>
      <c r="O1108" s="41"/>
      <c r="P1108" s="28"/>
    </row>
    <row r="1109" customFormat="1" spans="1:16">
      <c r="A1109" s="39"/>
      <c r="B1109" s="40"/>
      <c r="C1109" s="41"/>
      <c r="D1109" s="41"/>
      <c r="E1109" s="41"/>
      <c r="F1109" s="41"/>
      <c r="G1109" s="41"/>
      <c r="H1109" s="41"/>
      <c r="I1109" s="41"/>
      <c r="J1109" s="41"/>
      <c r="K1109" s="41"/>
      <c r="L1109" s="41"/>
      <c r="M1109" s="41"/>
      <c r="N1109" s="41"/>
      <c r="O1109" s="41"/>
      <c r="P1109" s="28"/>
    </row>
    <row r="1110" customFormat="1" spans="1:16">
      <c r="A1110" s="39"/>
      <c r="B1110" s="40"/>
      <c r="C1110" s="41"/>
      <c r="D1110" s="41"/>
      <c r="E1110" s="41"/>
      <c r="F1110" s="41"/>
      <c r="G1110" s="41"/>
      <c r="H1110" s="41"/>
      <c r="I1110" s="41"/>
      <c r="J1110" s="41"/>
      <c r="K1110" s="41"/>
      <c r="L1110" s="41"/>
      <c r="M1110" s="41"/>
      <c r="N1110" s="41"/>
      <c r="O1110" s="41"/>
      <c r="P1110" s="28"/>
    </row>
    <row r="1111" customFormat="1" spans="1:16">
      <c r="A1111" s="39"/>
      <c r="B1111" s="40"/>
      <c r="C1111" s="41"/>
      <c r="D1111" s="41"/>
      <c r="E1111" s="41"/>
      <c r="F1111" s="41"/>
      <c r="G1111" s="41"/>
      <c r="H1111" s="41"/>
      <c r="I1111" s="41"/>
      <c r="J1111" s="41"/>
      <c r="K1111" s="41"/>
      <c r="L1111" s="41"/>
      <c r="M1111" s="41"/>
      <c r="N1111" s="41"/>
      <c r="O1111" s="41"/>
      <c r="P1111" s="28"/>
    </row>
    <row r="1112" customFormat="1" spans="1:16">
      <c r="A1112" s="39"/>
      <c r="B1112" s="40"/>
      <c r="C1112" s="41"/>
      <c r="D1112" s="41"/>
      <c r="E1112" s="41"/>
      <c r="F1112" s="41"/>
      <c r="G1112" s="41"/>
      <c r="H1112" s="41"/>
      <c r="I1112" s="41"/>
      <c r="J1112" s="41"/>
      <c r="K1112" s="41"/>
      <c r="L1112" s="41"/>
      <c r="M1112" s="41"/>
      <c r="N1112" s="41"/>
      <c r="O1112" s="41"/>
      <c r="P1112" s="28"/>
    </row>
    <row r="1113" customFormat="1" spans="1:16">
      <c r="A1113" s="39"/>
      <c r="B1113" s="40"/>
      <c r="C1113" s="41"/>
      <c r="D1113" s="41"/>
      <c r="E1113" s="41"/>
      <c r="F1113" s="41"/>
      <c r="G1113" s="41"/>
      <c r="H1113" s="41"/>
      <c r="I1113" s="41"/>
      <c r="J1113" s="41"/>
      <c r="K1113" s="41"/>
      <c r="L1113" s="41"/>
      <c r="M1113" s="41"/>
      <c r="N1113" s="41"/>
      <c r="O1113" s="41"/>
      <c r="P1113" s="28"/>
    </row>
    <row r="1114" customFormat="1" spans="1:16">
      <c r="A1114" s="39"/>
      <c r="B1114" s="40"/>
      <c r="C1114" s="41"/>
      <c r="D1114" s="41"/>
      <c r="E1114" s="41"/>
      <c r="F1114" s="41"/>
      <c r="G1114" s="41"/>
      <c r="H1114" s="41"/>
      <c r="I1114" s="41"/>
      <c r="J1114" s="41"/>
      <c r="K1114" s="41"/>
      <c r="L1114" s="41"/>
      <c r="M1114" s="41"/>
      <c r="N1114" s="41"/>
      <c r="O1114" s="41"/>
      <c r="P1114" s="28"/>
    </row>
    <row r="1115" customFormat="1" spans="1:16">
      <c r="A1115" s="39"/>
      <c r="B1115" s="40"/>
      <c r="C1115" s="41"/>
      <c r="D1115" s="41"/>
      <c r="E1115" s="41"/>
      <c r="F1115" s="41"/>
      <c r="G1115" s="41"/>
      <c r="H1115" s="41"/>
      <c r="I1115" s="41"/>
      <c r="J1115" s="41"/>
      <c r="K1115" s="41"/>
      <c r="L1115" s="41"/>
      <c r="M1115" s="41"/>
      <c r="N1115" s="41"/>
      <c r="O1115" s="41"/>
      <c r="P1115" s="28"/>
    </row>
    <row r="1116" customFormat="1" spans="1:16">
      <c r="A1116" s="39"/>
      <c r="B1116" s="40"/>
      <c r="C1116" s="41"/>
      <c r="D1116" s="41"/>
      <c r="E1116" s="41"/>
      <c r="F1116" s="41"/>
      <c r="G1116" s="41"/>
      <c r="H1116" s="41"/>
      <c r="I1116" s="41"/>
      <c r="J1116" s="41"/>
      <c r="K1116" s="41"/>
      <c r="L1116" s="41"/>
      <c r="M1116" s="41"/>
      <c r="N1116" s="41"/>
      <c r="O1116" s="41"/>
      <c r="P1116" s="28"/>
    </row>
    <row r="1117" customFormat="1" spans="1:16">
      <c r="A1117" s="39"/>
      <c r="B1117" s="40"/>
      <c r="C1117" s="41"/>
      <c r="D1117" s="41"/>
      <c r="E1117" s="41"/>
      <c r="F1117" s="41"/>
      <c r="G1117" s="41"/>
      <c r="H1117" s="41"/>
      <c r="I1117" s="41"/>
      <c r="J1117" s="41"/>
      <c r="K1117" s="41"/>
      <c r="L1117" s="41"/>
      <c r="M1117" s="41"/>
      <c r="N1117" s="41"/>
      <c r="O1117" s="41"/>
      <c r="P1117" s="28"/>
    </row>
    <row r="1118" customFormat="1" spans="1:16">
      <c r="A1118" s="39"/>
      <c r="B1118" s="40"/>
      <c r="C1118" s="41"/>
      <c r="D1118" s="41"/>
      <c r="E1118" s="41"/>
      <c r="F1118" s="41"/>
      <c r="G1118" s="41"/>
      <c r="H1118" s="41"/>
      <c r="I1118" s="41"/>
      <c r="J1118" s="41"/>
      <c r="K1118" s="41"/>
      <c r="L1118" s="41"/>
      <c r="M1118" s="41"/>
      <c r="N1118" s="41"/>
      <c r="O1118" s="41"/>
      <c r="P1118" s="28"/>
    </row>
    <row r="1119" customFormat="1" spans="1:16">
      <c r="A1119" s="39"/>
      <c r="B1119" s="40"/>
      <c r="C1119" s="41"/>
      <c r="D1119" s="41"/>
      <c r="E1119" s="41"/>
      <c r="F1119" s="41"/>
      <c r="G1119" s="41"/>
      <c r="H1119" s="41"/>
      <c r="I1119" s="41"/>
      <c r="J1119" s="41"/>
      <c r="K1119" s="41"/>
      <c r="L1119" s="41"/>
      <c r="M1119" s="41"/>
      <c r="N1119" s="41"/>
      <c r="O1119" s="41"/>
      <c r="P1119" s="28"/>
    </row>
    <row r="1120" customFormat="1" spans="1:16">
      <c r="A1120" s="39"/>
      <c r="B1120" s="40"/>
      <c r="C1120" s="41"/>
      <c r="D1120" s="41"/>
      <c r="E1120" s="41"/>
      <c r="F1120" s="41"/>
      <c r="G1120" s="41"/>
      <c r="H1120" s="41"/>
      <c r="I1120" s="41"/>
      <c r="J1120" s="41"/>
      <c r="K1120" s="41"/>
      <c r="L1120" s="41"/>
      <c r="M1120" s="41"/>
      <c r="N1120" s="41"/>
      <c r="O1120" s="41"/>
      <c r="P1120" s="28"/>
    </row>
    <row r="1121" customFormat="1" spans="1:16">
      <c r="A1121" s="39"/>
      <c r="B1121" s="40"/>
      <c r="C1121" s="41"/>
      <c r="D1121" s="41"/>
      <c r="E1121" s="41"/>
      <c r="F1121" s="41"/>
      <c r="G1121" s="41"/>
      <c r="H1121" s="41"/>
      <c r="I1121" s="41"/>
      <c r="J1121" s="41"/>
      <c r="K1121" s="41"/>
      <c r="L1121" s="41"/>
      <c r="M1121" s="41"/>
      <c r="N1121" s="41"/>
      <c r="O1121" s="41"/>
      <c r="P1121" s="28"/>
    </row>
    <row r="1122" customFormat="1" spans="1:16">
      <c r="A1122" s="39"/>
      <c r="B1122" s="40"/>
      <c r="C1122" s="41"/>
      <c r="D1122" s="41"/>
      <c r="E1122" s="41"/>
      <c r="F1122" s="41"/>
      <c r="G1122" s="41"/>
      <c r="H1122" s="41"/>
      <c r="I1122" s="41"/>
      <c r="J1122" s="41"/>
      <c r="K1122" s="41"/>
      <c r="L1122" s="41"/>
      <c r="M1122" s="41"/>
      <c r="N1122" s="41"/>
      <c r="O1122" s="41"/>
      <c r="P1122" s="28"/>
    </row>
    <row r="1123" customFormat="1" spans="1:16">
      <c r="A1123" s="39"/>
      <c r="B1123" s="40"/>
      <c r="C1123" s="41"/>
      <c r="D1123" s="41"/>
      <c r="E1123" s="41"/>
      <c r="F1123" s="41"/>
      <c r="G1123" s="41"/>
      <c r="H1123" s="41"/>
      <c r="I1123" s="41"/>
      <c r="J1123" s="41"/>
      <c r="K1123" s="41"/>
      <c r="L1123" s="41"/>
      <c r="M1123" s="41"/>
      <c r="N1123" s="41"/>
      <c r="O1123" s="41"/>
      <c r="P1123" s="28"/>
    </row>
    <row r="1124" customFormat="1" spans="1:16">
      <c r="A1124" s="39"/>
      <c r="B1124" s="40"/>
      <c r="C1124" s="41"/>
      <c r="D1124" s="41"/>
      <c r="E1124" s="41"/>
      <c r="F1124" s="41"/>
      <c r="G1124" s="41"/>
      <c r="H1124" s="41"/>
      <c r="I1124" s="41"/>
      <c r="J1124" s="41"/>
      <c r="K1124" s="41"/>
      <c r="L1124" s="41"/>
      <c r="M1124" s="41"/>
      <c r="N1124" s="41"/>
      <c r="O1124" s="41"/>
      <c r="P1124" s="28"/>
    </row>
    <row r="1125" customFormat="1" spans="1:16">
      <c r="A1125" s="39"/>
      <c r="B1125" s="40"/>
      <c r="C1125" s="41"/>
      <c r="D1125" s="41"/>
      <c r="E1125" s="41"/>
      <c r="F1125" s="41"/>
      <c r="G1125" s="41"/>
      <c r="H1125" s="41"/>
      <c r="I1125" s="41"/>
      <c r="J1125" s="41"/>
      <c r="K1125" s="41"/>
      <c r="L1125" s="41"/>
      <c r="M1125" s="41"/>
      <c r="N1125" s="41"/>
      <c r="O1125" s="41"/>
      <c r="P1125" s="28"/>
    </row>
    <row r="1126" customFormat="1" spans="1:16">
      <c r="A1126" s="39"/>
      <c r="B1126" s="40"/>
      <c r="C1126" s="41"/>
      <c r="D1126" s="41"/>
      <c r="E1126" s="41"/>
      <c r="F1126" s="41"/>
      <c r="G1126" s="41"/>
      <c r="H1126" s="41"/>
      <c r="I1126" s="41"/>
      <c r="J1126" s="41"/>
      <c r="K1126" s="41"/>
      <c r="L1126" s="41"/>
      <c r="M1126" s="41"/>
      <c r="N1126" s="41"/>
      <c r="O1126" s="41"/>
      <c r="P1126" s="28"/>
    </row>
    <row r="1127" customFormat="1" spans="1:16">
      <c r="A1127" s="39"/>
      <c r="B1127" s="40"/>
      <c r="C1127" s="41"/>
      <c r="D1127" s="41"/>
      <c r="E1127" s="41"/>
      <c r="F1127" s="41"/>
      <c r="G1127" s="41"/>
      <c r="H1127" s="41"/>
      <c r="I1127" s="41"/>
      <c r="J1127" s="41"/>
      <c r="K1127" s="41"/>
      <c r="L1127" s="41"/>
      <c r="M1127" s="41"/>
      <c r="N1127" s="41"/>
      <c r="O1127" s="41"/>
      <c r="P1127" s="28"/>
    </row>
    <row r="1128" customFormat="1" spans="1:16">
      <c r="A1128" s="39"/>
      <c r="B1128" s="40"/>
      <c r="C1128" s="41"/>
      <c r="D1128" s="41"/>
      <c r="E1128" s="41"/>
      <c r="F1128" s="41"/>
      <c r="G1128" s="41"/>
      <c r="H1128" s="41"/>
      <c r="I1128" s="41"/>
      <c r="J1128" s="41"/>
      <c r="K1128" s="41"/>
      <c r="L1128" s="41"/>
      <c r="M1128" s="41"/>
      <c r="N1128" s="41"/>
      <c r="O1128" s="41"/>
      <c r="P1128" s="28"/>
    </row>
    <row r="1129" customFormat="1" spans="1:16">
      <c r="A1129" s="39"/>
      <c r="B1129" s="40"/>
      <c r="C1129" s="41"/>
      <c r="D1129" s="41"/>
      <c r="E1129" s="41"/>
      <c r="F1129" s="41"/>
      <c r="G1129" s="41"/>
      <c r="H1129" s="41"/>
      <c r="I1129" s="41"/>
      <c r="J1129" s="41"/>
      <c r="K1129" s="41"/>
      <c r="L1129" s="41"/>
      <c r="M1129" s="41"/>
      <c r="N1129" s="41"/>
      <c r="O1129" s="41"/>
      <c r="P1129" s="28"/>
    </row>
    <row r="1130" customFormat="1" spans="1:16">
      <c r="A1130" s="39"/>
      <c r="B1130" s="40"/>
      <c r="C1130" s="41"/>
      <c r="D1130" s="41"/>
      <c r="E1130" s="41"/>
      <c r="F1130" s="41"/>
      <c r="G1130" s="41"/>
      <c r="H1130" s="41"/>
      <c r="I1130" s="41"/>
      <c r="J1130" s="41"/>
      <c r="K1130" s="41"/>
      <c r="L1130" s="41"/>
      <c r="M1130" s="41"/>
      <c r="N1130" s="41"/>
      <c r="O1130" s="41"/>
      <c r="P1130" s="28"/>
    </row>
    <row r="1131" customFormat="1" spans="1:16">
      <c r="A1131" s="39"/>
      <c r="B1131" s="40"/>
      <c r="C1131" s="41"/>
      <c r="D1131" s="41"/>
      <c r="E1131" s="41"/>
      <c r="F1131" s="41"/>
      <c r="G1131" s="41"/>
      <c r="H1131" s="41"/>
      <c r="I1131" s="41"/>
      <c r="J1131" s="41"/>
      <c r="K1131" s="41"/>
      <c r="L1131" s="41"/>
      <c r="M1131" s="41"/>
      <c r="N1131" s="41"/>
      <c r="O1131" s="41"/>
      <c r="P1131" s="28"/>
    </row>
    <row r="1132" customFormat="1" spans="1:16">
      <c r="A1132" s="39"/>
      <c r="B1132" s="40"/>
      <c r="C1132" s="41"/>
      <c r="D1132" s="41"/>
      <c r="E1132" s="41"/>
      <c r="F1132" s="41"/>
      <c r="G1132" s="41"/>
      <c r="H1132" s="41"/>
      <c r="I1132" s="41"/>
      <c r="J1132" s="41"/>
      <c r="K1132" s="41"/>
      <c r="L1132" s="41"/>
      <c r="M1132" s="41"/>
      <c r="N1132" s="41"/>
      <c r="O1132" s="41"/>
      <c r="P1132" s="28"/>
    </row>
    <row r="1133" customFormat="1" spans="1:16">
      <c r="A1133" s="39"/>
      <c r="B1133" s="40"/>
      <c r="C1133" s="41"/>
      <c r="D1133" s="41"/>
      <c r="E1133" s="41"/>
      <c r="F1133" s="41"/>
      <c r="G1133" s="41"/>
      <c r="H1133" s="41"/>
      <c r="I1133" s="41"/>
      <c r="J1133" s="41"/>
      <c r="K1133" s="41"/>
      <c r="L1133" s="41"/>
      <c r="M1133" s="41"/>
      <c r="N1133" s="41"/>
      <c r="O1133" s="41"/>
      <c r="P1133" s="28"/>
    </row>
    <row r="1134" customFormat="1" spans="1:16">
      <c r="A1134" s="39"/>
      <c r="B1134" s="40"/>
      <c r="C1134" s="41"/>
      <c r="D1134" s="41"/>
      <c r="E1134" s="41"/>
      <c r="F1134" s="41"/>
      <c r="G1134" s="41"/>
      <c r="H1134" s="41"/>
      <c r="I1134" s="41"/>
      <c r="J1134" s="41"/>
      <c r="K1134" s="41"/>
      <c r="L1134" s="41"/>
      <c r="M1134" s="41"/>
      <c r="N1134" s="41"/>
      <c r="O1134" s="41"/>
      <c r="P1134" s="28"/>
    </row>
    <row r="1135" customFormat="1" spans="1:16">
      <c r="A1135" s="39"/>
      <c r="B1135" s="40"/>
      <c r="C1135" s="41"/>
      <c r="D1135" s="41"/>
      <c r="E1135" s="41"/>
      <c r="F1135" s="41"/>
      <c r="G1135" s="41"/>
      <c r="H1135" s="41"/>
      <c r="I1135" s="41"/>
      <c r="J1135" s="41"/>
      <c r="K1135" s="41"/>
      <c r="L1135" s="41"/>
      <c r="M1135" s="41"/>
      <c r="N1135" s="41"/>
      <c r="O1135" s="41"/>
      <c r="P1135" s="28"/>
    </row>
    <row r="1136" customFormat="1" spans="1:16">
      <c r="A1136" s="39"/>
      <c r="B1136" s="40"/>
      <c r="C1136" s="41"/>
      <c r="D1136" s="41"/>
      <c r="E1136" s="41"/>
      <c r="F1136" s="41"/>
      <c r="G1136" s="41"/>
      <c r="H1136" s="41"/>
      <c r="I1136" s="41"/>
      <c r="J1136" s="41"/>
      <c r="K1136" s="41"/>
      <c r="L1136" s="41"/>
      <c r="M1136" s="41"/>
      <c r="N1136" s="41"/>
      <c r="O1136" s="41"/>
      <c r="P1136" s="28"/>
    </row>
    <row r="1137" customFormat="1" spans="1:16">
      <c r="A1137" s="39"/>
      <c r="B1137" s="40"/>
      <c r="C1137" s="41"/>
      <c r="D1137" s="41"/>
      <c r="E1137" s="41"/>
      <c r="F1137" s="41"/>
      <c r="G1137" s="41"/>
      <c r="H1137" s="41"/>
      <c r="I1137" s="41"/>
      <c r="J1137" s="41"/>
      <c r="K1137" s="41"/>
      <c r="L1137" s="41"/>
      <c r="M1137" s="41"/>
      <c r="N1137" s="41"/>
      <c r="O1137" s="41"/>
      <c r="P1137" s="28"/>
    </row>
    <row r="1138" customFormat="1" spans="1:16">
      <c r="A1138" s="39"/>
      <c r="B1138" s="40"/>
      <c r="C1138" s="41"/>
      <c r="D1138" s="41"/>
      <c r="E1138" s="41"/>
      <c r="F1138" s="41"/>
      <c r="G1138" s="41"/>
      <c r="H1138" s="41"/>
      <c r="I1138" s="41"/>
      <c r="J1138" s="41"/>
      <c r="K1138" s="41"/>
      <c r="L1138" s="41"/>
      <c r="M1138" s="41"/>
      <c r="N1138" s="41"/>
      <c r="O1138" s="41"/>
      <c r="P1138" s="28"/>
    </row>
    <row r="1139" customFormat="1" spans="1:16">
      <c r="A1139" s="39"/>
      <c r="B1139" s="40"/>
      <c r="C1139" s="41"/>
      <c r="D1139" s="41"/>
      <c r="E1139" s="41"/>
      <c r="F1139" s="41"/>
      <c r="G1139" s="41"/>
      <c r="H1139" s="41"/>
      <c r="I1139" s="41"/>
      <c r="J1139" s="41"/>
      <c r="K1139" s="41"/>
      <c r="L1139" s="41"/>
      <c r="M1139" s="41"/>
      <c r="N1139" s="41"/>
      <c r="O1139" s="41"/>
      <c r="P1139" s="28"/>
    </row>
    <row r="1140" customFormat="1" spans="1:16">
      <c r="A1140" s="39"/>
      <c r="B1140" s="40"/>
      <c r="C1140" s="41"/>
      <c r="D1140" s="41"/>
      <c r="E1140" s="41"/>
      <c r="F1140" s="41"/>
      <c r="G1140" s="41"/>
      <c r="H1140" s="41"/>
      <c r="I1140" s="41"/>
      <c r="J1140" s="41"/>
      <c r="K1140" s="41"/>
      <c r="L1140" s="41"/>
      <c r="M1140" s="41"/>
      <c r="N1140" s="41"/>
      <c r="O1140" s="41"/>
      <c r="P1140" s="28"/>
    </row>
    <row r="1141" customFormat="1" spans="1:16">
      <c r="A1141" s="39"/>
      <c r="B1141" s="40"/>
      <c r="C1141" s="41"/>
      <c r="D1141" s="41"/>
      <c r="E1141" s="41"/>
      <c r="F1141" s="41"/>
      <c r="G1141" s="41"/>
      <c r="H1141" s="41"/>
      <c r="I1141" s="41"/>
      <c r="J1141" s="41"/>
      <c r="K1141" s="41"/>
      <c r="L1141" s="41"/>
      <c r="M1141" s="41"/>
      <c r="N1141" s="41"/>
      <c r="O1141" s="41"/>
      <c r="P1141" s="28"/>
    </row>
    <row r="1142" customFormat="1" spans="1:16">
      <c r="A1142" s="39"/>
      <c r="B1142" s="40"/>
      <c r="C1142" s="41"/>
      <c r="D1142" s="41"/>
      <c r="E1142" s="41"/>
      <c r="F1142" s="41"/>
      <c r="G1142" s="41"/>
      <c r="H1142" s="41"/>
      <c r="I1142" s="41"/>
      <c r="J1142" s="41"/>
      <c r="K1142" s="41"/>
      <c r="L1142" s="41"/>
      <c r="M1142" s="41"/>
      <c r="N1142" s="41"/>
      <c r="O1142" s="41"/>
      <c r="P1142" s="28"/>
    </row>
    <row r="1143" customFormat="1" spans="1:16">
      <c r="A1143" s="39"/>
      <c r="B1143" s="40"/>
      <c r="C1143" s="41"/>
      <c r="D1143" s="41"/>
      <c r="E1143" s="41"/>
      <c r="F1143" s="41"/>
      <c r="G1143" s="41"/>
      <c r="H1143" s="41"/>
      <c r="I1143" s="41"/>
      <c r="J1143" s="41"/>
      <c r="K1143" s="41"/>
      <c r="L1143" s="41"/>
      <c r="M1143" s="41"/>
      <c r="N1143" s="41"/>
      <c r="O1143" s="41"/>
      <c r="P1143" s="28"/>
    </row>
    <row r="1144" customFormat="1" spans="1:16">
      <c r="A1144" s="39"/>
      <c r="B1144" s="40"/>
      <c r="C1144" s="41"/>
      <c r="D1144" s="41"/>
      <c r="E1144" s="41"/>
      <c r="F1144" s="41"/>
      <c r="G1144" s="41"/>
      <c r="H1144" s="41"/>
      <c r="I1144" s="41"/>
      <c r="J1144" s="41"/>
      <c r="K1144" s="41"/>
      <c r="L1144" s="41"/>
      <c r="M1144" s="41"/>
      <c r="N1144" s="41"/>
      <c r="O1144" s="41"/>
      <c r="P1144" s="28"/>
    </row>
    <row r="1145" customFormat="1" spans="1:16">
      <c r="A1145" s="39"/>
      <c r="B1145" s="40"/>
      <c r="C1145" s="41"/>
      <c r="D1145" s="41"/>
      <c r="E1145" s="41"/>
      <c r="F1145" s="41"/>
      <c r="G1145" s="41"/>
      <c r="H1145" s="41"/>
      <c r="I1145" s="41"/>
      <c r="J1145" s="41"/>
      <c r="K1145" s="41"/>
      <c r="L1145" s="41"/>
      <c r="M1145" s="41"/>
      <c r="N1145" s="41"/>
      <c r="O1145" s="41"/>
      <c r="P1145" s="28"/>
    </row>
    <row r="1146" customFormat="1" spans="1:16">
      <c r="A1146" s="39"/>
      <c r="B1146" s="40"/>
      <c r="C1146" s="41"/>
      <c r="D1146" s="41"/>
      <c r="E1146" s="41"/>
      <c r="F1146" s="41"/>
      <c r="G1146" s="41"/>
      <c r="H1146" s="41"/>
      <c r="I1146" s="41"/>
      <c r="J1146" s="41"/>
      <c r="K1146" s="41"/>
      <c r="L1146" s="41"/>
      <c r="M1146" s="41"/>
      <c r="N1146" s="41"/>
      <c r="O1146" s="41"/>
      <c r="P1146" s="28"/>
    </row>
    <row r="1147" customFormat="1" spans="1:16">
      <c r="A1147" s="39"/>
      <c r="B1147" s="40"/>
      <c r="C1147" s="41"/>
      <c r="D1147" s="41"/>
      <c r="E1147" s="41"/>
      <c r="F1147" s="41"/>
      <c r="G1147" s="41"/>
      <c r="H1147" s="41"/>
      <c r="I1147" s="41"/>
      <c r="J1147" s="41"/>
      <c r="K1147" s="41"/>
      <c r="L1147" s="41"/>
      <c r="M1147" s="41"/>
      <c r="N1147" s="41"/>
      <c r="O1147" s="41"/>
      <c r="P1147" s="28"/>
    </row>
    <row r="1148" customFormat="1" spans="1:16">
      <c r="A1148" s="39"/>
      <c r="B1148" s="40"/>
      <c r="C1148" s="41"/>
      <c r="D1148" s="41"/>
      <c r="E1148" s="41"/>
      <c r="F1148" s="41"/>
      <c r="G1148" s="41"/>
      <c r="H1148" s="41"/>
      <c r="I1148" s="41"/>
      <c r="J1148" s="41"/>
      <c r="K1148" s="41"/>
      <c r="L1148" s="41"/>
      <c r="M1148" s="41"/>
      <c r="N1148" s="41"/>
      <c r="O1148" s="41"/>
      <c r="P1148" s="28"/>
    </row>
    <row r="1149" customFormat="1" spans="1:16">
      <c r="A1149" s="39"/>
      <c r="B1149" s="40"/>
      <c r="C1149" s="41"/>
      <c r="D1149" s="41"/>
      <c r="E1149" s="41"/>
      <c r="F1149" s="41"/>
      <c r="G1149" s="41"/>
      <c r="H1149" s="41"/>
      <c r="I1149" s="41"/>
      <c r="J1149" s="41"/>
      <c r="K1149" s="41"/>
      <c r="L1149" s="41"/>
      <c r="M1149" s="41"/>
      <c r="N1149" s="41"/>
      <c r="O1149" s="41"/>
      <c r="P1149" s="28"/>
    </row>
    <row r="1150" customFormat="1" spans="1:16">
      <c r="A1150" s="39"/>
      <c r="B1150" s="40"/>
      <c r="C1150" s="41"/>
      <c r="D1150" s="41"/>
      <c r="E1150" s="41"/>
      <c r="F1150" s="41"/>
      <c r="G1150" s="41"/>
      <c r="H1150" s="41"/>
      <c r="I1150" s="41"/>
      <c r="J1150" s="41"/>
      <c r="K1150" s="41"/>
      <c r="L1150" s="41"/>
      <c r="M1150" s="41"/>
      <c r="N1150" s="41"/>
      <c r="O1150" s="41"/>
      <c r="P1150" s="28"/>
    </row>
    <row r="1151" customFormat="1" spans="1:16">
      <c r="A1151" s="39"/>
      <c r="B1151" s="40"/>
      <c r="C1151" s="41"/>
      <c r="D1151" s="41"/>
      <c r="E1151" s="41"/>
      <c r="F1151" s="41"/>
      <c r="G1151" s="41"/>
      <c r="H1151" s="41"/>
      <c r="I1151" s="41"/>
      <c r="J1151" s="41"/>
      <c r="K1151" s="41"/>
      <c r="L1151" s="41"/>
      <c r="M1151" s="41"/>
      <c r="N1151" s="41"/>
      <c r="O1151" s="41"/>
      <c r="P1151" s="28"/>
    </row>
    <row r="1152" customFormat="1" spans="1:16">
      <c r="A1152" s="39"/>
      <c r="B1152" s="40"/>
      <c r="C1152" s="41"/>
      <c r="D1152" s="41"/>
      <c r="E1152" s="41"/>
      <c r="F1152" s="41"/>
      <c r="G1152" s="41"/>
      <c r="H1152" s="41"/>
      <c r="I1152" s="41"/>
      <c r="J1152" s="41"/>
      <c r="K1152" s="41"/>
      <c r="L1152" s="41"/>
      <c r="M1152" s="41"/>
      <c r="N1152" s="41"/>
      <c r="O1152" s="41"/>
      <c r="P1152" s="28"/>
    </row>
    <row r="1153" customFormat="1" spans="1:16">
      <c r="A1153" s="39"/>
      <c r="B1153" s="40"/>
      <c r="C1153" s="41"/>
      <c r="D1153" s="41"/>
      <c r="E1153" s="41"/>
      <c r="F1153" s="41"/>
      <c r="G1153" s="41"/>
      <c r="H1153" s="41"/>
      <c r="I1153" s="41"/>
      <c r="J1153" s="41"/>
      <c r="K1153" s="41"/>
      <c r="L1153" s="41"/>
      <c r="M1153" s="41"/>
      <c r="N1153" s="41"/>
      <c r="O1153" s="41"/>
      <c r="P1153" s="28"/>
    </row>
    <row r="1154" customFormat="1" spans="1:16">
      <c r="A1154" s="39"/>
      <c r="B1154" s="40"/>
      <c r="C1154" s="41"/>
      <c r="D1154" s="41"/>
      <c r="E1154" s="41"/>
      <c r="F1154" s="41"/>
      <c r="G1154" s="41"/>
      <c r="H1154" s="41"/>
      <c r="I1154" s="41"/>
      <c r="J1154" s="41"/>
      <c r="K1154" s="41"/>
      <c r="L1154" s="41"/>
      <c r="M1154" s="41"/>
      <c r="N1154" s="41"/>
      <c r="O1154" s="41"/>
      <c r="P1154" s="28"/>
    </row>
    <row r="1155" customFormat="1" spans="1:16">
      <c r="A1155" s="39"/>
      <c r="B1155" s="40"/>
      <c r="C1155" s="41"/>
      <c r="D1155" s="41"/>
      <c r="E1155" s="41"/>
      <c r="F1155" s="41"/>
      <c r="G1155" s="41"/>
      <c r="H1155" s="41"/>
      <c r="I1155" s="41"/>
      <c r="J1155" s="41"/>
      <c r="K1155" s="41"/>
      <c r="L1155" s="41"/>
      <c r="M1155" s="41"/>
      <c r="N1155" s="41"/>
      <c r="O1155" s="41"/>
      <c r="P1155" s="28"/>
    </row>
    <row r="1156" customFormat="1" spans="1:16">
      <c r="A1156" s="39"/>
      <c r="B1156" s="40"/>
      <c r="C1156" s="41"/>
      <c r="D1156" s="41"/>
      <c r="E1156" s="41"/>
      <c r="F1156" s="41"/>
      <c r="G1156" s="41"/>
      <c r="H1156" s="41"/>
      <c r="I1156" s="41"/>
      <c r="J1156" s="41"/>
      <c r="K1156" s="41"/>
      <c r="L1156" s="41"/>
      <c r="M1156" s="41"/>
      <c r="N1156" s="41"/>
      <c r="O1156" s="41"/>
      <c r="P1156" s="28"/>
    </row>
    <row r="1157" customFormat="1" spans="1:16">
      <c r="A1157" s="39"/>
      <c r="B1157" s="40"/>
      <c r="C1157" s="41"/>
      <c r="D1157" s="41"/>
      <c r="E1157" s="41"/>
      <c r="F1157" s="41"/>
      <c r="G1157" s="41"/>
      <c r="H1157" s="41"/>
      <c r="I1157" s="41"/>
      <c r="J1157" s="41"/>
      <c r="K1157" s="41"/>
      <c r="L1157" s="41"/>
      <c r="M1157" s="41"/>
      <c r="N1157" s="41"/>
      <c r="O1157" s="41"/>
      <c r="P1157" s="28"/>
    </row>
    <row r="1158" customFormat="1" spans="1:16">
      <c r="A1158" s="39"/>
      <c r="B1158" s="40"/>
      <c r="C1158" s="41"/>
      <c r="D1158" s="41"/>
      <c r="E1158" s="41"/>
      <c r="F1158" s="41"/>
      <c r="G1158" s="41"/>
      <c r="H1158" s="41"/>
      <c r="I1158" s="41"/>
      <c r="J1158" s="41"/>
      <c r="K1158" s="41"/>
      <c r="L1158" s="41"/>
      <c r="M1158" s="41"/>
      <c r="N1158" s="41"/>
      <c r="O1158" s="41"/>
      <c r="P1158" s="28"/>
    </row>
    <row r="1159" customFormat="1" spans="1:16">
      <c r="A1159" s="39"/>
      <c r="B1159" s="40"/>
      <c r="C1159" s="41"/>
      <c r="D1159" s="41"/>
      <c r="E1159" s="41"/>
      <c r="F1159" s="41"/>
      <c r="G1159" s="41"/>
      <c r="H1159" s="41"/>
      <c r="I1159" s="41"/>
      <c r="J1159" s="41"/>
      <c r="K1159" s="41"/>
      <c r="L1159" s="41"/>
      <c r="M1159" s="41"/>
      <c r="N1159" s="41"/>
      <c r="O1159" s="41"/>
      <c r="P1159" s="28"/>
    </row>
    <row r="1160" customFormat="1" spans="1:16">
      <c r="A1160" s="39"/>
      <c r="B1160" s="40"/>
      <c r="C1160" s="41"/>
      <c r="D1160" s="41"/>
      <c r="E1160" s="41"/>
      <c r="F1160" s="41"/>
      <c r="G1160" s="41"/>
      <c r="H1160" s="41"/>
      <c r="I1160" s="41"/>
      <c r="J1160" s="41"/>
      <c r="K1160" s="41"/>
      <c r="L1160" s="41"/>
      <c r="M1160" s="41"/>
      <c r="N1160" s="41"/>
      <c r="O1160" s="41"/>
      <c r="P1160" s="28"/>
    </row>
    <row r="1161" customFormat="1" spans="1:16">
      <c r="A1161" s="39"/>
      <c r="B1161" s="40"/>
      <c r="C1161" s="41"/>
      <c r="D1161" s="41"/>
      <c r="E1161" s="41"/>
      <c r="F1161" s="41"/>
      <c r="G1161" s="41"/>
      <c r="H1161" s="41"/>
      <c r="I1161" s="41"/>
      <c r="J1161" s="41"/>
      <c r="K1161" s="41"/>
      <c r="L1161" s="41"/>
      <c r="M1161" s="41"/>
      <c r="N1161" s="41"/>
      <c r="O1161" s="41"/>
      <c r="P1161" s="28"/>
    </row>
    <row r="1162" customFormat="1" spans="1:16">
      <c r="A1162" s="39"/>
      <c r="B1162" s="40"/>
      <c r="C1162" s="41"/>
      <c r="D1162" s="41"/>
      <c r="E1162" s="41"/>
      <c r="F1162" s="41"/>
      <c r="G1162" s="41"/>
      <c r="H1162" s="41"/>
      <c r="I1162" s="41"/>
      <c r="J1162" s="41"/>
      <c r="K1162" s="41"/>
      <c r="L1162" s="41"/>
      <c r="M1162" s="41"/>
      <c r="N1162" s="41"/>
      <c r="O1162" s="41"/>
      <c r="P1162" s="28"/>
    </row>
    <row r="1163" customFormat="1" spans="1:16">
      <c r="A1163" s="39"/>
      <c r="B1163" s="40"/>
      <c r="C1163" s="41"/>
      <c r="D1163" s="41"/>
      <c r="E1163" s="41"/>
      <c r="F1163" s="41"/>
      <c r="G1163" s="41"/>
      <c r="H1163" s="41"/>
      <c r="I1163" s="41"/>
      <c r="J1163" s="41"/>
      <c r="K1163" s="41"/>
      <c r="L1163" s="41"/>
      <c r="M1163" s="41"/>
      <c r="N1163" s="41"/>
      <c r="O1163" s="41"/>
      <c r="P1163" s="28"/>
    </row>
    <row r="1164" customFormat="1" spans="1:16">
      <c r="A1164" s="39"/>
      <c r="B1164" s="40"/>
      <c r="C1164" s="41"/>
      <c r="D1164" s="41"/>
      <c r="E1164" s="41"/>
      <c r="F1164" s="41"/>
      <c r="G1164" s="41"/>
      <c r="H1164" s="41"/>
      <c r="I1164" s="41"/>
      <c r="J1164" s="41"/>
      <c r="K1164" s="41"/>
      <c r="L1164" s="41"/>
      <c r="M1164" s="41"/>
      <c r="N1164" s="41"/>
      <c r="O1164" s="41"/>
      <c r="P1164" s="28"/>
    </row>
    <row r="1165" customFormat="1" spans="1:16">
      <c r="A1165" s="39"/>
      <c r="B1165" s="40"/>
      <c r="C1165" s="41"/>
      <c r="D1165" s="41"/>
      <c r="E1165" s="41"/>
      <c r="F1165" s="41"/>
      <c r="G1165" s="41"/>
      <c r="H1165" s="41"/>
      <c r="I1165" s="41"/>
      <c r="J1165" s="41"/>
      <c r="K1165" s="41"/>
      <c r="L1165" s="41"/>
      <c r="M1165" s="41"/>
      <c r="N1165" s="41"/>
      <c r="O1165" s="41"/>
      <c r="P1165" s="28"/>
    </row>
    <row r="1166" customFormat="1" spans="1:16">
      <c r="A1166" s="39"/>
      <c r="B1166" s="40"/>
      <c r="C1166" s="41"/>
      <c r="D1166" s="41"/>
      <c r="E1166" s="41"/>
      <c r="F1166" s="41"/>
      <c r="G1166" s="41"/>
      <c r="H1166" s="41"/>
      <c r="I1166" s="41"/>
      <c r="J1166" s="41"/>
      <c r="K1166" s="41"/>
      <c r="L1166" s="41"/>
      <c r="M1166" s="41"/>
      <c r="N1166" s="41"/>
      <c r="O1166" s="41"/>
      <c r="P1166" s="28"/>
    </row>
    <row r="1167" customFormat="1" spans="1:16">
      <c r="A1167" s="39"/>
      <c r="B1167" s="40"/>
      <c r="C1167" s="41"/>
      <c r="D1167" s="41"/>
      <c r="E1167" s="41"/>
      <c r="F1167" s="41"/>
      <c r="G1167" s="41"/>
      <c r="H1167" s="41"/>
      <c r="I1167" s="41"/>
      <c r="J1167" s="41"/>
      <c r="K1167" s="41"/>
      <c r="L1167" s="41"/>
      <c r="M1167" s="41"/>
      <c r="N1167" s="41"/>
      <c r="O1167" s="41"/>
      <c r="P1167" s="28"/>
    </row>
    <row r="1168" customFormat="1" spans="1:16">
      <c r="A1168" s="39"/>
      <c r="B1168" s="40"/>
      <c r="C1168" s="41"/>
      <c r="D1168" s="41"/>
      <c r="E1168" s="41"/>
      <c r="F1168" s="41"/>
      <c r="G1168" s="41"/>
      <c r="H1168" s="41"/>
      <c r="I1168" s="41"/>
      <c r="J1168" s="41"/>
      <c r="K1168" s="41"/>
      <c r="L1168" s="41"/>
      <c r="M1168" s="41"/>
      <c r="N1168" s="41"/>
      <c r="O1168" s="41"/>
      <c r="P1168" s="28"/>
    </row>
    <row r="1169" customFormat="1" spans="1:16">
      <c r="A1169" s="39"/>
      <c r="B1169" s="40"/>
      <c r="C1169" s="41"/>
      <c r="D1169" s="41"/>
      <c r="E1169" s="41"/>
      <c r="F1169" s="41"/>
      <c r="G1169" s="41"/>
      <c r="H1169" s="41"/>
      <c r="I1169" s="41"/>
      <c r="J1169" s="41"/>
      <c r="K1169" s="41"/>
      <c r="L1169" s="41"/>
      <c r="M1169" s="41"/>
      <c r="N1169" s="41"/>
      <c r="O1169" s="41"/>
      <c r="P1169" s="28"/>
    </row>
    <row r="1170" customFormat="1" spans="1:16">
      <c r="A1170" s="39"/>
      <c r="B1170" s="40"/>
      <c r="C1170" s="41"/>
      <c r="D1170" s="41"/>
      <c r="E1170" s="41"/>
      <c r="F1170" s="41"/>
      <c r="G1170" s="41"/>
      <c r="H1170" s="41"/>
      <c r="I1170" s="41"/>
      <c r="J1170" s="41"/>
      <c r="K1170" s="41"/>
      <c r="L1170" s="41"/>
      <c r="M1170" s="41"/>
      <c r="N1170" s="41"/>
      <c r="O1170" s="41"/>
      <c r="P1170" s="28"/>
    </row>
    <row r="1171" customFormat="1" spans="1:16">
      <c r="A1171" s="39"/>
      <c r="B1171" s="40"/>
      <c r="C1171" s="41"/>
      <c r="D1171" s="41"/>
      <c r="E1171" s="41"/>
      <c r="F1171" s="41"/>
      <c r="G1171" s="41"/>
      <c r="H1171" s="41"/>
      <c r="I1171" s="41"/>
      <c r="J1171" s="41"/>
      <c r="K1171" s="41"/>
      <c r="L1171" s="41"/>
      <c r="M1171" s="41"/>
      <c r="N1171" s="41"/>
      <c r="O1171" s="41"/>
      <c r="P1171" s="28"/>
    </row>
    <row r="1172" customFormat="1" spans="1:16">
      <c r="A1172" s="39"/>
      <c r="B1172" s="40"/>
      <c r="C1172" s="41"/>
      <c r="D1172" s="41"/>
      <c r="E1172" s="41"/>
      <c r="F1172" s="41"/>
      <c r="G1172" s="41"/>
      <c r="H1172" s="41"/>
      <c r="I1172" s="41"/>
      <c r="J1172" s="41"/>
      <c r="K1172" s="41"/>
      <c r="L1172" s="41"/>
      <c r="M1172" s="41"/>
      <c r="N1172" s="41"/>
      <c r="O1172" s="41"/>
      <c r="P1172" s="28"/>
    </row>
    <row r="1173" customFormat="1" spans="1:16">
      <c r="A1173" s="39"/>
      <c r="B1173" s="40"/>
      <c r="C1173" s="41"/>
      <c r="D1173" s="41"/>
      <c r="E1173" s="41"/>
      <c r="F1173" s="41"/>
      <c r="G1173" s="41"/>
      <c r="H1173" s="41"/>
      <c r="I1173" s="41"/>
      <c r="J1173" s="41"/>
      <c r="K1173" s="41"/>
      <c r="L1173" s="41"/>
      <c r="M1173" s="41"/>
      <c r="N1173" s="41"/>
      <c r="O1173" s="41"/>
      <c r="P1173" s="28"/>
    </row>
    <row r="1174" customFormat="1" spans="1:16">
      <c r="A1174" s="39"/>
      <c r="B1174" s="40"/>
      <c r="C1174" s="41"/>
      <c r="D1174" s="41"/>
      <c r="E1174" s="41"/>
      <c r="F1174" s="41"/>
      <c r="G1174" s="41"/>
      <c r="H1174" s="41"/>
      <c r="I1174" s="41"/>
      <c r="J1174" s="41"/>
      <c r="K1174" s="41"/>
      <c r="L1174" s="41"/>
      <c r="M1174" s="41"/>
      <c r="N1174" s="41"/>
      <c r="O1174" s="41"/>
      <c r="P1174" s="28"/>
    </row>
    <row r="1175" customFormat="1" spans="1:16">
      <c r="A1175" s="39"/>
      <c r="B1175" s="40"/>
      <c r="C1175" s="41"/>
      <c r="D1175" s="41"/>
      <c r="E1175" s="41"/>
      <c r="F1175" s="41"/>
      <c r="G1175" s="41"/>
      <c r="H1175" s="41"/>
      <c r="I1175" s="41"/>
      <c r="J1175" s="41"/>
      <c r="K1175" s="41"/>
      <c r="L1175" s="41"/>
      <c r="M1175" s="41"/>
      <c r="N1175" s="41"/>
      <c r="O1175" s="41"/>
      <c r="P1175" s="28"/>
    </row>
    <row r="1176" customFormat="1" spans="1:16">
      <c r="A1176" s="39"/>
      <c r="B1176" s="40"/>
      <c r="C1176" s="41"/>
      <c r="D1176" s="41"/>
      <c r="E1176" s="41"/>
      <c r="F1176" s="41"/>
      <c r="G1176" s="41"/>
      <c r="H1176" s="41"/>
      <c r="I1176" s="41"/>
      <c r="J1176" s="41"/>
      <c r="K1176" s="41"/>
      <c r="L1176" s="41"/>
      <c r="M1176" s="41"/>
      <c r="N1176" s="41"/>
      <c r="O1176" s="41"/>
      <c r="P1176" s="28"/>
    </row>
    <row r="1177" customFormat="1" spans="1:16">
      <c r="A1177" s="39"/>
      <c r="B1177" s="40"/>
      <c r="C1177" s="41"/>
      <c r="D1177" s="41"/>
      <c r="E1177" s="41"/>
      <c r="F1177" s="41"/>
      <c r="G1177" s="41"/>
      <c r="H1177" s="41"/>
      <c r="I1177" s="41"/>
      <c r="J1177" s="41"/>
      <c r="K1177" s="41"/>
      <c r="L1177" s="41"/>
      <c r="M1177" s="41"/>
      <c r="N1177" s="41"/>
      <c r="O1177" s="41"/>
      <c r="P1177" s="28"/>
    </row>
    <row r="1178" customFormat="1" spans="1:16">
      <c r="A1178" s="39"/>
      <c r="B1178" s="40"/>
      <c r="C1178" s="41"/>
      <c r="D1178" s="41"/>
      <c r="E1178" s="41"/>
      <c r="F1178" s="41"/>
      <c r="G1178" s="41"/>
      <c r="H1178" s="41"/>
      <c r="I1178" s="41"/>
      <c r="J1178" s="41"/>
      <c r="K1178" s="41"/>
      <c r="L1178" s="41"/>
      <c r="M1178" s="41"/>
      <c r="N1178" s="41"/>
      <c r="O1178" s="41"/>
      <c r="P1178" s="28"/>
    </row>
    <row r="1179" customFormat="1" spans="1:16">
      <c r="A1179" s="39"/>
      <c r="B1179" s="40"/>
      <c r="C1179" s="41"/>
      <c r="D1179" s="41"/>
      <c r="E1179" s="41"/>
      <c r="F1179" s="41"/>
      <c r="G1179" s="41"/>
      <c r="H1179" s="41"/>
      <c r="I1179" s="41"/>
      <c r="J1179" s="41"/>
      <c r="K1179" s="41"/>
      <c r="L1179" s="41"/>
      <c r="M1179" s="41"/>
      <c r="N1179" s="41"/>
      <c r="O1179" s="41"/>
      <c r="P1179" s="28"/>
    </row>
    <row r="1180" customFormat="1" spans="1:16">
      <c r="A1180" s="39"/>
      <c r="B1180" s="40"/>
      <c r="C1180" s="41"/>
      <c r="D1180" s="41"/>
      <c r="E1180" s="41"/>
      <c r="F1180" s="41"/>
      <c r="G1180" s="41"/>
      <c r="H1180" s="41"/>
      <c r="I1180" s="41"/>
      <c r="J1180" s="41"/>
      <c r="K1180" s="41"/>
      <c r="L1180" s="41"/>
      <c r="M1180" s="41"/>
      <c r="N1180" s="41"/>
      <c r="O1180" s="41"/>
      <c r="P1180" s="28"/>
    </row>
    <row r="1181" customFormat="1" spans="1:16">
      <c r="A1181" s="39"/>
      <c r="B1181" s="40"/>
      <c r="C1181" s="41"/>
      <c r="D1181" s="41"/>
      <c r="E1181" s="41"/>
      <c r="F1181" s="41"/>
      <c r="G1181" s="41"/>
      <c r="H1181" s="41"/>
      <c r="I1181" s="41"/>
      <c r="J1181" s="41"/>
      <c r="K1181" s="41"/>
      <c r="L1181" s="41"/>
      <c r="M1181" s="41"/>
      <c r="N1181" s="41"/>
      <c r="O1181" s="41"/>
      <c r="P1181" s="28"/>
    </row>
    <row r="1182" customFormat="1" spans="1:16">
      <c r="A1182" s="39"/>
      <c r="B1182" s="40"/>
      <c r="C1182" s="41"/>
      <c r="D1182" s="41"/>
      <c r="E1182" s="41"/>
      <c r="F1182" s="41"/>
      <c r="G1182" s="41"/>
      <c r="H1182" s="41"/>
      <c r="I1182" s="41"/>
      <c r="J1182" s="41"/>
      <c r="K1182" s="41"/>
      <c r="L1182" s="41"/>
      <c r="M1182" s="41"/>
      <c r="N1182" s="41"/>
      <c r="O1182" s="41"/>
      <c r="P1182" s="28"/>
    </row>
    <row r="1183" customFormat="1" spans="1:16">
      <c r="A1183" s="39"/>
      <c r="B1183" s="40"/>
      <c r="C1183" s="41"/>
      <c r="D1183" s="41"/>
      <c r="E1183" s="41"/>
      <c r="F1183" s="41"/>
      <c r="G1183" s="41"/>
      <c r="H1183" s="41"/>
      <c r="I1183" s="41"/>
      <c r="J1183" s="41"/>
      <c r="K1183" s="41"/>
      <c r="L1183" s="41"/>
      <c r="M1183" s="41"/>
      <c r="N1183" s="41"/>
      <c r="O1183" s="41"/>
      <c r="P1183" s="28"/>
    </row>
    <row r="1184" customFormat="1" spans="1:16">
      <c r="A1184" s="39"/>
      <c r="B1184" s="40"/>
      <c r="C1184" s="41"/>
      <c r="D1184" s="41"/>
      <c r="E1184" s="41"/>
      <c r="F1184" s="41"/>
      <c r="G1184" s="41"/>
      <c r="H1184" s="41"/>
      <c r="I1184" s="41"/>
      <c r="J1184" s="41"/>
      <c r="K1184" s="41"/>
      <c r="L1184" s="41"/>
      <c r="M1184" s="41"/>
      <c r="N1184" s="41"/>
      <c r="O1184" s="41"/>
      <c r="P1184" s="28"/>
    </row>
    <row r="1185" customFormat="1" spans="1:16">
      <c r="A1185" s="39"/>
      <c r="B1185" s="40"/>
      <c r="C1185" s="41"/>
      <c r="D1185" s="41"/>
      <c r="E1185" s="41"/>
      <c r="F1185" s="41"/>
      <c r="G1185" s="41"/>
      <c r="H1185" s="41"/>
      <c r="I1185" s="41"/>
      <c r="J1185" s="41"/>
      <c r="K1185" s="41"/>
      <c r="L1185" s="41"/>
      <c r="M1185" s="41"/>
      <c r="N1185" s="41"/>
      <c r="O1185" s="41"/>
      <c r="P1185" s="28"/>
    </row>
    <row r="1186" customFormat="1" spans="1:16">
      <c r="A1186" s="39"/>
      <c r="B1186" s="40"/>
      <c r="C1186" s="41"/>
      <c r="D1186" s="41"/>
      <c r="E1186" s="41"/>
      <c r="F1186" s="41"/>
      <c r="G1186" s="41"/>
      <c r="H1186" s="41"/>
      <c r="I1186" s="41"/>
      <c r="J1186" s="41"/>
      <c r="K1186" s="41"/>
      <c r="L1186" s="41"/>
      <c r="M1186" s="41"/>
      <c r="N1186" s="41"/>
      <c r="O1186" s="41"/>
      <c r="P1186" s="28"/>
    </row>
    <row r="1187" customFormat="1" spans="1:16">
      <c r="A1187" s="39"/>
      <c r="B1187" s="40"/>
      <c r="C1187" s="41"/>
      <c r="D1187" s="41"/>
      <c r="E1187" s="41"/>
      <c r="F1187" s="41"/>
      <c r="G1187" s="41"/>
      <c r="H1187" s="41"/>
      <c r="I1187" s="41"/>
      <c r="J1187" s="41"/>
      <c r="K1187" s="41"/>
      <c r="L1187" s="41"/>
      <c r="M1187" s="41"/>
      <c r="N1187" s="41"/>
      <c r="O1187" s="41"/>
      <c r="P1187" s="28"/>
    </row>
    <row r="1188" customFormat="1" spans="1:16">
      <c r="A1188" s="39"/>
      <c r="B1188" s="40"/>
      <c r="C1188" s="41"/>
      <c r="D1188" s="41"/>
      <c r="E1188" s="41"/>
      <c r="F1188" s="41"/>
      <c r="G1188" s="41"/>
      <c r="H1188" s="41"/>
      <c r="I1188" s="41"/>
      <c r="J1188" s="41"/>
      <c r="K1188" s="41"/>
      <c r="L1188" s="41"/>
      <c r="M1188" s="41"/>
      <c r="N1188" s="41"/>
      <c r="O1188" s="41"/>
      <c r="P1188" s="28"/>
    </row>
    <row r="1189" customFormat="1" spans="1:16">
      <c r="A1189" s="39"/>
      <c r="B1189" s="40"/>
      <c r="C1189" s="41"/>
      <c r="D1189" s="41"/>
      <c r="E1189" s="41"/>
      <c r="F1189" s="41"/>
      <c r="G1189" s="41"/>
      <c r="H1189" s="41"/>
      <c r="I1189" s="41"/>
      <c r="J1189" s="41"/>
      <c r="K1189" s="41"/>
      <c r="L1189" s="41"/>
      <c r="M1189" s="41"/>
      <c r="N1189" s="41"/>
      <c r="O1189" s="41"/>
      <c r="P1189" s="28"/>
    </row>
    <row r="1190" customFormat="1" spans="1:16">
      <c r="A1190" s="39"/>
      <c r="B1190" s="40"/>
      <c r="C1190" s="41"/>
      <c r="D1190" s="41"/>
      <c r="E1190" s="41"/>
      <c r="F1190" s="41"/>
      <c r="G1190" s="41"/>
      <c r="H1190" s="41"/>
      <c r="I1190" s="41"/>
      <c r="J1190" s="41"/>
      <c r="K1190" s="41"/>
      <c r="L1190" s="41"/>
      <c r="M1190" s="41"/>
      <c r="N1190" s="41"/>
      <c r="O1190" s="41"/>
      <c r="P1190" s="28"/>
    </row>
    <row r="1191" customFormat="1" spans="1:16">
      <c r="A1191" s="39"/>
      <c r="B1191" s="40"/>
      <c r="C1191" s="41"/>
      <c r="D1191" s="41"/>
      <c r="E1191" s="41"/>
      <c r="F1191" s="41"/>
      <c r="G1191" s="41"/>
      <c r="H1191" s="41"/>
      <c r="I1191" s="41"/>
      <c r="J1191" s="41"/>
      <c r="K1191" s="41"/>
      <c r="L1191" s="41"/>
      <c r="M1191" s="41"/>
      <c r="N1191" s="41"/>
      <c r="O1191" s="41"/>
      <c r="P1191" s="28"/>
    </row>
    <row r="1192" customFormat="1" spans="1:16">
      <c r="A1192" s="39"/>
      <c r="B1192" s="40"/>
      <c r="C1192" s="41"/>
      <c r="D1192" s="41"/>
      <c r="E1192" s="41"/>
      <c r="F1192" s="41"/>
      <c r="G1192" s="41"/>
      <c r="H1192" s="41"/>
      <c r="I1192" s="41"/>
      <c r="J1192" s="41"/>
      <c r="K1192" s="41"/>
      <c r="L1192" s="41"/>
      <c r="M1192" s="41"/>
      <c r="N1192" s="41"/>
      <c r="O1192" s="41"/>
      <c r="P1192" s="28"/>
    </row>
    <row r="1193" customFormat="1" spans="1:16">
      <c r="A1193" s="39"/>
      <c r="B1193" s="40"/>
      <c r="C1193" s="41"/>
      <c r="D1193" s="41"/>
      <c r="E1193" s="41"/>
      <c r="F1193" s="41"/>
      <c r="G1193" s="41"/>
      <c r="H1193" s="41"/>
      <c r="I1193" s="41"/>
      <c r="J1193" s="41"/>
      <c r="K1193" s="41"/>
      <c r="L1193" s="41"/>
      <c r="M1193" s="41"/>
      <c r="N1193" s="41"/>
      <c r="O1193" s="41"/>
      <c r="P1193" s="28"/>
    </row>
    <row r="1194" customFormat="1" spans="1:16">
      <c r="A1194" s="39"/>
      <c r="B1194" s="40"/>
      <c r="C1194" s="41"/>
      <c r="D1194" s="41"/>
      <c r="E1194" s="41"/>
      <c r="F1194" s="41"/>
      <c r="G1194" s="41"/>
      <c r="H1194" s="41"/>
      <c r="I1194" s="41"/>
      <c r="J1194" s="41"/>
      <c r="K1194" s="41"/>
      <c r="L1194" s="41"/>
      <c r="M1194" s="41"/>
      <c r="N1194" s="41"/>
      <c r="O1194" s="41"/>
      <c r="P1194" s="28"/>
    </row>
    <row r="1195" customFormat="1" spans="1:16">
      <c r="A1195" s="39"/>
      <c r="B1195" s="40"/>
      <c r="C1195" s="41"/>
      <c r="D1195" s="41"/>
      <c r="E1195" s="41"/>
      <c r="F1195" s="41"/>
      <c r="G1195" s="41"/>
      <c r="H1195" s="41"/>
      <c r="I1195" s="41"/>
      <c r="J1195" s="41"/>
      <c r="K1195" s="41"/>
      <c r="L1195" s="41"/>
      <c r="M1195" s="41"/>
      <c r="N1195" s="41"/>
      <c r="O1195" s="41"/>
      <c r="P1195" s="28"/>
    </row>
    <row r="1196" customFormat="1" spans="1:16">
      <c r="A1196" s="39"/>
      <c r="B1196" s="40"/>
      <c r="C1196" s="41"/>
      <c r="D1196" s="41"/>
      <c r="E1196" s="41"/>
      <c r="F1196" s="41"/>
      <c r="G1196" s="41"/>
      <c r="H1196" s="41"/>
      <c r="I1196" s="41"/>
      <c r="J1196" s="41"/>
      <c r="K1196" s="41"/>
      <c r="L1196" s="41"/>
      <c r="M1196" s="41"/>
      <c r="N1196" s="41"/>
      <c r="O1196" s="41"/>
      <c r="P1196" s="28"/>
    </row>
    <row r="1197" customFormat="1" spans="1:16">
      <c r="A1197" s="39"/>
      <c r="B1197" s="40"/>
      <c r="C1197" s="41"/>
      <c r="D1197" s="41"/>
      <c r="E1197" s="41"/>
      <c r="F1197" s="41"/>
      <c r="G1197" s="41"/>
      <c r="H1197" s="41"/>
      <c r="I1197" s="41"/>
      <c r="J1197" s="41"/>
      <c r="K1197" s="41"/>
      <c r="L1197" s="41"/>
      <c r="M1197" s="41"/>
      <c r="N1197" s="41"/>
      <c r="O1197" s="41"/>
      <c r="P1197" s="28"/>
    </row>
    <row r="1198" customFormat="1" spans="1:16">
      <c r="A1198" s="39"/>
      <c r="B1198" s="40"/>
      <c r="C1198" s="41"/>
      <c r="D1198" s="41"/>
      <c r="E1198" s="41"/>
      <c r="F1198" s="41"/>
      <c r="G1198" s="41"/>
      <c r="H1198" s="41"/>
      <c r="I1198" s="41"/>
      <c r="J1198" s="41"/>
      <c r="K1198" s="41"/>
      <c r="L1198" s="41"/>
      <c r="M1198" s="41"/>
      <c r="N1198" s="41"/>
      <c r="O1198" s="41"/>
      <c r="P1198" s="28"/>
    </row>
    <row r="1199" customFormat="1" spans="1:16">
      <c r="A1199" s="39"/>
      <c r="B1199" s="40"/>
      <c r="C1199" s="41"/>
      <c r="D1199" s="41"/>
      <c r="E1199" s="41"/>
      <c r="F1199" s="41"/>
      <c r="G1199" s="41"/>
      <c r="H1199" s="41"/>
      <c r="I1199" s="41"/>
      <c r="J1199" s="41"/>
      <c r="K1199" s="41"/>
      <c r="L1199" s="41"/>
      <c r="M1199" s="41"/>
      <c r="N1199" s="41"/>
      <c r="O1199" s="41"/>
      <c r="P1199" s="28"/>
    </row>
    <row r="1200" customFormat="1" spans="1:16">
      <c r="A1200" s="39"/>
      <c r="B1200" s="40"/>
      <c r="C1200" s="41"/>
      <c r="D1200" s="41"/>
      <c r="E1200" s="41"/>
      <c r="F1200" s="41"/>
      <c r="G1200" s="41"/>
      <c r="H1200" s="41"/>
      <c r="I1200" s="41"/>
      <c r="J1200" s="41"/>
      <c r="K1200" s="41"/>
      <c r="L1200" s="41"/>
      <c r="M1200" s="41"/>
      <c r="N1200" s="41"/>
      <c r="O1200" s="41"/>
      <c r="P1200" s="28"/>
    </row>
    <row r="1201" customFormat="1" spans="1:16">
      <c r="A1201" s="39"/>
      <c r="B1201" s="40"/>
      <c r="C1201" s="41"/>
      <c r="D1201" s="41"/>
      <c r="E1201" s="41"/>
      <c r="F1201" s="41"/>
      <c r="G1201" s="41"/>
      <c r="H1201" s="41"/>
      <c r="I1201" s="41"/>
      <c r="J1201" s="41"/>
      <c r="K1201" s="41"/>
      <c r="L1201" s="41"/>
      <c r="M1201" s="41"/>
      <c r="N1201" s="41"/>
      <c r="O1201" s="41"/>
      <c r="P1201" s="28"/>
    </row>
    <row r="1202" customFormat="1" spans="1:16">
      <c r="A1202" s="39"/>
      <c r="B1202" s="40"/>
      <c r="C1202" s="41"/>
      <c r="D1202" s="41"/>
      <c r="E1202" s="41"/>
      <c r="F1202" s="41"/>
      <c r="G1202" s="41"/>
      <c r="H1202" s="41"/>
      <c r="I1202" s="41"/>
      <c r="J1202" s="41"/>
      <c r="K1202" s="41"/>
      <c r="L1202" s="41"/>
      <c r="M1202" s="41"/>
      <c r="N1202" s="41"/>
      <c r="O1202" s="41"/>
      <c r="P1202" s="28"/>
    </row>
    <row r="1203" customFormat="1" spans="1:16">
      <c r="A1203" s="39"/>
      <c r="B1203" s="40"/>
      <c r="C1203" s="41"/>
      <c r="D1203" s="41"/>
      <c r="E1203" s="41"/>
      <c r="F1203" s="41"/>
      <c r="G1203" s="41"/>
      <c r="H1203" s="41"/>
      <c r="I1203" s="41"/>
      <c r="J1203" s="41"/>
      <c r="K1203" s="41"/>
      <c r="L1203" s="41"/>
      <c r="M1203" s="41"/>
      <c r="N1203" s="41"/>
      <c r="O1203" s="41"/>
      <c r="P1203" s="28"/>
    </row>
    <row r="1204" customFormat="1" spans="1:16">
      <c r="A1204" s="39"/>
      <c r="B1204" s="40"/>
      <c r="C1204" s="41"/>
      <c r="D1204" s="41"/>
      <c r="E1204" s="41"/>
      <c r="F1204" s="41"/>
      <c r="G1204" s="41"/>
      <c r="H1204" s="41"/>
      <c r="I1204" s="41"/>
      <c r="J1204" s="41"/>
      <c r="K1204" s="41"/>
      <c r="L1204" s="41"/>
      <c r="M1204" s="41"/>
      <c r="N1204" s="41"/>
      <c r="O1204" s="41"/>
      <c r="P1204" s="28"/>
    </row>
    <row r="1205" customFormat="1" spans="1:16">
      <c r="A1205" s="39"/>
      <c r="B1205" s="40"/>
      <c r="C1205" s="41"/>
      <c r="D1205" s="41"/>
      <c r="E1205" s="41"/>
      <c r="F1205" s="41"/>
      <c r="G1205" s="41"/>
      <c r="H1205" s="41"/>
      <c r="I1205" s="41"/>
      <c r="J1205" s="41"/>
      <c r="K1205" s="41"/>
      <c r="L1205" s="41"/>
      <c r="M1205" s="41"/>
      <c r="N1205" s="41"/>
      <c r="O1205" s="41"/>
      <c r="P1205" s="28"/>
    </row>
    <row r="1206" customFormat="1" spans="1:16">
      <c r="A1206" s="39"/>
      <c r="B1206" s="40"/>
      <c r="C1206" s="41"/>
      <c r="D1206" s="41"/>
      <c r="E1206" s="41"/>
      <c r="F1206" s="41"/>
      <c r="G1206" s="41"/>
      <c r="H1206" s="41"/>
      <c r="I1206" s="41"/>
      <c r="J1206" s="41"/>
      <c r="K1206" s="41"/>
      <c r="L1206" s="41"/>
      <c r="M1206" s="41"/>
      <c r="N1206" s="41"/>
      <c r="O1206" s="41"/>
      <c r="P1206" s="28"/>
    </row>
    <row r="1207" customFormat="1" spans="1:16">
      <c r="A1207" s="39"/>
      <c r="B1207" s="40"/>
      <c r="C1207" s="41"/>
      <c r="D1207" s="41"/>
      <c r="E1207" s="41"/>
      <c r="F1207" s="41"/>
      <c r="G1207" s="41"/>
      <c r="H1207" s="41"/>
      <c r="I1207" s="41"/>
      <c r="J1207" s="41"/>
      <c r="K1207" s="41"/>
      <c r="L1207" s="41"/>
      <c r="M1207" s="41"/>
      <c r="N1207" s="41"/>
      <c r="O1207" s="41"/>
      <c r="P1207" s="28"/>
    </row>
    <row r="1208" customFormat="1" spans="1:16">
      <c r="A1208" s="39"/>
      <c r="B1208" s="40"/>
      <c r="C1208" s="41"/>
      <c r="D1208" s="41"/>
      <c r="E1208" s="41"/>
      <c r="F1208" s="41"/>
      <c r="G1208" s="41"/>
      <c r="H1208" s="41"/>
      <c r="I1208" s="41"/>
      <c r="J1208" s="41"/>
      <c r="K1208" s="41"/>
      <c r="L1208" s="41"/>
      <c r="M1208" s="41"/>
      <c r="N1208" s="41"/>
      <c r="O1208" s="41"/>
      <c r="P1208" s="28"/>
    </row>
    <row r="1209" customFormat="1" spans="1:16">
      <c r="A1209" s="39"/>
      <c r="B1209" s="40"/>
      <c r="C1209" s="41"/>
      <c r="D1209" s="41"/>
      <c r="E1209" s="41"/>
      <c r="F1209" s="41"/>
      <c r="G1209" s="41"/>
      <c r="H1209" s="41"/>
      <c r="I1209" s="41"/>
      <c r="J1209" s="41"/>
      <c r="K1209" s="41"/>
      <c r="L1209" s="41"/>
      <c r="M1209" s="41"/>
      <c r="N1209" s="41"/>
      <c r="O1209" s="41"/>
      <c r="P1209" s="28"/>
    </row>
    <row r="1210" customFormat="1" spans="1:16">
      <c r="A1210" s="39"/>
      <c r="B1210" s="40"/>
      <c r="C1210" s="41"/>
      <c r="D1210" s="41"/>
      <c r="E1210" s="41"/>
      <c r="F1210" s="41"/>
      <c r="G1210" s="41"/>
      <c r="H1210" s="41"/>
      <c r="I1210" s="41"/>
      <c r="J1210" s="41"/>
      <c r="K1210" s="41"/>
      <c r="L1210" s="41"/>
      <c r="M1210" s="41"/>
      <c r="N1210" s="41"/>
      <c r="O1210" s="41"/>
      <c r="P1210" s="28"/>
    </row>
    <row r="1211" customFormat="1" spans="1:16">
      <c r="A1211" s="39"/>
      <c r="B1211" s="40"/>
      <c r="C1211" s="41"/>
      <c r="D1211" s="41"/>
      <c r="E1211" s="41"/>
      <c r="F1211" s="41"/>
      <c r="G1211" s="41"/>
      <c r="H1211" s="41"/>
      <c r="I1211" s="41"/>
      <c r="J1211" s="41"/>
      <c r="K1211" s="41"/>
      <c r="L1211" s="41"/>
      <c r="M1211" s="41"/>
      <c r="N1211" s="41"/>
      <c r="O1211" s="41"/>
      <c r="P1211" s="28"/>
    </row>
    <row r="1212" customFormat="1" spans="1:16">
      <c r="A1212" s="39"/>
      <c r="B1212" s="40"/>
      <c r="C1212" s="41"/>
      <c r="D1212" s="41"/>
      <c r="E1212" s="41"/>
      <c r="F1212" s="41"/>
      <c r="G1212" s="41"/>
      <c r="H1212" s="41"/>
      <c r="I1212" s="41"/>
      <c r="J1212" s="41"/>
      <c r="K1212" s="41"/>
      <c r="L1212" s="41"/>
      <c r="M1212" s="41"/>
      <c r="N1212" s="41"/>
      <c r="O1212" s="41"/>
      <c r="P1212" s="28"/>
    </row>
    <row r="1213" customFormat="1" spans="1:16">
      <c r="A1213" s="39"/>
      <c r="B1213" s="40"/>
      <c r="C1213" s="41"/>
      <c r="D1213" s="41"/>
      <c r="E1213" s="41"/>
      <c r="F1213" s="41"/>
      <c r="G1213" s="41"/>
      <c r="H1213" s="41"/>
      <c r="I1213" s="41"/>
      <c r="J1213" s="41"/>
      <c r="K1213" s="41"/>
      <c r="L1213" s="41"/>
      <c r="M1213" s="41"/>
      <c r="N1213" s="41"/>
      <c r="O1213" s="41"/>
      <c r="P1213" s="28"/>
    </row>
    <row r="1214" customFormat="1" spans="1:16">
      <c r="A1214" s="39"/>
      <c r="B1214" s="40"/>
      <c r="C1214" s="41"/>
      <c r="D1214" s="41"/>
      <c r="E1214" s="41"/>
      <c r="F1214" s="41"/>
      <c r="G1214" s="41"/>
      <c r="H1214" s="41"/>
      <c r="I1214" s="41"/>
      <c r="J1214" s="41"/>
      <c r="K1214" s="41"/>
      <c r="L1214" s="41"/>
      <c r="M1214" s="41"/>
      <c r="N1214" s="41"/>
      <c r="O1214" s="41"/>
      <c r="P1214" s="28"/>
    </row>
    <row r="1215" customFormat="1" spans="1:16">
      <c r="A1215" s="39"/>
      <c r="B1215" s="40"/>
      <c r="C1215" s="41"/>
      <c r="D1215" s="41"/>
      <c r="E1215" s="41"/>
      <c r="F1215" s="41"/>
      <c r="G1215" s="41"/>
      <c r="H1215" s="41"/>
      <c r="I1215" s="41"/>
      <c r="J1215" s="41"/>
      <c r="K1215" s="41"/>
      <c r="L1215" s="41"/>
      <c r="M1215" s="41"/>
      <c r="N1215" s="41"/>
      <c r="O1215" s="41"/>
      <c r="P1215" s="28"/>
    </row>
    <row r="1216" customFormat="1" spans="1:16">
      <c r="A1216" s="39"/>
      <c r="B1216" s="40"/>
      <c r="C1216" s="41"/>
      <c r="D1216" s="41"/>
      <c r="E1216" s="41"/>
      <c r="F1216" s="41"/>
      <c r="G1216" s="41"/>
      <c r="H1216" s="41"/>
      <c r="I1216" s="41"/>
      <c r="J1216" s="41"/>
      <c r="K1216" s="41"/>
      <c r="L1216" s="41"/>
      <c r="M1216" s="41"/>
      <c r="N1216" s="41"/>
      <c r="O1216" s="41"/>
      <c r="P1216" s="28"/>
    </row>
    <row r="1217" customFormat="1" spans="1:16">
      <c r="A1217" s="39"/>
      <c r="B1217" s="40"/>
      <c r="C1217" s="41"/>
      <c r="D1217" s="41"/>
      <c r="E1217" s="41"/>
      <c r="F1217" s="41"/>
      <c r="G1217" s="41"/>
      <c r="H1217" s="41"/>
      <c r="I1217" s="41"/>
      <c r="J1217" s="41"/>
      <c r="K1217" s="41"/>
      <c r="L1217" s="41"/>
      <c r="M1217" s="41"/>
      <c r="N1217" s="41"/>
      <c r="O1217" s="41"/>
      <c r="P1217" s="28"/>
    </row>
    <row r="1218" customFormat="1" spans="1:16">
      <c r="A1218" s="39"/>
      <c r="B1218" s="40"/>
      <c r="C1218" s="41"/>
      <c r="D1218" s="41"/>
      <c r="E1218" s="41"/>
      <c r="F1218" s="41"/>
      <c r="G1218" s="41"/>
      <c r="H1218" s="41"/>
      <c r="I1218" s="41"/>
      <c r="J1218" s="41"/>
      <c r="K1218" s="41"/>
      <c r="L1218" s="41"/>
      <c r="M1218" s="41"/>
      <c r="N1218" s="41"/>
      <c r="O1218" s="41"/>
      <c r="P1218" s="28"/>
    </row>
    <row r="1219" customFormat="1" spans="1:16">
      <c r="A1219" s="39"/>
      <c r="B1219" s="40"/>
      <c r="C1219" s="41"/>
      <c r="D1219" s="41"/>
      <c r="E1219" s="41"/>
      <c r="F1219" s="41"/>
      <c r="G1219" s="41"/>
      <c r="H1219" s="41"/>
      <c r="I1219" s="41"/>
      <c r="J1219" s="41"/>
      <c r="K1219" s="41"/>
      <c r="L1219" s="41"/>
      <c r="M1219" s="41"/>
      <c r="N1219" s="41"/>
      <c r="O1219" s="41"/>
      <c r="P1219" s="28"/>
    </row>
    <row r="1220" customFormat="1" spans="1:16">
      <c r="A1220" s="39"/>
      <c r="B1220" s="40"/>
      <c r="C1220" s="41"/>
      <c r="D1220" s="41"/>
      <c r="E1220" s="41"/>
      <c r="F1220" s="41"/>
      <c r="G1220" s="41"/>
      <c r="H1220" s="41"/>
      <c r="I1220" s="41"/>
      <c r="J1220" s="41"/>
      <c r="K1220" s="41"/>
      <c r="L1220" s="41"/>
      <c r="M1220" s="41"/>
      <c r="N1220" s="41"/>
      <c r="O1220" s="41"/>
      <c r="P1220" s="28"/>
    </row>
    <row r="1221" customFormat="1" spans="1:16">
      <c r="A1221" s="39"/>
      <c r="B1221" s="40"/>
      <c r="C1221" s="41"/>
      <c r="D1221" s="41"/>
      <c r="E1221" s="41"/>
      <c r="F1221" s="41"/>
      <c r="G1221" s="41"/>
      <c r="H1221" s="41"/>
      <c r="I1221" s="41"/>
      <c r="J1221" s="41"/>
      <c r="K1221" s="41"/>
      <c r="L1221" s="41"/>
      <c r="M1221" s="41"/>
      <c r="N1221" s="41"/>
      <c r="O1221" s="41"/>
      <c r="P1221" s="28"/>
    </row>
    <row r="1222" customFormat="1" spans="1:16">
      <c r="A1222" s="39"/>
      <c r="B1222" s="40"/>
      <c r="C1222" s="41"/>
      <c r="D1222" s="41"/>
      <c r="E1222" s="41"/>
      <c r="F1222" s="41"/>
      <c r="G1222" s="41"/>
      <c r="H1222" s="41"/>
      <c r="I1222" s="41"/>
      <c r="J1222" s="41"/>
      <c r="K1222" s="41"/>
      <c r="L1222" s="41"/>
      <c r="M1222" s="41"/>
      <c r="N1222" s="41"/>
      <c r="O1222" s="41"/>
      <c r="P1222" s="28"/>
    </row>
    <row r="1223" customFormat="1" spans="1:16">
      <c r="A1223" s="39"/>
      <c r="B1223" s="40"/>
      <c r="C1223" s="41"/>
      <c r="D1223" s="41"/>
      <c r="E1223" s="41"/>
      <c r="F1223" s="41"/>
      <c r="G1223" s="41"/>
      <c r="H1223" s="41"/>
      <c r="I1223" s="41"/>
      <c r="J1223" s="41"/>
      <c r="K1223" s="41"/>
      <c r="L1223" s="41"/>
      <c r="M1223" s="41"/>
      <c r="N1223" s="41"/>
      <c r="O1223" s="41"/>
      <c r="P1223" s="28"/>
    </row>
    <row r="1224" customFormat="1" spans="1:16">
      <c r="A1224" s="39"/>
      <c r="B1224" s="40"/>
      <c r="C1224" s="41"/>
      <c r="D1224" s="41"/>
      <c r="E1224" s="41"/>
      <c r="F1224" s="41"/>
      <c r="G1224" s="41"/>
      <c r="H1224" s="41"/>
      <c r="I1224" s="41"/>
      <c r="J1224" s="41"/>
      <c r="K1224" s="41"/>
      <c r="L1224" s="41"/>
      <c r="M1224" s="41"/>
      <c r="N1224" s="41"/>
      <c r="O1224" s="41"/>
      <c r="P1224" s="28"/>
    </row>
    <row r="1225" customFormat="1" spans="1:16">
      <c r="A1225" s="39"/>
      <c r="B1225" s="40"/>
      <c r="C1225" s="41"/>
      <c r="D1225" s="41"/>
      <c r="E1225" s="41"/>
      <c r="F1225" s="41"/>
      <c r="G1225" s="41"/>
      <c r="H1225" s="41"/>
      <c r="I1225" s="41"/>
      <c r="J1225" s="41"/>
      <c r="K1225" s="41"/>
      <c r="L1225" s="41"/>
      <c r="M1225" s="41"/>
      <c r="N1225" s="41"/>
      <c r="O1225" s="41"/>
      <c r="P1225" s="28"/>
    </row>
    <row r="1226" customFormat="1" spans="1:16">
      <c r="A1226" s="39"/>
      <c r="B1226" s="40"/>
      <c r="C1226" s="41"/>
      <c r="D1226" s="41"/>
      <c r="E1226" s="41"/>
      <c r="F1226" s="41"/>
      <c r="G1226" s="41"/>
      <c r="H1226" s="41"/>
      <c r="I1226" s="41"/>
      <c r="J1226" s="41"/>
      <c r="K1226" s="41"/>
      <c r="L1226" s="41"/>
      <c r="M1226" s="41"/>
      <c r="N1226" s="41"/>
      <c r="O1226" s="41"/>
      <c r="P1226" s="28"/>
    </row>
    <row r="1227" customFormat="1" spans="1:16">
      <c r="A1227" s="39"/>
      <c r="B1227" s="40"/>
      <c r="C1227" s="41"/>
      <c r="D1227" s="41"/>
      <c r="E1227" s="41"/>
      <c r="F1227" s="41"/>
      <c r="G1227" s="41"/>
      <c r="H1227" s="41"/>
      <c r="I1227" s="41"/>
      <c r="J1227" s="41"/>
      <c r="K1227" s="41"/>
      <c r="L1227" s="41"/>
      <c r="M1227" s="41"/>
      <c r="N1227" s="41"/>
      <c r="O1227" s="41"/>
      <c r="P1227" s="28"/>
    </row>
    <row r="1228" customFormat="1" spans="1:16">
      <c r="A1228" s="39"/>
      <c r="B1228" s="40"/>
      <c r="C1228" s="41"/>
      <c r="D1228" s="41"/>
      <c r="E1228" s="41"/>
      <c r="F1228" s="41"/>
      <c r="G1228" s="41"/>
      <c r="H1228" s="41"/>
      <c r="I1228" s="41"/>
      <c r="J1228" s="41"/>
      <c r="K1228" s="41"/>
      <c r="L1228" s="41"/>
      <c r="M1228" s="41"/>
      <c r="N1228" s="41"/>
      <c r="O1228" s="41"/>
      <c r="P1228" s="28"/>
    </row>
    <row r="1229" customFormat="1" spans="1:16">
      <c r="A1229" s="39"/>
      <c r="B1229" s="40"/>
      <c r="C1229" s="41"/>
      <c r="D1229" s="41"/>
      <c r="E1229" s="41"/>
      <c r="F1229" s="41"/>
      <c r="G1229" s="41"/>
      <c r="H1229" s="41"/>
      <c r="I1229" s="41"/>
      <c r="J1229" s="41"/>
      <c r="K1229" s="41"/>
      <c r="L1229" s="41"/>
      <c r="M1229" s="41"/>
      <c r="N1229" s="41"/>
      <c r="O1229" s="41"/>
      <c r="P1229" s="28"/>
    </row>
    <row r="1230" customFormat="1" spans="1:16">
      <c r="A1230" s="39"/>
      <c r="B1230" s="40"/>
      <c r="C1230" s="41"/>
      <c r="D1230" s="41"/>
      <c r="E1230" s="41"/>
      <c r="F1230" s="41"/>
      <c r="G1230" s="41"/>
      <c r="H1230" s="41"/>
      <c r="I1230" s="41"/>
      <c r="J1230" s="41"/>
      <c r="K1230" s="41"/>
      <c r="L1230" s="41"/>
      <c r="M1230" s="41"/>
      <c r="N1230" s="41"/>
      <c r="O1230" s="41"/>
      <c r="P1230" s="28"/>
    </row>
    <row r="1231" customFormat="1" spans="1:16">
      <c r="A1231" s="39"/>
      <c r="B1231" s="40"/>
      <c r="C1231" s="41"/>
      <c r="D1231" s="41"/>
      <c r="E1231" s="41"/>
      <c r="F1231" s="41"/>
      <c r="G1231" s="41"/>
      <c r="H1231" s="41"/>
      <c r="I1231" s="41"/>
      <c r="J1231" s="41"/>
      <c r="K1231" s="41"/>
      <c r="L1231" s="41"/>
      <c r="M1231" s="41"/>
      <c r="N1231" s="41"/>
      <c r="O1231" s="41"/>
      <c r="P1231" s="28"/>
    </row>
    <row r="1232" customFormat="1" spans="1:16">
      <c r="A1232" s="39"/>
      <c r="B1232" s="40"/>
      <c r="C1232" s="41"/>
      <c r="D1232" s="41"/>
      <c r="E1232" s="41"/>
      <c r="F1232" s="41"/>
      <c r="G1232" s="41"/>
      <c r="H1232" s="41"/>
      <c r="I1232" s="41"/>
      <c r="J1232" s="41"/>
      <c r="K1232" s="41"/>
      <c r="L1232" s="41"/>
      <c r="M1232" s="41"/>
      <c r="N1232" s="41"/>
      <c r="O1232" s="41"/>
      <c r="P1232" s="28"/>
    </row>
    <row r="1233" customFormat="1" spans="1:16">
      <c r="A1233" s="39"/>
      <c r="B1233" s="40"/>
      <c r="C1233" s="41"/>
      <c r="D1233" s="41"/>
      <c r="E1233" s="41"/>
      <c r="F1233" s="41"/>
      <c r="G1233" s="41"/>
      <c r="H1233" s="41"/>
      <c r="I1233" s="41"/>
      <c r="J1233" s="41"/>
      <c r="K1233" s="41"/>
      <c r="L1233" s="41"/>
      <c r="M1233" s="41"/>
      <c r="N1233" s="41"/>
      <c r="O1233" s="41"/>
      <c r="P1233" s="28"/>
    </row>
    <row r="1234" customFormat="1" spans="1:16">
      <c r="A1234" s="39"/>
      <c r="B1234" s="40"/>
      <c r="C1234" s="41"/>
      <c r="D1234" s="41"/>
      <c r="E1234" s="41"/>
      <c r="F1234" s="41"/>
      <c r="G1234" s="41"/>
      <c r="H1234" s="41"/>
      <c r="I1234" s="41"/>
      <c r="J1234" s="41"/>
      <c r="K1234" s="41"/>
      <c r="L1234" s="41"/>
      <c r="M1234" s="41"/>
      <c r="N1234" s="41"/>
      <c r="O1234" s="41"/>
      <c r="P1234" s="28"/>
    </row>
    <row r="1235" customFormat="1" spans="1:16">
      <c r="A1235" s="39"/>
      <c r="B1235" s="40"/>
      <c r="C1235" s="41"/>
      <c r="D1235" s="41"/>
      <c r="E1235" s="41"/>
      <c r="F1235" s="41"/>
      <c r="G1235" s="41"/>
      <c r="H1235" s="41"/>
      <c r="I1235" s="41"/>
      <c r="J1235" s="41"/>
      <c r="K1235" s="41"/>
      <c r="L1235" s="41"/>
      <c r="M1235" s="41"/>
      <c r="N1235" s="41"/>
      <c r="O1235" s="41"/>
      <c r="P1235" s="28"/>
    </row>
    <row r="1236" customFormat="1" spans="1:16">
      <c r="A1236" s="39"/>
      <c r="B1236" s="40"/>
      <c r="C1236" s="41"/>
      <c r="D1236" s="41"/>
      <c r="E1236" s="41"/>
      <c r="F1236" s="41"/>
      <c r="G1236" s="41"/>
      <c r="H1236" s="41"/>
      <c r="I1236" s="41"/>
      <c r="J1236" s="41"/>
      <c r="K1236" s="41"/>
      <c r="L1236" s="41"/>
      <c r="M1236" s="41"/>
      <c r="N1236" s="41"/>
      <c r="O1236" s="41"/>
      <c r="P1236" s="28"/>
    </row>
    <row r="1237" customFormat="1" spans="1:16">
      <c r="A1237" s="39"/>
      <c r="B1237" s="40"/>
      <c r="C1237" s="41"/>
      <c r="D1237" s="41"/>
      <c r="E1237" s="41"/>
      <c r="F1237" s="41"/>
      <c r="G1237" s="41"/>
      <c r="H1237" s="41"/>
      <c r="I1237" s="41"/>
      <c r="J1237" s="41"/>
      <c r="K1237" s="41"/>
      <c r="L1237" s="41"/>
      <c r="M1237" s="41"/>
      <c r="N1237" s="41"/>
      <c r="O1237" s="41"/>
      <c r="P1237" s="28"/>
    </row>
    <row r="1238" customFormat="1" spans="1:16">
      <c r="A1238" s="39"/>
      <c r="B1238" s="40"/>
      <c r="C1238" s="41"/>
      <c r="D1238" s="41"/>
      <c r="E1238" s="41"/>
      <c r="F1238" s="41"/>
      <c r="G1238" s="41"/>
      <c r="H1238" s="41"/>
      <c r="I1238" s="41"/>
      <c r="J1238" s="41"/>
      <c r="K1238" s="41"/>
      <c r="L1238" s="41"/>
      <c r="M1238" s="41"/>
      <c r="N1238" s="41"/>
      <c r="O1238" s="41"/>
      <c r="P1238" s="28"/>
    </row>
    <row r="1239" customFormat="1" spans="1:16">
      <c r="A1239" s="39"/>
      <c r="B1239" s="40"/>
      <c r="C1239" s="41"/>
      <c r="D1239" s="41"/>
      <c r="E1239" s="41"/>
      <c r="F1239" s="41"/>
      <c r="G1239" s="41"/>
      <c r="H1239" s="41"/>
      <c r="I1239" s="41"/>
      <c r="J1239" s="41"/>
      <c r="K1239" s="41"/>
      <c r="L1239" s="41"/>
      <c r="M1239" s="41"/>
      <c r="N1239" s="41"/>
      <c r="O1239" s="41"/>
      <c r="P1239" s="28"/>
    </row>
    <row r="1240" customFormat="1" spans="1:16">
      <c r="A1240" s="39"/>
      <c r="B1240" s="40"/>
      <c r="C1240" s="41"/>
      <c r="D1240" s="41"/>
      <c r="E1240" s="41"/>
      <c r="F1240" s="41"/>
      <c r="G1240" s="41"/>
      <c r="H1240" s="41"/>
      <c r="I1240" s="41"/>
      <c r="J1240" s="41"/>
      <c r="K1240" s="41"/>
      <c r="L1240" s="41"/>
      <c r="M1240" s="41"/>
      <c r="N1240" s="41"/>
      <c r="O1240" s="41"/>
      <c r="P1240" s="28"/>
    </row>
    <row r="1241" customFormat="1" spans="1:16">
      <c r="A1241" s="39"/>
      <c r="B1241" s="40"/>
      <c r="C1241" s="41"/>
      <c r="D1241" s="41"/>
      <c r="E1241" s="41"/>
      <c r="F1241" s="41"/>
      <c r="G1241" s="41"/>
      <c r="H1241" s="41"/>
      <c r="I1241" s="41"/>
      <c r="J1241" s="41"/>
      <c r="K1241" s="41"/>
      <c r="L1241" s="41"/>
      <c r="M1241" s="41"/>
      <c r="N1241" s="41"/>
      <c r="O1241" s="41"/>
      <c r="P1241" s="28"/>
    </row>
    <row r="1242" customFormat="1" spans="1:16">
      <c r="A1242" s="39"/>
      <c r="B1242" s="40"/>
      <c r="C1242" s="41"/>
      <c r="D1242" s="41"/>
      <c r="E1242" s="41"/>
      <c r="F1242" s="41"/>
      <c r="G1242" s="41"/>
      <c r="H1242" s="41"/>
      <c r="I1242" s="41"/>
      <c r="J1242" s="41"/>
      <c r="K1242" s="41"/>
      <c r="L1242" s="41"/>
      <c r="M1242" s="41"/>
      <c r="N1242" s="41"/>
      <c r="O1242" s="41"/>
      <c r="P1242" s="28"/>
    </row>
    <row r="1243" customFormat="1" spans="1:16">
      <c r="A1243" s="39"/>
      <c r="B1243" s="40"/>
      <c r="C1243" s="41"/>
      <c r="D1243" s="41"/>
      <c r="E1243" s="41"/>
      <c r="F1243" s="41"/>
      <c r="G1243" s="41"/>
      <c r="H1243" s="41"/>
      <c r="I1243" s="41"/>
      <c r="J1243" s="41"/>
      <c r="K1243" s="41"/>
      <c r="L1243" s="41"/>
      <c r="M1243" s="41"/>
      <c r="N1243" s="41"/>
      <c r="O1243" s="41"/>
      <c r="P1243" s="28"/>
    </row>
    <row r="1244" customFormat="1" spans="1:16">
      <c r="A1244" s="39"/>
      <c r="B1244" s="40"/>
      <c r="C1244" s="41"/>
      <c r="D1244" s="41"/>
      <c r="E1244" s="41"/>
      <c r="F1244" s="41"/>
      <c r="G1244" s="41"/>
      <c r="H1244" s="41"/>
      <c r="I1244" s="41"/>
      <c r="J1244" s="41"/>
      <c r="K1244" s="41"/>
      <c r="L1244" s="41"/>
      <c r="M1244" s="41"/>
      <c r="N1244" s="41"/>
      <c r="O1244" s="41"/>
      <c r="P1244" s="28"/>
    </row>
    <row r="1245" customFormat="1" spans="1:16">
      <c r="A1245" s="39"/>
      <c r="B1245" s="40"/>
      <c r="C1245" s="41"/>
      <c r="D1245" s="41"/>
      <c r="E1245" s="41"/>
      <c r="F1245" s="41"/>
      <c r="G1245" s="41"/>
      <c r="H1245" s="41"/>
      <c r="I1245" s="41"/>
      <c r="J1245" s="41"/>
      <c r="K1245" s="41"/>
      <c r="L1245" s="41"/>
      <c r="M1245" s="41"/>
      <c r="N1245" s="41"/>
      <c r="O1245" s="41"/>
      <c r="P1245" s="28"/>
    </row>
    <row r="1246" customFormat="1" spans="1:16">
      <c r="A1246" s="39"/>
      <c r="B1246" s="40"/>
      <c r="C1246" s="41"/>
      <c r="D1246" s="41"/>
      <c r="E1246" s="41"/>
      <c r="F1246" s="41"/>
      <c r="G1246" s="41"/>
      <c r="H1246" s="41"/>
      <c r="I1246" s="41"/>
      <c r="J1246" s="41"/>
      <c r="K1246" s="41"/>
      <c r="L1246" s="41"/>
      <c r="M1246" s="41"/>
      <c r="N1246" s="41"/>
      <c r="O1246" s="41"/>
      <c r="P1246" s="28"/>
    </row>
    <row r="1247" customFormat="1" spans="1:16">
      <c r="A1247" s="39"/>
      <c r="B1247" s="40"/>
      <c r="C1247" s="41"/>
      <c r="D1247" s="41"/>
      <c r="E1247" s="41"/>
      <c r="F1247" s="41"/>
      <c r="G1247" s="41"/>
      <c r="H1247" s="41"/>
      <c r="I1247" s="41"/>
      <c r="J1247" s="41"/>
      <c r="K1247" s="41"/>
      <c r="L1247" s="41"/>
      <c r="M1247" s="41"/>
      <c r="N1247" s="41"/>
      <c r="O1247" s="41"/>
      <c r="P1247" s="28"/>
    </row>
    <row r="1248" customFormat="1" spans="1:16">
      <c r="A1248" s="39"/>
      <c r="B1248" s="40"/>
      <c r="C1248" s="41"/>
      <c r="D1248" s="41"/>
      <c r="E1248" s="41"/>
      <c r="F1248" s="41"/>
      <c r="G1248" s="41"/>
      <c r="H1248" s="41"/>
      <c r="I1248" s="41"/>
      <c r="J1248" s="41"/>
      <c r="K1248" s="41"/>
      <c r="L1248" s="41"/>
      <c r="M1248" s="41"/>
      <c r="N1248" s="41"/>
      <c r="O1248" s="41"/>
      <c r="P1248" s="28"/>
    </row>
    <row r="1249" customFormat="1" spans="1:16">
      <c r="A1249" s="39"/>
      <c r="B1249" s="40"/>
      <c r="C1249" s="41"/>
      <c r="D1249" s="41"/>
      <c r="E1249" s="41"/>
      <c r="F1249" s="41"/>
      <c r="G1249" s="41"/>
      <c r="H1249" s="41"/>
      <c r="I1249" s="41"/>
      <c r="J1249" s="41"/>
      <c r="K1249" s="41"/>
      <c r="L1249" s="41"/>
      <c r="M1249" s="41"/>
      <c r="N1249" s="41"/>
      <c r="O1249" s="41"/>
      <c r="P1249" s="28"/>
    </row>
    <row r="1250" customFormat="1" spans="1:16">
      <c r="A1250" s="39"/>
      <c r="B1250" s="40"/>
      <c r="C1250" s="41"/>
      <c r="D1250" s="41"/>
      <c r="E1250" s="41"/>
      <c r="F1250" s="41"/>
      <c r="G1250" s="41"/>
      <c r="H1250" s="41"/>
      <c r="I1250" s="41"/>
      <c r="J1250" s="41"/>
      <c r="K1250" s="41"/>
      <c r="L1250" s="41"/>
      <c r="M1250" s="41"/>
      <c r="N1250" s="41"/>
      <c r="O1250" s="41"/>
      <c r="P1250" s="28"/>
    </row>
    <row r="1251" customFormat="1" spans="1:16">
      <c r="A1251" s="39"/>
      <c r="B1251" s="40"/>
      <c r="C1251" s="41"/>
      <c r="D1251" s="41"/>
      <c r="E1251" s="41"/>
      <c r="F1251" s="41"/>
      <c r="G1251" s="41"/>
      <c r="H1251" s="41"/>
      <c r="I1251" s="41"/>
      <c r="J1251" s="41"/>
      <c r="K1251" s="41"/>
      <c r="L1251" s="41"/>
      <c r="M1251" s="41"/>
      <c r="N1251" s="41"/>
      <c r="O1251" s="41"/>
      <c r="P1251" s="28"/>
    </row>
    <row r="1252" customFormat="1" spans="1:16">
      <c r="A1252" s="39"/>
      <c r="B1252" s="40"/>
      <c r="C1252" s="41"/>
      <c r="D1252" s="41"/>
      <c r="E1252" s="41"/>
      <c r="F1252" s="41"/>
      <c r="G1252" s="41"/>
      <c r="H1252" s="41"/>
      <c r="I1252" s="41"/>
      <c r="J1252" s="41"/>
      <c r="K1252" s="41"/>
      <c r="L1252" s="41"/>
      <c r="M1252" s="41"/>
      <c r="N1252" s="41"/>
      <c r="O1252" s="41"/>
      <c r="P1252" s="28"/>
    </row>
    <row r="1253" customFormat="1" spans="1:16">
      <c r="A1253" s="39"/>
      <c r="B1253" s="40"/>
      <c r="C1253" s="41"/>
      <c r="D1253" s="41"/>
      <c r="E1253" s="41"/>
      <c r="F1253" s="41"/>
      <c r="G1253" s="41"/>
      <c r="H1253" s="41"/>
      <c r="I1253" s="41"/>
      <c r="J1253" s="41"/>
      <c r="K1253" s="41"/>
      <c r="L1253" s="41"/>
      <c r="M1253" s="41"/>
      <c r="N1253" s="41"/>
      <c r="O1253" s="41"/>
      <c r="P1253" s="28"/>
    </row>
    <row r="1254" customFormat="1" spans="1:16">
      <c r="A1254" s="39"/>
      <c r="B1254" s="40"/>
      <c r="C1254" s="41"/>
      <c r="D1254" s="41"/>
      <c r="E1254" s="41"/>
      <c r="F1254" s="41"/>
      <c r="G1254" s="41"/>
      <c r="H1254" s="41"/>
      <c r="I1254" s="41"/>
      <c r="J1254" s="41"/>
      <c r="K1254" s="41"/>
      <c r="L1254" s="41"/>
      <c r="M1254" s="41"/>
      <c r="N1254" s="41"/>
      <c r="O1254" s="41"/>
      <c r="P1254" s="28"/>
    </row>
    <row r="1255" customFormat="1" spans="1:16">
      <c r="A1255" s="39"/>
      <c r="B1255" s="40"/>
      <c r="C1255" s="41"/>
      <c r="D1255" s="41"/>
      <c r="E1255" s="41"/>
      <c r="F1255" s="41"/>
      <c r="G1255" s="41"/>
      <c r="H1255" s="41"/>
      <c r="I1255" s="41"/>
      <c r="J1255" s="41"/>
      <c r="K1255" s="41"/>
      <c r="L1255" s="41"/>
      <c r="M1255" s="41"/>
      <c r="N1255" s="41"/>
      <c r="O1255" s="41"/>
      <c r="P1255" s="28"/>
    </row>
    <row r="1256" customFormat="1" spans="1:16">
      <c r="A1256" s="39"/>
      <c r="B1256" s="40"/>
      <c r="C1256" s="41"/>
      <c r="D1256" s="41"/>
      <c r="E1256" s="41"/>
      <c r="F1256" s="41"/>
      <c r="G1256" s="41"/>
      <c r="H1256" s="41"/>
      <c r="I1256" s="41"/>
      <c r="J1256" s="41"/>
      <c r="K1256" s="41"/>
      <c r="L1256" s="41"/>
      <c r="M1256" s="41"/>
      <c r="N1256" s="41"/>
      <c r="O1256" s="41"/>
      <c r="P1256" s="28"/>
    </row>
    <row r="1257" customFormat="1" spans="1:16">
      <c r="A1257" s="39"/>
      <c r="B1257" s="40"/>
      <c r="C1257" s="41"/>
      <c r="D1257" s="41"/>
      <c r="E1257" s="41"/>
      <c r="F1257" s="41"/>
      <c r="G1257" s="41"/>
      <c r="H1257" s="41"/>
      <c r="I1257" s="41"/>
      <c r="J1257" s="41"/>
      <c r="K1257" s="41"/>
      <c r="L1257" s="41"/>
      <c r="M1257" s="41"/>
      <c r="N1257" s="41"/>
      <c r="O1257" s="41"/>
      <c r="P1257" s="28"/>
    </row>
    <row r="1258" customFormat="1" spans="1:16">
      <c r="A1258" s="39"/>
      <c r="B1258" s="40"/>
      <c r="C1258" s="41"/>
      <c r="D1258" s="41"/>
      <c r="E1258" s="41"/>
      <c r="F1258" s="41"/>
      <c r="G1258" s="41"/>
      <c r="H1258" s="41"/>
      <c r="I1258" s="41"/>
      <c r="J1258" s="41"/>
      <c r="K1258" s="41"/>
      <c r="L1258" s="41"/>
      <c r="M1258" s="41"/>
      <c r="N1258" s="41"/>
      <c r="O1258" s="41"/>
      <c r="P1258" s="28"/>
    </row>
    <row r="1259" customFormat="1" spans="1:16">
      <c r="A1259" s="39"/>
      <c r="B1259" s="40"/>
      <c r="C1259" s="41"/>
      <c r="D1259" s="41"/>
      <c r="E1259" s="41"/>
      <c r="F1259" s="41"/>
      <c r="G1259" s="41"/>
      <c r="H1259" s="41"/>
      <c r="I1259" s="41"/>
      <c r="J1259" s="41"/>
      <c r="K1259" s="41"/>
      <c r="L1259" s="41"/>
      <c r="M1259" s="41"/>
      <c r="N1259" s="41"/>
      <c r="O1259" s="41"/>
      <c r="P1259" s="28"/>
    </row>
    <row r="1260" customFormat="1" spans="1:16">
      <c r="A1260" s="39"/>
      <c r="B1260" s="40"/>
      <c r="C1260" s="41"/>
      <c r="D1260" s="41"/>
      <c r="E1260" s="41"/>
      <c r="F1260" s="41"/>
      <c r="G1260" s="41"/>
      <c r="H1260" s="41"/>
      <c r="I1260" s="41"/>
      <c r="J1260" s="41"/>
      <c r="K1260" s="41"/>
      <c r="L1260" s="41"/>
      <c r="M1260" s="41"/>
      <c r="N1260" s="41"/>
      <c r="O1260" s="41"/>
      <c r="P1260" s="28"/>
    </row>
    <row r="1261" customFormat="1" spans="1:16">
      <c r="A1261" s="39"/>
      <c r="B1261" s="40"/>
      <c r="C1261" s="41"/>
      <c r="D1261" s="41"/>
      <c r="E1261" s="41"/>
      <c r="F1261" s="41"/>
      <c r="G1261" s="41"/>
      <c r="H1261" s="41"/>
      <c r="I1261" s="41"/>
      <c r="J1261" s="41"/>
      <c r="K1261" s="41"/>
      <c r="L1261" s="41"/>
      <c r="M1261" s="41"/>
      <c r="N1261" s="41"/>
      <c r="O1261" s="41"/>
      <c r="P1261" s="28"/>
    </row>
    <row r="1262" customFormat="1" spans="1:16">
      <c r="A1262" s="39"/>
      <c r="B1262" s="40"/>
      <c r="C1262" s="41"/>
      <c r="D1262" s="41"/>
      <c r="E1262" s="41"/>
      <c r="F1262" s="41"/>
      <c r="G1262" s="41"/>
      <c r="H1262" s="41"/>
      <c r="I1262" s="41"/>
      <c r="J1262" s="41"/>
      <c r="K1262" s="41"/>
      <c r="L1262" s="41"/>
      <c r="M1262" s="41"/>
      <c r="N1262" s="41"/>
      <c r="O1262" s="41"/>
      <c r="P1262" s="28"/>
    </row>
    <row r="1263" customFormat="1" spans="1:16">
      <c r="A1263" s="39"/>
      <c r="B1263" s="40"/>
      <c r="C1263" s="41"/>
      <c r="D1263" s="41"/>
      <c r="E1263" s="41"/>
      <c r="F1263" s="41"/>
      <c r="G1263" s="41"/>
      <c r="H1263" s="41"/>
      <c r="I1263" s="41"/>
      <c r="J1263" s="41"/>
      <c r="K1263" s="41"/>
      <c r="L1263" s="41"/>
      <c r="M1263" s="41"/>
      <c r="N1263" s="41"/>
      <c r="O1263" s="41"/>
      <c r="P1263" s="28"/>
    </row>
    <row r="1264" customFormat="1" spans="1:16">
      <c r="A1264" s="39"/>
      <c r="B1264" s="40"/>
      <c r="C1264" s="41"/>
      <c r="D1264" s="41"/>
      <c r="E1264" s="41"/>
      <c r="F1264" s="41"/>
      <c r="G1264" s="41"/>
      <c r="H1264" s="41"/>
      <c r="I1264" s="41"/>
      <c r="J1264" s="41"/>
      <c r="K1264" s="41"/>
      <c r="L1264" s="41"/>
      <c r="M1264" s="41"/>
      <c r="N1264" s="41"/>
      <c r="O1264" s="41"/>
      <c r="P1264" s="28"/>
    </row>
    <row r="1265" customFormat="1" spans="1:16">
      <c r="A1265" s="39"/>
      <c r="B1265" s="40"/>
      <c r="C1265" s="41"/>
      <c r="D1265" s="41"/>
      <c r="E1265" s="41"/>
      <c r="F1265" s="41"/>
      <c r="G1265" s="41"/>
      <c r="H1265" s="41"/>
      <c r="I1265" s="41"/>
      <c r="J1265" s="41"/>
      <c r="K1265" s="41"/>
      <c r="L1265" s="41"/>
      <c r="M1265" s="41"/>
      <c r="N1265" s="41"/>
      <c r="O1265" s="41"/>
      <c r="P1265" s="28"/>
    </row>
    <row r="1266" customFormat="1" spans="1:16">
      <c r="A1266" s="39"/>
      <c r="B1266" s="40"/>
      <c r="C1266" s="41"/>
      <c r="D1266" s="41"/>
      <c r="E1266" s="41"/>
      <c r="F1266" s="41"/>
      <c r="G1266" s="41"/>
      <c r="H1266" s="41"/>
      <c r="I1266" s="41"/>
      <c r="J1266" s="41"/>
      <c r="K1266" s="41"/>
      <c r="L1266" s="41"/>
      <c r="M1266" s="41"/>
      <c r="N1266" s="41"/>
      <c r="O1266" s="41"/>
      <c r="P1266" s="28"/>
    </row>
    <row r="1267" customFormat="1" spans="1:16">
      <c r="A1267" s="39"/>
      <c r="B1267" s="40"/>
      <c r="C1267" s="41"/>
      <c r="D1267" s="41"/>
      <c r="E1267" s="41"/>
      <c r="F1267" s="41"/>
      <c r="G1267" s="41"/>
      <c r="H1267" s="41"/>
      <c r="I1267" s="41"/>
      <c r="J1267" s="41"/>
      <c r="K1267" s="41"/>
      <c r="L1267" s="41"/>
      <c r="M1267" s="41"/>
      <c r="N1267" s="41"/>
      <c r="O1267" s="41"/>
      <c r="P1267" s="28"/>
    </row>
    <row r="1268" customFormat="1" spans="1:16">
      <c r="A1268" s="39"/>
      <c r="B1268" s="40"/>
      <c r="C1268" s="41"/>
      <c r="D1268" s="41"/>
      <c r="E1268" s="41"/>
      <c r="F1268" s="41"/>
      <c r="G1268" s="41"/>
      <c r="H1268" s="41"/>
      <c r="I1268" s="41"/>
      <c r="J1268" s="41"/>
      <c r="K1268" s="41"/>
      <c r="L1268" s="41"/>
      <c r="M1268" s="41"/>
      <c r="N1268" s="41"/>
      <c r="O1268" s="41"/>
      <c r="P1268" s="28"/>
    </row>
    <row r="1269" customFormat="1" spans="1:16">
      <c r="A1269" s="39"/>
      <c r="B1269" s="40"/>
      <c r="C1269" s="41"/>
      <c r="D1269" s="41"/>
      <c r="E1269" s="41"/>
      <c r="F1269" s="41"/>
      <c r="G1269" s="41"/>
      <c r="H1269" s="41"/>
      <c r="I1269" s="41"/>
      <c r="J1269" s="41"/>
      <c r="K1269" s="41"/>
      <c r="L1269" s="41"/>
      <c r="M1269" s="41"/>
      <c r="N1269" s="41"/>
      <c r="O1269" s="41"/>
      <c r="P1269" s="28"/>
    </row>
    <row r="1270" customFormat="1" spans="1:16">
      <c r="A1270" s="39"/>
      <c r="B1270" s="40"/>
      <c r="C1270" s="41"/>
      <c r="D1270" s="41"/>
      <c r="E1270" s="41"/>
      <c r="F1270" s="41"/>
      <c r="G1270" s="41"/>
      <c r="H1270" s="41"/>
      <c r="I1270" s="41"/>
      <c r="J1270" s="41"/>
      <c r="K1270" s="41"/>
      <c r="L1270" s="41"/>
      <c r="M1270" s="41"/>
      <c r="N1270" s="41"/>
      <c r="O1270" s="41"/>
      <c r="P1270" s="28"/>
    </row>
    <row r="1271" customFormat="1" spans="1:16">
      <c r="A1271" s="39"/>
      <c r="B1271" s="40"/>
      <c r="C1271" s="41"/>
      <c r="D1271" s="41"/>
      <c r="E1271" s="41"/>
      <c r="F1271" s="41"/>
      <c r="G1271" s="41"/>
      <c r="H1271" s="41"/>
      <c r="I1271" s="41"/>
      <c r="J1271" s="41"/>
      <c r="K1271" s="41"/>
      <c r="L1271" s="41"/>
      <c r="M1271" s="41"/>
      <c r="N1271" s="41"/>
      <c r="O1271" s="41"/>
      <c r="P1271" s="28"/>
    </row>
    <row r="1272" customFormat="1" spans="1:16">
      <c r="A1272" s="39"/>
      <c r="B1272" s="40"/>
      <c r="C1272" s="41"/>
      <c r="D1272" s="41"/>
      <c r="E1272" s="41"/>
      <c r="F1272" s="41"/>
      <c r="G1272" s="41"/>
      <c r="H1272" s="41"/>
      <c r="I1272" s="41"/>
      <c r="J1272" s="41"/>
      <c r="K1272" s="41"/>
      <c r="L1272" s="41"/>
      <c r="M1272" s="41"/>
      <c r="N1272" s="41"/>
      <c r="O1272" s="41"/>
      <c r="P1272" s="28"/>
    </row>
    <row r="1273" customFormat="1" spans="1:16">
      <c r="A1273" s="39"/>
      <c r="B1273" s="40"/>
      <c r="C1273" s="41"/>
      <c r="D1273" s="41"/>
      <c r="E1273" s="41"/>
      <c r="F1273" s="41"/>
      <c r="G1273" s="41"/>
      <c r="H1273" s="41"/>
      <c r="I1273" s="41"/>
      <c r="J1273" s="41"/>
      <c r="K1273" s="41"/>
      <c r="L1273" s="41"/>
      <c r="M1273" s="41"/>
      <c r="N1273" s="41"/>
      <c r="O1273" s="41"/>
      <c r="P1273" s="28"/>
    </row>
    <row r="1274" customFormat="1" spans="1:16">
      <c r="A1274" s="39"/>
      <c r="B1274" s="40"/>
      <c r="C1274" s="41"/>
      <c r="D1274" s="41"/>
      <c r="E1274" s="41"/>
      <c r="F1274" s="41"/>
      <c r="G1274" s="41"/>
      <c r="H1274" s="41"/>
      <c r="I1274" s="41"/>
      <c r="J1274" s="41"/>
      <c r="K1274" s="41"/>
      <c r="L1274" s="41"/>
      <c r="M1274" s="41"/>
      <c r="N1274" s="41"/>
      <c r="O1274" s="41"/>
      <c r="P1274" s="28"/>
    </row>
    <row r="1275" customFormat="1" spans="1:16">
      <c r="A1275" s="39"/>
      <c r="B1275" s="40"/>
      <c r="C1275" s="41"/>
      <c r="D1275" s="41"/>
      <c r="E1275" s="41"/>
      <c r="F1275" s="41"/>
      <c r="G1275" s="41"/>
      <c r="H1275" s="41"/>
      <c r="I1275" s="41"/>
      <c r="J1275" s="41"/>
      <c r="K1275" s="41"/>
      <c r="L1275" s="41"/>
      <c r="M1275" s="41"/>
      <c r="N1275" s="41"/>
      <c r="O1275" s="41"/>
      <c r="P1275" s="28"/>
    </row>
    <row r="1276" customFormat="1" spans="1:16">
      <c r="A1276" s="39"/>
      <c r="B1276" s="40"/>
      <c r="C1276" s="41"/>
      <c r="D1276" s="41"/>
      <c r="E1276" s="41"/>
      <c r="F1276" s="41"/>
      <c r="G1276" s="41"/>
      <c r="H1276" s="41"/>
      <c r="I1276" s="41"/>
      <c r="J1276" s="41"/>
      <c r="K1276" s="41"/>
      <c r="L1276" s="41"/>
      <c r="M1276" s="41"/>
      <c r="N1276" s="41"/>
      <c r="O1276" s="41"/>
      <c r="P1276" s="28"/>
    </row>
    <row r="1277" customFormat="1" spans="1:16">
      <c r="A1277" s="39"/>
      <c r="B1277" s="40"/>
      <c r="C1277" s="41"/>
      <c r="D1277" s="41"/>
      <c r="E1277" s="41"/>
      <c r="F1277" s="41"/>
      <c r="G1277" s="41"/>
      <c r="H1277" s="41"/>
      <c r="I1277" s="41"/>
      <c r="J1277" s="41"/>
      <c r="K1277" s="41"/>
      <c r="L1277" s="41"/>
      <c r="M1277" s="41"/>
      <c r="N1277" s="41"/>
      <c r="O1277" s="41"/>
      <c r="P1277" s="28"/>
    </row>
    <row r="1278" customFormat="1" spans="1:16">
      <c r="A1278" s="39"/>
      <c r="B1278" s="40"/>
      <c r="C1278" s="41"/>
      <c r="D1278" s="41"/>
      <c r="E1278" s="41"/>
      <c r="F1278" s="41"/>
      <c r="G1278" s="41"/>
      <c r="H1278" s="41"/>
      <c r="I1278" s="41"/>
      <c r="J1278" s="41"/>
      <c r="K1278" s="41"/>
      <c r="L1278" s="41"/>
      <c r="M1278" s="41"/>
      <c r="N1278" s="41"/>
      <c r="O1278" s="41"/>
      <c r="P1278" s="28"/>
    </row>
    <row r="1279" customFormat="1" spans="1:16">
      <c r="A1279" s="39"/>
      <c r="B1279" s="40"/>
      <c r="C1279" s="41"/>
      <c r="D1279" s="41"/>
      <c r="E1279" s="41"/>
      <c r="F1279" s="41"/>
      <c r="G1279" s="41"/>
      <c r="H1279" s="41"/>
      <c r="I1279" s="41"/>
      <c r="J1279" s="41"/>
      <c r="K1279" s="41"/>
      <c r="L1279" s="41"/>
      <c r="M1279" s="41"/>
      <c r="N1279" s="41"/>
      <c r="O1279" s="41"/>
      <c r="P1279" s="28"/>
    </row>
    <row r="1280" customFormat="1" spans="1:16">
      <c r="A1280" s="39"/>
      <c r="B1280" s="40"/>
      <c r="C1280" s="41"/>
      <c r="D1280" s="41"/>
      <c r="E1280" s="41"/>
      <c r="F1280" s="41"/>
      <c r="G1280" s="41"/>
      <c r="H1280" s="41"/>
      <c r="I1280" s="41"/>
      <c r="J1280" s="41"/>
      <c r="K1280" s="41"/>
      <c r="L1280" s="41"/>
      <c r="M1280" s="41"/>
      <c r="N1280" s="41"/>
      <c r="O1280" s="41"/>
      <c r="P1280" s="28"/>
    </row>
    <row r="1281" customFormat="1" spans="1:16">
      <c r="A1281" s="39"/>
      <c r="B1281" s="40"/>
      <c r="C1281" s="41"/>
      <c r="D1281" s="41"/>
      <c r="E1281" s="41"/>
      <c r="F1281" s="41"/>
      <c r="G1281" s="41"/>
      <c r="H1281" s="41"/>
      <c r="I1281" s="41"/>
      <c r="J1281" s="41"/>
      <c r="K1281" s="41"/>
      <c r="L1281" s="41"/>
      <c r="M1281" s="41"/>
      <c r="N1281" s="41"/>
      <c r="O1281" s="41"/>
      <c r="P1281" s="28"/>
    </row>
    <row r="1282" customFormat="1" spans="1:16">
      <c r="A1282" s="39"/>
      <c r="B1282" s="40"/>
      <c r="C1282" s="41"/>
      <c r="D1282" s="41"/>
      <c r="E1282" s="41"/>
      <c r="F1282" s="41"/>
      <c r="G1282" s="41"/>
      <c r="H1282" s="41"/>
      <c r="I1282" s="41"/>
      <c r="J1282" s="41"/>
      <c r="K1282" s="41"/>
      <c r="L1282" s="41"/>
      <c r="M1282" s="41"/>
      <c r="N1282" s="41"/>
      <c r="O1282" s="41"/>
      <c r="P1282" s="28"/>
    </row>
    <row r="1283" customFormat="1" spans="1:16">
      <c r="A1283" s="39"/>
      <c r="B1283" s="40"/>
      <c r="C1283" s="41"/>
      <c r="D1283" s="41"/>
      <c r="E1283" s="41"/>
      <c r="F1283" s="41"/>
      <c r="G1283" s="41"/>
      <c r="H1283" s="41"/>
      <c r="I1283" s="41"/>
      <c r="J1283" s="41"/>
      <c r="K1283" s="41"/>
      <c r="L1283" s="41"/>
      <c r="M1283" s="41"/>
      <c r="N1283" s="41"/>
      <c r="O1283" s="41"/>
      <c r="P1283" s="28"/>
    </row>
    <row r="1284" customFormat="1" spans="1:16">
      <c r="A1284" s="39"/>
      <c r="B1284" s="40"/>
      <c r="C1284" s="41"/>
      <c r="D1284" s="41"/>
      <c r="E1284" s="41"/>
      <c r="F1284" s="41"/>
      <c r="G1284" s="41"/>
      <c r="H1284" s="41"/>
      <c r="I1284" s="41"/>
      <c r="J1284" s="41"/>
      <c r="K1284" s="41"/>
      <c r="L1284" s="41"/>
      <c r="M1284" s="41"/>
      <c r="N1284" s="41"/>
      <c r="O1284" s="41"/>
      <c r="P1284" s="28"/>
    </row>
    <row r="1285" customFormat="1" spans="1:16">
      <c r="A1285" s="39"/>
      <c r="B1285" s="40"/>
      <c r="C1285" s="41"/>
      <c r="D1285" s="41"/>
      <c r="E1285" s="41"/>
      <c r="F1285" s="41"/>
      <c r="G1285" s="41"/>
      <c r="H1285" s="41"/>
      <c r="I1285" s="41"/>
      <c r="J1285" s="41"/>
      <c r="K1285" s="41"/>
      <c r="L1285" s="41"/>
      <c r="M1285" s="41"/>
      <c r="N1285" s="41"/>
      <c r="O1285" s="41"/>
      <c r="P1285" s="28"/>
    </row>
    <row r="1286" customFormat="1" spans="1:16">
      <c r="A1286" s="39"/>
      <c r="B1286" s="40"/>
      <c r="C1286" s="41"/>
      <c r="D1286" s="41"/>
      <c r="E1286" s="41"/>
      <c r="F1286" s="41"/>
      <c r="G1286" s="41"/>
      <c r="H1286" s="41"/>
      <c r="I1286" s="41"/>
      <c r="J1286" s="41"/>
      <c r="K1286" s="41"/>
      <c r="L1286" s="41"/>
      <c r="M1286" s="41"/>
      <c r="N1286" s="41"/>
      <c r="O1286" s="41"/>
      <c r="P1286" s="28"/>
    </row>
    <row r="1287" customFormat="1" spans="1:16">
      <c r="A1287" s="39"/>
      <c r="B1287" s="40"/>
      <c r="C1287" s="41"/>
      <c r="D1287" s="41"/>
      <c r="E1287" s="41"/>
      <c r="F1287" s="41"/>
      <c r="G1287" s="41"/>
      <c r="H1287" s="41"/>
      <c r="I1287" s="41"/>
      <c r="J1287" s="41"/>
      <c r="K1287" s="41"/>
      <c r="L1287" s="41"/>
      <c r="M1287" s="41"/>
      <c r="N1287" s="41"/>
      <c r="O1287" s="41"/>
      <c r="P1287" s="28"/>
    </row>
    <row r="1288" customFormat="1" spans="1:16">
      <c r="A1288" s="39"/>
      <c r="B1288" s="40"/>
      <c r="C1288" s="41"/>
      <c r="D1288" s="41"/>
      <c r="E1288" s="41"/>
      <c r="F1288" s="41"/>
      <c r="G1288" s="41"/>
      <c r="H1288" s="41"/>
      <c r="I1288" s="41"/>
      <c r="J1288" s="41"/>
      <c r="K1288" s="41"/>
      <c r="L1288" s="41"/>
      <c r="M1288" s="41"/>
      <c r="N1288" s="41"/>
      <c r="O1288" s="41"/>
      <c r="P1288" s="28"/>
    </row>
    <row r="1289" customFormat="1" spans="1:16">
      <c r="A1289" s="39"/>
      <c r="B1289" s="40"/>
      <c r="C1289" s="41"/>
      <c r="D1289" s="41"/>
      <c r="E1289" s="41"/>
      <c r="F1289" s="41"/>
      <c r="G1289" s="41"/>
      <c r="H1289" s="41"/>
      <c r="I1289" s="41"/>
      <c r="J1289" s="41"/>
      <c r="K1289" s="41"/>
      <c r="L1289" s="41"/>
      <c r="M1289" s="41"/>
      <c r="N1289" s="41"/>
      <c r="O1289" s="41"/>
      <c r="P1289" s="28"/>
    </row>
    <row r="1290" customFormat="1" spans="1:16">
      <c r="A1290" s="39"/>
      <c r="B1290" s="40"/>
      <c r="C1290" s="41"/>
      <c r="D1290" s="41"/>
      <c r="E1290" s="41"/>
      <c r="F1290" s="41"/>
      <c r="G1290" s="41"/>
      <c r="H1290" s="41"/>
      <c r="I1290" s="41"/>
      <c r="J1290" s="41"/>
      <c r="K1290" s="41"/>
      <c r="L1290" s="41"/>
      <c r="M1290" s="41"/>
      <c r="N1290" s="41"/>
      <c r="O1290" s="41"/>
      <c r="P1290" s="28"/>
    </row>
    <row r="1291" customFormat="1" spans="1:16">
      <c r="A1291" s="39"/>
      <c r="B1291" s="40"/>
      <c r="C1291" s="41"/>
      <c r="D1291" s="41"/>
      <c r="E1291" s="41"/>
      <c r="F1291" s="41"/>
      <c r="G1291" s="41"/>
      <c r="H1291" s="41"/>
      <c r="I1291" s="41"/>
      <c r="J1291" s="41"/>
      <c r="K1291" s="41"/>
      <c r="L1291" s="41"/>
      <c r="M1291" s="41"/>
      <c r="N1291" s="41"/>
      <c r="O1291" s="41"/>
      <c r="P1291" s="28"/>
    </row>
    <row r="1292" customFormat="1" spans="1:16">
      <c r="A1292" s="39"/>
      <c r="B1292" s="40"/>
      <c r="C1292" s="41"/>
      <c r="D1292" s="41"/>
      <c r="E1292" s="41"/>
      <c r="F1292" s="41"/>
      <c r="G1292" s="41"/>
      <c r="H1292" s="41"/>
      <c r="I1292" s="41"/>
      <c r="J1292" s="41"/>
      <c r="K1292" s="41"/>
      <c r="L1292" s="41"/>
      <c r="M1292" s="41"/>
      <c r="N1292" s="41"/>
      <c r="O1292" s="41"/>
      <c r="P1292" s="28"/>
    </row>
    <row r="1293" customFormat="1" spans="1:16">
      <c r="A1293" s="39"/>
      <c r="B1293" s="40"/>
      <c r="C1293" s="41"/>
      <c r="D1293" s="41"/>
      <c r="E1293" s="41"/>
      <c r="F1293" s="41"/>
      <c r="G1293" s="41"/>
      <c r="H1293" s="41"/>
      <c r="I1293" s="41"/>
      <c r="J1293" s="41"/>
      <c r="K1293" s="41"/>
      <c r="L1293" s="41"/>
      <c r="M1293" s="41"/>
      <c r="N1293" s="41"/>
      <c r="O1293" s="41"/>
      <c r="P1293" s="28"/>
    </row>
    <row r="1294" customFormat="1" spans="1:16">
      <c r="A1294" s="39"/>
      <c r="B1294" s="40"/>
      <c r="C1294" s="41"/>
      <c r="D1294" s="41"/>
      <c r="E1294" s="41"/>
      <c r="F1294" s="41"/>
      <c r="G1294" s="41"/>
      <c r="H1294" s="41"/>
      <c r="I1294" s="41"/>
      <c r="J1294" s="41"/>
      <c r="K1294" s="41"/>
      <c r="L1294" s="41"/>
      <c r="M1294" s="41"/>
      <c r="N1294" s="41"/>
      <c r="O1294" s="41"/>
      <c r="P1294" s="28"/>
    </row>
    <row r="1295" customFormat="1" spans="1:16">
      <c r="A1295" s="39"/>
      <c r="B1295" s="40"/>
      <c r="C1295" s="41"/>
      <c r="D1295" s="41"/>
      <c r="E1295" s="41"/>
      <c r="F1295" s="41"/>
      <c r="G1295" s="41"/>
      <c r="H1295" s="41"/>
      <c r="I1295" s="41"/>
      <c r="J1295" s="41"/>
      <c r="K1295" s="41"/>
      <c r="L1295" s="41"/>
      <c r="M1295" s="41"/>
      <c r="N1295" s="41"/>
      <c r="O1295" s="41"/>
      <c r="P1295" s="28"/>
    </row>
    <row r="1296" customFormat="1" spans="1:16">
      <c r="A1296" s="39"/>
      <c r="B1296" s="40"/>
      <c r="C1296" s="41"/>
      <c r="D1296" s="41"/>
      <c r="E1296" s="41"/>
      <c r="F1296" s="41"/>
      <c r="G1296" s="41"/>
      <c r="H1296" s="41"/>
      <c r="I1296" s="41"/>
      <c r="J1296" s="41"/>
      <c r="K1296" s="41"/>
      <c r="L1296" s="41"/>
      <c r="M1296" s="41"/>
      <c r="N1296" s="41"/>
      <c r="O1296" s="41"/>
      <c r="P1296" s="28"/>
    </row>
    <row r="1297" customFormat="1" spans="1:16">
      <c r="A1297" s="39"/>
      <c r="B1297" s="40"/>
      <c r="C1297" s="41"/>
      <c r="D1297" s="41"/>
      <c r="E1297" s="41"/>
      <c r="F1297" s="41"/>
      <c r="G1297" s="41"/>
      <c r="H1297" s="41"/>
      <c r="I1297" s="41"/>
      <c r="J1297" s="41"/>
      <c r="K1297" s="41"/>
      <c r="L1297" s="41"/>
      <c r="M1297" s="41"/>
      <c r="N1297" s="41"/>
      <c r="O1297" s="41"/>
      <c r="P1297" s="28"/>
    </row>
    <row r="1298" customFormat="1" spans="1:16">
      <c r="A1298" s="39"/>
      <c r="B1298" s="40"/>
      <c r="C1298" s="41"/>
      <c r="D1298" s="41"/>
      <c r="E1298" s="41"/>
      <c r="F1298" s="41"/>
      <c r="G1298" s="41"/>
      <c r="H1298" s="41"/>
      <c r="I1298" s="41"/>
      <c r="J1298" s="41"/>
      <c r="K1298" s="41"/>
      <c r="L1298" s="41"/>
      <c r="M1298" s="41"/>
      <c r="N1298" s="41"/>
      <c r="O1298" s="41"/>
      <c r="P1298" s="28"/>
    </row>
    <row r="1299" customFormat="1" spans="1:16">
      <c r="A1299" s="39"/>
      <c r="B1299" s="40"/>
      <c r="C1299" s="41"/>
      <c r="D1299" s="41"/>
      <c r="E1299" s="41"/>
      <c r="F1299" s="41"/>
      <c r="G1299" s="41"/>
      <c r="H1299" s="41"/>
      <c r="I1299" s="41"/>
      <c r="J1299" s="41"/>
      <c r="K1299" s="41"/>
      <c r="L1299" s="41"/>
      <c r="M1299" s="41"/>
      <c r="N1299" s="41"/>
      <c r="O1299" s="41"/>
      <c r="P1299" s="28"/>
    </row>
    <row r="1300" customFormat="1" spans="1:16">
      <c r="A1300" s="39"/>
      <c r="B1300" s="40"/>
      <c r="C1300" s="41"/>
      <c r="D1300" s="41"/>
      <c r="E1300" s="41"/>
      <c r="F1300" s="41"/>
      <c r="G1300" s="41"/>
      <c r="H1300" s="41"/>
      <c r="I1300" s="41"/>
      <c r="J1300" s="41"/>
      <c r="K1300" s="41"/>
      <c r="L1300" s="41"/>
      <c r="M1300" s="41"/>
      <c r="N1300" s="41"/>
      <c r="O1300" s="41"/>
      <c r="P1300" s="28"/>
    </row>
    <row r="1301" customFormat="1" spans="1:16">
      <c r="A1301" s="39"/>
      <c r="B1301" s="40"/>
      <c r="C1301" s="41"/>
      <c r="D1301" s="41"/>
      <c r="E1301" s="41"/>
      <c r="F1301" s="41"/>
      <c r="G1301" s="41"/>
      <c r="H1301" s="41"/>
      <c r="I1301" s="41"/>
      <c r="J1301" s="41"/>
      <c r="K1301" s="41"/>
      <c r="L1301" s="41"/>
      <c r="M1301" s="41"/>
      <c r="N1301" s="41"/>
      <c r="O1301" s="41"/>
      <c r="P1301" s="28"/>
    </row>
    <row r="1302" customFormat="1" spans="1:16">
      <c r="A1302" s="39"/>
      <c r="B1302" s="40"/>
      <c r="C1302" s="41"/>
      <c r="D1302" s="41"/>
      <c r="E1302" s="41"/>
      <c r="F1302" s="41"/>
      <c r="G1302" s="41"/>
      <c r="H1302" s="41"/>
      <c r="I1302" s="41"/>
      <c r="J1302" s="41"/>
      <c r="K1302" s="41"/>
      <c r="L1302" s="41"/>
      <c r="M1302" s="41"/>
      <c r="N1302" s="41"/>
      <c r="O1302" s="41"/>
      <c r="P1302" s="28"/>
    </row>
    <row r="1303" customFormat="1" spans="1:16">
      <c r="A1303" s="39"/>
      <c r="B1303" s="40"/>
      <c r="C1303" s="41"/>
      <c r="D1303" s="41"/>
      <c r="E1303" s="41"/>
      <c r="F1303" s="41"/>
      <c r="G1303" s="41"/>
      <c r="H1303" s="41"/>
      <c r="I1303" s="41"/>
      <c r="J1303" s="41"/>
      <c r="K1303" s="41"/>
      <c r="L1303" s="41"/>
      <c r="M1303" s="41"/>
      <c r="N1303" s="41"/>
      <c r="O1303" s="41"/>
      <c r="P1303" s="28"/>
    </row>
    <row r="1304" customFormat="1" spans="1:16">
      <c r="A1304" s="39"/>
      <c r="B1304" s="40"/>
      <c r="C1304" s="41"/>
      <c r="D1304" s="41"/>
      <c r="E1304" s="41"/>
      <c r="F1304" s="41"/>
      <c r="G1304" s="41"/>
      <c r="H1304" s="41"/>
      <c r="I1304" s="41"/>
      <c r="J1304" s="41"/>
      <c r="K1304" s="41"/>
      <c r="L1304" s="41"/>
      <c r="M1304" s="41"/>
      <c r="N1304" s="41"/>
      <c r="O1304" s="41"/>
      <c r="P1304" s="28"/>
    </row>
    <row r="1305" customFormat="1" spans="1:16">
      <c r="A1305" s="39"/>
      <c r="B1305" s="40"/>
      <c r="C1305" s="41"/>
      <c r="D1305" s="41"/>
      <c r="E1305" s="41"/>
      <c r="F1305" s="41"/>
      <c r="G1305" s="41"/>
      <c r="H1305" s="41"/>
      <c r="I1305" s="41"/>
      <c r="J1305" s="41"/>
      <c r="K1305" s="41"/>
      <c r="L1305" s="41"/>
      <c r="M1305" s="41"/>
      <c r="N1305" s="41"/>
      <c r="O1305" s="41"/>
      <c r="P1305" s="28"/>
    </row>
    <row r="1306" customFormat="1" spans="1:16">
      <c r="A1306" s="39"/>
      <c r="B1306" s="40"/>
      <c r="C1306" s="41"/>
      <c r="D1306" s="41"/>
      <c r="E1306" s="41"/>
      <c r="F1306" s="41"/>
      <c r="G1306" s="41"/>
      <c r="H1306" s="41"/>
      <c r="I1306" s="41"/>
      <c r="J1306" s="41"/>
      <c r="K1306" s="41"/>
      <c r="L1306" s="41"/>
      <c r="M1306" s="41"/>
      <c r="N1306" s="41"/>
      <c r="O1306" s="41"/>
      <c r="P1306" s="28"/>
    </row>
    <row r="1307" customFormat="1" spans="1:16">
      <c r="A1307" s="39"/>
      <c r="B1307" s="40"/>
      <c r="C1307" s="41"/>
      <c r="D1307" s="41"/>
      <c r="E1307" s="41"/>
      <c r="F1307" s="41"/>
      <c r="G1307" s="41"/>
      <c r="H1307" s="41"/>
      <c r="I1307" s="41"/>
      <c r="J1307" s="41"/>
      <c r="K1307" s="41"/>
      <c r="L1307" s="41"/>
      <c r="M1307" s="41"/>
      <c r="N1307" s="41"/>
      <c r="O1307" s="41"/>
      <c r="P1307" s="28"/>
    </row>
    <row r="1308" customFormat="1" spans="1:16">
      <c r="A1308" s="39"/>
      <c r="B1308" s="40"/>
      <c r="C1308" s="41"/>
      <c r="D1308" s="41"/>
      <c r="E1308" s="41"/>
      <c r="F1308" s="41"/>
      <c r="G1308" s="41"/>
      <c r="H1308" s="41"/>
      <c r="I1308" s="41"/>
      <c r="J1308" s="41"/>
      <c r="K1308" s="41"/>
      <c r="L1308" s="41"/>
      <c r="M1308" s="41"/>
      <c r="N1308" s="41"/>
      <c r="O1308" s="41"/>
      <c r="P1308" s="28"/>
    </row>
    <row r="1309" customFormat="1" spans="1:16">
      <c r="A1309" s="39"/>
      <c r="B1309" s="40"/>
      <c r="C1309" s="41"/>
      <c r="D1309" s="41"/>
      <c r="E1309" s="41"/>
      <c r="F1309" s="41"/>
      <c r="G1309" s="41"/>
      <c r="H1309" s="41"/>
      <c r="I1309" s="41"/>
      <c r="J1309" s="41"/>
      <c r="K1309" s="41"/>
      <c r="L1309" s="41"/>
      <c r="M1309" s="41"/>
      <c r="N1309" s="41"/>
      <c r="O1309" s="41"/>
      <c r="P1309" s="28"/>
    </row>
    <row r="1310" customFormat="1" spans="1:16">
      <c r="A1310" s="39"/>
      <c r="B1310" s="40"/>
      <c r="C1310" s="41"/>
      <c r="D1310" s="41"/>
      <c r="E1310" s="41"/>
      <c r="F1310" s="41"/>
      <c r="G1310" s="41"/>
      <c r="H1310" s="41"/>
      <c r="I1310" s="41"/>
      <c r="J1310" s="41"/>
      <c r="K1310" s="41"/>
      <c r="L1310" s="41"/>
      <c r="M1310" s="41"/>
      <c r="N1310" s="41"/>
      <c r="O1310" s="41"/>
      <c r="P1310" s="28"/>
    </row>
    <row r="1311" customFormat="1" spans="1:16">
      <c r="A1311" s="39"/>
      <c r="B1311" s="40"/>
      <c r="C1311" s="41"/>
      <c r="D1311" s="41"/>
      <c r="E1311" s="41"/>
      <c r="F1311" s="41"/>
      <c r="G1311" s="41"/>
      <c r="H1311" s="41"/>
      <c r="I1311" s="41"/>
      <c r="J1311" s="41"/>
      <c r="K1311" s="41"/>
      <c r="L1311" s="41"/>
      <c r="M1311" s="41"/>
      <c r="N1311" s="41"/>
      <c r="O1311" s="41"/>
      <c r="P1311" s="28"/>
    </row>
    <row r="1312" customFormat="1" spans="1:16">
      <c r="A1312" s="39"/>
      <c r="B1312" s="40"/>
      <c r="C1312" s="41"/>
      <c r="D1312" s="41"/>
      <c r="E1312" s="41"/>
      <c r="F1312" s="41"/>
      <c r="G1312" s="41"/>
      <c r="H1312" s="41"/>
      <c r="I1312" s="41"/>
      <c r="J1312" s="41"/>
      <c r="K1312" s="41"/>
      <c r="L1312" s="41"/>
      <c r="M1312" s="41"/>
      <c r="N1312" s="41"/>
      <c r="O1312" s="41"/>
      <c r="P1312" s="28"/>
    </row>
    <row r="1313" customFormat="1" spans="1:16">
      <c r="A1313" s="39"/>
      <c r="B1313" s="40"/>
      <c r="C1313" s="41"/>
      <c r="D1313" s="41"/>
      <c r="E1313" s="41"/>
      <c r="F1313" s="41"/>
      <c r="G1313" s="41"/>
      <c r="H1313" s="41"/>
      <c r="I1313" s="41"/>
      <c r="J1313" s="41"/>
      <c r="K1313" s="41"/>
      <c r="L1313" s="41"/>
      <c r="M1313" s="41"/>
      <c r="N1313" s="41"/>
      <c r="O1313" s="41"/>
      <c r="P1313" s="28"/>
    </row>
    <row r="1314" customFormat="1" spans="1:16">
      <c r="A1314" s="39"/>
      <c r="B1314" s="40"/>
      <c r="C1314" s="41"/>
      <c r="D1314" s="41"/>
      <c r="E1314" s="41"/>
      <c r="F1314" s="41"/>
      <c r="G1314" s="41"/>
      <c r="H1314" s="41"/>
      <c r="I1314" s="41"/>
      <c r="J1314" s="41"/>
      <c r="K1314" s="41"/>
      <c r="L1314" s="41"/>
      <c r="M1314" s="41"/>
      <c r="N1314" s="41"/>
      <c r="O1314" s="41"/>
      <c r="P1314" s="28"/>
    </row>
    <row r="1315" customFormat="1" spans="1:16">
      <c r="A1315" s="39"/>
      <c r="B1315" s="40"/>
      <c r="C1315" s="41"/>
      <c r="D1315" s="41"/>
      <c r="E1315" s="41"/>
      <c r="F1315" s="41"/>
      <c r="G1315" s="41"/>
      <c r="H1315" s="41"/>
      <c r="I1315" s="41"/>
      <c r="J1315" s="41"/>
      <c r="K1315" s="41"/>
      <c r="L1315" s="41"/>
      <c r="M1315" s="41"/>
      <c r="N1315" s="41"/>
      <c r="O1315" s="41"/>
      <c r="P1315" s="28"/>
    </row>
    <row r="1316" customFormat="1" spans="1:16">
      <c r="A1316" s="39"/>
      <c r="B1316" s="40"/>
      <c r="C1316" s="41"/>
      <c r="D1316" s="41"/>
      <c r="E1316" s="41"/>
      <c r="F1316" s="41"/>
      <c r="G1316" s="41"/>
      <c r="H1316" s="41"/>
      <c r="I1316" s="41"/>
      <c r="J1316" s="41"/>
      <c r="K1316" s="41"/>
      <c r="L1316" s="41"/>
      <c r="M1316" s="41"/>
      <c r="N1316" s="41"/>
      <c r="O1316" s="41"/>
      <c r="P1316" s="28"/>
    </row>
    <row r="1317" customFormat="1" spans="1:16">
      <c r="A1317" s="39"/>
      <c r="B1317" s="40"/>
      <c r="C1317" s="41"/>
      <c r="D1317" s="41"/>
      <c r="E1317" s="41"/>
      <c r="F1317" s="41"/>
      <c r="G1317" s="41"/>
      <c r="H1317" s="41"/>
      <c r="I1317" s="41"/>
      <c r="J1317" s="41"/>
      <c r="K1317" s="41"/>
      <c r="L1317" s="41"/>
      <c r="M1317" s="41"/>
      <c r="N1317" s="41"/>
      <c r="O1317" s="41"/>
      <c r="P1317" s="28"/>
    </row>
    <row r="1318" customFormat="1" spans="1:16">
      <c r="A1318" s="39"/>
      <c r="B1318" s="40"/>
      <c r="C1318" s="41"/>
      <c r="D1318" s="41"/>
      <c r="E1318" s="41"/>
      <c r="F1318" s="41"/>
      <c r="G1318" s="41"/>
      <c r="H1318" s="41"/>
      <c r="I1318" s="41"/>
      <c r="J1318" s="41"/>
      <c r="K1318" s="41"/>
      <c r="L1318" s="41"/>
      <c r="M1318" s="41"/>
      <c r="N1318" s="41"/>
      <c r="O1318" s="41"/>
      <c r="P1318" s="28"/>
    </row>
    <row r="1319" customFormat="1" spans="1:16">
      <c r="A1319" s="39"/>
      <c r="B1319" s="40"/>
      <c r="C1319" s="41"/>
      <c r="D1319" s="41"/>
      <c r="E1319" s="41"/>
      <c r="F1319" s="41"/>
      <c r="G1319" s="41"/>
      <c r="H1319" s="41"/>
      <c r="I1319" s="41"/>
      <c r="J1319" s="41"/>
      <c r="K1319" s="41"/>
      <c r="L1319" s="41"/>
      <c r="M1319" s="41"/>
      <c r="N1319" s="41"/>
      <c r="O1319" s="41"/>
      <c r="P1319" s="28"/>
    </row>
    <row r="1320" customFormat="1" spans="1:16">
      <c r="A1320" s="39"/>
      <c r="B1320" s="40"/>
      <c r="C1320" s="41"/>
      <c r="D1320" s="41"/>
      <c r="E1320" s="41"/>
      <c r="F1320" s="41"/>
      <c r="G1320" s="41"/>
      <c r="H1320" s="41"/>
      <c r="I1320" s="41"/>
      <c r="J1320" s="41"/>
      <c r="K1320" s="41"/>
      <c r="L1320" s="41"/>
      <c r="M1320" s="41"/>
      <c r="N1320" s="41"/>
      <c r="O1320" s="41"/>
      <c r="P1320" s="28"/>
    </row>
    <row r="1321" customFormat="1" spans="1:16">
      <c r="A1321" s="39"/>
      <c r="B1321" s="40"/>
      <c r="C1321" s="41"/>
      <c r="D1321" s="41"/>
      <c r="E1321" s="41"/>
      <c r="F1321" s="41"/>
      <c r="G1321" s="41"/>
      <c r="H1321" s="41"/>
      <c r="I1321" s="41"/>
      <c r="J1321" s="41"/>
      <c r="K1321" s="41"/>
      <c r="L1321" s="41"/>
      <c r="M1321" s="41"/>
      <c r="N1321" s="41"/>
      <c r="O1321" s="41"/>
      <c r="P1321" s="28"/>
    </row>
    <row r="1322" customFormat="1" spans="1:16">
      <c r="A1322" s="39"/>
      <c r="B1322" s="40"/>
      <c r="C1322" s="41"/>
      <c r="D1322" s="41"/>
      <c r="E1322" s="41"/>
      <c r="F1322" s="41"/>
      <c r="G1322" s="41"/>
      <c r="H1322" s="41"/>
      <c r="I1322" s="41"/>
      <c r="J1322" s="41"/>
      <c r="K1322" s="41"/>
      <c r="L1322" s="41"/>
      <c r="M1322" s="41"/>
      <c r="N1322" s="41"/>
      <c r="O1322" s="41"/>
      <c r="P1322" s="28"/>
    </row>
    <row r="1323" customFormat="1" spans="1:16">
      <c r="A1323" s="39"/>
      <c r="B1323" s="40"/>
      <c r="C1323" s="41"/>
      <c r="D1323" s="41"/>
      <c r="E1323" s="41"/>
      <c r="F1323" s="41"/>
      <c r="G1323" s="41"/>
      <c r="H1323" s="41"/>
      <c r="I1323" s="41"/>
      <c r="J1323" s="41"/>
      <c r="K1323" s="41"/>
      <c r="L1323" s="41"/>
      <c r="M1323" s="41"/>
      <c r="N1323" s="41"/>
      <c r="O1323" s="41"/>
      <c r="P1323" s="28"/>
    </row>
    <row r="1324" customFormat="1" spans="1:16">
      <c r="A1324" s="39"/>
      <c r="B1324" s="40"/>
      <c r="C1324" s="41"/>
      <c r="D1324" s="41"/>
      <c r="E1324" s="41"/>
      <c r="F1324" s="41"/>
      <c r="G1324" s="41"/>
      <c r="H1324" s="41"/>
      <c r="I1324" s="41"/>
      <c r="J1324" s="41"/>
      <c r="K1324" s="41"/>
      <c r="L1324" s="41"/>
      <c r="M1324" s="41"/>
      <c r="N1324" s="41"/>
      <c r="O1324" s="41"/>
      <c r="P1324" s="28"/>
    </row>
    <row r="1325" customFormat="1" spans="1:16">
      <c r="A1325" s="39"/>
      <c r="B1325" s="40"/>
      <c r="C1325" s="41"/>
      <c r="D1325" s="41"/>
      <c r="E1325" s="41"/>
      <c r="F1325" s="41"/>
      <c r="G1325" s="41"/>
      <c r="H1325" s="41"/>
      <c r="I1325" s="41"/>
      <c r="J1325" s="41"/>
      <c r="K1325" s="41"/>
      <c r="L1325" s="41"/>
      <c r="M1325" s="41"/>
      <c r="N1325" s="41"/>
      <c r="O1325" s="41"/>
      <c r="P1325" s="28"/>
    </row>
    <row r="1326" customFormat="1" spans="1:16">
      <c r="A1326" s="39"/>
      <c r="B1326" s="40"/>
      <c r="C1326" s="41"/>
      <c r="D1326" s="41"/>
      <c r="E1326" s="41"/>
      <c r="F1326" s="41"/>
      <c r="G1326" s="41"/>
      <c r="H1326" s="41"/>
      <c r="I1326" s="41"/>
      <c r="J1326" s="41"/>
      <c r="K1326" s="41"/>
      <c r="L1326" s="41"/>
      <c r="M1326" s="41"/>
      <c r="N1326" s="41"/>
      <c r="O1326" s="41"/>
      <c r="P1326" s="28"/>
    </row>
    <row r="1327" customFormat="1" spans="1:16">
      <c r="A1327" s="39"/>
      <c r="B1327" s="40"/>
      <c r="C1327" s="41"/>
      <c r="D1327" s="41"/>
      <c r="E1327" s="41"/>
      <c r="F1327" s="41"/>
      <c r="G1327" s="41"/>
      <c r="H1327" s="41"/>
      <c r="I1327" s="41"/>
      <c r="J1327" s="41"/>
      <c r="K1327" s="41"/>
      <c r="L1327" s="41"/>
      <c r="M1327" s="41"/>
      <c r="N1327" s="41"/>
      <c r="O1327" s="41"/>
      <c r="P1327" s="28"/>
    </row>
    <row r="1328" customFormat="1" spans="1:16">
      <c r="A1328" s="39"/>
      <c r="B1328" s="40"/>
      <c r="C1328" s="41"/>
      <c r="D1328" s="41"/>
      <c r="E1328" s="41"/>
      <c r="F1328" s="41"/>
      <c r="G1328" s="41"/>
      <c r="H1328" s="41"/>
      <c r="I1328" s="41"/>
      <c r="J1328" s="41"/>
      <c r="K1328" s="41"/>
      <c r="L1328" s="41"/>
      <c r="M1328" s="41"/>
      <c r="N1328" s="41"/>
      <c r="O1328" s="41"/>
      <c r="P1328" s="28"/>
    </row>
    <row r="1329" customFormat="1" spans="1:16">
      <c r="A1329" s="39"/>
      <c r="B1329" s="40"/>
      <c r="C1329" s="41"/>
      <c r="D1329" s="41"/>
      <c r="E1329" s="41"/>
      <c r="F1329" s="41"/>
      <c r="G1329" s="41"/>
      <c r="H1329" s="41"/>
      <c r="I1329" s="41"/>
      <c r="J1329" s="41"/>
      <c r="K1329" s="41"/>
      <c r="L1329" s="41"/>
      <c r="M1329" s="41"/>
      <c r="N1329" s="41"/>
      <c r="O1329" s="41"/>
      <c r="P1329" s="28"/>
    </row>
    <row r="1330" customFormat="1" spans="1:16">
      <c r="A1330" s="39"/>
      <c r="B1330" s="40"/>
      <c r="C1330" s="41"/>
      <c r="D1330" s="41"/>
      <c r="E1330" s="41"/>
      <c r="F1330" s="41"/>
      <c r="G1330" s="41"/>
      <c r="H1330" s="41"/>
      <c r="I1330" s="41"/>
      <c r="J1330" s="41"/>
      <c r="K1330" s="41"/>
      <c r="L1330" s="41"/>
      <c r="M1330" s="41"/>
      <c r="N1330" s="41"/>
      <c r="O1330" s="41"/>
      <c r="P1330" s="28"/>
    </row>
    <row r="1331" customFormat="1" spans="1:16">
      <c r="A1331" s="39"/>
      <c r="B1331" s="40"/>
      <c r="C1331" s="41"/>
      <c r="D1331" s="41"/>
      <c r="E1331" s="41"/>
      <c r="F1331" s="41"/>
      <c r="G1331" s="41"/>
      <c r="H1331" s="41"/>
      <c r="I1331" s="41"/>
      <c r="J1331" s="41"/>
      <c r="K1331" s="41"/>
      <c r="L1331" s="41"/>
      <c r="M1331" s="41"/>
      <c r="N1331" s="41"/>
      <c r="O1331" s="41"/>
      <c r="P1331" s="28"/>
    </row>
    <row r="1332" customFormat="1" spans="1:16">
      <c r="A1332" s="39"/>
      <c r="B1332" s="40"/>
      <c r="C1332" s="41"/>
      <c r="D1332" s="41"/>
      <c r="E1332" s="41"/>
      <c r="F1332" s="41"/>
      <c r="G1332" s="41"/>
      <c r="H1332" s="41"/>
      <c r="I1332" s="41"/>
      <c r="J1332" s="41"/>
      <c r="K1332" s="41"/>
      <c r="L1332" s="41"/>
      <c r="M1332" s="41"/>
      <c r="N1332" s="41"/>
      <c r="O1332" s="41"/>
      <c r="P1332" s="28"/>
    </row>
    <row r="1333" customFormat="1" spans="1:16">
      <c r="A1333" s="39"/>
      <c r="B1333" s="40"/>
      <c r="C1333" s="41"/>
      <c r="D1333" s="41"/>
      <c r="E1333" s="41"/>
      <c r="F1333" s="41"/>
      <c r="G1333" s="41"/>
      <c r="H1333" s="41"/>
      <c r="I1333" s="41"/>
      <c r="J1333" s="41"/>
      <c r="K1333" s="41"/>
      <c r="L1333" s="41"/>
      <c r="M1333" s="41"/>
      <c r="N1333" s="41"/>
      <c r="O1333" s="41"/>
      <c r="P1333" s="28"/>
    </row>
    <row r="1334" customFormat="1" spans="1:16">
      <c r="A1334" s="39"/>
      <c r="B1334" s="40"/>
      <c r="C1334" s="41"/>
      <c r="D1334" s="41"/>
      <c r="E1334" s="41"/>
      <c r="F1334" s="41"/>
      <c r="G1334" s="41"/>
      <c r="H1334" s="41"/>
      <c r="I1334" s="41"/>
      <c r="J1334" s="41"/>
      <c r="K1334" s="41"/>
      <c r="L1334" s="41"/>
      <c r="M1334" s="41"/>
      <c r="N1334" s="41"/>
      <c r="O1334" s="41"/>
      <c r="P1334" s="28"/>
    </row>
    <row r="1335" customFormat="1" spans="1:16">
      <c r="A1335" s="39"/>
      <c r="B1335" s="40"/>
      <c r="C1335" s="41"/>
      <c r="D1335" s="41"/>
      <c r="E1335" s="41"/>
      <c r="F1335" s="41"/>
      <c r="G1335" s="41"/>
      <c r="H1335" s="41"/>
      <c r="I1335" s="41"/>
      <c r="J1335" s="41"/>
      <c r="K1335" s="41"/>
      <c r="L1335" s="41"/>
      <c r="M1335" s="41"/>
      <c r="N1335" s="41"/>
      <c r="O1335" s="41"/>
      <c r="P1335" s="28"/>
    </row>
    <row r="1336" customFormat="1" spans="1:16">
      <c r="A1336" s="39"/>
      <c r="B1336" s="40"/>
      <c r="C1336" s="41"/>
      <c r="D1336" s="41"/>
      <c r="E1336" s="41"/>
      <c r="F1336" s="41"/>
      <c r="G1336" s="41"/>
      <c r="H1336" s="41"/>
      <c r="I1336" s="41"/>
      <c r="J1336" s="41"/>
      <c r="K1336" s="41"/>
      <c r="L1336" s="41"/>
      <c r="M1336" s="41"/>
      <c r="N1336" s="41"/>
      <c r="O1336" s="41"/>
      <c r="P1336" s="28"/>
    </row>
    <row r="1337" customFormat="1" spans="1:16">
      <c r="A1337" s="39"/>
      <c r="B1337" s="40"/>
      <c r="C1337" s="41"/>
      <c r="D1337" s="41"/>
      <c r="E1337" s="41"/>
      <c r="F1337" s="41"/>
      <c r="G1337" s="41"/>
      <c r="H1337" s="41"/>
      <c r="I1337" s="41"/>
      <c r="J1337" s="41"/>
      <c r="K1337" s="41"/>
      <c r="L1337" s="41"/>
      <c r="M1337" s="41"/>
      <c r="N1337" s="41"/>
      <c r="O1337" s="41"/>
      <c r="P1337" s="28"/>
    </row>
    <row r="1338" customFormat="1" spans="1:16">
      <c r="A1338" s="39"/>
      <c r="B1338" s="40"/>
      <c r="C1338" s="41"/>
      <c r="D1338" s="41"/>
      <c r="E1338" s="41"/>
      <c r="F1338" s="41"/>
      <c r="G1338" s="41"/>
      <c r="H1338" s="41"/>
      <c r="I1338" s="41"/>
      <c r="J1338" s="41"/>
      <c r="K1338" s="41"/>
      <c r="L1338" s="41"/>
      <c r="M1338" s="41"/>
      <c r="N1338" s="41"/>
      <c r="O1338" s="41"/>
      <c r="P1338" s="28"/>
    </row>
    <row r="1339" customFormat="1" spans="1:16">
      <c r="A1339" s="39"/>
      <c r="B1339" s="40"/>
      <c r="C1339" s="41"/>
      <c r="D1339" s="41"/>
      <c r="E1339" s="41"/>
      <c r="F1339" s="41"/>
      <c r="G1339" s="41"/>
      <c r="H1339" s="41"/>
      <c r="I1339" s="41"/>
      <c r="J1339" s="41"/>
      <c r="K1339" s="41"/>
      <c r="L1339" s="41"/>
      <c r="M1339" s="41"/>
      <c r="N1339" s="41"/>
      <c r="O1339" s="41"/>
      <c r="P1339" s="28"/>
    </row>
    <row r="1340" customFormat="1" spans="1:16">
      <c r="A1340" s="39"/>
      <c r="B1340" s="40"/>
      <c r="C1340" s="41"/>
      <c r="D1340" s="41"/>
      <c r="E1340" s="41"/>
      <c r="F1340" s="41"/>
      <c r="G1340" s="41"/>
      <c r="H1340" s="41"/>
      <c r="I1340" s="41"/>
      <c r="J1340" s="41"/>
      <c r="K1340" s="41"/>
      <c r="L1340" s="41"/>
      <c r="M1340" s="41"/>
      <c r="N1340" s="41"/>
      <c r="O1340" s="41"/>
      <c r="P1340" s="28"/>
    </row>
    <row r="1341" customFormat="1" spans="1:16">
      <c r="A1341" s="39"/>
      <c r="B1341" s="40"/>
      <c r="C1341" s="41"/>
      <c r="D1341" s="41"/>
      <c r="E1341" s="41"/>
      <c r="F1341" s="41"/>
      <c r="G1341" s="41"/>
      <c r="H1341" s="41"/>
      <c r="I1341" s="41"/>
      <c r="J1341" s="41"/>
      <c r="K1341" s="41"/>
      <c r="L1341" s="41"/>
      <c r="M1341" s="41"/>
      <c r="N1341" s="41"/>
      <c r="O1341" s="41"/>
      <c r="P1341" s="28"/>
    </row>
    <row r="1342" customFormat="1" spans="1:16">
      <c r="A1342" s="39"/>
      <c r="B1342" s="40"/>
      <c r="C1342" s="41"/>
      <c r="D1342" s="41"/>
      <c r="E1342" s="41"/>
      <c r="F1342" s="41"/>
      <c r="G1342" s="41"/>
      <c r="H1342" s="41"/>
      <c r="I1342" s="41"/>
      <c r="J1342" s="41"/>
      <c r="K1342" s="41"/>
      <c r="L1342" s="41"/>
      <c r="M1342" s="41"/>
      <c r="N1342" s="41"/>
      <c r="O1342" s="41"/>
      <c r="P1342" s="28"/>
    </row>
    <row r="1343" customFormat="1" spans="1:16">
      <c r="A1343" s="39"/>
      <c r="B1343" s="40"/>
      <c r="C1343" s="41"/>
      <c r="D1343" s="41"/>
      <c r="E1343" s="41"/>
      <c r="F1343" s="41"/>
      <c r="G1343" s="41"/>
      <c r="H1343" s="41"/>
      <c r="I1343" s="41"/>
      <c r="J1343" s="41"/>
      <c r="K1343" s="41"/>
      <c r="L1343" s="41"/>
      <c r="M1343" s="41"/>
      <c r="N1343" s="41"/>
      <c r="O1343" s="41"/>
      <c r="P1343" s="28"/>
    </row>
    <row r="1344" customFormat="1" spans="1:16">
      <c r="A1344" s="39"/>
      <c r="B1344" s="40"/>
      <c r="C1344" s="41"/>
      <c r="D1344" s="41"/>
      <c r="E1344" s="41"/>
      <c r="F1344" s="41"/>
      <c r="G1344" s="41"/>
      <c r="H1344" s="41"/>
      <c r="I1344" s="41"/>
      <c r="J1344" s="41"/>
      <c r="K1344" s="41"/>
      <c r="L1344" s="41"/>
      <c r="M1344" s="41"/>
      <c r="N1344" s="41"/>
      <c r="O1344" s="41"/>
      <c r="P1344" s="28"/>
    </row>
    <row r="1345" customFormat="1" spans="1:16">
      <c r="A1345" s="39"/>
      <c r="B1345" s="40"/>
      <c r="C1345" s="41"/>
      <c r="D1345" s="41"/>
      <c r="E1345" s="41"/>
      <c r="F1345" s="41"/>
      <c r="G1345" s="41"/>
      <c r="H1345" s="41"/>
      <c r="I1345" s="41"/>
      <c r="J1345" s="41"/>
      <c r="K1345" s="41"/>
      <c r="L1345" s="41"/>
      <c r="M1345" s="41"/>
      <c r="N1345" s="41"/>
      <c r="O1345" s="41"/>
      <c r="P1345" s="28"/>
    </row>
    <row r="1346" customFormat="1" spans="1:16">
      <c r="A1346" s="39"/>
      <c r="B1346" s="40"/>
      <c r="C1346" s="41"/>
      <c r="D1346" s="41"/>
      <c r="E1346" s="41"/>
      <c r="F1346" s="41"/>
      <c r="G1346" s="41"/>
      <c r="H1346" s="41"/>
      <c r="I1346" s="41"/>
      <c r="J1346" s="41"/>
      <c r="K1346" s="41"/>
      <c r="L1346" s="41"/>
      <c r="M1346" s="41"/>
      <c r="N1346" s="41"/>
      <c r="O1346" s="41"/>
      <c r="P1346" s="28"/>
    </row>
    <row r="1347" customFormat="1" spans="1:16">
      <c r="A1347" s="39"/>
      <c r="B1347" s="40"/>
      <c r="C1347" s="41"/>
      <c r="D1347" s="41"/>
      <c r="E1347" s="41"/>
      <c r="F1347" s="41"/>
      <c r="G1347" s="41"/>
      <c r="H1347" s="41"/>
      <c r="I1347" s="41"/>
      <c r="J1347" s="41"/>
      <c r="K1347" s="41"/>
      <c r="L1347" s="41"/>
      <c r="M1347" s="41"/>
      <c r="N1347" s="41"/>
      <c r="O1347" s="41"/>
      <c r="P1347" s="28"/>
    </row>
    <row r="1348" customFormat="1" spans="1:16">
      <c r="A1348" s="39"/>
      <c r="B1348" s="40"/>
      <c r="C1348" s="41"/>
      <c r="D1348" s="41"/>
      <c r="E1348" s="41"/>
      <c r="F1348" s="41"/>
      <c r="G1348" s="41"/>
      <c r="H1348" s="41"/>
      <c r="I1348" s="41"/>
      <c r="J1348" s="41"/>
      <c r="K1348" s="41"/>
      <c r="L1348" s="41"/>
      <c r="M1348" s="41"/>
      <c r="N1348" s="41"/>
      <c r="O1348" s="41"/>
      <c r="P1348" s="28"/>
    </row>
    <row r="1349" customFormat="1" spans="1:16">
      <c r="A1349" s="39"/>
      <c r="B1349" s="40"/>
      <c r="C1349" s="41"/>
      <c r="D1349" s="41"/>
      <c r="E1349" s="41"/>
      <c r="F1349" s="41"/>
      <c r="G1349" s="41"/>
      <c r="H1349" s="41"/>
      <c r="I1349" s="41"/>
      <c r="J1349" s="41"/>
      <c r="K1349" s="41"/>
      <c r="L1349" s="41"/>
      <c r="M1349" s="41"/>
      <c r="N1349" s="41"/>
      <c r="O1349" s="41"/>
      <c r="P1349" s="28"/>
    </row>
    <row r="1350" customFormat="1" spans="1:16">
      <c r="A1350" s="39"/>
      <c r="B1350" s="40"/>
      <c r="C1350" s="41"/>
      <c r="D1350" s="41"/>
      <c r="E1350" s="41"/>
      <c r="F1350" s="41"/>
      <c r="G1350" s="41"/>
      <c r="H1350" s="41"/>
      <c r="I1350" s="41"/>
      <c r="J1350" s="41"/>
      <c r="K1350" s="41"/>
      <c r="L1350" s="41"/>
      <c r="M1350" s="41"/>
      <c r="N1350" s="41"/>
      <c r="O1350" s="41"/>
      <c r="P1350" s="28"/>
    </row>
    <row r="1351" customFormat="1" spans="1:16">
      <c r="A1351" s="39"/>
      <c r="B1351" s="40"/>
      <c r="C1351" s="41"/>
      <c r="D1351" s="41"/>
      <c r="E1351" s="41"/>
      <c r="F1351" s="41"/>
      <c r="G1351" s="41"/>
      <c r="H1351" s="41"/>
      <c r="I1351" s="41"/>
      <c r="J1351" s="41"/>
      <c r="K1351" s="41"/>
      <c r="L1351" s="41"/>
      <c r="M1351" s="41"/>
      <c r="N1351" s="41"/>
      <c r="O1351" s="41"/>
      <c r="P1351" s="28"/>
    </row>
    <row r="1352" customFormat="1" spans="1:16">
      <c r="A1352" s="39"/>
      <c r="B1352" s="40"/>
      <c r="C1352" s="41"/>
      <c r="D1352" s="41"/>
      <c r="E1352" s="41"/>
      <c r="F1352" s="41"/>
      <c r="G1352" s="41"/>
      <c r="H1352" s="41"/>
      <c r="I1352" s="41"/>
      <c r="J1352" s="41"/>
      <c r="K1352" s="41"/>
      <c r="L1352" s="41"/>
      <c r="M1352" s="41"/>
      <c r="N1352" s="41"/>
      <c r="O1352" s="41"/>
      <c r="P1352" s="28"/>
    </row>
    <row r="1353" customFormat="1" spans="1:16">
      <c r="A1353" s="39"/>
      <c r="B1353" s="40"/>
      <c r="C1353" s="41"/>
      <c r="D1353" s="41"/>
      <c r="E1353" s="41"/>
      <c r="F1353" s="41"/>
      <c r="G1353" s="41"/>
      <c r="H1353" s="41"/>
      <c r="I1353" s="41"/>
      <c r="J1353" s="41"/>
      <c r="K1353" s="41"/>
      <c r="L1353" s="41"/>
      <c r="M1353" s="41"/>
      <c r="N1353" s="41"/>
      <c r="O1353" s="41"/>
      <c r="P1353" s="28"/>
    </row>
    <row r="1354" customFormat="1" spans="1:16">
      <c r="A1354" s="39"/>
      <c r="B1354" s="40"/>
      <c r="C1354" s="41"/>
      <c r="D1354" s="41"/>
      <c r="E1354" s="41"/>
      <c r="F1354" s="41"/>
      <c r="G1354" s="41"/>
      <c r="H1354" s="41"/>
      <c r="I1354" s="41"/>
      <c r="J1354" s="41"/>
      <c r="K1354" s="41"/>
      <c r="L1354" s="41"/>
      <c r="M1354" s="41"/>
      <c r="N1354" s="41"/>
      <c r="O1354" s="41"/>
      <c r="P1354" s="28"/>
    </row>
    <row r="1355" customFormat="1" spans="1:16">
      <c r="A1355" s="39"/>
      <c r="B1355" s="40"/>
      <c r="C1355" s="41"/>
      <c r="D1355" s="41"/>
      <c r="E1355" s="41"/>
      <c r="F1355" s="41"/>
      <c r="G1355" s="41"/>
      <c r="H1355" s="41"/>
      <c r="I1355" s="41"/>
      <c r="J1355" s="41"/>
      <c r="K1355" s="41"/>
      <c r="L1355" s="41"/>
      <c r="M1355" s="41"/>
      <c r="N1355" s="41"/>
      <c r="O1355" s="41"/>
      <c r="P1355" s="28"/>
    </row>
    <row r="1356" customFormat="1" spans="1:16">
      <c r="A1356" s="39"/>
      <c r="B1356" s="40"/>
      <c r="C1356" s="41"/>
      <c r="D1356" s="41"/>
      <c r="E1356" s="41"/>
      <c r="F1356" s="41"/>
      <c r="G1356" s="41"/>
      <c r="H1356" s="41"/>
      <c r="I1356" s="41"/>
      <c r="J1356" s="41"/>
      <c r="K1356" s="41"/>
      <c r="L1356" s="41"/>
      <c r="M1356" s="41"/>
      <c r="N1356" s="41"/>
      <c r="O1356" s="41"/>
      <c r="P1356" s="28"/>
    </row>
    <row r="1357" customFormat="1" spans="1:16">
      <c r="A1357" s="39"/>
      <c r="B1357" s="40"/>
      <c r="C1357" s="41"/>
      <c r="D1357" s="41"/>
      <c r="E1357" s="41"/>
      <c r="F1357" s="41"/>
      <c r="G1357" s="41"/>
      <c r="H1357" s="41"/>
      <c r="I1357" s="41"/>
      <c r="J1357" s="41"/>
      <c r="K1357" s="41"/>
      <c r="L1357" s="41"/>
      <c r="M1357" s="41"/>
      <c r="N1357" s="41"/>
      <c r="O1357" s="41"/>
      <c r="P1357" s="28"/>
    </row>
    <row r="1358" customFormat="1" spans="1:16">
      <c r="A1358" s="39"/>
      <c r="B1358" s="40"/>
      <c r="C1358" s="41"/>
      <c r="D1358" s="41"/>
      <c r="E1358" s="41"/>
      <c r="F1358" s="41"/>
      <c r="G1358" s="41"/>
      <c r="H1358" s="41"/>
      <c r="I1358" s="41"/>
      <c r="J1358" s="41"/>
      <c r="K1358" s="41"/>
      <c r="L1358" s="41"/>
      <c r="M1358" s="41"/>
      <c r="N1358" s="41"/>
      <c r="O1358" s="41"/>
      <c r="P1358" s="28"/>
    </row>
    <row r="1359" customFormat="1" spans="1:16">
      <c r="A1359" s="39"/>
      <c r="B1359" s="40"/>
      <c r="C1359" s="41"/>
      <c r="D1359" s="41"/>
      <c r="E1359" s="41"/>
      <c r="F1359" s="41"/>
      <c r="G1359" s="41"/>
      <c r="H1359" s="41"/>
      <c r="I1359" s="41"/>
      <c r="J1359" s="41"/>
      <c r="K1359" s="41"/>
      <c r="L1359" s="41"/>
      <c r="M1359" s="41"/>
      <c r="N1359" s="41"/>
      <c r="O1359" s="41"/>
      <c r="P1359" s="28"/>
    </row>
    <row r="1360" customFormat="1" spans="1:16">
      <c r="A1360" s="39"/>
      <c r="B1360" s="40"/>
      <c r="C1360" s="41"/>
      <c r="D1360" s="41"/>
      <c r="E1360" s="41"/>
      <c r="F1360" s="41"/>
      <c r="G1360" s="41"/>
      <c r="H1360" s="41"/>
      <c r="I1360" s="41"/>
      <c r="J1360" s="41"/>
      <c r="K1360" s="41"/>
      <c r="L1360" s="41"/>
      <c r="M1360" s="41"/>
      <c r="N1360" s="41"/>
      <c r="O1360" s="41"/>
      <c r="P1360" s="28"/>
    </row>
    <row r="1361" customFormat="1" spans="1:16">
      <c r="A1361" s="39"/>
      <c r="B1361" s="40"/>
      <c r="C1361" s="41"/>
      <c r="D1361" s="41"/>
      <c r="E1361" s="41"/>
      <c r="F1361" s="41"/>
      <c r="G1361" s="41"/>
      <c r="H1361" s="41"/>
      <c r="I1361" s="41"/>
      <c r="J1361" s="41"/>
      <c r="K1361" s="41"/>
      <c r="L1361" s="41"/>
      <c r="M1361" s="41"/>
      <c r="N1361" s="41"/>
      <c r="O1361" s="41"/>
      <c r="P1361" s="28"/>
    </row>
    <row r="1362" customFormat="1" spans="1:16">
      <c r="A1362" s="39"/>
      <c r="B1362" s="40"/>
      <c r="C1362" s="41"/>
      <c r="D1362" s="41"/>
      <c r="E1362" s="41"/>
      <c r="F1362" s="41"/>
      <c r="G1362" s="41"/>
      <c r="H1362" s="41"/>
      <c r="I1362" s="41"/>
      <c r="J1362" s="41"/>
      <c r="K1362" s="41"/>
      <c r="L1362" s="41"/>
      <c r="M1362" s="41"/>
      <c r="N1362" s="41"/>
      <c r="O1362" s="41"/>
      <c r="P1362" s="28"/>
    </row>
    <row r="1363" customFormat="1" spans="1:16">
      <c r="A1363" s="39"/>
      <c r="B1363" s="40"/>
      <c r="C1363" s="41"/>
      <c r="D1363" s="41"/>
      <c r="E1363" s="41"/>
      <c r="F1363" s="41"/>
      <c r="G1363" s="41"/>
      <c r="H1363" s="41"/>
      <c r="I1363" s="41"/>
      <c r="J1363" s="41"/>
      <c r="K1363" s="41"/>
      <c r="L1363" s="41"/>
      <c r="M1363" s="41"/>
      <c r="N1363" s="41"/>
      <c r="O1363" s="41"/>
      <c r="P1363" s="28"/>
    </row>
    <row r="1364" customFormat="1" spans="1:16">
      <c r="A1364" s="39"/>
      <c r="B1364" s="40"/>
      <c r="C1364" s="41"/>
      <c r="D1364" s="41"/>
      <c r="E1364" s="41"/>
      <c r="F1364" s="41"/>
      <c r="G1364" s="41"/>
      <c r="H1364" s="41"/>
      <c r="I1364" s="41"/>
      <c r="J1364" s="41"/>
      <c r="K1364" s="41"/>
      <c r="L1364" s="41"/>
      <c r="M1364" s="41"/>
      <c r="N1364" s="41"/>
      <c r="O1364" s="41"/>
      <c r="P1364" s="28"/>
    </row>
    <row r="1365" customFormat="1" spans="1:16">
      <c r="A1365" s="39"/>
      <c r="B1365" s="40"/>
      <c r="C1365" s="41"/>
      <c r="D1365" s="41"/>
      <c r="E1365" s="41"/>
      <c r="F1365" s="41"/>
      <c r="G1365" s="41"/>
      <c r="H1365" s="41"/>
      <c r="I1365" s="41"/>
      <c r="J1365" s="41"/>
      <c r="K1365" s="41"/>
      <c r="L1365" s="41"/>
      <c r="M1365" s="41"/>
      <c r="N1365" s="41"/>
      <c r="O1365" s="41"/>
      <c r="P1365" s="28"/>
    </row>
    <row r="1366" customFormat="1" spans="1:16">
      <c r="A1366" s="39"/>
      <c r="B1366" s="40"/>
      <c r="C1366" s="41"/>
      <c r="D1366" s="41"/>
      <c r="E1366" s="41"/>
      <c r="F1366" s="41"/>
      <c r="G1366" s="41"/>
      <c r="H1366" s="41"/>
      <c r="I1366" s="41"/>
      <c r="J1366" s="41"/>
      <c r="K1366" s="41"/>
      <c r="L1366" s="41"/>
      <c r="M1366" s="41"/>
      <c r="N1366" s="41"/>
      <c r="O1366" s="41"/>
      <c r="P1366" s="28"/>
    </row>
    <row r="1367" customFormat="1" spans="1:16">
      <c r="A1367" s="39"/>
      <c r="B1367" s="40"/>
      <c r="C1367" s="41"/>
      <c r="D1367" s="41"/>
      <c r="E1367" s="41"/>
      <c r="F1367" s="41"/>
      <c r="G1367" s="41"/>
      <c r="H1367" s="41"/>
      <c r="I1367" s="41"/>
      <c r="J1367" s="41"/>
      <c r="K1367" s="41"/>
      <c r="L1367" s="41"/>
      <c r="M1367" s="41"/>
      <c r="N1367" s="41"/>
      <c r="O1367" s="41"/>
      <c r="P1367" s="28"/>
    </row>
    <row r="1368" customFormat="1" spans="1:16">
      <c r="A1368" s="39"/>
      <c r="B1368" s="40"/>
      <c r="C1368" s="41"/>
      <c r="D1368" s="41"/>
      <c r="E1368" s="41"/>
      <c r="F1368" s="41"/>
      <c r="G1368" s="41"/>
      <c r="H1368" s="41"/>
      <c r="I1368" s="41"/>
      <c r="J1368" s="41"/>
      <c r="K1368" s="41"/>
      <c r="L1368" s="41"/>
      <c r="M1368" s="41"/>
      <c r="N1368" s="41"/>
      <c r="O1368" s="41"/>
      <c r="P1368" s="28"/>
    </row>
    <row r="1369" customFormat="1" spans="1:16">
      <c r="A1369" s="39"/>
      <c r="B1369" s="40"/>
      <c r="C1369" s="41"/>
      <c r="D1369" s="41"/>
      <c r="E1369" s="41"/>
      <c r="F1369" s="41"/>
      <c r="G1369" s="41"/>
      <c r="H1369" s="41"/>
      <c r="I1369" s="41"/>
      <c r="J1369" s="41"/>
      <c r="K1369" s="41"/>
      <c r="L1369" s="41"/>
      <c r="M1369" s="41"/>
      <c r="N1369" s="41"/>
      <c r="O1369" s="41"/>
      <c r="P1369" s="28"/>
    </row>
    <row r="1370" customFormat="1" spans="1:16">
      <c r="A1370" s="39"/>
      <c r="B1370" s="40"/>
      <c r="C1370" s="41"/>
      <c r="D1370" s="41"/>
      <c r="E1370" s="41"/>
      <c r="F1370" s="41"/>
      <c r="G1370" s="41"/>
      <c r="H1370" s="41"/>
      <c r="I1370" s="41"/>
      <c r="J1370" s="41"/>
      <c r="K1370" s="41"/>
      <c r="L1370" s="41"/>
      <c r="M1370" s="41"/>
      <c r="N1370" s="41"/>
      <c r="O1370" s="41"/>
      <c r="P1370" s="28"/>
    </row>
    <row r="1371" customFormat="1" spans="1:16">
      <c r="A1371" s="39"/>
      <c r="B1371" s="40"/>
      <c r="C1371" s="41"/>
      <c r="D1371" s="41"/>
      <c r="E1371" s="41"/>
      <c r="F1371" s="41"/>
      <c r="G1371" s="41"/>
      <c r="H1371" s="41"/>
      <c r="I1371" s="41"/>
      <c r="J1371" s="41"/>
      <c r="K1371" s="41"/>
      <c r="L1371" s="41"/>
      <c r="M1371" s="41"/>
      <c r="N1371" s="41"/>
      <c r="O1371" s="41"/>
      <c r="P1371" s="28"/>
    </row>
    <row r="1372" customFormat="1" spans="1:16">
      <c r="A1372" s="39"/>
      <c r="B1372" s="40"/>
      <c r="C1372" s="41"/>
      <c r="D1372" s="41"/>
      <c r="E1372" s="41"/>
      <c r="F1372" s="41"/>
      <c r="G1372" s="41"/>
      <c r="H1372" s="41"/>
      <c r="I1372" s="41"/>
      <c r="J1372" s="41"/>
      <c r="K1372" s="41"/>
      <c r="L1372" s="41"/>
      <c r="M1372" s="41"/>
      <c r="N1372" s="41"/>
      <c r="O1372" s="41"/>
      <c r="P1372" s="28"/>
    </row>
    <row r="1373" customFormat="1" spans="1:16">
      <c r="A1373" s="39"/>
      <c r="B1373" s="40"/>
      <c r="C1373" s="41"/>
      <c r="D1373" s="41"/>
      <c r="E1373" s="41"/>
      <c r="F1373" s="41"/>
      <c r="G1373" s="41"/>
      <c r="H1373" s="41"/>
      <c r="I1373" s="41"/>
      <c r="J1373" s="41"/>
      <c r="K1373" s="41"/>
      <c r="L1373" s="41"/>
      <c r="M1373" s="41"/>
      <c r="N1373" s="41"/>
      <c r="O1373" s="41"/>
      <c r="P1373" s="28"/>
    </row>
    <row r="1374" customFormat="1" spans="1:16">
      <c r="A1374" s="39"/>
      <c r="B1374" s="40"/>
      <c r="C1374" s="41"/>
      <c r="D1374" s="41"/>
      <c r="E1374" s="41"/>
      <c r="F1374" s="41"/>
      <c r="G1374" s="41"/>
      <c r="H1374" s="41"/>
      <c r="I1374" s="41"/>
      <c r="J1374" s="41"/>
      <c r="K1374" s="41"/>
      <c r="L1374" s="41"/>
      <c r="M1374" s="41"/>
      <c r="N1374" s="41"/>
      <c r="O1374" s="41"/>
      <c r="P1374" s="28"/>
    </row>
    <row r="1375" customFormat="1" spans="1:16">
      <c r="A1375" s="39"/>
      <c r="B1375" s="40"/>
      <c r="C1375" s="41"/>
      <c r="D1375" s="41"/>
      <c r="E1375" s="41"/>
      <c r="F1375" s="41"/>
      <c r="G1375" s="41"/>
      <c r="H1375" s="41"/>
      <c r="I1375" s="41"/>
      <c r="J1375" s="41"/>
      <c r="K1375" s="41"/>
      <c r="L1375" s="41"/>
      <c r="M1375" s="41"/>
      <c r="N1375" s="41"/>
      <c r="O1375" s="41"/>
      <c r="P1375" s="28"/>
    </row>
    <row r="1376" customFormat="1" spans="1:16">
      <c r="A1376" s="39"/>
      <c r="B1376" s="40"/>
      <c r="C1376" s="41"/>
      <c r="D1376" s="41"/>
      <c r="E1376" s="41"/>
      <c r="F1376" s="41"/>
      <c r="G1376" s="41"/>
      <c r="H1376" s="41"/>
      <c r="I1376" s="41"/>
      <c r="J1376" s="41"/>
      <c r="K1376" s="41"/>
      <c r="L1376" s="41"/>
      <c r="M1376" s="41"/>
      <c r="N1376" s="41"/>
      <c r="O1376" s="41"/>
      <c r="P1376" s="28"/>
    </row>
    <row r="1377" customFormat="1" spans="1:16">
      <c r="A1377" s="39"/>
      <c r="B1377" s="40"/>
      <c r="C1377" s="41"/>
      <c r="D1377" s="41"/>
      <c r="E1377" s="41"/>
      <c r="F1377" s="41"/>
      <c r="G1377" s="41"/>
      <c r="H1377" s="41"/>
      <c r="I1377" s="41"/>
      <c r="J1377" s="41"/>
      <c r="K1377" s="41"/>
      <c r="L1377" s="41"/>
      <c r="M1377" s="41"/>
      <c r="N1377" s="41"/>
      <c r="O1377" s="41"/>
      <c r="P1377" s="28"/>
    </row>
    <row r="1378" customFormat="1" spans="1:16">
      <c r="A1378" s="39"/>
      <c r="B1378" s="40"/>
      <c r="C1378" s="41"/>
      <c r="D1378" s="41"/>
      <c r="E1378" s="41"/>
      <c r="F1378" s="41"/>
      <c r="G1378" s="41"/>
      <c r="H1378" s="41"/>
      <c r="I1378" s="41"/>
      <c r="J1378" s="41"/>
      <c r="K1378" s="41"/>
      <c r="L1378" s="41"/>
      <c r="M1378" s="41"/>
      <c r="N1378" s="41"/>
      <c r="O1378" s="41"/>
      <c r="P1378" s="28"/>
    </row>
    <row r="1379" customFormat="1" spans="1:16">
      <c r="A1379" s="39"/>
      <c r="B1379" s="40"/>
      <c r="C1379" s="41"/>
      <c r="D1379" s="41"/>
      <c r="E1379" s="41"/>
      <c r="F1379" s="41"/>
      <c r="G1379" s="41"/>
      <c r="H1379" s="41"/>
      <c r="I1379" s="41"/>
      <c r="J1379" s="41"/>
      <c r="K1379" s="41"/>
      <c r="L1379" s="41"/>
      <c r="M1379" s="41"/>
      <c r="N1379" s="41"/>
      <c r="O1379" s="41"/>
      <c r="P1379" s="28"/>
    </row>
    <row r="1380" customFormat="1" spans="1:16">
      <c r="A1380" s="39"/>
      <c r="B1380" s="40"/>
      <c r="C1380" s="41"/>
      <c r="D1380" s="41"/>
      <c r="E1380" s="41"/>
      <c r="F1380" s="41"/>
      <c r="G1380" s="41"/>
      <c r="H1380" s="41"/>
      <c r="I1380" s="41"/>
      <c r="J1380" s="41"/>
      <c r="K1380" s="41"/>
      <c r="L1380" s="41"/>
      <c r="M1380" s="41"/>
      <c r="N1380" s="41"/>
      <c r="O1380" s="41"/>
      <c r="P1380" s="28"/>
    </row>
    <row r="1381" customFormat="1" spans="1:16">
      <c r="A1381" s="39"/>
      <c r="B1381" s="40"/>
      <c r="C1381" s="41"/>
      <c r="D1381" s="41"/>
      <c r="E1381" s="41"/>
      <c r="F1381" s="41"/>
      <c r="G1381" s="41"/>
      <c r="H1381" s="41"/>
      <c r="I1381" s="41"/>
      <c r="J1381" s="41"/>
      <c r="K1381" s="41"/>
      <c r="L1381" s="41"/>
      <c r="M1381" s="41"/>
      <c r="N1381" s="41"/>
      <c r="O1381" s="41"/>
      <c r="P1381" s="28"/>
    </row>
    <row r="1382" customFormat="1" spans="1:16">
      <c r="A1382" s="39"/>
      <c r="B1382" s="40"/>
      <c r="C1382" s="41"/>
      <c r="D1382" s="41"/>
      <c r="E1382" s="41"/>
      <c r="F1382" s="41"/>
      <c r="G1382" s="41"/>
      <c r="H1382" s="41"/>
      <c r="I1382" s="41"/>
      <c r="J1382" s="41"/>
      <c r="K1382" s="41"/>
      <c r="L1382" s="41"/>
      <c r="M1382" s="41"/>
      <c r="N1382" s="41"/>
      <c r="O1382" s="41"/>
      <c r="P1382" s="28"/>
    </row>
    <row r="1383" customFormat="1" spans="1:16">
      <c r="A1383" s="39"/>
      <c r="B1383" s="40"/>
      <c r="C1383" s="41"/>
      <c r="D1383" s="41"/>
      <c r="E1383" s="41"/>
      <c r="F1383" s="41"/>
      <c r="G1383" s="41"/>
      <c r="H1383" s="41"/>
      <c r="I1383" s="41"/>
      <c r="J1383" s="41"/>
      <c r="K1383" s="41"/>
      <c r="L1383" s="41"/>
      <c r="M1383" s="41"/>
      <c r="N1383" s="41"/>
      <c r="O1383" s="41"/>
      <c r="P1383" s="28"/>
    </row>
    <row r="1384" customFormat="1" spans="1:16">
      <c r="A1384" s="39"/>
      <c r="B1384" s="40"/>
      <c r="C1384" s="41"/>
      <c r="D1384" s="41"/>
      <c r="E1384" s="41"/>
      <c r="F1384" s="41"/>
      <c r="G1384" s="41"/>
      <c r="H1384" s="41"/>
      <c r="I1384" s="41"/>
      <c r="J1384" s="41"/>
      <c r="K1384" s="41"/>
      <c r="L1384" s="41"/>
      <c r="M1384" s="41"/>
      <c r="N1384" s="41"/>
      <c r="O1384" s="41"/>
      <c r="P1384" s="28"/>
    </row>
    <row r="1385" customFormat="1" spans="1:16">
      <c r="A1385" s="39"/>
      <c r="B1385" s="40"/>
      <c r="C1385" s="41"/>
      <c r="D1385" s="41"/>
      <c r="E1385" s="41"/>
      <c r="F1385" s="41"/>
      <c r="G1385" s="41"/>
      <c r="H1385" s="41"/>
      <c r="I1385" s="41"/>
      <c r="J1385" s="41"/>
      <c r="K1385" s="41"/>
      <c r="L1385" s="41"/>
      <c r="M1385" s="41"/>
      <c r="N1385" s="41"/>
      <c r="O1385" s="41"/>
      <c r="P1385" s="28"/>
    </row>
    <row r="1386" customFormat="1" spans="1:16">
      <c r="A1386" s="39"/>
      <c r="B1386" s="40"/>
      <c r="C1386" s="41"/>
      <c r="D1386" s="41"/>
      <c r="E1386" s="41"/>
      <c r="F1386" s="41"/>
      <c r="G1386" s="41"/>
      <c r="H1386" s="41"/>
      <c r="I1386" s="41"/>
      <c r="J1386" s="41"/>
      <c r="K1386" s="41"/>
      <c r="L1386" s="41"/>
      <c r="M1386" s="41"/>
      <c r="N1386" s="41"/>
      <c r="O1386" s="41"/>
      <c r="P1386" s="28"/>
    </row>
    <row r="1387" customFormat="1" spans="1:16">
      <c r="A1387" s="39"/>
      <c r="B1387" s="40"/>
      <c r="C1387" s="41"/>
      <c r="D1387" s="41"/>
      <c r="E1387" s="41"/>
      <c r="F1387" s="41"/>
      <c r="G1387" s="41"/>
      <c r="H1387" s="41"/>
      <c r="I1387" s="41"/>
      <c r="J1387" s="41"/>
      <c r="K1387" s="41"/>
      <c r="L1387" s="41"/>
      <c r="M1387" s="41"/>
      <c r="N1387" s="41"/>
      <c r="O1387" s="41"/>
      <c r="P1387" s="28"/>
    </row>
    <row r="1388" customFormat="1" spans="1:16">
      <c r="A1388" s="39"/>
      <c r="B1388" s="40"/>
      <c r="C1388" s="41"/>
      <c r="D1388" s="41"/>
      <c r="E1388" s="41"/>
      <c r="F1388" s="41"/>
      <c r="G1388" s="41"/>
      <c r="H1388" s="41"/>
      <c r="I1388" s="41"/>
      <c r="J1388" s="41"/>
      <c r="K1388" s="41"/>
      <c r="L1388" s="41"/>
      <c r="M1388" s="41"/>
      <c r="N1388" s="41"/>
      <c r="O1388" s="41"/>
      <c r="P1388" s="28"/>
    </row>
    <row r="1389" customFormat="1" spans="1:16">
      <c r="A1389" s="39"/>
      <c r="B1389" s="40"/>
      <c r="C1389" s="41"/>
      <c r="D1389" s="41"/>
      <c r="E1389" s="41"/>
      <c r="F1389" s="41"/>
      <c r="G1389" s="41"/>
      <c r="H1389" s="41"/>
      <c r="I1389" s="41"/>
      <c r="J1389" s="41"/>
      <c r="K1389" s="41"/>
      <c r="L1389" s="41"/>
      <c r="M1389" s="41"/>
      <c r="N1389" s="41"/>
      <c r="O1389" s="41"/>
      <c r="P1389" s="28"/>
    </row>
    <row r="1390" customFormat="1" spans="1:16">
      <c r="A1390" s="39"/>
      <c r="B1390" s="40"/>
      <c r="C1390" s="41"/>
      <c r="D1390" s="41"/>
      <c r="E1390" s="41"/>
      <c r="F1390" s="41"/>
      <c r="G1390" s="41"/>
      <c r="H1390" s="41"/>
      <c r="I1390" s="41"/>
      <c r="J1390" s="41"/>
      <c r="K1390" s="41"/>
      <c r="L1390" s="41"/>
      <c r="M1390" s="41"/>
      <c r="N1390" s="41"/>
      <c r="O1390" s="41"/>
      <c r="P1390" s="28"/>
    </row>
    <row r="1391" customFormat="1" spans="1:16">
      <c r="A1391" s="39"/>
      <c r="B1391" s="40"/>
      <c r="C1391" s="41"/>
      <c r="D1391" s="41"/>
      <c r="E1391" s="41"/>
      <c r="F1391" s="41"/>
      <c r="G1391" s="41"/>
      <c r="H1391" s="41"/>
      <c r="I1391" s="41"/>
      <c r="J1391" s="41"/>
      <c r="K1391" s="41"/>
      <c r="L1391" s="41"/>
      <c r="M1391" s="41"/>
      <c r="N1391" s="41"/>
      <c r="O1391" s="41"/>
      <c r="P1391" s="28"/>
    </row>
    <row r="1392" customFormat="1" spans="1:16">
      <c r="A1392" s="39"/>
      <c r="B1392" s="40"/>
      <c r="C1392" s="41"/>
      <c r="D1392" s="41"/>
      <c r="E1392" s="41"/>
      <c r="F1392" s="41"/>
      <c r="G1392" s="41"/>
      <c r="H1392" s="41"/>
      <c r="I1392" s="41"/>
      <c r="J1392" s="41"/>
      <c r="K1392" s="41"/>
      <c r="L1392" s="41"/>
      <c r="M1392" s="41"/>
      <c r="N1392" s="41"/>
      <c r="O1392" s="41"/>
      <c r="P1392" s="28"/>
    </row>
    <row r="1393" customFormat="1" spans="1:16">
      <c r="A1393" s="39"/>
      <c r="B1393" s="40"/>
      <c r="C1393" s="41"/>
      <c r="D1393" s="41"/>
      <c r="E1393" s="41"/>
      <c r="F1393" s="41"/>
      <c r="G1393" s="41"/>
      <c r="H1393" s="41"/>
      <c r="I1393" s="41"/>
      <c r="J1393" s="41"/>
      <c r="K1393" s="41"/>
      <c r="L1393" s="41"/>
      <c r="M1393" s="41"/>
      <c r="N1393" s="41"/>
      <c r="O1393" s="41"/>
      <c r="P1393" s="28"/>
    </row>
    <row r="1394" customFormat="1" spans="1:16">
      <c r="A1394" s="39"/>
      <c r="B1394" s="40"/>
      <c r="C1394" s="41"/>
      <c r="D1394" s="41"/>
      <c r="E1394" s="41"/>
      <c r="F1394" s="41"/>
      <c r="G1394" s="41"/>
      <c r="H1394" s="41"/>
      <c r="I1394" s="41"/>
      <c r="J1394" s="41"/>
      <c r="K1394" s="41"/>
      <c r="L1394" s="41"/>
      <c r="M1394" s="41"/>
      <c r="N1394" s="41"/>
      <c r="O1394" s="41"/>
      <c r="P1394" s="28"/>
    </row>
    <row r="1395" customFormat="1" spans="1:16">
      <c r="A1395" s="39"/>
      <c r="B1395" s="40"/>
      <c r="C1395" s="41"/>
      <c r="D1395" s="41"/>
      <c r="E1395" s="41"/>
      <c r="F1395" s="41"/>
      <c r="G1395" s="41"/>
      <c r="H1395" s="41"/>
      <c r="I1395" s="41"/>
      <c r="J1395" s="41"/>
      <c r="K1395" s="41"/>
      <c r="L1395" s="41"/>
      <c r="M1395" s="41"/>
      <c r="N1395" s="41"/>
      <c r="O1395" s="41"/>
      <c r="P1395" s="28"/>
    </row>
    <row r="1396" customFormat="1" spans="1:16">
      <c r="A1396" s="39"/>
      <c r="B1396" s="40"/>
      <c r="C1396" s="41"/>
      <c r="D1396" s="41"/>
      <c r="E1396" s="41"/>
      <c r="F1396" s="41"/>
      <c r="G1396" s="41"/>
      <c r="H1396" s="41"/>
      <c r="I1396" s="41"/>
      <c r="J1396" s="41"/>
      <c r="K1396" s="41"/>
      <c r="L1396" s="41"/>
      <c r="M1396" s="41"/>
      <c r="N1396" s="41"/>
      <c r="O1396" s="41"/>
      <c r="P1396" s="28"/>
    </row>
    <row r="1397" customFormat="1" spans="1:16">
      <c r="A1397" s="39"/>
      <c r="B1397" s="40"/>
      <c r="C1397" s="41"/>
      <c r="D1397" s="41"/>
      <c r="E1397" s="41"/>
      <c r="F1397" s="41"/>
      <c r="G1397" s="41"/>
      <c r="H1397" s="41"/>
      <c r="I1397" s="41"/>
      <c r="J1397" s="41"/>
      <c r="K1397" s="41"/>
      <c r="L1397" s="41"/>
      <c r="M1397" s="41"/>
      <c r="N1397" s="41"/>
      <c r="O1397" s="41"/>
      <c r="P1397" s="28"/>
    </row>
    <row r="1398" customFormat="1" spans="1:16">
      <c r="A1398" s="39"/>
      <c r="B1398" s="40"/>
      <c r="C1398" s="41"/>
      <c r="D1398" s="41"/>
      <c r="E1398" s="41"/>
      <c r="F1398" s="41"/>
      <c r="G1398" s="41"/>
      <c r="H1398" s="41"/>
      <c r="I1398" s="41"/>
      <c r="J1398" s="41"/>
      <c r="K1398" s="41"/>
      <c r="L1398" s="41"/>
      <c r="M1398" s="41"/>
      <c r="N1398" s="41"/>
      <c r="O1398" s="41"/>
      <c r="P1398" s="28"/>
    </row>
    <row r="1399" customFormat="1" spans="1:16">
      <c r="A1399" s="39"/>
      <c r="B1399" s="40"/>
      <c r="C1399" s="41"/>
      <c r="D1399" s="41"/>
      <c r="E1399" s="41"/>
      <c r="F1399" s="41"/>
      <c r="G1399" s="41"/>
      <c r="H1399" s="41"/>
      <c r="I1399" s="41"/>
      <c r="J1399" s="41"/>
      <c r="K1399" s="41"/>
      <c r="L1399" s="41"/>
      <c r="M1399" s="41"/>
      <c r="N1399" s="41"/>
      <c r="O1399" s="41"/>
      <c r="P1399" s="28"/>
    </row>
    <row r="1400" customFormat="1" spans="1:16">
      <c r="A1400" s="39"/>
      <c r="B1400" s="40"/>
      <c r="C1400" s="41"/>
      <c r="D1400" s="41"/>
      <c r="E1400" s="41"/>
      <c r="F1400" s="41"/>
      <c r="G1400" s="41"/>
      <c r="H1400" s="41"/>
      <c r="I1400" s="41"/>
      <c r="J1400" s="41"/>
      <c r="K1400" s="41"/>
      <c r="L1400" s="41"/>
      <c r="M1400" s="41"/>
      <c r="N1400" s="41"/>
      <c r="O1400" s="41"/>
      <c r="P1400" s="28"/>
    </row>
    <row r="1401" customFormat="1" spans="1:16">
      <c r="A1401" s="39"/>
      <c r="B1401" s="40"/>
      <c r="C1401" s="41"/>
      <c r="D1401" s="41"/>
      <c r="E1401" s="41"/>
      <c r="F1401" s="41"/>
      <c r="G1401" s="41"/>
      <c r="H1401" s="41"/>
      <c r="I1401" s="41"/>
      <c r="J1401" s="41"/>
      <c r="K1401" s="41"/>
      <c r="L1401" s="41"/>
      <c r="M1401" s="41"/>
      <c r="N1401" s="41"/>
      <c r="O1401" s="41"/>
      <c r="P1401" s="28"/>
    </row>
    <row r="1402" customFormat="1" spans="1:16">
      <c r="A1402" s="39"/>
      <c r="B1402" s="40"/>
      <c r="C1402" s="41"/>
      <c r="D1402" s="41"/>
      <c r="E1402" s="41"/>
      <c r="F1402" s="41"/>
      <c r="G1402" s="41"/>
      <c r="H1402" s="41"/>
      <c r="I1402" s="41"/>
      <c r="J1402" s="41"/>
      <c r="K1402" s="41"/>
      <c r="L1402" s="41"/>
      <c r="M1402" s="41"/>
      <c r="N1402" s="41"/>
      <c r="O1402" s="41"/>
      <c r="P1402" s="28"/>
    </row>
    <row r="1403" customFormat="1" spans="1:16">
      <c r="A1403" s="39"/>
      <c r="B1403" s="40"/>
      <c r="C1403" s="41"/>
      <c r="D1403" s="41"/>
      <c r="E1403" s="41"/>
      <c r="F1403" s="41"/>
      <c r="G1403" s="41"/>
      <c r="H1403" s="41"/>
      <c r="I1403" s="41"/>
      <c r="J1403" s="41"/>
      <c r="K1403" s="41"/>
      <c r="L1403" s="41"/>
      <c r="M1403" s="41"/>
      <c r="N1403" s="41"/>
      <c r="O1403" s="41"/>
      <c r="P1403" s="28"/>
    </row>
    <row r="1404" customFormat="1" spans="1:16">
      <c r="A1404" s="39"/>
      <c r="B1404" s="40"/>
      <c r="C1404" s="41"/>
      <c r="D1404" s="41"/>
      <c r="E1404" s="41"/>
      <c r="F1404" s="41"/>
      <c r="G1404" s="41"/>
      <c r="H1404" s="41"/>
      <c r="I1404" s="41"/>
      <c r="J1404" s="41"/>
      <c r="K1404" s="41"/>
      <c r="L1404" s="41"/>
      <c r="M1404" s="41"/>
      <c r="N1404" s="41"/>
      <c r="O1404" s="41"/>
      <c r="P1404" s="28"/>
    </row>
    <row r="1405" customFormat="1" spans="1:16">
      <c r="A1405" s="39"/>
      <c r="B1405" s="40"/>
      <c r="C1405" s="41"/>
      <c r="D1405" s="41"/>
      <c r="E1405" s="41"/>
      <c r="F1405" s="41"/>
      <c r="G1405" s="41"/>
      <c r="H1405" s="41"/>
      <c r="I1405" s="41"/>
      <c r="J1405" s="41"/>
      <c r="K1405" s="41"/>
      <c r="L1405" s="41"/>
      <c r="M1405" s="41"/>
      <c r="N1405" s="41"/>
      <c r="O1405" s="41"/>
      <c r="P1405" s="28"/>
    </row>
    <row r="1406" customFormat="1" spans="1:16">
      <c r="A1406" s="39"/>
      <c r="B1406" s="40"/>
      <c r="C1406" s="41"/>
      <c r="D1406" s="41"/>
      <c r="E1406" s="41"/>
      <c r="F1406" s="41"/>
      <c r="G1406" s="41"/>
      <c r="H1406" s="41"/>
      <c r="I1406" s="41"/>
      <c r="J1406" s="41"/>
      <c r="K1406" s="41"/>
      <c r="L1406" s="41"/>
      <c r="M1406" s="41"/>
      <c r="N1406" s="41"/>
      <c r="O1406" s="41"/>
      <c r="P1406" s="28"/>
    </row>
    <row r="1407" customFormat="1" spans="1:16">
      <c r="A1407" s="39"/>
      <c r="B1407" s="40"/>
      <c r="C1407" s="41"/>
      <c r="D1407" s="41"/>
      <c r="E1407" s="41"/>
      <c r="F1407" s="41"/>
      <c r="G1407" s="41"/>
      <c r="H1407" s="41"/>
      <c r="I1407" s="41"/>
      <c r="J1407" s="41"/>
      <c r="K1407" s="41"/>
      <c r="L1407" s="41"/>
      <c r="M1407" s="41"/>
      <c r="N1407" s="41"/>
      <c r="O1407" s="41"/>
      <c r="P1407" s="28"/>
    </row>
    <row r="1408" customFormat="1" spans="1:16">
      <c r="A1408" s="39"/>
      <c r="B1408" s="40"/>
      <c r="C1408" s="41"/>
      <c r="D1408" s="41"/>
      <c r="E1408" s="41"/>
      <c r="F1408" s="41"/>
      <c r="G1408" s="41"/>
      <c r="H1408" s="41"/>
      <c r="I1408" s="41"/>
      <c r="J1408" s="41"/>
      <c r="K1408" s="41"/>
      <c r="L1408" s="41"/>
      <c r="M1408" s="41"/>
      <c r="N1408" s="41"/>
      <c r="O1408" s="41"/>
      <c r="P1408" s="28"/>
    </row>
    <row r="1409" customFormat="1" spans="1:16">
      <c r="A1409" s="39"/>
      <c r="B1409" s="40"/>
      <c r="C1409" s="41"/>
      <c r="D1409" s="41"/>
      <c r="E1409" s="41"/>
      <c r="F1409" s="41"/>
      <c r="G1409" s="41"/>
      <c r="H1409" s="41"/>
      <c r="I1409" s="41"/>
      <c r="J1409" s="41"/>
      <c r="K1409" s="41"/>
      <c r="L1409" s="41"/>
      <c r="M1409" s="41"/>
      <c r="N1409" s="41"/>
      <c r="O1409" s="41"/>
      <c r="P1409" s="28"/>
    </row>
    <row r="1410" customFormat="1" spans="1:16">
      <c r="A1410" s="39"/>
      <c r="B1410" s="40"/>
      <c r="C1410" s="41"/>
      <c r="D1410" s="41"/>
      <c r="E1410" s="41"/>
      <c r="F1410" s="41"/>
      <c r="G1410" s="41"/>
      <c r="H1410" s="41"/>
      <c r="I1410" s="41"/>
      <c r="J1410" s="41"/>
      <c r="K1410" s="41"/>
      <c r="L1410" s="41"/>
      <c r="M1410" s="41"/>
      <c r="N1410" s="41"/>
      <c r="O1410" s="41"/>
      <c r="P1410" s="28"/>
    </row>
    <row r="1411" customFormat="1" spans="1:16">
      <c r="A1411" s="39"/>
      <c r="B1411" s="40"/>
      <c r="C1411" s="41"/>
      <c r="D1411" s="41"/>
      <c r="E1411" s="41"/>
      <c r="F1411" s="41"/>
      <c r="G1411" s="41"/>
      <c r="H1411" s="41"/>
      <c r="I1411" s="41"/>
      <c r="J1411" s="41"/>
      <c r="K1411" s="41"/>
      <c r="L1411" s="41"/>
      <c r="M1411" s="41"/>
      <c r="N1411" s="41"/>
      <c r="O1411" s="41"/>
      <c r="P1411" s="28"/>
    </row>
    <row r="1412" customFormat="1" spans="1:16">
      <c r="A1412" s="39"/>
      <c r="B1412" s="40"/>
      <c r="C1412" s="41"/>
      <c r="D1412" s="41"/>
      <c r="E1412" s="41"/>
      <c r="F1412" s="41"/>
      <c r="G1412" s="41"/>
      <c r="H1412" s="41"/>
      <c r="I1412" s="41"/>
      <c r="J1412" s="41"/>
      <c r="K1412" s="41"/>
      <c r="L1412" s="41"/>
      <c r="M1412" s="41"/>
      <c r="N1412" s="41"/>
      <c r="O1412" s="41"/>
      <c r="P1412" s="28"/>
    </row>
    <row r="1413" customFormat="1" spans="1:16">
      <c r="A1413" s="39"/>
      <c r="B1413" s="40"/>
      <c r="C1413" s="41"/>
      <c r="D1413" s="41"/>
      <c r="E1413" s="41"/>
      <c r="F1413" s="41"/>
      <c r="G1413" s="41"/>
      <c r="H1413" s="41"/>
      <c r="I1413" s="41"/>
      <c r="J1413" s="41"/>
      <c r="K1413" s="41"/>
      <c r="L1413" s="41"/>
      <c r="M1413" s="41"/>
      <c r="N1413" s="41"/>
      <c r="O1413" s="41"/>
      <c r="P1413" s="28"/>
    </row>
    <row r="1414" customFormat="1" spans="1:16">
      <c r="A1414" s="39"/>
      <c r="B1414" s="40"/>
      <c r="C1414" s="41"/>
      <c r="D1414" s="41"/>
      <c r="E1414" s="41"/>
      <c r="F1414" s="41"/>
      <c r="G1414" s="41"/>
      <c r="H1414" s="41"/>
      <c r="I1414" s="41"/>
      <c r="J1414" s="41"/>
      <c r="K1414" s="41"/>
      <c r="L1414" s="41"/>
      <c r="M1414" s="41"/>
      <c r="N1414" s="41"/>
      <c r="O1414" s="41"/>
      <c r="P1414" s="28"/>
    </row>
    <row r="1415" customFormat="1" spans="1:16">
      <c r="A1415" s="39"/>
      <c r="B1415" s="40"/>
      <c r="C1415" s="41"/>
      <c r="D1415" s="41"/>
      <c r="E1415" s="41"/>
      <c r="F1415" s="41"/>
      <c r="G1415" s="41"/>
      <c r="H1415" s="41"/>
      <c r="I1415" s="41"/>
      <c r="J1415" s="41"/>
      <c r="K1415" s="41"/>
      <c r="L1415" s="41"/>
      <c r="M1415" s="41"/>
      <c r="N1415" s="41"/>
      <c r="O1415" s="41"/>
      <c r="P1415" s="28"/>
    </row>
    <row r="1416" customFormat="1" spans="1:16">
      <c r="A1416" s="39"/>
      <c r="B1416" s="40"/>
      <c r="C1416" s="41"/>
      <c r="D1416" s="41"/>
      <c r="E1416" s="41"/>
      <c r="F1416" s="41"/>
      <c r="G1416" s="41"/>
      <c r="H1416" s="41"/>
      <c r="I1416" s="41"/>
      <c r="J1416" s="41"/>
      <c r="K1416" s="41"/>
      <c r="L1416" s="41"/>
      <c r="M1416" s="41"/>
      <c r="N1416" s="41"/>
      <c r="O1416" s="41"/>
      <c r="P1416" s="28"/>
    </row>
    <row r="1417" customFormat="1" spans="1:16">
      <c r="A1417" s="39"/>
      <c r="B1417" s="40"/>
      <c r="C1417" s="41"/>
      <c r="D1417" s="41"/>
      <c r="E1417" s="41"/>
      <c r="F1417" s="41"/>
      <c r="G1417" s="41"/>
      <c r="H1417" s="41"/>
      <c r="I1417" s="41"/>
      <c r="J1417" s="41"/>
      <c r="K1417" s="41"/>
      <c r="L1417" s="41"/>
      <c r="M1417" s="41"/>
      <c r="N1417" s="41"/>
      <c r="O1417" s="41"/>
      <c r="P1417" s="28"/>
    </row>
    <row r="1418" customFormat="1" spans="1:16">
      <c r="A1418" s="39"/>
      <c r="B1418" s="40"/>
      <c r="C1418" s="41"/>
      <c r="D1418" s="41"/>
      <c r="E1418" s="41"/>
      <c r="F1418" s="41"/>
      <c r="G1418" s="41"/>
      <c r="H1418" s="41"/>
      <c r="I1418" s="41"/>
      <c r="J1418" s="41"/>
      <c r="K1418" s="41"/>
      <c r="L1418" s="41"/>
      <c r="M1418" s="41"/>
      <c r="N1418" s="41"/>
      <c r="O1418" s="41"/>
      <c r="P1418" s="28"/>
    </row>
    <row r="1419" customFormat="1" spans="1:16">
      <c r="A1419" s="39"/>
      <c r="B1419" s="40"/>
      <c r="C1419" s="41"/>
      <c r="D1419" s="41"/>
      <c r="E1419" s="41"/>
      <c r="F1419" s="41"/>
      <c r="G1419" s="41"/>
      <c r="H1419" s="41"/>
      <c r="I1419" s="41"/>
      <c r="J1419" s="41"/>
      <c r="K1419" s="41"/>
      <c r="L1419" s="41"/>
      <c r="M1419" s="41"/>
      <c r="N1419" s="41"/>
      <c r="O1419" s="41"/>
      <c r="P1419" s="28"/>
    </row>
    <row r="1420" customFormat="1" spans="1:16">
      <c r="A1420" s="39"/>
      <c r="B1420" s="40"/>
      <c r="C1420" s="41"/>
      <c r="D1420" s="41"/>
      <c r="E1420" s="41"/>
      <c r="F1420" s="41"/>
      <c r="G1420" s="41"/>
      <c r="H1420" s="41"/>
      <c r="I1420" s="41"/>
      <c r="J1420" s="41"/>
      <c r="K1420" s="41"/>
      <c r="L1420" s="41"/>
      <c r="M1420" s="41"/>
      <c r="N1420" s="41"/>
      <c r="O1420" s="41"/>
      <c r="P1420" s="28"/>
    </row>
    <row r="1421" customFormat="1" spans="1:16">
      <c r="A1421" s="39"/>
      <c r="B1421" s="40"/>
      <c r="C1421" s="41"/>
      <c r="D1421" s="41"/>
      <c r="E1421" s="41"/>
      <c r="F1421" s="41"/>
      <c r="G1421" s="41"/>
      <c r="H1421" s="41"/>
      <c r="I1421" s="41"/>
      <c r="J1421" s="41"/>
      <c r="K1421" s="41"/>
      <c r="L1421" s="41"/>
      <c r="M1421" s="41"/>
      <c r="N1421" s="41"/>
      <c r="O1421" s="41"/>
      <c r="P1421" s="28"/>
    </row>
    <row r="1422" customFormat="1" spans="1:16">
      <c r="A1422" s="39"/>
      <c r="B1422" s="40"/>
      <c r="C1422" s="41"/>
      <c r="D1422" s="41"/>
      <c r="E1422" s="41"/>
      <c r="F1422" s="41"/>
      <c r="G1422" s="41"/>
      <c r="H1422" s="41"/>
      <c r="I1422" s="41"/>
      <c r="J1422" s="41"/>
      <c r="K1422" s="41"/>
      <c r="L1422" s="41"/>
      <c r="M1422" s="41"/>
      <c r="N1422" s="41"/>
      <c r="O1422" s="41"/>
      <c r="P1422" s="28"/>
    </row>
    <row r="1423" customFormat="1" spans="1:16">
      <c r="A1423" s="39"/>
      <c r="B1423" s="40"/>
      <c r="C1423" s="41"/>
      <c r="D1423" s="41"/>
      <c r="E1423" s="41"/>
      <c r="F1423" s="41"/>
      <c r="G1423" s="41"/>
      <c r="H1423" s="41"/>
      <c r="I1423" s="41"/>
      <c r="J1423" s="41"/>
      <c r="K1423" s="41"/>
      <c r="L1423" s="41"/>
      <c r="M1423" s="41"/>
      <c r="N1423" s="41"/>
      <c r="O1423" s="41"/>
      <c r="P1423" s="28"/>
    </row>
    <row r="1424" customFormat="1" spans="1:16">
      <c r="A1424" s="39"/>
      <c r="B1424" s="40"/>
      <c r="C1424" s="41"/>
      <c r="D1424" s="41"/>
      <c r="E1424" s="41"/>
      <c r="F1424" s="41"/>
      <c r="G1424" s="41"/>
      <c r="H1424" s="41"/>
      <c r="I1424" s="41"/>
      <c r="J1424" s="41"/>
      <c r="K1424" s="41"/>
      <c r="L1424" s="41"/>
      <c r="M1424" s="41"/>
      <c r="N1424" s="41"/>
      <c r="O1424" s="41"/>
      <c r="P1424" s="28"/>
    </row>
    <row r="1425" customFormat="1" spans="1:16">
      <c r="A1425" s="39"/>
      <c r="B1425" s="40"/>
      <c r="C1425" s="41"/>
      <c r="D1425" s="41"/>
      <c r="E1425" s="41"/>
      <c r="F1425" s="41"/>
      <c r="G1425" s="41"/>
      <c r="H1425" s="41"/>
      <c r="I1425" s="41"/>
      <c r="J1425" s="41"/>
      <c r="K1425" s="41"/>
      <c r="L1425" s="41"/>
      <c r="M1425" s="41"/>
      <c r="N1425" s="41"/>
      <c r="O1425" s="41"/>
      <c r="P1425" s="28"/>
    </row>
    <row r="1426" customFormat="1" spans="1:16">
      <c r="A1426" s="39"/>
      <c r="B1426" s="40"/>
      <c r="C1426" s="41"/>
      <c r="D1426" s="41"/>
      <c r="E1426" s="41"/>
      <c r="F1426" s="41"/>
      <c r="G1426" s="41"/>
      <c r="H1426" s="41"/>
      <c r="I1426" s="41"/>
      <c r="J1426" s="41"/>
      <c r="K1426" s="41"/>
      <c r="L1426" s="41"/>
      <c r="M1426" s="41"/>
      <c r="N1426" s="41"/>
      <c r="O1426" s="41"/>
      <c r="P1426" s="28"/>
    </row>
    <row r="1427" customFormat="1" spans="1:16">
      <c r="A1427" s="39"/>
      <c r="B1427" s="40"/>
      <c r="C1427" s="41"/>
      <c r="D1427" s="41"/>
      <c r="E1427" s="41"/>
      <c r="F1427" s="41"/>
      <c r="G1427" s="41"/>
      <c r="H1427" s="41"/>
      <c r="I1427" s="41"/>
      <c r="J1427" s="41"/>
      <c r="K1427" s="41"/>
      <c r="L1427" s="41"/>
      <c r="M1427" s="41"/>
      <c r="N1427" s="41"/>
      <c r="O1427" s="41"/>
      <c r="P1427" s="28"/>
    </row>
    <row r="1428" customFormat="1" spans="1:16">
      <c r="A1428" s="39"/>
      <c r="B1428" s="40"/>
      <c r="C1428" s="41"/>
      <c r="D1428" s="41"/>
      <c r="E1428" s="41"/>
      <c r="F1428" s="41"/>
      <c r="G1428" s="41"/>
      <c r="H1428" s="41"/>
      <c r="I1428" s="41"/>
      <c r="J1428" s="41"/>
      <c r="K1428" s="41"/>
      <c r="L1428" s="41"/>
      <c r="M1428" s="41"/>
      <c r="N1428" s="41"/>
      <c r="O1428" s="41"/>
      <c r="P1428" s="28"/>
    </row>
    <row r="1429" customFormat="1" spans="1:16">
      <c r="A1429" s="39"/>
      <c r="B1429" s="40"/>
      <c r="C1429" s="41"/>
      <c r="D1429" s="41"/>
      <c r="E1429" s="41"/>
      <c r="F1429" s="41"/>
      <c r="G1429" s="41"/>
      <c r="H1429" s="41"/>
      <c r="I1429" s="41"/>
      <c r="J1429" s="41"/>
      <c r="K1429" s="41"/>
      <c r="L1429" s="41"/>
      <c r="M1429" s="41"/>
      <c r="N1429" s="41"/>
      <c r="O1429" s="41"/>
      <c r="P1429" s="28"/>
    </row>
    <row r="1430" customFormat="1" spans="1:16">
      <c r="A1430" s="39"/>
      <c r="B1430" s="40"/>
      <c r="C1430" s="41"/>
      <c r="D1430" s="41"/>
      <c r="E1430" s="41"/>
      <c r="F1430" s="41"/>
      <c r="G1430" s="41"/>
      <c r="H1430" s="41"/>
      <c r="I1430" s="41"/>
      <c r="J1430" s="41"/>
      <c r="K1430" s="41"/>
      <c r="L1430" s="41"/>
      <c r="M1430" s="41"/>
      <c r="N1430" s="41"/>
      <c r="O1430" s="41"/>
      <c r="P1430" s="28"/>
    </row>
    <row r="1431" customFormat="1" spans="1:16">
      <c r="A1431" s="39"/>
      <c r="B1431" s="40"/>
      <c r="C1431" s="41"/>
      <c r="D1431" s="41"/>
      <c r="E1431" s="41"/>
      <c r="F1431" s="41"/>
      <c r="G1431" s="41"/>
      <c r="H1431" s="41"/>
      <c r="I1431" s="41"/>
      <c r="J1431" s="41"/>
      <c r="K1431" s="41"/>
      <c r="L1431" s="41"/>
      <c r="M1431" s="41"/>
      <c r="N1431" s="41"/>
      <c r="O1431" s="41"/>
      <c r="P1431" s="28"/>
    </row>
    <row r="1432" customFormat="1" spans="1:16">
      <c r="A1432" s="39"/>
      <c r="B1432" s="40"/>
      <c r="C1432" s="41"/>
      <c r="D1432" s="41"/>
      <c r="E1432" s="41"/>
      <c r="F1432" s="41"/>
      <c r="G1432" s="41"/>
      <c r="H1432" s="41"/>
      <c r="I1432" s="41"/>
      <c r="J1432" s="41"/>
      <c r="K1432" s="41"/>
      <c r="L1432" s="41"/>
      <c r="M1432" s="41"/>
      <c r="N1432" s="41"/>
      <c r="O1432" s="41"/>
      <c r="P1432" s="28"/>
    </row>
    <row r="1433" customFormat="1" spans="1:16">
      <c r="A1433" s="39"/>
      <c r="B1433" s="40"/>
      <c r="C1433" s="41"/>
      <c r="D1433" s="41"/>
      <c r="E1433" s="41"/>
      <c r="F1433" s="41"/>
      <c r="G1433" s="41"/>
      <c r="H1433" s="41"/>
      <c r="I1433" s="41"/>
      <c r="J1433" s="41"/>
      <c r="K1433" s="41"/>
      <c r="L1433" s="41"/>
      <c r="M1433" s="41"/>
      <c r="N1433" s="41"/>
      <c r="O1433" s="41"/>
      <c r="P1433" s="28"/>
    </row>
    <row r="1434" customFormat="1" spans="1:16">
      <c r="A1434" s="39"/>
      <c r="B1434" s="40"/>
      <c r="C1434" s="41"/>
      <c r="D1434" s="41"/>
      <c r="E1434" s="41"/>
      <c r="F1434" s="41"/>
      <c r="G1434" s="41"/>
      <c r="H1434" s="41"/>
      <c r="I1434" s="41"/>
      <c r="J1434" s="41"/>
      <c r="K1434" s="41"/>
      <c r="L1434" s="41"/>
      <c r="M1434" s="41"/>
      <c r="N1434" s="41"/>
      <c r="O1434" s="41"/>
      <c r="P1434" s="28"/>
    </row>
    <row r="1435" customFormat="1" spans="1:16">
      <c r="A1435" s="39"/>
      <c r="B1435" s="40"/>
      <c r="C1435" s="41"/>
      <c r="D1435" s="41"/>
      <c r="E1435" s="41"/>
      <c r="F1435" s="41"/>
      <c r="G1435" s="41"/>
      <c r="H1435" s="41"/>
      <c r="I1435" s="41"/>
      <c r="J1435" s="41"/>
      <c r="K1435" s="41"/>
      <c r="L1435" s="41"/>
      <c r="M1435" s="41"/>
      <c r="N1435" s="41"/>
      <c r="O1435" s="41"/>
      <c r="P1435" s="28"/>
    </row>
    <row r="1436" customFormat="1" spans="1:16">
      <c r="A1436" s="39"/>
      <c r="B1436" s="40"/>
      <c r="C1436" s="41"/>
      <c r="D1436" s="41"/>
      <c r="E1436" s="41"/>
      <c r="F1436" s="41"/>
      <c r="G1436" s="41"/>
      <c r="H1436" s="41"/>
      <c r="I1436" s="41"/>
      <c r="J1436" s="41"/>
      <c r="K1436" s="41"/>
      <c r="L1436" s="41"/>
      <c r="M1436" s="41"/>
      <c r="N1436" s="41"/>
      <c r="O1436" s="41"/>
      <c r="P1436" s="28"/>
    </row>
    <row r="1437" customFormat="1" spans="1:16">
      <c r="A1437" s="39"/>
      <c r="B1437" s="40"/>
      <c r="C1437" s="41"/>
      <c r="D1437" s="41"/>
      <c r="E1437" s="41"/>
      <c r="F1437" s="41"/>
      <c r="G1437" s="41"/>
      <c r="H1437" s="41"/>
      <c r="I1437" s="41"/>
      <c r="J1437" s="41"/>
      <c r="K1437" s="41"/>
      <c r="L1437" s="41"/>
      <c r="M1437" s="41"/>
      <c r="N1437" s="41"/>
      <c r="O1437" s="41"/>
      <c r="P1437" s="28"/>
    </row>
    <row r="1438" customFormat="1" spans="1:16">
      <c r="A1438" s="39"/>
      <c r="B1438" s="40"/>
      <c r="C1438" s="41"/>
      <c r="D1438" s="41"/>
      <c r="E1438" s="41"/>
      <c r="F1438" s="41"/>
      <c r="G1438" s="41"/>
      <c r="H1438" s="41"/>
      <c r="I1438" s="41"/>
      <c r="J1438" s="41"/>
      <c r="K1438" s="41"/>
      <c r="L1438" s="41"/>
      <c r="M1438" s="41"/>
      <c r="N1438" s="41"/>
      <c r="O1438" s="41"/>
      <c r="P1438" s="28"/>
    </row>
    <row r="1439" customFormat="1" spans="1:16">
      <c r="A1439" s="39"/>
      <c r="B1439" s="40"/>
      <c r="C1439" s="41"/>
      <c r="D1439" s="41"/>
      <c r="E1439" s="41"/>
      <c r="F1439" s="41"/>
      <c r="G1439" s="41"/>
      <c r="H1439" s="41"/>
      <c r="I1439" s="41"/>
      <c r="J1439" s="41"/>
      <c r="K1439" s="41"/>
      <c r="L1439" s="41"/>
      <c r="M1439" s="41"/>
      <c r="N1439" s="41"/>
      <c r="O1439" s="41"/>
      <c r="P1439" s="28"/>
    </row>
    <row r="1440" customFormat="1" spans="1:16">
      <c r="A1440" s="39"/>
      <c r="B1440" s="40"/>
      <c r="C1440" s="41"/>
      <c r="D1440" s="41"/>
      <c r="E1440" s="41"/>
      <c r="F1440" s="41"/>
      <c r="G1440" s="41"/>
      <c r="H1440" s="41"/>
      <c r="I1440" s="41"/>
      <c r="J1440" s="41"/>
      <c r="K1440" s="41"/>
      <c r="L1440" s="41"/>
      <c r="M1440" s="41"/>
      <c r="N1440" s="41"/>
      <c r="O1440" s="41"/>
      <c r="P1440" s="28"/>
    </row>
    <row r="1441" customFormat="1" spans="1:16">
      <c r="A1441" s="39"/>
      <c r="B1441" s="40"/>
      <c r="C1441" s="41"/>
      <c r="D1441" s="41"/>
      <c r="E1441" s="41"/>
      <c r="F1441" s="41"/>
      <c r="G1441" s="41"/>
      <c r="H1441" s="41"/>
      <c r="I1441" s="41"/>
      <c r="J1441" s="41"/>
      <c r="K1441" s="41"/>
      <c r="L1441" s="41"/>
      <c r="M1441" s="41"/>
      <c r="N1441" s="41"/>
      <c r="O1441" s="41"/>
      <c r="P1441" s="28"/>
    </row>
    <row r="1442" customFormat="1" spans="1:16">
      <c r="A1442" s="39"/>
      <c r="B1442" s="40"/>
      <c r="C1442" s="41"/>
      <c r="D1442" s="41"/>
      <c r="E1442" s="41"/>
      <c r="F1442" s="41"/>
      <c r="G1442" s="41"/>
      <c r="H1442" s="41"/>
      <c r="I1442" s="41"/>
      <c r="J1442" s="41"/>
      <c r="K1442" s="41"/>
      <c r="L1442" s="41"/>
      <c r="M1442" s="41"/>
      <c r="N1442" s="41"/>
      <c r="O1442" s="41"/>
      <c r="P1442" s="28"/>
    </row>
    <row r="1443" customFormat="1" spans="1:16">
      <c r="A1443" s="39"/>
      <c r="B1443" s="40"/>
      <c r="C1443" s="41"/>
      <c r="D1443" s="41"/>
      <c r="E1443" s="41"/>
      <c r="F1443" s="41"/>
      <c r="G1443" s="41"/>
      <c r="H1443" s="41"/>
      <c r="I1443" s="41"/>
      <c r="J1443" s="41"/>
      <c r="K1443" s="41"/>
      <c r="L1443" s="41"/>
      <c r="M1443" s="41"/>
      <c r="N1443" s="41"/>
      <c r="O1443" s="41"/>
      <c r="P1443" s="28"/>
    </row>
    <row r="1444" customFormat="1" spans="1:16">
      <c r="A1444" s="39"/>
      <c r="B1444" s="40"/>
      <c r="C1444" s="41"/>
      <c r="D1444" s="41"/>
      <c r="E1444" s="41"/>
      <c r="F1444" s="41"/>
      <c r="G1444" s="41"/>
      <c r="H1444" s="41"/>
      <c r="I1444" s="41"/>
      <c r="J1444" s="41"/>
      <c r="K1444" s="41"/>
      <c r="L1444" s="41"/>
      <c r="M1444" s="41"/>
      <c r="N1444" s="41"/>
      <c r="O1444" s="41"/>
      <c r="P1444" s="28"/>
    </row>
    <row r="1445" customFormat="1" spans="1:16">
      <c r="A1445" s="39"/>
      <c r="B1445" s="40"/>
      <c r="C1445" s="41"/>
      <c r="D1445" s="41"/>
      <c r="E1445" s="41"/>
      <c r="F1445" s="41"/>
      <c r="G1445" s="41"/>
      <c r="H1445" s="41"/>
      <c r="I1445" s="41"/>
      <c r="J1445" s="41"/>
      <c r="K1445" s="41"/>
      <c r="L1445" s="41"/>
      <c r="M1445" s="41"/>
      <c r="N1445" s="41"/>
      <c r="O1445" s="41"/>
      <c r="P1445" s="28"/>
    </row>
    <row r="1446" customFormat="1" spans="1:16">
      <c r="A1446" s="39"/>
      <c r="B1446" s="40"/>
      <c r="C1446" s="41"/>
      <c r="D1446" s="41"/>
      <c r="E1446" s="41"/>
      <c r="F1446" s="41"/>
      <c r="G1446" s="41"/>
      <c r="H1446" s="41"/>
      <c r="I1446" s="41"/>
      <c r="J1446" s="41"/>
      <c r="K1446" s="41"/>
      <c r="L1446" s="41"/>
      <c r="M1446" s="41"/>
      <c r="N1446" s="41"/>
      <c r="O1446" s="41"/>
      <c r="P1446" s="28"/>
    </row>
    <row r="1447" customFormat="1" spans="1:16">
      <c r="A1447" s="39"/>
      <c r="B1447" s="40"/>
      <c r="C1447" s="41"/>
      <c r="D1447" s="41"/>
      <c r="E1447" s="41"/>
      <c r="F1447" s="41"/>
      <c r="G1447" s="41"/>
      <c r="H1447" s="41"/>
      <c r="I1447" s="41"/>
      <c r="J1447" s="41"/>
      <c r="K1447" s="41"/>
      <c r="L1447" s="41"/>
      <c r="M1447" s="41"/>
      <c r="N1447" s="41"/>
      <c r="O1447" s="41"/>
      <c r="P1447" s="28"/>
    </row>
    <row r="1448" customFormat="1" spans="1:16">
      <c r="A1448" s="39"/>
      <c r="B1448" s="40"/>
      <c r="C1448" s="41"/>
      <c r="D1448" s="41"/>
      <c r="E1448" s="41"/>
      <c r="F1448" s="41"/>
      <c r="G1448" s="41"/>
      <c r="H1448" s="41"/>
      <c r="I1448" s="41"/>
      <c r="J1448" s="41"/>
      <c r="K1448" s="41"/>
      <c r="L1448" s="41"/>
      <c r="M1448" s="41"/>
      <c r="N1448" s="41"/>
      <c r="O1448" s="41"/>
      <c r="P1448" s="28"/>
    </row>
    <row r="1449" customFormat="1" spans="1:16">
      <c r="A1449" s="39"/>
      <c r="B1449" s="40"/>
      <c r="C1449" s="41"/>
      <c r="D1449" s="41"/>
      <c r="E1449" s="41"/>
      <c r="F1449" s="41"/>
      <c r="G1449" s="41"/>
      <c r="H1449" s="41"/>
      <c r="I1449" s="41"/>
      <c r="J1449" s="41"/>
      <c r="K1449" s="41"/>
      <c r="L1449" s="41"/>
      <c r="M1449" s="41"/>
      <c r="N1449" s="41"/>
      <c r="O1449" s="41"/>
      <c r="P1449" s="28"/>
    </row>
    <row r="1450" customFormat="1" spans="1:16">
      <c r="A1450" s="39"/>
      <c r="B1450" s="40"/>
      <c r="C1450" s="41"/>
      <c r="D1450" s="41"/>
      <c r="E1450" s="41"/>
      <c r="F1450" s="41"/>
      <c r="G1450" s="41"/>
      <c r="H1450" s="41"/>
      <c r="I1450" s="41"/>
      <c r="J1450" s="41"/>
      <c r="K1450" s="41"/>
      <c r="L1450" s="41"/>
      <c r="M1450" s="41"/>
      <c r="N1450" s="41"/>
      <c r="O1450" s="41"/>
      <c r="P1450" s="28"/>
    </row>
    <row r="1451" customFormat="1" spans="1:16">
      <c r="A1451" s="39"/>
      <c r="B1451" s="40"/>
      <c r="C1451" s="41"/>
      <c r="D1451" s="41"/>
      <c r="E1451" s="41"/>
      <c r="F1451" s="41"/>
      <c r="G1451" s="41"/>
      <c r="H1451" s="41"/>
      <c r="I1451" s="41"/>
      <c r="J1451" s="41"/>
      <c r="K1451" s="41"/>
      <c r="L1451" s="41"/>
      <c r="M1451" s="41"/>
      <c r="N1451" s="41"/>
      <c r="O1451" s="41"/>
      <c r="P1451" s="28"/>
    </row>
    <row r="1452" customFormat="1" spans="1:16">
      <c r="A1452" s="39"/>
      <c r="B1452" s="40"/>
      <c r="C1452" s="41"/>
      <c r="D1452" s="41"/>
      <c r="E1452" s="41"/>
      <c r="F1452" s="41"/>
      <c r="G1452" s="41"/>
      <c r="H1452" s="41"/>
      <c r="I1452" s="41"/>
      <c r="J1452" s="41"/>
      <c r="K1452" s="41"/>
      <c r="L1452" s="41"/>
      <c r="M1452" s="41"/>
      <c r="N1452" s="41"/>
      <c r="O1452" s="41"/>
      <c r="P1452" s="28"/>
    </row>
    <row r="1453" customFormat="1" spans="1:16">
      <c r="A1453" s="39"/>
      <c r="B1453" s="40"/>
      <c r="C1453" s="41"/>
      <c r="D1453" s="41"/>
      <c r="E1453" s="41"/>
      <c r="F1453" s="41"/>
      <c r="G1453" s="41"/>
      <c r="H1453" s="41"/>
      <c r="I1453" s="41"/>
      <c r="J1453" s="41"/>
      <c r="K1453" s="41"/>
      <c r="L1453" s="41"/>
      <c r="M1453" s="41"/>
      <c r="N1453" s="41"/>
      <c r="O1453" s="41"/>
      <c r="P1453" s="28"/>
    </row>
    <row r="1454" customFormat="1" spans="1:16">
      <c r="A1454" s="39"/>
      <c r="B1454" s="40"/>
      <c r="C1454" s="41"/>
      <c r="D1454" s="41"/>
      <c r="E1454" s="41"/>
      <c r="F1454" s="41"/>
      <c r="G1454" s="41"/>
      <c r="H1454" s="41"/>
      <c r="I1454" s="41"/>
      <c r="J1454" s="41"/>
      <c r="K1454" s="41"/>
      <c r="L1454" s="41"/>
      <c r="M1454" s="41"/>
      <c r="N1454" s="41"/>
      <c r="O1454" s="41"/>
      <c r="P1454" s="28"/>
    </row>
    <row r="1455" customFormat="1" spans="1:16">
      <c r="A1455" s="39"/>
      <c r="B1455" s="40"/>
      <c r="C1455" s="41"/>
      <c r="D1455" s="41"/>
      <c r="E1455" s="41"/>
      <c r="F1455" s="41"/>
      <c r="G1455" s="41"/>
      <c r="H1455" s="41"/>
      <c r="I1455" s="41"/>
      <c r="J1455" s="41"/>
      <c r="K1455" s="41"/>
      <c r="L1455" s="41"/>
      <c r="M1455" s="41"/>
      <c r="N1455" s="41"/>
      <c r="O1455" s="41"/>
      <c r="P1455" s="28"/>
    </row>
    <row r="1456" customFormat="1" spans="1:16">
      <c r="A1456" s="39"/>
      <c r="B1456" s="40"/>
      <c r="C1456" s="41"/>
      <c r="D1456" s="41"/>
      <c r="E1456" s="41"/>
      <c r="F1456" s="41"/>
      <c r="G1456" s="41"/>
      <c r="H1456" s="41"/>
      <c r="I1456" s="41"/>
      <c r="J1456" s="41"/>
      <c r="K1456" s="41"/>
      <c r="L1456" s="41"/>
      <c r="M1456" s="41"/>
      <c r="N1456" s="41"/>
      <c r="O1456" s="41"/>
      <c r="P1456" s="28"/>
    </row>
    <row r="1457" customFormat="1" spans="1:16">
      <c r="A1457" s="39"/>
      <c r="B1457" s="40"/>
      <c r="C1457" s="41"/>
      <c r="D1457" s="41"/>
      <c r="E1457" s="41"/>
      <c r="F1457" s="41"/>
      <c r="G1457" s="41"/>
      <c r="H1457" s="41"/>
      <c r="I1457" s="41"/>
      <c r="J1457" s="41"/>
      <c r="K1457" s="41"/>
      <c r="L1457" s="41"/>
      <c r="M1457" s="41"/>
      <c r="N1457" s="41"/>
      <c r="O1457" s="41"/>
      <c r="P1457" s="28"/>
    </row>
    <row r="1458" customFormat="1" spans="1:16">
      <c r="A1458" s="39"/>
      <c r="B1458" s="40"/>
      <c r="C1458" s="41"/>
      <c r="D1458" s="41"/>
      <c r="E1458" s="41"/>
      <c r="F1458" s="41"/>
      <c r="G1458" s="41"/>
      <c r="H1458" s="41"/>
      <c r="I1458" s="41"/>
      <c r="J1458" s="41"/>
      <c r="K1458" s="41"/>
      <c r="L1458" s="41"/>
      <c r="M1458" s="41"/>
      <c r="N1458" s="41"/>
      <c r="O1458" s="41"/>
      <c r="P1458" s="28"/>
    </row>
    <row r="1459" customFormat="1" spans="1:16">
      <c r="A1459" s="39"/>
      <c r="B1459" s="40"/>
      <c r="C1459" s="41"/>
      <c r="D1459" s="41"/>
      <c r="E1459" s="41"/>
      <c r="F1459" s="41"/>
      <c r="G1459" s="41"/>
      <c r="H1459" s="41"/>
      <c r="I1459" s="41"/>
      <c r="J1459" s="41"/>
      <c r="K1459" s="41"/>
      <c r="L1459" s="41"/>
      <c r="M1459" s="41"/>
      <c r="N1459" s="41"/>
      <c r="O1459" s="41"/>
      <c r="P1459" s="28"/>
    </row>
    <row r="1460" customFormat="1" spans="1:16">
      <c r="A1460" s="39"/>
      <c r="B1460" s="40"/>
      <c r="C1460" s="41"/>
      <c r="D1460" s="41"/>
      <c r="E1460" s="41"/>
      <c r="F1460" s="41"/>
      <c r="G1460" s="41"/>
      <c r="H1460" s="41"/>
      <c r="I1460" s="41"/>
      <c r="J1460" s="41"/>
      <c r="K1460" s="41"/>
      <c r="L1460" s="41"/>
      <c r="M1460" s="41"/>
      <c r="N1460" s="41"/>
      <c r="O1460" s="41"/>
      <c r="P1460" s="28"/>
    </row>
    <row r="1461" customFormat="1" spans="1:16">
      <c r="A1461" s="39"/>
      <c r="B1461" s="40"/>
      <c r="C1461" s="41"/>
      <c r="D1461" s="41"/>
      <c r="E1461" s="41"/>
      <c r="F1461" s="41"/>
      <c r="G1461" s="41"/>
      <c r="H1461" s="41"/>
      <c r="I1461" s="41"/>
      <c r="J1461" s="41"/>
      <c r="K1461" s="41"/>
      <c r="L1461" s="41"/>
      <c r="M1461" s="41"/>
      <c r="N1461" s="41"/>
      <c r="O1461" s="41"/>
      <c r="P1461" s="28"/>
    </row>
    <row r="1462" customFormat="1" spans="1:16">
      <c r="A1462" s="39"/>
      <c r="B1462" s="40"/>
      <c r="C1462" s="41"/>
      <c r="D1462" s="41"/>
      <c r="E1462" s="41"/>
      <c r="F1462" s="41"/>
      <c r="G1462" s="41"/>
      <c r="H1462" s="41"/>
      <c r="I1462" s="41"/>
      <c r="J1462" s="41"/>
      <c r="K1462" s="41"/>
      <c r="L1462" s="41"/>
      <c r="M1462" s="41"/>
      <c r="N1462" s="41"/>
      <c r="O1462" s="41"/>
      <c r="P1462" s="28"/>
    </row>
    <row r="1463" customFormat="1" spans="1:16">
      <c r="A1463" s="39"/>
      <c r="B1463" s="40"/>
      <c r="C1463" s="41"/>
      <c r="D1463" s="41"/>
      <c r="E1463" s="41"/>
      <c r="F1463" s="41"/>
      <c r="G1463" s="41"/>
      <c r="H1463" s="41"/>
      <c r="I1463" s="41"/>
      <c r="J1463" s="41"/>
      <c r="K1463" s="41"/>
      <c r="L1463" s="41"/>
      <c r="M1463" s="41"/>
      <c r="N1463" s="41"/>
      <c r="O1463" s="41"/>
      <c r="P1463" s="28"/>
    </row>
    <row r="1464" customFormat="1" spans="1:16">
      <c r="A1464" s="39"/>
      <c r="B1464" s="40"/>
      <c r="C1464" s="41"/>
      <c r="D1464" s="41"/>
      <c r="E1464" s="41"/>
      <c r="F1464" s="41"/>
      <c r="G1464" s="41"/>
      <c r="H1464" s="41"/>
      <c r="I1464" s="41"/>
      <c r="J1464" s="41"/>
      <c r="K1464" s="41"/>
      <c r="L1464" s="41"/>
      <c r="M1464" s="41"/>
      <c r="N1464" s="41"/>
      <c r="O1464" s="41"/>
      <c r="P1464" s="28"/>
    </row>
    <row r="1465" customFormat="1" spans="1:16">
      <c r="A1465" s="39"/>
      <c r="B1465" s="40"/>
      <c r="C1465" s="41"/>
      <c r="D1465" s="41"/>
      <c r="E1465" s="41"/>
      <c r="F1465" s="41"/>
      <c r="G1465" s="41"/>
      <c r="H1465" s="41"/>
      <c r="I1465" s="41"/>
      <c r="J1465" s="41"/>
      <c r="K1465" s="41"/>
      <c r="L1465" s="41"/>
      <c r="M1465" s="41"/>
      <c r="N1465" s="41"/>
      <c r="O1465" s="41"/>
      <c r="P1465" s="28"/>
    </row>
    <row r="1466" customFormat="1" spans="1:16">
      <c r="A1466" s="39"/>
      <c r="B1466" s="40"/>
      <c r="C1466" s="41"/>
      <c r="D1466" s="41"/>
      <c r="E1466" s="41"/>
      <c r="F1466" s="41"/>
      <c r="G1466" s="41"/>
      <c r="H1466" s="41"/>
      <c r="I1466" s="41"/>
      <c r="J1466" s="41"/>
      <c r="K1466" s="41"/>
      <c r="L1466" s="41"/>
      <c r="M1466" s="41"/>
      <c r="N1466" s="41"/>
      <c r="O1466" s="41"/>
      <c r="P1466" s="28"/>
    </row>
    <row r="1467" customFormat="1" spans="1:16">
      <c r="A1467" s="39"/>
      <c r="B1467" s="40"/>
      <c r="C1467" s="41"/>
      <c r="D1467" s="41"/>
      <c r="E1467" s="41"/>
      <c r="F1467" s="41"/>
      <c r="G1467" s="41"/>
      <c r="H1467" s="41"/>
      <c r="I1467" s="41"/>
      <c r="J1467" s="41"/>
      <c r="K1467" s="41"/>
      <c r="L1467" s="41"/>
      <c r="M1467" s="41"/>
      <c r="N1467" s="41"/>
      <c r="O1467" s="41"/>
      <c r="P1467" s="28"/>
    </row>
    <row r="1468" customFormat="1" spans="1:16">
      <c r="A1468" s="39"/>
      <c r="B1468" s="40"/>
      <c r="C1468" s="41"/>
      <c r="D1468" s="41"/>
      <c r="E1468" s="41"/>
      <c r="F1468" s="41"/>
      <c r="G1468" s="41"/>
      <c r="H1468" s="41"/>
      <c r="I1468" s="41"/>
      <c r="J1468" s="41"/>
      <c r="K1468" s="41"/>
      <c r="L1468" s="41"/>
      <c r="M1468" s="41"/>
      <c r="N1468" s="41"/>
      <c r="O1468" s="41"/>
      <c r="P1468" s="28"/>
    </row>
    <row r="1469" customFormat="1" spans="1:16">
      <c r="A1469" s="39"/>
      <c r="B1469" s="40"/>
      <c r="C1469" s="41"/>
      <c r="D1469" s="41"/>
      <c r="E1469" s="41"/>
      <c r="F1469" s="41"/>
      <c r="G1469" s="41"/>
      <c r="H1469" s="41"/>
      <c r="I1469" s="41"/>
      <c r="J1469" s="41"/>
      <c r="K1469" s="41"/>
      <c r="L1469" s="41"/>
      <c r="M1469" s="41"/>
      <c r="N1469" s="41"/>
      <c r="O1469" s="41"/>
      <c r="P1469" s="28"/>
    </row>
    <row r="1470" customFormat="1" spans="1:16">
      <c r="A1470" s="39"/>
      <c r="B1470" s="40"/>
      <c r="C1470" s="41"/>
      <c r="D1470" s="41"/>
      <c r="E1470" s="41"/>
      <c r="F1470" s="41"/>
      <c r="G1470" s="41"/>
      <c r="H1470" s="41"/>
      <c r="I1470" s="41"/>
      <c r="J1470" s="41"/>
      <c r="K1470" s="41"/>
      <c r="L1470" s="41"/>
      <c r="M1470" s="41"/>
      <c r="N1470" s="41"/>
      <c r="O1470" s="41"/>
      <c r="P1470" s="28"/>
    </row>
    <row r="1471" customFormat="1" spans="1:16">
      <c r="A1471" s="39"/>
      <c r="B1471" s="40"/>
      <c r="C1471" s="41"/>
      <c r="D1471" s="41"/>
      <c r="E1471" s="41"/>
      <c r="F1471" s="41"/>
      <c r="G1471" s="41"/>
      <c r="H1471" s="41"/>
      <c r="I1471" s="41"/>
      <c r="J1471" s="41"/>
      <c r="K1471" s="41"/>
      <c r="L1471" s="41"/>
      <c r="M1471" s="41"/>
      <c r="N1471" s="41"/>
      <c r="O1471" s="41"/>
      <c r="P1471" s="28"/>
    </row>
    <row r="1472" customFormat="1" spans="1:16">
      <c r="A1472" s="39"/>
      <c r="B1472" s="40"/>
      <c r="C1472" s="41"/>
      <c r="D1472" s="41"/>
      <c r="E1472" s="41"/>
      <c r="F1472" s="41"/>
      <c r="G1472" s="41"/>
      <c r="H1472" s="41"/>
      <c r="I1472" s="41"/>
      <c r="J1472" s="41"/>
      <c r="K1472" s="41"/>
      <c r="L1472" s="41"/>
      <c r="M1472" s="41"/>
      <c r="N1472" s="41"/>
      <c r="O1472" s="41"/>
      <c r="P1472" s="28"/>
    </row>
    <row r="1473" customFormat="1" spans="1:16">
      <c r="A1473" s="39"/>
      <c r="B1473" s="40"/>
      <c r="C1473" s="41"/>
      <c r="D1473" s="41"/>
      <c r="E1473" s="41"/>
      <c r="F1473" s="41"/>
      <c r="G1473" s="41"/>
      <c r="H1473" s="41"/>
      <c r="I1473" s="41"/>
      <c r="J1473" s="41"/>
      <c r="K1473" s="41"/>
      <c r="L1473" s="41"/>
      <c r="M1473" s="41"/>
      <c r="N1473" s="41"/>
      <c r="O1473" s="41"/>
      <c r="P1473" s="28"/>
    </row>
    <row r="1474" customFormat="1" spans="1:16">
      <c r="A1474" s="39"/>
      <c r="B1474" s="40"/>
      <c r="C1474" s="41"/>
      <c r="D1474" s="41"/>
      <c r="E1474" s="41"/>
      <c r="F1474" s="41"/>
      <c r="G1474" s="41"/>
      <c r="H1474" s="41"/>
      <c r="I1474" s="41"/>
      <c r="J1474" s="41"/>
      <c r="K1474" s="41"/>
      <c r="L1474" s="41"/>
      <c r="M1474" s="41"/>
      <c r="N1474" s="41"/>
      <c r="O1474" s="41"/>
      <c r="P1474" s="28"/>
    </row>
    <row r="1475" customFormat="1" spans="1:16">
      <c r="A1475" s="39"/>
      <c r="B1475" s="40"/>
      <c r="C1475" s="41"/>
      <c r="D1475" s="41"/>
      <c r="E1475" s="41"/>
      <c r="F1475" s="41"/>
      <c r="G1475" s="41"/>
      <c r="H1475" s="41"/>
      <c r="I1475" s="41"/>
      <c r="J1475" s="41"/>
      <c r="K1475" s="41"/>
      <c r="L1475" s="41"/>
      <c r="M1475" s="41"/>
      <c r="N1475" s="41"/>
      <c r="O1475" s="41"/>
      <c r="P1475" s="28"/>
    </row>
    <row r="1476" customFormat="1" spans="1:16">
      <c r="A1476" s="39"/>
      <c r="B1476" s="40"/>
      <c r="C1476" s="41"/>
      <c r="D1476" s="41"/>
      <c r="E1476" s="41"/>
      <c r="F1476" s="41"/>
      <c r="G1476" s="41"/>
      <c r="H1476" s="41"/>
      <c r="I1476" s="41"/>
      <c r="J1476" s="41"/>
      <c r="K1476" s="41"/>
      <c r="L1476" s="41"/>
      <c r="M1476" s="41"/>
      <c r="N1476" s="41"/>
      <c r="O1476" s="41"/>
      <c r="P1476" s="28"/>
    </row>
    <row r="1477" customFormat="1" spans="1:16">
      <c r="A1477" s="39"/>
      <c r="B1477" s="40"/>
      <c r="C1477" s="41"/>
      <c r="D1477" s="41"/>
      <c r="E1477" s="41"/>
      <c r="F1477" s="41"/>
      <c r="G1477" s="41"/>
      <c r="H1477" s="41"/>
      <c r="I1477" s="41"/>
      <c r="J1477" s="41"/>
      <c r="K1477" s="41"/>
      <c r="L1477" s="41"/>
      <c r="M1477" s="41"/>
      <c r="N1477" s="41"/>
      <c r="O1477" s="41"/>
      <c r="P1477" s="28"/>
    </row>
    <row r="1478" customFormat="1" spans="1:16">
      <c r="A1478" s="39"/>
      <c r="B1478" s="40"/>
      <c r="C1478" s="41"/>
      <c r="D1478" s="41"/>
      <c r="E1478" s="41"/>
      <c r="F1478" s="41"/>
      <c r="G1478" s="41"/>
      <c r="H1478" s="41"/>
      <c r="I1478" s="41"/>
      <c r="J1478" s="41"/>
      <c r="K1478" s="41"/>
      <c r="L1478" s="41"/>
      <c r="M1478" s="41"/>
      <c r="N1478" s="41"/>
      <c r="O1478" s="41"/>
      <c r="P1478" s="28"/>
    </row>
    <row r="1479" customFormat="1" spans="1:16">
      <c r="A1479" s="39"/>
      <c r="B1479" s="40"/>
      <c r="C1479" s="41"/>
      <c r="D1479" s="41"/>
      <c r="E1479" s="41"/>
      <c r="F1479" s="41"/>
      <c r="G1479" s="41"/>
      <c r="H1479" s="41"/>
      <c r="I1479" s="41"/>
      <c r="J1479" s="41"/>
      <c r="K1479" s="41"/>
      <c r="L1479" s="41"/>
      <c r="M1479" s="41"/>
      <c r="N1479" s="41"/>
      <c r="O1479" s="41"/>
      <c r="P1479" s="28"/>
    </row>
    <row r="1480" customFormat="1" spans="1:16">
      <c r="A1480" s="39"/>
      <c r="B1480" s="40"/>
      <c r="C1480" s="41"/>
      <c r="D1480" s="41"/>
      <c r="E1480" s="41"/>
      <c r="F1480" s="41"/>
      <c r="G1480" s="41"/>
      <c r="H1480" s="41"/>
      <c r="I1480" s="41"/>
      <c r="J1480" s="41"/>
      <c r="K1480" s="41"/>
      <c r="L1480" s="41"/>
      <c r="M1480" s="41"/>
      <c r="N1480" s="41"/>
      <c r="O1480" s="41"/>
      <c r="P1480" s="28"/>
    </row>
    <row r="1481" customFormat="1" spans="1:16">
      <c r="A1481" s="39"/>
      <c r="B1481" s="40"/>
      <c r="C1481" s="41"/>
      <c r="D1481" s="41"/>
      <c r="E1481" s="41"/>
      <c r="F1481" s="41"/>
      <c r="G1481" s="41"/>
      <c r="H1481" s="41"/>
      <c r="I1481" s="41"/>
      <c r="J1481" s="41"/>
      <c r="K1481" s="41"/>
      <c r="L1481" s="41"/>
      <c r="M1481" s="41"/>
      <c r="N1481" s="41"/>
      <c r="O1481" s="41"/>
      <c r="P1481" s="28"/>
    </row>
    <row r="1482" customFormat="1" spans="1:16">
      <c r="A1482" s="39"/>
      <c r="B1482" s="40"/>
      <c r="C1482" s="41"/>
      <c r="D1482" s="41"/>
      <c r="E1482" s="41"/>
      <c r="F1482" s="41"/>
      <c r="G1482" s="41"/>
      <c r="H1482" s="41"/>
      <c r="I1482" s="41"/>
      <c r="J1482" s="41"/>
      <c r="K1482" s="41"/>
      <c r="L1482" s="41"/>
      <c r="M1482" s="41"/>
      <c r="N1482" s="41"/>
      <c r="O1482" s="41"/>
      <c r="P1482" s="28"/>
    </row>
    <row r="1483" customFormat="1" spans="1:16">
      <c r="A1483" s="39"/>
      <c r="B1483" s="40"/>
      <c r="C1483" s="41"/>
      <c r="D1483" s="41"/>
      <c r="E1483" s="41"/>
      <c r="F1483" s="41"/>
      <c r="G1483" s="41"/>
      <c r="H1483" s="41"/>
      <c r="I1483" s="41"/>
      <c r="J1483" s="41"/>
      <c r="K1483" s="41"/>
      <c r="L1483" s="41"/>
      <c r="M1483" s="41"/>
      <c r="N1483" s="41"/>
      <c r="O1483" s="41"/>
      <c r="P1483" s="28"/>
    </row>
    <row r="1484" customFormat="1" spans="1:16">
      <c r="A1484" s="39"/>
      <c r="B1484" s="40"/>
      <c r="C1484" s="41"/>
      <c r="D1484" s="41"/>
      <c r="E1484" s="41"/>
      <c r="F1484" s="41"/>
      <c r="G1484" s="41"/>
      <c r="H1484" s="41"/>
      <c r="I1484" s="41"/>
      <c r="J1484" s="41"/>
      <c r="K1484" s="41"/>
      <c r="L1484" s="41"/>
      <c r="M1484" s="41"/>
      <c r="N1484" s="41"/>
      <c r="O1484" s="41"/>
      <c r="P1484" s="28"/>
    </row>
    <row r="1485" customFormat="1" spans="1:16">
      <c r="A1485" s="39"/>
      <c r="B1485" s="40"/>
      <c r="C1485" s="41"/>
      <c r="D1485" s="41"/>
      <c r="E1485" s="41"/>
      <c r="F1485" s="41"/>
      <c r="G1485" s="41"/>
      <c r="H1485" s="41"/>
      <c r="I1485" s="41"/>
      <c r="J1485" s="41"/>
      <c r="K1485" s="41"/>
      <c r="L1485" s="41"/>
      <c r="M1485" s="41"/>
      <c r="N1485" s="41"/>
      <c r="O1485" s="41"/>
      <c r="P1485" s="28"/>
    </row>
    <row r="1486" customFormat="1" spans="1:16">
      <c r="A1486" s="39"/>
      <c r="B1486" s="40"/>
      <c r="C1486" s="41"/>
      <c r="D1486" s="41"/>
      <c r="E1486" s="41"/>
      <c r="F1486" s="41"/>
      <c r="G1486" s="41"/>
      <c r="H1486" s="41"/>
      <c r="I1486" s="41"/>
      <c r="J1486" s="41"/>
      <c r="K1486" s="41"/>
      <c r="L1486" s="41"/>
      <c r="M1486" s="41"/>
      <c r="N1486" s="41"/>
      <c r="O1486" s="41"/>
      <c r="P1486" s="28"/>
    </row>
    <row r="1487" customFormat="1" spans="1:16">
      <c r="A1487" s="39"/>
      <c r="B1487" s="40"/>
      <c r="C1487" s="41"/>
      <c r="D1487" s="41"/>
      <c r="E1487" s="41"/>
      <c r="F1487" s="41"/>
      <c r="G1487" s="41"/>
      <c r="H1487" s="41"/>
      <c r="I1487" s="41"/>
      <c r="J1487" s="41"/>
      <c r="K1487" s="41"/>
      <c r="L1487" s="41"/>
      <c r="M1487" s="41"/>
      <c r="N1487" s="41"/>
      <c r="O1487" s="41"/>
      <c r="P1487" s="28"/>
    </row>
    <row r="1488" customFormat="1" spans="1:16">
      <c r="A1488" s="39"/>
      <c r="B1488" s="40"/>
      <c r="C1488" s="41"/>
      <c r="D1488" s="41"/>
      <c r="E1488" s="41"/>
      <c r="F1488" s="41"/>
      <c r="G1488" s="41"/>
      <c r="H1488" s="41"/>
      <c r="I1488" s="41"/>
      <c r="J1488" s="41"/>
      <c r="K1488" s="41"/>
      <c r="L1488" s="41"/>
      <c r="M1488" s="41"/>
      <c r="N1488" s="41"/>
      <c r="O1488" s="41"/>
      <c r="P1488" s="28"/>
    </row>
    <row r="1489" customFormat="1" spans="1:16">
      <c r="A1489" s="39"/>
      <c r="B1489" s="40"/>
      <c r="C1489" s="41"/>
      <c r="D1489" s="41"/>
      <c r="E1489" s="41"/>
      <c r="F1489" s="41"/>
      <c r="G1489" s="41"/>
      <c r="H1489" s="41"/>
      <c r="I1489" s="41"/>
      <c r="J1489" s="41"/>
      <c r="K1489" s="41"/>
      <c r="L1489" s="41"/>
      <c r="M1489" s="41"/>
      <c r="N1489" s="41"/>
      <c r="O1489" s="41"/>
      <c r="P1489" s="28"/>
    </row>
    <row r="1490" customFormat="1" spans="1:16">
      <c r="A1490" s="39"/>
      <c r="B1490" s="40"/>
      <c r="C1490" s="41"/>
      <c r="D1490" s="41"/>
      <c r="E1490" s="41"/>
      <c r="F1490" s="41"/>
      <c r="G1490" s="41"/>
      <c r="H1490" s="41"/>
      <c r="I1490" s="41"/>
      <c r="J1490" s="41"/>
      <c r="K1490" s="41"/>
      <c r="L1490" s="41"/>
      <c r="M1490" s="41"/>
      <c r="N1490" s="41"/>
      <c r="O1490" s="41"/>
      <c r="P1490" s="28"/>
    </row>
    <row r="1491" customFormat="1" spans="1:16">
      <c r="A1491" s="39"/>
      <c r="B1491" s="40"/>
      <c r="C1491" s="41"/>
      <c r="D1491" s="41"/>
      <c r="E1491" s="41"/>
      <c r="F1491" s="41"/>
      <c r="G1491" s="41"/>
      <c r="H1491" s="41"/>
      <c r="I1491" s="41"/>
      <c r="J1491" s="41"/>
      <c r="K1491" s="41"/>
      <c r="L1491" s="41"/>
      <c r="M1491" s="41"/>
      <c r="N1491" s="41"/>
      <c r="O1491" s="41"/>
      <c r="P1491" s="28"/>
    </row>
    <row r="1492" customFormat="1" spans="1:16">
      <c r="A1492" s="39"/>
      <c r="B1492" s="40"/>
      <c r="C1492" s="41"/>
      <c r="D1492" s="41"/>
      <c r="E1492" s="41"/>
      <c r="F1492" s="41"/>
      <c r="G1492" s="41"/>
      <c r="H1492" s="41"/>
      <c r="I1492" s="41"/>
      <c r="J1492" s="41"/>
      <c r="K1492" s="41"/>
      <c r="L1492" s="41"/>
      <c r="M1492" s="41"/>
      <c r="N1492" s="41"/>
      <c r="O1492" s="41"/>
      <c r="P1492" s="28"/>
    </row>
    <row r="1493" customFormat="1" spans="1:16">
      <c r="A1493" s="39"/>
      <c r="B1493" s="40"/>
      <c r="C1493" s="41"/>
      <c r="D1493" s="41"/>
      <c r="E1493" s="41"/>
      <c r="F1493" s="41"/>
      <c r="G1493" s="41"/>
      <c r="H1493" s="41"/>
      <c r="I1493" s="41"/>
      <c r="J1493" s="41"/>
      <c r="K1493" s="41"/>
      <c r="L1493" s="41"/>
      <c r="M1493" s="41"/>
      <c r="N1493" s="41"/>
      <c r="O1493" s="41"/>
      <c r="P1493" s="28"/>
    </row>
    <row r="1494" customFormat="1" spans="1:16">
      <c r="A1494" s="39"/>
      <c r="B1494" s="40"/>
      <c r="C1494" s="41"/>
      <c r="D1494" s="41"/>
      <c r="E1494" s="41"/>
      <c r="F1494" s="41"/>
      <c r="G1494" s="41"/>
      <c r="H1494" s="41"/>
      <c r="I1494" s="41"/>
      <c r="J1494" s="41"/>
      <c r="K1494" s="41"/>
      <c r="L1494" s="41"/>
      <c r="M1494" s="41"/>
      <c r="N1494" s="41"/>
      <c r="O1494" s="41"/>
      <c r="P1494" s="28"/>
    </row>
    <row r="1495" customFormat="1" spans="1:16">
      <c r="A1495" s="39"/>
      <c r="B1495" s="40"/>
      <c r="C1495" s="41"/>
      <c r="D1495" s="41"/>
      <c r="E1495" s="41"/>
      <c r="F1495" s="41"/>
      <c r="G1495" s="41"/>
      <c r="H1495" s="41"/>
      <c r="I1495" s="41"/>
      <c r="J1495" s="41"/>
      <c r="K1495" s="41"/>
      <c r="L1495" s="41"/>
      <c r="M1495" s="41"/>
      <c r="N1495" s="41"/>
      <c r="O1495" s="41"/>
      <c r="P1495" s="28"/>
    </row>
    <row r="1496" customFormat="1" spans="1:16">
      <c r="A1496" s="39"/>
      <c r="B1496" s="40"/>
      <c r="C1496" s="41"/>
      <c r="D1496" s="41"/>
      <c r="E1496" s="41"/>
      <c r="F1496" s="41"/>
      <c r="G1496" s="41"/>
      <c r="H1496" s="41"/>
      <c r="I1496" s="41"/>
      <c r="J1496" s="41"/>
      <c r="K1496" s="41"/>
      <c r="L1496" s="41"/>
      <c r="M1496" s="41"/>
      <c r="N1496" s="41"/>
      <c r="O1496" s="41"/>
      <c r="P1496" s="28"/>
    </row>
    <row r="1497" customFormat="1" spans="1:16">
      <c r="A1497" s="39"/>
      <c r="B1497" s="40"/>
      <c r="C1497" s="41"/>
      <c r="D1497" s="41"/>
      <c r="E1497" s="41"/>
      <c r="F1497" s="41"/>
      <c r="G1497" s="41"/>
      <c r="H1497" s="41"/>
      <c r="I1497" s="41"/>
      <c r="J1497" s="41"/>
      <c r="K1497" s="41"/>
      <c r="L1497" s="41"/>
      <c r="M1497" s="41"/>
      <c r="N1497" s="41"/>
      <c r="O1497" s="41"/>
      <c r="P1497" s="28"/>
    </row>
    <row r="1498" customFormat="1" spans="1:16">
      <c r="A1498" s="39"/>
      <c r="B1498" s="40"/>
      <c r="C1498" s="41"/>
      <c r="D1498" s="41"/>
      <c r="E1498" s="41"/>
      <c r="F1498" s="41"/>
      <c r="G1498" s="41"/>
      <c r="H1498" s="41"/>
      <c r="I1498" s="41"/>
      <c r="J1498" s="41"/>
      <c r="K1498" s="41"/>
      <c r="L1498" s="41"/>
      <c r="M1498" s="41"/>
      <c r="N1498" s="41"/>
      <c r="O1498" s="41"/>
      <c r="P1498" s="28"/>
    </row>
    <row r="1499" customFormat="1" spans="1:16">
      <c r="A1499" s="39"/>
      <c r="B1499" s="40"/>
      <c r="C1499" s="41"/>
      <c r="D1499" s="41"/>
      <c r="E1499" s="41"/>
      <c r="F1499" s="41"/>
      <c r="G1499" s="41"/>
      <c r="H1499" s="41"/>
      <c r="I1499" s="41"/>
      <c r="J1499" s="41"/>
      <c r="K1499" s="41"/>
      <c r="L1499" s="41"/>
      <c r="M1499" s="41"/>
      <c r="N1499" s="41"/>
      <c r="O1499" s="41"/>
      <c r="P1499" s="28"/>
    </row>
    <row r="1500" customFormat="1" spans="1:16">
      <c r="A1500" s="39"/>
      <c r="B1500" s="40"/>
      <c r="C1500" s="41"/>
      <c r="D1500" s="41"/>
      <c r="E1500" s="41"/>
      <c r="F1500" s="41"/>
      <c r="G1500" s="41"/>
      <c r="H1500" s="41"/>
      <c r="I1500" s="41"/>
      <c r="J1500" s="41"/>
      <c r="K1500" s="41"/>
      <c r="L1500" s="41"/>
      <c r="M1500" s="41"/>
      <c r="N1500" s="41"/>
      <c r="O1500" s="41"/>
      <c r="P1500" s="28"/>
    </row>
    <row r="1501" customFormat="1" spans="1:16">
      <c r="A1501" s="39"/>
      <c r="B1501" s="40"/>
      <c r="C1501" s="41"/>
      <c r="D1501" s="41"/>
      <c r="E1501" s="41"/>
      <c r="F1501" s="41"/>
      <c r="G1501" s="41"/>
      <c r="H1501" s="41"/>
      <c r="I1501" s="41"/>
      <c r="J1501" s="41"/>
      <c r="K1501" s="41"/>
      <c r="L1501" s="41"/>
      <c r="M1501" s="41"/>
      <c r="N1501" s="41"/>
      <c r="O1501" s="41"/>
      <c r="P1501" s="28"/>
    </row>
    <row r="1502" customFormat="1" spans="1:16">
      <c r="A1502" s="39"/>
      <c r="B1502" s="40"/>
      <c r="C1502" s="41"/>
      <c r="D1502" s="41"/>
      <c r="E1502" s="41"/>
      <c r="F1502" s="41"/>
      <c r="G1502" s="41"/>
      <c r="H1502" s="41"/>
      <c r="I1502" s="41"/>
      <c r="J1502" s="41"/>
      <c r="K1502" s="41"/>
      <c r="L1502" s="41"/>
      <c r="M1502" s="41"/>
      <c r="N1502" s="41"/>
      <c r="O1502" s="41"/>
      <c r="P1502" s="28"/>
    </row>
    <row r="1503" customFormat="1" spans="1:16">
      <c r="A1503" s="39"/>
      <c r="B1503" s="40"/>
      <c r="C1503" s="41"/>
      <c r="D1503" s="41"/>
      <c r="E1503" s="41"/>
      <c r="F1503" s="41"/>
      <c r="G1503" s="41"/>
      <c r="H1503" s="41"/>
      <c r="I1503" s="41"/>
      <c r="J1503" s="41"/>
      <c r="K1503" s="41"/>
      <c r="L1503" s="41"/>
      <c r="M1503" s="41"/>
      <c r="N1503" s="41"/>
      <c r="O1503" s="41"/>
      <c r="P1503" s="28"/>
    </row>
    <row r="1504" customFormat="1" spans="1:16">
      <c r="A1504" s="39"/>
      <c r="B1504" s="40"/>
      <c r="C1504" s="41"/>
      <c r="D1504" s="41"/>
      <c r="E1504" s="41"/>
      <c r="F1504" s="41"/>
      <c r="G1504" s="41"/>
      <c r="H1504" s="41"/>
      <c r="I1504" s="41"/>
      <c r="J1504" s="41"/>
      <c r="K1504" s="41"/>
      <c r="L1504" s="41"/>
      <c r="M1504" s="41"/>
      <c r="N1504" s="41"/>
      <c r="O1504" s="41"/>
      <c r="P1504" s="28"/>
    </row>
    <row r="1505" customFormat="1" spans="1:16">
      <c r="A1505" s="39"/>
      <c r="B1505" s="40"/>
      <c r="C1505" s="41"/>
      <c r="D1505" s="41"/>
      <c r="E1505" s="41"/>
      <c r="F1505" s="41"/>
      <c r="G1505" s="41"/>
      <c r="H1505" s="41"/>
      <c r="I1505" s="41"/>
      <c r="J1505" s="41"/>
      <c r="K1505" s="41"/>
      <c r="L1505" s="41"/>
      <c r="M1505" s="41"/>
      <c r="N1505" s="41"/>
      <c r="O1505" s="41"/>
      <c r="P1505" s="28"/>
    </row>
    <row r="1506" customFormat="1" spans="1:16">
      <c r="A1506" s="39"/>
      <c r="B1506" s="40"/>
      <c r="C1506" s="41"/>
      <c r="D1506" s="41"/>
      <c r="E1506" s="41"/>
      <c r="F1506" s="41"/>
      <c r="G1506" s="41"/>
      <c r="H1506" s="41"/>
      <c r="I1506" s="41"/>
      <c r="J1506" s="41"/>
      <c r="K1506" s="41"/>
      <c r="L1506" s="41"/>
      <c r="M1506" s="41"/>
      <c r="N1506" s="41"/>
      <c r="O1506" s="41"/>
      <c r="P1506" s="28"/>
    </row>
    <row r="1507" customFormat="1" spans="1:16">
      <c r="A1507" s="39"/>
      <c r="B1507" s="40"/>
      <c r="C1507" s="41"/>
      <c r="D1507" s="41"/>
      <c r="E1507" s="41"/>
      <c r="F1507" s="41"/>
      <c r="G1507" s="41"/>
      <c r="H1507" s="41"/>
      <c r="I1507" s="41"/>
      <c r="J1507" s="41"/>
      <c r="K1507" s="41"/>
      <c r="L1507" s="41"/>
      <c r="M1507" s="41"/>
      <c r="N1507" s="41"/>
      <c r="O1507" s="41"/>
      <c r="P1507" s="28"/>
    </row>
    <row r="1508" customFormat="1" spans="1:16">
      <c r="A1508" s="39"/>
      <c r="B1508" s="40"/>
      <c r="C1508" s="41"/>
      <c r="D1508" s="41"/>
      <c r="E1508" s="41"/>
      <c r="F1508" s="41"/>
      <c r="G1508" s="41"/>
      <c r="H1508" s="41"/>
      <c r="I1508" s="41"/>
      <c r="J1508" s="41"/>
      <c r="K1508" s="41"/>
      <c r="L1508" s="41"/>
      <c r="M1508" s="41"/>
      <c r="N1508" s="41"/>
      <c r="O1508" s="41"/>
      <c r="P1508" s="28"/>
    </row>
    <row r="1509" customFormat="1" spans="1:16">
      <c r="A1509" s="39"/>
      <c r="B1509" s="40"/>
      <c r="C1509" s="41"/>
      <c r="D1509" s="41"/>
      <c r="E1509" s="41"/>
      <c r="F1509" s="41"/>
      <c r="G1509" s="41"/>
      <c r="H1509" s="41"/>
      <c r="I1509" s="41"/>
      <c r="J1509" s="41"/>
      <c r="K1509" s="41"/>
      <c r="L1509" s="41"/>
      <c r="M1509" s="41"/>
      <c r="N1509" s="41"/>
      <c r="O1509" s="41"/>
      <c r="P1509" s="28"/>
    </row>
    <row r="1510" customFormat="1" spans="1:16">
      <c r="A1510" s="39"/>
      <c r="B1510" s="40"/>
      <c r="C1510" s="41"/>
      <c r="D1510" s="41"/>
      <c r="E1510" s="41"/>
      <c r="F1510" s="41"/>
      <c r="G1510" s="41"/>
      <c r="H1510" s="41"/>
      <c r="I1510" s="41"/>
      <c r="J1510" s="41"/>
      <c r="K1510" s="41"/>
      <c r="L1510" s="41"/>
      <c r="M1510" s="41"/>
      <c r="N1510" s="41"/>
      <c r="O1510" s="41"/>
      <c r="P1510" s="28"/>
    </row>
    <row r="1511" customFormat="1" spans="1:16">
      <c r="A1511" s="39"/>
      <c r="B1511" s="40"/>
      <c r="C1511" s="41"/>
      <c r="D1511" s="41"/>
      <c r="E1511" s="41"/>
      <c r="F1511" s="41"/>
      <c r="G1511" s="41"/>
      <c r="H1511" s="41"/>
      <c r="I1511" s="41"/>
      <c r="J1511" s="41"/>
      <c r="K1511" s="41"/>
      <c r="L1511" s="41"/>
      <c r="M1511" s="41"/>
      <c r="N1511" s="41"/>
      <c r="O1511" s="41"/>
      <c r="P1511" s="28"/>
    </row>
    <row r="1512" customFormat="1" spans="1:16">
      <c r="A1512" s="39"/>
      <c r="B1512" s="40"/>
      <c r="C1512" s="41"/>
      <c r="D1512" s="41"/>
      <c r="E1512" s="41"/>
      <c r="F1512" s="41"/>
      <c r="G1512" s="41"/>
      <c r="H1512" s="41"/>
      <c r="I1512" s="41"/>
      <c r="J1512" s="41"/>
      <c r="K1512" s="41"/>
      <c r="L1512" s="41"/>
      <c r="M1512" s="41"/>
      <c r="N1512" s="41"/>
      <c r="O1512" s="41"/>
      <c r="P1512" s="28"/>
    </row>
    <row r="1513" customFormat="1" spans="1:16">
      <c r="A1513" s="39"/>
      <c r="B1513" s="40"/>
      <c r="C1513" s="41"/>
      <c r="D1513" s="41"/>
      <c r="E1513" s="41"/>
      <c r="F1513" s="41"/>
      <c r="G1513" s="41"/>
      <c r="H1513" s="41"/>
      <c r="I1513" s="41"/>
      <c r="J1513" s="41"/>
      <c r="K1513" s="41"/>
      <c r="L1513" s="41"/>
      <c r="M1513" s="41"/>
      <c r="N1513" s="41"/>
      <c r="O1513" s="41"/>
      <c r="P1513" s="28"/>
    </row>
    <row r="1514" customFormat="1" spans="1:16">
      <c r="A1514" s="39"/>
      <c r="B1514" s="40"/>
      <c r="C1514" s="41"/>
      <c r="D1514" s="41"/>
      <c r="E1514" s="41"/>
      <c r="F1514" s="41"/>
      <c r="G1514" s="41"/>
      <c r="H1514" s="41"/>
      <c r="I1514" s="41"/>
      <c r="J1514" s="41"/>
      <c r="K1514" s="41"/>
      <c r="L1514" s="41"/>
      <c r="M1514" s="41"/>
      <c r="N1514" s="41"/>
      <c r="O1514" s="41"/>
      <c r="P1514" s="28"/>
    </row>
    <row r="1515" customFormat="1" spans="1:16">
      <c r="A1515" s="39"/>
      <c r="B1515" s="40"/>
      <c r="C1515" s="41"/>
      <c r="D1515" s="41"/>
      <c r="E1515" s="41"/>
      <c r="F1515" s="41"/>
      <c r="G1515" s="41"/>
      <c r="H1515" s="41"/>
      <c r="I1515" s="41"/>
      <c r="J1515" s="41"/>
      <c r="K1515" s="41"/>
      <c r="L1515" s="41"/>
      <c r="M1515" s="41"/>
      <c r="N1515" s="41"/>
      <c r="O1515" s="41"/>
      <c r="P1515" s="28"/>
    </row>
    <row r="1516" customFormat="1" spans="1:16">
      <c r="A1516" s="39"/>
      <c r="B1516" s="40"/>
      <c r="C1516" s="41"/>
      <c r="D1516" s="41"/>
      <c r="E1516" s="41"/>
      <c r="F1516" s="41"/>
      <c r="G1516" s="41"/>
      <c r="H1516" s="41"/>
      <c r="I1516" s="41"/>
      <c r="J1516" s="41"/>
      <c r="K1516" s="41"/>
      <c r="L1516" s="41"/>
      <c r="M1516" s="41"/>
      <c r="N1516" s="41"/>
      <c r="O1516" s="41"/>
      <c r="P1516" s="28"/>
    </row>
    <row r="1517" customFormat="1" spans="1:16">
      <c r="A1517" s="39"/>
      <c r="B1517" s="40"/>
      <c r="C1517" s="41"/>
      <c r="D1517" s="41"/>
      <c r="E1517" s="41"/>
      <c r="F1517" s="41"/>
      <c r="G1517" s="41"/>
      <c r="H1517" s="41"/>
      <c r="I1517" s="41"/>
      <c r="J1517" s="41"/>
      <c r="K1517" s="41"/>
      <c r="L1517" s="41"/>
      <c r="M1517" s="41"/>
      <c r="N1517" s="41"/>
      <c r="O1517" s="41"/>
      <c r="P1517" s="28"/>
    </row>
    <row r="1518" customFormat="1" spans="1:16">
      <c r="A1518" s="39"/>
      <c r="B1518" s="40"/>
      <c r="C1518" s="41"/>
      <c r="D1518" s="41"/>
      <c r="E1518" s="41"/>
      <c r="F1518" s="41"/>
      <c r="G1518" s="41"/>
      <c r="H1518" s="41"/>
      <c r="I1518" s="41"/>
      <c r="J1518" s="41"/>
      <c r="K1518" s="41"/>
      <c r="L1518" s="41"/>
      <c r="M1518" s="41"/>
      <c r="N1518" s="41"/>
      <c r="O1518" s="41"/>
      <c r="P1518" s="28"/>
    </row>
    <row r="1519" customFormat="1" spans="1:16">
      <c r="A1519" s="39"/>
      <c r="B1519" s="40"/>
      <c r="C1519" s="41"/>
      <c r="D1519" s="41"/>
      <c r="E1519" s="41"/>
      <c r="F1519" s="41"/>
      <c r="G1519" s="41"/>
      <c r="H1519" s="41"/>
      <c r="I1519" s="41"/>
      <c r="J1519" s="41"/>
      <c r="K1519" s="41"/>
      <c r="L1519" s="41"/>
      <c r="M1519" s="41"/>
      <c r="N1519" s="41"/>
      <c r="O1519" s="41"/>
      <c r="P1519" s="28"/>
    </row>
    <row r="1520" customFormat="1" spans="1:16">
      <c r="A1520" s="39"/>
      <c r="B1520" s="40"/>
      <c r="C1520" s="41"/>
      <c r="D1520" s="41"/>
      <c r="E1520" s="41"/>
      <c r="F1520" s="41"/>
      <c r="G1520" s="41"/>
      <c r="H1520" s="41"/>
      <c r="I1520" s="41"/>
      <c r="J1520" s="41"/>
      <c r="K1520" s="41"/>
      <c r="L1520" s="41"/>
      <c r="M1520" s="41"/>
      <c r="N1520" s="41"/>
      <c r="O1520" s="41"/>
      <c r="P1520" s="28"/>
    </row>
    <row r="1521" customFormat="1" spans="1:16">
      <c r="A1521" s="39"/>
      <c r="B1521" s="40"/>
      <c r="C1521" s="41"/>
      <c r="D1521" s="41"/>
      <c r="E1521" s="41"/>
      <c r="F1521" s="41"/>
      <c r="G1521" s="41"/>
      <c r="H1521" s="41"/>
      <c r="I1521" s="41"/>
      <c r="J1521" s="41"/>
      <c r="K1521" s="41"/>
      <c r="L1521" s="41"/>
      <c r="M1521" s="41"/>
      <c r="N1521" s="41"/>
      <c r="O1521" s="41"/>
      <c r="P1521" s="28"/>
    </row>
    <row r="1522" customFormat="1" spans="1:16">
      <c r="A1522" s="39"/>
      <c r="B1522" s="40"/>
      <c r="C1522" s="41"/>
      <c r="D1522" s="41"/>
      <c r="E1522" s="41"/>
      <c r="F1522" s="41"/>
      <c r="G1522" s="41"/>
      <c r="H1522" s="41"/>
      <c r="I1522" s="41"/>
      <c r="J1522" s="41"/>
      <c r="K1522" s="41"/>
      <c r="L1522" s="41"/>
      <c r="M1522" s="41"/>
      <c r="N1522" s="41"/>
      <c r="O1522" s="41"/>
      <c r="P1522" s="28"/>
    </row>
    <row r="1523" customFormat="1" spans="1:16">
      <c r="A1523" s="39"/>
      <c r="B1523" s="40"/>
      <c r="C1523" s="41"/>
      <c r="D1523" s="41"/>
      <c r="E1523" s="41"/>
      <c r="F1523" s="41"/>
      <c r="G1523" s="41"/>
      <c r="H1523" s="41"/>
      <c r="I1523" s="41"/>
      <c r="J1523" s="41"/>
      <c r="K1523" s="41"/>
      <c r="L1523" s="41"/>
      <c r="M1523" s="41"/>
      <c r="N1523" s="41"/>
      <c r="O1523" s="41"/>
      <c r="P1523" s="28"/>
    </row>
    <row r="1524" customFormat="1" spans="1:16">
      <c r="A1524" s="39"/>
      <c r="B1524" s="40"/>
      <c r="C1524" s="41"/>
      <c r="D1524" s="41"/>
      <c r="E1524" s="41"/>
      <c r="F1524" s="41"/>
      <c r="G1524" s="41"/>
      <c r="H1524" s="41"/>
      <c r="I1524" s="41"/>
      <c r="J1524" s="41"/>
      <c r="K1524" s="41"/>
      <c r="L1524" s="41"/>
      <c r="M1524" s="41"/>
      <c r="N1524" s="41"/>
      <c r="O1524" s="41"/>
      <c r="P1524" s="28"/>
    </row>
    <row r="1525" customFormat="1" spans="1:16">
      <c r="A1525" s="39"/>
      <c r="B1525" s="40"/>
      <c r="C1525" s="41"/>
      <c r="D1525" s="41"/>
      <c r="E1525" s="41"/>
      <c r="F1525" s="41"/>
      <c r="G1525" s="41"/>
      <c r="H1525" s="41"/>
      <c r="I1525" s="41"/>
      <c r="J1525" s="41"/>
      <c r="K1525" s="41"/>
      <c r="L1525" s="41"/>
      <c r="M1525" s="41"/>
      <c r="N1525" s="41"/>
      <c r="O1525" s="41"/>
      <c r="P1525" s="28"/>
    </row>
    <row r="1526" customFormat="1" spans="1:16">
      <c r="A1526" s="39"/>
      <c r="B1526" s="40"/>
      <c r="C1526" s="41"/>
      <c r="D1526" s="41"/>
      <c r="E1526" s="41"/>
      <c r="F1526" s="41"/>
      <c r="G1526" s="41"/>
      <c r="H1526" s="41"/>
      <c r="I1526" s="41"/>
      <c r="J1526" s="41"/>
      <c r="K1526" s="41"/>
      <c r="L1526" s="41"/>
      <c r="M1526" s="41"/>
      <c r="N1526" s="41"/>
      <c r="O1526" s="41"/>
      <c r="P1526" s="28"/>
    </row>
    <row r="1527" customFormat="1" spans="1:16">
      <c r="A1527" s="39"/>
      <c r="B1527" s="40"/>
      <c r="C1527" s="41"/>
      <c r="D1527" s="41"/>
      <c r="E1527" s="41"/>
      <c r="F1527" s="41"/>
      <c r="G1527" s="41"/>
      <c r="H1527" s="41"/>
      <c r="I1527" s="41"/>
      <c r="J1527" s="41"/>
      <c r="K1527" s="41"/>
      <c r="L1527" s="41"/>
      <c r="M1527" s="41"/>
      <c r="N1527" s="41"/>
      <c r="O1527" s="41"/>
      <c r="P1527" s="28"/>
    </row>
    <row r="1528" customFormat="1" spans="1:16">
      <c r="A1528" s="39"/>
      <c r="B1528" s="40"/>
      <c r="C1528" s="41"/>
      <c r="D1528" s="41"/>
      <c r="E1528" s="41"/>
      <c r="F1528" s="41"/>
      <c r="G1528" s="41"/>
      <c r="H1528" s="41"/>
      <c r="I1528" s="41"/>
      <c r="J1528" s="41"/>
      <c r="K1528" s="41"/>
      <c r="L1528" s="41"/>
      <c r="M1528" s="41"/>
      <c r="N1528" s="41"/>
      <c r="O1528" s="41"/>
      <c r="P1528" s="28"/>
    </row>
    <row r="1529" customFormat="1" spans="1:16">
      <c r="A1529" s="39"/>
      <c r="B1529" s="40"/>
      <c r="C1529" s="41"/>
      <c r="D1529" s="41"/>
      <c r="E1529" s="41"/>
      <c r="F1529" s="41"/>
      <c r="G1529" s="41"/>
      <c r="H1529" s="41"/>
      <c r="I1529" s="41"/>
      <c r="J1529" s="41"/>
      <c r="K1529" s="41"/>
      <c r="L1529" s="41"/>
      <c r="M1529" s="41"/>
      <c r="N1529" s="41"/>
      <c r="O1529" s="41"/>
      <c r="P1529" s="28"/>
    </row>
    <row r="1530" customFormat="1" spans="1:16">
      <c r="A1530" s="39"/>
      <c r="B1530" s="40"/>
      <c r="C1530" s="41"/>
      <c r="D1530" s="41"/>
      <c r="E1530" s="41"/>
      <c r="F1530" s="41"/>
      <c r="G1530" s="41"/>
      <c r="H1530" s="41"/>
      <c r="I1530" s="41"/>
      <c r="J1530" s="41"/>
      <c r="K1530" s="41"/>
      <c r="L1530" s="41"/>
      <c r="M1530" s="41"/>
      <c r="N1530" s="41"/>
      <c r="O1530" s="41"/>
      <c r="P1530" s="28"/>
    </row>
    <row r="1531" customFormat="1" spans="1:16">
      <c r="A1531" s="39"/>
      <c r="B1531" s="40"/>
      <c r="C1531" s="41"/>
      <c r="D1531" s="41"/>
      <c r="E1531" s="41"/>
      <c r="F1531" s="41"/>
      <c r="G1531" s="41"/>
      <c r="H1531" s="41"/>
      <c r="I1531" s="41"/>
      <c r="J1531" s="41"/>
      <c r="K1531" s="41"/>
      <c r="L1531" s="41"/>
      <c r="M1531" s="41"/>
      <c r="N1531" s="41"/>
      <c r="O1531" s="41"/>
      <c r="P1531" s="28"/>
    </row>
    <row r="1532" customFormat="1" spans="1:16">
      <c r="A1532" s="39"/>
      <c r="B1532" s="40"/>
      <c r="C1532" s="41"/>
      <c r="D1532" s="41"/>
      <c r="E1532" s="41"/>
      <c r="F1532" s="41"/>
      <c r="G1532" s="41"/>
      <c r="H1532" s="41"/>
      <c r="I1532" s="41"/>
      <c r="J1532" s="41"/>
      <c r="K1532" s="41"/>
      <c r="L1532" s="41"/>
      <c r="M1532" s="41"/>
      <c r="N1532" s="41"/>
      <c r="O1532" s="41"/>
      <c r="P1532" s="28"/>
    </row>
    <row r="1533" customFormat="1" spans="1:16">
      <c r="A1533" s="39"/>
      <c r="B1533" s="40"/>
      <c r="C1533" s="41"/>
      <c r="D1533" s="41"/>
      <c r="E1533" s="41"/>
      <c r="F1533" s="41"/>
      <c r="G1533" s="41"/>
      <c r="H1533" s="41"/>
      <c r="I1533" s="41"/>
      <c r="J1533" s="41"/>
      <c r="K1533" s="41"/>
      <c r="L1533" s="41"/>
      <c r="M1533" s="41"/>
      <c r="N1533" s="41"/>
      <c r="O1533" s="41"/>
      <c r="P1533" s="28"/>
    </row>
    <row r="1534" customFormat="1" spans="1:16">
      <c r="A1534" s="39"/>
      <c r="B1534" s="40"/>
      <c r="C1534" s="41"/>
      <c r="D1534" s="41"/>
      <c r="E1534" s="41"/>
      <c r="F1534" s="41"/>
      <c r="G1534" s="41"/>
      <c r="H1534" s="41"/>
      <c r="I1534" s="41"/>
      <c r="J1534" s="41"/>
      <c r="K1534" s="41"/>
      <c r="L1534" s="41"/>
      <c r="M1534" s="41"/>
      <c r="N1534" s="41"/>
      <c r="O1534" s="41"/>
      <c r="P1534" s="28"/>
    </row>
    <row r="1535" customFormat="1" spans="1:16">
      <c r="A1535" s="39"/>
      <c r="B1535" s="40"/>
      <c r="C1535" s="41"/>
      <c r="D1535" s="41"/>
      <c r="E1535" s="41"/>
      <c r="F1535" s="41"/>
      <c r="G1535" s="41"/>
      <c r="H1535" s="41"/>
      <c r="I1535" s="41"/>
      <c r="J1535" s="41"/>
      <c r="K1535" s="41"/>
      <c r="L1535" s="41"/>
      <c r="M1535" s="41"/>
      <c r="N1535" s="41"/>
      <c r="O1535" s="41"/>
      <c r="P1535" s="28"/>
    </row>
    <row r="1536" customFormat="1" spans="1:16">
      <c r="A1536" s="39"/>
      <c r="B1536" s="40"/>
      <c r="C1536" s="41"/>
      <c r="D1536" s="41"/>
      <c r="E1536" s="41"/>
      <c r="F1536" s="41"/>
      <c r="G1536" s="41"/>
      <c r="H1536" s="41"/>
      <c r="I1536" s="41"/>
      <c r="J1536" s="41"/>
      <c r="K1536" s="41"/>
      <c r="L1536" s="41"/>
      <c r="M1536" s="41"/>
      <c r="N1536" s="41"/>
      <c r="O1536" s="41"/>
      <c r="P1536" s="28"/>
    </row>
    <row r="1537" customFormat="1" spans="1:16">
      <c r="A1537" s="39"/>
      <c r="B1537" s="40"/>
      <c r="C1537" s="41"/>
      <c r="D1537" s="41"/>
      <c r="E1537" s="41"/>
      <c r="F1537" s="41"/>
      <c r="G1537" s="41"/>
      <c r="H1537" s="41"/>
      <c r="I1537" s="41"/>
      <c r="J1537" s="41"/>
      <c r="K1537" s="41"/>
      <c r="L1537" s="41"/>
      <c r="M1537" s="41"/>
      <c r="N1537" s="41"/>
      <c r="O1537" s="41"/>
      <c r="P1537" s="28"/>
    </row>
    <row r="1538" customFormat="1" spans="1:16">
      <c r="A1538" s="39"/>
      <c r="B1538" s="40"/>
      <c r="C1538" s="41"/>
      <c r="D1538" s="41"/>
      <c r="E1538" s="41"/>
      <c r="F1538" s="41"/>
      <c r="G1538" s="41"/>
      <c r="H1538" s="41"/>
      <c r="I1538" s="41"/>
      <c r="J1538" s="41"/>
      <c r="K1538" s="41"/>
      <c r="L1538" s="41"/>
      <c r="M1538" s="41"/>
      <c r="N1538" s="41"/>
      <c r="O1538" s="41"/>
      <c r="P1538" s="28"/>
    </row>
    <row r="1539" customFormat="1" spans="1:16">
      <c r="A1539" s="39"/>
      <c r="B1539" s="40"/>
      <c r="C1539" s="41"/>
      <c r="D1539" s="41"/>
      <c r="E1539" s="41"/>
      <c r="F1539" s="41"/>
      <c r="G1539" s="41"/>
      <c r="H1539" s="41"/>
      <c r="I1539" s="41"/>
      <c r="J1539" s="41"/>
      <c r="K1539" s="41"/>
      <c r="L1539" s="41"/>
      <c r="M1539" s="41"/>
      <c r="N1539" s="41"/>
      <c r="O1539" s="41"/>
      <c r="P1539" s="28"/>
    </row>
    <row r="1540" customFormat="1" spans="1:16">
      <c r="A1540" s="39"/>
      <c r="B1540" s="40"/>
      <c r="C1540" s="41"/>
      <c r="D1540" s="41"/>
      <c r="E1540" s="41"/>
      <c r="F1540" s="41"/>
      <c r="G1540" s="41"/>
      <c r="H1540" s="41"/>
      <c r="I1540" s="41"/>
      <c r="J1540" s="41"/>
      <c r="K1540" s="41"/>
      <c r="L1540" s="41"/>
      <c r="M1540" s="41"/>
      <c r="N1540" s="41"/>
      <c r="O1540" s="41"/>
      <c r="P1540" s="28"/>
    </row>
    <row r="1541" customFormat="1" spans="1:16">
      <c r="A1541" s="39"/>
      <c r="B1541" s="40"/>
      <c r="C1541" s="41"/>
      <c r="D1541" s="41"/>
      <c r="E1541" s="41"/>
      <c r="F1541" s="41"/>
      <c r="G1541" s="41"/>
      <c r="H1541" s="41"/>
      <c r="I1541" s="41"/>
      <c r="J1541" s="41"/>
      <c r="K1541" s="41"/>
      <c r="L1541" s="41"/>
      <c r="M1541" s="41"/>
      <c r="N1541" s="41"/>
      <c r="O1541" s="41"/>
      <c r="P1541" s="28"/>
    </row>
    <row r="1542" customFormat="1" spans="1:16">
      <c r="A1542" s="39"/>
      <c r="B1542" s="40"/>
      <c r="C1542" s="41"/>
      <c r="D1542" s="41"/>
      <c r="E1542" s="41"/>
      <c r="F1542" s="41"/>
      <c r="G1542" s="41"/>
      <c r="H1542" s="41"/>
      <c r="I1542" s="41"/>
      <c r="J1542" s="41"/>
      <c r="K1542" s="41"/>
      <c r="L1542" s="41"/>
      <c r="M1542" s="41"/>
      <c r="N1542" s="41"/>
      <c r="O1542" s="41"/>
      <c r="P1542" s="28"/>
    </row>
    <row r="1543" customFormat="1" spans="1:16">
      <c r="A1543" s="39"/>
      <c r="B1543" s="40"/>
      <c r="C1543" s="41"/>
      <c r="D1543" s="41"/>
      <c r="E1543" s="41"/>
      <c r="F1543" s="41"/>
      <c r="G1543" s="41"/>
      <c r="H1543" s="41"/>
      <c r="I1543" s="41"/>
      <c r="J1543" s="41"/>
      <c r="K1543" s="41"/>
      <c r="L1543" s="41"/>
      <c r="M1543" s="41"/>
      <c r="N1543" s="41"/>
      <c r="O1543" s="41"/>
      <c r="P1543" s="28"/>
    </row>
    <row r="1544" customFormat="1" spans="1:16">
      <c r="A1544" s="39"/>
      <c r="B1544" s="40"/>
      <c r="C1544" s="41"/>
      <c r="D1544" s="41"/>
      <c r="E1544" s="41"/>
      <c r="F1544" s="41"/>
      <c r="G1544" s="41"/>
      <c r="H1544" s="41"/>
      <c r="I1544" s="41"/>
      <c r="J1544" s="41"/>
      <c r="K1544" s="41"/>
      <c r="L1544" s="41"/>
      <c r="M1544" s="41"/>
      <c r="N1544" s="41"/>
      <c r="O1544" s="41"/>
      <c r="P1544" s="28"/>
    </row>
    <row r="1545" customFormat="1" spans="1:16">
      <c r="A1545" s="39"/>
      <c r="B1545" s="40"/>
      <c r="C1545" s="41"/>
      <c r="D1545" s="41"/>
      <c r="E1545" s="41"/>
      <c r="F1545" s="41"/>
      <c r="G1545" s="41"/>
      <c r="H1545" s="41"/>
      <c r="I1545" s="41"/>
      <c r="J1545" s="41"/>
      <c r="K1545" s="41"/>
      <c r="L1545" s="41"/>
      <c r="M1545" s="41"/>
      <c r="N1545" s="41"/>
      <c r="O1545" s="41"/>
      <c r="P1545" s="28"/>
    </row>
    <row r="1546" customFormat="1" spans="1:16">
      <c r="A1546" s="39"/>
      <c r="B1546" s="40"/>
      <c r="C1546" s="41"/>
      <c r="D1546" s="41"/>
      <c r="E1546" s="41"/>
      <c r="F1546" s="41"/>
      <c r="G1546" s="41"/>
      <c r="H1546" s="41"/>
      <c r="I1546" s="41"/>
      <c r="J1546" s="41"/>
      <c r="K1546" s="41"/>
      <c r="L1546" s="41"/>
      <c r="M1546" s="41"/>
      <c r="N1546" s="41"/>
      <c r="O1546" s="41"/>
      <c r="P1546" s="28"/>
    </row>
    <row r="1547" customFormat="1" spans="1:16">
      <c r="A1547" s="39"/>
      <c r="B1547" s="40"/>
      <c r="C1547" s="41"/>
      <c r="D1547" s="41"/>
      <c r="E1547" s="41"/>
      <c r="F1547" s="41"/>
      <c r="G1547" s="41"/>
      <c r="H1547" s="41"/>
      <c r="I1547" s="41"/>
      <c r="J1547" s="41"/>
      <c r="K1547" s="41"/>
      <c r="L1547" s="41"/>
      <c r="M1547" s="41"/>
      <c r="N1547" s="41"/>
      <c r="O1547" s="41"/>
      <c r="P1547" s="28"/>
    </row>
    <row r="1548" customFormat="1" spans="1:16">
      <c r="A1548" s="39"/>
      <c r="B1548" s="40"/>
      <c r="C1548" s="41"/>
      <c r="D1548" s="41"/>
      <c r="E1548" s="41"/>
      <c r="F1548" s="41"/>
      <c r="G1548" s="41"/>
      <c r="H1548" s="41"/>
      <c r="I1548" s="41"/>
      <c r="J1548" s="41"/>
      <c r="K1548" s="41"/>
      <c r="L1548" s="41"/>
      <c r="M1548" s="41"/>
      <c r="N1548" s="41"/>
      <c r="O1548" s="41"/>
      <c r="P1548" s="28"/>
    </row>
    <row r="1549" customFormat="1" spans="1:16">
      <c r="A1549" s="39"/>
      <c r="B1549" s="40"/>
      <c r="C1549" s="41"/>
      <c r="D1549" s="41"/>
      <c r="E1549" s="41"/>
      <c r="F1549" s="41"/>
      <c r="G1549" s="41"/>
      <c r="H1549" s="41"/>
      <c r="I1549" s="41"/>
      <c r="J1549" s="41"/>
      <c r="K1549" s="41"/>
      <c r="L1549" s="41"/>
      <c r="M1549" s="41"/>
      <c r="N1549" s="41"/>
      <c r="O1549" s="41"/>
      <c r="P1549" s="28"/>
    </row>
    <row r="1550" customFormat="1" spans="1:16">
      <c r="A1550" s="39"/>
      <c r="B1550" s="40"/>
      <c r="C1550" s="41"/>
      <c r="D1550" s="41"/>
      <c r="E1550" s="41"/>
      <c r="F1550" s="41"/>
      <c r="G1550" s="41"/>
      <c r="H1550" s="41"/>
      <c r="I1550" s="41"/>
      <c r="J1550" s="41"/>
      <c r="K1550" s="41"/>
      <c r="L1550" s="41"/>
      <c r="M1550" s="41"/>
      <c r="N1550" s="41"/>
      <c r="O1550" s="41"/>
      <c r="P1550" s="28"/>
    </row>
    <row r="1551" customFormat="1" spans="1:16">
      <c r="A1551" s="39"/>
      <c r="B1551" s="40"/>
      <c r="C1551" s="41"/>
      <c r="D1551" s="41"/>
      <c r="E1551" s="41"/>
      <c r="F1551" s="41"/>
      <c r="G1551" s="41"/>
      <c r="H1551" s="41"/>
      <c r="I1551" s="41"/>
      <c r="J1551" s="41"/>
      <c r="K1551" s="41"/>
      <c r="L1551" s="41"/>
      <c r="M1551" s="41"/>
      <c r="N1551" s="41"/>
      <c r="O1551" s="41"/>
      <c r="P1551" s="28"/>
    </row>
    <row r="1552" customFormat="1" spans="1:16">
      <c r="A1552" s="39"/>
      <c r="B1552" s="40"/>
      <c r="C1552" s="41"/>
      <c r="D1552" s="41"/>
      <c r="E1552" s="41"/>
      <c r="F1552" s="41"/>
      <c r="G1552" s="41"/>
      <c r="H1552" s="41"/>
      <c r="I1552" s="41"/>
      <c r="J1552" s="41"/>
      <c r="K1552" s="41"/>
      <c r="L1552" s="41"/>
      <c r="M1552" s="41"/>
      <c r="N1552" s="41"/>
      <c r="O1552" s="41"/>
      <c r="P1552" s="28"/>
    </row>
    <row r="1553" customFormat="1" spans="1:16">
      <c r="A1553" s="39"/>
      <c r="B1553" s="40"/>
      <c r="C1553" s="41"/>
      <c r="D1553" s="41"/>
      <c r="E1553" s="41"/>
      <c r="F1553" s="41"/>
      <c r="G1553" s="41"/>
      <c r="H1553" s="41"/>
      <c r="I1553" s="41"/>
      <c r="J1553" s="41"/>
      <c r="K1553" s="41"/>
      <c r="L1553" s="41"/>
      <c r="M1553" s="41"/>
      <c r="N1553" s="41"/>
      <c r="O1553" s="41"/>
      <c r="P1553" s="28"/>
    </row>
    <row r="1554" customFormat="1" spans="1:16">
      <c r="A1554" s="39"/>
      <c r="B1554" s="40"/>
      <c r="C1554" s="41"/>
      <c r="D1554" s="41"/>
      <c r="E1554" s="41"/>
      <c r="F1554" s="41"/>
      <c r="G1554" s="41"/>
      <c r="H1554" s="41"/>
      <c r="I1554" s="41"/>
      <c r="J1554" s="41"/>
      <c r="K1554" s="41"/>
      <c r="L1554" s="41"/>
      <c r="M1554" s="41"/>
      <c r="N1554" s="41"/>
      <c r="O1554" s="41"/>
      <c r="P1554" s="28"/>
    </row>
    <row r="1555" customFormat="1" spans="1:16">
      <c r="A1555" s="39"/>
      <c r="B1555" s="40"/>
      <c r="C1555" s="41"/>
      <c r="D1555" s="41"/>
      <c r="E1555" s="41"/>
      <c r="F1555" s="41"/>
      <c r="G1555" s="41"/>
      <c r="H1555" s="41"/>
      <c r="I1555" s="41"/>
      <c r="J1555" s="41"/>
      <c r="K1555" s="41"/>
      <c r="L1555" s="41"/>
      <c r="M1555" s="41"/>
      <c r="N1555" s="41"/>
      <c r="O1555" s="41"/>
      <c r="P1555" s="28"/>
    </row>
    <row r="1556" customFormat="1" spans="1:16">
      <c r="A1556" s="39"/>
      <c r="B1556" s="40"/>
      <c r="C1556" s="41"/>
      <c r="D1556" s="41"/>
      <c r="E1556" s="41"/>
      <c r="F1556" s="41"/>
      <c r="G1556" s="41"/>
      <c r="H1556" s="41"/>
      <c r="I1556" s="41"/>
      <c r="J1556" s="41"/>
      <c r="K1556" s="41"/>
      <c r="L1556" s="41"/>
      <c r="M1556" s="41"/>
      <c r="N1556" s="41"/>
      <c r="O1556" s="41"/>
      <c r="P1556" s="28"/>
    </row>
    <row r="1557" customFormat="1" spans="1:16">
      <c r="A1557" s="39"/>
      <c r="B1557" s="40"/>
      <c r="C1557" s="41"/>
      <c r="D1557" s="41"/>
      <c r="E1557" s="41"/>
      <c r="F1557" s="41"/>
      <c r="G1557" s="41"/>
      <c r="H1557" s="41"/>
      <c r="I1557" s="41"/>
      <c r="J1557" s="41"/>
      <c r="K1557" s="41"/>
      <c r="L1557" s="41"/>
      <c r="M1557" s="41"/>
      <c r="N1557" s="41"/>
      <c r="O1557" s="41"/>
      <c r="P1557" s="28"/>
    </row>
    <row r="1558" customFormat="1" spans="1:16">
      <c r="A1558" s="39"/>
      <c r="B1558" s="40"/>
      <c r="C1558" s="41"/>
      <c r="D1558" s="41"/>
      <c r="E1558" s="41"/>
      <c r="F1558" s="41"/>
      <c r="G1558" s="41"/>
      <c r="H1558" s="41"/>
      <c r="I1558" s="41"/>
      <c r="J1558" s="41"/>
      <c r="K1558" s="41"/>
      <c r="L1558" s="41"/>
      <c r="M1558" s="41"/>
      <c r="N1558" s="41"/>
      <c r="O1558" s="41"/>
      <c r="P1558" s="28"/>
    </row>
    <row r="1559" customFormat="1" spans="1:16">
      <c r="A1559" s="39"/>
      <c r="B1559" s="40"/>
      <c r="C1559" s="41"/>
      <c r="D1559" s="41"/>
      <c r="E1559" s="41"/>
      <c r="F1559" s="41"/>
      <c r="G1559" s="41"/>
      <c r="H1559" s="41"/>
      <c r="I1559" s="41"/>
      <c r="J1559" s="41"/>
      <c r="K1559" s="41"/>
      <c r="L1559" s="41"/>
      <c r="M1559" s="41"/>
      <c r="N1559" s="41"/>
      <c r="O1559" s="41"/>
      <c r="P1559" s="28"/>
    </row>
    <row r="1560" customFormat="1" spans="1:16">
      <c r="A1560" s="39"/>
      <c r="B1560" s="40"/>
      <c r="C1560" s="41"/>
      <c r="D1560" s="41"/>
      <c r="E1560" s="41"/>
      <c r="F1560" s="41"/>
      <c r="G1560" s="41"/>
      <c r="H1560" s="41"/>
      <c r="I1560" s="41"/>
      <c r="J1560" s="41"/>
      <c r="K1560" s="41"/>
      <c r="L1560" s="41"/>
      <c r="M1560" s="41"/>
      <c r="N1560" s="41"/>
      <c r="O1560" s="41"/>
      <c r="P1560" s="28"/>
    </row>
    <row r="1561" customFormat="1" spans="1:16">
      <c r="A1561" s="39"/>
      <c r="B1561" s="40"/>
      <c r="C1561" s="41"/>
      <c r="D1561" s="41"/>
      <c r="E1561" s="41"/>
      <c r="F1561" s="41"/>
      <c r="G1561" s="41"/>
      <c r="H1561" s="41"/>
      <c r="I1561" s="41"/>
      <c r="J1561" s="41"/>
      <c r="K1561" s="41"/>
      <c r="L1561" s="41"/>
      <c r="M1561" s="41"/>
      <c r="N1561" s="41"/>
      <c r="O1561" s="41"/>
      <c r="P1561" s="28"/>
    </row>
    <row r="1562" customFormat="1" spans="1:16">
      <c r="A1562" s="39"/>
      <c r="B1562" s="40"/>
      <c r="C1562" s="41"/>
      <c r="D1562" s="41"/>
      <c r="E1562" s="41"/>
      <c r="F1562" s="41"/>
      <c r="G1562" s="41"/>
      <c r="H1562" s="41"/>
      <c r="I1562" s="41"/>
      <c r="J1562" s="41"/>
      <c r="K1562" s="41"/>
      <c r="L1562" s="41"/>
      <c r="M1562" s="41"/>
      <c r="N1562" s="41"/>
      <c r="O1562" s="41"/>
      <c r="P1562" s="28"/>
    </row>
    <row r="1563" customFormat="1" spans="1:16">
      <c r="A1563" s="39"/>
      <c r="B1563" s="40"/>
      <c r="C1563" s="41"/>
      <c r="D1563" s="41"/>
      <c r="E1563" s="41"/>
      <c r="F1563" s="41"/>
      <c r="G1563" s="41"/>
      <c r="H1563" s="41"/>
      <c r="I1563" s="41"/>
      <c r="J1563" s="41"/>
      <c r="K1563" s="41"/>
      <c r="L1563" s="41"/>
      <c r="M1563" s="41"/>
      <c r="N1563" s="41"/>
      <c r="O1563" s="41"/>
      <c r="P1563" s="28"/>
    </row>
    <row r="1564" customFormat="1" spans="1:16">
      <c r="A1564" s="39"/>
      <c r="B1564" s="40"/>
      <c r="C1564" s="41"/>
      <c r="D1564" s="41"/>
      <c r="E1564" s="41"/>
      <c r="F1564" s="41"/>
      <c r="G1564" s="41"/>
      <c r="H1564" s="41"/>
      <c r="I1564" s="41"/>
      <c r="J1564" s="41"/>
      <c r="K1564" s="41"/>
      <c r="L1564" s="41"/>
      <c r="M1564" s="41"/>
      <c r="N1564" s="41"/>
      <c r="O1564" s="41"/>
      <c r="P1564" s="28"/>
    </row>
    <row r="1565" customFormat="1" spans="1:16">
      <c r="A1565" s="39"/>
      <c r="B1565" s="40"/>
      <c r="C1565" s="41"/>
      <c r="D1565" s="41"/>
      <c r="E1565" s="41"/>
      <c r="F1565" s="41"/>
      <c r="G1565" s="41"/>
      <c r="H1565" s="41"/>
      <c r="I1565" s="41"/>
      <c r="J1565" s="41"/>
      <c r="K1565" s="41"/>
      <c r="L1565" s="41"/>
      <c r="M1565" s="41"/>
      <c r="N1565" s="41"/>
      <c r="O1565" s="41"/>
      <c r="P1565" s="28"/>
    </row>
    <row r="1566" customFormat="1" spans="1:16">
      <c r="A1566" s="39"/>
      <c r="B1566" s="40"/>
      <c r="C1566" s="41"/>
      <c r="D1566" s="41"/>
      <c r="E1566" s="41"/>
      <c r="F1566" s="41"/>
      <c r="G1566" s="41"/>
      <c r="H1566" s="41"/>
      <c r="I1566" s="41"/>
      <c r="J1566" s="41"/>
      <c r="K1566" s="41"/>
      <c r="L1566" s="41"/>
      <c r="M1566" s="41"/>
      <c r="N1566" s="41"/>
      <c r="O1566" s="41"/>
      <c r="P1566" s="28"/>
    </row>
    <row r="1567" customFormat="1" spans="1:16">
      <c r="A1567" s="39"/>
      <c r="B1567" s="40"/>
      <c r="C1567" s="41"/>
      <c r="D1567" s="41"/>
      <c r="E1567" s="41"/>
      <c r="F1567" s="41"/>
      <c r="G1567" s="41"/>
      <c r="H1567" s="41"/>
      <c r="I1567" s="41"/>
      <c r="J1567" s="41"/>
      <c r="K1567" s="41"/>
      <c r="L1567" s="41"/>
      <c r="M1567" s="41"/>
      <c r="N1567" s="41"/>
      <c r="O1567" s="41"/>
      <c r="P1567" s="28"/>
    </row>
    <row r="1568" customFormat="1" spans="1:16">
      <c r="A1568" s="39"/>
      <c r="B1568" s="40"/>
      <c r="C1568" s="41"/>
      <c r="D1568" s="41"/>
      <c r="E1568" s="41"/>
      <c r="F1568" s="41"/>
      <c r="G1568" s="41"/>
      <c r="H1568" s="41"/>
      <c r="I1568" s="41"/>
      <c r="J1568" s="41"/>
      <c r="K1568" s="41"/>
      <c r="L1568" s="41"/>
      <c r="M1568" s="41"/>
      <c r="N1568" s="41"/>
      <c r="O1568" s="41"/>
      <c r="P1568" s="28"/>
    </row>
    <row r="1569" customFormat="1" spans="1:16">
      <c r="A1569" s="39"/>
      <c r="B1569" s="40"/>
      <c r="C1569" s="41"/>
      <c r="D1569" s="41"/>
      <c r="E1569" s="41"/>
      <c r="F1569" s="41"/>
      <c r="G1569" s="41"/>
      <c r="H1569" s="41"/>
      <c r="I1569" s="41"/>
      <c r="J1569" s="41"/>
      <c r="K1569" s="41"/>
      <c r="L1569" s="41"/>
      <c r="M1569" s="41"/>
      <c r="N1569" s="41"/>
      <c r="O1569" s="41"/>
      <c r="P1569" s="28"/>
    </row>
    <row r="1570" customFormat="1" spans="1:16">
      <c r="A1570" s="39"/>
      <c r="B1570" s="40"/>
      <c r="C1570" s="41"/>
      <c r="D1570" s="41"/>
      <c r="E1570" s="41"/>
      <c r="F1570" s="41"/>
      <c r="G1570" s="41"/>
      <c r="H1570" s="41"/>
      <c r="I1570" s="41"/>
      <c r="J1570" s="41"/>
      <c r="K1570" s="41"/>
      <c r="L1570" s="41"/>
      <c r="M1570" s="41"/>
      <c r="N1570" s="41"/>
      <c r="O1570" s="41"/>
      <c r="P1570" s="28"/>
    </row>
    <row r="1571" customFormat="1" spans="1:16">
      <c r="A1571" s="39"/>
      <c r="B1571" s="40"/>
      <c r="C1571" s="41"/>
      <c r="D1571" s="41"/>
      <c r="E1571" s="41"/>
      <c r="F1571" s="41"/>
      <c r="G1571" s="41"/>
      <c r="H1571" s="41"/>
      <c r="I1571" s="41"/>
      <c r="J1571" s="41"/>
      <c r="K1571" s="41"/>
      <c r="L1571" s="41"/>
      <c r="M1571" s="41"/>
      <c r="N1571" s="41"/>
      <c r="O1571" s="41"/>
      <c r="P1571" s="28"/>
    </row>
    <row r="1572" customFormat="1" spans="1:16">
      <c r="A1572" s="39"/>
      <c r="B1572" s="40"/>
      <c r="C1572" s="41"/>
      <c r="D1572" s="41"/>
      <c r="E1572" s="41"/>
      <c r="F1572" s="41"/>
      <c r="G1572" s="41"/>
      <c r="H1572" s="41"/>
      <c r="I1572" s="41"/>
      <c r="J1572" s="41"/>
      <c r="K1572" s="41"/>
      <c r="L1572" s="41"/>
      <c r="M1572" s="41"/>
      <c r="N1572" s="41"/>
      <c r="O1572" s="41"/>
      <c r="P1572" s="28"/>
    </row>
    <row r="1573" customFormat="1" spans="1:16">
      <c r="A1573" s="39"/>
      <c r="B1573" s="40"/>
      <c r="C1573" s="41"/>
      <c r="D1573" s="41"/>
      <c r="E1573" s="41"/>
      <c r="F1573" s="41"/>
      <c r="G1573" s="41"/>
      <c r="H1573" s="41"/>
      <c r="I1573" s="41"/>
      <c r="J1573" s="41"/>
      <c r="K1573" s="41"/>
      <c r="L1573" s="41"/>
      <c r="M1573" s="41"/>
      <c r="N1573" s="41"/>
      <c r="O1573" s="41"/>
      <c r="P1573" s="28"/>
    </row>
    <row r="1574" customFormat="1" spans="1:16">
      <c r="A1574" s="39"/>
      <c r="B1574" s="40"/>
      <c r="C1574" s="41"/>
      <c r="D1574" s="41"/>
      <c r="E1574" s="41"/>
      <c r="F1574" s="41"/>
      <c r="G1574" s="41"/>
      <c r="H1574" s="41"/>
      <c r="I1574" s="41"/>
      <c r="J1574" s="41"/>
      <c r="K1574" s="41"/>
      <c r="L1574" s="41"/>
      <c r="M1574" s="41"/>
      <c r="N1574" s="41"/>
      <c r="O1574" s="41"/>
      <c r="P1574" s="28"/>
    </row>
    <row r="1575" customFormat="1" spans="1:16">
      <c r="A1575" s="39"/>
      <c r="B1575" s="40"/>
      <c r="C1575" s="41"/>
      <c r="D1575" s="41"/>
      <c r="E1575" s="41"/>
      <c r="F1575" s="41"/>
      <c r="G1575" s="41"/>
      <c r="H1575" s="41"/>
      <c r="I1575" s="41"/>
      <c r="J1575" s="41"/>
      <c r="K1575" s="41"/>
      <c r="L1575" s="41"/>
      <c r="M1575" s="41"/>
      <c r="N1575" s="41"/>
      <c r="O1575" s="41"/>
      <c r="P1575" s="28"/>
    </row>
    <row r="1576" customFormat="1" spans="1:16">
      <c r="A1576" s="39"/>
      <c r="B1576" s="40"/>
      <c r="C1576" s="41"/>
      <c r="D1576" s="41"/>
      <c r="E1576" s="41"/>
      <c r="F1576" s="41"/>
      <c r="G1576" s="41"/>
      <c r="H1576" s="41"/>
      <c r="I1576" s="41"/>
      <c r="J1576" s="41"/>
      <c r="K1576" s="41"/>
      <c r="L1576" s="41"/>
      <c r="M1576" s="41"/>
      <c r="N1576" s="41"/>
      <c r="O1576" s="41"/>
      <c r="P1576" s="28"/>
    </row>
    <row r="1577" customFormat="1" spans="1:16">
      <c r="A1577" s="39"/>
      <c r="B1577" s="40"/>
      <c r="C1577" s="41"/>
      <c r="D1577" s="41"/>
      <c r="E1577" s="41"/>
      <c r="F1577" s="41"/>
      <c r="G1577" s="41"/>
      <c r="H1577" s="41"/>
      <c r="I1577" s="41"/>
      <c r="J1577" s="41"/>
      <c r="K1577" s="41"/>
      <c r="L1577" s="41"/>
      <c r="M1577" s="41"/>
      <c r="N1577" s="41"/>
      <c r="O1577" s="41"/>
      <c r="P1577" s="28"/>
    </row>
    <row r="1578" customFormat="1" spans="1:16">
      <c r="A1578" s="39"/>
      <c r="B1578" s="40"/>
      <c r="C1578" s="41"/>
      <c r="D1578" s="41"/>
      <c r="E1578" s="41"/>
      <c r="F1578" s="41"/>
      <c r="G1578" s="41"/>
      <c r="H1578" s="41"/>
      <c r="I1578" s="41"/>
      <c r="J1578" s="41"/>
      <c r="K1578" s="41"/>
      <c r="L1578" s="41"/>
      <c r="M1578" s="41"/>
      <c r="N1578" s="41"/>
      <c r="O1578" s="41"/>
      <c r="P1578" s="28"/>
    </row>
    <row r="1579" customFormat="1" spans="1:16">
      <c r="A1579" s="39"/>
      <c r="B1579" s="40"/>
      <c r="C1579" s="41"/>
      <c r="D1579" s="41"/>
      <c r="E1579" s="41"/>
      <c r="F1579" s="41"/>
      <c r="G1579" s="41"/>
      <c r="H1579" s="41"/>
      <c r="I1579" s="41"/>
      <c r="J1579" s="41"/>
      <c r="K1579" s="41"/>
      <c r="L1579" s="41"/>
      <c r="M1579" s="41"/>
      <c r="N1579" s="41"/>
      <c r="O1579" s="41"/>
      <c r="P1579" s="28"/>
    </row>
    <row r="1580" customFormat="1" spans="1:16">
      <c r="A1580" s="39"/>
      <c r="B1580" s="40"/>
      <c r="C1580" s="41"/>
      <c r="D1580" s="41"/>
      <c r="E1580" s="41"/>
      <c r="F1580" s="41"/>
      <c r="G1580" s="41"/>
      <c r="H1580" s="41"/>
      <c r="I1580" s="41"/>
      <c r="J1580" s="41"/>
      <c r="K1580" s="41"/>
      <c r="L1580" s="41"/>
      <c r="M1580" s="41"/>
      <c r="N1580" s="41"/>
      <c r="O1580" s="41"/>
      <c r="P1580" s="28"/>
    </row>
    <row r="1581" customFormat="1" spans="1:16">
      <c r="A1581" s="39"/>
      <c r="B1581" s="40"/>
      <c r="C1581" s="41"/>
      <c r="D1581" s="41"/>
      <c r="E1581" s="41"/>
      <c r="F1581" s="41"/>
      <c r="G1581" s="41"/>
      <c r="H1581" s="41"/>
      <c r="I1581" s="41"/>
      <c r="J1581" s="41"/>
      <c r="K1581" s="41"/>
      <c r="L1581" s="41"/>
      <c r="M1581" s="41"/>
      <c r="N1581" s="41"/>
      <c r="O1581" s="41"/>
      <c r="P1581" s="28"/>
    </row>
    <row r="1582" customFormat="1" spans="1:16">
      <c r="A1582" s="39"/>
      <c r="B1582" s="40"/>
      <c r="C1582" s="41"/>
      <c r="D1582" s="41"/>
      <c r="E1582" s="41"/>
      <c r="F1582" s="41"/>
      <c r="G1582" s="41"/>
      <c r="H1582" s="41"/>
      <c r="I1582" s="41"/>
      <c r="J1582" s="41"/>
      <c r="K1582" s="41"/>
      <c r="L1582" s="41"/>
      <c r="M1582" s="41"/>
      <c r="N1582" s="41"/>
      <c r="O1582" s="41"/>
      <c r="P1582" s="28"/>
    </row>
    <row r="1583" customFormat="1" spans="1:16">
      <c r="A1583" s="39"/>
      <c r="B1583" s="40"/>
      <c r="C1583" s="41"/>
      <c r="D1583" s="41"/>
      <c r="E1583" s="41"/>
      <c r="F1583" s="41"/>
      <c r="G1583" s="41"/>
      <c r="H1583" s="41"/>
      <c r="I1583" s="41"/>
      <c r="J1583" s="41"/>
      <c r="K1583" s="41"/>
      <c r="L1583" s="41"/>
      <c r="M1583" s="41"/>
      <c r="N1583" s="41"/>
      <c r="O1583" s="41"/>
      <c r="P1583" s="28"/>
    </row>
    <row r="1584" customFormat="1" spans="1:16">
      <c r="A1584" s="39"/>
      <c r="B1584" s="40"/>
      <c r="C1584" s="41"/>
      <c r="D1584" s="41"/>
      <c r="E1584" s="41"/>
      <c r="F1584" s="41"/>
      <c r="G1584" s="41"/>
      <c r="H1584" s="41"/>
      <c r="I1584" s="41"/>
      <c r="J1584" s="41"/>
      <c r="K1584" s="41"/>
      <c r="L1584" s="41"/>
      <c r="M1584" s="41"/>
      <c r="N1584" s="41"/>
      <c r="O1584" s="41"/>
      <c r="P1584" s="28"/>
    </row>
    <row r="1585" customFormat="1" spans="1:16">
      <c r="A1585" s="39"/>
      <c r="B1585" s="40"/>
      <c r="C1585" s="41"/>
      <c r="D1585" s="41"/>
      <c r="E1585" s="41"/>
      <c r="F1585" s="41"/>
      <c r="G1585" s="41"/>
      <c r="H1585" s="41"/>
      <c r="I1585" s="41"/>
      <c r="J1585" s="41"/>
      <c r="K1585" s="41"/>
      <c r="L1585" s="41"/>
      <c r="M1585" s="41"/>
      <c r="N1585" s="41"/>
      <c r="O1585" s="41"/>
      <c r="P1585" s="28"/>
    </row>
    <row r="1586" customFormat="1" spans="1:16">
      <c r="A1586" s="39"/>
      <c r="B1586" s="40"/>
      <c r="C1586" s="41"/>
      <c r="D1586" s="41"/>
      <c r="E1586" s="41"/>
      <c r="F1586" s="41"/>
      <c r="G1586" s="41"/>
      <c r="H1586" s="41"/>
      <c r="I1586" s="41"/>
      <c r="J1586" s="41"/>
      <c r="K1586" s="41"/>
      <c r="L1586" s="41"/>
      <c r="M1586" s="41"/>
      <c r="N1586" s="41"/>
      <c r="O1586" s="41"/>
      <c r="P1586" s="28"/>
    </row>
    <row r="1587" customFormat="1" spans="1:16">
      <c r="A1587" s="39"/>
      <c r="B1587" s="40"/>
      <c r="C1587" s="41"/>
      <c r="D1587" s="41"/>
      <c r="E1587" s="41"/>
      <c r="F1587" s="41"/>
      <c r="G1587" s="41"/>
      <c r="H1587" s="41"/>
      <c r="I1587" s="41"/>
      <c r="J1587" s="41"/>
      <c r="K1587" s="41"/>
      <c r="L1587" s="41"/>
      <c r="M1587" s="41"/>
      <c r="N1587" s="41"/>
      <c r="O1587" s="41"/>
      <c r="P1587" s="28"/>
    </row>
    <row r="1588" customFormat="1" spans="1:16">
      <c r="A1588" s="39"/>
      <c r="B1588" s="40"/>
      <c r="C1588" s="41"/>
      <c r="D1588" s="41"/>
      <c r="E1588" s="41"/>
      <c r="F1588" s="41"/>
      <c r="G1588" s="41"/>
      <c r="H1588" s="41"/>
      <c r="I1588" s="41"/>
      <c r="J1588" s="41"/>
      <c r="K1588" s="41"/>
      <c r="L1588" s="41"/>
      <c r="M1588" s="41"/>
      <c r="N1588" s="41"/>
      <c r="O1588" s="41"/>
      <c r="P1588" s="28"/>
    </row>
    <row r="1589" customFormat="1" spans="1:16">
      <c r="A1589" s="39"/>
      <c r="B1589" s="40"/>
      <c r="C1589" s="41"/>
      <c r="D1589" s="41"/>
      <c r="E1589" s="41"/>
      <c r="F1589" s="41"/>
      <c r="G1589" s="41"/>
      <c r="H1589" s="41"/>
      <c r="I1589" s="41"/>
      <c r="J1589" s="41"/>
      <c r="K1589" s="41"/>
      <c r="L1589" s="41"/>
      <c r="M1589" s="41"/>
      <c r="N1589" s="41"/>
      <c r="O1589" s="41"/>
      <c r="P1589" s="28"/>
    </row>
    <row r="1590" customFormat="1" spans="1:16">
      <c r="A1590" s="39"/>
      <c r="B1590" s="40"/>
      <c r="C1590" s="41"/>
      <c r="D1590" s="41"/>
      <c r="E1590" s="41"/>
      <c r="F1590" s="41"/>
      <c r="G1590" s="41"/>
      <c r="H1590" s="41"/>
      <c r="I1590" s="41"/>
      <c r="J1590" s="41"/>
      <c r="K1590" s="41"/>
      <c r="L1590" s="41"/>
      <c r="M1590" s="41"/>
      <c r="N1590" s="41"/>
      <c r="O1590" s="41"/>
      <c r="P1590" s="28"/>
    </row>
    <row r="1591" customFormat="1" spans="1:16">
      <c r="A1591" s="39"/>
      <c r="B1591" s="40"/>
      <c r="C1591" s="41"/>
      <c r="D1591" s="41"/>
      <c r="E1591" s="41"/>
      <c r="F1591" s="41"/>
      <c r="G1591" s="41"/>
      <c r="H1591" s="41"/>
      <c r="I1591" s="41"/>
      <c r="J1591" s="41"/>
      <c r="K1591" s="41"/>
      <c r="L1591" s="41"/>
      <c r="M1591" s="41"/>
      <c r="N1591" s="41"/>
      <c r="O1591" s="41"/>
      <c r="P1591" s="28"/>
    </row>
    <row r="1592" customFormat="1" spans="1:16">
      <c r="A1592" s="39"/>
      <c r="B1592" s="40"/>
      <c r="C1592" s="41"/>
      <c r="D1592" s="41"/>
      <c r="E1592" s="41"/>
      <c r="F1592" s="41"/>
      <c r="G1592" s="41"/>
      <c r="H1592" s="41"/>
      <c r="I1592" s="41"/>
      <c r="J1592" s="41"/>
      <c r="K1592" s="41"/>
      <c r="L1592" s="41"/>
      <c r="M1592" s="41"/>
      <c r="N1592" s="41"/>
      <c r="O1592" s="41"/>
      <c r="P1592" s="28"/>
    </row>
    <row r="1593" customFormat="1" spans="1:16">
      <c r="A1593" s="39"/>
      <c r="B1593" s="40"/>
      <c r="C1593" s="41"/>
      <c r="D1593" s="41"/>
      <c r="E1593" s="41"/>
      <c r="F1593" s="41"/>
      <c r="G1593" s="41"/>
      <c r="H1593" s="41"/>
      <c r="I1593" s="41"/>
      <c r="J1593" s="41"/>
      <c r="K1593" s="41"/>
      <c r="L1593" s="41"/>
      <c r="M1593" s="41"/>
      <c r="N1593" s="41"/>
      <c r="O1593" s="41"/>
      <c r="P1593" s="28"/>
    </row>
    <row r="1594" customFormat="1" spans="1:16">
      <c r="A1594" s="39"/>
      <c r="B1594" s="40"/>
      <c r="C1594" s="41"/>
      <c r="D1594" s="41"/>
      <c r="E1594" s="41"/>
      <c r="F1594" s="41"/>
      <c r="G1594" s="41"/>
      <c r="H1594" s="41"/>
      <c r="I1594" s="41"/>
      <c r="J1594" s="41"/>
      <c r="K1594" s="41"/>
      <c r="L1594" s="41"/>
      <c r="M1594" s="41"/>
      <c r="N1594" s="41"/>
      <c r="O1594" s="41"/>
      <c r="P1594" s="28"/>
    </row>
    <row r="1595" customFormat="1" spans="1:16">
      <c r="A1595" s="39"/>
      <c r="B1595" s="40"/>
      <c r="C1595" s="41"/>
      <c r="D1595" s="41"/>
      <c r="E1595" s="41"/>
      <c r="F1595" s="41"/>
      <c r="G1595" s="41"/>
      <c r="H1595" s="41"/>
      <c r="I1595" s="41"/>
      <c r="J1595" s="41"/>
      <c r="K1595" s="41"/>
      <c r="L1595" s="41"/>
      <c r="M1595" s="41"/>
      <c r="N1595" s="41"/>
      <c r="O1595" s="41"/>
      <c r="P1595" s="28"/>
    </row>
    <row r="1596" customFormat="1" spans="1:16">
      <c r="A1596" s="39"/>
      <c r="B1596" s="40"/>
      <c r="C1596" s="41"/>
      <c r="D1596" s="41"/>
      <c r="E1596" s="41"/>
      <c r="F1596" s="41"/>
      <c r="G1596" s="41"/>
      <c r="H1596" s="41"/>
      <c r="I1596" s="41"/>
      <c r="J1596" s="41"/>
      <c r="K1596" s="41"/>
      <c r="L1596" s="41"/>
      <c r="M1596" s="41"/>
      <c r="N1596" s="41"/>
      <c r="O1596" s="41"/>
      <c r="P1596" s="28"/>
    </row>
    <row r="1597" customFormat="1" spans="1:16">
      <c r="A1597" s="39"/>
      <c r="B1597" s="40"/>
      <c r="C1597" s="41"/>
      <c r="D1597" s="41"/>
      <c r="E1597" s="41"/>
      <c r="F1597" s="41"/>
      <c r="G1597" s="41"/>
      <c r="H1597" s="41"/>
      <c r="I1597" s="41"/>
      <c r="J1597" s="41"/>
      <c r="K1597" s="41"/>
      <c r="L1597" s="41"/>
      <c r="M1597" s="41"/>
      <c r="N1597" s="41"/>
      <c r="O1597" s="41"/>
      <c r="P1597" s="28"/>
    </row>
    <row r="1598" customFormat="1" spans="1:16">
      <c r="A1598" s="39"/>
      <c r="B1598" s="40"/>
      <c r="C1598" s="41"/>
      <c r="D1598" s="41"/>
      <c r="E1598" s="41"/>
      <c r="F1598" s="41"/>
      <c r="G1598" s="41"/>
      <c r="H1598" s="41"/>
      <c r="I1598" s="41"/>
      <c r="J1598" s="41"/>
      <c r="K1598" s="41"/>
      <c r="L1598" s="41"/>
      <c r="M1598" s="41"/>
      <c r="N1598" s="41"/>
      <c r="O1598" s="41"/>
      <c r="P1598" s="28"/>
    </row>
    <row r="1599" customFormat="1" spans="1:16">
      <c r="A1599" s="39"/>
      <c r="B1599" s="40"/>
      <c r="C1599" s="41"/>
      <c r="D1599" s="41"/>
      <c r="E1599" s="41"/>
      <c r="F1599" s="41"/>
      <c r="G1599" s="41"/>
      <c r="H1599" s="41"/>
      <c r="I1599" s="41"/>
      <c r="J1599" s="41"/>
      <c r="K1599" s="41"/>
      <c r="L1599" s="41"/>
      <c r="M1599" s="41"/>
      <c r="N1599" s="41"/>
      <c r="O1599" s="41"/>
      <c r="P1599" s="28"/>
    </row>
    <row r="1600" customFormat="1" spans="1:16">
      <c r="A1600" s="39"/>
      <c r="B1600" s="40"/>
      <c r="C1600" s="41"/>
      <c r="D1600" s="41"/>
      <c r="E1600" s="41"/>
      <c r="F1600" s="41"/>
      <c r="G1600" s="41"/>
      <c r="H1600" s="41"/>
      <c r="I1600" s="41"/>
      <c r="J1600" s="41"/>
      <c r="K1600" s="41"/>
      <c r="L1600" s="41"/>
      <c r="M1600" s="41"/>
      <c r="N1600" s="41"/>
      <c r="O1600" s="41"/>
      <c r="P1600" s="28"/>
    </row>
    <row r="1601" customFormat="1" spans="1:16">
      <c r="A1601" s="39"/>
      <c r="B1601" s="40"/>
      <c r="C1601" s="41"/>
      <c r="D1601" s="41"/>
      <c r="E1601" s="41"/>
      <c r="F1601" s="41"/>
      <c r="G1601" s="41"/>
      <c r="H1601" s="41"/>
      <c r="I1601" s="41"/>
      <c r="J1601" s="41"/>
      <c r="K1601" s="41"/>
      <c r="L1601" s="41"/>
      <c r="M1601" s="41"/>
      <c r="N1601" s="41"/>
      <c r="O1601" s="41"/>
      <c r="P1601" s="28"/>
    </row>
    <row r="1602" customFormat="1" spans="1:16">
      <c r="A1602" s="39"/>
      <c r="B1602" s="40"/>
      <c r="C1602" s="41"/>
      <c r="D1602" s="41"/>
      <c r="E1602" s="41"/>
      <c r="F1602" s="41"/>
      <c r="G1602" s="41"/>
      <c r="H1602" s="41"/>
      <c r="I1602" s="41"/>
      <c r="J1602" s="41"/>
      <c r="K1602" s="41"/>
      <c r="L1602" s="41"/>
      <c r="M1602" s="41"/>
      <c r="N1602" s="41"/>
      <c r="O1602" s="41"/>
      <c r="P1602" s="28"/>
    </row>
    <row r="1603" customFormat="1" spans="1:16">
      <c r="A1603" s="39"/>
      <c r="B1603" s="40"/>
      <c r="C1603" s="41"/>
      <c r="D1603" s="41"/>
      <c r="E1603" s="41"/>
      <c r="F1603" s="41"/>
      <c r="G1603" s="41"/>
      <c r="H1603" s="41"/>
      <c r="I1603" s="41"/>
      <c r="J1603" s="41"/>
      <c r="K1603" s="41"/>
      <c r="L1603" s="41"/>
      <c r="M1603" s="41"/>
      <c r="N1603" s="41"/>
      <c r="O1603" s="41"/>
      <c r="P1603" s="28"/>
    </row>
    <row r="1604" customFormat="1" spans="1:16">
      <c r="A1604" s="39"/>
      <c r="B1604" s="40"/>
      <c r="C1604" s="41"/>
      <c r="D1604" s="41"/>
      <c r="E1604" s="41"/>
      <c r="F1604" s="41"/>
      <c r="G1604" s="41"/>
      <c r="H1604" s="41"/>
      <c r="I1604" s="41"/>
      <c r="J1604" s="41"/>
      <c r="K1604" s="41"/>
      <c r="L1604" s="41"/>
      <c r="M1604" s="41"/>
      <c r="N1604" s="41"/>
      <c r="O1604" s="41"/>
      <c r="P1604" s="28"/>
    </row>
    <row r="1605" customFormat="1" spans="1:16">
      <c r="A1605" s="39"/>
      <c r="B1605" s="40"/>
      <c r="C1605" s="41"/>
      <c r="D1605" s="41"/>
      <c r="E1605" s="41"/>
      <c r="F1605" s="41"/>
      <c r="G1605" s="41"/>
      <c r="H1605" s="41"/>
      <c r="I1605" s="41"/>
      <c r="J1605" s="41"/>
      <c r="K1605" s="41"/>
      <c r="L1605" s="41"/>
      <c r="M1605" s="41"/>
      <c r="N1605" s="41"/>
      <c r="O1605" s="41"/>
      <c r="P1605" s="28"/>
    </row>
    <row r="1606" customFormat="1" spans="1:16">
      <c r="A1606" s="39"/>
      <c r="B1606" s="40"/>
      <c r="C1606" s="41"/>
      <c r="D1606" s="41"/>
      <c r="E1606" s="41"/>
      <c r="F1606" s="41"/>
      <c r="G1606" s="41"/>
      <c r="H1606" s="41"/>
      <c r="I1606" s="41"/>
      <c r="J1606" s="41"/>
      <c r="K1606" s="41"/>
      <c r="L1606" s="41"/>
      <c r="M1606" s="41"/>
      <c r="N1606" s="41"/>
      <c r="O1606" s="41"/>
      <c r="P1606" s="28"/>
    </row>
    <row r="1607" customFormat="1" spans="1:16">
      <c r="A1607" s="39"/>
      <c r="B1607" s="40"/>
      <c r="C1607" s="41"/>
      <c r="D1607" s="41"/>
      <c r="E1607" s="41"/>
      <c r="F1607" s="41"/>
      <c r="G1607" s="41"/>
      <c r="H1607" s="41"/>
      <c r="I1607" s="41"/>
      <c r="J1607" s="41"/>
      <c r="K1607" s="41"/>
      <c r="L1607" s="41"/>
      <c r="M1607" s="41"/>
      <c r="N1607" s="41"/>
      <c r="O1607" s="41"/>
      <c r="P1607" s="28"/>
    </row>
    <row r="1608" customFormat="1" spans="1:16">
      <c r="A1608" s="39"/>
      <c r="B1608" s="40"/>
      <c r="C1608" s="41"/>
      <c r="D1608" s="41"/>
      <c r="E1608" s="41"/>
      <c r="F1608" s="41"/>
      <c r="G1608" s="41"/>
      <c r="H1608" s="41"/>
      <c r="I1608" s="41"/>
      <c r="J1608" s="41"/>
      <c r="K1608" s="41"/>
      <c r="L1608" s="41"/>
      <c r="M1608" s="41"/>
      <c r="N1608" s="41"/>
      <c r="O1608" s="41"/>
      <c r="P1608" s="28"/>
    </row>
    <row r="1609" customFormat="1" spans="1:16">
      <c r="A1609" s="39"/>
      <c r="B1609" s="40"/>
      <c r="C1609" s="41"/>
      <c r="D1609" s="41"/>
      <c r="E1609" s="41"/>
      <c r="F1609" s="41"/>
      <c r="G1609" s="41"/>
      <c r="H1609" s="41"/>
      <c r="I1609" s="41"/>
      <c r="J1609" s="41"/>
      <c r="K1609" s="41"/>
      <c r="L1609" s="41"/>
      <c r="M1609" s="41"/>
      <c r="N1609" s="41"/>
      <c r="O1609" s="41"/>
      <c r="P1609" s="28"/>
    </row>
    <row r="1610" customFormat="1" spans="1:16">
      <c r="A1610" s="39"/>
      <c r="B1610" s="40"/>
      <c r="C1610" s="41"/>
      <c r="D1610" s="41"/>
      <c r="E1610" s="41"/>
      <c r="F1610" s="41"/>
      <c r="G1610" s="41"/>
      <c r="H1610" s="41"/>
      <c r="I1610" s="41"/>
      <c r="J1610" s="41"/>
      <c r="K1610" s="41"/>
      <c r="L1610" s="41"/>
      <c r="M1610" s="41"/>
      <c r="N1610" s="41"/>
      <c r="O1610" s="41"/>
      <c r="P1610" s="28"/>
    </row>
    <row r="1611" customFormat="1" spans="1:16">
      <c r="A1611" s="39"/>
      <c r="B1611" s="40"/>
      <c r="C1611" s="41"/>
      <c r="D1611" s="41"/>
      <c r="E1611" s="41"/>
      <c r="F1611" s="41"/>
      <c r="G1611" s="41"/>
      <c r="H1611" s="41"/>
      <c r="I1611" s="41"/>
      <c r="J1611" s="41"/>
      <c r="K1611" s="41"/>
      <c r="L1611" s="41"/>
      <c r="M1611" s="41"/>
      <c r="N1611" s="41"/>
      <c r="O1611" s="41"/>
      <c r="P1611" s="28"/>
    </row>
    <row r="1612" customFormat="1" spans="1:16">
      <c r="A1612" s="39"/>
      <c r="B1612" s="40"/>
      <c r="C1612" s="41"/>
      <c r="D1612" s="41"/>
      <c r="E1612" s="41"/>
      <c r="F1612" s="41"/>
      <c r="G1612" s="41"/>
      <c r="H1612" s="41"/>
      <c r="I1612" s="41"/>
      <c r="J1612" s="41"/>
      <c r="K1612" s="41"/>
      <c r="L1612" s="41"/>
      <c r="M1612" s="41"/>
      <c r="N1612" s="41"/>
      <c r="O1612" s="41"/>
      <c r="P1612" s="28"/>
    </row>
    <row r="1613" customFormat="1" spans="1:16">
      <c r="A1613" s="39"/>
      <c r="B1613" s="40"/>
      <c r="C1613" s="41"/>
      <c r="D1613" s="41"/>
      <c r="E1613" s="41"/>
      <c r="F1613" s="41"/>
      <c r="G1613" s="41"/>
      <c r="H1613" s="41"/>
      <c r="I1613" s="41"/>
      <c r="J1613" s="41"/>
      <c r="K1613" s="41"/>
      <c r="L1613" s="41"/>
      <c r="M1613" s="41"/>
      <c r="N1613" s="41"/>
      <c r="O1613" s="41"/>
      <c r="P1613" s="28"/>
    </row>
    <row r="1614" customFormat="1" spans="1:16">
      <c r="A1614" s="39"/>
      <c r="B1614" s="40"/>
      <c r="C1614" s="41"/>
      <c r="D1614" s="41"/>
      <c r="E1614" s="41"/>
      <c r="F1614" s="41"/>
      <c r="G1614" s="41"/>
      <c r="H1614" s="41"/>
      <c r="I1614" s="41"/>
      <c r="J1614" s="41"/>
      <c r="K1614" s="41"/>
      <c r="L1614" s="41"/>
      <c r="M1614" s="41"/>
      <c r="N1614" s="41"/>
      <c r="O1614" s="41"/>
      <c r="P1614" s="28"/>
    </row>
    <row r="1615" customFormat="1" spans="1:16">
      <c r="A1615" s="39"/>
      <c r="B1615" s="40"/>
      <c r="C1615" s="41"/>
      <c r="D1615" s="41"/>
      <c r="E1615" s="41"/>
      <c r="F1615" s="41"/>
      <c r="G1615" s="41"/>
      <c r="H1615" s="41"/>
      <c r="I1615" s="41"/>
      <c r="J1615" s="41"/>
      <c r="K1615" s="41"/>
      <c r="L1615" s="41"/>
      <c r="M1615" s="41"/>
      <c r="N1615" s="41"/>
      <c r="O1615" s="41"/>
      <c r="P1615" s="28"/>
    </row>
    <row r="1616" customFormat="1" spans="1:16">
      <c r="A1616" s="39"/>
      <c r="B1616" s="40"/>
      <c r="C1616" s="41"/>
      <c r="D1616" s="41"/>
      <c r="E1616" s="41"/>
      <c r="F1616" s="41"/>
      <c r="G1616" s="41"/>
      <c r="H1616" s="41"/>
      <c r="I1616" s="41"/>
      <c r="J1616" s="41"/>
      <c r="K1616" s="41"/>
      <c r="L1616" s="41"/>
      <c r="M1616" s="41"/>
      <c r="N1616" s="41"/>
      <c r="O1616" s="41"/>
      <c r="P1616" s="28"/>
    </row>
    <row r="1617" customFormat="1" spans="1:16">
      <c r="A1617" s="39"/>
      <c r="B1617" s="40"/>
      <c r="C1617" s="41"/>
      <c r="D1617" s="41"/>
      <c r="E1617" s="41"/>
      <c r="F1617" s="41"/>
      <c r="G1617" s="41"/>
      <c r="H1617" s="41"/>
      <c r="I1617" s="41"/>
      <c r="J1617" s="41"/>
      <c r="K1617" s="41"/>
      <c r="L1617" s="41"/>
      <c r="M1617" s="41"/>
      <c r="N1617" s="41"/>
      <c r="O1617" s="41"/>
      <c r="P1617" s="28"/>
    </row>
    <row r="1618" customFormat="1" spans="1:16">
      <c r="A1618" s="39"/>
      <c r="B1618" s="40"/>
      <c r="C1618" s="41"/>
      <c r="D1618" s="41"/>
      <c r="E1618" s="41"/>
      <c r="F1618" s="41"/>
      <c r="G1618" s="41"/>
      <c r="H1618" s="41"/>
      <c r="I1618" s="41"/>
      <c r="J1618" s="41"/>
      <c r="K1618" s="41"/>
      <c r="L1618" s="41"/>
      <c r="M1618" s="41"/>
      <c r="N1618" s="41"/>
      <c r="O1618" s="41"/>
      <c r="P1618" s="28"/>
    </row>
    <row r="1619" customFormat="1" spans="1:16">
      <c r="A1619" s="39"/>
      <c r="B1619" s="40"/>
      <c r="C1619" s="41"/>
      <c r="D1619" s="41"/>
      <c r="E1619" s="41"/>
      <c r="F1619" s="41"/>
      <c r="G1619" s="41"/>
      <c r="H1619" s="41"/>
      <c r="I1619" s="41"/>
      <c r="J1619" s="41"/>
      <c r="K1619" s="41"/>
      <c r="L1619" s="41"/>
      <c r="M1619" s="41"/>
      <c r="N1619" s="41"/>
      <c r="O1619" s="41"/>
      <c r="P1619" s="28"/>
    </row>
    <row r="1620" customFormat="1" spans="1:16">
      <c r="A1620" s="39"/>
      <c r="B1620" s="40"/>
      <c r="C1620" s="41"/>
      <c r="D1620" s="41"/>
      <c r="E1620" s="41"/>
      <c r="F1620" s="41"/>
      <c r="G1620" s="41"/>
      <c r="H1620" s="41"/>
      <c r="I1620" s="41"/>
      <c r="J1620" s="41"/>
      <c r="K1620" s="41"/>
      <c r="L1620" s="41"/>
      <c r="M1620" s="41"/>
      <c r="N1620" s="41"/>
      <c r="O1620" s="41"/>
      <c r="P1620" s="28"/>
    </row>
    <row r="1621" customFormat="1" spans="1:16">
      <c r="A1621" s="39"/>
      <c r="B1621" s="40"/>
      <c r="C1621" s="41"/>
      <c r="D1621" s="41"/>
      <c r="E1621" s="41"/>
      <c r="F1621" s="41"/>
      <c r="G1621" s="41"/>
      <c r="H1621" s="41"/>
      <c r="I1621" s="41"/>
      <c r="J1621" s="41"/>
      <c r="K1621" s="41"/>
      <c r="L1621" s="41"/>
      <c r="M1621" s="41"/>
      <c r="N1621" s="41"/>
      <c r="O1621" s="41"/>
      <c r="P1621" s="28"/>
    </row>
    <row r="1622" customFormat="1" spans="1:16">
      <c r="A1622" s="39"/>
      <c r="B1622" s="40"/>
      <c r="C1622" s="41"/>
      <c r="D1622" s="41"/>
      <c r="E1622" s="41"/>
      <c r="F1622" s="41"/>
      <c r="G1622" s="41"/>
      <c r="H1622" s="41"/>
      <c r="I1622" s="41"/>
      <c r="J1622" s="41"/>
      <c r="K1622" s="41"/>
      <c r="L1622" s="41"/>
      <c r="M1622" s="41"/>
      <c r="N1622" s="41"/>
      <c r="O1622" s="41"/>
      <c r="P1622" s="28"/>
    </row>
    <row r="1623" customFormat="1" spans="1:16">
      <c r="A1623" s="39"/>
      <c r="B1623" s="40"/>
      <c r="C1623" s="41"/>
      <c r="D1623" s="41"/>
      <c r="E1623" s="41"/>
      <c r="F1623" s="41"/>
      <c r="G1623" s="41"/>
      <c r="H1623" s="41"/>
      <c r="I1623" s="41"/>
      <c r="J1623" s="41"/>
      <c r="K1623" s="41"/>
      <c r="L1623" s="41"/>
      <c r="M1623" s="41"/>
      <c r="N1623" s="41"/>
      <c r="O1623" s="41"/>
      <c r="P1623" s="28"/>
    </row>
    <row r="1624" customFormat="1" spans="1:16">
      <c r="A1624" s="39"/>
      <c r="B1624" s="40"/>
      <c r="C1624" s="41"/>
      <c r="D1624" s="41"/>
      <c r="E1624" s="41"/>
      <c r="F1624" s="41"/>
      <c r="G1624" s="41"/>
      <c r="H1624" s="41"/>
      <c r="I1624" s="41"/>
      <c r="J1624" s="41"/>
      <c r="K1624" s="41"/>
      <c r="L1624" s="41"/>
      <c r="M1624" s="41"/>
      <c r="N1624" s="41"/>
      <c r="O1624" s="41"/>
      <c r="P1624" s="28"/>
    </row>
    <row r="1625" customFormat="1" spans="1:16">
      <c r="A1625" s="39"/>
      <c r="B1625" s="40"/>
      <c r="C1625" s="41"/>
      <c r="D1625" s="41"/>
      <c r="E1625" s="41"/>
      <c r="F1625" s="41"/>
      <c r="G1625" s="41"/>
      <c r="H1625" s="41"/>
      <c r="I1625" s="41"/>
      <c r="J1625" s="41"/>
      <c r="K1625" s="41"/>
      <c r="L1625" s="41"/>
      <c r="M1625" s="41"/>
      <c r="N1625" s="41"/>
      <c r="O1625" s="41"/>
      <c r="P1625" s="28"/>
    </row>
    <row r="1626" customFormat="1" spans="1:16">
      <c r="A1626" s="39"/>
      <c r="B1626" s="40"/>
      <c r="C1626" s="41"/>
      <c r="D1626" s="41"/>
      <c r="E1626" s="41"/>
      <c r="F1626" s="41"/>
      <c r="G1626" s="41"/>
      <c r="H1626" s="41"/>
      <c r="I1626" s="41"/>
      <c r="J1626" s="41"/>
      <c r="K1626" s="41"/>
      <c r="L1626" s="41"/>
      <c r="M1626" s="41"/>
      <c r="N1626" s="41"/>
      <c r="O1626" s="41"/>
      <c r="P1626" s="28"/>
    </row>
    <row r="1627" customFormat="1" spans="1:16">
      <c r="A1627" s="39"/>
      <c r="B1627" s="40"/>
      <c r="C1627" s="41"/>
      <c r="D1627" s="41"/>
      <c r="E1627" s="41"/>
      <c r="F1627" s="41"/>
      <c r="G1627" s="41"/>
      <c r="H1627" s="41"/>
      <c r="I1627" s="41"/>
      <c r="J1627" s="41"/>
      <c r="K1627" s="41"/>
      <c r="L1627" s="41"/>
      <c r="M1627" s="41"/>
      <c r="N1627" s="41"/>
      <c r="O1627" s="41"/>
      <c r="P1627" s="28"/>
    </row>
    <row r="1628" customFormat="1" spans="1:16">
      <c r="A1628" s="39"/>
      <c r="B1628" s="40"/>
      <c r="C1628" s="41"/>
      <c r="D1628" s="41"/>
      <c r="E1628" s="41"/>
      <c r="F1628" s="41"/>
      <c r="G1628" s="41"/>
      <c r="H1628" s="41"/>
      <c r="I1628" s="41"/>
      <c r="J1628" s="41"/>
      <c r="K1628" s="41"/>
      <c r="L1628" s="41"/>
      <c r="M1628" s="41"/>
      <c r="N1628" s="41"/>
      <c r="O1628" s="41"/>
      <c r="P1628" s="28"/>
    </row>
    <row r="1629" customFormat="1" spans="1:16">
      <c r="A1629" s="39"/>
      <c r="B1629" s="40"/>
      <c r="C1629" s="41"/>
      <c r="D1629" s="41"/>
      <c r="E1629" s="41"/>
      <c r="F1629" s="41"/>
      <c r="G1629" s="41"/>
      <c r="H1629" s="41"/>
      <c r="I1629" s="41"/>
      <c r="J1629" s="41"/>
      <c r="K1629" s="41"/>
      <c r="L1629" s="41"/>
      <c r="M1629" s="41"/>
      <c r="N1629" s="41"/>
      <c r="O1629" s="41"/>
      <c r="P1629" s="28"/>
    </row>
    <row r="1630" customFormat="1" spans="1:16">
      <c r="A1630" s="39"/>
      <c r="B1630" s="40"/>
      <c r="C1630" s="41"/>
      <c r="D1630" s="41"/>
      <c r="E1630" s="41"/>
      <c r="F1630" s="41"/>
      <c r="G1630" s="41"/>
      <c r="H1630" s="41"/>
      <c r="I1630" s="41"/>
      <c r="J1630" s="41"/>
      <c r="K1630" s="41"/>
      <c r="L1630" s="41"/>
      <c r="M1630" s="41"/>
      <c r="N1630" s="41"/>
      <c r="O1630" s="41"/>
      <c r="P1630" s="28"/>
    </row>
    <row r="1631" customFormat="1" spans="1:16">
      <c r="A1631" s="39"/>
      <c r="B1631" s="40"/>
      <c r="C1631" s="41"/>
      <c r="D1631" s="41"/>
      <c r="E1631" s="41"/>
      <c r="F1631" s="41"/>
      <c r="G1631" s="41"/>
      <c r="H1631" s="41"/>
      <c r="I1631" s="41"/>
      <c r="J1631" s="41"/>
      <c r="K1631" s="41"/>
      <c r="L1631" s="41"/>
      <c r="M1631" s="41"/>
      <c r="N1631" s="41"/>
      <c r="O1631" s="41"/>
      <c r="P1631" s="28"/>
    </row>
    <row r="1632" customFormat="1" spans="1:16">
      <c r="A1632" s="39"/>
      <c r="B1632" s="40"/>
      <c r="C1632" s="41"/>
      <c r="D1632" s="41"/>
      <c r="E1632" s="41"/>
      <c r="F1632" s="41"/>
      <c r="G1632" s="41"/>
      <c r="H1632" s="41"/>
      <c r="I1632" s="41"/>
      <c r="J1632" s="41"/>
      <c r="K1632" s="41"/>
      <c r="L1632" s="41"/>
      <c r="M1632" s="41"/>
      <c r="N1632" s="41"/>
      <c r="O1632" s="41"/>
      <c r="P1632" s="28"/>
    </row>
    <row r="1633" customFormat="1" spans="1:16">
      <c r="A1633" s="39"/>
      <c r="B1633" s="40"/>
      <c r="C1633" s="41"/>
      <c r="D1633" s="41"/>
      <c r="E1633" s="41"/>
      <c r="F1633" s="41"/>
      <c r="G1633" s="41"/>
      <c r="H1633" s="41"/>
      <c r="I1633" s="41"/>
      <c r="J1633" s="41"/>
      <c r="K1633" s="41"/>
      <c r="L1633" s="41"/>
      <c r="M1633" s="41"/>
      <c r="N1633" s="41"/>
      <c r="O1633" s="41"/>
      <c r="P1633" s="28"/>
    </row>
    <row r="1634" customFormat="1" spans="1:16">
      <c r="A1634" s="39"/>
      <c r="B1634" s="40"/>
      <c r="C1634" s="41"/>
      <c r="D1634" s="41"/>
      <c r="E1634" s="41"/>
      <c r="F1634" s="41"/>
      <c r="G1634" s="41"/>
      <c r="H1634" s="41"/>
      <c r="I1634" s="41"/>
      <c r="J1634" s="41"/>
      <c r="K1634" s="41"/>
      <c r="L1634" s="41"/>
      <c r="M1634" s="41"/>
      <c r="N1634" s="41"/>
      <c r="O1634" s="41"/>
      <c r="P1634" s="28"/>
    </row>
    <row r="1635" customFormat="1" spans="1:16">
      <c r="A1635" s="39"/>
      <c r="B1635" s="40"/>
      <c r="C1635" s="41"/>
      <c r="D1635" s="41"/>
      <c r="E1635" s="41"/>
      <c r="F1635" s="41"/>
      <c r="G1635" s="41"/>
      <c r="H1635" s="41"/>
      <c r="I1635" s="41"/>
      <c r="J1635" s="41"/>
      <c r="K1635" s="41"/>
      <c r="L1635" s="41"/>
      <c r="M1635" s="41"/>
      <c r="N1635" s="41"/>
      <c r="O1635" s="41"/>
      <c r="P1635" s="28"/>
    </row>
    <row r="1636" customFormat="1" spans="1:16">
      <c r="A1636" s="39"/>
      <c r="B1636" s="40"/>
      <c r="C1636" s="41"/>
      <c r="D1636" s="41"/>
      <c r="E1636" s="41"/>
      <c r="F1636" s="41"/>
      <c r="G1636" s="41"/>
      <c r="H1636" s="41"/>
      <c r="I1636" s="41"/>
      <c r="J1636" s="41"/>
      <c r="K1636" s="41"/>
      <c r="L1636" s="41"/>
      <c r="M1636" s="41"/>
      <c r="N1636" s="41"/>
      <c r="O1636" s="41"/>
      <c r="P1636" s="28"/>
    </row>
    <row r="1637" customFormat="1" spans="1:16">
      <c r="A1637" s="39"/>
      <c r="B1637" s="40"/>
      <c r="C1637" s="41"/>
      <c r="D1637" s="41"/>
      <c r="E1637" s="41"/>
      <c r="F1637" s="41"/>
      <c r="G1637" s="41"/>
      <c r="H1637" s="41"/>
      <c r="I1637" s="41"/>
      <c r="J1637" s="41"/>
      <c r="K1637" s="41"/>
      <c r="L1637" s="41"/>
      <c r="M1637" s="41"/>
      <c r="N1637" s="41"/>
      <c r="O1637" s="41"/>
      <c r="P1637" s="28"/>
    </row>
    <row r="1638" customFormat="1" spans="1:16">
      <c r="A1638" s="39"/>
      <c r="B1638" s="40"/>
      <c r="C1638" s="41"/>
      <c r="D1638" s="41"/>
      <c r="E1638" s="41"/>
      <c r="F1638" s="41"/>
      <c r="G1638" s="41"/>
      <c r="H1638" s="41"/>
      <c r="I1638" s="41"/>
      <c r="J1638" s="41"/>
      <c r="K1638" s="41"/>
      <c r="L1638" s="41"/>
      <c r="M1638" s="41"/>
      <c r="N1638" s="41"/>
      <c r="O1638" s="41"/>
      <c r="P1638" s="28"/>
    </row>
    <row r="1639" customFormat="1" spans="1:16">
      <c r="A1639" s="39"/>
      <c r="B1639" s="40"/>
      <c r="C1639" s="41"/>
      <c r="D1639" s="41"/>
      <c r="E1639" s="41"/>
      <c r="F1639" s="41"/>
      <c r="G1639" s="41"/>
      <c r="H1639" s="41"/>
      <c r="I1639" s="41"/>
      <c r="J1639" s="41"/>
      <c r="K1639" s="41"/>
      <c r="L1639" s="41"/>
      <c r="M1639" s="41"/>
      <c r="N1639" s="41"/>
      <c r="O1639" s="41"/>
      <c r="P1639" s="28"/>
    </row>
    <row r="1640" customFormat="1" spans="1:16">
      <c r="A1640" s="39"/>
      <c r="B1640" s="40"/>
      <c r="C1640" s="41"/>
      <c r="D1640" s="41"/>
      <c r="E1640" s="41"/>
      <c r="F1640" s="41"/>
      <c r="G1640" s="41"/>
      <c r="H1640" s="41"/>
      <c r="I1640" s="41"/>
      <c r="J1640" s="41"/>
      <c r="K1640" s="41"/>
      <c r="L1640" s="41"/>
      <c r="M1640" s="41"/>
      <c r="N1640" s="41"/>
      <c r="O1640" s="41"/>
      <c r="P1640" s="28"/>
    </row>
    <row r="1641" customFormat="1" spans="1:16">
      <c r="A1641" s="39"/>
      <c r="B1641" s="40"/>
      <c r="C1641" s="41"/>
      <c r="D1641" s="41"/>
      <c r="E1641" s="41"/>
      <c r="F1641" s="41"/>
      <c r="G1641" s="41"/>
      <c r="H1641" s="41"/>
      <c r="I1641" s="41"/>
      <c r="J1641" s="41"/>
      <c r="K1641" s="41"/>
      <c r="L1641" s="41"/>
      <c r="M1641" s="41"/>
      <c r="N1641" s="41"/>
      <c r="O1641" s="41"/>
      <c r="P1641" s="28"/>
    </row>
    <row r="1642" customFormat="1" spans="1:16">
      <c r="A1642" s="39"/>
      <c r="B1642" s="40"/>
      <c r="C1642" s="41"/>
      <c r="D1642" s="41"/>
      <c r="E1642" s="41"/>
      <c r="F1642" s="41"/>
      <c r="G1642" s="41"/>
      <c r="H1642" s="41"/>
      <c r="I1642" s="41"/>
      <c r="J1642" s="41"/>
      <c r="K1642" s="41"/>
      <c r="L1642" s="41"/>
      <c r="M1642" s="41"/>
      <c r="N1642" s="41"/>
      <c r="O1642" s="41"/>
      <c r="P1642" s="28"/>
    </row>
    <row r="1643" customFormat="1" spans="1:16">
      <c r="A1643" s="39"/>
      <c r="B1643" s="40"/>
      <c r="C1643" s="41"/>
      <c r="D1643" s="41"/>
      <c r="E1643" s="41"/>
      <c r="F1643" s="41"/>
      <c r="G1643" s="41"/>
      <c r="H1643" s="41"/>
      <c r="I1643" s="41"/>
      <c r="J1643" s="41"/>
      <c r="K1643" s="41"/>
      <c r="L1643" s="41"/>
      <c r="M1643" s="41"/>
      <c r="N1643" s="41"/>
      <c r="O1643" s="41"/>
      <c r="P1643" s="28"/>
    </row>
    <row r="1644" customFormat="1" spans="1:16">
      <c r="A1644" s="39"/>
      <c r="B1644" s="40"/>
      <c r="C1644" s="41"/>
      <c r="D1644" s="41"/>
      <c r="E1644" s="41"/>
      <c r="F1644" s="41"/>
      <c r="G1644" s="41"/>
      <c r="H1644" s="41"/>
      <c r="I1644" s="41"/>
      <c r="J1644" s="41"/>
      <c r="K1644" s="41"/>
      <c r="L1644" s="41"/>
      <c r="M1644" s="41"/>
      <c r="N1644" s="41"/>
      <c r="O1644" s="41"/>
      <c r="P1644" s="28"/>
    </row>
    <row r="1645" customFormat="1" spans="1:16">
      <c r="A1645" s="39"/>
      <c r="B1645" s="40"/>
      <c r="C1645" s="41"/>
      <c r="D1645" s="41"/>
      <c r="E1645" s="41"/>
      <c r="F1645" s="41"/>
      <c r="G1645" s="41"/>
      <c r="H1645" s="41"/>
      <c r="I1645" s="41"/>
      <c r="J1645" s="41"/>
      <c r="K1645" s="41"/>
      <c r="L1645" s="41"/>
      <c r="M1645" s="41"/>
      <c r="N1645" s="41"/>
      <c r="O1645" s="41"/>
      <c r="P1645" s="28"/>
    </row>
    <row r="1646" customFormat="1" spans="1:16">
      <c r="A1646" s="39"/>
      <c r="B1646" s="40"/>
      <c r="C1646" s="41"/>
      <c r="D1646" s="41"/>
      <c r="E1646" s="41"/>
      <c r="F1646" s="41"/>
      <c r="G1646" s="41"/>
      <c r="H1646" s="41"/>
      <c r="I1646" s="41"/>
      <c r="J1646" s="41"/>
      <c r="K1646" s="41"/>
      <c r="L1646" s="41"/>
      <c r="M1646" s="41"/>
      <c r="N1646" s="41"/>
      <c r="O1646" s="41"/>
      <c r="P1646" s="28"/>
    </row>
    <row r="1647" customFormat="1" spans="1:16">
      <c r="A1647" s="39"/>
      <c r="B1647" s="40"/>
      <c r="C1647" s="41"/>
      <c r="D1647" s="41"/>
      <c r="E1647" s="41"/>
      <c r="F1647" s="41"/>
      <c r="G1647" s="41"/>
      <c r="H1647" s="41"/>
      <c r="I1647" s="41"/>
      <c r="J1647" s="41"/>
      <c r="K1647" s="41"/>
      <c r="L1647" s="41"/>
      <c r="M1647" s="41"/>
      <c r="N1647" s="41"/>
      <c r="O1647" s="41"/>
      <c r="P1647" s="28"/>
    </row>
    <row r="1648" customFormat="1" spans="1:16">
      <c r="A1648" s="39"/>
      <c r="B1648" s="40"/>
      <c r="C1648" s="41"/>
      <c r="D1648" s="41"/>
      <c r="E1648" s="41"/>
      <c r="F1648" s="41"/>
      <c r="G1648" s="41"/>
      <c r="H1648" s="41"/>
      <c r="I1648" s="41"/>
      <c r="J1648" s="41"/>
      <c r="K1648" s="41"/>
      <c r="L1648" s="41"/>
      <c r="M1648" s="41"/>
      <c r="N1648" s="41"/>
      <c r="O1648" s="41"/>
      <c r="P1648" s="28"/>
    </row>
    <row r="1649" customFormat="1" spans="1:16">
      <c r="A1649" s="39"/>
      <c r="B1649" s="40"/>
      <c r="C1649" s="41"/>
      <c r="D1649" s="41"/>
      <c r="E1649" s="41"/>
      <c r="F1649" s="41"/>
      <c r="G1649" s="41"/>
      <c r="H1649" s="41"/>
      <c r="I1649" s="41"/>
      <c r="J1649" s="41"/>
      <c r="K1649" s="41"/>
      <c r="L1649" s="41"/>
      <c r="M1649" s="41"/>
      <c r="N1649" s="41"/>
      <c r="O1649" s="41"/>
      <c r="P1649" s="28"/>
    </row>
    <row r="1650" customFormat="1" spans="1:16">
      <c r="A1650" s="39"/>
      <c r="B1650" s="40"/>
      <c r="C1650" s="41"/>
      <c r="D1650" s="41"/>
      <c r="E1650" s="41"/>
      <c r="F1650" s="41"/>
      <c r="G1650" s="41"/>
      <c r="H1650" s="41"/>
      <c r="I1650" s="41"/>
      <c r="J1650" s="41"/>
      <c r="K1650" s="41"/>
      <c r="L1650" s="41"/>
      <c r="M1650" s="41"/>
      <c r="N1650" s="41"/>
      <c r="O1650" s="41"/>
      <c r="P1650" s="28"/>
    </row>
    <row r="1651" customFormat="1" spans="1:16">
      <c r="A1651" s="39"/>
      <c r="B1651" s="40"/>
      <c r="C1651" s="41"/>
      <c r="D1651" s="41"/>
      <c r="E1651" s="41"/>
      <c r="F1651" s="41"/>
      <c r="G1651" s="41"/>
      <c r="H1651" s="41"/>
      <c r="I1651" s="41"/>
      <c r="J1651" s="41"/>
      <c r="K1651" s="41"/>
      <c r="L1651" s="41"/>
      <c r="M1651" s="41"/>
      <c r="N1651" s="41"/>
      <c r="O1651" s="41"/>
      <c r="P1651" s="28"/>
    </row>
    <row r="1652" customFormat="1" spans="1:16">
      <c r="A1652" s="39"/>
      <c r="B1652" s="40"/>
      <c r="C1652" s="41"/>
      <c r="D1652" s="41"/>
      <c r="E1652" s="41"/>
      <c r="F1652" s="41"/>
      <c r="G1652" s="41"/>
      <c r="H1652" s="41"/>
      <c r="I1652" s="41"/>
      <c r="J1652" s="41"/>
      <c r="K1652" s="41"/>
      <c r="L1652" s="41"/>
      <c r="M1652" s="41"/>
      <c r="N1652" s="41"/>
      <c r="O1652" s="41"/>
      <c r="P1652" s="28"/>
    </row>
    <row r="1653" customFormat="1" spans="1:16">
      <c r="A1653" s="39"/>
      <c r="B1653" s="40"/>
      <c r="C1653" s="41"/>
      <c r="D1653" s="41"/>
      <c r="E1653" s="41"/>
      <c r="F1653" s="41"/>
      <c r="G1653" s="41"/>
      <c r="H1653" s="41"/>
      <c r="I1653" s="41"/>
      <c r="J1653" s="41"/>
      <c r="K1653" s="41"/>
      <c r="L1653" s="41"/>
      <c r="M1653" s="41"/>
      <c r="N1653" s="41"/>
      <c r="O1653" s="41"/>
      <c r="P1653" s="28"/>
    </row>
    <row r="1654" customFormat="1" spans="1:16">
      <c r="A1654" s="39"/>
      <c r="B1654" s="40"/>
      <c r="C1654" s="41"/>
      <c r="D1654" s="41"/>
      <c r="E1654" s="41"/>
      <c r="F1654" s="41"/>
      <c r="G1654" s="41"/>
      <c r="H1654" s="41"/>
      <c r="I1654" s="41"/>
      <c r="J1654" s="41"/>
      <c r="K1654" s="41"/>
      <c r="L1654" s="41"/>
      <c r="M1654" s="41"/>
      <c r="N1654" s="41"/>
      <c r="O1654" s="41"/>
      <c r="P1654" s="28"/>
    </row>
    <row r="1655" customFormat="1" spans="1:16">
      <c r="A1655" s="39"/>
      <c r="B1655" s="40"/>
      <c r="C1655" s="41"/>
      <c r="D1655" s="41"/>
      <c r="E1655" s="41"/>
      <c r="F1655" s="41"/>
      <c r="G1655" s="41"/>
      <c r="H1655" s="41"/>
      <c r="I1655" s="41"/>
      <c r="J1655" s="41"/>
      <c r="K1655" s="41"/>
      <c r="L1655" s="41"/>
      <c r="M1655" s="41"/>
      <c r="N1655" s="41"/>
      <c r="O1655" s="41"/>
      <c r="P1655" s="28"/>
    </row>
    <row r="1656" customFormat="1" spans="1:16">
      <c r="A1656" s="39"/>
      <c r="B1656" s="40"/>
      <c r="C1656" s="41"/>
      <c r="D1656" s="41"/>
      <c r="E1656" s="41"/>
      <c r="F1656" s="41"/>
      <c r="G1656" s="41"/>
      <c r="H1656" s="41"/>
      <c r="I1656" s="41"/>
      <c r="J1656" s="41"/>
      <c r="K1656" s="41"/>
      <c r="L1656" s="41"/>
      <c r="M1656" s="41"/>
      <c r="N1656" s="41"/>
      <c r="O1656" s="41"/>
      <c r="P1656" s="28"/>
    </row>
    <row r="1657" customFormat="1" spans="1:16">
      <c r="A1657" s="39"/>
      <c r="B1657" s="40"/>
      <c r="C1657" s="41"/>
      <c r="D1657" s="41"/>
      <c r="E1657" s="41"/>
      <c r="F1657" s="41"/>
      <c r="G1657" s="41"/>
      <c r="H1657" s="41"/>
      <c r="I1657" s="41"/>
      <c r="J1657" s="41"/>
      <c r="K1657" s="41"/>
      <c r="L1657" s="41"/>
      <c r="M1657" s="41"/>
      <c r="N1657" s="41"/>
      <c r="O1657" s="41"/>
      <c r="P1657" s="28"/>
    </row>
    <row r="1658" customFormat="1" spans="1:16">
      <c r="A1658" s="39"/>
      <c r="B1658" s="40"/>
      <c r="C1658" s="41"/>
      <c r="D1658" s="41"/>
      <c r="E1658" s="41"/>
      <c r="F1658" s="41"/>
      <c r="G1658" s="41"/>
      <c r="H1658" s="41"/>
      <c r="I1658" s="41"/>
      <c r="J1658" s="41"/>
      <c r="K1658" s="41"/>
      <c r="L1658" s="41"/>
      <c r="M1658" s="41"/>
      <c r="N1658" s="41"/>
      <c r="O1658" s="41"/>
      <c r="P1658" s="28"/>
    </row>
    <row r="1659" customFormat="1" spans="1:16">
      <c r="A1659" s="39"/>
      <c r="B1659" s="40"/>
      <c r="C1659" s="41"/>
      <c r="D1659" s="41"/>
      <c r="E1659" s="41"/>
      <c r="F1659" s="41"/>
      <c r="G1659" s="41"/>
      <c r="H1659" s="41"/>
      <c r="I1659" s="41"/>
      <c r="J1659" s="41"/>
      <c r="K1659" s="41"/>
      <c r="L1659" s="41"/>
      <c r="M1659" s="41"/>
      <c r="N1659" s="41"/>
      <c r="O1659" s="41"/>
      <c r="P1659" s="28"/>
    </row>
    <row r="1660" customFormat="1" spans="1:16">
      <c r="A1660" s="39"/>
      <c r="B1660" s="40"/>
      <c r="C1660" s="41"/>
      <c r="D1660" s="41"/>
      <c r="E1660" s="41"/>
      <c r="F1660" s="41"/>
      <c r="G1660" s="41"/>
      <c r="H1660" s="41"/>
      <c r="I1660" s="41"/>
      <c r="J1660" s="41"/>
      <c r="K1660" s="41"/>
      <c r="L1660" s="41"/>
      <c r="M1660" s="41"/>
      <c r="N1660" s="41"/>
      <c r="O1660" s="41"/>
      <c r="P1660" s="28"/>
    </row>
    <row r="1661" customFormat="1" spans="1:16">
      <c r="A1661" s="39"/>
      <c r="B1661" s="40"/>
      <c r="C1661" s="41"/>
      <c r="D1661" s="41"/>
      <c r="E1661" s="41"/>
      <c r="F1661" s="41"/>
      <c r="G1661" s="41"/>
      <c r="H1661" s="41"/>
      <c r="I1661" s="41"/>
      <c r="J1661" s="41"/>
      <c r="K1661" s="41"/>
      <c r="L1661" s="41"/>
      <c r="M1661" s="41"/>
      <c r="N1661" s="41"/>
      <c r="O1661" s="41"/>
      <c r="P1661" s="28"/>
    </row>
    <row r="1662" customFormat="1" spans="1:16">
      <c r="A1662" s="39"/>
      <c r="B1662" s="40"/>
      <c r="C1662" s="41"/>
      <c r="D1662" s="41"/>
      <c r="E1662" s="41"/>
      <c r="F1662" s="41"/>
      <c r="G1662" s="41"/>
      <c r="H1662" s="41"/>
      <c r="I1662" s="41"/>
      <c r="J1662" s="41"/>
      <c r="K1662" s="41"/>
      <c r="L1662" s="41"/>
      <c r="M1662" s="41"/>
      <c r="N1662" s="41"/>
      <c r="O1662" s="41"/>
      <c r="P1662" s="28"/>
    </row>
    <row r="1663" customFormat="1" spans="1:16">
      <c r="A1663" s="39"/>
      <c r="B1663" s="40"/>
      <c r="C1663" s="41"/>
      <c r="D1663" s="41"/>
      <c r="E1663" s="41"/>
      <c r="F1663" s="41"/>
      <c r="G1663" s="41"/>
      <c r="H1663" s="41"/>
      <c r="I1663" s="41"/>
      <c r="J1663" s="41"/>
      <c r="K1663" s="41"/>
      <c r="L1663" s="41"/>
      <c r="M1663" s="41"/>
      <c r="N1663" s="41"/>
      <c r="O1663" s="41"/>
      <c r="P1663" s="28"/>
    </row>
    <row r="1664" customFormat="1" spans="1:16">
      <c r="A1664" s="39"/>
      <c r="B1664" s="40"/>
      <c r="C1664" s="41"/>
      <c r="D1664" s="41"/>
      <c r="E1664" s="41"/>
      <c r="F1664" s="41"/>
      <c r="G1664" s="41"/>
      <c r="H1664" s="41"/>
      <c r="I1664" s="41"/>
      <c r="J1664" s="41"/>
      <c r="K1664" s="41"/>
      <c r="L1664" s="41"/>
      <c r="M1664" s="41"/>
      <c r="N1664" s="41"/>
      <c r="O1664" s="41"/>
      <c r="P1664" s="28"/>
    </row>
    <row r="1665" customFormat="1" spans="1:16">
      <c r="A1665" s="39"/>
      <c r="B1665" s="40"/>
      <c r="C1665" s="41"/>
      <c r="D1665" s="41"/>
      <c r="E1665" s="41"/>
      <c r="F1665" s="41"/>
      <c r="G1665" s="41"/>
      <c r="H1665" s="41"/>
      <c r="I1665" s="41"/>
      <c r="J1665" s="41"/>
      <c r="K1665" s="41"/>
      <c r="L1665" s="41"/>
      <c r="M1665" s="41"/>
      <c r="N1665" s="41"/>
      <c r="O1665" s="41"/>
      <c r="P1665" s="28"/>
    </row>
    <row r="1666" customFormat="1" spans="1:16">
      <c r="A1666" s="39"/>
      <c r="B1666" s="40"/>
      <c r="C1666" s="41"/>
      <c r="D1666" s="41"/>
      <c r="E1666" s="41"/>
      <c r="F1666" s="41"/>
      <c r="G1666" s="41"/>
      <c r="H1666" s="41"/>
      <c r="I1666" s="41"/>
      <c r="J1666" s="41"/>
      <c r="K1666" s="41"/>
      <c r="L1666" s="41"/>
      <c r="M1666" s="41"/>
      <c r="N1666" s="41"/>
      <c r="O1666" s="41"/>
      <c r="P1666" s="28"/>
    </row>
    <row r="1667" customFormat="1" spans="1:16">
      <c r="A1667" s="39"/>
      <c r="B1667" s="40"/>
      <c r="C1667" s="41"/>
      <c r="D1667" s="41"/>
      <c r="E1667" s="41"/>
      <c r="F1667" s="41"/>
      <c r="G1667" s="41"/>
      <c r="H1667" s="41"/>
      <c r="I1667" s="41"/>
      <c r="J1667" s="41"/>
      <c r="K1667" s="41"/>
      <c r="L1667" s="41"/>
      <c r="M1667" s="41"/>
      <c r="N1667" s="41"/>
      <c r="O1667" s="41"/>
      <c r="P1667" s="28"/>
    </row>
    <row r="1668" customFormat="1" spans="1:16">
      <c r="A1668" s="39"/>
      <c r="B1668" s="40"/>
      <c r="C1668" s="41"/>
      <c r="D1668" s="41"/>
      <c r="E1668" s="41"/>
      <c r="F1668" s="41"/>
      <c r="G1668" s="41"/>
      <c r="H1668" s="41"/>
      <c r="I1668" s="41"/>
      <c r="J1668" s="41"/>
      <c r="K1668" s="41"/>
      <c r="L1668" s="41"/>
      <c r="M1668" s="41"/>
      <c r="N1668" s="41"/>
      <c r="O1668" s="41"/>
      <c r="P1668" s="28"/>
    </row>
    <row r="1669" customFormat="1" spans="1:16">
      <c r="A1669" s="39"/>
      <c r="B1669" s="40"/>
      <c r="C1669" s="41"/>
      <c r="D1669" s="41"/>
      <c r="E1669" s="41"/>
      <c r="F1669" s="41"/>
      <c r="G1669" s="41"/>
      <c r="H1669" s="41"/>
      <c r="I1669" s="41"/>
      <c r="J1669" s="41"/>
      <c r="K1669" s="41"/>
      <c r="L1669" s="41"/>
      <c r="M1669" s="41"/>
      <c r="N1669" s="41"/>
      <c r="O1669" s="41"/>
      <c r="P1669" s="28"/>
    </row>
    <row r="1670" customFormat="1" spans="1:16">
      <c r="A1670" s="39"/>
      <c r="B1670" s="40"/>
      <c r="C1670" s="41"/>
      <c r="D1670" s="41"/>
      <c r="E1670" s="41"/>
      <c r="F1670" s="41"/>
      <c r="G1670" s="41"/>
      <c r="H1670" s="41"/>
      <c r="I1670" s="41"/>
      <c r="J1670" s="41"/>
      <c r="K1670" s="41"/>
      <c r="L1670" s="41"/>
      <c r="M1670" s="41"/>
      <c r="N1670" s="41"/>
      <c r="O1670" s="41"/>
      <c r="P1670" s="28"/>
    </row>
    <row r="1671" customFormat="1" spans="1:16">
      <c r="A1671" s="39"/>
      <c r="B1671" s="40"/>
      <c r="C1671" s="41"/>
      <c r="D1671" s="41"/>
      <c r="E1671" s="41"/>
      <c r="F1671" s="41"/>
      <c r="G1671" s="41"/>
      <c r="H1671" s="41"/>
      <c r="I1671" s="41"/>
      <c r="J1671" s="41"/>
      <c r="K1671" s="41"/>
      <c r="L1671" s="41"/>
      <c r="M1671" s="41"/>
      <c r="N1671" s="41"/>
      <c r="O1671" s="41"/>
      <c r="P1671" s="28"/>
    </row>
    <row r="1672" customFormat="1" spans="1:16">
      <c r="A1672" s="39"/>
      <c r="B1672" s="40"/>
      <c r="C1672" s="41"/>
      <c r="D1672" s="41"/>
      <c r="E1672" s="41"/>
      <c r="F1672" s="41"/>
      <c r="G1672" s="41"/>
      <c r="H1672" s="41"/>
      <c r="I1672" s="41"/>
      <c r="J1672" s="41"/>
      <c r="K1672" s="41"/>
      <c r="L1672" s="41"/>
      <c r="M1672" s="41"/>
      <c r="N1672" s="41"/>
      <c r="O1672" s="41"/>
      <c r="P1672" s="28"/>
    </row>
    <row r="1673" customFormat="1" spans="1:16">
      <c r="A1673" s="39"/>
      <c r="B1673" s="40"/>
      <c r="C1673" s="41"/>
      <c r="D1673" s="41"/>
      <c r="E1673" s="41"/>
      <c r="F1673" s="41"/>
      <c r="G1673" s="41"/>
      <c r="H1673" s="41"/>
      <c r="I1673" s="41"/>
      <c r="J1673" s="41"/>
      <c r="K1673" s="41"/>
      <c r="L1673" s="41"/>
      <c r="M1673" s="41"/>
      <c r="N1673" s="41"/>
      <c r="O1673" s="41"/>
      <c r="P1673" s="28"/>
    </row>
    <row r="1674" customFormat="1" spans="1:16">
      <c r="A1674" s="39"/>
      <c r="B1674" s="40"/>
      <c r="C1674" s="41"/>
      <c r="D1674" s="41"/>
      <c r="E1674" s="41"/>
      <c r="F1674" s="41"/>
      <c r="G1674" s="41"/>
      <c r="H1674" s="41"/>
      <c r="I1674" s="41"/>
      <c r="J1674" s="41"/>
      <c r="K1674" s="41"/>
      <c r="L1674" s="41"/>
      <c r="M1674" s="41"/>
      <c r="N1674" s="41"/>
      <c r="O1674" s="41"/>
      <c r="P1674" s="28"/>
    </row>
    <row r="1675" customFormat="1" spans="1:16">
      <c r="A1675" s="39"/>
      <c r="B1675" s="40"/>
      <c r="C1675" s="41"/>
      <c r="D1675" s="41"/>
      <c r="E1675" s="41"/>
      <c r="F1675" s="41"/>
      <c r="G1675" s="41"/>
      <c r="H1675" s="41"/>
      <c r="I1675" s="41"/>
      <c r="J1675" s="41"/>
      <c r="K1675" s="41"/>
      <c r="L1675" s="41"/>
      <c r="M1675" s="41"/>
      <c r="N1675" s="41"/>
      <c r="O1675" s="41"/>
      <c r="P1675" s="28"/>
    </row>
    <row r="1676" customFormat="1" spans="1:16">
      <c r="A1676" s="39"/>
      <c r="B1676" s="40"/>
      <c r="C1676" s="41"/>
      <c r="D1676" s="41"/>
      <c r="E1676" s="41"/>
      <c r="F1676" s="41"/>
      <c r="G1676" s="41"/>
      <c r="H1676" s="41"/>
      <c r="I1676" s="41"/>
      <c r="J1676" s="41"/>
      <c r="K1676" s="41"/>
      <c r="L1676" s="41"/>
      <c r="M1676" s="41"/>
      <c r="N1676" s="41"/>
      <c r="O1676" s="41"/>
      <c r="P1676" s="28"/>
    </row>
    <row r="1677" customFormat="1" spans="1:16">
      <c r="A1677" s="39"/>
      <c r="B1677" s="40"/>
      <c r="C1677" s="41"/>
      <c r="D1677" s="41"/>
      <c r="E1677" s="41"/>
      <c r="F1677" s="41"/>
      <c r="G1677" s="41"/>
      <c r="H1677" s="41"/>
      <c r="I1677" s="41"/>
      <c r="J1677" s="41"/>
      <c r="K1677" s="41"/>
      <c r="L1677" s="41"/>
      <c r="M1677" s="41"/>
      <c r="N1677" s="41"/>
      <c r="O1677" s="41"/>
      <c r="P1677" s="28"/>
    </row>
    <row r="1678" customFormat="1" spans="1:16">
      <c r="A1678" s="39"/>
      <c r="B1678" s="40"/>
      <c r="C1678" s="41"/>
      <c r="D1678" s="41"/>
      <c r="E1678" s="41"/>
      <c r="F1678" s="41"/>
      <c r="G1678" s="41"/>
      <c r="H1678" s="41"/>
      <c r="I1678" s="41"/>
      <c r="J1678" s="41"/>
      <c r="K1678" s="41"/>
      <c r="L1678" s="41"/>
      <c r="M1678" s="41"/>
      <c r="N1678" s="41"/>
      <c r="O1678" s="41"/>
      <c r="P1678" s="28"/>
    </row>
    <row r="1679" customFormat="1" spans="1:16">
      <c r="A1679" s="39"/>
      <c r="B1679" s="40"/>
      <c r="C1679" s="41"/>
      <c r="D1679" s="41"/>
      <c r="E1679" s="41"/>
      <c r="F1679" s="41"/>
      <c r="G1679" s="41"/>
      <c r="H1679" s="41"/>
      <c r="I1679" s="41"/>
      <c r="J1679" s="41"/>
      <c r="K1679" s="41"/>
      <c r="L1679" s="41"/>
      <c r="M1679" s="41"/>
      <c r="N1679" s="41"/>
      <c r="O1679" s="41"/>
      <c r="P1679" s="28"/>
    </row>
    <row r="1680" customFormat="1" spans="1:16">
      <c r="A1680" s="39"/>
      <c r="B1680" s="40"/>
      <c r="C1680" s="41"/>
      <c r="D1680" s="41"/>
      <c r="E1680" s="41"/>
      <c r="F1680" s="41"/>
      <c r="G1680" s="41"/>
      <c r="H1680" s="41"/>
      <c r="I1680" s="41"/>
      <c r="J1680" s="41"/>
      <c r="K1680" s="41"/>
      <c r="L1680" s="41"/>
      <c r="M1680" s="41"/>
      <c r="N1680" s="41"/>
      <c r="O1680" s="41"/>
      <c r="P1680" s="28"/>
    </row>
    <row r="1681" customFormat="1" spans="1:16">
      <c r="A1681" s="39"/>
      <c r="B1681" s="40"/>
      <c r="C1681" s="41"/>
      <c r="D1681" s="41"/>
      <c r="E1681" s="41"/>
      <c r="F1681" s="41"/>
      <c r="G1681" s="41"/>
      <c r="H1681" s="41"/>
      <c r="I1681" s="41"/>
      <c r="J1681" s="41"/>
      <c r="K1681" s="41"/>
      <c r="L1681" s="41"/>
      <c r="M1681" s="41"/>
      <c r="N1681" s="41"/>
      <c r="O1681" s="41"/>
      <c r="P1681" s="28"/>
    </row>
    <row r="1682" customFormat="1" spans="1:16">
      <c r="A1682" s="39"/>
      <c r="B1682" s="40"/>
      <c r="C1682" s="41"/>
      <c r="D1682" s="41"/>
      <c r="E1682" s="41"/>
      <c r="F1682" s="41"/>
      <c r="G1682" s="41"/>
      <c r="H1682" s="41"/>
      <c r="I1682" s="41"/>
      <c r="J1682" s="41"/>
      <c r="K1682" s="41"/>
      <c r="L1682" s="41"/>
      <c r="M1682" s="41"/>
      <c r="N1682" s="41"/>
      <c r="O1682" s="41"/>
      <c r="P1682" s="28"/>
    </row>
    <row r="1683" customFormat="1" spans="1:16">
      <c r="A1683" s="39"/>
      <c r="B1683" s="40"/>
      <c r="C1683" s="41"/>
      <c r="D1683" s="41"/>
      <c r="E1683" s="41"/>
      <c r="F1683" s="41"/>
      <c r="G1683" s="41"/>
      <c r="H1683" s="41"/>
      <c r="I1683" s="41"/>
      <c r="J1683" s="41"/>
      <c r="K1683" s="41"/>
      <c r="L1683" s="41"/>
      <c r="M1683" s="41"/>
      <c r="N1683" s="41"/>
      <c r="O1683" s="41"/>
      <c r="P1683" s="28"/>
    </row>
    <row r="1684" customFormat="1" spans="1:16">
      <c r="A1684" s="39"/>
      <c r="B1684" s="40"/>
      <c r="C1684" s="41"/>
      <c r="D1684" s="41"/>
      <c r="E1684" s="41"/>
      <c r="F1684" s="41"/>
      <c r="G1684" s="41"/>
      <c r="H1684" s="41"/>
      <c r="I1684" s="41"/>
      <c r="J1684" s="41"/>
      <c r="K1684" s="41"/>
      <c r="L1684" s="41"/>
      <c r="M1684" s="41"/>
      <c r="N1684" s="41"/>
      <c r="O1684" s="41"/>
      <c r="P1684" s="28"/>
    </row>
    <row r="1685" customFormat="1" spans="1:16">
      <c r="A1685" s="39"/>
      <c r="B1685" s="40"/>
      <c r="C1685" s="41"/>
      <c r="D1685" s="41"/>
      <c r="E1685" s="41"/>
      <c r="F1685" s="41"/>
      <c r="G1685" s="41"/>
      <c r="H1685" s="41"/>
      <c r="I1685" s="41"/>
      <c r="J1685" s="41"/>
      <c r="K1685" s="41"/>
      <c r="L1685" s="41"/>
      <c r="M1685" s="41"/>
      <c r="N1685" s="41"/>
      <c r="O1685" s="41"/>
      <c r="P1685" s="28"/>
    </row>
    <row r="1686" customFormat="1" spans="1:16">
      <c r="A1686" s="39"/>
      <c r="B1686" s="40"/>
      <c r="C1686" s="41"/>
      <c r="D1686" s="41"/>
      <c r="E1686" s="41"/>
      <c r="F1686" s="41"/>
      <c r="G1686" s="41"/>
      <c r="H1686" s="41"/>
      <c r="I1686" s="41"/>
      <c r="J1686" s="41"/>
      <c r="K1686" s="41"/>
      <c r="L1686" s="41"/>
      <c r="M1686" s="41"/>
      <c r="N1686" s="41"/>
      <c r="O1686" s="41"/>
      <c r="P1686" s="28"/>
    </row>
    <row r="1687" customFormat="1" spans="1:16">
      <c r="A1687" s="39"/>
      <c r="B1687" s="40"/>
      <c r="C1687" s="41"/>
      <c r="D1687" s="41"/>
      <c r="E1687" s="41"/>
      <c r="F1687" s="41"/>
      <c r="G1687" s="41"/>
      <c r="H1687" s="41"/>
      <c r="I1687" s="41"/>
      <c r="J1687" s="41"/>
      <c r="K1687" s="41"/>
      <c r="L1687" s="41"/>
      <c r="M1687" s="41"/>
      <c r="N1687" s="41"/>
      <c r="O1687" s="41"/>
      <c r="P1687" s="28"/>
    </row>
    <row r="1688" customFormat="1" spans="1:16">
      <c r="A1688" s="39"/>
      <c r="B1688" s="40"/>
      <c r="C1688" s="41"/>
      <c r="D1688" s="41"/>
      <c r="E1688" s="41"/>
      <c r="F1688" s="41"/>
      <c r="G1688" s="41"/>
      <c r="H1688" s="41"/>
      <c r="I1688" s="41"/>
      <c r="J1688" s="41"/>
      <c r="K1688" s="41"/>
      <c r="L1688" s="41"/>
      <c r="M1688" s="41"/>
      <c r="N1688" s="41"/>
      <c r="O1688" s="41"/>
      <c r="P1688" s="28"/>
    </row>
    <row r="1689" customFormat="1" spans="1:16">
      <c r="A1689" s="39"/>
      <c r="B1689" s="40"/>
      <c r="C1689" s="41"/>
      <c r="D1689" s="41"/>
      <c r="E1689" s="41"/>
      <c r="F1689" s="41"/>
      <c r="G1689" s="41"/>
      <c r="H1689" s="41"/>
      <c r="I1689" s="41"/>
      <c r="J1689" s="41"/>
      <c r="K1689" s="41"/>
      <c r="L1689" s="41"/>
      <c r="M1689" s="41"/>
      <c r="N1689" s="41"/>
      <c r="O1689" s="41"/>
      <c r="P1689" s="28"/>
    </row>
    <row r="1690" customFormat="1" spans="1:16">
      <c r="A1690" s="39"/>
      <c r="B1690" s="40"/>
      <c r="C1690" s="41"/>
      <c r="D1690" s="41"/>
      <c r="E1690" s="41"/>
      <c r="F1690" s="41"/>
      <c r="G1690" s="41"/>
      <c r="H1690" s="41"/>
      <c r="I1690" s="41"/>
      <c r="J1690" s="41"/>
      <c r="K1690" s="41"/>
      <c r="L1690" s="41"/>
      <c r="M1690" s="41"/>
      <c r="N1690" s="41"/>
      <c r="O1690" s="41"/>
      <c r="P1690" s="28"/>
    </row>
    <row r="1691" customFormat="1" spans="1:16">
      <c r="A1691" s="39"/>
      <c r="B1691" s="40"/>
      <c r="C1691" s="41"/>
      <c r="D1691" s="41"/>
      <c r="E1691" s="41"/>
      <c r="F1691" s="41"/>
      <c r="G1691" s="41"/>
      <c r="H1691" s="41"/>
      <c r="I1691" s="41"/>
      <c r="J1691" s="41"/>
      <c r="K1691" s="41"/>
      <c r="L1691" s="41"/>
      <c r="M1691" s="41"/>
      <c r="N1691" s="41"/>
      <c r="O1691" s="41"/>
      <c r="P1691" s="28"/>
    </row>
    <row r="1692" customFormat="1" spans="1:16">
      <c r="A1692" s="39"/>
      <c r="B1692" s="40"/>
      <c r="C1692" s="41"/>
      <c r="D1692" s="41"/>
      <c r="E1692" s="41"/>
      <c r="F1692" s="41"/>
      <c r="G1692" s="41"/>
      <c r="H1692" s="41"/>
      <c r="I1692" s="41"/>
      <c r="J1692" s="41"/>
      <c r="K1692" s="41"/>
      <c r="L1692" s="41"/>
      <c r="M1692" s="41"/>
      <c r="N1692" s="41"/>
      <c r="O1692" s="41"/>
      <c r="P1692" s="28"/>
    </row>
    <row r="1693" customFormat="1" spans="1:16">
      <c r="A1693" s="39"/>
      <c r="B1693" s="40"/>
      <c r="C1693" s="41"/>
      <c r="D1693" s="41"/>
      <c r="E1693" s="41"/>
      <c r="F1693" s="41"/>
      <c r="G1693" s="41"/>
      <c r="H1693" s="41"/>
      <c r="I1693" s="41"/>
      <c r="J1693" s="41"/>
      <c r="K1693" s="41"/>
      <c r="L1693" s="41"/>
      <c r="M1693" s="41"/>
      <c r="N1693" s="41"/>
      <c r="O1693" s="41"/>
      <c r="P1693" s="28"/>
    </row>
    <row r="1694" customFormat="1" spans="1:16">
      <c r="A1694" s="39"/>
      <c r="B1694" s="40"/>
      <c r="C1694" s="41"/>
      <c r="D1694" s="41"/>
      <c r="E1694" s="41"/>
      <c r="F1694" s="41"/>
      <c r="G1694" s="41"/>
      <c r="H1694" s="41"/>
      <c r="I1694" s="41"/>
      <c r="J1694" s="41"/>
      <c r="K1694" s="41"/>
      <c r="L1694" s="41"/>
      <c r="M1694" s="41"/>
      <c r="N1694" s="41"/>
      <c r="O1694" s="41"/>
      <c r="P1694" s="28"/>
    </row>
    <row r="1695" customFormat="1" spans="1:16">
      <c r="A1695" s="39"/>
      <c r="B1695" s="40"/>
      <c r="C1695" s="41"/>
      <c r="D1695" s="41"/>
      <c r="E1695" s="41"/>
      <c r="F1695" s="41"/>
      <c r="G1695" s="41"/>
      <c r="H1695" s="41"/>
      <c r="I1695" s="41"/>
      <c r="J1695" s="41"/>
      <c r="K1695" s="41"/>
      <c r="L1695" s="41"/>
      <c r="M1695" s="41"/>
      <c r="N1695" s="41"/>
      <c r="O1695" s="41"/>
      <c r="P1695" s="28"/>
    </row>
    <row r="1696" customFormat="1" spans="1:16">
      <c r="A1696" s="39"/>
      <c r="B1696" s="40"/>
      <c r="C1696" s="41"/>
      <c r="D1696" s="41"/>
      <c r="E1696" s="41"/>
      <c r="F1696" s="41"/>
      <c r="G1696" s="41"/>
      <c r="H1696" s="41"/>
      <c r="I1696" s="41"/>
      <c r="J1696" s="41"/>
      <c r="K1696" s="41"/>
      <c r="L1696" s="41"/>
      <c r="M1696" s="41"/>
      <c r="N1696" s="41"/>
      <c r="O1696" s="41"/>
      <c r="P1696" s="28"/>
    </row>
    <row r="1697" customFormat="1" spans="1:16">
      <c r="A1697" s="39"/>
      <c r="B1697" s="40"/>
      <c r="C1697" s="41"/>
      <c r="D1697" s="41"/>
      <c r="E1697" s="41"/>
      <c r="F1697" s="41"/>
      <c r="G1697" s="41"/>
      <c r="H1697" s="41"/>
      <c r="I1697" s="41"/>
      <c r="J1697" s="41"/>
      <c r="K1697" s="41"/>
      <c r="L1697" s="41"/>
      <c r="M1697" s="41"/>
      <c r="N1697" s="41"/>
      <c r="O1697" s="41"/>
      <c r="P1697" s="28"/>
    </row>
    <row r="1698" customFormat="1" spans="1:16">
      <c r="A1698" s="39"/>
      <c r="B1698" s="40"/>
      <c r="C1698" s="41"/>
      <c r="D1698" s="41"/>
      <c r="E1698" s="41"/>
      <c r="F1698" s="41"/>
      <c r="G1698" s="41"/>
      <c r="H1698" s="41"/>
      <c r="I1698" s="41"/>
      <c r="J1698" s="41"/>
      <c r="K1698" s="41"/>
      <c r="L1698" s="41"/>
      <c r="M1698" s="41"/>
      <c r="N1698" s="41"/>
      <c r="O1698" s="41"/>
      <c r="P1698" s="28"/>
    </row>
    <row r="1699" customFormat="1" spans="1:16">
      <c r="A1699" s="39"/>
      <c r="B1699" s="40"/>
      <c r="C1699" s="41"/>
      <c r="D1699" s="41"/>
      <c r="E1699" s="41"/>
      <c r="F1699" s="41"/>
      <c r="G1699" s="41"/>
      <c r="H1699" s="41"/>
      <c r="I1699" s="41"/>
      <c r="J1699" s="41"/>
      <c r="K1699" s="41"/>
      <c r="L1699" s="41"/>
      <c r="M1699" s="41"/>
      <c r="N1699" s="41"/>
      <c r="O1699" s="41"/>
      <c r="P1699" s="28"/>
    </row>
    <row r="1700" customFormat="1" spans="1:16">
      <c r="A1700" s="39"/>
      <c r="B1700" s="40"/>
      <c r="C1700" s="41"/>
      <c r="D1700" s="41"/>
      <c r="E1700" s="41"/>
      <c r="F1700" s="41"/>
      <c r="G1700" s="41"/>
      <c r="H1700" s="41"/>
      <c r="I1700" s="41"/>
      <c r="J1700" s="41"/>
      <c r="K1700" s="41"/>
      <c r="L1700" s="41"/>
      <c r="M1700" s="41"/>
      <c r="N1700" s="41"/>
      <c r="O1700" s="41"/>
      <c r="P1700" s="28"/>
    </row>
    <row r="1701" customFormat="1" spans="1:16">
      <c r="A1701" s="39"/>
      <c r="B1701" s="40"/>
      <c r="C1701" s="41"/>
      <c r="D1701" s="41"/>
      <c r="E1701" s="41"/>
      <c r="F1701" s="41"/>
      <c r="G1701" s="41"/>
      <c r="H1701" s="41"/>
      <c r="I1701" s="41"/>
      <c r="J1701" s="41"/>
      <c r="K1701" s="41"/>
      <c r="L1701" s="41"/>
      <c r="M1701" s="41"/>
      <c r="N1701" s="41"/>
      <c r="O1701" s="41"/>
      <c r="P1701" s="28"/>
    </row>
    <row r="1702" customFormat="1" spans="1:16">
      <c r="A1702" s="39"/>
      <c r="B1702" s="40"/>
      <c r="C1702" s="41"/>
      <c r="D1702" s="41"/>
      <c r="E1702" s="41"/>
      <c r="F1702" s="41"/>
      <c r="G1702" s="41"/>
      <c r="H1702" s="41"/>
      <c r="I1702" s="41"/>
      <c r="J1702" s="41"/>
      <c r="K1702" s="41"/>
      <c r="L1702" s="41"/>
      <c r="M1702" s="41"/>
      <c r="N1702" s="41"/>
      <c r="O1702" s="41"/>
      <c r="P1702" s="28"/>
    </row>
    <row r="1703" customFormat="1" spans="1:16">
      <c r="A1703" s="39"/>
      <c r="B1703" s="40"/>
      <c r="C1703" s="41"/>
      <c r="D1703" s="41"/>
      <c r="E1703" s="41"/>
      <c r="F1703" s="41"/>
      <c r="G1703" s="41"/>
      <c r="H1703" s="41"/>
      <c r="I1703" s="41"/>
      <c r="J1703" s="41"/>
      <c r="K1703" s="41"/>
      <c r="L1703" s="41"/>
      <c r="M1703" s="41"/>
      <c r="N1703" s="41"/>
      <c r="O1703" s="41"/>
      <c r="P1703" s="28"/>
    </row>
    <row r="1704" customFormat="1" spans="1:16">
      <c r="A1704" s="39"/>
      <c r="B1704" s="40"/>
      <c r="C1704" s="41"/>
      <c r="D1704" s="41"/>
      <c r="E1704" s="41"/>
      <c r="F1704" s="41"/>
      <c r="G1704" s="41"/>
      <c r="H1704" s="41"/>
      <c r="I1704" s="41"/>
      <c r="J1704" s="41"/>
      <c r="K1704" s="41"/>
      <c r="L1704" s="41"/>
      <c r="M1704" s="41"/>
      <c r="N1704" s="41"/>
      <c r="O1704" s="41"/>
      <c r="P1704" s="28"/>
    </row>
    <row r="1705" customFormat="1" spans="1:16">
      <c r="A1705" s="39"/>
      <c r="B1705" s="40"/>
      <c r="C1705" s="41"/>
      <c r="D1705" s="41"/>
      <c r="E1705" s="41"/>
      <c r="F1705" s="41"/>
      <c r="G1705" s="41"/>
      <c r="H1705" s="41"/>
      <c r="I1705" s="41"/>
      <c r="J1705" s="41"/>
      <c r="K1705" s="41"/>
      <c r="L1705" s="41"/>
      <c r="M1705" s="41"/>
      <c r="N1705" s="41"/>
      <c r="O1705" s="41"/>
      <c r="P1705" s="28"/>
    </row>
    <row r="1706" customFormat="1" spans="1:16">
      <c r="A1706" s="39"/>
      <c r="B1706" s="40"/>
      <c r="C1706" s="41"/>
      <c r="D1706" s="41"/>
      <c r="E1706" s="41"/>
      <c r="F1706" s="41"/>
      <c r="G1706" s="41"/>
      <c r="H1706" s="41"/>
      <c r="I1706" s="41"/>
      <c r="J1706" s="41"/>
      <c r="K1706" s="41"/>
      <c r="L1706" s="41"/>
      <c r="M1706" s="41"/>
      <c r="N1706" s="41"/>
      <c r="O1706" s="41"/>
      <c r="P1706" s="28"/>
    </row>
    <row r="1707" customFormat="1" spans="1:16">
      <c r="A1707" s="39"/>
      <c r="B1707" s="40"/>
      <c r="C1707" s="41"/>
      <c r="D1707" s="41"/>
      <c r="E1707" s="41"/>
      <c r="F1707" s="41"/>
      <c r="G1707" s="41"/>
      <c r="H1707" s="41"/>
      <c r="I1707" s="41"/>
      <c r="J1707" s="41"/>
      <c r="K1707" s="41"/>
      <c r="L1707" s="41"/>
      <c r="M1707" s="41"/>
      <c r="N1707" s="41"/>
      <c r="O1707" s="41"/>
      <c r="P1707" s="28"/>
    </row>
    <row r="1708" customFormat="1" spans="1:16">
      <c r="A1708" s="39"/>
      <c r="B1708" s="40"/>
      <c r="C1708" s="41"/>
      <c r="D1708" s="41"/>
      <c r="E1708" s="41"/>
      <c r="F1708" s="41"/>
      <c r="G1708" s="41"/>
      <c r="H1708" s="41"/>
      <c r="I1708" s="41"/>
      <c r="J1708" s="41"/>
      <c r="K1708" s="41"/>
      <c r="L1708" s="41"/>
      <c r="M1708" s="41"/>
      <c r="N1708" s="41"/>
      <c r="O1708" s="41"/>
      <c r="P1708" s="28"/>
    </row>
    <row r="1709" customFormat="1" spans="1:16">
      <c r="A1709" s="39"/>
      <c r="B1709" s="40"/>
      <c r="C1709" s="41"/>
      <c r="D1709" s="41"/>
      <c r="E1709" s="41"/>
      <c r="F1709" s="41"/>
      <c r="G1709" s="41"/>
      <c r="H1709" s="41"/>
      <c r="I1709" s="41"/>
      <c r="J1709" s="41"/>
      <c r="K1709" s="41"/>
      <c r="L1709" s="41"/>
      <c r="M1709" s="41"/>
      <c r="N1709" s="41"/>
      <c r="O1709" s="41"/>
      <c r="P1709" s="28"/>
    </row>
    <row r="1710" customFormat="1" spans="1:16">
      <c r="A1710" s="39"/>
      <c r="B1710" s="40"/>
      <c r="C1710" s="41"/>
      <c r="D1710" s="41"/>
      <c r="E1710" s="41"/>
      <c r="F1710" s="41"/>
      <c r="G1710" s="41"/>
      <c r="H1710" s="41"/>
      <c r="I1710" s="41"/>
      <c r="J1710" s="41"/>
      <c r="K1710" s="41"/>
      <c r="L1710" s="41"/>
      <c r="M1710" s="41"/>
      <c r="N1710" s="41"/>
      <c r="O1710" s="41"/>
      <c r="P1710" s="28"/>
    </row>
    <row r="1711" customFormat="1" spans="1:16">
      <c r="A1711" s="39"/>
      <c r="B1711" s="40"/>
      <c r="C1711" s="41"/>
      <c r="D1711" s="41"/>
      <c r="E1711" s="41"/>
      <c r="F1711" s="41"/>
      <c r="G1711" s="41"/>
      <c r="H1711" s="41"/>
      <c r="I1711" s="41"/>
      <c r="J1711" s="41"/>
      <c r="K1711" s="41"/>
      <c r="L1711" s="41"/>
      <c r="M1711" s="41"/>
      <c r="N1711" s="41"/>
      <c r="O1711" s="41"/>
      <c r="P1711" s="28"/>
    </row>
    <row r="1712" customFormat="1" spans="1:16">
      <c r="A1712" s="39"/>
      <c r="B1712" s="40"/>
      <c r="C1712" s="41"/>
      <c r="D1712" s="41"/>
      <c r="E1712" s="41"/>
      <c r="F1712" s="41"/>
      <c r="G1712" s="41"/>
      <c r="H1712" s="41"/>
      <c r="I1712" s="41"/>
      <c r="J1712" s="41"/>
      <c r="K1712" s="41"/>
      <c r="L1712" s="41"/>
      <c r="M1712" s="41"/>
      <c r="N1712" s="41"/>
      <c r="O1712" s="41"/>
      <c r="P1712" s="28"/>
    </row>
    <row r="1713" customFormat="1" spans="1:16">
      <c r="A1713" s="39"/>
      <c r="B1713" s="40"/>
      <c r="C1713" s="41"/>
      <c r="D1713" s="41"/>
      <c r="E1713" s="41"/>
      <c r="F1713" s="41"/>
      <c r="G1713" s="41"/>
      <c r="H1713" s="41"/>
      <c r="I1713" s="41"/>
      <c r="J1713" s="41"/>
      <c r="K1713" s="41"/>
      <c r="L1713" s="41"/>
      <c r="M1713" s="41"/>
      <c r="N1713" s="41"/>
      <c r="O1713" s="41"/>
      <c r="P1713" s="28"/>
    </row>
    <row r="1714" customFormat="1" spans="1:16">
      <c r="A1714" s="39"/>
      <c r="B1714" s="40"/>
      <c r="C1714" s="41"/>
      <c r="D1714" s="41"/>
      <c r="E1714" s="41"/>
      <c r="F1714" s="41"/>
      <c r="G1714" s="41"/>
      <c r="H1714" s="41"/>
      <c r="I1714" s="41"/>
      <c r="J1714" s="41"/>
      <c r="K1714" s="41"/>
      <c r="L1714" s="41"/>
      <c r="M1714" s="41"/>
      <c r="N1714" s="41"/>
      <c r="O1714" s="41"/>
      <c r="P1714" s="28"/>
    </row>
    <row r="1715" customFormat="1" spans="1:16">
      <c r="A1715" s="39"/>
      <c r="B1715" s="40"/>
      <c r="C1715" s="41"/>
      <c r="D1715" s="41"/>
      <c r="E1715" s="41"/>
      <c r="F1715" s="41"/>
      <c r="G1715" s="41"/>
      <c r="H1715" s="41"/>
      <c r="I1715" s="41"/>
      <c r="J1715" s="41"/>
      <c r="K1715" s="41"/>
      <c r="L1715" s="41"/>
      <c r="M1715" s="41"/>
      <c r="N1715" s="41"/>
      <c r="O1715" s="41"/>
      <c r="P1715" s="28"/>
    </row>
    <row r="1716" customFormat="1" spans="1:16">
      <c r="A1716" s="39"/>
      <c r="B1716" s="40"/>
      <c r="C1716" s="41"/>
      <c r="D1716" s="41"/>
      <c r="E1716" s="41"/>
      <c r="F1716" s="41"/>
      <c r="G1716" s="41"/>
      <c r="H1716" s="41"/>
      <c r="I1716" s="41"/>
      <c r="J1716" s="41"/>
      <c r="K1716" s="41"/>
      <c r="L1716" s="41"/>
      <c r="M1716" s="41"/>
      <c r="N1716" s="41"/>
      <c r="O1716" s="41"/>
      <c r="P1716" s="28"/>
    </row>
    <row r="1717" customFormat="1" spans="1:16">
      <c r="A1717" s="39"/>
      <c r="B1717" s="40"/>
      <c r="C1717" s="41"/>
      <c r="D1717" s="41"/>
      <c r="E1717" s="41"/>
      <c r="F1717" s="41"/>
      <c r="G1717" s="41"/>
      <c r="H1717" s="41"/>
      <c r="I1717" s="41"/>
      <c r="J1717" s="41"/>
      <c r="K1717" s="41"/>
      <c r="L1717" s="41"/>
      <c r="M1717" s="41"/>
      <c r="N1717" s="41"/>
      <c r="O1717" s="41"/>
      <c r="P1717" s="28"/>
    </row>
    <row r="1718" customFormat="1" spans="1:16">
      <c r="A1718" s="39"/>
      <c r="B1718" s="40"/>
      <c r="C1718" s="41"/>
      <c r="D1718" s="41"/>
      <c r="E1718" s="41"/>
      <c r="F1718" s="41"/>
      <c r="G1718" s="41"/>
      <c r="H1718" s="41"/>
      <c r="I1718" s="41"/>
      <c r="J1718" s="41"/>
      <c r="K1718" s="41"/>
      <c r="L1718" s="41"/>
      <c r="M1718" s="41"/>
      <c r="N1718" s="41"/>
      <c r="O1718" s="41"/>
      <c r="P1718" s="28"/>
    </row>
    <row r="1719" customFormat="1" spans="1:16">
      <c r="A1719" s="39"/>
      <c r="B1719" s="40"/>
      <c r="C1719" s="41"/>
      <c r="D1719" s="41"/>
      <c r="E1719" s="41"/>
      <c r="F1719" s="41"/>
      <c r="G1719" s="41"/>
      <c r="H1719" s="41"/>
      <c r="I1719" s="41"/>
      <c r="J1719" s="41"/>
      <c r="K1719" s="41"/>
      <c r="L1719" s="41"/>
      <c r="M1719" s="41"/>
      <c r="N1719" s="41"/>
      <c r="O1719" s="41"/>
      <c r="P1719" s="28"/>
    </row>
    <row r="1720" customFormat="1" spans="1:16">
      <c r="A1720" s="39"/>
      <c r="B1720" s="40"/>
      <c r="C1720" s="41"/>
      <c r="D1720" s="41"/>
      <c r="E1720" s="41"/>
      <c r="F1720" s="41"/>
      <c r="G1720" s="41"/>
      <c r="H1720" s="41"/>
      <c r="I1720" s="41"/>
      <c r="J1720" s="41"/>
      <c r="K1720" s="41"/>
      <c r="L1720" s="41"/>
      <c r="M1720" s="41"/>
      <c r="N1720" s="41"/>
      <c r="O1720" s="41"/>
      <c r="P1720" s="28"/>
    </row>
    <row r="1721" customFormat="1" spans="1:16">
      <c r="A1721" s="39"/>
      <c r="B1721" s="40"/>
      <c r="C1721" s="41"/>
      <c r="D1721" s="41"/>
      <c r="E1721" s="41"/>
      <c r="F1721" s="41"/>
      <c r="G1721" s="41"/>
      <c r="H1721" s="41"/>
      <c r="I1721" s="41"/>
      <c r="J1721" s="41"/>
      <c r="K1721" s="41"/>
      <c r="L1721" s="41"/>
      <c r="M1721" s="41"/>
      <c r="N1721" s="41"/>
      <c r="O1721" s="41"/>
      <c r="P1721" s="28"/>
    </row>
    <row r="1722" customFormat="1" spans="1:16">
      <c r="A1722" s="39"/>
      <c r="B1722" s="40"/>
      <c r="C1722" s="41"/>
      <c r="D1722" s="41"/>
      <c r="E1722" s="41"/>
      <c r="F1722" s="41"/>
      <c r="G1722" s="41"/>
      <c r="H1722" s="41"/>
      <c r="I1722" s="41"/>
      <c r="J1722" s="41"/>
      <c r="K1722" s="41"/>
      <c r="L1722" s="41"/>
      <c r="M1722" s="41"/>
      <c r="N1722" s="41"/>
      <c r="O1722" s="41"/>
      <c r="P1722" s="28"/>
    </row>
    <row r="1723" customFormat="1" spans="1:16">
      <c r="A1723" s="39"/>
      <c r="B1723" s="40"/>
      <c r="C1723" s="41"/>
      <c r="D1723" s="41"/>
      <c r="E1723" s="41"/>
      <c r="F1723" s="41"/>
      <c r="G1723" s="41"/>
      <c r="H1723" s="41"/>
      <c r="I1723" s="41"/>
      <c r="J1723" s="41"/>
      <c r="K1723" s="41"/>
      <c r="L1723" s="41"/>
      <c r="M1723" s="41"/>
      <c r="N1723" s="41"/>
      <c r="O1723" s="41"/>
      <c r="P1723" s="28"/>
    </row>
    <row r="1724" customFormat="1" spans="1:16">
      <c r="A1724" s="39"/>
      <c r="B1724" s="40"/>
      <c r="C1724" s="41"/>
      <c r="D1724" s="41"/>
      <c r="E1724" s="41"/>
      <c r="F1724" s="41"/>
      <c r="G1724" s="41"/>
      <c r="H1724" s="41"/>
      <c r="I1724" s="41"/>
      <c r="J1724" s="41"/>
      <c r="K1724" s="41"/>
      <c r="L1724" s="41"/>
      <c r="M1724" s="41"/>
      <c r="N1724" s="41"/>
      <c r="O1724" s="41"/>
      <c r="P1724" s="28"/>
    </row>
    <row r="1725" customFormat="1" spans="1:16">
      <c r="A1725" s="39"/>
      <c r="B1725" s="40"/>
      <c r="C1725" s="41"/>
      <c r="D1725" s="41"/>
      <c r="E1725" s="41"/>
      <c r="F1725" s="41"/>
      <c r="G1725" s="41"/>
      <c r="H1725" s="41"/>
      <c r="I1725" s="41"/>
      <c r="J1725" s="41"/>
      <c r="K1725" s="41"/>
      <c r="L1725" s="41"/>
      <c r="M1725" s="41"/>
      <c r="N1725" s="41"/>
      <c r="O1725" s="41"/>
      <c r="P1725" s="28"/>
    </row>
    <row r="1726" customFormat="1" spans="1:16">
      <c r="A1726" s="39"/>
      <c r="B1726" s="40"/>
      <c r="C1726" s="41"/>
      <c r="D1726" s="41"/>
      <c r="E1726" s="41"/>
      <c r="F1726" s="41"/>
      <c r="G1726" s="41"/>
      <c r="H1726" s="41"/>
      <c r="I1726" s="41"/>
      <c r="J1726" s="41"/>
      <c r="K1726" s="41"/>
      <c r="L1726" s="41"/>
      <c r="M1726" s="41"/>
      <c r="N1726" s="41"/>
      <c r="O1726" s="41"/>
      <c r="P1726" s="28"/>
    </row>
    <row r="1727" customFormat="1" spans="1:16">
      <c r="A1727" s="39"/>
      <c r="B1727" s="40"/>
      <c r="C1727" s="41"/>
      <c r="D1727" s="41"/>
      <c r="E1727" s="41"/>
      <c r="F1727" s="41"/>
      <c r="G1727" s="41"/>
      <c r="H1727" s="41"/>
      <c r="I1727" s="41"/>
      <c r="J1727" s="41"/>
      <c r="K1727" s="41"/>
      <c r="L1727" s="41"/>
      <c r="M1727" s="41"/>
      <c r="N1727" s="41"/>
      <c r="O1727" s="41"/>
      <c r="P1727" s="28"/>
    </row>
    <row r="1728" customFormat="1" spans="1:16">
      <c r="A1728" s="39"/>
      <c r="B1728" s="40"/>
      <c r="C1728" s="41"/>
      <c r="D1728" s="41"/>
      <c r="E1728" s="41"/>
      <c r="F1728" s="41"/>
      <c r="G1728" s="41"/>
      <c r="H1728" s="41"/>
      <c r="I1728" s="41"/>
      <c r="J1728" s="41"/>
      <c r="K1728" s="41"/>
      <c r="L1728" s="41"/>
      <c r="M1728" s="41"/>
      <c r="N1728" s="41"/>
      <c r="O1728" s="41"/>
      <c r="P1728" s="28"/>
    </row>
    <row r="1729" customFormat="1" spans="1:16">
      <c r="A1729" s="39"/>
      <c r="B1729" s="40"/>
      <c r="C1729" s="41"/>
      <c r="D1729" s="41"/>
      <c r="E1729" s="41"/>
      <c r="F1729" s="41"/>
      <c r="G1729" s="41"/>
      <c r="H1729" s="41"/>
      <c r="I1729" s="41"/>
      <c r="J1729" s="41"/>
      <c r="K1729" s="41"/>
      <c r="L1729" s="41"/>
      <c r="M1729" s="41"/>
      <c r="N1729" s="41"/>
      <c r="O1729" s="41"/>
      <c r="P1729" s="28"/>
    </row>
    <row r="1730" customFormat="1" spans="1:16">
      <c r="A1730" s="39"/>
      <c r="B1730" s="40"/>
      <c r="C1730" s="41"/>
      <c r="D1730" s="41"/>
      <c r="E1730" s="41"/>
      <c r="F1730" s="41"/>
      <c r="G1730" s="41"/>
      <c r="H1730" s="41"/>
      <c r="I1730" s="41"/>
      <c r="J1730" s="41"/>
      <c r="K1730" s="41"/>
      <c r="L1730" s="41"/>
      <c r="M1730" s="41"/>
      <c r="N1730" s="41"/>
      <c r="O1730" s="41"/>
      <c r="P1730" s="28"/>
    </row>
    <row r="1731" customFormat="1" spans="1:16">
      <c r="A1731" s="39"/>
      <c r="B1731" s="40"/>
      <c r="C1731" s="41"/>
      <c r="D1731" s="41"/>
      <c r="E1731" s="41"/>
      <c r="F1731" s="41"/>
      <c r="G1731" s="41"/>
      <c r="H1731" s="41"/>
      <c r="I1731" s="41"/>
      <c r="J1731" s="41"/>
      <c r="K1731" s="41"/>
      <c r="L1731" s="41"/>
      <c r="M1731" s="41"/>
      <c r="N1731" s="41"/>
      <c r="O1731" s="41"/>
      <c r="P1731" s="28"/>
    </row>
    <row r="1732" customFormat="1" spans="1:16">
      <c r="A1732" s="39"/>
      <c r="B1732" s="40"/>
      <c r="C1732" s="41"/>
      <c r="D1732" s="41"/>
      <c r="E1732" s="41"/>
      <c r="F1732" s="41"/>
      <c r="G1732" s="41"/>
      <c r="H1732" s="41"/>
      <c r="I1732" s="41"/>
      <c r="J1732" s="41"/>
      <c r="K1732" s="41"/>
      <c r="L1732" s="41"/>
      <c r="M1732" s="41"/>
      <c r="N1732" s="41"/>
      <c r="O1732" s="41"/>
      <c r="P1732" s="28"/>
    </row>
    <row r="1733" customFormat="1" spans="1:16">
      <c r="A1733" s="39"/>
      <c r="B1733" s="40"/>
      <c r="C1733" s="41"/>
      <c r="D1733" s="41"/>
      <c r="E1733" s="41"/>
      <c r="F1733" s="41"/>
      <c r="G1733" s="41"/>
      <c r="H1733" s="41"/>
      <c r="I1733" s="41"/>
      <c r="J1733" s="41"/>
      <c r="K1733" s="41"/>
      <c r="L1733" s="41"/>
      <c r="M1733" s="41"/>
      <c r="N1733" s="41"/>
      <c r="O1733" s="41"/>
      <c r="P1733" s="28"/>
    </row>
    <row r="1734" customFormat="1" spans="1:16">
      <c r="A1734" s="39"/>
      <c r="B1734" s="40"/>
      <c r="C1734" s="41"/>
      <c r="D1734" s="41"/>
      <c r="E1734" s="41"/>
      <c r="F1734" s="41"/>
      <c r="G1734" s="41"/>
      <c r="H1734" s="41"/>
      <c r="I1734" s="41"/>
      <c r="J1734" s="41"/>
      <c r="K1734" s="41"/>
      <c r="L1734" s="41"/>
      <c r="M1734" s="41"/>
      <c r="N1734" s="41"/>
      <c r="O1734" s="41"/>
      <c r="P1734" s="28"/>
    </row>
    <row r="1735" customFormat="1" spans="1:16">
      <c r="A1735" s="39"/>
      <c r="B1735" s="40"/>
      <c r="C1735" s="41"/>
      <c r="D1735" s="41"/>
      <c r="E1735" s="41"/>
      <c r="F1735" s="41"/>
      <c r="G1735" s="41"/>
      <c r="H1735" s="41"/>
      <c r="I1735" s="41"/>
      <c r="J1735" s="41"/>
      <c r="K1735" s="41"/>
      <c r="L1735" s="41"/>
      <c r="M1735" s="41"/>
      <c r="N1735" s="41"/>
      <c r="O1735" s="41"/>
      <c r="P1735" s="28"/>
    </row>
    <row r="1736" customFormat="1" spans="1:16">
      <c r="A1736" s="39"/>
      <c r="B1736" s="40"/>
      <c r="C1736" s="41"/>
      <c r="D1736" s="41"/>
      <c r="E1736" s="41"/>
      <c r="F1736" s="41"/>
      <c r="G1736" s="41"/>
      <c r="H1736" s="41"/>
      <c r="I1736" s="41"/>
      <c r="J1736" s="41"/>
      <c r="K1736" s="41"/>
      <c r="L1736" s="41"/>
      <c r="M1736" s="41"/>
      <c r="N1736" s="41"/>
      <c r="O1736" s="41"/>
      <c r="P1736" s="28"/>
    </row>
    <row r="1737" customFormat="1" spans="1:16">
      <c r="A1737" s="39"/>
      <c r="B1737" s="40"/>
      <c r="C1737" s="41"/>
      <c r="D1737" s="41"/>
      <c r="E1737" s="41"/>
      <c r="F1737" s="41"/>
      <c r="G1737" s="41"/>
      <c r="H1737" s="41"/>
      <c r="I1737" s="41"/>
      <c r="J1737" s="41"/>
      <c r="K1737" s="41"/>
      <c r="L1737" s="41"/>
      <c r="M1737" s="41"/>
      <c r="N1737" s="41"/>
      <c r="O1737" s="41"/>
      <c r="P1737" s="28"/>
    </row>
    <row r="1738" customFormat="1" spans="1:16">
      <c r="A1738" s="39"/>
      <c r="B1738" s="40"/>
      <c r="C1738" s="41"/>
      <c r="D1738" s="41"/>
      <c r="E1738" s="41"/>
      <c r="F1738" s="41"/>
      <c r="G1738" s="41"/>
      <c r="H1738" s="41"/>
      <c r="I1738" s="41"/>
      <c r="J1738" s="41"/>
      <c r="K1738" s="41"/>
      <c r="L1738" s="41"/>
      <c r="M1738" s="41"/>
      <c r="N1738" s="41"/>
      <c r="O1738" s="41"/>
      <c r="P1738" s="28"/>
    </row>
    <row r="1739" customFormat="1" spans="1:16">
      <c r="A1739" s="39"/>
      <c r="B1739" s="40"/>
      <c r="C1739" s="41"/>
      <c r="D1739" s="41"/>
      <c r="E1739" s="41"/>
      <c r="F1739" s="41"/>
      <c r="G1739" s="41"/>
      <c r="H1739" s="41"/>
      <c r="I1739" s="41"/>
      <c r="J1739" s="41"/>
      <c r="K1739" s="41"/>
      <c r="L1739" s="41"/>
      <c r="M1739" s="41"/>
      <c r="N1739" s="41"/>
      <c r="O1739" s="41"/>
      <c r="P1739" s="28"/>
    </row>
    <row r="1740" customFormat="1" spans="1:16">
      <c r="A1740" s="39"/>
      <c r="B1740" s="40"/>
      <c r="C1740" s="41"/>
      <c r="D1740" s="41"/>
      <c r="E1740" s="41"/>
      <c r="F1740" s="41"/>
      <c r="G1740" s="41"/>
      <c r="H1740" s="41"/>
      <c r="I1740" s="41"/>
      <c r="J1740" s="41"/>
      <c r="K1740" s="41"/>
      <c r="L1740" s="41"/>
      <c r="M1740" s="41"/>
      <c r="N1740" s="41"/>
      <c r="O1740" s="41"/>
      <c r="P1740" s="28"/>
    </row>
    <row r="1741" customFormat="1" spans="1:16">
      <c r="A1741" s="39"/>
      <c r="B1741" s="40"/>
      <c r="C1741" s="41"/>
      <c r="D1741" s="41"/>
      <c r="E1741" s="41"/>
      <c r="F1741" s="41"/>
      <c r="G1741" s="41"/>
      <c r="H1741" s="41"/>
      <c r="I1741" s="41"/>
      <c r="J1741" s="41"/>
      <c r="K1741" s="41"/>
      <c r="L1741" s="41"/>
      <c r="M1741" s="41"/>
      <c r="N1741" s="41"/>
      <c r="O1741" s="41"/>
      <c r="P1741" s="28"/>
    </row>
    <row r="1742" customFormat="1" spans="1:16">
      <c r="A1742" s="39"/>
      <c r="B1742" s="40"/>
      <c r="C1742" s="41"/>
      <c r="D1742" s="41"/>
      <c r="E1742" s="41"/>
      <c r="F1742" s="41"/>
      <c r="G1742" s="41"/>
      <c r="H1742" s="41"/>
      <c r="I1742" s="41"/>
      <c r="J1742" s="41"/>
      <c r="K1742" s="41"/>
      <c r="L1742" s="41"/>
      <c r="M1742" s="41"/>
      <c r="N1742" s="41"/>
      <c r="O1742" s="41"/>
      <c r="P1742" s="28"/>
    </row>
    <row r="1743" customFormat="1" spans="1:16">
      <c r="A1743" s="39"/>
      <c r="B1743" s="40"/>
      <c r="C1743" s="41"/>
      <c r="D1743" s="41"/>
      <c r="E1743" s="41"/>
      <c r="F1743" s="41"/>
      <c r="G1743" s="41"/>
      <c r="H1743" s="41"/>
      <c r="I1743" s="41"/>
      <c r="J1743" s="41"/>
      <c r="K1743" s="41"/>
      <c r="L1743" s="41"/>
      <c r="M1743" s="41"/>
      <c r="N1743" s="41"/>
      <c r="O1743" s="41"/>
      <c r="P1743" s="28"/>
    </row>
    <row r="1744" customFormat="1" spans="1:16">
      <c r="A1744" s="39"/>
      <c r="B1744" s="40"/>
      <c r="C1744" s="41"/>
      <c r="D1744" s="41"/>
      <c r="E1744" s="41"/>
      <c r="F1744" s="41"/>
      <c r="G1744" s="41"/>
      <c r="H1744" s="41"/>
      <c r="I1744" s="41"/>
      <c r="J1744" s="41"/>
      <c r="K1744" s="41"/>
      <c r="L1744" s="41"/>
      <c r="M1744" s="41"/>
      <c r="N1744" s="41"/>
      <c r="O1744" s="41"/>
      <c r="P1744" s="28"/>
    </row>
    <row r="1745" customFormat="1" spans="1:16">
      <c r="A1745" s="39"/>
      <c r="B1745" s="40"/>
      <c r="C1745" s="41"/>
      <c r="D1745" s="41"/>
      <c r="E1745" s="41"/>
      <c r="F1745" s="41"/>
      <c r="G1745" s="41"/>
      <c r="H1745" s="41"/>
      <c r="I1745" s="41"/>
      <c r="J1745" s="41"/>
      <c r="K1745" s="41"/>
      <c r="L1745" s="41"/>
      <c r="M1745" s="41"/>
      <c r="N1745" s="41"/>
      <c r="O1745" s="41"/>
      <c r="P1745" s="28"/>
    </row>
    <row r="1746" customFormat="1" spans="1:16">
      <c r="A1746" s="39"/>
      <c r="B1746" s="40"/>
      <c r="C1746" s="41"/>
      <c r="D1746" s="41"/>
      <c r="E1746" s="41"/>
      <c r="F1746" s="41"/>
      <c r="G1746" s="41"/>
      <c r="H1746" s="41"/>
      <c r="I1746" s="41"/>
      <c r="J1746" s="41"/>
      <c r="K1746" s="41"/>
      <c r="L1746" s="41"/>
      <c r="M1746" s="41"/>
      <c r="N1746" s="41"/>
      <c r="O1746" s="41"/>
      <c r="P1746" s="28"/>
    </row>
    <row r="1747" customFormat="1" spans="1:16">
      <c r="A1747" s="39"/>
      <c r="B1747" s="40"/>
      <c r="C1747" s="41"/>
      <c r="D1747" s="41"/>
      <c r="E1747" s="41"/>
      <c r="F1747" s="41"/>
      <c r="G1747" s="41"/>
      <c r="H1747" s="41"/>
      <c r="I1747" s="41"/>
      <c r="J1747" s="41"/>
      <c r="K1747" s="41"/>
      <c r="L1747" s="41"/>
      <c r="M1747" s="41"/>
      <c r="N1747" s="41"/>
      <c r="O1747" s="41"/>
      <c r="P1747" s="28"/>
    </row>
    <row r="1748" customFormat="1" spans="1:16">
      <c r="A1748" s="39"/>
      <c r="B1748" s="40"/>
      <c r="C1748" s="41"/>
      <c r="D1748" s="41"/>
      <c r="E1748" s="41"/>
      <c r="F1748" s="41"/>
      <c r="G1748" s="41"/>
      <c r="H1748" s="41"/>
      <c r="I1748" s="41"/>
      <c r="J1748" s="41"/>
      <c r="K1748" s="41"/>
      <c r="L1748" s="41"/>
      <c r="M1748" s="41"/>
      <c r="N1748" s="41"/>
      <c r="O1748" s="41"/>
      <c r="P1748" s="28"/>
    </row>
    <row r="1749" customFormat="1" spans="1:16">
      <c r="A1749" s="39"/>
      <c r="B1749" s="40"/>
      <c r="C1749" s="41"/>
      <c r="D1749" s="41"/>
      <c r="E1749" s="41"/>
      <c r="F1749" s="41"/>
      <c r="G1749" s="41"/>
      <c r="H1749" s="41"/>
      <c r="I1749" s="41"/>
      <c r="J1749" s="41"/>
      <c r="K1749" s="41"/>
      <c r="L1749" s="41"/>
      <c r="M1749" s="41"/>
      <c r="N1749" s="41"/>
      <c r="O1749" s="41"/>
      <c r="P1749" s="28"/>
    </row>
    <row r="1750" customFormat="1" spans="1:16">
      <c r="A1750" s="39"/>
      <c r="B1750" s="40"/>
      <c r="C1750" s="41"/>
      <c r="D1750" s="41"/>
      <c r="E1750" s="41"/>
      <c r="F1750" s="41"/>
      <c r="G1750" s="41"/>
      <c r="H1750" s="41"/>
      <c r="I1750" s="41"/>
      <c r="J1750" s="41"/>
      <c r="K1750" s="41"/>
      <c r="L1750" s="41"/>
      <c r="M1750" s="41"/>
      <c r="N1750" s="41"/>
      <c r="O1750" s="41"/>
      <c r="P1750" s="28"/>
    </row>
    <row r="1751" customFormat="1" spans="1:16">
      <c r="A1751" s="39"/>
      <c r="B1751" s="40"/>
      <c r="C1751" s="41"/>
      <c r="D1751" s="41"/>
      <c r="E1751" s="41"/>
      <c r="F1751" s="41"/>
      <c r="G1751" s="41"/>
      <c r="H1751" s="41"/>
      <c r="I1751" s="41"/>
      <c r="J1751" s="41"/>
      <c r="K1751" s="41"/>
      <c r="L1751" s="41"/>
      <c r="M1751" s="41"/>
      <c r="N1751" s="41"/>
      <c r="O1751" s="41"/>
      <c r="P1751" s="28"/>
    </row>
    <row r="1752" customFormat="1" spans="1:16">
      <c r="A1752" s="39"/>
      <c r="B1752" s="40"/>
      <c r="C1752" s="41"/>
      <c r="D1752" s="41"/>
      <c r="E1752" s="41"/>
      <c r="F1752" s="41"/>
      <c r="G1752" s="41"/>
      <c r="H1752" s="41"/>
      <c r="I1752" s="41"/>
      <c r="J1752" s="41"/>
      <c r="K1752" s="41"/>
      <c r="L1752" s="41"/>
      <c r="M1752" s="41"/>
      <c r="N1752" s="41"/>
      <c r="O1752" s="41"/>
      <c r="P1752" s="28"/>
    </row>
    <row r="1753" customFormat="1" spans="1:16">
      <c r="A1753" s="39"/>
      <c r="B1753" s="40"/>
      <c r="C1753" s="41"/>
      <c r="D1753" s="41"/>
      <c r="E1753" s="41"/>
      <c r="F1753" s="41"/>
      <c r="G1753" s="41"/>
      <c r="H1753" s="41"/>
      <c r="I1753" s="41"/>
      <c r="J1753" s="41"/>
      <c r="K1753" s="41"/>
      <c r="L1753" s="41"/>
      <c r="M1753" s="41"/>
      <c r="N1753" s="41"/>
      <c r="O1753" s="41"/>
      <c r="P1753" s="28"/>
    </row>
    <row r="1754" customFormat="1" spans="1:16">
      <c r="A1754" s="39"/>
      <c r="B1754" s="40"/>
      <c r="C1754" s="41"/>
      <c r="D1754" s="41"/>
      <c r="E1754" s="41"/>
      <c r="F1754" s="41"/>
      <c r="G1754" s="41"/>
      <c r="H1754" s="41"/>
      <c r="I1754" s="41"/>
      <c r="J1754" s="41"/>
      <c r="K1754" s="41"/>
      <c r="L1754" s="41"/>
      <c r="M1754" s="41"/>
      <c r="N1754" s="41"/>
      <c r="O1754" s="41"/>
      <c r="P1754" s="28"/>
    </row>
    <row r="1755" customFormat="1" spans="1:16">
      <c r="A1755" s="39"/>
      <c r="B1755" s="40"/>
      <c r="C1755" s="41"/>
      <c r="D1755" s="41"/>
      <c r="E1755" s="41"/>
      <c r="F1755" s="41"/>
      <c r="G1755" s="41"/>
      <c r="H1755" s="41"/>
      <c r="I1755" s="41"/>
      <c r="J1755" s="41"/>
      <c r="K1755" s="41"/>
      <c r="L1755" s="41"/>
      <c r="M1755" s="41"/>
      <c r="N1755" s="41"/>
      <c r="O1755" s="41"/>
      <c r="P1755" s="28"/>
    </row>
    <row r="1756" customFormat="1" spans="1:16">
      <c r="A1756" s="39"/>
      <c r="B1756" s="40"/>
      <c r="C1756" s="41"/>
      <c r="D1756" s="41"/>
      <c r="E1756" s="41"/>
      <c r="F1756" s="41"/>
      <c r="G1756" s="41"/>
      <c r="H1756" s="41"/>
      <c r="I1756" s="41"/>
      <c r="J1756" s="41"/>
      <c r="K1756" s="41"/>
      <c r="L1756" s="41"/>
      <c r="M1756" s="41"/>
      <c r="N1756" s="41"/>
      <c r="O1756" s="41"/>
      <c r="P1756" s="28"/>
    </row>
    <row r="1757" customFormat="1" spans="1:16">
      <c r="A1757" s="39"/>
      <c r="B1757" s="40"/>
      <c r="C1757" s="41"/>
      <c r="D1757" s="41"/>
      <c r="E1757" s="41"/>
      <c r="F1757" s="41"/>
      <c r="G1757" s="41"/>
      <c r="H1757" s="41"/>
      <c r="I1757" s="41"/>
      <c r="J1757" s="41"/>
      <c r="K1757" s="41"/>
      <c r="L1757" s="41"/>
      <c r="M1757" s="41"/>
      <c r="N1757" s="41"/>
      <c r="O1757" s="41"/>
      <c r="P1757" s="28"/>
    </row>
    <row r="1758" customFormat="1" spans="1:16">
      <c r="A1758" s="39"/>
      <c r="B1758" s="40"/>
      <c r="C1758" s="41"/>
      <c r="D1758" s="41"/>
      <c r="E1758" s="41"/>
      <c r="F1758" s="41"/>
      <c r="G1758" s="41"/>
      <c r="H1758" s="41"/>
      <c r="I1758" s="41"/>
      <c r="J1758" s="41"/>
      <c r="K1758" s="41"/>
      <c r="L1758" s="41"/>
      <c r="M1758" s="41"/>
      <c r="N1758" s="41"/>
      <c r="O1758" s="41"/>
      <c r="P1758" s="28"/>
    </row>
    <row r="1759" customFormat="1" spans="1:16">
      <c r="A1759" s="39"/>
      <c r="B1759" s="40"/>
      <c r="C1759" s="41"/>
      <c r="D1759" s="41"/>
      <c r="E1759" s="41"/>
      <c r="F1759" s="41"/>
      <c r="G1759" s="41"/>
      <c r="H1759" s="41"/>
      <c r="I1759" s="41"/>
      <c r="J1759" s="41"/>
      <c r="K1759" s="41"/>
      <c r="L1759" s="41"/>
      <c r="M1759" s="41"/>
      <c r="N1759" s="41"/>
      <c r="O1759" s="41"/>
      <c r="P1759" s="28"/>
    </row>
    <row r="1760" customFormat="1" spans="1:16">
      <c r="A1760" s="39"/>
      <c r="B1760" s="40"/>
      <c r="C1760" s="41"/>
      <c r="D1760" s="41"/>
      <c r="E1760" s="41"/>
      <c r="F1760" s="41"/>
      <c r="G1760" s="41"/>
      <c r="H1760" s="41"/>
      <c r="I1760" s="41"/>
      <c r="J1760" s="41"/>
      <c r="K1760" s="41"/>
      <c r="L1760" s="41"/>
      <c r="M1760" s="41"/>
      <c r="N1760" s="41"/>
      <c r="O1760" s="41"/>
      <c r="P1760" s="28"/>
    </row>
    <row r="1761" customFormat="1" spans="1:16">
      <c r="A1761" s="39"/>
      <c r="B1761" s="40"/>
      <c r="C1761" s="41"/>
      <c r="D1761" s="41"/>
      <c r="E1761" s="41"/>
      <c r="F1761" s="41"/>
      <c r="G1761" s="41"/>
      <c r="H1761" s="41"/>
      <c r="I1761" s="41"/>
      <c r="J1761" s="41"/>
      <c r="K1761" s="41"/>
      <c r="L1761" s="41"/>
      <c r="M1761" s="41"/>
      <c r="N1761" s="41"/>
      <c r="O1761" s="41"/>
      <c r="P1761" s="28"/>
    </row>
    <row r="1762" customFormat="1" spans="1:16">
      <c r="A1762" s="39"/>
      <c r="B1762" s="40"/>
      <c r="C1762" s="41"/>
      <c r="D1762" s="41"/>
      <c r="E1762" s="41"/>
      <c r="F1762" s="41"/>
      <c r="G1762" s="41"/>
      <c r="H1762" s="41"/>
      <c r="I1762" s="41"/>
      <c r="J1762" s="41"/>
      <c r="K1762" s="41"/>
      <c r="L1762" s="41"/>
      <c r="M1762" s="41"/>
      <c r="N1762" s="41"/>
      <c r="O1762" s="41"/>
      <c r="P1762" s="28"/>
    </row>
    <row r="1763" customFormat="1" spans="1:16">
      <c r="A1763" s="39"/>
      <c r="B1763" s="40"/>
      <c r="C1763" s="41"/>
      <c r="D1763" s="41"/>
      <c r="E1763" s="41"/>
      <c r="F1763" s="41"/>
      <c r="G1763" s="41"/>
      <c r="H1763" s="41"/>
      <c r="I1763" s="41"/>
      <c r="J1763" s="41"/>
      <c r="K1763" s="41"/>
      <c r="L1763" s="41"/>
      <c r="M1763" s="41"/>
      <c r="N1763" s="41"/>
      <c r="O1763" s="41"/>
      <c r="P1763" s="28"/>
    </row>
    <row r="1764" customFormat="1" spans="1:16">
      <c r="A1764" s="39"/>
      <c r="B1764" s="40"/>
      <c r="C1764" s="41"/>
      <c r="D1764" s="41"/>
      <c r="E1764" s="41"/>
      <c r="F1764" s="41"/>
      <c r="G1764" s="41"/>
      <c r="H1764" s="41"/>
      <c r="I1764" s="41"/>
      <c r="J1764" s="41"/>
      <c r="K1764" s="41"/>
      <c r="L1764" s="41"/>
      <c r="M1764" s="41"/>
      <c r="N1764" s="41"/>
      <c r="O1764" s="41"/>
      <c r="P1764" s="28"/>
    </row>
    <row r="1765" customFormat="1" spans="1:16">
      <c r="A1765" s="39"/>
      <c r="B1765" s="40"/>
      <c r="C1765" s="41"/>
      <c r="D1765" s="41"/>
      <c r="E1765" s="41"/>
      <c r="F1765" s="41"/>
      <c r="G1765" s="41"/>
      <c r="H1765" s="41"/>
      <c r="I1765" s="41"/>
      <c r="J1765" s="41"/>
      <c r="K1765" s="41"/>
      <c r="L1765" s="41"/>
      <c r="M1765" s="41"/>
      <c r="N1765" s="41"/>
      <c r="O1765" s="41"/>
      <c r="P1765" s="28"/>
    </row>
    <row r="1766" customFormat="1" spans="1:16">
      <c r="A1766" s="39"/>
      <c r="B1766" s="40"/>
      <c r="C1766" s="41"/>
      <c r="D1766" s="41"/>
      <c r="E1766" s="41"/>
      <c r="F1766" s="41"/>
      <c r="G1766" s="41"/>
      <c r="H1766" s="41"/>
      <c r="I1766" s="41"/>
      <c r="J1766" s="41"/>
      <c r="K1766" s="41"/>
      <c r="L1766" s="41"/>
      <c r="M1766" s="41"/>
      <c r="N1766" s="41"/>
      <c r="O1766" s="41"/>
      <c r="P1766" s="28"/>
    </row>
    <row r="1767" customFormat="1" spans="1:16">
      <c r="A1767" s="39"/>
      <c r="B1767" s="40"/>
      <c r="C1767" s="41"/>
      <c r="D1767" s="41"/>
      <c r="E1767" s="41"/>
      <c r="F1767" s="41"/>
      <c r="G1767" s="41"/>
      <c r="H1767" s="41"/>
      <c r="I1767" s="41"/>
      <c r="J1767" s="41"/>
      <c r="K1767" s="41"/>
      <c r="L1767" s="41"/>
      <c r="M1767" s="41"/>
      <c r="N1767" s="41"/>
      <c r="O1767" s="41"/>
      <c r="P1767" s="28"/>
    </row>
    <row r="1768" customFormat="1" spans="1:16">
      <c r="A1768" s="39"/>
      <c r="B1768" s="40"/>
      <c r="C1768" s="41"/>
      <c r="D1768" s="41"/>
      <c r="E1768" s="41"/>
      <c r="F1768" s="41"/>
      <c r="G1768" s="41"/>
      <c r="H1768" s="41"/>
      <c r="I1768" s="41"/>
      <c r="J1768" s="41"/>
      <c r="K1768" s="41"/>
      <c r="L1768" s="41"/>
      <c r="M1768" s="41"/>
      <c r="N1768" s="41"/>
      <c r="O1768" s="41"/>
      <c r="P1768" s="28"/>
    </row>
    <row r="1769" customFormat="1" spans="1:16">
      <c r="A1769" s="39"/>
      <c r="B1769" s="40"/>
      <c r="C1769" s="41"/>
      <c r="D1769" s="41"/>
      <c r="E1769" s="41"/>
      <c r="F1769" s="41"/>
      <c r="G1769" s="41"/>
      <c r="H1769" s="41"/>
      <c r="I1769" s="41"/>
      <c r="J1769" s="41"/>
      <c r="K1769" s="41"/>
      <c r="L1769" s="41"/>
      <c r="M1769" s="41"/>
      <c r="N1769" s="41"/>
      <c r="O1769" s="41"/>
      <c r="P1769" s="28"/>
    </row>
    <row r="1770" customFormat="1" spans="1:16">
      <c r="A1770" s="39"/>
      <c r="B1770" s="40"/>
      <c r="C1770" s="41"/>
      <c r="D1770" s="41"/>
      <c r="E1770" s="41"/>
      <c r="F1770" s="41"/>
      <c r="G1770" s="41"/>
      <c r="H1770" s="41"/>
      <c r="I1770" s="41"/>
      <c r="J1770" s="41"/>
      <c r="K1770" s="41"/>
      <c r="L1770" s="41"/>
      <c r="M1770" s="41"/>
      <c r="N1770" s="41"/>
      <c r="O1770" s="41"/>
      <c r="P1770" s="28"/>
    </row>
    <row r="1771" customFormat="1" spans="1:16">
      <c r="A1771" s="39"/>
      <c r="B1771" s="40"/>
      <c r="C1771" s="41"/>
      <c r="D1771" s="41"/>
      <c r="E1771" s="41"/>
      <c r="F1771" s="41"/>
      <c r="G1771" s="41"/>
      <c r="H1771" s="41"/>
      <c r="I1771" s="41"/>
      <c r="J1771" s="41"/>
      <c r="K1771" s="41"/>
      <c r="L1771" s="41"/>
      <c r="M1771" s="41"/>
      <c r="N1771" s="41"/>
      <c r="O1771" s="41"/>
      <c r="P1771" s="28"/>
    </row>
    <row r="1772" customFormat="1" spans="1:16">
      <c r="A1772" s="39"/>
      <c r="B1772" s="40"/>
      <c r="C1772" s="41"/>
      <c r="D1772" s="41"/>
      <c r="E1772" s="41"/>
      <c r="F1772" s="41"/>
      <c r="G1772" s="41"/>
      <c r="H1772" s="41"/>
      <c r="I1772" s="41"/>
      <c r="J1772" s="41"/>
      <c r="K1772" s="41"/>
      <c r="L1772" s="41"/>
      <c r="M1772" s="41"/>
      <c r="N1772" s="41"/>
      <c r="O1772" s="41"/>
      <c r="P1772" s="28"/>
    </row>
    <row r="1773" customFormat="1" spans="1:16">
      <c r="A1773" s="39"/>
      <c r="B1773" s="40"/>
      <c r="C1773" s="41"/>
      <c r="D1773" s="41"/>
      <c r="E1773" s="41"/>
      <c r="F1773" s="41"/>
      <c r="G1773" s="41"/>
      <c r="H1773" s="41"/>
      <c r="I1773" s="41"/>
      <c r="J1773" s="41"/>
      <c r="K1773" s="41"/>
      <c r="L1773" s="41"/>
      <c r="M1773" s="41"/>
      <c r="N1773" s="41"/>
      <c r="O1773" s="41"/>
      <c r="P1773" s="28"/>
    </row>
    <row r="1774" customFormat="1" spans="1:16">
      <c r="A1774" s="39"/>
      <c r="B1774" s="40"/>
      <c r="C1774" s="41"/>
      <c r="D1774" s="41"/>
      <c r="E1774" s="41"/>
      <c r="F1774" s="41"/>
      <c r="G1774" s="41"/>
      <c r="H1774" s="41"/>
      <c r="I1774" s="41"/>
      <c r="J1774" s="41"/>
      <c r="K1774" s="41"/>
      <c r="L1774" s="41"/>
      <c r="M1774" s="41"/>
      <c r="N1774" s="41"/>
      <c r="O1774" s="41"/>
      <c r="P1774" s="28"/>
    </row>
    <row r="1775" customFormat="1" spans="1:16">
      <c r="A1775" s="39"/>
      <c r="B1775" s="40"/>
      <c r="C1775" s="41"/>
      <c r="D1775" s="41"/>
      <c r="E1775" s="41"/>
      <c r="F1775" s="41"/>
      <c r="G1775" s="41"/>
      <c r="H1775" s="41"/>
      <c r="I1775" s="41"/>
      <c r="J1775" s="41"/>
      <c r="K1775" s="41"/>
      <c r="L1775" s="41"/>
      <c r="M1775" s="41"/>
      <c r="N1775" s="41"/>
      <c r="O1775" s="41"/>
      <c r="P1775" s="28"/>
    </row>
    <row r="1776" customFormat="1" spans="1:16">
      <c r="A1776" s="39"/>
      <c r="B1776" s="40"/>
      <c r="C1776" s="41"/>
      <c r="D1776" s="41"/>
      <c r="E1776" s="41"/>
      <c r="F1776" s="41"/>
      <c r="G1776" s="41"/>
      <c r="H1776" s="41"/>
      <c r="I1776" s="41"/>
      <c r="J1776" s="41"/>
      <c r="K1776" s="41"/>
      <c r="L1776" s="41"/>
      <c r="M1776" s="41"/>
      <c r="N1776" s="41"/>
      <c r="O1776" s="41"/>
      <c r="P1776" s="28"/>
    </row>
    <row r="1777" customFormat="1" spans="1:16">
      <c r="A1777" s="39"/>
      <c r="B1777" s="40"/>
      <c r="C1777" s="41"/>
      <c r="D1777" s="41"/>
      <c r="E1777" s="41"/>
      <c r="F1777" s="41"/>
      <c r="G1777" s="41"/>
      <c r="H1777" s="41"/>
      <c r="I1777" s="41"/>
      <c r="J1777" s="41"/>
      <c r="K1777" s="41"/>
      <c r="L1777" s="41"/>
      <c r="M1777" s="41"/>
      <c r="N1777" s="41"/>
      <c r="O1777" s="41"/>
      <c r="P1777" s="28"/>
    </row>
    <row r="1778" customFormat="1" spans="1:16">
      <c r="A1778" s="39"/>
      <c r="B1778" s="40"/>
      <c r="C1778" s="41"/>
      <c r="D1778" s="41"/>
      <c r="E1778" s="41"/>
      <c r="F1778" s="41"/>
      <c r="G1778" s="41"/>
      <c r="H1778" s="41"/>
      <c r="I1778" s="41"/>
      <c r="J1778" s="41"/>
      <c r="K1778" s="41"/>
      <c r="L1778" s="41"/>
      <c r="M1778" s="41"/>
      <c r="N1778" s="41"/>
      <c r="O1778" s="41"/>
      <c r="P1778" s="28"/>
    </row>
    <row r="1779" customFormat="1" spans="1:16">
      <c r="A1779" s="39"/>
      <c r="B1779" s="40"/>
      <c r="C1779" s="41"/>
      <c r="D1779" s="41"/>
      <c r="E1779" s="41"/>
      <c r="F1779" s="41"/>
      <c r="G1779" s="41"/>
      <c r="H1779" s="41"/>
      <c r="I1779" s="41"/>
      <c r="J1779" s="41"/>
      <c r="K1779" s="41"/>
      <c r="L1779" s="41"/>
      <c r="M1779" s="41"/>
      <c r="N1779" s="41"/>
      <c r="O1779" s="41"/>
      <c r="P1779" s="28"/>
    </row>
    <row r="1780" customFormat="1" spans="1:16">
      <c r="A1780" s="39"/>
      <c r="B1780" s="40"/>
      <c r="C1780" s="41"/>
      <c r="D1780" s="41"/>
      <c r="E1780" s="41"/>
      <c r="F1780" s="41"/>
      <c r="G1780" s="41"/>
      <c r="H1780" s="41"/>
      <c r="I1780" s="41"/>
      <c r="J1780" s="41"/>
      <c r="K1780" s="41"/>
      <c r="L1780" s="41"/>
      <c r="M1780" s="41"/>
      <c r="N1780" s="41"/>
      <c r="O1780" s="41"/>
      <c r="P1780" s="28"/>
    </row>
    <row r="1781" customFormat="1" spans="1:16">
      <c r="A1781" s="39"/>
      <c r="B1781" s="40"/>
      <c r="C1781" s="41"/>
      <c r="D1781" s="41"/>
      <c r="E1781" s="41"/>
      <c r="F1781" s="41"/>
      <c r="G1781" s="41"/>
      <c r="H1781" s="41"/>
      <c r="I1781" s="41"/>
      <c r="J1781" s="41"/>
      <c r="K1781" s="41"/>
      <c r="L1781" s="41"/>
      <c r="M1781" s="41"/>
      <c r="N1781" s="41"/>
      <c r="O1781" s="41"/>
      <c r="P1781" s="28"/>
    </row>
    <row r="1782" customFormat="1" spans="1:16">
      <c r="A1782" s="39"/>
      <c r="B1782" s="40"/>
      <c r="C1782" s="41"/>
      <c r="D1782" s="41"/>
      <c r="E1782" s="41"/>
      <c r="F1782" s="41"/>
      <c r="G1782" s="41"/>
      <c r="H1782" s="41"/>
      <c r="I1782" s="41"/>
      <c r="J1782" s="41"/>
      <c r="K1782" s="41"/>
      <c r="L1782" s="41"/>
      <c r="M1782" s="41"/>
      <c r="N1782" s="41"/>
      <c r="O1782" s="41"/>
      <c r="P1782" s="28"/>
    </row>
    <row r="1783" customFormat="1" spans="1:16">
      <c r="A1783" s="39"/>
      <c r="B1783" s="40"/>
      <c r="C1783" s="41"/>
      <c r="D1783" s="41"/>
      <c r="E1783" s="41"/>
      <c r="F1783" s="41"/>
      <c r="G1783" s="41"/>
      <c r="H1783" s="41"/>
      <c r="I1783" s="41"/>
      <c r="J1783" s="41"/>
      <c r="K1783" s="41"/>
      <c r="L1783" s="41"/>
      <c r="M1783" s="41"/>
      <c r="N1783" s="41"/>
      <c r="O1783" s="41"/>
      <c r="P1783" s="28"/>
    </row>
    <row r="1784" customFormat="1" spans="1:16">
      <c r="A1784" s="39"/>
      <c r="B1784" s="40"/>
      <c r="C1784" s="41"/>
      <c r="D1784" s="41"/>
      <c r="E1784" s="41"/>
      <c r="F1784" s="41"/>
      <c r="G1784" s="41"/>
      <c r="H1784" s="41"/>
      <c r="I1784" s="41"/>
      <c r="J1784" s="41"/>
      <c r="K1784" s="41"/>
      <c r="L1784" s="41"/>
      <c r="M1784" s="41"/>
      <c r="N1784" s="41"/>
      <c r="O1784" s="41"/>
      <c r="P1784" s="28"/>
    </row>
    <row r="1785" customFormat="1" spans="1:16">
      <c r="A1785" s="39"/>
      <c r="B1785" s="40"/>
      <c r="C1785" s="41"/>
      <c r="D1785" s="41"/>
      <c r="E1785" s="41"/>
      <c r="F1785" s="41"/>
      <c r="G1785" s="41"/>
      <c r="H1785" s="41"/>
      <c r="I1785" s="41"/>
      <c r="J1785" s="41"/>
      <c r="K1785" s="41"/>
      <c r="L1785" s="41"/>
      <c r="M1785" s="41"/>
      <c r="N1785" s="41"/>
      <c r="O1785" s="41"/>
      <c r="P1785" s="28"/>
    </row>
    <row r="1786" customFormat="1" spans="1:16">
      <c r="A1786" s="39"/>
      <c r="B1786" s="40"/>
      <c r="C1786" s="41"/>
      <c r="D1786" s="41"/>
      <c r="E1786" s="41"/>
      <c r="F1786" s="41"/>
      <c r="G1786" s="41"/>
      <c r="H1786" s="41"/>
      <c r="I1786" s="41"/>
      <c r="J1786" s="41"/>
      <c r="K1786" s="41"/>
      <c r="L1786" s="41"/>
      <c r="M1786" s="41"/>
      <c r="N1786" s="41"/>
      <c r="O1786" s="41"/>
      <c r="P1786" s="28"/>
    </row>
    <row r="1787" customFormat="1" spans="1:16">
      <c r="A1787" s="39"/>
      <c r="B1787" s="40"/>
      <c r="C1787" s="41"/>
      <c r="D1787" s="41"/>
      <c r="E1787" s="41"/>
      <c r="F1787" s="41"/>
      <c r="G1787" s="41"/>
      <c r="H1787" s="41"/>
      <c r="I1787" s="41"/>
      <c r="J1787" s="41"/>
      <c r="K1787" s="41"/>
      <c r="L1787" s="41"/>
      <c r="M1787" s="41"/>
      <c r="N1787" s="41"/>
      <c r="O1787" s="41"/>
      <c r="P1787" s="28"/>
    </row>
    <row r="1788" customFormat="1" spans="1:16">
      <c r="A1788" s="39"/>
      <c r="B1788" s="40"/>
      <c r="C1788" s="41"/>
      <c r="D1788" s="41"/>
      <c r="E1788" s="41"/>
      <c r="F1788" s="41"/>
      <c r="G1788" s="41"/>
      <c r="H1788" s="41"/>
      <c r="I1788" s="41"/>
      <c r="J1788" s="41"/>
      <c r="K1788" s="41"/>
      <c r="L1788" s="41"/>
      <c r="M1788" s="41"/>
      <c r="N1788" s="41"/>
      <c r="O1788" s="41"/>
      <c r="P1788" s="28"/>
    </row>
    <row r="1789" customFormat="1" spans="1:16">
      <c r="A1789" s="39"/>
      <c r="B1789" s="40"/>
      <c r="C1789" s="41"/>
      <c r="D1789" s="41"/>
      <c r="E1789" s="41"/>
      <c r="F1789" s="41"/>
      <c r="G1789" s="41"/>
      <c r="H1789" s="41"/>
      <c r="I1789" s="41"/>
      <c r="J1789" s="41"/>
      <c r="K1789" s="41"/>
      <c r="L1789" s="41"/>
      <c r="M1789" s="41"/>
      <c r="N1789" s="41"/>
      <c r="O1789" s="41"/>
      <c r="P1789" s="28"/>
    </row>
    <row r="1790" customFormat="1" spans="1:16">
      <c r="A1790" s="39"/>
      <c r="B1790" s="40"/>
      <c r="C1790" s="41"/>
      <c r="D1790" s="41"/>
      <c r="E1790" s="41"/>
      <c r="F1790" s="41"/>
      <c r="G1790" s="41"/>
      <c r="H1790" s="41"/>
      <c r="I1790" s="41"/>
      <c r="J1790" s="41"/>
      <c r="K1790" s="41"/>
      <c r="L1790" s="41"/>
      <c r="M1790" s="41"/>
      <c r="N1790" s="41"/>
      <c r="O1790" s="41"/>
      <c r="P1790" s="28"/>
    </row>
    <row r="1791" customFormat="1" spans="1:16">
      <c r="A1791" s="39"/>
      <c r="B1791" s="40"/>
      <c r="C1791" s="41"/>
      <c r="D1791" s="41"/>
      <c r="E1791" s="41"/>
      <c r="F1791" s="41"/>
      <c r="G1791" s="41"/>
      <c r="H1791" s="41"/>
      <c r="I1791" s="41"/>
      <c r="J1791" s="41"/>
      <c r="K1791" s="41"/>
      <c r="L1791" s="41"/>
      <c r="M1791" s="41"/>
      <c r="N1791" s="41"/>
      <c r="O1791" s="41"/>
      <c r="P1791" s="28"/>
    </row>
    <row r="1792" customFormat="1" spans="1:16">
      <c r="A1792" s="39"/>
      <c r="B1792" s="40"/>
      <c r="C1792" s="41"/>
      <c r="D1792" s="41"/>
      <c r="E1792" s="41"/>
      <c r="F1792" s="41"/>
      <c r="G1792" s="41"/>
      <c r="H1792" s="41"/>
      <c r="I1792" s="41"/>
      <c r="J1792" s="41"/>
      <c r="K1792" s="41"/>
      <c r="L1792" s="41"/>
      <c r="M1792" s="41"/>
      <c r="N1792" s="41"/>
      <c r="O1792" s="41"/>
      <c r="P1792" s="28"/>
    </row>
    <row r="1793" customFormat="1" spans="1:16">
      <c r="A1793" s="39"/>
      <c r="B1793" s="40"/>
      <c r="C1793" s="41"/>
      <c r="D1793" s="41"/>
      <c r="E1793" s="41"/>
      <c r="F1793" s="41"/>
      <c r="G1793" s="41"/>
      <c r="H1793" s="41"/>
      <c r="I1793" s="41"/>
      <c r="J1793" s="41"/>
      <c r="K1793" s="41"/>
      <c r="L1793" s="41"/>
      <c r="M1793" s="41"/>
      <c r="N1793" s="41"/>
      <c r="O1793" s="41"/>
      <c r="P1793" s="28"/>
    </row>
    <row r="1794" customFormat="1" spans="1:16">
      <c r="A1794" s="39"/>
      <c r="B1794" s="40"/>
      <c r="C1794" s="41"/>
      <c r="D1794" s="41"/>
      <c r="E1794" s="41"/>
      <c r="F1794" s="41"/>
      <c r="G1794" s="41"/>
      <c r="H1794" s="41"/>
      <c r="I1794" s="41"/>
      <c r="J1794" s="41"/>
      <c r="K1794" s="41"/>
      <c r="L1794" s="41"/>
      <c r="M1794" s="41"/>
      <c r="N1794" s="41"/>
      <c r="O1794" s="41"/>
      <c r="P1794" s="28"/>
    </row>
    <row r="1795" customFormat="1" spans="1:16">
      <c r="A1795" s="39"/>
      <c r="B1795" s="40"/>
      <c r="C1795" s="41"/>
      <c r="D1795" s="41"/>
      <c r="E1795" s="41"/>
      <c r="F1795" s="41"/>
      <c r="G1795" s="41"/>
      <c r="H1795" s="41"/>
      <c r="I1795" s="41"/>
      <c r="J1795" s="41"/>
      <c r="K1795" s="41"/>
      <c r="L1795" s="41"/>
      <c r="M1795" s="41"/>
      <c r="N1795" s="41"/>
      <c r="O1795" s="41"/>
      <c r="P1795" s="28"/>
    </row>
    <row r="1796" customFormat="1" spans="1:16">
      <c r="A1796" s="39"/>
      <c r="B1796" s="40"/>
      <c r="C1796" s="41"/>
      <c r="D1796" s="41"/>
      <c r="E1796" s="41"/>
      <c r="F1796" s="41"/>
      <c r="G1796" s="41"/>
      <c r="H1796" s="41"/>
      <c r="I1796" s="41"/>
      <c r="J1796" s="41"/>
      <c r="K1796" s="41"/>
      <c r="L1796" s="41"/>
      <c r="M1796" s="41"/>
      <c r="N1796" s="41"/>
      <c r="O1796" s="41"/>
      <c r="P1796" s="28"/>
    </row>
    <row r="1797" customFormat="1" spans="1:16">
      <c r="A1797" s="39"/>
      <c r="B1797" s="40"/>
      <c r="C1797" s="41"/>
      <c r="D1797" s="41"/>
      <c r="E1797" s="41"/>
      <c r="F1797" s="41"/>
      <c r="G1797" s="41"/>
      <c r="H1797" s="41"/>
      <c r="I1797" s="41"/>
      <c r="J1797" s="41"/>
      <c r="K1797" s="41"/>
      <c r="L1797" s="41"/>
      <c r="M1797" s="41"/>
      <c r="N1797" s="41"/>
      <c r="O1797" s="41"/>
      <c r="P1797" s="28"/>
    </row>
    <row r="1798" customFormat="1" spans="1:16">
      <c r="A1798" s="39"/>
      <c r="B1798" s="40"/>
      <c r="C1798" s="41"/>
      <c r="D1798" s="41"/>
      <c r="E1798" s="41"/>
      <c r="F1798" s="41"/>
      <c r="G1798" s="41"/>
      <c r="H1798" s="41"/>
      <c r="I1798" s="41"/>
      <c r="J1798" s="41"/>
      <c r="K1798" s="41"/>
      <c r="L1798" s="41"/>
      <c r="M1798" s="41"/>
      <c r="N1798" s="41"/>
      <c r="O1798" s="41"/>
      <c r="P1798" s="28"/>
    </row>
    <row r="1799" customFormat="1" spans="1:16">
      <c r="A1799" s="39"/>
      <c r="B1799" s="40"/>
      <c r="C1799" s="41"/>
      <c r="D1799" s="41"/>
      <c r="E1799" s="41"/>
      <c r="F1799" s="41"/>
      <c r="G1799" s="41"/>
      <c r="H1799" s="41"/>
      <c r="I1799" s="41"/>
      <c r="J1799" s="41"/>
      <c r="K1799" s="41"/>
      <c r="L1799" s="41"/>
      <c r="M1799" s="41"/>
      <c r="N1799" s="41"/>
      <c r="O1799" s="41"/>
      <c r="P1799" s="28"/>
    </row>
    <row r="1800" customFormat="1" spans="1:16">
      <c r="A1800" s="39"/>
      <c r="B1800" s="40"/>
      <c r="C1800" s="41"/>
      <c r="D1800" s="41"/>
      <c r="E1800" s="41"/>
      <c r="F1800" s="41"/>
      <c r="G1800" s="41"/>
      <c r="H1800" s="41"/>
      <c r="I1800" s="41"/>
      <c r="J1800" s="41"/>
      <c r="K1800" s="41"/>
      <c r="L1800" s="41"/>
      <c r="M1800" s="41"/>
      <c r="N1800" s="41"/>
      <c r="O1800" s="41"/>
      <c r="P1800" s="28"/>
    </row>
    <row r="1801" customFormat="1" spans="1:16">
      <c r="A1801" s="39"/>
      <c r="B1801" s="40"/>
      <c r="C1801" s="41"/>
      <c r="D1801" s="41"/>
      <c r="E1801" s="41"/>
      <c r="F1801" s="41"/>
      <c r="G1801" s="41"/>
      <c r="H1801" s="41"/>
      <c r="I1801" s="41"/>
      <c r="J1801" s="41"/>
      <c r="K1801" s="41"/>
      <c r="L1801" s="41"/>
      <c r="M1801" s="41"/>
      <c r="N1801" s="41"/>
      <c r="O1801" s="41"/>
      <c r="P1801" s="28"/>
    </row>
    <row r="1802" customFormat="1" spans="1:16">
      <c r="A1802" s="39"/>
      <c r="B1802" s="40"/>
      <c r="C1802" s="41"/>
      <c r="D1802" s="41"/>
      <c r="E1802" s="41"/>
      <c r="F1802" s="41"/>
      <c r="G1802" s="41"/>
      <c r="H1802" s="41"/>
      <c r="I1802" s="41"/>
      <c r="J1802" s="41"/>
      <c r="K1802" s="41"/>
      <c r="L1802" s="41"/>
      <c r="M1802" s="41"/>
      <c r="N1802" s="41"/>
      <c r="O1802" s="41"/>
      <c r="P1802" s="28"/>
    </row>
    <row r="1803" customFormat="1" spans="1:16">
      <c r="A1803" s="39"/>
      <c r="B1803" s="40"/>
      <c r="C1803" s="41"/>
      <c r="D1803" s="41"/>
      <c r="E1803" s="41"/>
      <c r="F1803" s="41"/>
      <c r="G1803" s="41"/>
      <c r="H1803" s="41"/>
      <c r="I1803" s="41"/>
      <c r="J1803" s="41"/>
      <c r="K1803" s="41"/>
      <c r="L1803" s="41"/>
      <c r="M1803" s="41"/>
      <c r="N1803" s="41"/>
      <c r="O1803" s="41"/>
      <c r="P1803" s="28"/>
    </row>
    <row r="1804" customFormat="1" spans="1:16">
      <c r="A1804" s="39"/>
      <c r="B1804" s="40"/>
      <c r="C1804" s="41"/>
      <c r="D1804" s="41"/>
      <c r="E1804" s="41"/>
      <c r="F1804" s="41"/>
      <c r="G1804" s="41"/>
      <c r="H1804" s="41"/>
      <c r="I1804" s="41"/>
      <c r="J1804" s="41"/>
      <c r="K1804" s="41"/>
      <c r="L1804" s="41"/>
      <c r="M1804" s="41"/>
      <c r="N1804" s="41"/>
      <c r="O1804" s="41"/>
      <c r="P1804" s="28"/>
    </row>
    <row r="1805" customFormat="1" spans="1:16">
      <c r="A1805" s="39"/>
      <c r="B1805" s="40"/>
      <c r="C1805" s="41"/>
      <c r="D1805" s="41"/>
      <c r="E1805" s="41"/>
      <c r="F1805" s="41"/>
      <c r="G1805" s="41"/>
      <c r="H1805" s="41"/>
      <c r="I1805" s="41"/>
      <c r="J1805" s="41"/>
      <c r="K1805" s="41"/>
      <c r="L1805" s="41"/>
      <c r="M1805" s="41"/>
      <c r="N1805" s="41"/>
      <c r="O1805" s="41"/>
      <c r="P1805" s="28"/>
    </row>
    <row r="1806" customFormat="1" spans="1:16">
      <c r="A1806" s="39"/>
      <c r="B1806" s="40"/>
      <c r="C1806" s="41"/>
      <c r="D1806" s="41"/>
      <c r="E1806" s="41"/>
      <c r="F1806" s="41"/>
      <c r="G1806" s="41"/>
      <c r="H1806" s="41"/>
      <c r="I1806" s="41"/>
      <c r="J1806" s="41"/>
      <c r="K1806" s="41"/>
      <c r="L1806" s="41"/>
      <c r="M1806" s="41"/>
      <c r="N1806" s="41"/>
      <c r="O1806" s="41"/>
      <c r="P1806" s="28"/>
    </row>
    <row r="1807" customFormat="1" spans="1:16">
      <c r="A1807" s="39"/>
      <c r="B1807" s="40"/>
      <c r="C1807" s="41"/>
      <c r="D1807" s="41"/>
      <c r="E1807" s="41"/>
      <c r="F1807" s="41"/>
      <c r="G1807" s="41"/>
      <c r="H1807" s="41"/>
      <c r="I1807" s="41"/>
      <c r="J1807" s="41"/>
      <c r="K1807" s="41"/>
      <c r="L1807" s="41"/>
      <c r="M1807" s="41"/>
      <c r="N1807" s="41"/>
      <c r="O1807" s="41"/>
      <c r="P1807" s="28"/>
    </row>
    <row r="1808" customFormat="1" spans="1:16">
      <c r="A1808" s="39"/>
      <c r="B1808" s="40"/>
      <c r="C1808" s="41"/>
      <c r="D1808" s="41"/>
      <c r="E1808" s="41"/>
      <c r="F1808" s="41"/>
      <c r="G1808" s="41"/>
      <c r="H1808" s="41"/>
      <c r="I1808" s="41"/>
      <c r="J1808" s="41"/>
      <c r="K1808" s="41"/>
      <c r="L1808" s="41"/>
      <c r="M1808" s="41"/>
      <c r="N1808" s="41"/>
      <c r="O1808" s="41"/>
      <c r="P1808" s="28"/>
    </row>
    <row r="1809" customFormat="1" spans="1:16">
      <c r="A1809" s="39"/>
      <c r="B1809" s="40"/>
      <c r="C1809" s="41"/>
      <c r="D1809" s="41"/>
      <c r="E1809" s="41"/>
      <c r="F1809" s="41"/>
      <c r="G1809" s="41"/>
      <c r="H1809" s="41"/>
      <c r="I1809" s="41"/>
      <c r="J1809" s="41"/>
      <c r="K1809" s="41"/>
      <c r="L1809" s="41"/>
      <c r="M1809" s="41"/>
      <c r="N1809" s="41"/>
      <c r="O1809" s="41"/>
      <c r="P1809" s="28"/>
    </row>
    <row r="1810" customFormat="1" spans="1:16">
      <c r="A1810" s="39"/>
      <c r="B1810" s="40"/>
      <c r="C1810" s="41"/>
      <c r="D1810" s="41"/>
      <c r="E1810" s="41"/>
      <c r="F1810" s="41"/>
      <c r="G1810" s="41"/>
      <c r="H1810" s="41"/>
      <c r="I1810" s="41"/>
      <c r="J1810" s="41"/>
      <c r="K1810" s="41"/>
      <c r="L1810" s="41"/>
      <c r="M1810" s="41"/>
      <c r="N1810" s="41"/>
      <c r="O1810" s="41"/>
      <c r="P1810" s="28"/>
    </row>
    <row r="1811" customFormat="1" spans="1:16">
      <c r="A1811" s="39"/>
      <c r="B1811" s="40"/>
      <c r="C1811" s="41"/>
      <c r="D1811" s="41"/>
      <c r="E1811" s="41"/>
      <c r="F1811" s="41"/>
      <c r="G1811" s="41"/>
      <c r="H1811" s="41"/>
      <c r="I1811" s="41"/>
      <c r="J1811" s="41"/>
      <c r="K1811" s="41"/>
      <c r="L1811" s="41"/>
      <c r="M1811" s="41"/>
      <c r="N1811" s="41"/>
      <c r="O1811" s="41"/>
      <c r="P1811" s="28"/>
    </row>
    <row r="1812" customFormat="1" spans="1:16">
      <c r="A1812" s="39"/>
      <c r="B1812" s="40"/>
      <c r="C1812" s="41"/>
      <c r="D1812" s="41"/>
      <c r="E1812" s="41"/>
      <c r="F1812" s="41"/>
      <c r="G1812" s="41"/>
      <c r="H1812" s="41"/>
      <c r="I1812" s="41"/>
      <c r="J1812" s="41"/>
      <c r="K1812" s="41"/>
      <c r="L1812" s="41"/>
      <c r="M1812" s="41"/>
      <c r="N1812" s="41"/>
      <c r="O1812" s="41"/>
      <c r="P1812" s="28"/>
    </row>
    <row r="1813" customFormat="1" spans="1:16">
      <c r="A1813" s="39"/>
      <c r="B1813" s="40"/>
      <c r="C1813" s="41"/>
      <c r="D1813" s="41"/>
      <c r="E1813" s="41"/>
      <c r="F1813" s="41"/>
      <c r="G1813" s="41"/>
      <c r="H1813" s="41"/>
      <c r="I1813" s="41"/>
      <c r="J1813" s="41"/>
      <c r="K1813" s="41"/>
      <c r="L1813" s="41"/>
      <c r="M1813" s="41"/>
      <c r="N1813" s="41"/>
      <c r="O1813" s="41"/>
      <c r="P1813" s="28"/>
    </row>
    <row r="1814" customFormat="1" spans="1:16">
      <c r="A1814" s="39"/>
      <c r="B1814" s="40"/>
      <c r="C1814" s="41"/>
      <c r="D1814" s="41"/>
      <c r="E1814" s="41"/>
      <c r="F1814" s="41"/>
      <c r="G1814" s="41"/>
      <c r="H1814" s="41"/>
      <c r="I1814" s="41"/>
      <c r="J1814" s="41"/>
      <c r="K1814" s="41"/>
      <c r="L1814" s="41"/>
      <c r="M1814" s="41"/>
      <c r="N1814" s="41"/>
      <c r="O1814" s="41"/>
      <c r="P1814" s="28"/>
    </row>
    <row r="1815" customFormat="1" spans="1:16">
      <c r="A1815" s="39"/>
      <c r="B1815" s="40"/>
      <c r="C1815" s="41"/>
      <c r="D1815" s="41"/>
      <c r="E1815" s="41"/>
      <c r="F1815" s="41"/>
      <c r="G1815" s="41"/>
      <c r="H1815" s="41"/>
      <c r="I1815" s="41"/>
      <c r="J1815" s="41"/>
      <c r="K1815" s="41"/>
      <c r="L1815" s="41"/>
      <c r="M1815" s="41"/>
      <c r="N1815" s="41"/>
      <c r="O1815" s="41"/>
      <c r="P1815" s="28"/>
    </row>
    <row r="1816" customFormat="1" spans="1:16">
      <c r="A1816" s="39"/>
      <c r="B1816" s="40"/>
      <c r="C1816" s="41"/>
      <c r="D1816" s="41"/>
      <c r="E1816" s="41"/>
      <c r="F1816" s="41"/>
      <c r="G1816" s="41"/>
      <c r="H1816" s="41"/>
      <c r="I1816" s="41"/>
      <c r="J1816" s="41"/>
      <c r="K1816" s="41"/>
      <c r="L1816" s="41"/>
      <c r="M1816" s="41"/>
      <c r="N1816" s="41"/>
      <c r="O1816" s="41"/>
      <c r="P1816" s="28"/>
    </row>
    <row r="1817" customFormat="1" spans="1:16">
      <c r="A1817" s="39"/>
      <c r="B1817" s="40"/>
      <c r="C1817" s="41"/>
      <c r="D1817" s="41"/>
      <c r="E1817" s="41"/>
      <c r="F1817" s="41"/>
      <c r="G1817" s="41"/>
      <c r="H1817" s="41"/>
      <c r="I1817" s="41"/>
      <c r="J1817" s="41"/>
      <c r="K1817" s="41"/>
      <c r="L1817" s="41"/>
      <c r="M1817" s="41"/>
      <c r="N1817" s="41"/>
      <c r="O1817" s="41"/>
      <c r="P1817" s="28"/>
    </row>
    <row r="1818" customFormat="1" spans="1:16">
      <c r="A1818" s="39"/>
      <c r="B1818" s="40"/>
      <c r="C1818" s="41"/>
      <c r="D1818" s="41"/>
      <c r="E1818" s="41"/>
      <c r="F1818" s="41"/>
      <c r="G1818" s="41"/>
      <c r="H1818" s="41"/>
      <c r="I1818" s="41"/>
      <c r="J1818" s="41"/>
      <c r="K1818" s="41"/>
      <c r="L1818" s="41"/>
      <c r="M1818" s="41"/>
      <c r="N1818" s="41"/>
      <c r="O1818" s="41"/>
      <c r="P1818" s="28"/>
    </row>
    <row r="1819" customFormat="1" spans="1:16">
      <c r="A1819" s="39"/>
      <c r="B1819" s="40"/>
      <c r="C1819" s="41"/>
      <c r="D1819" s="41"/>
      <c r="E1819" s="41"/>
      <c r="F1819" s="41"/>
      <c r="G1819" s="41"/>
      <c r="H1819" s="41"/>
      <c r="I1819" s="41"/>
      <c r="J1819" s="41"/>
      <c r="K1819" s="41"/>
      <c r="L1819" s="41"/>
      <c r="M1819" s="41"/>
      <c r="N1819" s="41"/>
      <c r="O1819" s="41"/>
      <c r="P1819" s="28"/>
    </row>
    <row r="1820" customFormat="1" spans="1:16">
      <c r="A1820" s="39"/>
      <c r="B1820" s="40"/>
      <c r="C1820" s="41"/>
      <c r="D1820" s="41"/>
      <c r="E1820" s="41"/>
      <c r="F1820" s="41"/>
      <c r="G1820" s="41"/>
      <c r="H1820" s="41"/>
      <c r="I1820" s="41"/>
      <c r="J1820" s="41"/>
      <c r="K1820" s="41"/>
      <c r="L1820" s="41"/>
      <c r="M1820" s="41"/>
      <c r="N1820" s="41"/>
      <c r="O1820" s="41"/>
      <c r="P1820" s="28"/>
    </row>
    <row r="1821" customFormat="1" spans="1:16">
      <c r="A1821" s="39"/>
      <c r="B1821" s="40"/>
      <c r="C1821" s="41"/>
      <c r="D1821" s="41"/>
      <c r="E1821" s="41"/>
      <c r="F1821" s="41"/>
      <c r="G1821" s="41"/>
      <c r="H1821" s="41"/>
      <c r="I1821" s="41"/>
      <c r="J1821" s="41"/>
      <c r="K1821" s="41"/>
      <c r="L1821" s="41"/>
      <c r="M1821" s="41"/>
      <c r="N1821" s="41"/>
      <c r="O1821" s="41"/>
      <c r="P1821" s="28"/>
    </row>
    <row r="1822" customFormat="1" spans="1:16">
      <c r="A1822" s="39"/>
      <c r="B1822" s="40"/>
      <c r="C1822" s="41"/>
      <c r="D1822" s="41"/>
      <c r="E1822" s="41"/>
      <c r="F1822" s="41"/>
      <c r="G1822" s="41"/>
      <c r="H1822" s="41"/>
      <c r="I1822" s="41"/>
      <c r="J1822" s="41"/>
      <c r="K1822" s="41"/>
      <c r="L1822" s="41"/>
      <c r="M1822" s="41"/>
      <c r="N1822" s="41"/>
      <c r="O1822" s="41"/>
      <c r="P1822" s="28"/>
    </row>
    <row r="1823" customFormat="1" spans="1:16">
      <c r="A1823" s="39"/>
      <c r="B1823" s="40"/>
      <c r="C1823" s="41"/>
      <c r="D1823" s="41"/>
      <c r="E1823" s="41"/>
      <c r="F1823" s="41"/>
      <c r="G1823" s="41"/>
      <c r="H1823" s="41"/>
      <c r="I1823" s="41"/>
      <c r="J1823" s="41"/>
      <c r="K1823" s="41"/>
      <c r="L1823" s="41"/>
      <c r="M1823" s="41"/>
      <c r="N1823" s="41"/>
      <c r="O1823" s="41"/>
      <c r="P1823" s="28"/>
    </row>
    <row r="1824" customFormat="1" spans="1:16">
      <c r="A1824" s="39"/>
      <c r="B1824" s="40"/>
      <c r="C1824" s="41"/>
      <c r="D1824" s="41"/>
      <c r="E1824" s="41"/>
      <c r="F1824" s="41"/>
      <c r="G1824" s="41"/>
      <c r="H1824" s="41"/>
      <c r="I1824" s="41"/>
      <c r="J1824" s="41"/>
      <c r="K1824" s="41"/>
      <c r="L1824" s="41"/>
      <c r="M1824" s="41"/>
      <c r="N1824" s="41"/>
      <c r="O1824" s="41"/>
      <c r="P1824" s="28"/>
    </row>
    <row r="1825" customFormat="1" spans="1:16">
      <c r="A1825" s="39"/>
      <c r="B1825" s="40"/>
      <c r="C1825" s="41"/>
      <c r="D1825" s="41"/>
      <c r="E1825" s="41"/>
      <c r="F1825" s="41"/>
      <c r="G1825" s="41"/>
      <c r="H1825" s="41"/>
      <c r="I1825" s="41"/>
      <c r="J1825" s="41"/>
      <c r="K1825" s="41"/>
      <c r="L1825" s="41"/>
      <c r="M1825" s="41"/>
      <c r="N1825" s="41"/>
      <c r="O1825" s="41"/>
      <c r="P1825" s="28"/>
    </row>
    <row r="1826" customFormat="1" spans="1:16">
      <c r="A1826" s="39"/>
      <c r="B1826" s="40"/>
      <c r="C1826" s="41"/>
      <c r="D1826" s="41"/>
      <c r="E1826" s="41"/>
      <c r="F1826" s="41"/>
      <c r="G1826" s="41"/>
      <c r="H1826" s="41"/>
      <c r="I1826" s="41"/>
      <c r="J1826" s="41"/>
      <c r="K1826" s="41"/>
      <c r="L1826" s="41"/>
      <c r="M1826" s="41"/>
      <c r="N1826" s="41"/>
      <c r="O1826" s="41"/>
      <c r="P1826" s="28"/>
    </row>
    <row r="1827" customFormat="1" spans="1:16">
      <c r="A1827" s="39"/>
      <c r="B1827" s="40"/>
      <c r="C1827" s="41"/>
      <c r="D1827" s="41"/>
      <c r="E1827" s="41"/>
      <c r="F1827" s="41"/>
      <c r="G1827" s="41"/>
      <c r="H1827" s="41"/>
      <c r="I1827" s="41"/>
      <c r="J1827" s="41"/>
      <c r="K1827" s="41"/>
      <c r="L1827" s="41"/>
      <c r="M1827" s="41"/>
      <c r="N1827" s="41"/>
      <c r="O1827" s="41"/>
      <c r="P1827" s="28"/>
    </row>
    <row r="1828" customFormat="1" spans="1:16">
      <c r="A1828" s="39"/>
      <c r="B1828" s="40"/>
      <c r="C1828" s="41"/>
      <c r="D1828" s="41"/>
      <c r="E1828" s="41"/>
      <c r="F1828" s="41"/>
      <c r="G1828" s="41"/>
      <c r="H1828" s="41"/>
      <c r="I1828" s="41"/>
      <c r="J1828" s="41"/>
      <c r="K1828" s="41"/>
      <c r="L1828" s="41"/>
      <c r="M1828" s="41"/>
      <c r="N1828" s="41"/>
      <c r="O1828" s="41"/>
      <c r="P1828" s="28"/>
    </row>
    <row r="1829" customFormat="1" spans="1:16">
      <c r="A1829" s="39"/>
      <c r="B1829" s="40"/>
      <c r="C1829" s="41"/>
      <c r="D1829" s="41"/>
      <c r="E1829" s="41"/>
      <c r="F1829" s="41"/>
      <c r="G1829" s="41"/>
      <c r="H1829" s="41"/>
      <c r="I1829" s="41"/>
      <c r="J1829" s="41"/>
      <c r="K1829" s="41"/>
      <c r="L1829" s="41"/>
      <c r="M1829" s="41"/>
      <c r="N1829" s="41"/>
      <c r="O1829" s="41"/>
      <c r="P1829" s="28"/>
    </row>
    <row r="1830" customFormat="1" spans="1:16">
      <c r="A1830" s="39"/>
      <c r="B1830" s="40"/>
      <c r="C1830" s="41"/>
      <c r="D1830" s="41"/>
      <c r="E1830" s="41"/>
      <c r="F1830" s="41"/>
      <c r="G1830" s="41"/>
      <c r="H1830" s="41"/>
      <c r="I1830" s="41"/>
      <c r="J1830" s="41"/>
      <c r="K1830" s="41"/>
      <c r="L1830" s="41"/>
      <c r="M1830" s="41"/>
      <c r="N1830" s="41"/>
      <c r="O1830" s="41"/>
      <c r="P1830" s="28"/>
    </row>
    <row r="1831" customFormat="1" spans="1:16">
      <c r="A1831" s="39"/>
      <c r="B1831" s="40"/>
      <c r="C1831" s="41"/>
      <c r="D1831" s="41"/>
      <c r="E1831" s="41"/>
      <c r="F1831" s="41"/>
      <c r="G1831" s="41"/>
      <c r="H1831" s="41"/>
      <c r="I1831" s="41"/>
      <c r="J1831" s="41"/>
      <c r="K1831" s="41"/>
      <c r="L1831" s="41"/>
      <c r="M1831" s="41"/>
      <c r="N1831" s="41"/>
      <c r="O1831" s="41"/>
      <c r="P1831" s="28"/>
    </row>
    <row r="1832" customFormat="1" spans="1:16">
      <c r="A1832" s="39"/>
      <c r="B1832" s="40"/>
      <c r="C1832" s="41"/>
      <c r="D1832" s="41"/>
      <c r="E1832" s="41"/>
      <c r="F1832" s="41"/>
      <c r="G1832" s="41"/>
      <c r="H1832" s="41"/>
      <c r="I1832" s="41"/>
      <c r="J1832" s="41"/>
      <c r="K1832" s="41"/>
      <c r="L1832" s="41"/>
      <c r="M1832" s="41"/>
      <c r="N1832" s="41"/>
      <c r="O1832" s="41"/>
      <c r="P1832" s="28"/>
    </row>
    <row r="1833" customFormat="1" spans="1:16">
      <c r="A1833" s="39"/>
      <c r="B1833" s="40"/>
      <c r="C1833" s="41"/>
      <c r="D1833" s="41"/>
      <c r="E1833" s="41"/>
      <c r="F1833" s="41"/>
      <c r="G1833" s="41"/>
      <c r="H1833" s="41"/>
      <c r="I1833" s="41"/>
      <c r="J1833" s="41"/>
      <c r="K1833" s="41"/>
      <c r="L1833" s="41"/>
      <c r="M1833" s="41"/>
      <c r="N1833" s="41"/>
      <c r="O1833" s="41"/>
      <c r="P1833" s="28"/>
    </row>
    <row r="1834" customFormat="1" spans="1:16">
      <c r="A1834" s="39"/>
      <c r="B1834" s="40"/>
      <c r="C1834" s="41"/>
      <c r="D1834" s="41"/>
      <c r="E1834" s="41"/>
      <c r="F1834" s="41"/>
      <c r="G1834" s="41"/>
      <c r="H1834" s="41"/>
      <c r="I1834" s="41"/>
      <c r="J1834" s="41"/>
      <c r="K1834" s="41"/>
      <c r="L1834" s="41"/>
      <c r="M1834" s="41"/>
      <c r="N1834" s="41"/>
      <c r="O1834" s="41"/>
      <c r="P1834" s="28"/>
    </row>
    <row r="1835" customFormat="1" spans="1:16">
      <c r="A1835" s="39"/>
      <c r="B1835" s="40"/>
      <c r="C1835" s="41"/>
      <c r="D1835" s="41"/>
      <c r="E1835" s="41"/>
      <c r="F1835" s="41"/>
      <c r="G1835" s="41"/>
      <c r="H1835" s="41"/>
      <c r="I1835" s="41"/>
      <c r="J1835" s="41"/>
      <c r="K1835" s="41"/>
      <c r="L1835" s="41"/>
      <c r="M1835" s="41"/>
      <c r="N1835" s="41"/>
      <c r="O1835" s="41"/>
      <c r="P1835" s="28"/>
    </row>
    <row r="1836" customFormat="1" spans="1:16">
      <c r="A1836" s="39"/>
      <c r="B1836" s="40"/>
      <c r="C1836" s="41"/>
      <c r="D1836" s="41"/>
      <c r="E1836" s="41"/>
      <c r="F1836" s="41"/>
      <c r="G1836" s="41"/>
      <c r="H1836" s="41"/>
      <c r="I1836" s="41"/>
      <c r="J1836" s="41"/>
      <c r="K1836" s="41"/>
      <c r="L1836" s="41"/>
      <c r="M1836" s="41"/>
      <c r="N1836" s="41"/>
      <c r="O1836" s="41"/>
      <c r="P1836" s="28"/>
    </row>
    <row r="1837" customFormat="1" spans="1:16">
      <c r="A1837" s="39"/>
      <c r="B1837" s="40"/>
      <c r="C1837" s="41"/>
      <c r="D1837" s="41"/>
      <c r="E1837" s="41"/>
      <c r="F1837" s="41"/>
      <c r="G1837" s="41"/>
      <c r="H1837" s="41"/>
      <c r="I1837" s="41"/>
      <c r="J1837" s="41"/>
      <c r="K1837" s="41"/>
      <c r="L1837" s="41"/>
      <c r="M1837" s="41"/>
      <c r="N1837" s="41"/>
      <c r="O1837" s="41"/>
      <c r="P1837" s="28"/>
    </row>
    <row r="1838" customFormat="1" spans="1:16">
      <c r="A1838" s="39"/>
      <c r="B1838" s="40"/>
      <c r="C1838" s="41"/>
      <c r="D1838" s="41"/>
      <c r="E1838" s="41"/>
      <c r="F1838" s="41"/>
      <c r="G1838" s="41"/>
      <c r="H1838" s="41"/>
      <c r="I1838" s="41"/>
      <c r="J1838" s="41"/>
      <c r="K1838" s="41"/>
      <c r="L1838" s="41"/>
      <c r="M1838" s="41"/>
      <c r="N1838" s="41"/>
      <c r="O1838" s="41"/>
      <c r="P1838" s="28"/>
    </row>
    <row r="1839" customFormat="1" spans="1:16">
      <c r="A1839" s="39"/>
      <c r="B1839" s="40"/>
      <c r="C1839" s="41"/>
      <c r="D1839" s="41"/>
      <c r="E1839" s="41"/>
      <c r="F1839" s="41"/>
      <c r="G1839" s="41"/>
      <c r="H1839" s="41"/>
      <c r="I1839" s="41"/>
      <c r="J1839" s="41"/>
      <c r="K1839" s="41"/>
      <c r="L1839" s="41"/>
      <c r="M1839" s="41"/>
      <c r="N1839" s="41"/>
      <c r="O1839" s="41"/>
      <c r="P1839" s="28"/>
    </row>
    <row r="1840" customFormat="1" spans="1:16">
      <c r="A1840" s="39"/>
      <c r="B1840" s="40"/>
      <c r="C1840" s="41"/>
      <c r="D1840" s="41"/>
      <c r="E1840" s="41"/>
      <c r="F1840" s="41"/>
      <c r="G1840" s="41"/>
      <c r="H1840" s="41"/>
      <c r="I1840" s="41"/>
      <c r="J1840" s="41"/>
      <c r="K1840" s="41"/>
      <c r="L1840" s="41"/>
      <c r="M1840" s="41"/>
      <c r="N1840" s="41"/>
      <c r="O1840" s="41"/>
      <c r="P1840" s="28"/>
    </row>
    <row r="1841" customFormat="1" spans="1:16">
      <c r="A1841" s="39"/>
      <c r="B1841" s="40"/>
      <c r="C1841" s="41"/>
      <c r="D1841" s="41"/>
      <c r="E1841" s="41"/>
      <c r="F1841" s="41"/>
      <c r="G1841" s="41"/>
      <c r="H1841" s="41"/>
      <c r="I1841" s="41"/>
      <c r="J1841" s="41"/>
      <c r="K1841" s="41"/>
      <c r="L1841" s="41"/>
      <c r="M1841" s="41"/>
      <c r="N1841" s="41"/>
      <c r="O1841" s="41"/>
      <c r="P1841" s="28"/>
    </row>
    <row r="1842" customFormat="1" spans="1:16">
      <c r="A1842" s="39"/>
      <c r="B1842" s="40"/>
      <c r="C1842" s="41"/>
      <c r="D1842" s="41"/>
      <c r="E1842" s="41"/>
      <c r="F1842" s="41"/>
      <c r="G1842" s="41"/>
      <c r="H1842" s="41"/>
      <c r="I1842" s="41"/>
      <c r="J1842" s="41"/>
      <c r="K1842" s="41"/>
      <c r="L1842" s="41"/>
      <c r="M1842" s="41"/>
      <c r="N1842" s="41"/>
      <c r="O1842" s="41"/>
      <c r="P1842" s="28"/>
    </row>
    <row r="1843" customFormat="1" spans="1:16">
      <c r="A1843" s="39"/>
      <c r="B1843" s="40"/>
      <c r="C1843" s="41"/>
      <c r="D1843" s="41"/>
      <c r="E1843" s="41"/>
      <c r="F1843" s="41"/>
      <c r="G1843" s="41"/>
      <c r="H1843" s="41"/>
      <c r="I1843" s="41"/>
      <c r="J1843" s="41"/>
      <c r="K1843" s="41"/>
      <c r="L1843" s="41"/>
      <c r="M1843" s="41"/>
      <c r="N1843" s="41"/>
      <c r="O1843" s="41"/>
      <c r="P1843" s="28"/>
    </row>
    <row r="1844" customFormat="1" spans="1:16">
      <c r="A1844" s="39"/>
      <c r="B1844" s="40"/>
      <c r="C1844" s="41"/>
      <c r="D1844" s="41"/>
      <c r="E1844" s="41"/>
      <c r="F1844" s="41"/>
      <c r="G1844" s="41"/>
      <c r="H1844" s="41"/>
      <c r="I1844" s="41"/>
      <c r="J1844" s="41"/>
      <c r="K1844" s="41"/>
      <c r="L1844" s="41"/>
      <c r="M1844" s="41"/>
      <c r="N1844" s="41"/>
      <c r="O1844" s="41"/>
      <c r="P1844" s="28"/>
    </row>
    <row r="1845" customFormat="1" spans="1:16">
      <c r="A1845" s="39"/>
      <c r="B1845" s="40"/>
      <c r="C1845" s="41"/>
      <c r="D1845" s="41"/>
      <c r="E1845" s="41"/>
      <c r="F1845" s="41"/>
      <c r="G1845" s="41"/>
      <c r="H1845" s="41"/>
      <c r="I1845" s="41"/>
      <c r="J1845" s="41"/>
      <c r="K1845" s="41"/>
      <c r="L1845" s="41"/>
      <c r="M1845" s="41"/>
      <c r="N1845" s="41"/>
      <c r="O1845" s="41"/>
      <c r="P1845" s="28"/>
    </row>
    <row r="1846" customFormat="1" spans="1:16">
      <c r="A1846" s="39"/>
      <c r="B1846" s="40"/>
      <c r="C1846" s="41"/>
      <c r="D1846" s="41"/>
      <c r="E1846" s="41"/>
      <c r="F1846" s="41"/>
      <c r="G1846" s="41"/>
      <c r="H1846" s="41"/>
      <c r="I1846" s="41"/>
      <c r="J1846" s="41"/>
      <c r="K1846" s="41"/>
      <c r="L1846" s="41"/>
      <c r="M1846" s="41"/>
      <c r="N1846" s="41"/>
      <c r="O1846" s="41"/>
      <c r="P1846" s="28"/>
    </row>
    <row r="1847" customFormat="1" spans="1:16">
      <c r="A1847" s="39"/>
      <c r="B1847" s="40"/>
      <c r="C1847" s="41"/>
      <c r="D1847" s="41"/>
      <c r="E1847" s="41"/>
      <c r="F1847" s="41"/>
      <c r="G1847" s="41"/>
      <c r="H1847" s="41"/>
      <c r="I1847" s="41"/>
      <c r="J1847" s="41"/>
      <c r="K1847" s="41"/>
      <c r="L1847" s="41"/>
      <c r="M1847" s="41"/>
      <c r="N1847" s="41"/>
      <c r="O1847" s="41"/>
      <c r="P1847" s="28"/>
    </row>
    <row r="1848" customFormat="1" spans="1:16">
      <c r="A1848" s="39"/>
      <c r="B1848" s="40"/>
      <c r="C1848" s="41"/>
      <c r="D1848" s="41"/>
      <c r="E1848" s="41"/>
      <c r="F1848" s="41"/>
      <c r="G1848" s="41"/>
      <c r="H1848" s="41"/>
      <c r="I1848" s="41"/>
      <c r="J1848" s="41"/>
      <c r="K1848" s="41"/>
      <c r="L1848" s="41"/>
      <c r="M1848" s="41"/>
      <c r="N1848" s="41"/>
      <c r="O1848" s="41"/>
      <c r="P1848" s="28"/>
    </row>
    <row r="1849" customFormat="1" spans="1:16">
      <c r="A1849" s="39"/>
      <c r="B1849" s="40"/>
      <c r="C1849" s="41"/>
      <c r="D1849" s="41"/>
      <c r="E1849" s="41"/>
      <c r="F1849" s="41"/>
      <c r="G1849" s="41"/>
      <c r="H1849" s="41"/>
      <c r="I1849" s="41"/>
      <c r="J1849" s="41"/>
      <c r="K1849" s="41"/>
      <c r="L1849" s="41"/>
      <c r="M1849" s="41"/>
      <c r="N1849" s="41"/>
      <c r="O1849" s="41"/>
      <c r="P1849" s="28"/>
    </row>
    <row r="1850" customFormat="1" spans="1:16">
      <c r="A1850" s="39"/>
      <c r="B1850" s="40"/>
      <c r="C1850" s="41"/>
      <c r="D1850" s="41"/>
      <c r="E1850" s="41"/>
      <c r="F1850" s="41"/>
      <c r="G1850" s="41"/>
      <c r="H1850" s="41"/>
      <c r="I1850" s="41"/>
      <c r="J1850" s="41"/>
      <c r="K1850" s="41"/>
      <c r="L1850" s="41"/>
      <c r="M1850" s="41"/>
      <c r="N1850" s="41"/>
      <c r="O1850" s="41"/>
      <c r="P1850" s="28"/>
    </row>
    <row r="1851" customFormat="1" spans="1:16">
      <c r="A1851" s="39"/>
      <c r="B1851" s="40"/>
      <c r="C1851" s="41"/>
      <c r="D1851" s="41"/>
      <c r="E1851" s="41"/>
      <c r="F1851" s="41"/>
      <c r="G1851" s="41"/>
      <c r="H1851" s="41"/>
      <c r="I1851" s="41"/>
      <c r="J1851" s="41"/>
      <c r="K1851" s="41"/>
      <c r="L1851" s="41"/>
      <c r="M1851" s="41"/>
      <c r="N1851" s="41"/>
      <c r="O1851" s="41"/>
      <c r="P1851" s="28"/>
    </row>
    <row r="1852" customFormat="1" spans="1:16">
      <c r="A1852" s="39"/>
      <c r="B1852" s="40"/>
      <c r="C1852" s="41"/>
      <c r="D1852" s="41"/>
      <c r="E1852" s="41"/>
      <c r="F1852" s="41"/>
      <c r="G1852" s="41"/>
      <c r="H1852" s="41"/>
      <c r="I1852" s="41"/>
      <c r="J1852" s="41"/>
      <c r="K1852" s="41"/>
      <c r="L1852" s="41"/>
      <c r="M1852" s="41"/>
      <c r="N1852" s="41"/>
      <c r="O1852" s="41"/>
      <c r="P1852" s="28"/>
    </row>
    <row r="1853" customFormat="1" spans="1:16">
      <c r="A1853" s="39"/>
      <c r="B1853" s="40"/>
      <c r="C1853" s="41"/>
      <c r="D1853" s="41"/>
      <c r="E1853" s="41"/>
      <c r="F1853" s="41"/>
      <c r="G1853" s="41"/>
      <c r="H1853" s="41"/>
      <c r="I1853" s="41"/>
      <c r="J1853" s="41"/>
      <c r="K1853" s="41"/>
      <c r="L1853" s="41"/>
      <c r="M1853" s="41"/>
      <c r="N1853" s="41"/>
      <c r="O1853" s="41"/>
      <c r="P1853" s="28"/>
    </row>
    <row r="1854" customFormat="1" spans="1:16">
      <c r="A1854" s="39"/>
      <c r="B1854" s="40"/>
      <c r="C1854" s="41"/>
      <c r="D1854" s="41"/>
      <c r="E1854" s="41"/>
      <c r="F1854" s="41"/>
      <c r="G1854" s="41"/>
      <c r="H1854" s="41"/>
      <c r="I1854" s="41"/>
      <c r="J1854" s="41"/>
      <c r="K1854" s="41"/>
      <c r="L1854" s="41"/>
      <c r="M1854" s="41"/>
      <c r="N1854" s="41"/>
      <c r="O1854" s="41"/>
      <c r="P1854" s="28"/>
    </row>
    <row r="1855" customFormat="1" spans="1:16">
      <c r="A1855" s="39"/>
      <c r="B1855" s="40"/>
      <c r="C1855" s="41"/>
      <c r="D1855" s="41"/>
      <c r="E1855" s="41"/>
      <c r="F1855" s="41"/>
      <c r="G1855" s="41"/>
      <c r="H1855" s="41"/>
      <c r="I1855" s="41"/>
      <c r="J1855" s="41"/>
      <c r="K1855" s="41"/>
      <c r="L1855" s="41"/>
      <c r="M1855" s="41"/>
      <c r="N1855" s="41"/>
      <c r="O1855" s="41"/>
      <c r="P1855" s="28"/>
    </row>
    <row r="1856" customFormat="1" spans="1:16">
      <c r="A1856" s="39"/>
      <c r="B1856" s="40"/>
      <c r="C1856" s="41"/>
      <c r="D1856" s="41"/>
      <c r="E1856" s="41"/>
      <c r="F1856" s="41"/>
      <c r="G1856" s="41"/>
      <c r="H1856" s="41"/>
      <c r="I1856" s="41"/>
      <c r="J1856" s="41"/>
      <c r="K1856" s="41"/>
      <c r="L1856" s="41"/>
      <c r="M1856" s="41"/>
      <c r="N1856" s="41"/>
      <c r="O1856" s="41"/>
      <c r="P1856" s="28"/>
    </row>
    <row r="1857" customFormat="1" spans="1:16">
      <c r="A1857" s="39"/>
      <c r="B1857" s="40"/>
      <c r="C1857" s="41"/>
      <c r="D1857" s="41"/>
      <c r="E1857" s="41"/>
      <c r="F1857" s="41"/>
      <c r="G1857" s="41"/>
      <c r="H1857" s="41"/>
      <c r="I1857" s="41"/>
      <c r="J1857" s="41"/>
      <c r="K1857" s="41"/>
      <c r="L1857" s="41"/>
      <c r="M1857" s="41"/>
      <c r="N1857" s="41"/>
      <c r="O1857" s="41"/>
      <c r="P1857" s="28"/>
    </row>
    <row r="1858" customFormat="1" spans="1:16">
      <c r="A1858" s="39"/>
      <c r="B1858" s="40"/>
      <c r="C1858" s="41"/>
      <c r="D1858" s="41"/>
      <c r="E1858" s="41"/>
      <c r="F1858" s="41"/>
      <c r="G1858" s="41"/>
      <c r="H1858" s="41"/>
      <c r="I1858" s="41"/>
      <c r="J1858" s="41"/>
      <c r="K1858" s="41"/>
      <c r="L1858" s="41"/>
      <c r="M1858" s="41"/>
      <c r="N1858" s="41"/>
      <c r="O1858" s="41"/>
      <c r="P1858" s="28"/>
    </row>
    <row r="1859" customFormat="1" spans="1:16">
      <c r="A1859" s="39"/>
      <c r="B1859" s="40"/>
      <c r="C1859" s="41"/>
      <c r="D1859" s="41"/>
      <c r="E1859" s="41"/>
      <c r="F1859" s="41"/>
      <c r="G1859" s="41"/>
      <c r="H1859" s="41"/>
      <c r="I1859" s="41"/>
      <c r="J1859" s="41"/>
      <c r="K1859" s="41"/>
      <c r="L1859" s="41"/>
      <c r="M1859" s="41"/>
      <c r="N1859" s="41"/>
      <c r="O1859" s="41"/>
      <c r="P1859" s="28"/>
    </row>
    <row r="1860" customFormat="1" spans="1:16">
      <c r="A1860" s="39"/>
      <c r="B1860" s="40"/>
      <c r="C1860" s="41"/>
      <c r="D1860" s="41"/>
      <c r="E1860" s="41"/>
      <c r="F1860" s="41"/>
      <c r="G1860" s="41"/>
      <c r="H1860" s="41"/>
      <c r="I1860" s="41"/>
      <c r="J1860" s="41"/>
      <c r="K1860" s="41"/>
      <c r="L1860" s="41"/>
      <c r="M1860" s="41"/>
      <c r="N1860" s="41"/>
      <c r="O1860" s="41"/>
      <c r="P1860" s="28"/>
    </row>
    <row r="1861" customFormat="1" spans="1:16">
      <c r="A1861" s="39"/>
      <c r="B1861" s="40"/>
      <c r="C1861" s="41"/>
      <c r="D1861" s="41"/>
      <c r="E1861" s="41"/>
      <c r="F1861" s="41"/>
      <c r="G1861" s="41"/>
      <c r="H1861" s="41"/>
      <c r="I1861" s="41"/>
      <c r="J1861" s="41"/>
      <c r="K1861" s="41"/>
      <c r="L1861" s="41"/>
      <c r="M1861" s="41"/>
      <c r="N1861" s="41"/>
      <c r="O1861" s="41"/>
      <c r="P1861" s="28"/>
    </row>
    <row r="1862" customFormat="1" spans="1:16">
      <c r="A1862" s="39"/>
      <c r="B1862" s="40"/>
      <c r="C1862" s="41"/>
      <c r="D1862" s="41"/>
      <c r="E1862" s="41"/>
      <c r="F1862" s="41"/>
      <c r="G1862" s="41"/>
      <c r="H1862" s="41"/>
      <c r="I1862" s="41"/>
      <c r="J1862" s="41"/>
      <c r="K1862" s="41"/>
      <c r="L1862" s="41"/>
      <c r="M1862" s="41"/>
      <c r="N1862" s="41"/>
      <c r="O1862" s="41"/>
      <c r="P1862" s="28"/>
    </row>
    <row r="1863" customFormat="1" spans="1:16">
      <c r="A1863" s="39"/>
      <c r="B1863" s="40"/>
      <c r="C1863" s="41"/>
      <c r="D1863" s="41"/>
      <c r="E1863" s="41"/>
      <c r="F1863" s="41"/>
      <c r="G1863" s="41"/>
      <c r="H1863" s="41"/>
      <c r="I1863" s="41"/>
      <c r="J1863" s="41"/>
      <c r="K1863" s="41"/>
      <c r="L1863" s="41"/>
      <c r="M1863" s="41"/>
      <c r="N1863" s="41"/>
      <c r="O1863" s="41"/>
      <c r="P1863" s="28"/>
    </row>
    <row r="1864" customFormat="1" spans="1:16">
      <c r="A1864" s="39"/>
      <c r="B1864" s="40"/>
      <c r="C1864" s="41"/>
      <c r="D1864" s="41"/>
      <c r="E1864" s="41"/>
      <c r="F1864" s="41"/>
      <c r="G1864" s="41"/>
      <c r="H1864" s="41"/>
      <c r="I1864" s="41"/>
      <c r="J1864" s="41"/>
      <c r="K1864" s="41"/>
      <c r="L1864" s="41"/>
      <c r="M1864" s="41"/>
      <c r="N1864" s="41"/>
      <c r="O1864" s="41"/>
      <c r="P1864" s="28"/>
    </row>
    <row r="1865" customFormat="1" spans="1:16">
      <c r="A1865" s="39"/>
      <c r="B1865" s="40"/>
      <c r="C1865" s="41"/>
      <c r="D1865" s="41"/>
      <c r="E1865" s="41"/>
      <c r="F1865" s="41"/>
      <c r="G1865" s="41"/>
      <c r="H1865" s="41"/>
      <c r="I1865" s="41"/>
      <c r="J1865" s="41"/>
      <c r="K1865" s="41"/>
      <c r="L1865" s="41"/>
      <c r="M1865" s="41"/>
      <c r="N1865" s="41"/>
      <c r="O1865" s="41"/>
      <c r="P1865" s="28"/>
    </row>
    <row r="1866" customFormat="1" spans="1:16">
      <c r="A1866" s="39"/>
      <c r="B1866" s="40"/>
      <c r="C1866" s="41"/>
      <c r="D1866" s="41"/>
      <c r="E1866" s="41"/>
      <c r="F1866" s="41"/>
      <c r="G1866" s="41"/>
      <c r="H1866" s="41"/>
      <c r="I1866" s="41"/>
      <c r="J1866" s="41"/>
      <c r="K1866" s="41"/>
      <c r="L1866" s="41"/>
      <c r="M1866" s="41"/>
      <c r="N1866" s="41"/>
      <c r="O1866" s="41"/>
      <c r="P1866" s="28"/>
    </row>
    <row r="1867" customFormat="1" spans="1:16">
      <c r="A1867" s="39"/>
      <c r="B1867" s="40"/>
      <c r="C1867" s="41"/>
      <c r="D1867" s="41"/>
      <c r="E1867" s="41"/>
      <c r="F1867" s="41"/>
      <c r="G1867" s="41"/>
      <c r="H1867" s="41"/>
      <c r="I1867" s="41"/>
      <c r="J1867" s="41"/>
      <c r="K1867" s="41"/>
      <c r="L1867" s="41"/>
      <c r="M1867" s="41"/>
      <c r="N1867" s="41"/>
      <c r="O1867" s="41"/>
      <c r="P1867" s="28"/>
    </row>
    <row r="1868" customFormat="1" spans="1:16">
      <c r="A1868" s="39"/>
      <c r="B1868" s="40"/>
      <c r="C1868" s="41"/>
      <c r="D1868" s="41"/>
      <c r="E1868" s="41"/>
      <c r="F1868" s="41"/>
      <c r="G1868" s="41"/>
      <c r="H1868" s="41"/>
      <c r="I1868" s="41"/>
      <c r="J1868" s="41"/>
      <c r="K1868" s="41"/>
      <c r="L1868" s="41"/>
      <c r="M1868" s="41"/>
      <c r="N1868" s="41"/>
      <c r="O1868" s="41"/>
      <c r="P1868" s="28"/>
    </row>
    <row r="1869" customFormat="1" spans="1:16">
      <c r="A1869" s="39"/>
      <c r="B1869" s="40"/>
      <c r="C1869" s="41"/>
      <c r="D1869" s="41"/>
      <c r="E1869" s="41"/>
      <c r="F1869" s="41"/>
      <c r="G1869" s="41"/>
      <c r="H1869" s="41"/>
      <c r="I1869" s="41"/>
      <c r="J1869" s="41"/>
      <c r="K1869" s="41"/>
      <c r="L1869" s="41"/>
      <c r="M1869" s="41"/>
      <c r="N1869" s="41"/>
      <c r="O1869" s="41"/>
      <c r="P1869" s="28"/>
    </row>
    <row r="1870" customFormat="1" spans="1:16">
      <c r="A1870" s="39"/>
      <c r="B1870" s="40"/>
      <c r="C1870" s="41"/>
      <c r="D1870" s="41"/>
      <c r="E1870" s="41"/>
      <c r="F1870" s="41"/>
      <c r="G1870" s="41"/>
      <c r="H1870" s="41"/>
      <c r="I1870" s="41"/>
      <c r="J1870" s="41"/>
      <c r="K1870" s="41"/>
      <c r="L1870" s="41"/>
      <c r="M1870" s="41"/>
      <c r="N1870" s="41"/>
      <c r="O1870" s="41"/>
      <c r="P1870" s="28"/>
    </row>
    <row r="1871" customFormat="1" spans="1:16">
      <c r="A1871" s="39"/>
      <c r="B1871" s="40"/>
      <c r="C1871" s="41"/>
      <c r="D1871" s="41"/>
      <c r="E1871" s="41"/>
      <c r="F1871" s="41"/>
      <c r="G1871" s="41"/>
      <c r="H1871" s="41"/>
      <c r="I1871" s="41"/>
      <c r="J1871" s="41"/>
      <c r="K1871" s="41"/>
      <c r="L1871" s="41"/>
      <c r="M1871" s="41"/>
      <c r="N1871" s="41"/>
      <c r="O1871" s="41"/>
      <c r="P1871" s="28"/>
    </row>
    <row r="1872" customFormat="1" spans="1:16">
      <c r="A1872" s="39"/>
      <c r="B1872" s="40"/>
      <c r="C1872" s="41"/>
      <c r="D1872" s="41"/>
      <c r="E1872" s="41"/>
      <c r="F1872" s="41"/>
      <c r="G1872" s="41"/>
      <c r="H1872" s="41"/>
      <c r="I1872" s="41"/>
      <c r="J1872" s="41"/>
      <c r="K1872" s="41"/>
      <c r="L1872" s="41"/>
      <c r="M1872" s="41"/>
      <c r="N1872" s="41"/>
      <c r="O1872" s="41"/>
      <c r="P1872" s="28"/>
    </row>
    <row r="1873" customFormat="1" spans="1:16">
      <c r="A1873" s="39"/>
      <c r="B1873" s="40"/>
      <c r="C1873" s="41"/>
      <c r="D1873" s="41"/>
      <c r="E1873" s="41"/>
      <c r="F1873" s="41"/>
      <c r="G1873" s="41"/>
      <c r="H1873" s="41"/>
      <c r="I1873" s="41"/>
      <c r="J1873" s="41"/>
      <c r="K1873" s="41"/>
      <c r="L1873" s="41"/>
      <c r="M1873" s="41"/>
      <c r="N1873" s="41"/>
      <c r="O1873" s="41"/>
      <c r="P1873" s="28"/>
    </row>
    <row r="1874" customFormat="1" spans="1:16">
      <c r="A1874" s="39"/>
      <c r="B1874" s="40"/>
      <c r="C1874" s="41"/>
      <c r="D1874" s="41"/>
      <c r="E1874" s="41"/>
      <c r="F1874" s="41"/>
      <c r="G1874" s="41"/>
      <c r="H1874" s="41"/>
      <c r="I1874" s="41"/>
      <c r="J1874" s="41"/>
      <c r="K1874" s="41"/>
      <c r="L1874" s="41"/>
      <c r="M1874" s="41"/>
      <c r="N1874" s="41"/>
      <c r="O1874" s="41"/>
      <c r="P1874" s="28"/>
    </row>
    <row r="1875" customFormat="1" spans="1:16">
      <c r="A1875" s="39"/>
      <c r="B1875" s="40"/>
      <c r="C1875" s="41"/>
      <c r="D1875" s="41"/>
      <c r="E1875" s="41"/>
      <c r="F1875" s="41"/>
      <c r="G1875" s="41"/>
      <c r="H1875" s="41"/>
      <c r="I1875" s="41"/>
      <c r="J1875" s="41"/>
      <c r="K1875" s="41"/>
      <c r="L1875" s="41"/>
      <c r="M1875" s="41"/>
      <c r="N1875" s="41"/>
      <c r="O1875" s="41"/>
      <c r="P1875" s="28"/>
    </row>
    <row r="1876" customFormat="1" spans="1:16">
      <c r="A1876" s="39"/>
      <c r="B1876" s="40"/>
      <c r="C1876" s="41"/>
      <c r="D1876" s="41"/>
      <c r="E1876" s="41"/>
      <c r="F1876" s="41"/>
      <c r="G1876" s="41"/>
      <c r="H1876" s="41"/>
      <c r="I1876" s="41"/>
      <c r="J1876" s="41"/>
      <c r="K1876" s="41"/>
      <c r="L1876" s="41"/>
      <c r="M1876" s="41"/>
      <c r="N1876" s="41"/>
      <c r="O1876" s="41"/>
      <c r="P1876" s="28"/>
    </row>
    <row r="1877" customFormat="1" spans="1:16">
      <c r="A1877" s="39"/>
      <c r="B1877" s="40"/>
      <c r="C1877" s="41"/>
      <c r="D1877" s="41"/>
      <c r="E1877" s="41"/>
      <c r="F1877" s="41"/>
      <c r="G1877" s="41"/>
      <c r="H1877" s="41"/>
      <c r="I1877" s="41"/>
      <c r="J1877" s="41"/>
      <c r="K1877" s="41"/>
      <c r="L1877" s="41"/>
      <c r="M1877" s="41"/>
      <c r="N1877" s="41"/>
      <c r="O1877" s="41"/>
      <c r="P1877" s="28"/>
    </row>
    <row r="1878" customFormat="1" spans="1:16">
      <c r="A1878" s="39"/>
      <c r="B1878" s="40"/>
      <c r="C1878" s="41"/>
      <c r="D1878" s="41"/>
      <c r="E1878" s="41"/>
      <c r="F1878" s="41"/>
      <c r="G1878" s="41"/>
      <c r="H1878" s="41"/>
      <c r="I1878" s="41"/>
      <c r="J1878" s="41"/>
      <c r="K1878" s="41"/>
      <c r="L1878" s="41"/>
      <c r="M1878" s="41"/>
      <c r="N1878" s="41"/>
      <c r="O1878" s="41"/>
      <c r="P1878" s="28"/>
    </row>
    <row r="1879" customFormat="1" spans="1:16">
      <c r="A1879" s="39"/>
      <c r="B1879" s="40"/>
      <c r="C1879" s="41"/>
      <c r="D1879" s="41"/>
      <c r="E1879" s="41"/>
      <c r="F1879" s="41"/>
      <c r="G1879" s="41"/>
      <c r="H1879" s="41"/>
      <c r="I1879" s="41"/>
      <c r="J1879" s="41"/>
      <c r="K1879" s="41"/>
      <c r="L1879" s="41"/>
      <c r="M1879" s="41"/>
      <c r="N1879" s="41"/>
      <c r="O1879" s="41"/>
      <c r="P1879" s="28"/>
    </row>
    <row r="1880" customFormat="1" spans="1:16">
      <c r="A1880" s="39"/>
      <c r="B1880" s="40"/>
      <c r="C1880" s="41"/>
      <c r="D1880" s="41"/>
      <c r="E1880" s="41"/>
      <c r="F1880" s="41"/>
      <c r="G1880" s="41"/>
      <c r="H1880" s="41"/>
      <c r="I1880" s="41"/>
      <c r="J1880" s="41"/>
      <c r="K1880" s="41"/>
      <c r="L1880" s="41"/>
      <c r="M1880" s="41"/>
      <c r="N1880" s="41"/>
      <c r="O1880" s="41"/>
      <c r="P1880" s="28"/>
    </row>
    <row r="1881" customFormat="1" spans="1:16">
      <c r="A1881" s="39"/>
      <c r="B1881" s="40"/>
      <c r="C1881" s="41"/>
      <c r="D1881" s="41"/>
      <c r="E1881" s="41"/>
      <c r="F1881" s="41"/>
      <c r="G1881" s="41"/>
      <c r="H1881" s="41"/>
      <c r="I1881" s="41"/>
      <c r="J1881" s="41"/>
      <c r="K1881" s="41"/>
      <c r="L1881" s="41"/>
      <c r="M1881" s="41"/>
      <c r="N1881" s="41"/>
      <c r="O1881" s="41"/>
      <c r="P1881" s="28"/>
    </row>
    <row r="1882" customFormat="1" spans="1:16">
      <c r="A1882" s="39"/>
      <c r="B1882" s="40"/>
      <c r="C1882" s="41"/>
      <c r="D1882" s="41"/>
      <c r="E1882" s="41"/>
      <c r="F1882" s="41"/>
      <c r="G1882" s="41"/>
      <c r="H1882" s="41"/>
      <c r="I1882" s="41"/>
      <c r="J1882" s="41"/>
      <c r="K1882" s="41"/>
      <c r="L1882" s="41"/>
      <c r="M1882" s="41"/>
      <c r="N1882" s="41"/>
      <c r="O1882" s="41"/>
      <c r="P1882" s="28"/>
    </row>
    <row r="1883" customFormat="1" spans="1:16">
      <c r="A1883" s="39"/>
      <c r="B1883" s="40"/>
      <c r="C1883" s="41"/>
      <c r="D1883" s="41"/>
      <c r="E1883" s="41"/>
      <c r="F1883" s="41"/>
      <c r="G1883" s="41"/>
      <c r="H1883" s="41"/>
      <c r="I1883" s="41"/>
      <c r="J1883" s="41"/>
      <c r="K1883" s="41"/>
      <c r="L1883" s="41"/>
      <c r="M1883" s="41"/>
      <c r="N1883" s="41"/>
      <c r="O1883" s="41"/>
      <c r="P1883" s="28"/>
    </row>
    <row r="1884" customFormat="1" spans="1:16">
      <c r="A1884" s="39"/>
      <c r="B1884" s="40"/>
      <c r="C1884" s="41"/>
      <c r="D1884" s="41"/>
      <c r="E1884" s="41"/>
      <c r="F1884" s="41"/>
      <c r="G1884" s="41"/>
      <c r="H1884" s="41"/>
      <c r="I1884" s="41"/>
      <c r="J1884" s="41"/>
      <c r="K1884" s="41"/>
      <c r="L1884" s="41"/>
      <c r="M1884" s="41"/>
      <c r="N1884" s="41"/>
      <c r="O1884" s="41"/>
      <c r="P1884" s="28"/>
    </row>
    <row r="1885" customFormat="1" spans="1:16">
      <c r="A1885" s="39"/>
      <c r="B1885" s="40"/>
      <c r="C1885" s="41"/>
      <c r="D1885" s="41"/>
      <c r="E1885" s="41"/>
      <c r="F1885" s="41"/>
      <c r="G1885" s="41"/>
      <c r="H1885" s="41"/>
      <c r="I1885" s="41"/>
      <c r="J1885" s="41"/>
      <c r="K1885" s="41"/>
      <c r="L1885" s="41"/>
      <c r="M1885" s="41"/>
      <c r="N1885" s="41"/>
      <c r="O1885" s="41"/>
      <c r="P1885" s="28"/>
    </row>
    <row r="1886" customFormat="1" spans="1:16">
      <c r="A1886" s="39"/>
      <c r="B1886" s="40"/>
      <c r="C1886" s="41"/>
      <c r="D1886" s="41"/>
      <c r="E1886" s="41"/>
      <c r="F1886" s="41"/>
      <c r="G1886" s="41"/>
      <c r="H1886" s="41"/>
      <c r="I1886" s="41"/>
      <c r="J1886" s="41"/>
      <c r="K1886" s="41"/>
      <c r="L1886" s="41"/>
      <c r="M1886" s="41"/>
      <c r="N1886" s="41"/>
      <c r="O1886" s="41"/>
      <c r="P1886" s="28"/>
    </row>
    <row r="1887" customFormat="1" spans="1:16">
      <c r="A1887" s="39"/>
      <c r="B1887" s="40"/>
      <c r="C1887" s="41"/>
      <c r="D1887" s="41"/>
      <c r="E1887" s="41"/>
      <c r="F1887" s="41"/>
      <c r="G1887" s="41"/>
      <c r="H1887" s="41"/>
      <c r="I1887" s="41"/>
      <c r="J1887" s="41"/>
      <c r="K1887" s="41"/>
      <c r="L1887" s="41"/>
      <c r="M1887" s="41"/>
      <c r="N1887" s="41"/>
      <c r="O1887" s="41"/>
      <c r="P1887" s="28"/>
    </row>
    <row r="1888" customFormat="1" spans="1:16">
      <c r="A1888" s="39"/>
      <c r="B1888" s="40"/>
      <c r="C1888" s="41"/>
      <c r="D1888" s="41"/>
      <c r="E1888" s="41"/>
      <c r="F1888" s="41"/>
      <c r="G1888" s="41"/>
      <c r="H1888" s="41"/>
      <c r="I1888" s="41"/>
      <c r="J1888" s="41"/>
      <c r="K1888" s="41"/>
      <c r="L1888" s="41"/>
      <c r="M1888" s="41"/>
      <c r="N1888" s="41"/>
      <c r="O1888" s="41"/>
      <c r="P1888" s="28"/>
    </row>
    <row r="1889" customFormat="1" spans="1:16">
      <c r="A1889" s="39"/>
      <c r="B1889" s="40"/>
      <c r="C1889" s="41"/>
      <c r="D1889" s="41"/>
      <c r="E1889" s="41"/>
      <c r="F1889" s="41"/>
      <c r="G1889" s="41"/>
      <c r="H1889" s="41"/>
      <c r="I1889" s="41"/>
      <c r="J1889" s="41"/>
      <c r="K1889" s="41"/>
      <c r="L1889" s="41"/>
      <c r="M1889" s="41"/>
      <c r="N1889" s="41"/>
      <c r="O1889" s="41"/>
      <c r="P1889" s="28"/>
    </row>
    <row r="1890" customFormat="1" spans="1:16">
      <c r="A1890" s="39"/>
      <c r="B1890" s="40"/>
      <c r="C1890" s="41"/>
      <c r="D1890" s="41"/>
      <c r="E1890" s="41"/>
      <c r="F1890" s="41"/>
      <c r="G1890" s="41"/>
      <c r="H1890" s="41"/>
      <c r="I1890" s="41"/>
      <c r="J1890" s="41"/>
      <c r="K1890" s="41"/>
      <c r="L1890" s="41"/>
      <c r="M1890" s="41"/>
      <c r="N1890" s="41"/>
      <c r="O1890" s="41"/>
      <c r="P1890" s="28"/>
    </row>
    <row r="1891" customFormat="1" spans="1:16">
      <c r="A1891" s="39"/>
      <c r="B1891" s="40"/>
      <c r="C1891" s="41"/>
      <c r="D1891" s="41"/>
      <c r="E1891" s="41"/>
      <c r="F1891" s="41"/>
      <c r="G1891" s="41"/>
      <c r="H1891" s="41"/>
      <c r="I1891" s="41"/>
      <c r="J1891" s="41"/>
      <c r="K1891" s="41"/>
      <c r="L1891" s="41"/>
      <c r="M1891" s="41"/>
      <c r="N1891" s="41"/>
      <c r="O1891" s="41"/>
      <c r="P1891" s="28"/>
    </row>
    <row r="1892" customFormat="1" spans="1:16">
      <c r="A1892" s="39"/>
      <c r="B1892" s="40"/>
      <c r="C1892" s="41"/>
      <c r="D1892" s="41"/>
      <c r="E1892" s="41"/>
      <c r="F1892" s="41"/>
      <c r="G1892" s="41"/>
      <c r="H1892" s="41"/>
      <c r="I1892" s="41"/>
      <c r="J1892" s="41"/>
      <c r="K1892" s="41"/>
      <c r="L1892" s="41"/>
      <c r="M1892" s="41"/>
      <c r="N1892" s="41"/>
      <c r="O1892" s="41"/>
      <c r="P1892" s="28"/>
    </row>
    <row r="1893" customFormat="1" spans="1:16">
      <c r="A1893" s="39"/>
      <c r="B1893" s="40"/>
      <c r="C1893" s="41"/>
      <c r="D1893" s="41"/>
      <c r="E1893" s="41"/>
      <c r="F1893" s="41"/>
      <c r="G1893" s="41"/>
      <c r="H1893" s="41"/>
      <c r="I1893" s="41"/>
      <c r="J1893" s="41"/>
      <c r="K1893" s="41"/>
      <c r="L1893" s="41"/>
      <c r="M1893" s="41"/>
      <c r="N1893" s="41"/>
      <c r="O1893" s="41"/>
      <c r="P1893" s="28"/>
    </row>
    <row r="1894" customFormat="1" spans="1:16">
      <c r="A1894" s="39"/>
      <c r="B1894" s="40"/>
      <c r="C1894" s="41"/>
      <c r="D1894" s="41"/>
      <c r="E1894" s="41"/>
      <c r="F1894" s="41"/>
      <c r="G1894" s="41"/>
      <c r="H1894" s="41"/>
      <c r="I1894" s="41"/>
      <c r="J1894" s="41"/>
      <c r="K1894" s="41"/>
      <c r="L1894" s="41"/>
      <c r="M1894" s="41"/>
      <c r="N1894" s="41"/>
      <c r="O1894" s="41"/>
      <c r="P1894" s="28"/>
    </row>
    <row r="1895" customFormat="1" spans="1:16">
      <c r="A1895" s="39"/>
      <c r="B1895" s="40"/>
      <c r="C1895" s="41"/>
      <c r="D1895" s="41"/>
      <c r="E1895" s="41"/>
      <c r="F1895" s="41"/>
      <c r="G1895" s="41"/>
      <c r="H1895" s="41"/>
      <c r="I1895" s="41"/>
      <c r="J1895" s="41"/>
      <c r="K1895" s="41"/>
      <c r="L1895" s="41"/>
      <c r="M1895" s="41"/>
      <c r="N1895" s="41"/>
      <c r="O1895" s="41"/>
      <c r="P1895" s="28"/>
    </row>
    <row r="1896" customFormat="1" spans="1:16">
      <c r="A1896" s="39"/>
      <c r="B1896" s="40"/>
      <c r="C1896" s="41"/>
      <c r="D1896" s="41"/>
      <c r="E1896" s="41"/>
      <c r="F1896" s="41"/>
      <c r="G1896" s="41"/>
      <c r="H1896" s="41"/>
      <c r="I1896" s="41"/>
      <c r="J1896" s="41"/>
      <c r="K1896" s="41"/>
      <c r="L1896" s="41"/>
      <c r="M1896" s="41"/>
      <c r="N1896" s="41"/>
      <c r="O1896" s="41"/>
      <c r="P1896" s="28"/>
    </row>
    <row r="1897" customFormat="1" spans="1:16">
      <c r="A1897" s="39"/>
      <c r="B1897" s="40"/>
      <c r="C1897" s="41"/>
      <c r="D1897" s="41"/>
      <c r="E1897" s="41"/>
      <c r="F1897" s="41"/>
      <c r="G1897" s="41"/>
      <c r="H1897" s="41"/>
      <c r="I1897" s="41"/>
      <c r="J1897" s="41"/>
      <c r="K1897" s="41"/>
      <c r="L1897" s="41"/>
      <c r="M1897" s="41"/>
      <c r="N1897" s="41"/>
      <c r="O1897" s="41"/>
      <c r="P1897" s="28"/>
    </row>
    <row r="1898" customFormat="1" spans="1:16">
      <c r="A1898" s="39"/>
      <c r="B1898" s="40"/>
      <c r="C1898" s="41"/>
      <c r="D1898" s="41"/>
      <c r="E1898" s="41"/>
      <c r="F1898" s="41"/>
      <c r="G1898" s="41"/>
      <c r="H1898" s="41"/>
      <c r="I1898" s="41"/>
      <c r="J1898" s="41"/>
      <c r="K1898" s="41"/>
      <c r="L1898" s="41"/>
      <c r="M1898" s="41"/>
      <c r="N1898" s="41"/>
      <c r="O1898" s="41"/>
      <c r="P1898" s="28"/>
    </row>
    <row r="1899" customFormat="1" spans="1:16">
      <c r="A1899" s="39"/>
      <c r="B1899" s="40"/>
      <c r="C1899" s="41"/>
      <c r="D1899" s="41"/>
      <c r="E1899" s="41"/>
      <c r="F1899" s="41"/>
      <c r="G1899" s="41"/>
      <c r="H1899" s="41"/>
      <c r="I1899" s="41"/>
      <c r="J1899" s="41"/>
      <c r="K1899" s="41"/>
      <c r="L1899" s="41"/>
      <c r="M1899" s="41"/>
      <c r="N1899" s="41"/>
      <c r="O1899" s="41"/>
      <c r="P1899" s="28"/>
    </row>
    <row r="1900" customFormat="1" spans="1:16">
      <c r="A1900" s="39"/>
      <c r="B1900" s="40"/>
      <c r="C1900" s="41"/>
      <c r="D1900" s="41"/>
      <c r="E1900" s="41"/>
      <c r="F1900" s="41"/>
      <c r="G1900" s="41"/>
      <c r="H1900" s="41"/>
      <c r="I1900" s="41"/>
      <c r="J1900" s="41"/>
      <c r="K1900" s="41"/>
      <c r="L1900" s="41"/>
      <c r="M1900" s="41"/>
      <c r="N1900" s="41"/>
      <c r="O1900" s="41"/>
      <c r="P1900" s="28"/>
    </row>
    <row r="1901" customFormat="1" spans="1:16">
      <c r="A1901" s="39"/>
      <c r="B1901" s="40"/>
      <c r="C1901" s="41"/>
      <c r="D1901" s="41"/>
      <c r="E1901" s="41"/>
      <c r="F1901" s="41"/>
      <c r="G1901" s="41"/>
      <c r="H1901" s="41"/>
      <c r="I1901" s="41"/>
      <c r="J1901" s="41"/>
      <c r="K1901" s="41"/>
      <c r="L1901" s="41"/>
      <c r="M1901" s="41"/>
      <c r="N1901" s="41"/>
      <c r="O1901" s="41"/>
      <c r="P1901" s="28"/>
    </row>
    <row r="1902" customFormat="1" spans="1:16">
      <c r="A1902" s="39"/>
      <c r="B1902" s="40"/>
      <c r="C1902" s="41"/>
      <c r="D1902" s="41"/>
      <c r="E1902" s="41"/>
      <c r="F1902" s="41"/>
      <c r="G1902" s="41"/>
      <c r="H1902" s="41"/>
      <c r="I1902" s="41"/>
      <c r="J1902" s="41"/>
      <c r="K1902" s="41"/>
      <c r="L1902" s="41"/>
      <c r="M1902" s="41"/>
      <c r="N1902" s="41"/>
      <c r="O1902" s="41"/>
      <c r="P1902" s="28"/>
    </row>
    <row r="1903" customFormat="1" spans="1:16">
      <c r="A1903" s="39"/>
      <c r="B1903" s="40"/>
      <c r="C1903" s="41"/>
      <c r="D1903" s="41"/>
      <c r="E1903" s="41"/>
      <c r="F1903" s="41"/>
      <c r="G1903" s="41"/>
      <c r="H1903" s="41"/>
      <c r="I1903" s="41"/>
      <c r="J1903" s="41"/>
      <c r="K1903" s="41"/>
      <c r="L1903" s="41"/>
      <c r="M1903" s="41"/>
      <c r="N1903" s="41"/>
      <c r="O1903" s="41"/>
      <c r="P1903" s="28"/>
    </row>
    <row r="1904" customFormat="1" spans="1:16">
      <c r="A1904" s="39"/>
      <c r="B1904" s="40"/>
      <c r="C1904" s="41"/>
      <c r="D1904" s="41"/>
      <c r="E1904" s="41"/>
      <c r="F1904" s="41"/>
      <c r="G1904" s="41"/>
      <c r="H1904" s="41"/>
      <c r="I1904" s="41"/>
      <c r="J1904" s="41"/>
      <c r="K1904" s="41"/>
      <c r="L1904" s="41"/>
      <c r="M1904" s="41"/>
      <c r="N1904" s="41"/>
      <c r="O1904" s="41"/>
      <c r="P1904" s="28"/>
    </row>
    <row r="1905" customFormat="1" spans="1:16">
      <c r="A1905" s="39"/>
      <c r="B1905" s="40"/>
      <c r="C1905" s="41"/>
      <c r="D1905" s="41"/>
      <c r="E1905" s="41"/>
      <c r="F1905" s="41"/>
      <c r="G1905" s="41"/>
      <c r="H1905" s="41"/>
      <c r="I1905" s="41"/>
      <c r="J1905" s="41"/>
      <c r="K1905" s="41"/>
      <c r="L1905" s="41"/>
      <c r="M1905" s="41"/>
      <c r="N1905" s="41"/>
      <c r="O1905" s="41"/>
      <c r="P1905" s="28"/>
    </row>
    <row r="1906" customFormat="1" spans="1:16">
      <c r="A1906" s="39"/>
      <c r="B1906" s="40"/>
      <c r="C1906" s="41"/>
      <c r="D1906" s="41"/>
      <c r="E1906" s="41"/>
      <c r="F1906" s="41"/>
      <c r="G1906" s="41"/>
      <c r="H1906" s="41"/>
      <c r="I1906" s="41"/>
      <c r="J1906" s="41"/>
      <c r="K1906" s="41"/>
      <c r="L1906" s="41"/>
      <c r="M1906" s="41"/>
      <c r="N1906" s="41"/>
      <c r="O1906" s="41"/>
      <c r="P1906" s="28"/>
    </row>
    <row r="1907" customFormat="1" spans="1:16">
      <c r="A1907" s="39"/>
      <c r="B1907" s="40"/>
      <c r="C1907" s="41"/>
      <c r="D1907" s="41"/>
      <c r="E1907" s="41"/>
      <c r="F1907" s="41"/>
      <c r="G1907" s="41"/>
      <c r="H1907" s="41"/>
      <c r="I1907" s="41"/>
      <c r="J1907" s="41"/>
      <c r="K1907" s="41"/>
      <c r="L1907" s="41"/>
      <c r="M1907" s="41"/>
      <c r="N1907" s="41"/>
      <c r="O1907" s="41"/>
      <c r="P1907" s="28"/>
    </row>
    <row r="1908" customFormat="1" spans="1:16">
      <c r="A1908" s="39"/>
      <c r="B1908" s="40"/>
      <c r="C1908" s="41"/>
      <c r="D1908" s="41"/>
      <c r="E1908" s="41"/>
      <c r="F1908" s="41"/>
      <c r="G1908" s="41"/>
      <c r="H1908" s="41"/>
      <c r="I1908" s="41"/>
      <c r="J1908" s="41"/>
      <c r="K1908" s="41"/>
      <c r="L1908" s="41"/>
      <c r="M1908" s="41"/>
      <c r="N1908" s="41"/>
      <c r="O1908" s="41"/>
      <c r="P1908" s="28"/>
    </row>
    <row r="1909" customFormat="1" spans="1:16">
      <c r="A1909" s="39"/>
      <c r="B1909" s="40"/>
      <c r="C1909" s="41"/>
      <c r="D1909" s="41"/>
      <c r="E1909" s="41"/>
      <c r="F1909" s="41"/>
      <c r="G1909" s="41"/>
      <c r="H1909" s="41"/>
      <c r="I1909" s="41"/>
      <c r="J1909" s="41"/>
      <c r="K1909" s="41"/>
      <c r="L1909" s="41"/>
      <c r="M1909" s="41"/>
      <c r="N1909" s="41"/>
      <c r="O1909" s="41"/>
      <c r="P1909" s="28"/>
    </row>
    <row r="1910" customFormat="1" spans="1:16">
      <c r="A1910" s="39"/>
      <c r="B1910" s="40"/>
      <c r="C1910" s="41"/>
      <c r="D1910" s="41"/>
      <c r="E1910" s="41"/>
      <c r="F1910" s="41"/>
      <c r="G1910" s="41"/>
      <c r="H1910" s="41"/>
      <c r="I1910" s="41"/>
      <c r="J1910" s="41"/>
      <c r="K1910" s="41"/>
      <c r="L1910" s="41"/>
      <c r="M1910" s="41"/>
      <c r="N1910" s="41"/>
      <c r="O1910" s="41"/>
      <c r="P1910" s="28"/>
    </row>
    <row r="1911" customFormat="1" spans="1:16">
      <c r="A1911" s="39"/>
      <c r="B1911" s="40"/>
      <c r="C1911" s="41"/>
      <c r="D1911" s="41"/>
      <c r="E1911" s="41"/>
      <c r="F1911" s="41"/>
      <c r="G1911" s="41"/>
      <c r="H1911" s="41"/>
      <c r="I1911" s="41"/>
      <c r="J1911" s="41"/>
      <c r="K1911" s="41"/>
      <c r="L1911" s="41"/>
      <c r="M1911" s="41"/>
      <c r="N1911" s="41"/>
      <c r="O1911" s="41"/>
      <c r="P1911" s="28"/>
    </row>
    <row r="1912" customFormat="1" spans="1:16">
      <c r="A1912" s="39"/>
      <c r="B1912" s="40"/>
      <c r="C1912" s="41"/>
      <c r="D1912" s="41"/>
      <c r="E1912" s="41"/>
      <c r="F1912" s="41"/>
      <c r="G1912" s="41"/>
      <c r="H1912" s="41"/>
      <c r="I1912" s="41"/>
      <c r="J1912" s="41"/>
      <c r="K1912" s="41"/>
      <c r="L1912" s="41"/>
      <c r="M1912" s="41"/>
      <c r="N1912" s="41"/>
      <c r="O1912" s="41"/>
      <c r="P1912" s="28"/>
    </row>
    <row r="1913" customFormat="1" spans="1:16">
      <c r="A1913" s="39"/>
      <c r="B1913" s="40"/>
      <c r="C1913" s="41"/>
      <c r="D1913" s="41"/>
      <c r="E1913" s="41"/>
      <c r="F1913" s="41"/>
      <c r="G1913" s="41"/>
      <c r="H1913" s="41"/>
      <c r="I1913" s="41"/>
      <c r="J1913" s="41"/>
      <c r="K1913" s="41"/>
      <c r="L1913" s="41"/>
      <c r="M1913" s="41"/>
      <c r="N1913" s="41"/>
      <c r="O1913" s="41"/>
      <c r="P1913" s="28"/>
    </row>
    <row r="1914" customFormat="1" spans="1:16">
      <c r="A1914" s="39"/>
      <c r="B1914" s="40"/>
      <c r="C1914" s="41"/>
      <c r="D1914" s="41"/>
      <c r="E1914" s="41"/>
      <c r="F1914" s="41"/>
      <c r="G1914" s="41"/>
      <c r="H1914" s="41"/>
      <c r="I1914" s="41"/>
      <c r="J1914" s="41"/>
      <c r="K1914" s="41"/>
      <c r="L1914" s="41"/>
      <c r="M1914" s="41"/>
      <c r="N1914" s="41"/>
      <c r="O1914" s="41"/>
      <c r="P1914" s="28"/>
    </row>
    <row r="1915" customFormat="1" spans="1:16">
      <c r="A1915" s="39"/>
      <c r="B1915" s="40"/>
      <c r="C1915" s="41"/>
      <c r="D1915" s="41"/>
      <c r="E1915" s="41"/>
      <c r="F1915" s="41"/>
      <c r="G1915" s="41"/>
      <c r="H1915" s="41"/>
      <c r="I1915" s="41"/>
      <c r="J1915" s="41"/>
      <c r="K1915" s="41"/>
      <c r="L1915" s="41"/>
      <c r="M1915" s="41"/>
      <c r="N1915" s="41"/>
      <c r="O1915" s="41"/>
      <c r="P1915" s="28"/>
    </row>
    <row r="1916" customFormat="1" spans="1:16">
      <c r="A1916" s="39"/>
      <c r="B1916" s="40"/>
      <c r="C1916" s="41"/>
      <c r="D1916" s="41"/>
      <c r="E1916" s="41"/>
      <c r="F1916" s="41"/>
      <c r="G1916" s="41"/>
      <c r="H1916" s="41"/>
      <c r="I1916" s="41"/>
      <c r="J1916" s="41"/>
      <c r="K1916" s="41"/>
      <c r="L1916" s="41"/>
      <c r="M1916" s="41"/>
      <c r="N1916" s="41"/>
      <c r="O1916" s="41"/>
      <c r="P1916" s="28"/>
    </row>
    <row r="1917" customFormat="1" spans="1:16">
      <c r="A1917" s="39"/>
      <c r="B1917" s="40"/>
      <c r="C1917" s="41"/>
      <c r="D1917" s="41"/>
      <c r="E1917" s="41"/>
      <c r="F1917" s="41"/>
      <c r="G1917" s="41"/>
      <c r="H1917" s="41"/>
      <c r="I1917" s="41"/>
      <c r="J1917" s="41"/>
      <c r="K1917" s="41"/>
      <c r="L1917" s="41"/>
      <c r="M1917" s="41"/>
      <c r="N1917" s="41"/>
      <c r="O1917" s="41"/>
      <c r="P1917" s="28"/>
    </row>
    <row r="1918" customFormat="1" spans="1:16">
      <c r="A1918" s="39"/>
      <c r="B1918" s="40"/>
      <c r="C1918" s="41"/>
      <c r="D1918" s="41"/>
      <c r="E1918" s="41"/>
      <c r="F1918" s="41"/>
      <c r="G1918" s="41"/>
      <c r="H1918" s="41"/>
      <c r="I1918" s="41"/>
      <c r="J1918" s="41"/>
      <c r="K1918" s="41"/>
      <c r="L1918" s="41"/>
      <c r="M1918" s="41"/>
      <c r="N1918" s="41"/>
      <c r="O1918" s="41"/>
      <c r="P1918" s="28"/>
    </row>
    <row r="1919" customFormat="1" spans="1:16">
      <c r="A1919" s="39"/>
      <c r="B1919" s="40"/>
      <c r="C1919" s="41"/>
      <c r="D1919" s="41"/>
      <c r="E1919" s="41"/>
      <c r="F1919" s="41"/>
      <c r="G1919" s="41"/>
      <c r="H1919" s="41"/>
      <c r="I1919" s="41"/>
      <c r="J1919" s="41"/>
      <c r="K1919" s="41"/>
      <c r="L1919" s="41"/>
      <c r="M1919" s="41"/>
      <c r="N1919" s="41"/>
      <c r="O1919" s="41"/>
      <c r="P1919" s="28"/>
    </row>
    <row r="1920" customFormat="1" spans="1:16">
      <c r="A1920" s="39"/>
      <c r="B1920" s="40"/>
      <c r="C1920" s="41"/>
      <c r="D1920" s="41"/>
      <c r="E1920" s="41"/>
      <c r="F1920" s="41"/>
      <c r="G1920" s="41"/>
      <c r="H1920" s="41"/>
      <c r="I1920" s="41"/>
      <c r="J1920" s="41"/>
      <c r="K1920" s="41"/>
      <c r="L1920" s="41"/>
      <c r="M1920" s="41"/>
      <c r="N1920" s="41"/>
      <c r="O1920" s="41"/>
      <c r="P1920" s="28"/>
    </row>
    <row r="1921" customFormat="1" spans="1:16">
      <c r="A1921" s="39"/>
      <c r="B1921" s="40"/>
      <c r="C1921" s="41"/>
      <c r="D1921" s="41"/>
      <c r="E1921" s="41"/>
      <c r="F1921" s="41"/>
      <c r="G1921" s="41"/>
      <c r="H1921" s="41"/>
      <c r="I1921" s="41"/>
      <c r="J1921" s="41"/>
      <c r="K1921" s="41"/>
      <c r="L1921" s="41"/>
      <c r="M1921" s="41"/>
      <c r="N1921" s="41"/>
      <c r="O1921" s="41"/>
      <c r="P1921" s="28"/>
    </row>
    <row r="1922" customFormat="1" spans="1:16">
      <c r="A1922" s="39"/>
      <c r="B1922" s="40"/>
      <c r="C1922" s="41"/>
      <c r="D1922" s="41"/>
      <c r="E1922" s="41"/>
      <c r="F1922" s="41"/>
      <c r="G1922" s="41"/>
      <c r="H1922" s="41"/>
      <c r="I1922" s="41"/>
      <c r="J1922" s="41"/>
      <c r="K1922" s="41"/>
      <c r="L1922" s="41"/>
      <c r="M1922" s="41"/>
      <c r="N1922" s="41"/>
      <c r="O1922" s="41"/>
      <c r="P1922" s="28"/>
    </row>
    <row r="1923" customFormat="1" spans="1:16">
      <c r="A1923" s="39"/>
      <c r="B1923" s="40"/>
      <c r="C1923" s="41"/>
      <c r="D1923" s="41"/>
      <c r="E1923" s="41"/>
      <c r="F1923" s="41"/>
      <c r="G1923" s="41"/>
      <c r="H1923" s="41"/>
      <c r="I1923" s="41"/>
      <c r="J1923" s="41"/>
      <c r="K1923" s="41"/>
      <c r="L1923" s="41"/>
      <c r="M1923" s="41"/>
      <c r="N1923" s="41"/>
      <c r="O1923" s="41"/>
      <c r="P1923" s="28"/>
    </row>
    <row r="1924" customFormat="1" spans="1:16">
      <c r="A1924" s="39"/>
      <c r="B1924" s="40"/>
      <c r="C1924" s="41"/>
      <c r="D1924" s="41"/>
      <c r="E1924" s="41"/>
      <c r="F1924" s="41"/>
      <c r="G1924" s="41"/>
      <c r="H1924" s="41"/>
      <c r="I1924" s="41"/>
      <c r="J1924" s="41"/>
      <c r="K1924" s="41"/>
      <c r="L1924" s="41"/>
      <c r="M1924" s="41"/>
      <c r="N1924" s="41"/>
      <c r="O1924" s="41"/>
      <c r="P1924" s="28"/>
    </row>
    <row r="1925" customFormat="1" spans="1:16">
      <c r="A1925" s="39"/>
      <c r="B1925" s="40"/>
      <c r="C1925" s="41"/>
      <c r="D1925" s="41"/>
      <c r="E1925" s="41"/>
      <c r="F1925" s="41"/>
      <c r="G1925" s="41"/>
      <c r="H1925" s="41"/>
      <c r="I1925" s="41"/>
      <c r="J1925" s="41"/>
      <c r="K1925" s="41"/>
      <c r="L1925" s="41"/>
      <c r="M1925" s="41"/>
      <c r="N1925" s="41"/>
      <c r="O1925" s="41"/>
      <c r="P1925" s="28"/>
    </row>
    <row r="1926" customFormat="1" spans="1:16">
      <c r="A1926" s="39"/>
      <c r="B1926" s="40"/>
      <c r="C1926" s="41"/>
      <c r="D1926" s="41"/>
      <c r="E1926" s="41"/>
      <c r="F1926" s="41"/>
      <c r="G1926" s="41"/>
      <c r="H1926" s="41"/>
      <c r="I1926" s="41"/>
      <c r="J1926" s="41"/>
      <c r="K1926" s="41"/>
      <c r="L1926" s="41"/>
      <c r="M1926" s="41"/>
      <c r="N1926" s="41"/>
      <c r="O1926" s="41"/>
      <c r="P1926" s="28"/>
    </row>
    <row r="1927" customFormat="1" spans="1:16">
      <c r="A1927" s="39"/>
      <c r="B1927" s="40"/>
      <c r="C1927" s="41"/>
      <c r="D1927" s="41"/>
      <c r="E1927" s="41"/>
      <c r="F1927" s="41"/>
      <c r="G1927" s="41"/>
      <c r="H1927" s="41"/>
      <c r="I1927" s="41"/>
      <c r="J1927" s="41"/>
      <c r="K1927" s="41"/>
      <c r="L1927" s="41"/>
      <c r="M1927" s="41"/>
      <c r="N1927" s="41"/>
      <c r="O1927" s="41"/>
      <c r="P1927" s="28"/>
    </row>
    <row r="1928" customFormat="1" spans="1:16">
      <c r="A1928" s="39"/>
      <c r="B1928" s="40"/>
      <c r="C1928" s="41"/>
      <c r="D1928" s="41"/>
      <c r="E1928" s="41"/>
      <c r="F1928" s="41"/>
      <c r="G1928" s="41"/>
      <c r="H1928" s="41"/>
      <c r="I1928" s="41"/>
      <c r="J1928" s="41"/>
      <c r="K1928" s="41"/>
      <c r="L1928" s="41"/>
      <c r="M1928" s="41"/>
      <c r="N1928" s="41"/>
      <c r="O1928" s="41"/>
      <c r="P1928" s="28"/>
    </row>
    <row r="1929" customFormat="1" spans="1:16">
      <c r="A1929" s="39"/>
      <c r="B1929" s="40"/>
      <c r="C1929" s="41"/>
      <c r="D1929" s="41"/>
      <c r="E1929" s="41"/>
      <c r="F1929" s="41"/>
      <c r="G1929" s="41"/>
      <c r="H1929" s="41"/>
      <c r="I1929" s="41"/>
      <c r="J1929" s="41"/>
      <c r="K1929" s="41"/>
      <c r="L1929" s="41"/>
      <c r="M1929" s="41"/>
      <c r="N1929" s="41"/>
      <c r="O1929" s="41"/>
      <c r="P1929" s="28"/>
    </row>
    <row r="1930" customFormat="1" spans="1:16">
      <c r="A1930" s="39"/>
      <c r="B1930" s="40"/>
      <c r="C1930" s="41"/>
      <c r="D1930" s="41"/>
      <c r="E1930" s="41"/>
      <c r="F1930" s="41"/>
      <c r="G1930" s="41"/>
      <c r="H1930" s="41"/>
      <c r="I1930" s="41"/>
      <c r="J1930" s="41"/>
      <c r="K1930" s="41"/>
      <c r="L1930" s="41"/>
      <c r="M1930" s="41"/>
      <c r="N1930" s="41"/>
      <c r="O1930" s="41"/>
      <c r="P1930" s="28"/>
    </row>
    <row r="1931" customFormat="1" spans="1:16">
      <c r="A1931" s="39"/>
      <c r="B1931" s="40"/>
      <c r="C1931" s="41"/>
      <c r="D1931" s="41"/>
      <c r="E1931" s="41"/>
      <c r="F1931" s="41"/>
      <c r="G1931" s="41"/>
      <c r="H1931" s="41"/>
      <c r="I1931" s="41"/>
      <c r="J1931" s="41"/>
      <c r="K1931" s="41"/>
      <c r="L1931" s="41"/>
      <c r="M1931" s="41"/>
      <c r="N1931" s="41"/>
      <c r="O1931" s="41"/>
      <c r="P1931" s="28"/>
    </row>
    <row r="1932" customFormat="1" spans="1:16">
      <c r="A1932" s="39"/>
      <c r="B1932" s="40"/>
      <c r="C1932" s="41"/>
      <c r="D1932" s="41"/>
      <c r="E1932" s="41"/>
      <c r="F1932" s="41"/>
      <c r="G1932" s="41"/>
      <c r="H1932" s="41"/>
      <c r="I1932" s="41"/>
      <c r="J1932" s="41"/>
      <c r="K1932" s="41"/>
      <c r="L1932" s="41"/>
      <c r="M1932" s="41"/>
      <c r="N1932" s="41"/>
      <c r="O1932" s="41"/>
      <c r="P1932" s="28"/>
    </row>
    <row r="1933" customFormat="1" spans="1:16">
      <c r="A1933" s="39"/>
      <c r="B1933" s="40"/>
      <c r="C1933" s="41"/>
      <c r="D1933" s="41"/>
      <c r="E1933" s="41"/>
      <c r="F1933" s="41"/>
      <c r="G1933" s="41"/>
      <c r="H1933" s="41"/>
      <c r="I1933" s="41"/>
      <c r="J1933" s="41"/>
      <c r="K1933" s="41"/>
      <c r="L1933" s="41"/>
      <c r="M1933" s="41"/>
      <c r="N1933" s="41"/>
      <c r="O1933" s="41"/>
      <c r="P1933" s="28"/>
    </row>
    <row r="1934" customFormat="1" spans="1:16">
      <c r="A1934" s="39"/>
      <c r="B1934" s="40"/>
      <c r="C1934" s="41"/>
      <c r="D1934" s="41"/>
      <c r="E1934" s="41"/>
      <c r="F1934" s="41"/>
      <c r="G1934" s="41"/>
      <c r="H1934" s="41"/>
      <c r="I1934" s="41"/>
      <c r="J1934" s="41"/>
      <c r="K1934" s="41"/>
      <c r="L1934" s="41"/>
      <c r="M1934" s="41"/>
      <c r="N1934" s="41"/>
      <c r="O1934" s="41"/>
      <c r="P1934" s="28"/>
    </row>
    <row r="1935" customFormat="1" spans="1:16">
      <c r="A1935" s="39"/>
      <c r="B1935" s="40"/>
      <c r="C1935" s="41"/>
      <c r="D1935" s="41"/>
      <c r="E1935" s="41"/>
      <c r="F1935" s="41"/>
      <c r="G1935" s="41"/>
      <c r="H1935" s="41"/>
      <c r="I1935" s="41"/>
      <c r="J1935" s="41"/>
      <c r="K1935" s="41"/>
      <c r="L1935" s="41"/>
      <c r="M1935" s="41"/>
      <c r="N1935" s="41"/>
      <c r="O1935" s="41"/>
      <c r="P1935" s="28"/>
    </row>
    <row r="1936" customFormat="1" spans="1:16">
      <c r="A1936" s="39"/>
      <c r="B1936" s="40"/>
      <c r="C1936" s="41"/>
      <c r="D1936" s="41"/>
      <c r="E1936" s="41"/>
      <c r="F1936" s="41"/>
      <c r="G1936" s="41"/>
      <c r="H1936" s="41"/>
      <c r="I1936" s="41"/>
      <c r="J1936" s="41"/>
      <c r="K1936" s="41"/>
      <c r="L1936" s="41"/>
      <c r="M1936" s="41"/>
      <c r="N1936" s="41"/>
      <c r="O1936" s="41"/>
      <c r="P1936" s="28"/>
    </row>
    <row r="1937" customFormat="1" spans="1:16">
      <c r="A1937" s="39"/>
      <c r="B1937" s="40"/>
      <c r="C1937" s="41"/>
      <c r="D1937" s="41"/>
      <c r="E1937" s="41"/>
      <c r="F1937" s="41"/>
      <c r="G1937" s="41"/>
      <c r="H1937" s="41"/>
      <c r="I1937" s="41"/>
      <c r="J1937" s="41"/>
      <c r="K1937" s="41"/>
      <c r="L1937" s="41"/>
      <c r="M1937" s="41"/>
      <c r="N1937" s="41"/>
      <c r="O1937" s="41"/>
      <c r="P1937" s="28"/>
    </row>
    <row r="1938" customFormat="1" spans="1:16">
      <c r="A1938" s="39"/>
      <c r="B1938" s="40"/>
      <c r="C1938" s="41"/>
      <c r="D1938" s="41"/>
      <c r="E1938" s="41"/>
      <c r="F1938" s="41"/>
      <c r="G1938" s="41"/>
      <c r="H1938" s="41"/>
      <c r="I1938" s="41"/>
      <c r="J1938" s="41"/>
      <c r="K1938" s="41"/>
      <c r="L1938" s="41"/>
      <c r="M1938" s="41"/>
      <c r="N1938" s="41"/>
      <c r="O1938" s="41"/>
      <c r="P1938" s="28"/>
    </row>
    <row r="1939" customFormat="1" spans="1:16">
      <c r="A1939" s="39"/>
      <c r="B1939" s="40"/>
      <c r="C1939" s="41"/>
      <c r="D1939" s="41"/>
      <c r="E1939" s="41"/>
      <c r="F1939" s="41"/>
      <c r="G1939" s="41"/>
      <c r="H1939" s="41"/>
      <c r="I1939" s="41"/>
      <c r="J1939" s="41"/>
      <c r="K1939" s="41"/>
      <c r="L1939" s="41"/>
      <c r="M1939" s="41"/>
      <c r="N1939" s="41"/>
      <c r="O1939" s="41"/>
      <c r="P1939" s="28"/>
    </row>
    <row r="1940" customFormat="1" spans="1:16">
      <c r="A1940" s="39"/>
      <c r="B1940" s="40"/>
      <c r="C1940" s="41"/>
      <c r="D1940" s="41"/>
      <c r="E1940" s="41"/>
      <c r="F1940" s="41"/>
      <c r="G1940" s="41"/>
      <c r="H1940" s="41"/>
      <c r="I1940" s="41"/>
      <c r="J1940" s="41"/>
      <c r="K1940" s="41"/>
      <c r="L1940" s="41"/>
      <c r="M1940" s="41"/>
      <c r="N1940" s="41"/>
      <c r="O1940" s="41"/>
      <c r="P1940" s="28"/>
    </row>
    <row r="1941" customFormat="1" spans="1:16">
      <c r="A1941" s="39"/>
      <c r="B1941" s="40"/>
      <c r="C1941" s="41"/>
      <c r="D1941" s="41"/>
      <c r="E1941" s="41"/>
      <c r="F1941" s="41"/>
      <c r="G1941" s="41"/>
      <c r="H1941" s="41"/>
      <c r="I1941" s="41"/>
      <c r="J1941" s="41"/>
      <c r="K1941" s="41"/>
      <c r="L1941" s="41"/>
      <c r="M1941" s="41"/>
      <c r="N1941" s="41"/>
      <c r="O1941" s="41"/>
      <c r="P1941" s="28"/>
    </row>
    <row r="1942" customFormat="1" spans="1:16">
      <c r="A1942" s="39"/>
      <c r="B1942" s="40"/>
      <c r="C1942" s="41"/>
      <c r="D1942" s="41"/>
      <c r="E1942" s="41"/>
      <c r="F1942" s="41"/>
      <c r="G1942" s="41"/>
      <c r="H1942" s="41"/>
      <c r="I1942" s="41"/>
      <c r="J1942" s="41"/>
      <c r="K1942" s="41"/>
      <c r="L1942" s="41"/>
      <c r="M1942" s="41"/>
      <c r="N1942" s="41"/>
      <c r="O1942" s="41"/>
      <c r="P1942" s="28"/>
    </row>
    <row r="1943" customFormat="1" spans="1:16">
      <c r="A1943" s="39"/>
      <c r="B1943" s="40"/>
      <c r="C1943" s="41"/>
      <c r="D1943" s="41"/>
      <c r="E1943" s="41"/>
      <c r="F1943" s="41"/>
      <c r="G1943" s="41"/>
      <c r="H1943" s="41"/>
      <c r="I1943" s="41"/>
      <c r="J1943" s="41"/>
      <c r="K1943" s="41"/>
      <c r="L1943" s="41"/>
      <c r="M1943" s="41"/>
      <c r="N1943" s="41"/>
      <c r="O1943" s="41"/>
      <c r="P1943" s="28"/>
    </row>
    <row r="1944" customFormat="1" spans="1:16">
      <c r="A1944" s="39"/>
      <c r="B1944" s="40"/>
      <c r="C1944" s="41"/>
      <c r="D1944" s="41"/>
      <c r="E1944" s="41"/>
      <c r="F1944" s="41"/>
      <c r="G1944" s="41"/>
      <c r="H1944" s="41"/>
      <c r="I1944" s="41"/>
      <c r="J1944" s="41"/>
      <c r="K1944" s="41"/>
      <c r="L1944" s="41"/>
      <c r="M1944" s="41"/>
      <c r="N1944" s="41"/>
      <c r="O1944" s="41"/>
      <c r="P1944" s="28"/>
    </row>
    <row r="1945" customFormat="1" spans="1:16">
      <c r="A1945" s="39"/>
      <c r="B1945" s="40"/>
      <c r="C1945" s="41"/>
      <c r="D1945" s="41"/>
      <c r="E1945" s="41"/>
      <c r="F1945" s="41"/>
      <c r="G1945" s="41"/>
      <c r="H1945" s="41"/>
      <c r="I1945" s="41"/>
      <c r="J1945" s="41"/>
      <c r="K1945" s="41"/>
      <c r="L1945" s="41"/>
      <c r="M1945" s="41"/>
      <c r="N1945" s="41"/>
      <c r="O1945" s="41"/>
      <c r="P1945" s="28"/>
    </row>
    <row r="1946" customFormat="1" spans="1:16">
      <c r="A1946" s="39"/>
      <c r="B1946" s="40"/>
      <c r="C1946" s="41"/>
      <c r="D1946" s="41"/>
      <c r="E1946" s="41"/>
      <c r="F1946" s="41"/>
      <c r="G1946" s="41"/>
      <c r="H1946" s="41"/>
      <c r="I1946" s="41"/>
      <c r="J1946" s="41"/>
      <c r="K1946" s="41"/>
      <c r="L1946" s="41"/>
      <c r="M1946" s="41"/>
      <c r="N1946" s="41"/>
      <c r="O1946" s="41"/>
      <c r="P1946" s="28"/>
    </row>
    <row r="1947" customFormat="1" spans="1:16">
      <c r="A1947" s="39"/>
      <c r="B1947" s="40"/>
      <c r="C1947" s="41"/>
      <c r="D1947" s="41"/>
      <c r="E1947" s="41"/>
      <c r="F1947" s="41"/>
      <c r="G1947" s="41"/>
      <c r="H1947" s="41"/>
      <c r="I1947" s="41"/>
      <c r="J1947" s="41"/>
      <c r="K1947" s="41"/>
      <c r="L1947" s="41"/>
      <c r="M1947" s="41"/>
      <c r="N1947" s="41"/>
      <c r="O1947" s="41"/>
      <c r="P1947" s="28"/>
    </row>
    <row r="1948" customFormat="1" spans="1:16">
      <c r="A1948" s="39"/>
      <c r="B1948" s="40"/>
      <c r="C1948" s="41"/>
      <c r="D1948" s="41"/>
      <c r="E1948" s="41"/>
      <c r="F1948" s="41"/>
      <c r="G1948" s="41"/>
      <c r="H1948" s="41"/>
      <c r="I1948" s="41"/>
      <c r="J1948" s="41"/>
      <c r="K1948" s="41"/>
      <c r="L1948" s="41"/>
      <c r="M1948" s="41"/>
      <c r="N1948" s="41"/>
      <c r="O1948" s="41"/>
      <c r="P1948" s="28"/>
    </row>
    <row r="1949" customFormat="1" spans="1:16">
      <c r="A1949" s="39"/>
      <c r="B1949" s="40"/>
      <c r="C1949" s="41"/>
      <c r="D1949" s="41"/>
      <c r="E1949" s="41"/>
      <c r="F1949" s="41"/>
      <c r="G1949" s="41"/>
      <c r="H1949" s="41"/>
      <c r="I1949" s="41"/>
      <c r="J1949" s="41"/>
      <c r="K1949" s="41"/>
      <c r="L1949" s="41"/>
      <c r="M1949" s="41"/>
      <c r="N1949" s="41"/>
      <c r="O1949" s="41"/>
      <c r="P1949" s="28"/>
    </row>
    <row r="1950" customFormat="1" spans="1:16">
      <c r="A1950" s="39"/>
      <c r="B1950" s="40"/>
      <c r="C1950" s="41"/>
      <c r="D1950" s="41"/>
      <c r="E1950" s="41"/>
      <c r="F1950" s="41"/>
      <c r="G1950" s="41"/>
      <c r="H1950" s="41"/>
      <c r="I1950" s="41"/>
      <c r="J1950" s="41"/>
      <c r="K1950" s="41"/>
      <c r="L1950" s="41"/>
      <c r="M1950" s="41"/>
      <c r="N1950" s="41"/>
      <c r="O1950" s="41"/>
      <c r="P1950" s="28"/>
    </row>
    <row r="1951" customFormat="1" spans="1:16">
      <c r="A1951" s="39"/>
      <c r="B1951" s="40"/>
      <c r="C1951" s="41"/>
      <c r="D1951" s="41"/>
      <c r="E1951" s="41"/>
      <c r="F1951" s="41"/>
      <c r="G1951" s="41"/>
      <c r="H1951" s="41"/>
      <c r="I1951" s="41"/>
      <c r="J1951" s="41"/>
      <c r="K1951" s="41"/>
      <c r="L1951" s="41"/>
      <c r="M1951" s="41"/>
      <c r="N1951" s="41"/>
      <c r="O1951" s="41"/>
      <c r="P1951" s="28"/>
    </row>
    <row r="1952" customFormat="1" spans="1:16">
      <c r="A1952" s="39"/>
      <c r="B1952" s="40"/>
      <c r="C1952" s="41"/>
      <c r="D1952" s="41"/>
      <c r="E1952" s="41"/>
      <c r="F1952" s="41"/>
      <c r="G1952" s="41"/>
      <c r="H1952" s="41"/>
      <c r="I1952" s="41"/>
      <c r="J1952" s="41"/>
      <c r="K1952" s="41"/>
      <c r="L1952" s="41"/>
      <c r="M1952" s="41"/>
      <c r="N1952" s="41"/>
      <c r="O1952" s="41"/>
      <c r="P1952" s="28"/>
    </row>
    <row r="1953" customFormat="1" spans="1:16">
      <c r="A1953" s="39"/>
      <c r="B1953" s="40"/>
      <c r="C1953" s="41"/>
      <c r="D1953" s="41"/>
      <c r="E1953" s="41"/>
      <c r="F1953" s="41"/>
      <c r="G1953" s="41"/>
      <c r="H1953" s="41"/>
      <c r="I1953" s="41"/>
      <c r="J1953" s="41"/>
      <c r="K1953" s="41"/>
      <c r="L1953" s="41"/>
      <c r="M1953" s="41"/>
      <c r="N1953" s="41"/>
      <c r="O1953" s="41"/>
      <c r="P1953" s="28"/>
    </row>
    <row r="1954" customFormat="1" spans="1:16">
      <c r="A1954" s="39"/>
      <c r="B1954" s="40"/>
      <c r="C1954" s="41"/>
      <c r="D1954" s="41"/>
      <c r="E1954" s="41"/>
      <c r="F1954" s="41"/>
      <c r="G1954" s="41"/>
      <c r="H1954" s="41"/>
      <c r="I1954" s="41"/>
      <c r="J1954" s="41"/>
      <c r="K1954" s="41"/>
      <c r="L1954" s="41"/>
      <c r="M1954" s="41"/>
      <c r="N1954" s="41"/>
      <c r="O1954" s="41"/>
      <c r="P1954" s="28"/>
    </row>
    <row r="1955" customFormat="1" spans="1:16">
      <c r="A1955" s="39"/>
      <c r="B1955" s="40"/>
      <c r="C1955" s="41"/>
      <c r="D1955" s="41"/>
      <c r="E1955" s="41"/>
      <c r="F1955" s="41"/>
      <c r="G1955" s="41"/>
      <c r="H1955" s="41"/>
      <c r="I1955" s="41"/>
      <c r="J1955" s="41"/>
      <c r="K1955" s="41"/>
      <c r="L1955" s="41"/>
      <c r="M1955" s="41"/>
      <c r="N1955" s="41"/>
      <c r="O1955" s="41"/>
      <c r="P1955" s="28"/>
    </row>
    <row r="1956" customFormat="1" spans="1:16">
      <c r="A1956" s="39"/>
      <c r="B1956" s="40"/>
      <c r="C1956" s="41"/>
      <c r="D1956" s="41"/>
      <c r="E1956" s="41"/>
      <c r="F1956" s="41"/>
      <c r="G1956" s="41"/>
      <c r="H1956" s="41"/>
      <c r="I1956" s="41"/>
      <c r="J1956" s="41"/>
      <c r="K1956" s="41"/>
      <c r="L1956" s="41"/>
      <c r="M1956" s="41"/>
      <c r="N1956" s="41"/>
      <c r="O1956" s="41"/>
      <c r="P1956" s="28"/>
    </row>
    <row r="1957" customFormat="1" spans="1:16">
      <c r="A1957" s="39"/>
      <c r="B1957" s="40"/>
      <c r="C1957" s="41"/>
      <c r="D1957" s="41"/>
      <c r="E1957" s="41"/>
      <c r="F1957" s="41"/>
      <c r="G1957" s="41"/>
      <c r="H1957" s="41"/>
      <c r="I1957" s="41"/>
      <c r="J1957" s="41"/>
      <c r="K1957" s="41"/>
      <c r="L1957" s="41"/>
      <c r="M1957" s="41"/>
      <c r="N1957" s="41"/>
      <c r="O1957" s="41"/>
      <c r="P1957" s="28"/>
    </row>
    <row r="1958" customFormat="1" spans="1:16">
      <c r="A1958" s="39"/>
      <c r="B1958" s="40"/>
      <c r="C1958" s="41"/>
      <c r="D1958" s="41"/>
      <c r="E1958" s="41"/>
      <c r="F1958" s="41"/>
      <c r="G1958" s="41"/>
      <c r="H1958" s="41"/>
      <c r="I1958" s="41"/>
      <c r="J1958" s="41"/>
      <c r="K1958" s="41"/>
      <c r="L1958" s="41"/>
      <c r="M1958" s="41"/>
      <c r="N1958" s="41"/>
      <c r="O1958" s="41"/>
      <c r="P1958" s="28"/>
    </row>
    <row r="1959" customFormat="1" spans="1:16">
      <c r="A1959" s="39"/>
      <c r="B1959" s="40"/>
      <c r="C1959" s="41"/>
      <c r="D1959" s="41"/>
      <c r="E1959" s="41"/>
      <c r="F1959" s="41"/>
      <c r="G1959" s="41"/>
      <c r="H1959" s="41"/>
      <c r="I1959" s="41"/>
      <c r="J1959" s="41"/>
      <c r="K1959" s="41"/>
      <c r="L1959" s="41"/>
      <c r="M1959" s="41"/>
      <c r="N1959" s="41"/>
      <c r="O1959" s="41"/>
      <c r="P1959" s="28"/>
    </row>
    <row r="1960" customFormat="1" spans="1:16">
      <c r="A1960" s="39"/>
      <c r="B1960" s="40"/>
      <c r="C1960" s="41"/>
      <c r="D1960" s="41"/>
      <c r="E1960" s="41"/>
      <c r="F1960" s="41"/>
      <c r="G1960" s="41"/>
      <c r="H1960" s="41"/>
      <c r="I1960" s="41"/>
      <c r="J1960" s="41"/>
      <c r="K1960" s="41"/>
      <c r="L1960" s="41"/>
      <c r="M1960" s="41"/>
      <c r="N1960" s="41"/>
      <c r="O1960" s="41"/>
      <c r="P1960" s="28"/>
    </row>
    <row r="1961" customFormat="1" spans="1:16">
      <c r="A1961" s="39"/>
      <c r="B1961" s="40"/>
      <c r="C1961" s="41"/>
      <c r="D1961" s="41"/>
      <c r="E1961" s="41"/>
      <c r="F1961" s="41"/>
      <c r="G1961" s="41"/>
      <c r="H1961" s="41"/>
      <c r="I1961" s="41"/>
      <c r="J1961" s="41"/>
      <c r="K1961" s="41"/>
      <c r="L1961" s="41"/>
      <c r="M1961" s="41"/>
      <c r="N1961" s="41"/>
      <c r="O1961" s="41"/>
      <c r="P1961" s="28"/>
    </row>
    <row r="1962" customFormat="1" spans="1:16">
      <c r="A1962" s="39"/>
      <c r="B1962" s="40"/>
      <c r="C1962" s="41"/>
      <c r="D1962" s="41"/>
      <c r="E1962" s="41"/>
      <c r="F1962" s="41"/>
      <c r="G1962" s="41"/>
      <c r="H1962" s="41"/>
      <c r="I1962" s="41"/>
      <c r="J1962" s="41"/>
      <c r="K1962" s="41"/>
      <c r="L1962" s="41"/>
      <c r="M1962" s="41"/>
      <c r="N1962" s="41"/>
      <c r="O1962" s="41"/>
      <c r="P1962" s="28"/>
    </row>
    <row r="1963" customFormat="1" spans="1:16">
      <c r="A1963" s="39"/>
      <c r="B1963" s="40"/>
      <c r="C1963" s="41"/>
      <c r="D1963" s="41"/>
      <c r="E1963" s="41"/>
      <c r="F1963" s="41"/>
      <c r="G1963" s="41"/>
      <c r="H1963" s="41"/>
      <c r="I1963" s="41"/>
      <c r="J1963" s="41"/>
      <c r="K1963" s="41"/>
      <c r="L1963" s="41"/>
      <c r="M1963" s="41"/>
      <c r="N1963" s="41"/>
      <c r="O1963" s="41"/>
      <c r="P1963" s="28"/>
    </row>
    <row r="1964" customFormat="1" spans="1:16">
      <c r="A1964" s="39"/>
      <c r="B1964" s="40"/>
      <c r="C1964" s="41"/>
      <c r="D1964" s="41"/>
      <c r="E1964" s="41"/>
      <c r="F1964" s="41"/>
      <c r="G1964" s="41"/>
      <c r="H1964" s="41"/>
      <c r="I1964" s="41"/>
      <c r="J1964" s="41"/>
      <c r="K1964" s="41"/>
      <c r="L1964" s="41"/>
      <c r="M1964" s="41"/>
      <c r="N1964" s="41"/>
      <c r="O1964" s="41"/>
      <c r="P1964" s="28"/>
    </row>
    <row r="1965" customFormat="1" spans="1:16">
      <c r="A1965" s="39"/>
      <c r="B1965" s="40"/>
      <c r="C1965" s="41"/>
      <c r="D1965" s="41"/>
      <c r="E1965" s="41"/>
      <c r="F1965" s="41"/>
      <c r="G1965" s="41"/>
      <c r="H1965" s="41"/>
      <c r="I1965" s="41"/>
      <c r="J1965" s="41"/>
      <c r="K1965" s="41"/>
      <c r="L1965" s="41"/>
      <c r="M1965" s="41"/>
      <c r="N1965" s="41"/>
      <c r="O1965" s="41"/>
      <c r="P1965" s="28"/>
    </row>
    <row r="1966" customFormat="1" spans="1:16">
      <c r="A1966" s="39"/>
      <c r="B1966" s="40"/>
      <c r="C1966" s="41"/>
      <c r="D1966" s="41"/>
      <c r="E1966" s="41"/>
      <c r="F1966" s="41"/>
      <c r="G1966" s="41"/>
      <c r="H1966" s="41"/>
      <c r="I1966" s="41"/>
      <c r="J1966" s="41"/>
      <c r="K1966" s="41"/>
      <c r="L1966" s="41"/>
      <c r="M1966" s="41"/>
      <c r="N1966" s="41"/>
      <c r="O1966" s="41"/>
      <c r="P1966" s="28"/>
    </row>
    <row r="1967" customFormat="1" spans="1:16">
      <c r="A1967" s="39"/>
      <c r="B1967" s="40"/>
      <c r="C1967" s="41"/>
      <c r="D1967" s="41"/>
      <c r="E1967" s="41"/>
      <c r="F1967" s="41"/>
      <c r="G1967" s="41"/>
      <c r="H1967" s="41"/>
      <c r="I1967" s="41"/>
      <c r="J1967" s="41"/>
      <c r="K1967" s="41"/>
      <c r="L1967" s="41"/>
      <c r="M1967" s="41"/>
      <c r="N1967" s="41"/>
      <c r="O1967" s="41"/>
      <c r="P1967" s="28"/>
    </row>
    <row r="1968" customFormat="1" spans="1:16">
      <c r="A1968" s="39"/>
      <c r="B1968" s="40"/>
      <c r="C1968" s="41"/>
      <c r="D1968" s="41"/>
      <c r="E1968" s="41"/>
      <c r="F1968" s="41"/>
      <c r="G1968" s="41"/>
      <c r="H1968" s="41"/>
      <c r="I1968" s="41"/>
      <c r="J1968" s="41"/>
      <c r="K1968" s="41"/>
      <c r="L1968" s="41"/>
      <c r="M1968" s="41"/>
      <c r="N1968" s="41"/>
      <c r="O1968" s="41"/>
      <c r="P1968" s="28"/>
    </row>
    <row r="1969" customFormat="1" spans="1:16">
      <c r="A1969" s="39"/>
      <c r="B1969" s="40"/>
      <c r="C1969" s="41"/>
      <c r="D1969" s="41"/>
      <c r="E1969" s="41"/>
      <c r="F1969" s="41"/>
      <c r="G1969" s="41"/>
      <c r="H1969" s="41"/>
      <c r="I1969" s="41"/>
      <c r="J1969" s="41"/>
      <c r="K1969" s="41"/>
      <c r="L1969" s="41"/>
      <c r="M1969" s="41"/>
      <c r="N1969" s="41"/>
      <c r="O1969" s="41"/>
      <c r="P1969" s="28"/>
    </row>
    <row r="1970" customFormat="1" spans="1:16">
      <c r="A1970" s="39"/>
      <c r="B1970" s="40"/>
      <c r="C1970" s="41"/>
      <c r="D1970" s="41"/>
      <c r="E1970" s="41"/>
      <c r="F1970" s="41"/>
      <c r="G1970" s="41"/>
      <c r="H1970" s="41"/>
      <c r="I1970" s="41"/>
      <c r="J1970" s="41"/>
      <c r="K1970" s="41"/>
      <c r="L1970" s="41"/>
      <c r="M1970" s="41"/>
      <c r="N1970" s="41"/>
      <c r="O1970" s="41"/>
      <c r="P1970" s="28"/>
    </row>
    <row r="1971" customFormat="1" spans="1:16">
      <c r="A1971" s="39"/>
      <c r="B1971" s="40"/>
      <c r="C1971" s="41"/>
      <c r="D1971" s="41"/>
      <c r="E1971" s="41"/>
      <c r="F1971" s="41"/>
      <c r="G1971" s="41"/>
      <c r="H1971" s="41"/>
      <c r="I1971" s="41"/>
      <c r="J1971" s="41"/>
      <c r="K1971" s="41"/>
      <c r="L1971" s="41"/>
      <c r="M1971" s="41"/>
      <c r="N1971" s="41"/>
      <c r="O1971" s="41"/>
      <c r="P1971" s="28"/>
    </row>
    <row r="1972" customFormat="1" spans="1:16">
      <c r="A1972" s="39"/>
      <c r="B1972" s="40"/>
      <c r="C1972" s="41"/>
      <c r="D1972" s="41"/>
      <c r="E1972" s="41"/>
      <c r="F1972" s="41"/>
      <c r="G1972" s="41"/>
      <c r="H1972" s="41"/>
      <c r="I1972" s="41"/>
      <c r="J1972" s="41"/>
      <c r="K1972" s="41"/>
      <c r="L1972" s="41"/>
      <c r="M1972" s="41"/>
      <c r="N1972" s="41"/>
      <c r="O1972" s="41"/>
      <c r="P1972" s="28"/>
    </row>
    <row r="1973" customFormat="1" spans="1:16">
      <c r="A1973" s="39"/>
      <c r="B1973" s="40"/>
      <c r="C1973" s="41"/>
      <c r="D1973" s="41"/>
      <c r="E1973" s="41"/>
      <c r="F1973" s="41"/>
      <c r="G1973" s="41"/>
      <c r="H1973" s="41"/>
      <c r="I1973" s="41"/>
      <c r="J1973" s="41"/>
      <c r="K1973" s="41"/>
      <c r="L1973" s="41"/>
      <c r="M1973" s="41"/>
      <c r="N1973" s="41"/>
      <c r="O1973" s="41"/>
      <c r="P1973" s="28"/>
    </row>
    <row r="1974" customFormat="1" spans="1:16">
      <c r="A1974" s="39"/>
      <c r="B1974" s="40"/>
      <c r="C1974" s="41"/>
      <c r="D1974" s="41"/>
      <c r="E1974" s="41"/>
      <c r="F1974" s="41"/>
      <c r="G1974" s="41"/>
      <c r="H1974" s="41"/>
      <c r="I1974" s="41"/>
      <c r="J1974" s="41"/>
      <c r="K1974" s="41"/>
      <c r="L1974" s="41"/>
      <c r="M1974" s="41"/>
      <c r="N1974" s="41"/>
      <c r="O1974" s="41"/>
      <c r="P1974" s="28"/>
    </row>
    <row r="1975" customFormat="1" spans="1:16">
      <c r="A1975" s="39"/>
      <c r="B1975" s="40"/>
      <c r="C1975" s="41"/>
      <c r="D1975" s="41"/>
      <c r="E1975" s="41"/>
      <c r="F1975" s="41"/>
      <c r="G1975" s="41"/>
      <c r="H1975" s="41"/>
      <c r="I1975" s="41"/>
      <c r="J1975" s="41"/>
      <c r="K1975" s="41"/>
      <c r="L1975" s="41"/>
      <c r="M1975" s="41"/>
      <c r="N1975" s="41"/>
      <c r="O1975" s="41"/>
      <c r="P1975" s="28"/>
    </row>
    <row r="1976" customFormat="1" spans="1:16">
      <c r="A1976" s="39"/>
      <c r="B1976" s="40"/>
      <c r="C1976" s="41"/>
      <c r="D1976" s="41"/>
      <c r="E1976" s="41"/>
      <c r="F1976" s="41"/>
      <c r="G1976" s="41"/>
      <c r="H1976" s="41"/>
      <c r="I1976" s="41"/>
      <c r="J1976" s="41"/>
      <c r="K1976" s="41"/>
      <c r="L1976" s="41"/>
      <c r="M1976" s="41"/>
      <c r="N1976" s="41"/>
      <c r="O1976" s="41"/>
      <c r="P1976" s="28"/>
    </row>
    <row r="1977" customFormat="1" spans="1:16">
      <c r="A1977" s="39"/>
      <c r="B1977" s="40"/>
      <c r="C1977" s="41"/>
      <c r="D1977" s="41"/>
      <c r="E1977" s="41"/>
      <c r="F1977" s="41"/>
      <c r="G1977" s="41"/>
      <c r="H1977" s="41"/>
      <c r="I1977" s="41"/>
      <c r="J1977" s="41"/>
      <c r="K1977" s="41"/>
      <c r="L1977" s="41"/>
      <c r="M1977" s="41"/>
      <c r="N1977" s="41"/>
      <c r="O1977" s="41"/>
      <c r="P1977" s="28"/>
    </row>
    <row r="1978" customFormat="1" spans="1:16">
      <c r="A1978" s="39"/>
      <c r="B1978" s="40"/>
      <c r="C1978" s="41"/>
      <c r="D1978" s="41"/>
      <c r="E1978" s="41"/>
      <c r="F1978" s="41"/>
      <c r="G1978" s="41"/>
      <c r="H1978" s="41"/>
      <c r="I1978" s="41"/>
      <c r="J1978" s="41"/>
      <c r="K1978" s="41"/>
      <c r="L1978" s="41"/>
      <c r="M1978" s="41"/>
      <c r="N1978" s="41"/>
      <c r="O1978" s="41"/>
      <c r="P1978" s="28"/>
    </row>
    <row r="1979" customFormat="1" spans="1:16">
      <c r="A1979" s="39"/>
      <c r="B1979" s="40"/>
      <c r="C1979" s="41"/>
      <c r="D1979" s="41"/>
      <c r="E1979" s="41"/>
      <c r="F1979" s="41"/>
      <c r="G1979" s="41"/>
      <c r="H1979" s="41"/>
      <c r="I1979" s="41"/>
      <c r="J1979" s="41"/>
      <c r="K1979" s="41"/>
      <c r="L1979" s="41"/>
      <c r="M1979" s="41"/>
      <c r="N1979" s="41"/>
      <c r="O1979" s="41"/>
      <c r="P1979" s="28"/>
    </row>
    <row r="1980" customFormat="1" spans="1:16">
      <c r="A1980" s="39"/>
      <c r="B1980" s="40"/>
      <c r="C1980" s="41"/>
      <c r="D1980" s="41"/>
      <c r="E1980" s="41"/>
      <c r="F1980" s="41"/>
      <c r="G1980" s="41"/>
      <c r="H1980" s="41"/>
      <c r="I1980" s="41"/>
      <c r="J1980" s="41"/>
      <c r="K1980" s="41"/>
      <c r="L1980" s="41"/>
      <c r="M1980" s="41"/>
      <c r="N1980" s="41"/>
      <c r="O1980" s="41"/>
      <c r="P1980" s="28"/>
    </row>
    <row r="1981" customFormat="1" spans="1:16">
      <c r="A1981" s="39"/>
      <c r="B1981" s="40"/>
      <c r="C1981" s="41"/>
      <c r="D1981" s="41"/>
      <c r="E1981" s="41"/>
      <c r="F1981" s="41"/>
      <c r="G1981" s="41"/>
      <c r="H1981" s="41"/>
      <c r="I1981" s="41"/>
      <c r="J1981" s="41"/>
      <c r="K1981" s="41"/>
      <c r="L1981" s="41"/>
      <c r="M1981" s="41"/>
      <c r="N1981" s="41"/>
      <c r="O1981" s="41"/>
      <c r="P1981" s="28"/>
    </row>
    <row r="1982" customFormat="1" spans="1:16">
      <c r="A1982" s="39"/>
      <c r="B1982" s="40"/>
      <c r="C1982" s="41"/>
      <c r="D1982" s="41"/>
      <c r="E1982" s="41"/>
      <c r="F1982" s="41"/>
      <c r="G1982" s="41"/>
      <c r="H1982" s="41"/>
      <c r="I1982" s="41"/>
      <c r="J1982" s="41"/>
      <c r="K1982" s="41"/>
      <c r="L1982" s="41"/>
      <c r="M1982" s="41"/>
      <c r="N1982" s="41"/>
      <c r="O1982" s="41"/>
      <c r="P1982" s="28"/>
    </row>
    <row r="1983" customFormat="1" spans="1:16">
      <c r="A1983" s="39"/>
      <c r="B1983" s="40"/>
      <c r="C1983" s="41"/>
      <c r="D1983" s="41"/>
      <c r="E1983" s="41"/>
      <c r="F1983" s="41"/>
      <c r="G1983" s="41"/>
      <c r="H1983" s="41"/>
      <c r="I1983" s="41"/>
      <c r="J1983" s="41"/>
      <c r="K1983" s="41"/>
      <c r="L1983" s="41"/>
      <c r="M1983" s="41"/>
      <c r="N1983" s="41"/>
      <c r="O1983" s="41"/>
      <c r="P1983" s="28"/>
    </row>
    <row r="1984" customFormat="1" spans="1:16">
      <c r="A1984" s="39"/>
      <c r="B1984" s="40"/>
      <c r="C1984" s="41"/>
      <c r="D1984" s="41"/>
      <c r="E1984" s="41"/>
      <c r="F1984" s="41"/>
      <c r="G1984" s="41"/>
      <c r="H1984" s="41"/>
      <c r="I1984" s="41"/>
      <c r="J1984" s="41"/>
      <c r="K1984" s="41"/>
      <c r="L1984" s="41"/>
      <c r="M1984" s="41"/>
      <c r="N1984" s="41"/>
      <c r="O1984" s="41"/>
      <c r="P1984" s="28"/>
    </row>
    <row r="1985" customFormat="1" spans="1:16">
      <c r="A1985" s="39"/>
      <c r="B1985" s="40"/>
      <c r="C1985" s="41"/>
      <c r="D1985" s="41"/>
      <c r="E1985" s="41"/>
      <c r="F1985" s="41"/>
      <c r="G1985" s="41"/>
      <c r="H1985" s="41"/>
      <c r="I1985" s="41"/>
      <c r="J1985" s="41"/>
      <c r="K1985" s="41"/>
      <c r="L1985" s="41"/>
      <c r="M1985" s="41"/>
      <c r="N1985" s="41"/>
      <c r="O1985" s="41"/>
      <c r="P1985" s="28"/>
    </row>
    <row r="1986" customFormat="1" spans="1:16">
      <c r="A1986" s="39"/>
      <c r="B1986" s="40"/>
      <c r="C1986" s="41"/>
      <c r="D1986" s="41"/>
      <c r="E1986" s="41"/>
      <c r="F1986" s="41"/>
      <c r="G1986" s="41"/>
      <c r="H1986" s="41"/>
      <c r="I1986" s="41"/>
      <c r="J1986" s="41"/>
      <c r="K1986" s="41"/>
      <c r="L1986" s="41"/>
      <c r="M1986" s="41"/>
      <c r="N1986" s="41"/>
      <c r="O1986" s="41"/>
      <c r="P1986" s="28"/>
    </row>
    <row r="1987" customFormat="1" spans="1:16">
      <c r="A1987" s="39"/>
      <c r="B1987" s="40"/>
      <c r="C1987" s="41"/>
      <c r="D1987" s="41"/>
      <c r="E1987" s="41"/>
      <c r="F1987" s="41"/>
      <c r="G1987" s="41"/>
      <c r="H1987" s="41"/>
      <c r="I1987" s="41"/>
      <c r="J1987" s="41"/>
      <c r="K1987" s="41"/>
      <c r="L1987" s="41"/>
      <c r="M1987" s="41"/>
      <c r="N1987" s="41"/>
      <c r="O1987" s="41"/>
      <c r="P1987" s="28"/>
    </row>
    <row r="1988" customFormat="1" spans="1:16">
      <c r="A1988" s="39"/>
      <c r="B1988" s="40"/>
      <c r="C1988" s="41"/>
      <c r="D1988" s="41"/>
      <c r="E1988" s="41"/>
      <c r="F1988" s="41"/>
      <c r="G1988" s="41"/>
      <c r="H1988" s="41"/>
      <c r="I1988" s="41"/>
      <c r="J1988" s="41"/>
      <c r="K1988" s="41"/>
      <c r="L1988" s="41"/>
      <c r="M1988" s="41"/>
      <c r="N1988" s="41"/>
      <c r="O1988" s="41"/>
      <c r="P1988" s="28"/>
    </row>
    <row r="1989" customFormat="1" spans="1:16">
      <c r="A1989" s="39"/>
      <c r="B1989" s="40"/>
      <c r="C1989" s="41"/>
      <c r="D1989" s="41"/>
      <c r="E1989" s="41"/>
      <c r="F1989" s="41"/>
      <c r="G1989" s="41"/>
      <c r="H1989" s="41"/>
      <c r="I1989" s="41"/>
      <c r="J1989" s="41"/>
      <c r="K1989" s="41"/>
      <c r="L1989" s="41"/>
      <c r="M1989" s="41"/>
      <c r="N1989" s="41"/>
      <c r="O1989" s="41"/>
      <c r="P1989" s="28"/>
    </row>
    <row r="1990" customFormat="1" spans="1:16">
      <c r="A1990" s="39"/>
      <c r="B1990" s="40"/>
      <c r="C1990" s="41"/>
      <c r="D1990" s="41"/>
      <c r="E1990" s="41"/>
      <c r="F1990" s="41"/>
      <c r="G1990" s="41"/>
      <c r="H1990" s="41"/>
      <c r="I1990" s="41"/>
      <c r="J1990" s="41"/>
      <c r="K1990" s="41"/>
      <c r="L1990" s="41"/>
      <c r="M1990" s="41"/>
      <c r="N1990" s="41"/>
      <c r="O1990" s="41"/>
      <c r="P1990" s="28"/>
    </row>
    <row r="1991" customFormat="1" spans="1:16">
      <c r="A1991" s="39"/>
      <c r="B1991" s="40"/>
      <c r="C1991" s="41"/>
      <c r="D1991" s="41"/>
      <c r="E1991" s="41"/>
      <c r="F1991" s="41"/>
      <c r="G1991" s="41"/>
      <c r="H1991" s="41"/>
      <c r="I1991" s="41"/>
      <c r="J1991" s="41"/>
      <c r="K1991" s="41"/>
      <c r="L1991" s="41"/>
      <c r="M1991" s="41"/>
      <c r="N1991" s="41"/>
      <c r="O1991" s="41"/>
      <c r="P1991" s="28"/>
    </row>
    <row r="1992" customFormat="1" spans="1:16">
      <c r="A1992" s="39"/>
      <c r="B1992" s="40"/>
      <c r="C1992" s="41"/>
      <c r="D1992" s="41"/>
      <c r="E1992" s="41"/>
      <c r="F1992" s="41"/>
      <c r="G1992" s="41"/>
      <c r="H1992" s="41"/>
      <c r="I1992" s="41"/>
      <c r="J1992" s="41"/>
      <c r="K1992" s="41"/>
      <c r="L1992" s="41"/>
      <c r="M1992" s="41"/>
      <c r="N1992" s="41"/>
      <c r="O1992" s="41"/>
      <c r="P1992" s="28"/>
    </row>
    <row r="1993" customFormat="1" spans="1:16">
      <c r="A1993" s="39"/>
      <c r="B1993" s="40"/>
      <c r="C1993" s="41"/>
      <c r="D1993" s="41"/>
      <c r="E1993" s="41"/>
      <c r="F1993" s="41"/>
      <c r="G1993" s="41"/>
      <c r="H1993" s="41"/>
      <c r="I1993" s="41"/>
      <c r="J1993" s="41"/>
      <c r="K1993" s="41"/>
      <c r="L1993" s="41"/>
      <c r="M1993" s="41"/>
      <c r="N1993" s="41"/>
      <c r="O1993" s="41"/>
      <c r="P1993" s="28"/>
    </row>
    <row r="1994" customFormat="1" spans="1:16">
      <c r="A1994" s="39"/>
      <c r="B1994" s="40"/>
      <c r="C1994" s="41"/>
      <c r="D1994" s="41"/>
      <c r="E1994" s="41"/>
      <c r="F1994" s="41"/>
      <c r="G1994" s="41"/>
      <c r="H1994" s="41"/>
      <c r="I1994" s="41"/>
      <c r="J1994" s="41"/>
      <c r="K1994" s="41"/>
      <c r="L1994" s="41"/>
      <c r="M1994" s="41"/>
      <c r="N1994" s="41"/>
      <c r="O1994" s="41"/>
      <c r="P1994" s="28"/>
    </row>
    <row r="1995" customFormat="1" spans="1:16">
      <c r="A1995" s="39"/>
      <c r="B1995" s="40"/>
      <c r="C1995" s="41"/>
      <c r="D1995" s="41"/>
      <c r="E1995" s="41"/>
      <c r="F1995" s="41"/>
      <c r="G1995" s="41"/>
      <c r="H1995" s="41"/>
      <c r="I1995" s="41"/>
      <c r="J1995" s="41"/>
      <c r="K1995" s="41"/>
      <c r="L1995" s="41"/>
      <c r="M1995" s="41"/>
      <c r="N1995" s="41"/>
      <c r="O1995" s="41"/>
      <c r="P1995" s="28"/>
    </row>
    <row r="1996" customFormat="1" spans="1:16">
      <c r="A1996" s="39"/>
      <c r="B1996" s="40"/>
      <c r="C1996" s="41"/>
      <c r="D1996" s="41"/>
      <c r="E1996" s="41"/>
      <c r="F1996" s="41"/>
      <c r="G1996" s="41"/>
      <c r="H1996" s="41"/>
      <c r="I1996" s="41"/>
      <c r="J1996" s="41"/>
      <c r="K1996" s="41"/>
      <c r="L1996" s="41"/>
      <c r="M1996" s="41"/>
      <c r="N1996" s="41"/>
      <c r="O1996" s="41"/>
      <c r="P1996" s="28"/>
    </row>
    <row r="1997" customFormat="1" spans="1:16">
      <c r="A1997" s="39"/>
      <c r="B1997" s="40"/>
      <c r="C1997" s="41"/>
      <c r="D1997" s="41"/>
      <c r="E1997" s="41"/>
      <c r="F1997" s="41"/>
      <c r="G1997" s="41"/>
      <c r="H1997" s="41"/>
      <c r="I1997" s="41"/>
      <c r="J1997" s="41"/>
      <c r="K1997" s="41"/>
      <c r="L1997" s="41"/>
      <c r="M1997" s="41"/>
      <c r="N1997" s="41"/>
      <c r="O1997" s="41"/>
      <c r="P1997" s="28"/>
    </row>
    <row r="1998" customFormat="1" spans="1:16">
      <c r="A1998" s="39"/>
      <c r="B1998" s="40"/>
      <c r="C1998" s="41"/>
      <c r="D1998" s="41"/>
      <c r="E1998" s="41"/>
      <c r="F1998" s="41"/>
      <c r="G1998" s="41"/>
      <c r="H1998" s="41"/>
      <c r="I1998" s="41"/>
      <c r="J1998" s="41"/>
      <c r="K1998" s="41"/>
      <c r="L1998" s="41"/>
      <c r="M1998" s="41"/>
      <c r="N1998" s="41"/>
      <c r="O1998" s="41"/>
      <c r="P1998" s="28"/>
    </row>
    <row r="1999" customFormat="1" spans="1:16">
      <c r="A1999" s="39"/>
      <c r="B1999" s="40"/>
      <c r="C1999" s="41"/>
      <c r="D1999" s="41"/>
      <c r="E1999" s="41"/>
      <c r="F1999" s="41"/>
      <c r="G1999" s="41"/>
      <c r="H1999" s="41"/>
      <c r="I1999" s="41"/>
      <c r="J1999" s="41"/>
      <c r="K1999" s="41"/>
      <c r="L1999" s="41"/>
      <c r="M1999" s="41"/>
      <c r="N1999" s="41"/>
      <c r="O1999" s="41"/>
      <c r="P1999" s="28"/>
    </row>
    <row r="2000" customFormat="1" spans="1:16">
      <c r="A2000" s="39"/>
      <c r="B2000" s="40"/>
      <c r="C2000" s="41"/>
      <c r="D2000" s="41"/>
      <c r="E2000" s="41"/>
      <c r="F2000" s="41"/>
      <c r="G2000" s="41"/>
      <c r="H2000" s="41"/>
      <c r="I2000" s="41"/>
      <c r="J2000" s="41"/>
      <c r="K2000" s="41"/>
      <c r="L2000" s="41"/>
      <c r="M2000" s="41"/>
      <c r="N2000" s="41"/>
      <c r="O2000" s="41"/>
      <c r="P2000" s="28"/>
    </row>
    <row r="2001" customFormat="1" spans="1:16">
      <c r="A2001" s="39"/>
      <c r="B2001" s="40"/>
      <c r="C2001" s="41"/>
      <c r="D2001" s="41"/>
      <c r="E2001" s="41"/>
      <c r="F2001" s="41"/>
      <c r="G2001" s="41"/>
      <c r="H2001" s="41"/>
      <c r="I2001" s="41"/>
      <c r="J2001" s="41"/>
      <c r="K2001" s="41"/>
      <c r="L2001" s="41"/>
      <c r="M2001" s="41"/>
      <c r="N2001" s="41"/>
      <c r="O2001" s="41"/>
      <c r="P2001" s="28"/>
    </row>
    <row r="2002" customFormat="1" spans="1:16">
      <c r="A2002" s="39"/>
      <c r="B2002" s="40"/>
      <c r="C2002" s="41"/>
      <c r="D2002" s="41"/>
      <c r="E2002" s="41"/>
      <c r="F2002" s="41"/>
      <c r="G2002" s="41"/>
      <c r="H2002" s="41"/>
      <c r="I2002" s="41"/>
      <c r="J2002" s="41"/>
      <c r="K2002" s="41"/>
      <c r="L2002" s="41"/>
      <c r="M2002" s="41"/>
      <c r="N2002" s="41"/>
      <c r="O2002" s="41"/>
      <c r="P2002" s="28"/>
    </row>
    <row r="2003" customFormat="1" spans="1:16">
      <c r="A2003" s="39"/>
      <c r="B2003" s="40"/>
      <c r="C2003" s="41"/>
      <c r="D2003" s="41"/>
      <c r="E2003" s="41"/>
      <c r="F2003" s="41"/>
      <c r="G2003" s="41"/>
      <c r="H2003" s="41"/>
      <c r="I2003" s="41"/>
      <c r="J2003" s="41"/>
      <c r="K2003" s="41"/>
      <c r="L2003" s="41"/>
      <c r="M2003" s="41"/>
      <c r="N2003" s="41"/>
      <c r="O2003" s="41"/>
      <c r="P2003" s="28"/>
    </row>
    <row r="2004" customFormat="1" spans="1:16">
      <c r="A2004" s="39"/>
      <c r="B2004" s="40"/>
      <c r="C2004" s="41"/>
      <c r="D2004" s="41"/>
      <c r="E2004" s="41"/>
      <c r="F2004" s="41"/>
      <c r="G2004" s="41"/>
      <c r="H2004" s="41"/>
      <c r="I2004" s="41"/>
      <c r="J2004" s="41"/>
      <c r="K2004" s="41"/>
      <c r="L2004" s="41"/>
      <c r="M2004" s="41"/>
      <c r="N2004" s="41"/>
      <c r="O2004" s="41"/>
      <c r="P2004" s="28"/>
    </row>
    <row r="2005" customFormat="1" spans="1:16">
      <c r="A2005" s="39"/>
      <c r="B2005" s="40"/>
      <c r="C2005" s="41"/>
      <c r="D2005" s="41"/>
      <c r="E2005" s="41"/>
      <c r="F2005" s="41"/>
      <c r="G2005" s="41"/>
      <c r="H2005" s="41"/>
      <c r="I2005" s="41"/>
      <c r="J2005" s="41"/>
      <c r="K2005" s="41"/>
      <c r="L2005" s="41"/>
      <c r="M2005" s="41"/>
      <c r="N2005" s="41"/>
      <c r="O2005" s="41"/>
      <c r="P2005" s="28"/>
    </row>
    <row r="2006" customFormat="1" spans="1:16">
      <c r="A2006" s="39"/>
      <c r="B2006" s="40"/>
      <c r="C2006" s="41"/>
      <c r="D2006" s="41"/>
      <c r="E2006" s="41"/>
      <c r="F2006" s="41"/>
      <c r="G2006" s="41"/>
      <c r="H2006" s="41"/>
      <c r="I2006" s="41"/>
      <c r="J2006" s="41"/>
      <c r="K2006" s="41"/>
      <c r="L2006" s="41"/>
      <c r="M2006" s="41"/>
      <c r="N2006" s="41"/>
      <c r="O2006" s="41"/>
      <c r="P2006" s="28"/>
    </row>
    <row r="2007" customFormat="1" spans="1:16">
      <c r="A2007" s="39"/>
      <c r="B2007" s="40"/>
      <c r="C2007" s="41"/>
      <c r="D2007" s="41"/>
      <c r="E2007" s="41"/>
      <c r="F2007" s="41"/>
      <c r="G2007" s="41"/>
      <c r="H2007" s="41"/>
      <c r="I2007" s="41"/>
      <c r="J2007" s="41"/>
      <c r="K2007" s="41"/>
      <c r="L2007" s="41"/>
      <c r="M2007" s="41"/>
      <c r="N2007" s="41"/>
      <c r="O2007" s="41"/>
      <c r="P2007" s="28"/>
    </row>
    <row r="2008" customFormat="1" spans="1:16">
      <c r="A2008" s="39"/>
      <c r="B2008" s="40"/>
      <c r="C2008" s="41"/>
      <c r="D2008" s="41"/>
      <c r="E2008" s="41"/>
      <c r="F2008" s="41"/>
      <c r="G2008" s="41"/>
      <c r="H2008" s="41"/>
      <c r="I2008" s="41"/>
      <c r="J2008" s="41"/>
      <c r="K2008" s="41"/>
      <c r="L2008" s="41"/>
      <c r="M2008" s="41"/>
      <c r="N2008" s="41"/>
      <c r="O2008" s="41"/>
      <c r="P2008" s="28"/>
    </row>
    <row r="2009" customFormat="1" spans="1:16">
      <c r="A2009" s="39"/>
      <c r="B2009" s="40"/>
      <c r="C2009" s="41"/>
      <c r="D2009" s="41"/>
      <c r="E2009" s="41"/>
      <c r="F2009" s="41"/>
      <c r="G2009" s="41"/>
      <c r="H2009" s="41"/>
      <c r="I2009" s="41"/>
      <c r="J2009" s="41"/>
      <c r="K2009" s="41"/>
      <c r="L2009" s="41"/>
      <c r="M2009" s="41"/>
      <c r="N2009" s="41"/>
      <c r="O2009" s="41"/>
      <c r="P2009" s="28"/>
    </row>
    <row r="2010" customFormat="1" spans="1:16">
      <c r="A2010" s="39"/>
      <c r="B2010" s="40"/>
      <c r="C2010" s="41"/>
      <c r="D2010" s="41"/>
      <c r="E2010" s="41"/>
      <c r="F2010" s="41"/>
      <c r="G2010" s="41"/>
      <c r="H2010" s="41"/>
      <c r="I2010" s="41"/>
      <c r="J2010" s="41"/>
      <c r="K2010" s="41"/>
      <c r="L2010" s="41"/>
      <c r="M2010" s="41"/>
      <c r="N2010" s="41"/>
      <c r="O2010" s="41"/>
      <c r="P2010" s="28"/>
    </row>
    <row r="2011" customFormat="1" spans="1:16">
      <c r="A2011" s="39"/>
      <c r="B2011" s="40"/>
      <c r="C2011" s="41"/>
      <c r="D2011" s="41"/>
      <c r="E2011" s="41"/>
      <c r="F2011" s="41"/>
      <c r="G2011" s="41"/>
      <c r="H2011" s="41"/>
      <c r="I2011" s="41"/>
      <c r="J2011" s="41"/>
      <c r="K2011" s="41"/>
      <c r="L2011" s="41"/>
      <c r="M2011" s="41"/>
      <c r="N2011" s="41"/>
      <c r="O2011" s="41"/>
      <c r="P2011" s="28"/>
    </row>
    <row r="2012" customFormat="1" spans="1:16">
      <c r="A2012" s="39"/>
      <c r="B2012" s="40"/>
      <c r="C2012" s="41"/>
      <c r="D2012" s="41"/>
      <c r="E2012" s="41"/>
      <c r="F2012" s="41"/>
      <c r="G2012" s="41"/>
      <c r="H2012" s="41"/>
      <c r="I2012" s="41"/>
      <c r="J2012" s="41"/>
      <c r="K2012" s="41"/>
      <c r="L2012" s="41"/>
      <c r="M2012" s="41"/>
      <c r="N2012" s="41"/>
      <c r="O2012" s="41"/>
      <c r="P2012" s="28"/>
    </row>
    <row r="2013" customFormat="1" spans="1:16">
      <c r="A2013" s="39"/>
      <c r="B2013" s="40"/>
      <c r="C2013" s="41"/>
      <c r="D2013" s="41"/>
      <c r="E2013" s="41"/>
      <c r="F2013" s="41"/>
      <c r="G2013" s="41"/>
      <c r="H2013" s="41"/>
      <c r="I2013" s="41"/>
      <c r="J2013" s="41"/>
      <c r="K2013" s="41"/>
      <c r="L2013" s="41"/>
      <c r="M2013" s="41"/>
      <c r="N2013" s="41"/>
      <c r="O2013" s="41"/>
      <c r="P2013" s="28"/>
    </row>
    <row r="2014" customFormat="1" spans="1:16">
      <c r="A2014" s="39"/>
      <c r="B2014" s="40"/>
      <c r="C2014" s="41"/>
      <c r="D2014" s="41"/>
      <c r="E2014" s="41"/>
      <c r="F2014" s="41"/>
      <c r="G2014" s="41"/>
      <c r="H2014" s="41"/>
      <c r="I2014" s="41"/>
      <c r="J2014" s="41"/>
      <c r="K2014" s="41"/>
      <c r="L2014" s="41"/>
      <c r="M2014" s="41"/>
      <c r="N2014" s="41"/>
      <c r="O2014" s="41"/>
      <c r="P2014" s="28"/>
    </row>
    <row r="2015" customFormat="1" spans="1:16">
      <c r="A2015" s="39"/>
      <c r="B2015" s="40"/>
      <c r="C2015" s="41"/>
      <c r="D2015" s="41"/>
      <c r="E2015" s="41"/>
      <c r="F2015" s="41"/>
      <c r="G2015" s="41"/>
      <c r="H2015" s="41"/>
      <c r="I2015" s="41"/>
      <c r="J2015" s="41"/>
      <c r="K2015" s="41"/>
      <c r="L2015" s="41"/>
      <c r="M2015" s="41"/>
      <c r="N2015" s="41"/>
      <c r="O2015" s="41"/>
      <c r="P2015" s="28"/>
    </row>
    <row r="2016" customFormat="1" spans="1:16">
      <c r="A2016" s="39"/>
      <c r="B2016" s="40"/>
      <c r="C2016" s="41"/>
      <c r="D2016" s="41"/>
      <c r="E2016" s="41"/>
      <c r="F2016" s="41"/>
      <c r="G2016" s="41"/>
      <c r="H2016" s="41"/>
      <c r="I2016" s="41"/>
      <c r="J2016" s="41"/>
      <c r="K2016" s="41"/>
      <c r="L2016" s="41"/>
      <c r="M2016" s="41"/>
      <c r="N2016" s="41"/>
      <c r="O2016" s="41"/>
      <c r="P2016" s="28"/>
    </row>
    <row r="2017" customFormat="1" spans="1:16">
      <c r="A2017" s="39"/>
      <c r="B2017" s="40"/>
      <c r="C2017" s="41"/>
      <c r="D2017" s="41"/>
      <c r="E2017" s="41"/>
      <c r="F2017" s="41"/>
      <c r="G2017" s="41"/>
      <c r="H2017" s="41"/>
      <c r="I2017" s="41"/>
      <c r="J2017" s="41"/>
      <c r="K2017" s="41"/>
      <c r="L2017" s="41"/>
      <c r="M2017" s="41"/>
      <c r="N2017" s="41"/>
      <c r="O2017" s="41"/>
      <c r="P2017" s="28"/>
    </row>
    <row r="2018" customFormat="1" spans="1:16">
      <c r="A2018" s="39"/>
      <c r="B2018" s="40"/>
      <c r="C2018" s="41"/>
      <c r="D2018" s="41"/>
      <c r="E2018" s="41"/>
      <c r="F2018" s="41"/>
      <c r="G2018" s="41"/>
      <c r="H2018" s="41"/>
      <c r="I2018" s="41"/>
      <c r="J2018" s="41"/>
      <c r="K2018" s="41"/>
      <c r="L2018" s="41"/>
      <c r="M2018" s="41"/>
      <c r="N2018" s="41"/>
      <c r="O2018" s="41"/>
      <c r="P2018" s="28"/>
    </row>
    <row r="2019" customFormat="1" spans="1:16">
      <c r="A2019" s="39"/>
      <c r="B2019" s="40"/>
      <c r="C2019" s="41"/>
      <c r="D2019" s="41"/>
      <c r="E2019" s="41"/>
      <c r="F2019" s="41"/>
      <c r="G2019" s="41"/>
      <c r="H2019" s="41"/>
      <c r="I2019" s="41"/>
      <c r="J2019" s="41"/>
      <c r="K2019" s="41"/>
      <c r="L2019" s="41"/>
      <c r="M2019" s="41"/>
      <c r="N2019" s="41"/>
      <c r="O2019" s="41"/>
      <c r="P2019" s="28"/>
    </row>
    <row r="2020" customFormat="1" spans="1:16">
      <c r="A2020" s="39"/>
      <c r="B2020" s="40"/>
      <c r="C2020" s="41"/>
      <c r="D2020" s="41"/>
      <c r="E2020" s="41"/>
      <c r="F2020" s="41"/>
      <c r="G2020" s="41"/>
      <c r="H2020" s="41"/>
      <c r="I2020" s="41"/>
      <c r="J2020" s="41"/>
      <c r="K2020" s="41"/>
      <c r="L2020" s="41"/>
      <c r="M2020" s="41"/>
      <c r="N2020" s="41"/>
      <c r="O2020" s="41"/>
      <c r="P2020" s="28"/>
    </row>
    <row r="2021" customFormat="1" spans="1:16">
      <c r="A2021" s="39"/>
      <c r="B2021" s="40"/>
      <c r="C2021" s="41"/>
      <c r="D2021" s="41"/>
      <c r="E2021" s="41"/>
      <c r="F2021" s="41"/>
      <c r="G2021" s="41"/>
      <c r="H2021" s="41"/>
      <c r="I2021" s="41"/>
      <c r="J2021" s="41"/>
      <c r="K2021" s="41"/>
      <c r="L2021" s="41"/>
      <c r="M2021" s="41"/>
      <c r="N2021" s="41"/>
      <c r="O2021" s="41"/>
      <c r="P2021" s="28"/>
    </row>
    <row r="2022" customFormat="1" spans="1:16">
      <c r="A2022" s="39"/>
      <c r="B2022" s="40"/>
      <c r="C2022" s="41"/>
      <c r="D2022" s="41"/>
      <c r="E2022" s="41"/>
      <c r="F2022" s="41"/>
      <c r="G2022" s="41"/>
      <c r="H2022" s="41"/>
      <c r="I2022" s="41"/>
      <c r="J2022" s="41"/>
      <c r="K2022" s="41"/>
      <c r="L2022" s="41"/>
      <c r="M2022" s="41"/>
      <c r="N2022" s="41"/>
      <c r="O2022" s="41"/>
      <c r="P2022" s="28"/>
    </row>
    <row r="2023" customFormat="1" spans="1:16">
      <c r="A2023" s="39"/>
      <c r="B2023" s="40"/>
      <c r="C2023" s="41"/>
      <c r="D2023" s="41"/>
      <c r="E2023" s="41"/>
      <c r="F2023" s="41"/>
      <c r="G2023" s="41"/>
      <c r="H2023" s="41"/>
      <c r="I2023" s="41"/>
      <c r="J2023" s="41"/>
      <c r="K2023" s="41"/>
      <c r="L2023" s="41"/>
      <c r="M2023" s="41"/>
      <c r="N2023" s="41"/>
      <c r="O2023" s="41"/>
      <c r="P2023" s="28"/>
    </row>
    <row r="2024" customFormat="1" spans="1:16">
      <c r="A2024" s="39"/>
      <c r="B2024" s="40"/>
      <c r="C2024" s="41"/>
      <c r="D2024" s="41"/>
      <c r="E2024" s="41"/>
      <c r="F2024" s="41"/>
      <c r="G2024" s="41"/>
      <c r="H2024" s="41"/>
      <c r="I2024" s="41"/>
      <c r="J2024" s="41"/>
      <c r="K2024" s="41"/>
      <c r="L2024" s="41"/>
      <c r="M2024" s="41"/>
      <c r="N2024" s="41"/>
      <c r="O2024" s="41"/>
      <c r="P2024" s="28"/>
    </row>
    <row r="2025" customFormat="1" spans="1:16">
      <c r="A2025" s="39"/>
      <c r="B2025" s="40"/>
      <c r="C2025" s="41"/>
      <c r="D2025" s="41"/>
      <c r="E2025" s="41"/>
      <c r="F2025" s="41"/>
      <c r="G2025" s="41"/>
      <c r="H2025" s="41"/>
      <c r="I2025" s="41"/>
      <c r="J2025" s="41"/>
      <c r="K2025" s="41"/>
      <c r="L2025" s="41"/>
      <c r="M2025" s="41"/>
      <c r="N2025" s="41"/>
      <c r="O2025" s="41"/>
      <c r="P2025" s="28"/>
    </row>
    <row r="2026" customFormat="1" spans="1:16">
      <c r="A2026" s="39"/>
      <c r="B2026" s="40"/>
      <c r="C2026" s="41"/>
      <c r="D2026" s="41"/>
      <c r="E2026" s="41"/>
      <c r="F2026" s="41"/>
      <c r="G2026" s="41"/>
      <c r="H2026" s="41"/>
      <c r="I2026" s="41"/>
      <c r="J2026" s="41"/>
      <c r="K2026" s="41"/>
      <c r="L2026" s="41"/>
      <c r="M2026" s="41"/>
      <c r="N2026" s="41"/>
      <c r="O2026" s="41"/>
      <c r="P2026" s="28"/>
    </row>
    <row r="2027" customFormat="1" spans="1:16">
      <c r="A2027" s="39"/>
      <c r="B2027" s="40"/>
      <c r="C2027" s="41"/>
      <c r="D2027" s="41"/>
      <c r="E2027" s="41"/>
      <c r="F2027" s="41"/>
      <c r="G2027" s="41"/>
      <c r="H2027" s="41"/>
      <c r="I2027" s="41"/>
      <c r="J2027" s="41"/>
      <c r="K2027" s="41"/>
      <c r="L2027" s="41"/>
      <c r="M2027" s="41"/>
      <c r="N2027" s="41"/>
      <c r="O2027" s="41"/>
      <c r="P2027" s="28"/>
    </row>
    <row r="2028" customFormat="1" spans="1:16">
      <c r="A2028" s="39"/>
      <c r="B2028" s="40"/>
      <c r="C2028" s="41"/>
      <c r="D2028" s="41"/>
      <c r="E2028" s="41"/>
      <c r="F2028" s="41"/>
      <c r="G2028" s="41"/>
      <c r="H2028" s="41"/>
      <c r="I2028" s="41"/>
      <c r="J2028" s="41"/>
      <c r="K2028" s="41"/>
      <c r="L2028" s="41"/>
      <c r="M2028" s="41"/>
      <c r="N2028" s="41"/>
      <c r="O2028" s="41"/>
      <c r="P2028" s="28"/>
    </row>
    <row r="2029" customFormat="1" spans="1:16">
      <c r="A2029" s="39"/>
      <c r="B2029" s="40"/>
      <c r="C2029" s="41"/>
      <c r="D2029" s="41"/>
      <c r="E2029" s="41"/>
      <c r="F2029" s="41"/>
      <c r="G2029" s="41"/>
      <c r="H2029" s="41"/>
      <c r="I2029" s="41"/>
      <c r="J2029" s="41"/>
      <c r="K2029" s="41"/>
      <c r="L2029" s="41"/>
      <c r="M2029" s="41"/>
      <c r="N2029" s="41"/>
      <c r="O2029" s="41"/>
      <c r="P2029" s="28"/>
    </row>
    <row r="2030" customFormat="1" spans="1:16">
      <c r="A2030" s="39"/>
      <c r="B2030" s="40"/>
      <c r="C2030" s="41"/>
      <c r="D2030" s="41"/>
      <c r="E2030" s="41"/>
      <c r="F2030" s="41"/>
      <c r="G2030" s="41"/>
      <c r="H2030" s="41"/>
      <c r="I2030" s="41"/>
      <c r="J2030" s="41"/>
      <c r="K2030" s="41"/>
      <c r="L2030" s="41"/>
      <c r="M2030" s="41"/>
      <c r="N2030" s="41"/>
      <c r="O2030" s="41"/>
      <c r="P2030" s="28"/>
    </row>
    <row r="2031" customFormat="1" spans="1:16">
      <c r="A2031" s="39"/>
      <c r="B2031" s="40"/>
      <c r="C2031" s="41"/>
      <c r="D2031" s="41"/>
      <c r="E2031" s="41"/>
      <c r="F2031" s="41"/>
      <c r="G2031" s="41"/>
      <c r="H2031" s="41"/>
      <c r="I2031" s="41"/>
      <c r="J2031" s="41"/>
      <c r="K2031" s="41"/>
      <c r="L2031" s="41"/>
      <c r="M2031" s="41"/>
      <c r="N2031" s="41"/>
      <c r="O2031" s="41"/>
      <c r="P2031" s="28"/>
    </row>
    <row r="2032" customFormat="1" spans="1:16">
      <c r="A2032" s="39"/>
      <c r="B2032" s="40"/>
      <c r="C2032" s="41"/>
      <c r="D2032" s="41"/>
      <c r="E2032" s="41"/>
      <c r="F2032" s="41"/>
      <c r="G2032" s="41"/>
      <c r="H2032" s="41"/>
      <c r="I2032" s="41"/>
      <c r="J2032" s="41"/>
      <c r="K2032" s="41"/>
      <c r="L2032" s="41"/>
      <c r="M2032" s="41"/>
      <c r="N2032" s="41"/>
      <c r="O2032" s="41"/>
      <c r="P2032" s="28"/>
    </row>
    <row r="2033" customFormat="1" spans="1:16">
      <c r="A2033" s="39"/>
      <c r="B2033" s="40"/>
      <c r="C2033" s="41"/>
      <c r="D2033" s="41"/>
      <c r="E2033" s="41"/>
      <c r="F2033" s="41"/>
      <c r="G2033" s="41"/>
      <c r="H2033" s="41"/>
      <c r="I2033" s="41"/>
      <c r="J2033" s="41"/>
      <c r="K2033" s="41"/>
      <c r="L2033" s="41"/>
      <c r="M2033" s="41"/>
      <c r="N2033" s="41"/>
      <c r="O2033" s="41"/>
      <c r="P2033" s="28"/>
    </row>
    <row r="2034" customFormat="1" spans="1:16">
      <c r="A2034" s="39"/>
      <c r="B2034" s="40"/>
      <c r="C2034" s="41"/>
      <c r="D2034" s="41"/>
      <c r="E2034" s="41"/>
      <c r="F2034" s="41"/>
      <c r="G2034" s="41"/>
      <c r="H2034" s="41"/>
      <c r="I2034" s="41"/>
      <c r="J2034" s="41"/>
      <c r="K2034" s="41"/>
      <c r="L2034" s="41"/>
      <c r="M2034" s="41"/>
      <c r="N2034" s="41"/>
      <c r="O2034" s="41"/>
      <c r="P2034" s="28"/>
    </row>
    <row r="2035" customFormat="1" spans="1:16">
      <c r="A2035" s="39"/>
      <c r="B2035" s="40"/>
      <c r="C2035" s="41"/>
      <c r="D2035" s="41"/>
      <c r="E2035" s="41"/>
      <c r="F2035" s="41"/>
      <c r="G2035" s="41"/>
      <c r="H2035" s="41"/>
      <c r="I2035" s="41"/>
      <c r="J2035" s="41"/>
      <c r="K2035" s="41"/>
      <c r="L2035" s="41"/>
      <c r="M2035" s="41"/>
      <c r="N2035" s="41"/>
      <c r="O2035" s="41"/>
      <c r="P2035" s="28"/>
    </row>
    <row r="2036" customFormat="1" spans="1:16">
      <c r="A2036" s="39"/>
      <c r="B2036" s="40"/>
      <c r="C2036" s="41"/>
      <c r="D2036" s="41"/>
      <c r="E2036" s="41"/>
      <c r="F2036" s="41"/>
      <c r="G2036" s="41"/>
      <c r="H2036" s="41"/>
      <c r="I2036" s="41"/>
      <c r="J2036" s="41"/>
      <c r="K2036" s="41"/>
      <c r="L2036" s="41"/>
      <c r="M2036" s="41"/>
      <c r="N2036" s="41"/>
      <c r="O2036" s="41"/>
      <c r="P2036" s="28"/>
    </row>
    <row r="2037" customFormat="1" spans="1:16">
      <c r="A2037" s="39"/>
      <c r="B2037" s="40"/>
      <c r="C2037" s="41"/>
      <c r="D2037" s="41"/>
      <c r="E2037" s="41"/>
      <c r="F2037" s="41"/>
      <c r="G2037" s="41"/>
      <c r="H2037" s="41"/>
      <c r="I2037" s="41"/>
      <c r="J2037" s="41"/>
      <c r="K2037" s="41"/>
      <c r="L2037" s="41"/>
      <c r="M2037" s="41"/>
      <c r="N2037" s="41"/>
      <c r="O2037" s="41"/>
      <c r="P2037" s="28"/>
    </row>
    <row r="2038" customFormat="1" spans="1:16">
      <c r="A2038" s="39"/>
      <c r="B2038" s="40"/>
      <c r="C2038" s="41"/>
      <c r="D2038" s="41"/>
      <c r="E2038" s="41"/>
      <c r="F2038" s="41"/>
      <c r="G2038" s="41"/>
      <c r="H2038" s="41"/>
      <c r="I2038" s="41"/>
      <c r="J2038" s="41"/>
      <c r="K2038" s="41"/>
      <c r="L2038" s="41"/>
      <c r="M2038" s="41"/>
      <c r="N2038" s="41"/>
      <c r="O2038" s="41"/>
      <c r="P2038" s="28"/>
    </row>
    <row r="2039" customFormat="1" spans="1:16">
      <c r="A2039" s="39"/>
      <c r="B2039" s="40"/>
      <c r="C2039" s="41"/>
      <c r="D2039" s="41"/>
      <c r="E2039" s="41"/>
      <c r="F2039" s="41"/>
      <c r="G2039" s="41"/>
      <c r="H2039" s="41"/>
      <c r="I2039" s="41"/>
      <c r="J2039" s="41"/>
      <c r="K2039" s="41"/>
      <c r="L2039" s="41"/>
      <c r="M2039" s="41"/>
      <c r="N2039" s="41"/>
      <c r="O2039" s="41"/>
      <c r="P2039" s="28"/>
    </row>
    <row r="2040" customFormat="1" spans="1:16">
      <c r="A2040" s="39"/>
      <c r="B2040" s="40"/>
      <c r="C2040" s="41"/>
      <c r="D2040" s="41"/>
      <c r="E2040" s="41"/>
      <c r="F2040" s="41"/>
      <c r="G2040" s="41"/>
      <c r="H2040" s="41"/>
      <c r="I2040" s="41"/>
      <c r="J2040" s="41"/>
      <c r="K2040" s="41"/>
      <c r="L2040" s="41"/>
      <c r="M2040" s="41"/>
      <c r="N2040" s="41"/>
      <c r="O2040" s="41"/>
      <c r="P2040" s="28"/>
    </row>
    <row r="2041" customFormat="1" spans="1:16">
      <c r="A2041" s="39"/>
      <c r="B2041" s="40"/>
      <c r="C2041" s="41"/>
      <c r="D2041" s="41"/>
      <c r="E2041" s="41"/>
      <c r="F2041" s="41"/>
      <c r="G2041" s="41"/>
      <c r="H2041" s="41"/>
      <c r="I2041" s="41"/>
      <c r="J2041" s="41"/>
      <c r="K2041" s="41"/>
      <c r="L2041" s="41"/>
      <c r="M2041" s="41"/>
      <c r="N2041" s="41"/>
      <c r="O2041" s="41"/>
      <c r="P2041" s="28"/>
    </row>
    <row r="2042" customFormat="1" spans="1:16">
      <c r="A2042" s="39"/>
      <c r="B2042" s="40"/>
      <c r="C2042" s="41"/>
      <c r="D2042" s="41"/>
      <c r="E2042" s="41"/>
      <c r="F2042" s="41"/>
      <c r="G2042" s="41"/>
      <c r="H2042" s="41"/>
      <c r="I2042" s="41"/>
      <c r="J2042" s="41"/>
      <c r="K2042" s="41"/>
      <c r="L2042" s="41"/>
      <c r="M2042" s="41"/>
      <c r="N2042" s="41"/>
      <c r="O2042" s="41"/>
      <c r="P2042" s="28"/>
    </row>
    <row r="2043" customFormat="1" spans="1:16">
      <c r="A2043" s="39"/>
      <c r="B2043" s="40"/>
      <c r="C2043" s="41"/>
      <c r="D2043" s="41"/>
      <c r="E2043" s="41"/>
      <c r="F2043" s="41"/>
      <c r="G2043" s="41"/>
      <c r="H2043" s="41"/>
      <c r="I2043" s="41"/>
      <c r="J2043" s="41"/>
      <c r="K2043" s="41"/>
      <c r="L2043" s="41"/>
      <c r="M2043" s="41"/>
      <c r="N2043" s="41"/>
      <c r="O2043" s="41"/>
      <c r="P2043" s="28"/>
    </row>
    <row r="2044" customFormat="1" spans="1:16">
      <c r="A2044" s="39"/>
      <c r="B2044" s="40"/>
      <c r="C2044" s="41"/>
      <c r="D2044" s="41"/>
      <c r="E2044" s="41"/>
      <c r="F2044" s="41"/>
      <c r="G2044" s="41"/>
      <c r="H2044" s="41"/>
      <c r="I2044" s="41"/>
      <c r="J2044" s="41"/>
      <c r="K2044" s="41"/>
      <c r="L2044" s="41"/>
      <c r="M2044" s="41"/>
      <c r="N2044" s="41"/>
      <c r="O2044" s="41"/>
      <c r="P2044" s="28"/>
    </row>
    <row r="2045" customFormat="1" spans="1:16">
      <c r="A2045" s="39"/>
      <c r="B2045" s="40"/>
      <c r="C2045" s="41"/>
      <c r="D2045" s="41"/>
      <c r="E2045" s="41"/>
      <c r="F2045" s="41"/>
      <c r="G2045" s="41"/>
      <c r="H2045" s="41"/>
      <c r="I2045" s="41"/>
      <c r="J2045" s="41"/>
      <c r="K2045" s="41"/>
      <c r="L2045" s="41"/>
      <c r="M2045" s="41"/>
      <c r="N2045" s="41"/>
      <c r="O2045" s="41"/>
      <c r="P2045" s="28"/>
    </row>
    <row r="2046" customFormat="1" spans="1:16">
      <c r="A2046" s="39"/>
      <c r="B2046" s="40"/>
      <c r="C2046" s="41"/>
      <c r="D2046" s="41"/>
      <c r="E2046" s="41"/>
      <c r="F2046" s="41"/>
      <c r="G2046" s="41"/>
      <c r="H2046" s="41"/>
      <c r="I2046" s="41"/>
      <c r="J2046" s="41"/>
      <c r="K2046" s="41"/>
      <c r="L2046" s="41"/>
      <c r="M2046" s="41"/>
      <c r="N2046" s="41"/>
      <c r="O2046" s="41"/>
      <c r="P2046" s="28"/>
    </row>
    <row r="2047" customFormat="1" spans="1:16">
      <c r="A2047" s="39"/>
      <c r="B2047" s="40"/>
      <c r="C2047" s="41"/>
      <c r="D2047" s="41"/>
      <c r="E2047" s="41"/>
      <c r="F2047" s="41"/>
      <c r="G2047" s="41"/>
      <c r="H2047" s="41"/>
      <c r="I2047" s="41"/>
      <c r="J2047" s="41"/>
      <c r="K2047" s="41"/>
      <c r="L2047" s="41"/>
      <c r="M2047" s="41"/>
      <c r="N2047" s="41"/>
      <c r="O2047" s="41"/>
      <c r="P2047" s="28"/>
    </row>
    <row r="2048" customFormat="1" spans="1:16">
      <c r="A2048" s="39"/>
      <c r="B2048" s="40"/>
      <c r="C2048" s="41"/>
      <c r="D2048" s="41"/>
      <c r="E2048" s="41"/>
      <c r="F2048" s="41"/>
      <c r="G2048" s="41"/>
      <c r="H2048" s="41"/>
      <c r="I2048" s="41"/>
      <c r="J2048" s="41"/>
      <c r="K2048" s="41"/>
      <c r="L2048" s="41"/>
      <c r="M2048" s="41"/>
      <c r="N2048" s="41"/>
      <c r="O2048" s="41"/>
      <c r="P2048" s="28"/>
    </row>
    <row r="2049" customFormat="1" spans="1:16">
      <c r="A2049" s="39"/>
      <c r="B2049" s="40"/>
      <c r="C2049" s="41"/>
      <c r="D2049" s="41"/>
      <c r="E2049" s="41"/>
      <c r="F2049" s="41"/>
      <c r="G2049" s="41"/>
      <c r="H2049" s="41"/>
      <c r="I2049" s="41"/>
      <c r="J2049" s="41"/>
      <c r="K2049" s="41"/>
      <c r="L2049" s="41"/>
      <c r="M2049" s="41"/>
      <c r="N2049" s="41"/>
      <c r="O2049" s="41"/>
      <c r="P2049" s="28"/>
    </row>
    <row r="2050" customFormat="1" spans="1:16">
      <c r="A2050" s="39"/>
      <c r="B2050" s="40"/>
      <c r="C2050" s="41"/>
      <c r="D2050" s="41"/>
      <c r="E2050" s="41"/>
      <c r="F2050" s="41"/>
      <c r="G2050" s="41"/>
      <c r="H2050" s="41"/>
      <c r="I2050" s="41"/>
      <c r="J2050" s="41"/>
      <c r="K2050" s="41"/>
      <c r="L2050" s="41"/>
      <c r="M2050" s="41"/>
      <c r="N2050" s="41"/>
      <c r="O2050" s="41"/>
      <c r="P2050" s="28"/>
    </row>
    <row r="2051" customFormat="1" spans="1:16">
      <c r="A2051" s="39"/>
      <c r="B2051" s="40"/>
      <c r="C2051" s="41"/>
      <c r="D2051" s="41"/>
      <c r="E2051" s="41"/>
      <c r="F2051" s="41"/>
      <c r="G2051" s="41"/>
      <c r="H2051" s="41"/>
      <c r="I2051" s="41"/>
      <c r="J2051" s="41"/>
      <c r="K2051" s="41"/>
      <c r="L2051" s="41"/>
      <c r="M2051" s="41"/>
      <c r="N2051" s="41"/>
      <c r="O2051" s="41"/>
      <c r="P2051" s="28"/>
    </row>
    <row r="2052" customFormat="1" spans="1:16">
      <c r="A2052" s="39"/>
      <c r="B2052" s="40"/>
      <c r="C2052" s="41"/>
      <c r="D2052" s="41"/>
      <c r="E2052" s="41"/>
      <c r="F2052" s="41"/>
      <c r="G2052" s="41"/>
      <c r="H2052" s="41"/>
      <c r="I2052" s="41"/>
      <c r="J2052" s="41"/>
      <c r="K2052" s="41"/>
      <c r="L2052" s="41"/>
      <c r="M2052" s="41"/>
      <c r="N2052" s="41"/>
      <c r="O2052" s="41"/>
      <c r="P2052" s="28"/>
    </row>
    <row r="2053" customFormat="1" spans="1:16">
      <c r="A2053" s="39"/>
      <c r="B2053" s="40"/>
      <c r="C2053" s="41"/>
      <c r="D2053" s="41"/>
      <c r="E2053" s="41"/>
      <c r="F2053" s="41"/>
      <c r="G2053" s="41"/>
      <c r="H2053" s="41"/>
      <c r="I2053" s="41"/>
      <c r="J2053" s="41"/>
      <c r="K2053" s="41"/>
      <c r="L2053" s="41"/>
      <c r="M2053" s="41"/>
      <c r="N2053" s="41"/>
      <c r="O2053" s="41"/>
      <c r="P2053" s="28"/>
    </row>
    <row r="2054" customFormat="1" spans="1:16">
      <c r="A2054" s="39"/>
      <c r="B2054" s="40"/>
      <c r="C2054" s="41"/>
      <c r="D2054" s="41"/>
      <c r="E2054" s="41"/>
      <c r="F2054" s="41"/>
      <c r="G2054" s="41"/>
      <c r="H2054" s="41"/>
      <c r="I2054" s="41"/>
      <c r="J2054" s="41"/>
      <c r="K2054" s="41"/>
      <c r="L2054" s="41"/>
      <c r="M2054" s="41"/>
      <c r="N2054" s="41"/>
      <c r="O2054" s="41"/>
      <c r="P2054" s="28"/>
    </row>
    <row r="2055" customFormat="1" spans="1:16">
      <c r="A2055" s="39"/>
      <c r="B2055" s="40"/>
      <c r="C2055" s="41"/>
      <c r="D2055" s="41"/>
      <c r="E2055" s="41"/>
      <c r="F2055" s="41"/>
      <c r="G2055" s="41"/>
      <c r="H2055" s="41"/>
      <c r="I2055" s="41"/>
      <c r="J2055" s="41"/>
      <c r="K2055" s="41"/>
      <c r="L2055" s="41"/>
      <c r="M2055" s="41"/>
      <c r="N2055" s="41"/>
      <c r="O2055" s="41"/>
      <c r="P2055" s="28"/>
    </row>
    <row r="2056" customFormat="1" spans="1:16">
      <c r="A2056" s="39"/>
      <c r="B2056" s="40"/>
      <c r="C2056" s="41"/>
      <c r="D2056" s="41"/>
      <c r="E2056" s="41"/>
      <c r="F2056" s="41"/>
      <c r="G2056" s="41"/>
      <c r="H2056" s="41"/>
      <c r="I2056" s="41"/>
      <c r="J2056" s="41"/>
      <c r="K2056" s="41"/>
      <c r="L2056" s="41"/>
      <c r="M2056" s="41"/>
      <c r="N2056" s="41"/>
      <c r="O2056" s="41"/>
      <c r="P2056" s="28"/>
    </row>
    <row r="2057" customFormat="1" spans="1:16">
      <c r="A2057" s="39"/>
      <c r="B2057" s="40"/>
      <c r="C2057" s="41"/>
      <c r="D2057" s="41"/>
      <c r="E2057" s="41"/>
      <c r="F2057" s="41"/>
      <c r="G2057" s="41"/>
      <c r="H2057" s="41"/>
      <c r="I2057" s="41"/>
      <c r="J2057" s="41"/>
      <c r="K2057" s="41"/>
      <c r="L2057" s="41"/>
      <c r="M2057" s="41"/>
      <c r="N2057" s="41"/>
      <c r="O2057" s="41"/>
      <c r="P2057" s="28"/>
    </row>
    <row r="2058" customFormat="1" spans="1:16">
      <c r="A2058" s="39"/>
      <c r="B2058" s="40"/>
      <c r="C2058" s="41"/>
      <c r="D2058" s="41"/>
      <c r="E2058" s="41"/>
      <c r="F2058" s="41"/>
      <c r="G2058" s="41"/>
      <c r="H2058" s="41"/>
      <c r="I2058" s="41"/>
      <c r="J2058" s="41"/>
      <c r="K2058" s="41"/>
      <c r="L2058" s="41"/>
      <c r="M2058" s="41"/>
      <c r="N2058" s="41"/>
      <c r="O2058" s="41"/>
      <c r="P2058" s="28"/>
    </row>
    <row r="2059" customFormat="1" spans="1:16">
      <c r="A2059" s="39"/>
      <c r="B2059" s="40"/>
      <c r="C2059" s="41"/>
      <c r="D2059" s="41"/>
      <c r="E2059" s="41"/>
      <c r="F2059" s="41"/>
      <c r="G2059" s="41"/>
      <c r="H2059" s="41"/>
      <c r="I2059" s="41"/>
      <c r="J2059" s="41"/>
      <c r="K2059" s="41"/>
      <c r="L2059" s="41"/>
      <c r="M2059" s="41"/>
      <c r="N2059" s="41"/>
      <c r="O2059" s="41"/>
      <c r="P2059" s="28"/>
    </row>
    <row r="2060" customFormat="1" spans="1:16">
      <c r="A2060" s="39"/>
      <c r="B2060" s="40"/>
      <c r="C2060" s="41"/>
      <c r="D2060" s="41"/>
      <c r="E2060" s="41"/>
      <c r="F2060" s="41"/>
      <c r="G2060" s="41"/>
      <c r="H2060" s="41"/>
      <c r="I2060" s="41"/>
      <c r="J2060" s="41"/>
      <c r="K2060" s="41"/>
      <c r="L2060" s="41"/>
      <c r="M2060" s="41"/>
      <c r="N2060" s="41"/>
      <c r="O2060" s="41"/>
      <c r="P2060" s="28"/>
    </row>
    <row r="2061" customFormat="1" spans="1:16">
      <c r="A2061" s="39"/>
      <c r="B2061" s="40"/>
      <c r="C2061" s="41"/>
      <c r="D2061" s="41"/>
      <c r="E2061" s="41"/>
      <c r="F2061" s="41"/>
      <c r="G2061" s="41"/>
      <c r="H2061" s="41"/>
      <c r="I2061" s="41"/>
      <c r="J2061" s="41"/>
      <c r="K2061" s="41"/>
      <c r="L2061" s="41"/>
      <c r="M2061" s="41"/>
      <c r="N2061" s="41"/>
      <c r="O2061" s="41"/>
      <c r="P2061" s="28"/>
    </row>
    <row r="2062" customFormat="1" spans="1:16">
      <c r="A2062" s="39"/>
      <c r="B2062" s="40"/>
      <c r="C2062" s="41"/>
      <c r="D2062" s="41"/>
      <c r="E2062" s="41"/>
      <c r="F2062" s="41"/>
      <c r="G2062" s="41"/>
      <c r="H2062" s="41"/>
      <c r="I2062" s="41"/>
      <c r="J2062" s="41"/>
      <c r="K2062" s="41"/>
      <c r="L2062" s="41"/>
      <c r="M2062" s="41"/>
      <c r="N2062" s="41"/>
      <c r="O2062" s="41"/>
      <c r="P2062" s="28"/>
    </row>
    <row r="2063" customFormat="1" spans="1:16">
      <c r="A2063" s="39"/>
      <c r="B2063" s="40"/>
      <c r="C2063" s="41"/>
      <c r="D2063" s="41"/>
      <c r="E2063" s="41"/>
      <c r="F2063" s="41"/>
      <c r="G2063" s="41"/>
      <c r="H2063" s="41"/>
      <c r="I2063" s="41"/>
      <c r="J2063" s="41"/>
      <c r="K2063" s="41"/>
      <c r="L2063" s="41"/>
      <c r="M2063" s="41"/>
      <c r="N2063" s="41"/>
      <c r="O2063" s="41"/>
      <c r="P2063" s="28"/>
    </row>
    <row r="2064" customFormat="1" spans="1:16">
      <c r="A2064" s="39"/>
      <c r="B2064" s="40"/>
      <c r="C2064" s="41"/>
      <c r="D2064" s="41"/>
      <c r="E2064" s="41"/>
      <c r="F2064" s="41"/>
      <c r="G2064" s="41"/>
      <c r="H2064" s="41"/>
      <c r="I2064" s="41"/>
      <c r="J2064" s="41"/>
      <c r="K2064" s="41"/>
      <c r="L2064" s="41"/>
      <c r="M2064" s="41"/>
      <c r="N2064" s="41"/>
      <c r="O2064" s="41"/>
      <c r="P2064" s="28"/>
    </row>
    <row r="2065" customFormat="1" spans="1:16">
      <c r="A2065" s="39"/>
      <c r="B2065" s="40"/>
      <c r="C2065" s="41"/>
      <c r="D2065" s="41"/>
      <c r="E2065" s="41"/>
      <c r="F2065" s="41"/>
      <c r="G2065" s="41"/>
      <c r="H2065" s="41"/>
      <c r="I2065" s="41"/>
      <c r="J2065" s="41"/>
      <c r="K2065" s="41"/>
      <c r="L2065" s="41"/>
      <c r="M2065" s="41"/>
      <c r="N2065" s="41"/>
      <c r="O2065" s="41"/>
      <c r="P2065" s="28"/>
    </row>
    <row r="2066" customFormat="1" spans="1:16">
      <c r="A2066" s="39"/>
      <c r="B2066" s="40"/>
      <c r="C2066" s="41"/>
      <c r="D2066" s="41"/>
      <c r="E2066" s="41"/>
      <c r="F2066" s="41"/>
      <c r="G2066" s="41"/>
      <c r="H2066" s="41"/>
      <c r="I2066" s="41"/>
      <c r="J2066" s="41"/>
      <c r="K2066" s="41"/>
      <c r="L2066" s="41"/>
      <c r="M2066" s="41"/>
      <c r="N2066" s="41"/>
      <c r="O2066" s="41"/>
      <c r="P2066" s="28"/>
    </row>
    <row r="2067" customFormat="1" spans="1:16">
      <c r="A2067" s="39"/>
      <c r="B2067" s="40"/>
      <c r="C2067" s="41"/>
      <c r="D2067" s="41"/>
      <c r="E2067" s="41"/>
      <c r="F2067" s="41"/>
      <c r="G2067" s="41"/>
      <c r="H2067" s="41"/>
      <c r="I2067" s="41"/>
      <c r="J2067" s="41"/>
      <c r="K2067" s="41"/>
      <c r="L2067" s="41"/>
      <c r="M2067" s="41"/>
      <c r="N2067" s="41"/>
      <c r="O2067" s="41"/>
      <c r="P2067" s="28"/>
    </row>
    <row r="2068" customFormat="1" spans="1:16">
      <c r="A2068" s="39"/>
      <c r="B2068" s="40"/>
      <c r="C2068" s="41"/>
      <c r="D2068" s="41"/>
      <c r="E2068" s="41"/>
      <c r="F2068" s="41"/>
      <c r="G2068" s="41"/>
      <c r="H2068" s="41"/>
      <c r="I2068" s="41"/>
      <c r="J2068" s="41"/>
      <c r="K2068" s="41"/>
      <c r="L2068" s="41"/>
      <c r="M2068" s="41"/>
      <c r="N2068" s="41"/>
      <c r="O2068" s="41"/>
      <c r="P2068" s="28"/>
    </row>
    <row r="2069" customFormat="1" spans="1:16">
      <c r="A2069" s="39"/>
      <c r="B2069" s="40"/>
      <c r="C2069" s="41"/>
      <c r="D2069" s="41"/>
      <c r="E2069" s="41"/>
      <c r="F2069" s="41"/>
      <c r="G2069" s="41"/>
      <c r="H2069" s="41"/>
      <c r="I2069" s="41"/>
      <c r="J2069" s="41"/>
      <c r="K2069" s="41"/>
      <c r="L2069" s="41"/>
      <c r="M2069" s="41"/>
      <c r="N2069" s="41"/>
      <c r="O2069" s="41"/>
      <c r="P2069" s="28"/>
    </row>
    <row r="2070" customFormat="1" spans="1:16">
      <c r="A2070" s="39"/>
      <c r="B2070" s="40"/>
      <c r="C2070" s="41"/>
      <c r="D2070" s="41"/>
      <c r="E2070" s="41"/>
      <c r="F2070" s="41"/>
      <c r="G2070" s="41"/>
      <c r="H2070" s="41"/>
      <c r="I2070" s="41"/>
      <c r="J2070" s="41"/>
      <c r="K2070" s="41"/>
      <c r="L2070" s="41"/>
      <c r="M2070" s="41"/>
      <c r="N2070" s="41"/>
      <c r="O2070" s="41"/>
      <c r="P2070" s="28"/>
    </row>
    <row r="2071" customFormat="1" spans="1:16">
      <c r="A2071" s="39"/>
      <c r="B2071" s="40"/>
      <c r="C2071" s="41"/>
      <c r="D2071" s="41"/>
      <c r="E2071" s="41"/>
      <c r="F2071" s="41"/>
      <c r="G2071" s="41"/>
      <c r="H2071" s="41"/>
      <c r="I2071" s="41"/>
      <c r="J2071" s="41"/>
      <c r="K2071" s="41"/>
      <c r="L2071" s="41"/>
      <c r="M2071" s="41"/>
      <c r="N2071" s="41"/>
      <c r="O2071" s="41"/>
      <c r="P2071" s="28"/>
    </row>
    <row r="2072" customFormat="1" spans="1:16">
      <c r="A2072" s="39"/>
      <c r="B2072" s="40"/>
      <c r="C2072" s="41"/>
      <c r="D2072" s="41"/>
      <c r="E2072" s="41"/>
      <c r="F2072" s="41"/>
      <c r="G2072" s="41"/>
      <c r="H2072" s="41"/>
      <c r="I2072" s="41"/>
      <c r="J2072" s="41"/>
      <c r="K2072" s="41"/>
      <c r="L2072" s="41"/>
      <c r="M2072" s="41"/>
      <c r="N2072" s="41"/>
      <c r="O2072" s="41"/>
      <c r="P2072" s="28"/>
    </row>
    <row r="2073" customFormat="1" spans="1:16">
      <c r="A2073" s="39"/>
      <c r="B2073" s="40"/>
      <c r="C2073" s="41"/>
      <c r="D2073" s="41"/>
      <c r="E2073" s="41"/>
      <c r="F2073" s="41"/>
      <c r="G2073" s="41"/>
      <c r="H2073" s="41"/>
      <c r="I2073" s="41"/>
      <c r="J2073" s="41"/>
      <c r="K2073" s="41"/>
      <c r="L2073" s="41"/>
      <c r="M2073" s="41"/>
      <c r="N2073" s="41"/>
      <c r="O2073" s="41"/>
      <c r="P2073" s="28"/>
    </row>
    <row r="2074" customFormat="1" spans="1:16">
      <c r="A2074" s="39"/>
      <c r="B2074" s="40"/>
      <c r="C2074" s="41"/>
      <c r="D2074" s="41"/>
      <c r="E2074" s="41"/>
      <c r="F2074" s="41"/>
      <c r="G2074" s="41"/>
      <c r="H2074" s="41"/>
      <c r="I2074" s="41"/>
      <c r="J2074" s="41"/>
      <c r="K2074" s="41"/>
      <c r="L2074" s="41"/>
      <c r="M2074" s="41"/>
      <c r="N2074" s="41"/>
      <c r="O2074" s="41"/>
      <c r="P2074" s="28"/>
    </row>
    <row r="2075" customFormat="1" spans="1:16">
      <c r="A2075" s="39"/>
      <c r="B2075" s="40"/>
      <c r="C2075" s="41"/>
      <c r="D2075" s="41"/>
      <c r="E2075" s="41"/>
      <c r="F2075" s="41"/>
      <c r="G2075" s="41"/>
      <c r="H2075" s="41"/>
      <c r="I2075" s="41"/>
      <c r="J2075" s="41"/>
      <c r="K2075" s="41"/>
      <c r="L2075" s="41"/>
      <c r="M2075" s="41"/>
      <c r="N2075" s="41"/>
      <c r="O2075" s="41"/>
      <c r="P2075" s="28"/>
    </row>
    <row r="2076" customFormat="1" spans="1:16">
      <c r="A2076" s="39"/>
      <c r="B2076" s="40"/>
      <c r="C2076" s="41"/>
      <c r="D2076" s="41"/>
      <c r="E2076" s="41"/>
      <c r="F2076" s="41"/>
      <c r="G2076" s="41"/>
      <c r="H2076" s="41"/>
      <c r="I2076" s="41"/>
      <c r="J2076" s="41"/>
      <c r="K2076" s="41"/>
      <c r="L2076" s="41"/>
      <c r="M2076" s="41"/>
      <c r="N2076" s="41"/>
      <c r="O2076" s="41"/>
      <c r="P2076" s="28"/>
    </row>
    <row r="2077" customFormat="1" spans="1:16">
      <c r="A2077" s="39"/>
      <c r="B2077" s="40"/>
      <c r="C2077" s="41"/>
      <c r="D2077" s="41"/>
      <c r="E2077" s="41"/>
      <c r="F2077" s="41"/>
      <c r="G2077" s="41"/>
      <c r="H2077" s="41"/>
      <c r="I2077" s="41"/>
      <c r="J2077" s="41"/>
      <c r="K2077" s="41"/>
      <c r="L2077" s="41"/>
      <c r="M2077" s="41"/>
      <c r="N2077" s="41"/>
      <c r="O2077" s="41"/>
      <c r="P2077" s="28"/>
    </row>
    <row r="2078" customFormat="1" spans="1:16">
      <c r="A2078" s="39"/>
      <c r="B2078" s="40"/>
      <c r="C2078" s="41"/>
      <c r="D2078" s="41"/>
      <c r="E2078" s="41"/>
      <c r="F2078" s="41"/>
      <c r="G2078" s="41"/>
      <c r="H2078" s="41"/>
      <c r="I2078" s="41"/>
      <c r="J2078" s="41"/>
      <c r="K2078" s="41"/>
      <c r="L2078" s="41"/>
      <c r="M2078" s="41"/>
      <c r="N2078" s="41"/>
      <c r="O2078" s="41"/>
      <c r="P2078" s="28"/>
    </row>
    <row r="2079" customFormat="1" spans="1:16">
      <c r="A2079" s="39"/>
      <c r="B2079" s="40"/>
      <c r="C2079" s="41"/>
      <c r="D2079" s="41"/>
      <c r="E2079" s="41"/>
      <c r="F2079" s="41"/>
      <c r="G2079" s="41"/>
      <c r="H2079" s="41"/>
      <c r="I2079" s="41"/>
      <c r="J2079" s="41"/>
      <c r="K2079" s="41"/>
      <c r="L2079" s="41"/>
      <c r="M2079" s="41"/>
      <c r="N2079" s="41"/>
      <c r="O2079" s="41"/>
      <c r="P2079" s="28"/>
    </row>
    <row r="2080" customFormat="1" spans="1:16">
      <c r="A2080" s="39"/>
      <c r="B2080" s="40"/>
      <c r="C2080" s="41"/>
      <c r="D2080" s="41"/>
      <c r="E2080" s="41"/>
      <c r="F2080" s="41"/>
      <c r="G2080" s="41"/>
      <c r="H2080" s="41"/>
      <c r="I2080" s="41"/>
      <c r="J2080" s="41"/>
      <c r="K2080" s="41"/>
      <c r="L2080" s="41"/>
      <c r="M2080" s="41"/>
      <c r="N2080" s="41"/>
      <c r="O2080" s="41"/>
      <c r="P2080" s="28"/>
    </row>
    <row r="2081" customFormat="1" spans="1:16">
      <c r="A2081" s="39"/>
      <c r="B2081" s="40"/>
      <c r="C2081" s="41"/>
      <c r="D2081" s="41"/>
      <c r="E2081" s="41"/>
      <c r="F2081" s="41"/>
      <c r="G2081" s="41"/>
      <c r="H2081" s="41"/>
      <c r="I2081" s="41"/>
      <c r="J2081" s="41"/>
      <c r="K2081" s="41"/>
      <c r="L2081" s="41"/>
      <c r="M2081" s="41"/>
      <c r="N2081" s="41"/>
      <c r="O2081" s="41"/>
      <c r="P2081" s="28"/>
    </row>
    <row r="2082" customFormat="1" spans="1:16">
      <c r="A2082" s="39"/>
      <c r="B2082" s="40"/>
      <c r="C2082" s="41"/>
      <c r="D2082" s="41"/>
      <c r="E2082" s="41"/>
      <c r="F2082" s="41"/>
      <c r="G2082" s="41"/>
      <c r="H2082" s="41"/>
      <c r="I2082" s="41"/>
      <c r="J2082" s="41"/>
      <c r="K2082" s="41"/>
      <c r="L2082" s="41"/>
      <c r="M2082" s="41"/>
      <c r="N2082" s="41"/>
      <c r="O2082" s="41"/>
      <c r="P2082" s="28"/>
    </row>
    <row r="2083" customFormat="1" spans="1:16">
      <c r="A2083" s="39"/>
      <c r="B2083" s="40"/>
      <c r="C2083" s="41"/>
      <c r="D2083" s="41"/>
      <c r="E2083" s="41"/>
      <c r="F2083" s="41"/>
      <c r="G2083" s="41"/>
      <c r="H2083" s="41"/>
      <c r="I2083" s="41"/>
      <c r="J2083" s="41"/>
      <c r="K2083" s="41"/>
      <c r="L2083" s="41"/>
      <c r="M2083" s="41"/>
      <c r="N2083" s="41"/>
      <c r="O2083" s="41"/>
      <c r="P2083" s="28"/>
    </row>
    <row r="2084" customFormat="1" spans="1:16">
      <c r="A2084" s="39"/>
      <c r="B2084" s="40"/>
      <c r="C2084" s="41"/>
      <c r="D2084" s="41"/>
      <c r="E2084" s="41"/>
      <c r="F2084" s="41"/>
      <c r="G2084" s="41"/>
      <c r="H2084" s="41"/>
      <c r="I2084" s="41"/>
      <c r="J2084" s="41"/>
      <c r="K2084" s="41"/>
      <c r="L2084" s="41"/>
      <c r="M2084" s="41"/>
      <c r="N2084" s="41"/>
      <c r="O2084" s="41"/>
      <c r="P2084" s="28"/>
    </row>
    <row r="2085" customFormat="1" spans="1:16">
      <c r="A2085" s="39"/>
      <c r="B2085" s="40"/>
      <c r="C2085" s="41"/>
      <c r="D2085" s="41"/>
      <c r="E2085" s="41"/>
      <c r="F2085" s="41"/>
      <c r="G2085" s="41"/>
      <c r="H2085" s="41"/>
      <c r="I2085" s="41"/>
      <c r="J2085" s="41"/>
      <c r="K2085" s="41"/>
      <c r="L2085" s="41"/>
      <c r="M2085" s="41"/>
      <c r="N2085" s="41"/>
      <c r="O2085" s="41"/>
      <c r="P2085" s="28"/>
    </row>
    <row r="2086" customFormat="1" spans="1:16">
      <c r="A2086" s="39"/>
      <c r="B2086" s="40"/>
      <c r="C2086" s="41"/>
      <c r="D2086" s="41"/>
      <c r="E2086" s="41"/>
      <c r="F2086" s="41"/>
      <c r="G2086" s="41"/>
      <c r="H2086" s="41"/>
      <c r="I2086" s="41"/>
      <c r="J2086" s="41"/>
      <c r="K2086" s="41"/>
      <c r="L2086" s="41"/>
      <c r="M2086" s="41"/>
      <c r="N2086" s="41"/>
      <c r="O2086" s="41"/>
      <c r="P2086" s="28"/>
    </row>
    <row r="2087" customFormat="1" spans="1:16">
      <c r="A2087" s="39"/>
      <c r="B2087" s="40"/>
      <c r="C2087" s="41"/>
      <c r="D2087" s="41"/>
      <c r="E2087" s="41"/>
      <c r="F2087" s="41"/>
      <c r="G2087" s="41"/>
      <c r="H2087" s="41"/>
      <c r="I2087" s="41"/>
      <c r="J2087" s="41"/>
      <c r="K2087" s="41"/>
      <c r="L2087" s="41"/>
      <c r="M2087" s="41"/>
      <c r="N2087" s="41"/>
      <c r="O2087" s="41"/>
      <c r="P2087" s="28"/>
    </row>
    <row r="2088" customFormat="1" spans="1:16">
      <c r="A2088" s="39"/>
      <c r="B2088" s="40"/>
      <c r="C2088" s="41"/>
      <c r="D2088" s="41"/>
      <c r="E2088" s="41"/>
      <c r="F2088" s="41"/>
      <c r="G2088" s="41"/>
      <c r="H2088" s="41"/>
      <c r="I2088" s="41"/>
      <c r="J2088" s="41"/>
      <c r="K2088" s="41"/>
      <c r="L2088" s="41"/>
      <c r="M2088" s="41"/>
      <c r="N2088" s="41"/>
      <c r="O2088" s="41"/>
      <c r="P2088" s="28"/>
    </row>
    <row r="2089" customFormat="1" spans="1:16">
      <c r="A2089" s="39"/>
      <c r="B2089" s="40"/>
      <c r="C2089" s="41"/>
      <c r="D2089" s="41"/>
      <c r="E2089" s="41"/>
      <c r="F2089" s="41"/>
      <c r="G2089" s="41"/>
      <c r="H2089" s="41"/>
      <c r="I2089" s="41"/>
      <c r="J2089" s="41"/>
      <c r="K2089" s="41"/>
      <c r="L2089" s="41"/>
      <c r="M2089" s="41"/>
      <c r="N2089" s="41"/>
      <c r="O2089" s="41"/>
      <c r="P2089" s="28"/>
    </row>
    <row r="2090" customFormat="1" spans="1:16">
      <c r="A2090" s="39"/>
      <c r="B2090" s="40"/>
      <c r="C2090" s="41"/>
      <c r="D2090" s="41"/>
      <c r="E2090" s="41"/>
      <c r="F2090" s="41"/>
      <c r="G2090" s="41"/>
      <c r="H2090" s="41"/>
      <c r="I2090" s="41"/>
      <c r="J2090" s="41"/>
      <c r="K2090" s="41"/>
      <c r="L2090" s="41"/>
      <c r="M2090" s="41"/>
      <c r="N2090" s="41"/>
      <c r="O2090" s="41"/>
      <c r="P2090" s="28"/>
    </row>
    <row r="2091" customFormat="1" spans="1:16">
      <c r="A2091" s="39"/>
      <c r="B2091" s="40"/>
      <c r="C2091" s="41"/>
      <c r="D2091" s="41"/>
      <c r="E2091" s="41"/>
      <c r="F2091" s="41"/>
      <c r="G2091" s="41"/>
      <c r="H2091" s="41"/>
      <c r="I2091" s="41"/>
      <c r="J2091" s="41"/>
      <c r="K2091" s="41"/>
      <c r="L2091" s="41"/>
      <c r="M2091" s="41"/>
      <c r="N2091" s="41"/>
      <c r="O2091" s="41"/>
      <c r="P2091" s="28"/>
    </row>
    <row r="2092" customFormat="1" spans="1:16">
      <c r="A2092" s="39"/>
      <c r="B2092" s="40"/>
      <c r="C2092" s="41"/>
      <c r="D2092" s="41"/>
      <c r="E2092" s="41"/>
      <c r="F2092" s="41"/>
      <c r="G2092" s="41"/>
      <c r="H2092" s="41"/>
      <c r="I2092" s="41"/>
      <c r="J2092" s="41"/>
      <c r="K2092" s="41"/>
      <c r="L2092" s="41"/>
      <c r="M2092" s="41"/>
      <c r="N2092" s="41"/>
      <c r="O2092" s="41"/>
      <c r="P2092" s="28"/>
    </row>
    <row r="2093" customFormat="1" spans="1:16">
      <c r="A2093" s="39"/>
      <c r="B2093" s="40"/>
      <c r="C2093" s="41"/>
      <c r="D2093" s="41"/>
      <c r="E2093" s="41"/>
      <c r="F2093" s="41"/>
      <c r="G2093" s="41"/>
      <c r="H2093" s="41"/>
      <c r="I2093" s="41"/>
      <c r="J2093" s="41"/>
      <c r="K2093" s="41"/>
      <c r="L2093" s="41"/>
      <c r="M2093" s="41"/>
      <c r="N2093" s="41"/>
      <c r="O2093" s="41"/>
      <c r="P2093" s="28"/>
    </row>
    <row r="2094" customFormat="1" spans="1:16">
      <c r="A2094" s="39"/>
      <c r="B2094" s="40"/>
      <c r="C2094" s="41"/>
      <c r="D2094" s="41"/>
      <c r="E2094" s="41"/>
      <c r="F2094" s="41"/>
      <c r="G2094" s="41"/>
      <c r="H2094" s="41"/>
      <c r="I2094" s="41"/>
      <c r="J2094" s="41"/>
      <c r="K2094" s="41"/>
      <c r="L2094" s="41"/>
      <c r="M2094" s="41"/>
      <c r="N2094" s="41"/>
      <c r="O2094" s="41"/>
      <c r="P2094" s="28"/>
    </row>
    <row r="2095" customFormat="1" spans="1:16">
      <c r="A2095" s="39"/>
      <c r="B2095" s="40"/>
      <c r="C2095" s="41"/>
      <c r="D2095" s="41"/>
      <c r="E2095" s="41"/>
      <c r="F2095" s="41"/>
      <c r="G2095" s="41"/>
      <c r="H2095" s="41"/>
      <c r="I2095" s="41"/>
      <c r="J2095" s="41"/>
      <c r="K2095" s="41"/>
      <c r="L2095" s="41"/>
      <c r="M2095" s="41"/>
      <c r="N2095" s="41"/>
      <c r="O2095" s="41"/>
      <c r="P2095" s="28"/>
    </row>
    <row r="2096" customFormat="1" spans="1:16">
      <c r="A2096" s="39"/>
      <c r="B2096" s="40"/>
      <c r="C2096" s="41"/>
      <c r="D2096" s="41"/>
      <c r="E2096" s="41"/>
      <c r="F2096" s="41"/>
      <c r="G2096" s="41"/>
      <c r="H2096" s="41"/>
      <c r="I2096" s="41"/>
      <c r="J2096" s="41"/>
      <c r="K2096" s="41"/>
      <c r="L2096" s="41"/>
      <c r="M2096" s="41"/>
      <c r="N2096" s="41"/>
      <c r="O2096" s="41"/>
      <c r="P2096" s="28"/>
    </row>
    <row r="2097" customFormat="1" spans="1:16">
      <c r="A2097" s="39"/>
      <c r="B2097" s="40"/>
      <c r="C2097" s="41"/>
      <c r="D2097" s="41"/>
      <c r="E2097" s="41"/>
      <c r="F2097" s="41"/>
      <c r="G2097" s="41"/>
      <c r="H2097" s="41"/>
      <c r="I2097" s="41"/>
      <c r="J2097" s="41"/>
      <c r="K2097" s="41"/>
      <c r="L2097" s="41"/>
      <c r="M2097" s="41"/>
      <c r="N2097" s="41"/>
      <c r="O2097" s="41"/>
      <c r="P2097" s="28"/>
    </row>
    <row r="2098" customFormat="1" spans="1:16">
      <c r="A2098" s="39"/>
      <c r="B2098" s="40"/>
      <c r="C2098" s="41"/>
      <c r="D2098" s="41"/>
      <c r="E2098" s="41"/>
      <c r="F2098" s="41"/>
      <c r="G2098" s="41"/>
      <c r="H2098" s="41"/>
      <c r="I2098" s="41"/>
      <c r="J2098" s="41"/>
      <c r="K2098" s="41"/>
      <c r="L2098" s="41"/>
      <c r="M2098" s="41"/>
      <c r="N2098" s="41"/>
      <c r="O2098" s="41"/>
      <c r="P2098" s="28"/>
    </row>
    <row r="2099" customFormat="1" spans="1:16">
      <c r="A2099" s="39"/>
      <c r="B2099" s="40"/>
      <c r="C2099" s="41"/>
      <c r="D2099" s="41"/>
      <c r="E2099" s="41"/>
      <c r="F2099" s="41"/>
      <c r="G2099" s="41"/>
      <c r="H2099" s="41"/>
      <c r="I2099" s="41"/>
      <c r="J2099" s="41"/>
      <c r="K2099" s="41"/>
      <c r="L2099" s="41"/>
      <c r="M2099" s="41"/>
      <c r="N2099" s="41"/>
      <c r="O2099" s="41"/>
      <c r="P2099" s="28"/>
    </row>
    <row r="2100" customFormat="1" spans="1:16">
      <c r="A2100" s="39"/>
      <c r="B2100" s="40"/>
      <c r="C2100" s="41"/>
      <c r="D2100" s="41"/>
      <c r="E2100" s="41"/>
      <c r="F2100" s="41"/>
      <c r="G2100" s="41"/>
      <c r="H2100" s="41"/>
      <c r="I2100" s="41"/>
      <c r="J2100" s="41"/>
      <c r="K2100" s="41"/>
      <c r="L2100" s="41"/>
      <c r="M2100" s="41"/>
      <c r="N2100" s="41"/>
      <c r="O2100" s="41"/>
      <c r="P2100" s="28"/>
    </row>
    <row r="2101" customFormat="1" spans="1:16">
      <c r="A2101" s="39"/>
      <c r="B2101" s="40"/>
      <c r="C2101" s="41"/>
      <c r="D2101" s="41"/>
      <c r="E2101" s="41"/>
      <c r="F2101" s="41"/>
      <c r="G2101" s="41"/>
      <c r="H2101" s="41"/>
      <c r="I2101" s="41"/>
      <c r="J2101" s="41"/>
      <c r="K2101" s="41"/>
      <c r="L2101" s="41"/>
      <c r="M2101" s="41"/>
      <c r="N2101" s="41"/>
      <c r="O2101" s="41"/>
      <c r="P2101" s="28"/>
    </row>
    <row r="2102" customFormat="1" spans="1:16">
      <c r="A2102" s="39"/>
      <c r="B2102" s="40"/>
      <c r="C2102" s="41"/>
      <c r="D2102" s="41"/>
      <c r="E2102" s="41"/>
      <c r="F2102" s="41"/>
      <c r="G2102" s="41"/>
      <c r="H2102" s="41"/>
      <c r="I2102" s="41"/>
      <c r="J2102" s="41"/>
      <c r="K2102" s="41"/>
      <c r="L2102" s="41"/>
      <c r="M2102" s="41"/>
      <c r="N2102" s="41"/>
      <c r="O2102" s="41"/>
      <c r="P2102" s="28"/>
    </row>
    <row r="2103" customFormat="1" spans="1:16">
      <c r="A2103" s="39"/>
      <c r="B2103" s="40"/>
      <c r="C2103" s="41"/>
      <c r="D2103" s="41"/>
      <c r="E2103" s="41"/>
      <c r="F2103" s="41"/>
      <c r="G2103" s="41"/>
      <c r="H2103" s="41"/>
      <c r="I2103" s="41"/>
      <c r="J2103" s="41"/>
      <c r="K2103" s="41"/>
      <c r="L2103" s="41"/>
      <c r="M2103" s="41"/>
      <c r="N2103" s="41"/>
      <c r="O2103" s="41"/>
      <c r="P2103" s="28"/>
    </row>
    <row r="2104" customFormat="1" spans="1:16">
      <c r="A2104" s="39"/>
      <c r="B2104" s="40"/>
      <c r="C2104" s="41"/>
      <c r="D2104" s="41"/>
      <c r="E2104" s="41"/>
      <c r="F2104" s="41"/>
      <c r="G2104" s="41"/>
      <c r="H2104" s="41"/>
      <c r="I2104" s="41"/>
      <c r="J2104" s="41"/>
      <c r="K2104" s="41"/>
      <c r="L2104" s="41"/>
      <c r="M2104" s="41"/>
      <c r="N2104" s="41"/>
      <c r="O2104" s="41"/>
      <c r="P2104" s="28"/>
    </row>
    <row r="2105" customFormat="1" spans="1:16">
      <c r="A2105" s="39"/>
      <c r="B2105" s="40"/>
      <c r="C2105" s="41"/>
      <c r="D2105" s="41"/>
      <c r="E2105" s="41"/>
      <c r="F2105" s="41"/>
      <c r="G2105" s="41"/>
      <c r="H2105" s="41"/>
      <c r="I2105" s="41"/>
      <c r="J2105" s="41"/>
      <c r="K2105" s="41"/>
      <c r="L2105" s="41"/>
      <c r="M2105" s="41"/>
      <c r="N2105" s="41"/>
      <c r="O2105" s="41"/>
      <c r="P2105" s="28"/>
    </row>
    <row r="2106" customFormat="1" spans="1:16">
      <c r="A2106" s="39"/>
      <c r="B2106" s="40"/>
      <c r="C2106" s="41"/>
      <c r="D2106" s="41"/>
      <c r="E2106" s="41"/>
      <c r="F2106" s="41"/>
      <c r="G2106" s="41"/>
      <c r="H2106" s="41"/>
      <c r="I2106" s="41"/>
      <c r="J2106" s="41"/>
      <c r="K2106" s="41"/>
      <c r="L2106" s="41"/>
      <c r="M2106" s="41"/>
      <c r="N2106" s="41"/>
      <c r="O2106" s="41"/>
      <c r="P2106" s="28"/>
    </row>
    <row r="2107" customFormat="1" spans="1:16">
      <c r="A2107" s="39"/>
      <c r="B2107" s="40"/>
      <c r="C2107" s="41"/>
      <c r="D2107" s="41"/>
      <c r="E2107" s="41"/>
      <c r="F2107" s="41"/>
      <c r="G2107" s="41"/>
      <c r="H2107" s="41"/>
      <c r="I2107" s="41"/>
      <c r="J2107" s="41"/>
      <c r="K2107" s="41"/>
      <c r="L2107" s="41"/>
      <c r="M2107" s="41"/>
      <c r="N2107" s="41"/>
      <c r="O2107" s="41"/>
      <c r="P2107" s="28"/>
    </row>
    <row r="2108" customFormat="1" spans="1:16">
      <c r="A2108" s="39"/>
      <c r="B2108" s="40"/>
      <c r="C2108" s="41"/>
      <c r="D2108" s="41"/>
      <c r="E2108" s="41"/>
      <c r="F2108" s="41"/>
      <c r="G2108" s="41"/>
      <c r="H2108" s="41"/>
      <c r="I2108" s="41"/>
      <c r="J2108" s="41"/>
      <c r="K2108" s="41"/>
      <c r="L2108" s="41"/>
      <c r="M2108" s="41"/>
      <c r="N2108" s="41"/>
      <c r="O2108" s="41"/>
      <c r="P2108" s="28"/>
    </row>
    <row r="2109" customFormat="1" spans="1:16">
      <c r="A2109" s="39"/>
      <c r="B2109" s="40"/>
      <c r="C2109" s="41"/>
      <c r="D2109" s="41"/>
      <c r="E2109" s="41"/>
      <c r="F2109" s="41"/>
      <c r="G2109" s="41"/>
      <c r="H2109" s="41"/>
      <c r="I2109" s="41"/>
      <c r="J2109" s="41"/>
      <c r="K2109" s="41"/>
      <c r="L2109" s="41"/>
      <c r="M2109" s="41"/>
      <c r="N2109" s="41"/>
      <c r="O2109" s="41"/>
      <c r="P2109" s="28"/>
    </row>
    <row r="2110" customFormat="1" spans="1:16">
      <c r="A2110" s="39"/>
      <c r="B2110" s="40"/>
      <c r="C2110" s="41"/>
      <c r="D2110" s="41"/>
      <c r="E2110" s="41"/>
      <c r="F2110" s="41"/>
      <c r="G2110" s="41"/>
      <c r="H2110" s="41"/>
      <c r="I2110" s="41"/>
      <c r="J2110" s="41"/>
      <c r="K2110" s="41"/>
      <c r="L2110" s="41"/>
      <c r="M2110" s="41"/>
      <c r="N2110" s="41"/>
      <c r="O2110" s="41"/>
      <c r="P2110" s="28"/>
    </row>
    <row r="2111" customFormat="1" spans="1:16">
      <c r="A2111" s="39"/>
      <c r="B2111" s="40"/>
      <c r="C2111" s="41"/>
      <c r="D2111" s="41"/>
      <c r="E2111" s="41"/>
      <c r="F2111" s="41"/>
      <c r="G2111" s="41"/>
      <c r="H2111" s="41"/>
      <c r="I2111" s="41"/>
      <c r="J2111" s="41"/>
      <c r="K2111" s="41"/>
      <c r="L2111" s="41"/>
      <c r="M2111" s="41"/>
      <c r="N2111" s="41"/>
      <c r="O2111" s="41"/>
      <c r="P2111" s="28"/>
    </row>
    <row r="2112" customFormat="1" spans="1:16">
      <c r="A2112" s="39"/>
      <c r="B2112" s="40"/>
      <c r="C2112" s="41"/>
      <c r="D2112" s="41"/>
      <c r="E2112" s="41"/>
      <c r="F2112" s="41"/>
      <c r="G2112" s="41"/>
      <c r="H2112" s="41"/>
      <c r="I2112" s="41"/>
      <c r="J2112" s="41"/>
      <c r="K2112" s="41"/>
      <c r="L2112" s="41"/>
      <c r="M2112" s="41"/>
      <c r="N2112" s="41"/>
      <c r="O2112" s="41"/>
      <c r="P2112" s="28"/>
    </row>
    <row r="2113" customFormat="1" spans="1:16">
      <c r="A2113" s="39"/>
      <c r="B2113" s="40"/>
      <c r="C2113" s="41"/>
      <c r="D2113" s="41"/>
      <c r="E2113" s="41"/>
      <c r="F2113" s="41"/>
      <c r="G2113" s="41"/>
      <c r="H2113" s="41"/>
      <c r="I2113" s="41"/>
      <c r="J2113" s="41"/>
      <c r="K2113" s="41"/>
      <c r="L2113" s="41"/>
      <c r="M2113" s="41"/>
      <c r="N2113" s="41"/>
      <c r="O2113" s="41"/>
      <c r="P2113" s="28"/>
    </row>
    <row r="2114" customFormat="1" spans="1:16">
      <c r="A2114" s="39"/>
      <c r="B2114" s="40"/>
      <c r="C2114" s="41"/>
      <c r="D2114" s="41"/>
      <c r="E2114" s="41"/>
      <c r="F2114" s="41"/>
      <c r="G2114" s="41"/>
      <c r="H2114" s="41"/>
      <c r="I2114" s="41"/>
      <c r="J2114" s="41"/>
      <c r="K2114" s="41"/>
      <c r="L2114" s="41"/>
      <c r="M2114" s="41"/>
      <c r="N2114" s="41"/>
      <c r="O2114" s="41"/>
      <c r="P2114" s="28"/>
    </row>
    <row r="2115" customFormat="1" spans="1:16">
      <c r="A2115" s="39"/>
      <c r="B2115" s="40"/>
      <c r="C2115" s="41"/>
      <c r="D2115" s="41"/>
      <c r="E2115" s="41"/>
      <c r="F2115" s="41"/>
      <c r="G2115" s="41"/>
      <c r="H2115" s="41"/>
      <c r="I2115" s="41"/>
      <c r="J2115" s="41"/>
      <c r="K2115" s="41"/>
      <c r="L2115" s="41"/>
      <c r="M2115" s="41"/>
      <c r="N2115" s="41"/>
      <c r="O2115" s="41"/>
      <c r="P2115" s="28"/>
    </row>
    <row r="2116" customFormat="1" spans="1:16">
      <c r="A2116" s="39"/>
      <c r="B2116" s="40"/>
      <c r="C2116" s="41"/>
      <c r="D2116" s="41"/>
      <c r="E2116" s="41"/>
      <c r="F2116" s="41"/>
      <c r="G2116" s="41"/>
      <c r="H2116" s="41"/>
      <c r="I2116" s="41"/>
      <c r="J2116" s="41"/>
      <c r="K2116" s="41"/>
      <c r="L2116" s="41"/>
      <c r="M2116" s="41"/>
      <c r="N2116" s="41"/>
      <c r="O2116" s="41"/>
      <c r="P2116" s="28"/>
    </row>
    <row r="2117" customFormat="1" spans="1:16">
      <c r="A2117" s="39"/>
      <c r="B2117" s="40"/>
      <c r="C2117" s="41"/>
      <c r="D2117" s="41"/>
      <c r="E2117" s="41"/>
      <c r="F2117" s="41"/>
      <c r="G2117" s="41"/>
      <c r="H2117" s="41"/>
      <c r="I2117" s="41"/>
      <c r="J2117" s="41"/>
      <c r="K2117" s="41"/>
      <c r="L2117" s="41"/>
      <c r="M2117" s="41"/>
      <c r="N2117" s="41"/>
      <c r="O2117" s="41"/>
      <c r="P2117" s="28"/>
    </row>
    <row r="2118" customFormat="1" spans="1:16">
      <c r="A2118" s="39"/>
      <c r="B2118" s="40"/>
      <c r="C2118" s="41"/>
      <c r="D2118" s="41"/>
      <c r="E2118" s="41"/>
      <c r="F2118" s="41"/>
      <c r="G2118" s="41"/>
      <c r="H2118" s="41"/>
      <c r="I2118" s="41"/>
      <c r="J2118" s="41"/>
      <c r="K2118" s="41"/>
      <c r="L2118" s="41"/>
      <c r="M2118" s="41"/>
      <c r="N2118" s="41"/>
      <c r="O2118" s="41"/>
      <c r="P2118" s="28"/>
    </row>
    <row r="2119" customFormat="1" spans="1:16">
      <c r="A2119" s="39"/>
      <c r="B2119" s="40"/>
      <c r="C2119" s="41"/>
      <c r="D2119" s="41"/>
      <c r="E2119" s="41"/>
      <c r="F2119" s="41"/>
      <c r="G2119" s="41"/>
      <c r="H2119" s="41"/>
      <c r="I2119" s="41"/>
      <c r="J2119" s="41"/>
      <c r="K2119" s="41"/>
      <c r="L2119" s="41"/>
      <c r="M2119" s="41"/>
      <c r="N2119" s="41"/>
      <c r="O2119" s="41"/>
      <c r="P2119" s="28"/>
    </row>
    <row r="2120" customFormat="1" spans="1:16">
      <c r="A2120" s="39"/>
      <c r="B2120" s="40"/>
      <c r="C2120" s="41"/>
      <c r="D2120" s="41"/>
      <c r="E2120" s="41"/>
      <c r="F2120" s="41"/>
      <c r="G2120" s="41"/>
      <c r="H2120" s="41"/>
      <c r="I2120" s="41"/>
      <c r="J2120" s="41"/>
      <c r="K2120" s="41"/>
      <c r="L2120" s="41"/>
      <c r="M2120" s="41"/>
      <c r="N2120" s="41"/>
      <c r="O2120" s="41"/>
      <c r="P2120" s="28"/>
    </row>
    <row r="2121" customFormat="1" spans="1:16">
      <c r="A2121" s="39"/>
      <c r="B2121" s="40"/>
      <c r="C2121" s="41"/>
      <c r="D2121" s="41"/>
      <c r="E2121" s="41"/>
      <c r="F2121" s="41"/>
      <c r="G2121" s="41"/>
      <c r="H2121" s="41"/>
      <c r="I2121" s="41"/>
      <c r="J2121" s="41"/>
      <c r="K2121" s="41"/>
      <c r="L2121" s="41"/>
      <c r="M2121" s="41"/>
      <c r="N2121" s="41"/>
      <c r="O2121" s="41"/>
      <c r="P2121" s="28"/>
    </row>
    <row r="2122" customFormat="1" spans="1:16">
      <c r="A2122" s="39"/>
      <c r="B2122" s="40"/>
      <c r="C2122" s="41"/>
      <c r="D2122" s="41"/>
      <c r="E2122" s="41"/>
      <c r="F2122" s="41"/>
      <c r="G2122" s="41"/>
      <c r="H2122" s="41"/>
      <c r="I2122" s="41"/>
      <c r="J2122" s="41"/>
      <c r="K2122" s="41"/>
      <c r="L2122" s="41"/>
      <c r="M2122" s="41"/>
      <c r="N2122" s="41"/>
      <c r="O2122" s="41"/>
      <c r="P2122" s="28"/>
    </row>
    <row r="2123" customFormat="1" spans="1:16">
      <c r="A2123" s="39"/>
      <c r="B2123" s="40"/>
      <c r="C2123" s="41"/>
      <c r="D2123" s="41"/>
      <c r="E2123" s="41"/>
      <c r="F2123" s="41"/>
      <c r="G2123" s="41"/>
      <c r="H2123" s="41"/>
      <c r="I2123" s="41"/>
      <c r="J2123" s="41"/>
      <c r="K2123" s="41"/>
      <c r="L2123" s="41"/>
      <c r="M2123" s="41"/>
      <c r="N2123" s="41"/>
      <c r="O2123" s="41"/>
      <c r="P2123" s="28"/>
    </row>
    <row r="2124" customFormat="1" spans="1:16">
      <c r="A2124" s="39"/>
      <c r="B2124" s="40"/>
      <c r="C2124" s="41"/>
      <c r="D2124" s="41"/>
      <c r="E2124" s="41"/>
      <c r="F2124" s="41"/>
      <c r="G2124" s="41"/>
      <c r="H2124" s="41"/>
      <c r="I2124" s="41"/>
      <c r="J2124" s="41"/>
      <c r="K2124" s="41"/>
      <c r="L2124" s="41"/>
      <c r="M2124" s="41"/>
      <c r="N2124" s="41"/>
      <c r="O2124" s="41"/>
      <c r="P2124" s="28"/>
    </row>
    <row r="2125" customFormat="1" spans="1:16">
      <c r="A2125" s="39"/>
      <c r="B2125" s="40"/>
      <c r="C2125" s="41"/>
      <c r="D2125" s="41"/>
      <c r="E2125" s="41"/>
      <c r="F2125" s="41"/>
      <c r="G2125" s="41"/>
      <c r="H2125" s="41"/>
      <c r="I2125" s="41"/>
      <c r="J2125" s="41"/>
      <c r="K2125" s="41"/>
      <c r="L2125" s="41"/>
      <c r="M2125" s="41"/>
      <c r="N2125" s="41"/>
      <c r="O2125" s="41"/>
      <c r="P2125" s="28"/>
    </row>
    <row r="2126" customFormat="1" spans="1:16">
      <c r="A2126" s="39"/>
      <c r="B2126" s="40"/>
      <c r="C2126" s="41"/>
      <c r="D2126" s="41"/>
      <c r="E2126" s="41"/>
      <c r="F2126" s="41"/>
      <c r="G2126" s="41"/>
      <c r="H2126" s="41"/>
      <c r="I2126" s="41"/>
      <c r="J2126" s="41"/>
      <c r="K2126" s="41"/>
      <c r="L2126" s="41"/>
      <c r="M2126" s="41"/>
      <c r="N2126" s="41"/>
      <c r="O2126" s="41"/>
      <c r="P2126" s="28"/>
    </row>
    <row r="2127" customFormat="1" spans="1:16">
      <c r="A2127" s="39"/>
      <c r="B2127" s="40"/>
      <c r="C2127" s="41"/>
      <c r="D2127" s="41"/>
      <c r="E2127" s="41"/>
      <c r="F2127" s="41"/>
      <c r="G2127" s="41"/>
      <c r="H2127" s="41"/>
      <c r="I2127" s="41"/>
      <c r="J2127" s="41"/>
      <c r="K2127" s="41"/>
      <c r="L2127" s="41"/>
      <c r="M2127" s="41"/>
      <c r="N2127" s="41"/>
      <c r="O2127" s="41"/>
      <c r="P2127" s="28"/>
    </row>
    <row r="2128" customFormat="1" spans="1:16">
      <c r="A2128" s="39"/>
      <c r="B2128" s="40"/>
      <c r="C2128" s="41"/>
      <c r="D2128" s="41"/>
      <c r="E2128" s="41"/>
      <c r="F2128" s="41"/>
      <c r="G2128" s="41"/>
      <c r="H2128" s="41"/>
      <c r="I2128" s="41"/>
      <c r="J2128" s="41"/>
      <c r="K2128" s="41"/>
      <c r="L2128" s="41"/>
      <c r="M2128" s="41"/>
      <c r="N2128" s="41"/>
      <c r="O2128" s="41"/>
      <c r="P2128" s="28"/>
    </row>
    <row r="2129" customFormat="1" spans="1:16">
      <c r="A2129" s="39"/>
      <c r="B2129" s="40"/>
      <c r="C2129" s="41"/>
      <c r="D2129" s="41"/>
      <c r="E2129" s="41"/>
      <c r="F2129" s="41"/>
      <c r="G2129" s="41"/>
      <c r="H2129" s="41"/>
      <c r="I2129" s="41"/>
      <c r="J2129" s="41"/>
      <c r="K2129" s="41"/>
      <c r="L2129" s="41"/>
      <c r="M2129" s="41"/>
      <c r="N2129" s="41"/>
      <c r="O2129" s="41"/>
      <c r="P2129" s="28"/>
    </row>
    <row r="2130" customFormat="1" spans="1:16">
      <c r="A2130" s="39"/>
      <c r="B2130" s="40"/>
      <c r="C2130" s="41"/>
      <c r="D2130" s="41"/>
      <c r="E2130" s="41"/>
      <c r="F2130" s="41"/>
      <c r="G2130" s="41"/>
      <c r="H2130" s="41"/>
      <c r="I2130" s="41"/>
      <c r="J2130" s="41"/>
      <c r="K2130" s="41"/>
      <c r="L2130" s="41"/>
      <c r="M2130" s="41"/>
      <c r="N2130" s="41"/>
      <c r="O2130" s="41"/>
      <c r="P2130" s="28"/>
    </row>
    <row r="2131" customFormat="1" spans="1:16">
      <c r="A2131" s="39"/>
      <c r="B2131" s="40"/>
      <c r="C2131" s="41"/>
      <c r="D2131" s="41"/>
      <c r="E2131" s="41"/>
      <c r="F2131" s="41"/>
      <c r="G2131" s="41"/>
      <c r="H2131" s="41"/>
      <c r="I2131" s="41"/>
      <c r="J2131" s="41"/>
      <c r="K2131" s="41"/>
      <c r="L2131" s="41"/>
      <c r="M2131" s="41"/>
      <c r="N2131" s="41"/>
      <c r="O2131" s="41"/>
      <c r="P2131" s="28"/>
    </row>
    <row r="2132" customFormat="1" spans="1:16">
      <c r="A2132" s="39"/>
      <c r="B2132" s="40"/>
      <c r="C2132" s="41"/>
      <c r="D2132" s="41"/>
      <c r="E2132" s="41"/>
      <c r="F2132" s="41"/>
      <c r="G2132" s="41"/>
      <c r="H2132" s="41"/>
      <c r="I2132" s="41"/>
      <c r="J2132" s="41"/>
      <c r="K2132" s="41"/>
      <c r="L2132" s="41"/>
      <c r="M2132" s="41"/>
      <c r="N2132" s="41"/>
      <c r="O2132" s="41"/>
      <c r="P2132" s="28"/>
    </row>
    <row r="2133" customFormat="1" spans="1:16">
      <c r="A2133" s="39"/>
      <c r="B2133" s="40"/>
      <c r="C2133" s="41"/>
      <c r="D2133" s="41"/>
      <c r="E2133" s="41"/>
      <c r="F2133" s="41"/>
      <c r="G2133" s="41"/>
      <c r="H2133" s="41"/>
      <c r="I2133" s="41"/>
      <c r="J2133" s="41"/>
      <c r="K2133" s="41"/>
      <c r="L2133" s="41"/>
      <c r="M2133" s="41"/>
      <c r="N2133" s="41"/>
      <c r="O2133" s="41"/>
      <c r="P2133" s="28"/>
    </row>
    <row r="2134" customFormat="1" spans="1:16">
      <c r="A2134" s="39"/>
      <c r="B2134" s="40"/>
      <c r="C2134" s="41"/>
      <c r="D2134" s="41"/>
      <c r="E2134" s="41"/>
      <c r="F2134" s="41"/>
      <c r="G2134" s="41"/>
      <c r="H2134" s="41"/>
      <c r="I2134" s="41"/>
      <c r="J2134" s="41"/>
      <c r="K2134" s="41"/>
      <c r="L2134" s="41"/>
      <c r="M2134" s="41"/>
      <c r="N2134" s="41"/>
      <c r="O2134" s="41"/>
      <c r="P2134" s="28"/>
    </row>
    <row r="2135" customFormat="1" spans="1:16">
      <c r="A2135" s="39"/>
      <c r="B2135" s="40"/>
      <c r="C2135" s="41"/>
      <c r="D2135" s="41"/>
      <c r="E2135" s="41"/>
      <c r="F2135" s="41"/>
      <c r="G2135" s="41"/>
      <c r="H2135" s="41"/>
      <c r="I2135" s="41"/>
      <c r="J2135" s="41"/>
      <c r="K2135" s="41"/>
      <c r="L2135" s="41"/>
      <c r="M2135" s="41"/>
      <c r="N2135" s="41"/>
      <c r="O2135" s="41"/>
      <c r="P2135" s="28"/>
    </row>
    <row r="2136" customFormat="1" spans="1:16">
      <c r="A2136" s="39"/>
      <c r="B2136" s="40"/>
      <c r="C2136" s="41"/>
      <c r="D2136" s="41"/>
      <c r="E2136" s="41"/>
      <c r="F2136" s="41"/>
      <c r="G2136" s="41"/>
      <c r="H2136" s="41"/>
      <c r="I2136" s="41"/>
      <c r="J2136" s="41"/>
      <c r="K2136" s="41"/>
      <c r="L2136" s="41"/>
      <c r="M2136" s="41"/>
      <c r="N2136" s="41"/>
      <c r="O2136" s="41"/>
      <c r="P2136" s="28"/>
    </row>
    <row r="2137" customFormat="1" spans="1:16">
      <c r="A2137" s="39"/>
      <c r="B2137" s="40"/>
      <c r="C2137" s="41"/>
      <c r="D2137" s="41"/>
      <c r="E2137" s="41"/>
      <c r="F2137" s="41"/>
      <c r="G2137" s="41"/>
      <c r="H2137" s="41"/>
      <c r="I2137" s="41"/>
      <c r="J2137" s="41"/>
      <c r="K2137" s="41"/>
      <c r="L2137" s="41"/>
      <c r="M2137" s="41"/>
      <c r="N2137" s="41"/>
      <c r="O2137" s="41"/>
      <c r="P2137" s="28"/>
    </row>
    <row r="2138" customFormat="1" spans="1:16">
      <c r="A2138" s="39"/>
      <c r="B2138" s="40"/>
      <c r="C2138" s="41"/>
      <c r="D2138" s="41"/>
      <c r="E2138" s="41"/>
      <c r="F2138" s="41"/>
      <c r="G2138" s="41"/>
      <c r="H2138" s="41"/>
      <c r="I2138" s="41"/>
      <c r="J2138" s="41"/>
      <c r="K2138" s="41"/>
      <c r="L2138" s="41"/>
      <c r="M2138" s="41"/>
      <c r="N2138" s="41"/>
      <c r="O2138" s="41"/>
      <c r="P2138" s="28"/>
    </row>
    <row r="2139" customFormat="1" spans="1:16">
      <c r="A2139" s="39"/>
      <c r="B2139" s="40"/>
      <c r="C2139" s="41"/>
      <c r="D2139" s="41"/>
      <c r="E2139" s="41"/>
      <c r="F2139" s="41"/>
      <c r="G2139" s="41"/>
      <c r="H2139" s="41"/>
      <c r="I2139" s="41"/>
      <c r="J2139" s="41"/>
      <c r="K2139" s="41"/>
      <c r="L2139" s="41"/>
      <c r="M2139" s="41"/>
      <c r="N2139" s="41"/>
      <c r="O2139" s="41"/>
      <c r="P2139" s="28"/>
    </row>
    <row r="2140" customFormat="1" spans="1:16">
      <c r="A2140" s="39"/>
      <c r="B2140" s="40"/>
      <c r="C2140" s="41"/>
      <c r="D2140" s="41"/>
      <c r="E2140" s="41"/>
      <c r="F2140" s="41"/>
      <c r="G2140" s="41"/>
      <c r="H2140" s="41"/>
      <c r="I2140" s="41"/>
      <c r="J2140" s="41"/>
      <c r="K2140" s="41"/>
      <c r="L2140" s="41"/>
      <c r="M2140" s="41"/>
      <c r="N2140" s="41"/>
      <c r="O2140" s="41"/>
      <c r="P2140" s="28"/>
    </row>
    <row r="2141" customFormat="1" spans="1:16">
      <c r="A2141" s="39"/>
      <c r="B2141" s="40"/>
      <c r="C2141" s="41"/>
      <c r="D2141" s="41"/>
      <c r="E2141" s="41"/>
      <c r="F2141" s="41"/>
      <c r="G2141" s="41"/>
      <c r="H2141" s="41"/>
      <c r="I2141" s="41"/>
      <c r="J2141" s="41"/>
      <c r="K2141" s="41"/>
      <c r="L2141" s="41"/>
      <c r="M2141" s="41"/>
      <c r="N2141" s="41"/>
      <c r="O2141" s="41"/>
      <c r="P2141" s="28"/>
    </row>
    <row r="2142" customFormat="1" spans="1:16">
      <c r="A2142" s="39"/>
      <c r="B2142" s="40"/>
      <c r="C2142" s="41"/>
      <c r="D2142" s="41"/>
      <c r="E2142" s="41"/>
      <c r="F2142" s="41"/>
      <c r="G2142" s="41"/>
      <c r="H2142" s="41"/>
      <c r="I2142" s="41"/>
      <c r="J2142" s="41"/>
      <c r="K2142" s="41"/>
      <c r="L2142" s="41"/>
      <c r="M2142" s="41"/>
      <c r="N2142" s="41"/>
      <c r="O2142" s="41"/>
      <c r="P2142" s="28"/>
    </row>
    <row r="2143" customFormat="1" spans="1:16">
      <c r="A2143" s="39"/>
      <c r="B2143" s="40"/>
      <c r="C2143" s="41"/>
      <c r="D2143" s="41"/>
      <c r="E2143" s="41"/>
      <c r="F2143" s="41"/>
      <c r="G2143" s="41"/>
      <c r="H2143" s="41"/>
      <c r="I2143" s="41"/>
      <c r="J2143" s="41"/>
      <c r="K2143" s="41"/>
      <c r="L2143" s="41"/>
      <c r="M2143" s="41"/>
      <c r="N2143" s="41"/>
      <c r="O2143" s="41"/>
      <c r="P2143" s="28"/>
    </row>
    <row r="2144" customFormat="1" spans="1:16">
      <c r="A2144" s="39"/>
      <c r="B2144" s="40"/>
      <c r="C2144" s="41"/>
      <c r="D2144" s="41"/>
      <c r="E2144" s="41"/>
      <c r="F2144" s="41"/>
      <c r="G2144" s="41"/>
      <c r="H2144" s="41"/>
      <c r="I2144" s="41"/>
      <c r="J2144" s="41"/>
      <c r="K2144" s="41"/>
      <c r="L2144" s="41"/>
      <c r="M2144" s="41"/>
      <c r="N2144" s="41"/>
      <c r="O2144" s="41"/>
      <c r="P2144" s="28"/>
    </row>
    <row r="2145" customFormat="1" spans="1:16">
      <c r="A2145" s="39"/>
      <c r="B2145" s="40"/>
      <c r="C2145" s="41"/>
      <c r="D2145" s="41"/>
      <c r="E2145" s="41"/>
      <c r="F2145" s="41"/>
      <c r="G2145" s="41"/>
      <c r="H2145" s="41"/>
      <c r="I2145" s="41"/>
      <c r="J2145" s="41"/>
      <c r="K2145" s="41"/>
      <c r="L2145" s="41"/>
      <c r="M2145" s="41"/>
      <c r="N2145" s="41"/>
      <c r="O2145" s="41"/>
      <c r="P2145" s="28"/>
    </row>
    <row r="2146" customFormat="1" spans="1:16">
      <c r="A2146" s="39"/>
      <c r="B2146" s="40"/>
      <c r="C2146" s="41"/>
      <c r="D2146" s="41"/>
      <c r="E2146" s="41"/>
      <c r="F2146" s="41"/>
      <c r="G2146" s="41"/>
      <c r="H2146" s="41"/>
      <c r="I2146" s="41"/>
      <c r="J2146" s="41"/>
      <c r="K2146" s="41"/>
      <c r="L2146" s="41"/>
      <c r="M2146" s="41"/>
      <c r="N2146" s="41"/>
      <c r="O2146" s="41"/>
      <c r="P2146" s="28"/>
    </row>
    <row r="2147" customFormat="1" spans="1:16">
      <c r="A2147" s="39"/>
      <c r="B2147" s="40"/>
      <c r="C2147" s="41"/>
      <c r="D2147" s="41"/>
      <c r="E2147" s="41"/>
      <c r="F2147" s="41"/>
      <c r="G2147" s="41"/>
      <c r="H2147" s="41"/>
      <c r="I2147" s="41"/>
      <c r="J2147" s="41"/>
      <c r="K2147" s="41"/>
      <c r="L2147" s="41"/>
      <c r="M2147" s="41"/>
      <c r="N2147" s="41"/>
      <c r="O2147" s="41"/>
      <c r="P2147" s="28"/>
    </row>
    <row r="2148" customFormat="1" spans="1:16">
      <c r="A2148" s="39"/>
      <c r="B2148" s="40"/>
      <c r="C2148" s="41"/>
      <c r="D2148" s="41"/>
      <c r="E2148" s="41"/>
      <c r="F2148" s="41"/>
      <c r="G2148" s="41"/>
      <c r="H2148" s="41"/>
      <c r="I2148" s="41"/>
      <c r="J2148" s="41"/>
      <c r="K2148" s="41"/>
      <c r="L2148" s="41"/>
      <c r="M2148" s="41"/>
      <c r="N2148" s="41"/>
      <c r="O2148" s="41"/>
      <c r="P2148" s="28"/>
    </row>
    <row r="2149" customFormat="1" spans="1:16">
      <c r="A2149" s="39"/>
      <c r="B2149" s="40"/>
      <c r="C2149" s="41"/>
      <c r="D2149" s="41"/>
      <c r="E2149" s="41"/>
      <c r="F2149" s="41"/>
      <c r="G2149" s="41"/>
      <c r="H2149" s="41"/>
      <c r="I2149" s="41"/>
      <c r="J2149" s="41"/>
      <c r="K2149" s="41"/>
      <c r="L2149" s="41"/>
      <c r="M2149" s="41"/>
      <c r="N2149" s="41"/>
      <c r="O2149" s="41"/>
      <c r="P2149" s="28"/>
    </row>
    <row r="2150" customFormat="1" spans="1:16">
      <c r="A2150" s="39"/>
      <c r="B2150" s="40"/>
      <c r="C2150" s="41"/>
      <c r="D2150" s="41"/>
      <c r="E2150" s="41"/>
      <c r="F2150" s="41"/>
      <c r="G2150" s="41"/>
      <c r="H2150" s="41"/>
      <c r="I2150" s="41"/>
      <c r="J2150" s="41"/>
      <c r="K2150" s="41"/>
      <c r="L2150" s="41"/>
      <c r="M2150" s="41"/>
      <c r="N2150" s="41"/>
      <c r="O2150" s="41"/>
      <c r="P2150" s="28"/>
    </row>
    <row r="2151" customFormat="1" spans="1:16">
      <c r="A2151" s="39"/>
      <c r="B2151" s="40"/>
      <c r="C2151" s="41"/>
      <c r="D2151" s="41"/>
      <c r="E2151" s="41"/>
      <c r="F2151" s="41"/>
      <c r="G2151" s="41"/>
      <c r="H2151" s="41"/>
      <c r="I2151" s="41"/>
      <c r="J2151" s="41"/>
      <c r="K2151" s="41"/>
      <c r="L2151" s="41"/>
      <c r="M2151" s="41"/>
      <c r="N2151" s="41"/>
      <c r="O2151" s="41"/>
      <c r="P2151" s="28"/>
    </row>
    <row r="2152" customFormat="1" spans="1:16">
      <c r="A2152" s="39"/>
      <c r="B2152" s="40"/>
      <c r="C2152" s="41"/>
      <c r="D2152" s="41"/>
      <c r="E2152" s="41"/>
      <c r="F2152" s="41"/>
      <c r="G2152" s="41"/>
      <c r="H2152" s="41"/>
      <c r="I2152" s="41"/>
      <c r="J2152" s="41"/>
      <c r="K2152" s="41"/>
      <c r="L2152" s="41"/>
      <c r="M2152" s="41"/>
      <c r="N2152" s="41"/>
      <c r="O2152" s="41"/>
      <c r="P2152" s="28"/>
    </row>
    <row r="2153" customFormat="1" spans="1:16">
      <c r="A2153" s="39"/>
      <c r="B2153" s="40"/>
      <c r="C2153" s="41"/>
      <c r="D2153" s="41"/>
      <c r="E2153" s="41"/>
      <c r="F2153" s="41"/>
      <c r="G2153" s="41"/>
      <c r="H2153" s="41"/>
      <c r="I2153" s="41"/>
      <c r="J2153" s="41"/>
      <c r="K2153" s="41"/>
      <c r="L2153" s="41"/>
      <c r="M2153" s="41"/>
      <c r="N2153" s="41"/>
      <c r="O2153" s="41"/>
      <c r="P2153" s="28"/>
    </row>
    <row r="2154" customFormat="1" spans="1:16">
      <c r="A2154" s="39"/>
      <c r="B2154" s="40"/>
      <c r="C2154" s="41"/>
      <c r="D2154" s="41"/>
      <c r="E2154" s="41"/>
      <c r="F2154" s="41"/>
      <c r="G2154" s="41"/>
      <c r="H2154" s="41"/>
      <c r="I2154" s="41"/>
      <c r="J2154" s="41"/>
      <c r="K2154" s="41"/>
      <c r="L2154" s="41"/>
      <c r="M2154" s="41"/>
      <c r="N2154" s="41"/>
      <c r="O2154" s="41"/>
      <c r="P2154" s="28"/>
    </row>
    <row r="2155" customFormat="1" spans="1:16">
      <c r="A2155" s="39"/>
      <c r="B2155" s="40"/>
      <c r="C2155" s="41"/>
      <c r="D2155" s="41"/>
      <c r="E2155" s="41"/>
      <c r="F2155" s="41"/>
      <c r="G2155" s="41"/>
      <c r="H2155" s="41"/>
      <c r="I2155" s="41"/>
      <c r="J2155" s="41"/>
      <c r="K2155" s="41"/>
      <c r="L2155" s="41"/>
      <c r="M2155" s="41"/>
      <c r="N2155" s="41"/>
      <c r="O2155" s="41"/>
      <c r="P2155" s="28"/>
    </row>
    <row r="2156" customFormat="1" spans="1:16">
      <c r="A2156" s="39"/>
      <c r="B2156" s="40"/>
      <c r="C2156" s="41"/>
      <c r="D2156" s="41"/>
      <c r="E2156" s="41"/>
      <c r="F2156" s="41"/>
      <c r="G2156" s="41"/>
      <c r="H2156" s="41"/>
      <c r="I2156" s="41"/>
      <c r="J2156" s="41"/>
      <c r="K2156" s="41"/>
      <c r="L2156" s="41"/>
      <c r="M2156" s="41"/>
      <c r="N2156" s="41"/>
      <c r="O2156" s="41"/>
      <c r="P2156" s="28"/>
    </row>
    <row r="2157" customFormat="1" spans="1:16">
      <c r="A2157" s="39"/>
      <c r="B2157" s="40"/>
      <c r="C2157" s="41"/>
      <c r="D2157" s="41"/>
      <c r="E2157" s="41"/>
      <c r="F2157" s="41"/>
      <c r="G2157" s="41"/>
      <c r="H2157" s="41"/>
      <c r="I2157" s="41"/>
      <c r="J2157" s="41"/>
      <c r="K2157" s="41"/>
      <c r="L2157" s="41"/>
      <c r="M2157" s="41"/>
      <c r="N2157" s="41"/>
      <c r="O2157" s="41"/>
      <c r="P2157" s="28"/>
    </row>
    <row r="2158" customFormat="1" spans="1:16">
      <c r="A2158" s="39"/>
      <c r="B2158" s="40"/>
      <c r="C2158" s="41"/>
      <c r="D2158" s="41"/>
      <c r="E2158" s="41"/>
      <c r="F2158" s="41"/>
      <c r="G2158" s="41"/>
      <c r="H2158" s="41"/>
      <c r="I2158" s="41"/>
      <c r="J2158" s="41"/>
      <c r="K2158" s="41"/>
      <c r="L2158" s="41"/>
      <c r="M2158" s="41"/>
      <c r="N2158" s="41"/>
      <c r="O2158" s="41"/>
      <c r="P2158" s="28"/>
    </row>
    <row r="2159" customFormat="1" spans="1:16">
      <c r="A2159" s="39"/>
      <c r="B2159" s="40"/>
      <c r="C2159" s="41"/>
      <c r="D2159" s="41"/>
      <c r="E2159" s="41"/>
      <c r="F2159" s="41"/>
      <c r="G2159" s="41"/>
      <c r="H2159" s="41"/>
      <c r="I2159" s="41"/>
      <c r="J2159" s="41"/>
      <c r="K2159" s="41"/>
      <c r="L2159" s="41"/>
      <c r="M2159" s="41"/>
      <c r="N2159" s="41"/>
      <c r="O2159" s="41"/>
      <c r="P2159" s="28"/>
    </row>
    <row r="2160" customFormat="1" spans="1:16">
      <c r="A2160" s="39"/>
      <c r="B2160" s="40"/>
      <c r="C2160" s="41"/>
      <c r="D2160" s="41"/>
      <c r="E2160" s="41"/>
      <c r="F2160" s="41"/>
      <c r="G2160" s="41"/>
      <c r="H2160" s="41"/>
      <c r="I2160" s="41"/>
      <c r="J2160" s="41"/>
      <c r="K2160" s="41"/>
      <c r="L2160" s="41"/>
      <c r="M2160" s="41"/>
      <c r="N2160" s="41"/>
      <c r="O2160" s="41"/>
      <c r="P2160" s="28"/>
    </row>
    <row r="2161" customFormat="1" spans="1:16">
      <c r="A2161" s="39"/>
      <c r="B2161" s="40"/>
      <c r="C2161" s="41"/>
      <c r="D2161" s="41"/>
      <c r="E2161" s="41"/>
      <c r="F2161" s="41"/>
      <c r="G2161" s="41"/>
      <c r="H2161" s="41"/>
      <c r="I2161" s="41"/>
      <c r="J2161" s="41"/>
      <c r="K2161" s="41"/>
      <c r="L2161" s="41"/>
      <c r="M2161" s="41"/>
      <c r="N2161" s="41"/>
      <c r="O2161" s="41"/>
      <c r="P2161" s="28"/>
    </row>
    <row r="2162" customFormat="1" spans="1:16">
      <c r="A2162" s="39"/>
      <c r="B2162" s="40"/>
      <c r="C2162" s="41"/>
      <c r="D2162" s="41"/>
      <c r="E2162" s="41"/>
      <c r="F2162" s="41"/>
      <c r="G2162" s="41"/>
      <c r="H2162" s="41"/>
      <c r="I2162" s="41"/>
      <c r="J2162" s="41"/>
      <c r="K2162" s="41"/>
      <c r="L2162" s="41"/>
      <c r="M2162" s="41"/>
      <c r="N2162" s="41"/>
      <c r="O2162" s="41"/>
      <c r="P2162" s="28"/>
    </row>
    <row r="2163" customFormat="1" spans="1:16">
      <c r="A2163" s="39"/>
      <c r="B2163" s="40"/>
      <c r="C2163" s="41"/>
      <c r="D2163" s="41"/>
      <c r="E2163" s="41"/>
      <c r="F2163" s="41"/>
      <c r="G2163" s="41"/>
      <c r="H2163" s="41"/>
      <c r="I2163" s="41"/>
      <c r="J2163" s="41"/>
      <c r="K2163" s="41"/>
      <c r="L2163" s="41"/>
      <c r="M2163" s="41"/>
      <c r="N2163" s="41"/>
      <c r="O2163" s="41"/>
      <c r="P2163" s="28"/>
    </row>
    <row r="2164" customFormat="1" spans="1:16">
      <c r="A2164" s="39"/>
      <c r="B2164" s="40"/>
      <c r="C2164" s="41"/>
      <c r="D2164" s="41"/>
      <c r="E2164" s="41"/>
      <c r="F2164" s="41"/>
      <c r="G2164" s="41"/>
      <c r="H2164" s="41"/>
      <c r="I2164" s="41"/>
      <c r="J2164" s="41"/>
      <c r="K2164" s="41"/>
      <c r="L2164" s="41"/>
      <c r="M2164" s="41"/>
      <c r="N2164" s="41"/>
      <c r="O2164" s="41"/>
      <c r="P2164" s="28"/>
    </row>
    <row r="2165" customFormat="1" spans="1:16">
      <c r="A2165" s="39"/>
      <c r="B2165" s="40"/>
      <c r="C2165" s="41"/>
      <c r="D2165" s="41"/>
      <c r="E2165" s="41"/>
      <c r="F2165" s="41"/>
      <c r="G2165" s="41"/>
      <c r="H2165" s="41"/>
      <c r="I2165" s="41"/>
      <c r="J2165" s="41"/>
      <c r="K2165" s="41"/>
      <c r="L2165" s="41"/>
      <c r="M2165" s="41"/>
      <c r="N2165" s="41"/>
      <c r="O2165" s="41"/>
      <c r="P2165" s="28"/>
    </row>
    <row r="2166" customFormat="1" spans="1:16">
      <c r="A2166" s="39"/>
      <c r="B2166" s="40"/>
      <c r="C2166" s="41"/>
      <c r="D2166" s="41"/>
      <c r="E2166" s="41"/>
      <c r="F2166" s="41"/>
      <c r="G2166" s="41"/>
      <c r="H2166" s="41"/>
      <c r="I2166" s="41"/>
      <c r="J2166" s="41"/>
      <c r="K2166" s="41"/>
      <c r="L2166" s="41"/>
      <c r="M2166" s="41"/>
      <c r="N2166" s="41"/>
      <c r="O2166" s="41"/>
      <c r="P2166" s="28"/>
    </row>
    <row r="2167" customFormat="1" spans="1:16">
      <c r="A2167" s="39"/>
      <c r="B2167" s="40"/>
      <c r="C2167" s="41"/>
      <c r="D2167" s="41"/>
      <c r="E2167" s="41"/>
      <c r="F2167" s="41"/>
      <c r="G2167" s="41"/>
      <c r="H2167" s="41"/>
      <c r="I2167" s="41"/>
      <c r="J2167" s="41"/>
      <c r="K2167" s="41"/>
      <c r="L2167" s="41"/>
      <c r="M2167" s="41"/>
      <c r="N2167" s="41"/>
      <c r="O2167" s="41"/>
      <c r="P2167" s="28"/>
    </row>
    <row r="2168" customFormat="1" spans="1:16">
      <c r="A2168" s="39"/>
      <c r="B2168" s="40"/>
      <c r="C2168" s="41"/>
      <c r="D2168" s="41"/>
      <c r="E2168" s="41"/>
      <c r="F2168" s="41"/>
      <c r="G2168" s="41"/>
      <c r="H2168" s="41"/>
      <c r="I2168" s="41"/>
      <c r="J2168" s="41"/>
      <c r="K2168" s="41"/>
      <c r="L2168" s="41"/>
      <c r="M2168" s="41"/>
      <c r="N2168" s="41"/>
      <c r="O2168" s="41"/>
      <c r="P2168" s="28"/>
    </row>
    <row r="2169" customFormat="1" spans="1:16">
      <c r="A2169" s="39"/>
      <c r="B2169" s="40"/>
      <c r="C2169" s="41"/>
      <c r="D2169" s="41"/>
      <c r="E2169" s="41"/>
      <c r="F2169" s="41"/>
      <c r="G2169" s="41"/>
      <c r="H2169" s="41"/>
      <c r="I2169" s="41"/>
      <c r="J2169" s="41"/>
      <c r="K2169" s="41"/>
      <c r="L2169" s="41"/>
      <c r="M2169" s="41"/>
      <c r="N2169" s="41"/>
      <c r="O2169" s="41"/>
      <c r="P2169" s="28"/>
    </row>
    <row r="2170" customFormat="1" spans="1:16">
      <c r="A2170" s="39"/>
      <c r="B2170" s="40"/>
      <c r="C2170" s="41"/>
      <c r="D2170" s="41"/>
      <c r="E2170" s="41"/>
      <c r="F2170" s="41"/>
      <c r="G2170" s="41"/>
      <c r="H2170" s="41"/>
      <c r="I2170" s="41"/>
      <c r="J2170" s="41"/>
      <c r="K2170" s="41"/>
      <c r="L2170" s="41"/>
      <c r="M2170" s="41"/>
      <c r="N2170" s="41"/>
      <c r="O2170" s="41"/>
      <c r="P2170" s="28"/>
    </row>
    <row r="2171" customFormat="1" spans="1:16">
      <c r="A2171" s="39"/>
      <c r="B2171" s="40"/>
      <c r="C2171" s="41"/>
      <c r="D2171" s="41"/>
      <c r="E2171" s="41"/>
      <c r="F2171" s="41"/>
      <c r="G2171" s="41"/>
      <c r="H2171" s="41"/>
      <c r="I2171" s="41"/>
      <c r="J2171" s="41"/>
      <c r="K2171" s="41"/>
      <c r="L2171" s="41"/>
      <c r="M2171" s="41"/>
      <c r="N2171" s="41"/>
      <c r="O2171" s="41"/>
      <c r="P2171" s="28"/>
    </row>
    <row r="2172" customFormat="1" spans="1:16">
      <c r="A2172" s="39"/>
      <c r="B2172" s="40"/>
      <c r="C2172" s="41"/>
      <c r="D2172" s="41"/>
      <c r="E2172" s="41"/>
      <c r="F2172" s="41"/>
      <c r="G2172" s="41"/>
      <c r="H2172" s="41"/>
      <c r="I2172" s="41"/>
      <c r="J2172" s="41"/>
      <c r="K2172" s="41"/>
      <c r="L2172" s="41"/>
      <c r="M2172" s="41"/>
      <c r="N2172" s="41"/>
      <c r="O2172" s="41"/>
      <c r="P2172" s="28"/>
    </row>
    <row r="2173" customFormat="1" spans="1:16">
      <c r="A2173" s="39"/>
      <c r="B2173" s="40"/>
      <c r="C2173" s="41"/>
      <c r="D2173" s="41"/>
      <c r="E2173" s="41"/>
      <c r="F2173" s="41"/>
      <c r="G2173" s="41"/>
      <c r="H2173" s="41"/>
      <c r="I2173" s="41"/>
      <c r="J2173" s="41"/>
      <c r="K2173" s="41"/>
      <c r="L2173" s="41"/>
      <c r="M2173" s="41"/>
      <c r="N2173" s="41"/>
      <c r="O2173" s="41"/>
      <c r="P2173" s="28"/>
    </row>
    <row r="2174" customFormat="1" spans="1:16">
      <c r="A2174" s="39"/>
      <c r="B2174" s="40"/>
      <c r="C2174" s="41"/>
      <c r="D2174" s="41"/>
      <c r="E2174" s="41"/>
      <c r="F2174" s="41"/>
      <c r="G2174" s="41"/>
      <c r="H2174" s="41"/>
      <c r="I2174" s="41"/>
      <c r="J2174" s="41"/>
      <c r="K2174" s="41"/>
      <c r="L2174" s="41"/>
      <c r="M2174" s="41"/>
      <c r="N2174" s="41"/>
      <c r="O2174" s="41"/>
      <c r="P2174" s="28"/>
    </row>
    <row r="2175" customFormat="1" spans="1:16">
      <c r="A2175" s="39"/>
      <c r="B2175" s="40"/>
      <c r="C2175" s="41"/>
      <c r="D2175" s="41"/>
      <c r="E2175" s="41"/>
      <c r="F2175" s="41"/>
      <c r="G2175" s="41"/>
      <c r="H2175" s="41"/>
      <c r="I2175" s="41"/>
      <c r="J2175" s="41"/>
      <c r="K2175" s="41"/>
      <c r="L2175" s="41"/>
      <c r="M2175" s="41"/>
      <c r="N2175" s="41"/>
      <c r="O2175" s="41"/>
      <c r="P2175" s="28"/>
    </row>
    <row r="2176" customFormat="1" spans="1:16">
      <c r="A2176" s="39"/>
      <c r="B2176" s="40"/>
      <c r="C2176" s="41"/>
      <c r="D2176" s="41"/>
      <c r="E2176" s="41"/>
      <c r="F2176" s="41"/>
      <c r="G2176" s="41"/>
      <c r="H2176" s="41"/>
      <c r="I2176" s="41"/>
      <c r="J2176" s="41"/>
      <c r="K2176" s="41"/>
      <c r="L2176" s="41"/>
      <c r="M2176" s="41"/>
      <c r="N2176" s="41"/>
      <c r="O2176" s="41"/>
      <c r="P2176" s="28"/>
    </row>
    <row r="2177" customFormat="1" spans="1:16">
      <c r="A2177" s="39"/>
      <c r="B2177" s="40"/>
      <c r="C2177" s="41"/>
      <c r="D2177" s="41"/>
      <c r="E2177" s="41"/>
      <c r="F2177" s="41"/>
      <c r="G2177" s="41"/>
      <c r="H2177" s="41"/>
      <c r="I2177" s="41"/>
      <c r="J2177" s="41"/>
      <c r="K2177" s="41"/>
      <c r="L2177" s="41"/>
      <c r="M2177" s="41"/>
      <c r="N2177" s="41"/>
      <c r="O2177" s="41"/>
      <c r="P2177" s="28"/>
    </row>
    <row r="2178" customFormat="1" spans="1:16">
      <c r="A2178" s="39"/>
      <c r="B2178" s="40"/>
      <c r="C2178" s="41"/>
      <c r="D2178" s="41"/>
      <c r="E2178" s="41"/>
      <c r="F2178" s="41"/>
      <c r="G2178" s="41"/>
      <c r="H2178" s="41"/>
      <c r="I2178" s="41"/>
      <c r="J2178" s="41"/>
      <c r="K2178" s="41"/>
      <c r="L2178" s="41"/>
      <c r="M2178" s="41"/>
      <c r="N2178" s="41"/>
      <c r="O2178" s="41"/>
      <c r="P2178" s="28"/>
    </row>
    <row r="2179" customFormat="1" spans="1:16">
      <c r="A2179" s="39"/>
      <c r="B2179" s="40"/>
      <c r="C2179" s="41"/>
      <c r="D2179" s="41"/>
      <c r="E2179" s="41"/>
      <c r="F2179" s="41"/>
      <c r="G2179" s="41"/>
      <c r="H2179" s="41"/>
      <c r="I2179" s="41"/>
      <c r="J2179" s="41"/>
      <c r="K2179" s="41"/>
      <c r="L2179" s="41"/>
      <c r="M2179" s="41"/>
      <c r="N2179" s="41"/>
      <c r="O2179" s="41"/>
      <c r="P2179" s="28"/>
    </row>
    <row r="2180" customFormat="1" spans="1:16">
      <c r="A2180" s="39"/>
      <c r="B2180" s="40"/>
      <c r="C2180" s="41"/>
      <c r="D2180" s="41"/>
      <c r="E2180" s="41"/>
      <c r="F2180" s="41"/>
      <c r="G2180" s="41"/>
      <c r="H2180" s="41"/>
      <c r="I2180" s="41"/>
      <c r="J2180" s="41"/>
      <c r="K2180" s="41"/>
      <c r="L2180" s="41"/>
      <c r="M2180" s="41"/>
      <c r="N2180" s="41"/>
      <c r="O2180" s="41"/>
      <c r="P2180" s="28"/>
    </row>
    <row r="2181" customFormat="1" spans="1:16">
      <c r="A2181" s="39"/>
      <c r="B2181" s="40"/>
      <c r="C2181" s="41"/>
      <c r="D2181" s="41"/>
      <c r="E2181" s="41"/>
      <c r="F2181" s="41"/>
      <c r="G2181" s="41"/>
      <c r="H2181" s="41"/>
      <c r="I2181" s="41"/>
      <c r="J2181" s="41"/>
      <c r="K2181" s="41"/>
      <c r="L2181" s="41"/>
      <c r="M2181" s="41"/>
      <c r="N2181" s="41"/>
      <c r="O2181" s="41"/>
      <c r="P2181" s="28"/>
    </row>
    <row r="2182" customFormat="1" spans="1:16">
      <c r="A2182" s="39"/>
      <c r="B2182" s="40"/>
      <c r="C2182" s="41"/>
      <c r="D2182" s="41"/>
      <c r="E2182" s="41"/>
      <c r="F2182" s="41"/>
      <c r="G2182" s="41"/>
      <c r="H2182" s="41"/>
      <c r="I2182" s="41"/>
      <c r="J2182" s="41"/>
      <c r="K2182" s="41"/>
      <c r="L2182" s="41"/>
      <c r="M2182" s="41"/>
      <c r="N2182" s="41"/>
      <c r="O2182" s="41"/>
      <c r="P2182" s="28"/>
    </row>
    <row r="2183" customFormat="1" spans="1:16">
      <c r="A2183" s="39"/>
      <c r="B2183" s="40"/>
      <c r="C2183" s="41"/>
      <c r="D2183" s="41"/>
      <c r="E2183" s="41"/>
      <c r="F2183" s="41"/>
      <c r="G2183" s="41"/>
      <c r="H2183" s="41"/>
      <c r="I2183" s="41"/>
      <c r="J2183" s="41"/>
      <c r="K2183" s="41"/>
      <c r="L2183" s="41"/>
      <c r="M2183" s="41"/>
      <c r="N2183" s="41"/>
      <c r="O2183" s="41"/>
      <c r="P2183" s="28"/>
    </row>
    <row r="2184" customFormat="1" spans="1:16">
      <c r="A2184" s="39"/>
      <c r="B2184" s="40"/>
      <c r="C2184" s="41"/>
      <c r="D2184" s="41"/>
      <c r="E2184" s="41"/>
      <c r="F2184" s="41"/>
      <c r="G2184" s="41"/>
      <c r="H2184" s="41"/>
      <c r="I2184" s="41"/>
      <c r="J2184" s="41"/>
      <c r="K2184" s="41"/>
      <c r="L2184" s="41"/>
      <c r="M2184" s="41"/>
      <c r="N2184" s="41"/>
      <c r="O2184" s="41"/>
      <c r="P2184" s="28"/>
    </row>
    <row r="2185" customFormat="1" spans="1:16">
      <c r="A2185" s="39"/>
      <c r="B2185" s="40"/>
      <c r="C2185" s="41"/>
      <c r="D2185" s="41"/>
      <c r="E2185" s="41"/>
      <c r="F2185" s="41"/>
      <c r="G2185" s="41"/>
      <c r="H2185" s="41"/>
      <c r="I2185" s="41"/>
      <c r="J2185" s="41"/>
      <c r="K2185" s="41"/>
      <c r="L2185" s="41"/>
      <c r="M2185" s="41"/>
      <c r="N2185" s="41"/>
      <c r="O2185" s="41"/>
      <c r="P2185" s="28"/>
    </row>
    <row r="2186" customFormat="1" spans="1:16">
      <c r="A2186" s="39"/>
      <c r="B2186" s="40"/>
      <c r="C2186" s="41"/>
      <c r="D2186" s="41"/>
      <c r="E2186" s="41"/>
      <c r="F2186" s="41"/>
      <c r="G2186" s="41"/>
      <c r="H2186" s="41"/>
      <c r="I2186" s="41"/>
      <c r="J2186" s="41"/>
      <c r="K2186" s="41"/>
      <c r="L2186" s="41"/>
      <c r="M2186" s="41"/>
      <c r="N2186" s="41"/>
      <c r="O2186" s="41"/>
      <c r="P2186" s="28"/>
    </row>
    <row r="2187" customFormat="1" spans="1:16">
      <c r="A2187" s="39"/>
      <c r="B2187" s="40"/>
      <c r="C2187" s="41"/>
      <c r="D2187" s="41"/>
      <c r="E2187" s="41"/>
      <c r="F2187" s="41"/>
      <c r="G2187" s="41"/>
      <c r="H2187" s="41"/>
      <c r="I2187" s="41"/>
      <c r="J2187" s="41"/>
      <c r="K2187" s="41"/>
      <c r="L2187" s="41"/>
      <c r="M2187" s="41"/>
      <c r="N2187" s="41"/>
      <c r="O2187" s="41"/>
      <c r="P2187" s="28"/>
    </row>
    <row r="2188" customFormat="1" spans="1:16">
      <c r="A2188" s="39"/>
      <c r="B2188" s="40"/>
      <c r="C2188" s="41"/>
      <c r="D2188" s="41"/>
      <c r="E2188" s="41"/>
      <c r="F2188" s="41"/>
      <c r="G2188" s="41"/>
      <c r="H2188" s="41"/>
      <c r="I2188" s="41"/>
      <c r="J2188" s="41"/>
      <c r="K2188" s="41"/>
      <c r="L2188" s="41"/>
      <c r="M2188" s="41"/>
      <c r="N2188" s="41"/>
      <c r="O2188" s="41"/>
      <c r="P2188" s="28"/>
    </row>
    <row r="2189" customFormat="1" spans="1:16">
      <c r="A2189" s="39"/>
      <c r="B2189" s="40"/>
      <c r="C2189" s="41"/>
      <c r="D2189" s="41"/>
      <c r="E2189" s="41"/>
      <c r="F2189" s="41"/>
      <c r="G2189" s="41"/>
      <c r="H2189" s="41"/>
      <c r="I2189" s="41"/>
      <c r="J2189" s="41"/>
      <c r="K2189" s="41"/>
      <c r="L2189" s="41"/>
      <c r="M2189" s="41"/>
      <c r="N2189" s="41"/>
      <c r="O2189" s="41"/>
      <c r="P2189" s="28"/>
    </row>
    <row r="2190" customFormat="1" spans="1:16">
      <c r="A2190" s="39"/>
      <c r="B2190" s="40"/>
      <c r="C2190" s="41"/>
      <c r="D2190" s="41"/>
      <c r="E2190" s="41"/>
      <c r="F2190" s="41"/>
      <c r="G2190" s="41"/>
      <c r="H2190" s="41"/>
      <c r="I2190" s="41"/>
      <c r="J2190" s="41"/>
      <c r="K2190" s="41"/>
      <c r="L2190" s="41"/>
      <c r="M2190" s="41"/>
      <c r="N2190" s="41"/>
      <c r="O2190" s="41"/>
      <c r="P2190" s="28"/>
    </row>
    <row r="2191" customFormat="1" spans="1:16">
      <c r="A2191" s="39"/>
      <c r="B2191" s="40"/>
      <c r="C2191" s="41"/>
      <c r="D2191" s="41"/>
      <c r="E2191" s="41"/>
      <c r="F2191" s="41"/>
      <c r="G2191" s="41"/>
      <c r="H2191" s="41"/>
      <c r="I2191" s="41"/>
      <c r="J2191" s="41"/>
      <c r="K2191" s="41"/>
      <c r="L2191" s="41"/>
      <c r="M2191" s="41"/>
      <c r="N2191" s="41"/>
      <c r="O2191" s="41"/>
      <c r="P2191" s="28"/>
    </row>
    <row r="2192" customFormat="1" spans="1:16">
      <c r="A2192" s="39"/>
      <c r="B2192" s="40"/>
      <c r="C2192" s="41"/>
      <c r="D2192" s="41"/>
      <c r="E2192" s="41"/>
      <c r="F2192" s="41"/>
      <c r="G2192" s="41"/>
      <c r="H2192" s="41"/>
      <c r="I2192" s="41"/>
      <c r="J2192" s="41"/>
      <c r="K2192" s="41"/>
      <c r="L2192" s="41"/>
      <c r="M2192" s="41"/>
      <c r="N2192" s="41"/>
      <c r="O2192" s="41"/>
      <c r="P2192" s="28"/>
    </row>
    <row r="2193" customFormat="1" spans="1:16">
      <c r="A2193" s="39"/>
      <c r="B2193" s="40"/>
      <c r="C2193" s="41"/>
      <c r="D2193" s="41"/>
      <c r="E2193" s="41"/>
      <c r="F2193" s="41"/>
      <c r="G2193" s="41"/>
      <c r="H2193" s="41"/>
      <c r="I2193" s="41"/>
      <c r="J2193" s="41"/>
      <c r="K2193" s="41"/>
      <c r="L2193" s="41"/>
      <c r="M2193" s="41"/>
      <c r="N2193" s="41"/>
      <c r="O2193" s="41"/>
      <c r="P2193" s="28"/>
    </row>
    <row r="2194" customFormat="1" spans="1:16">
      <c r="A2194" s="39"/>
      <c r="B2194" s="40"/>
      <c r="C2194" s="41"/>
      <c r="D2194" s="41"/>
      <c r="E2194" s="41"/>
      <c r="F2194" s="41"/>
      <c r="G2194" s="41"/>
      <c r="H2194" s="41"/>
      <c r="I2194" s="41"/>
      <c r="J2194" s="41"/>
      <c r="K2194" s="41"/>
      <c r="L2194" s="41"/>
      <c r="M2194" s="41"/>
      <c r="N2194" s="41"/>
      <c r="O2194" s="41"/>
      <c r="P2194" s="28"/>
    </row>
    <row r="2195" customFormat="1" spans="1:16">
      <c r="A2195" s="39"/>
      <c r="B2195" s="40"/>
      <c r="C2195" s="41"/>
      <c r="D2195" s="41"/>
      <c r="E2195" s="41"/>
      <c r="F2195" s="41"/>
      <c r="G2195" s="41"/>
      <c r="H2195" s="41"/>
      <c r="I2195" s="41"/>
      <c r="J2195" s="41"/>
      <c r="K2195" s="41"/>
      <c r="L2195" s="41"/>
      <c r="M2195" s="41"/>
      <c r="N2195" s="41"/>
      <c r="O2195" s="41"/>
      <c r="P2195" s="28"/>
    </row>
    <row r="2196" customFormat="1" spans="1:16">
      <c r="A2196" s="39"/>
      <c r="B2196" s="40"/>
      <c r="C2196" s="41"/>
      <c r="D2196" s="41"/>
      <c r="E2196" s="41"/>
      <c r="F2196" s="41"/>
      <c r="G2196" s="41"/>
      <c r="H2196" s="41"/>
      <c r="I2196" s="41"/>
      <c r="J2196" s="41"/>
      <c r="K2196" s="41"/>
      <c r="L2196" s="41"/>
      <c r="M2196" s="41"/>
      <c r="N2196" s="41"/>
      <c r="O2196" s="41"/>
      <c r="P2196" s="28"/>
    </row>
    <row r="2197" customFormat="1" spans="1:16">
      <c r="A2197" s="39"/>
      <c r="B2197" s="40"/>
      <c r="C2197" s="41"/>
      <c r="D2197" s="41"/>
      <c r="E2197" s="41"/>
      <c r="F2197" s="41"/>
      <c r="G2197" s="41"/>
      <c r="H2197" s="41"/>
      <c r="I2197" s="41"/>
      <c r="J2197" s="41"/>
      <c r="K2197" s="41"/>
      <c r="L2197" s="41"/>
      <c r="M2197" s="41"/>
      <c r="N2197" s="41"/>
      <c r="O2197" s="41"/>
      <c r="P2197" s="28"/>
    </row>
    <row r="2198" customFormat="1" spans="1:16">
      <c r="A2198" s="39"/>
      <c r="B2198" s="40"/>
      <c r="C2198" s="41"/>
      <c r="D2198" s="41"/>
      <c r="E2198" s="41"/>
      <c r="F2198" s="41"/>
      <c r="G2198" s="41"/>
      <c r="H2198" s="41"/>
      <c r="I2198" s="41"/>
      <c r="J2198" s="41"/>
      <c r="K2198" s="41"/>
      <c r="L2198" s="41"/>
      <c r="M2198" s="41"/>
      <c r="N2198" s="41"/>
      <c r="O2198" s="41"/>
      <c r="P2198" s="28"/>
    </row>
    <row r="2199" customFormat="1" spans="1:16">
      <c r="A2199" s="39"/>
      <c r="B2199" s="40"/>
      <c r="C2199" s="41"/>
      <c r="D2199" s="41"/>
      <c r="E2199" s="41"/>
      <c r="F2199" s="41"/>
      <c r="G2199" s="41"/>
      <c r="H2199" s="41"/>
      <c r="I2199" s="41"/>
      <c r="J2199" s="41"/>
      <c r="K2199" s="41"/>
      <c r="L2199" s="41"/>
      <c r="M2199" s="41"/>
      <c r="N2199" s="41"/>
      <c r="O2199" s="41"/>
      <c r="P2199" s="28"/>
    </row>
    <row r="2200" customFormat="1" spans="1:16">
      <c r="A2200" s="39"/>
      <c r="B2200" s="40"/>
      <c r="C2200" s="41"/>
      <c r="D2200" s="41"/>
      <c r="E2200" s="41"/>
      <c r="F2200" s="41"/>
      <c r="G2200" s="41"/>
      <c r="H2200" s="41"/>
      <c r="I2200" s="41"/>
      <c r="J2200" s="41"/>
      <c r="K2200" s="41"/>
      <c r="L2200" s="41"/>
      <c r="M2200" s="41"/>
      <c r="N2200" s="41"/>
      <c r="O2200" s="41"/>
      <c r="P2200" s="28"/>
    </row>
    <row r="2201" customFormat="1" spans="1:16">
      <c r="A2201" s="39"/>
      <c r="B2201" s="40"/>
      <c r="C2201" s="41"/>
      <c r="D2201" s="41"/>
      <c r="E2201" s="41"/>
      <c r="F2201" s="41"/>
      <c r="G2201" s="41"/>
      <c r="H2201" s="41"/>
      <c r="I2201" s="41"/>
      <c r="J2201" s="41"/>
      <c r="K2201" s="41"/>
      <c r="L2201" s="41"/>
      <c r="M2201" s="41"/>
      <c r="N2201" s="41"/>
      <c r="O2201" s="41"/>
      <c r="P2201" s="28"/>
    </row>
    <row r="2202" customFormat="1" spans="1:16">
      <c r="A2202" s="39"/>
      <c r="B2202" s="40"/>
      <c r="C2202" s="41"/>
      <c r="D2202" s="41"/>
      <c r="E2202" s="41"/>
      <c r="F2202" s="41"/>
      <c r="G2202" s="41"/>
      <c r="H2202" s="41"/>
      <c r="I2202" s="41"/>
      <c r="J2202" s="41"/>
      <c r="K2202" s="41"/>
      <c r="L2202" s="41"/>
      <c r="M2202" s="41"/>
      <c r="N2202" s="41"/>
      <c r="O2202" s="41"/>
      <c r="P2202" s="28"/>
    </row>
    <row r="2203" customFormat="1" spans="1:16">
      <c r="A2203" s="39"/>
      <c r="B2203" s="40"/>
      <c r="C2203" s="41"/>
      <c r="D2203" s="41"/>
      <c r="E2203" s="41"/>
      <c r="F2203" s="41"/>
      <c r="G2203" s="41"/>
      <c r="H2203" s="41"/>
      <c r="I2203" s="41"/>
      <c r="J2203" s="41"/>
      <c r="K2203" s="41"/>
      <c r="L2203" s="41"/>
      <c r="M2203" s="41"/>
      <c r="N2203" s="41"/>
      <c r="O2203" s="41"/>
      <c r="P2203" s="28"/>
    </row>
    <row r="2204" customFormat="1" spans="1:16">
      <c r="A2204" s="39"/>
      <c r="B2204" s="40"/>
      <c r="C2204" s="41"/>
      <c r="D2204" s="41"/>
      <c r="E2204" s="41"/>
      <c r="F2204" s="41"/>
      <c r="G2204" s="41"/>
      <c r="H2204" s="41"/>
      <c r="I2204" s="41"/>
      <c r="J2204" s="41"/>
      <c r="K2204" s="41"/>
      <c r="L2204" s="41"/>
      <c r="M2204" s="41"/>
      <c r="N2204" s="41"/>
      <c r="O2204" s="41"/>
      <c r="P2204" s="28"/>
    </row>
    <row r="2205" customFormat="1" spans="1:16">
      <c r="A2205" s="39"/>
      <c r="B2205" s="40"/>
      <c r="C2205" s="41"/>
      <c r="D2205" s="41"/>
      <c r="E2205" s="41"/>
      <c r="F2205" s="41"/>
      <c r="G2205" s="41"/>
      <c r="H2205" s="41"/>
      <c r="I2205" s="41"/>
      <c r="J2205" s="41"/>
      <c r="K2205" s="41"/>
      <c r="L2205" s="41"/>
      <c r="M2205" s="41"/>
      <c r="N2205" s="41"/>
      <c r="O2205" s="41"/>
      <c r="P2205" s="28"/>
    </row>
    <row r="2206" customFormat="1" spans="1:16">
      <c r="A2206" s="39"/>
      <c r="B2206" s="40"/>
      <c r="C2206" s="41"/>
      <c r="D2206" s="41"/>
      <c r="E2206" s="41"/>
      <c r="F2206" s="41"/>
      <c r="G2206" s="41"/>
      <c r="H2206" s="41"/>
      <c r="I2206" s="41"/>
      <c r="J2206" s="41"/>
      <c r="K2206" s="41"/>
      <c r="L2206" s="41"/>
      <c r="M2206" s="41"/>
      <c r="N2206" s="41"/>
      <c r="O2206" s="41"/>
      <c r="P2206" s="28"/>
    </row>
    <row r="2207" customFormat="1" spans="1:16">
      <c r="A2207" s="39"/>
      <c r="B2207" s="40"/>
      <c r="C2207" s="41"/>
      <c r="D2207" s="41"/>
      <c r="E2207" s="41"/>
      <c r="F2207" s="41"/>
      <c r="G2207" s="41"/>
      <c r="H2207" s="41"/>
      <c r="I2207" s="41"/>
      <c r="J2207" s="41"/>
      <c r="K2207" s="41"/>
      <c r="L2207" s="41"/>
      <c r="M2207" s="41"/>
      <c r="N2207" s="41"/>
      <c r="O2207" s="41"/>
      <c r="P2207" s="28"/>
    </row>
    <row r="2208" customFormat="1" spans="1:16">
      <c r="A2208" s="39"/>
      <c r="B2208" s="40"/>
      <c r="C2208" s="41"/>
      <c r="D2208" s="41"/>
      <c r="E2208" s="41"/>
      <c r="F2208" s="41"/>
      <c r="G2208" s="41"/>
      <c r="H2208" s="41"/>
      <c r="I2208" s="41"/>
      <c r="J2208" s="41"/>
      <c r="K2208" s="41"/>
      <c r="L2208" s="41"/>
      <c r="M2208" s="41"/>
      <c r="N2208" s="41"/>
      <c r="O2208" s="41"/>
      <c r="P2208" s="28"/>
    </row>
    <row r="2209" customFormat="1" spans="1:16">
      <c r="A2209" s="39"/>
      <c r="B2209" s="40"/>
      <c r="C2209" s="41"/>
      <c r="D2209" s="41"/>
      <c r="E2209" s="41"/>
      <c r="F2209" s="41"/>
      <c r="G2209" s="41"/>
      <c r="H2209" s="41"/>
      <c r="I2209" s="41"/>
      <c r="J2209" s="41"/>
      <c r="K2209" s="41"/>
      <c r="L2209" s="41"/>
      <c r="M2209" s="41"/>
      <c r="N2209" s="41"/>
      <c r="O2209" s="41"/>
      <c r="P2209" s="28"/>
    </row>
    <row r="2210" customFormat="1" spans="1:16">
      <c r="A2210" s="39"/>
      <c r="B2210" s="40"/>
      <c r="C2210" s="41"/>
      <c r="D2210" s="41"/>
      <c r="E2210" s="41"/>
      <c r="F2210" s="41"/>
      <c r="G2210" s="41"/>
      <c r="H2210" s="41"/>
      <c r="I2210" s="41"/>
      <c r="J2210" s="41"/>
      <c r="K2210" s="41"/>
      <c r="L2210" s="41"/>
      <c r="M2210" s="41"/>
      <c r="N2210" s="41"/>
      <c r="O2210" s="41"/>
      <c r="P2210" s="28"/>
    </row>
    <row r="2211" customFormat="1" spans="1:16">
      <c r="A2211" s="39"/>
      <c r="B2211" s="40"/>
      <c r="C2211" s="41"/>
      <c r="D2211" s="41"/>
      <c r="E2211" s="41"/>
      <c r="F2211" s="41"/>
      <c r="G2211" s="41"/>
      <c r="H2211" s="41"/>
      <c r="I2211" s="41"/>
      <c r="J2211" s="41"/>
      <c r="K2211" s="41"/>
      <c r="L2211" s="41"/>
      <c r="M2211" s="41"/>
      <c r="N2211" s="41"/>
      <c r="O2211" s="41"/>
      <c r="P2211" s="28"/>
    </row>
    <row r="2212" customFormat="1" spans="1:16">
      <c r="A2212" s="39"/>
      <c r="B2212" s="40"/>
      <c r="C2212" s="41"/>
      <c r="D2212" s="41"/>
      <c r="E2212" s="41"/>
      <c r="F2212" s="41"/>
      <c r="G2212" s="41"/>
      <c r="H2212" s="41"/>
      <c r="I2212" s="41"/>
      <c r="J2212" s="41"/>
      <c r="K2212" s="41"/>
      <c r="L2212" s="41"/>
      <c r="M2212" s="41"/>
      <c r="N2212" s="41"/>
      <c r="O2212" s="41"/>
      <c r="P2212" s="28"/>
    </row>
    <row r="2213" customFormat="1" spans="1:16">
      <c r="A2213" s="39"/>
      <c r="B2213" s="40"/>
      <c r="C2213" s="41"/>
      <c r="D2213" s="41"/>
      <c r="E2213" s="41"/>
      <c r="F2213" s="41"/>
      <c r="G2213" s="41"/>
      <c r="H2213" s="41"/>
      <c r="I2213" s="41"/>
      <c r="J2213" s="41"/>
      <c r="K2213" s="41"/>
      <c r="L2213" s="41"/>
      <c r="M2213" s="41"/>
      <c r="N2213" s="41"/>
      <c r="O2213" s="41"/>
      <c r="P2213" s="28"/>
    </row>
    <row r="2214" customFormat="1" spans="1:16">
      <c r="A2214" s="39"/>
      <c r="B2214" s="40"/>
      <c r="C2214" s="41"/>
      <c r="D2214" s="41"/>
      <c r="E2214" s="41"/>
      <c r="F2214" s="41"/>
      <c r="G2214" s="41"/>
      <c r="H2214" s="41"/>
      <c r="I2214" s="41"/>
      <c r="J2214" s="41"/>
      <c r="K2214" s="41"/>
      <c r="L2214" s="41"/>
      <c r="M2214" s="41"/>
      <c r="N2214" s="41"/>
      <c r="O2214" s="41"/>
      <c r="P2214" s="28"/>
    </row>
    <row r="2215" customFormat="1" spans="1:16">
      <c r="A2215" s="39"/>
      <c r="B2215" s="40"/>
      <c r="C2215" s="41"/>
      <c r="D2215" s="41"/>
      <c r="E2215" s="41"/>
      <c r="F2215" s="41"/>
      <c r="G2215" s="41"/>
      <c r="H2215" s="41"/>
      <c r="I2215" s="41"/>
      <c r="J2215" s="41"/>
      <c r="K2215" s="41"/>
      <c r="L2215" s="41"/>
      <c r="M2215" s="41"/>
      <c r="N2215" s="41"/>
      <c r="O2215" s="41"/>
      <c r="P2215" s="28"/>
    </row>
    <row r="2216" customFormat="1" spans="1:16">
      <c r="A2216" s="39"/>
      <c r="B2216" s="40"/>
      <c r="C2216" s="41"/>
      <c r="D2216" s="41"/>
      <c r="E2216" s="41"/>
      <c r="F2216" s="41"/>
      <c r="G2216" s="41"/>
      <c r="H2216" s="41"/>
      <c r="I2216" s="41"/>
      <c r="J2216" s="41"/>
      <c r="K2216" s="41"/>
      <c r="L2216" s="41"/>
      <c r="M2216" s="41"/>
      <c r="N2216" s="41"/>
      <c r="O2216" s="41"/>
      <c r="P2216" s="28"/>
    </row>
    <row r="2217" customFormat="1" spans="1:16">
      <c r="A2217" s="39"/>
      <c r="B2217" s="40"/>
      <c r="C2217" s="41"/>
      <c r="D2217" s="41"/>
      <c r="E2217" s="41"/>
      <c r="F2217" s="41"/>
      <c r="G2217" s="41"/>
      <c r="H2217" s="41"/>
      <c r="I2217" s="41"/>
      <c r="J2217" s="41"/>
      <c r="K2217" s="41"/>
      <c r="L2217" s="41"/>
      <c r="M2217" s="41"/>
      <c r="N2217" s="41"/>
      <c r="O2217" s="41"/>
      <c r="P2217" s="28"/>
    </row>
    <row r="2218" customFormat="1" spans="1:16">
      <c r="A2218" s="39"/>
      <c r="B2218" s="40"/>
      <c r="C2218" s="41"/>
      <c r="D2218" s="41"/>
      <c r="E2218" s="41"/>
      <c r="F2218" s="41"/>
      <c r="G2218" s="41"/>
      <c r="H2218" s="41"/>
      <c r="I2218" s="41"/>
      <c r="J2218" s="41"/>
      <c r="K2218" s="41"/>
      <c r="L2218" s="41"/>
      <c r="M2218" s="41"/>
      <c r="N2218" s="41"/>
      <c r="O2218" s="41"/>
      <c r="P2218" s="28"/>
    </row>
    <row r="2219" customFormat="1" spans="1:16">
      <c r="A2219" s="39"/>
      <c r="B2219" s="40"/>
      <c r="C2219" s="41"/>
      <c r="D2219" s="41"/>
      <c r="E2219" s="41"/>
      <c r="F2219" s="41"/>
      <c r="G2219" s="41"/>
      <c r="H2219" s="41"/>
      <c r="I2219" s="41"/>
      <c r="J2219" s="41"/>
      <c r="K2219" s="41"/>
      <c r="L2219" s="41"/>
      <c r="M2219" s="41"/>
      <c r="N2219" s="41"/>
      <c r="O2219" s="41"/>
      <c r="P2219" s="28"/>
    </row>
    <row r="2220" customFormat="1" spans="1:16">
      <c r="A2220" s="39"/>
      <c r="B2220" s="40"/>
      <c r="C2220" s="41"/>
      <c r="D2220" s="41"/>
      <c r="E2220" s="41"/>
      <c r="F2220" s="41"/>
      <c r="G2220" s="41"/>
      <c r="H2220" s="41"/>
      <c r="I2220" s="41"/>
      <c r="J2220" s="41"/>
      <c r="K2220" s="41"/>
      <c r="L2220" s="41"/>
      <c r="M2220" s="41"/>
      <c r="N2220" s="41"/>
      <c r="O2220" s="41"/>
      <c r="P2220" s="28"/>
    </row>
    <row r="2221" customFormat="1" spans="1:16">
      <c r="A2221" s="39"/>
      <c r="B2221" s="40"/>
      <c r="C2221" s="41"/>
      <c r="D2221" s="41"/>
      <c r="E2221" s="41"/>
      <c r="F2221" s="41"/>
      <c r="G2221" s="41"/>
      <c r="H2221" s="41"/>
      <c r="I2221" s="41"/>
      <c r="J2221" s="41"/>
      <c r="K2221" s="41"/>
      <c r="L2221" s="41"/>
      <c r="M2221" s="41"/>
      <c r="N2221" s="41"/>
      <c r="O2221" s="41"/>
      <c r="P2221" s="28"/>
    </row>
    <row r="2222" customFormat="1" spans="1:16">
      <c r="A2222" s="39"/>
      <c r="B2222" s="40"/>
      <c r="C2222" s="41"/>
      <c r="D2222" s="41"/>
      <c r="E2222" s="41"/>
      <c r="F2222" s="41"/>
      <c r="G2222" s="41"/>
      <c r="H2222" s="41"/>
      <c r="I2222" s="41"/>
      <c r="J2222" s="41"/>
      <c r="K2222" s="41"/>
      <c r="L2222" s="41"/>
      <c r="M2222" s="41"/>
      <c r="N2222" s="41"/>
      <c r="O2222" s="41"/>
      <c r="P2222" s="28"/>
    </row>
    <row r="2223" customFormat="1" spans="1:16">
      <c r="A2223" s="39"/>
      <c r="B2223" s="40"/>
      <c r="C2223" s="41"/>
      <c r="D2223" s="41"/>
      <c r="E2223" s="41"/>
      <c r="F2223" s="41"/>
      <c r="G2223" s="41"/>
      <c r="H2223" s="41"/>
      <c r="I2223" s="41"/>
      <c r="J2223" s="41"/>
      <c r="K2223" s="41"/>
      <c r="L2223" s="41"/>
      <c r="M2223" s="41"/>
      <c r="N2223" s="41"/>
      <c r="O2223" s="41"/>
      <c r="P2223" s="28"/>
    </row>
    <row r="2224" customFormat="1" spans="1:16">
      <c r="A2224" s="39"/>
      <c r="B2224" s="40"/>
      <c r="C2224" s="41"/>
      <c r="D2224" s="41"/>
      <c r="E2224" s="41"/>
      <c r="F2224" s="41"/>
      <c r="G2224" s="41"/>
      <c r="H2224" s="41"/>
      <c r="I2224" s="41"/>
      <c r="J2224" s="41"/>
      <c r="K2224" s="41"/>
      <c r="L2224" s="41"/>
      <c r="M2224" s="41"/>
      <c r="N2224" s="41"/>
      <c r="O2224" s="41"/>
      <c r="P2224" s="28"/>
    </row>
    <row r="2225" customFormat="1" spans="1:16">
      <c r="A2225" s="39"/>
      <c r="B2225" s="40"/>
      <c r="C2225" s="41"/>
      <c r="D2225" s="41"/>
      <c r="E2225" s="41"/>
      <c r="F2225" s="41"/>
      <c r="G2225" s="41"/>
      <c r="H2225" s="41"/>
      <c r="I2225" s="41"/>
      <c r="J2225" s="41"/>
      <c r="K2225" s="41"/>
      <c r="L2225" s="41"/>
      <c r="M2225" s="41"/>
      <c r="N2225" s="41"/>
      <c r="O2225" s="41"/>
      <c r="P2225" s="28"/>
    </row>
    <row r="2226" customFormat="1" spans="1:16">
      <c r="A2226" s="39"/>
      <c r="B2226" s="40"/>
      <c r="C2226" s="41"/>
      <c r="D2226" s="41"/>
      <c r="E2226" s="41"/>
      <c r="F2226" s="41"/>
      <c r="G2226" s="41"/>
      <c r="H2226" s="41"/>
      <c r="I2226" s="41"/>
      <c r="J2226" s="41"/>
      <c r="K2226" s="41"/>
      <c r="L2226" s="41"/>
      <c r="M2226" s="41"/>
      <c r="N2226" s="41"/>
      <c r="O2226" s="41"/>
      <c r="P2226" s="28"/>
    </row>
    <row r="2227" customFormat="1" spans="1:16">
      <c r="A2227" s="39"/>
      <c r="B2227" s="40"/>
      <c r="C2227" s="41"/>
      <c r="D2227" s="41"/>
      <c r="E2227" s="41"/>
      <c r="F2227" s="41"/>
      <c r="G2227" s="41"/>
      <c r="H2227" s="41"/>
      <c r="I2227" s="41"/>
      <c r="J2227" s="41"/>
      <c r="K2227" s="41"/>
      <c r="L2227" s="41"/>
      <c r="M2227" s="41"/>
      <c r="N2227" s="41"/>
      <c r="O2227" s="41"/>
      <c r="P2227" s="28"/>
    </row>
    <row r="2228" customFormat="1" spans="1:16">
      <c r="A2228" s="39"/>
      <c r="B2228" s="40"/>
      <c r="C2228" s="41"/>
      <c r="D2228" s="41"/>
      <c r="E2228" s="41"/>
      <c r="F2228" s="41"/>
      <c r="G2228" s="41"/>
      <c r="H2228" s="41"/>
      <c r="I2228" s="41"/>
      <c r="J2228" s="41"/>
      <c r="K2228" s="41"/>
      <c r="L2228" s="41"/>
      <c r="M2228" s="41"/>
      <c r="N2228" s="41"/>
      <c r="O2228" s="41"/>
      <c r="P2228" s="28"/>
    </row>
    <row r="2229" customFormat="1" spans="1:16">
      <c r="A2229" s="39"/>
      <c r="B2229" s="40"/>
      <c r="C2229" s="41"/>
      <c r="D2229" s="41"/>
      <c r="E2229" s="41"/>
      <c r="F2229" s="41"/>
      <c r="G2229" s="41"/>
      <c r="H2229" s="41"/>
      <c r="I2229" s="41"/>
      <c r="J2229" s="41"/>
      <c r="K2229" s="41"/>
      <c r="L2229" s="41"/>
      <c r="M2229" s="41"/>
      <c r="N2229" s="41"/>
      <c r="O2229" s="41"/>
      <c r="P2229" s="28"/>
    </row>
    <row r="2230" customFormat="1" spans="1:16">
      <c r="A2230" s="39"/>
      <c r="B2230" s="40"/>
      <c r="C2230" s="41"/>
      <c r="D2230" s="41"/>
      <c r="E2230" s="41"/>
      <c r="F2230" s="41"/>
      <c r="G2230" s="41"/>
      <c r="H2230" s="41"/>
      <c r="I2230" s="41"/>
      <c r="J2230" s="41"/>
      <c r="K2230" s="41"/>
      <c r="L2230" s="41"/>
      <c r="M2230" s="41"/>
      <c r="N2230" s="41"/>
      <c r="O2230" s="41"/>
      <c r="P2230" s="28"/>
    </row>
    <row r="2231" customFormat="1" spans="1:16">
      <c r="A2231" s="39"/>
      <c r="B2231" s="40"/>
      <c r="C2231" s="41"/>
      <c r="D2231" s="41"/>
      <c r="E2231" s="41"/>
      <c r="F2231" s="41"/>
      <c r="G2231" s="41"/>
      <c r="H2231" s="41"/>
      <c r="I2231" s="41"/>
      <c r="J2231" s="41"/>
      <c r="K2231" s="41"/>
      <c r="L2231" s="41"/>
      <c r="M2231" s="41"/>
      <c r="N2231" s="41"/>
      <c r="O2231" s="41"/>
      <c r="P2231" s="28"/>
    </row>
    <row r="2232" customFormat="1" spans="1:16">
      <c r="A2232" s="39"/>
      <c r="B2232" s="40"/>
      <c r="C2232" s="41"/>
      <c r="D2232" s="41"/>
      <c r="E2232" s="41"/>
      <c r="F2232" s="41"/>
      <c r="G2232" s="41"/>
      <c r="H2232" s="41"/>
      <c r="I2232" s="41"/>
      <c r="J2232" s="41"/>
      <c r="K2232" s="41"/>
      <c r="L2232" s="41"/>
      <c r="M2232" s="41"/>
      <c r="N2232" s="41"/>
      <c r="O2232" s="41"/>
      <c r="P2232" s="28"/>
    </row>
    <row r="2233" customFormat="1" spans="1:16">
      <c r="A2233" s="39"/>
      <c r="B2233" s="40"/>
      <c r="C2233" s="41"/>
      <c r="D2233" s="41"/>
      <c r="E2233" s="41"/>
      <c r="F2233" s="41"/>
      <c r="G2233" s="41"/>
      <c r="H2233" s="41"/>
      <c r="I2233" s="41"/>
      <c r="J2233" s="41"/>
      <c r="K2233" s="41"/>
      <c r="L2233" s="41"/>
      <c r="M2233" s="41"/>
      <c r="N2233" s="41"/>
      <c r="O2233" s="41"/>
      <c r="P2233" s="28"/>
    </row>
    <row r="2234" customFormat="1" spans="1:16">
      <c r="A2234" s="39"/>
      <c r="B2234" s="40"/>
      <c r="C2234" s="41"/>
      <c r="D2234" s="41"/>
      <c r="E2234" s="41"/>
      <c r="F2234" s="41"/>
      <c r="G2234" s="41"/>
      <c r="H2234" s="41"/>
      <c r="I2234" s="41"/>
      <c r="J2234" s="41"/>
      <c r="K2234" s="41"/>
      <c r="L2234" s="41"/>
      <c r="M2234" s="41"/>
      <c r="N2234" s="41"/>
      <c r="O2234" s="41"/>
      <c r="P2234" s="28"/>
    </row>
    <row r="2235" customFormat="1" spans="1:16">
      <c r="A2235" s="39"/>
      <c r="B2235" s="40"/>
      <c r="C2235" s="41"/>
      <c r="D2235" s="41"/>
      <c r="E2235" s="41"/>
      <c r="F2235" s="41"/>
      <c r="G2235" s="41"/>
      <c r="H2235" s="41"/>
      <c r="I2235" s="41"/>
      <c r="J2235" s="41"/>
      <c r="K2235" s="41"/>
      <c r="L2235" s="41"/>
      <c r="M2235" s="41"/>
      <c r="N2235" s="41"/>
      <c r="O2235" s="41"/>
      <c r="P2235" s="28"/>
    </row>
    <row r="2236" customFormat="1" spans="1:16">
      <c r="A2236" s="39"/>
      <c r="B2236" s="40"/>
      <c r="C2236" s="41"/>
      <c r="D2236" s="41"/>
      <c r="E2236" s="41"/>
      <c r="F2236" s="41"/>
      <c r="G2236" s="41"/>
      <c r="H2236" s="41"/>
      <c r="I2236" s="41"/>
      <c r="J2236" s="41"/>
      <c r="K2236" s="41"/>
      <c r="L2236" s="41"/>
      <c r="M2236" s="41"/>
      <c r="N2236" s="41"/>
      <c r="O2236" s="41"/>
      <c r="P2236" s="28"/>
    </row>
    <row r="2237" customFormat="1" spans="1:16">
      <c r="A2237" s="39"/>
      <c r="B2237" s="40"/>
      <c r="C2237" s="41"/>
      <c r="D2237" s="41"/>
      <c r="E2237" s="41"/>
      <c r="F2237" s="41"/>
      <c r="G2237" s="41"/>
      <c r="H2237" s="41"/>
      <c r="I2237" s="41"/>
      <c r="J2237" s="41"/>
      <c r="K2237" s="41"/>
      <c r="L2237" s="41"/>
      <c r="M2237" s="41"/>
      <c r="N2237" s="41"/>
      <c r="O2237" s="41"/>
      <c r="P2237" s="28"/>
    </row>
    <row r="2238" customFormat="1" spans="1:16">
      <c r="A2238" s="39"/>
      <c r="B2238" s="40"/>
      <c r="C2238" s="41"/>
      <c r="D2238" s="41"/>
      <c r="E2238" s="41"/>
      <c r="F2238" s="41"/>
      <c r="G2238" s="41"/>
      <c r="H2238" s="41"/>
      <c r="I2238" s="41"/>
      <c r="J2238" s="41"/>
      <c r="K2238" s="41"/>
      <c r="L2238" s="41"/>
      <c r="M2238" s="41"/>
      <c r="N2238" s="41"/>
      <c r="O2238" s="41"/>
      <c r="P2238" s="28"/>
    </row>
    <row r="2239" customFormat="1" spans="1:16">
      <c r="A2239" s="39"/>
      <c r="B2239" s="40"/>
      <c r="C2239" s="41"/>
      <c r="D2239" s="41"/>
      <c r="E2239" s="41"/>
      <c r="F2239" s="41"/>
      <c r="G2239" s="41"/>
      <c r="H2239" s="41"/>
      <c r="I2239" s="41"/>
      <c r="J2239" s="41"/>
      <c r="K2239" s="41"/>
      <c r="L2239" s="41"/>
      <c r="M2239" s="41"/>
      <c r="N2239" s="41"/>
      <c r="O2239" s="41"/>
      <c r="P2239" s="28"/>
    </row>
    <row r="2240" customFormat="1" spans="1:16">
      <c r="A2240" s="39"/>
      <c r="B2240" s="40"/>
      <c r="C2240" s="41"/>
      <c r="D2240" s="41"/>
      <c r="E2240" s="41"/>
      <c r="F2240" s="41"/>
      <c r="G2240" s="41"/>
      <c r="H2240" s="41"/>
      <c r="I2240" s="41"/>
      <c r="J2240" s="41"/>
      <c r="K2240" s="41"/>
      <c r="L2240" s="41"/>
      <c r="M2240" s="41"/>
      <c r="N2240" s="41"/>
      <c r="O2240" s="41"/>
      <c r="P2240" s="28"/>
    </row>
    <row r="2241" customFormat="1" spans="1:16">
      <c r="A2241" s="39"/>
      <c r="B2241" s="40"/>
      <c r="C2241" s="41"/>
      <c r="D2241" s="41"/>
      <c r="E2241" s="41"/>
      <c r="F2241" s="41"/>
      <c r="G2241" s="41"/>
      <c r="H2241" s="41"/>
      <c r="I2241" s="41"/>
      <c r="J2241" s="41"/>
      <c r="K2241" s="41"/>
      <c r="L2241" s="41"/>
      <c r="M2241" s="41"/>
      <c r="N2241" s="41"/>
      <c r="O2241" s="41"/>
      <c r="P2241" s="28"/>
    </row>
    <row r="2242" customFormat="1" spans="1:16">
      <c r="A2242" s="39"/>
      <c r="B2242" s="40"/>
      <c r="C2242" s="41"/>
      <c r="D2242" s="41"/>
      <c r="E2242" s="41"/>
      <c r="F2242" s="41"/>
      <c r="G2242" s="41"/>
      <c r="H2242" s="41"/>
      <c r="I2242" s="41"/>
      <c r="J2242" s="41"/>
      <c r="K2242" s="41"/>
      <c r="L2242" s="41"/>
      <c r="M2242" s="41"/>
      <c r="N2242" s="41"/>
      <c r="O2242" s="41"/>
      <c r="P2242" s="28"/>
    </row>
    <row r="2243" customFormat="1" spans="1:16">
      <c r="A2243" s="39"/>
      <c r="B2243" s="40"/>
      <c r="C2243" s="41"/>
      <c r="D2243" s="41"/>
      <c r="E2243" s="41"/>
      <c r="F2243" s="41"/>
      <c r="G2243" s="41"/>
      <c r="H2243" s="41"/>
      <c r="I2243" s="41"/>
      <c r="J2243" s="41"/>
      <c r="K2243" s="41"/>
      <c r="L2243" s="41"/>
      <c r="M2243" s="41"/>
      <c r="N2243" s="41"/>
      <c r="O2243" s="41"/>
      <c r="P2243" s="28"/>
    </row>
    <row r="2244" customFormat="1" spans="1:16">
      <c r="A2244" s="39"/>
      <c r="B2244" s="40"/>
      <c r="C2244" s="41"/>
      <c r="D2244" s="41"/>
      <c r="E2244" s="41"/>
      <c r="F2244" s="41"/>
      <c r="G2244" s="41"/>
      <c r="H2244" s="41"/>
      <c r="I2244" s="41"/>
      <c r="J2244" s="41"/>
      <c r="K2244" s="41"/>
      <c r="L2244" s="41"/>
      <c r="M2244" s="41"/>
      <c r="N2244" s="41"/>
      <c r="O2244" s="41"/>
      <c r="P2244" s="28"/>
    </row>
    <row r="2245" customFormat="1" spans="1:16">
      <c r="A2245" s="39"/>
      <c r="B2245" s="40"/>
      <c r="C2245" s="41"/>
      <c r="D2245" s="41"/>
      <c r="E2245" s="41"/>
      <c r="F2245" s="41"/>
      <c r="G2245" s="41"/>
      <c r="H2245" s="41"/>
      <c r="I2245" s="41"/>
      <c r="J2245" s="41"/>
      <c r="K2245" s="41"/>
      <c r="L2245" s="41"/>
      <c r="M2245" s="41"/>
      <c r="N2245" s="41"/>
      <c r="O2245" s="41"/>
      <c r="P2245" s="28"/>
    </row>
    <row r="2246" customFormat="1" spans="1:16">
      <c r="A2246" s="39"/>
      <c r="B2246" s="40"/>
      <c r="C2246" s="41"/>
      <c r="D2246" s="41"/>
      <c r="E2246" s="41"/>
      <c r="F2246" s="41"/>
      <c r="G2246" s="41"/>
      <c r="H2246" s="41"/>
      <c r="I2246" s="41"/>
      <c r="J2246" s="41"/>
      <c r="K2246" s="41"/>
      <c r="L2246" s="41"/>
      <c r="M2246" s="41"/>
      <c r="N2246" s="41"/>
      <c r="O2246" s="41"/>
      <c r="P2246" s="28"/>
    </row>
    <row r="2247" customFormat="1" spans="1:16">
      <c r="A2247" s="39"/>
      <c r="B2247" s="40"/>
      <c r="C2247" s="41"/>
      <c r="D2247" s="41"/>
      <c r="E2247" s="41"/>
      <c r="F2247" s="41"/>
      <c r="G2247" s="41"/>
      <c r="H2247" s="41"/>
      <c r="I2247" s="41"/>
      <c r="J2247" s="41"/>
      <c r="K2247" s="41"/>
      <c r="L2247" s="41"/>
      <c r="M2247" s="41"/>
      <c r="N2247" s="41"/>
      <c r="O2247" s="41"/>
      <c r="P2247" s="28"/>
    </row>
    <row r="2248" customFormat="1" spans="1:16">
      <c r="A2248" s="39"/>
      <c r="B2248" s="40"/>
      <c r="C2248" s="41"/>
      <c r="D2248" s="41"/>
      <c r="E2248" s="41"/>
      <c r="F2248" s="41"/>
      <c r="G2248" s="41"/>
      <c r="H2248" s="41"/>
      <c r="I2248" s="41"/>
      <c r="J2248" s="41"/>
      <c r="K2248" s="41"/>
      <c r="L2248" s="41"/>
      <c r="M2248" s="41"/>
      <c r="N2248" s="41"/>
      <c r="O2248" s="41"/>
      <c r="P2248" s="28"/>
    </row>
    <row r="2249" customFormat="1" spans="1:16">
      <c r="A2249" s="39"/>
      <c r="B2249" s="40"/>
      <c r="C2249" s="41"/>
      <c r="D2249" s="41"/>
      <c r="E2249" s="41"/>
      <c r="F2249" s="41"/>
      <c r="G2249" s="41"/>
      <c r="H2249" s="41"/>
      <c r="I2249" s="41"/>
      <c r="J2249" s="41"/>
      <c r="K2249" s="41"/>
      <c r="L2249" s="41"/>
      <c r="M2249" s="41"/>
      <c r="N2249" s="41"/>
      <c r="O2249" s="41"/>
      <c r="P2249" s="28"/>
    </row>
    <row r="2250" customFormat="1" spans="1:16">
      <c r="A2250" s="39"/>
      <c r="B2250" s="40"/>
      <c r="C2250" s="41"/>
      <c r="D2250" s="41"/>
      <c r="E2250" s="41"/>
      <c r="F2250" s="41"/>
      <c r="G2250" s="41"/>
      <c r="H2250" s="41"/>
      <c r="I2250" s="41"/>
      <c r="J2250" s="41"/>
      <c r="K2250" s="41"/>
      <c r="L2250" s="41"/>
      <c r="M2250" s="41"/>
      <c r="N2250" s="41"/>
      <c r="O2250" s="41"/>
      <c r="P2250" s="28"/>
    </row>
    <row r="2251" customFormat="1" spans="1:16">
      <c r="A2251" s="39"/>
      <c r="B2251" s="40"/>
      <c r="C2251" s="41"/>
      <c r="D2251" s="41"/>
      <c r="E2251" s="41"/>
      <c r="F2251" s="41"/>
      <c r="G2251" s="41"/>
      <c r="H2251" s="41"/>
      <c r="I2251" s="41"/>
      <c r="J2251" s="41"/>
      <c r="K2251" s="41"/>
      <c r="L2251" s="41"/>
      <c r="M2251" s="41"/>
      <c r="N2251" s="41"/>
      <c r="O2251" s="41"/>
      <c r="P2251" s="28"/>
    </row>
    <row r="2252" customFormat="1" spans="1:16">
      <c r="A2252" s="39"/>
      <c r="B2252" s="40"/>
      <c r="C2252" s="41"/>
      <c r="D2252" s="41"/>
      <c r="E2252" s="41"/>
      <c r="F2252" s="41"/>
      <c r="G2252" s="41"/>
      <c r="H2252" s="41"/>
      <c r="I2252" s="41"/>
      <c r="J2252" s="41"/>
      <c r="K2252" s="41"/>
      <c r="L2252" s="41"/>
      <c r="M2252" s="41"/>
      <c r="N2252" s="41"/>
      <c r="O2252" s="41"/>
      <c r="P2252" s="28"/>
    </row>
    <row r="2253" customFormat="1" spans="1:16">
      <c r="A2253" s="39"/>
      <c r="B2253" s="40"/>
      <c r="C2253" s="41"/>
      <c r="D2253" s="41"/>
      <c r="E2253" s="41"/>
      <c r="F2253" s="41"/>
      <c r="G2253" s="41"/>
      <c r="H2253" s="41"/>
      <c r="I2253" s="41"/>
      <c r="J2253" s="41"/>
      <c r="K2253" s="41"/>
      <c r="L2253" s="41"/>
      <c r="M2253" s="41"/>
      <c r="N2253" s="41"/>
      <c r="O2253" s="41"/>
      <c r="P2253" s="28"/>
    </row>
    <row r="2254" customFormat="1" spans="1:16">
      <c r="A2254" s="39"/>
      <c r="B2254" s="40"/>
      <c r="C2254" s="41"/>
      <c r="D2254" s="41"/>
      <c r="E2254" s="41"/>
      <c r="F2254" s="41"/>
      <c r="G2254" s="41"/>
      <c r="H2254" s="41"/>
      <c r="I2254" s="41"/>
      <c r="J2254" s="41"/>
      <c r="K2254" s="41"/>
      <c r="L2254" s="41"/>
      <c r="M2254" s="41"/>
      <c r="N2254" s="41"/>
      <c r="O2254" s="41"/>
      <c r="P2254" s="28"/>
    </row>
    <row r="2255" customFormat="1" spans="1:16">
      <c r="A2255" s="39"/>
      <c r="B2255" s="40"/>
      <c r="C2255" s="41"/>
      <c r="D2255" s="41"/>
      <c r="E2255" s="41"/>
      <c r="F2255" s="41"/>
      <c r="G2255" s="41"/>
      <c r="H2255" s="41"/>
      <c r="I2255" s="41"/>
      <c r="J2255" s="41"/>
      <c r="K2255" s="41"/>
      <c r="L2255" s="41"/>
      <c r="M2255" s="41"/>
      <c r="N2255" s="41"/>
      <c r="O2255" s="41"/>
      <c r="P2255" s="28"/>
    </row>
    <row r="2256" customFormat="1" spans="1:16">
      <c r="A2256" s="39"/>
      <c r="B2256" s="40"/>
      <c r="C2256" s="41"/>
      <c r="D2256" s="41"/>
      <c r="E2256" s="41"/>
      <c r="F2256" s="41"/>
      <c r="G2256" s="41"/>
      <c r="H2256" s="41"/>
      <c r="I2256" s="41"/>
      <c r="J2256" s="41"/>
      <c r="K2256" s="41"/>
      <c r="L2256" s="41"/>
      <c r="M2256" s="41"/>
      <c r="N2256" s="41"/>
      <c r="O2256" s="41"/>
      <c r="P2256" s="28"/>
    </row>
    <row r="2257" customFormat="1" spans="1:16">
      <c r="A2257" s="39"/>
      <c r="B2257" s="40"/>
      <c r="C2257" s="41"/>
      <c r="D2257" s="41"/>
      <c r="E2257" s="41"/>
      <c r="F2257" s="41"/>
      <c r="G2257" s="41"/>
      <c r="H2257" s="41"/>
      <c r="I2257" s="41"/>
      <c r="J2257" s="41"/>
      <c r="K2257" s="41"/>
      <c r="L2257" s="41"/>
      <c r="M2257" s="41"/>
      <c r="N2257" s="41"/>
      <c r="O2257" s="41"/>
      <c r="P2257" s="28"/>
    </row>
    <row r="2258" customFormat="1" spans="1:16">
      <c r="A2258" s="39"/>
      <c r="B2258" s="40"/>
      <c r="C2258" s="41"/>
      <c r="D2258" s="41"/>
      <c r="E2258" s="41"/>
      <c r="F2258" s="41"/>
      <c r="G2258" s="41"/>
      <c r="H2258" s="41"/>
      <c r="I2258" s="41"/>
      <c r="J2258" s="41"/>
      <c r="K2258" s="41"/>
      <c r="L2258" s="41"/>
      <c r="M2258" s="41"/>
      <c r="N2258" s="41"/>
      <c r="O2258" s="41"/>
      <c r="P2258" s="28"/>
    </row>
    <row r="2259" customFormat="1" spans="1:16">
      <c r="A2259" s="39"/>
      <c r="B2259" s="40"/>
      <c r="C2259" s="41"/>
      <c r="D2259" s="41"/>
      <c r="E2259" s="41"/>
      <c r="F2259" s="41"/>
      <c r="G2259" s="41"/>
      <c r="H2259" s="41"/>
      <c r="I2259" s="41"/>
      <c r="J2259" s="41"/>
      <c r="K2259" s="41"/>
      <c r="L2259" s="41"/>
      <c r="M2259" s="41"/>
      <c r="N2259" s="41"/>
      <c r="O2259" s="41"/>
      <c r="P2259" s="28"/>
    </row>
    <row r="2260" customFormat="1" spans="1:16">
      <c r="A2260" s="39"/>
      <c r="B2260" s="40"/>
      <c r="C2260" s="41"/>
      <c r="D2260" s="41"/>
      <c r="E2260" s="41"/>
      <c r="F2260" s="41"/>
      <c r="G2260" s="41"/>
      <c r="H2260" s="41"/>
      <c r="I2260" s="41"/>
      <c r="J2260" s="41"/>
      <c r="K2260" s="41"/>
      <c r="L2260" s="41"/>
      <c r="M2260" s="41"/>
      <c r="N2260" s="41"/>
      <c r="O2260" s="41"/>
      <c r="P2260" s="28"/>
    </row>
    <row r="2261" customFormat="1" spans="1:16">
      <c r="A2261" s="39"/>
      <c r="B2261" s="40"/>
      <c r="C2261" s="41"/>
      <c r="D2261" s="41"/>
      <c r="E2261" s="41"/>
      <c r="F2261" s="41"/>
      <c r="G2261" s="41"/>
      <c r="H2261" s="41"/>
      <c r="I2261" s="41"/>
      <c r="J2261" s="41"/>
      <c r="K2261" s="41"/>
      <c r="L2261" s="41"/>
      <c r="M2261" s="41"/>
      <c r="N2261" s="41"/>
      <c r="O2261" s="41"/>
      <c r="P2261" s="28"/>
    </row>
    <row r="2262" customFormat="1" spans="1:16">
      <c r="A2262" s="39"/>
      <c r="B2262" s="40"/>
      <c r="C2262" s="41"/>
      <c r="D2262" s="41"/>
      <c r="E2262" s="41"/>
      <c r="F2262" s="41"/>
      <c r="G2262" s="41"/>
      <c r="H2262" s="41"/>
      <c r="I2262" s="41"/>
      <c r="J2262" s="41"/>
      <c r="K2262" s="41"/>
      <c r="L2262" s="41"/>
      <c r="M2262" s="41"/>
      <c r="N2262" s="41"/>
      <c r="O2262" s="41"/>
      <c r="P2262" s="28"/>
    </row>
    <row r="2263" customFormat="1" spans="1:16">
      <c r="A2263" s="39"/>
      <c r="B2263" s="40"/>
      <c r="C2263" s="41"/>
      <c r="D2263" s="41"/>
      <c r="E2263" s="41"/>
      <c r="F2263" s="41"/>
      <c r="G2263" s="41"/>
      <c r="H2263" s="41"/>
      <c r="I2263" s="41"/>
      <c r="J2263" s="41"/>
      <c r="K2263" s="41"/>
      <c r="L2263" s="41"/>
      <c r="M2263" s="41"/>
      <c r="N2263" s="41"/>
      <c r="O2263" s="41"/>
      <c r="P2263" s="28"/>
    </row>
    <row r="2264" customFormat="1" spans="1:16">
      <c r="A2264" s="39"/>
      <c r="B2264" s="40"/>
      <c r="C2264" s="41"/>
      <c r="D2264" s="41"/>
      <c r="E2264" s="41"/>
      <c r="F2264" s="41"/>
      <c r="G2264" s="41"/>
      <c r="H2264" s="41"/>
      <c r="I2264" s="41"/>
      <c r="J2264" s="41"/>
      <c r="K2264" s="41"/>
      <c r="L2264" s="41"/>
      <c r="M2264" s="41"/>
      <c r="N2264" s="41"/>
      <c r="O2264" s="41"/>
      <c r="P2264" s="28"/>
    </row>
    <row r="2265" customFormat="1" spans="1:16">
      <c r="A2265" s="39"/>
      <c r="B2265" s="40"/>
      <c r="C2265" s="41"/>
      <c r="D2265" s="41"/>
      <c r="E2265" s="41"/>
      <c r="F2265" s="41"/>
      <c r="G2265" s="41"/>
      <c r="H2265" s="41"/>
      <c r="I2265" s="41"/>
      <c r="J2265" s="41"/>
      <c r="K2265" s="41"/>
      <c r="L2265" s="41"/>
      <c r="M2265" s="41"/>
      <c r="N2265" s="41"/>
      <c r="O2265" s="41"/>
      <c r="P2265" s="28"/>
    </row>
    <row r="2266" customFormat="1" spans="1:16">
      <c r="A2266" s="39"/>
      <c r="B2266" s="40"/>
      <c r="C2266" s="41"/>
      <c r="D2266" s="41"/>
      <c r="E2266" s="41"/>
      <c r="F2266" s="41"/>
      <c r="G2266" s="41"/>
      <c r="H2266" s="41"/>
      <c r="I2266" s="41"/>
      <c r="J2266" s="41"/>
      <c r="K2266" s="41"/>
      <c r="L2266" s="41"/>
      <c r="M2266" s="41"/>
      <c r="N2266" s="41"/>
      <c r="O2266" s="41"/>
      <c r="P2266" s="28"/>
    </row>
    <row r="2267" customFormat="1" spans="1:16">
      <c r="A2267" s="39"/>
      <c r="B2267" s="40"/>
      <c r="C2267" s="41"/>
      <c r="D2267" s="41"/>
      <c r="E2267" s="41"/>
      <c r="F2267" s="41"/>
      <c r="G2267" s="41"/>
      <c r="H2267" s="41"/>
      <c r="I2267" s="41"/>
      <c r="J2267" s="41"/>
      <c r="K2267" s="41"/>
      <c r="L2267" s="41"/>
      <c r="M2267" s="41"/>
      <c r="N2267" s="41"/>
      <c r="O2267" s="41"/>
      <c r="P2267" s="28"/>
    </row>
    <row r="2268" customFormat="1" spans="1:16">
      <c r="A2268" s="39"/>
      <c r="B2268" s="40"/>
      <c r="C2268" s="41"/>
      <c r="D2268" s="41"/>
      <c r="E2268" s="41"/>
      <c r="F2268" s="41"/>
      <c r="G2268" s="41"/>
      <c r="H2268" s="41"/>
      <c r="I2268" s="41"/>
      <c r="J2268" s="41"/>
      <c r="K2268" s="41"/>
      <c r="L2268" s="41"/>
      <c r="M2268" s="41"/>
      <c r="N2268" s="41"/>
      <c r="O2268" s="41"/>
      <c r="P2268" s="28"/>
    </row>
    <row r="2269" customFormat="1" spans="1:16">
      <c r="A2269" s="39"/>
      <c r="B2269" s="40"/>
      <c r="C2269" s="41"/>
      <c r="D2269" s="41"/>
      <c r="E2269" s="41"/>
      <c r="F2269" s="41"/>
      <c r="G2269" s="41"/>
      <c r="H2269" s="41"/>
      <c r="I2269" s="41"/>
      <c r="J2269" s="41"/>
      <c r="K2269" s="41"/>
      <c r="L2269" s="41"/>
      <c r="M2269" s="41"/>
      <c r="N2269" s="41"/>
      <c r="O2269" s="41"/>
      <c r="P2269" s="28"/>
    </row>
    <row r="2270" customFormat="1" spans="1:16">
      <c r="A2270" s="39"/>
      <c r="B2270" s="40"/>
      <c r="C2270" s="41"/>
      <c r="D2270" s="41"/>
      <c r="E2270" s="41"/>
      <c r="F2270" s="41"/>
      <c r="G2270" s="41"/>
      <c r="H2270" s="41"/>
      <c r="I2270" s="41"/>
      <c r="J2270" s="41"/>
      <c r="K2270" s="41"/>
      <c r="L2270" s="41"/>
      <c r="M2270" s="41"/>
      <c r="N2270" s="41"/>
      <c r="O2270" s="41"/>
      <c r="P2270" s="28"/>
    </row>
    <row r="2271" customFormat="1" spans="1:16">
      <c r="A2271" s="39"/>
      <c r="B2271" s="40"/>
      <c r="C2271" s="41"/>
      <c r="D2271" s="41"/>
      <c r="E2271" s="41"/>
      <c r="F2271" s="41"/>
      <c r="G2271" s="41"/>
      <c r="H2271" s="41"/>
      <c r="I2271" s="41"/>
      <c r="J2271" s="41"/>
      <c r="K2271" s="41"/>
      <c r="L2271" s="41"/>
      <c r="M2271" s="41"/>
      <c r="N2271" s="41"/>
      <c r="O2271" s="41"/>
      <c r="P2271" s="28"/>
    </row>
    <row r="2272" customFormat="1" spans="1:16">
      <c r="A2272" s="39"/>
      <c r="B2272" s="40"/>
      <c r="C2272" s="41"/>
      <c r="D2272" s="41"/>
      <c r="E2272" s="41"/>
      <c r="F2272" s="41"/>
      <c r="G2272" s="41"/>
      <c r="H2272" s="41"/>
      <c r="I2272" s="41"/>
      <c r="J2272" s="41"/>
      <c r="K2272" s="41"/>
      <c r="L2272" s="41"/>
      <c r="M2272" s="41"/>
      <c r="N2272" s="41"/>
      <c r="O2272" s="41"/>
      <c r="P2272" s="28"/>
    </row>
    <row r="2273" customFormat="1" spans="1:16">
      <c r="A2273" s="39"/>
      <c r="B2273" s="40"/>
      <c r="C2273" s="41"/>
      <c r="D2273" s="41"/>
      <c r="E2273" s="41"/>
      <c r="F2273" s="41"/>
      <c r="G2273" s="41"/>
      <c r="H2273" s="41"/>
      <c r="I2273" s="41"/>
      <c r="J2273" s="41"/>
      <c r="K2273" s="41"/>
      <c r="L2273" s="41"/>
      <c r="M2273" s="41"/>
      <c r="N2273" s="41"/>
      <c r="O2273" s="41"/>
      <c r="P2273" s="28"/>
    </row>
    <row r="2274" customFormat="1" spans="1:16">
      <c r="A2274" s="39"/>
      <c r="B2274" s="40"/>
      <c r="C2274" s="41"/>
      <c r="D2274" s="41"/>
      <c r="E2274" s="41"/>
      <c r="F2274" s="41"/>
      <c r="G2274" s="41"/>
      <c r="H2274" s="41"/>
      <c r="I2274" s="41"/>
      <c r="J2274" s="41"/>
      <c r="K2274" s="41"/>
      <c r="L2274" s="41"/>
      <c r="M2274" s="41"/>
      <c r="N2274" s="41"/>
      <c r="O2274" s="41"/>
      <c r="P2274" s="28"/>
    </row>
    <row r="2275" customFormat="1" spans="1:16">
      <c r="A2275" s="39"/>
      <c r="B2275" s="40"/>
      <c r="C2275" s="41"/>
      <c r="D2275" s="41"/>
      <c r="E2275" s="41"/>
      <c r="F2275" s="41"/>
      <c r="G2275" s="41"/>
      <c r="H2275" s="41"/>
      <c r="I2275" s="41"/>
      <c r="J2275" s="41"/>
      <c r="K2275" s="41"/>
      <c r="L2275" s="41"/>
      <c r="M2275" s="41"/>
      <c r="N2275" s="41"/>
      <c r="O2275" s="41"/>
      <c r="P2275" s="28"/>
    </row>
    <row r="2276" customFormat="1" spans="1:16">
      <c r="A2276" s="39"/>
      <c r="B2276" s="40"/>
      <c r="C2276" s="41"/>
      <c r="D2276" s="41"/>
      <c r="E2276" s="41"/>
      <c r="F2276" s="41"/>
      <c r="G2276" s="41"/>
      <c r="H2276" s="41"/>
      <c r="I2276" s="41"/>
      <c r="J2276" s="41"/>
      <c r="K2276" s="41"/>
      <c r="L2276" s="41"/>
      <c r="M2276" s="41"/>
      <c r="N2276" s="41"/>
      <c r="O2276" s="41"/>
      <c r="P2276" s="28"/>
    </row>
    <row r="2277" customFormat="1" spans="1:16">
      <c r="A2277" s="39"/>
      <c r="B2277" s="40"/>
      <c r="C2277" s="41"/>
      <c r="D2277" s="41"/>
      <c r="E2277" s="41"/>
      <c r="F2277" s="41"/>
      <c r="G2277" s="41"/>
      <c r="H2277" s="41"/>
      <c r="I2277" s="41"/>
      <c r="J2277" s="41"/>
      <c r="K2277" s="41"/>
      <c r="L2277" s="41"/>
      <c r="M2277" s="41"/>
      <c r="N2277" s="41"/>
      <c r="O2277" s="41"/>
      <c r="P2277" s="28"/>
    </row>
    <row r="2278" customFormat="1" spans="1:16">
      <c r="A2278" s="39"/>
      <c r="B2278" s="40"/>
      <c r="C2278" s="41"/>
      <c r="D2278" s="41"/>
      <c r="E2278" s="41"/>
      <c r="F2278" s="41"/>
      <c r="G2278" s="41"/>
      <c r="H2278" s="41"/>
      <c r="I2278" s="41"/>
      <c r="J2278" s="41"/>
      <c r="K2278" s="41"/>
      <c r="L2278" s="41"/>
      <c r="M2278" s="41"/>
      <c r="N2278" s="41"/>
      <c r="O2278" s="41"/>
      <c r="P2278" s="28"/>
    </row>
    <row r="2279" customFormat="1" spans="1:16">
      <c r="A2279" s="39"/>
      <c r="B2279" s="40"/>
      <c r="C2279" s="41"/>
      <c r="D2279" s="41"/>
      <c r="E2279" s="41"/>
      <c r="F2279" s="41"/>
      <c r="G2279" s="41"/>
      <c r="H2279" s="41"/>
      <c r="I2279" s="41"/>
      <c r="J2279" s="41"/>
      <c r="K2279" s="41"/>
      <c r="L2279" s="41"/>
      <c r="M2279" s="41"/>
      <c r="N2279" s="41"/>
      <c r="O2279" s="41"/>
      <c r="P2279" s="28"/>
    </row>
    <row r="2280" customFormat="1" spans="1:16">
      <c r="A2280" s="39"/>
      <c r="B2280" s="40"/>
      <c r="C2280" s="41"/>
      <c r="D2280" s="41"/>
      <c r="E2280" s="41"/>
      <c r="F2280" s="41"/>
      <c r="G2280" s="41"/>
      <c r="H2280" s="41"/>
      <c r="I2280" s="41"/>
      <c r="J2280" s="41"/>
      <c r="K2280" s="41"/>
      <c r="L2280" s="41"/>
      <c r="M2280" s="41"/>
      <c r="N2280" s="41"/>
      <c r="O2280" s="41"/>
      <c r="P2280" s="28"/>
    </row>
    <row r="2281" customFormat="1" spans="1:16">
      <c r="A2281" s="39"/>
      <c r="B2281" s="40"/>
      <c r="C2281" s="41"/>
      <c r="D2281" s="41"/>
      <c r="E2281" s="41"/>
      <c r="F2281" s="41"/>
      <c r="G2281" s="41"/>
      <c r="H2281" s="41"/>
      <c r="I2281" s="41"/>
      <c r="J2281" s="41"/>
      <c r="K2281" s="41"/>
      <c r="L2281" s="41"/>
      <c r="M2281" s="41"/>
      <c r="N2281" s="41"/>
      <c r="O2281" s="41"/>
      <c r="P2281" s="28"/>
    </row>
    <row r="2282" customFormat="1" spans="1:16">
      <c r="A2282" s="39"/>
      <c r="B2282" s="40"/>
      <c r="C2282" s="41"/>
      <c r="D2282" s="41"/>
      <c r="E2282" s="41"/>
      <c r="F2282" s="41"/>
      <c r="G2282" s="41"/>
      <c r="H2282" s="41"/>
      <c r="I2282" s="41"/>
      <c r="J2282" s="41"/>
      <c r="K2282" s="41"/>
      <c r="L2282" s="41"/>
      <c r="M2282" s="41"/>
      <c r="N2282" s="41"/>
      <c r="O2282" s="41"/>
      <c r="P2282" s="28"/>
    </row>
    <row r="2283" customFormat="1" spans="1:16">
      <c r="A2283" s="39"/>
      <c r="B2283" s="40"/>
      <c r="C2283" s="41"/>
      <c r="D2283" s="41"/>
      <c r="E2283" s="41"/>
      <c r="F2283" s="41"/>
      <c r="G2283" s="41"/>
      <c r="H2283" s="41"/>
      <c r="I2283" s="41"/>
      <c r="J2283" s="41"/>
      <c r="K2283" s="41"/>
      <c r="L2283" s="41"/>
      <c r="M2283" s="41"/>
      <c r="N2283" s="41"/>
      <c r="O2283" s="41"/>
      <c r="P2283" s="28"/>
    </row>
    <row r="2284" customFormat="1" spans="1:16">
      <c r="A2284" s="39"/>
      <c r="B2284" s="40"/>
      <c r="C2284" s="41"/>
      <c r="D2284" s="41"/>
      <c r="E2284" s="41"/>
      <c r="F2284" s="41"/>
      <c r="G2284" s="41"/>
      <c r="H2284" s="41"/>
      <c r="I2284" s="41"/>
      <c r="J2284" s="41"/>
      <c r="K2284" s="41"/>
      <c r="L2284" s="41"/>
      <c r="M2284" s="41"/>
      <c r="N2284" s="41"/>
      <c r="O2284" s="41"/>
      <c r="P2284" s="28"/>
    </row>
    <row r="2285" customFormat="1" spans="1:16">
      <c r="A2285" s="39"/>
      <c r="B2285" s="40"/>
      <c r="C2285" s="41"/>
      <c r="D2285" s="41"/>
      <c r="E2285" s="41"/>
      <c r="F2285" s="41"/>
      <c r="G2285" s="41"/>
      <c r="H2285" s="41"/>
      <c r="I2285" s="41"/>
      <c r="J2285" s="41"/>
      <c r="K2285" s="41"/>
      <c r="L2285" s="41"/>
      <c r="M2285" s="41"/>
      <c r="N2285" s="41"/>
      <c r="O2285" s="41"/>
      <c r="P2285" s="28"/>
    </row>
    <row r="2286" customFormat="1" spans="1:16">
      <c r="A2286" s="39"/>
      <c r="B2286" s="40"/>
      <c r="C2286" s="41"/>
      <c r="D2286" s="41"/>
      <c r="E2286" s="41"/>
      <c r="F2286" s="41"/>
      <c r="G2286" s="41"/>
      <c r="H2286" s="41"/>
      <c r="I2286" s="41"/>
      <c r="J2286" s="41"/>
      <c r="K2286" s="41"/>
      <c r="L2286" s="41"/>
      <c r="M2286" s="41"/>
      <c r="N2286" s="41"/>
      <c r="O2286" s="41"/>
      <c r="P2286" s="28"/>
    </row>
    <row r="2287" customFormat="1" spans="1:16">
      <c r="A2287" s="39"/>
      <c r="B2287" s="40"/>
      <c r="C2287" s="41"/>
      <c r="D2287" s="41"/>
      <c r="E2287" s="41"/>
      <c r="F2287" s="41"/>
      <c r="G2287" s="41"/>
      <c r="H2287" s="41"/>
      <c r="I2287" s="41"/>
      <c r="J2287" s="41"/>
      <c r="K2287" s="41"/>
      <c r="L2287" s="41"/>
      <c r="M2287" s="41"/>
      <c r="N2287" s="41"/>
      <c r="O2287" s="41"/>
      <c r="P2287" s="28"/>
    </row>
    <row r="2288" customFormat="1" spans="1:16">
      <c r="A2288" s="39"/>
      <c r="B2288" s="40"/>
      <c r="C2288" s="41"/>
      <c r="D2288" s="41"/>
      <c r="E2288" s="41"/>
      <c r="F2288" s="41"/>
      <c r="G2288" s="41"/>
      <c r="H2288" s="41"/>
      <c r="I2288" s="41"/>
      <c r="J2288" s="41"/>
      <c r="K2288" s="41"/>
      <c r="L2288" s="41"/>
      <c r="M2288" s="41"/>
      <c r="N2288" s="41"/>
      <c r="O2288" s="41"/>
      <c r="P2288" s="28"/>
    </row>
    <row r="2289" customFormat="1" spans="1:16">
      <c r="A2289" s="39"/>
      <c r="B2289" s="40"/>
      <c r="C2289" s="41"/>
      <c r="D2289" s="41"/>
      <c r="E2289" s="41"/>
      <c r="F2289" s="41"/>
      <c r="G2289" s="41"/>
      <c r="H2289" s="41"/>
      <c r="I2289" s="41"/>
      <c r="J2289" s="41"/>
      <c r="K2289" s="41"/>
      <c r="L2289" s="41"/>
      <c r="M2289" s="41"/>
      <c r="N2289" s="41"/>
      <c r="O2289" s="41"/>
      <c r="P2289" s="28"/>
    </row>
    <row r="2290" customFormat="1" spans="1:16">
      <c r="A2290" s="39"/>
      <c r="B2290" s="40"/>
      <c r="C2290" s="41"/>
      <c r="D2290" s="41"/>
      <c r="E2290" s="41"/>
      <c r="F2290" s="41"/>
      <c r="G2290" s="41"/>
      <c r="H2290" s="41"/>
      <c r="I2290" s="41"/>
      <c r="J2290" s="41"/>
      <c r="K2290" s="41"/>
      <c r="L2290" s="41"/>
      <c r="M2290" s="41"/>
      <c r="N2290" s="41"/>
      <c r="O2290" s="41"/>
      <c r="P2290" s="28"/>
    </row>
    <row r="2291" customFormat="1" spans="1:16">
      <c r="A2291" s="39"/>
      <c r="B2291" s="40"/>
      <c r="C2291" s="41"/>
      <c r="D2291" s="41"/>
      <c r="E2291" s="41"/>
      <c r="F2291" s="41"/>
      <c r="G2291" s="41"/>
      <c r="H2291" s="41"/>
      <c r="I2291" s="41"/>
      <c r="J2291" s="41"/>
      <c r="K2291" s="41"/>
      <c r="L2291" s="41"/>
      <c r="M2291" s="41"/>
      <c r="N2291" s="41"/>
      <c r="O2291" s="41"/>
      <c r="P2291" s="28"/>
    </row>
    <row r="2292" customFormat="1" spans="1:16">
      <c r="A2292" s="39"/>
      <c r="B2292" s="40"/>
      <c r="C2292" s="41"/>
      <c r="D2292" s="41"/>
      <c r="E2292" s="41"/>
      <c r="F2292" s="41"/>
      <c r="G2292" s="41"/>
      <c r="H2292" s="41"/>
      <c r="I2292" s="41"/>
      <c r="J2292" s="41"/>
      <c r="K2292" s="41"/>
      <c r="L2292" s="41"/>
      <c r="M2292" s="41"/>
      <c r="N2292" s="41"/>
      <c r="O2292" s="41"/>
      <c r="P2292" s="28"/>
    </row>
    <row r="2293" customFormat="1" spans="1:16">
      <c r="A2293" s="39"/>
      <c r="B2293" s="40"/>
      <c r="C2293" s="41"/>
      <c r="D2293" s="41"/>
      <c r="E2293" s="41"/>
      <c r="F2293" s="41"/>
      <c r="G2293" s="41"/>
      <c r="H2293" s="41"/>
      <c r="I2293" s="41"/>
      <c r="J2293" s="41"/>
      <c r="K2293" s="41"/>
      <c r="L2293" s="41"/>
      <c r="M2293" s="41"/>
      <c r="N2293" s="41"/>
      <c r="O2293" s="41"/>
      <c r="P2293" s="28"/>
    </row>
    <row r="2294" customFormat="1" spans="1:16">
      <c r="A2294" s="39"/>
      <c r="B2294" s="40"/>
      <c r="C2294" s="41"/>
      <c r="D2294" s="41"/>
      <c r="E2294" s="41"/>
      <c r="F2294" s="41"/>
      <c r="G2294" s="41"/>
      <c r="H2294" s="41"/>
      <c r="I2294" s="41"/>
      <c r="J2294" s="41"/>
      <c r="K2294" s="41"/>
      <c r="L2294" s="41"/>
      <c r="M2294" s="41"/>
      <c r="N2294" s="41"/>
      <c r="O2294" s="41"/>
      <c r="P2294" s="28"/>
    </row>
    <row r="2295" customFormat="1" spans="1:16">
      <c r="A2295" s="39"/>
      <c r="B2295" s="40"/>
      <c r="C2295" s="41"/>
      <c r="D2295" s="41"/>
      <c r="E2295" s="41"/>
      <c r="F2295" s="41"/>
      <c r="G2295" s="41"/>
      <c r="H2295" s="41"/>
      <c r="I2295" s="41"/>
      <c r="J2295" s="41"/>
      <c r="K2295" s="41"/>
      <c r="L2295" s="41"/>
      <c r="M2295" s="41"/>
      <c r="N2295" s="41"/>
      <c r="O2295" s="41"/>
      <c r="P2295" s="28"/>
    </row>
    <row r="2296" customFormat="1" spans="1:16">
      <c r="A2296" s="39"/>
      <c r="B2296" s="40"/>
      <c r="C2296" s="41"/>
      <c r="D2296" s="41"/>
      <c r="E2296" s="41"/>
      <c r="F2296" s="41"/>
      <c r="G2296" s="41"/>
      <c r="H2296" s="41"/>
      <c r="I2296" s="41"/>
      <c r="J2296" s="41"/>
      <c r="K2296" s="41"/>
      <c r="L2296" s="41"/>
      <c r="M2296" s="41"/>
      <c r="N2296" s="41"/>
      <c r="O2296" s="41"/>
      <c r="P2296" s="28"/>
    </row>
    <row r="2297" customFormat="1" spans="1:16">
      <c r="A2297" s="39"/>
      <c r="B2297" s="40"/>
      <c r="C2297" s="41"/>
      <c r="D2297" s="41"/>
      <c r="E2297" s="41"/>
      <c r="F2297" s="41"/>
      <c r="G2297" s="41"/>
      <c r="H2297" s="41"/>
      <c r="I2297" s="41"/>
      <c r="J2297" s="41"/>
      <c r="K2297" s="41"/>
      <c r="L2297" s="41"/>
      <c r="M2297" s="41"/>
      <c r="N2297" s="41"/>
      <c r="O2297" s="41"/>
      <c r="P2297" s="28"/>
    </row>
    <row r="2298" customFormat="1" spans="1:16">
      <c r="A2298" s="39"/>
      <c r="B2298" s="40"/>
      <c r="C2298" s="41"/>
      <c r="D2298" s="41"/>
      <c r="E2298" s="41"/>
      <c r="F2298" s="41"/>
      <c r="G2298" s="41"/>
      <c r="H2298" s="41"/>
      <c r="I2298" s="41"/>
      <c r="J2298" s="41"/>
      <c r="K2298" s="41"/>
      <c r="L2298" s="41"/>
      <c r="M2298" s="41"/>
      <c r="N2298" s="41"/>
      <c r="O2298" s="41"/>
      <c r="P2298" s="28"/>
    </row>
    <row r="2299" customFormat="1" spans="1:16">
      <c r="A2299" s="39"/>
      <c r="B2299" s="40"/>
      <c r="C2299" s="41"/>
      <c r="D2299" s="41"/>
      <c r="E2299" s="41"/>
      <c r="F2299" s="41"/>
      <c r="G2299" s="41"/>
      <c r="H2299" s="41"/>
      <c r="I2299" s="41"/>
      <c r="J2299" s="41"/>
      <c r="K2299" s="41"/>
      <c r="L2299" s="41"/>
      <c r="M2299" s="41"/>
      <c r="N2299" s="41"/>
      <c r="O2299" s="41"/>
      <c r="P2299" s="28"/>
    </row>
    <row r="2300" customFormat="1" spans="1:16">
      <c r="A2300" s="39"/>
      <c r="B2300" s="40"/>
      <c r="C2300" s="41"/>
      <c r="D2300" s="41"/>
      <c r="E2300" s="41"/>
      <c r="F2300" s="41"/>
      <c r="G2300" s="41"/>
      <c r="H2300" s="41"/>
      <c r="I2300" s="41"/>
      <c r="J2300" s="41"/>
      <c r="K2300" s="41"/>
      <c r="L2300" s="41"/>
      <c r="M2300" s="41"/>
      <c r="N2300" s="41"/>
      <c r="O2300" s="41"/>
      <c r="P2300" s="28"/>
    </row>
    <row r="2301" customFormat="1" spans="1:16">
      <c r="A2301" s="39"/>
      <c r="B2301" s="40"/>
      <c r="C2301" s="41"/>
      <c r="D2301" s="41"/>
      <c r="E2301" s="41"/>
      <c r="F2301" s="41"/>
      <c r="G2301" s="41"/>
      <c r="H2301" s="41"/>
      <c r="I2301" s="41"/>
      <c r="J2301" s="41"/>
      <c r="K2301" s="41"/>
      <c r="L2301" s="41"/>
      <c r="M2301" s="41"/>
      <c r="N2301" s="41"/>
      <c r="O2301" s="41"/>
      <c r="P2301" s="28"/>
    </row>
    <row r="2302" customFormat="1" spans="1:16">
      <c r="A2302" s="39"/>
      <c r="B2302" s="40"/>
      <c r="C2302" s="41"/>
      <c r="D2302" s="41"/>
      <c r="E2302" s="41"/>
      <c r="F2302" s="41"/>
      <c r="G2302" s="41"/>
      <c r="H2302" s="41"/>
      <c r="I2302" s="41"/>
      <c r="J2302" s="41"/>
      <c r="K2302" s="41"/>
      <c r="L2302" s="41"/>
      <c r="M2302" s="41"/>
      <c r="N2302" s="41"/>
      <c r="O2302" s="41"/>
      <c r="P2302" s="28"/>
    </row>
    <row r="2303" customFormat="1" spans="1:16">
      <c r="A2303" s="39"/>
      <c r="B2303" s="40"/>
      <c r="C2303" s="41"/>
      <c r="D2303" s="41"/>
      <c r="E2303" s="41"/>
      <c r="F2303" s="41"/>
      <c r="G2303" s="41"/>
      <c r="H2303" s="41"/>
      <c r="I2303" s="41"/>
      <c r="J2303" s="41"/>
      <c r="K2303" s="41"/>
      <c r="L2303" s="41"/>
      <c r="M2303" s="41"/>
      <c r="N2303" s="41"/>
      <c r="O2303" s="41"/>
      <c r="P2303" s="28"/>
    </row>
    <row r="2304" customFormat="1" spans="1:16">
      <c r="A2304" s="39"/>
      <c r="B2304" s="40"/>
      <c r="C2304" s="41"/>
      <c r="D2304" s="41"/>
      <c r="E2304" s="41"/>
      <c r="F2304" s="41"/>
      <c r="G2304" s="41"/>
      <c r="H2304" s="41"/>
      <c r="I2304" s="41"/>
      <c r="J2304" s="41"/>
      <c r="K2304" s="41"/>
      <c r="L2304" s="41"/>
      <c r="M2304" s="41"/>
      <c r="N2304" s="41"/>
      <c r="O2304" s="41"/>
      <c r="P2304" s="28"/>
    </row>
    <row r="2305" customFormat="1" spans="1:16">
      <c r="A2305" s="39"/>
      <c r="B2305" s="40"/>
      <c r="C2305" s="41"/>
      <c r="D2305" s="41"/>
      <c r="E2305" s="41"/>
      <c r="F2305" s="41"/>
      <c r="G2305" s="41"/>
      <c r="H2305" s="41"/>
      <c r="I2305" s="41"/>
      <c r="J2305" s="41"/>
      <c r="K2305" s="41"/>
      <c r="L2305" s="41"/>
      <c r="M2305" s="41"/>
      <c r="N2305" s="41"/>
      <c r="O2305" s="41"/>
      <c r="P2305" s="28"/>
    </row>
    <row r="2306" customFormat="1" spans="1:16">
      <c r="A2306" s="39"/>
      <c r="B2306" s="40"/>
      <c r="C2306" s="41"/>
      <c r="D2306" s="41"/>
      <c r="E2306" s="41"/>
      <c r="F2306" s="41"/>
      <c r="G2306" s="41"/>
      <c r="H2306" s="41"/>
      <c r="I2306" s="41"/>
      <c r="J2306" s="41"/>
      <c r="K2306" s="41"/>
      <c r="L2306" s="41"/>
      <c r="M2306" s="41"/>
      <c r="N2306" s="41"/>
      <c r="O2306" s="41"/>
      <c r="P2306" s="28"/>
    </row>
    <row r="2307" customFormat="1" spans="1:16">
      <c r="A2307" s="39"/>
      <c r="B2307" s="40"/>
      <c r="C2307" s="41"/>
      <c r="D2307" s="41"/>
      <c r="E2307" s="41"/>
      <c r="F2307" s="41"/>
      <c r="G2307" s="41"/>
      <c r="H2307" s="41"/>
      <c r="I2307" s="41"/>
      <c r="J2307" s="41"/>
      <c r="K2307" s="41"/>
      <c r="L2307" s="41"/>
      <c r="M2307" s="41"/>
      <c r="N2307" s="41"/>
      <c r="O2307" s="41"/>
      <c r="P2307" s="28"/>
    </row>
    <row r="2308" customFormat="1" spans="1:16">
      <c r="A2308" s="39"/>
      <c r="B2308" s="40"/>
      <c r="C2308" s="41"/>
      <c r="D2308" s="41"/>
      <c r="E2308" s="41"/>
      <c r="F2308" s="41"/>
      <c r="G2308" s="41"/>
      <c r="H2308" s="41"/>
      <c r="I2308" s="41"/>
      <c r="J2308" s="41"/>
      <c r="K2308" s="41"/>
      <c r="L2308" s="41"/>
      <c r="M2308" s="41"/>
      <c r="N2308" s="41"/>
      <c r="O2308" s="41"/>
      <c r="P2308" s="28"/>
    </row>
    <row r="2309" customFormat="1" spans="1:16">
      <c r="A2309" s="39"/>
      <c r="B2309" s="40"/>
      <c r="C2309" s="41"/>
      <c r="D2309" s="41"/>
      <c r="E2309" s="41"/>
      <c r="F2309" s="41"/>
      <c r="G2309" s="41"/>
      <c r="H2309" s="41"/>
      <c r="I2309" s="41"/>
      <c r="J2309" s="41"/>
      <c r="K2309" s="41"/>
      <c r="L2309" s="41"/>
      <c r="M2309" s="41"/>
      <c r="N2309" s="41"/>
      <c r="O2309" s="41"/>
      <c r="P2309" s="28"/>
    </row>
    <row r="2310" customFormat="1" spans="1:16">
      <c r="A2310" s="39"/>
      <c r="B2310" s="40"/>
      <c r="C2310" s="41"/>
      <c r="D2310" s="41"/>
      <c r="E2310" s="41"/>
      <c r="F2310" s="41"/>
      <c r="G2310" s="41"/>
      <c r="H2310" s="41"/>
      <c r="I2310" s="41"/>
      <c r="J2310" s="41"/>
      <c r="K2310" s="41"/>
      <c r="L2310" s="41"/>
      <c r="M2310" s="41"/>
      <c r="N2310" s="41"/>
      <c r="O2310" s="41"/>
      <c r="P2310" s="28"/>
    </row>
    <row r="2311" customFormat="1" spans="1:16">
      <c r="A2311" s="39"/>
      <c r="B2311" s="40"/>
      <c r="C2311" s="41"/>
      <c r="D2311" s="41"/>
      <c r="E2311" s="41"/>
      <c r="F2311" s="41"/>
      <c r="G2311" s="41"/>
      <c r="H2311" s="41"/>
      <c r="I2311" s="41"/>
      <c r="J2311" s="41"/>
      <c r="K2311" s="41"/>
      <c r="L2311" s="41"/>
      <c r="M2311" s="41"/>
      <c r="N2311" s="41"/>
      <c r="O2311" s="41"/>
      <c r="P2311" s="28"/>
    </row>
    <row r="2312" customFormat="1" spans="1:16">
      <c r="A2312" s="39"/>
      <c r="B2312" s="40"/>
      <c r="C2312" s="41"/>
      <c r="D2312" s="41"/>
      <c r="E2312" s="41"/>
      <c r="F2312" s="41"/>
      <c r="G2312" s="41"/>
      <c r="H2312" s="41"/>
      <c r="I2312" s="41"/>
      <c r="J2312" s="41"/>
      <c r="K2312" s="41"/>
      <c r="L2312" s="41"/>
      <c r="M2312" s="41"/>
      <c r="N2312" s="41"/>
      <c r="O2312" s="41"/>
      <c r="P2312" s="28"/>
    </row>
    <row r="2313" customFormat="1" spans="1:16">
      <c r="A2313" s="39"/>
      <c r="B2313" s="40"/>
      <c r="C2313" s="41"/>
      <c r="D2313" s="41"/>
      <c r="E2313" s="41"/>
      <c r="F2313" s="41"/>
      <c r="G2313" s="41"/>
      <c r="H2313" s="41"/>
      <c r="I2313" s="41"/>
      <c r="J2313" s="41"/>
      <c r="K2313" s="41"/>
      <c r="L2313" s="41"/>
      <c r="M2313" s="41"/>
      <c r="N2313" s="41"/>
      <c r="O2313" s="41"/>
      <c r="P2313" s="28"/>
    </row>
    <row r="2314" customFormat="1" spans="1:16">
      <c r="A2314" s="39"/>
      <c r="B2314" s="40"/>
      <c r="C2314" s="41"/>
      <c r="D2314" s="41"/>
      <c r="E2314" s="41"/>
      <c r="F2314" s="41"/>
      <c r="G2314" s="41"/>
      <c r="H2314" s="41"/>
      <c r="I2314" s="41"/>
      <c r="J2314" s="41"/>
      <c r="K2314" s="41"/>
      <c r="L2314" s="41"/>
      <c r="M2314" s="41"/>
      <c r="N2314" s="41"/>
      <c r="O2314" s="41"/>
      <c r="P2314" s="28"/>
    </row>
    <row r="2315" customFormat="1" spans="1:16">
      <c r="A2315" s="39"/>
      <c r="B2315" s="40"/>
      <c r="C2315" s="41"/>
      <c r="D2315" s="41"/>
      <c r="E2315" s="41"/>
      <c r="F2315" s="41"/>
      <c r="G2315" s="41"/>
      <c r="H2315" s="41"/>
      <c r="I2315" s="41"/>
      <c r="J2315" s="41"/>
      <c r="K2315" s="41"/>
      <c r="L2315" s="41"/>
      <c r="M2315" s="41"/>
      <c r="N2315" s="41"/>
      <c r="O2315" s="41"/>
      <c r="P2315" s="28"/>
    </row>
    <row r="2316" customFormat="1" spans="1:16">
      <c r="A2316" s="39"/>
      <c r="B2316" s="40"/>
      <c r="C2316" s="41"/>
      <c r="D2316" s="41"/>
      <c r="E2316" s="41"/>
      <c r="F2316" s="41"/>
      <c r="G2316" s="41"/>
      <c r="H2316" s="41"/>
      <c r="I2316" s="41"/>
      <c r="J2316" s="41"/>
      <c r="K2316" s="41"/>
      <c r="L2316" s="41"/>
      <c r="M2316" s="41"/>
      <c r="N2316" s="41"/>
      <c r="O2316" s="41"/>
      <c r="P2316" s="28"/>
    </row>
    <row r="2317" customFormat="1" spans="1:16">
      <c r="A2317" s="39"/>
      <c r="B2317" s="40"/>
      <c r="C2317" s="41"/>
      <c r="D2317" s="41"/>
      <c r="E2317" s="41"/>
      <c r="F2317" s="41"/>
      <c r="G2317" s="41"/>
      <c r="H2317" s="41"/>
      <c r="I2317" s="41"/>
      <c r="J2317" s="41"/>
      <c r="K2317" s="41"/>
      <c r="L2317" s="41"/>
      <c r="M2317" s="41"/>
      <c r="N2317" s="41"/>
      <c r="O2317" s="41"/>
      <c r="P2317" s="28"/>
    </row>
    <row r="2318" customFormat="1" spans="1:16">
      <c r="A2318" s="39"/>
      <c r="B2318" s="40"/>
      <c r="C2318" s="41"/>
      <c r="D2318" s="41"/>
      <c r="E2318" s="41"/>
      <c r="F2318" s="41"/>
      <c r="G2318" s="41"/>
      <c r="H2318" s="41"/>
      <c r="I2318" s="41"/>
      <c r="J2318" s="41"/>
      <c r="K2318" s="41"/>
      <c r="L2318" s="41"/>
      <c r="M2318" s="41"/>
      <c r="N2318" s="41"/>
      <c r="O2318" s="41"/>
      <c r="P2318" s="28"/>
    </row>
    <row r="2319" customFormat="1" spans="1:16">
      <c r="A2319" s="39"/>
      <c r="B2319" s="40"/>
      <c r="C2319" s="41"/>
      <c r="D2319" s="41"/>
      <c r="E2319" s="41"/>
      <c r="F2319" s="41"/>
      <c r="G2319" s="41"/>
      <c r="H2319" s="41"/>
      <c r="I2319" s="41"/>
      <c r="J2319" s="41"/>
      <c r="K2319" s="41"/>
      <c r="L2319" s="41"/>
      <c r="M2319" s="41"/>
      <c r="N2319" s="41"/>
      <c r="O2319" s="41"/>
      <c r="P2319" s="28"/>
    </row>
    <row r="2320" customFormat="1" spans="1:16">
      <c r="A2320" s="39"/>
      <c r="B2320" s="40"/>
      <c r="C2320" s="41"/>
      <c r="D2320" s="41"/>
      <c r="E2320" s="41"/>
      <c r="F2320" s="41"/>
      <c r="G2320" s="41"/>
      <c r="H2320" s="41"/>
      <c r="I2320" s="41"/>
      <c r="J2320" s="41"/>
      <c r="K2320" s="41"/>
      <c r="L2320" s="41"/>
      <c r="M2320" s="41"/>
      <c r="N2320" s="41"/>
      <c r="O2320" s="41"/>
      <c r="P2320" s="28"/>
    </row>
    <row r="2321" customFormat="1" spans="1:16">
      <c r="A2321" s="39"/>
      <c r="B2321" s="40"/>
      <c r="C2321" s="41"/>
      <c r="D2321" s="41"/>
      <c r="E2321" s="41"/>
      <c r="F2321" s="41"/>
      <c r="G2321" s="41"/>
      <c r="H2321" s="41"/>
      <c r="I2321" s="41"/>
      <c r="J2321" s="41"/>
      <c r="K2321" s="41"/>
      <c r="L2321" s="41"/>
      <c r="M2321" s="41"/>
      <c r="N2321" s="41"/>
      <c r="O2321" s="41"/>
      <c r="P2321" s="28"/>
    </row>
    <row r="2322" customFormat="1" spans="1:16">
      <c r="A2322" s="39"/>
      <c r="B2322" s="40"/>
      <c r="C2322" s="41"/>
      <c r="D2322" s="41"/>
      <c r="E2322" s="41"/>
      <c r="F2322" s="41"/>
      <c r="G2322" s="41"/>
      <c r="H2322" s="41"/>
      <c r="I2322" s="41"/>
      <c r="J2322" s="41"/>
      <c r="K2322" s="41"/>
      <c r="L2322" s="41"/>
      <c r="M2322" s="41"/>
      <c r="N2322" s="41"/>
      <c r="O2322" s="41"/>
      <c r="P2322" s="28"/>
    </row>
    <row r="2323" customFormat="1" spans="1:16">
      <c r="A2323" s="39"/>
      <c r="B2323" s="40"/>
      <c r="C2323" s="41"/>
      <c r="D2323" s="41"/>
      <c r="E2323" s="41"/>
      <c r="F2323" s="41"/>
      <c r="G2323" s="41"/>
      <c r="H2323" s="41"/>
      <c r="I2323" s="41"/>
      <c r="J2323" s="41"/>
      <c r="K2323" s="41"/>
      <c r="L2323" s="41"/>
      <c r="M2323" s="41"/>
      <c r="N2323" s="41"/>
      <c r="O2323" s="41"/>
      <c r="P2323" s="28"/>
    </row>
    <row r="2324" customFormat="1" spans="1:16">
      <c r="A2324" s="39"/>
      <c r="B2324" s="40"/>
      <c r="C2324" s="41"/>
      <c r="D2324" s="41"/>
      <c r="E2324" s="41"/>
      <c r="F2324" s="41"/>
      <c r="G2324" s="41"/>
      <c r="H2324" s="41"/>
      <c r="I2324" s="41"/>
      <c r="J2324" s="41"/>
      <c r="K2324" s="41"/>
      <c r="L2324" s="41"/>
      <c r="M2324" s="41"/>
      <c r="N2324" s="41"/>
      <c r="O2324" s="41"/>
      <c r="P2324" s="28"/>
    </row>
    <row r="2325" customFormat="1" spans="1:16">
      <c r="A2325" s="39"/>
      <c r="B2325" s="40"/>
      <c r="C2325" s="41"/>
      <c r="D2325" s="41"/>
      <c r="E2325" s="41"/>
      <c r="F2325" s="41"/>
      <c r="G2325" s="41"/>
      <c r="H2325" s="41"/>
      <c r="I2325" s="41"/>
      <c r="J2325" s="41"/>
      <c r="K2325" s="41"/>
      <c r="L2325" s="41"/>
      <c r="M2325" s="41"/>
      <c r="N2325" s="41"/>
      <c r="O2325" s="41"/>
      <c r="P2325" s="28"/>
    </row>
    <row r="2326" customFormat="1" spans="1:16">
      <c r="A2326" s="39"/>
      <c r="B2326" s="40"/>
      <c r="C2326" s="41"/>
      <c r="D2326" s="41"/>
      <c r="E2326" s="41"/>
      <c r="F2326" s="41"/>
      <c r="G2326" s="41"/>
      <c r="H2326" s="41"/>
      <c r="I2326" s="41"/>
      <c r="J2326" s="41"/>
      <c r="K2326" s="41"/>
      <c r="L2326" s="41"/>
      <c r="M2326" s="41"/>
      <c r="N2326" s="41"/>
      <c r="O2326" s="41"/>
      <c r="P2326" s="28"/>
    </row>
    <row r="2327" customFormat="1" spans="1:16">
      <c r="A2327" s="39"/>
      <c r="B2327" s="40"/>
      <c r="C2327" s="41"/>
      <c r="D2327" s="41"/>
      <c r="E2327" s="41"/>
      <c r="F2327" s="41"/>
      <c r="G2327" s="41"/>
      <c r="H2327" s="41"/>
      <c r="I2327" s="41"/>
      <c r="J2327" s="41"/>
      <c r="K2327" s="41"/>
      <c r="L2327" s="41"/>
      <c r="M2327" s="41"/>
      <c r="N2327" s="41"/>
      <c r="O2327" s="41"/>
      <c r="P2327" s="28"/>
    </row>
    <row r="2328" customFormat="1" spans="1:16">
      <c r="A2328" s="39"/>
      <c r="B2328" s="40"/>
      <c r="C2328" s="41"/>
      <c r="D2328" s="41"/>
      <c r="E2328" s="41"/>
      <c r="F2328" s="41"/>
      <c r="G2328" s="41"/>
      <c r="H2328" s="41"/>
      <c r="I2328" s="41"/>
      <c r="J2328" s="41"/>
      <c r="K2328" s="41"/>
      <c r="L2328" s="41"/>
      <c r="M2328" s="41"/>
      <c r="N2328" s="41"/>
      <c r="O2328" s="41"/>
      <c r="P2328" s="28"/>
    </row>
    <row r="2329" customFormat="1" spans="1:16">
      <c r="A2329" s="39"/>
      <c r="B2329" s="40"/>
      <c r="C2329" s="41"/>
      <c r="D2329" s="41"/>
      <c r="E2329" s="41"/>
      <c r="F2329" s="41"/>
      <c r="G2329" s="41"/>
      <c r="H2329" s="41"/>
      <c r="I2329" s="41"/>
      <c r="J2329" s="41"/>
      <c r="K2329" s="41"/>
      <c r="L2329" s="41"/>
      <c r="M2329" s="41"/>
      <c r="N2329" s="41"/>
      <c r="O2329" s="41"/>
      <c r="P2329" s="28"/>
    </row>
    <row r="2330" customFormat="1" spans="1:16">
      <c r="A2330" s="39"/>
      <c r="B2330" s="40"/>
      <c r="C2330" s="41"/>
      <c r="D2330" s="41"/>
      <c r="E2330" s="41"/>
      <c r="F2330" s="41"/>
      <c r="G2330" s="41"/>
      <c r="H2330" s="41"/>
      <c r="I2330" s="41"/>
      <c r="J2330" s="41"/>
      <c r="K2330" s="41"/>
      <c r="L2330" s="41"/>
      <c r="M2330" s="41"/>
      <c r="N2330" s="41"/>
      <c r="O2330" s="41"/>
      <c r="P2330" s="28"/>
    </row>
    <row r="2331" customFormat="1" spans="1:16">
      <c r="A2331" s="39"/>
      <c r="B2331" s="40"/>
      <c r="C2331" s="41"/>
      <c r="D2331" s="41"/>
      <c r="E2331" s="41"/>
      <c r="F2331" s="41"/>
      <c r="G2331" s="41"/>
      <c r="H2331" s="41"/>
      <c r="I2331" s="41"/>
      <c r="J2331" s="41"/>
      <c r="K2331" s="41"/>
      <c r="L2331" s="41"/>
      <c r="M2331" s="41"/>
      <c r="N2331" s="41"/>
      <c r="O2331" s="41"/>
      <c r="P2331" s="28"/>
    </row>
    <row r="2332" customFormat="1" spans="1:16">
      <c r="A2332" s="39"/>
      <c r="B2332" s="40"/>
      <c r="C2332" s="41"/>
      <c r="D2332" s="41"/>
      <c r="E2332" s="41"/>
      <c r="F2332" s="41"/>
      <c r="G2332" s="41"/>
      <c r="H2332" s="41"/>
      <c r="I2332" s="41"/>
      <c r="J2332" s="41"/>
      <c r="K2332" s="41"/>
      <c r="L2332" s="41"/>
      <c r="M2332" s="41"/>
      <c r="N2332" s="41"/>
      <c r="O2332" s="41"/>
      <c r="P2332" s="28"/>
    </row>
    <row r="2333" customFormat="1" spans="1:16">
      <c r="A2333" s="39"/>
      <c r="B2333" s="40"/>
      <c r="C2333" s="41"/>
      <c r="D2333" s="41"/>
      <c r="E2333" s="41"/>
      <c r="F2333" s="41"/>
      <c r="G2333" s="41"/>
      <c r="H2333" s="41"/>
      <c r="I2333" s="41"/>
      <c r="J2333" s="41"/>
      <c r="K2333" s="41"/>
      <c r="L2333" s="41"/>
      <c r="M2333" s="41"/>
      <c r="N2333" s="41"/>
      <c r="O2333" s="41"/>
      <c r="P2333" s="28"/>
    </row>
    <row r="2334" customFormat="1" spans="1:16">
      <c r="A2334" s="39"/>
      <c r="B2334" s="40"/>
      <c r="C2334" s="41"/>
      <c r="D2334" s="41"/>
      <c r="E2334" s="41"/>
      <c r="F2334" s="41"/>
      <c r="G2334" s="41"/>
      <c r="H2334" s="41"/>
      <c r="I2334" s="41"/>
      <c r="J2334" s="41"/>
      <c r="K2334" s="41"/>
      <c r="L2334" s="41"/>
      <c r="M2334" s="41"/>
      <c r="N2334" s="41"/>
      <c r="O2334" s="41"/>
      <c r="P2334" s="28"/>
    </row>
    <row r="2335" customFormat="1" spans="1:16">
      <c r="A2335" s="39"/>
      <c r="B2335" s="40"/>
      <c r="C2335" s="41"/>
      <c r="D2335" s="41"/>
      <c r="E2335" s="41"/>
      <c r="F2335" s="41"/>
      <c r="G2335" s="41"/>
      <c r="H2335" s="41"/>
      <c r="I2335" s="41"/>
      <c r="J2335" s="41"/>
      <c r="K2335" s="41"/>
      <c r="L2335" s="41"/>
      <c r="M2335" s="41"/>
      <c r="N2335" s="41"/>
      <c r="O2335" s="41"/>
      <c r="P2335" s="28"/>
    </row>
    <row r="2336" customFormat="1" spans="1:16">
      <c r="A2336" s="39"/>
      <c r="B2336" s="40"/>
      <c r="C2336" s="41"/>
      <c r="D2336" s="41"/>
      <c r="E2336" s="41"/>
      <c r="F2336" s="41"/>
      <c r="G2336" s="41"/>
      <c r="H2336" s="41"/>
      <c r="I2336" s="41"/>
      <c r="J2336" s="41"/>
      <c r="K2336" s="41"/>
      <c r="L2336" s="41"/>
      <c r="M2336" s="41"/>
      <c r="N2336" s="41"/>
      <c r="O2336" s="41"/>
      <c r="P2336" s="28"/>
    </row>
    <row r="2337" customFormat="1" spans="1:16">
      <c r="A2337" s="39"/>
      <c r="B2337" s="40"/>
      <c r="C2337" s="41"/>
      <c r="D2337" s="41"/>
      <c r="E2337" s="41"/>
      <c r="F2337" s="41"/>
      <c r="G2337" s="41"/>
      <c r="H2337" s="41"/>
      <c r="I2337" s="41"/>
      <c r="J2337" s="41"/>
      <c r="K2337" s="41"/>
      <c r="L2337" s="41"/>
      <c r="M2337" s="41"/>
      <c r="N2337" s="41"/>
      <c r="O2337" s="41"/>
      <c r="P2337" s="28"/>
    </row>
    <row r="2338" customFormat="1" spans="1:16">
      <c r="A2338" s="39"/>
      <c r="B2338" s="40"/>
      <c r="C2338" s="41"/>
      <c r="D2338" s="41"/>
      <c r="E2338" s="41"/>
      <c r="F2338" s="41"/>
      <c r="G2338" s="41"/>
      <c r="H2338" s="41"/>
      <c r="I2338" s="41"/>
      <c r="J2338" s="41"/>
      <c r="K2338" s="41"/>
      <c r="L2338" s="41"/>
      <c r="M2338" s="41"/>
      <c r="N2338" s="41"/>
      <c r="O2338" s="41"/>
      <c r="P2338" s="28"/>
    </row>
    <row r="2339" customFormat="1" spans="1:16">
      <c r="A2339" s="39"/>
      <c r="B2339" s="40"/>
      <c r="C2339" s="41"/>
      <c r="D2339" s="41"/>
      <c r="E2339" s="41"/>
      <c r="F2339" s="41"/>
      <c r="G2339" s="41"/>
      <c r="H2339" s="41"/>
      <c r="I2339" s="41"/>
      <c r="J2339" s="41"/>
      <c r="K2339" s="41"/>
      <c r="L2339" s="41"/>
      <c r="M2339" s="41"/>
      <c r="N2339" s="41"/>
      <c r="O2339" s="41"/>
      <c r="P2339" s="28"/>
    </row>
    <row r="2340" customFormat="1" spans="1:16">
      <c r="A2340" s="39"/>
      <c r="B2340" s="40"/>
      <c r="C2340" s="41"/>
      <c r="D2340" s="41"/>
      <c r="E2340" s="41"/>
      <c r="F2340" s="41"/>
      <c r="G2340" s="41"/>
      <c r="H2340" s="41"/>
      <c r="I2340" s="41"/>
      <c r="J2340" s="41"/>
      <c r="K2340" s="41"/>
      <c r="L2340" s="41"/>
      <c r="M2340" s="41"/>
      <c r="N2340" s="41"/>
      <c r="O2340" s="41"/>
      <c r="P2340" s="28"/>
    </row>
    <row r="2341" customFormat="1" spans="1:16">
      <c r="A2341" s="39"/>
      <c r="B2341" s="40"/>
      <c r="C2341" s="41"/>
      <c r="D2341" s="41"/>
      <c r="E2341" s="41"/>
      <c r="F2341" s="41"/>
      <c r="G2341" s="41"/>
      <c r="H2341" s="41"/>
      <c r="I2341" s="41"/>
      <c r="J2341" s="41"/>
      <c r="K2341" s="41"/>
      <c r="L2341" s="41"/>
      <c r="M2341" s="41"/>
      <c r="N2341" s="41"/>
      <c r="O2341" s="41"/>
      <c r="P2341" s="28"/>
    </row>
    <row r="2342" customFormat="1" spans="1:16">
      <c r="A2342" s="39"/>
      <c r="B2342" s="40"/>
      <c r="C2342" s="41"/>
      <c r="D2342" s="41"/>
      <c r="E2342" s="41"/>
      <c r="F2342" s="41"/>
      <c r="G2342" s="41"/>
      <c r="H2342" s="41"/>
      <c r="I2342" s="41"/>
      <c r="J2342" s="41"/>
      <c r="K2342" s="41"/>
      <c r="L2342" s="41"/>
      <c r="M2342" s="41"/>
      <c r="N2342" s="41"/>
      <c r="O2342" s="41"/>
      <c r="P2342" s="28"/>
    </row>
    <row r="2343" customFormat="1" spans="1:16">
      <c r="A2343" s="39"/>
      <c r="B2343" s="40"/>
      <c r="C2343" s="41"/>
      <c r="D2343" s="41"/>
      <c r="E2343" s="41"/>
      <c r="F2343" s="41"/>
      <c r="G2343" s="41"/>
      <c r="H2343" s="41"/>
      <c r="I2343" s="41"/>
      <c r="J2343" s="41"/>
      <c r="K2343" s="41"/>
      <c r="L2343" s="41"/>
      <c r="M2343" s="41"/>
      <c r="N2343" s="41"/>
      <c r="O2343" s="41"/>
      <c r="P2343" s="28"/>
    </row>
    <row r="2344" customFormat="1" spans="1:16">
      <c r="A2344" s="39"/>
      <c r="B2344" s="40"/>
      <c r="C2344" s="41"/>
      <c r="D2344" s="41"/>
      <c r="E2344" s="41"/>
      <c r="F2344" s="41"/>
      <c r="G2344" s="41"/>
      <c r="H2344" s="41"/>
      <c r="I2344" s="41"/>
      <c r="J2344" s="41"/>
      <c r="K2344" s="41"/>
      <c r="L2344" s="41"/>
      <c r="M2344" s="41"/>
      <c r="N2344" s="41"/>
      <c r="O2344" s="41"/>
      <c r="P2344" s="28"/>
    </row>
    <row r="2345" customFormat="1" spans="1:16">
      <c r="A2345" s="39"/>
      <c r="B2345" s="40"/>
      <c r="C2345" s="41"/>
      <c r="D2345" s="41"/>
      <c r="E2345" s="41"/>
      <c r="F2345" s="41"/>
      <c r="G2345" s="41"/>
      <c r="H2345" s="41"/>
      <c r="I2345" s="41"/>
      <c r="J2345" s="41"/>
      <c r="K2345" s="41"/>
      <c r="L2345" s="41"/>
      <c r="M2345" s="41"/>
      <c r="N2345" s="41"/>
      <c r="O2345" s="41"/>
      <c r="P2345" s="28"/>
    </row>
    <row r="2346" customFormat="1" spans="1:16">
      <c r="A2346" s="39"/>
      <c r="B2346" s="40"/>
      <c r="C2346" s="41"/>
      <c r="D2346" s="41"/>
      <c r="E2346" s="41"/>
      <c r="F2346" s="41"/>
      <c r="G2346" s="41"/>
      <c r="H2346" s="41"/>
      <c r="I2346" s="41"/>
      <c r="J2346" s="41"/>
      <c r="K2346" s="41"/>
      <c r="L2346" s="41"/>
      <c r="M2346" s="41"/>
      <c r="N2346" s="41"/>
      <c r="O2346" s="41"/>
      <c r="P2346" s="28"/>
    </row>
    <row r="2347" customFormat="1" spans="1:16">
      <c r="A2347" s="39"/>
      <c r="B2347" s="40"/>
      <c r="C2347" s="41"/>
      <c r="D2347" s="41"/>
      <c r="E2347" s="41"/>
      <c r="F2347" s="41"/>
      <c r="G2347" s="41"/>
      <c r="H2347" s="41"/>
      <c r="I2347" s="41"/>
      <c r="J2347" s="41"/>
      <c r="K2347" s="41"/>
      <c r="L2347" s="41"/>
      <c r="M2347" s="41"/>
      <c r="N2347" s="41"/>
      <c r="O2347" s="41"/>
      <c r="P2347" s="28"/>
    </row>
    <row r="2348" customFormat="1" spans="1:16">
      <c r="A2348" s="39"/>
      <c r="B2348" s="40"/>
      <c r="C2348" s="41"/>
      <c r="D2348" s="41"/>
      <c r="E2348" s="41"/>
      <c r="F2348" s="41"/>
      <c r="G2348" s="41"/>
      <c r="H2348" s="41"/>
      <c r="I2348" s="41"/>
      <c r="J2348" s="41"/>
      <c r="K2348" s="41"/>
      <c r="L2348" s="41"/>
      <c r="M2348" s="41"/>
      <c r="N2348" s="41"/>
      <c r="O2348" s="41"/>
      <c r="P2348" s="28"/>
    </row>
    <row r="2349" customFormat="1" spans="1:16">
      <c r="A2349" s="39"/>
      <c r="B2349" s="40"/>
      <c r="C2349" s="41"/>
      <c r="D2349" s="41"/>
      <c r="E2349" s="41"/>
      <c r="F2349" s="41"/>
      <c r="G2349" s="41"/>
      <c r="H2349" s="41"/>
      <c r="I2349" s="41"/>
      <c r="J2349" s="41"/>
      <c r="K2349" s="41"/>
      <c r="L2349" s="41"/>
      <c r="M2349" s="41"/>
      <c r="N2349" s="41"/>
      <c r="O2349" s="41"/>
      <c r="P2349" s="28"/>
    </row>
    <row r="2350" customFormat="1" spans="1:16">
      <c r="A2350" s="39"/>
      <c r="B2350" s="40"/>
      <c r="C2350" s="41"/>
      <c r="D2350" s="41"/>
      <c r="E2350" s="41"/>
      <c r="F2350" s="41"/>
      <c r="G2350" s="41"/>
      <c r="H2350" s="41"/>
      <c r="I2350" s="41"/>
      <c r="J2350" s="41"/>
      <c r="K2350" s="41"/>
      <c r="L2350" s="41"/>
      <c r="M2350" s="41"/>
      <c r="N2350" s="41"/>
      <c r="O2350" s="41"/>
      <c r="P2350" s="28"/>
    </row>
    <row r="2351" customFormat="1" spans="1:16">
      <c r="A2351" s="39"/>
      <c r="B2351" s="40"/>
      <c r="C2351" s="41"/>
      <c r="D2351" s="41"/>
      <c r="E2351" s="41"/>
      <c r="F2351" s="41"/>
      <c r="G2351" s="41"/>
      <c r="H2351" s="41"/>
      <c r="I2351" s="41"/>
      <c r="J2351" s="41"/>
      <c r="K2351" s="41"/>
      <c r="L2351" s="41"/>
      <c r="M2351" s="41"/>
      <c r="N2351" s="41"/>
      <c r="O2351" s="41"/>
      <c r="P2351" s="28"/>
    </row>
    <row r="2352" customFormat="1" spans="1:16">
      <c r="A2352" s="39"/>
      <c r="B2352" s="40"/>
      <c r="C2352" s="41"/>
      <c r="D2352" s="41"/>
      <c r="E2352" s="41"/>
      <c r="F2352" s="41"/>
      <c r="G2352" s="41"/>
      <c r="H2352" s="41"/>
      <c r="I2352" s="41"/>
      <c r="J2352" s="41"/>
      <c r="K2352" s="41"/>
      <c r="L2352" s="41"/>
      <c r="M2352" s="41"/>
      <c r="N2352" s="41"/>
      <c r="O2352" s="41"/>
      <c r="P2352" s="28"/>
    </row>
    <row r="2353" customFormat="1" spans="1:16">
      <c r="A2353" s="39"/>
      <c r="B2353" s="40"/>
      <c r="C2353" s="41"/>
      <c r="D2353" s="41"/>
      <c r="E2353" s="41"/>
      <c r="F2353" s="41"/>
      <c r="G2353" s="41"/>
      <c r="H2353" s="41"/>
      <c r="I2353" s="41"/>
      <c r="J2353" s="41"/>
      <c r="K2353" s="41"/>
      <c r="L2353" s="41"/>
      <c r="M2353" s="41"/>
      <c r="N2353" s="41"/>
      <c r="O2353" s="41"/>
      <c r="P2353" s="28"/>
    </row>
    <row r="2354" customFormat="1" spans="1:16">
      <c r="A2354" s="39"/>
      <c r="B2354" s="40"/>
      <c r="C2354" s="41"/>
      <c r="D2354" s="41"/>
      <c r="E2354" s="41"/>
      <c r="F2354" s="41"/>
      <c r="G2354" s="41"/>
      <c r="H2354" s="41"/>
      <c r="I2354" s="41"/>
      <c r="J2354" s="41"/>
      <c r="K2354" s="41"/>
      <c r="L2354" s="41"/>
      <c r="M2354" s="41"/>
      <c r="N2354" s="41"/>
      <c r="O2354" s="41"/>
      <c r="P2354" s="28"/>
    </row>
    <row r="2355" customFormat="1" spans="1:16">
      <c r="A2355" s="39"/>
      <c r="B2355" s="40"/>
      <c r="C2355" s="41"/>
      <c r="D2355" s="41"/>
      <c r="E2355" s="41"/>
      <c r="F2355" s="41"/>
      <c r="G2355" s="41"/>
      <c r="H2355" s="41"/>
      <c r="I2355" s="41"/>
      <c r="J2355" s="41"/>
      <c r="K2355" s="41"/>
      <c r="L2355" s="41"/>
      <c r="M2355" s="41"/>
      <c r="N2355" s="41"/>
      <c r="O2355" s="41"/>
      <c r="P2355" s="28"/>
    </row>
    <row r="2356" customFormat="1" spans="1:16">
      <c r="A2356" s="39"/>
      <c r="B2356" s="40"/>
      <c r="C2356" s="41"/>
      <c r="D2356" s="41"/>
      <c r="E2356" s="41"/>
      <c r="F2356" s="41"/>
      <c r="G2356" s="41"/>
      <c r="H2356" s="41"/>
      <c r="I2356" s="41"/>
      <c r="J2356" s="41"/>
      <c r="K2356" s="41"/>
      <c r="L2356" s="41"/>
      <c r="M2356" s="41"/>
      <c r="N2356" s="41"/>
      <c r="O2356" s="41"/>
      <c r="P2356" s="28"/>
    </row>
    <row r="2357" customFormat="1" spans="1:16">
      <c r="A2357" s="39"/>
      <c r="B2357" s="40"/>
      <c r="C2357" s="41"/>
      <c r="D2357" s="41"/>
      <c r="E2357" s="41"/>
      <c r="F2357" s="41"/>
      <c r="G2357" s="41"/>
      <c r="H2357" s="41"/>
      <c r="I2357" s="41"/>
      <c r="J2357" s="41"/>
      <c r="K2357" s="41"/>
      <c r="L2357" s="41"/>
      <c r="M2357" s="41"/>
      <c r="N2357" s="41"/>
      <c r="O2357" s="41"/>
      <c r="P2357" s="28"/>
    </row>
    <row r="2358" customFormat="1" spans="1:16">
      <c r="A2358" s="39"/>
      <c r="B2358" s="40"/>
      <c r="C2358" s="41"/>
      <c r="D2358" s="41"/>
      <c r="E2358" s="41"/>
      <c r="F2358" s="41"/>
      <c r="G2358" s="41"/>
      <c r="H2358" s="41"/>
      <c r="I2358" s="41"/>
      <c r="J2358" s="41"/>
      <c r="K2358" s="41"/>
      <c r="L2358" s="41"/>
      <c r="M2358" s="41"/>
      <c r="N2358" s="41"/>
      <c r="O2358" s="41"/>
      <c r="P2358" s="28"/>
    </row>
    <row r="2359" customFormat="1" spans="1:16">
      <c r="A2359" s="39"/>
      <c r="B2359" s="40"/>
      <c r="C2359" s="41"/>
      <c r="D2359" s="41"/>
      <c r="E2359" s="41"/>
      <c r="F2359" s="41"/>
      <c r="G2359" s="41"/>
      <c r="H2359" s="41"/>
      <c r="I2359" s="41"/>
      <c r="J2359" s="41"/>
      <c r="K2359" s="41"/>
      <c r="L2359" s="41"/>
      <c r="M2359" s="41"/>
      <c r="N2359" s="41"/>
      <c r="O2359" s="41"/>
      <c r="P2359" s="28"/>
    </row>
    <row r="2360" customFormat="1" spans="1:16">
      <c r="A2360" s="39"/>
      <c r="B2360" s="40"/>
      <c r="C2360" s="41"/>
      <c r="D2360" s="41"/>
      <c r="E2360" s="41"/>
      <c r="F2360" s="41"/>
      <c r="G2360" s="41"/>
      <c r="H2360" s="41"/>
      <c r="I2360" s="41"/>
      <c r="J2360" s="41"/>
      <c r="K2360" s="41"/>
      <c r="L2360" s="41"/>
      <c r="M2360" s="41"/>
      <c r="N2360" s="41"/>
      <c r="O2360" s="41"/>
      <c r="P2360" s="28"/>
    </row>
    <row r="2361" customFormat="1" spans="1:16">
      <c r="A2361" s="39"/>
      <c r="B2361" s="40"/>
      <c r="C2361" s="41"/>
      <c r="D2361" s="41"/>
      <c r="E2361" s="41"/>
      <c r="F2361" s="41"/>
      <c r="G2361" s="41"/>
      <c r="H2361" s="41"/>
      <c r="I2361" s="41"/>
      <c r="J2361" s="41"/>
      <c r="K2361" s="41"/>
      <c r="L2361" s="41"/>
      <c r="M2361" s="41"/>
      <c r="N2361" s="41"/>
      <c r="O2361" s="41"/>
      <c r="P2361" s="28"/>
    </row>
    <row r="2362" customFormat="1" spans="1:16">
      <c r="A2362" s="39"/>
      <c r="B2362" s="40"/>
      <c r="C2362" s="41"/>
      <c r="D2362" s="41"/>
      <c r="E2362" s="41"/>
      <c r="F2362" s="41"/>
      <c r="G2362" s="41"/>
      <c r="H2362" s="41"/>
      <c r="I2362" s="41"/>
      <c r="J2362" s="41"/>
      <c r="K2362" s="41"/>
      <c r="L2362" s="41"/>
      <c r="M2362" s="41"/>
      <c r="N2362" s="41"/>
      <c r="O2362" s="41"/>
      <c r="P2362" s="28"/>
    </row>
    <row r="2363" customFormat="1" spans="1:16">
      <c r="A2363" s="39"/>
      <c r="B2363" s="40"/>
      <c r="C2363" s="41"/>
      <c r="D2363" s="41"/>
      <c r="E2363" s="41"/>
      <c r="F2363" s="41"/>
      <c r="G2363" s="41"/>
      <c r="H2363" s="41"/>
      <c r="I2363" s="41"/>
      <c r="J2363" s="41"/>
      <c r="K2363" s="41"/>
      <c r="L2363" s="41"/>
      <c r="M2363" s="41"/>
      <c r="N2363" s="41"/>
      <c r="O2363" s="41"/>
      <c r="P2363" s="28"/>
    </row>
    <row r="2364" customFormat="1" spans="1:16">
      <c r="A2364" s="39"/>
      <c r="B2364" s="40"/>
      <c r="C2364" s="41"/>
      <c r="D2364" s="41"/>
      <c r="E2364" s="41"/>
      <c r="F2364" s="41"/>
      <c r="G2364" s="41"/>
      <c r="H2364" s="41"/>
      <c r="I2364" s="41"/>
      <c r="J2364" s="41"/>
      <c r="K2364" s="41"/>
      <c r="L2364" s="41"/>
      <c r="M2364" s="41"/>
      <c r="N2364" s="41"/>
      <c r="O2364" s="41"/>
      <c r="P2364" s="28"/>
    </row>
    <row r="2365" customFormat="1" spans="1:16">
      <c r="A2365" s="39"/>
      <c r="B2365" s="40"/>
      <c r="C2365" s="41"/>
      <c r="D2365" s="41"/>
      <c r="E2365" s="41"/>
      <c r="F2365" s="41"/>
      <c r="G2365" s="41"/>
      <c r="H2365" s="41"/>
      <c r="I2365" s="41"/>
      <c r="J2365" s="41"/>
      <c r="K2365" s="41"/>
      <c r="L2365" s="41"/>
      <c r="M2365" s="41"/>
      <c r="N2365" s="41"/>
      <c r="O2365" s="41"/>
      <c r="P2365" s="28"/>
    </row>
    <row r="2366" customFormat="1" spans="1:16">
      <c r="A2366" s="39"/>
      <c r="B2366" s="40"/>
      <c r="C2366" s="41"/>
      <c r="D2366" s="41"/>
      <c r="E2366" s="41"/>
      <c r="F2366" s="41"/>
      <c r="G2366" s="41"/>
      <c r="H2366" s="41"/>
      <c r="I2366" s="41"/>
      <c r="J2366" s="41"/>
      <c r="K2366" s="41"/>
      <c r="L2366" s="41"/>
      <c r="M2366" s="41"/>
      <c r="N2366" s="41"/>
      <c r="O2366" s="41"/>
      <c r="P2366" s="28"/>
    </row>
    <row r="2367" customFormat="1" spans="1:16">
      <c r="A2367" s="39"/>
      <c r="B2367" s="40"/>
      <c r="C2367" s="41"/>
      <c r="D2367" s="41"/>
      <c r="E2367" s="41"/>
      <c r="F2367" s="41"/>
      <c r="G2367" s="41"/>
      <c r="H2367" s="41"/>
      <c r="I2367" s="41"/>
      <c r="J2367" s="41"/>
      <c r="K2367" s="41"/>
      <c r="L2367" s="41"/>
      <c r="M2367" s="41"/>
      <c r="N2367" s="41"/>
      <c r="O2367" s="41"/>
      <c r="P2367" s="28"/>
    </row>
    <row r="2368" customFormat="1" spans="1:16">
      <c r="A2368" s="39"/>
      <c r="B2368" s="40"/>
      <c r="C2368" s="41"/>
      <c r="D2368" s="41"/>
      <c r="E2368" s="41"/>
      <c r="F2368" s="41"/>
      <c r="G2368" s="41"/>
      <c r="H2368" s="41"/>
      <c r="I2368" s="41"/>
      <c r="J2368" s="41"/>
      <c r="K2368" s="41"/>
      <c r="L2368" s="41"/>
      <c r="M2368" s="41"/>
      <c r="N2368" s="41"/>
      <c r="O2368" s="41"/>
      <c r="P2368" s="28"/>
    </row>
    <row r="2369" customFormat="1" spans="1:16">
      <c r="A2369" s="39"/>
      <c r="B2369" s="40"/>
      <c r="C2369" s="41"/>
      <c r="D2369" s="41"/>
      <c r="E2369" s="41"/>
      <c r="F2369" s="41"/>
      <c r="G2369" s="41"/>
      <c r="H2369" s="41"/>
      <c r="I2369" s="41"/>
      <c r="J2369" s="41"/>
      <c r="K2369" s="41"/>
      <c r="L2369" s="41"/>
      <c r="M2369" s="41"/>
      <c r="N2369" s="41"/>
      <c r="O2369" s="41"/>
      <c r="P2369" s="28"/>
    </row>
    <row r="2370" customFormat="1" spans="1:16">
      <c r="A2370" s="39"/>
      <c r="B2370" s="40"/>
      <c r="C2370" s="41"/>
      <c r="D2370" s="41"/>
      <c r="E2370" s="41"/>
      <c r="F2370" s="41"/>
      <c r="G2370" s="41"/>
      <c r="H2370" s="41"/>
      <c r="I2370" s="41"/>
      <c r="J2370" s="41"/>
      <c r="K2370" s="41"/>
      <c r="L2370" s="41"/>
      <c r="M2370" s="41"/>
      <c r="N2370" s="41"/>
      <c r="O2370" s="41"/>
      <c r="P2370" s="28"/>
    </row>
    <row r="2371" customFormat="1" spans="1:16">
      <c r="A2371" s="39"/>
      <c r="B2371" s="40"/>
      <c r="C2371" s="41"/>
      <c r="D2371" s="41"/>
      <c r="E2371" s="41"/>
      <c r="F2371" s="41"/>
      <c r="G2371" s="41"/>
      <c r="H2371" s="41"/>
      <c r="I2371" s="41"/>
      <c r="J2371" s="41"/>
      <c r="K2371" s="41"/>
      <c r="L2371" s="41"/>
      <c r="M2371" s="41"/>
      <c r="N2371" s="41"/>
      <c r="O2371" s="41"/>
      <c r="P2371" s="28"/>
    </row>
    <row r="2372" customFormat="1" spans="1:16">
      <c r="A2372" s="39"/>
      <c r="B2372" s="40"/>
      <c r="C2372" s="41"/>
      <c r="D2372" s="41"/>
      <c r="E2372" s="41"/>
      <c r="F2372" s="41"/>
      <c r="G2372" s="41"/>
      <c r="H2372" s="41"/>
      <c r="I2372" s="41"/>
      <c r="J2372" s="41"/>
      <c r="K2372" s="41"/>
      <c r="L2372" s="41"/>
      <c r="M2372" s="41"/>
      <c r="N2372" s="41"/>
      <c r="O2372" s="41"/>
      <c r="P2372" s="28"/>
    </row>
    <row r="2373" customFormat="1" spans="1:16">
      <c r="A2373" s="39"/>
      <c r="B2373" s="40"/>
      <c r="C2373" s="41"/>
      <c r="D2373" s="41"/>
      <c r="E2373" s="41"/>
      <c r="F2373" s="41"/>
      <c r="G2373" s="41"/>
      <c r="H2373" s="41"/>
      <c r="I2373" s="41"/>
      <c r="J2373" s="41"/>
      <c r="K2373" s="41"/>
      <c r="L2373" s="41"/>
      <c r="M2373" s="41"/>
      <c r="N2373" s="41"/>
      <c r="O2373" s="41"/>
      <c r="P2373" s="28"/>
    </row>
    <row r="2374" customFormat="1" spans="1:16">
      <c r="A2374" s="39"/>
      <c r="B2374" s="40"/>
      <c r="C2374" s="41"/>
      <c r="D2374" s="41"/>
      <c r="E2374" s="41"/>
      <c r="F2374" s="41"/>
      <c r="G2374" s="41"/>
      <c r="H2374" s="41"/>
      <c r="I2374" s="41"/>
      <c r="J2374" s="41"/>
      <c r="K2374" s="41"/>
      <c r="L2374" s="41"/>
      <c r="M2374" s="41"/>
      <c r="N2374" s="41"/>
      <c r="O2374" s="41"/>
      <c r="P2374" s="28"/>
    </row>
    <row r="2375" customFormat="1" spans="1:16">
      <c r="A2375" s="39"/>
      <c r="B2375" s="40"/>
      <c r="C2375" s="41"/>
      <c r="D2375" s="41"/>
      <c r="E2375" s="41"/>
      <c r="F2375" s="41"/>
      <c r="G2375" s="41"/>
      <c r="H2375" s="41"/>
      <c r="I2375" s="41"/>
      <c r="J2375" s="41"/>
      <c r="K2375" s="41"/>
      <c r="L2375" s="41"/>
      <c r="M2375" s="41"/>
      <c r="N2375" s="41"/>
      <c r="O2375" s="41"/>
      <c r="P2375" s="28"/>
    </row>
    <row r="2376" customFormat="1" spans="1:16">
      <c r="A2376" s="39"/>
      <c r="B2376" s="40"/>
      <c r="C2376" s="41"/>
      <c r="D2376" s="41"/>
      <c r="E2376" s="41"/>
      <c r="F2376" s="41"/>
      <c r="G2376" s="41"/>
      <c r="H2376" s="41"/>
      <c r="I2376" s="41"/>
      <c r="J2376" s="41"/>
      <c r="K2376" s="41"/>
      <c r="L2376" s="41"/>
      <c r="M2376" s="41"/>
      <c r="N2376" s="41"/>
      <c r="O2376" s="41"/>
      <c r="P2376" s="28"/>
    </row>
    <row r="2377" customFormat="1" spans="1:16">
      <c r="A2377" s="39"/>
      <c r="B2377" s="40"/>
      <c r="C2377" s="41"/>
      <c r="D2377" s="41"/>
      <c r="E2377" s="41"/>
      <c r="F2377" s="41"/>
      <c r="G2377" s="41"/>
      <c r="H2377" s="41"/>
      <c r="I2377" s="41"/>
      <c r="J2377" s="41"/>
      <c r="K2377" s="41"/>
      <c r="L2377" s="41"/>
      <c r="M2377" s="41"/>
      <c r="N2377" s="41"/>
      <c r="O2377" s="41"/>
      <c r="P2377" s="28"/>
    </row>
    <row r="2378" customFormat="1" spans="1:16">
      <c r="A2378" s="39"/>
      <c r="B2378" s="40"/>
      <c r="C2378" s="41"/>
      <c r="D2378" s="41"/>
      <c r="E2378" s="41"/>
      <c r="F2378" s="41"/>
      <c r="G2378" s="41"/>
      <c r="H2378" s="41"/>
      <c r="I2378" s="41"/>
      <c r="J2378" s="41"/>
      <c r="K2378" s="41"/>
      <c r="L2378" s="41"/>
      <c r="M2378" s="41"/>
      <c r="N2378" s="41"/>
      <c r="O2378" s="41"/>
      <c r="P2378" s="28"/>
    </row>
    <row r="2379" customFormat="1" spans="1:16">
      <c r="A2379" s="39"/>
      <c r="B2379" s="40"/>
      <c r="C2379" s="41"/>
      <c r="D2379" s="41"/>
      <c r="E2379" s="41"/>
      <c r="F2379" s="41"/>
      <c r="G2379" s="41"/>
      <c r="H2379" s="41"/>
      <c r="I2379" s="41"/>
      <c r="J2379" s="41"/>
      <c r="K2379" s="41"/>
      <c r="L2379" s="41"/>
      <c r="M2379" s="41"/>
      <c r="N2379" s="41"/>
      <c r="O2379" s="41"/>
      <c r="P2379" s="28"/>
    </row>
    <row r="2380" customFormat="1" spans="1:16">
      <c r="A2380" s="39"/>
      <c r="B2380" s="40"/>
      <c r="C2380" s="41"/>
      <c r="D2380" s="41"/>
      <c r="E2380" s="41"/>
      <c r="F2380" s="41"/>
      <c r="G2380" s="41"/>
      <c r="H2380" s="41"/>
      <c r="I2380" s="41"/>
      <c r="J2380" s="41"/>
      <c r="K2380" s="41"/>
      <c r="L2380" s="41"/>
      <c r="M2380" s="41"/>
      <c r="N2380" s="41"/>
      <c r="O2380" s="41"/>
      <c r="P2380" s="28"/>
    </row>
    <row r="2381" customFormat="1" spans="1:16">
      <c r="A2381" s="39"/>
      <c r="B2381" s="40"/>
      <c r="C2381" s="41"/>
      <c r="D2381" s="41"/>
      <c r="E2381" s="41"/>
      <c r="F2381" s="41"/>
      <c r="G2381" s="41"/>
      <c r="H2381" s="41"/>
      <c r="I2381" s="41"/>
      <c r="J2381" s="41"/>
      <c r="K2381" s="41"/>
      <c r="L2381" s="41"/>
      <c r="M2381" s="41"/>
      <c r="N2381" s="41"/>
      <c r="O2381" s="41"/>
      <c r="P2381" s="28"/>
    </row>
    <row r="2382" customFormat="1" spans="1:16">
      <c r="A2382" s="39"/>
      <c r="B2382" s="40"/>
      <c r="C2382" s="41"/>
      <c r="D2382" s="41"/>
      <c r="E2382" s="41"/>
      <c r="F2382" s="41"/>
      <c r="G2382" s="41"/>
      <c r="H2382" s="41"/>
      <c r="I2382" s="41"/>
      <c r="J2382" s="41"/>
      <c r="K2382" s="41"/>
      <c r="L2382" s="41"/>
      <c r="M2382" s="41"/>
      <c r="N2382" s="41"/>
      <c r="O2382" s="41"/>
      <c r="P2382" s="28"/>
    </row>
    <row r="2383" customFormat="1" spans="1:16">
      <c r="A2383" s="39"/>
      <c r="B2383" s="40"/>
      <c r="C2383" s="41"/>
      <c r="D2383" s="41"/>
      <c r="E2383" s="41"/>
      <c r="F2383" s="41"/>
      <c r="G2383" s="41"/>
      <c r="H2383" s="41"/>
      <c r="I2383" s="41"/>
      <c r="J2383" s="41"/>
      <c r="K2383" s="41"/>
      <c r="L2383" s="41"/>
      <c r="M2383" s="41"/>
      <c r="N2383" s="41"/>
      <c r="O2383" s="41"/>
      <c r="P2383" s="28"/>
    </row>
    <row r="2384" customFormat="1" spans="1:16">
      <c r="A2384" s="39"/>
      <c r="B2384" s="40"/>
      <c r="C2384" s="41"/>
      <c r="D2384" s="41"/>
      <c r="E2384" s="41"/>
      <c r="F2384" s="41"/>
      <c r="G2384" s="41"/>
      <c r="H2384" s="41"/>
      <c r="I2384" s="41"/>
      <c r="J2384" s="41"/>
      <c r="K2384" s="41"/>
      <c r="L2384" s="41"/>
      <c r="M2384" s="41"/>
      <c r="N2384" s="41"/>
      <c r="O2384" s="41"/>
      <c r="P2384" s="28"/>
    </row>
    <row r="2385" customFormat="1" spans="1:16">
      <c r="A2385" s="39"/>
      <c r="B2385" s="40"/>
      <c r="C2385" s="41"/>
      <c r="D2385" s="41"/>
      <c r="E2385" s="41"/>
      <c r="F2385" s="41"/>
      <c r="G2385" s="41"/>
      <c r="H2385" s="41"/>
      <c r="I2385" s="41"/>
      <c r="J2385" s="41"/>
      <c r="K2385" s="41"/>
      <c r="L2385" s="41"/>
      <c r="M2385" s="41"/>
      <c r="N2385" s="41"/>
      <c r="O2385" s="41"/>
      <c r="P2385" s="28"/>
    </row>
    <row r="2386" customFormat="1" spans="1:16">
      <c r="A2386" s="39"/>
      <c r="B2386" s="40"/>
      <c r="C2386" s="41"/>
      <c r="D2386" s="41"/>
      <c r="E2386" s="41"/>
      <c r="F2386" s="41"/>
      <c r="G2386" s="41"/>
      <c r="H2386" s="41"/>
      <c r="I2386" s="41"/>
      <c r="J2386" s="41"/>
      <c r="K2386" s="41"/>
      <c r="L2386" s="41"/>
      <c r="M2386" s="41"/>
      <c r="N2386" s="41"/>
      <c r="O2386" s="41"/>
      <c r="P2386" s="28"/>
    </row>
    <row r="2387" customFormat="1" spans="1:16">
      <c r="A2387" s="39"/>
      <c r="B2387" s="40"/>
      <c r="C2387" s="41"/>
      <c r="D2387" s="41"/>
      <c r="E2387" s="41"/>
      <c r="F2387" s="41"/>
      <c r="G2387" s="41"/>
      <c r="H2387" s="41"/>
      <c r="I2387" s="41"/>
      <c r="J2387" s="41"/>
      <c r="K2387" s="41"/>
      <c r="L2387" s="41"/>
      <c r="M2387" s="41"/>
      <c r="N2387" s="41"/>
      <c r="O2387" s="41"/>
      <c r="P2387" s="28"/>
    </row>
    <row r="2388" customFormat="1" spans="1:16">
      <c r="A2388" s="39"/>
      <c r="B2388" s="40"/>
      <c r="C2388" s="41"/>
      <c r="D2388" s="41"/>
      <c r="E2388" s="41"/>
      <c r="F2388" s="41"/>
      <c r="G2388" s="41"/>
      <c r="H2388" s="41"/>
      <c r="I2388" s="41"/>
      <c r="J2388" s="41"/>
      <c r="K2388" s="41"/>
      <c r="L2388" s="41"/>
      <c r="M2388" s="41"/>
      <c r="N2388" s="41"/>
      <c r="O2388" s="41"/>
      <c r="P2388" s="28"/>
    </row>
    <row r="2389" customFormat="1" spans="1:16">
      <c r="A2389" s="39"/>
      <c r="B2389" s="40"/>
      <c r="C2389" s="41"/>
      <c r="D2389" s="41"/>
      <c r="E2389" s="41"/>
      <c r="F2389" s="41"/>
      <c r="G2389" s="41"/>
      <c r="H2389" s="41"/>
      <c r="I2389" s="41"/>
      <c r="J2389" s="41"/>
      <c r="K2389" s="41"/>
      <c r="L2389" s="41"/>
      <c r="M2389" s="41"/>
      <c r="N2389" s="41"/>
      <c r="O2389" s="41"/>
      <c r="P2389" s="28"/>
    </row>
    <row r="2390" customFormat="1" spans="1:16">
      <c r="A2390" s="39"/>
      <c r="B2390" s="40"/>
      <c r="C2390" s="41"/>
      <c r="D2390" s="41"/>
      <c r="E2390" s="41"/>
      <c r="F2390" s="41"/>
      <c r="G2390" s="41"/>
      <c r="H2390" s="41"/>
      <c r="I2390" s="41"/>
      <c r="J2390" s="41"/>
      <c r="K2390" s="41"/>
      <c r="L2390" s="41"/>
      <c r="M2390" s="41"/>
      <c r="N2390" s="41"/>
      <c r="O2390" s="41"/>
      <c r="P2390" s="28"/>
    </row>
    <row r="2391" customFormat="1" spans="1:16">
      <c r="A2391" s="39"/>
      <c r="B2391" s="40"/>
      <c r="C2391" s="41"/>
      <c r="D2391" s="41"/>
      <c r="E2391" s="41"/>
      <c r="F2391" s="41"/>
      <c r="G2391" s="41"/>
      <c r="H2391" s="41"/>
      <c r="I2391" s="41"/>
      <c r="J2391" s="41"/>
      <c r="K2391" s="41"/>
      <c r="L2391" s="41"/>
      <c r="M2391" s="41"/>
      <c r="N2391" s="41"/>
      <c r="O2391" s="41"/>
      <c r="P2391" s="28"/>
    </row>
    <row r="2392" customFormat="1" spans="1:16">
      <c r="A2392" s="39"/>
      <c r="B2392" s="40"/>
      <c r="C2392" s="41"/>
      <c r="D2392" s="41"/>
      <c r="E2392" s="41"/>
      <c r="F2392" s="41"/>
      <c r="G2392" s="41"/>
      <c r="H2392" s="41"/>
      <c r="I2392" s="41"/>
      <c r="J2392" s="41"/>
      <c r="K2392" s="41"/>
      <c r="L2392" s="41"/>
      <c r="M2392" s="41"/>
      <c r="N2392" s="41"/>
      <c r="O2392" s="41"/>
      <c r="P2392" s="28"/>
    </row>
    <row r="2393" customFormat="1" spans="1:16">
      <c r="A2393" s="39"/>
      <c r="B2393" s="40"/>
      <c r="C2393" s="41"/>
      <c r="D2393" s="41"/>
      <c r="E2393" s="41"/>
      <c r="F2393" s="41"/>
      <c r="G2393" s="41"/>
      <c r="H2393" s="41"/>
      <c r="I2393" s="41"/>
      <c r="J2393" s="41"/>
      <c r="K2393" s="41"/>
      <c r="L2393" s="41"/>
      <c r="M2393" s="41"/>
      <c r="N2393" s="41"/>
      <c r="O2393" s="41"/>
      <c r="P2393" s="28"/>
    </row>
    <row r="2394" customFormat="1" spans="1:16">
      <c r="A2394" s="39"/>
      <c r="B2394" s="40"/>
      <c r="C2394" s="41"/>
      <c r="D2394" s="41"/>
      <c r="E2394" s="41"/>
      <c r="F2394" s="41"/>
      <c r="G2394" s="41"/>
      <c r="H2394" s="41"/>
      <c r="I2394" s="41"/>
      <c r="J2394" s="41"/>
      <c r="K2394" s="41"/>
      <c r="L2394" s="41"/>
      <c r="M2394" s="41"/>
      <c r="N2394" s="41"/>
      <c r="O2394" s="41"/>
      <c r="P2394" s="28"/>
    </row>
    <row r="2395" customFormat="1" spans="1:16">
      <c r="A2395" s="39"/>
      <c r="B2395" s="40"/>
      <c r="C2395" s="41"/>
      <c r="D2395" s="41"/>
      <c r="E2395" s="41"/>
      <c r="F2395" s="41"/>
      <c r="G2395" s="41"/>
      <c r="H2395" s="41"/>
      <c r="I2395" s="41"/>
      <c r="J2395" s="41"/>
      <c r="K2395" s="41"/>
      <c r="L2395" s="41"/>
      <c r="M2395" s="41"/>
      <c r="N2395" s="41"/>
      <c r="O2395" s="41"/>
      <c r="P2395" s="28"/>
    </row>
    <row r="2396" customFormat="1" spans="1:16">
      <c r="A2396" s="39"/>
      <c r="B2396" s="40"/>
      <c r="C2396" s="41"/>
      <c r="D2396" s="41"/>
      <c r="E2396" s="41"/>
      <c r="F2396" s="41"/>
      <c r="G2396" s="41"/>
      <c r="H2396" s="41"/>
      <c r="I2396" s="41"/>
      <c r="J2396" s="41"/>
      <c r="K2396" s="41"/>
      <c r="L2396" s="41"/>
      <c r="M2396" s="41"/>
      <c r="N2396" s="41"/>
      <c r="O2396" s="41"/>
      <c r="P2396" s="28"/>
    </row>
    <row r="2397" customFormat="1" spans="1:16">
      <c r="A2397" s="39"/>
      <c r="B2397" s="40"/>
      <c r="C2397" s="41"/>
      <c r="D2397" s="41"/>
      <c r="E2397" s="41"/>
      <c r="F2397" s="41"/>
      <c r="G2397" s="41"/>
      <c r="H2397" s="41"/>
      <c r="I2397" s="41"/>
      <c r="J2397" s="41"/>
      <c r="K2397" s="41"/>
      <c r="L2397" s="41"/>
      <c r="M2397" s="41"/>
      <c r="N2397" s="41"/>
      <c r="O2397" s="41"/>
      <c r="P2397" s="28"/>
    </row>
    <row r="2398" customFormat="1" spans="1:16">
      <c r="A2398" s="39"/>
      <c r="B2398" s="40"/>
      <c r="C2398" s="41"/>
      <c r="D2398" s="41"/>
      <c r="E2398" s="41"/>
      <c r="F2398" s="41"/>
      <c r="G2398" s="41"/>
      <c r="H2398" s="41"/>
      <c r="I2398" s="41"/>
      <c r="J2398" s="41"/>
      <c r="K2398" s="41"/>
      <c r="L2398" s="41"/>
      <c r="M2398" s="41"/>
      <c r="N2398" s="41"/>
      <c r="O2398" s="41"/>
      <c r="P2398" s="28"/>
    </row>
    <row r="2399" customFormat="1" spans="1:16">
      <c r="A2399" s="39"/>
      <c r="B2399" s="40"/>
      <c r="C2399" s="41"/>
      <c r="D2399" s="41"/>
      <c r="E2399" s="41"/>
      <c r="F2399" s="41"/>
      <c r="G2399" s="41"/>
      <c r="H2399" s="41"/>
      <c r="I2399" s="41"/>
      <c r="J2399" s="41"/>
      <c r="K2399" s="41"/>
      <c r="L2399" s="41"/>
      <c r="M2399" s="41"/>
      <c r="N2399" s="41"/>
      <c r="O2399" s="41"/>
      <c r="P2399" s="28"/>
    </row>
    <row r="2400" customFormat="1" spans="1:16">
      <c r="A2400" s="39"/>
      <c r="B2400" s="40"/>
      <c r="C2400" s="41"/>
      <c r="D2400" s="41"/>
      <c r="E2400" s="41"/>
      <c r="F2400" s="41"/>
      <c r="G2400" s="41"/>
      <c r="H2400" s="41"/>
      <c r="I2400" s="41"/>
      <c r="J2400" s="41"/>
      <c r="K2400" s="41"/>
      <c r="L2400" s="41"/>
      <c r="M2400" s="41"/>
      <c r="N2400" s="41"/>
      <c r="O2400" s="41"/>
      <c r="P2400" s="28"/>
    </row>
    <row r="2401" customFormat="1" spans="1:16">
      <c r="A2401" s="39"/>
      <c r="B2401" s="40"/>
      <c r="C2401" s="41"/>
      <c r="D2401" s="41"/>
      <c r="E2401" s="41"/>
      <c r="F2401" s="41"/>
      <c r="G2401" s="41"/>
      <c r="H2401" s="41"/>
      <c r="I2401" s="41"/>
      <c r="J2401" s="41"/>
      <c r="K2401" s="41"/>
      <c r="L2401" s="41"/>
      <c r="M2401" s="41"/>
      <c r="N2401" s="41"/>
      <c r="O2401" s="41"/>
      <c r="P2401" s="28"/>
    </row>
    <row r="2402" customFormat="1" spans="1:16">
      <c r="A2402" s="39"/>
      <c r="B2402" s="40"/>
      <c r="C2402" s="41"/>
      <c r="D2402" s="41"/>
      <c r="E2402" s="41"/>
      <c r="F2402" s="41"/>
      <c r="G2402" s="41"/>
      <c r="H2402" s="41"/>
      <c r="I2402" s="41"/>
      <c r="J2402" s="41"/>
      <c r="K2402" s="41"/>
      <c r="L2402" s="41"/>
      <c r="M2402" s="41"/>
      <c r="N2402" s="41"/>
      <c r="O2402" s="41"/>
      <c r="P2402" s="28"/>
    </row>
    <row r="2403" customFormat="1" spans="1:16">
      <c r="A2403" s="39"/>
      <c r="B2403" s="40"/>
      <c r="C2403" s="41"/>
      <c r="D2403" s="41"/>
      <c r="E2403" s="41"/>
      <c r="F2403" s="41"/>
      <c r="G2403" s="41"/>
      <c r="H2403" s="41"/>
      <c r="I2403" s="41"/>
      <c r="J2403" s="41"/>
      <c r="K2403" s="41"/>
      <c r="L2403" s="41"/>
      <c r="M2403" s="41"/>
      <c r="N2403" s="41"/>
      <c r="O2403" s="41"/>
      <c r="P2403" s="28"/>
    </row>
    <row r="2404" customFormat="1" spans="1:16">
      <c r="A2404" s="39"/>
      <c r="B2404" s="40"/>
      <c r="C2404" s="41"/>
      <c r="D2404" s="41"/>
      <c r="E2404" s="41"/>
      <c r="F2404" s="41"/>
      <c r="G2404" s="41"/>
      <c r="H2404" s="41"/>
      <c r="I2404" s="41"/>
      <c r="J2404" s="41"/>
      <c r="K2404" s="41"/>
      <c r="L2404" s="41"/>
      <c r="M2404" s="41"/>
      <c r="N2404" s="41"/>
      <c r="O2404" s="41"/>
      <c r="P2404" s="28"/>
    </row>
    <row r="2405" customFormat="1" spans="1:16">
      <c r="A2405" s="39"/>
      <c r="B2405" s="40"/>
      <c r="C2405" s="41"/>
      <c r="D2405" s="41"/>
      <c r="E2405" s="41"/>
      <c r="F2405" s="41"/>
      <c r="G2405" s="41"/>
      <c r="H2405" s="41"/>
      <c r="I2405" s="41"/>
      <c r="J2405" s="41"/>
      <c r="K2405" s="41"/>
      <c r="L2405" s="41"/>
      <c r="M2405" s="41"/>
      <c r="N2405" s="41"/>
      <c r="O2405" s="41"/>
      <c r="P2405" s="28"/>
    </row>
    <row r="2406" customFormat="1" spans="1:16">
      <c r="A2406" s="39"/>
      <c r="B2406" s="40"/>
      <c r="C2406" s="41"/>
      <c r="D2406" s="41"/>
      <c r="E2406" s="41"/>
      <c r="F2406" s="41"/>
      <c r="G2406" s="41"/>
      <c r="H2406" s="41"/>
      <c r="I2406" s="41"/>
      <c r="J2406" s="41"/>
      <c r="K2406" s="41"/>
      <c r="L2406" s="41"/>
      <c r="M2406" s="41"/>
      <c r="N2406" s="41"/>
      <c r="O2406" s="41"/>
      <c r="P2406" s="28"/>
    </row>
    <row r="2407" customFormat="1" spans="1:16">
      <c r="A2407" s="39"/>
      <c r="B2407" s="40"/>
      <c r="C2407" s="41"/>
      <c r="D2407" s="41"/>
      <c r="E2407" s="41"/>
      <c r="F2407" s="41"/>
      <c r="G2407" s="41"/>
      <c r="H2407" s="41"/>
      <c r="I2407" s="41"/>
      <c r="J2407" s="41"/>
      <c r="K2407" s="41"/>
      <c r="L2407" s="41"/>
      <c r="M2407" s="41"/>
      <c r="N2407" s="41"/>
      <c r="O2407" s="41"/>
      <c r="P2407" s="28"/>
    </row>
    <row r="2408" customFormat="1" spans="1:16">
      <c r="A2408" s="39"/>
      <c r="B2408" s="40"/>
      <c r="C2408" s="41"/>
      <c r="D2408" s="41"/>
      <c r="E2408" s="41"/>
      <c r="F2408" s="41"/>
      <c r="G2408" s="41"/>
      <c r="H2408" s="41"/>
      <c r="I2408" s="41"/>
      <c r="J2408" s="41"/>
      <c r="K2408" s="41"/>
      <c r="L2408" s="41"/>
      <c r="M2408" s="41"/>
      <c r="N2408" s="41"/>
      <c r="O2408" s="41"/>
      <c r="P2408" s="28"/>
    </row>
    <row r="2409" customFormat="1" spans="1:16">
      <c r="A2409" s="39"/>
      <c r="B2409" s="40"/>
      <c r="C2409" s="41"/>
      <c r="D2409" s="41"/>
      <c r="E2409" s="41"/>
      <c r="F2409" s="41"/>
      <c r="G2409" s="41"/>
      <c r="H2409" s="41"/>
      <c r="I2409" s="41"/>
      <c r="J2409" s="41"/>
      <c r="K2409" s="41"/>
      <c r="L2409" s="41"/>
      <c r="M2409" s="41"/>
      <c r="N2409" s="41"/>
      <c r="O2409" s="41"/>
      <c r="P2409" s="28"/>
    </row>
    <row r="2410" customFormat="1" spans="1:16">
      <c r="A2410" s="39"/>
      <c r="B2410" s="40"/>
      <c r="C2410" s="41"/>
      <c r="D2410" s="41"/>
      <c r="E2410" s="41"/>
      <c r="F2410" s="41"/>
      <c r="G2410" s="41"/>
      <c r="H2410" s="41"/>
      <c r="I2410" s="41"/>
      <c r="J2410" s="41"/>
      <c r="K2410" s="41"/>
      <c r="L2410" s="41"/>
      <c r="M2410" s="41"/>
      <c r="N2410" s="41"/>
      <c r="O2410" s="41"/>
      <c r="P2410" s="28"/>
    </row>
    <row r="2411" customFormat="1" spans="1:16">
      <c r="A2411" s="39"/>
      <c r="B2411" s="40"/>
      <c r="C2411" s="41"/>
      <c r="D2411" s="41"/>
      <c r="E2411" s="41"/>
      <c r="F2411" s="41"/>
      <c r="G2411" s="41"/>
      <c r="H2411" s="41"/>
      <c r="I2411" s="41"/>
      <c r="J2411" s="41"/>
      <c r="K2411" s="41"/>
      <c r="L2411" s="41"/>
      <c r="M2411" s="41"/>
      <c r="N2411" s="41"/>
      <c r="O2411" s="41"/>
      <c r="P2411" s="28"/>
    </row>
    <row r="2412" customFormat="1" spans="1:16">
      <c r="A2412" s="39"/>
      <c r="B2412" s="40"/>
      <c r="C2412" s="41"/>
      <c r="D2412" s="41"/>
      <c r="E2412" s="41"/>
      <c r="F2412" s="41"/>
      <c r="G2412" s="41"/>
      <c r="H2412" s="41"/>
      <c r="I2412" s="41"/>
      <c r="J2412" s="41"/>
      <c r="K2412" s="41"/>
      <c r="L2412" s="41"/>
      <c r="M2412" s="41"/>
      <c r="N2412" s="41"/>
      <c r="O2412" s="41"/>
      <c r="P2412" s="28"/>
    </row>
    <row r="2413" customFormat="1" spans="1:16">
      <c r="A2413" s="39"/>
      <c r="B2413" s="40"/>
      <c r="C2413" s="41"/>
      <c r="D2413" s="41"/>
      <c r="E2413" s="41"/>
      <c r="F2413" s="41"/>
      <c r="G2413" s="41"/>
      <c r="H2413" s="41"/>
      <c r="I2413" s="41"/>
      <c r="J2413" s="41"/>
      <c r="K2413" s="41"/>
      <c r="L2413" s="41"/>
      <c r="M2413" s="41"/>
      <c r="N2413" s="41"/>
      <c r="O2413" s="41"/>
      <c r="P2413" s="28"/>
    </row>
    <row r="2414" customFormat="1" spans="1:16">
      <c r="A2414" s="39"/>
      <c r="B2414" s="40"/>
      <c r="C2414" s="41"/>
      <c r="D2414" s="41"/>
      <c r="E2414" s="41"/>
      <c r="F2414" s="41"/>
      <c r="G2414" s="41"/>
      <c r="H2414" s="41"/>
      <c r="I2414" s="41"/>
      <c r="J2414" s="41"/>
      <c r="K2414" s="41"/>
      <c r="L2414" s="41"/>
      <c r="M2414" s="41"/>
      <c r="N2414" s="41"/>
      <c r="O2414" s="41"/>
      <c r="P2414" s="28"/>
    </row>
    <row r="2415" customFormat="1" spans="1:16">
      <c r="A2415" s="39"/>
      <c r="B2415" s="40"/>
      <c r="C2415" s="41"/>
      <c r="D2415" s="41"/>
      <c r="E2415" s="41"/>
      <c r="F2415" s="41"/>
      <c r="G2415" s="41"/>
      <c r="H2415" s="41"/>
      <c r="I2415" s="41"/>
      <c r="J2415" s="41"/>
      <c r="K2415" s="41"/>
      <c r="L2415" s="41"/>
      <c r="M2415" s="41"/>
      <c r="N2415" s="41"/>
      <c r="O2415" s="41"/>
      <c r="P2415" s="28"/>
    </row>
    <row r="2416" customFormat="1" spans="1:16">
      <c r="A2416" s="39"/>
      <c r="B2416" s="40"/>
      <c r="C2416" s="41"/>
      <c r="D2416" s="41"/>
      <c r="E2416" s="41"/>
      <c r="F2416" s="41"/>
      <c r="G2416" s="41"/>
      <c r="H2416" s="41"/>
      <c r="I2416" s="41"/>
      <c r="J2416" s="41"/>
      <c r="K2416" s="41"/>
      <c r="L2416" s="41"/>
      <c r="M2416" s="41"/>
      <c r="N2416" s="41"/>
      <c r="O2416" s="41"/>
      <c r="P2416" s="28"/>
    </row>
    <row r="2417" customFormat="1" spans="1:16">
      <c r="A2417" s="39"/>
      <c r="B2417" s="40"/>
      <c r="C2417" s="41"/>
      <c r="D2417" s="41"/>
      <c r="E2417" s="41"/>
      <c r="F2417" s="41"/>
      <c r="G2417" s="41"/>
      <c r="H2417" s="41"/>
      <c r="I2417" s="41"/>
      <c r="J2417" s="41"/>
      <c r="K2417" s="41"/>
      <c r="L2417" s="41"/>
      <c r="M2417" s="41"/>
      <c r="N2417" s="41"/>
      <c r="O2417" s="41"/>
      <c r="P2417" s="28"/>
    </row>
    <row r="2418" customFormat="1" spans="1:16">
      <c r="A2418" s="39"/>
      <c r="B2418" s="40"/>
      <c r="C2418" s="41"/>
      <c r="D2418" s="41"/>
      <c r="E2418" s="41"/>
      <c r="F2418" s="41"/>
      <c r="G2418" s="41"/>
      <c r="H2418" s="41"/>
      <c r="I2418" s="41"/>
      <c r="J2418" s="41"/>
      <c r="K2418" s="41"/>
      <c r="L2418" s="41"/>
      <c r="M2418" s="41"/>
      <c r="N2418" s="41"/>
      <c r="O2418" s="41"/>
      <c r="P2418" s="28"/>
    </row>
    <row r="2419" customFormat="1" spans="1:16">
      <c r="A2419" s="39"/>
      <c r="B2419" s="40"/>
      <c r="C2419" s="41"/>
      <c r="D2419" s="41"/>
      <c r="E2419" s="41"/>
      <c r="F2419" s="41"/>
      <c r="G2419" s="41"/>
      <c r="H2419" s="41"/>
      <c r="I2419" s="41"/>
      <c r="J2419" s="41"/>
      <c r="K2419" s="41"/>
      <c r="L2419" s="41"/>
      <c r="M2419" s="41"/>
      <c r="N2419" s="41"/>
      <c r="O2419" s="41"/>
      <c r="P2419" s="28"/>
    </row>
    <row r="2420" customFormat="1" spans="1:16">
      <c r="A2420" s="39"/>
      <c r="B2420" s="40"/>
      <c r="C2420" s="41"/>
      <c r="D2420" s="41"/>
      <c r="E2420" s="41"/>
      <c r="F2420" s="41"/>
      <c r="G2420" s="41"/>
      <c r="H2420" s="41"/>
      <c r="I2420" s="41"/>
      <c r="J2420" s="41"/>
      <c r="K2420" s="41"/>
      <c r="L2420" s="41"/>
      <c r="M2420" s="41"/>
      <c r="N2420" s="41"/>
      <c r="O2420" s="41"/>
      <c r="P2420" s="28"/>
    </row>
    <row r="2421" customFormat="1" spans="1:16">
      <c r="A2421" s="39"/>
      <c r="B2421" s="40"/>
      <c r="C2421" s="41"/>
      <c r="D2421" s="41"/>
      <c r="E2421" s="41"/>
      <c r="F2421" s="41"/>
      <c r="G2421" s="41"/>
      <c r="H2421" s="41"/>
      <c r="I2421" s="41"/>
      <c r="J2421" s="41"/>
      <c r="K2421" s="41"/>
      <c r="L2421" s="41"/>
      <c r="M2421" s="41"/>
      <c r="N2421" s="41"/>
      <c r="O2421" s="41"/>
      <c r="P2421" s="28"/>
    </row>
    <row r="2422" customFormat="1" spans="1:16">
      <c r="A2422" s="39"/>
      <c r="B2422" s="40"/>
      <c r="C2422" s="41"/>
      <c r="D2422" s="41"/>
      <c r="E2422" s="41"/>
      <c r="F2422" s="41"/>
      <c r="G2422" s="41"/>
      <c r="H2422" s="41"/>
      <c r="I2422" s="41"/>
      <c r="J2422" s="41"/>
      <c r="K2422" s="41"/>
      <c r="L2422" s="41"/>
      <c r="M2422" s="41"/>
      <c r="N2422" s="41"/>
      <c r="O2422" s="41"/>
      <c r="P2422" s="28"/>
    </row>
    <row r="2423" customFormat="1" spans="1:16">
      <c r="A2423" s="39"/>
      <c r="B2423" s="40"/>
      <c r="C2423" s="41"/>
      <c r="D2423" s="41"/>
      <c r="E2423" s="41"/>
      <c r="F2423" s="41"/>
      <c r="G2423" s="41"/>
      <c r="H2423" s="41"/>
      <c r="I2423" s="41"/>
      <c r="J2423" s="41"/>
      <c r="K2423" s="41"/>
      <c r="L2423" s="41"/>
      <c r="M2423" s="41"/>
      <c r="N2423" s="41"/>
      <c r="O2423" s="41"/>
      <c r="P2423" s="28"/>
    </row>
    <row r="2424" customFormat="1" spans="1:16">
      <c r="A2424" s="39"/>
      <c r="B2424" s="40"/>
      <c r="C2424" s="41"/>
      <c r="D2424" s="41"/>
      <c r="E2424" s="41"/>
      <c r="F2424" s="41"/>
      <c r="G2424" s="41"/>
      <c r="H2424" s="41"/>
      <c r="I2424" s="41"/>
      <c r="J2424" s="41"/>
      <c r="K2424" s="41"/>
      <c r="L2424" s="41"/>
      <c r="M2424" s="41"/>
      <c r="N2424" s="41"/>
      <c r="O2424" s="41"/>
      <c r="P2424" s="28"/>
    </row>
    <row r="2425" customFormat="1" spans="1:16">
      <c r="A2425" s="39"/>
      <c r="B2425" s="40"/>
      <c r="C2425" s="41"/>
      <c r="D2425" s="41"/>
      <c r="E2425" s="41"/>
      <c r="F2425" s="41"/>
      <c r="G2425" s="41"/>
      <c r="H2425" s="41"/>
      <c r="I2425" s="41"/>
      <c r="J2425" s="41"/>
      <c r="K2425" s="41"/>
      <c r="L2425" s="41"/>
      <c r="M2425" s="41"/>
      <c r="N2425" s="41"/>
      <c r="O2425" s="41"/>
      <c r="P2425" s="28"/>
    </row>
    <row r="2426" customFormat="1" spans="1:16">
      <c r="A2426" s="39"/>
      <c r="B2426" s="40"/>
      <c r="C2426" s="41"/>
      <c r="D2426" s="41"/>
      <c r="E2426" s="41"/>
      <c r="F2426" s="41"/>
      <c r="G2426" s="41"/>
      <c r="H2426" s="41"/>
      <c r="I2426" s="41"/>
      <c r="J2426" s="41"/>
      <c r="K2426" s="41"/>
      <c r="L2426" s="41"/>
      <c r="M2426" s="41"/>
      <c r="N2426" s="41"/>
      <c r="O2426" s="41"/>
      <c r="P2426" s="28"/>
    </row>
    <row r="2427" customFormat="1" spans="1:16">
      <c r="A2427" s="39"/>
      <c r="B2427" s="40"/>
      <c r="C2427" s="41"/>
      <c r="D2427" s="41"/>
      <c r="E2427" s="41"/>
      <c r="F2427" s="41"/>
      <c r="G2427" s="41"/>
      <c r="H2427" s="41"/>
      <c r="I2427" s="41"/>
      <c r="J2427" s="41"/>
      <c r="K2427" s="41"/>
      <c r="L2427" s="41"/>
      <c r="M2427" s="41"/>
      <c r="N2427" s="41"/>
      <c r="O2427" s="41"/>
      <c r="P2427" s="28"/>
    </row>
    <row r="2428" customFormat="1" spans="1:16">
      <c r="A2428" s="39"/>
      <c r="B2428" s="40"/>
      <c r="C2428" s="41"/>
      <c r="D2428" s="41"/>
      <c r="E2428" s="41"/>
      <c r="F2428" s="41"/>
      <c r="G2428" s="41"/>
      <c r="H2428" s="41"/>
      <c r="I2428" s="41"/>
      <c r="J2428" s="41"/>
      <c r="K2428" s="41"/>
      <c r="L2428" s="41"/>
      <c r="M2428" s="41"/>
      <c r="N2428" s="41"/>
      <c r="O2428" s="41"/>
      <c r="P2428" s="28"/>
    </row>
    <row r="2429" customFormat="1" spans="1:16">
      <c r="A2429" s="39"/>
      <c r="B2429" s="40"/>
      <c r="C2429" s="41"/>
      <c r="D2429" s="41"/>
      <c r="E2429" s="41"/>
      <c r="F2429" s="41"/>
      <c r="G2429" s="41"/>
      <c r="H2429" s="41"/>
      <c r="I2429" s="41"/>
      <c r="J2429" s="41"/>
      <c r="K2429" s="41"/>
      <c r="L2429" s="41"/>
      <c r="M2429" s="41"/>
      <c r="N2429" s="41"/>
      <c r="O2429" s="41"/>
      <c r="P2429" s="28"/>
    </row>
    <row r="2430" customFormat="1" spans="1:16">
      <c r="A2430" s="39"/>
      <c r="B2430" s="40"/>
      <c r="C2430" s="41"/>
      <c r="D2430" s="41"/>
      <c r="E2430" s="41"/>
      <c r="F2430" s="41"/>
      <c r="G2430" s="41"/>
      <c r="H2430" s="41"/>
      <c r="I2430" s="41"/>
      <c r="J2430" s="41"/>
      <c r="K2430" s="41"/>
      <c r="L2430" s="41"/>
      <c r="M2430" s="41"/>
      <c r="N2430" s="41"/>
      <c r="O2430" s="41"/>
      <c r="P2430" s="28"/>
    </row>
    <row r="2431" customFormat="1" spans="1:16">
      <c r="A2431" s="39"/>
      <c r="B2431" s="40"/>
      <c r="C2431" s="41"/>
      <c r="D2431" s="41"/>
      <c r="E2431" s="41"/>
      <c r="F2431" s="41"/>
      <c r="G2431" s="41"/>
      <c r="H2431" s="41"/>
      <c r="I2431" s="41"/>
      <c r="J2431" s="41"/>
      <c r="K2431" s="41"/>
      <c r="L2431" s="41"/>
      <c r="M2431" s="41"/>
      <c r="N2431" s="41"/>
      <c r="O2431" s="41"/>
      <c r="P2431" s="28"/>
    </row>
    <row r="2432" customFormat="1" spans="1:16">
      <c r="A2432" s="39"/>
      <c r="B2432" s="40"/>
      <c r="C2432" s="41"/>
      <c r="D2432" s="41"/>
      <c r="E2432" s="41"/>
      <c r="F2432" s="41"/>
      <c r="G2432" s="41"/>
      <c r="H2432" s="41"/>
      <c r="I2432" s="41"/>
      <c r="J2432" s="41"/>
      <c r="K2432" s="41"/>
      <c r="L2432" s="41"/>
      <c r="M2432" s="41"/>
      <c r="N2432" s="41"/>
      <c r="O2432" s="41"/>
      <c r="P2432" s="28"/>
    </row>
    <row r="2433" customFormat="1" spans="1:16">
      <c r="A2433" s="39"/>
      <c r="B2433" s="40"/>
      <c r="C2433" s="41"/>
      <c r="D2433" s="41"/>
      <c r="E2433" s="41"/>
      <c r="F2433" s="41"/>
      <c r="G2433" s="41"/>
      <c r="H2433" s="41"/>
      <c r="I2433" s="41"/>
      <c r="J2433" s="41"/>
      <c r="K2433" s="41"/>
      <c r="L2433" s="41"/>
      <c r="M2433" s="41"/>
      <c r="N2433" s="41"/>
      <c r="O2433" s="41"/>
      <c r="P2433" s="28"/>
    </row>
    <row r="2434" customFormat="1" spans="1:16">
      <c r="A2434" s="39"/>
      <c r="B2434" s="40"/>
      <c r="C2434" s="41"/>
      <c r="D2434" s="41"/>
      <c r="E2434" s="41"/>
      <c r="F2434" s="41"/>
      <c r="G2434" s="41"/>
      <c r="H2434" s="41"/>
      <c r="I2434" s="41"/>
      <c r="J2434" s="41"/>
      <c r="K2434" s="41"/>
      <c r="L2434" s="41"/>
      <c r="M2434" s="41"/>
      <c r="N2434" s="41"/>
      <c r="O2434" s="41"/>
      <c r="P2434" s="28"/>
    </row>
    <row r="2435" customFormat="1" spans="1:16">
      <c r="A2435" s="39"/>
      <c r="B2435" s="40"/>
      <c r="C2435" s="41"/>
      <c r="D2435" s="41"/>
      <c r="E2435" s="41"/>
      <c r="F2435" s="41"/>
      <c r="G2435" s="41"/>
      <c r="H2435" s="41"/>
      <c r="I2435" s="41"/>
      <c r="J2435" s="41"/>
      <c r="K2435" s="41"/>
      <c r="L2435" s="41"/>
      <c r="M2435" s="41"/>
      <c r="N2435" s="41"/>
      <c r="O2435" s="41"/>
      <c r="P2435" s="28"/>
    </row>
    <row r="2436" customFormat="1" spans="1:16">
      <c r="A2436" s="39"/>
      <c r="B2436" s="40"/>
      <c r="C2436" s="41"/>
      <c r="D2436" s="41"/>
      <c r="E2436" s="41"/>
      <c r="F2436" s="41"/>
      <c r="G2436" s="41"/>
      <c r="H2436" s="41"/>
      <c r="I2436" s="41"/>
      <c r="J2436" s="41"/>
      <c r="K2436" s="41"/>
      <c r="L2436" s="41"/>
      <c r="M2436" s="41"/>
      <c r="N2436" s="41"/>
      <c r="O2436" s="41"/>
      <c r="P2436" s="28"/>
    </row>
    <row r="2437" customFormat="1" spans="1:16">
      <c r="A2437" s="39"/>
      <c r="B2437" s="40"/>
      <c r="C2437" s="41"/>
      <c r="D2437" s="41"/>
      <c r="E2437" s="41"/>
      <c r="F2437" s="41"/>
      <c r="G2437" s="41"/>
      <c r="H2437" s="41"/>
      <c r="I2437" s="41"/>
      <c r="J2437" s="41"/>
      <c r="K2437" s="41"/>
      <c r="L2437" s="41"/>
      <c r="M2437" s="41"/>
      <c r="N2437" s="41"/>
      <c r="O2437" s="41"/>
      <c r="P2437" s="28"/>
    </row>
    <row r="2438" customFormat="1" spans="1:16">
      <c r="A2438" s="39"/>
      <c r="B2438" s="40"/>
      <c r="C2438" s="41"/>
      <c r="D2438" s="41"/>
      <c r="E2438" s="41"/>
      <c r="F2438" s="41"/>
      <c r="G2438" s="41"/>
      <c r="H2438" s="41"/>
      <c r="I2438" s="41"/>
      <c r="J2438" s="41"/>
      <c r="K2438" s="41"/>
      <c r="L2438" s="41"/>
      <c r="M2438" s="41"/>
      <c r="N2438" s="41"/>
      <c r="O2438" s="41"/>
      <c r="P2438" s="28"/>
    </row>
    <row r="2439" customFormat="1" spans="1:16">
      <c r="A2439" s="39"/>
      <c r="B2439" s="40"/>
      <c r="C2439" s="41"/>
      <c r="D2439" s="41"/>
      <c r="E2439" s="41"/>
      <c r="F2439" s="41"/>
      <c r="G2439" s="41"/>
      <c r="H2439" s="41"/>
      <c r="I2439" s="41"/>
      <c r="J2439" s="41"/>
      <c r="K2439" s="41"/>
      <c r="L2439" s="41"/>
      <c r="M2439" s="41"/>
      <c r="N2439" s="41"/>
      <c r="O2439" s="41"/>
      <c r="P2439" s="28"/>
    </row>
    <row r="2440" customFormat="1" spans="1:16">
      <c r="A2440" s="39"/>
      <c r="B2440" s="40"/>
      <c r="C2440" s="41"/>
      <c r="D2440" s="41"/>
      <c r="E2440" s="41"/>
      <c r="F2440" s="41"/>
      <c r="G2440" s="41"/>
      <c r="H2440" s="41"/>
      <c r="I2440" s="41"/>
      <c r="J2440" s="41"/>
      <c r="K2440" s="41"/>
      <c r="L2440" s="41"/>
      <c r="M2440" s="41"/>
      <c r="N2440" s="41"/>
      <c r="O2440" s="41"/>
      <c r="P2440" s="28"/>
    </row>
    <row r="2441" customFormat="1" spans="1:16">
      <c r="A2441" s="39"/>
      <c r="B2441" s="40"/>
      <c r="C2441" s="41"/>
      <c r="D2441" s="41"/>
      <c r="E2441" s="41"/>
      <c r="F2441" s="41"/>
      <c r="G2441" s="41"/>
      <c r="H2441" s="41"/>
      <c r="I2441" s="41"/>
      <c r="J2441" s="41"/>
      <c r="K2441" s="41"/>
      <c r="L2441" s="41"/>
      <c r="M2441" s="41"/>
      <c r="N2441" s="41"/>
      <c r="O2441" s="41"/>
      <c r="P2441" s="28"/>
    </row>
    <row r="2442" customFormat="1" spans="1:16">
      <c r="A2442" s="39"/>
      <c r="B2442" s="40"/>
      <c r="C2442" s="41"/>
      <c r="D2442" s="41"/>
      <c r="E2442" s="41"/>
      <c r="F2442" s="41"/>
      <c r="G2442" s="41"/>
      <c r="H2442" s="41"/>
      <c r="I2442" s="41"/>
      <c r="J2442" s="41"/>
      <c r="K2442" s="41"/>
      <c r="L2442" s="41"/>
      <c r="M2442" s="41"/>
      <c r="N2442" s="41"/>
      <c r="O2442" s="41"/>
      <c r="P2442" s="28"/>
    </row>
    <row r="2443" customFormat="1" spans="1:16">
      <c r="A2443" s="39"/>
      <c r="B2443" s="40"/>
      <c r="C2443" s="41"/>
      <c r="D2443" s="41"/>
      <c r="E2443" s="41"/>
      <c r="F2443" s="41"/>
      <c r="G2443" s="41"/>
      <c r="H2443" s="41"/>
      <c r="I2443" s="41"/>
      <c r="J2443" s="41"/>
      <c r="K2443" s="41"/>
      <c r="L2443" s="41"/>
      <c r="M2443" s="41"/>
      <c r="N2443" s="41"/>
      <c r="O2443" s="41"/>
      <c r="P2443" s="28"/>
    </row>
    <row r="2444" customFormat="1" spans="1:16">
      <c r="A2444" s="39"/>
      <c r="B2444" s="40"/>
      <c r="C2444" s="41"/>
      <c r="D2444" s="41"/>
      <c r="E2444" s="41"/>
      <c r="F2444" s="41"/>
      <c r="G2444" s="41"/>
      <c r="H2444" s="41"/>
      <c r="I2444" s="41"/>
      <c r="J2444" s="41"/>
      <c r="K2444" s="41"/>
      <c r="L2444" s="41"/>
      <c r="M2444" s="41"/>
      <c r="N2444" s="41"/>
      <c r="O2444" s="41"/>
      <c r="P2444" s="28"/>
    </row>
    <row r="2445" customFormat="1" spans="1:16">
      <c r="A2445" s="39"/>
      <c r="B2445" s="40"/>
      <c r="C2445" s="41"/>
      <c r="D2445" s="41"/>
      <c r="E2445" s="41"/>
      <c r="F2445" s="41"/>
      <c r="G2445" s="41"/>
      <c r="H2445" s="41"/>
      <c r="I2445" s="41"/>
      <c r="J2445" s="41"/>
      <c r="K2445" s="41"/>
      <c r="L2445" s="41"/>
      <c r="M2445" s="41"/>
      <c r="N2445" s="41"/>
      <c r="O2445" s="41"/>
      <c r="P2445" s="28"/>
    </row>
    <row r="2446" customFormat="1" spans="1:16">
      <c r="A2446" s="39"/>
      <c r="B2446" s="40"/>
      <c r="C2446" s="41"/>
      <c r="D2446" s="41"/>
      <c r="E2446" s="41"/>
      <c r="F2446" s="41"/>
      <c r="G2446" s="41"/>
      <c r="H2446" s="41"/>
      <c r="I2446" s="41"/>
      <c r="J2446" s="41"/>
      <c r="K2446" s="41"/>
      <c r="L2446" s="41"/>
      <c r="M2446" s="41"/>
      <c r="N2446" s="41"/>
      <c r="O2446" s="41"/>
      <c r="P2446" s="28"/>
    </row>
    <row r="2447" customFormat="1" spans="1:16">
      <c r="A2447" s="39"/>
      <c r="B2447" s="40"/>
      <c r="C2447" s="41"/>
      <c r="D2447" s="41"/>
      <c r="E2447" s="41"/>
      <c r="F2447" s="41"/>
      <c r="G2447" s="41"/>
      <c r="H2447" s="41"/>
      <c r="I2447" s="41"/>
      <c r="J2447" s="41"/>
      <c r="K2447" s="41"/>
      <c r="L2447" s="41"/>
      <c r="M2447" s="41"/>
      <c r="N2447" s="41"/>
      <c r="O2447" s="41"/>
      <c r="P2447" s="28"/>
    </row>
    <row r="2448" customFormat="1" spans="1:16">
      <c r="A2448" s="39"/>
      <c r="B2448" s="40"/>
      <c r="C2448" s="41"/>
      <c r="D2448" s="41"/>
      <c r="E2448" s="41"/>
      <c r="F2448" s="41"/>
      <c r="G2448" s="41"/>
      <c r="H2448" s="41"/>
      <c r="I2448" s="41"/>
      <c r="J2448" s="41"/>
      <c r="K2448" s="41"/>
      <c r="L2448" s="41"/>
      <c r="M2448" s="41"/>
      <c r="N2448" s="41"/>
      <c r="O2448" s="41"/>
      <c r="P2448" s="28"/>
    </row>
    <row r="2449" customFormat="1" spans="1:16">
      <c r="A2449" s="39"/>
      <c r="B2449" s="40"/>
      <c r="C2449" s="41"/>
      <c r="D2449" s="41"/>
      <c r="E2449" s="41"/>
      <c r="F2449" s="41"/>
      <c r="G2449" s="41"/>
      <c r="H2449" s="41"/>
      <c r="I2449" s="41"/>
      <c r="J2449" s="41"/>
      <c r="K2449" s="41"/>
      <c r="L2449" s="41"/>
      <c r="M2449" s="41"/>
      <c r="N2449" s="41"/>
      <c r="O2449" s="41"/>
      <c r="P2449" s="28"/>
    </row>
    <row r="2450" customFormat="1" spans="1:16">
      <c r="A2450" s="39"/>
      <c r="B2450" s="40"/>
      <c r="C2450" s="41"/>
      <c r="D2450" s="41"/>
      <c r="E2450" s="41"/>
      <c r="F2450" s="41"/>
      <c r="G2450" s="41"/>
      <c r="H2450" s="41"/>
      <c r="I2450" s="41"/>
      <c r="J2450" s="41"/>
      <c r="K2450" s="41"/>
      <c r="L2450" s="41"/>
      <c r="M2450" s="41"/>
      <c r="N2450" s="41"/>
      <c r="O2450" s="41"/>
      <c r="P2450" s="28"/>
    </row>
    <row r="2451" customFormat="1" spans="1:16">
      <c r="A2451" s="39"/>
      <c r="B2451" s="40"/>
      <c r="C2451" s="41"/>
      <c r="D2451" s="41"/>
      <c r="E2451" s="41"/>
      <c r="F2451" s="41"/>
      <c r="G2451" s="41"/>
      <c r="H2451" s="41"/>
      <c r="I2451" s="41"/>
      <c r="J2451" s="41"/>
      <c r="K2451" s="41"/>
      <c r="L2451" s="41"/>
      <c r="M2451" s="41"/>
      <c r="N2451" s="41"/>
      <c r="O2451" s="41"/>
      <c r="P2451" s="28"/>
    </row>
    <row r="2452" customFormat="1" spans="1:16">
      <c r="A2452" s="39"/>
      <c r="B2452" s="40"/>
      <c r="C2452" s="41"/>
      <c r="D2452" s="41"/>
      <c r="E2452" s="41"/>
      <c r="F2452" s="41"/>
      <c r="G2452" s="41"/>
      <c r="H2452" s="41"/>
      <c r="I2452" s="41"/>
      <c r="J2452" s="41"/>
      <c r="K2452" s="41"/>
      <c r="L2452" s="41"/>
      <c r="M2452" s="41"/>
      <c r="N2452" s="41"/>
      <c r="O2452" s="41"/>
      <c r="P2452" s="28"/>
    </row>
    <row r="2453" customFormat="1" spans="1:16">
      <c r="A2453" s="39"/>
      <c r="B2453" s="40"/>
      <c r="C2453" s="41"/>
      <c r="D2453" s="41"/>
      <c r="E2453" s="41"/>
      <c r="F2453" s="41"/>
      <c r="G2453" s="41"/>
      <c r="H2453" s="41"/>
      <c r="I2453" s="41"/>
      <c r="J2453" s="41"/>
      <c r="K2453" s="41"/>
      <c r="L2453" s="41"/>
      <c r="M2453" s="41"/>
      <c r="N2453" s="41"/>
      <c r="O2453" s="41"/>
      <c r="P2453" s="28"/>
    </row>
    <row r="2454" customFormat="1" spans="1:16">
      <c r="A2454" s="39"/>
      <c r="B2454" s="40"/>
      <c r="C2454" s="41"/>
      <c r="D2454" s="41"/>
      <c r="E2454" s="41"/>
      <c r="F2454" s="41"/>
      <c r="G2454" s="41"/>
      <c r="H2454" s="41"/>
      <c r="I2454" s="41"/>
      <c r="J2454" s="41"/>
      <c r="K2454" s="41"/>
      <c r="L2454" s="41"/>
      <c r="M2454" s="41"/>
      <c r="N2454" s="41"/>
      <c r="O2454" s="41"/>
      <c r="P2454" s="28"/>
    </row>
    <row r="2455" customFormat="1" spans="1:16">
      <c r="A2455" s="39"/>
      <c r="B2455" s="40"/>
      <c r="C2455" s="41"/>
      <c r="D2455" s="41"/>
      <c r="E2455" s="41"/>
      <c r="F2455" s="41"/>
      <c r="G2455" s="41"/>
      <c r="H2455" s="41"/>
      <c r="I2455" s="41"/>
      <c r="J2455" s="41"/>
      <c r="K2455" s="41"/>
      <c r="L2455" s="41"/>
      <c r="M2455" s="41"/>
      <c r="N2455" s="41"/>
      <c r="O2455" s="41"/>
      <c r="P2455" s="28"/>
    </row>
    <row r="2456" customFormat="1" spans="1:16">
      <c r="A2456" s="39"/>
      <c r="B2456" s="40"/>
      <c r="C2456" s="41"/>
      <c r="D2456" s="41"/>
      <c r="E2456" s="41"/>
      <c r="F2456" s="41"/>
      <c r="G2456" s="41"/>
      <c r="H2456" s="41"/>
      <c r="I2456" s="41"/>
      <c r="J2456" s="41"/>
      <c r="K2456" s="41"/>
      <c r="L2456" s="41"/>
      <c r="M2456" s="41"/>
      <c r="N2456" s="41"/>
      <c r="O2456" s="41"/>
      <c r="P2456" s="28"/>
    </row>
    <row r="2457" customFormat="1" spans="1:16">
      <c r="A2457" s="39"/>
      <c r="B2457" s="40"/>
      <c r="C2457" s="41"/>
      <c r="D2457" s="41"/>
      <c r="E2457" s="41"/>
      <c r="F2457" s="41"/>
      <c r="G2457" s="41"/>
      <c r="H2457" s="41"/>
      <c r="I2457" s="41"/>
      <c r="J2457" s="41"/>
      <c r="K2457" s="41"/>
      <c r="L2457" s="41"/>
      <c r="M2457" s="41"/>
      <c r="N2457" s="41"/>
      <c r="O2457" s="41"/>
      <c r="P2457" s="28"/>
    </row>
    <row r="2458" customFormat="1" spans="1:16">
      <c r="A2458" s="39"/>
      <c r="B2458" s="40"/>
      <c r="C2458" s="41"/>
      <c r="D2458" s="41"/>
      <c r="E2458" s="41"/>
      <c r="F2458" s="41"/>
      <c r="G2458" s="41"/>
      <c r="H2458" s="41"/>
      <c r="I2458" s="41"/>
      <c r="J2458" s="41"/>
      <c r="K2458" s="41"/>
      <c r="L2458" s="41"/>
      <c r="M2458" s="41"/>
      <c r="N2458" s="41"/>
      <c r="O2458" s="41"/>
      <c r="P2458" s="28"/>
    </row>
    <row r="2459" customFormat="1" spans="1:16">
      <c r="A2459" s="39"/>
      <c r="B2459" s="40"/>
      <c r="C2459" s="41"/>
      <c r="D2459" s="41"/>
      <c r="E2459" s="41"/>
      <c r="F2459" s="41"/>
      <c r="G2459" s="41"/>
      <c r="H2459" s="41"/>
      <c r="I2459" s="41"/>
      <c r="J2459" s="41"/>
      <c r="K2459" s="41"/>
      <c r="L2459" s="41"/>
      <c r="M2459" s="41"/>
      <c r="N2459" s="41"/>
      <c r="O2459" s="41"/>
      <c r="P2459" s="28"/>
    </row>
    <row r="2460" customFormat="1" spans="1:16">
      <c r="A2460" s="39"/>
      <c r="B2460" s="40"/>
      <c r="C2460" s="41"/>
      <c r="D2460" s="41"/>
      <c r="E2460" s="41"/>
      <c r="F2460" s="41"/>
      <c r="G2460" s="41"/>
      <c r="H2460" s="41"/>
      <c r="I2460" s="41"/>
      <c r="J2460" s="41"/>
      <c r="K2460" s="41"/>
      <c r="L2460" s="41"/>
      <c r="M2460" s="41"/>
      <c r="N2460" s="41"/>
      <c r="O2460" s="41"/>
      <c r="P2460" s="28"/>
    </row>
    <row r="2461" customFormat="1" spans="1:16">
      <c r="A2461" s="39"/>
      <c r="B2461" s="40"/>
      <c r="C2461" s="41"/>
      <c r="D2461" s="41"/>
      <c r="E2461" s="41"/>
      <c r="F2461" s="41"/>
      <c r="G2461" s="41"/>
      <c r="H2461" s="41"/>
      <c r="I2461" s="41"/>
      <c r="J2461" s="41"/>
      <c r="K2461" s="41"/>
      <c r="L2461" s="41"/>
      <c r="M2461" s="41"/>
      <c r="N2461" s="41"/>
      <c r="O2461" s="41"/>
      <c r="P2461" s="28"/>
    </row>
    <row r="2462" customFormat="1" spans="1:16">
      <c r="A2462" s="39"/>
      <c r="B2462" s="40"/>
      <c r="C2462" s="41"/>
      <c r="D2462" s="41"/>
      <c r="E2462" s="41"/>
      <c r="F2462" s="41"/>
      <c r="G2462" s="41"/>
      <c r="H2462" s="41"/>
      <c r="I2462" s="41"/>
      <c r="J2462" s="41"/>
      <c r="K2462" s="41"/>
      <c r="L2462" s="41"/>
      <c r="M2462" s="41"/>
      <c r="N2462" s="41"/>
      <c r="O2462" s="41"/>
      <c r="P2462" s="28"/>
    </row>
    <row r="2463" customFormat="1" spans="1:16">
      <c r="A2463" s="39"/>
      <c r="B2463" s="40"/>
      <c r="C2463" s="41"/>
      <c r="D2463" s="41"/>
      <c r="E2463" s="41"/>
      <c r="F2463" s="41"/>
      <c r="G2463" s="41"/>
      <c r="H2463" s="41"/>
      <c r="I2463" s="41"/>
      <c r="J2463" s="41"/>
      <c r="K2463" s="41"/>
      <c r="L2463" s="41"/>
      <c r="M2463" s="41"/>
      <c r="N2463" s="41"/>
      <c r="O2463" s="41"/>
      <c r="P2463" s="28"/>
    </row>
    <row r="2464" customFormat="1" spans="1:16">
      <c r="A2464" s="39"/>
      <c r="B2464" s="40"/>
      <c r="C2464" s="41"/>
      <c r="D2464" s="41"/>
      <c r="E2464" s="41"/>
      <c r="F2464" s="41"/>
      <c r="G2464" s="41"/>
      <c r="H2464" s="41"/>
      <c r="I2464" s="41"/>
      <c r="J2464" s="41"/>
      <c r="K2464" s="41"/>
      <c r="L2464" s="41"/>
      <c r="M2464" s="41"/>
      <c r="N2464" s="41"/>
      <c r="O2464" s="41"/>
      <c r="P2464" s="28"/>
    </row>
    <row r="2465" customFormat="1" spans="1:16">
      <c r="A2465" s="39"/>
      <c r="B2465" s="40"/>
      <c r="C2465" s="41"/>
      <c r="D2465" s="41"/>
      <c r="E2465" s="41"/>
      <c r="F2465" s="41"/>
      <c r="G2465" s="41"/>
      <c r="H2465" s="41"/>
      <c r="I2465" s="41"/>
      <c r="J2465" s="41"/>
      <c r="K2465" s="41"/>
      <c r="L2465" s="41"/>
      <c r="M2465" s="41"/>
      <c r="N2465" s="41"/>
      <c r="O2465" s="41"/>
      <c r="P2465" s="28"/>
    </row>
    <row r="2466" customFormat="1" spans="1:16">
      <c r="A2466" s="39"/>
      <c r="B2466" s="40"/>
      <c r="C2466" s="41"/>
      <c r="D2466" s="41"/>
      <c r="E2466" s="41"/>
      <c r="F2466" s="41"/>
      <c r="G2466" s="41"/>
      <c r="H2466" s="41"/>
      <c r="I2466" s="41"/>
      <c r="J2466" s="41"/>
      <c r="K2466" s="41"/>
      <c r="L2466" s="41"/>
      <c r="M2466" s="41"/>
      <c r="N2466" s="41"/>
      <c r="O2466" s="41"/>
      <c r="P2466" s="28"/>
    </row>
    <row r="2467" customFormat="1" spans="1:16">
      <c r="A2467" s="39"/>
      <c r="B2467" s="40"/>
      <c r="C2467" s="41"/>
      <c r="D2467" s="41"/>
      <c r="E2467" s="41"/>
      <c r="F2467" s="41"/>
      <c r="G2467" s="41"/>
      <c r="H2467" s="41"/>
      <c r="I2467" s="41"/>
      <c r="J2467" s="41"/>
      <c r="K2467" s="41"/>
      <c r="L2467" s="41"/>
      <c r="M2467" s="41"/>
      <c r="N2467" s="41"/>
      <c r="O2467" s="41"/>
      <c r="P2467" s="28"/>
    </row>
    <row r="2468" customFormat="1" spans="1:16">
      <c r="A2468" s="39"/>
      <c r="B2468" s="40"/>
      <c r="C2468" s="41"/>
      <c r="D2468" s="41"/>
      <c r="E2468" s="41"/>
      <c r="F2468" s="41"/>
      <c r="G2468" s="41"/>
      <c r="H2468" s="41"/>
      <c r="I2468" s="41"/>
      <c r="J2468" s="41"/>
      <c r="K2468" s="41"/>
      <c r="L2468" s="41"/>
      <c r="M2468" s="41"/>
      <c r="N2468" s="41"/>
      <c r="O2468" s="41"/>
      <c r="P2468" s="28"/>
    </row>
    <row r="2469" customFormat="1" spans="1:16">
      <c r="A2469" s="39"/>
      <c r="B2469" s="40"/>
      <c r="C2469" s="41"/>
      <c r="D2469" s="41"/>
      <c r="E2469" s="41"/>
      <c r="F2469" s="41"/>
      <c r="G2469" s="41"/>
      <c r="H2469" s="41"/>
      <c r="I2469" s="41"/>
      <c r="J2469" s="41"/>
      <c r="K2469" s="41"/>
      <c r="L2469" s="41"/>
      <c r="M2469" s="41"/>
      <c r="N2469" s="41"/>
      <c r="O2469" s="41"/>
      <c r="P2469" s="28"/>
    </row>
    <row r="2470" customFormat="1" spans="1:16">
      <c r="A2470" s="39"/>
      <c r="B2470" s="40"/>
      <c r="C2470" s="41"/>
      <c r="D2470" s="41"/>
      <c r="E2470" s="41"/>
      <c r="F2470" s="41"/>
      <c r="G2470" s="41"/>
      <c r="H2470" s="41"/>
      <c r="I2470" s="41"/>
      <c r="J2470" s="41"/>
      <c r="K2470" s="41"/>
      <c r="L2470" s="41"/>
      <c r="M2470" s="41"/>
      <c r="N2470" s="41"/>
      <c r="O2470" s="41"/>
      <c r="P2470" s="28"/>
    </row>
    <row r="2471" customFormat="1" spans="1:16">
      <c r="A2471" s="39"/>
      <c r="B2471" s="40"/>
      <c r="C2471" s="41"/>
      <c r="D2471" s="41"/>
      <c r="E2471" s="41"/>
      <c r="F2471" s="41"/>
      <c r="G2471" s="41"/>
      <c r="H2471" s="41"/>
      <c r="I2471" s="41"/>
      <c r="J2471" s="41"/>
      <c r="K2471" s="41"/>
      <c r="L2471" s="41"/>
      <c r="M2471" s="41"/>
      <c r="N2471" s="41"/>
      <c r="O2471" s="41"/>
      <c r="P2471" s="28"/>
    </row>
    <row r="2472" customFormat="1" spans="1:16">
      <c r="A2472" s="39"/>
      <c r="B2472" s="40"/>
      <c r="C2472" s="41"/>
      <c r="D2472" s="41"/>
      <c r="E2472" s="41"/>
      <c r="F2472" s="41"/>
      <c r="G2472" s="41"/>
      <c r="H2472" s="41"/>
      <c r="I2472" s="41"/>
      <c r="J2472" s="41"/>
      <c r="K2472" s="41"/>
      <c r="L2472" s="41"/>
      <c r="M2472" s="41"/>
      <c r="N2472" s="41"/>
      <c r="O2472" s="41"/>
      <c r="P2472" s="28"/>
    </row>
    <row r="2473" customFormat="1" spans="1:16">
      <c r="A2473" s="39"/>
      <c r="B2473" s="40"/>
      <c r="C2473" s="41"/>
      <c r="D2473" s="41"/>
      <c r="E2473" s="41"/>
      <c r="F2473" s="41"/>
      <c r="G2473" s="41"/>
      <c r="H2473" s="41"/>
      <c r="I2473" s="41"/>
      <c r="J2473" s="41"/>
      <c r="K2473" s="41"/>
      <c r="L2473" s="41"/>
      <c r="M2473" s="41"/>
      <c r="N2473" s="41"/>
      <c r="O2473" s="41"/>
      <c r="P2473" s="28"/>
    </row>
    <row r="2474" customFormat="1" spans="1:16">
      <c r="A2474" s="39"/>
      <c r="B2474" s="40"/>
      <c r="C2474" s="41"/>
      <c r="D2474" s="41"/>
      <c r="E2474" s="41"/>
      <c r="F2474" s="41"/>
      <c r="G2474" s="41"/>
      <c r="H2474" s="41"/>
      <c r="I2474" s="41"/>
      <c r="J2474" s="41"/>
      <c r="K2474" s="41"/>
      <c r="L2474" s="41"/>
      <c r="M2474" s="41"/>
      <c r="N2474" s="41"/>
      <c r="O2474" s="41"/>
      <c r="P2474" s="28"/>
    </row>
    <row r="2475" customFormat="1" spans="1:16">
      <c r="A2475" s="39"/>
      <c r="B2475" s="40"/>
      <c r="C2475" s="41"/>
      <c r="D2475" s="41"/>
      <c r="E2475" s="41"/>
      <c r="F2475" s="41"/>
      <c r="G2475" s="41"/>
      <c r="H2475" s="41"/>
      <c r="I2475" s="41"/>
      <c r="J2475" s="41"/>
      <c r="K2475" s="41"/>
      <c r="L2475" s="41"/>
      <c r="M2475" s="41"/>
      <c r="N2475" s="41"/>
      <c r="O2475" s="41"/>
      <c r="P2475" s="28"/>
    </row>
    <row r="2476" customFormat="1" spans="1:16">
      <c r="A2476" s="39"/>
      <c r="B2476" s="40"/>
      <c r="C2476" s="41"/>
      <c r="D2476" s="41"/>
      <c r="E2476" s="41"/>
      <c r="F2476" s="41"/>
      <c r="G2476" s="41"/>
      <c r="H2476" s="41"/>
      <c r="I2476" s="41"/>
      <c r="J2476" s="41"/>
      <c r="K2476" s="41"/>
      <c r="L2476" s="41"/>
      <c r="M2476" s="41"/>
      <c r="N2476" s="41"/>
      <c r="O2476" s="41"/>
      <c r="P2476" s="28"/>
    </row>
    <row r="2477" customFormat="1" spans="1:16">
      <c r="A2477" s="39"/>
      <c r="B2477" s="40"/>
      <c r="C2477" s="41"/>
      <c r="D2477" s="41"/>
      <c r="E2477" s="41"/>
      <c r="F2477" s="41"/>
      <c r="G2477" s="41"/>
      <c r="H2477" s="41"/>
      <c r="I2477" s="41"/>
      <c r="J2477" s="41"/>
      <c r="K2477" s="41"/>
      <c r="L2477" s="41"/>
      <c r="M2477" s="41"/>
      <c r="N2477" s="41"/>
      <c r="O2477" s="41"/>
      <c r="P2477" s="28"/>
    </row>
    <row r="2478" customFormat="1" spans="1:16">
      <c r="A2478" s="39"/>
      <c r="B2478" s="40"/>
      <c r="C2478" s="41"/>
      <c r="D2478" s="41"/>
      <c r="E2478" s="41"/>
      <c r="F2478" s="41"/>
      <c r="G2478" s="41"/>
      <c r="H2478" s="41"/>
      <c r="I2478" s="41"/>
      <c r="J2478" s="41"/>
      <c r="K2478" s="41"/>
      <c r="L2478" s="41"/>
      <c r="M2478" s="41"/>
      <c r="N2478" s="41"/>
      <c r="O2478" s="41"/>
      <c r="P2478" s="28"/>
    </row>
    <row r="2479" customFormat="1" spans="1:16">
      <c r="A2479" s="39"/>
      <c r="B2479" s="40"/>
      <c r="C2479" s="41"/>
      <c r="D2479" s="41"/>
      <c r="E2479" s="41"/>
      <c r="F2479" s="41"/>
      <c r="G2479" s="41"/>
      <c r="H2479" s="41"/>
      <c r="I2479" s="41"/>
      <c r="J2479" s="41"/>
      <c r="K2479" s="41"/>
      <c r="L2479" s="41"/>
      <c r="M2479" s="41"/>
      <c r="N2479" s="41"/>
      <c r="O2479" s="41"/>
      <c r="P2479" s="28"/>
    </row>
    <row r="2480" customFormat="1" spans="1:16">
      <c r="A2480" s="39"/>
      <c r="B2480" s="40"/>
      <c r="C2480" s="41"/>
      <c r="D2480" s="41"/>
      <c r="E2480" s="41"/>
      <c r="F2480" s="41"/>
      <c r="G2480" s="41"/>
      <c r="H2480" s="41"/>
      <c r="I2480" s="41"/>
      <c r="J2480" s="41"/>
      <c r="K2480" s="41"/>
      <c r="L2480" s="41"/>
      <c r="M2480" s="41"/>
      <c r="N2480" s="41"/>
      <c r="O2480" s="41"/>
      <c r="P2480" s="28"/>
    </row>
    <row r="2481" customFormat="1" spans="1:16">
      <c r="A2481" s="39"/>
      <c r="B2481" s="40"/>
      <c r="C2481" s="41"/>
      <c r="D2481" s="41"/>
      <c r="E2481" s="41"/>
      <c r="F2481" s="41"/>
      <c r="G2481" s="41"/>
      <c r="H2481" s="41"/>
      <c r="I2481" s="41"/>
      <c r="J2481" s="41"/>
      <c r="K2481" s="41"/>
      <c r="L2481" s="41"/>
      <c r="M2481" s="41"/>
      <c r="N2481" s="41"/>
      <c r="O2481" s="41"/>
      <c r="P2481" s="28"/>
    </row>
    <row r="2482" customFormat="1" spans="1:16">
      <c r="A2482" s="39"/>
      <c r="B2482" s="40"/>
      <c r="C2482" s="41"/>
      <c r="D2482" s="41"/>
      <c r="E2482" s="41"/>
      <c r="F2482" s="41"/>
      <c r="G2482" s="41"/>
      <c r="H2482" s="41"/>
      <c r="I2482" s="41"/>
      <c r="J2482" s="41"/>
      <c r="K2482" s="41"/>
      <c r="L2482" s="41"/>
      <c r="M2482" s="41"/>
      <c r="N2482" s="41"/>
      <c r="O2482" s="41"/>
      <c r="P2482" s="28"/>
    </row>
    <row r="2483" customFormat="1" spans="1:16">
      <c r="A2483" s="39"/>
      <c r="B2483" s="40"/>
      <c r="C2483" s="41"/>
      <c r="D2483" s="41"/>
      <c r="E2483" s="41"/>
      <c r="F2483" s="41"/>
      <c r="G2483" s="41"/>
      <c r="H2483" s="41"/>
      <c r="I2483" s="41"/>
      <c r="J2483" s="41"/>
      <c r="K2483" s="41"/>
      <c r="L2483" s="41"/>
      <c r="M2483" s="41"/>
      <c r="N2483" s="41"/>
      <c r="O2483" s="41"/>
      <c r="P2483" s="28"/>
    </row>
    <row r="2484" customFormat="1" spans="1:16">
      <c r="A2484" s="39"/>
      <c r="B2484" s="40"/>
      <c r="C2484" s="41"/>
      <c r="D2484" s="41"/>
      <c r="E2484" s="41"/>
      <c r="F2484" s="41"/>
      <c r="G2484" s="41"/>
      <c r="H2484" s="41"/>
      <c r="I2484" s="41"/>
      <c r="J2484" s="41"/>
      <c r="K2484" s="41"/>
      <c r="L2484" s="41"/>
      <c r="M2484" s="41"/>
      <c r="N2484" s="41"/>
      <c r="O2484" s="41"/>
      <c r="P2484" s="28"/>
    </row>
    <row r="2485" customFormat="1" spans="1:16">
      <c r="A2485" s="39"/>
      <c r="B2485" s="40"/>
      <c r="C2485" s="41"/>
      <c r="D2485" s="41"/>
      <c r="E2485" s="41"/>
      <c r="F2485" s="41"/>
      <c r="G2485" s="41"/>
      <c r="H2485" s="41"/>
      <c r="I2485" s="41"/>
      <c r="J2485" s="41"/>
      <c r="K2485" s="41"/>
      <c r="L2485" s="41"/>
      <c r="M2485" s="41"/>
      <c r="N2485" s="41"/>
      <c r="O2485" s="41"/>
      <c r="P2485" s="28"/>
    </row>
    <row r="2486" customFormat="1" spans="1:16">
      <c r="A2486" s="39"/>
      <c r="B2486" s="40"/>
      <c r="C2486" s="41"/>
      <c r="D2486" s="41"/>
      <c r="E2486" s="41"/>
      <c r="F2486" s="41"/>
      <c r="G2486" s="41"/>
      <c r="H2486" s="41"/>
      <c r="I2486" s="41"/>
      <c r="J2486" s="41"/>
      <c r="K2486" s="41"/>
      <c r="L2486" s="41"/>
      <c r="M2486" s="41"/>
      <c r="N2486" s="41"/>
      <c r="O2486" s="41"/>
      <c r="P2486" s="28"/>
    </row>
    <row r="2487" customFormat="1" spans="1:16">
      <c r="A2487" s="39"/>
      <c r="B2487" s="40"/>
      <c r="C2487" s="41"/>
      <c r="D2487" s="41"/>
      <c r="E2487" s="41"/>
      <c r="F2487" s="41"/>
      <c r="G2487" s="41"/>
      <c r="H2487" s="41"/>
      <c r="I2487" s="41"/>
      <c r="J2487" s="41"/>
      <c r="K2487" s="41"/>
      <c r="L2487" s="41"/>
      <c r="M2487" s="41"/>
      <c r="N2487" s="41"/>
      <c r="O2487" s="41"/>
      <c r="P2487" s="28"/>
    </row>
    <row r="2488" customFormat="1" spans="1:16">
      <c r="A2488" s="39"/>
      <c r="B2488" s="40"/>
      <c r="C2488" s="41"/>
      <c r="D2488" s="41"/>
      <c r="E2488" s="41"/>
      <c r="F2488" s="41"/>
      <c r="G2488" s="41"/>
      <c r="H2488" s="41"/>
      <c r="I2488" s="41"/>
      <c r="J2488" s="41"/>
      <c r="K2488" s="41"/>
      <c r="L2488" s="41"/>
      <c r="M2488" s="41"/>
      <c r="N2488" s="41"/>
      <c r="O2488" s="41"/>
      <c r="P2488" s="28"/>
    </row>
    <row r="2489" customFormat="1" spans="1:16">
      <c r="A2489" s="39"/>
      <c r="B2489" s="40"/>
      <c r="C2489" s="41"/>
      <c r="D2489" s="41"/>
      <c r="E2489" s="41"/>
      <c r="F2489" s="41"/>
      <c r="G2489" s="41"/>
      <c r="H2489" s="41"/>
      <c r="I2489" s="41"/>
      <c r="J2489" s="41"/>
      <c r="K2489" s="41"/>
      <c r="L2489" s="41"/>
      <c r="M2489" s="41"/>
      <c r="N2489" s="41"/>
      <c r="O2489" s="41"/>
      <c r="P2489" s="28"/>
    </row>
    <row r="2490" customFormat="1" spans="1:16">
      <c r="A2490" s="39"/>
      <c r="B2490" s="40"/>
      <c r="C2490" s="41"/>
      <c r="D2490" s="41"/>
      <c r="E2490" s="41"/>
      <c r="F2490" s="41"/>
      <c r="G2490" s="41"/>
      <c r="H2490" s="41"/>
      <c r="I2490" s="41"/>
      <c r="J2490" s="41"/>
      <c r="K2490" s="41"/>
      <c r="L2490" s="41"/>
      <c r="M2490" s="41"/>
      <c r="N2490" s="41"/>
      <c r="O2490" s="41"/>
      <c r="P2490" s="28"/>
    </row>
    <row r="2491" customFormat="1" spans="1:16">
      <c r="A2491" s="39"/>
      <c r="B2491" s="40"/>
      <c r="C2491" s="41"/>
      <c r="D2491" s="41"/>
      <c r="E2491" s="41"/>
      <c r="F2491" s="41"/>
      <c r="G2491" s="41"/>
      <c r="H2491" s="41"/>
      <c r="I2491" s="41"/>
      <c r="J2491" s="41"/>
      <c r="K2491" s="41"/>
      <c r="L2491" s="41"/>
      <c r="M2491" s="41"/>
      <c r="N2491" s="41"/>
      <c r="O2491" s="41"/>
      <c r="P2491" s="28"/>
    </row>
    <row r="2492" customFormat="1" spans="1:16">
      <c r="A2492" s="39"/>
      <c r="B2492" s="40"/>
      <c r="C2492" s="41"/>
      <c r="D2492" s="41"/>
      <c r="E2492" s="41"/>
      <c r="F2492" s="41"/>
      <c r="G2492" s="41"/>
      <c r="H2492" s="41"/>
      <c r="I2492" s="41"/>
      <c r="J2492" s="41"/>
      <c r="K2492" s="41"/>
      <c r="L2492" s="41"/>
      <c r="M2492" s="41"/>
      <c r="N2492" s="41"/>
      <c r="O2492" s="41"/>
      <c r="P2492" s="28"/>
    </row>
    <row r="2493" customFormat="1" spans="1:16">
      <c r="A2493" s="39"/>
      <c r="B2493" s="40"/>
      <c r="C2493" s="41"/>
      <c r="D2493" s="41"/>
      <c r="E2493" s="41"/>
      <c r="F2493" s="41"/>
      <c r="G2493" s="41"/>
      <c r="H2493" s="41"/>
      <c r="I2493" s="41"/>
      <c r="J2493" s="41"/>
      <c r="K2493" s="41"/>
      <c r="L2493" s="41"/>
      <c r="M2493" s="41"/>
      <c r="N2493" s="41"/>
      <c r="O2493" s="41"/>
      <c r="P2493" s="28"/>
    </row>
    <row r="2494" customFormat="1" spans="1:16">
      <c r="A2494" s="39"/>
      <c r="B2494" s="40"/>
      <c r="C2494" s="41"/>
      <c r="D2494" s="41"/>
      <c r="E2494" s="41"/>
      <c r="F2494" s="41"/>
      <c r="G2494" s="41"/>
      <c r="H2494" s="41"/>
      <c r="I2494" s="41"/>
      <c r="J2494" s="41"/>
      <c r="K2494" s="41"/>
      <c r="L2494" s="41"/>
      <c r="M2494" s="41"/>
      <c r="N2494" s="41"/>
      <c r="O2494" s="41"/>
      <c r="P2494" s="28"/>
    </row>
    <row r="2495" customFormat="1" spans="1:16">
      <c r="A2495" s="39"/>
      <c r="B2495" s="40"/>
      <c r="C2495" s="41"/>
      <c r="D2495" s="41"/>
      <c r="E2495" s="41"/>
      <c r="F2495" s="41"/>
      <c r="G2495" s="41"/>
      <c r="H2495" s="41"/>
      <c r="I2495" s="41"/>
      <c r="J2495" s="41"/>
      <c r="K2495" s="41"/>
      <c r="L2495" s="41"/>
      <c r="M2495" s="41"/>
      <c r="N2495" s="41"/>
      <c r="O2495" s="41"/>
      <c r="P2495" s="28"/>
    </row>
    <row r="2496" customFormat="1" spans="1:16">
      <c r="A2496" s="39"/>
      <c r="B2496" s="40"/>
      <c r="C2496" s="41"/>
      <c r="D2496" s="41"/>
      <c r="E2496" s="41"/>
      <c r="F2496" s="41"/>
      <c r="G2496" s="41"/>
      <c r="H2496" s="41"/>
      <c r="I2496" s="41"/>
      <c r="J2496" s="41"/>
      <c r="K2496" s="41"/>
      <c r="L2496" s="41"/>
      <c r="M2496" s="41"/>
      <c r="N2496" s="41"/>
      <c r="O2496" s="41"/>
      <c r="P2496" s="28"/>
    </row>
    <row r="2497" customFormat="1" spans="1:16">
      <c r="A2497" s="39"/>
      <c r="B2497" s="40"/>
      <c r="C2497" s="41"/>
      <c r="D2497" s="41"/>
      <c r="E2497" s="41"/>
      <c r="F2497" s="41"/>
      <c r="G2497" s="41"/>
      <c r="H2497" s="41"/>
      <c r="I2497" s="41"/>
      <c r="J2497" s="41"/>
      <c r="K2497" s="41"/>
      <c r="L2497" s="41"/>
      <c r="M2497" s="41"/>
      <c r="N2497" s="41"/>
      <c r="O2497" s="41"/>
      <c r="P2497" s="28"/>
    </row>
    <row r="2498" customFormat="1" spans="1:16">
      <c r="A2498" s="39"/>
      <c r="B2498" s="40"/>
      <c r="C2498" s="41"/>
      <c r="D2498" s="41"/>
      <c r="E2498" s="41"/>
      <c r="F2498" s="41"/>
      <c r="G2498" s="41"/>
      <c r="H2498" s="41"/>
      <c r="I2498" s="41"/>
      <c r="J2498" s="41"/>
      <c r="K2498" s="41"/>
      <c r="L2498" s="41"/>
      <c r="M2498" s="41"/>
      <c r="N2498" s="41"/>
      <c r="O2498" s="41"/>
      <c r="P2498" s="28"/>
    </row>
    <row r="2499" customFormat="1" spans="1:16">
      <c r="A2499" s="39"/>
      <c r="B2499" s="40"/>
      <c r="C2499" s="41"/>
      <c r="D2499" s="41"/>
      <c r="E2499" s="41"/>
      <c r="F2499" s="41"/>
      <c r="G2499" s="41"/>
      <c r="H2499" s="41"/>
      <c r="I2499" s="41"/>
      <c r="J2499" s="41"/>
      <c r="K2499" s="41"/>
      <c r="L2499" s="41"/>
      <c r="M2499" s="41"/>
      <c r="N2499" s="41"/>
      <c r="O2499" s="41"/>
      <c r="P2499" s="28"/>
    </row>
    <row r="2500" customFormat="1" spans="1:16">
      <c r="A2500" s="39"/>
      <c r="B2500" s="40"/>
      <c r="C2500" s="41"/>
      <c r="D2500" s="41"/>
      <c r="E2500" s="41"/>
      <c r="F2500" s="41"/>
      <c r="G2500" s="41"/>
      <c r="H2500" s="41"/>
      <c r="I2500" s="41"/>
      <c r="J2500" s="41"/>
      <c r="K2500" s="41"/>
      <c r="L2500" s="41"/>
      <c r="M2500" s="41"/>
      <c r="N2500" s="41"/>
      <c r="O2500" s="41"/>
      <c r="P2500" s="28"/>
    </row>
    <row r="2501" customFormat="1" spans="1:16">
      <c r="A2501" s="39"/>
      <c r="B2501" s="40"/>
      <c r="C2501" s="41"/>
      <c r="D2501" s="41"/>
      <c r="E2501" s="41"/>
      <c r="F2501" s="41"/>
      <c r="G2501" s="41"/>
      <c r="H2501" s="41"/>
      <c r="I2501" s="41"/>
      <c r="J2501" s="41"/>
      <c r="K2501" s="41"/>
      <c r="L2501" s="41"/>
      <c r="M2501" s="41"/>
      <c r="N2501" s="41"/>
      <c r="O2501" s="41"/>
      <c r="P2501" s="28"/>
    </row>
    <row r="2502" customFormat="1" spans="1:16">
      <c r="A2502" s="39"/>
      <c r="B2502" s="40"/>
      <c r="C2502" s="41"/>
      <c r="D2502" s="41"/>
      <c r="E2502" s="41"/>
      <c r="F2502" s="41"/>
      <c r="G2502" s="41"/>
      <c r="H2502" s="41"/>
      <c r="I2502" s="41"/>
      <c r="J2502" s="41"/>
      <c r="K2502" s="41"/>
      <c r="L2502" s="41"/>
      <c r="M2502" s="41"/>
      <c r="N2502" s="41"/>
      <c r="O2502" s="41"/>
      <c r="P2502" s="28"/>
    </row>
    <row r="2503" customFormat="1" spans="1:16">
      <c r="A2503" s="39"/>
      <c r="B2503" s="40"/>
      <c r="C2503" s="41"/>
      <c r="D2503" s="41"/>
      <c r="E2503" s="41"/>
      <c r="F2503" s="41"/>
      <c r="G2503" s="41"/>
      <c r="H2503" s="41"/>
      <c r="I2503" s="41"/>
      <c r="J2503" s="41"/>
      <c r="K2503" s="41"/>
      <c r="L2503" s="41"/>
      <c r="M2503" s="41"/>
      <c r="N2503" s="41"/>
      <c r="O2503" s="41"/>
      <c r="P2503" s="28"/>
    </row>
    <row r="2504" customFormat="1" spans="1:16">
      <c r="A2504" s="39"/>
      <c r="B2504" s="40"/>
      <c r="C2504" s="41"/>
      <c r="D2504" s="41"/>
      <c r="E2504" s="41"/>
      <c r="F2504" s="41"/>
      <c r="G2504" s="41"/>
      <c r="H2504" s="41"/>
      <c r="I2504" s="41"/>
      <c r="J2504" s="41"/>
      <c r="K2504" s="41"/>
      <c r="L2504" s="41"/>
      <c r="M2504" s="41"/>
      <c r="N2504" s="41"/>
      <c r="O2504" s="41"/>
      <c r="P2504" s="28"/>
    </row>
    <row r="2505" customFormat="1" spans="1:16">
      <c r="A2505" s="39"/>
      <c r="B2505" s="40"/>
      <c r="C2505" s="41"/>
      <c r="D2505" s="41"/>
      <c r="E2505" s="41"/>
      <c r="F2505" s="41"/>
      <c r="G2505" s="41"/>
      <c r="H2505" s="41"/>
      <c r="I2505" s="41"/>
      <c r="J2505" s="41"/>
      <c r="K2505" s="41"/>
      <c r="L2505" s="41"/>
      <c r="M2505" s="41"/>
      <c r="N2505" s="41"/>
      <c r="O2505" s="41"/>
      <c r="P2505" s="28"/>
    </row>
    <row r="2506" customFormat="1" spans="1:16">
      <c r="A2506" s="39"/>
      <c r="B2506" s="40"/>
      <c r="C2506" s="41"/>
      <c r="D2506" s="41"/>
      <c r="E2506" s="41"/>
      <c r="F2506" s="41"/>
      <c r="G2506" s="41"/>
      <c r="H2506" s="41"/>
      <c r="I2506" s="41"/>
      <c r="J2506" s="41"/>
      <c r="K2506" s="41"/>
      <c r="L2506" s="41"/>
      <c r="M2506" s="41"/>
      <c r="N2506" s="41"/>
      <c r="O2506" s="41"/>
      <c r="P2506" s="28"/>
    </row>
    <row r="2507" customFormat="1" spans="1:16">
      <c r="A2507" s="39"/>
      <c r="B2507" s="40"/>
      <c r="C2507" s="41"/>
      <c r="D2507" s="41"/>
      <c r="E2507" s="41"/>
      <c r="F2507" s="41"/>
      <c r="G2507" s="41"/>
      <c r="H2507" s="41"/>
      <c r="I2507" s="41"/>
      <c r="J2507" s="41"/>
      <c r="K2507" s="41"/>
      <c r="L2507" s="41"/>
      <c r="M2507" s="41"/>
      <c r="N2507" s="41"/>
      <c r="O2507" s="41"/>
      <c r="P2507" s="28"/>
    </row>
    <row r="2508" customFormat="1" spans="1:16">
      <c r="A2508" s="39"/>
      <c r="B2508" s="40"/>
      <c r="C2508" s="41"/>
      <c r="D2508" s="41"/>
      <c r="E2508" s="41"/>
      <c r="F2508" s="41"/>
      <c r="G2508" s="41"/>
      <c r="H2508" s="41"/>
      <c r="I2508" s="41"/>
      <c r="J2508" s="41"/>
      <c r="K2508" s="41"/>
      <c r="L2508" s="41"/>
      <c r="M2508" s="41"/>
      <c r="N2508" s="41"/>
      <c r="O2508" s="41"/>
      <c r="P2508" s="28"/>
    </row>
    <row r="2509" customFormat="1" spans="1:16">
      <c r="A2509" s="39"/>
      <c r="B2509" s="40"/>
      <c r="C2509" s="41"/>
      <c r="D2509" s="41"/>
      <c r="E2509" s="41"/>
      <c r="F2509" s="41"/>
      <c r="G2509" s="41"/>
      <c r="H2509" s="41"/>
      <c r="I2509" s="41"/>
      <c r="J2509" s="41"/>
      <c r="K2509" s="41"/>
      <c r="L2509" s="41"/>
      <c r="M2509" s="41"/>
      <c r="N2509" s="41"/>
      <c r="O2509" s="41"/>
      <c r="P2509" s="28"/>
    </row>
    <row r="2510" customFormat="1" spans="1:16">
      <c r="A2510" s="39"/>
      <c r="B2510" s="40"/>
      <c r="C2510" s="41"/>
      <c r="D2510" s="41"/>
      <c r="E2510" s="41"/>
      <c r="F2510" s="41"/>
      <c r="G2510" s="41"/>
      <c r="H2510" s="41"/>
      <c r="I2510" s="41"/>
      <c r="J2510" s="41"/>
      <c r="K2510" s="41"/>
      <c r="L2510" s="41"/>
      <c r="M2510" s="41"/>
      <c r="N2510" s="41"/>
      <c r="O2510" s="41"/>
      <c r="P2510" s="28"/>
    </row>
    <row r="2511" customFormat="1" spans="1:16">
      <c r="A2511" s="39"/>
      <c r="B2511" s="40"/>
      <c r="C2511" s="41"/>
      <c r="D2511" s="41"/>
      <c r="E2511" s="41"/>
      <c r="F2511" s="41"/>
      <c r="G2511" s="41"/>
      <c r="H2511" s="41"/>
      <c r="I2511" s="41"/>
      <c r="J2511" s="41"/>
      <c r="K2511" s="41"/>
      <c r="L2511" s="41"/>
      <c r="M2511" s="41"/>
      <c r="N2511" s="41"/>
      <c r="O2511" s="41"/>
      <c r="P2511" s="28"/>
    </row>
    <row r="2512" customFormat="1" spans="1:16">
      <c r="A2512" s="39"/>
      <c r="B2512" s="40"/>
      <c r="C2512" s="41"/>
      <c r="D2512" s="41"/>
      <c r="E2512" s="41"/>
      <c r="F2512" s="41"/>
      <c r="G2512" s="41"/>
      <c r="H2512" s="41"/>
      <c r="I2512" s="41"/>
      <c r="J2512" s="41"/>
      <c r="K2512" s="41"/>
      <c r="L2512" s="41"/>
      <c r="M2512" s="41"/>
      <c r="N2512" s="41"/>
      <c r="O2512" s="41"/>
      <c r="P2512" s="28"/>
    </row>
    <row r="2513" customFormat="1" spans="1:16">
      <c r="A2513" s="39"/>
      <c r="B2513" s="40"/>
      <c r="C2513" s="41"/>
      <c r="D2513" s="41"/>
      <c r="E2513" s="41"/>
      <c r="F2513" s="41"/>
      <c r="G2513" s="41"/>
      <c r="H2513" s="41"/>
      <c r="I2513" s="41"/>
      <c r="J2513" s="41"/>
      <c r="K2513" s="41"/>
      <c r="L2513" s="41"/>
      <c r="M2513" s="41"/>
      <c r="N2513" s="41"/>
      <c r="O2513" s="41"/>
      <c r="P2513" s="28"/>
    </row>
    <row r="2514" customFormat="1" spans="1:16">
      <c r="A2514" s="39"/>
      <c r="B2514" s="40"/>
      <c r="C2514" s="41"/>
      <c r="D2514" s="41"/>
      <c r="E2514" s="41"/>
      <c r="F2514" s="41"/>
      <c r="G2514" s="41"/>
      <c r="H2514" s="41"/>
      <c r="I2514" s="41"/>
      <c r="J2514" s="41"/>
      <c r="K2514" s="41"/>
      <c r="L2514" s="41"/>
      <c r="M2514" s="41"/>
      <c r="N2514" s="41"/>
      <c r="O2514" s="41"/>
      <c r="P2514" s="28"/>
    </row>
    <row r="2515" customFormat="1" spans="1:16">
      <c r="A2515" s="39"/>
      <c r="B2515" s="40"/>
      <c r="C2515" s="41"/>
      <c r="D2515" s="41"/>
      <c r="E2515" s="41"/>
      <c r="F2515" s="41"/>
      <c r="G2515" s="41"/>
      <c r="H2515" s="41"/>
      <c r="I2515" s="41"/>
      <c r="J2515" s="41"/>
      <c r="K2515" s="41"/>
      <c r="L2515" s="41"/>
      <c r="M2515" s="41"/>
      <c r="N2515" s="41"/>
      <c r="O2515" s="41"/>
      <c r="P2515" s="28"/>
    </row>
    <row r="2516" customFormat="1" spans="1:16">
      <c r="A2516" s="39"/>
      <c r="B2516" s="40"/>
      <c r="C2516" s="41"/>
      <c r="D2516" s="41"/>
      <c r="E2516" s="41"/>
      <c r="F2516" s="41"/>
      <c r="G2516" s="41"/>
      <c r="H2516" s="41"/>
      <c r="I2516" s="41"/>
      <c r="J2516" s="41"/>
      <c r="K2516" s="41"/>
      <c r="L2516" s="41"/>
      <c r="M2516" s="41"/>
      <c r="N2516" s="41"/>
      <c r="O2516" s="41"/>
      <c r="P2516" s="28"/>
    </row>
    <row r="2517" customFormat="1" spans="1:16">
      <c r="A2517" s="39"/>
      <c r="B2517" s="40"/>
      <c r="C2517" s="41"/>
      <c r="D2517" s="41"/>
      <c r="E2517" s="41"/>
      <c r="F2517" s="41"/>
      <c r="G2517" s="41"/>
      <c r="H2517" s="41"/>
      <c r="I2517" s="41"/>
      <c r="J2517" s="41"/>
      <c r="K2517" s="41"/>
      <c r="L2517" s="41"/>
      <c r="M2517" s="41"/>
      <c r="N2517" s="41"/>
      <c r="O2517" s="41"/>
      <c r="P2517" s="28"/>
    </row>
    <row r="2518" customFormat="1" spans="1:16">
      <c r="A2518" s="39"/>
      <c r="B2518" s="40"/>
      <c r="C2518" s="41"/>
      <c r="D2518" s="41"/>
      <c r="E2518" s="41"/>
      <c r="F2518" s="41"/>
      <c r="G2518" s="41"/>
      <c r="H2518" s="41"/>
      <c r="I2518" s="41"/>
      <c r="J2518" s="41"/>
      <c r="K2518" s="41"/>
      <c r="L2518" s="41"/>
      <c r="M2518" s="41"/>
      <c r="N2518" s="41"/>
      <c r="O2518" s="41"/>
      <c r="P2518" s="28"/>
    </row>
    <row r="2519" customFormat="1" spans="1:16">
      <c r="A2519" s="39"/>
      <c r="B2519" s="40"/>
      <c r="C2519" s="41"/>
      <c r="D2519" s="41"/>
      <c r="E2519" s="41"/>
      <c r="F2519" s="41"/>
      <c r="G2519" s="41"/>
      <c r="H2519" s="41"/>
      <c r="I2519" s="41"/>
      <c r="J2519" s="41"/>
      <c r="K2519" s="41"/>
      <c r="L2519" s="41"/>
      <c r="M2519" s="41"/>
      <c r="N2519" s="41"/>
      <c r="O2519" s="41"/>
      <c r="P2519" s="28"/>
    </row>
    <row r="2520" customFormat="1" spans="1:16">
      <c r="A2520" s="39"/>
      <c r="B2520" s="40"/>
      <c r="C2520" s="41"/>
      <c r="D2520" s="41"/>
      <c r="E2520" s="41"/>
      <c r="F2520" s="41"/>
      <c r="G2520" s="41"/>
      <c r="H2520" s="41"/>
      <c r="I2520" s="41"/>
      <c r="J2520" s="41"/>
      <c r="K2520" s="41"/>
      <c r="L2520" s="41"/>
      <c r="M2520" s="41"/>
      <c r="N2520" s="41"/>
      <c r="O2520" s="41"/>
      <c r="P2520" s="28"/>
    </row>
    <row r="2521" customFormat="1" spans="1:16">
      <c r="A2521" s="39"/>
      <c r="B2521" s="40"/>
      <c r="C2521" s="41"/>
      <c r="D2521" s="41"/>
      <c r="E2521" s="41"/>
      <c r="F2521" s="41"/>
      <c r="G2521" s="41"/>
      <c r="H2521" s="41"/>
      <c r="I2521" s="41"/>
      <c r="J2521" s="41"/>
      <c r="K2521" s="41"/>
      <c r="L2521" s="41"/>
      <c r="M2521" s="41"/>
      <c r="N2521" s="41"/>
      <c r="O2521" s="41"/>
      <c r="P2521" s="28"/>
    </row>
    <row r="2522" customFormat="1" spans="1:16">
      <c r="A2522" s="39"/>
      <c r="B2522" s="40"/>
      <c r="C2522" s="41"/>
      <c r="D2522" s="41"/>
      <c r="E2522" s="41"/>
      <c r="F2522" s="41"/>
      <c r="G2522" s="41"/>
      <c r="H2522" s="41"/>
      <c r="I2522" s="41"/>
      <c r="J2522" s="41"/>
      <c r="K2522" s="41"/>
      <c r="L2522" s="41"/>
      <c r="M2522" s="41"/>
      <c r="N2522" s="41"/>
      <c r="O2522" s="41"/>
      <c r="P2522" s="28"/>
    </row>
    <row r="2523" customFormat="1" spans="1:16">
      <c r="A2523" s="39"/>
      <c r="B2523" s="40"/>
      <c r="C2523" s="41"/>
      <c r="D2523" s="41"/>
      <c r="E2523" s="41"/>
      <c r="F2523" s="41"/>
      <c r="G2523" s="41"/>
      <c r="H2523" s="41"/>
      <c r="I2523" s="41"/>
      <c r="J2523" s="41"/>
      <c r="K2523" s="41"/>
      <c r="L2523" s="41"/>
      <c r="M2523" s="41"/>
      <c r="N2523" s="41"/>
      <c r="O2523" s="41"/>
      <c r="P2523" s="28"/>
    </row>
    <row r="2524" customFormat="1" spans="1:16">
      <c r="A2524" s="39"/>
      <c r="B2524" s="40"/>
      <c r="C2524" s="41"/>
      <c r="D2524" s="41"/>
      <c r="E2524" s="41"/>
      <c r="F2524" s="41"/>
      <c r="G2524" s="41"/>
      <c r="H2524" s="41"/>
      <c r="I2524" s="41"/>
      <c r="J2524" s="41"/>
      <c r="K2524" s="41"/>
      <c r="L2524" s="41"/>
      <c r="M2524" s="41"/>
      <c r="N2524" s="41"/>
      <c r="O2524" s="41"/>
      <c r="P2524" s="28"/>
    </row>
    <row r="2525" customFormat="1" spans="1:16">
      <c r="A2525" s="39"/>
      <c r="B2525" s="40"/>
      <c r="C2525" s="41"/>
      <c r="D2525" s="41"/>
      <c r="E2525" s="41"/>
      <c r="F2525" s="41"/>
      <c r="G2525" s="41"/>
      <c r="H2525" s="41"/>
      <c r="I2525" s="41"/>
      <c r="J2525" s="41"/>
      <c r="K2525" s="41"/>
      <c r="L2525" s="41"/>
      <c r="M2525" s="41"/>
      <c r="N2525" s="41"/>
      <c r="O2525" s="41"/>
      <c r="P2525" s="28"/>
    </row>
    <row r="2526" customFormat="1" spans="1:16">
      <c r="A2526" s="39"/>
      <c r="B2526" s="40"/>
      <c r="C2526" s="41"/>
      <c r="D2526" s="41"/>
      <c r="E2526" s="41"/>
      <c r="F2526" s="41"/>
      <c r="G2526" s="41"/>
      <c r="H2526" s="41"/>
      <c r="I2526" s="41"/>
      <c r="J2526" s="41"/>
      <c r="K2526" s="41"/>
      <c r="L2526" s="41"/>
      <c r="M2526" s="41"/>
      <c r="N2526" s="41"/>
      <c r="O2526" s="41"/>
      <c r="P2526" s="28"/>
    </row>
    <row r="2527" customFormat="1" spans="1:16">
      <c r="A2527" s="39"/>
      <c r="B2527" s="40"/>
      <c r="C2527" s="41"/>
      <c r="D2527" s="41"/>
      <c r="E2527" s="41"/>
      <c r="F2527" s="41"/>
      <c r="G2527" s="41"/>
      <c r="H2527" s="41"/>
      <c r="I2527" s="41"/>
      <c r="J2527" s="41"/>
      <c r="K2527" s="41"/>
      <c r="L2527" s="41"/>
      <c r="M2527" s="41"/>
      <c r="N2527" s="41"/>
      <c r="O2527" s="41"/>
      <c r="P2527" s="28"/>
    </row>
    <row r="2528" customFormat="1" spans="1:16">
      <c r="A2528" s="39"/>
      <c r="B2528" s="40"/>
      <c r="C2528" s="41"/>
      <c r="D2528" s="41"/>
      <c r="E2528" s="41"/>
      <c r="F2528" s="41"/>
      <c r="G2528" s="41"/>
      <c r="H2528" s="41"/>
      <c r="I2528" s="41"/>
      <c r="J2528" s="41"/>
      <c r="K2528" s="41"/>
      <c r="L2528" s="41"/>
      <c r="M2528" s="41"/>
      <c r="N2528" s="41"/>
      <c r="O2528" s="41"/>
      <c r="P2528" s="28"/>
    </row>
    <row r="2529" customFormat="1" spans="1:16">
      <c r="A2529" s="39"/>
      <c r="B2529" s="40"/>
      <c r="C2529" s="41"/>
      <c r="D2529" s="41"/>
      <c r="E2529" s="41"/>
      <c r="F2529" s="41"/>
      <c r="G2529" s="41"/>
      <c r="H2529" s="41"/>
      <c r="I2529" s="41"/>
      <c r="J2529" s="41"/>
      <c r="K2529" s="41"/>
      <c r="L2529" s="41"/>
      <c r="M2529" s="41"/>
      <c r="N2529" s="41"/>
      <c r="O2529" s="41"/>
      <c r="P2529" s="28"/>
    </row>
    <row r="2530" customFormat="1" spans="1:16">
      <c r="A2530" s="39"/>
      <c r="B2530" s="40"/>
      <c r="C2530" s="41"/>
      <c r="D2530" s="41"/>
      <c r="E2530" s="41"/>
      <c r="F2530" s="41"/>
      <c r="G2530" s="41"/>
      <c r="H2530" s="41"/>
      <c r="I2530" s="41"/>
      <c r="J2530" s="41"/>
      <c r="K2530" s="41"/>
      <c r="L2530" s="41"/>
      <c r="M2530" s="41"/>
      <c r="N2530" s="41"/>
      <c r="O2530" s="41"/>
      <c r="P2530" s="28"/>
    </row>
    <row r="2531" customFormat="1" spans="1:16">
      <c r="A2531" s="39"/>
      <c r="B2531" s="40"/>
      <c r="C2531" s="41"/>
      <c r="D2531" s="41"/>
      <c r="E2531" s="41"/>
      <c r="F2531" s="41"/>
      <c r="G2531" s="41"/>
      <c r="H2531" s="41"/>
      <c r="I2531" s="41"/>
      <c r="J2531" s="41"/>
      <c r="K2531" s="41"/>
      <c r="L2531" s="41"/>
      <c r="M2531" s="41"/>
      <c r="N2531" s="41"/>
      <c r="O2531" s="41"/>
      <c r="P2531" s="28"/>
    </row>
    <row r="2532" customFormat="1" spans="1:16">
      <c r="A2532" s="39"/>
      <c r="B2532" s="40"/>
      <c r="C2532" s="41"/>
      <c r="D2532" s="41"/>
      <c r="E2532" s="41"/>
      <c r="F2532" s="41"/>
      <c r="G2532" s="41"/>
      <c r="H2532" s="41"/>
      <c r="I2532" s="41"/>
      <c r="J2532" s="41"/>
      <c r="K2532" s="41"/>
      <c r="L2532" s="41"/>
      <c r="M2532" s="41"/>
      <c r="N2532" s="41"/>
      <c r="O2532" s="41"/>
      <c r="P2532" s="28"/>
    </row>
    <row r="2533" customFormat="1" spans="1:16">
      <c r="A2533" s="39"/>
      <c r="B2533" s="40"/>
      <c r="C2533" s="41"/>
      <c r="D2533" s="41"/>
      <c r="E2533" s="41"/>
      <c r="F2533" s="41"/>
      <c r="G2533" s="41"/>
      <c r="H2533" s="41"/>
      <c r="I2533" s="41"/>
      <c r="J2533" s="41"/>
      <c r="K2533" s="41"/>
      <c r="L2533" s="41"/>
      <c r="M2533" s="41"/>
      <c r="N2533" s="41"/>
      <c r="O2533" s="41"/>
      <c r="P2533" s="28"/>
    </row>
    <row r="2534" customFormat="1" spans="1:16">
      <c r="A2534" s="39"/>
      <c r="B2534" s="40"/>
      <c r="C2534" s="41"/>
      <c r="D2534" s="41"/>
      <c r="E2534" s="41"/>
      <c r="F2534" s="41"/>
      <c r="G2534" s="41"/>
      <c r="H2534" s="41"/>
      <c r="I2534" s="41"/>
      <c r="J2534" s="41"/>
      <c r="K2534" s="41"/>
      <c r="L2534" s="41"/>
      <c r="M2534" s="41"/>
      <c r="N2534" s="41"/>
      <c r="O2534" s="41"/>
      <c r="P2534" s="28"/>
    </row>
    <row r="2535" customFormat="1" spans="1:16">
      <c r="A2535" s="39"/>
      <c r="B2535" s="40"/>
      <c r="C2535" s="41"/>
      <c r="D2535" s="41"/>
      <c r="E2535" s="41"/>
      <c r="F2535" s="41"/>
      <c r="G2535" s="41"/>
      <c r="H2535" s="41"/>
      <c r="I2535" s="41"/>
      <c r="J2535" s="41"/>
      <c r="K2535" s="41"/>
      <c r="L2535" s="41"/>
      <c r="M2535" s="41"/>
      <c r="N2535" s="41"/>
      <c r="O2535" s="41"/>
      <c r="P2535" s="28"/>
    </row>
    <row r="2536" customFormat="1" spans="1:16">
      <c r="A2536" s="39"/>
      <c r="B2536" s="40"/>
      <c r="C2536" s="41"/>
      <c r="D2536" s="41"/>
      <c r="E2536" s="41"/>
      <c r="F2536" s="41"/>
      <c r="G2536" s="41"/>
      <c r="H2536" s="41"/>
      <c r="I2536" s="41"/>
      <c r="J2536" s="41"/>
      <c r="K2536" s="41"/>
      <c r="L2536" s="41"/>
      <c r="M2536" s="41"/>
      <c r="N2536" s="41"/>
      <c r="O2536" s="41"/>
      <c r="P2536" s="28"/>
    </row>
    <row r="2537" customFormat="1" spans="1:16">
      <c r="A2537" s="39"/>
      <c r="B2537" s="40"/>
      <c r="C2537" s="41"/>
      <c r="D2537" s="41"/>
      <c r="E2537" s="41"/>
      <c r="F2537" s="41"/>
      <c r="G2537" s="41"/>
      <c r="H2537" s="41"/>
      <c r="I2537" s="41"/>
      <c r="J2537" s="41"/>
      <c r="K2537" s="41"/>
      <c r="L2537" s="41"/>
      <c r="M2537" s="41"/>
      <c r="N2537" s="41"/>
      <c r="O2537" s="41"/>
      <c r="P2537" s="28"/>
    </row>
    <row r="2538" customFormat="1" spans="1:16">
      <c r="A2538" s="39"/>
      <c r="B2538" s="40"/>
      <c r="C2538" s="41"/>
      <c r="D2538" s="41"/>
      <c r="E2538" s="41"/>
      <c r="F2538" s="41"/>
      <c r="G2538" s="41"/>
      <c r="H2538" s="41"/>
      <c r="I2538" s="41"/>
      <c r="J2538" s="41"/>
      <c r="K2538" s="41"/>
      <c r="L2538" s="41"/>
      <c r="M2538" s="41"/>
      <c r="N2538" s="41"/>
      <c r="O2538" s="41"/>
      <c r="P2538" s="28"/>
    </row>
    <row r="2539" customFormat="1" spans="1:16">
      <c r="A2539" s="39"/>
      <c r="B2539" s="40"/>
      <c r="C2539" s="41"/>
      <c r="D2539" s="41"/>
      <c r="E2539" s="41"/>
      <c r="F2539" s="41"/>
      <c r="G2539" s="41"/>
      <c r="H2539" s="41"/>
      <c r="I2539" s="41"/>
      <c r="J2539" s="41"/>
      <c r="K2539" s="41"/>
      <c r="L2539" s="41"/>
      <c r="M2539" s="41"/>
      <c r="N2539" s="41"/>
      <c r="O2539" s="41"/>
      <c r="P2539" s="28"/>
    </row>
    <row r="2540" customFormat="1" spans="1:16">
      <c r="A2540" s="39"/>
      <c r="B2540" s="40"/>
      <c r="C2540" s="41"/>
      <c r="D2540" s="41"/>
      <c r="E2540" s="41"/>
      <c r="F2540" s="41"/>
      <c r="G2540" s="41"/>
      <c r="H2540" s="41"/>
      <c r="I2540" s="41"/>
      <c r="J2540" s="41"/>
      <c r="K2540" s="41"/>
      <c r="L2540" s="41"/>
      <c r="M2540" s="41"/>
      <c r="N2540" s="41"/>
      <c r="O2540" s="41"/>
      <c r="P2540" s="28"/>
    </row>
    <row r="2541" customFormat="1" spans="1:16">
      <c r="A2541" s="39"/>
      <c r="B2541" s="40"/>
      <c r="C2541" s="41"/>
      <c r="D2541" s="41"/>
      <c r="E2541" s="41"/>
      <c r="F2541" s="41"/>
      <c r="G2541" s="41"/>
      <c r="H2541" s="41"/>
      <c r="I2541" s="41"/>
      <c r="J2541" s="41"/>
      <c r="K2541" s="41"/>
      <c r="L2541" s="41"/>
      <c r="M2541" s="41"/>
      <c r="N2541" s="41"/>
      <c r="O2541" s="41"/>
      <c r="P2541" s="28"/>
    </row>
    <row r="2542" customFormat="1" spans="1:16">
      <c r="A2542" s="39"/>
      <c r="B2542" s="40"/>
      <c r="C2542" s="41"/>
      <c r="D2542" s="41"/>
      <c r="E2542" s="41"/>
      <c r="F2542" s="41"/>
      <c r="G2542" s="41"/>
      <c r="H2542" s="41"/>
      <c r="I2542" s="41"/>
      <c r="J2542" s="41"/>
      <c r="K2542" s="41"/>
      <c r="L2542" s="41"/>
      <c r="M2542" s="41"/>
      <c r="N2542" s="41"/>
      <c r="O2542" s="41"/>
      <c r="P2542" s="28"/>
    </row>
    <row r="2543" customFormat="1" spans="1:16">
      <c r="A2543" s="39"/>
      <c r="B2543" s="40"/>
      <c r="C2543" s="41"/>
      <c r="D2543" s="41"/>
      <c r="E2543" s="41"/>
      <c r="F2543" s="41"/>
      <c r="G2543" s="41"/>
      <c r="H2543" s="41"/>
      <c r="I2543" s="41"/>
      <c r="J2543" s="41"/>
      <c r="K2543" s="41"/>
      <c r="L2543" s="41"/>
      <c r="M2543" s="41"/>
      <c r="N2543" s="41"/>
      <c r="O2543" s="41"/>
      <c r="P2543" s="28"/>
    </row>
    <row r="2544" customFormat="1" spans="1:16">
      <c r="A2544" s="39"/>
      <c r="B2544" s="40"/>
      <c r="C2544" s="41"/>
      <c r="D2544" s="41"/>
      <c r="E2544" s="41"/>
      <c r="F2544" s="41"/>
      <c r="G2544" s="41"/>
      <c r="H2544" s="41"/>
      <c r="I2544" s="41"/>
      <c r="J2544" s="41"/>
      <c r="K2544" s="41"/>
      <c r="L2544" s="41"/>
      <c r="M2544" s="41"/>
      <c r="N2544" s="41"/>
      <c r="O2544" s="41"/>
      <c r="P2544" s="28"/>
    </row>
    <row r="2545" customFormat="1" spans="1:16">
      <c r="A2545" s="39"/>
      <c r="B2545" s="40"/>
      <c r="C2545" s="41"/>
      <c r="D2545" s="41"/>
      <c r="E2545" s="41"/>
      <c r="F2545" s="41"/>
      <c r="G2545" s="41"/>
      <c r="H2545" s="41"/>
      <c r="I2545" s="41"/>
      <c r="J2545" s="41"/>
      <c r="K2545" s="41"/>
      <c r="L2545" s="41"/>
      <c r="M2545" s="41"/>
      <c r="N2545" s="41"/>
      <c r="O2545" s="41"/>
      <c r="P2545" s="28"/>
    </row>
    <row r="2546" customFormat="1" spans="1:16">
      <c r="A2546" s="39"/>
      <c r="B2546" s="40"/>
      <c r="C2546" s="41"/>
      <c r="D2546" s="41"/>
      <c r="E2546" s="41"/>
      <c r="F2546" s="41"/>
      <c r="G2546" s="41"/>
      <c r="H2546" s="41"/>
      <c r="I2546" s="41"/>
      <c r="J2546" s="41"/>
      <c r="K2546" s="41"/>
      <c r="L2546" s="41"/>
      <c r="M2546" s="41"/>
      <c r="N2546" s="41"/>
      <c r="O2546" s="41"/>
      <c r="P2546" s="28"/>
    </row>
    <row r="2547" customFormat="1" spans="1:16">
      <c r="A2547" s="39"/>
      <c r="B2547" s="40"/>
      <c r="C2547" s="41"/>
      <c r="D2547" s="41"/>
      <c r="E2547" s="41"/>
      <c r="F2547" s="41"/>
      <c r="G2547" s="41"/>
      <c r="H2547" s="41"/>
      <c r="I2547" s="41"/>
      <c r="J2547" s="41"/>
      <c r="K2547" s="41"/>
      <c r="L2547" s="41"/>
      <c r="M2547" s="41"/>
      <c r="N2547" s="41"/>
      <c r="O2547" s="41"/>
      <c r="P2547" s="28"/>
    </row>
    <row r="2548" customFormat="1" spans="1:16">
      <c r="A2548" s="39"/>
      <c r="B2548" s="40"/>
      <c r="C2548" s="41"/>
      <c r="D2548" s="41"/>
      <c r="E2548" s="41"/>
      <c r="F2548" s="41"/>
      <c r="G2548" s="41"/>
      <c r="H2548" s="41"/>
      <c r="I2548" s="41"/>
      <c r="J2548" s="41"/>
      <c r="K2548" s="41"/>
      <c r="L2548" s="41"/>
      <c r="M2548" s="41"/>
      <c r="N2548" s="41"/>
      <c r="O2548" s="41"/>
      <c r="P2548" s="28"/>
    </row>
    <row r="2549" customFormat="1" spans="1:16">
      <c r="A2549" s="39"/>
      <c r="B2549" s="40"/>
      <c r="C2549" s="41"/>
      <c r="D2549" s="41"/>
      <c r="E2549" s="41"/>
      <c r="F2549" s="41"/>
      <c r="G2549" s="41"/>
      <c r="H2549" s="41"/>
      <c r="I2549" s="41"/>
      <c r="J2549" s="41"/>
      <c r="K2549" s="41"/>
      <c r="L2549" s="41"/>
      <c r="M2549" s="41"/>
      <c r="N2549" s="41"/>
      <c r="O2549" s="41"/>
      <c r="P2549" s="28"/>
    </row>
    <row r="2550" customFormat="1" spans="1:16">
      <c r="A2550" s="39"/>
      <c r="B2550" s="40"/>
      <c r="C2550" s="41"/>
      <c r="D2550" s="41"/>
      <c r="E2550" s="41"/>
      <c r="F2550" s="41"/>
      <c r="G2550" s="41"/>
      <c r="H2550" s="41"/>
      <c r="I2550" s="41"/>
      <c r="J2550" s="41"/>
      <c r="K2550" s="41"/>
      <c r="L2550" s="41"/>
      <c r="M2550" s="41"/>
      <c r="N2550" s="41"/>
      <c r="O2550" s="41"/>
      <c r="P2550" s="28"/>
    </row>
    <row r="2551" customFormat="1" spans="1:16">
      <c r="A2551" s="39"/>
      <c r="B2551" s="40"/>
      <c r="C2551" s="41"/>
      <c r="D2551" s="41"/>
      <c r="E2551" s="41"/>
      <c r="F2551" s="41"/>
      <c r="G2551" s="41"/>
      <c r="H2551" s="41"/>
      <c r="I2551" s="41"/>
      <c r="J2551" s="41"/>
      <c r="K2551" s="41"/>
      <c r="L2551" s="41"/>
      <c r="M2551" s="41"/>
      <c r="N2551" s="41"/>
      <c r="O2551" s="41"/>
      <c r="P2551" s="28"/>
    </row>
    <row r="2552" customFormat="1" spans="1:16">
      <c r="A2552" s="39"/>
      <c r="B2552" s="40"/>
      <c r="C2552" s="41"/>
      <c r="D2552" s="41"/>
      <c r="E2552" s="41"/>
      <c r="F2552" s="41"/>
      <c r="G2552" s="41"/>
      <c r="H2552" s="41"/>
      <c r="I2552" s="41"/>
      <c r="J2552" s="41"/>
      <c r="K2552" s="41"/>
      <c r="L2552" s="41"/>
      <c r="M2552" s="41"/>
      <c r="N2552" s="41"/>
      <c r="O2552" s="41"/>
      <c r="P2552" s="28"/>
    </row>
    <row r="2553" customFormat="1" spans="1:16">
      <c r="A2553" s="39"/>
      <c r="B2553" s="40"/>
      <c r="C2553" s="41"/>
      <c r="D2553" s="41"/>
      <c r="E2553" s="41"/>
      <c r="F2553" s="41"/>
      <c r="G2553" s="41"/>
      <c r="H2553" s="41"/>
      <c r="I2553" s="41"/>
      <c r="J2553" s="41"/>
      <c r="K2553" s="41"/>
      <c r="L2553" s="41"/>
      <c r="M2553" s="41"/>
      <c r="N2553" s="41"/>
      <c r="O2553" s="41"/>
      <c r="P2553" s="28"/>
    </row>
    <row r="2554" customFormat="1" spans="1:16">
      <c r="A2554" s="39"/>
      <c r="B2554" s="40"/>
      <c r="C2554" s="41"/>
      <c r="D2554" s="41"/>
      <c r="E2554" s="41"/>
      <c r="F2554" s="41"/>
      <c r="G2554" s="41"/>
      <c r="H2554" s="41"/>
      <c r="I2554" s="41"/>
      <c r="J2554" s="41"/>
      <c r="K2554" s="41"/>
      <c r="L2554" s="41"/>
      <c r="M2554" s="41"/>
      <c r="N2554" s="41"/>
      <c r="O2554" s="41"/>
      <c r="P2554" s="28"/>
    </row>
    <row r="2555" customFormat="1" spans="1:16">
      <c r="A2555" s="39"/>
      <c r="B2555" s="40"/>
      <c r="C2555" s="41"/>
      <c r="D2555" s="41"/>
      <c r="E2555" s="41"/>
      <c r="F2555" s="41"/>
      <c r="G2555" s="41"/>
      <c r="H2555" s="41"/>
      <c r="I2555" s="41"/>
      <c r="J2555" s="41"/>
      <c r="K2555" s="41"/>
      <c r="L2555" s="41"/>
      <c r="M2555" s="41"/>
      <c r="N2555" s="41"/>
      <c r="O2555" s="41"/>
      <c r="P2555" s="28"/>
    </row>
    <row r="2556" customFormat="1" spans="1:16">
      <c r="A2556" s="39"/>
      <c r="B2556" s="40"/>
      <c r="C2556" s="41"/>
      <c r="D2556" s="41"/>
      <c r="E2556" s="41"/>
      <c r="F2556" s="41"/>
      <c r="G2556" s="41"/>
      <c r="H2556" s="41"/>
      <c r="I2556" s="41"/>
      <c r="J2556" s="41"/>
      <c r="K2556" s="41"/>
      <c r="L2556" s="41"/>
      <c r="M2556" s="41"/>
      <c r="N2556" s="41"/>
      <c r="O2556" s="41"/>
      <c r="P2556" s="28"/>
    </row>
    <row r="2557" customFormat="1" spans="1:16">
      <c r="A2557" s="39"/>
      <c r="B2557" s="40"/>
      <c r="C2557" s="41"/>
      <c r="D2557" s="41"/>
      <c r="E2557" s="41"/>
      <c r="F2557" s="41"/>
      <c r="G2557" s="41"/>
      <c r="H2557" s="41"/>
      <c r="I2557" s="41"/>
      <c r="J2557" s="41"/>
      <c r="K2557" s="41"/>
      <c r="L2557" s="41"/>
      <c r="M2557" s="41"/>
      <c r="N2557" s="41"/>
      <c r="O2557" s="41"/>
      <c r="P2557" s="28"/>
    </row>
    <row r="2558" customFormat="1" spans="1:16">
      <c r="A2558" s="39"/>
      <c r="B2558" s="40"/>
      <c r="C2558" s="41"/>
      <c r="D2558" s="41"/>
      <c r="E2558" s="41"/>
      <c r="F2558" s="41"/>
      <c r="G2558" s="41"/>
      <c r="H2558" s="41"/>
      <c r="I2558" s="41"/>
      <c r="J2558" s="41"/>
      <c r="K2558" s="41"/>
      <c r="L2558" s="41"/>
      <c r="M2558" s="41"/>
      <c r="N2558" s="41"/>
      <c r="O2558" s="41"/>
      <c r="P2558" s="28"/>
    </row>
    <row r="2559" customFormat="1" spans="1:16">
      <c r="A2559" s="39"/>
      <c r="B2559" s="40"/>
      <c r="C2559" s="41"/>
      <c r="D2559" s="41"/>
      <c r="E2559" s="41"/>
      <c r="F2559" s="41"/>
      <c r="G2559" s="41"/>
      <c r="H2559" s="41"/>
      <c r="I2559" s="41"/>
      <c r="J2559" s="41"/>
      <c r="K2559" s="41"/>
      <c r="L2559" s="41"/>
      <c r="M2559" s="41"/>
      <c r="N2559" s="41"/>
      <c r="O2559" s="41"/>
      <c r="P2559" s="28"/>
    </row>
    <row r="2560" customFormat="1" spans="1:16">
      <c r="A2560" s="39"/>
      <c r="B2560" s="40"/>
      <c r="C2560" s="41"/>
      <c r="D2560" s="41"/>
      <c r="E2560" s="41"/>
      <c r="F2560" s="41"/>
      <c r="G2560" s="41"/>
      <c r="H2560" s="41"/>
      <c r="I2560" s="41"/>
      <c r="J2560" s="41"/>
      <c r="K2560" s="41"/>
      <c r="L2560" s="41"/>
      <c r="M2560" s="41"/>
      <c r="N2560" s="41"/>
      <c r="O2560" s="41"/>
      <c r="P2560" s="28"/>
    </row>
    <row r="2561" customFormat="1" spans="1:16">
      <c r="A2561" s="39"/>
      <c r="B2561" s="40"/>
      <c r="C2561" s="41"/>
      <c r="D2561" s="41"/>
      <c r="E2561" s="41"/>
      <c r="F2561" s="41"/>
      <c r="G2561" s="41"/>
      <c r="H2561" s="41"/>
      <c r="I2561" s="41"/>
      <c r="J2561" s="41"/>
      <c r="K2561" s="41"/>
      <c r="L2561" s="41"/>
      <c r="M2561" s="41"/>
      <c r="N2561" s="41"/>
      <c r="O2561" s="41"/>
      <c r="P2561" s="28"/>
    </row>
    <row r="2562" customFormat="1" spans="1:16">
      <c r="A2562" s="39"/>
      <c r="B2562" s="40"/>
      <c r="C2562" s="41"/>
      <c r="D2562" s="41"/>
      <c r="E2562" s="41"/>
      <c r="F2562" s="41"/>
      <c r="G2562" s="41"/>
      <c r="H2562" s="41"/>
      <c r="I2562" s="41"/>
      <c r="J2562" s="41"/>
      <c r="K2562" s="41"/>
      <c r="L2562" s="41"/>
      <c r="M2562" s="41"/>
      <c r="N2562" s="41"/>
      <c r="O2562" s="41"/>
      <c r="P2562" s="28"/>
    </row>
    <row r="2563" customFormat="1" spans="1:16">
      <c r="A2563" s="39"/>
      <c r="B2563" s="40"/>
      <c r="C2563" s="41"/>
      <c r="D2563" s="41"/>
      <c r="E2563" s="41"/>
      <c r="F2563" s="41"/>
      <c r="G2563" s="41"/>
      <c r="H2563" s="41"/>
      <c r="I2563" s="41"/>
      <c r="J2563" s="41"/>
      <c r="K2563" s="41"/>
      <c r="L2563" s="41"/>
      <c r="M2563" s="41"/>
      <c r="N2563" s="41"/>
      <c r="O2563" s="41"/>
      <c r="P2563" s="28"/>
    </row>
    <row r="2564" customFormat="1" spans="1:16">
      <c r="A2564" s="39"/>
      <c r="B2564" s="40"/>
      <c r="C2564" s="41"/>
      <c r="D2564" s="41"/>
      <c r="E2564" s="41"/>
      <c r="F2564" s="41"/>
      <c r="G2564" s="41"/>
      <c r="H2564" s="41"/>
      <c r="I2564" s="41"/>
      <c r="J2564" s="41"/>
      <c r="K2564" s="41"/>
      <c r="L2564" s="41"/>
      <c r="M2564" s="41"/>
      <c r="N2564" s="41"/>
      <c r="O2564" s="41"/>
      <c r="P2564" s="28"/>
    </row>
    <row r="2565" customFormat="1" spans="1:16">
      <c r="A2565" s="39"/>
      <c r="B2565" s="40"/>
      <c r="C2565" s="41"/>
      <c r="D2565" s="41"/>
      <c r="E2565" s="41"/>
      <c r="F2565" s="41"/>
      <c r="G2565" s="41"/>
      <c r="H2565" s="41"/>
      <c r="I2565" s="41"/>
      <c r="J2565" s="41"/>
      <c r="K2565" s="41"/>
      <c r="L2565" s="41"/>
      <c r="M2565" s="41"/>
      <c r="N2565" s="41"/>
      <c r="O2565" s="41"/>
      <c r="P2565" s="28"/>
    </row>
    <row r="2566" customFormat="1" spans="1:16">
      <c r="A2566" s="39"/>
      <c r="B2566" s="40"/>
      <c r="C2566" s="41"/>
      <c r="D2566" s="41"/>
      <c r="E2566" s="41"/>
      <c r="F2566" s="41"/>
      <c r="G2566" s="41"/>
      <c r="H2566" s="41"/>
      <c r="I2566" s="41"/>
      <c r="J2566" s="41"/>
      <c r="K2566" s="41"/>
      <c r="L2566" s="41"/>
      <c r="M2566" s="41"/>
      <c r="N2566" s="41"/>
      <c r="O2566" s="41"/>
      <c r="P2566" s="28"/>
    </row>
    <row r="2567" customFormat="1" spans="1:16">
      <c r="A2567" s="39"/>
      <c r="B2567" s="40"/>
      <c r="C2567" s="41"/>
      <c r="D2567" s="41"/>
      <c r="E2567" s="41"/>
      <c r="F2567" s="41"/>
      <c r="G2567" s="41"/>
      <c r="H2567" s="41"/>
      <c r="I2567" s="41"/>
      <c r="J2567" s="41"/>
      <c r="K2567" s="41"/>
      <c r="L2567" s="41"/>
      <c r="M2567" s="41"/>
      <c r="N2567" s="41"/>
      <c r="O2567" s="41"/>
      <c r="P2567" s="28"/>
    </row>
    <row r="2568" customFormat="1" spans="1:16">
      <c r="A2568" s="39"/>
      <c r="B2568" s="40"/>
      <c r="C2568" s="41"/>
      <c r="D2568" s="41"/>
      <c r="E2568" s="41"/>
      <c r="F2568" s="41"/>
      <c r="G2568" s="41"/>
      <c r="H2568" s="41"/>
      <c r="I2568" s="41"/>
      <c r="J2568" s="41"/>
      <c r="K2568" s="41"/>
      <c r="L2568" s="41"/>
      <c r="M2568" s="41"/>
      <c r="N2568" s="41"/>
      <c r="O2568" s="41"/>
      <c r="P2568" s="28"/>
    </row>
    <row r="2569" customFormat="1" spans="1:16">
      <c r="A2569" s="39"/>
      <c r="B2569" s="40"/>
      <c r="C2569" s="41"/>
      <c r="D2569" s="41"/>
      <c r="E2569" s="41"/>
      <c r="F2569" s="41"/>
      <c r="G2569" s="41"/>
      <c r="H2569" s="41"/>
      <c r="I2569" s="41"/>
      <c r="J2569" s="41"/>
      <c r="K2569" s="41"/>
      <c r="L2569" s="41"/>
      <c r="M2569" s="41"/>
      <c r="N2569" s="41"/>
      <c r="O2569" s="41"/>
      <c r="P2569" s="28"/>
    </row>
    <row r="2570" customFormat="1" spans="1:16">
      <c r="A2570" s="39"/>
      <c r="B2570" s="40"/>
      <c r="C2570" s="41"/>
      <c r="D2570" s="41"/>
      <c r="E2570" s="41"/>
      <c r="F2570" s="41"/>
      <c r="G2570" s="41"/>
      <c r="H2570" s="41"/>
      <c r="I2570" s="41"/>
      <c r="J2570" s="41"/>
      <c r="K2570" s="41"/>
      <c r="L2570" s="41"/>
      <c r="M2570" s="41"/>
      <c r="N2570" s="41"/>
      <c r="O2570" s="41"/>
      <c r="P2570" s="28"/>
    </row>
    <row r="2571" customFormat="1" spans="1:16">
      <c r="A2571" s="39"/>
      <c r="B2571" s="40"/>
      <c r="C2571" s="41"/>
      <c r="D2571" s="41"/>
      <c r="E2571" s="41"/>
      <c r="F2571" s="41"/>
      <c r="G2571" s="41"/>
      <c r="H2571" s="41"/>
      <c r="I2571" s="41"/>
      <c r="J2571" s="41"/>
      <c r="K2571" s="41"/>
      <c r="L2571" s="41"/>
      <c r="M2571" s="41"/>
      <c r="N2571" s="41"/>
      <c r="O2571" s="41"/>
      <c r="P2571" s="28"/>
    </row>
    <row r="2572" customFormat="1" spans="1:16">
      <c r="A2572" s="39"/>
      <c r="B2572" s="40"/>
      <c r="C2572" s="41"/>
      <c r="D2572" s="41"/>
      <c r="E2572" s="41"/>
      <c r="F2572" s="41"/>
      <c r="G2572" s="41"/>
      <c r="H2572" s="41"/>
      <c r="I2572" s="41"/>
      <c r="J2572" s="41"/>
      <c r="K2572" s="41"/>
      <c r="L2572" s="41"/>
      <c r="M2572" s="41"/>
      <c r="N2572" s="41"/>
      <c r="O2572" s="41"/>
      <c r="P2572" s="28"/>
    </row>
    <row r="2573" customFormat="1" spans="1:16">
      <c r="A2573" s="39"/>
      <c r="B2573" s="40"/>
      <c r="C2573" s="41"/>
      <c r="D2573" s="41"/>
      <c r="E2573" s="41"/>
      <c r="F2573" s="41"/>
      <c r="G2573" s="41"/>
      <c r="H2573" s="41"/>
      <c r="I2573" s="41"/>
      <c r="J2573" s="41"/>
      <c r="K2573" s="41"/>
      <c r="L2573" s="41"/>
      <c r="M2573" s="41"/>
      <c r="N2573" s="41"/>
      <c r="O2573" s="41"/>
      <c r="P2573" s="28"/>
    </row>
    <row r="2574" customFormat="1" spans="1:16">
      <c r="A2574" s="39"/>
      <c r="B2574" s="40"/>
      <c r="C2574" s="41"/>
      <c r="D2574" s="41"/>
      <c r="E2574" s="41"/>
      <c r="F2574" s="41"/>
      <c r="G2574" s="41"/>
      <c r="H2574" s="41"/>
      <c r="I2574" s="41"/>
      <c r="J2574" s="41"/>
      <c r="K2574" s="41"/>
      <c r="L2574" s="41"/>
      <c r="M2574" s="41"/>
      <c r="N2574" s="41"/>
      <c r="O2574" s="41"/>
      <c r="P2574" s="28"/>
    </row>
    <row r="2575" customFormat="1" spans="1:16">
      <c r="A2575" s="39"/>
      <c r="B2575" s="40"/>
      <c r="C2575" s="41"/>
      <c r="D2575" s="41"/>
      <c r="E2575" s="41"/>
      <c r="F2575" s="41"/>
      <c r="G2575" s="41"/>
      <c r="H2575" s="41"/>
      <c r="I2575" s="41"/>
      <c r="J2575" s="41"/>
      <c r="K2575" s="41"/>
      <c r="L2575" s="41"/>
      <c r="M2575" s="41"/>
      <c r="N2575" s="41"/>
      <c r="O2575" s="41"/>
      <c r="P2575" s="28"/>
    </row>
    <row r="2576" customFormat="1" spans="1:16">
      <c r="A2576" s="39"/>
      <c r="B2576" s="40"/>
      <c r="C2576" s="41"/>
      <c r="D2576" s="41"/>
      <c r="E2576" s="41"/>
      <c r="F2576" s="41"/>
      <c r="G2576" s="41"/>
      <c r="H2576" s="41"/>
      <c r="I2576" s="41"/>
      <c r="J2576" s="41"/>
      <c r="K2576" s="41"/>
      <c r="L2576" s="41"/>
      <c r="M2576" s="41"/>
      <c r="N2576" s="41"/>
      <c r="O2576" s="41"/>
      <c r="P2576" s="28"/>
    </row>
    <row r="2577" customFormat="1" spans="1:16">
      <c r="A2577" s="39"/>
      <c r="B2577" s="40"/>
      <c r="C2577" s="41"/>
      <c r="D2577" s="41"/>
      <c r="E2577" s="41"/>
      <c r="F2577" s="41"/>
      <c r="G2577" s="41"/>
      <c r="H2577" s="41"/>
      <c r="I2577" s="41"/>
      <c r="J2577" s="41"/>
      <c r="K2577" s="41"/>
      <c r="L2577" s="41"/>
      <c r="M2577" s="41"/>
      <c r="N2577" s="41"/>
      <c r="O2577" s="41"/>
      <c r="P2577" s="28"/>
    </row>
    <row r="2578" customFormat="1" spans="1:16">
      <c r="A2578" s="39"/>
      <c r="B2578" s="40"/>
      <c r="C2578" s="41"/>
      <c r="D2578" s="41"/>
      <c r="E2578" s="41"/>
      <c r="F2578" s="41"/>
      <c r="G2578" s="41"/>
      <c r="H2578" s="41"/>
      <c r="I2578" s="41"/>
      <c r="J2578" s="41"/>
      <c r="K2578" s="41"/>
      <c r="L2578" s="41"/>
      <c r="M2578" s="41"/>
      <c r="N2578" s="41"/>
      <c r="O2578" s="41"/>
      <c r="P2578" s="28"/>
    </row>
    <row r="2579" customFormat="1" spans="1:16">
      <c r="A2579" s="39"/>
      <c r="B2579" s="40"/>
      <c r="C2579" s="41"/>
      <c r="D2579" s="41"/>
      <c r="E2579" s="41"/>
      <c r="F2579" s="41"/>
      <c r="G2579" s="41"/>
      <c r="H2579" s="41"/>
      <c r="I2579" s="41"/>
      <c r="J2579" s="41"/>
      <c r="K2579" s="41"/>
      <c r="L2579" s="41"/>
      <c r="M2579" s="41"/>
      <c r="N2579" s="41"/>
      <c r="O2579" s="41"/>
      <c r="P2579" s="28"/>
    </row>
    <row r="2580" customFormat="1" spans="1:16">
      <c r="A2580" s="39"/>
      <c r="B2580" s="40"/>
      <c r="C2580" s="41"/>
      <c r="D2580" s="41"/>
      <c r="E2580" s="41"/>
      <c r="F2580" s="41"/>
      <c r="G2580" s="41"/>
      <c r="H2580" s="41"/>
      <c r="I2580" s="41"/>
      <c r="J2580" s="41"/>
      <c r="K2580" s="41"/>
      <c r="L2580" s="41"/>
      <c r="M2580" s="41"/>
      <c r="N2580" s="41"/>
      <c r="O2580" s="41"/>
      <c r="P2580" s="28"/>
    </row>
    <row r="2581" customFormat="1" spans="1:16">
      <c r="A2581" s="39"/>
      <c r="B2581" s="40"/>
      <c r="C2581" s="41"/>
      <c r="D2581" s="41"/>
      <c r="E2581" s="41"/>
      <c r="F2581" s="41"/>
      <c r="G2581" s="41"/>
      <c r="H2581" s="41"/>
      <c r="I2581" s="41"/>
      <c r="J2581" s="41"/>
      <c r="K2581" s="41"/>
      <c r="L2581" s="41"/>
      <c r="M2581" s="41"/>
      <c r="N2581" s="41"/>
      <c r="O2581" s="41"/>
      <c r="P2581" s="28"/>
    </row>
    <row r="2582" customFormat="1" spans="1:16">
      <c r="A2582" s="39"/>
      <c r="B2582" s="40"/>
      <c r="C2582" s="41"/>
      <c r="D2582" s="41"/>
      <c r="E2582" s="41"/>
      <c r="F2582" s="41"/>
      <c r="G2582" s="41"/>
      <c r="H2582" s="41"/>
      <c r="I2582" s="41"/>
      <c r="J2582" s="41"/>
      <c r="K2582" s="41"/>
      <c r="L2582" s="41"/>
      <c r="M2582" s="41"/>
      <c r="N2582" s="41"/>
      <c r="O2582" s="41"/>
      <c r="P2582" s="28"/>
    </row>
    <row r="2583" customFormat="1" spans="1:16">
      <c r="A2583" s="39"/>
      <c r="B2583" s="40"/>
      <c r="C2583" s="41"/>
      <c r="D2583" s="41"/>
      <c r="E2583" s="41"/>
      <c r="F2583" s="41"/>
      <c r="G2583" s="41"/>
      <c r="H2583" s="41"/>
      <c r="I2583" s="41"/>
      <c r="J2583" s="41"/>
      <c r="K2583" s="41"/>
      <c r="L2583" s="41"/>
      <c r="M2583" s="41"/>
      <c r="N2583" s="41"/>
      <c r="O2583" s="41"/>
      <c r="P2583" s="28"/>
    </row>
    <row r="2584" customFormat="1" spans="1:16">
      <c r="A2584" s="39"/>
      <c r="B2584" s="40"/>
      <c r="C2584" s="41"/>
      <c r="D2584" s="41"/>
      <c r="E2584" s="41"/>
      <c r="F2584" s="41"/>
      <c r="G2584" s="41"/>
      <c r="H2584" s="41"/>
      <c r="I2584" s="41"/>
      <c r="J2584" s="41"/>
      <c r="K2584" s="41"/>
      <c r="L2584" s="41"/>
      <c r="M2584" s="41"/>
      <c r="N2584" s="41"/>
      <c r="O2584" s="41"/>
      <c r="P2584" s="28"/>
    </row>
    <row r="2585" customFormat="1" spans="1:16">
      <c r="A2585" s="39"/>
      <c r="B2585" s="40"/>
      <c r="C2585" s="41"/>
      <c r="D2585" s="41"/>
      <c r="E2585" s="41"/>
      <c r="F2585" s="41"/>
      <c r="G2585" s="41"/>
      <c r="H2585" s="41"/>
      <c r="I2585" s="41"/>
      <c r="J2585" s="41"/>
      <c r="K2585" s="41"/>
      <c r="L2585" s="41"/>
      <c r="M2585" s="41"/>
      <c r="N2585" s="41"/>
      <c r="O2585" s="41"/>
      <c r="P2585" s="28"/>
    </row>
    <row r="2586" customFormat="1" spans="1:16">
      <c r="A2586" s="39"/>
      <c r="B2586" s="40"/>
      <c r="C2586" s="41"/>
      <c r="D2586" s="41"/>
      <c r="E2586" s="41"/>
      <c r="F2586" s="41"/>
      <c r="G2586" s="41"/>
      <c r="H2586" s="41"/>
      <c r="I2586" s="41"/>
      <c r="J2586" s="41"/>
      <c r="K2586" s="41"/>
      <c r="L2586" s="41"/>
      <c r="M2586" s="41"/>
      <c r="N2586" s="41"/>
      <c r="O2586" s="41"/>
      <c r="P2586" s="28"/>
    </row>
    <row r="2587" customFormat="1" spans="1:16">
      <c r="A2587" s="39"/>
      <c r="B2587" s="40"/>
      <c r="C2587" s="41"/>
      <c r="D2587" s="41"/>
      <c r="E2587" s="41"/>
      <c r="F2587" s="41"/>
      <c r="G2587" s="41"/>
      <c r="H2587" s="41"/>
      <c r="I2587" s="41"/>
      <c r="J2587" s="41"/>
      <c r="K2587" s="41"/>
      <c r="L2587" s="41"/>
      <c r="M2587" s="41"/>
      <c r="N2587" s="41"/>
      <c r="O2587" s="41"/>
      <c r="P2587" s="28"/>
    </row>
    <row r="2588" customFormat="1" spans="1:16">
      <c r="A2588" s="39"/>
      <c r="B2588" s="40"/>
      <c r="C2588" s="41"/>
      <c r="D2588" s="41"/>
      <c r="E2588" s="41"/>
      <c r="F2588" s="41"/>
      <c r="G2588" s="41"/>
      <c r="H2588" s="41"/>
      <c r="I2588" s="41"/>
      <c r="J2588" s="41"/>
      <c r="K2588" s="41"/>
      <c r="L2588" s="41"/>
      <c r="M2588" s="41"/>
      <c r="N2588" s="41"/>
      <c r="O2588" s="41"/>
      <c r="P2588" s="28"/>
    </row>
    <row r="2589" customFormat="1" spans="1:16">
      <c r="A2589" s="39"/>
      <c r="B2589" s="40"/>
      <c r="C2589" s="41"/>
      <c r="D2589" s="41"/>
      <c r="E2589" s="41"/>
      <c r="F2589" s="41"/>
      <c r="G2589" s="41"/>
      <c r="H2589" s="41"/>
      <c r="I2589" s="41"/>
      <c r="J2589" s="41"/>
      <c r="K2589" s="41"/>
      <c r="L2589" s="41"/>
      <c r="M2589" s="41"/>
      <c r="N2589" s="41"/>
      <c r="O2589" s="41"/>
      <c r="P2589" s="28"/>
    </row>
    <row r="2590" customFormat="1" spans="1:16">
      <c r="A2590" s="39"/>
      <c r="B2590" s="40"/>
      <c r="C2590" s="41"/>
      <c r="D2590" s="41"/>
      <c r="E2590" s="41"/>
      <c r="F2590" s="41"/>
      <c r="G2590" s="41"/>
      <c r="H2590" s="41"/>
      <c r="I2590" s="41"/>
      <c r="J2590" s="41"/>
      <c r="K2590" s="41"/>
      <c r="L2590" s="41"/>
      <c r="M2590" s="41"/>
      <c r="N2590" s="41"/>
      <c r="O2590" s="41"/>
      <c r="P2590" s="28"/>
    </row>
    <row r="2591" customFormat="1" spans="1:16">
      <c r="A2591" s="39"/>
      <c r="B2591" s="40"/>
      <c r="C2591" s="41"/>
      <c r="D2591" s="41"/>
      <c r="E2591" s="41"/>
      <c r="F2591" s="41"/>
      <c r="G2591" s="41"/>
      <c r="H2591" s="41"/>
      <c r="I2591" s="41"/>
      <c r="J2591" s="41"/>
      <c r="K2591" s="41"/>
      <c r="L2591" s="41"/>
      <c r="M2591" s="41"/>
      <c r="N2591" s="41"/>
      <c r="O2591" s="41"/>
      <c r="P2591" s="28"/>
    </row>
    <row r="2592" customFormat="1" spans="1:16">
      <c r="A2592" s="39"/>
      <c r="B2592" s="40"/>
      <c r="C2592" s="41"/>
      <c r="D2592" s="41"/>
      <c r="E2592" s="41"/>
      <c r="F2592" s="41"/>
      <c r="G2592" s="41"/>
      <c r="H2592" s="41"/>
      <c r="I2592" s="41"/>
      <c r="J2592" s="41"/>
      <c r="K2592" s="41"/>
      <c r="L2592" s="41"/>
      <c r="M2592" s="41"/>
      <c r="N2592" s="41"/>
      <c r="O2592" s="41"/>
      <c r="P2592" s="28"/>
    </row>
    <row r="2593" customFormat="1" spans="1:16">
      <c r="A2593" s="39"/>
      <c r="B2593" s="40"/>
      <c r="C2593" s="41"/>
      <c r="D2593" s="41"/>
      <c r="E2593" s="41"/>
      <c r="F2593" s="41"/>
      <c r="G2593" s="41"/>
      <c r="H2593" s="41"/>
      <c r="I2593" s="41"/>
      <c r="J2593" s="41"/>
      <c r="K2593" s="41"/>
      <c r="L2593" s="41"/>
      <c r="M2593" s="41"/>
      <c r="N2593" s="41"/>
      <c r="O2593" s="41"/>
      <c r="P2593" s="28"/>
    </row>
    <row r="2594" customFormat="1" spans="1:16">
      <c r="A2594" s="39"/>
      <c r="B2594" s="40"/>
      <c r="C2594" s="41"/>
      <c r="D2594" s="41"/>
      <c r="E2594" s="41"/>
      <c r="F2594" s="41"/>
      <c r="G2594" s="41"/>
      <c r="H2594" s="41"/>
      <c r="I2594" s="41"/>
      <c r="J2594" s="41"/>
      <c r="K2594" s="41"/>
      <c r="L2594" s="41"/>
      <c r="M2594" s="41"/>
      <c r="N2594" s="41"/>
      <c r="O2594" s="41"/>
      <c r="P2594" s="28"/>
    </row>
    <row r="2595" customFormat="1" spans="1:16">
      <c r="A2595" s="39"/>
      <c r="B2595" s="40"/>
      <c r="C2595" s="41"/>
      <c r="D2595" s="41"/>
      <c r="E2595" s="41"/>
      <c r="F2595" s="41"/>
      <c r="G2595" s="41"/>
      <c r="H2595" s="41"/>
      <c r="I2595" s="41"/>
      <c r="J2595" s="41"/>
      <c r="K2595" s="41"/>
      <c r="L2595" s="41"/>
      <c r="M2595" s="41"/>
      <c r="N2595" s="41"/>
      <c r="O2595" s="41"/>
      <c r="P2595" s="28"/>
    </row>
    <row r="2596" customFormat="1" spans="1:16">
      <c r="A2596" s="39"/>
      <c r="B2596" s="40"/>
      <c r="C2596" s="41"/>
      <c r="D2596" s="41"/>
      <c r="E2596" s="41"/>
      <c r="F2596" s="41"/>
      <c r="G2596" s="41"/>
      <c r="H2596" s="41"/>
      <c r="I2596" s="41"/>
      <c r="J2596" s="41"/>
      <c r="K2596" s="41"/>
      <c r="L2596" s="41"/>
      <c r="M2596" s="41"/>
      <c r="N2596" s="41"/>
      <c r="O2596" s="41"/>
      <c r="P2596" s="28"/>
    </row>
    <row r="2597" customFormat="1" spans="1:16">
      <c r="A2597" s="39"/>
      <c r="B2597" s="40"/>
      <c r="C2597" s="41"/>
      <c r="D2597" s="41"/>
      <c r="E2597" s="41"/>
      <c r="F2597" s="41"/>
      <c r="G2597" s="41"/>
      <c r="H2597" s="41"/>
      <c r="I2597" s="41"/>
      <c r="J2597" s="41"/>
      <c r="K2597" s="41"/>
      <c r="L2597" s="41"/>
      <c r="M2597" s="41"/>
      <c r="N2597" s="41"/>
      <c r="O2597" s="41"/>
      <c r="P2597" s="28"/>
    </row>
    <row r="2598" customFormat="1" spans="1:16">
      <c r="A2598" s="39"/>
      <c r="B2598" s="40"/>
      <c r="C2598" s="41"/>
      <c r="D2598" s="41"/>
      <c r="E2598" s="41"/>
      <c r="F2598" s="41"/>
      <c r="G2598" s="41"/>
      <c r="H2598" s="41"/>
      <c r="I2598" s="41"/>
      <c r="J2598" s="41"/>
      <c r="K2598" s="41"/>
      <c r="L2598" s="41"/>
      <c r="M2598" s="41"/>
      <c r="N2598" s="41"/>
      <c r="O2598" s="41"/>
      <c r="P2598" s="28"/>
    </row>
    <row r="2599" customFormat="1" spans="1:16">
      <c r="A2599" s="39"/>
      <c r="B2599" s="40"/>
      <c r="C2599" s="41"/>
      <c r="D2599" s="41"/>
      <c r="E2599" s="41"/>
      <c r="F2599" s="41"/>
      <c r="G2599" s="41"/>
      <c r="H2599" s="41"/>
      <c r="I2599" s="41"/>
      <c r="J2599" s="41"/>
      <c r="K2599" s="41"/>
      <c r="L2599" s="41"/>
      <c r="M2599" s="41"/>
      <c r="N2599" s="41"/>
      <c r="O2599" s="41"/>
      <c r="P2599" s="28"/>
    </row>
    <row r="2600" customFormat="1" spans="1:16">
      <c r="A2600" s="39"/>
      <c r="B2600" s="40"/>
      <c r="C2600" s="41"/>
      <c r="D2600" s="41"/>
      <c r="E2600" s="41"/>
      <c r="F2600" s="41"/>
      <c r="G2600" s="41"/>
      <c r="H2600" s="41"/>
      <c r="I2600" s="41"/>
      <c r="J2600" s="41"/>
      <c r="K2600" s="41"/>
      <c r="L2600" s="41"/>
      <c r="M2600" s="41"/>
      <c r="N2600" s="41"/>
      <c r="O2600" s="41"/>
      <c r="P2600" s="28"/>
    </row>
    <row r="2601" customFormat="1" spans="1:16">
      <c r="A2601" s="39"/>
      <c r="B2601" s="40"/>
      <c r="C2601" s="41"/>
      <c r="D2601" s="41"/>
      <c r="E2601" s="41"/>
      <c r="F2601" s="41"/>
      <c r="G2601" s="41"/>
      <c r="H2601" s="41"/>
      <c r="I2601" s="41"/>
      <c r="J2601" s="41"/>
      <c r="K2601" s="41"/>
      <c r="L2601" s="41"/>
      <c r="M2601" s="41"/>
      <c r="N2601" s="41"/>
      <c r="O2601" s="41"/>
      <c r="P2601" s="28"/>
    </row>
    <row r="2602" customFormat="1" spans="1:16">
      <c r="A2602" s="39"/>
      <c r="B2602" s="40"/>
      <c r="C2602" s="41"/>
      <c r="D2602" s="41"/>
      <c r="E2602" s="41"/>
      <c r="F2602" s="41"/>
      <c r="G2602" s="41"/>
      <c r="H2602" s="41"/>
      <c r="I2602" s="41"/>
      <c r="J2602" s="41"/>
      <c r="K2602" s="41"/>
      <c r="L2602" s="41"/>
      <c r="M2602" s="41"/>
      <c r="N2602" s="41"/>
      <c r="O2602" s="41"/>
      <c r="P2602" s="28"/>
    </row>
    <row r="2603" customFormat="1" spans="1:16">
      <c r="A2603" s="39"/>
      <c r="B2603" s="40"/>
      <c r="C2603" s="41"/>
      <c r="D2603" s="41"/>
      <c r="E2603" s="41"/>
      <c r="F2603" s="41"/>
      <c r="G2603" s="41"/>
      <c r="H2603" s="41"/>
      <c r="I2603" s="41"/>
      <c r="J2603" s="41"/>
      <c r="K2603" s="41"/>
      <c r="L2603" s="41"/>
      <c r="M2603" s="41"/>
      <c r="N2603" s="41"/>
      <c r="O2603" s="41"/>
      <c r="P2603" s="28"/>
    </row>
    <row r="2604" customFormat="1" spans="1:16">
      <c r="A2604" s="39"/>
      <c r="B2604" s="40"/>
      <c r="C2604" s="41"/>
      <c r="D2604" s="41"/>
      <c r="E2604" s="41"/>
      <c r="F2604" s="41"/>
      <c r="G2604" s="41"/>
      <c r="H2604" s="41"/>
      <c r="I2604" s="41"/>
      <c r="J2604" s="41"/>
      <c r="K2604" s="41"/>
      <c r="L2604" s="41"/>
      <c r="M2604" s="41"/>
      <c r="N2604" s="41"/>
      <c r="O2604" s="41"/>
      <c r="P2604" s="28"/>
    </row>
    <row r="2605" customFormat="1" spans="1:16">
      <c r="A2605" s="39"/>
      <c r="B2605" s="40"/>
      <c r="C2605" s="41"/>
      <c r="D2605" s="41"/>
      <c r="E2605" s="41"/>
      <c r="F2605" s="41"/>
      <c r="G2605" s="41"/>
      <c r="H2605" s="41"/>
      <c r="I2605" s="41"/>
      <c r="J2605" s="41"/>
      <c r="K2605" s="41"/>
      <c r="L2605" s="41"/>
      <c r="M2605" s="41"/>
      <c r="N2605" s="41"/>
      <c r="O2605" s="41"/>
      <c r="P2605" s="28"/>
    </row>
    <row r="2606" customFormat="1" spans="1:16">
      <c r="A2606" s="39"/>
      <c r="B2606" s="40"/>
      <c r="C2606" s="41"/>
      <c r="D2606" s="41"/>
      <c r="E2606" s="41"/>
      <c r="F2606" s="41"/>
      <c r="G2606" s="41"/>
      <c r="H2606" s="41"/>
      <c r="I2606" s="41"/>
      <c r="J2606" s="41"/>
      <c r="K2606" s="41"/>
      <c r="L2606" s="41"/>
      <c r="M2606" s="41"/>
      <c r="N2606" s="41"/>
      <c r="O2606" s="41"/>
      <c r="P2606" s="28"/>
    </row>
    <row r="2607" customFormat="1" spans="1:16">
      <c r="A2607" s="39"/>
      <c r="B2607" s="40"/>
      <c r="C2607" s="41"/>
      <c r="D2607" s="41"/>
      <c r="E2607" s="41"/>
      <c r="F2607" s="41"/>
      <c r="G2607" s="41"/>
      <c r="H2607" s="41"/>
      <c r="I2607" s="41"/>
      <c r="J2607" s="41"/>
      <c r="K2607" s="41"/>
      <c r="L2607" s="41"/>
      <c r="M2607" s="41"/>
      <c r="N2607" s="41"/>
      <c r="O2607" s="41"/>
      <c r="P2607" s="28"/>
    </row>
    <row r="2608" customFormat="1" spans="1:16">
      <c r="A2608" s="39"/>
      <c r="B2608" s="40"/>
      <c r="C2608" s="41"/>
      <c r="D2608" s="41"/>
      <c r="E2608" s="41"/>
      <c r="F2608" s="41"/>
      <c r="G2608" s="41"/>
      <c r="H2608" s="41"/>
      <c r="I2608" s="41"/>
      <c r="J2608" s="41"/>
      <c r="K2608" s="41"/>
      <c r="L2608" s="41"/>
      <c r="M2608" s="41"/>
      <c r="N2608" s="41"/>
      <c r="O2608" s="41"/>
      <c r="P2608" s="28"/>
    </row>
    <row r="2609" customFormat="1" spans="1:16">
      <c r="A2609" s="39"/>
      <c r="B2609" s="40"/>
      <c r="C2609" s="41"/>
      <c r="D2609" s="41"/>
      <c r="E2609" s="41"/>
      <c r="F2609" s="41"/>
      <c r="G2609" s="41"/>
      <c r="H2609" s="41"/>
      <c r="I2609" s="41"/>
      <c r="J2609" s="41"/>
      <c r="K2609" s="41"/>
      <c r="L2609" s="41"/>
      <c r="M2609" s="41"/>
      <c r="N2609" s="41"/>
      <c r="O2609" s="41"/>
      <c r="P2609" s="28"/>
    </row>
    <row r="2610" customFormat="1" spans="1:16">
      <c r="A2610" s="39"/>
      <c r="B2610" s="40"/>
      <c r="C2610" s="41"/>
      <c r="D2610" s="41"/>
      <c r="E2610" s="41"/>
      <c r="F2610" s="41"/>
      <c r="G2610" s="41"/>
      <c r="H2610" s="41"/>
      <c r="I2610" s="41"/>
      <c r="J2610" s="41"/>
      <c r="K2610" s="41"/>
      <c r="L2610" s="41"/>
      <c r="M2610" s="41"/>
      <c r="N2610" s="41"/>
      <c r="O2610" s="41"/>
      <c r="P2610" s="28"/>
    </row>
    <row r="2611" customFormat="1" spans="1:16">
      <c r="A2611" s="39"/>
      <c r="B2611" s="40"/>
      <c r="C2611" s="41"/>
      <c r="D2611" s="41"/>
      <c r="E2611" s="41"/>
      <c r="F2611" s="41"/>
      <c r="G2611" s="41"/>
      <c r="H2611" s="41"/>
      <c r="I2611" s="41"/>
      <c r="J2611" s="41"/>
      <c r="K2611" s="41"/>
      <c r="L2611" s="41"/>
      <c r="M2611" s="41"/>
      <c r="N2611" s="41"/>
      <c r="O2611" s="41"/>
      <c r="P2611" s="28"/>
    </row>
    <row r="2612" customFormat="1" spans="1:16">
      <c r="A2612" s="39"/>
      <c r="B2612" s="40"/>
      <c r="C2612" s="41"/>
      <c r="D2612" s="41"/>
      <c r="E2612" s="41"/>
      <c r="F2612" s="41"/>
      <c r="G2612" s="41"/>
      <c r="H2612" s="41"/>
      <c r="I2612" s="41"/>
      <c r="J2612" s="41"/>
      <c r="K2612" s="41"/>
      <c r="L2612" s="41"/>
      <c r="M2612" s="41"/>
      <c r="N2612" s="41"/>
      <c r="O2612" s="41"/>
      <c r="P2612" s="28"/>
    </row>
    <row r="2613" customFormat="1" spans="1:16">
      <c r="A2613" s="39"/>
      <c r="B2613" s="40"/>
      <c r="C2613" s="41"/>
      <c r="D2613" s="41"/>
      <c r="E2613" s="41"/>
      <c r="F2613" s="41"/>
      <c r="G2613" s="41"/>
      <c r="H2613" s="41"/>
      <c r="I2613" s="41"/>
      <c r="J2613" s="41"/>
      <c r="K2613" s="41"/>
      <c r="L2613" s="41"/>
      <c r="M2613" s="41"/>
      <c r="N2613" s="41"/>
      <c r="O2613" s="41"/>
      <c r="P2613" s="28"/>
    </row>
    <row r="2614" customFormat="1" spans="1:16">
      <c r="A2614" s="39"/>
      <c r="B2614" s="40"/>
      <c r="C2614" s="41"/>
      <c r="D2614" s="41"/>
      <c r="E2614" s="41"/>
      <c r="F2614" s="41"/>
      <c r="G2614" s="41"/>
      <c r="H2614" s="41"/>
      <c r="I2614" s="41"/>
      <c r="J2614" s="41"/>
      <c r="K2614" s="41"/>
      <c r="L2614" s="41"/>
      <c r="M2614" s="41"/>
      <c r="N2614" s="41"/>
      <c r="O2614" s="41"/>
      <c r="P2614" s="28"/>
    </row>
    <row r="2615" customFormat="1" spans="1:16">
      <c r="A2615" s="39"/>
      <c r="B2615" s="40"/>
      <c r="C2615" s="41"/>
      <c r="D2615" s="41"/>
      <c r="E2615" s="41"/>
      <c r="F2615" s="41"/>
      <c r="G2615" s="41"/>
      <c r="H2615" s="41"/>
      <c r="I2615" s="41"/>
      <c r="J2615" s="41"/>
      <c r="K2615" s="41"/>
      <c r="L2615" s="41"/>
      <c r="M2615" s="41"/>
      <c r="N2615" s="41"/>
      <c r="O2615" s="41"/>
      <c r="P2615" s="28"/>
    </row>
    <row r="2616" customFormat="1" spans="1:16">
      <c r="A2616" s="39"/>
      <c r="B2616" s="40"/>
      <c r="C2616" s="41"/>
      <c r="D2616" s="41"/>
      <c r="E2616" s="41"/>
      <c r="F2616" s="41"/>
      <c r="G2616" s="41"/>
      <c r="H2616" s="41"/>
      <c r="I2616" s="41"/>
      <c r="J2616" s="41"/>
      <c r="K2616" s="41"/>
      <c r="L2616" s="41"/>
      <c r="M2616" s="41"/>
      <c r="N2616" s="41"/>
      <c r="O2616" s="41"/>
      <c r="P2616" s="28"/>
    </row>
    <row r="2617" customFormat="1" spans="1:16">
      <c r="A2617" s="39"/>
      <c r="B2617" s="40"/>
      <c r="C2617" s="41"/>
      <c r="D2617" s="41"/>
      <c r="E2617" s="41"/>
      <c r="F2617" s="41"/>
      <c r="G2617" s="41"/>
      <c r="H2617" s="41"/>
      <c r="I2617" s="41"/>
      <c r="J2617" s="41"/>
      <c r="K2617" s="41"/>
      <c r="L2617" s="41"/>
      <c r="M2617" s="41"/>
      <c r="N2617" s="41"/>
      <c r="O2617" s="41"/>
      <c r="P2617" s="28"/>
    </row>
    <row r="2618" customFormat="1" spans="1:16">
      <c r="A2618" s="39"/>
      <c r="B2618" s="40"/>
      <c r="C2618" s="41"/>
      <c r="D2618" s="41"/>
      <c r="E2618" s="41"/>
      <c r="F2618" s="41"/>
      <c r="G2618" s="41"/>
      <c r="H2618" s="41"/>
      <c r="I2618" s="41"/>
      <c r="J2618" s="41"/>
      <c r="K2618" s="41"/>
      <c r="L2618" s="41"/>
      <c r="M2618" s="41"/>
      <c r="N2618" s="41"/>
      <c r="O2618" s="41"/>
      <c r="P2618" s="28"/>
    </row>
    <row r="2619" customFormat="1" spans="1:16">
      <c r="A2619" s="39"/>
      <c r="B2619" s="40"/>
      <c r="C2619" s="41"/>
      <c r="D2619" s="41"/>
      <c r="E2619" s="41"/>
      <c r="F2619" s="41"/>
      <c r="G2619" s="41"/>
      <c r="H2619" s="41"/>
      <c r="I2619" s="41"/>
      <c r="J2619" s="41"/>
      <c r="K2619" s="41"/>
      <c r="L2619" s="41"/>
      <c r="M2619" s="41"/>
      <c r="N2619" s="41"/>
      <c r="O2619" s="41"/>
      <c r="P2619" s="28"/>
    </row>
    <row r="2620" customFormat="1" spans="1:16">
      <c r="A2620" s="39"/>
      <c r="B2620" s="40"/>
      <c r="C2620" s="41"/>
      <c r="D2620" s="41"/>
      <c r="E2620" s="41"/>
      <c r="F2620" s="41"/>
      <c r="G2620" s="41"/>
      <c r="H2620" s="41"/>
      <c r="I2620" s="41"/>
      <c r="J2620" s="41"/>
      <c r="K2620" s="41"/>
      <c r="L2620" s="41"/>
      <c r="M2620" s="41"/>
      <c r="N2620" s="41"/>
      <c r="O2620" s="41"/>
      <c r="P2620" s="28"/>
    </row>
    <row r="2621" customFormat="1" spans="1:16">
      <c r="A2621" s="39"/>
      <c r="B2621" s="40"/>
      <c r="C2621" s="41"/>
      <c r="D2621" s="41"/>
      <c r="E2621" s="41"/>
      <c r="F2621" s="41"/>
      <c r="G2621" s="41"/>
      <c r="H2621" s="41"/>
      <c r="I2621" s="41"/>
      <c r="J2621" s="41"/>
      <c r="K2621" s="41"/>
      <c r="L2621" s="41"/>
      <c r="M2621" s="41"/>
      <c r="N2621" s="41"/>
      <c r="O2621" s="41"/>
      <c r="P2621" s="28"/>
    </row>
    <row r="2622" customFormat="1" spans="1:16">
      <c r="A2622" s="39"/>
      <c r="B2622" s="40"/>
      <c r="C2622" s="41"/>
      <c r="D2622" s="41"/>
      <c r="E2622" s="41"/>
      <c r="F2622" s="41"/>
      <c r="G2622" s="41"/>
      <c r="H2622" s="41"/>
      <c r="I2622" s="41"/>
      <c r="J2622" s="41"/>
      <c r="K2622" s="41"/>
      <c r="L2622" s="41"/>
      <c r="M2622" s="41"/>
      <c r="N2622" s="41"/>
      <c r="O2622" s="41"/>
      <c r="P2622" s="28"/>
    </row>
    <row r="2623" customFormat="1" spans="1:16">
      <c r="A2623" s="39"/>
      <c r="B2623" s="40"/>
      <c r="C2623" s="41"/>
      <c r="D2623" s="41"/>
      <c r="E2623" s="41"/>
      <c r="F2623" s="41"/>
      <c r="G2623" s="41"/>
      <c r="H2623" s="41"/>
      <c r="I2623" s="41"/>
      <c r="J2623" s="41"/>
      <c r="K2623" s="41"/>
      <c r="L2623" s="41"/>
      <c r="M2623" s="41"/>
      <c r="N2623" s="41"/>
      <c r="O2623" s="41"/>
      <c r="P2623" s="28"/>
    </row>
    <row r="2624" customFormat="1" spans="1:16">
      <c r="A2624" s="39"/>
      <c r="B2624" s="40"/>
      <c r="C2624" s="41"/>
      <c r="D2624" s="41"/>
      <c r="E2624" s="41"/>
      <c r="F2624" s="41"/>
      <c r="G2624" s="41"/>
      <c r="H2624" s="41"/>
      <c r="I2624" s="41"/>
      <c r="J2624" s="41"/>
      <c r="K2624" s="41"/>
      <c r="L2624" s="41"/>
      <c r="M2624" s="41"/>
      <c r="N2624" s="41"/>
      <c r="O2624" s="41"/>
      <c r="P2624" s="28"/>
    </row>
    <row r="2625" customFormat="1" spans="1:16">
      <c r="A2625" s="39"/>
      <c r="B2625" s="40"/>
      <c r="C2625" s="41"/>
      <c r="D2625" s="41"/>
      <c r="E2625" s="41"/>
      <c r="F2625" s="41"/>
      <c r="G2625" s="41"/>
      <c r="H2625" s="41"/>
      <c r="I2625" s="41"/>
      <c r="J2625" s="41"/>
      <c r="K2625" s="41"/>
      <c r="L2625" s="41"/>
      <c r="M2625" s="41"/>
      <c r="N2625" s="41"/>
      <c r="O2625" s="41"/>
      <c r="P2625" s="28"/>
    </row>
    <row r="2626" customFormat="1" spans="1:16">
      <c r="A2626" s="39"/>
      <c r="B2626" s="40"/>
      <c r="C2626" s="41"/>
      <c r="D2626" s="41"/>
      <c r="E2626" s="41"/>
      <c r="F2626" s="41"/>
      <c r="G2626" s="41"/>
      <c r="H2626" s="41"/>
      <c r="I2626" s="41"/>
      <c r="J2626" s="41"/>
      <c r="K2626" s="41"/>
      <c r="L2626" s="41"/>
      <c r="M2626" s="41"/>
      <c r="N2626" s="41"/>
      <c r="O2626" s="41"/>
      <c r="P2626" s="28"/>
    </row>
    <row r="2627" customFormat="1" spans="1:16">
      <c r="A2627" s="39"/>
      <c r="B2627" s="40"/>
      <c r="C2627" s="41"/>
      <c r="D2627" s="41"/>
      <c r="E2627" s="41"/>
      <c r="F2627" s="41"/>
      <c r="G2627" s="41"/>
      <c r="H2627" s="41"/>
      <c r="I2627" s="41"/>
      <c r="J2627" s="41"/>
      <c r="K2627" s="41"/>
      <c r="L2627" s="41"/>
      <c r="M2627" s="41"/>
      <c r="N2627" s="41"/>
      <c r="O2627" s="41"/>
      <c r="P2627" s="28"/>
    </row>
    <row r="2628" customFormat="1" spans="1:16">
      <c r="A2628" s="39"/>
      <c r="B2628" s="40"/>
      <c r="C2628" s="41"/>
      <c r="D2628" s="41"/>
      <c r="E2628" s="41"/>
      <c r="F2628" s="41"/>
      <c r="G2628" s="41"/>
      <c r="H2628" s="41"/>
      <c r="I2628" s="41"/>
      <c r="J2628" s="41"/>
      <c r="K2628" s="41"/>
      <c r="L2628" s="41"/>
      <c r="M2628" s="41"/>
      <c r="N2628" s="41"/>
      <c r="O2628" s="41"/>
      <c r="P2628" s="28"/>
    </row>
    <row r="2629" customFormat="1" spans="1:16">
      <c r="A2629" s="39"/>
      <c r="B2629" s="40"/>
      <c r="C2629" s="41"/>
      <c r="D2629" s="41"/>
      <c r="E2629" s="41"/>
      <c r="F2629" s="41"/>
      <c r="G2629" s="41"/>
      <c r="H2629" s="41"/>
      <c r="I2629" s="41"/>
      <c r="J2629" s="41"/>
      <c r="K2629" s="41"/>
      <c r="L2629" s="41"/>
      <c r="M2629" s="41"/>
      <c r="N2629" s="41"/>
      <c r="O2629" s="41"/>
      <c r="P2629" s="28"/>
    </row>
    <row r="2630" customFormat="1" spans="1:16">
      <c r="A2630" s="39"/>
      <c r="B2630" s="40"/>
      <c r="C2630" s="41"/>
      <c r="D2630" s="41"/>
      <c r="E2630" s="41"/>
      <c r="F2630" s="41"/>
      <c r="G2630" s="41"/>
      <c r="H2630" s="41"/>
      <c r="I2630" s="41"/>
      <c r="J2630" s="41"/>
      <c r="K2630" s="41"/>
      <c r="L2630" s="41"/>
      <c r="M2630" s="41"/>
      <c r="N2630" s="41"/>
      <c r="O2630" s="41"/>
      <c r="P2630" s="28"/>
    </row>
    <row r="2631" customFormat="1" spans="1:16">
      <c r="A2631" s="39"/>
      <c r="B2631" s="40"/>
      <c r="C2631" s="41"/>
      <c r="D2631" s="41"/>
      <c r="E2631" s="41"/>
      <c r="F2631" s="41"/>
      <c r="G2631" s="41"/>
      <c r="H2631" s="41"/>
      <c r="I2631" s="41"/>
      <c r="J2631" s="41"/>
      <c r="K2631" s="41"/>
      <c r="L2631" s="41"/>
      <c r="M2631" s="41"/>
      <c r="N2631" s="41"/>
      <c r="O2631" s="41"/>
      <c r="P2631" s="28"/>
    </row>
    <row r="2632" customFormat="1" spans="1:16">
      <c r="A2632" s="39"/>
      <c r="B2632" s="40"/>
      <c r="C2632" s="41"/>
      <c r="D2632" s="41"/>
      <c r="E2632" s="41"/>
      <c r="F2632" s="41"/>
      <c r="G2632" s="41"/>
      <c r="H2632" s="41"/>
      <c r="I2632" s="41"/>
      <c r="J2632" s="41"/>
      <c r="K2632" s="41"/>
      <c r="L2632" s="41"/>
      <c r="M2632" s="41"/>
      <c r="N2632" s="41"/>
      <c r="O2632" s="41"/>
      <c r="P2632" s="28"/>
    </row>
    <row r="2633" customFormat="1" spans="1:16">
      <c r="A2633" s="39"/>
      <c r="B2633" s="40"/>
      <c r="C2633" s="41"/>
      <c r="D2633" s="41"/>
      <c r="E2633" s="41"/>
      <c r="F2633" s="41"/>
      <c r="G2633" s="41"/>
      <c r="H2633" s="41"/>
      <c r="I2633" s="41"/>
      <c r="J2633" s="41"/>
      <c r="K2633" s="41"/>
      <c r="L2633" s="41"/>
      <c r="M2633" s="41"/>
      <c r="N2633" s="41"/>
      <c r="O2633" s="41"/>
      <c r="P2633" s="28"/>
    </row>
    <row r="2634" customFormat="1" spans="1:16">
      <c r="A2634" s="39"/>
      <c r="B2634" s="40"/>
      <c r="C2634" s="41"/>
      <c r="D2634" s="41"/>
      <c r="E2634" s="41"/>
      <c r="F2634" s="41"/>
      <c r="G2634" s="41"/>
      <c r="H2634" s="41"/>
      <c r="I2634" s="41"/>
      <c r="J2634" s="41"/>
      <c r="K2634" s="41"/>
      <c r="L2634" s="41"/>
      <c r="M2634" s="41"/>
      <c r="N2634" s="41"/>
      <c r="O2634" s="41"/>
      <c r="P2634" s="28"/>
    </row>
    <row r="2635" customFormat="1" spans="1:16">
      <c r="A2635" s="39"/>
      <c r="B2635" s="40"/>
      <c r="C2635" s="41"/>
      <c r="D2635" s="41"/>
      <c r="E2635" s="41"/>
      <c r="F2635" s="41"/>
      <c r="G2635" s="41"/>
      <c r="H2635" s="41"/>
      <c r="I2635" s="41"/>
      <c r="J2635" s="41"/>
      <c r="K2635" s="41"/>
      <c r="L2635" s="41"/>
      <c r="M2635" s="41"/>
      <c r="N2635" s="41"/>
      <c r="O2635" s="41"/>
      <c r="P2635" s="28"/>
    </row>
    <row r="2636" customFormat="1" spans="1:16">
      <c r="A2636" s="39"/>
      <c r="B2636" s="40"/>
      <c r="C2636" s="41"/>
      <c r="D2636" s="41"/>
      <c r="E2636" s="41"/>
      <c r="F2636" s="41"/>
      <c r="G2636" s="41"/>
      <c r="H2636" s="41"/>
      <c r="I2636" s="41"/>
      <c r="J2636" s="41"/>
      <c r="K2636" s="41"/>
      <c r="L2636" s="41"/>
      <c r="M2636" s="41"/>
      <c r="N2636" s="41"/>
      <c r="O2636" s="41"/>
      <c r="P2636" s="28"/>
    </row>
    <row r="2637" customFormat="1" spans="1:16">
      <c r="A2637" s="39"/>
      <c r="B2637" s="40"/>
      <c r="C2637" s="41"/>
      <c r="D2637" s="41"/>
      <c r="E2637" s="41"/>
      <c r="F2637" s="41"/>
      <c r="G2637" s="41"/>
      <c r="H2637" s="41"/>
      <c r="I2637" s="41"/>
      <c r="J2637" s="41"/>
      <c r="K2637" s="41"/>
      <c r="L2637" s="41"/>
      <c r="M2637" s="41"/>
      <c r="N2637" s="41"/>
      <c r="O2637" s="41"/>
      <c r="P2637" s="28"/>
    </row>
    <row r="2638" customFormat="1" spans="1:16">
      <c r="A2638" s="39"/>
      <c r="B2638" s="40"/>
      <c r="C2638" s="41"/>
      <c r="D2638" s="41"/>
      <c r="E2638" s="41"/>
      <c r="F2638" s="41"/>
      <c r="G2638" s="41"/>
      <c r="H2638" s="41"/>
      <c r="I2638" s="41"/>
      <c r="J2638" s="41"/>
      <c r="K2638" s="41"/>
      <c r="L2638" s="41"/>
      <c r="M2638" s="41"/>
      <c r="N2638" s="41"/>
      <c r="O2638" s="41"/>
      <c r="P2638" s="28"/>
    </row>
    <row r="2639" customFormat="1" spans="1:16">
      <c r="A2639" s="39"/>
      <c r="B2639" s="40"/>
      <c r="C2639" s="41"/>
      <c r="D2639" s="41"/>
      <c r="E2639" s="41"/>
      <c r="F2639" s="41"/>
      <c r="G2639" s="41"/>
      <c r="H2639" s="41"/>
      <c r="I2639" s="41"/>
      <c r="J2639" s="41"/>
      <c r="K2639" s="41"/>
      <c r="L2639" s="41"/>
      <c r="M2639" s="41"/>
      <c r="N2639" s="41"/>
      <c r="O2639" s="41"/>
      <c r="P2639" s="28"/>
    </row>
    <row r="2640" customFormat="1" spans="1:16">
      <c r="A2640" s="39"/>
      <c r="B2640" s="40"/>
      <c r="C2640" s="41"/>
      <c r="D2640" s="41"/>
      <c r="E2640" s="41"/>
      <c r="F2640" s="41"/>
      <c r="G2640" s="41"/>
      <c r="H2640" s="41"/>
      <c r="I2640" s="41"/>
      <c r="J2640" s="41"/>
      <c r="K2640" s="41"/>
      <c r="L2640" s="41"/>
      <c r="M2640" s="41"/>
      <c r="N2640" s="41"/>
      <c r="O2640" s="41"/>
      <c r="P2640" s="28"/>
    </row>
    <row r="2641" customFormat="1" spans="1:16">
      <c r="A2641" s="39"/>
      <c r="B2641" s="40"/>
      <c r="C2641" s="41"/>
      <c r="D2641" s="41"/>
      <c r="E2641" s="41"/>
      <c r="F2641" s="41"/>
      <c r="G2641" s="41"/>
      <c r="H2641" s="41"/>
      <c r="I2641" s="41"/>
      <c r="J2641" s="41"/>
      <c r="K2641" s="41"/>
      <c r="L2641" s="41"/>
      <c r="M2641" s="41"/>
      <c r="N2641" s="41"/>
      <c r="O2641" s="41"/>
      <c r="P2641" s="28"/>
    </row>
    <row r="2642" customFormat="1" spans="1:16">
      <c r="A2642" s="39"/>
      <c r="B2642" s="40"/>
      <c r="C2642" s="41"/>
      <c r="D2642" s="41"/>
      <c r="E2642" s="41"/>
      <c r="F2642" s="41"/>
      <c r="G2642" s="41"/>
      <c r="H2642" s="41"/>
      <c r="I2642" s="41"/>
      <c r="J2642" s="41"/>
      <c r="K2642" s="41"/>
      <c r="L2642" s="41"/>
      <c r="M2642" s="41"/>
      <c r="N2642" s="41"/>
      <c r="O2642" s="41"/>
      <c r="P2642" s="28"/>
    </row>
    <row r="2643" customFormat="1" spans="1:16">
      <c r="A2643" s="39"/>
      <c r="B2643" s="40"/>
      <c r="C2643" s="41"/>
      <c r="D2643" s="41"/>
      <c r="E2643" s="41"/>
      <c r="F2643" s="41"/>
      <c r="G2643" s="41"/>
      <c r="H2643" s="41"/>
      <c r="I2643" s="41"/>
      <c r="J2643" s="41"/>
      <c r="K2643" s="41"/>
      <c r="L2643" s="41"/>
      <c r="M2643" s="41"/>
      <c r="N2643" s="41"/>
      <c r="O2643" s="41"/>
      <c r="P2643" s="28"/>
    </row>
    <row r="2644" customFormat="1" spans="1:16">
      <c r="A2644" s="39"/>
      <c r="B2644" s="40"/>
      <c r="C2644" s="41"/>
      <c r="D2644" s="41"/>
      <c r="E2644" s="41"/>
      <c r="F2644" s="41"/>
      <c r="G2644" s="41"/>
      <c r="H2644" s="41"/>
      <c r="I2644" s="41"/>
      <c r="J2644" s="41"/>
      <c r="K2644" s="41"/>
      <c r="L2644" s="41"/>
      <c r="M2644" s="41"/>
      <c r="N2644" s="41"/>
      <c r="O2644" s="41"/>
      <c r="P2644" s="28"/>
    </row>
    <row r="2645" customFormat="1" spans="1:16">
      <c r="A2645" s="39"/>
      <c r="B2645" s="40"/>
      <c r="C2645" s="41"/>
      <c r="D2645" s="41"/>
      <c r="E2645" s="41"/>
      <c r="F2645" s="41"/>
      <c r="G2645" s="41"/>
      <c r="H2645" s="41"/>
      <c r="I2645" s="41"/>
      <c r="J2645" s="41"/>
      <c r="K2645" s="41"/>
      <c r="L2645" s="41"/>
      <c r="M2645" s="41"/>
      <c r="N2645" s="41"/>
      <c r="O2645" s="41"/>
      <c r="P2645" s="28"/>
    </row>
    <row r="2646" customFormat="1" spans="1:16">
      <c r="A2646" s="39"/>
      <c r="B2646" s="40"/>
      <c r="C2646" s="41"/>
      <c r="D2646" s="41"/>
      <c r="E2646" s="41"/>
      <c r="F2646" s="41"/>
      <c r="G2646" s="41"/>
      <c r="H2646" s="41"/>
      <c r="I2646" s="41"/>
      <c r="J2646" s="41"/>
      <c r="K2646" s="41"/>
      <c r="L2646" s="41"/>
      <c r="M2646" s="41"/>
      <c r="N2646" s="41"/>
      <c r="O2646" s="41"/>
      <c r="P2646" s="28"/>
    </row>
    <row r="2647" customFormat="1" spans="1:16">
      <c r="A2647" s="39"/>
      <c r="B2647" s="40"/>
      <c r="C2647" s="41"/>
      <c r="D2647" s="41"/>
      <c r="E2647" s="41"/>
      <c r="F2647" s="41"/>
      <c r="G2647" s="41"/>
      <c r="H2647" s="41"/>
      <c r="I2647" s="41"/>
      <c r="J2647" s="41"/>
      <c r="K2647" s="41"/>
      <c r="L2647" s="41"/>
      <c r="M2647" s="41"/>
      <c r="N2647" s="41"/>
      <c r="O2647" s="41"/>
      <c r="P2647" s="28"/>
    </row>
    <row r="2648" customFormat="1" spans="1:16">
      <c r="A2648" s="39"/>
      <c r="B2648" s="40"/>
      <c r="C2648" s="41"/>
      <c r="D2648" s="41"/>
      <c r="E2648" s="41"/>
      <c r="F2648" s="41"/>
      <c r="G2648" s="41"/>
      <c r="H2648" s="41"/>
      <c r="I2648" s="41"/>
      <c r="J2648" s="41"/>
      <c r="K2648" s="41"/>
      <c r="L2648" s="41"/>
      <c r="M2648" s="41"/>
      <c r="N2648" s="41"/>
      <c r="O2648" s="41"/>
      <c r="P2648" s="28"/>
    </row>
    <row r="2649" customFormat="1" spans="1:16">
      <c r="A2649" s="39"/>
      <c r="B2649" s="40"/>
      <c r="C2649" s="41"/>
      <c r="D2649" s="41"/>
      <c r="E2649" s="41"/>
      <c r="F2649" s="41"/>
      <c r="G2649" s="41"/>
      <c r="H2649" s="41"/>
      <c r="I2649" s="41"/>
      <c r="J2649" s="41"/>
      <c r="K2649" s="41"/>
      <c r="L2649" s="41"/>
      <c r="M2649" s="41"/>
      <c r="N2649" s="41"/>
      <c r="O2649" s="41"/>
      <c r="P2649" s="28"/>
    </row>
    <row r="2650" customFormat="1" spans="1:16">
      <c r="A2650" s="39"/>
      <c r="B2650" s="40"/>
      <c r="C2650" s="41"/>
      <c r="D2650" s="41"/>
      <c r="E2650" s="41"/>
      <c r="F2650" s="41"/>
      <c r="G2650" s="41"/>
      <c r="H2650" s="41"/>
      <c r="I2650" s="41"/>
      <c r="J2650" s="41"/>
      <c r="K2650" s="41"/>
      <c r="L2650" s="41"/>
      <c r="M2650" s="41"/>
      <c r="N2650" s="41"/>
      <c r="O2650" s="41"/>
      <c r="P2650" s="28"/>
    </row>
    <row r="2651" customFormat="1" spans="1:16">
      <c r="A2651" s="39"/>
      <c r="B2651" s="40"/>
      <c r="C2651" s="41"/>
      <c r="D2651" s="41"/>
      <c r="E2651" s="41"/>
      <c r="F2651" s="41"/>
      <c r="G2651" s="41"/>
      <c r="H2651" s="41"/>
      <c r="I2651" s="41"/>
      <c r="J2651" s="41"/>
      <c r="K2651" s="41"/>
      <c r="L2651" s="41"/>
      <c r="M2651" s="41"/>
      <c r="N2651" s="41"/>
      <c r="O2651" s="41"/>
      <c r="P2651" s="28"/>
    </row>
    <row r="2652" customFormat="1" spans="1:16">
      <c r="A2652" s="39"/>
      <c r="B2652" s="40"/>
      <c r="C2652" s="41"/>
      <c r="D2652" s="41"/>
      <c r="E2652" s="41"/>
      <c r="F2652" s="41"/>
      <c r="G2652" s="41"/>
      <c r="H2652" s="41"/>
      <c r="I2652" s="41"/>
      <c r="J2652" s="41"/>
      <c r="K2652" s="41"/>
      <c r="L2652" s="41"/>
      <c r="M2652" s="41"/>
      <c r="N2652" s="41"/>
      <c r="O2652" s="41"/>
      <c r="P2652" s="28"/>
    </row>
    <row r="2653" customFormat="1" spans="1:16">
      <c r="A2653" s="39"/>
      <c r="B2653" s="40"/>
      <c r="C2653" s="41"/>
      <c r="D2653" s="41"/>
      <c r="E2653" s="41"/>
      <c r="F2653" s="41"/>
      <c r="G2653" s="41"/>
      <c r="H2653" s="41"/>
      <c r="I2653" s="41"/>
      <c r="J2653" s="41"/>
      <c r="K2653" s="41"/>
      <c r="L2653" s="41"/>
      <c r="M2653" s="41"/>
      <c r="N2653" s="41"/>
      <c r="O2653" s="41"/>
      <c r="P2653" s="28"/>
    </row>
    <row r="2654" customFormat="1" spans="1:16">
      <c r="A2654" s="39"/>
      <c r="B2654" s="40"/>
      <c r="C2654" s="41"/>
      <c r="D2654" s="41"/>
      <c r="E2654" s="41"/>
      <c r="F2654" s="41"/>
      <c r="G2654" s="41"/>
      <c r="H2654" s="41"/>
      <c r="I2654" s="41"/>
      <c r="J2654" s="41"/>
      <c r="K2654" s="41"/>
      <c r="L2654" s="41"/>
      <c r="M2654" s="41"/>
      <c r="N2654" s="41"/>
      <c r="O2654" s="41"/>
      <c r="P2654" s="28"/>
    </row>
    <row r="2655" customFormat="1" spans="1:16">
      <c r="A2655" s="39"/>
      <c r="B2655" s="40"/>
      <c r="C2655" s="41"/>
      <c r="D2655" s="41"/>
      <c r="E2655" s="41"/>
      <c r="F2655" s="41"/>
      <c r="G2655" s="41"/>
      <c r="H2655" s="41"/>
      <c r="I2655" s="41"/>
      <c r="J2655" s="41"/>
      <c r="K2655" s="41"/>
      <c r="L2655" s="41"/>
      <c r="M2655" s="41"/>
      <c r="N2655" s="41"/>
      <c r="O2655" s="41"/>
      <c r="P2655" s="28"/>
    </row>
    <row r="2656" customFormat="1" spans="1:16">
      <c r="A2656" s="39"/>
      <c r="B2656" s="40"/>
      <c r="C2656" s="41"/>
      <c r="D2656" s="41"/>
      <c r="E2656" s="41"/>
      <c r="F2656" s="41"/>
      <c r="G2656" s="41"/>
      <c r="H2656" s="41"/>
      <c r="I2656" s="41"/>
      <c r="J2656" s="41"/>
      <c r="K2656" s="41"/>
      <c r="L2656" s="41"/>
      <c r="M2656" s="41"/>
      <c r="N2656" s="41"/>
      <c r="O2656" s="41"/>
      <c r="P2656" s="28"/>
    </row>
    <row r="2657" customFormat="1" spans="1:16">
      <c r="A2657" s="39"/>
      <c r="B2657" s="40"/>
      <c r="C2657" s="41"/>
      <c r="D2657" s="41"/>
      <c r="E2657" s="41"/>
      <c r="F2657" s="41"/>
      <c r="G2657" s="41"/>
      <c r="H2657" s="41"/>
      <c r="I2657" s="41"/>
      <c r="J2657" s="41"/>
      <c r="K2657" s="41"/>
      <c r="L2657" s="41"/>
      <c r="M2657" s="41"/>
      <c r="N2657" s="41"/>
      <c r="O2657" s="41"/>
      <c r="P2657" s="28"/>
    </row>
    <row r="2658" customFormat="1" spans="1:16">
      <c r="A2658" s="39"/>
      <c r="B2658" s="40"/>
      <c r="C2658" s="41"/>
      <c r="D2658" s="41"/>
      <c r="E2658" s="41"/>
      <c r="F2658" s="41"/>
      <c r="G2658" s="41"/>
      <c r="H2658" s="41"/>
      <c r="I2658" s="41"/>
      <c r="J2658" s="41"/>
      <c r="K2658" s="41"/>
      <c r="L2658" s="41"/>
      <c r="M2658" s="41"/>
      <c r="N2658" s="41"/>
      <c r="O2658" s="41"/>
      <c r="P2658" s="28"/>
    </row>
    <row r="2659" customFormat="1" spans="1:16">
      <c r="A2659" s="39"/>
      <c r="B2659" s="40"/>
      <c r="C2659" s="41"/>
      <c r="D2659" s="41"/>
      <c r="E2659" s="41"/>
      <c r="F2659" s="41"/>
      <c r="G2659" s="41"/>
      <c r="H2659" s="41"/>
      <c r="I2659" s="41"/>
      <c r="J2659" s="41"/>
      <c r="K2659" s="41"/>
      <c r="L2659" s="41"/>
      <c r="M2659" s="41"/>
      <c r="N2659" s="41"/>
      <c r="O2659" s="41"/>
      <c r="P2659" s="28"/>
    </row>
    <row r="2660" customFormat="1" spans="1:16">
      <c r="A2660" s="39"/>
      <c r="B2660" s="40"/>
      <c r="C2660" s="41"/>
      <c r="D2660" s="41"/>
      <c r="E2660" s="41"/>
      <c r="F2660" s="41"/>
      <c r="G2660" s="41"/>
      <c r="H2660" s="41"/>
      <c r="I2660" s="41"/>
      <c r="J2660" s="41"/>
      <c r="K2660" s="41"/>
      <c r="L2660" s="41"/>
      <c r="M2660" s="41"/>
      <c r="N2660" s="41"/>
      <c r="O2660" s="41"/>
      <c r="P2660" s="28"/>
    </row>
    <row r="2661" customFormat="1" spans="1:16">
      <c r="A2661" s="39"/>
      <c r="B2661" s="40"/>
      <c r="C2661" s="41"/>
      <c r="D2661" s="41"/>
      <c r="E2661" s="41"/>
      <c r="F2661" s="41"/>
      <c r="G2661" s="41"/>
      <c r="H2661" s="41"/>
      <c r="I2661" s="41"/>
      <c r="J2661" s="41"/>
      <c r="K2661" s="41"/>
      <c r="L2661" s="41"/>
      <c r="M2661" s="41"/>
      <c r="N2661" s="41"/>
      <c r="O2661" s="41"/>
      <c r="P2661" s="28"/>
    </row>
    <row r="2662" customFormat="1" spans="1:16">
      <c r="A2662" s="39"/>
      <c r="B2662" s="40"/>
      <c r="C2662" s="41"/>
      <c r="D2662" s="41"/>
      <c r="E2662" s="41"/>
      <c r="F2662" s="41"/>
      <c r="G2662" s="41"/>
      <c r="H2662" s="41"/>
      <c r="I2662" s="41"/>
      <c r="J2662" s="41"/>
      <c r="K2662" s="41"/>
      <c r="L2662" s="41"/>
      <c r="M2662" s="41"/>
      <c r="N2662" s="41"/>
      <c r="O2662" s="41"/>
      <c r="P2662" s="28"/>
    </row>
    <row r="2663" customFormat="1" spans="1:16">
      <c r="A2663" s="39"/>
      <c r="B2663" s="40"/>
      <c r="C2663" s="41"/>
      <c r="D2663" s="41"/>
      <c r="E2663" s="41"/>
      <c r="F2663" s="41"/>
      <c r="G2663" s="41"/>
      <c r="H2663" s="41"/>
      <c r="I2663" s="41"/>
      <c r="J2663" s="41"/>
      <c r="K2663" s="41"/>
      <c r="L2663" s="41"/>
      <c r="M2663" s="41"/>
      <c r="N2663" s="41"/>
      <c r="O2663" s="41"/>
      <c r="P2663" s="28"/>
    </row>
    <row r="2664" customFormat="1" spans="1:16">
      <c r="A2664" s="39"/>
      <c r="B2664" s="40"/>
      <c r="C2664" s="41"/>
      <c r="D2664" s="41"/>
      <c r="E2664" s="41"/>
      <c r="F2664" s="41"/>
      <c r="G2664" s="41"/>
      <c r="H2664" s="41"/>
      <c r="I2664" s="41"/>
      <c r="J2664" s="41"/>
      <c r="K2664" s="41"/>
      <c r="L2664" s="41"/>
      <c r="M2664" s="41"/>
      <c r="N2664" s="41"/>
      <c r="O2664" s="41"/>
      <c r="P2664" s="28"/>
    </row>
    <row r="2665" customFormat="1" spans="1:16">
      <c r="A2665" s="39"/>
      <c r="B2665" s="40"/>
      <c r="C2665" s="41"/>
      <c r="D2665" s="41"/>
      <c r="E2665" s="41"/>
      <c r="F2665" s="41"/>
      <c r="G2665" s="41"/>
      <c r="H2665" s="41"/>
      <c r="I2665" s="41"/>
      <c r="J2665" s="41"/>
      <c r="K2665" s="41"/>
      <c r="L2665" s="41"/>
      <c r="M2665" s="41"/>
      <c r="N2665" s="41"/>
      <c r="O2665" s="41"/>
      <c r="P2665" s="28"/>
    </row>
    <row r="2666" customFormat="1" spans="1:16">
      <c r="A2666" s="39"/>
      <c r="B2666" s="40"/>
      <c r="C2666" s="41"/>
      <c r="D2666" s="41"/>
      <c r="E2666" s="41"/>
      <c r="F2666" s="41"/>
      <c r="G2666" s="41"/>
      <c r="H2666" s="41"/>
      <c r="I2666" s="41"/>
      <c r="J2666" s="41"/>
      <c r="K2666" s="41"/>
      <c r="L2666" s="41"/>
      <c r="M2666" s="41"/>
      <c r="N2666" s="41"/>
      <c r="O2666" s="41"/>
      <c r="P2666" s="28"/>
    </row>
    <row r="2667" customFormat="1" spans="1:16">
      <c r="A2667" s="39"/>
      <c r="B2667" s="40"/>
      <c r="C2667" s="41"/>
      <c r="D2667" s="41"/>
      <c r="E2667" s="41"/>
      <c r="F2667" s="41"/>
      <c r="G2667" s="41"/>
      <c r="H2667" s="41"/>
      <c r="I2667" s="41"/>
      <c r="J2667" s="41"/>
      <c r="K2667" s="41"/>
      <c r="L2667" s="41"/>
      <c r="M2667" s="41"/>
      <c r="N2667" s="41"/>
      <c r="O2667" s="41"/>
      <c r="P2667" s="28"/>
    </row>
    <row r="2668" customFormat="1" spans="1:16">
      <c r="A2668" s="39"/>
      <c r="B2668" s="40"/>
      <c r="C2668" s="41"/>
      <c r="D2668" s="41"/>
      <c r="E2668" s="41"/>
      <c r="F2668" s="41"/>
      <c r="G2668" s="41"/>
      <c r="H2668" s="41"/>
      <c r="I2668" s="41"/>
      <c r="J2668" s="41"/>
      <c r="K2668" s="41"/>
      <c r="L2668" s="41"/>
      <c r="M2668" s="41"/>
      <c r="N2668" s="41"/>
      <c r="O2668" s="41"/>
      <c r="P2668" s="28"/>
    </row>
    <row r="2669" customFormat="1" spans="1:16">
      <c r="A2669" s="39"/>
      <c r="B2669" s="40"/>
      <c r="C2669" s="41"/>
      <c r="D2669" s="41"/>
      <c r="E2669" s="41"/>
      <c r="F2669" s="41"/>
      <c r="G2669" s="41"/>
      <c r="H2669" s="41"/>
      <c r="I2669" s="41"/>
      <c r="J2669" s="41"/>
      <c r="K2669" s="41"/>
      <c r="L2669" s="41"/>
      <c r="M2669" s="41"/>
      <c r="N2669" s="41"/>
      <c r="O2669" s="41"/>
      <c r="P2669" s="28"/>
    </row>
    <row r="2670" customFormat="1" spans="1:16">
      <c r="A2670" s="39"/>
      <c r="B2670" s="40"/>
      <c r="C2670" s="41"/>
      <c r="D2670" s="41"/>
      <c r="E2670" s="41"/>
      <c r="F2670" s="41"/>
      <c r="G2670" s="41"/>
      <c r="H2670" s="41"/>
      <c r="I2670" s="41"/>
      <c r="J2670" s="41"/>
      <c r="K2670" s="41"/>
      <c r="L2670" s="41"/>
      <c r="M2670" s="41"/>
      <c r="N2670" s="41"/>
      <c r="O2670" s="41"/>
      <c r="P2670" s="28"/>
    </row>
    <row r="2671" customFormat="1" spans="1:16">
      <c r="A2671" s="39"/>
      <c r="B2671" s="40"/>
      <c r="C2671" s="41"/>
      <c r="D2671" s="41"/>
      <c r="E2671" s="41"/>
      <c r="F2671" s="41"/>
      <c r="G2671" s="41"/>
      <c r="H2671" s="41"/>
      <c r="I2671" s="41"/>
      <c r="J2671" s="41"/>
      <c r="K2671" s="41"/>
      <c r="L2671" s="41"/>
      <c r="M2671" s="41"/>
      <c r="N2671" s="41"/>
      <c r="O2671" s="41"/>
      <c r="P2671" s="28"/>
    </row>
    <row r="2672" customFormat="1" spans="1:16">
      <c r="A2672" s="39"/>
      <c r="B2672" s="40"/>
      <c r="C2672" s="41"/>
      <c r="D2672" s="41"/>
      <c r="E2672" s="41"/>
      <c r="F2672" s="41"/>
      <c r="G2672" s="41"/>
      <c r="H2672" s="41"/>
      <c r="I2672" s="41"/>
      <c r="J2672" s="41"/>
      <c r="K2672" s="41"/>
      <c r="L2672" s="41"/>
      <c r="M2672" s="41"/>
      <c r="N2672" s="41"/>
      <c r="O2672" s="41"/>
      <c r="P2672" s="28"/>
    </row>
    <row r="2673" customFormat="1" spans="1:16">
      <c r="A2673" s="39"/>
      <c r="B2673" s="40"/>
      <c r="C2673" s="41"/>
      <c r="D2673" s="41"/>
      <c r="E2673" s="41"/>
      <c r="F2673" s="41"/>
      <c r="G2673" s="41"/>
      <c r="H2673" s="41"/>
      <c r="I2673" s="41"/>
      <c r="J2673" s="41"/>
      <c r="K2673" s="41"/>
      <c r="L2673" s="41"/>
      <c r="M2673" s="41"/>
      <c r="N2673" s="41"/>
      <c r="O2673" s="41"/>
      <c r="P2673" s="28"/>
    </row>
    <row r="2674" customFormat="1" spans="1:16">
      <c r="A2674" s="39"/>
      <c r="B2674" s="40"/>
      <c r="C2674" s="41"/>
      <c r="D2674" s="41"/>
      <c r="E2674" s="41"/>
      <c r="F2674" s="41"/>
      <c r="G2674" s="41"/>
      <c r="H2674" s="41"/>
      <c r="I2674" s="41"/>
      <c r="J2674" s="41"/>
      <c r="K2674" s="41"/>
      <c r="L2674" s="41"/>
      <c r="M2674" s="41"/>
      <c r="N2674" s="41"/>
      <c r="O2674" s="41"/>
      <c r="P2674" s="28"/>
    </row>
    <row r="2675" customFormat="1" spans="1:16">
      <c r="A2675" s="39"/>
      <c r="B2675" s="40"/>
      <c r="C2675" s="41"/>
      <c r="D2675" s="41"/>
      <c r="E2675" s="41"/>
      <c r="F2675" s="41"/>
      <c r="G2675" s="41"/>
      <c r="H2675" s="41"/>
      <c r="I2675" s="41"/>
      <c r="J2675" s="41"/>
      <c r="K2675" s="41"/>
      <c r="L2675" s="41"/>
      <c r="M2675" s="41"/>
      <c r="N2675" s="41"/>
      <c r="O2675" s="41"/>
      <c r="P2675" s="28"/>
    </row>
    <row r="2676" customFormat="1" spans="1:16">
      <c r="A2676" s="39"/>
      <c r="B2676" s="40"/>
      <c r="C2676" s="41"/>
      <c r="D2676" s="41"/>
      <c r="E2676" s="41"/>
      <c r="F2676" s="41"/>
      <c r="G2676" s="41"/>
      <c r="H2676" s="41"/>
      <c r="I2676" s="41"/>
      <c r="J2676" s="41"/>
      <c r="K2676" s="41"/>
      <c r="L2676" s="41"/>
      <c r="M2676" s="41"/>
      <c r="N2676" s="41"/>
      <c r="O2676" s="41"/>
      <c r="P2676" s="28"/>
    </row>
    <row r="2677" customFormat="1" spans="1:16">
      <c r="A2677" s="39"/>
      <c r="B2677" s="40"/>
      <c r="C2677" s="41"/>
      <c r="D2677" s="41"/>
      <c r="E2677" s="41"/>
      <c r="F2677" s="41"/>
      <c r="G2677" s="41"/>
      <c r="H2677" s="41"/>
      <c r="I2677" s="41"/>
      <c r="J2677" s="41"/>
      <c r="K2677" s="41"/>
      <c r="L2677" s="41"/>
      <c r="M2677" s="41"/>
      <c r="N2677" s="41"/>
      <c r="O2677" s="41"/>
      <c r="P2677" s="28"/>
    </row>
    <row r="2678" customFormat="1" spans="1:16">
      <c r="A2678" s="39"/>
      <c r="B2678" s="40"/>
      <c r="C2678" s="41"/>
      <c r="D2678" s="41"/>
      <c r="E2678" s="41"/>
      <c r="F2678" s="41"/>
      <c r="G2678" s="41"/>
      <c r="H2678" s="41"/>
      <c r="I2678" s="41"/>
      <c r="J2678" s="41"/>
      <c r="K2678" s="41"/>
      <c r="L2678" s="41"/>
      <c r="M2678" s="41"/>
      <c r="N2678" s="41"/>
      <c r="O2678" s="41"/>
      <c r="P2678" s="28"/>
    </row>
    <row r="2679" customFormat="1" spans="1:16">
      <c r="A2679" s="39"/>
      <c r="B2679" s="40"/>
      <c r="C2679" s="41"/>
      <c r="D2679" s="41"/>
      <c r="E2679" s="41"/>
      <c r="F2679" s="41"/>
      <c r="G2679" s="41"/>
      <c r="H2679" s="41"/>
      <c r="I2679" s="41"/>
      <c r="J2679" s="41"/>
      <c r="K2679" s="41"/>
      <c r="L2679" s="41"/>
      <c r="M2679" s="41"/>
      <c r="N2679" s="41"/>
      <c r="O2679" s="41"/>
      <c r="P2679" s="28"/>
    </row>
    <row r="2680" customFormat="1" spans="1:16">
      <c r="A2680" s="39"/>
      <c r="B2680" s="40"/>
      <c r="C2680" s="41"/>
      <c r="D2680" s="41"/>
      <c r="E2680" s="41"/>
      <c r="F2680" s="41"/>
      <c r="G2680" s="41"/>
      <c r="H2680" s="41"/>
      <c r="I2680" s="41"/>
      <c r="J2680" s="41"/>
      <c r="K2680" s="41"/>
      <c r="L2680" s="41"/>
      <c r="M2680" s="41"/>
      <c r="N2680" s="41"/>
      <c r="O2680" s="41"/>
      <c r="P2680" s="28"/>
    </row>
    <row r="2681" customFormat="1" spans="1:16">
      <c r="A2681" s="39"/>
      <c r="B2681" s="40"/>
      <c r="C2681" s="41"/>
      <c r="D2681" s="41"/>
      <c r="E2681" s="41"/>
      <c r="F2681" s="41"/>
      <c r="G2681" s="41"/>
      <c r="H2681" s="41"/>
      <c r="I2681" s="41"/>
      <c r="J2681" s="41"/>
      <c r="K2681" s="41"/>
      <c r="L2681" s="41"/>
      <c r="M2681" s="41"/>
      <c r="N2681" s="41"/>
      <c r="O2681" s="41"/>
      <c r="P2681" s="28"/>
    </row>
    <row r="2682" customFormat="1" spans="1:16">
      <c r="A2682" s="39"/>
      <c r="B2682" s="40"/>
      <c r="C2682" s="41"/>
      <c r="D2682" s="41"/>
      <c r="E2682" s="41"/>
      <c r="F2682" s="41"/>
      <c r="G2682" s="41"/>
      <c r="H2682" s="41"/>
      <c r="I2682" s="41"/>
      <c r="J2682" s="41"/>
      <c r="K2682" s="41"/>
      <c r="L2682" s="41"/>
      <c r="M2682" s="41"/>
      <c r="N2682" s="41"/>
      <c r="O2682" s="41"/>
      <c r="P2682" s="28"/>
    </row>
    <row r="2683" customFormat="1" spans="1:16">
      <c r="A2683" s="39"/>
      <c r="B2683" s="40"/>
      <c r="C2683" s="41"/>
      <c r="D2683" s="41"/>
      <c r="E2683" s="41"/>
      <c r="F2683" s="41"/>
      <c r="G2683" s="41"/>
      <c r="H2683" s="41"/>
      <c r="I2683" s="41"/>
      <c r="J2683" s="41"/>
      <c r="K2683" s="41"/>
      <c r="L2683" s="41"/>
      <c r="M2683" s="41"/>
      <c r="N2683" s="41"/>
      <c r="O2683" s="41"/>
      <c r="P2683" s="28"/>
    </row>
    <row r="2684" customFormat="1" spans="1:16">
      <c r="A2684" s="39"/>
      <c r="B2684" s="40"/>
      <c r="C2684" s="41"/>
      <c r="D2684" s="41"/>
      <c r="E2684" s="41"/>
      <c r="F2684" s="41"/>
      <c r="G2684" s="41"/>
      <c r="H2684" s="41"/>
      <c r="I2684" s="41"/>
      <c r="J2684" s="41"/>
      <c r="K2684" s="41"/>
      <c r="L2684" s="41"/>
      <c r="M2684" s="41"/>
      <c r="N2684" s="41"/>
      <c r="O2684" s="41"/>
      <c r="P2684" s="28"/>
    </row>
    <row r="2685" customFormat="1" spans="1:16">
      <c r="A2685" s="39"/>
      <c r="B2685" s="40"/>
      <c r="C2685" s="41"/>
      <c r="D2685" s="41"/>
      <c r="E2685" s="41"/>
      <c r="F2685" s="41"/>
      <c r="G2685" s="41"/>
      <c r="H2685" s="41"/>
      <c r="I2685" s="41"/>
      <c r="J2685" s="41"/>
      <c r="K2685" s="41"/>
      <c r="L2685" s="41"/>
      <c r="M2685" s="41"/>
      <c r="N2685" s="41"/>
      <c r="O2685" s="41"/>
      <c r="P2685" s="28"/>
    </row>
    <row r="2686" customFormat="1" spans="1:16">
      <c r="A2686" s="39"/>
      <c r="B2686" s="40"/>
      <c r="C2686" s="41"/>
      <c r="D2686" s="41"/>
      <c r="E2686" s="41"/>
      <c r="F2686" s="41"/>
      <c r="G2686" s="41"/>
      <c r="H2686" s="41"/>
      <c r="I2686" s="41"/>
      <c r="J2686" s="41"/>
      <c r="K2686" s="41"/>
      <c r="L2686" s="41"/>
      <c r="M2686" s="41"/>
      <c r="N2686" s="41"/>
      <c r="O2686" s="41"/>
      <c r="P2686" s="28"/>
    </row>
    <row r="2687" customFormat="1" spans="1:16">
      <c r="A2687" s="39"/>
      <c r="B2687" s="40"/>
      <c r="C2687" s="41"/>
      <c r="D2687" s="41"/>
      <c r="E2687" s="41"/>
      <c r="F2687" s="41"/>
      <c r="G2687" s="41"/>
      <c r="H2687" s="41"/>
      <c r="I2687" s="41"/>
      <c r="J2687" s="41"/>
      <c r="K2687" s="41"/>
      <c r="L2687" s="41"/>
      <c r="M2687" s="41"/>
      <c r="N2687" s="41"/>
      <c r="O2687" s="41"/>
      <c r="P2687" s="28"/>
    </row>
    <row r="2688" customFormat="1" spans="1:16">
      <c r="A2688" s="39"/>
      <c r="B2688" s="40"/>
      <c r="C2688" s="41"/>
      <c r="D2688" s="41"/>
      <c r="E2688" s="41"/>
      <c r="F2688" s="41"/>
      <c r="G2688" s="41"/>
      <c r="H2688" s="41"/>
      <c r="I2688" s="41"/>
      <c r="J2688" s="41"/>
      <c r="K2688" s="41"/>
      <c r="L2688" s="41"/>
      <c r="M2688" s="41"/>
      <c r="N2688" s="41"/>
      <c r="O2688" s="41"/>
      <c r="P2688" s="28"/>
    </row>
    <row r="2689" customFormat="1" spans="1:16">
      <c r="A2689" s="39"/>
      <c r="B2689" s="40"/>
      <c r="C2689" s="41"/>
      <c r="D2689" s="41"/>
      <c r="E2689" s="41"/>
      <c r="F2689" s="41"/>
      <c r="G2689" s="41"/>
      <c r="H2689" s="41"/>
      <c r="I2689" s="41"/>
      <c r="J2689" s="41"/>
      <c r="K2689" s="41"/>
      <c r="L2689" s="41"/>
      <c r="M2689" s="41"/>
      <c r="N2689" s="41"/>
      <c r="O2689" s="41"/>
      <c r="P2689" s="28"/>
    </row>
    <row r="2690" customFormat="1" spans="1:16">
      <c r="A2690" s="39"/>
      <c r="B2690" s="40"/>
      <c r="C2690" s="41"/>
      <c r="D2690" s="41"/>
      <c r="E2690" s="41"/>
      <c r="F2690" s="41"/>
      <c r="G2690" s="41"/>
      <c r="H2690" s="41"/>
      <c r="I2690" s="41"/>
      <c r="J2690" s="41"/>
      <c r="K2690" s="41"/>
      <c r="L2690" s="41"/>
      <c r="M2690" s="41"/>
      <c r="N2690" s="41"/>
      <c r="O2690" s="41"/>
      <c r="P2690" s="28"/>
    </row>
    <row r="2691" customFormat="1" spans="1:16">
      <c r="A2691" s="39"/>
      <c r="B2691" s="40"/>
      <c r="C2691" s="41"/>
      <c r="D2691" s="41"/>
      <c r="E2691" s="41"/>
      <c r="F2691" s="41"/>
      <c r="G2691" s="41"/>
      <c r="H2691" s="41"/>
      <c r="I2691" s="41"/>
      <c r="J2691" s="41"/>
      <c r="K2691" s="41"/>
      <c r="L2691" s="41"/>
      <c r="M2691" s="41"/>
      <c r="N2691" s="41"/>
      <c r="O2691" s="41"/>
      <c r="P2691" s="28"/>
    </row>
    <row r="2692" customFormat="1" spans="1:16">
      <c r="A2692" s="39"/>
      <c r="B2692" s="40"/>
      <c r="C2692" s="41"/>
      <c r="D2692" s="41"/>
      <c r="E2692" s="41"/>
      <c r="F2692" s="41"/>
      <c r="G2692" s="41"/>
      <c r="H2692" s="41"/>
      <c r="I2692" s="41"/>
      <c r="J2692" s="41"/>
      <c r="K2692" s="41"/>
      <c r="L2692" s="41"/>
      <c r="M2692" s="41"/>
      <c r="N2692" s="41"/>
      <c r="O2692" s="41"/>
      <c r="P2692" s="28"/>
    </row>
    <row r="2693" customFormat="1" spans="1:16">
      <c r="A2693" s="39"/>
      <c r="B2693" s="40"/>
      <c r="C2693" s="41"/>
      <c r="D2693" s="41"/>
      <c r="E2693" s="41"/>
      <c r="F2693" s="41"/>
      <c r="G2693" s="41"/>
      <c r="H2693" s="41"/>
      <c r="I2693" s="41"/>
      <c r="J2693" s="41"/>
      <c r="K2693" s="41"/>
      <c r="L2693" s="41"/>
      <c r="M2693" s="41"/>
      <c r="N2693" s="41"/>
      <c r="O2693" s="41"/>
      <c r="P2693" s="28"/>
    </row>
    <row r="2694" customFormat="1" spans="1:16">
      <c r="A2694" s="39"/>
      <c r="B2694" s="40"/>
      <c r="C2694" s="41"/>
      <c r="D2694" s="41"/>
      <c r="E2694" s="41"/>
      <c r="F2694" s="41"/>
      <c r="G2694" s="41"/>
      <c r="H2694" s="41"/>
      <c r="I2694" s="41"/>
      <c r="J2694" s="41"/>
      <c r="K2694" s="41"/>
      <c r="L2694" s="41"/>
      <c r="M2694" s="41"/>
      <c r="N2694" s="41"/>
      <c r="O2694" s="41"/>
      <c r="P2694" s="28"/>
    </row>
    <row r="2695" customFormat="1" spans="1:16">
      <c r="A2695" s="39"/>
      <c r="B2695" s="40"/>
      <c r="C2695" s="41"/>
      <c r="D2695" s="41"/>
      <c r="E2695" s="41"/>
      <c r="F2695" s="41"/>
      <c r="G2695" s="41"/>
      <c r="H2695" s="41"/>
      <c r="I2695" s="41"/>
      <c r="J2695" s="41"/>
      <c r="K2695" s="41"/>
      <c r="L2695" s="41"/>
      <c r="M2695" s="41"/>
      <c r="N2695" s="41"/>
      <c r="O2695" s="41"/>
      <c r="P2695" s="28"/>
    </row>
    <row r="2696" customFormat="1" spans="1:16">
      <c r="A2696" s="39"/>
      <c r="B2696" s="40"/>
      <c r="C2696" s="41"/>
      <c r="D2696" s="41"/>
      <c r="E2696" s="41"/>
      <c r="F2696" s="41"/>
      <c r="G2696" s="41"/>
      <c r="H2696" s="41"/>
      <c r="I2696" s="41"/>
      <c r="J2696" s="41"/>
      <c r="K2696" s="41"/>
      <c r="L2696" s="41"/>
      <c r="M2696" s="41"/>
      <c r="N2696" s="41"/>
      <c r="O2696" s="41"/>
      <c r="P2696" s="28"/>
    </row>
    <row r="2697" customFormat="1" spans="1:16">
      <c r="A2697" s="39"/>
      <c r="B2697" s="40"/>
      <c r="C2697" s="41"/>
      <c r="D2697" s="41"/>
      <c r="E2697" s="41"/>
      <c r="F2697" s="41"/>
      <c r="G2697" s="41"/>
      <c r="H2697" s="41"/>
      <c r="I2697" s="41"/>
      <c r="J2697" s="41"/>
      <c r="K2697" s="41"/>
      <c r="L2697" s="41"/>
      <c r="M2697" s="41"/>
      <c r="N2697" s="41"/>
      <c r="O2697" s="41"/>
      <c r="P2697" s="28"/>
    </row>
    <row r="2698" customFormat="1" spans="1:16">
      <c r="A2698" s="39"/>
      <c r="B2698" s="40"/>
      <c r="C2698" s="41"/>
      <c r="D2698" s="41"/>
      <c r="E2698" s="41"/>
      <c r="F2698" s="41"/>
      <c r="G2698" s="41"/>
      <c r="H2698" s="41"/>
      <c r="I2698" s="41"/>
      <c r="J2698" s="41"/>
      <c r="K2698" s="41"/>
      <c r="L2698" s="41"/>
      <c r="M2698" s="41"/>
      <c r="N2698" s="41"/>
      <c r="O2698" s="41"/>
      <c r="P2698" s="28"/>
    </row>
    <row r="2699" customFormat="1" spans="1:16">
      <c r="A2699" s="39"/>
      <c r="B2699" s="40"/>
      <c r="C2699" s="41"/>
      <c r="D2699" s="41"/>
      <c r="E2699" s="41"/>
      <c r="F2699" s="41"/>
      <c r="G2699" s="41"/>
      <c r="H2699" s="41"/>
      <c r="I2699" s="41"/>
      <c r="J2699" s="41"/>
      <c r="K2699" s="41"/>
      <c r="L2699" s="41"/>
      <c r="M2699" s="41"/>
      <c r="N2699" s="41"/>
      <c r="O2699" s="41"/>
      <c r="P2699" s="28"/>
    </row>
    <row r="2700" customFormat="1" spans="1:16">
      <c r="A2700" s="39"/>
      <c r="B2700" s="40"/>
      <c r="C2700" s="41"/>
      <c r="D2700" s="41"/>
      <c r="E2700" s="41"/>
      <c r="F2700" s="41"/>
      <c r="G2700" s="41"/>
      <c r="H2700" s="41"/>
      <c r="I2700" s="41"/>
      <c r="J2700" s="41"/>
      <c r="K2700" s="41"/>
      <c r="L2700" s="41"/>
      <c r="M2700" s="41"/>
      <c r="N2700" s="41"/>
      <c r="O2700" s="41"/>
      <c r="P2700" s="28"/>
    </row>
    <row r="2701" customFormat="1" spans="1:16">
      <c r="A2701" s="39"/>
      <c r="B2701" s="40"/>
      <c r="C2701" s="41"/>
      <c r="D2701" s="41"/>
      <c r="E2701" s="41"/>
      <c r="F2701" s="41"/>
      <c r="G2701" s="41"/>
      <c r="H2701" s="41"/>
      <c r="I2701" s="41"/>
      <c r="J2701" s="41"/>
      <c r="K2701" s="41"/>
      <c r="L2701" s="41"/>
      <c r="M2701" s="41"/>
      <c r="N2701" s="41"/>
      <c r="O2701" s="41"/>
      <c r="P2701" s="28"/>
    </row>
    <row r="2702" customFormat="1" spans="1:16">
      <c r="A2702" s="39"/>
      <c r="B2702" s="40"/>
      <c r="C2702" s="41"/>
      <c r="D2702" s="41"/>
      <c r="E2702" s="41"/>
      <c r="F2702" s="41"/>
      <c r="G2702" s="41"/>
      <c r="H2702" s="41"/>
      <c r="I2702" s="41"/>
      <c r="J2702" s="41"/>
      <c r="K2702" s="41"/>
      <c r="L2702" s="41"/>
      <c r="M2702" s="41"/>
      <c r="N2702" s="41"/>
      <c r="O2702" s="41"/>
      <c r="P2702" s="28"/>
    </row>
    <row r="2703" customFormat="1" spans="1:16">
      <c r="A2703" s="39"/>
      <c r="B2703" s="40"/>
      <c r="C2703" s="41"/>
      <c r="D2703" s="41"/>
      <c r="E2703" s="41"/>
      <c r="F2703" s="41"/>
      <c r="G2703" s="41"/>
      <c r="H2703" s="41"/>
      <c r="I2703" s="41"/>
      <c r="J2703" s="41"/>
      <c r="K2703" s="41"/>
      <c r="L2703" s="41"/>
      <c r="M2703" s="41"/>
      <c r="N2703" s="41"/>
      <c r="O2703" s="41"/>
      <c r="P2703" s="28"/>
    </row>
    <row r="2704" customFormat="1" spans="1:16">
      <c r="A2704" s="39"/>
      <c r="B2704" s="40"/>
      <c r="C2704" s="41"/>
      <c r="D2704" s="41"/>
      <c r="E2704" s="41"/>
      <c r="F2704" s="41"/>
      <c r="G2704" s="41"/>
      <c r="H2704" s="41"/>
      <c r="I2704" s="41"/>
      <c r="J2704" s="41"/>
      <c r="K2704" s="41"/>
      <c r="L2704" s="41"/>
      <c r="M2704" s="41"/>
      <c r="N2704" s="41"/>
      <c r="O2704" s="41"/>
      <c r="P2704" s="28"/>
    </row>
    <row r="2705" customFormat="1" spans="1:16">
      <c r="A2705" s="39"/>
      <c r="B2705" s="40"/>
      <c r="C2705" s="41"/>
      <c r="D2705" s="41"/>
      <c r="E2705" s="41"/>
      <c r="F2705" s="41"/>
      <c r="G2705" s="41"/>
      <c r="H2705" s="41"/>
      <c r="I2705" s="41"/>
      <c r="J2705" s="41"/>
      <c r="K2705" s="41"/>
      <c r="L2705" s="41"/>
      <c r="M2705" s="41"/>
      <c r="N2705" s="41"/>
      <c r="O2705" s="41"/>
      <c r="P2705" s="28"/>
    </row>
    <row r="2706" customFormat="1" spans="1:16">
      <c r="A2706" s="39"/>
      <c r="B2706" s="40"/>
      <c r="C2706" s="41"/>
      <c r="D2706" s="41"/>
      <c r="E2706" s="41"/>
      <c r="F2706" s="41"/>
      <c r="G2706" s="41"/>
      <c r="H2706" s="41"/>
      <c r="I2706" s="41"/>
      <c r="J2706" s="41"/>
      <c r="K2706" s="41"/>
      <c r="L2706" s="41"/>
      <c r="M2706" s="41"/>
      <c r="N2706" s="41"/>
      <c r="O2706" s="41"/>
      <c r="P2706" s="28"/>
    </row>
    <row r="2707" customFormat="1" spans="1:16">
      <c r="A2707" s="39"/>
      <c r="B2707" s="40"/>
      <c r="C2707" s="41"/>
      <c r="D2707" s="41"/>
      <c r="E2707" s="41"/>
      <c r="F2707" s="41"/>
      <c r="G2707" s="41"/>
      <c r="H2707" s="41"/>
      <c r="I2707" s="41"/>
      <c r="J2707" s="41"/>
      <c r="K2707" s="41"/>
      <c r="L2707" s="41"/>
      <c r="M2707" s="41"/>
      <c r="N2707" s="41"/>
      <c r="O2707" s="41"/>
      <c r="P2707" s="28"/>
    </row>
    <row r="2708" customFormat="1" spans="1:16">
      <c r="A2708" s="39"/>
      <c r="B2708" s="40"/>
      <c r="C2708" s="41"/>
      <c r="D2708" s="41"/>
      <c r="E2708" s="41"/>
      <c r="F2708" s="41"/>
      <c r="G2708" s="41"/>
      <c r="H2708" s="41"/>
      <c r="I2708" s="41"/>
      <c r="J2708" s="41"/>
      <c r="K2708" s="41"/>
      <c r="L2708" s="41"/>
      <c r="M2708" s="41"/>
      <c r="N2708" s="41"/>
      <c r="O2708" s="41"/>
      <c r="P2708" s="28"/>
    </row>
    <row r="2709" customFormat="1" spans="1:16">
      <c r="A2709" s="39"/>
      <c r="B2709" s="40"/>
      <c r="C2709" s="41"/>
      <c r="D2709" s="41"/>
      <c r="E2709" s="41"/>
      <c r="F2709" s="41"/>
      <c r="G2709" s="41"/>
      <c r="H2709" s="41"/>
      <c r="I2709" s="41"/>
      <c r="J2709" s="41"/>
      <c r="K2709" s="41"/>
      <c r="L2709" s="41"/>
      <c r="M2709" s="41"/>
      <c r="N2709" s="41"/>
      <c r="O2709" s="41"/>
      <c r="P2709" s="28"/>
    </row>
    <row r="2710" customFormat="1" spans="1:16">
      <c r="A2710" s="39"/>
      <c r="B2710" s="40"/>
      <c r="C2710" s="41"/>
      <c r="D2710" s="41"/>
      <c r="E2710" s="41"/>
      <c r="F2710" s="41"/>
      <c r="G2710" s="41"/>
      <c r="H2710" s="41"/>
      <c r="I2710" s="41"/>
      <c r="J2710" s="41"/>
      <c r="K2710" s="41"/>
      <c r="L2710" s="41"/>
      <c r="M2710" s="41"/>
      <c r="N2710" s="41"/>
      <c r="O2710" s="41"/>
      <c r="P2710" s="28"/>
    </row>
    <row r="2711" customFormat="1" spans="1:16">
      <c r="A2711" s="39"/>
      <c r="B2711" s="40"/>
      <c r="C2711" s="41"/>
      <c r="D2711" s="41"/>
      <c r="E2711" s="41"/>
      <c r="F2711" s="41"/>
      <c r="G2711" s="41"/>
      <c r="H2711" s="41"/>
      <c r="I2711" s="41"/>
      <c r="J2711" s="41"/>
      <c r="K2711" s="41"/>
      <c r="L2711" s="41"/>
      <c r="M2711" s="41"/>
      <c r="N2711" s="41"/>
      <c r="O2711" s="41"/>
      <c r="P2711" s="28"/>
    </row>
    <row r="2712" customFormat="1" spans="1:16">
      <c r="A2712" s="39"/>
      <c r="B2712" s="40"/>
      <c r="C2712" s="41"/>
      <c r="D2712" s="41"/>
      <c r="E2712" s="41"/>
      <c r="F2712" s="41"/>
      <c r="G2712" s="41"/>
      <c r="H2712" s="41"/>
      <c r="I2712" s="41"/>
      <c r="J2712" s="41"/>
      <c r="K2712" s="41"/>
      <c r="L2712" s="41"/>
      <c r="M2712" s="41"/>
      <c r="N2712" s="41"/>
      <c r="O2712" s="41"/>
      <c r="P2712" s="28"/>
    </row>
    <row r="2713" customFormat="1" spans="1:16">
      <c r="A2713" s="39"/>
      <c r="B2713" s="40"/>
      <c r="C2713" s="41"/>
      <c r="D2713" s="41"/>
      <c r="E2713" s="41"/>
      <c r="F2713" s="41"/>
      <c r="G2713" s="41"/>
      <c r="H2713" s="41"/>
      <c r="I2713" s="41"/>
      <c r="J2713" s="41"/>
      <c r="K2713" s="41"/>
      <c r="L2713" s="41"/>
      <c r="M2713" s="41"/>
      <c r="N2713" s="41"/>
      <c r="O2713" s="41"/>
      <c r="P2713" s="28"/>
    </row>
    <row r="2714" customFormat="1" spans="1:16">
      <c r="A2714" s="39"/>
      <c r="B2714" s="40"/>
      <c r="C2714" s="41"/>
      <c r="D2714" s="41"/>
      <c r="E2714" s="41"/>
      <c r="F2714" s="41"/>
      <c r="G2714" s="41"/>
      <c r="H2714" s="41"/>
      <c r="I2714" s="41"/>
      <c r="J2714" s="41"/>
      <c r="K2714" s="41"/>
      <c r="L2714" s="41"/>
      <c r="M2714" s="41"/>
      <c r="N2714" s="41"/>
      <c r="O2714" s="41"/>
      <c r="P2714" s="28"/>
    </row>
    <row r="2715" customFormat="1" spans="1:16">
      <c r="A2715" s="39"/>
      <c r="B2715" s="40"/>
      <c r="C2715" s="41"/>
      <c r="D2715" s="41"/>
      <c r="E2715" s="41"/>
      <c r="F2715" s="41"/>
      <c r="G2715" s="41"/>
      <c r="H2715" s="41"/>
      <c r="I2715" s="41"/>
      <c r="J2715" s="41"/>
      <c r="K2715" s="41"/>
      <c r="L2715" s="41"/>
      <c r="M2715" s="41"/>
      <c r="N2715" s="41"/>
      <c r="O2715" s="41"/>
      <c r="P2715" s="28"/>
    </row>
    <row r="2716" customFormat="1" spans="1:16">
      <c r="A2716" s="39"/>
      <c r="B2716" s="40"/>
      <c r="C2716" s="41"/>
      <c r="D2716" s="41"/>
      <c r="E2716" s="41"/>
      <c r="F2716" s="41"/>
      <c r="G2716" s="41"/>
      <c r="H2716" s="41"/>
      <c r="I2716" s="41"/>
      <c r="J2716" s="41"/>
      <c r="K2716" s="41"/>
      <c r="L2716" s="41"/>
      <c r="M2716" s="41"/>
      <c r="N2716" s="41"/>
      <c r="O2716" s="41"/>
      <c r="P2716" s="28"/>
    </row>
    <row r="2717" customFormat="1" spans="1:16">
      <c r="A2717" s="39"/>
      <c r="B2717" s="40"/>
      <c r="C2717" s="41"/>
      <c r="D2717" s="41"/>
      <c r="E2717" s="41"/>
      <c r="F2717" s="41"/>
      <c r="G2717" s="41"/>
      <c r="H2717" s="41"/>
      <c r="I2717" s="41"/>
      <c r="J2717" s="41"/>
      <c r="K2717" s="41"/>
      <c r="L2717" s="41"/>
      <c r="M2717" s="41"/>
      <c r="N2717" s="41"/>
      <c r="O2717" s="41"/>
      <c r="P2717" s="28"/>
    </row>
    <row r="2718" customFormat="1" spans="1:16">
      <c r="A2718" s="39"/>
      <c r="B2718" s="40"/>
      <c r="C2718" s="41"/>
      <c r="D2718" s="41"/>
      <c r="E2718" s="41"/>
      <c r="F2718" s="41"/>
      <c r="G2718" s="41"/>
      <c r="H2718" s="41"/>
      <c r="I2718" s="41"/>
      <c r="J2718" s="41"/>
      <c r="K2718" s="41"/>
      <c r="L2718" s="41"/>
      <c r="M2718" s="41"/>
      <c r="N2718" s="41"/>
      <c r="O2718" s="41"/>
      <c r="P2718" s="28"/>
    </row>
    <row r="2719" customFormat="1" spans="1:16">
      <c r="A2719" s="39"/>
      <c r="B2719" s="40"/>
      <c r="C2719" s="41"/>
      <c r="D2719" s="41"/>
      <c r="E2719" s="41"/>
      <c r="F2719" s="41"/>
      <c r="G2719" s="41"/>
      <c r="H2719" s="41"/>
      <c r="I2719" s="41"/>
      <c r="J2719" s="41"/>
      <c r="K2719" s="41"/>
      <c r="L2719" s="41"/>
      <c r="M2719" s="41"/>
      <c r="N2719" s="41"/>
      <c r="O2719" s="41"/>
      <c r="P2719" s="28"/>
    </row>
    <row r="2720" customFormat="1" spans="1:16">
      <c r="A2720" s="39"/>
      <c r="B2720" s="40"/>
      <c r="C2720" s="41"/>
      <c r="D2720" s="41"/>
      <c r="E2720" s="41"/>
      <c r="F2720" s="41"/>
      <c r="G2720" s="41"/>
      <c r="H2720" s="41"/>
      <c r="I2720" s="41"/>
      <c r="J2720" s="41"/>
      <c r="K2720" s="41"/>
      <c r="L2720" s="41"/>
      <c r="M2720" s="41"/>
      <c r="N2720" s="41"/>
      <c r="O2720" s="41"/>
      <c r="P2720" s="28"/>
    </row>
    <row r="2721" customFormat="1" spans="1:16">
      <c r="A2721" s="39"/>
      <c r="B2721" s="40"/>
      <c r="C2721" s="41"/>
      <c r="D2721" s="41"/>
      <c r="E2721" s="41"/>
      <c r="F2721" s="41"/>
      <c r="G2721" s="41"/>
      <c r="H2721" s="41"/>
      <c r="I2721" s="41"/>
      <c r="J2721" s="41"/>
      <c r="K2721" s="41"/>
      <c r="L2721" s="41"/>
      <c r="M2721" s="41"/>
      <c r="N2721" s="41"/>
      <c r="O2721" s="41"/>
      <c r="P2721" s="28"/>
    </row>
    <row r="2722" customFormat="1" spans="1:16">
      <c r="A2722" s="39"/>
      <c r="B2722" s="40"/>
      <c r="C2722" s="41"/>
      <c r="D2722" s="41"/>
      <c r="E2722" s="41"/>
      <c r="F2722" s="41"/>
      <c r="G2722" s="41"/>
      <c r="H2722" s="41"/>
      <c r="I2722" s="41"/>
      <c r="J2722" s="41"/>
      <c r="K2722" s="41"/>
      <c r="L2722" s="41"/>
      <c r="M2722" s="41"/>
      <c r="N2722" s="41"/>
      <c r="O2722" s="41"/>
      <c r="P2722" s="28"/>
    </row>
    <row r="2723" customFormat="1" spans="1:16">
      <c r="A2723" s="39"/>
      <c r="B2723" s="40"/>
      <c r="C2723" s="41"/>
      <c r="D2723" s="41"/>
      <c r="E2723" s="41"/>
      <c r="F2723" s="41"/>
      <c r="G2723" s="41"/>
      <c r="H2723" s="41"/>
      <c r="I2723" s="41"/>
      <c r="J2723" s="41"/>
      <c r="K2723" s="41"/>
      <c r="L2723" s="41"/>
      <c r="M2723" s="41"/>
      <c r="N2723" s="41"/>
      <c r="O2723" s="41"/>
      <c r="P2723" s="28"/>
    </row>
    <row r="2724" customFormat="1" spans="1:16">
      <c r="A2724" s="39"/>
      <c r="B2724" s="40"/>
      <c r="C2724" s="41"/>
      <c r="D2724" s="41"/>
      <c r="E2724" s="41"/>
      <c r="F2724" s="41"/>
      <c r="G2724" s="41"/>
      <c r="H2724" s="41"/>
      <c r="I2724" s="41"/>
      <c r="J2724" s="41"/>
      <c r="K2724" s="41"/>
      <c r="L2724" s="41"/>
      <c r="M2724" s="41"/>
      <c r="N2724" s="41"/>
      <c r="O2724" s="41"/>
      <c r="P2724" s="28"/>
    </row>
    <row r="2725" customFormat="1" spans="1:16">
      <c r="A2725" s="39"/>
      <c r="B2725" s="40"/>
      <c r="C2725" s="41"/>
      <c r="D2725" s="41"/>
      <c r="E2725" s="41"/>
      <c r="F2725" s="41"/>
      <c r="G2725" s="41"/>
      <c r="H2725" s="41"/>
      <c r="I2725" s="41"/>
      <c r="J2725" s="41"/>
      <c r="K2725" s="41"/>
      <c r="L2725" s="41"/>
      <c r="M2725" s="41"/>
      <c r="N2725" s="41"/>
      <c r="O2725" s="41"/>
      <c r="P2725" s="28"/>
    </row>
    <row r="2726" customFormat="1" spans="1:16">
      <c r="A2726" s="39"/>
      <c r="B2726" s="40"/>
      <c r="C2726" s="41"/>
      <c r="D2726" s="41"/>
      <c r="E2726" s="41"/>
      <c r="F2726" s="41"/>
      <c r="G2726" s="41"/>
      <c r="H2726" s="41"/>
      <c r="I2726" s="41"/>
      <c r="J2726" s="41"/>
      <c r="K2726" s="41"/>
      <c r="L2726" s="41"/>
      <c r="M2726" s="41"/>
      <c r="N2726" s="41"/>
      <c r="O2726" s="41"/>
      <c r="P2726" s="28"/>
    </row>
    <row r="2727" customFormat="1" spans="1:16">
      <c r="A2727" s="39"/>
      <c r="B2727" s="40"/>
      <c r="C2727" s="41"/>
      <c r="D2727" s="41"/>
      <c r="E2727" s="41"/>
      <c r="F2727" s="41"/>
      <c r="G2727" s="41"/>
      <c r="H2727" s="41"/>
      <c r="I2727" s="41"/>
      <c r="J2727" s="41"/>
      <c r="K2727" s="41"/>
      <c r="L2727" s="41"/>
      <c r="M2727" s="41"/>
      <c r="N2727" s="41"/>
      <c r="O2727" s="41"/>
      <c r="P2727" s="28"/>
    </row>
    <row r="2728" customFormat="1" spans="1:16">
      <c r="A2728" s="39"/>
      <c r="B2728" s="40"/>
      <c r="C2728" s="41"/>
      <c r="D2728" s="41"/>
      <c r="E2728" s="41"/>
      <c r="F2728" s="41"/>
      <c r="G2728" s="41"/>
      <c r="H2728" s="41"/>
      <c r="I2728" s="41"/>
      <c r="J2728" s="41"/>
      <c r="K2728" s="41"/>
      <c r="L2728" s="41"/>
      <c r="M2728" s="41"/>
      <c r="N2728" s="41"/>
      <c r="O2728" s="41"/>
      <c r="P2728" s="28"/>
    </row>
    <row r="2729" customFormat="1" spans="1:16">
      <c r="A2729" s="39"/>
      <c r="B2729" s="40"/>
      <c r="C2729" s="41"/>
      <c r="D2729" s="41"/>
      <c r="E2729" s="41"/>
      <c r="F2729" s="41"/>
      <c r="G2729" s="41"/>
      <c r="H2729" s="41"/>
      <c r="I2729" s="41"/>
      <c r="J2729" s="41"/>
      <c r="K2729" s="41"/>
      <c r="L2729" s="41"/>
      <c r="M2729" s="41"/>
      <c r="N2729" s="41"/>
      <c r="O2729" s="41"/>
      <c r="P2729" s="28"/>
    </row>
    <row r="2730" customFormat="1" spans="1:16">
      <c r="A2730" s="39"/>
      <c r="B2730" s="40"/>
      <c r="C2730" s="41"/>
      <c r="D2730" s="41"/>
      <c r="E2730" s="41"/>
      <c r="F2730" s="41"/>
      <c r="G2730" s="41"/>
      <c r="H2730" s="41"/>
      <c r="I2730" s="41"/>
      <c r="J2730" s="41"/>
      <c r="K2730" s="41"/>
      <c r="L2730" s="41"/>
      <c r="M2730" s="41"/>
      <c r="N2730" s="41"/>
      <c r="O2730" s="41"/>
      <c r="P2730" s="28"/>
    </row>
    <row r="2731" customFormat="1" spans="1:16">
      <c r="A2731" s="39"/>
      <c r="B2731" s="40"/>
      <c r="C2731" s="41"/>
      <c r="D2731" s="41"/>
      <c r="E2731" s="41"/>
      <c r="F2731" s="41"/>
      <c r="G2731" s="41"/>
      <c r="H2731" s="41"/>
      <c r="I2731" s="41"/>
      <c r="J2731" s="41"/>
      <c r="K2731" s="41"/>
      <c r="L2731" s="41"/>
      <c r="M2731" s="41"/>
      <c r="N2731" s="41"/>
      <c r="O2731" s="41"/>
      <c r="P2731" s="28"/>
    </row>
    <row r="2732" customFormat="1" spans="1:16">
      <c r="A2732" s="39"/>
      <c r="B2732" s="40"/>
      <c r="C2732" s="41"/>
      <c r="D2732" s="41"/>
      <c r="E2732" s="41"/>
      <c r="F2732" s="41"/>
      <c r="G2732" s="41"/>
      <c r="H2732" s="41"/>
      <c r="I2732" s="41"/>
      <c r="J2732" s="41"/>
      <c r="K2732" s="41"/>
      <c r="L2732" s="41"/>
      <c r="M2732" s="41"/>
      <c r="N2732" s="41"/>
      <c r="O2732" s="41"/>
      <c r="P2732" s="28"/>
    </row>
    <row r="2733" customFormat="1" spans="1:16">
      <c r="A2733" s="39"/>
      <c r="B2733" s="40"/>
      <c r="C2733" s="41"/>
      <c r="D2733" s="41"/>
      <c r="E2733" s="41"/>
      <c r="F2733" s="41"/>
      <c r="G2733" s="41"/>
      <c r="H2733" s="41"/>
      <c r="I2733" s="41"/>
      <c r="J2733" s="41"/>
      <c r="K2733" s="41"/>
      <c r="L2733" s="41"/>
      <c r="M2733" s="41"/>
      <c r="N2733" s="41"/>
      <c r="O2733" s="41"/>
      <c r="P2733" s="28"/>
    </row>
    <row r="2734" customFormat="1" spans="1:16">
      <c r="A2734" s="39"/>
      <c r="B2734" s="40"/>
      <c r="C2734" s="41"/>
      <c r="D2734" s="41"/>
      <c r="E2734" s="41"/>
      <c r="F2734" s="41"/>
      <c r="G2734" s="41"/>
      <c r="H2734" s="41"/>
      <c r="I2734" s="41"/>
      <c r="J2734" s="41"/>
      <c r="K2734" s="41"/>
      <c r="L2734" s="41"/>
      <c r="M2734" s="41"/>
      <c r="N2734" s="41"/>
      <c r="O2734" s="41"/>
      <c r="P2734" s="28"/>
    </row>
    <row r="2735" customFormat="1" spans="1:16">
      <c r="A2735" s="39"/>
      <c r="B2735" s="40"/>
      <c r="C2735" s="41"/>
      <c r="D2735" s="41"/>
      <c r="E2735" s="41"/>
      <c r="F2735" s="41"/>
      <c r="G2735" s="41"/>
      <c r="H2735" s="41"/>
      <c r="I2735" s="41"/>
      <c r="J2735" s="41"/>
      <c r="K2735" s="41"/>
      <c r="L2735" s="41"/>
      <c r="M2735" s="41"/>
      <c r="N2735" s="41"/>
      <c r="O2735" s="41"/>
      <c r="P2735" s="28"/>
    </row>
    <row r="2736" customFormat="1" spans="1:16">
      <c r="A2736" s="39"/>
      <c r="B2736" s="40"/>
      <c r="C2736" s="41"/>
      <c r="D2736" s="41"/>
      <c r="E2736" s="41"/>
      <c r="F2736" s="41"/>
      <c r="G2736" s="41"/>
      <c r="H2736" s="41"/>
      <c r="I2736" s="41"/>
      <c r="J2736" s="41"/>
      <c r="K2736" s="41"/>
      <c r="L2736" s="41"/>
      <c r="M2736" s="41"/>
      <c r="N2736" s="41"/>
      <c r="O2736" s="41"/>
      <c r="P2736" s="28"/>
    </row>
    <row r="2737" customFormat="1" spans="1:16">
      <c r="A2737" s="39"/>
      <c r="B2737" s="40"/>
      <c r="C2737" s="41"/>
      <c r="D2737" s="41"/>
      <c r="E2737" s="41"/>
      <c r="F2737" s="41"/>
      <c r="G2737" s="41"/>
      <c r="H2737" s="41"/>
      <c r="I2737" s="41"/>
      <c r="J2737" s="41"/>
      <c r="K2737" s="41"/>
      <c r="L2737" s="41"/>
      <c r="M2737" s="41"/>
      <c r="N2737" s="41"/>
      <c r="O2737" s="41"/>
      <c r="P2737" s="28"/>
    </row>
    <row r="2738" customFormat="1" spans="1:16">
      <c r="A2738" s="39"/>
      <c r="B2738" s="40"/>
      <c r="C2738" s="41"/>
      <c r="D2738" s="41"/>
      <c r="E2738" s="41"/>
      <c r="F2738" s="41"/>
      <c r="G2738" s="41"/>
      <c r="H2738" s="41"/>
      <c r="I2738" s="41"/>
      <c r="J2738" s="41"/>
      <c r="K2738" s="41"/>
      <c r="L2738" s="41"/>
      <c r="M2738" s="41"/>
      <c r="N2738" s="41"/>
      <c r="O2738" s="41"/>
      <c r="P2738" s="28"/>
    </row>
    <row r="2739" customFormat="1" spans="1:16">
      <c r="A2739" s="39"/>
      <c r="B2739" s="40"/>
      <c r="C2739" s="41"/>
      <c r="D2739" s="41"/>
      <c r="E2739" s="41"/>
      <c r="F2739" s="41"/>
      <c r="G2739" s="41"/>
      <c r="H2739" s="41"/>
      <c r="I2739" s="41"/>
      <c r="J2739" s="41"/>
      <c r="K2739" s="41"/>
      <c r="L2739" s="41"/>
      <c r="M2739" s="41"/>
      <c r="N2739" s="41"/>
      <c r="O2739" s="41"/>
      <c r="P2739" s="28"/>
    </row>
    <row r="2740" customFormat="1" spans="1:16">
      <c r="A2740" s="39"/>
      <c r="B2740" s="40"/>
      <c r="C2740" s="41"/>
      <c r="D2740" s="41"/>
      <c r="E2740" s="41"/>
      <c r="F2740" s="41"/>
      <c r="G2740" s="41"/>
      <c r="H2740" s="41"/>
      <c r="I2740" s="41"/>
      <c r="J2740" s="41"/>
      <c r="K2740" s="41"/>
      <c r="L2740" s="41"/>
      <c r="M2740" s="41"/>
      <c r="N2740" s="41"/>
      <c r="O2740" s="41"/>
      <c r="P2740" s="28"/>
    </row>
    <row r="2741" customFormat="1" spans="1:16">
      <c r="A2741" s="39"/>
      <c r="B2741" s="40"/>
      <c r="C2741" s="41"/>
      <c r="D2741" s="41"/>
      <c r="E2741" s="41"/>
      <c r="F2741" s="41"/>
      <c r="G2741" s="41"/>
      <c r="H2741" s="41"/>
      <c r="I2741" s="41"/>
      <c r="J2741" s="41"/>
      <c r="K2741" s="41"/>
      <c r="L2741" s="41"/>
      <c r="M2741" s="41"/>
      <c r="N2741" s="41"/>
      <c r="O2741" s="41"/>
      <c r="P2741" s="28"/>
    </row>
    <row r="2742" customFormat="1" spans="1:16">
      <c r="A2742" s="39"/>
      <c r="B2742" s="40"/>
      <c r="C2742" s="41"/>
      <c r="D2742" s="41"/>
      <c r="E2742" s="41"/>
      <c r="F2742" s="41"/>
      <c r="G2742" s="41"/>
      <c r="H2742" s="41"/>
      <c r="I2742" s="41"/>
      <c r="J2742" s="41"/>
      <c r="K2742" s="41"/>
      <c r="L2742" s="41"/>
      <c r="M2742" s="41"/>
      <c r="N2742" s="41"/>
      <c r="O2742" s="41"/>
      <c r="P2742" s="28"/>
    </row>
    <row r="2743" customFormat="1" spans="1:16">
      <c r="A2743" s="39"/>
      <c r="B2743" s="40"/>
      <c r="C2743" s="41"/>
      <c r="D2743" s="41"/>
      <c r="E2743" s="41"/>
      <c r="F2743" s="41"/>
      <c r="G2743" s="41"/>
      <c r="H2743" s="41"/>
      <c r="I2743" s="41"/>
      <c r="J2743" s="41"/>
      <c r="K2743" s="41"/>
      <c r="L2743" s="41"/>
      <c r="M2743" s="41"/>
      <c r="N2743" s="41"/>
      <c r="O2743" s="41"/>
      <c r="P2743" s="28"/>
    </row>
    <row r="2744" customFormat="1" spans="1:16">
      <c r="A2744" s="39"/>
      <c r="B2744" s="40"/>
      <c r="C2744" s="41"/>
      <c r="D2744" s="41"/>
      <c r="E2744" s="41"/>
      <c r="F2744" s="41"/>
      <c r="G2744" s="41"/>
      <c r="H2744" s="41"/>
      <c r="I2744" s="41"/>
      <c r="J2744" s="41"/>
      <c r="K2744" s="41"/>
      <c r="L2744" s="41"/>
      <c r="M2744" s="41"/>
      <c r="N2744" s="41"/>
      <c r="O2744" s="41"/>
      <c r="P2744" s="28"/>
    </row>
    <row r="2745" customFormat="1" spans="1:16">
      <c r="A2745" s="39"/>
      <c r="B2745" s="40"/>
      <c r="C2745" s="41"/>
      <c r="D2745" s="41"/>
      <c r="E2745" s="41"/>
      <c r="F2745" s="41"/>
      <c r="G2745" s="41"/>
      <c r="H2745" s="41"/>
      <c r="I2745" s="41"/>
      <c r="J2745" s="41"/>
      <c r="K2745" s="41"/>
      <c r="L2745" s="41"/>
      <c r="M2745" s="41"/>
      <c r="N2745" s="41"/>
      <c r="O2745" s="41"/>
      <c r="P2745" s="28"/>
    </row>
    <row r="2746" customFormat="1" spans="1:16">
      <c r="A2746" s="39"/>
      <c r="B2746" s="40"/>
      <c r="C2746" s="41"/>
      <c r="D2746" s="41"/>
      <c r="E2746" s="41"/>
      <c r="F2746" s="41"/>
      <c r="G2746" s="41"/>
      <c r="H2746" s="41"/>
      <c r="I2746" s="41"/>
      <c r="J2746" s="41"/>
      <c r="K2746" s="41"/>
      <c r="L2746" s="41"/>
      <c r="M2746" s="41"/>
      <c r="N2746" s="41"/>
      <c r="O2746" s="41"/>
      <c r="P2746" s="28"/>
    </row>
    <row r="2747" customFormat="1" spans="1:16">
      <c r="A2747" s="39"/>
      <c r="B2747" s="40"/>
      <c r="C2747" s="41"/>
      <c r="D2747" s="41"/>
      <c r="E2747" s="41"/>
      <c r="F2747" s="41"/>
      <c r="G2747" s="41"/>
      <c r="H2747" s="41"/>
      <c r="I2747" s="41"/>
      <c r="J2747" s="41"/>
      <c r="K2747" s="41"/>
      <c r="L2747" s="41"/>
      <c r="M2747" s="41"/>
      <c r="N2747" s="41"/>
      <c r="O2747" s="41"/>
      <c r="P2747" s="28"/>
    </row>
    <row r="2748" customFormat="1" spans="1:16">
      <c r="A2748" s="39"/>
      <c r="B2748" s="40"/>
      <c r="C2748" s="41"/>
      <c r="D2748" s="41"/>
      <c r="E2748" s="41"/>
      <c r="F2748" s="41"/>
      <c r="G2748" s="41"/>
      <c r="H2748" s="41"/>
      <c r="I2748" s="41"/>
      <c r="J2748" s="41"/>
      <c r="K2748" s="41"/>
      <c r="L2748" s="41"/>
      <c r="M2748" s="41"/>
      <c r="N2748" s="41"/>
      <c r="O2748" s="41"/>
      <c r="P2748" s="28"/>
    </row>
    <row r="2749" customFormat="1" spans="1:16">
      <c r="A2749" s="39"/>
      <c r="B2749" s="40"/>
      <c r="C2749" s="41"/>
      <c r="D2749" s="41"/>
      <c r="E2749" s="41"/>
      <c r="F2749" s="41"/>
      <c r="G2749" s="41"/>
      <c r="H2749" s="41"/>
      <c r="I2749" s="41"/>
      <c r="J2749" s="41"/>
      <c r="K2749" s="41"/>
      <c r="L2749" s="41"/>
      <c r="M2749" s="41"/>
      <c r="N2749" s="41"/>
      <c r="O2749" s="41"/>
      <c r="P2749" s="28"/>
    </row>
    <row r="2750" customFormat="1" spans="1:16">
      <c r="A2750" s="39"/>
      <c r="B2750" s="40"/>
      <c r="C2750" s="41"/>
      <c r="D2750" s="41"/>
      <c r="E2750" s="41"/>
      <c r="F2750" s="41"/>
      <c r="G2750" s="41"/>
      <c r="H2750" s="41"/>
      <c r="I2750" s="41"/>
      <c r="J2750" s="41"/>
      <c r="K2750" s="41"/>
      <c r="L2750" s="41"/>
      <c r="M2750" s="41"/>
      <c r="N2750" s="41"/>
      <c r="O2750" s="41"/>
      <c r="P2750" s="28"/>
    </row>
    <row r="2751" customFormat="1" spans="1:16">
      <c r="A2751" s="39"/>
      <c r="B2751" s="40"/>
      <c r="C2751" s="41"/>
      <c r="D2751" s="41"/>
      <c r="E2751" s="41"/>
      <c r="F2751" s="41"/>
      <c r="G2751" s="41"/>
      <c r="H2751" s="41"/>
      <c r="I2751" s="41"/>
      <c r="J2751" s="41"/>
      <c r="K2751" s="41"/>
      <c r="L2751" s="41"/>
      <c r="M2751" s="41"/>
      <c r="N2751" s="41"/>
      <c r="O2751" s="41"/>
      <c r="P2751" s="28"/>
    </row>
    <row r="2752" customFormat="1" spans="1:16">
      <c r="A2752" s="39"/>
      <c r="B2752" s="40"/>
      <c r="C2752" s="41"/>
      <c r="D2752" s="41"/>
      <c r="E2752" s="41"/>
      <c r="F2752" s="41"/>
      <c r="G2752" s="41"/>
      <c r="H2752" s="41"/>
      <c r="I2752" s="41"/>
      <c r="J2752" s="41"/>
      <c r="K2752" s="41"/>
      <c r="L2752" s="41"/>
      <c r="M2752" s="41"/>
      <c r="N2752" s="41"/>
      <c r="O2752" s="41"/>
      <c r="P2752" s="28"/>
    </row>
    <row r="2753" customFormat="1" spans="1:16">
      <c r="A2753" s="39"/>
      <c r="B2753" s="40"/>
      <c r="C2753" s="41"/>
      <c r="D2753" s="41"/>
      <c r="E2753" s="41"/>
      <c r="F2753" s="41"/>
      <c r="G2753" s="41"/>
      <c r="H2753" s="41"/>
      <c r="I2753" s="41"/>
      <c r="J2753" s="41"/>
      <c r="K2753" s="41"/>
      <c r="L2753" s="41"/>
      <c r="M2753" s="41"/>
      <c r="N2753" s="41"/>
      <c r="O2753" s="41"/>
      <c r="P2753" s="28"/>
    </row>
    <row r="2754" customFormat="1" spans="1:16">
      <c r="A2754" s="39"/>
      <c r="B2754" s="40"/>
      <c r="C2754" s="41"/>
      <c r="D2754" s="41"/>
      <c r="E2754" s="41"/>
      <c r="F2754" s="41"/>
      <c r="G2754" s="41"/>
      <c r="H2754" s="41"/>
      <c r="I2754" s="41"/>
      <c r="J2754" s="41"/>
      <c r="K2754" s="41"/>
      <c r="L2754" s="41"/>
      <c r="M2754" s="41"/>
      <c r="N2754" s="41"/>
      <c r="O2754" s="41"/>
      <c r="P2754" s="28"/>
    </row>
    <row r="2755" customFormat="1" spans="1:16">
      <c r="A2755" s="39"/>
      <c r="B2755" s="40"/>
      <c r="C2755" s="41"/>
      <c r="D2755" s="41"/>
      <c r="E2755" s="41"/>
      <c r="F2755" s="41"/>
      <c r="G2755" s="41"/>
      <c r="H2755" s="41"/>
      <c r="I2755" s="41"/>
      <c r="J2755" s="41"/>
      <c r="K2755" s="41"/>
      <c r="L2755" s="41"/>
      <c r="M2755" s="41"/>
      <c r="N2755" s="41"/>
      <c r="O2755" s="41"/>
      <c r="P2755" s="28"/>
    </row>
    <row r="2756" customFormat="1" spans="1:16">
      <c r="A2756" s="39"/>
      <c r="B2756" s="40"/>
      <c r="C2756" s="41"/>
      <c r="D2756" s="41"/>
      <c r="E2756" s="41"/>
      <c r="F2756" s="41"/>
      <c r="G2756" s="41"/>
      <c r="H2756" s="41"/>
      <c r="I2756" s="41"/>
      <c r="J2756" s="41"/>
      <c r="K2756" s="41"/>
      <c r="L2756" s="41"/>
      <c r="M2756" s="41"/>
      <c r="N2756" s="41"/>
      <c r="O2756" s="41"/>
      <c r="P2756" s="28"/>
    </row>
    <row r="2757" customFormat="1" spans="1:16">
      <c r="A2757" s="39"/>
      <c r="B2757" s="40"/>
      <c r="C2757" s="41"/>
      <c r="D2757" s="41"/>
      <c r="E2757" s="41"/>
      <c r="F2757" s="41"/>
      <c r="G2757" s="41"/>
      <c r="H2757" s="41"/>
      <c r="I2757" s="41"/>
      <c r="J2757" s="41"/>
      <c r="K2757" s="41"/>
      <c r="L2757" s="41"/>
      <c r="M2757" s="41"/>
      <c r="N2757" s="41"/>
      <c r="O2757" s="41"/>
      <c r="P2757" s="28"/>
    </row>
    <row r="2758" customFormat="1" spans="1:16">
      <c r="A2758" s="39"/>
      <c r="B2758" s="40"/>
      <c r="C2758" s="41"/>
      <c r="D2758" s="41"/>
      <c r="E2758" s="41"/>
      <c r="F2758" s="41"/>
      <c r="G2758" s="41"/>
      <c r="H2758" s="41"/>
      <c r="I2758" s="41"/>
      <c r="J2758" s="41"/>
      <c r="K2758" s="41"/>
      <c r="L2758" s="41"/>
      <c r="M2758" s="41"/>
      <c r="N2758" s="41"/>
      <c r="O2758" s="41"/>
      <c r="P2758" s="28"/>
    </row>
    <row r="2759" customFormat="1" spans="1:16">
      <c r="A2759" s="39"/>
      <c r="B2759" s="40"/>
      <c r="C2759" s="41"/>
      <c r="D2759" s="41"/>
      <c r="E2759" s="41"/>
      <c r="F2759" s="41"/>
      <c r="G2759" s="41"/>
      <c r="H2759" s="41"/>
      <c r="I2759" s="41"/>
      <c r="J2759" s="41"/>
      <c r="K2759" s="41"/>
      <c r="L2759" s="41"/>
      <c r="M2759" s="41"/>
      <c r="N2759" s="41"/>
      <c r="O2759" s="41"/>
      <c r="P2759" s="28"/>
    </row>
    <row r="2760" customFormat="1" spans="1:16">
      <c r="A2760" s="39"/>
      <c r="B2760" s="40"/>
      <c r="C2760" s="41"/>
      <c r="D2760" s="41"/>
      <c r="E2760" s="41"/>
      <c r="F2760" s="41"/>
      <c r="G2760" s="41"/>
      <c r="H2760" s="41"/>
      <c r="I2760" s="41"/>
      <c r="J2760" s="41"/>
      <c r="K2760" s="41"/>
      <c r="L2760" s="41"/>
      <c r="M2760" s="41"/>
      <c r="N2760" s="41"/>
      <c r="O2760" s="41"/>
      <c r="P2760" s="28"/>
    </row>
    <row r="2761" customFormat="1" spans="1:16">
      <c r="A2761" s="39"/>
      <c r="B2761" s="40"/>
      <c r="C2761" s="41"/>
      <c r="D2761" s="41"/>
      <c r="E2761" s="41"/>
      <c r="F2761" s="41"/>
      <c r="G2761" s="41"/>
      <c r="H2761" s="41"/>
      <c r="I2761" s="41"/>
      <c r="J2761" s="41"/>
      <c r="K2761" s="41"/>
      <c r="L2761" s="41"/>
      <c r="M2761" s="41"/>
      <c r="N2761" s="41"/>
      <c r="O2761" s="41"/>
      <c r="P2761" s="28"/>
    </row>
    <row r="2762" customFormat="1" spans="1:16">
      <c r="A2762" s="39"/>
      <c r="B2762" s="40"/>
      <c r="C2762" s="41"/>
      <c r="D2762" s="41"/>
      <c r="E2762" s="41"/>
      <c r="F2762" s="41"/>
      <c r="G2762" s="41"/>
      <c r="H2762" s="41"/>
      <c r="I2762" s="41"/>
      <c r="J2762" s="41"/>
      <c r="K2762" s="41"/>
      <c r="L2762" s="41"/>
      <c r="M2762" s="41"/>
      <c r="N2762" s="41"/>
      <c r="O2762" s="41"/>
      <c r="P2762" s="28"/>
    </row>
    <row r="2763" customFormat="1" spans="1:16">
      <c r="A2763" s="39"/>
      <c r="B2763" s="40"/>
      <c r="C2763" s="41"/>
      <c r="D2763" s="41"/>
      <c r="E2763" s="41"/>
      <c r="F2763" s="41"/>
      <c r="G2763" s="41"/>
      <c r="H2763" s="41"/>
      <c r="I2763" s="41"/>
      <c r="J2763" s="41"/>
      <c r="K2763" s="41"/>
      <c r="L2763" s="41"/>
      <c r="M2763" s="41"/>
      <c r="N2763" s="41"/>
      <c r="O2763" s="41"/>
      <c r="P2763" s="28"/>
    </row>
    <row r="2764" customFormat="1" spans="1:16">
      <c r="A2764" s="39"/>
      <c r="B2764" s="40"/>
      <c r="C2764" s="41"/>
      <c r="D2764" s="41"/>
      <c r="E2764" s="41"/>
      <c r="F2764" s="41"/>
      <c r="G2764" s="41"/>
      <c r="H2764" s="41"/>
      <c r="I2764" s="41"/>
      <c r="J2764" s="41"/>
      <c r="K2764" s="41"/>
      <c r="L2764" s="41"/>
      <c r="M2764" s="41"/>
      <c r="N2764" s="41"/>
      <c r="O2764" s="41"/>
      <c r="P2764" s="28"/>
    </row>
    <row r="2765" customFormat="1" spans="1:16">
      <c r="A2765" s="39"/>
      <c r="B2765" s="40"/>
      <c r="C2765" s="41"/>
      <c r="D2765" s="41"/>
      <c r="E2765" s="41"/>
      <c r="F2765" s="41"/>
      <c r="G2765" s="41"/>
      <c r="H2765" s="41"/>
      <c r="I2765" s="41"/>
      <c r="J2765" s="41"/>
      <c r="K2765" s="41"/>
      <c r="L2765" s="41"/>
      <c r="M2765" s="41"/>
      <c r="N2765" s="41"/>
      <c r="O2765" s="41"/>
      <c r="P2765" s="28"/>
    </row>
    <row r="2766" customFormat="1" spans="1:16">
      <c r="A2766" s="39"/>
      <c r="B2766" s="40"/>
      <c r="C2766" s="41"/>
      <c r="D2766" s="41"/>
      <c r="E2766" s="41"/>
      <c r="F2766" s="41"/>
      <c r="G2766" s="41"/>
      <c r="H2766" s="41"/>
      <c r="I2766" s="41"/>
      <c r="J2766" s="41"/>
      <c r="K2766" s="41"/>
      <c r="L2766" s="41"/>
      <c r="M2766" s="41"/>
      <c r="N2766" s="41"/>
      <c r="O2766" s="41"/>
      <c r="P2766" s="28"/>
    </row>
    <row r="2767" customFormat="1" spans="1:16">
      <c r="A2767" s="39"/>
      <c r="B2767" s="40"/>
      <c r="C2767" s="41"/>
      <c r="D2767" s="41"/>
      <c r="E2767" s="41"/>
      <c r="F2767" s="41"/>
      <c r="G2767" s="41"/>
      <c r="H2767" s="41"/>
      <c r="I2767" s="41"/>
      <c r="J2767" s="41"/>
      <c r="K2767" s="41"/>
      <c r="L2767" s="41"/>
      <c r="M2767" s="41"/>
      <c r="N2767" s="41"/>
      <c r="O2767" s="41"/>
      <c r="P2767" s="28"/>
    </row>
    <row r="2768" customFormat="1" spans="1:16">
      <c r="A2768" s="39"/>
      <c r="B2768" s="40"/>
      <c r="C2768" s="41"/>
      <c r="D2768" s="41"/>
      <c r="E2768" s="41"/>
      <c r="F2768" s="41"/>
      <c r="G2768" s="41"/>
      <c r="H2768" s="41"/>
      <c r="I2768" s="41"/>
      <c r="J2768" s="41"/>
      <c r="K2768" s="41"/>
      <c r="L2768" s="41"/>
      <c r="M2768" s="41"/>
      <c r="N2768" s="41"/>
      <c r="O2768" s="41"/>
      <c r="P2768" s="28"/>
    </row>
    <row r="2769" customFormat="1" spans="1:16">
      <c r="A2769" s="39"/>
      <c r="B2769" s="40"/>
      <c r="C2769" s="41"/>
      <c r="D2769" s="41"/>
      <c r="E2769" s="41"/>
      <c r="F2769" s="41"/>
      <c r="G2769" s="41"/>
      <c r="H2769" s="41"/>
      <c r="I2769" s="41"/>
      <c r="J2769" s="41"/>
      <c r="K2769" s="41"/>
      <c r="L2769" s="41"/>
      <c r="M2769" s="41"/>
      <c r="N2769" s="41"/>
      <c r="O2769" s="41"/>
      <c r="P2769" s="28"/>
    </row>
    <row r="2770" customFormat="1" spans="1:16">
      <c r="A2770" s="39"/>
      <c r="B2770" s="40"/>
      <c r="C2770" s="41"/>
      <c r="D2770" s="41"/>
      <c r="E2770" s="41"/>
      <c r="F2770" s="41"/>
      <c r="G2770" s="41"/>
      <c r="H2770" s="41"/>
      <c r="I2770" s="41"/>
      <c r="J2770" s="41"/>
      <c r="K2770" s="41"/>
      <c r="L2770" s="41"/>
      <c r="M2770" s="41"/>
      <c r="N2770" s="41"/>
      <c r="O2770" s="41"/>
      <c r="P2770" s="28"/>
    </row>
    <row r="2771" customFormat="1" spans="1:16">
      <c r="A2771" s="39"/>
      <c r="B2771" s="40"/>
      <c r="C2771" s="41"/>
      <c r="D2771" s="41"/>
      <c r="E2771" s="41"/>
      <c r="F2771" s="41"/>
      <c r="G2771" s="41"/>
      <c r="H2771" s="41"/>
      <c r="I2771" s="41"/>
      <c r="J2771" s="41"/>
      <c r="K2771" s="41"/>
      <c r="L2771" s="41"/>
      <c r="M2771" s="41"/>
      <c r="N2771" s="41"/>
      <c r="O2771" s="41"/>
      <c r="P2771" s="28"/>
    </row>
    <row r="2772" customFormat="1" spans="1:16">
      <c r="A2772" s="39"/>
      <c r="B2772" s="40"/>
      <c r="C2772" s="41"/>
      <c r="D2772" s="41"/>
      <c r="E2772" s="41"/>
      <c r="F2772" s="41"/>
      <c r="G2772" s="41"/>
      <c r="H2772" s="41"/>
      <c r="I2772" s="41"/>
      <c r="J2772" s="41"/>
      <c r="K2772" s="41"/>
      <c r="L2772" s="41"/>
      <c r="M2772" s="41"/>
      <c r="N2772" s="41"/>
      <c r="O2772" s="41"/>
      <c r="P2772" s="28"/>
    </row>
    <row r="2773" customFormat="1" spans="1:16">
      <c r="A2773" s="39"/>
      <c r="B2773" s="40"/>
      <c r="C2773" s="41"/>
      <c r="D2773" s="41"/>
      <c r="E2773" s="41"/>
      <c r="F2773" s="41"/>
      <c r="G2773" s="41"/>
      <c r="H2773" s="41"/>
      <c r="I2773" s="41"/>
      <c r="J2773" s="41"/>
      <c r="K2773" s="41"/>
      <c r="L2773" s="41"/>
      <c r="M2773" s="41"/>
      <c r="N2773" s="41"/>
      <c r="O2773" s="41"/>
      <c r="P2773" s="28"/>
    </row>
    <row r="2774" customFormat="1" spans="1:16">
      <c r="A2774" s="39"/>
      <c r="B2774" s="40"/>
      <c r="C2774" s="41"/>
      <c r="D2774" s="41"/>
      <c r="E2774" s="41"/>
      <c r="F2774" s="41"/>
      <c r="G2774" s="41"/>
      <c r="H2774" s="41"/>
      <c r="I2774" s="41"/>
      <c r="J2774" s="41"/>
      <c r="K2774" s="41"/>
      <c r="L2774" s="41"/>
      <c r="M2774" s="41"/>
      <c r="N2774" s="41"/>
      <c r="O2774" s="41"/>
      <c r="P2774" s="28"/>
    </row>
    <row r="2775" customFormat="1" spans="1:16">
      <c r="A2775" s="39"/>
      <c r="B2775" s="40"/>
      <c r="C2775" s="41"/>
      <c r="D2775" s="41"/>
      <c r="E2775" s="41"/>
      <c r="F2775" s="41"/>
      <c r="G2775" s="41"/>
      <c r="H2775" s="41"/>
      <c r="I2775" s="41"/>
      <c r="J2775" s="41"/>
      <c r="K2775" s="41"/>
      <c r="L2775" s="41"/>
      <c r="M2775" s="41"/>
      <c r="N2775" s="41"/>
      <c r="O2775" s="41"/>
      <c r="P2775" s="28"/>
    </row>
    <row r="2776" customFormat="1" spans="1:16">
      <c r="A2776" s="39"/>
      <c r="B2776" s="40"/>
      <c r="C2776" s="41"/>
      <c r="D2776" s="41"/>
      <c r="E2776" s="41"/>
      <c r="F2776" s="41"/>
      <c r="G2776" s="41"/>
      <c r="H2776" s="41"/>
      <c r="I2776" s="41"/>
      <c r="J2776" s="41"/>
      <c r="K2776" s="41"/>
      <c r="L2776" s="41"/>
      <c r="M2776" s="41"/>
      <c r="N2776" s="41"/>
      <c r="O2776" s="41"/>
      <c r="P2776" s="28"/>
    </row>
    <row r="2777" customFormat="1" spans="1:16">
      <c r="A2777" s="39"/>
      <c r="B2777" s="40"/>
      <c r="C2777" s="41"/>
      <c r="D2777" s="41"/>
      <c r="E2777" s="41"/>
      <c r="F2777" s="41"/>
      <c r="G2777" s="41"/>
      <c r="H2777" s="41"/>
      <c r="I2777" s="41"/>
      <c r="J2777" s="41"/>
      <c r="K2777" s="41"/>
      <c r="L2777" s="41"/>
      <c r="M2777" s="41"/>
      <c r="N2777" s="41"/>
      <c r="O2777" s="41"/>
      <c r="P2777" s="28"/>
    </row>
    <row r="2778" customFormat="1" spans="1:16">
      <c r="A2778" s="39"/>
      <c r="B2778" s="40"/>
      <c r="C2778" s="41"/>
      <c r="D2778" s="41"/>
      <c r="E2778" s="41"/>
      <c r="F2778" s="41"/>
      <c r="G2778" s="41"/>
      <c r="H2778" s="41"/>
      <c r="I2778" s="41"/>
      <c r="J2778" s="41"/>
      <c r="K2778" s="41"/>
      <c r="L2778" s="41"/>
      <c r="M2778" s="41"/>
      <c r="N2778" s="41"/>
      <c r="O2778" s="41"/>
      <c r="P2778" s="28"/>
    </row>
    <row r="2779" customFormat="1" spans="1:16">
      <c r="A2779" s="39"/>
      <c r="B2779" s="40"/>
      <c r="C2779" s="41"/>
      <c r="D2779" s="41"/>
      <c r="E2779" s="41"/>
      <c r="F2779" s="41"/>
      <c r="G2779" s="41"/>
      <c r="H2779" s="41"/>
      <c r="I2779" s="41"/>
      <c r="J2779" s="41"/>
      <c r="K2779" s="41"/>
      <c r="L2779" s="41"/>
      <c r="M2779" s="41"/>
      <c r="N2779" s="41"/>
      <c r="O2779" s="41"/>
      <c r="P2779" s="28"/>
    </row>
    <row r="2780" customFormat="1" spans="1:16">
      <c r="A2780" s="39"/>
      <c r="B2780" s="40"/>
      <c r="C2780" s="41"/>
      <c r="D2780" s="41"/>
      <c r="E2780" s="41"/>
      <c r="F2780" s="41"/>
      <c r="G2780" s="41"/>
      <c r="H2780" s="41"/>
      <c r="I2780" s="41"/>
      <c r="J2780" s="41"/>
      <c r="K2780" s="41"/>
      <c r="L2780" s="41"/>
      <c r="M2780" s="41"/>
      <c r="N2780" s="41"/>
      <c r="O2780" s="41"/>
      <c r="P2780" s="28"/>
    </row>
    <row r="2781" customFormat="1" spans="1:16">
      <c r="A2781" s="39"/>
      <c r="B2781" s="40"/>
      <c r="C2781" s="41"/>
      <c r="D2781" s="41"/>
      <c r="E2781" s="41"/>
      <c r="F2781" s="41"/>
      <c r="G2781" s="41"/>
      <c r="H2781" s="41"/>
      <c r="I2781" s="41"/>
      <c r="J2781" s="41"/>
      <c r="K2781" s="41"/>
      <c r="L2781" s="41"/>
      <c r="M2781" s="41"/>
      <c r="N2781" s="41"/>
      <c r="O2781" s="41"/>
      <c r="P2781" s="28"/>
    </row>
    <row r="2782" customFormat="1" spans="1:16">
      <c r="A2782" s="39"/>
      <c r="B2782" s="40"/>
      <c r="C2782" s="41"/>
      <c r="D2782" s="41"/>
      <c r="E2782" s="41"/>
      <c r="F2782" s="41"/>
      <c r="G2782" s="41"/>
      <c r="H2782" s="41"/>
      <c r="I2782" s="41"/>
      <c r="J2782" s="41"/>
      <c r="K2782" s="41"/>
      <c r="L2782" s="41"/>
      <c r="M2782" s="41"/>
      <c r="N2782" s="41"/>
      <c r="O2782" s="41"/>
      <c r="P2782" s="28"/>
    </row>
    <row r="2783" customFormat="1" spans="1:16">
      <c r="A2783" s="39"/>
      <c r="B2783" s="40"/>
      <c r="C2783" s="41"/>
      <c r="D2783" s="41"/>
      <c r="E2783" s="41"/>
      <c r="F2783" s="41"/>
      <c r="G2783" s="41"/>
      <c r="H2783" s="41"/>
      <c r="I2783" s="41"/>
      <c r="J2783" s="41"/>
      <c r="K2783" s="41"/>
      <c r="L2783" s="41"/>
      <c r="M2783" s="41"/>
      <c r="N2783" s="41"/>
      <c r="O2783" s="41"/>
      <c r="P2783" s="28"/>
    </row>
    <row r="2784" customFormat="1" spans="1:16">
      <c r="A2784" s="39"/>
      <c r="B2784" s="40"/>
      <c r="C2784" s="41"/>
      <c r="D2784" s="41"/>
      <c r="E2784" s="41"/>
      <c r="F2784" s="41"/>
      <c r="G2784" s="41"/>
      <c r="H2784" s="41"/>
      <c r="I2784" s="41"/>
      <c r="J2784" s="41"/>
      <c r="K2784" s="41"/>
      <c r="L2784" s="41"/>
      <c r="M2784" s="41"/>
      <c r="N2784" s="41"/>
      <c r="O2784" s="41"/>
      <c r="P2784" s="28"/>
    </row>
    <row r="2785" customFormat="1" spans="1:16">
      <c r="A2785" s="39"/>
      <c r="B2785" s="40"/>
      <c r="C2785" s="41"/>
      <c r="D2785" s="41"/>
      <c r="E2785" s="41"/>
      <c r="F2785" s="41"/>
      <c r="G2785" s="41"/>
      <c r="H2785" s="41"/>
      <c r="I2785" s="41"/>
      <c r="J2785" s="41"/>
      <c r="K2785" s="41"/>
      <c r="L2785" s="41"/>
      <c r="M2785" s="41"/>
      <c r="N2785" s="41"/>
      <c r="O2785" s="41"/>
      <c r="P2785" s="28"/>
    </row>
    <row r="2786" customFormat="1" spans="1:16">
      <c r="A2786" s="39"/>
      <c r="B2786" s="40"/>
      <c r="C2786" s="41"/>
      <c r="D2786" s="41"/>
      <c r="E2786" s="41"/>
      <c r="F2786" s="41"/>
      <c r="G2786" s="41"/>
      <c r="H2786" s="41"/>
      <c r="I2786" s="41"/>
      <c r="J2786" s="41"/>
      <c r="K2786" s="41"/>
      <c r="L2786" s="41"/>
      <c r="M2786" s="41"/>
      <c r="N2786" s="41"/>
      <c r="O2786" s="41"/>
      <c r="P2786" s="28"/>
    </row>
    <row r="2787" customFormat="1" spans="1:16">
      <c r="A2787" s="39"/>
      <c r="B2787" s="40"/>
      <c r="C2787" s="41"/>
      <c r="D2787" s="41"/>
      <c r="E2787" s="41"/>
      <c r="F2787" s="41"/>
      <c r="G2787" s="41"/>
      <c r="H2787" s="41"/>
      <c r="I2787" s="41"/>
      <c r="J2787" s="41"/>
      <c r="K2787" s="41"/>
      <c r="L2787" s="41"/>
      <c r="M2787" s="41"/>
      <c r="N2787" s="41"/>
      <c r="O2787" s="41"/>
      <c r="P2787" s="28"/>
    </row>
    <row r="2788" customFormat="1" spans="1:16">
      <c r="A2788" s="39"/>
      <c r="B2788" s="40"/>
      <c r="C2788" s="41"/>
      <c r="D2788" s="41"/>
      <c r="E2788" s="41"/>
      <c r="F2788" s="41"/>
      <c r="G2788" s="41"/>
      <c r="H2788" s="41"/>
      <c r="I2788" s="41"/>
      <c r="J2788" s="41"/>
      <c r="K2788" s="41"/>
      <c r="L2788" s="41"/>
      <c r="M2788" s="41"/>
      <c r="N2788" s="41"/>
      <c r="O2788" s="41"/>
      <c r="P2788" s="28"/>
    </row>
    <row r="2789" customFormat="1" spans="1:16">
      <c r="A2789" s="39"/>
      <c r="B2789" s="40"/>
      <c r="C2789" s="41"/>
      <c r="D2789" s="41"/>
      <c r="E2789" s="41"/>
      <c r="F2789" s="41"/>
      <c r="G2789" s="41"/>
      <c r="H2789" s="41"/>
      <c r="I2789" s="41"/>
      <c r="J2789" s="41"/>
      <c r="K2789" s="41"/>
      <c r="L2789" s="41"/>
      <c r="M2789" s="41"/>
      <c r="N2789" s="41"/>
      <c r="O2789" s="41"/>
      <c r="P2789" s="28"/>
    </row>
    <row r="2790" customFormat="1" spans="1:16">
      <c r="A2790" s="39"/>
      <c r="B2790" s="40"/>
      <c r="C2790" s="41"/>
      <c r="D2790" s="41"/>
      <c r="E2790" s="41"/>
      <c r="F2790" s="41"/>
      <c r="G2790" s="41"/>
      <c r="H2790" s="41"/>
      <c r="I2790" s="41"/>
      <c r="J2790" s="41"/>
      <c r="K2790" s="41"/>
      <c r="L2790" s="41"/>
      <c r="M2790" s="41"/>
      <c r="N2790" s="41"/>
      <c r="O2790" s="41"/>
      <c r="P2790" s="28"/>
    </row>
    <row r="2791" customFormat="1" spans="1:16">
      <c r="A2791" s="39"/>
      <c r="B2791" s="40"/>
      <c r="C2791" s="41"/>
      <c r="D2791" s="41"/>
      <c r="E2791" s="41"/>
      <c r="F2791" s="41"/>
      <c r="G2791" s="41"/>
      <c r="H2791" s="41"/>
      <c r="I2791" s="41"/>
      <c r="J2791" s="41"/>
      <c r="K2791" s="41"/>
      <c r="L2791" s="41"/>
      <c r="M2791" s="41"/>
      <c r="N2791" s="41"/>
      <c r="O2791" s="41"/>
      <c r="P2791" s="28"/>
    </row>
    <row r="2792" customFormat="1" spans="1:16">
      <c r="A2792" s="39"/>
      <c r="B2792" s="40"/>
      <c r="C2792" s="41"/>
      <c r="D2792" s="41"/>
      <c r="E2792" s="41"/>
      <c r="F2792" s="41"/>
      <c r="G2792" s="41"/>
      <c r="H2792" s="41"/>
      <c r="I2792" s="41"/>
      <c r="J2792" s="41"/>
      <c r="K2792" s="41"/>
      <c r="L2792" s="41"/>
      <c r="M2792" s="41"/>
      <c r="N2792" s="41"/>
      <c r="O2792" s="41"/>
      <c r="P2792" s="28"/>
    </row>
    <row r="2793" customFormat="1" spans="1:16">
      <c r="A2793" s="39"/>
      <c r="B2793" s="40"/>
      <c r="C2793" s="41"/>
      <c r="D2793" s="41"/>
      <c r="E2793" s="41"/>
      <c r="F2793" s="41"/>
      <c r="G2793" s="41"/>
      <c r="H2793" s="41"/>
      <c r="I2793" s="41"/>
      <c r="J2793" s="41"/>
      <c r="K2793" s="41"/>
      <c r="L2793" s="41"/>
      <c r="M2793" s="41"/>
      <c r="N2793" s="41"/>
      <c r="O2793" s="41"/>
      <c r="P2793" s="28"/>
    </row>
    <row r="2794" customFormat="1" spans="1:16">
      <c r="A2794" s="39"/>
      <c r="B2794" s="40"/>
      <c r="C2794" s="41"/>
      <c r="D2794" s="41"/>
      <c r="E2794" s="41"/>
      <c r="F2794" s="41"/>
      <c r="G2794" s="41"/>
      <c r="H2794" s="41"/>
      <c r="I2794" s="41"/>
      <c r="J2794" s="41"/>
      <c r="K2794" s="41"/>
      <c r="L2794" s="41"/>
      <c r="M2794" s="41"/>
      <c r="N2794" s="41"/>
      <c r="O2794" s="41"/>
      <c r="P2794" s="28"/>
    </row>
    <row r="2795" customFormat="1" spans="1:16">
      <c r="A2795" s="39"/>
      <c r="B2795" s="40"/>
      <c r="C2795" s="41"/>
      <c r="D2795" s="41"/>
      <c r="E2795" s="41"/>
      <c r="F2795" s="41"/>
      <c r="G2795" s="41"/>
      <c r="H2795" s="41"/>
      <c r="I2795" s="41"/>
      <c r="J2795" s="41"/>
      <c r="K2795" s="41"/>
      <c r="L2795" s="41"/>
      <c r="M2795" s="41"/>
      <c r="N2795" s="41"/>
      <c r="O2795" s="41"/>
      <c r="P2795" s="28"/>
    </row>
    <row r="2796" customFormat="1" spans="1:16">
      <c r="A2796" s="39"/>
      <c r="B2796" s="40"/>
      <c r="C2796" s="41"/>
      <c r="D2796" s="41"/>
      <c r="E2796" s="41"/>
      <c r="F2796" s="41"/>
      <c r="G2796" s="41"/>
      <c r="H2796" s="41"/>
      <c r="I2796" s="41"/>
      <c r="J2796" s="41"/>
      <c r="K2796" s="41"/>
      <c r="L2796" s="41"/>
      <c r="M2796" s="41"/>
      <c r="N2796" s="41"/>
      <c r="O2796" s="41"/>
      <c r="P2796" s="28"/>
    </row>
    <row r="2797" customFormat="1" spans="1:16">
      <c r="A2797" s="39"/>
      <c r="B2797" s="40"/>
      <c r="C2797" s="41"/>
      <c r="D2797" s="41"/>
      <c r="E2797" s="41"/>
      <c r="F2797" s="41"/>
      <c r="G2797" s="41"/>
      <c r="H2797" s="41"/>
      <c r="I2797" s="41"/>
      <c r="J2797" s="41"/>
      <c r="K2797" s="41"/>
      <c r="L2797" s="41"/>
      <c r="M2797" s="41"/>
      <c r="N2797" s="41"/>
      <c r="O2797" s="41"/>
      <c r="P2797" s="28"/>
    </row>
    <row r="2798" customFormat="1" spans="1:16">
      <c r="A2798" s="39"/>
      <c r="B2798" s="40"/>
      <c r="C2798" s="41"/>
      <c r="D2798" s="41"/>
      <c r="E2798" s="41"/>
      <c r="F2798" s="41"/>
      <c r="G2798" s="41"/>
      <c r="H2798" s="41"/>
      <c r="I2798" s="41"/>
      <c r="J2798" s="41"/>
      <c r="K2798" s="41"/>
      <c r="L2798" s="41"/>
      <c r="M2798" s="41"/>
      <c r="N2798" s="41"/>
      <c r="O2798" s="41"/>
      <c r="P2798" s="28"/>
    </row>
    <row r="2799" customFormat="1" spans="1:16">
      <c r="A2799" s="39"/>
      <c r="B2799" s="40"/>
      <c r="C2799" s="41"/>
      <c r="D2799" s="41"/>
      <c r="E2799" s="41"/>
      <c r="F2799" s="41"/>
      <c r="G2799" s="41"/>
      <c r="H2799" s="41"/>
      <c r="I2799" s="41"/>
      <c r="J2799" s="41"/>
      <c r="K2799" s="41"/>
      <c r="L2799" s="41"/>
      <c r="M2799" s="41"/>
      <c r="N2799" s="41"/>
      <c r="O2799" s="41"/>
      <c r="P2799" s="28"/>
    </row>
    <row r="2800" customFormat="1" spans="1:16">
      <c r="A2800" s="39"/>
      <c r="B2800" s="40"/>
      <c r="C2800" s="41"/>
      <c r="D2800" s="41"/>
      <c r="E2800" s="41"/>
      <c r="F2800" s="41"/>
      <c r="G2800" s="41"/>
      <c r="H2800" s="41"/>
      <c r="I2800" s="41"/>
      <c r="J2800" s="41"/>
      <c r="K2800" s="41"/>
      <c r="L2800" s="41"/>
      <c r="M2800" s="41"/>
      <c r="N2800" s="41"/>
      <c r="O2800" s="41"/>
      <c r="P2800" s="28"/>
    </row>
    <row r="2801" customFormat="1" spans="1:16">
      <c r="A2801" s="39"/>
      <c r="B2801" s="40"/>
      <c r="C2801" s="41"/>
      <c r="D2801" s="41"/>
      <c r="E2801" s="41"/>
      <c r="F2801" s="41"/>
      <c r="G2801" s="41"/>
      <c r="H2801" s="41"/>
      <c r="I2801" s="41"/>
      <c r="J2801" s="41"/>
      <c r="K2801" s="41"/>
      <c r="L2801" s="41"/>
      <c r="M2801" s="41"/>
      <c r="N2801" s="41"/>
      <c r="O2801" s="41"/>
      <c r="P2801" s="28"/>
    </row>
    <row r="2802" customFormat="1" spans="1:16">
      <c r="A2802" s="39"/>
      <c r="B2802" s="40"/>
      <c r="C2802" s="41"/>
      <c r="D2802" s="41"/>
      <c r="E2802" s="41"/>
      <c r="F2802" s="41"/>
      <c r="G2802" s="41"/>
      <c r="H2802" s="41"/>
      <c r="I2802" s="41"/>
      <c r="J2802" s="41"/>
      <c r="K2802" s="41"/>
      <c r="L2802" s="41"/>
      <c r="M2802" s="41"/>
      <c r="N2802" s="41"/>
      <c r="O2802" s="41"/>
      <c r="P2802" s="28"/>
    </row>
    <row r="2803" customFormat="1" spans="1:16">
      <c r="A2803" s="39"/>
      <c r="B2803" s="40"/>
      <c r="C2803" s="41"/>
      <c r="D2803" s="41"/>
      <c r="E2803" s="41"/>
      <c r="F2803" s="41"/>
      <c r="G2803" s="41"/>
      <c r="H2803" s="41"/>
      <c r="I2803" s="41"/>
      <c r="J2803" s="41"/>
      <c r="K2803" s="41"/>
      <c r="L2803" s="41"/>
      <c r="M2803" s="41"/>
      <c r="N2803" s="41"/>
      <c r="O2803" s="41"/>
      <c r="P2803" s="28"/>
    </row>
    <row r="2804" customFormat="1" spans="1:16">
      <c r="A2804" s="39"/>
      <c r="B2804" s="40"/>
      <c r="C2804" s="41"/>
      <c r="D2804" s="41"/>
      <c r="E2804" s="41"/>
      <c r="F2804" s="41"/>
      <c r="G2804" s="41"/>
      <c r="H2804" s="41"/>
      <c r="I2804" s="41"/>
      <c r="J2804" s="41"/>
      <c r="K2804" s="41"/>
      <c r="L2804" s="41"/>
      <c r="M2804" s="41"/>
      <c r="N2804" s="41"/>
      <c r="O2804" s="41"/>
      <c r="P2804" s="28"/>
    </row>
    <row r="2805" customFormat="1" spans="1:16">
      <c r="A2805" s="39"/>
      <c r="B2805" s="40"/>
      <c r="C2805" s="41"/>
      <c r="D2805" s="41"/>
      <c r="E2805" s="41"/>
      <c r="F2805" s="41"/>
      <c r="G2805" s="41"/>
      <c r="H2805" s="41"/>
      <c r="I2805" s="41"/>
      <c r="J2805" s="41"/>
      <c r="K2805" s="41"/>
      <c r="L2805" s="41"/>
      <c r="M2805" s="41"/>
      <c r="N2805" s="41"/>
      <c r="O2805" s="41"/>
      <c r="P2805" s="28"/>
    </row>
    <row r="2806" customFormat="1" spans="1:16">
      <c r="A2806" s="39"/>
      <c r="B2806" s="40"/>
      <c r="C2806" s="41"/>
      <c r="D2806" s="41"/>
      <c r="E2806" s="41"/>
      <c r="F2806" s="41"/>
      <c r="G2806" s="41"/>
      <c r="H2806" s="41"/>
      <c r="I2806" s="41"/>
      <c r="J2806" s="41"/>
      <c r="K2806" s="41"/>
      <c r="L2806" s="41"/>
      <c r="M2806" s="41"/>
      <c r="N2806" s="41"/>
      <c r="O2806" s="41"/>
      <c r="P2806" s="28"/>
    </row>
    <row r="2807" customFormat="1" spans="1:16">
      <c r="A2807" s="39"/>
      <c r="B2807" s="40"/>
      <c r="C2807" s="41"/>
      <c r="D2807" s="41"/>
      <c r="E2807" s="41"/>
      <c r="F2807" s="41"/>
      <c r="G2807" s="41"/>
      <c r="H2807" s="41"/>
      <c r="I2807" s="41"/>
      <c r="J2807" s="41"/>
      <c r="K2807" s="41"/>
      <c r="L2807" s="41"/>
      <c r="M2807" s="41"/>
      <c r="N2807" s="41"/>
      <c r="O2807" s="41"/>
      <c r="P2807" s="28"/>
    </row>
    <row r="2808" customFormat="1" spans="1:16">
      <c r="A2808" s="39"/>
      <c r="B2808" s="40"/>
      <c r="C2808" s="41"/>
      <c r="D2808" s="41"/>
      <c r="E2808" s="41"/>
      <c r="F2808" s="41"/>
      <c r="G2808" s="41"/>
      <c r="H2808" s="41"/>
      <c r="I2808" s="41"/>
      <c r="J2808" s="41"/>
      <c r="K2808" s="41"/>
      <c r="L2808" s="41"/>
      <c r="M2808" s="41"/>
      <c r="N2808" s="41"/>
      <c r="O2808" s="41"/>
      <c r="P2808" s="28"/>
    </row>
    <row r="2809" customFormat="1" spans="1:16">
      <c r="A2809" s="39"/>
      <c r="B2809" s="40"/>
      <c r="C2809" s="41"/>
      <c r="D2809" s="41"/>
      <c r="E2809" s="41"/>
      <c r="F2809" s="41"/>
      <c r="G2809" s="41"/>
      <c r="H2809" s="41"/>
      <c r="I2809" s="41"/>
      <c r="J2809" s="41"/>
      <c r="K2809" s="41"/>
      <c r="L2809" s="41"/>
      <c r="M2809" s="41"/>
      <c r="N2809" s="41"/>
      <c r="O2809" s="41"/>
      <c r="P2809" s="28"/>
    </row>
    <row r="2810" customFormat="1" spans="1:16">
      <c r="A2810" s="39"/>
      <c r="B2810" s="40"/>
      <c r="C2810" s="41"/>
      <c r="D2810" s="41"/>
      <c r="E2810" s="41"/>
      <c r="F2810" s="41"/>
      <c r="G2810" s="41"/>
      <c r="H2810" s="41"/>
      <c r="I2810" s="41"/>
      <c r="J2810" s="41"/>
      <c r="K2810" s="41"/>
      <c r="L2810" s="41"/>
      <c r="M2810" s="41"/>
      <c r="N2810" s="41"/>
      <c r="O2810" s="41"/>
      <c r="P2810" s="28"/>
    </row>
    <row r="2811" customFormat="1" spans="1:16">
      <c r="A2811" s="39"/>
      <c r="B2811" s="40"/>
      <c r="C2811" s="41"/>
      <c r="D2811" s="41"/>
      <c r="E2811" s="41"/>
      <c r="F2811" s="41"/>
      <c r="G2811" s="41"/>
      <c r="H2811" s="41"/>
      <c r="I2811" s="41"/>
      <c r="J2811" s="41"/>
      <c r="K2811" s="41"/>
      <c r="L2811" s="41"/>
      <c r="M2811" s="41"/>
      <c r="N2811" s="41"/>
      <c r="O2811" s="41"/>
      <c r="P2811" s="28"/>
    </row>
    <row r="2812" customFormat="1" spans="1:16">
      <c r="A2812" s="39"/>
      <c r="B2812" s="40"/>
      <c r="C2812" s="41"/>
      <c r="D2812" s="41"/>
      <c r="E2812" s="41"/>
      <c r="F2812" s="41"/>
      <c r="G2812" s="41"/>
      <c r="H2812" s="41"/>
      <c r="I2812" s="41"/>
      <c r="J2812" s="41"/>
      <c r="K2812" s="41"/>
      <c r="L2812" s="41"/>
      <c r="M2812" s="41"/>
      <c r="N2812" s="41"/>
      <c r="O2812" s="41"/>
      <c r="P2812" s="28"/>
    </row>
    <row r="2813" customFormat="1" spans="1:16">
      <c r="A2813" s="39"/>
      <c r="B2813" s="40"/>
      <c r="C2813" s="41"/>
      <c r="D2813" s="41"/>
      <c r="E2813" s="41"/>
      <c r="F2813" s="41"/>
      <c r="G2813" s="41"/>
      <c r="H2813" s="41"/>
      <c r="I2813" s="41"/>
      <c r="J2813" s="41"/>
      <c r="K2813" s="41"/>
      <c r="L2813" s="41"/>
      <c r="M2813" s="41"/>
      <c r="N2813" s="41"/>
      <c r="O2813" s="41"/>
      <c r="P2813" s="28"/>
    </row>
    <row r="2814" customFormat="1" spans="1:16">
      <c r="A2814" s="39"/>
      <c r="B2814" s="40"/>
      <c r="C2814" s="41"/>
      <c r="D2814" s="41"/>
      <c r="E2814" s="41"/>
      <c r="F2814" s="41"/>
      <c r="G2814" s="41"/>
      <c r="H2814" s="41"/>
      <c r="I2814" s="41"/>
      <c r="J2814" s="41"/>
      <c r="K2814" s="41"/>
      <c r="L2814" s="41"/>
      <c r="M2814" s="41"/>
      <c r="N2814" s="41"/>
      <c r="O2814" s="41"/>
      <c r="P2814" s="28"/>
    </row>
    <row r="2815" customFormat="1" spans="1:16">
      <c r="A2815" s="39"/>
      <c r="B2815" s="40"/>
      <c r="C2815" s="41"/>
      <c r="D2815" s="41"/>
      <c r="E2815" s="41"/>
      <c r="F2815" s="41"/>
      <c r="G2815" s="41"/>
      <c r="H2815" s="41"/>
      <c r="I2815" s="41"/>
      <c r="J2815" s="41"/>
      <c r="K2815" s="41"/>
      <c r="L2815" s="41"/>
      <c r="M2815" s="41"/>
      <c r="N2815" s="41"/>
      <c r="O2815" s="41"/>
      <c r="P2815" s="28"/>
    </row>
    <row r="2816" customFormat="1" spans="1:16">
      <c r="A2816" s="39"/>
      <c r="B2816" s="40"/>
      <c r="C2816" s="41"/>
      <c r="D2816" s="41"/>
      <c r="E2816" s="41"/>
      <c r="F2816" s="41"/>
      <c r="G2816" s="41"/>
      <c r="H2816" s="41"/>
      <c r="I2816" s="41"/>
      <c r="J2816" s="41"/>
      <c r="K2816" s="41"/>
      <c r="L2816" s="41"/>
      <c r="M2816" s="41"/>
      <c r="N2816" s="41"/>
      <c r="O2816" s="41"/>
      <c r="P2816" s="28"/>
    </row>
    <row r="2817" customFormat="1" spans="1:16">
      <c r="A2817" s="39"/>
      <c r="B2817" s="40"/>
      <c r="C2817" s="41"/>
      <c r="D2817" s="41"/>
      <c r="E2817" s="41"/>
      <c r="F2817" s="41"/>
      <c r="G2817" s="41"/>
      <c r="H2817" s="41"/>
      <c r="I2817" s="41"/>
      <c r="J2817" s="41"/>
      <c r="K2817" s="41"/>
      <c r="L2817" s="41"/>
      <c r="M2817" s="41"/>
      <c r="N2817" s="41"/>
      <c r="O2817" s="41"/>
      <c r="P2817" s="28"/>
    </row>
    <row r="2818" customFormat="1" spans="1:16">
      <c r="A2818" s="39"/>
      <c r="B2818" s="40"/>
      <c r="C2818" s="41"/>
      <c r="D2818" s="41"/>
      <c r="E2818" s="41"/>
      <c r="F2818" s="41"/>
      <c r="G2818" s="41"/>
      <c r="H2818" s="41"/>
      <c r="I2818" s="41"/>
      <c r="J2818" s="41"/>
      <c r="K2818" s="41"/>
      <c r="L2818" s="41"/>
      <c r="M2818" s="41"/>
      <c r="N2818" s="41"/>
      <c r="O2818" s="41"/>
      <c r="P2818" s="28"/>
    </row>
    <row r="2819" customFormat="1" spans="1:16">
      <c r="A2819" s="39"/>
      <c r="B2819" s="40"/>
      <c r="C2819" s="41"/>
      <c r="D2819" s="41"/>
      <c r="E2819" s="41"/>
      <c r="F2819" s="41"/>
      <c r="G2819" s="41"/>
      <c r="H2819" s="41"/>
      <c r="I2819" s="41"/>
      <c r="J2819" s="41"/>
      <c r="K2819" s="41"/>
      <c r="L2819" s="41"/>
      <c r="M2819" s="41"/>
      <c r="N2819" s="41"/>
      <c r="O2819" s="41"/>
      <c r="P2819" s="28"/>
    </row>
    <row r="2820" customFormat="1" spans="1:16">
      <c r="A2820" s="39"/>
      <c r="B2820" s="40"/>
      <c r="C2820" s="41"/>
      <c r="D2820" s="41"/>
      <c r="E2820" s="41"/>
      <c r="F2820" s="41"/>
      <c r="G2820" s="41"/>
      <c r="H2820" s="41"/>
      <c r="I2820" s="41"/>
      <c r="J2820" s="41"/>
      <c r="K2820" s="41"/>
      <c r="L2820" s="41"/>
      <c r="M2820" s="41"/>
      <c r="N2820" s="41"/>
      <c r="O2820" s="41"/>
      <c r="P2820" s="28"/>
    </row>
    <row r="2821" customFormat="1" spans="1:16">
      <c r="A2821" s="39"/>
      <c r="B2821" s="40"/>
      <c r="C2821" s="41"/>
      <c r="D2821" s="41"/>
      <c r="E2821" s="41"/>
      <c r="F2821" s="41"/>
      <c r="G2821" s="41"/>
      <c r="H2821" s="41"/>
      <c r="I2821" s="41"/>
      <c r="J2821" s="41"/>
      <c r="K2821" s="41"/>
      <c r="L2821" s="41"/>
      <c r="M2821" s="41"/>
      <c r="N2821" s="41"/>
      <c r="O2821" s="41"/>
      <c r="P2821" s="28"/>
    </row>
    <row r="2822" customFormat="1" spans="1:16">
      <c r="A2822" s="39"/>
      <c r="B2822" s="40"/>
      <c r="C2822" s="41"/>
      <c r="D2822" s="41"/>
      <c r="E2822" s="41"/>
      <c r="F2822" s="41"/>
      <c r="G2822" s="41"/>
      <c r="H2822" s="41"/>
      <c r="I2822" s="41"/>
      <c r="J2822" s="41"/>
      <c r="K2822" s="41"/>
      <c r="L2822" s="41"/>
      <c r="M2822" s="41"/>
      <c r="N2822" s="41"/>
      <c r="O2822" s="41"/>
      <c r="P2822" s="28"/>
    </row>
    <row r="2823" customFormat="1" spans="1:16">
      <c r="A2823" s="39"/>
      <c r="B2823" s="40"/>
      <c r="C2823" s="41"/>
      <c r="D2823" s="41"/>
      <c r="E2823" s="41"/>
      <c r="F2823" s="41"/>
      <c r="G2823" s="41"/>
      <c r="H2823" s="41"/>
      <c r="I2823" s="41"/>
      <c r="J2823" s="41"/>
      <c r="K2823" s="41"/>
      <c r="L2823" s="41"/>
      <c r="M2823" s="41"/>
      <c r="N2823" s="41"/>
      <c r="O2823" s="41"/>
      <c r="P2823" s="28"/>
    </row>
    <row r="2824" customFormat="1" spans="1:16">
      <c r="A2824" s="39"/>
      <c r="B2824" s="40"/>
      <c r="C2824" s="41"/>
      <c r="D2824" s="41"/>
      <c r="E2824" s="41"/>
      <c r="F2824" s="41"/>
      <c r="G2824" s="41"/>
      <c r="H2824" s="41"/>
      <c r="I2824" s="41"/>
      <c r="J2824" s="41"/>
      <c r="K2824" s="41"/>
      <c r="L2824" s="41"/>
      <c r="M2824" s="41"/>
      <c r="N2824" s="41"/>
      <c r="O2824" s="41"/>
      <c r="P2824" s="28"/>
    </row>
    <row r="2825" customFormat="1" spans="1:16">
      <c r="A2825" s="39"/>
      <c r="B2825" s="40"/>
      <c r="C2825" s="41"/>
      <c r="D2825" s="41"/>
      <c r="E2825" s="41"/>
      <c r="F2825" s="41"/>
      <c r="G2825" s="41"/>
      <c r="H2825" s="41"/>
      <c r="I2825" s="41"/>
      <c r="J2825" s="41"/>
      <c r="K2825" s="41"/>
      <c r="L2825" s="41"/>
      <c r="M2825" s="41"/>
      <c r="N2825" s="41"/>
      <c r="O2825" s="41"/>
      <c r="P2825" s="28"/>
    </row>
    <row r="2826" customFormat="1" spans="1:16">
      <c r="A2826" s="39"/>
      <c r="B2826" s="40"/>
      <c r="C2826" s="41"/>
      <c r="D2826" s="41"/>
      <c r="E2826" s="41"/>
      <c r="F2826" s="41"/>
      <c r="G2826" s="41"/>
      <c r="H2826" s="41"/>
      <c r="I2826" s="41"/>
      <c r="J2826" s="41"/>
      <c r="K2826" s="41"/>
      <c r="L2826" s="41"/>
      <c r="M2826" s="41"/>
      <c r="N2826" s="41"/>
      <c r="O2826" s="41"/>
      <c r="P2826" s="28"/>
    </row>
    <row r="2827" customFormat="1" spans="1:16">
      <c r="A2827" s="39"/>
      <c r="B2827" s="40"/>
      <c r="C2827" s="41"/>
      <c r="D2827" s="41"/>
      <c r="E2827" s="41"/>
      <c r="F2827" s="41"/>
      <c r="G2827" s="41"/>
      <c r="H2827" s="41"/>
      <c r="I2827" s="41"/>
      <c r="J2827" s="41"/>
      <c r="K2827" s="41"/>
      <c r="L2827" s="41"/>
      <c r="M2827" s="41"/>
      <c r="N2827" s="41"/>
      <c r="O2827" s="41"/>
      <c r="P2827" s="28"/>
    </row>
    <row r="2828" customFormat="1" spans="1:16">
      <c r="A2828" s="39"/>
      <c r="B2828" s="40"/>
      <c r="C2828" s="41"/>
      <c r="D2828" s="41"/>
      <c r="E2828" s="41"/>
      <c r="F2828" s="41"/>
      <c r="G2828" s="41"/>
      <c r="H2828" s="41"/>
      <c r="I2828" s="41"/>
      <c r="J2828" s="41"/>
      <c r="K2828" s="41"/>
      <c r="L2828" s="41"/>
      <c r="M2828" s="41"/>
      <c r="N2828" s="41"/>
      <c r="O2828" s="41"/>
      <c r="P2828" s="28"/>
    </row>
    <row r="2829" customFormat="1" spans="1:16">
      <c r="A2829" s="39"/>
      <c r="B2829" s="40"/>
      <c r="C2829" s="41"/>
      <c r="D2829" s="41"/>
      <c r="E2829" s="41"/>
      <c r="F2829" s="41"/>
      <c r="G2829" s="41"/>
      <c r="H2829" s="41"/>
      <c r="I2829" s="41"/>
      <c r="J2829" s="41"/>
      <c r="K2829" s="41"/>
      <c r="L2829" s="41"/>
      <c r="M2829" s="41"/>
      <c r="N2829" s="41"/>
      <c r="O2829" s="41"/>
      <c r="P2829" s="28"/>
    </row>
    <row r="2830" customFormat="1" spans="1:16">
      <c r="A2830" s="39"/>
      <c r="B2830" s="40"/>
      <c r="C2830" s="41"/>
      <c r="D2830" s="41"/>
      <c r="E2830" s="41"/>
      <c r="F2830" s="41"/>
      <c r="G2830" s="41"/>
      <c r="H2830" s="41"/>
      <c r="I2830" s="41"/>
      <c r="J2830" s="41"/>
      <c r="K2830" s="41"/>
      <c r="L2830" s="41"/>
      <c r="M2830" s="41"/>
      <c r="N2830" s="41"/>
      <c r="O2830" s="41"/>
      <c r="P2830" s="28"/>
    </row>
    <row r="2831" customFormat="1" spans="1:16">
      <c r="A2831" s="39"/>
      <c r="B2831" s="40"/>
      <c r="C2831" s="41"/>
      <c r="D2831" s="41"/>
      <c r="E2831" s="41"/>
      <c r="F2831" s="41"/>
      <c r="G2831" s="41"/>
      <c r="H2831" s="41"/>
      <c r="I2831" s="41"/>
      <c r="J2831" s="41"/>
      <c r="K2831" s="41"/>
      <c r="L2831" s="41"/>
      <c r="M2831" s="41"/>
      <c r="N2831" s="41"/>
      <c r="O2831" s="41"/>
      <c r="P2831" s="28"/>
    </row>
    <row r="2832" customFormat="1" spans="1:16">
      <c r="A2832" s="39"/>
      <c r="B2832" s="40"/>
      <c r="C2832" s="41"/>
      <c r="D2832" s="41"/>
      <c r="E2832" s="41"/>
      <c r="F2832" s="41"/>
      <c r="G2832" s="41"/>
      <c r="H2832" s="41"/>
      <c r="I2832" s="41"/>
      <c r="J2832" s="41"/>
      <c r="K2832" s="41"/>
      <c r="L2832" s="41"/>
      <c r="M2832" s="41"/>
      <c r="N2832" s="41"/>
      <c r="O2832" s="41"/>
      <c r="P2832" s="28"/>
    </row>
    <row r="2833" customFormat="1" spans="1:16">
      <c r="A2833" s="39"/>
      <c r="B2833" s="40"/>
      <c r="C2833" s="41"/>
      <c r="D2833" s="41"/>
      <c r="E2833" s="41"/>
      <c r="F2833" s="41"/>
      <c r="G2833" s="41"/>
      <c r="H2833" s="41"/>
      <c r="I2833" s="41"/>
      <c r="J2833" s="41"/>
      <c r="K2833" s="41"/>
      <c r="L2833" s="41"/>
      <c r="M2833" s="41"/>
      <c r="N2833" s="41"/>
      <c r="O2833" s="41"/>
      <c r="P2833" s="28"/>
    </row>
    <row r="2834" customFormat="1" spans="1:16">
      <c r="A2834" s="39"/>
      <c r="B2834" s="40"/>
      <c r="C2834" s="41"/>
      <c r="D2834" s="41"/>
      <c r="E2834" s="41"/>
      <c r="F2834" s="41"/>
      <c r="G2834" s="41"/>
      <c r="H2834" s="41"/>
      <c r="I2834" s="41"/>
      <c r="J2834" s="41"/>
      <c r="K2834" s="41"/>
      <c r="L2834" s="41"/>
      <c r="M2834" s="41"/>
      <c r="N2834" s="41"/>
      <c r="O2834" s="41"/>
      <c r="P2834" s="28"/>
    </row>
    <row r="2835" customFormat="1" spans="1:16">
      <c r="A2835" s="39"/>
      <c r="B2835" s="40"/>
      <c r="C2835" s="41"/>
      <c r="D2835" s="41"/>
      <c r="E2835" s="41"/>
      <c r="F2835" s="41"/>
      <c r="G2835" s="41"/>
      <c r="H2835" s="41"/>
      <c r="I2835" s="41"/>
      <c r="J2835" s="41"/>
      <c r="K2835" s="41"/>
      <c r="L2835" s="41"/>
      <c r="M2835" s="41"/>
      <c r="N2835" s="41"/>
      <c r="O2835" s="41"/>
      <c r="P2835" s="28"/>
    </row>
    <row r="2836" customFormat="1" spans="1:16">
      <c r="A2836" s="39"/>
      <c r="B2836" s="40"/>
      <c r="C2836" s="41"/>
      <c r="D2836" s="41"/>
      <c r="E2836" s="41"/>
      <c r="F2836" s="41"/>
      <c r="G2836" s="41"/>
      <c r="H2836" s="41"/>
      <c r="I2836" s="41"/>
      <c r="J2836" s="41"/>
      <c r="K2836" s="41"/>
      <c r="L2836" s="41"/>
      <c r="M2836" s="41"/>
      <c r="N2836" s="41"/>
      <c r="O2836" s="41"/>
      <c r="P2836" s="28"/>
    </row>
    <row r="2837" customFormat="1" spans="1:16">
      <c r="A2837" s="39"/>
      <c r="B2837" s="40"/>
      <c r="C2837" s="41"/>
      <c r="D2837" s="41"/>
      <c r="E2837" s="41"/>
      <c r="F2837" s="41"/>
      <c r="G2837" s="41"/>
      <c r="H2837" s="41"/>
      <c r="I2837" s="41"/>
      <c r="J2837" s="41"/>
      <c r="K2837" s="41"/>
      <c r="L2837" s="41"/>
      <c r="M2837" s="41"/>
      <c r="N2837" s="41"/>
      <c r="O2837" s="41"/>
      <c r="P2837" s="28"/>
    </row>
    <row r="2838" customFormat="1" spans="1:16">
      <c r="A2838" s="39"/>
      <c r="B2838" s="40"/>
      <c r="C2838" s="41"/>
      <c r="D2838" s="41"/>
      <c r="E2838" s="41"/>
      <c r="F2838" s="41"/>
      <c r="G2838" s="41"/>
      <c r="H2838" s="41"/>
      <c r="I2838" s="41"/>
      <c r="J2838" s="41"/>
      <c r="K2838" s="41"/>
      <c r="L2838" s="41"/>
      <c r="M2838" s="41"/>
      <c r="N2838" s="41"/>
      <c r="O2838" s="41"/>
      <c r="P2838" s="28"/>
    </row>
    <row r="2839" customFormat="1" spans="1:16">
      <c r="A2839" s="39"/>
      <c r="B2839" s="40"/>
      <c r="C2839" s="41"/>
      <c r="D2839" s="41"/>
      <c r="E2839" s="41"/>
      <c r="F2839" s="41"/>
      <c r="G2839" s="41"/>
      <c r="H2839" s="41"/>
      <c r="I2839" s="41"/>
      <c r="J2839" s="41"/>
      <c r="K2839" s="41"/>
      <c r="L2839" s="41"/>
      <c r="M2839" s="41"/>
      <c r="N2839" s="41"/>
      <c r="O2839" s="41"/>
      <c r="P2839" s="28"/>
    </row>
    <row r="2840" customFormat="1" spans="1:16">
      <c r="A2840" s="39"/>
      <c r="B2840" s="40"/>
      <c r="C2840" s="41"/>
      <c r="D2840" s="41"/>
      <c r="E2840" s="41"/>
      <c r="F2840" s="41"/>
      <c r="G2840" s="41"/>
      <c r="H2840" s="41"/>
      <c r="I2840" s="41"/>
      <c r="J2840" s="41"/>
      <c r="K2840" s="41"/>
      <c r="L2840" s="41"/>
      <c r="M2840" s="41"/>
      <c r="N2840" s="41"/>
      <c r="O2840" s="41"/>
      <c r="P2840" s="28"/>
    </row>
    <row r="2841" customFormat="1" spans="1:16">
      <c r="A2841" s="39"/>
      <c r="B2841" s="40"/>
      <c r="C2841" s="41"/>
      <c r="D2841" s="41"/>
      <c r="E2841" s="41"/>
      <c r="F2841" s="41"/>
      <c r="G2841" s="41"/>
      <c r="H2841" s="41"/>
      <c r="I2841" s="41"/>
      <c r="J2841" s="41"/>
      <c r="K2841" s="41"/>
      <c r="L2841" s="41"/>
      <c r="M2841" s="41"/>
      <c r="N2841" s="41"/>
      <c r="O2841" s="41"/>
      <c r="P2841" s="28"/>
    </row>
    <row r="2842" customFormat="1" spans="1:16">
      <c r="A2842" s="39"/>
      <c r="B2842" s="40"/>
      <c r="C2842" s="41"/>
      <c r="D2842" s="41"/>
      <c r="E2842" s="41"/>
      <c r="F2842" s="41"/>
      <c r="G2842" s="41"/>
      <c r="H2842" s="41"/>
      <c r="I2842" s="41"/>
      <c r="J2842" s="41"/>
      <c r="K2842" s="41"/>
      <c r="L2842" s="41"/>
      <c r="M2842" s="41"/>
      <c r="N2842" s="41"/>
      <c r="O2842" s="41"/>
      <c r="P2842" s="28"/>
    </row>
    <row r="2843" customFormat="1" spans="1:16">
      <c r="A2843" s="39"/>
      <c r="B2843" s="40"/>
      <c r="C2843" s="41"/>
      <c r="D2843" s="41"/>
      <c r="E2843" s="41"/>
      <c r="F2843" s="41"/>
      <c r="G2843" s="41"/>
      <c r="H2843" s="41"/>
      <c r="I2843" s="41"/>
      <c r="J2843" s="41"/>
      <c r="K2843" s="41"/>
      <c r="L2843" s="41"/>
      <c r="M2843" s="41"/>
      <c r="N2843" s="41"/>
      <c r="O2843" s="41"/>
      <c r="P2843" s="28"/>
    </row>
    <row r="2844" customFormat="1" spans="1:16">
      <c r="A2844" s="39"/>
      <c r="B2844" s="40"/>
      <c r="C2844" s="41"/>
      <c r="D2844" s="41"/>
      <c r="E2844" s="41"/>
      <c r="F2844" s="41"/>
      <c r="G2844" s="41"/>
      <c r="H2844" s="41"/>
      <c r="I2844" s="41"/>
      <c r="J2844" s="41"/>
      <c r="K2844" s="41"/>
      <c r="L2844" s="41"/>
      <c r="M2844" s="41"/>
      <c r="N2844" s="41"/>
      <c r="O2844" s="41"/>
      <c r="P2844" s="28"/>
    </row>
    <row r="2845" customFormat="1" spans="1:16">
      <c r="A2845" s="39"/>
      <c r="B2845" s="40"/>
      <c r="C2845" s="41"/>
      <c r="D2845" s="41"/>
      <c r="E2845" s="41"/>
      <c r="F2845" s="41"/>
      <c r="G2845" s="41"/>
      <c r="H2845" s="41"/>
      <c r="I2845" s="41"/>
      <c r="J2845" s="41"/>
      <c r="K2845" s="41"/>
      <c r="L2845" s="41"/>
      <c r="M2845" s="41"/>
      <c r="N2845" s="41"/>
      <c r="O2845" s="41"/>
      <c r="P2845" s="28"/>
    </row>
    <row r="2846" customFormat="1" spans="1:16">
      <c r="A2846" s="39"/>
      <c r="B2846" s="40"/>
      <c r="C2846" s="41"/>
      <c r="D2846" s="41"/>
      <c r="E2846" s="41"/>
      <c r="F2846" s="41"/>
      <c r="G2846" s="41"/>
      <c r="H2846" s="41"/>
      <c r="I2846" s="41"/>
      <c r="J2846" s="41"/>
      <c r="K2846" s="41"/>
      <c r="L2846" s="41"/>
      <c r="M2846" s="41"/>
      <c r="N2846" s="41"/>
      <c r="O2846" s="41"/>
      <c r="P2846" s="28"/>
    </row>
    <row r="2847" customFormat="1" spans="1:16">
      <c r="A2847" s="39"/>
      <c r="B2847" s="40"/>
      <c r="C2847" s="41"/>
      <c r="D2847" s="41"/>
      <c r="E2847" s="41"/>
      <c r="F2847" s="41"/>
      <c r="G2847" s="41"/>
      <c r="H2847" s="41"/>
      <c r="I2847" s="41"/>
      <c r="J2847" s="41"/>
      <c r="K2847" s="41"/>
      <c r="L2847" s="41"/>
      <c r="M2847" s="41"/>
      <c r="N2847" s="41"/>
      <c r="O2847" s="41"/>
      <c r="P2847" s="28"/>
    </row>
    <row r="2848" customFormat="1" spans="1:16">
      <c r="A2848" s="39"/>
      <c r="B2848" s="40"/>
      <c r="C2848" s="41"/>
      <c r="D2848" s="41"/>
      <c r="E2848" s="41"/>
      <c r="F2848" s="41"/>
      <c r="G2848" s="41"/>
      <c r="H2848" s="41"/>
      <c r="I2848" s="41"/>
      <c r="J2848" s="41"/>
      <c r="K2848" s="41"/>
      <c r="L2848" s="41"/>
      <c r="M2848" s="41"/>
      <c r="N2848" s="41"/>
      <c r="O2848" s="41"/>
      <c r="P2848" s="28"/>
    </row>
    <row r="2849" customFormat="1" spans="1:16">
      <c r="A2849" s="39"/>
      <c r="B2849" s="40"/>
      <c r="C2849" s="41"/>
      <c r="D2849" s="41"/>
      <c r="E2849" s="41"/>
      <c r="F2849" s="41"/>
      <c r="G2849" s="41"/>
      <c r="H2849" s="41"/>
      <c r="I2849" s="41"/>
      <c r="J2849" s="41"/>
      <c r="K2849" s="41"/>
      <c r="L2849" s="41"/>
      <c r="M2849" s="41"/>
      <c r="N2849" s="41"/>
      <c r="O2849" s="41"/>
      <c r="P2849" s="28"/>
    </row>
    <row r="2850" customFormat="1" spans="1:16">
      <c r="A2850" s="39"/>
      <c r="B2850" s="40"/>
      <c r="C2850" s="41"/>
      <c r="D2850" s="41"/>
      <c r="E2850" s="41"/>
      <c r="F2850" s="41"/>
      <c r="G2850" s="41"/>
      <c r="H2850" s="41"/>
      <c r="I2850" s="41"/>
      <c r="J2850" s="41"/>
      <c r="K2850" s="41"/>
      <c r="L2850" s="41"/>
      <c r="M2850" s="41"/>
      <c r="N2850" s="41"/>
      <c r="O2850" s="41"/>
      <c r="P2850" s="28"/>
    </row>
    <row r="2851" customFormat="1" spans="1:16">
      <c r="A2851" s="39"/>
      <c r="B2851" s="40"/>
      <c r="C2851" s="41"/>
      <c r="D2851" s="41"/>
      <c r="E2851" s="41"/>
      <c r="F2851" s="41"/>
      <c r="G2851" s="41"/>
      <c r="H2851" s="41"/>
      <c r="I2851" s="41"/>
      <c r="J2851" s="41"/>
      <c r="K2851" s="41"/>
      <c r="L2851" s="41"/>
      <c r="M2851" s="41"/>
      <c r="N2851" s="41"/>
      <c r="O2851" s="41"/>
      <c r="P2851" s="28"/>
    </row>
    <row r="2852" customFormat="1" spans="1:16">
      <c r="A2852" s="39"/>
      <c r="B2852" s="40"/>
      <c r="C2852" s="41"/>
      <c r="D2852" s="41"/>
      <c r="E2852" s="41"/>
      <c r="F2852" s="41"/>
      <c r="G2852" s="41"/>
      <c r="H2852" s="41"/>
      <c r="I2852" s="41"/>
      <c r="J2852" s="41"/>
      <c r="K2852" s="41"/>
      <c r="L2852" s="41"/>
      <c r="M2852" s="41"/>
      <c r="N2852" s="41"/>
      <c r="O2852" s="41"/>
      <c r="P2852" s="28"/>
    </row>
    <row r="2853" customFormat="1" spans="1:16">
      <c r="A2853" s="39"/>
      <c r="B2853" s="40"/>
      <c r="C2853" s="41"/>
      <c r="D2853" s="41"/>
      <c r="E2853" s="41"/>
      <c r="F2853" s="41"/>
      <c r="G2853" s="41"/>
      <c r="H2853" s="41"/>
      <c r="I2853" s="41"/>
      <c r="J2853" s="41"/>
      <c r="K2853" s="41"/>
      <c r="L2853" s="41"/>
      <c r="M2853" s="41"/>
      <c r="N2853" s="41"/>
      <c r="O2853" s="41"/>
      <c r="P2853" s="28"/>
    </row>
    <row r="2854" customFormat="1" spans="1:16">
      <c r="A2854" s="39"/>
      <c r="B2854" s="40"/>
      <c r="C2854" s="41"/>
      <c r="D2854" s="41"/>
      <c r="E2854" s="41"/>
      <c r="F2854" s="41"/>
      <c r="G2854" s="41"/>
      <c r="H2854" s="41"/>
      <c r="I2854" s="41"/>
      <c r="J2854" s="41"/>
      <c r="K2854" s="41"/>
      <c r="L2854" s="41"/>
      <c r="M2854" s="41"/>
      <c r="N2854" s="41"/>
      <c r="O2854" s="41"/>
      <c r="P2854" s="28"/>
    </row>
    <row r="2855" customFormat="1" spans="1:16">
      <c r="A2855" s="39"/>
      <c r="B2855" s="40"/>
      <c r="C2855" s="41"/>
      <c r="D2855" s="41"/>
      <c r="E2855" s="41"/>
      <c r="F2855" s="41"/>
      <c r="G2855" s="41"/>
      <c r="H2855" s="41"/>
      <c r="I2855" s="41"/>
      <c r="J2855" s="41"/>
      <c r="K2855" s="41"/>
      <c r="L2855" s="41"/>
      <c r="M2855" s="41"/>
      <c r="N2855" s="41"/>
      <c r="O2855" s="41"/>
      <c r="P2855" s="28"/>
    </row>
    <row r="2856" customFormat="1" spans="1:16">
      <c r="A2856" s="39"/>
      <c r="B2856" s="40"/>
      <c r="C2856" s="41"/>
      <c r="D2856" s="41"/>
      <c r="E2856" s="41"/>
      <c r="F2856" s="41"/>
      <c r="G2856" s="41"/>
      <c r="H2856" s="41"/>
      <c r="I2856" s="41"/>
      <c r="J2856" s="41"/>
      <c r="K2856" s="41"/>
      <c r="L2856" s="41"/>
      <c r="M2856" s="41"/>
      <c r="N2856" s="41"/>
      <c r="O2856" s="41"/>
      <c r="P2856" s="28"/>
    </row>
    <row r="2857" customFormat="1" spans="1:16">
      <c r="A2857" s="39"/>
      <c r="B2857" s="40"/>
      <c r="C2857" s="41"/>
      <c r="D2857" s="41"/>
      <c r="E2857" s="41"/>
      <c r="F2857" s="41"/>
      <c r="G2857" s="41"/>
      <c r="H2857" s="41"/>
      <c r="I2857" s="41"/>
      <c r="J2857" s="41"/>
      <c r="K2857" s="41"/>
      <c r="L2857" s="41"/>
      <c r="M2857" s="41"/>
      <c r="N2857" s="41"/>
      <c r="O2857" s="41"/>
      <c r="P2857" s="28"/>
    </row>
    <row r="2858" customFormat="1" spans="1:16">
      <c r="A2858" s="39"/>
      <c r="B2858" s="40"/>
      <c r="C2858" s="41"/>
      <c r="D2858" s="41"/>
      <c r="E2858" s="41"/>
      <c r="F2858" s="41"/>
      <c r="G2858" s="41"/>
      <c r="H2858" s="41"/>
      <c r="I2858" s="41"/>
      <c r="J2858" s="41"/>
      <c r="K2858" s="41"/>
      <c r="L2858" s="41"/>
      <c r="M2858" s="41"/>
      <c r="N2858" s="41"/>
      <c r="O2858" s="41"/>
      <c r="P2858" s="28"/>
    </row>
    <row r="2859" customFormat="1" spans="1:16">
      <c r="A2859" s="39"/>
      <c r="B2859" s="40"/>
      <c r="C2859" s="41"/>
      <c r="D2859" s="41"/>
      <c r="E2859" s="41"/>
      <c r="F2859" s="41"/>
      <c r="G2859" s="41"/>
      <c r="H2859" s="41"/>
      <c r="I2859" s="41"/>
      <c r="J2859" s="41"/>
      <c r="K2859" s="41"/>
      <c r="L2859" s="41"/>
      <c r="M2859" s="41"/>
      <c r="N2859" s="41"/>
      <c r="O2859" s="41"/>
      <c r="P2859" s="28"/>
    </row>
    <row r="2860" customFormat="1" spans="1:16">
      <c r="A2860" s="39"/>
      <c r="B2860" s="40"/>
      <c r="C2860" s="41"/>
      <c r="D2860" s="41"/>
      <c r="E2860" s="41"/>
      <c r="F2860" s="41"/>
      <c r="G2860" s="41"/>
      <c r="H2860" s="41"/>
      <c r="I2860" s="41"/>
      <c r="J2860" s="41"/>
      <c r="K2860" s="41"/>
      <c r="L2860" s="41"/>
      <c r="M2860" s="41"/>
      <c r="N2860" s="41"/>
      <c r="O2860" s="41"/>
      <c r="P2860" s="28"/>
    </row>
    <row r="2861" customFormat="1" spans="1:16">
      <c r="A2861" s="39"/>
      <c r="B2861" s="40"/>
      <c r="C2861" s="41"/>
      <c r="D2861" s="41"/>
      <c r="E2861" s="41"/>
      <c r="F2861" s="41"/>
      <c r="G2861" s="41"/>
      <c r="H2861" s="41"/>
      <c r="I2861" s="41"/>
      <c r="J2861" s="41"/>
      <c r="K2861" s="41"/>
      <c r="L2861" s="41"/>
      <c r="M2861" s="41"/>
      <c r="N2861" s="41"/>
      <c r="O2861" s="41"/>
      <c r="P2861" s="28"/>
    </row>
    <row r="2862" customFormat="1" spans="1:16">
      <c r="A2862" s="39"/>
      <c r="B2862" s="40"/>
      <c r="C2862" s="41"/>
      <c r="D2862" s="41"/>
      <c r="E2862" s="41"/>
      <c r="F2862" s="41"/>
      <c r="G2862" s="41"/>
      <c r="H2862" s="41"/>
      <c r="I2862" s="41"/>
      <c r="J2862" s="41"/>
      <c r="K2862" s="41"/>
      <c r="L2862" s="41"/>
      <c r="M2862" s="41"/>
      <c r="N2862" s="41"/>
      <c r="O2862" s="41"/>
      <c r="P2862" s="28"/>
    </row>
    <row r="2863" customFormat="1" spans="1:16">
      <c r="A2863" s="39"/>
      <c r="B2863" s="40"/>
      <c r="C2863" s="41"/>
      <c r="D2863" s="41"/>
      <c r="E2863" s="41"/>
      <c r="F2863" s="41"/>
      <c r="G2863" s="41"/>
      <c r="H2863" s="41"/>
      <c r="I2863" s="41"/>
      <c r="J2863" s="41"/>
      <c r="K2863" s="41"/>
      <c r="L2863" s="41"/>
      <c r="M2863" s="41"/>
      <c r="N2863" s="41"/>
      <c r="O2863" s="41"/>
      <c r="P2863" s="28"/>
    </row>
    <row r="2864" customFormat="1" spans="1:16">
      <c r="A2864" s="39"/>
      <c r="B2864" s="40"/>
      <c r="C2864" s="41"/>
      <c r="D2864" s="41"/>
      <c r="E2864" s="41"/>
      <c r="F2864" s="41"/>
      <c r="G2864" s="41"/>
      <c r="H2864" s="41"/>
      <c r="I2864" s="41"/>
      <c r="J2864" s="41"/>
      <c r="K2864" s="41"/>
      <c r="L2864" s="41"/>
      <c r="M2864" s="41"/>
      <c r="N2864" s="41"/>
      <c r="O2864" s="41"/>
      <c r="P2864" s="28"/>
    </row>
    <row r="2865" customFormat="1" spans="1:16">
      <c r="A2865" s="39"/>
      <c r="B2865" s="40"/>
      <c r="C2865" s="41"/>
      <c r="D2865" s="41"/>
      <c r="E2865" s="41"/>
      <c r="F2865" s="41"/>
      <c r="G2865" s="41"/>
      <c r="H2865" s="41"/>
      <c r="I2865" s="41"/>
      <c r="J2865" s="41"/>
      <c r="K2865" s="41"/>
      <c r="L2865" s="41"/>
      <c r="M2865" s="41"/>
      <c r="N2865" s="41"/>
      <c r="O2865" s="41"/>
      <c r="P2865" s="28"/>
    </row>
    <row r="2866" customFormat="1" spans="1:16">
      <c r="A2866" s="39"/>
      <c r="B2866" s="40"/>
      <c r="C2866" s="41"/>
      <c r="D2866" s="41"/>
      <c r="E2866" s="41"/>
      <c r="F2866" s="41"/>
      <c r="G2866" s="41"/>
      <c r="H2866" s="41"/>
      <c r="I2866" s="41"/>
      <c r="J2866" s="41"/>
      <c r="K2866" s="41"/>
      <c r="L2866" s="41"/>
      <c r="M2866" s="41"/>
      <c r="N2866" s="41"/>
      <c r="O2866" s="41"/>
      <c r="P2866" s="28"/>
    </row>
    <row r="2867" customFormat="1" spans="1:16">
      <c r="A2867" s="39"/>
      <c r="B2867" s="40"/>
      <c r="C2867" s="41"/>
      <c r="D2867" s="41"/>
      <c r="E2867" s="41"/>
      <c r="F2867" s="41"/>
      <c r="G2867" s="41"/>
      <c r="H2867" s="41"/>
      <c r="I2867" s="41"/>
      <c r="J2867" s="41"/>
      <c r="K2867" s="41"/>
      <c r="L2867" s="41"/>
      <c r="M2867" s="41"/>
      <c r="N2867" s="41"/>
      <c r="O2867" s="41"/>
      <c r="P2867" s="28"/>
    </row>
    <row r="2868" customFormat="1" spans="1:16">
      <c r="A2868" s="39"/>
      <c r="B2868" s="40"/>
      <c r="C2868" s="41"/>
      <c r="D2868" s="41"/>
      <c r="E2868" s="41"/>
      <c r="F2868" s="41"/>
      <c r="G2868" s="41"/>
      <c r="H2868" s="41"/>
      <c r="I2868" s="41"/>
      <c r="J2868" s="41"/>
      <c r="K2868" s="41"/>
      <c r="L2868" s="41"/>
      <c r="M2868" s="41"/>
      <c r="N2868" s="41"/>
      <c r="O2868" s="41"/>
      <c r="P2868" s="28"/>
    </row>
    <row r="2869" customFormat="1" spans="1:16">
      <c r="A2869" s="39"/>
      <c r="B2869" s="40"/>
      <c r="C2869" s="41"/>
      <c r="D2869" s="41"/>
      <c r="E2869" s="41"/>
      <c r="F2869" s="41"/>
      <c r="G2869" s="41"/>
      <c r="H2869" s="41"/>
      <c r="I2869" s="41"/>
      <c r="J2869" s="41"/>
      <c r="K2869" s="41"/>
      <c r="L2869" s="41"/>
      <c r="M2869" s="41"/>
      <c r="N2869" s="41"/>
      <c r="O2869" s="41"/>
      <c r="P2869" s="28"/>
    </row>
    <row r="2870" customFormat="1" spans="1:16">
      <c r="A2870" s="39"/>
      <c r="B2870" s="40"/>
      <c r="C2870" s="41"/>
      <c r="D2870" s="41"/>
      <c r="E2870" s="41"/>
      <c r="F2870" s="41"/>
      <c r="G2870" s="41"/>
      <c r="H2870" s="41"/>
      <c r="I2870" s="41"/>
      <c r="J2870" s="41"/>
      <c r="K2870" s="41"/>
      <c r="L2870" s="41"/>
      <c r="M2870" s="41"/>
      <c r="N2870" s="41"/>
      <c r="O2870" s="41"/>
      <c r="P2870" s="28"/>
    </row>
    <row r="2871" customFormat="1" spans="1:16">
      <c r="A2871" s="39"/>
      <c r="B2871" s="40"/>
      <c r="C2871" s="41"/>
      <c r="D2871" s="41"/>
      <c r="E2871" s="41"/>
      <c r="F2871" s="41"/>
      <c r="G2871" s="41"/>
      <c r="H2871" s="41"/>
      <c r="I2871" s="41"/>
      <c r="J2871" s="41"/>
      <c r="K2871" s="41"/>
      <c r="L2871" s="41"/>
      <c r="M2871" s="41"/>
      <c r="N2871" s="41"/>
      <c r="O2871" s="41"/>
      <c r="P2871" s="28"/>
    </row>
    <row r="2872" customFormat="1" spans="1:16">
      <c r="A2872" s="39"/>
      <c r="B2872" s="40"/>
      <c r="C2872" s="41"/>
      <c r="D2872" s="41"/>
      <c r="E2872" s="41"/>
      <c r="F2872" s="41"/>
      <c r="G2872" s="41"/>
      <c r="H2872" s="41"/>
      <c r="I2872" s="41"/>
      <c r="J2872" s="41"/>
      <c r="K2872" s="41"/>
      <c r="L2872" s="41"/>
      <c r="M2872" s="41"/>
      <c r="N2872" s="41"/>
      <c r="O2872" s="41"/>
      <c r="P2872" s="28"/>
    </row>
    <row r="2873" customFormat="1" spans="1:16">
      <c r="A2873" s="39"/>
      <c r="B2873" s="40"/>
      <c r="C2873" s="41"/>
      <c r="D2873" s="41"/>
      <c r="E2873" s="41"/>
      <c r="F2873" s="41"/>
      <c r="G2873" s="41"/>
      <c r="H2873" s="41"/>
      <c r="I2873" s="41"/>
      <c r="J2873" s="41"/>
      <c r="K2873" s="41"/>
      <c r="L2873" s="41"/>
      <c r="M2873" s="41"/>
      <c r="N2873" s="41"/>
      <c r="O2873" s="41"/>
      <c r="P2873" s="28"/>
    </row>
    <row r="2874" customFormat="1" spans="1:16">
      <c r="A2874" s="39"/>
      <c r="B2874" s="40"/>
      <c r="C2874" s="41"/>
      <c r="D2874" s="41"/>
      <c r="E2874" s="41"/>
      <c r="F2874" s="41"/>
      <c r="G2874" s="41"/>
      <c r="H2874" s="41"/>
      <c r="I2874" s="41"/>
      <c r="J2874" s="41"/>
      <c r="K2874" s="41"/>
      <c r="L2874" s="41"/>
      <c r="M2874" s="41"/>
      <c r="N2874" s="41"/>
      <c r="O2874" s="41"/>
      <c r="P2874" s="28"/>
    </row>
    <row r="2875" customFormat="1" spans="1:16">
      <c r="A2875" s="39"/>
      <c r="B2875" s="40"/>
      <c r="C2875" s="41"/>
      <c r="D2875" s="41"/>
      <c r="E2875" s="41"/>
      <c r="F2875" s="41"/>
      <c r="G2875" s="41"/>
      <c r="H2875" s="41"/>
      <c r="I2875" s="41"/>
      <c r="J2875" s="41"/>
      <c r="K2875" s="41"/>
      <c r="L2875" s="41"/>
      <c r="M2875" s="41"/>
      <c r="N2875" s="41"/>
      <c r="O2875" s="41"/>
      <c r="P2875" s="28"/>
    </row>
    <row r="2876" customFormat="1" spans="1:16">
      <c r="A2876" s="39"/>
      <c r="B2876" s="40"/>
      <c r="C2876" s="41"/>
      <c r="D2876" s="41"/>
      <c r="E2876" s="41"/>
      <c r="F2876" s="41"/>
      <c r="G2876" s="41"/>
      <c r="H2876" s="41"/>
      <c r="I2876" s="41"/>
      <c r="J2876" s="41"/>
      <c r="K2876" s="41"/>
      <c r="L2876" s="41"/>
      <c r="M2876" s="41"/>
      <c r="N2876" s="41"/>
      <c r="O2876" s="41"/>
      <c r="P2876" s="28"/>
    </row>
    <row r="2877" customFormat="1" spans="1:16">
      <c r="A2877" s="39"/>
      <c r="B2877" s="40"/>
      <c r="C2877" s="41"/>
      <c r="D2877" s="41"/>
      <c r="E2877" s="41"/>
      <c r="F2877" s="41"/>
      <c r="G2877" s="41"/>
      <c r="H2877" s="41"/>
      <c r="I2877" s="41"/>
      <c r="J2877" s="41"/>
      <c r="K2877" s="41"/>
      <c r="L2877" s="41"/>
      <c r="M2877" s="41"/>
      <c r="N2877" s="41"/>
      <c r="O2877" s="41"/>
      <c r="P2877" s="28"/>
    </row>
    <row r="2878" customFormat="1" spans="1:16">
      <c r="A2878" s="39"/>
      <c r="B2878" s="40"/>
      <c r="C2878" s="41"/>
      <c r="D2878" s="41"/>
      <c r="E2878" s="41"/>
      <c r="F2878" s="41"/>
      <c r="G2878" s="41"/>
      <c r="H2878" s="41"/>
      <c r="I2878" s="41"/>
      <c r="J2878" s="41"/>
      <c r="K2878" s="41"/>
      <c r="L2878" s="41"/>
      <c r="M2878" s="41"/>
      <c r="N2878" s="41"/>
      <c r="O2878" s="41"/>
      <c r="P2878" s="28"/>
    </row>
    <row r="2879" customFormat="1" spans="1:16">
      <c r="A2879" s="39"/>
      <c r="B2879" s="40"/>
      <c r="C2879" s="41"/>
      <c r="D2879" s="41"/>
      <c r="E2879" s="41"/>
      <c r="F2879" s="41"/>
      <c r="G2879" s="41"/>
      <c r="H2879" s="41"/>
      <c r="I2879" s="41"/>
      <c r="J2879" s="41"/>
      <c r="K2879" s="41"/>
      <c r="L2879" s="41"/>
      <c r="M2879" s="41"/>
      <c r="N2879" s="41"/>
      <c r="O2879" s="41"/>
      <c r="P2879" s="28"/>
    </row>
    <row r="2880" customFormat="1" spans="1:16">
      <c r="A2880" s="39"/>
      <c r="B2880" s="40"/>
      <c r="C2880" s="41"/>
      <c r="D2880" s="41"/>
      <c r="E2880" s="41"/>
      <c r="F2880" s="41"/>
      <c r="G2880" s="41"/>
      <c r="H2880" s="41"/>
      <c r="I2880" s="41"/>
      <c r="J2880" s="41"/>
      <c r="K2880" s="41"/>
      <c r="L2880" s="41"/>
      <c r="M2880" s="41"/>
      <c r="N2880" s="41"/>
      <c r="O2880" s="41"/>
      <c r="P2880" s="28"/>
    </row>
    <row r="2881" customFormat="1" spans="1:16">
      <c r="A2881" s="39"/>
      <c r="B2881" s="40"/>
      <c r="C2881" s="41"/>
      <c r="D2881" s="41"/>
      <c r="E2881" s="41"/>
      <c r="F2881" s="41"/>
      <c r="G2881" s="41"/>
      <c r="H2881" s="41"/>
      <c r="I2881" s="41"/>
      <c r="J2881" s="41"/>
      <c r="K2881" s="41"/>
      <c r="L2881" s="41"/>
      <c r="M2881" s="41"/>
      <c r="N2881" s="41"/>
      <c r="O2881" s="41"/>
      <c r="P2881" s="28"/>
    </row>
    <row r="2882" customFormat="1" spans="1:16">
      <c r="A2882" s="39"/>
      <c r="B2882" s="40"/>
      <c r="C2882" s="41"/>
      <c r="D2882" s="41"/>
      <c r="E2882" s="41"/>
      <c r="F2882" s="41"/>
      <c r="G2882" s="41"/>
      <c r="H2882" s="41"/>
      <c r="I2882" s="41"/>
      <c r="J2882" s="41"/>
      <c r="K2882" s="41"/>
      <c r="L2882" s="41"/>
      <c r="M2882" s="41"/>
      <c r="N2882" s="41"/>
      <c r="O2882" s="41"/>
      <c r="P2882" s="28"/>
    </row>
    <row r="2883" customFormat="1" spans="1:16">
      <c r="A2883" s="39"/>
      <c r="B2883" s="40"/>
      <c r="C2883" s="41"/>
      <c r="D2883" s="41"/>
      <c r="E2883" s="41"/>
      <c r="F2883" s="41"/>
      <c r="G2883" s="41"/>
      <c r="H2883" s="41"/>
      <c r="I2883" s="41"/>
      <c r="J2883" s="41"/>
      <c r="K2883" s="41"/>
      <c r="L2883" s="41"/>
      <c r="M2883" s="41"/>
      <c r="N2883" s="41"/>
      <c r="O2883" s="41"/>
      <c r="P2883" s="28"/>
    </row>
    <row r="2884" customFormat="1" spans="1:16">
      <c r="A2884" s="39"/>
      <c r="B2884" s="40"/>
      <c r="C2884" s="41"/>
      <c r="D2884" s="41"/>
      <c r="E2884" s="41"/>
      <c r="F2884" s="41"/>
      <c r="G2884" s="41"/>
      <c r="H2884" s="41"/>
      <c r="I2884" s="41"/>
      <c r="J2884" s="41"/>
      <c r="K2884" s="41"/>
      <c r="L2884" s="41"/>
      <c r="M2884" s="41"/>
      <c r="N2884" s="41"/>
      <c r="O2884" s="41"/>
      <c r="P2884" s="28"/>
    </row>
    <row r="2885" customFormat="1" spans="1:16">
      <c r="A2885" s="39"/>
      <c r="B2885" s="40"/>
      <c r="C2885" s="41"/>
      <c r="D2885" s="41"/>
      <c r="E2885" s="41"/>
      <c r="F2885" s="41"/>
      <c r="G2885" s="41"/>
      <c r="H2885" s="41"/>
      <c r="I2885" s="41"/>
      <c r="J2885" s="41"/>
      <c r="K2885" s="41"/>
      <c r="L2885" s="41"/>
      <c r="M2885" s="41"/>
      <c r="N2885" s="41"/>
      <c r="O2885" s="41"/>
      <c r="P2885" s="28"/>
    </row>
    <row r="2886" customFormat="1" spans="1:16">
      <c r="A2886" s="39"/>
      <c r="B2886" s="40"/>
      <c r="C2886" s="41"/>
      <c r="D2886" s="41"/>
      <c r="E2886" s="41"/>
      <c r="F2886" s="41"/>
      <c r="G2886" s="41"/>
      <c r="H2886" s="41"/>
      <c r="I2886" s="41"/>
      <c r="J2886" s="41"/>
      <c r="K2886" s="41"/>
      <c r="L2886" s="41"/>
      <c r="M2886" s="41"/>
      <c r="N2886" s="41"/>
      <c r="O2886" s="41"/>
      <c r="P2886" s="28"/>
    </row>
    <row r="2887" customFormat="1" spans="1:16">
      <c r="A2887" s="39"/>
      <c r="B2887" s="40"/>
      <c r="C2887" s="41"/>
      <c r="D2887" s="41"/>
      <c r="E2887" s="41"/>
      <c r="F2887" s="41"/>
      <c r="G2887" s="41"/>
      <c r="H2887" s="41"/>
      <c r="I2887" s="41"/>
      <c r="J2887" s="41"/>
      <c r="K2887" s="41"/>
      <c r="L2887" s="41"/>
      <c r="M2887" s="41"/>
      <c r="N2887" s="41"/>
      <c r="O2887" s="41"/>
      <c r="P2887" s="28"/>
    </row>
    <row r="2888" customFormat="1" spans="1:16">
      <c r="A2888" s="39"/>
      <c r="B2888" s="40"/>
      <c r="C2888" s="41"/>
      <c r="D2888" s="41"/>
      <c r="E2888" s="41"/>
      <c r="F2888" s="41"/>
      <c r="G2888" s="41"/>
      <c r="H2888" s="41"/>
      <c r="I2888" s="41"/>
      <c r="J2888" s="41"/>
      <c r="K2888" s="41"/>
      <c r="L2888" s="41"/>
      <c r="M2888" s="41"/>
      <c r="N2888" s="41"/>
      <c r="O2888" s="41"/>
      <c r="P2888" s="28"/>
    </row>
    <row r="2889" customFormat="1" spans="1:16">
      <c r="A2889" s="39"/>
      <c r="B2889" s="40"/>
      <c r="C2889" s="41"/>
      <c r="D2889" s="41"/>
      <c r="E2889" s="41"/>
      <c r="F2889" s="41"/>
      <c r="G2889" s="41"/>
      <c r="H2889" s="41"/>
      <c r="I2889" s="41"/>
      <c r="J2889" s="41"/>
      <c r="K2889" s="41"/>
      <c r="L2889" s="41"/>
      <c r="M2889" s="41"/>
      <c r="N2889" s="41"/>
      <c r="O2889" s="41"/>
      <c r="P2889" s="28"/>
    </row>
    <row r="2890" customFormat="1" spans="1:16">
      <c r="A2890" s="39"/>
      <c r="B2890" s="40"/>
      <c r="C2890" s="41"/>
      <c r="D2890" s="41"/>
      <c r="E2890" s="41"/>
      <c r="F2890" s="41"/>
      <c r="G2890" s="41"/>
      <c r="H2890" s="41"/>
      <c r="I2890" s="41"/>
      <c r="J2890" s="41"/>
      <c r="K2890" s="41"/>
      <c r="L2890" s="41"/>
      <c r="M2890" s="41"/>
      <c r="N2890" s="41"/>
      <c r="O2890" s="41"/>
      <c r="P2890" s="28"/>
    </row>
    <row r="2891" customFormat="1" spans="1:16">
      <c r="A2891" s="39"/>
      <c r="B2891" s="40"/>
      <c r="C2891" s="41"/>
      <c r="D2891" s="41"/>
      <c r="E2891" s="41"/>
      <c r="F2891" s="41"/>
      <c r="G2891" s="41"/>
      <c r="H2891" s="41"/>
      <c r="I2891" s="41"/>
      <c r="J2891" s="41"/>
      <c r="K2891" s="41"/>
      <c r="L2891" s="41"/>
      <c r="M2891" s="41"/>
      <c r="N2891" s="41"/>
      <c r="O2891" s="41"/>
      <c r="P2891" s="28"/>
    </row>
    <row r="2892" customFormat="1" spans="1:16">
      <c r="A2892" s="39"/>
      <c r="B2892" s="40"/>
      <c r="C2892" s="41"/>
      <c r="D2892" s="41"/>
      <c r="E2892" s="41"/>
      <c r="F2892" s="41"/>
      <c r="G2892" s="41"/>
      <c r="H2892" s="41"/>
      <c r="I2892" s="41"/>
      <c r="J2892" s="41"/>
      <c r="K2892" s="41"/>
      <c r="L2892" s="41"/>
      <c r="M2892" s="41"/>
      <c r="N2892" s="41"/>
      <c r="O2892" s="41"/>
      <c r="P2892" s="28"/>
    </row>
    <row r="2893" customFormat="1" spans="1:16">
      <c r="A2893" s="39"/>
      <c r="B2893" s="40"/>
      <c r="C2893" s="41"/>
      <c r="D2893" s="41"/>
      <c r="E2893" s="41"/>
      <c r="F2893" s="41"/>
      <c r="G2893" s="41"/>
      <c r="H2893" s="41"/>
      <c r="I2893" s="41"/>
      <c r="J2893" s="41"/>
      <c r="K2893" s="41"/>
      <c r="L2893" s="41"/>
      <c r="M2893" s="41"/>
      <c r="N2893" s="41"/>
      <c r="O2893" s="41"/>
      <c r="P2893" s="28"/>
    </row>
    <row r="2894" customFormat="1" spans="1:16">
      <c r="A2894" s="39"/>
      <c r="B2894" s="40"/>
      <c r="C2894" s="41"/>
      <c r="D2894" s="41"/>
      <c r="E2894" s="41"/>
      <c r="F2894" s="41"/>
      <c r="G2894" s="41"/>
      <c r="H2894" s="41"/>
      <c r="I2894" s="41"/>
      <c r="J2894" s="41"/>
      <c r="K2894" s="41"/>
      <c r="L2894" s="41"/>
      <c r="M2894" s="41"/>
      <c r="N2894" s="41"/>
      <c r="O2894" s="41"/>
      <c r="P2894" s="28"/>
    </row>
    <row r="2895" customFormat="1" spans="1:16">
      <c r="A2895" s="39"/>
      <c r="B2895" s="40"/>
      <c r="C2895" s="41"/>
      <c r="D2895" s="41"/>
      <c r="E2895" s="41"/>
      <c r="F2895" s="41"/>
      <c r="G2895" s="41"/>
      <c r="H2895" s="41"/>
      <c r="I2895" s="41"/>
      <c r="J2895" s="41"/>
      <c r="K2895" s="41"/>
      <c r="L2895" s="41"/>
      <c r="M2895" s="41"/>
      <c r="N2895" s="41"/>
      <c r="O2895" s="41"/>
      <c r="P2895" s="28"/>
    </row>
    <row r="2896" customFormat="1" spans="1:16">
      <c r="A2896" s="39"/>
      <c r="B2896" s="40"/>
      <c r="C2896" s="41"/>
      <c r="D2896" s="41"/>
      <c r="E2896" s="41"/>
      <c r="F2896" s="41"/>
      <c r="G2896" s="41"/>
      <c r="H2896" s="41"/>
      <c r="I2896" s="41"/>
      <c r="J2896" s="41"/>
      <c r="K2896" s="41"/>
      <c r="L2896" s="41"/>
      <c r="M2896" s="41"/>
      <c r="N2896" s="41"/>
      <c r="O2896" s="41"/>
      <c r="P2896" s="28"/>
    </row>
    <row r="2897" customFormat="1" spans="1:16">
      <c r="A2897" s="39"/>
      <c r="B2897" s="40"/>
      <c r="C2897" s="41"/>
      <c r="D2897" s="41"/>
      <c r="E2897" s="41"/>
      <c r="F2897" s="41"/>
      <c r="G2897" s="41"/>
      <c r="H2897" s="41"/>
      <c r="I2897" s="41"/>
      <c r="J2897" s="41"/>
      <c r="K2897" s="41"/>
      <c r="L2897" s="41"/>
      <c r="M2897" s="41"/>
      <c r="N2897" s="41"/>
      <c r="O2897" s="41"/>
      <c r="P2897" s="28"/>
    </row>
    <row r="2898" customFormat="1" spans="1:16">
      <c r="A2898" s="39"/>
      <c r="B2898" s="40"/>
      <c r="C2898" s="41"/>
      <c r="D2898" s="41"/>
      <c r="E2898" s="41"/>
      <c r="F2898" s="41"/>
      <c r="G2898" s="41"/>
      <c r="H2898" s="41"/>
      <c r="I2898" s="41"/>
      <c r="J2898" s="41"/>
      <c r="K2898" s="41"/>
      <c r="L2898" s="41"/>
      <c r="M2898" s="41"/>
      <c r="N2898" s="41"/>
      <c r="O2898" s="41"/>
      <c r="P2898" s="28"/>
    </row>
    <row r="2899" customFormat="1" spans="1:16">
      <c r="A2899" s="39"/>
      <c r="B2899" s="40"/>
      <c r="C2899" s="41"/>
      <c r="D2899" s="41"/>
      <c r="E2899" s="41"/>
      <c r="F2899" s="41"/>
      <c r="G2899" s="41"/>
      <c r="H2899" s="41"/>
      <c r="I2899" s="41"/>
      <c r="J2899" s="41"/>
      <c r="K2899" s="41"/>
      <c r="L2899" s="41"/>
      <c r="M2899" s="41"/>
      <c r="N2899" s="41"/>
      <c r="O2899" s="41"/>
      <c r="P2899" s="28"/>
    </row>
    <row r="2900" customFormat="1" spans="1:16">
      <c r="A2900" s="39"/>
      <c r="B2900" s="40"/>
      <c r="C2900" s="41"/>
      <c r="D2900" s="41"/>
      <c r="E2900" s="41"/>
      <c r="F2900" s="41"/>
      <c r="G2900" s="41"/>
      <c r="H2900" s="41"/>
      <c r="I2900" s="41"/>
      <c r="J2900" s="41"/>
      <c r="K2900" s="41"/>
      <c r="L2900" s="41"/>
      <c r="M2900" s="41"/>
      <c r="N2900" s="41"/>
      <c r="O2900" s="41"/>
      <c r="P2900" s="28"/>
    </row>
    <row r="2901" customFormat="1" spans="1:16">
      <c r="A2901" s="39"/>
      <c r="B2901" s="40"/>
      <c r="C2901" s="41"/>
      <c r="D2901" s="41"/>
      <c r="E2901" s="41"/>
      <c r="F2901" s="41"/>
      <c r="G2901" s="41"/>
      <c r="H2901" s="41"/>
      <c r="I2901" s="41"/>
      <c r="J2901" s="41"/>
      <c r="K2901" s="41"/>
      <c r="L2901" s="41"/>
      <c r="M2901" s="41"/>
      <c r="N2901" s="41"/>
      <c r="O2901" s="41"/>
      <c r="P2901" s="28"/>
    </row>
    <row r="2902" customFormat="1" spans="1:16">
      <c r="A2902" s="39"/>
      <c r="B2902" s="40"/>
      <c r="C2902" s="41"/>
      <c r="D2902" s="41"/>
      <c r="E2902" s="41"/>
      <c r="F2902" s="41"/>
      <c r="G2902" s="41"/>
      <c r="H2902" s="41"/>
      <c r="I2902" s="41"/>
      <c r="J2902" s="41"/>
      <c r="K2902" s="41"/>
      <c r="L2902" s="41"/>
      <c r="M2902" s="41"/>
      <c r="N2902" s="41"/>
      <c r="O2902" s="41"/>
      <c r="P2902" s="28"/>
    </row>
    <row r="2903" customFormat="1" spans="1:16">
      <c r="A2903" s="39"/>
      <c r="B2903" s="40"/>
      <c r="C2903" s="41"/>
      <c r="D2903" s="41"/>
      <c r="E2903" s="41"/>
      <c r="F2903" s="41"/>
      <c r="G2903" s="41"/>
      <c r="H2903" s="41"/>
      <c r="I2903" s="41"/>
      <c r="J2903" s="41"/>
      <c r="K2903" s="41"/>
      <c r="L2903" s="41"/>
      <c r="M2903" s="41"/>
      <c r="N2903" s="41"/>
      <c r="O2903" s="41"/>
      <c r="P2903" s="28"/>
    </row>
    <row r="2904" customFormat="1" spans="1:16">
      <c r="A2904" s="39"/>
      <c r="B2904" s="40"/>
      <c r="C2904" s="41"/>
      <c r="D2904" s="41"/>
      <c r="E2904" s="41"/>
      <c r="F2904" s="41"/>
      <c r="G2904" s="41"/>
      <c r="H2904" s="41"/>
      <c r="I2904" s="41"/>
      <c r="J2904" s="41"/>
      <c r="K2904" s="41"/>
      <c r="L2904" s="41"/>
      <c r="M2904" s="41"/>
      <c r="N2904" s="41"/>
      <c r="O2904" s="41"/>
      <c r="P2904" s="28"/>
    </row>
    <row r="2905" customFormat="1" spans="1:16">
      <c r="A2905" s="39"/>
      <c r="B2905" s="40"/>
      <c r="C2905" s="41"/>
      <c r="D2905" s="41"/>
      <c r="E2905" s="41"/>
      <c r="F2905" s="41"/>
      <c r="G2905" s="41"/>
      <c r="H2905" s="41"/>
      <c r="I2905" s="41"/>
      <c r="J2905" s="41"/>
      <c r="K2905" s="41"/>
      <c r="L2905" s="41"/>
      <c r="M2905" s="41"/>
      <c r="N2905" s="41"/>
      <c r="O2905" s="41"/>
      <c r="P2905" s="28"/>
    </row>
    <row r="2906" customFormat="1" spans="1:16">
      <c r="A2906" s="39"/>
      <c r="B2906" s="40"/>
      <c r="C2906" s="41"/>
      <c r="D2906" s="41"/>
      <c r="E2906" s="41"/>
      <c r="F2906" s="41"/>
      <c r="G2906" s="41"/>
      <c r="H2906" s="41"/>
      <c r="I2906" s="41"/>
      <c r="J2906" s="41"/>
      <c r="K2906" s="41"/>
      <c r="L2906" s="41"/>
      <c r="M2906" s="41"/>
      <c r="N2906" s="41"/>
      <c r="O2906" s="41"/>
      <c r="P2906" s="28"/>
    </row>
    <row r="2907" customFormat="1" spans="1:16">
      <c r="A2907" s="39"/>
      <c r="B2907" s="40"/>
      <c r="C2907" s="41"/>
      <c r="D2907" s="41"/>
      <c r="E2907" s="41"/>
      <c r="F2907" s="41"/>
      <c r="G2907" s="41"/>
      <c r="H2907" s="41"/>
      <c r="I2907" s="41"/>
      <c r="J2907" s="41"/>
      <c r="K2907" s="41"/>
      <c r="L2907" s="41"/>
      <c r="M2907" s="41"/>
      <c r="N2907" s="41"/>
      <c r="O2907" s="41"/>
      <c r="P2907" s="28"/>
    </row>
    <row r="2908" customFormat="1" spans="1:16">
      <c r="A2908" s="39"/>
      <c r="B2908" s="40"/>
      <c r="C2908" s="41"/>
      <c r="D2908" s="41"/>
      <c r="E2908" s="41"/>
      <c r="F2908" s="41"/>
      <c r="G2908" s="41"/>
      <c r="H2908" s="41"/>
      <c r="I2908" s="41"/>
      <c r="J2908" s="41"/>
      <c r="K2908" s="41"/>
      <c r="L2908" s="41"/>
      <c r="M2908" s="41"/>
      <c r="N2908" s="41"/>
      <c r="O2908" s="41"/>
      <c r="P2908" s="28"/>
    </row>
    <row r="2909" customFormat="1" spans="1:16">
      <c r="A2909" s="39"/>
      <c r="B2909" s="40"/>
      <c r="C2909" s="41"/>
      <c r="D2909" s="41"/>
      <c r="E2909" s="41"/>
      <c r="F2909" s="41"/>
      <c r="G2909" s="41"/>
      <c r="H2909" s="41"/>
      <c r="I2909" s="41"/>
      <c r="J2909" s="41"/>
      <c r="K2909" s="41"/>
      <c r="L2909" s="41"/>
      <c r="M2909" s="41"/>
      <c r="N2909" s="41"/>
      <c r="O2909" s="41"/>
      <c r="P2909" s="28"/>
    </row>
    <row r="2910" customFormat="1" spans="1:16">
      <c r="A2910" s="39"/>
      <c r="B2910" s="40"/>
      <c r="C2910" s="41"/>
      <c r="D2910" s="41"/>
      <c r="E2910" s="41"/>
      <c r="F2910" s="41"/>
      <c r="G2910" s="41"/>
      <c r="H2910" s="41"/>
      <c r="I2910" s="41"/>
      <c r="J2910" s="41"/>
      <c r="K2910" s="41"/>
      <c r="L2910" s="41"/>
      <c r="M2910" s="41"/>
      <c r="N2910" s="41"/>
      <c r="O2910" s="41"/>
      <c r="P2910" s="28"/>
    </row>
    <row r="2911" customFormat="1" spans="1:16">
      <c r="A2911" s="39"/>
      <c r="B2911" s="40"/>
      <c r="C2911" s="41"/>
      <c r="D2911" s="41"/>
      <c r="E2911" s="41"/>
      <c r="F2911" s="41"/>
      <c r="G2911" s="41"/>
      <c r="H2911" s="41"/>
      <c r="I2911" s="41"/>
      <c r="J2911" s="41"/>
      <c r="K2911" s="41"/>
      <c r="L2911" s="41"/>
      <c r="M2911" s="41"/>
      <c r="N2911" s="41"/>
      <c r="O2911" s="41"/>
      <c r="P2911" s="28"/>
    </row>
    <row r="2912" customFormat="1" spans="1:16">
      <c r="A2912" s="39"/>
      <c r="B2912" s="40"/>
      <c r="C2912" s="41"/>
      <c r="D2912" s="41"/>
      <c r="E2912" s="41"/>
      <c r="F2912" s="41"/>
      <c r="G2912" s="41"/>
      <c r="H2912" s="41"/>
      <c r="I2912" s="41"/>
      <c r="J2912" s="41"/>
      <c r="K2912" s="41"/>
      <c r="L2912" s="41"/>
      <c r="M2912" s="41"/>
      <c r="N2912" s="41"/>
      <c r="O2912" s="41"/>
      <c r="P2912" s="28"/>
    </row>
    <row r="2913" customFormat="1" spans="1:16">
      <c r="A2913" s="39"/>
      <c r="B2913" s="40"/>
      <c r="C2913" s="41"/>
      <c r="D2913" s="41"/>
      <c r="E2913" s="41"/>
      <c r="F2913" s="41"/>
      <c r="G2913" s="41"/>
      <c r="H2913" s="41"/>
      <c r="I2913" s="41"/>
      <c r="J2913" s="41"/>
      <c r="K2913" s="41"/>
      <c r="L2913" s="41"/>
      <c r="M2913" s="41"/>
      <c r="N2913" s="41"/>
      <c r="O2913" s="41"/>
      <c r="P2913" s="28"/>
    </row>
    <row r="2914" customFormat="1" spans="1:16">
      <c r="A2914" s="39"/>
      <c r="B2914" s="40"/>
      <c r="C2914" s="41"/>
      <c r="D2914" s="41"/>
      <c r="E2914" s="41"/>
      <c r="F2914" s="41"/>
      <c r="G2914" s="41"/>
      <c r="H2914" s="41"/>
      <c r="I2914" s="41"/>
      <c r="J2914" s="41"/>
      <c r="K2914" s="41"/>
      <c r="L2914" s="41"/>
      <c r="M2914" s="41"/>
      <c r="N2914" s="41"/>
      <c r="O2914" s="41"/>
      <c r="P2914" s="28"/>
    </row>
    <row r="2915" customFormat="1" spans="1:16">
      <c r="A2915" s="39"/>
      <c r="B2915" s="40"/>
      <c r="C2915" s="41"/>
      <c r="D2915" s="41"/>
      <c r="E2915" s="41"/>
      <c r="F2915" s="41"/>
      <c r="G2915" s="41"/>
      <c r="H2915" s="41"/>
      <c r="I2915" s="41"/>
      <c r="J2915" s="41"/>
      <c r="K2915" s="41"/>
      <c r="L2915" s="41"/>
      <c r="M2915" s="41"/>
      <c r="N2915" s="41"/>
      <c r="O2915" s="41"/>
      <c r="P2915" s="28"/>
    </row>
    <row r="2916" customFormat="1" spans="1:16">
      <c r="A2916" s="39"/>
      <c r="B2916" s="40"/>
      <c r="C2916" s="41"/>
      <c r="D2916" s="41"/>
      <c r="E2916" s="41"/>
      <c r="F2916" s="41"/>
      <c r="G2916" s="41"/>
      <c r="H2916" s="41"/>
      <c r="I2916" s="41"/>
      <c r="J2916" s="41"/>
      <c r="K2916" s="41"/>
      <c r="L2916" s="41"/>
      <c r="M2916" s="41"/>
      <c r="N2916" s="41"/>
      <c r="O2916" s="41"/>
      <c r="P2916" s="28"/>
    </row>
    <row r="2917" customFormat="1" spans="1:16">
      <c r="A2917" s="39"/>
      <c r="B2917" s="40"/>
      <c r="C2917" s="41"/>
      <c r="D2917" s="41"/>
      <c r="E2917" s="41"/>
      <c r="F2917" s="41"/>
      <c r="G2917" s="41"/>
      <c r="H2917" s="41"/>
      <c r="I2917" s="41"/>
      <c r="J2917" s="41"/>
      <c r="K2917" s="41"/>
      <c r="L2917" s="41"/>
      <c r="M2917" s="41"/>
      <c r="N2917" s="41"/>
      <c r="O2917" s="41"/>
      <c r="P2917" s="28"/>
    </row>
    <row r="2918" customFormat="1" spans="1:16">
      <c r="A2918" s="39"/>
      <c r="B2918" s="40"/>
      <c r="C2918" s="41"/>
      <c r="D2918" s="41"/>
      <c r="E2918" s="41"/>
      <c r="F2918" s="41"/>
      <c r="G2918" s="41"/>
      <c r="H2918" s="41"/>
      <c r="I2918" s="41"/>
      <c r="J2918" s="41"/>
      <c r="K2918" s="41"/>
      <c r="L2918" s="41"/>
      <c r="M2918" s="41"/>
      <c r="N2918" s="41"/>
      <c r="O2918" s="41"/>
      <c r="P2918" s="28"/>
    </row>
    <row r="2919" customFormat="1" spans="1:16">
      <c r="A2919" s="39"/>
      <c r="B2919" s="40"/>
      <c r="C2919" s="41"/>
      <c r="D2919" s="41"/>
      <c r="E2919" s="41"/>
      <c r="F2919" s="41"/>
      <c r="G2919" s="41"/>
      <c r="H2919" s="41"/>
      <c r="I2919" s="41"/>
      <c r="J2919" s="41"/>
      <c r="K2919" s="41"/>
      <c r="L2919" s="41"/>
      <c r="M2919" s="41"/>
      <c r="N2919" s="41"/>
      <c r="O2919" s="41"/>
      <c r="P2919" s="28"/>
    </row>
    <row r="2920" customFormat="1" spans="1:16">
      <c r="A2920" s="39"/>
      <c r="B2920" s="40"/>
      <c r="C2920" s="41"/>
      <c r="D2920" s="41"/>
      <c r="E2920" s="41"/>
      <c r="F2920" s="41"/>
      <c r="G2920" s="41"/>
      <c r="H2920" s="41"/>
      <c r="I2920" s="41"/>
      <c r="J2920" s="41"/>
      <c r="K2920" s="41"/>
      <c r="L2920" s="41"/>
      <c r="M2920" s="41"/>
      <c r="N2920" s="41"/>
      <c r="O2920" s="41"/>
      <c r="P2920" s="28"/>
    </row>
    <row r="2921" customFormat="1" spans="1:16">
      <c r="A2921" s="39"/>
      <c r="B2921" s="40"/>
      <c r="C2921" s="41"/>
      <c r="D2921" s="41"/>
      <c r="E2921" s="41"/>
      <c r="F2921" s="41"/>
      <c r="G2921" s="41"/>
      <c r="H2921" s="41"/>
      <c r="I2921" s="41"/>
      <c r="J2921" s="41"/>
      <c r="K2921" s="41"/>
      <c r="L2921" s="41"/>
      <c r="M2921" s="41"/>
      <c r="N2921" s="41"/>
      <c r="O2921" s="41"/>
      <c r="P2921" s="28"/>
    </row>
    <row r="2922" customFormat="1" spans="1:16">
      <c r="A2922" s="39"/>
      <c r="B2922" s="40"/>
      <c r="C2922" s="41"/>
      <c r="D2922" s="41"/>
      <c r="E2922" s="41"/>
      <c r="F2922" s="41"/>
      <c r="G2922" s="41"/>
      <c r="H2922" s="41"/>
      <c r="I2922" s="41"/>
      <c r="J2922" s="41"/>
      <c r="K2922" s="41"/>
      <c r="L2922" s="41"/>
      <c r="M2922" s="41"/>
      <c r="N2922" s="41"/>
      <c r="O2922" s="41"/>
      <c r="P2922" s="28"/>
    </row>
    <row r="2923" customFormat="1" spans="1:16">
      <c r="A2923" s="39"/>
      <c r="B2923" s="40"/>
      <c r="C2923" s="41"/>
      <c r="D2923" s="41"/>
      <c r="E2923" s="41"/>
      <c r="F2923" s="41"/>
      <c r="G2923" s="41"/>
      <c r="H2923" s="41"/>
      <c r="I2923" s="41"/>
      <c r="J2923" s="41"/>
      <c r="K2923" s="41"/>
      <c r="L2923" s="41"/>
      <c r="M2923" s="41"/>
      <c r="N2923" s="41"/>
      <c r="O2923" s="41"/>
      <c r="P2923" s="28"/>
    </row>
    <row r="2924" customFormat="1" spans="1:16">
      <c r="A2924" s="39"/>
      <c r="B2924" s="40"/>
      <c r="C2924" s="41"/>
      <c r="D2924" s="41"/>
      <c r="E2924" s="41"/>
      <c r="F2924" s="41"/>
      <c r="G2924" s="41"/>
      <c r="H2924" s="41"/>
      <c r="I2924" s="41"/>
      <c r="J2924" s="41"/>
      <c r="K2924" s="41"/>
      <c r="L2924" s="41"/>
      <c r="M2924" s="41"/>
      <c r="N2924" s="41"/>
      <c r="O2924" s="41"/>
      <c r="P2924" s="28"/>
    </row>
    <row r="2925" customFormat="1" spans="1:16">
      <c r="A2925" s="39"/>
      <c r="B2925" s="40"/>
      <c r="C2925" s="41"/>
      <c r="D2925" s="41"/>
      <c r="E2925" s="41"/>
      <c r="F2925" s="41"/>
      <c r="G2925" s="41"/>
      <c r="H2925" s="41"/>
      <c r="I2925" s="41"/>
      <c r="J2925" s="41"/>
      <c r="K2925" s="41"/>
      <c r="L2925" s="41"/>
      <c r="M2925" s="41"/>
      <c r="N2925" s="41"/>
      <c r="O2925" s="41"/>
      <c r="P2925" s="28"/>
    </row>
    <row r="2926" customFormat="1" spans="1:16">
      <c r="A2926" s="39"/>
      <c r="B2926" s="40"/>
      <c r="C2926" s="41"/>
      <c r="D2926" s="41"/>
      <c r="E2926" s="41"/>
      <c r="F2926" s="41"/>
      <c r="G2926" s="41"/>
      <c r="H2926" s="41"/>
      <c r="I2926" s="41"/>
      <c r="J2926" s="41"/>
      <c r="K2926" s="41"/>
      <c r="L2926" s="41"/>
      <c r="M2926" s="41"/>
      <c r="N2926" s="41"/>
      <c r="O2926" s="41"/>
      <c r="P2926" s="28"/>
    </row>
    <row r="2927" customFormat="1" spans="1:16">
      <c r="A2927" s="39"/>
      <c r="B2927" s="40"/>
      <c r="C2927" s="41"/>
      <c r="D2927" s="41"/>
      <c r="E2927" s="41"/>
      <c r="F2927" s="41"/>
      <c r="G2927" s="41"/>
      <c r="H2927" s="41"/>
      <c r="I2927" s="41"/>
      <c r="J2927" s="41"/>
      <c r="K2927" s="41"/>
      <c r="L2927" s="41"/>
      <c r="M2927" s="41"/>
      <c r="N2927" s="41"/>
      <c r="O2927" s="41"/>
      <c r="P2927" s="28"/>
    </row>
    <row r="2928" customFormat="1" spans="1:16">
      <c r="A2928" s="39"/>
      <c r="B2928" s="40"/>
      <c r="C2928" s="41"/>
      <c r="D2928" s="41"/>
      <c r="E2928" s="41"/>
      <c r="F2928" s="41"/>
      <c r="G2928" s="41"/>
      <c r="H2928" s="41"/>
      <c r="I2928" s="41"/>
      <c r="J2928" s="41"/>
      <c r="K2928" s="41"/>
      <c r="L2928" s="41"/>
      <c r="M2928" s="41"/>
      <c r="N2928" s="41"/>
      <c r="O2928" s="41"/>
      <c r="P2928" s="28"/>
    </row>
    <row r="2929" customFormat="1" spans="1:16">
      <c r="A2929" s="39"/>
      <c r="B2929" s="40"/>
      <c r="C2929" s="41"/>
      <c r="D2929" s="41"/>
      <c r="E2929" s="41"/>
      <c r="F2929" s="41"/>
      <c r="G2929" s="41"/>
      <c r="H2929" s="41"/>
      <c r="I2929" s="41"/>
      <c r="J2929" s="41"/>
      <c r="K2929" s="41"/>
      <c r="L2929" s="41"/>
      <c r="M2929" s="41"/>
      <c r="N2929" s="41"/>
      <c r="O2929" s="41"/>
      <c r="P2929" s="28"/>
    </row>
    <row r="2930" customFormat="1" spans="1:16">
      <c r="A2930" s="39"/>
      <c r="B2930" s="40"/>
      <c r="C2930" s="41"/>
      <c r="D2930" s="41"/>
      <c r="E2930" s="41"/>
      <c r="F2930" s="41"/>
      <c r="G2930" s="41"/>
      <c r="H2930" s="41"/>
      <c r="I2930" s="41"/>
      <c r="J2930" s="41"/>
      <c r="K2930" s="41"/>
      <c r="L2930" s="41"/>
      <c r="M2930" s="41"/>
      <c r="N2930" s="41"/>
      <c r="O2930" s="41"/>
      <c r="P2930" s="28"/>
    </row>
    <row r="2931" customFormat="1" spans="1:16">
      <c r="A2931" s="39"/>
      <c r="B2931" s="40"/>
      <c r="C2931" s="41"/>
      <c r="D2931" s="41"/>
      <c r="E2931" s="41"/>
      <c r="F2931" s="41"/>
      <c r="G2931" s="41"/>
      <c r="H2931" s="41"/>
      <c r="I2931" s="41"/>
      <c r="J2931" s="41"/>
      <c r="K2931" s="41"/>
      <c r="L2931" s="41"/>
      <c r="M2931" s="41"/>
      <c r="N2931" s="41"/>
      <c r="O2931" s="41"/>
      <c r="P2931" s="28"/>
    </row>
    <row r="2932" customFormat="1" spans="1:16">
      <c r="A2932" s="39"/>
      <c r="B2932" s="40"/>
      <c r="C2932" s="41"/>
      <c r="D2932" s="41"/>
      <c r="E2932" s="41"/>
      <c r="F2932" s="41"/>
      <c r="G2932" s="41"/>
      <c r="H2932" s="41"/>
      <c r="I2932" s="41"/>
      <c r="J2932" s="41"/>
      <c r="K2932" s="41"/>
      <c r="L2932" s="41"/>
      <c r="M2932" s="41"/>
      <c r="N2932" s="41"/>
      <c r="O2932" s="41"/>
      <c r="P2932" s="28"/>
    </row>
    <row r="2933" customFormat="1" spans="1:16">
      <c r="A2933" s="39"/>
      <c r="B2933" s="40"/>
      <c r="C2933" s="41"/>
      <c r="D2933" s="41"/>
      <c r="E2933" s="41"/>
      <c r="F2933" s="41"/>
      <c r="G2933" s="41"/>
      <c r="H2933" s="41"/>
      <c r="I2933" s="41"/>
      <c r="J2933" s="41"/>
      <c r="K2933" s="41"/>
      <c r="L2933" s="41"/>
      <c r="M2933" s="41"/>
      <c r="N2933" s="41"/>
      <c r="O2933" s="41"/>
      <c r="P2933" s="28"/>
    </row>
    <row r="2934" customFormat="1" spans="1:16">
      <c r="A2934" s="39"/>
      <c r="B2934" s="40"/>
      <c r="C2934" s="41"/>
      <c r="D2934" s="41"/>
      <c r="E2934" s="41"/>
      <c r="F2934" s="41"/>
      <c r="G2934" s="41"/>
      <c r="H2934" s="41"/>
      <c r="I2934" s="41"/>
      <c r="J2934" s="41"/>
      <c r="K2934" s="41"/>
      <c r="L2934" s="41"/>
      <c r="M2934" s="41"/>
      <c r="N2934" s="41"/>
      <c r="O2934" s="41"/>
      <c r="P2934" s="28"/>
    </row>
    <row r="2935" customFormat="1" spans="1:16">
      <c r="A2935" s="39"/>
      <c r="B2935" s="40"/>
      <c r="C2935" s="41"/>
      <c r="D2935" s="41"/>
      <c r="E2935" s="41"/>
      <c r="F2935" s="41"/>
      <c r="G2935" s="41"/>
      <c r="H2935" s="41"/>
      <c r="I2935" s="41"/>
      <c r="J2935" s="41"/>
      <c r="K2935" s="41"/>
      <c r="L2935" s="41"/>
      <c r="M2935" s="41"/>
      <c r="N2935" s="41"/>
      <c r="O2935" s="41"/>
      <c r="P2935" s="28"/>
    </row>
    <row r="2936" customFormat="1" spans="1:16">
      <c r="A2936" s="39"/>
      <c r="B2936" s="40"/>
      <c r="C2936" s="41"/>
      <c r="D2936" s="41"/>
      <c r="E2936" s="41"/>
      <c r="F2936" s="41"/>
      <c r="G2936" s="41"/>
      <c r="H2936" s="41"/>
      <c r="I2936" s="41"/>
      <c r="J2936" s="41"/>
      <c r="K2936" s="41"/>
      <c r="L2936" s="41"/>
      <c r="M2936" s="41"/>
      <c r="N2936" s="41"/>
      <c r="O2936" s="41"/>
      <c r="P2936" s="28"/>
    </row>
    <row r="2937" customFormat="1" spans="1:16">
      <c r="A2937" s="39"/>
      <c r="B2937" s="40"/>
      <c r="C2937" s="41"/>
      <c r="D2937" s="41"/>
      <c r="E2937" s="41"/>
      <c r="F2937" s="41"/>
      <c r="G2937" s="41"/>
      <c r="H2937" s="41"/>
      <c r="I2937" s="41"/>
      <c r="J2937" s="41"/>
      <c r="K2937" s="41"/>
      <c r="L2937" s="41"/>
      <c r="M2937" s="41"/>
      <c r="N2937" s="41"/>
      <c r="O2937" s="41"/>
      <c r="P2937" s="28"/>
    </row>
    <row r="2938" customFormat="1" spans="1:16">
      <c r="A2938" s="39"/>
      <c r="B2938" s="40"/>
      <c r="C2938" s="41"/>
      <c r="D2938" s="41"/>
      <c r="E2938" s="41"/>
      <c r="F2938" s="41"/>
      <c r="G2938" s="41"/>
      <c r="H2938" s="41"/>
      <c r="I2938" s="41"/>
      <c r="J2938" s="41"/>
      <c r="K2938" s="41"/>
      <c r="L2938" s="41"/>
      <c r="M2938" s="41"/>
      <c r="N2938" s="41"/>
      <c r="O2938" s="41"/>
      <c r="P2938" s="28"/>
    </row>
    <row r="2939" customFormat="1" spans="1:16">
      <c r="A2939" s="39"/>
      <c r="B2939" s="40"/>
      <c r="C2939" s="41"/>
      <c r="D2939" s="41"/>
      <c r="E2939" s="41"/>
      <c r="F2939" s="41"/>
      <c r="G2939" s="41"/>
      <c r="H2939" s="41"/>
      <c r="I2939" s="41"/>
      <c r="J2939" s="41"/>
      <c r="K2939" s="41"/>
      <c r="L2939" s="41"/>
      <c r="M2939" s="41"/>
      <c r="N2939" s="41"/>
      <c r="O2939" s="41"/>
      <c r="P2939" s="28"/>
    </row>
    <row r="2940" customFormat="1" spans="1:16">
      <c r="A2940" s="39"/>
      <c r="B2940" s="40"/>
      <c r="C2940" s="41"/>
      <c r="D2940" s="41"/>
      <c r="E2940" s="41"/>
      <c r="F2940" s="41"/>
      <c r="G2940" s="41"/>
      <c r="H2940" s="41"/>
      <c r="I2940" s="41"/>
      <c r="J2940" s="41"/>
      <c r="K2940" s="41"/>
      <c r="L2940" s="41"/>
      <c r="M2940" s="41"/>
      <c r="N2940" s="41"/>
      <c r="O2940" s="41"/>
      <c r="P2940" s="28"/>
    </row>
    <row r="2941" customFormat="1" spans="1:16">
      <c r="A2941" s="39"/>
      <c r="B2941" s="40"/>
      <c r="C2941" s="41"/>
      <c r="D2941" s="41"/>
      <c r="E2941" s="41"/>
      <c r="F2941" s="41"/>
      <c r="G2941" s="41"/>
      <c r="H2941" s="41"/>
      <c r="I2941" s="41"/>
      <c r="J2941" s="41"/>
      <c r="K2941" s="41"/>
      <c r="L2941" s="41"/>
      <c r="M2941" s="41"/>
      <c r="N2941" s="41"/>
      <c r="O2941" s="41"/>
      <c r="P2941" s="28"/>
    </row>
    <row r="2942" customFormat="1" spans="1:16">
      <c r="A2942" s="39"/>
      <c r="B2942" s="40"/>
      <c r="C2942" s="41"/>
      <c r="D2942" s="41"/>
      <c r="E2942" s="41"/>
      <c r="F2942" s="41"/>
      <c r="G2942" s="41"/>
      <c r="H2942" s="41"/>
      <c r="I2942" s="41"/>
      <c r="J2942" s="41"/>
      <c r="K2942" s="41"/>
      <c r="L2942" s="41"/>
      <c r="M2942" s="41"/>
      <c r="N2942" s="41"/>
      <c r="O2942" s="41"/>
      <c r="P2942" s="28"/>
    </row>
    <row r="2943" customFormat="1" spans="1:16">
      <c r="A2943" s="39"/>
      <c r="B2943" s="40"/>
      <c r="C2943" s="41"/>
      <c r="D2943" s="41"/>
      <c r="E2943" s="41"/>
      <c r="F2943" s="41"/>
      <c r="G2943" s="41"/>
      <c r="H2943" s="41"/>
      <c r="I2943" s="41"/>
      <c r="J2943" s="41"/>
      <c r="K2943" s="41"/>
      <c r="L2943" s="41"/>
      <c r="M2943" s="41"/>
      <c r="N2943" s="41"/>
      <c r="O2943" s="41"/>
      <c r="P2943" s="28"/>
    </row>
    <row r="2944" customFormat="1" spans="1:16">
      <c r="A2944" s="39"/>
      <c r="B2944" s="40"/>
      <c r="C2944" s="41"/>
      <c r="D2944" s="41"/>
      <c r="E2944" s="41"/>
      <c r="F2944" s="41"/>
      <c r="G2944" s="41"/>
      <c r="H2944" s="41"/>
      <c r="I2944" s="41"/>
      <c r="J2944" s="41"/>
      <c r="K2944" s="41"/>
      <c r="L2944" s="41"/>
      <c r="M2944" s="41"/>
      <c r="N2944" s="41"/>
      <c r="O2944" s="41"/>
      <c r="P2944" s="28"/>
    </row>
    <row r="2945" customFormat="1" spans="1:16">
      <c r="A2945" s="39"/>
      <c r="B2945" s="40"/>
      <c r="C2945" s="41"/>
      <c r="D2945" s="41"/>
      <c r="E2945" s="41"/>
      <c r="F2945" s="41"/>
      <c r="G2945" s="41"/>
      <c r="H2945" s="41"/>
      <c r="I2945" s="41"/>
      <c r="J2945" s="41"/>
      <c r="K2945" s="41"/>
      <c r="L2945" s="41"/>
      <c r="M2945" s="41"/>
      <c r="N2945" s="41"/>
      <c r="O2945" s="41"/>
      <c r="P2945" s="28"/>
    </row>
    <row r="2946" customFormat="1" spans="1:16">
      <c r="A2946" s="39"/>
      <c r="B2946" s="40"/>
      <c r="C2946" s="41"/>
      <c r="D2946" s="41"/>
      <c r="E2946" s="41"/>
      <c r="F2946" s="41"/>
      <c r="G2946" s="41"/>
      <c r="H2946" s="41"/>
      <c r="I2946" s="41"/>
      <c r="J2946" s="41"/>
      <c r="K2946" s="41"/>
      <c r="L2946" s="41"/>
      <c r="M2946" s="41"/>
      <c r="N2946" s="41"/>
      <c r="O2946" s="41"/>
      <c r="P2946" s="28"/>
    </row>
    <row r="2947" customFormat="1" spans="1:16">
      <c r="A2947" s="39"/>
      <c r="B2947" s="40"/>
      <c r="C2947" s="41"/>
      <c r="D2947" s="41"/>
      <c r="E2947" s="41"/>
      <c r="F2947" s="41"/>
      <c r="G2947" s="41"/>
      <c r="H2947" s="41"/>
      <c r="I2947" s="41"/>
      <c r="J2947" s="41"/>
      <c r="K2947" s="41"/>
      <c r="L2947" s="41"/>
      <c r="M2947" s="41"/>
      <c r="N2947" s="41"/>
      <c r="O2947" s="41"/>
      <c r="P2947" s="28"/>
    </row>
    <row r="2948" customFormat="1" spans="1:16">
      <c r="A2948" s="39"/>
      <c r="B2948" s="40"/>
      <c r="C2948" s="41"/>
      <c r="D2948" s="41"/>
      <c r="E2948" s="41"/>
      <c r="F2948" s="41"/>
      <c r="G2948" s="41"/>
      <c r="H2948" s="41"/>
      <c r="I2948" s="41"/>
      <c r="J2948" s="41"/>
      <c r="K2948" s="41"/>
      <c r="L2948" s="41"/>
      <c r="M2948" s="41"/>
      <c r="N2948" s="41"/>
      <c r="O2948" s="41"/>
      <c r="P2948" s="28"/>
    </row>
    <row r="2949" customFormat="1" spans="1:16">
      <c r="A2949" s="39"/>
      <c r="B2949" s="40"/>
      <c r="C2949" s="41"/>
      <c r="D2949" s="41"/>
      <c r="E2949" s="41"/>
      <c r="F2949" s="41"/>
      <c r="G2949" s="41"/>
      <c r="H2949" s="41"/>
      <c r="I2949" s="41"/>
      <c r="J2949" s="41"/>
      <c r="K2949" s="41"/>
      <c r="L2949" s="41"/>
      <c r="M2949" s="41"/>
      <c r="N2949" s="41"/>
      <c r="O2949" s="41"/>
      <c r="P2949" s="28"/>
    </row>
    <row r="2950" customFormat="1" spans="1:16">
      <c r="A2950" s="39"/>
      <c r="B2950" s="40"/>
      <c r="C2950" s="41"/>
      <c r="D2950" s="41"/>
      <c r="E2950" s="41"/>
      <c r="F2950" s="41"/>
      <c r="G2950" s="41"/>
      <c r="H2950" s="41"/>
      <c r="I2950" s="41"/>
      <c r="J2950" s="41"/>
      <c r="K2950" s="41"/>
      <c r="L2950" s="41"/>
      <c r="M2950" s="41"/>
      <c r="N2950" s="41"/>
      <c r="O2950" s="41"/>
      <c r="P2950" s="28"/>
    </row>
    <row r="2951" customFormat="1" spans="1:16">
      <c r="A2951" s="39"/>
      <c r="B2951" s="40"/>
      <c r="C2951" s="41"/>
      <c r="D2951" s="41"/>
      <c r="E2951" s="41"/>
      <c r="F2951" s="41"/>
      <c r="G2951" s="41"/>
      <c r="H2951" s="41"/>
      <c r="I2951" s="41"/>
      <c r="J2951" s="41"/>
      <c r="K2951" s="41"/>
      <c r="L2951" s="41"/>
      <c r="M2951" s="41"/>
      <c r="N2951" s="41"/>
      <c r="O2951" s="41"/>
      <c r="P2951" s="28"/>
    </row>
    <row r="2952" customFormat="1" spans="1:16">
      <c r="A2952" s="39"/>
      <c r="B2952" s="40"/>
      <c r="C2952" s="41"/>
      <c r="D2952" s="41"/>
      <c r="E2952" s="41"/>
      <c r="F2952" s="41"/>
      <c r="G2952" s="41"/>
      <c r="H2952" s="41"/>
      <c r="I2952" s="41"/>
      <c r="J2952" s="41"/>
      <c r="K2952" s="41"/>
      <c r="L2952" s="41"/>
      <c r="M2952" s="41"/>
      <c r="N2952" s="41"/>
      <c r="O2952" s="41"/>
      <c r="P2952" s="28"/>
    </row>
    <row r="2953" customFormat="1" spans="1:16">
      <c r="A2953" s="39"/>
      <c r="B2953" s="40"/>
      <c r="C2953" s="41"/>
      <c r="D2953" s="41"/>
      <c r="E2953" s="41"/>
      <c r="F2953" s="41"/>
      <c r="G2953" s="41"/>
      <c r="H2953" s="41"/>
      <c r="I2953" s="41"/>
      <c r="J2953" s="41"/>
      <c r="K2953" s="41"/>
      <c r="L2953" s="41"/>
      <c r="M2953" s="41"/>
      <c r="N2953" s="41"/>
      <c r="O2953" s="41"/>
      <c r="P2953" s="28"/>
    </row>
    <row r="2954" customFormat="1" spans="1:16">
      <c r="A2954" s="39"/>
      <c r="B2954" s="40"/>
      <c r="C2954" s="41"/>
      <c r="D2954" s="41"/>
      <c r="E2954" s="41"/>
      <c r="F2954" s="41"/>
      <c r="G2954" s="41"/>
      <c r="H2954" s="41"/>
      <c r="I2954" s="41"/>
      <c r="J2954" s="41"/>
      <c r="K2954" s="41"/>
      <c r="L2954" s="41"/>
      <c r="M2954" s="41"/>
      <c r="N2954" s="41"/>
      <c r="O2954" s="41"/>
      <c r="P2954" s="28"/>
    </row>
    <row r="2955" customFormat="1" spans="1:16">
      <c r="A2955" s="39"/>
      <c r="B2955" s="40"/>
      <c r="C2955" s="41"/>
      <c r="D2955" s="41"/>
      <c r="E2955" s="41"/>
      <c r="F2955" s="41"/>
      <c r="G2955" s="41"/>
      <c r="H2955" s="41"/>
      <c r="I2955" s="41"/>
      <c r="J2955" s="41"/>
      <c r="K2955" s="41"/>
      <c r="L2955" s="41"/>
      <c r="M2955" s="41"/>
      <c r="N2955" s="41"/>
      <c r="O2955" s="41"/>
      <c r="P2955" s="28"/>
    </row>
    <row r="2956" customFormat="1" spans="1:16">
      <c r="A2956" s="39"/>
      <c r="B2956" s="40"/>
      <c r="C2956" s="41"/>
      <c r="D2956" s="41"/>
      <c r="E2956" s="41"/>
      <c r="F2956" s="41"/>
      <c r="G2956" s="41"/>
      <c r="H2956" s="41"/>
      <c r="I2956" s="41"/>
      <c r="J2956" s="41"/>
      <c r="K2956" s="41"/>
      <c r="L2956" s="41"/>
      <c r="M2956" s="41"/>
      <c r="N2956" s="41"/>
      <c r="O2956" s="41"/>
      <c r="P2956" s="28"/>
    </row>
    <row r="2957" customFormat="1" spans="1:16">
      <c r="A2957" s="39"/>
      <c r="B2957" s="40"/>
      <c r="C2957" s="41"/>
      <c r="D2957" s="41"/>
      <c r="E2957" s="41"/>
      <c r="F2957" s="41"/>
      <c r="G2957" s="41"/>
      <c r="H2957" s="41"/>
      <c r="I2957" s="41"/>
      <c r="J2957" s="41"/>
      <c r="K2957" s="41"/>
      <c r="L2957" s="41"/>
      <c r="M2957" s="41"/>
      <c r="N2957" s="41"/>
      <c r="O2957" s="41"/>
      <c r="P2957" s="28"/>
    </row>
    <row r="2958" customFormat="1" spans="1:16">
      <c r="A2958" s="39"/>
      <c r="B2958" s="40"/>
      <c r="C2958" s="41"/>
      <c r="D2958" s="41"/>
      <c r="E2958" s="41"/>
      <c r="F2958" s="41"/>
      <c r="G2958" s="41"/>
      <c r="H2958" s="41"/>
      <c r="I2958" s="41"/>
      <c r="J2958" s="41"/>
      <c r="K2958" s="41"/>
      <c r="L2958" s="41"/>
      <c r="M2958" s="41"/>
      <c r="N2958" s="41"/>
      <c r="O2958" s="41"/>
      <c r="P2958" s="28"/>
    </row>
    <row r="2959" customFormat="1" spans="1:16">
      <c r="A2959" s="39"/>
      <c r="B2959" s="40"/>
      <c r="C2959" s="41"/>
      <c r="D2959" s="41"/>
      <c r="E2959" s="41"/>
      <c r="F2959" s="41"/>
      <c r="G2959" s="41"/>
      <c r="H2959" s="41"/>
      <c r="I2959" s="41"/>
      <c r="J2959" s="41"/>
      <c r="K2959" s="41"/>
      <c r="L2959" s="41"/>
      <c r="M2959" s="41"/>
      <c r="N2959" s="41"/>
      <c r="O2959" s="41"/>
      <c r="P2959" s="28"/>
    </row>
    <row r="2960" customFormat="1" spans="1:16">
      <c r="A2960" s="39"/>
      <c r="B2960" s="40"/>
      <c r="C2960" s="41"/>
      <c r="D2960" s="41"/>
      <c r="E2960" s="41"/>
      <c r="F2960" s="41"/>
      <c r="G2960" s="41"/>
      <c r="H2960" s="41"/>
      <c r="I2960" s="41"/>
      <c r="J2960" s="41"/>
      <c r="K2960" s="41"/>
      <c r="L2960" s="41"/>
      <c r="M2960" s="41"/>
      <c r="N2960" s="41"/>
      <c r="O2960" s="41"/>
      <c r="P2960" s="28"/>
    </row>
    <row r="2961" customFormat="1" spans="1:16">
      <c r="A2961" s="39"/>
      <c r="B2961" s="40"/>
      <c r="C2961" s="41"/>
      <c r="D2961" s="41"/>
      <c r="E2961" s="41"/>
      <c r="F2961" s="41"/>
      <c r="G2961" s="41"/>
      <c r="H2961" s="41"/>
      <c r="I2961" s="41"/>
      <c r="J2961" s="41"/>
      <c r="K2961" s="41"/>
      <c r="L2961" s="41"/>
      <c r="M2961" s="41"/>
      <c r="N2961" s="41"/>
      <c r="O2961" s="41"/>
      <c r="P2961" s="28"/>
    </row>
    <row r="2962" customFormat="1" spans="1:16">
      <c r="A2962" s="39"/>
      <c r="B2962" s="40"/>
      <c r="C2962" s="41"/>
      <c r="D2962" s="41"/>
      <c r="E2962" s="41"/>
      <c r="F2962" s="41"/>
      <c r="G2962" s="41"/>
      <c r="H2962" s="41"/>
      <c r="I2962" s="41"/>
      <c r="J2962" s="41"/>
      <c r="K2962" s="41"/>
      <c r="L2962" s="41"/>
      <c r="M2962" s="41"/>
      <c r="N2962" s="41"/>
      <c r="O2962" s="41"/>
      <c r="P2962" s="28"/>
    </row>
    <row r="2963" customFormat="1" spans="1:16">
      <c r="A2963" s="39"/>
      <c r="B2963" s="40"/>
      <c r="C2963" s="41"/>
      <c r="D2963" s="41"/>
      <c r="E2963" s="41"/>
      <c r="F2963" s="41"/>
      <c r="G2963" s="41"/>
      <c r="H2963" s="41"/>
      <c r="I2963" s="41"/>
      <c r="J2963" s="41"/>
      <c r="K2963" s="41"/>
      <c r="L2963" s="41"/>
      <c r="M2963" s="41"/>
      <c r="N2963" s="41"/>
      <c r="O2963" s="41"/>
      <c r="P2963" s="28"/>
    </row>
    <row r="2964" customFormat="1" spans="1:16">
      <c r="A2964" s="39"/>
      <c r="B2964" s="40"/>
      <c r="C2964" s="41"/>
      <c r="D2964" s="41"/>
      <c r="E2964" s="41"/>
      <c r="F2964" s="41"/>
      <c r="G2964" s="41"/>
      <c r="H2964" s="41"/>
      <c r="I2964" s="41"/>
      <c r="J2964" s="41"/>
      <c r="K2964" s="41"/>
      <c r="L2964" s="41"/>
      <c r="M2964" s="41"/>
      <c r="N2964" s="41"/>
      <c r="O2964" s="41"/>
      <c r="P2964" s="28"/>
    </row>
    <row r="2965" customFormat="1" spans="1:16">
      <c r="A2965" s="39"/>
      <c r="B2965" s="40"/>
      <c r="C2965" s="41"/>
      <c r="D2965" s="41"/>
      <c r="E2965" s="41"/>
      <c r="F2965" s="41"/>
      <c r="G2965" s="41"/>
      <c r="H2965" s="41"/>
      <c r="I2965" s="41"/>
      <c r="J2965" s="41"/>
      <c r="K2965" s="41"/>
      <c r="L2965" s="41"/>
      <c r="M2965" s="41"/>
      <c r="N2965" s="41"/>
      <c r="O2965" s="41"/>
      <c r="P2965" s="28"/>
    </row>
    <row r="2966" customFormat="1" spans="1:16">
      <c r="A2966" s="39"/>
      <c r="B2966" s="40"/>
      <c r="C2966" s="41"/>
      <c r="D2966" s="41"/>
      <c r="E2966" s="41"/>
      <c r="F2966" s="41"/>
      <c r="G2966" s="41"/>
      <c r="H2966" s="41"/>
      <c r="I2966" s="41"/>
      <c r="J2966" s="41"/>
      <c r="K2966" s="41"/>
      <c r="L2966" s="41"/>
      <c r="M2966" s="41"/>
      <c r="N2966" s="41"/>
      <c r="O2966" s="41"/>
      <c r="P2966" s="28"/>
    </row>
    <row r="2967" customFormat="1" spans="1:16">
      <c r="A2967" s="39"/>
      <c r="B2967" s="40"/>
      <c r="C2967" s="41"/>
      <c r="D2967" s="41"/>
      <c r="E2967" s="41"/>
      <c r="F2967" s="41"/>
      <c r="G2967" s="41"/>
      <c r="H2967" s="41"/>
      <c r="I2967" s="41"/>
      <c r="J2967" s="41"/>
      <c r="K2967" s="41"/>
      <c r="L2967" s="41"/>
      <c r="M2967" s="41"/>
      <c r="N2967" s="41"/>
      <c r="O2967" s="41"/>
      <c r="P2967" s="28"/>
    </row>
    <row r="2968" customFormat="1" spans="1:16">
      <c r="A2968" s="39"/>
      <c r="B2968" s="40"/>
      <c r="C2968" s="41"/>
      <c r="D2968" s="41"/>
      <c r="E2968" s="41"/>
      <c r="F2968" s="41"/>
      <c r="G2968" s="41"/>
      <c r="H2968" s="41"/>
      <c r="I2968" s="41"/>
      <c r="J2968" s="41"/>
      <c r="K2968" s="41"/>
      <c r="L2968" s="41"/>
      <c r="M2968" s="41"/>
      <c r="N2968" s="41"/>
      <c r="O2968" s="41"/>
      <c r="P2968" s="28"/>
    </row>
    <row r="2969" customFormat="1" spans="1:16">
      <c r="A2969" s="39"/>
      <c r="B2969" s="40"/>
      <c r="C2969" s="41"/>
      <c r="D2969" s="41"/>
      <c r="E2969" s="41"/>
      <c r="F2969" s="41"/>
      <c r="G2969" s="41"/>
      <c r="H2969" s="41"/>
      <c r="I2969" s="41"/>
      <c r="J2969" s="41"/>
      <c r="K2969" s="41"/>
      <c r="L2969" s="41"/>
      <c r="M2969" s="41"/>
      <c r="N2969" s="41"/>
      <c r="O2969" s="41"/>
      <c r="P2969" s="28"/>
    </row>
    <row r="2970" customFormat="1" spans="1:16">
      <c r="A2970" s="39"/>
      <c r="B2970" s="40"/>
      <c r="C2970" s="41"/>
      <c r="D2970" s="41"/>
      <c r="E2970" s="41"/>
      <c r="F2970" s="41"/>
      <c r="G2970" s="41"/>
      <c r="H2970" s="41"/>
      <c r="I2970" s="41"/>
      <c r="J2970" s="41"/>
      <c r="K2970" s="41"/>
      <c r="L2970" s="41"/>
      <c r="M2970" s="41"/>
      <c r="N2970" s="41"/>
      <c r="O2970" s="41"/>
      <c r="P2970" s="28"/>
    </row>
    <row r="2971" customFormat="1" spans="1:16">
      <c r="A2971" s="39"/>
      <c r="B2971" s="40"/>
      <c r="C2971" s="41"/>
      <c r="D2971" s="41"/>
      <c r="E2971" s="41"/>
      <c r="F2971" s="41"/>
      <c r="G2971" s="41"/>
      <c r="H2971" s="41"/>
      <c r="I2971" s="41"/>
      <c r="J2971" s="41"/>
      <c r="K2971" s="41"/>
      <c r="L2971" s="41"/>
      <c r="M2971" s="41"/>
      <c r="N2971" s="41"/>
      <c r="O2971" s="41"/>
      <c r="P2971" s="28"/>
    </row>
    <row r="2972" customFormat="1" spans="1:16">
      <c r="A2972" s="39"/>
      <c r="B2972" s="40"/>
      <c r="C2972" s="41"/>
      <c r="D2972" s="41"/>
      <c r="E2972" s="41"/>
      <c r="F2972" s="41"/>
      <c r="G2972" s="41"/>
      <c r="H2972" s="41"/>
      <c r="I2972" s="41"/>
      <c r="J2972" s="41"/>
      <c r="K2972" s="41"/>
      <c r="L2972" s="41"/>
      <c r="M2972" s="41"/>
      <c r="N2972" s="41"/>
      <c r="O2972" s="41"/>
      <c r="P2972" s="28"/>
    </row>
    <row r="2973" customFormat="1" spans="1:16">
      <c r="A2973" s="39"/>
      <c r="B2973" s="40"/>
      <c r="C2973" s="41"/>
      <c r="D2973" s="41"/>
      <c r="E2973" s="41"/>
      <c r="F2973" s="41"/>
      <c r="G2973" s="41"/>
      <c r="H2973" s="41"/>
      <c r="I2973" s="41"/>
      <c r="J2973" s="41"/>
      <c r="K2973" s="41"/>
      <c r="L2973" s="41"/>
      <c r="M2973" s="41"/>
      <c r="N2973" s="41"/>
      <c r="O2973" s="41"/>
      <c r="P2973" s="28"/>
    </row>
    <row r="2974" customFormat="1" spans="1:16">
      <c r="A2974" s="39"/>
      <c r="B2974" s="40"/>
      <c r="C2974" s="41"/>
      <c r="D2974" s="41"/>
      <c r="E2974" s="41"/>
      <c r="F2974" s="41"/>
      <c r="G2974" s="41"/>
      <c r="H2974" s="41"/>
      <c r="I2974" s="41"/>
      <c r="J2974" s="41"/>
      <c r="K2974" s="41"/>
      <c r="L2974" s="41"/>
      <c r="M2974" s="41"/>
      <c r="N2974" s="41"/>
      <c r="O2974" s="41"/>
      <c r="P2974" s="28"/>
    </row>
    <row r="2975" customFormat="1" spans="1:16">
      <c r="A2975" s="39"/>
      <c r="B2975" s="40"/>
      <c r="C2975" s="41"/>
      <c r="D2975" s="41"/>
      <c r="E2975" s="41"/>
      <c r="F2975" s="41"/>
      <c r="G2975" s="41"/>
      <c r="H2975" s="41"/>
      <c r="I2975" s="41"/>
      <c r="J2975" s="41"/>
      <c r="K2975" s="41"/>
      <c r="L2975" s="41"/>
      <c r="M2975" s="41"/>
      <c r="N2975" s="41"/>
      <c r="O2975" s="41"/>
      <c r="P2975" s="28"/>
    </row>
    <row r="2976" customFormat="1" spans="1:16">
      <c r="A2976" s="39"/>
      <c r="B2976" s="40"/>
      <c r="C2976" s="41"/>
      <c r="D2976" s="41"/>
      <c r="E2976" s="41"/>
      <c r="F2976" s="41"/>
      <c r="G2976" s="41"/>
      <c r="H2976" s="41"/>
      <c r="I2976" s="41"/>
      <c r="J2976" s="41"/>
      <c r="K2976" s="41"/>
      <c r="L2976" s="41"/>
      <c r="M2976" s="41"/>
      <c r="N2976" s="41"/>
      <c r="O2976" s="41"/>
      <c r="P2976" s="28"/>
    </row>
    <row r="2977" customFormat="1" spans="1:16">
      <c r="A2977" s="39"/>
      <c r="B2977" s="40"/>
      <c r="C2977" s="41"/>
      <c r="D2977" s="41"/>
      <c r="E2977" s="41"/>
      <c r="F2977" s="41"/>
      <c r="G2977" s="41"/>
      <c r="H2977" s="41"/>
      <c r="I2977" s="41"/>
      <c r="J2977" s="41"/>
      <c r="K2977" s="41"/>
      <c r="L2977" s="41"/>
      <c r="M2977" s="41"/>
      <c r="N2977" s="41"/>
      <c r="O2977" s="41"/>
      <c r="P2977" s="28"/>
    </row>
    <row r="2978" customFormat="1" spans="1:16">
      <c r="A2978" s="39"/>
      <c r="B2978" s="40"/>
      <c r="C2978" s="41"/>
      <c r="D2978" s="41"/>
      <c r="E2978" s="41"/>
      <c r="F2978" s="41"/>
      <c r="G2978" s="41"/>
      <c r="H2978" s="41"/>
      <c r="I2978" s="41"/>
      <c r="J2978" s="41"/>
      <c r="K2978" s="41"/>
      <c r="L2978" s="41"/>
      <c r="M2978" s="41"/>
      <c r="N2978" s="41"/>
      <c r="O2978" s="41"/>
      <c r="P2978" s="28"/>
    </row>
    <row r="2979" customFormat="1" spans="1:16">
      <c r="A2979" s="39"/>
      <c r="B2979" s="40"/>
      <c r="C2979" s="41"/>
      <c r="D2979" s="41"/>
      <c r="E2979" s="41"/>
      <c r="F2979" s="41"/>
      <c r="G2979" s="41"/>
      <c r="H2979" s="41"/>
      <c r="I2979" s="41"/>
      <c r="J2979" s="41"/>
      <c r="K2979" s="41"/>
      <c r="L2979" s="41"/>
      <c r="M2979" s="41"/>
      <c r="N2979" s="41"/>
      <c r="O2979" s="41"/>
      <c r="P2979" s="28"/>
    </row>
    <row r="2980" customFormat="1" spans="1:16">
      <c r="A2980" s="39"/>
      <c r="B2980" s="40"/>
      <c r="C2980" s="41"/>
      <c r="D2980" s="41"/>
      <c r="E2980" s="41"/>
      <c r="F2980" s="41"/>
      <c r="G2980" s="41"/>
      <c r="H2980" s="41"/>
      <c r="I2980" s="41"/>
      <c r="J2980" s="41"/>
      <c r="K2980" s="41"/>
      <c r="L2980" s="41"/>
      <c r="M2980" s="41"/>
      <c r="N2980" s="41"/>
      <c r="O2980" s="41"/>
      <c r="P2980" s="28"/>
    </row>
    <row r="2981" customFormat="1" spans="1:16">
      <c r="A2981" s="39"/>
      <c r="B2981" s="40"/>
      <c r="C2981" s="41"/>
      <c r="D2981" s="41"/>
      <c r="E2981" s="41"/>
      <c r="F2981" s="41"/>
      <c r="G2981" s="41"/>
      <c r="H2981" s="41"/>
      <c r="I2981" s="41"/>
      <c r="J2981" s="41"/>
      <c r="K2981" s="41"/>
      <c r="L2981" s="41"/>
      <c r="M2981" s="41"/>
      <c r="N2981" s="41"/>
      <c r="O2981" s="41"/>
      <c r="P2981" s="28"/>
    </row>
    <row r="2982" customFormat="1" spans="1:16">
      <c r="A2982" s="39"/>
      <c r="B2982" s="40"/>
      <c r="C2982" s="41"/>
      <c r="D2982" s="41"/>
      <c r="E2982" s="41"/>
      <c r="F2982" s="41"/>
      <c r="G2982" s="41"/>
      <c r="H2982" s="41"/>
      <c r="I2982" s="41"/>
      <c r="J2982" s="41"/>
      <c r="K2982" s="41"/>
      <c r="L2982" s="41"/>
      <c r="M2982" s="41"/>
      <c r="N2982" s="41"/>
      <c r="O2982" s="41"/>
      <c r="P2982" s="28"/>
    </row>
    <row r="2983" customFormat="1" spans="1:16">
      <c r="A2983" s="39"/>
      <c r="B2983" s="40"/>
      <c r="C2983" s="41"/>
      <c r="D2983" s="41"/>
      <c r="E2983" s="41"/>
      <c r="F2983" s="41"/>
      <c r="G2983" s="41"/>
      <c r="H2983" s="41"/>
      <c r="I2983" s="41"/>
      <c r="J2983" s="41"/>
      <c r="K2983" s="41"/>
      <c r="L2983" s="41"/>
      <c r="M2983" s="41"/>
      <c r="N2983" s="41"/>
      <c r="O2983" s="41"/>
      <c r="P2983" s="28"/>
    </row>
    <row r="2984" customFormat="1" spans="1:16">
      <c r="A2984" s="39"/>
      <c r="B2984" s="40"/>
      <c r="C2984" s="41"/>
      <c r="D2984" s="41"/>
      <c r="E2984" s="41"/>
      <c r="F2984" s="41"/>
      <c r="G2984" s="41"/>
      <c r="H2984" s="41"/>
      <c r="I2984" s="41"/>
      <c r="J2984" s="41"/>
      <c r="K2984" s="41"/>
      <c r="L2984" s="41"/>
      <c r="M2984" s="41"/>
      <c r="N2984" s="41"/>
      <c r="O2984" s="41"/>
      <c r="P2984" s="28"/>
    </row>
    <row r="2985" customFormat="1" spans="1:16">
      <c r="A2985" s="39"/>
      <c r="B2985" s="40"/>
      <c r="C2985" s="41"/>
      <c r="D2985" s="41"/>
      <c r="E2985" s="41"/>
      <c r="F2985" s="41"/>
      <c r="G2985" s="41"/>
      <c r="H2985" s="41"/>
      <c r="I2985" s="41"/>
      <c r="J2985" s="41"/>
      <c r="K2985" s="41"/>
      <c r="L2985" s="41"/>
      <c r="M2985" s="41"/>
      <c r="N2985" s="41"/>
      <c r="O2985" s="41"/>
      <c r="P2985" s="28"/>
    </row>
    <row r="2986" customFormat="1" spans="1:16">
      <c r="A2986" s="39"/>
      <c r="B2986" s="40"/>
      <c r="C2986" s="41"/>
      <c r="D2986" s="41"/>
      <c r="E2986" s="41"/>
      <c r="F2986" s="41"/>
      <c r="G2986" s="41"/>
      <c r="H2986" s="41"/>
      <c r="I2986" s="41"/>
      <c r="J2986" s="41"/>
      <c r="K2986" s="41"/>
      <c r="L2986" s="41"/>
      <c r="M2986" s="41"/>
      <c r="N2986" s="41"/>
      <c r="O2986" s="41"/>
      <c r="P2986" s="28"/>
    </row>
    <row r="2987" customFormat="1" spans="1:16">
      <c r="A2987" s="39"/>
      <c r="B2987" s="40"/>
      <c r="C2987" s="41"/>
      <c r="D2987" s="41"/>
      <c r="E2987" s="41"/>
      <c r="F2987" s="41"/>
      <c r="G2987" s="41"/>
      <c r="H2987" s="41"/>
      <c r="I2987" s="41"/>
      <c r="J2987" s="41"/>
      <c r="K2987" s="41"/>
      <c r="L2987" s="41"/>
      <c r="M2987" s="41"/>
      <c r="N2987" s="41"/>
      <c r="O2987" s="41"/>
      <c r="P2987" s="28"/>
    </row>
    <row r="2988" customFormat="1" spans="1:16">
      <c r="A2988" s="39"/>
      <c r="B2988" s="40"/>
      <c r="C2988" s="41"/>
      <c r="D2988" s="41"/>
      <c r="E2988" s="41"/>
      <c r="F2988" s="41"/>
      <c r="G2988" s="41"/>
      <c r="H2988" s="41"/>
      <c r="I2988" s="41"/>
      <c r="J2988" s="41"/>
      <c r="K2988" s="41"/>
      <c r="L2988" s="41"/>
      <c r="M2988" s="41"/>
      <c r="N2988" s="41"/>
      <c r="O2988" s="41"/>
      <c r="P2988" s="28"/>
    </row>
    <row r="2989" customFormat="1" spans="1:16">
      <c r="A2989" s="39"/>
      <c r="B2989" s="40"/>
      <c r="C2989" s="41"/>
      <c r="D2989" s="41"/>
      <c r="E2989" s="41"/>
      <c r="F2989" s="41"/>
      <c r="G2989" s="41"/>
      <c r="H2989" s="41"/>
      <c r="I2989" s="41"/>
      <c r="J2989" s="41"/>
      <c r="K2989" s="41"/>
      <c r="L2989" s="41"/>
      <c r="M2989" s="41"/>
      <c r="N2989" s="41"/>
      <c r="O2989" s="41"/>
      <c r="P2989" s="28"/>
    </row>
    <row r="2990" customFormat="1" spans="1:16">
      <c r="A2990" s="39"/>
      <c r="B2990" s="40"/>
      <c r="C2990" s="41"/>
      <c r="D2990" s="41"/>
      <c r="E2990" s="41"/>
      <c r="F2990" s="41"/>
      <c r="G2990" s="41"/>
      <c r="H2990" s="41"/>
      <c r="I2990" s="41"/>
      <c r="J2990" s="41"/>
      <c r="K2990" s="41"/>
      <c r="L2990" s="41"/>
      <c r="M2990" s="41"/>
      <c r="N2990" s="41"/>
      <c r="O2990" s="41"/>
      <c r="P2990" s="28"/>
    </row>
    <row r="2991" customFormat="1" spans="1:16">
      <c r="A2991" s="39"/>
      <c r="B2991" s="40"/>
      <c r="C2991" s="41"/>
      <c r="D2991" s="41"/>
      <c r="E2991" s="41"/>
      <c r="F2991" s="41"/>
      <c r="G2991" s="41"/>
      <c r="H2991" s="41"/>
      <c r="I2991" s="41"/>
      <c r="J2991" s="41"/>
      <c r="K2991" s="41"/>
      <c r="L2991" s="41"/>
      <c r="M2991" s="41"/>
      <c r="N2991" s="41"/>
      <c r="O2991" s="41"/>
      <c r="P2991" s="28"/>
    </row>
    <row r="2992" customFormat="1" spans="1:16">
      <c r="A2992" s="39"/>
      <c r="B2992" s="40"/>
      <c r="C2992" s="41"/>
      <c r="D2992" s="41"/>
      <c r="E2992" s="41"/>
      <c r="F2992" s="41"/>
      <c r="G2992" s="41"/>
      <c r="H2992" s="41"/>
      <c r="I2992" s="41"/>
      <c r="J2992" s="41"/>
      <c r="K2992" s="41"/>
      <c r="L2992" s="41"/>
      <c r="M2992" s="41"/>
      <c r="N2992" s="41"/>
      <c r="O2992" s="41"/>
      <c r="P2992" s="28"/>
    </row>
    <row r="2993" customFormat="1" spans="1:16">
      <c r="A2993" s="39"/>
      <c r="B2993" s="40"/>
      <c r="C2993" s="41"/>
      <c r="D2993" s="41"/>
      <c r="E2993" s="41"/>
      <c r="F2993" s="41"/>
      <c r="G2993" s="41"/>
      <c r="H2993" s="41"/>
      <c r="I2993" s="41"/>
      <c r="J2993" s="41"/>
      <c r="K2993" s="41"/>
      <c r="L2993" s="41"/>
      <c r="M2993" s="41"/>
      <c r="N2993" s="41"/>
      <c r="O2993" s="41"/>
      <c r="P2993" s="28"/>
    </row>
    <row r="2994" customFormat="1" spans="1:16">
      <c r="A2994" s="39"/>
      <c r="B2994" s="40"/>
      <c r="C2994" s="41"/>
      <c r="D2994" s="41"/>
      <c r="E2994" s="41"/>
      <c r="F2994" s="41"/>
      <c r="G2994" s="41"/>
      <c r="H2994" s="41"/>
      <c r="I2994" s="41"/>
      <c r="J2994" s="41"/>
      <c r="K2994" s="41"/>
      <c r="L2994" s="41"/>
      <c r="M2994" s="41"/>
      <c r="N2994" s="41"/>
      <c r="O2994" s="41"/>
      <c r="P2994" s="28"/>
    </row>
    <row r="2995" customFormat="1" spans="1:16">
      <c r="A2995" s="39"/>
      <c r="B2995" s="40"/>
      <c r="C2995" s="41"/>
      <c r="D2995" s="41"/>
      <c r="E2995" s="41"/>
      <c r="F2995" s="41"/>
      <c r="G2995" s="41"/>
      <c r="H2995" s="41"/>
      <c r="I2995" s="41"/>
      <c r="J2995" s="41"/>
      <c r="K2995" s="41"/>
      <c r="L2995" s="41"/>
      <c r="M2995" s="41"/>
      <c r="N2995" s="41"/>
      <c r="O2995" s="41"/>
      <c r="P2995" s="28"/>
    </row>
    <row r="2996" customFormat="1" spans="1:16">
      <c r="A2996" s="39"/>
      <c r="B2996" s="40"/>
      <c r="C2996" s="41"/>
      <c r="D2996" s="41"/>
      <c r="E2996" s="41"/>
      <c r="F2996" s="41"/>
      <c r="G2996" s="41"/>
      <c r="H2996" s="41"/>
      <c r="I2996" s="41"/>
      <c r="J2996" s="41"/>
      <c r="K2996" s="41"/>
      <c r="L2996" s="41"/>
      <c r="M2996" s="41"/>
      <c r="N2996" s="41"/>
      <c r="O2996" s="41"/>
      <c r="P2996" s="28"/>
    </row>
    <row r="2997" customFormat="1" spans="1:16">
      <c r="A2997" s="39"/>
      <c r="B2997" s="40"/>
      <c r="C2997" s="41"/>
      <c r="D2997" s="41"/>
      <c r="E2997" s="41"/>
      <c r="F2997" s="41"/>
      <c r="G2997" s="41"/>
      <c r="H2997" s="41"/>
      <c r="I2997" s="41"/>
      <c r="J2997" s="41"/>
      <c r="K2997" s="41"/>
      <c r="L2997" s="41"/>
      <c r="M2997" s="41"/>
      <c r="N2997" s="41"/>
      <c r="O2997" s="41"/>
      <c r="P2997" s="28"/>
    </row>
    <row r="2998" customFormat="1" spans="1:16">
      <c r="A2998" s="39"/>
      <c r="B2998" s="40"/>
      <c r="C2998" s="41"/>
      <c r="D2998" s="41"/>
      <c r="E2998" s="41"/>
      <c r="F2998" s="41"/>
      <c r="G2998" s="41"/>
      <c r="H2998" s="41"/>
      <c r="I2998" s="41"/>
      <c r="J2998" s="41"/>
      <c r="K2998" s="41"/>
      <c r="L2998" s="41"/>
      <c r="M2998" s="41"/>
      <c r="N2998" s="41"/>
      <c r="O2998" s="41"/>
      <c r="P2998" s="28"/>
    </row>
    <row r="2999" customFormat="1" spans="1:16">
      <c r="A2999" s="39"/>
      <c r="B2999" s="40"/>
      <c r="C2999" s="41"/>
      <c r="D2999" s="41"/>
      <c r="E2999" s="41"/>
      <c r="F2999" s="41"/>
      <c r="G2999" s="41"/>
      <c r="H2999" s="41"/>
      <c r="I2999" s="41"/>
      <c r="J2999" s="41"/>
      <c r="K2999" s="41"/>
      <c r="L2999" s="41"/>
      <c r="M2999" s="41"/>
      <c r="N2999" s="41"/>
      <c r="O2999" s="41"/>
      <c r="P2999" s="28"/>
    </row>
    <row r="3000" customFormat="1" spans="1:16">
      <c r="A3000" s="39"/>
      <c r="B3000" s="40"/>
      <c r="C3000" s="41"/>
      <c r="D3000" s="41"/>
      <c r="E3000" s="41"/>
      <c r="F3000" s="41"/>
      <c r="G3000" s="41"/>
      <c r="H3000" s="41"/>
      <c r="I3000" s="41"/>
      <c r="J3000" s="41"/>
      <c r="K3000" s="41"/>
      <c r="L3000" s="41"/>
      <c r="M3000" s="41"/>
      <c r="N3000" s="41"/>
      <c r="O3000" s="41"/>
      <c r="P3000" s="28"/>
    </row>
    <row r="3001" customFormat="1" spans="1:16">
      <c r="A3001" s="39"/>
      <c r="B3001" s="40"/>
      <c r="C3001" s="41"/>
      <c r="D3001" s="41"/>
      <c r="E3001" s="41"/>
      <c r="F3001" s="41"/>
      <c r="G3001" s="41"/>
      <c r="H3001" s="41"/>
      <c r="I3001" s="41"/>
      <c r="J3001" s="41"/>
      <c r="K3001" s="41"/>
      <c r="L3001" s="41"/>
      <c r="M3001" s="41"/>
      <c r="N3001" s="41"/>
      <c r="O3001" s="41"/>
      <c r="P3001" s="28"/>
    </row>
    <row r="3002" customFormat="1" spans="1:16">
      <c r="A3002" s="39"/>
      <c r="B3002" s="40"/>
      <c r="C3002" s="41"/>
      <c r="D3002" s="41"/>
      <c r="E3002" s="41"/>
      <c r="F3002" s="41"/>
      <c r="G3002" s="41"/>
      <c r="H3002" s="41"/>
      <c r="I3002" s="41"/>
      <c r="J3002" s="41"/>
      <c r="K3002" s="41"/>
      <c r="L3002" s="41"/>
      <c r="M3002" s="41"/>
      <c r="N3002" s="41"/>
      <c r="O3002" s="41"/>
      <c r="P3002" s="28"/>
    </row>
    <row r="3003" customFormat="1" spans="1:16">
      <c r="A3003" s="39"/>
      <c r="B3003" s="40"/>
      <c r="C3003" s="41"/>
      <c r="D3003" s="41"/>
      <c r="E3003" s="41"/>
      <c r="F3003" s="41"/>
      <c r="G3003" s="41"/>
      <c r="H3003" s="41"/>
      <c r="I3003" s="41"/>
      <c r="J3003" s="41"/>
      <c r="K3003" s="41"/>
      <c r="L3003" s="41"/>
      <c r="M3003" s="41"/>
      <c r="N3003" s="41"/>
      <c r="O3003" s="41"/>
      <c r="P3003" s="28"/>
    </row>
    <row r="3004" customFormat="1" spans="1:16">
      <c r="A3004" s="39"/>
      <c r="B3004" s="40"/>
      <c r="C3004" s="41"/>
      <c r="D3004" s="41"/>
      <c r="E3004" s="41"/>
      <c r="F3004" s="41"/>
      <c r="G3004" s="41"/>
      <c r="H3004" s="41"/>
      <c r="I3004" s="41"/>
      <c r="J3004" s="41"/>
      <c r="K3004" s="41"/>
      <c r="L3004" s="41"/>
      <c r="M3004" s="41"/>
      <c r="N3004" s="41"/>
      <c r="O3004" s="41"/>
      <c r="P3004" s="28"/>
    </row>
    <row r="3005" customFormat="1" spans="1:16">
      <c r="A3005" s="39"/>
      <c r="B3005" s="40"/>
      <c r="C3005" s="41"/>
      <c r="D3005" s="41"/>
      <c r="E3005" s="41"/>
      <c r="F3005" s="41"/>
      <c r="G3005" s="41"/>
      <c r="H3005" s="41"/>
      <c r="I3005" s="41"/>
      <c r="J3005" s="41"/>
      <c r="K3005" s="41"/>
      <c r="L3005" s="41"/>
      <c r="M3005" s="41"/>
      <c r="N3005" s="41"/>
      <c r="O3005" s="41"/>
      <c r="P3005" s="28"/>
    </row>
    <row r="3006" customFormat="1" spans="1:16">
      <c r="A3006" s="39"/>
      <c r="B3006" s="40"/>
      <c r="C3006" s="41"/>
      <c r="D3006" s="41"/>
      <c r="E3006" s="41"/>
      <c r="F3006" s="41"/>
      <c r="G3006" s="41"/>
      <c r="H3006" s="41"/>
      <c r="I3006" s="41"/>
      <c r="J3006" s="41"/>
      <c r="K3006" s="41"/>
      <c r="L3006" s="41"/>
      <c r="M3006" s="41"/>
      <c r="N3006" s="41"/>
      <c r="O3006" s="41"/>
      <c r="P3006" s="28"/>
    </row>
    <row r="3007" customFormat="1" spans="1:16">
      <c r="A3007" s="39"/>
      <c r="B3007" s="40"/>
      <c r="C3007" s="41"/>
      <c r="D3007" s="41"/>
      <c r="E3007" s="41"/>
      <c r="F3007" s="41"/>
      <c r="G3007" s="41"/>
      <c r="H3007" s="41"/>
      <c r="I3007" s="41"/>
      <c r="J3007" s="41"/>
      <c r="K3007" s="41"/>
      <c r="L3007" s="41"/>
      <c r="M3007" s="41"/>
      <c r="N3007" s="41"/>
      <c r="O3007" s="41"/>
      <c r="P3007" s="28"/>
    </row>
    <row r="3008" customFormat="1" spans="1:16">
      <c r="A3008" s="39"/>
      <c r="B3008" s="40"/>
      <c r="C3008" s="41"/>
      <c r="D3008" s="41"/>
      <c r="E3008" s="41"/>
      <c r="F3008" s="41"/>
      <c r="G3008" s="41"/>
      <c r="H3008" s="41"/>
      <c r="I3008" s="41"/>
      <c r="J3008" s="41"/>
      <c r="K3008" s="41"/>
      <c r="L3008" s="41"/>
      <c r="M3008" s="41"/>
      <c r="N3008" s="41"/>
      <c r="O3008" s="41"/>
      <c r="P3008" s="28"/>
    </row>
    <row r="3009" customFormat="1" spans="1:16">
      <c r="A3009" s="39"/>
      <c r="B3009" s="40"/>
      <c r="C3009" s="41"/>
      <c r="D3009" s="41"/>
      <c r="E3009" s="41"/>
      <c r="F3009" s="41"/>
      <c r="G3009" s="41"/>
      <c r="H3009" s="41"/>
      <c r="I3009" s="41"/>
      <c r="J3009" s="41"/>
      <c r="K3009" s="41"/>
      <c r="L3009" s="41"/>
      <c r="M3009" s="41"/>
      <c r="N3009" s="41"/>
      <c r="O3009" s="41"/>
      <c r="P3009" s="28"/>
    </row>
    <row r="3010" customFormat="1" spans="1:16">
      <c r="A3010" s="39"/>
      <c r="B3010" s="40"/>
      <c r="C3010" s="41"/>
      <c r="D3010" s="41"/>
      <c r="E3010" s="41"/>
      <c r="F3010" s="41"/>
      <c r="G3010" s="41"/>
      <c r="H3010" s="41"/>
      <c r="I3010" s="41"/>
      <c r="J3010" s="41"/>
      <c r="K3010" s="41"/>
      <c r="L3010" s="41"/>
      <c r="M3010" s="41"/>
      <c r="N3010" s="41"/>
      <c r="O3010" s="41"/>
      <c r="P3010" s="28"/>
    </row>
    <row r="3011" customFormat="1" spans="1:16">
      <c r="A3011" s="39"/>
      <c r="B3011" s="40"/>
      <c r="C3011" s="41"/>
      <c r="D3011" s="41"/>
      <c r="E3011" s="41"/>
      <c r="F3011" s="41"/>
      <c r="G3011" s="41"/>
      <c r="H3011" s="41"/>
      <c r="I3011" s="41"/>
      <c r="J3011" s="41"/>
      <c r="K3011" s="41"/>
      <c r="L3011" s="41"/>
      <c r="M3011" s="41"/>
      <c r="N3011" s="41"/>
      <c r="O3011" s="41"/>
      <c r="P3011" s="28"/>
    </row>
    <row r="3012" customFormat="1" spans="1:16">
      <c r="A3012" s="39"/>
      <c r="B3012" s="40"/>
      <c r="C3012" s="41"/>
      <c r="D3012" s="41"/>
      <c r="E3012" s="41"/>
      <c r="F3012" s="41"/>
      <c r="G3012" s="41"/>
      <c r="H3012" s="41"/>
      <c r="I3012" s="41"/>
      <c r="J3012" s="41"/>
      <c r="K3012" s="41"/>
      <c r="L3012" s="41"/>
      <c r="M3012" s="41"/>
      <c r="N3012" s="41"/>
      <c r="O3012" s="41"/>
      <c r="P3012" s="28"/>
    </row>
    <row r="3013" customFormat="1" spans="1:16">
      <c r="A3013" s="39"/>
      <c r="B3013" s="40"/>
      <c r="C3013" s="41"/>
      <c r="D3013" s="41"/>
      <c r="E3013" s="41"/>
      <c r="F3013" s="41"/>
      <c r="G3013" s="41"/>
      <c r="H3013" s="41"/>
      <c r="I3013" s="41"/>
      <c r="J3013" s="41"/>
      <c r="K3013" s="41"/>
      <c r="L3013" s="41"/>
      <c r="M3013" s="41"/>
      <c r="N3013" s="41"/>
      <c r="O3013" s="41"/>
      <c r="P3013" s="28"/>
    </row>
    <row r="3014" customFormat="1" spans="1:16">
      <c r="A3014" s="39"/>
      <c r="B3014" s="40"/>
      <c r="C3014" s="41"/>
      <c r="D3014" s="41"/>
      <c r="E3014" s="41"/>
      <c r="F3014" s="41"/>
      <c r="G3014" s="41"/>
      <c r="H3014" s="41"/>
      <c r="I3014" s="41"/>
      <c r="J3014" s="41"/>
      <c r="K3014" s="41"/>
      <c r="L3014" s="41"/>
      <c r="M3014" s="41"/>
      <c r="N3014" s="41"/>
      <c r="O3014" s="41"/>
      <c r="P3014" s="28"/>
    </row>
    <row r="3015" customFormat="1" spans="1:16">
      <c r="A3015" s="39"/>
      <c r="B3015" s="40"/>
      <c r="C3015" s="41"/>
      <c r="D3015" s="41"/>
      <c r="E3015" s="41"/>
      <c r="F3015" s="41"/>
      <c r="G3015" s="41"/>
      <c r="H3015" s="41"/>
      <c r="I3015" s="41"/>
      <c r="J3015" s="41"/>
      <c r="K3015" s="41"/>
      <c r="L3015" s="41"/>
      <c r="M3015" s="41"/>
      <c r="N3015" s="41"/>
      <c r="O3015" s="41"/>
      <c r="P3015" s="28"/>
    </row>
    <row r="3016" customFormat="1" spans="1:16">
      <c r="A3016" s="39"/>
      <c r="B3016" s="40"/>
      <c r="C3016" s="41"/>
      <c r="D3016" s="41"/>
      <c r="E3016" s="41"/>
      <c r="F3016" s="41"/>
      <c r="G3016" s="41"/>
      <c r="H3016" s="41"/>
      <c r="I3016" s="41"/>
      <c r="J3016" s="41"/>
      <c r="K3016" s="41"/>
      <c r="L3016" s="41"/>
      <c r="M3016" s="41"/>
      <c r="N3016" s="41"/>
      <c r="O3016" s="41"/>
      <c r="P3016" s="28"/>
    </row>
    <row r="3017" customFormat="1" spans="1:16">
      <c r="A3017" s="39"/>
      <c r="B3017" s="40"/>
      <c r="C3017" s="41"/>
      <c r="D3017" s="41"/>
      <c r="E3017" s="41"/>
      <c r="F3017" s="41"/>
      <c r="G3017" s="41"/>
      <c r="H3017" s="41"/>
      <c r="I3017" s="41"/>
      <c r="J3017" s="41"/>
      <c r="K3017" s="41"/>
      <c r="L3017" s="41"/>
      <c r="M3017" s="41"/>
      <c r="N3017" s="41"/>
      <c r="O3017" s="41"/>
      <c r="P3017" s="28"/>
    </row>
    <row r="3018" customFormat="1" spans="1:16">
      <c r="A3018" s="39"/>
      <c r="B3018" s="40"/>
      <c r="C3018" s="41"/>
      <c r="D3018" s="41"/>
      <c r="E3018" s="41"/>
      <c r="F3018" s="41"/>
      <c r="G3018" s="41"/>
      <c r="H3018" s="41"/>
      <c r="I3018" s="41"/>
      <c r="J3018" s="41"/>
      <c r="K3018" s="41"/>
      <c r="L3018" s="41"/>
      <c r="M3018" s="41"/>
      <c r="N3018" s="41"/>
      <c r="O3018" s="41"/>
      <c r="P3018" s="28"/>
    </row>
    <row r="3019" customFormat="1" spans="1:16">
      <c r="A3019" s="39"/>
      <c r="B3019" s="40"/>
      <c r="C3019" s="41"/>
      <c r="D3019" s="41"/>
      <c r="E3019" s="41"/>
      <c r="F3019" s="41"/>
      <c r="G3019" s="41"/>
      <c r="H3019" s="41"/>
      <c r="I3019" s="41"/>
      <c r="J3019" s="41"/>
      <c r="K3019" s="41"/>
      <c r="L3019" s="41"/>
      <c r="M3019" s="41"/>
      <c r="N3019" s="41"/>
      <c r="O3019" s="41"/>
      <c r="P3019" s="28"/>
    </row>
    <row r="3020" customFormat="1" spans="1:16">
      <c r="A3020" s="39"/>
      <c r="B3020" s="40"/>
      <c r="C3020" s="41"/>
      <c r="D3020" s="41"/>
      <c r="E3020" s="41"/>
      <c r="F3020" s="41"/>
      <c r="G3020" s="41"/>
      <c r="H3020" s="41"/>
      <c r="I3020" s="41"/>
      <c r="J3020" s="41"/>
      <c r="K3020" s="41"/>
      <c r="L3020" s="41"/>
      <c r="M3020" s="41"/>
      <c r="N3020" s="41"/>
      <c r="O3020" s="41"/>
      <c r="P3020" s="28"/>
    </row>
    <row r="3021" customFormat="1" spans="1:16">
      <c r="A3021" s="39"/>
      <c r="B3021" s="40"/>
      <c r="C3021" s="41"/>
      <c r="D3021" s="41"/>
      <c r="E3021" s="41"/>
      <c r="F3021" s="41"/>
      <c r="G3021" s="41"/>
      <c r="H3021" s="41"/>
      <c r="I3021" s="41"/>
      <c r="J3021" s="41"/>
      <c r="K3021" s="41"/>
      <c r="L3021" s="41"/>
      <c r="M3021" s="41"/>
      <c r="N3021" s="41"/>
      <c r="O3021" s="41"/>
      <c r="P3021" s="28"/>
    </row>
    <row r="3022" customFormat="1" spans="1:16">
      <c r="A3022" s="39"/>
      <c r="B3022" s="40"/>
      <c r="C3022" s="41"/>
      <c r="D3022" s="41"/>
      <c r="E3022" s="41"/>
      <c r="F3022" s="41"/>
      <c r="G3022" s="41"/>
      <c r="H3022" s="41"/>
      <c r="I3022" s="41"/>
      <c r="J3022" s="41"/>
      <c r="K3022" s="41"/>
      <c r="L3022" s="41"/>
      <c r="M3022" s="41"/>
      <c r="N3022" s="41"/>
      <c r="O3022" s="41"/>
      <c r="P3022" s="28"/>
    </row>
    <row r="3023" customFormat="1" spans="1:16">
      <c r="A3023" s="39"/>
      <c r="B3023" s="40"/>
      <c r="C3023" s="41"/>
      <c r="D3023" s="41"/>
      <c r="E3023" s="41"/>
      <c r="F3023" s="41"/>
      <c r="G3023" s="41"/>
      <c r="H3023" s="41"/>
      <c r="I3023" s="41"/>
      <c r="J3023" s="41"/>
      <c r="K3023" s="41"/>
      <c r="L3023" s="41"/>
      <c r="M3023" s="41"/>
      <c r="N3023" s="41"/>
      <c r="O3023" s="41"/>
      <c r="P3023" s="28"/>
    </row>
    <row r="3024" customFormat="1" spans="1:16">
      <c r="A3024" s="39"/>
      <c r="B3024" s="40"/>
      <c r="C3024" s="41"/>
      <c r="D3024" s="41"/>
      <c r="E3024" s="41"/>
      <c r="F3024" s="41"/>
      <c r="G3024" s="41"/>
      <c r="H3024" s="41"/>
      <c r="I3024" s="41"/>
      <c r="J3024" s="41"/>
      <c r="K3024" s="41"/>
      <c r="L3024" s="41"/>
      <c r="M3024" s="41"/>
      <c r="N3024" s="41"/>
      <c r="O3024" s="41"/>
      <c r="P3024" s="28"/>
    </row>
    <row r="3025" customFormat="1" spans="1:16">
      <c r="A3025" s="39"/>
      <c r="B3025" s="40"/>
      <c r="C3025" s="41"/>
      <c r="D3025" s="41"/>
      <c r="E3025" s="41"/>
      <c r="F3025" s="41"/>
      <c r="G3025" s="41"/>
      <c r="H3025" s="41"/>
      <c r="I3025" s="41"/>
      <c r="J3025" s="41"/>
      <c r="K3025" s="41"/>
      <c r="L3025" s="41"/>
      <c r="M3025" s="41"/>
      <c r="N3025" s="41"/>
      <c r="O3025" s="41"/>
      <c r="P3025" s="28"/>
    </row>
    <row r="3026" customFormat="1" spans="1:16">
      <c r="A3026" s="39"/>
      <c r="B3026" s="40"/>
      <c r="C3026" s="41"/>
      <c r="D3026" s="41"/>
      <c r="E3026" s="41"/>
      <c r="F3026" s="41"/>
      <c r="G3026" s="41"/>
      <c r="H3026" s="41"/>
      <c r="I3026" s="41"/>
      <c r="J3026" s="41"/>
      <c r="K3026" s="41"/>
      <c r="L3026" s="41"/>
      <c r="M3026" s="41"/>
      <c r="N3026" s="41"/>
      <c r="O3026" s="41"/>
      <c r="P3026" s="28"/>
    </row>
    <row r="3027" customFormat="1" spans="1:16">
      <c r="A3027" s="39"/>
      <c r="B3027" s="40"/>
      <c r="C3027" s="41"/>
      <c r="D3027" s="41"/>
      <c r="E3027" s="41"/>
      <c r="F3027" s="41"/>
      <c r="G3027" s="41"/>
      <c r="H3027" s="41"/>
      <c r="I3027" s="41"/>
      <c r="J3027" s="41"/>
      <c r="K3027" s="41"/>
      <c r="L3027" s="41"/>
      <c r="M3027" s="41"/>
      <c r="N3027" s="41"/>
      <c r="O3027" s="41"/>
      <c r="P3027" s="28"/>
    </row>
    <row r="3028" customFormat="1" spans="1:16">
      <c r="A3028" s="39"/>
      <c r="B3028" s="40"/>
      <c r="C3028" s="41"/>
      <c r="D3028" s="41"/>
      <c r="E3028" s="41"/>
      <c r="F3028" s="41"/>
      <c r="G3028" s="41"/>
      <c r="H3028" s="41"/>
      <c r="I3028" s="41"/>
      <c r="J3028" s="41"/>
      <c r="K3028" s="41"/>
      <c r="L3028" s="41"/>
      <c r="M3028" s="41"/>
      <c r="N3028" s="41"/>
      <c r="O3028" s="41"/>
      <c r="P3028" s="28"/>
    </row>
    <row r="3029" customFormat="1" spans="1:16">
      <c r="A3029" s="39"/>
      <c r="B3029" s="40"/>
      <c r="C3029" s="41"/>
      <c r="D3029" s="41"/>
      <c r="E3029" s="41"/>
      <c r="F3029" s="41"/>
      <c r="G3029" s="41"/>
      <c r="H3029" s="41"/>
      <c r="I3029" s="41"/>
      <c r="J3029" s="41"/>
      <c r="K3029" s="41"/>
      <c r="L3029" s="41"/>
      <c r="M3029" s="41"/>
      <c r="N3029" s="41"/>
      <c r="O3029" s="41"/>
      <c r="P3029" s="28"/>
    </row>
    <row r="3030" customFormat="1" spans="1:16">
      <c r="A3030" s="39"/>
      <c r="B3030" s="40"/>
      <c r="C3030" s="41"/>
      <c r="D3030" s="41"/>
      <c r="E3030" s="41"/>
      <c r="F3030" s="41"/>
      <c r="G3030" s="41"/>
      <c r="H3030" s="41"/>
      <c r="I3030" s="41"/>
      <c r="J3030" s="41"/>
      <c r="K3030" s="41"/>
      <c r="L3030" s="41"/>
      <c r="M3030" s="41"/>
      <c r="N3030" s="41"/>
      <c r="O3030" s="41"/>
      <c r="P3030" s="28"/>
    </row>
    <row r="3031" customFormat="1" spans="1:16">
      <c r="A3031" s="39"/>
      <c r="B3031" s="40"/>
      <c r="C3031" s="41"/>
      <c r="D3031" s="41"/>
      <c r="E3031" s="41"/>
      <c r="F3031" s="41"/>
      <c r="G3031" s="41"/>
      <c r="H3031" s="41"/>
      <c r="I3031" s="41"/>
      <c r="J3031" s="41"/>
      <c r="K3031" s="41"/>
      <c r="L3031" s="41"/>
      <c r="M3031" s="41"/>
      <c r="N3031" s="41"/>
      <c r="O3031" s="41"/>
      <c r="P3031" s="28"/>
    </row>
    <row r="3032" customFormat="1" spans="1:16">
      <c r="A3032" s="39"/>
      <c r="B3032" s="40"/>
      <c r="C3032" s="41"/>
      <c r="D3032" s="41"/>
      <c r="E3032" s="41"/>
      <c r="F3032" s="41"/>
      <c r="G3032" s="41"/>
      <c r="H3032" s="41"/>
      <c r="I3032" s="41"/>
      <c r="J3032" s="41"/>
      <c r="K3032" s="41"/>
      <c r="L3032" s="41"/>
      <c r="M3032" s="41"/>
      <c r="N3032" s="41"/>
      <c r="O3032" s="41"/>
      <c r="P3032" s="28"/>
    </row>
    <row r="3033" customFormat="1" spans="1:16">
      <c r="A3033" s="39"/>
      <c r="B3033" s="40"/>
      <c r="C3033" s="41"/>
      <c r="D3033" s="41"/>
      <c r="E3033" s="41"/>
      <c r="F3033" s="41"/>
      <c r="G3033" s="41"/>
      <c r="H3033" s="41"/>
      <c r="I3033" s="41"/>
      <c r="J3033" s="41"/>
      <c r="K3033" s="41"/>
      <c r="L3033" s="41"/>
      <c r="M3033" s="41"/>
      <c r="N3033" s="41"/>
      <c r="O3033" s="41"/>
      <c r="P3033" s="28"/>
    </row>
    <row r="3034" customFormat="1" spans="1:16">
      <c r="A3034" s="39"/>
      <c r="B3034" s="40"/>
      <c r="C3034" s="41"/>
      <c r="D3034" s="41"/>
      <c r="E3034" s="41"/>
      <c r="F3034" s="41"/>
      <c r="G3034" s="41"/>
      <c r="H3034" s="41"/>
      <c r="I3034" s="41"/>
      <c r="J3034" s="41"/>
      <c r="K3034" s="41"/>
      <c r="L3034" s="41"/>
      <c r="M3034" s="41"/>
      <c r="N3034" s="41"/>
      <c r="O3034" s="41"/>
      <c r="P3034" s="28"/>
    </row>
    <row r="3035" customFormat="1" spans="1:16">
      <c r="A3035" s="39"/>
      <c r="B3035" s="40"/>
      <c r="C3035" s="41"/>
      <c r="D3035" s="41"/>
      <c r="E3035" s="41"/>
      <c r="F3035" s="41"/>
      <c r="G3035" s="41"/>
      <c r="H3035" s="41"/>
      <c r="I3035" s="41"/>
      <c r="J3035" s="41"/>
      <c r="K3035" s="41"/>
      <c r="L3035" s="41"/>
      <c r="M3035" s="41"/>
      <c r="N3035" s="41"/>
      <c r="O3035" s="41"/>
      <c r="P3035" s="28"/>
    </row>
    <row r="3036" customFormat="1" spans="1:16">
      <c r="A3036" s="39"/>
      <c r="B3036" s="40"/>
      <c r="C3036" s="41"/>
      <c r="D3036" s="41"/>
      <c r="E3036" s="41"/>
      <c r="F3036" s="41"/>
      <c r="G3036" s="41"/>
      <c r="H3036" s="41"/>
      <c r="I3036" s="41"/>
      <c r="J3036" s="41"/>
      <c r="K3036" s="41"/>
      <c r="L3036" s="41"/>
      <c r="M3036" s="41"/>
      <c r="N3036" s="41"/>
      <c r="O3036" s="41"/>
      <c r="P3036" s="28"/>
    </row>
    <row r="3037" customFormat="1" spans="1:16">
      <c r="A3037" s="39"/>
      <c r="B3037" s="40"/>
      <c r="C3037" s="41"/>
      <c r="D3037" s="41"/>
      <c r="E3037" s="41"/>
      <c r="F3037" s="41"/>
      <c r="G3037" s="41"/>
      <c r="H3037" s="41"/>
      <c r="I3037" s="41"/>
      <c r="J3037" s="41"/>
      <c r="K3037" s="41"/>
      <c r="L3037" s="41"/>
      <c r="M3037" s="41"/>
      <c r="N3037" s="41"/>
      <c r="O3037" s="41"/>
      <c r="P3037" s="28"/>
    </row>
    <row r="3038" customFormat="1" spans="1:16">
      <c r="A3038" s="39"/>
      <c r="B3038" s="40"/>
      <c r="C3038" s="41"/>
      <c r="D3038" s="41"/>
      <c r="E3038" s="41"/>
      <c r="F3038" s="41"/>
      <c r="G3038" s="41"/>
      <c r="H3038" s="41"/>
      <c r="I3038" s="41"/>
      <c r="J3038" s="41"/>
      <c r="K3038" s="41"/>
      <c r="L3038" s="41"/>
      <c r="M3038" s="41"/>
      <c r="N3038" s="41"/>
      <c r="O3038" s="41"/>
      <c r="P3038" s="28"/>
    </row>
    <row r="3039" customFormat="1" spans="1:16">
      <c r="A3039" s="39"/>
      <c r="B3039" s="40"/>
      <c r="C3039" s="41"/>
      <c r="D3039" s="41"/>
      <c r="E3039" s="41"/>
      <c r="F3039" s="41"/>
      <c r="G3039" s="41"/>
      <c r="H3039" s="41"/>
      <c r="I3039" s="41"/>
      <c r="J3039" s="41"/>
      <c r="K3039" s="41"/>
      <c r="L3039" s="41"/>
      <c r="M3039" s="41"/>
      <c r="N3039" s="41"/>
      <c r="O3039" s="41"/>
      <c r="P3039" s="28"/>
    </row>
    <row r="3040" customFormat="1" spans="1:16">
      <c r="A3040" s="39"/>
      <c r="B3040" s="40"/>
      <c r="C3040" s="41"/>
      <c r="D3040" s="41"/>
      <c r="E3040" s="41"/>
      <c r="F3040" s="41"/>
      <c r="G3040" s="41"/>
      <c r="H3040" s="41"/>
      <c r="I3040" s="41"/>
      <c r="J3040" s="41"/>
      <c r="K3040" s="41"/>
      <c r="L3040" s="41"/>
      <c r="M3040" s="41"/>
      <c r="N3040" s="41"/>
      <c r="O3040" s="41"/>
      <c r="P3040" s="28"/>
    </row>
    <row r="3041" customFormat="1" spans="1:16">
      <c r="A3041" s="39"/>
      <c r="B3041" s="40"/>
      <c r="C3041" s="41"/>
      <c r="D3041" s="41"/>
      <c r="E3041" s="41"/>
      <c r="F3041" s="41"/>
      <c r="G3041" s="41"/>
      <c r="H3041" s="41"/>
      <c r="I3041" s="41"/>
      <c r="J3041" s="41"/>
      <c r="K3041" s="41"/>
      <c r="L3041" s="41"/>
      <c r="M3041" s="41"/>
      <c r="N3041" s="41"/>
      <c r="O3041" s="41"/>
      <c r="P3041" s="28"/>
    </row>
    <row r="3042" customFormat="1" spans="1:16">
      <c r="A3042" s="39"/>
      <c r="B3042" s="40"/>
      <c r="C3042" s="41"/>
      <c r="D3042" s="41"/>
      <c r="E3042" s="41"/>
      <c r="F3042" s="41"/>
      <c r="G3042" s="41"/>
      <c r="H3042" s="41"/>
      <c r="I3042" s="41"/>
      <c r="J3042" s="41"/>
      <c r="K3042" s="41"/>
      <c r="L3042" s="41"/>
      <c r="M3042" s="41"/>
      <c r="N3042" s="41"/>
      <c r="O3042" s="41"/>
      <c r="P3042" s="28"/>
    </row>
    <row r="3043" customFormat="1" spans="1:16">
      <c r="A3043" s="39"/>
      <c r="B3043" s="40"/>
      <c r="C3043" s="41"/>
      <c r="D3043" s="41"/>
      <c r="E3043" s="41"/>
      <c r="F3043" s="41"/>
      <c r="G3043" s="41"/>
      <c r="H3043" s="41"/>
      <c r="I3043" s="41"/>
      <c r="J3043" s="41"/>
      <c r="K3043" s="41"/>
      <c r="L3043" s="41"/>
      <c r="M3043" s="41"/>
      <c r="N3043" s="41"/>
      <c r="O3043" s="41"/>
      <c r="P3043" s="28"/>
    </row>
    <row r="3044" customFormat="1" spans="1:16">
      <c r="A3044" s="39"/>
      <c r="B3044" s="40"/>
      <c r="C3044" s="41"/>
      <c r="D3044" s="41"/>
      <c r="E3044" s="41"/>
      <c r="F3044" s="41"/>
      <c r="G3044" s="41"/>
      <c r="H3044" s="41"/>
      <c r="I3044" s="41"/>
      <c r="J3044" s="41"/>
      <c r="K3044" s="41"/>
      <c r="L3044" s="41"/>
      <c r="M3044" s="41"/>
      <c r="N3044" s="41"/>
      <c r="O3044" s="41"/>
      <c r="P3044" s="28"/>
    </row>
    <row r="3045" customFormat="1" spans="1:16">
      <c r="A3045" s="39"/>
      <c r="B3045" s="40"/>
      <c r="C3045" s="41"/>
      <c r="D3045" s="41"/>
      <c r="E3045" s="41"/>
      <c r="F3045" s="41"/>
      <c r="G3045" s="41"/>
      <c r="H3045" s="41"/>
      <c r="I3045" s="41"/>
      <c r="J3045" s="41"/>
      <c r="K3045" s="41"/>
      <c r="L3045" s="41"/>
      <c r="M3045" s="41"/>
      <c r="N3045" s="41"/>
      <c r="O3045" s="41"/>
      <c r="P3045" s="28"/>
    </row>
    <row r="3046" customFormat="1" spans="1:16">
      <c r="A3046" s="39"/>
      <c r="B3046" s="40"/>
      <c r="C3046" s="41"/>
      <c r="D3046" s="41"/>
      <c r="E3046" s="41"/>
      <c r="F3046" s="41"/>
      <c r="G3046" s="41"/>
      <c r="H3046" s="41"/>
      <c r="I3046" s="41"/>
      <c r="J3046" s="41"/>
      <c r="K3046" s="41"/>
      <c r="L3046" s="41"/>
      <c r="M3046" s="41"/>
      <c r="N3046" s="41"/>
      <c r="O3046" s="41"/>
      <c r="P3046" s="28"/>
    </row>
    <row r="3047" customFormat="1" spans="1:16">
      <c r="A3047" s="39"/>
      <c r="B3047" s="40"/>
      <c r="C3047" s="41"/>
      <c r="D3047" s="41"/>
      <c r="E3047" s="41"/>
      <c r="F3047" s="41"/>
      <c r="G3047" s="41"/>
      <c r="H3047" s="41"/>
      <c r="I3047" s="41"/>
      <c r="J3047" s="41"/>
      <c r="K3047" s="41"/>
      <c r="L3047" s="41"/>
      <c r="M3047" s="41"/>
      <c r="N3047" s="41"/>
      <c r="O3047" s="41"/>
      <c r="P3047" s="28"/>
    </row>
    <row r="3048" customFormat="1" spans="1:16">
      <c r="A3048" s="39"/>
      <c r="B3048" s="40"/>
      <c r="C3048" s="41"/>
      <c r="D3048" s="41"/>
      <c r="E3048" s="41"/>
      <c r="F3048" s="41"/>
      <c r="G3048" s="41"/>
      <c r="H3048" s="41"/>
      <c r="I3048" s="41"/>
      <c r="J3048" s="41"/>
      <c r="K3048" s="41"/>
      <c r="L3048" s="41"/>
      <c r="M3048" s="41"/>
      <c r="N3048" s="41"/>
      <c r="O3048" s="41"/>
      <c r="P3048" s="28"/>
    </row>
    <row r="3049" customFormat="1" spans="1:16">
      <c r="A3049" s="39"/>
      <c r="B3049" s="40"/>
      <c r="C3049" s="41"/>
      <c r="D3049" s="41"/>
      <c r="E3049" s="41"/>
      <c r="F3049" s="41"/>
      <c r="G3049" s="41"/>
      <c r="H3049" s="41"/>
      <c r="I3049" s="41"/>
      <c r="J3049" s="41"/>
      <c r="K3049" s="41"/>
      <c r="L3049" s="41"/>
      <c r="M3049" s="41"/>
      <c r="N3049" s="41"/>
      <c r="O3049" s="41"/>
      <c r="P3049" s="28"/>
    </row>
    <row r="3050" customFormat="1" spans="1:16">
      <c r="A3050" s="39"/>
      <c r="B3050" s="40"/>
      <c r="C3050" s="41"/>
      <c r="D3050" s="41"/>
      <c r="E3050" s="41"/>
      <c r="F3050" s="41"/>
      <c r="G3050" s="41"/>
      <c r="H3050" s="41"/>
      <c r="I3050" s="41"/>
      <c r="J3050" s="41"/>
      <c r="K3050" s="41"/>
      <c r="L3050" s="41"/>
      <c r="M3050" s="41"/>
      <c r="N3050" s="41"/>
      <c r="O3050" s="41"/>
      <c r="P3050" s="28"/>
    </row>
    <row r="3051" customFormat="1" spans="1:16">
      <c r="A3051" s="39"/>
      <c r="B3051" s="40"/>
      <c r="C3051" s="41"/>
      <c r="D3051" s="41"/>
      <c r="E3051" s="41"/>
      <c r="F3051" s="41"/>
      <c r="G3051" s="41"/>
      <c r="H3051" s="41"/>
      <c r="I3051" s="41"/>
      <c r="J3051" s="41"/>
      <c r="K3051" s="41"/>
      <c r="L3051" s="41"/>
      <c r="M3051" s="41"/>
      <c r="N3051" s="41"/>
      <c r="O3051" s="41"/>
      <c r="P3051" s="28"/>
    </row>
    <row r="3052" customFormat="1" spans="1:16">
      <c r="A3052" s="39"/>
      <c r="B3052" s="40"/>
      <c r="C3052" s="41"/>
      <c r="D3052" s="41"/>
      <c r="E3052" s="41"/>
      <c r="F3052" s="41"/>
      <c r="G3052" s="41"/>
      <c r="H3052" s="41"/>
      <c r="I3052" s="41"/>
      <c r="J3052" s="41"/>
      <c r="K3052" s="41"/>
      <c r="L3052" s="41"/>
      <c r="M3052" s="41"/>
      <c r="N3052" s="41"/>
      <c r="O3052" s="41"/>
      <c r="P3052" s="28"/>
    </row>
    <row r="3053" customFormat="1" spans="1:16">
      <c r="A3053" s="39"/>
      <c r="B3053" s="40"/>
      <c r="C3053" s="41"/>
      <c r="D3053" s="41"/>
      <c r="E3053" s="41"/>
      <c r="F3053" s="41"/>
      <c r="G3053" s="41"/>
      <c r="H3053" s="41"/>
      <c r="I3053" s="41"/>
      <c r="J3053" s="41"/>
      <c r="K3053" s="41"/>
      <c r="L3053" s="41"/>
      <c r="M3053" s="41"/>
      <c r="N3053" s="41"/>
      <c r="O3053" s="41"/>
      <c r="P3053" s="28"/>
    </row>
    <row r="3054" customFormat="1" spans="1:16">
      <c r="A3054" s="39"/>
      <c r="B3054" s="40"/>
      <c r="C3054" s="41"/>
      <c r="D3054" s="41"/>
      <c r="E3054" s="41"/>
      <c r="F3054" s="41"/>
      <c r="G3054" s="41"/>
      <c r="H3054" s="41"/>
      <c r="I3054" s="41"/>
      <c r="J3054" s="41"/>
      <c r="K3054" s="41"/>
      <c r="L3054" s="41"/>
      <c r="M3054" s="41"/>
      <c r="N3054" s="41"/>
      <c r="O3054" s="41"/>
      <c r="P3054" s="28"/>
    </row>
    <row r="3055" customFormat="1" spans="1:16">
      <c r="A3055" s="39"/>
      <c r="B3055" s="40"/>
      <c r="C3055" s="41"/>
      <c r="D3055" s="41"/>
      <c r="E3055" s="41"/>
      <c r="F3055" s="41"/>
      <c r="G3055" s="41"/>
      <c r="H3055" s="41"/>
      <c r="I3055" s="41"/>
      <c r="J3055" s="41"/>
      <c r="K3055" s="41"/>
      <c r="L3055" s="41"/>
      <c r="M3055" s="41"/>
      <c r="N3055" s="41"/>
      <c r="O3055" s="41"/>
      <c r="P3055" s="28"/>
    </row>
    <row r="3056" customFormat="1" spans="1:16">
      <c r="A3056" s="39"/>
      <c r="B3056" s="40"/>
      <c r="C3056" s="41"/>
      <c r="D3056" s="41"/>
      <c r="E3056" s="41"/>
      <c r="F3056" s="41"/>
      <c r="G3056" s="41"/>
      <c r="H3056" s="41"/>
      <c r="I3056" s="41"/>
      <c r="J3056" s="41"/>
      <c r="K3056" s="41"/>
      <c r="L3056" s="41"/>
      <c r="M3056" s="41"/>
      <c r="N3056" s="41"/>
      <c r="O3056" s="41"/>
      <c r="P3056" s="28"/>
    </row>
    <row r="3057" customFormat="1" spans="1:16">
      <c r="A3057" s="39"/>
      <c r="B3057" s="40"/>
      <c r="C3057" s="41"/>
      <c r="D3057" s="41"/>
      <c r="E3057" s="41"/>
      <c r="F3057" s="41"/>
      <c r="G3057" s="41"/>
      <c r="H3057" s="41"/>
      <c r="I3057" s="41"/>
      <c r="J3057" s="41"/>
      <c r="K3057" s="41"/>
      <c r="L3057" s="41"/>
      <c r="M3057" s="41"/>
      <c r="N3057" s="41"/>
      <c r="O3057" s="41"/>
      <c r="P3057" s="28"/>
    </row>
    <row r="3058" customFormat="1" spans="1:16">
      <c r="A3058" s="39"/>
      <c r="B3058" s="40"/>
      <c r="C3058" s="41"/>
      <c r="D3058" s="41"/>
      <c r="E3058" s="41"/>
      <c r="F3058" s="41"/>
      <c r="G3058" s="41"/>
      <c r="H3058" s="41"/>
      <c r="I3058" s="41"/>
      <c r="J3058" s="41"/>
      <c r="K3058" s="41"/>
      <c r="L3058" s="41"/>
      <c r="M3058" s="41"/>
      <c r="N3058" s="41"/>
      <c r="O3058" s="41"/>
      <c r="P3058" s="28"/>
    </row>
    <row r="3059" customFormat="1" spans="1:16">
      <c r="A3059" s="39"/>
      <c r="B3059" s="40"/>
      <c r="C3059" s="41"/>
      <c r="D3059" s="41"/>
      <c r="E3059" s="41"/>
      <c r="F3059" s="41"/>
      <c r="G3059" s="41"/>
      <c r="H3059" s="41"/>
      <c r="I3059" s="41"/>
      <c r="J3059" s="41"/>
      <c r="K3059" s="41"/>
      <c r="L3059" s="41"/>
      <c r="M3059" s="41"/>
      <c r="N3059" s="41"/>
      <c r="O3059" s="41"/>
      <c r="P3059" s="28"/>
    </row>
    <row r="3060" customFormat="1" spans="1:16">
      <c r="A3060" s="39"/>
      <c r="B3060" s="40"/>
      <c r="C3060" s="41"/>
      <c r="D3060" s="41"/>
      <c r="E3060" s="41"/>
      <c r="F3060" s="41"/>
      <c r="G3060" s="41"/>
      <c r="H3060" s="41"/>
      <c r="I3060" s="41"/>
      <c r="J3060" s="41"/>
      <c r="K3060" s="41"/>
      <c r="L3060" s="41"/>
      <c r="M3060" s="41"/>
      <c r="N3060" s="41"/>
      <c r="O3060" s="41"/>
      <c r="P3060" s="28"/>
    </row>
    <row r="3061" customFormat="1" spans="1:16">
      <c r="A3061" s="39"/>
      <c r="B3061" s="40"/>
      <c r="C3061" s="41"/>
      <c r="D3061" s="41"/>
      <c r="E3061" s="41"/>
      <c r="F3061" s="41"/>
      <c r="G3061" s="41"/>
      <c r="H3061" s="41"/>
      <c r="I3061" s="41"/>
      <c r="J3061" s="41"/>
      <c r="K3061" s="41"/>
      <c r="L3061" s="41"/>
      <c r="M3061" s="41"/>
      <c r="N3061" s="41"/>
      <c r="O3061" s="41"/>
      <c r="P3061" s="28"/>
    </row>
    <row r="3062" customFormat="1" spans="1:16">
      <c r="A3062" s="39"/>
      <c r="B3062" s="40"/>
      <c r="C3062" s="41"/>
      <c r="D3062" s="41"/>
      <c r="E3062" s="41"/>
      <c r="F3062" s="41"/>
      <c r="G3062" s="41"/>
      <c r="H3062" s="41"/>
      <c r="I3062" s="41"/>
      <c r="J3062" s="41"/>
      <c r="K3062" s="41"/>
      <c r="L3062" s="41"/>
      <c r="M3062" s="41"/>
      <c r="N3062" s="41"/>
      <c r="O3062" s="41"/>
      <c r="P3062" s="28"/>
    </row>
    <row r="3063" customFormat="1" spans="1:16">
      <c r="A3063" s="39"/>
      <c r="B3063" s="40"/>
      <c r="C3063" s="41"/>
      <c r="D3063" s="41"/>
      <c r="E3063" s="41"/>
      <c r="F3063" s="41"/>
      <c r="G3063" s="41"/>
      <c r="H3063" s="41"/>
      <c r="I3063" s="41"/>
      <c r="J3063" s="41"/>
      <c r="K3063" s="41"/>
      <c r="L3063" s="41"/>
      <c r="M3063" s="41"/>
      <c r="N3063" s="41"/>
      <c r="O3063" s="41"/>
      <c r="P3063" s="28"/>
    </row>
    <row r="3064" customFormat="1" spans="1:16">
      <c r="A3064" s="39"/>
      <c r="B3064" s="40"/>
      <c r="C3064" s="41"/>
      <c r="D3064" s="41"/>
      <c r="E3064" s="41"/>
      <c r="F3064" s="41"/>
      <c r="G3064" s="41"/>
      <c r="H3064" s="41"/>
      <c r="I3064" s="41"/>
      <c r="J3064" s="41"/>
      <c r="K3064" s="41"/>
      <c r="L3064" s="41"/>
      <c r="M3064" s="41"/>
      <c r="N3064" s="41"/>
      <c r="O3064" s="41"/>
      <c r="P3064" s="28"/>
    </row>
    <row r="3065" customFormat="1" spans="1:16">
      <c r="A3065" s="39"/>
      <c r="B3065" s="40"/>
      <c r="C3065" s="41"/>
      <c r="D3065" s="41"/>
      <c r="E3065" s="41"/>
      <c r="F3065" s="41"/>
      <c r="G3065" s="41"/>
      <c r="H3065" s="41"/>
      <c r="I3065" s="41"/>
      <c r="J3065" s="41"/>
      <c r="K3065" s="41"/>
      <c r="L3065" s="41"/>
      <c r="M3065" s="41"/>
      <c r="N3065" s="41"/>
      <c r="O3065" s="41"/>
      <c r="P3065" s="28"/>
    </row>
    <row r="3066" customFormat="1" spans="1:16">
      <c r="A3066" s="39"/>
      <c r="B3066" s="40"/>
      <c r="C3066" s="41"/>
      <c r="D3066" s="41"/>
      <c r="E3066" s="41"/>
      <c r="F3066" s="41"/>
      <c r="G3066" s="41"/>
      <c r="H3066" s="41"/>
      <c r="I3066" s="41"/>
      <c r="J3066" s="41"/>
      <c r="K3066" s="41"/>
      <c r="L3066" s="41"/>
      <c r="M3066" s="41"/>
      <c r="N3066" s="41"/>
      <c r="O3066" s="41"/>
      <c r="P3066" s="28"/>
    </row>
    <row r="3067" customFormat="1" spans="1:16">
      <c r="A3067" s="39"/>
      <c r="B3067" s="40"/>
      <c r="C3067" s="41"/>
      <c r="D3067" s="41"/>
      <c r="E3067" s="41"/>
      <c r="F3067" s="41"/>
      <c r="G3067" s="41"/>
      <c r="H3067" s="41"/>
      <c r="I3067" s="41"/>
      <c r="J3067" s="41"/>
      <c r="K3067" s="41"/>
      <c r="L3067" s="41"/>
      <c r="M3067" s="41"/>
      <c r="N3067" s="41"/>
      <c r="O3067" s="41"/>
      <c r="P3067" s="28"/>
    </row>
    <row r="3068" customFormat="1" spans="1:16">
      <c r="A3068" s="39"/>
      <c r="B3068" s="40"/>
      <c r="C3068" s="41"/>
      <c r="D3068" s="41"/>
      <c r="E3068" s="41"/>
      <c r="F3068" s="41"/>
      <c r="G3068" s="41"/>
      <c r="H3068" s="41"/>
      <c r="I3068" s="41"/>
      <c r="J3068" s="41"/>
      <c r="K3068" s="41"/>
      <c r="L3068" s="41"/>
      <c r="M3068" s="41"/>
      <c r="N3068" s="41"/>
      <c r="O3068" s="41"/>
      <c r="P3068" s="28"/>
    </row>
    <row r="3069" customFormat="1" spans="1:16">
      <c r="A3069" s="39"/>
      <c r="B3069" s="40"/>
      <c r="C3069" s="41"/>
      <c r="D3069" s="41"/>
      <c r="E3069" s="41"/>
      <c r="F3069" s="41"/>
      <c r="G3069" s="41"/>
      <c r="H3069" s="41"/>
      <c r="I3069" s="41"/>
      <c r="J3069" s="41"/>
      <c r="K3069" s="41"/>
      <c r="L3069" s="41"/>
      <c r="M3069" s="41"/>
      <c r="N3069" s="41"/>
      <c r="O3069" s="41"/>
      <c r="P3069" s="28"/>
    </row>
    <row r="3070" customFormat="1" spans="1:16">
      <c r="A3070" s="39"/>
      <c r="B3070" s="40"/>
      <c r="C3070" s="41"/>
      <c r="D3070" s="41"/>
      <c r="E3070" s="41"/>
      <c r="F3070" s="41"/>
      <c r="G3070" s="41"/>
      <c r="H3070" s="41"/>
      <c r="I3070" s="41"/>
      <c r="J3070" s="41"/>
      <c r="K3070" s="41"/>
      <c r="L3070" s="41"/>
      <c r="M3070" s="41"/>
      <c r="N3070" s="41"/>
      <c r="O3070" s="41"/>
      <c r="P3070" s="28"/>
    </row>
    <row r="3071" customFormat="1" spans="1:16">
      <c r="A3071" s="39"/>
      <c r="B3071" s="40"/>
      <c r="C3071" s="41"/>
      <c r="D3071" s="41"/>
      <c r="E3071" s="41"/>
      <c r="F3071" s="41"/>
      <c r="G3071" s="41"/>
      <c r="H3071" s="41"/>
      <c r="I3071" s="41"/>
      <c r="J3071" s="41"/>
      <c r="K3071" s="41"/>
      <c r="L3071" s="41"/>
      <c r="M3071" s="41"/>
      <c r="N3071" s="41"/>
      <c r="O3071" s="41"/>
      <c r="P3071" s="28"/>
    </row>
    <row r="3072" customFormat="1" spans="1:16">
      <c r="A3072" s="39"/>
      <c r="B3072" s="40"/>
      <c r="C3072" s="41"/>
      <c r="D3072" s="41"/>
      <c r="E3072" s="41"/>
      <c r="F3072" s="41"/>
      <c r="G3072" s="41"/>
      <c r="H3072" s="41"/>
      <c r="I3072" s="41"/>
      <c r="J3072" s="41"/>
      <c r="K3072" s="41"/>
      <c r="L3072" s="41"/>
      <c r="M3072" s="41"/>
      <c r="N3072" s="41"/>
      <c r="O3072" s="41"/>
      <c r="P3072" s="28"/>
    </row>
    <row r="3073" customFormat="1" spans="1:16">
      <c r="A3073" s="39"/>
      <c r="B3073" s="40"/>
      <c r="C3073" s="41"/>
      <c r="D3073" s="41"/>
      <c r="E3073" s="41"/>
      <c r="F3073" s="41"/>
      <c r="G3073" s="41"/>
      <c r="H3073" s="41"/>
      <c r="I3073" s="41"/>
      <c r="J3073" s="41"/>
      <c r="K3073" s="41"/>
      <c r="L3073" s="41"/>
      <c r="M3073" s="41"/>
      <c r="N3073" s="41"/>
      <c r="O3073" s="41"/>
      <c r="P3073" s="28"/>
    </row>
    <row r="3074" customFormat="1" spans="1:16">
      <c r="A3074" s="39"/>
      <c r="B3074" s="40"/>
      <c r="C3074" s="41"/>
      <c r="D3074" s="41"/>
      <c r="E3074" s="41"/>
      <c r="F3074" s="41"/>
      <c r="G3074" s="41"/>
      <c r="H3074" s="41"/>
      <c r="I3074" s="41"/>
      <c r="J3074" s="41"/>
      <c r="K3074" s="41"/>
      <c r="L3074" s="41"/>
      <c r="M3074" s="41"/>
      <c r="N3074" s="41"/>
      <c r="O3074" s="41"/>
      <c r="P3074" s="28"/>
    </row>
    <row r="3075" customFormat="1" spans="1:16">
      <c r="A3075" s="39"/>
      <c r="B3075" s="40"/>
      <c r="C3075" s="41"/>
      <c r="D3075" s="41"/>
      <c r="E3075" s="41"/>
      <c r="F3075" s="41"/>
      <c r="G3075" s="41"/>
      <c r="H3075" s="41"/>
      <c r="I3075" s="41"/>
      <c r="J3075" s="41"/>
      <c r="K3075" s="41"/>
      <c r="L3075" s="41"/>
      <c r="M3075" s="41"/>
      <c r="N3075" s="41"/>
      <c r="O3075" s="41"/>
      <c r="P3075" s="28"/>
    </row>
    <row r="3076" customFormat="1" spans="1:16">
      <c r="A3076" s="39"/>
      <c r="B3076" s="40"/>
      <c r="C3076" s="41"/>
      <c r="D3076" s="41"/>
      <c r="E3076" s="41"/>
      <c r="F3076" s="41"/>
      <c r="G3076" s="41"/>
      <c r="H3076" s="41"/>
      <c r="I3076" s="41"/>
      <c r="J3076" s="41"/>
      <c r="K3076" s="41"/>
      <c r="L3076" s="41"/>
      <c r="M3076" s="41"/>
      <c r="N3076" s="41"/>
      <c r="O3076" s="41"/>
      <c r="P3076" s="28"/>
    </row>
    <row r="3077" customFormat="1" spans="1:16">
      <c r="A3077" s="39"/>
      <c r="B3077" s="40"/>
      <c r="C3077" s="41"/>
      <c r="D3077" s="41"/>
      <c r="E3077" s="41"/>
      <c r="F3077" s="41"/>
      <c r="G3077" s="41"/>
      <c r="H3077" s="41"/>
      <c r="I3077" s="41"/>
      <c r="J3077" s="41"/>
      <c r="K3077" s="41"/>
      <c r="L3077" s="41"/>
      <c r="M3077" s="41"/>
      <c r="N3077" s="41"/>
      <c r="O3077" s="41"/>
      <c r="P3077" s="28"/>
    </row>
    <row r="3078" customFormat="1" spans="1:16">
      <c r="A3078" s="39"/>
      <c r="B3078" s="40"/>
      <c r="C3078" s="41"/>
      <c r="D3078" s="41"/>
      <c r="E3078" s="41"/>
      <c r="F3078" s="41"/>
      <c r="G3078" s="41"/>
      <c r="H3078" s="41"/>
      <c r="I3078" s="41"/>
      <c r="J3078" s="41"/>
      <c r="K3078" s="41"/>
      <c r="L3078" s="41"/>
      <c r="M3078" s="41"/>
      <c r="N3078" s="41"/>
      <c r="O3078" s="41"/>
      <c r="P3078" s="28"/>
    </row>
    <row r="3079" customFormat="1" spans="1:16">
      <c r="A3079" s="39"/>
      <c r="B3079" s="40"/>
      <c r="C3079" s="41"/>
      <c r="D3079" s="41"/>
      <c r="E3079" s="41"/>
      <c r="F3079" s="41"/>
      <c r="G3079" s="41"/>
      <c r="H3079" s="41"/>
      <c r="I3079" s="41"/>
      <c r="J3079" s="41"/>
      <c r="K3079" s="41"/>
      <c r="L3079" s="41"/>
      <c r="M3079" s="41"/>
      <c r="N3079" s="41"/>
      <c r="O3079" s="41"/>
      <c r="P3079" s="28"/>
    </row>
    <row r="3080" customFormat="1" spans="1:16">
      <c r="A3080" s="39"/>
      <c r="B3080" s="40"/>
      <c r="C3080" s="41"/>
      <c r="D3080" s="41"/>
      <c r="E3080" s="41"/>
      <c r="F3080" s="41"/>
      <c r="G3080" s="41"/>
      <c r="H3080" s="41"/>
      <c r="I3080" s="41"/>
      <c r="J3080" s="41"/>
      <c r="K3080" s="41"/>
      <c r="L3080" s="41"/>
      <c r="M3080" s="41"/>
      <c r="N3080" s="41"/>
      <c r="O3080" s="41"/>
      <c r="P3080" s="28"/>
    </row>
    <row r="3081" customFormat="1" spans="1:16">
      <c r="A3081" s="39"/>
      <c r="B3081" s="40"/>
      <c r="C3081" s="41"/>
      <c r="D3081" s="41"/>
      <c r="E3081" s="41"/>
      <c r="F3081" s="41"/>
      <c r="G3081" s="41"/>
      <c r="H3081" s="41"/>
      <c r="I3081" s="41"/>
      <c r="J3081" s="41"/>
      <c r="K3081" s="41"/>
      <c r="L3081" s="41"/>
      <c r="M3081" s="41"/>
      <c r="N3081" s="41"/>
      <c r="O3081" s="41"/>
      <c r="P3081" s="28"/>
    </row>
    <row r="3082" customFormat="1" spans="1:16">
      <c r="A3082" s="39"/>
      <c r="B3082" s="40"/>
      <c r="C3082" s="41"/>
      <c r="D3082" s="41"/>
      <c r="E3082" s="41"/>
      <c r="F3082" s="41"/>
      <c r="G3082" s="41"/>
      <c r="H3082" s="41"/>
      <c r="I3082" s="41"/>
      <c r="J3082" s="41"/>
      <c r="K3082" s="41"/>
      <c r="L3082" s="41"/>
      <c r="M3082" s="41"/>
      <c r="N3082" s="41"/>
      <c r="O3082" s="41"/>
      <c r="P3082" s="28"/>
    </row>
    <row r="3083" customFormat="1" spans="1:16">
      <c r="A3083" s="39"/>
      <c r="B3083" s="40"/>
      <c r="C3083" s="41"/>
      <c r="D3083" s="41"/>
      <c r="E3083" s="41"/>
      <c r="F3083" s="41"/>
      <c r="G3083" s="41"/>
      <c r="H3083" s="41"/>
      <c r="I3083" s="41"/>
      <c r="J3083" s="41"/>
      <c r="K3083" s="41"/>
      <c r="L3083" s="41"/>
      <c r="M3083" s="41"/>
      <c r="N3083" s="41"/>
      <c r="O3083" s="41"/>
      <c r="P3083" s="28"/>
    </row>
    <row r="3084" customFormat="1" spans="1:16">
      <c r="A3084" s="39"/>
      <c r="B3084" s="40"/>
      <c r="C3084" s="41"/>
      <c r="D3084" s="41"/>
      <c r="E3084" s="41"/>
      <c r="F3084" s="41"/>
      <c r="G3084" s="41"/>
      <c r="H3084" s="41"/>
      <c r="I3084" s="41"/>
      <c r="J3084" s="41"/>
      <c r="K3084" s="41"/>
      <c r="L3084" s="41"/>
      <c r="M3084" s="41"/>
      <c r="N3084" s="41"/>
      <c r="O3084" s="41"/>
      <c r="P3084" s="28"/>
    </row>
    <row r="3085" customFormat="1" spans="1:16">
      <c r="A3085" s="39"/>
      <c r="B3085" s="40"/>
      <c r="C3085" s="41"/>
      <c r="D3085" s="41"/>
      <c r="E3085" s="41"/>
      <c r="F3085" s="41"/>
      <c r="G3085" s="41"/>
      <c r="H3085" s="41"/>
      <c r="I3085" s="41"/>
      <c r="J3085" s="41"/>
      <c r="K3085" s="41"/>
      <c r="L3085" s="41"/>
      <c r="M3085" s="41"/>
      <c r="N3085" s="41"/>
      <c r="O3085" s="41"/>
      <c r="P3085" s="28"/>
    </row>
    <row r="3086" customFormat="1" spans="1:16">
      <c r="A3086" s="39"/>
      <c r="B3086" s="40"/>
      <c r="C3086" s="41"/>
      <c r="D3086" s="41"/>
      <c r="E3086" s="41"/>
      <c r="F3086" s="41"/>
      <c r="G3086" s="41"/>
      <c r="H3086" s="41"/>
      <c r="I3086" s="41"/>
      <c r="J3086" s="41"/>
      <c r="K3086" s="41"/>
      <c r="L3086" s="41"/>
      <c r="M3086" s="41"/>
      <c r="N3086" s="41"/>
      <c r="O3086" s="41"/>
      <c r="P3086" s="28"/>
    </row>
    <row r="3087" customFormat="1" spans="1:16">
      <c r="A3087" s="39"/>
      <c r="B3087" s="40"/>
      <c r="C3087" s="41"/>
      <c r="D3087" s="41"/>
      <c r="E3087" s="41"/>
      <c r="F3087" s="41"/>
      <c r="G3087" s="41"/>
      <c r="H3087" s="41"/>
      <c r="I3087" s="41"/>
      <c r="J3087" s="41"/>
      <c r="K3087" s="41"/>
      <c r="L3087" s="41"/>
      <c r="M3087" s="41"/>
      <c r="N3087" s="41"/>
      <c r="O3087" s="41"/>
      <c r="P3087" s="28"/>
    </row>
    <row r="3088" customFormat="1" spans="1:16">
      <c r="A3088" s="39"/>
      <c r="B3088" s="40"/>
      <c r="C3088" s="41"/>
      <c r="D3088" s="41"/>
      <c r="E3088" s="41"/>
      <c r="F3088" s="41"/>
      <c r="G3088" s="41"/>
      <c r="H3088" s="41"/>
      <c r="I3088" s="41"/>
      <c r="J3088" s="41"/>
      <c r="K3088" s="41"/>
      <c r="L3088" s="41"/>
      <c r="M3088" s="41"/>
      <c r="N3088" s="41"/>
      <c r="O3088" s="41"/>
      <c r="P3088" s="28"/>
    </row>
    <row r="3089" customFormat="1" spans="1:16">
      <c r="A3089" s="39"/>
      <c r="B3089" s="40"/>
      <c r="C3089" s="41"/>
      <c r="D3089" s="41"/>
      <c r="E3089" s="41"/>
      <c r="F3089" s="41"/>
      <c r="G3089" s="41"/>
      <c r="H3089" s="41"/>
      <c r="I3089" s="41"/>
      <c r="J3089" s="41"/>
      <c r="K3089" s="41"/>
      <c r="L3089" s="41"/>
      <c r="M3089" s="41"/>
      <c r="N3089" s="41"/>
      <c r="O3089" s="41"/>
      <c r="P3089" s="28"/>
    </row>
    <row r="3090" customFormat="1" spans="1:16">
      <c r="A3090" s="39"/>
      <c r="B3090" s="40"/>
      <c r="C3090" s="41"/>
      <c r="D3090" s="41"/>
      <c r="E3090" s="41"/>
      <c r="F3090" s="41"/>
      <c r="G3090" s="41"/>
      <c r="H3090" s="41"/>
      <c r="I3090" s="41"/>
      <c r="J3090" s="41"/>
      <c r="K3090" s="41"/>
      <c r="L3090" s="41"/>
      <c r="M3090" s="41"/>
      <c r="N3090" s="41"/>
      <c r="O3090" s="41"/>
      <c r="P3090" s="28"/>
    </row>
    <row r="3091" customFormat="1" spans="1:16">
      <c r="A3091" s="39"/>
      <c r="B3091" s="40"/>
      <c r="C3091" s="41"/>
      <c r="D3091" s="41"/>
      <c r="E3091" s="41"/>
      <c r="F3091" s="41"/>
      <c r="G3091" s="41"/>
      <c r="H3091" s="41"/>
      <c r="I3091" s="41"/>
      <c r="J3091" s="41"/>
      <c r="K3091" s="41"/>
      <c r="L3091" s="41"/>
      <c r="M3091" s="41"/>
      <c r="N3091" s="41"/>
      <c r="O3091" s="41"/>
      <c r="P3091" s="28"/>
    </row>
    <row r="3092" customFormat="1" spans="1:16">
      <c r="A3092" s="39"/>
      <c r="B3092" s="40"/>
      <c r="C3092" s="41"/>
      <c r="D3092" s="41"/>
      <c r="E3092" s="41"/>
      <c r="F3092" s="41"/>
      <c r="G3092" s="41"/>
      <c r="H3092" s="41"/>
      <c r="I3092" s="41"/>
      <c r="J3092" s="41"/>
      <c r="K3092" s="41"/>
      <c r="L3092" s="41"/>
      <c r="M3092" s="41"/>
      <c r="N3092" s="41"/>
      <c r="O3092" s="41"/>
      <c r="P3092" s="28"/>
    </row>
    <row r="3093" customFormat="1" spans="1:16">
      <c r="A3093" s="39"/>
      <c r="B3093" s="40"/>
      <c r="C3093" s="41"/>
      <c r="D3093" s="41"/>
      <c r="E3093" s="41"/>
      <c r="F3093" s="41"/>
      <c r="G3093" s="41"/>
      <c r="H3093" s="41"/>
      <c r="I3093" s="41"/>
      <c r="J3093" s="41"/>
      <c r="K3093" s="41"/>
      <c r="L3093" s="41"/>
      <c r="M3093" s="41"/>
      <c r="N3093" s="41"/>
      <c r="O3093" s="41"/>
      <c r="P3093" s="28"/>
    </row>
    <row r="3094" customFormat="1" spans="1:16">
      <c r="A3094" s="39"/>
      <c r="B3094" s="40"/>
      <c r="C3094" s="41"/>
      <c r="D3094" s="41"/>
      <c r="E3094" s="41"/>
      <c r="F3094" s="41"/>
      <c r="G3094" s="41"/>
      <c r="H3094" s="41"/>
      <c r="I3094" s="41"/>
      <c r="J3094" s="41"/>
      <c r="K3094" s="41"/>
      <c r="L3094" s="41"/>
      <c r="M3094" s="41"/>
      <c r="N3094" s="41"/>
      <c r="O3094" s="41"/>
      <c r="P3094" s="28"/>
    </row>
    <row r="3095" customFormat="1" spans="1:16">
      <c r="A3095" s="39"/>
      <c r="B3095" s="40"/>
      <c r="C3095" s="41"/>
      <c r="D3095" s="41"/>
      <c r="E3095" s="41"/>
      <c r="F3095" s="41"/>
      <c r="G3095" s="41"/>
      <c r="H3095" s="41"/>
      <c r="I3095" s="41"/>
      <c r="J3095" s="41"/>
      <c r="K3095" s="41"/>
      <c r="L3095" s="41"/>
      <c r="M3095" s="41"/>
      <c r="N3095" s="41"/>
      <c r="O3095" s="41"/>
      <c r="P3095" s="28"/>
    </row>
    <row r="3096" customFormat="1" spans="1:16">
      <c r="A3096" s="39"/>
      <c r="B3096" s="40"/>
      <c r="C3096" s="41"/>
      <c r="D3096" s="41"/>
      <c r="E3096" s="41"/>
      <c r="F3096" s="41"/>
      <c r="G3096" s="41"/>
      <c r="H3096" s="41"/>
      <c r="I3096" s="41"/>
      <c r="J3096" s="41"/>
      <c r="K3096" s="41"/>
      <c r="L3096" s="41"/>
      <c r="M3096" s="41"/>
      <c r="N3096" s="41"/>
      <c r="O3096" s="41"/>
      <c r="P3096" s="28"/>
    </row>
    <row r="3097" customFormat="1" spans="1:16">
      <c r="A3097" s="39"/>
      <c r="B3097" s="40"/>
      <c r="C3097" s="41"/>
      <c r="D3097" s="41"/>
      <c r="E3097" s="41"/>
      <c r="F3097" s="41"/>
      <c r="G3097" s="41"/>
      <c r="H3097" s="41"/>
      <c r="I3097" s="41"/>
      <c r="J3097" s="41"/>
      <c r="K3097" s="41"/>
      <c r="L3097" s="41"/>
      <c r="M3097" s="41"/>
      <c r="N3097" s="41"/>
      <c r="O3097" s="41"/>
      <c r="P3097" s="28"/>
    </row>
    <row r="3098" customFormat="1" spans="1:16">
      <c r="A3098" s="39"/>
      <c r="B3098" s="40"/>
      <c r="C3098" s="41"/>
      <c r="D3098" s="41"/>
      <c r="E3098" s="41"/>
      <c r="F3098" s="41"/>
      <c r="G3098" s="41"/>
      <c r="H3098" s="41"/>
      <c r="I3098" s="41"/>
      <c r="J3098" s="41"/>
      <c r="K3098" s="41"/>
      <c r="L3098" s="41"/>
      <c r="M3098" s="41"/>
      <c r="N3098" s="41"/>
      <c r="O3098" s="41"/>
      <c r="P3098" s="28"/>
    </row>
    <row r="3099" customFormat="1" spans="1:16">
      <c r="A3099" s="39"/>
      <c r="B3099" s="40"/>
      <c r="C3099" s="41"/>
      <c r="D3099" s="41"/>
      <c r="E3099" s="41"/>
      <c r="F3099" s="41"/>
      <c r="G3099" s="41"/>
      <c r="H3099" s="41"/>
      <c r="I3099" s="41"/>
      <c r="J3099" s="41"/>
      <c r="K3099" s="41"/>
      <c r="L3099" s="41"/>
      <c r="M3099" s="41"/>
      <c r="N3099" s="41"/>
      <c r="O3099" s="41"/>
      <c r="P3099" s="28"/>
    </row>
    <row r="3100" customFormat="1" spans="1:16">
      <c r="A3100" s="39"/>
      <c r="B3100" s="40"/>
      <c r="C3100" s="41"/>
      <c r="D3100" s="41"/>
      <c r="E3100" s="41"/>
      <c r="F3100" s="41"/>
      <c r="G3100" s="41"/>
      <c r="H3100" s="41"/>
      <c r="I3100" s="41"/>
      <c r="J3100" s="41"/>
      <c r="K3100" s="41"/>
      <c r="L3100" s="41"/>
      <c r="M3100" s="41"/>
      <c r="N3100" s="41"/>
      <c r="O3100" s="41"/>
      <c r="P3100" s="28"/>
    </row>
    <row r="3101" customFormat="1" spans="1:16">
      <c r="A3101" s="39"/>
      <c r="B3101" s="40"/>
      <c r="C3101" s="41"/>
      <c r="D3101" s="41"/>
      <c r="E3101" s="41"/>
      <c r="F3101" s="41"/>
      <c r="G3101" s="41"/>
      <c r="H3101" s="41"/>
      <c r="I3101" s="41"/>
      <c r="J3101" s="41"/>
      <c r="K3101" s="41"/>
      <c r="L3101" s="41"/>
      <c r="M3101" s="41"/>
      <c r="N3101" s="41"/>
      <c r="O3101" s="41"/>
      <c r="P3101" s="28"/>
    </row>
    <row r="3102" customFormat="1" spans="1:16">
      <c r="A3102" s="39"/>
      <c r="B3102" s="40"/>
      <c r="C3102" s="41"/>
      <c r="D3102" s="41"/>
      <c r="E3102" s="41"/>
      <c r="F3102" s="41"/>
      <c r="G3102" s="41"/>
      <c r="H3102" s="41"/>
      <c r="I3102" s="41"/>
      <c r="J3102" s="41"/>
      <c r="K3102" s="41"/>
      <c r="L3102" s="41"/>
      <c r="M3102" s="41"/>
      <c r="N3102" s="41"/>
      <c r="O3102" s="41"/>
      <c r="P3102" s="28"/>
    </row>
    <row r="3103" customFormat="1" spans="1:16">
      <c r="A3103" s="39"/>
      <c r="B3103" s="40"/>
      <c r="C3103" s="41"/>
      <c r="D3103" s="41"/>
      <c r="E3103" s="41"/>
      <c r="F3103" s="41"/>
      <c r="G3103" s="41"/>
      <c r="H3103" s="41"/>
      <c r="I3103" s="41"/>
      <c r="J3103" s="41"/>
      <c r="K3103" s="41"/>
      <c r="L3103" s="41"/>
      <c r="M3103" s="41"/>
      <c r="N3103" s="41"/>
      <c r="O3103" s="41"/>
      <c r="P3103" s="28"/>
    </row>
    <row r="3104" customFormat="1" spans="1:16">
      <c r="A3104" s="39"/>
      <c r="B3104" s="40"/>
      <c r="C3104" s="41"/>
      <c r="D3104" s="41"/>
      <c r="E3104" s="41"/>
      <c r="F3104" s="41"/>
      <c r="G3104" s="41"/>
      <c r="H3104" s="41"/>
      <c r="I3104" s="41"/>
      <c r="J3104" s="41"/>
      <c r="K3104" s="41"/>
      <c r="L3104" s="41"/>
      <c r="M3104" s="41"/>
      <c r="N3104" s="41"/>
      <c r="O3104" s="41"/>
      <c r="P3104" s="28"/>
    </row>
    <row r="3105" customFormat="1" spans="1:16">
      <c r="A3105" s="39"/>
      <c r="B3105" s="40"/>
      <c r="C3105" s="41"/>
      <c r="D3105" s="41"/>
      <c r="E3105" s="41"/>
      <c r="F3105" s="41"/>
      <c r="G3105" s="41"/>
      <c r="H3105" s="41"/>
      <c r="I3105" s="41"/>
      <c r="J3105" s="41"/>
      <c r="K3105" s="41"/>
      <c r="L3105" s="41"/>
      <c r="M3105" s="41"/>
      <c r="N3105" s="41"/>
      <c r="O3105" s="41"/>
      <c r="P3105" s="28"/>
    </row>
    <row r="3106" customFormat="1" spans="1:16">
      <c r="A3106" s="39"/>
      <c r="B3106" s="40"/>
      <c r="C3106" s="41"/>
      <c r="D3106" s="41"/>
      <c r="E3106" s="41"/>
      <c r="F3106" s="41"/>
      <c r="G3106" s="41"/>
      <c r="H3106" s="41"/>
      <c r="I3106" s="41"/>
      <c r="J3106" s="41"/>
      <c r="K3106" s="41"/>
      <c r="L3106" s="41"/>
      <c r="M3106" s="41"/>
      <c r="N3106" s="41"/>
      <c r="O3106" s="41"/>
      <c r="P3106" s="28"/>
    </row>
    <row r="3107" customFormat="1" spans="1:16">
      <c r="A3107" s="39"/>
      <c r="B3107" s="40"/>
      <c r="C3107" s="41"/>
      <c r="D3107" s="41"/>
      <c r="E3107" s="41"/>
      <c r="F3107" s="41"/>
      <c r="G3107" s="41"/>
      <c r="H3107" s="41"/>
      <c r="I3107" s="41"/>
      <c r="J3107" s="41"/>
      <c r="K3107" s="41"/>
      <c r="L3107" s="41"/>
      <c r="M3107" s="41"/>
      <c r="N3107" s="41"/>
      <c r="O3107" s="41"/>
      <c r="P3107" s="28"/>
    </row>
    <row r="3108" customFormat="1" spans="1:16">
      <c r="A3108" s="39"/>
      <c r="B3108" s="40"/>
      <c r="C3108" s="41"/>
      <c r="D3108" s="41"/>
      <c r="E3108" s="41"/>
      <c r="F3108" s="41"/>
      <c r="G3108" s="41"/>
      <c r="H3108" s="41"/>
      <c r="I3108" s="41"/>
      <c r="J3108" s="41"/>
      <c r="K3108" s="41"/>
      <c r="L3108" s="41"/>
      <c r="M3108" s="41"/>
      <c r="N3108" s="41"/>
      <c r="O3108" s="41"/>
      <c r="P3108" s="28"/>
    </row>
    <row r="3109" customFormat="1" spans="1:16">
      <c r="A3109" s="39"/>
      <c r="B3109" s="40"/>
      <c r="C3109" s="41"/>
      <c r="D3109" s="41"/>
      <c r="E3109" s="41"/>
      <c r="F3109" s="41"/>
      <c r="G3109" s="41"/>
      <c r="H3109" s="41"/>
      <c r="I3109" s="41"/>
      <c r="J3109" s="41"/>
      <c r="K3109" s="41"/>
      <c r="L3109" s="41"/>
      <c r="M3109" s="41"/>
      <c r="N3109" s="41"/>
      <c r="O3109" s="41"/>
      <c r="P3109" s="28"/>
    </row>
    <row r="3110" customFormat="1" spans="1:16">
      <c r="A3110" s="39"/>
      <c r="B3110" s="40"/>
      <c r="C3110" s="41"/>
      <c r="D3110" s="41"/>
      <c r="E3110" s="41"/>
      <c r="F3110" s="41"/>
      <c r="G3110" s="41"/>
      <c r="H3110" s="41"/>
      <c r="I3110" s="41"/>
      <c r="J3110" s="41"/>
      <c r="K3110" s="41"/>
      <c r="L3110" s="41"/>
      <c r="M3110" s="41"/>
      <c r="N3110" s="41"/>
      <c r="O3110" s="41"/>
      <c r="P3110" s="28"/>
    </row>
    <row r="3111" customFormat="1" spans="1:16">
      <c r="A3111" s="39"/>
      <c r="B3111" s="40"/>
      <c r="C3111" s="41"/>
      <c r="D3111" s="41"/>
      <c r="E3111" s="41"/>
      <c r="F3111" s="41"/>
      <c r="G3111" s="41"/>
      <c r="H3111" s="41"/>
      <c r="I3111" s="41"/>
      <c r="J3111" s="41"/>
      <c r="K3111" s="41"/>
      <c r="L3111" s="41"/>
      <c r="M3111" s="41"/>
      <c r="N3111" s="41"/>
      <c r="O3111" s="41"/>
      <c r="P3111" s="28"/>
    </row>
    <row r="3112" customFormat="1" spans="1:16">
      <c r="A3112" s="39"/>
      <c r="B3112" s="40"/>
      <c r="C3112" s="41"/>
      <c r="D3112" s="41"/>
      <c r="E3112" s="41"/>
      <c r="F3112" s="41"/>
      <c r="G3112" s="41"/>
      <c r="H3112" s="41"/>
      <c r="I3112" s="41"/>
      <c r="J3112" s="41"/>
      <c r="K3112" s="41"/>
      <c r="L3112" s="41"/>
      <c r="M3112" s="41"/>
      <c r="N3112" s="41"/>
      <c r="O3112" s="41"/>
      <c r="P3112" s="28"/>
    </row>
    <row r="3113" customFormat="1" spans="1:16">
      <c r="A3113" s="39"/>
      <c r="B3113" s="40"/>
      <c r="C3113" s="41"/>
      <c r="D3113" s="41"/>
      <c r="E3113" s="41"/>
      <c r="F3113" s="41"/>
      <c r="G3113" s="41"/>
      <c r="H3113" s="41"/>
      <c r="I3113" s="41"/>
      <c r="J3113" s="41"/>
      <c r="K3113" s="41"/>
      <c r="L3113" s="41"/>
      <c r="M3113" s="41"/>
      <c r="N3113" s="41"/>
      <c r="O3113" s="41"/>
      <c r="P3113" s="28"/>
    </row>
    <row r="3114" customFormat="1" spans="1:16">
      <c r="A3114" s="39"/>
      <c r="B3114" s="40"/>
      <c r="C3114" s="41"/>
      <c r="D3114" s="41"/>
      <c r="E3114" s="41"/>
      <c r="F3114" s="41"/>
      <c r="G3114" s="41"/>
      <c r="H3114" s="41"/>
      <c r="I3114" s="41"/>
      <c r="J3114" s="41"/>
      <c r="K3114" s="41"/>
      <c r="L3114" s="41"/>
      <c r="M3114" s="41"/>
      <c r="N3114" s="41"/>
      <c r="O3114" s="41"/>
      <c r="P3114" s="28"/>
    </row>
    <row r="3115" customFormat="1" spans="1:16">
      <c r="A3115" s="39"/>
      <c r="B3115" s="40"/>
      <c r="C3115" s="41"/>
      <c r="D3115" s="41"/>
      <c r="E3115" s="41"/>
      <c r="F3115" s="41"/>
      <c r="G3115" s="41"/>
      <c r="H3115" s="41"/>
      <c r="I3115" s="41"/>
      <c r="J3115" s="41"/>
      <c r="K3115" s="41"/>
      <c r="L3115" s="41"/>
      <c r="M3115" s="41"/>
      <c r="N3115" s="41"/>
      <c r="O3115" s="41"/>
      <c r="P3115" s="28"/>
    </row>
    <row r="3116" customFormat="1" spans="1:16">
      <c r="A3116" s="39"/>
      <c r="B3116" s="40"/>
      <c r="C3116" s="41"/>
      <c r="D3116" s="41"/>
      <c r="E3116" s="41"/>
      <c r="F3116" s="41"/>
      <c r="G3116" s="41"/>
      <c r="H3116" s="41"/>
      <c r="I3116" s="41"/>
      <c r="J3116" s="41"/>
      <c r="K3116" s="41"/>
      <c r="L3116" s="41"/>
      <c r="M3116" s="41"/>
      <c r="N3116" s="41"/>
      <c r="O3116" s="41"/>
      <c r="P3116" s="28"/>
    </row>
    <row r="3117" customFormat="1" spans="1:16">
      <c r="A3117" s="39"/>
      <c r="B3117" s="40"/>
      <c r="C3117" s="41"/>
      <c r="D3117" s="41"/>
      <c r="E3117" s="41"/>
      <c r="F3117" s="41"/>
      <c r="G3117" s="41"/>
      <c r="H3117" s="41"/>
      <c r="I3117" s="41"/>
      <c r="J3117" s="41"/>
      <c r="K3117" s="41"/>
      <c r="L3117" s="41"/>
      <c r="M3117" s="41"/>
      <c r="N3117" s="41"/>
      <c r="O3117" s="41"/>
      <c r="P3117" s="28"/>
    </row>
    <row r="3118" customFormat="1" spans="1:16">
      <c r="A3118" s="39"/>
      <c r="B3118" s="40"/>
      <c r="C3118" s="41"/>
      <c r="D3118" s="41"/>
      <c r="E3118" s="41"/>
      <c r="F3118" s="41"/>
      <c r="G3118" s="41"/>
      <c r="H3118" s="41"/>
      <c r="I3118" s="41"/>
      <c r="J3118" s="41"/>
      <c r="K3118" s="41"/>
      <c r="L3118" s="41"/>
      <c r="M3118" s="41"/>
      <c r="N3118" s="41"/>
      <c r="O3118" s="41"/>
      <c r="P3118" s="28"/>
    </row>
    <row r="3119" customFormat="1" spans="1:16">
      <c r="A3119" s="39"/>
      <c r="B3119" s="40"/>
      <c r="C3119" s="41"/>
      <c r="D3119" s="41"/>
      <c r="E3119" s="41"/>
      <c r="F3119" s="41"/>
      <c r="G3119" s="41"/>
      <c r="H3119" s="41"/>
      <c r="I3119" s="41"/>
      <c r="J3119" s="41"/>
      <c r="K3119" s="41"/>
      <c r="L3119" s="41"/>
      <c r="M3119" s="41"/>
      <c r="N3119" s="41"/>
      <c r="O3119" s="41"/>
      <c r="P3119" s="28"/>
    </row>
    <row r="3120" customFormat="1" spans="1:16">
      <c r="A3120" s="39"/>
      <c r="B3120" s="40"/>
      <c r="C3120" s="41"/>
      <c r="D3120" s="41"/>
      <c r="E3120" s="41"/>
      <c r="F3120" s="41"/>
      <c r="G3120" s="41"/>
      <c r="H3120" s="41"/>
      <c r="I3120" s="41"/>
      <c r="J3120" s="41"/>
      <c r="K3120" s="41"/>
      <c r="L3120" s="41"/>
      <c r="M3120" s="41"/>
      <c r="N3120" s="41"/>
      <c r="O3120" s="41"/>
      <c r="P3120" s="28"/>
    </row>
    <row r="3121" customFormat="1" spans="1:16">
      <c r="A3121" s="39"/>
      <c r="B3121" s="40"/>
      <c r="C3121" s="41"/>
      <c r="D3121" s="41"/>
      <c r="E3121" s="41"/>
      <c r="F3121" s="41"/>
      <c r="G3121" s="41"/>
      <c r="H3121" s="41"/>
      <c r="I3121" s="41"/>
      <c r="J3121" s="41"/>
      <c r="K3121" s="41"/>
      <c r="L3121" s="41"/>
      <c r="M3121" s="41"/>
      <c r="N3121" s="41"/>
      <c r="O3121" s="41"/>
      <c r="P3121" s="28"/>
    </row>
    <row r="3122" customFormat="1" spans="1:16">
      <c r="A3122" s="39"/>
      <c r="B3122" s="40"/>
      <c r="C3122" s="41"/>
      <c r="D3122" s="41"/>
      <c r="E3122" s="41"/>
      <c r="F3122" s="41"/>
      <c r="G3122" s="41"/>
      <c r="H3122" s="41"/>
      <c r="I3122" s="41"/>
      <c r="J3122" s="41"/>
      <c r="K3122" s="41"/>
      <c r="L3122" s="41"/>
      <c r="M3122" s="41"/>
      <c r="N3122" s="41"/>
      <c r="O3122" s="41"/>
      <c r="P3122" s="28"/>
    </row>
    <row r="3123" customFormat="1" spans="1:16">
      <c r="A3123" s="39"/>
      <c r="B3123" s="40"/>
      <c r="C3123" s="41"/>
      <c r="D3123" s="41"/>
      <c r="E3123" s="41"/>
      <c r="F3123" s="41"/>
      <c r="G3123" s="41"/>
      <c r="H3123" s="41"/>
      <c r="I3123" s="41"/>
      <c r="J3123" s="41"/>
      <c r="K3123" s="41"/>
      <c r="L3123" s="41"/>
      <c r="M3123" s="41"/>
      <c r="N3123" s="41"/>
      <c r="O3123" s="41"/>
      <c r="P3123" s="28"/>
    </row>
    <row r="3124" customFormat="1" spans="1:16">
      <c r="A3124" s="39"/>
      <c r="B3124" s="40"/>
      <c r="C3124" s="41"/>
      <c r="D3124" s="41"/>
      <c r="E3124" s="41"/>
      <c r="F3124" s="41"/>
      <c r="G3124" s="41"/>
      <c r="H3124" s="41"/>
      <c r="I3124" s="41"/>
      <c r="J3124" s="41"/>
      <c r="K3124" s="41"/>
      <c r="L3124" s="41"/>
      <c r="M3124" s="41"/>
      <c r="N3124" s="41"/>
      <c r="O3124" s="41"/>
      <c r="P3124" s="28"/>
    </row>
    <row r="3125" customFormat="1" spans="1:16">
      <c r="A3125" s="39"/>
      <c r="B3125" s="40"/>
      <c r="C3125" s="41"/>
      <c r="D3125" s="41"/>
      <c r="E3125" s="41"/>
      <c r="F3125" s="41"/>
      <c r="G3125" s="41"/>
      <c r="H3125" s="41"/>
      <c r="I3125" s="41"/>
      <c r="J3125" s="41"/>
      <c r="K3125" s="41"/>
      <c r="L3125" s="41"/>
      <c r="M3125" s="41"/>
      <c r="N3125" s="41"/>
      <c r="O3125" s="41"/>
      <c r="P3125" s="28"/>
    </row>
    <row r="3126" customFormat="1" spans="1:16">
      <c r="A3126" s="39"/>
      <c r="B3126" s="40"/>
      <c r="C3126" s="41"/>
      <c r="D3126" s="41"/>
      <c r="E3126" s="41"/>
      <c r="F3126" s="41"/>
      <c r="G3126" s="41"/>
      <c r="H3126" s="41"/>
      <c r="I3126" s="41"/>
      <c r="J3126" s="41"/>
      <c r="K3126" s="41"/>
      <c r="L3126" s="41"/>
      <c r="M3126" s="41"/>
      <c r="N3126" s="41"/>
      <c r="O3126" s="41"/>
      <c r="P3126" s="28"/>
    </row>
    <row r="3127" customFormat="1" spans="1:16">
      <c r="A3127" s="39"/>
      <c r="B3127" s="40"/>
      <c r="C3127" s="41"/>
      <c r="D3127" s="41"/>
      <c r="E3127" s="41"/>
      <c r="F3127" s="41"/>
      <c r="G3127" s="41"/>
      <c r="H3127" s="41"/>
      <c r="I3127" s="41"/>
      <c r="J3127" s="41"/>
      <c r="K3127" s="41"/>
      <c r="L3127" s="41"/>
      <c r="M3127" s="41"/>
      <c r="N3127" s="41"/>
      <c r="O3127" s="41"/>
      <c r="P3127" s="28"/>
    </row>
    <row r="3128" customFormat="1" spans="1:16">
      <c r="A3128" s="39"/>
      <c r="B3128" s="40"/>
      <c r="C3128" s="41"/>
      <c r="D3128" s="41"/>
      <c r="E3128" s="41"/>
      <c r="F3128" s="41"/>
      <c r="G3128" s="41"/>
      <c r="H3128" s="41"/>
      <c r="I3128" s="41"/>
      <c r="J3128" s="41"/>
      <c r="K3128" s="41"/>
      <c r="L3128" s="41"/>
      <c r="M3128" s="41"/>
      <c r="N3128" s="41"/>
      <c r="O3128" s="41"/>
      <c r="P3128" s="28"/>
    </row>
    <row r="3129" customFormat="1" spans="1:16">
      <c r="A3129" s="39"/>
      <c r="B3129" s="40"/>
      <c r="C3129" s="41"/>
      <c r="D3129" s="41"/>
      <c r="E3129" s="41"/>
      <c r="F3129" s="41"/>
      <c r="G3129" s="41"/>
      <c r="H3129" s="41"/>
      <c r="I3129" s="41"/>
      <c r="J3129" s="41"/>
      <c r="K3129" s="41"/>
      <c r="L3129" s="41"/>
      <c r="M3129" s="41"/>
      <c r="N3129" s="41"/>
      <c r="O3129" s="41"/>
      <c r="P3129" s="28"/>
    </row>
    <row r="3130" customFormat="1" spans="1:16">
      <c r="A3130" s="39"/>
      <c r="B3130" s="40"/>
      <c r="C3130" s="41"/>
      <c r="D3130" s="41"/>
      <c r="E3130" s="41"/>
      <c r="F3130" s="41"/>
      <c r="G3130" s="41"/>
      <c r="H3130" s="41"/>
      <c r="I3130" s="41"/>
      <c r="J3130" s="41"/>
      <c r="K3130" s="41"/>
      <c r="L3130" s="41"/>
      <c r="M3130" s="41"/>
      <c r="N3130" s="41"/>
      <c r="O3130" s="41"/>
      <c r="P3130" s="28"/>
    </row>
    <row r="3131" customFormat="1" spans="1:16">
      <c r="A3131" s="39"/>
      <c r="B3131" s="40"/>
      <c r="C3131" s="41"/>
      <c r="D3131" s="41"/>
      <c r="E3131" s="41"/>
      <c r="F3131" s="41"/>
      <c r="G3131" s="41"/>
      <c r="H3131" s="41"/>
      <c r="I3131" s="41"/>
      <c r="J3131" s="41"/>
      <c r="K3131" s="41"/>
      <c r="L3131" s="41"/>
      <c r="M3131" s="41"/>
      <c r="N3131" s="41"/>
      <c r="O3131" s="41"/>
      <c r="P3131" s="28"/>
    </row>
    <row r="3132" customFormat="1" spans="1:16">
      <c r="A3132" s="39"/>
      <c r="B3132" s="40"/>
      <c r="C3132" s="41"/>
      <c r="D3132" s="41"/>
      <c r="E3132" s="41"/>
      <c r="F3132" s="41"/>
      <c r="G3132" s="41"/>
      <c r="H3132" s="41"/>
      <c r="I3132" s="41"/>
      <c r="J3132" s="41"/>
      <c r="K3132" s="41"/>
      <c r="L3132" s="41"/>
      <c r="M3132" s="41"/>
      <c r="N3132" s="41"/>
      <c r="O3132" s="41"/>
      <c r="P3132" s="28"/>
    </row>
    <row r="3133" customFormat="1" spans="1:16">
      <c r="A3133" s="39"/>
      <c r="B3133" s="40"/>
      <c r="C3133" s="41"/>
      <c r="D3133" s="41"/>
      <c r="E3133" s="41"/>
      <c r="F3133" s="41"/>
      <c r="G3133" s="41"/>
      <c r="H3133" s="41"/>
      <c r="I3133" s="41"/>
      <c r="J3133" s="41"/>
      <c r="K3133" s="41"/>
      <c r="L3133" s="41"/>
      <c r="M3133" s="41"/>
      <c r="N3133" s="41"/>
      <c r="O3133" s="41"/>
      <c r="P3133" s="28"/>
    </row>
    <row r="3134" customFormat="1" spans="1:16">
      <c r="A3134" s="39"/>
      <c r="B3134" s="40"/>
      <c r="C3134" s="41"/>
      <c r="D3134" s="41"/>
      <c r="E3134" s="41"/>
      <c r="F3134" s="41"/>
      <c r="G3134" s="41"/>
      <c r="H3134" s="41"/>
      <c r="I3134" s="41"/>
      <c r="J3134" s="41"/>
      <c r="K3134" s="41"/>
      <c r="L3134" s="41"/>
      <c r="M3134" s="41"/>
      <c r="N3134" s="41"/>
      <c r="O3134" s="41"/>
      <c r="P3134" s="28"/>
    </row>
    <row r="3135" customFormat="1" spans="1:16">
      <c r="A3135" s="39"/>
      <c r="B3135" s="40"/>
      <c r="C3135" s="41"/>
      <c r="D3135" s="41"/>
      <c r="E3135" s="41"/>
      <c r="F3135" s="41"/>
      <c r="G3135" s="41"/>
      <c r="H3135" s="41"/>
      <c r="I3135" s="41"/>
      <c r="J3135" s="41"/>
      <c r="K3135" s="41"/>
      <c r="L3135" s="41"/>
      <c r="M3135" s="41"/>
      <c r="N3135" s="41"/>
      <c r="O3135" s="41"/>
      <c r="P3135" s="28"/>
    </row>
    <row r="3136" customFormat="1" spans="1:16">
      <c r="A3136" s="39"/>
      <c r="B3136" s="40"/>
      <c r="C3136" s="41"/>
      <c r="D3136" s="41"/>
      <c r="E3136" s="41"/>
      <c r="F3136" s="41"/>
      <c r="G3136" s="41"/>
      <c r="H3136" s="41"/>
      <c r="I3136" s="41"/>
      <c r="J3136" s="41"/>
      <c r="K3136" s="41"/>
      <c r="L3136" s="41"/>
      <c r="M3136" s="41"/>
      <c r="N3136" s="41"/>
      <c r="O3136" s="41"/>
      <c r="P3136" s="28"/>
    </row>
    <row r="3137" customFormat="1" spans="1:16">
      <c r="A3137" s="39"/>
      <c r="B3137" s="40"/>
      <c r="C3137" s="41"/>
      <c r="D3137" s="41"/>
      <c r="E3137" s="41"/>
      <c r="F3137" s="41"/>
      <c r="G3137" s="41"/>
      <c r="H3137" s="41"/>
      <c r="I3137" s="41"/>
      <c r="J3137" s="41"/>
      <c r="K3137" s="41"/>
      <c r="L3137" s="41"/>
      <c r="M3137" s="41"/>
      <c r="N3137" s="41"/>
      <c r="O3137" s="41"/>
      <c r="P3137" s="28"/>
    </row>
    <row r="3138" customFormat="1" spans="1:16">
      <c r="A3138" s="39"/>
      <c r="B3138" s="40"/>
      <c r="C3138" s="41"/>
      <c r="D3138" s="41"/>
      <c r="E3138" s="41"/>
      <c r="F3138" s="41"/>
      <c r="G3138" s="41"/>
      <c r="H3138" s="41"/>
      <c r="I3138" s="41"/>
      <c r="J3138" s="41"/>
      <c r="K3138" s="41"/>
      <c r="L3138" s="41"/>
      <c r="M3138" s="41"/>
      <c r="N3138" s="41"/>
      <c r="O3138" s="41"/>
      <c r="P3138" s="28"/>
    </row>
    <row r="3139" customFormat="1" spans="1:16">
      <c r="A3139" s="39"/>
      <c r="B3139" s="40"/>
      <c r="C3139" s="41"/>
      <c r="D3139" s="41"/>
      <c r="E3139" s="41"/>
      <c r="F3139" s="41"/>
      <c r="G3139" s="41"/>
      <c r="H3139" s="41"/>
      <c r="I3139" s="41"/>
      <c r="J3139" s="41"/>
      <c r="K3139" s="41"/>
      <c r="L3139" s="41"/>
      <c r="M3139" s="41"/>
      <c r="N3139" s="41"/>
      <c r="O3139" s="41"/>
      <c r="P3139" s="28"/>
    </row>
    <row r="3140" customFormat="1" spans="1:16">
      <c r="A3140" s="39"/>
      <c r="B3140" s="40"/>
      <c r="C3140" s="41"/>
      <c r="D3140" s="41"/>
      <c r="E3140" s="41"/>
      <c r="F3140" s="41"/>
      <c r="G3140" s="41"/>
      <c r="H3140" s="41"/>
      <c r="I3140" s="41"/>
      <c r="J3140" s="41"/>
      <c r="K3140" s="41"/>
      <c r="L3140" s="41"/>
      <c r="M3140" s="41"/>
      <c r="N3140" s="41"/>
      <c r="O3140" s="41"/>
      <c r="P3140" s="28"/>
    </row>
    <row r="3141" customFormat="1" spans="1:16">
      <c r="A3141" s="39"/>
      <c r="B3141" s="40"/>
      <c r="C3141" s="41"/>
      <c r="D3141" s="41"/>
      <c r="E3141" s="41"/>
      <c r="F3141" s="41"/>
      <c r="G3141" s="41"/>
      <c r="H3141" s="41"/>
      <c r="I3141" s="41"/>
      <c r="J3141" s="41"/>
      <c r="K3141" s="41"/>
      <c r="L3141" s="41"/>
      <c r="M3141" s="41"/>
      <c r="N3141" s="41"/>
      <c r="O3141" s="41"/>
      <c r="P3141" s="28"/>
    </row>
    <row r="3142" customFormat="1" spans="1:16">
      <c r="A3142" s="39"/>
      <c r="B3142" s="40"/>
      <c r="C3142" s="41"/>
      <c r="D3142" s="41"/>
      <c r="E3142" s="41"/>
      <c r="F3142" s="41"/>
      <c r="G3142" s="41"/>
      <c r="H3142" s="41"/>
      <c r="I3142" s="41"/>
      <c r="J3142" s="41"/>
      <c r="K3142" s="41"/>
      <c r="L3142" s="41"/>
      <c r="M3142" s="41"/>
      <c r="N3142" s="41"/>
      <c r="O3142" s="41"/>
      <c r="P3142" s="28"/>
    </row>
    <row r="3143" customFormat="1" spans="1:16">
      <c r="A3143" s="39"/>
      <c r="B3143" s="40"/>
      <c r="C3143" s="41"/>
      <c r="D3143" s="41"/>
      <c r="E3143" s="41"/>
      <c r="F3143" s="41"/>
      <c r="G3143" s="41"/>
      <c r="H3143" s="41"/>
      <c r="I3143" s="41"/>
      <c r="J3143" s="41"/>
      <c r="K3143" s="41"/>
      <c r="L3143" s="41"/>
      <c r="M3143" s="41"/>
      <c r="N3143" s="41"/>
      <c r="O3143" s="41"/>
      <c r="P3143" s="28"/>
    </row>
    <row r="3144" customFormat="1" spans="1:16">
      <c r="A3144" s="39"/>
      <c r="B3144" s="40"/>
      <c r="C3144" s="41"/>
      <c r="D3144" s="41"/>
      <c r="E3144" s="41"/>
      <c r="F3144" s="41"/>
      <c r="G3144" s="41"/>
      <c r="H3144" s="41"/>
      <c r="I3144" s="41"/>
      <c r="J3144" s="41"/>
      <c r="K3144" s="41"/>
      <c r="L3144" s="41"/>
      <c r="M3144" s="41"/>
      <c r="N3144" s="41"/>
      <c r="O3144" s="41"/>
      <c r="P3144" s="28"/>
    </row>
    <row r="3145" customFormat="1" spans="1:16">
      <c r="A3145" s="39"/>
      <c r="B3145" s="40"/>
      <c r="C3145" s="41"/>
      <c r="D3145" s="41"/>
      <c r="E3145" s="41"/>
      <c r="F3145" s="41"/>
      <c r="G3145" s="41"/>
      <c r="H3145" s="41"/>
      <c r="I3145" s="41"/>
      <c r="J3145" s="41"/>
      <c r="K3145" s="41"/>
      <c r="L3145" s="41"/>
      <c r="M3145" s="41"/>
      <c r="N3145" s="41"/>
      <c r="O3145" s="41"/>
      <c r="P3145" s="28"/>
    </row>
    <row r="3146" customFormat="1" spans="1:16">
      <c r="A3146" s="39"/>
      <c r="B3146" s="40"/>
      <c r="C3146" s="41"/>
      <c r="D3146" s="41"/>
      <c r="E3146" s="41"/>
      <c r="F3146" s="41"/>
      <c r="G3146" s="41"/>
      <c r="H3146" s="41"/>
      <c r="I3146" s="41"/>
      <c r="J3146" s="41"/>
      <c r="K3146" s="41"/>
      <c r="L3146" s="41"/>
      <c r="M3146" s="41"/>
      <c r="N3146" s="41"/>
      <c r="O3146" s="41"/>
      <c r="P3146" s="28"/>
    </row>
    <row r="3147" customFormat="1" spans="1:16">
      <c r="A3147" s="39"/>
      <c r="B3147" s="40"/>
      <c r="C3147" s="41"/>
      <c r="D3147" s="41"/>
      <c r="E3147" s="41"/>
      <c r="F3147" s="41"/>
      <c r="G3147" s="41"/>
      <c r="H3147" s="41"/>
      <c r="I3147" s="41"/>
      <c r="J3147" s="41"/>
      <c r="K3147" s="41"/>
      <c r="L3147" s="41"/>
      <c r="M3147" s="41"/>
      <c r="N3147" s="41"/>
      <c r="O3147" s="41"/>
      <c r="P3147" s="28"/>
    </row>
    <row r="3148" customFormat="1" spans="1:16">
      <c r="A3148" s="39"/>
      <c r="B3148" s="40"/>
      <c r="C3148" s="41"/>
      <c r="D3148" s="41"/>
      <c r="E3148" s="41"/>
      <c r="F3148" s="41"/>
      <c r="G3148" s="41"/>
      <c r="H3148" s="41"/>
      <c r="I3148" s="41"/>
      <c r="J3148" s="41"/>
      <c r="K3148" s="41"/>
      <c r="L3148" s="41"/>
      <c r="M3148" s="41"/>
      <c r="N3148" s="41"/>
      <c r="O3148" s="41"/>
      <c r="P3148" s="28"/>
    </row>
    <row r="3149" customFormat="1" spans="1:16">
      <c r="A3149" s="39"/>
      <c r="B3149" s="40"/>
      <c r="C3149" s="41"/>
      <c r="D3149" s="41"/>
      <c r="E3149" s="41"/>
      <c r="F3149" s="41"/>
      <c r="G3149" s="41"/>
      <c r="H3149" s="41"/>
      <c r="I3149" s="41"/>
      <c r="J3149" s="41"/>
      <c r="K3149" s="41"/>
      <c r="L3149" s="41"/>
      <c r="M3149" s="41"/>
      <c r="N3149" s="41"/>
      <c r="O3149" s="41"/>
      <c r="P3149" s="28"/>
    </row>
    <row r="3150" customFormat="1" spans="1:16">
      <c r="A3150" s="39"/>
      <c r="B3150" s="40"/>
      <c r="C3150" s="41"/>
      <c r="D3150" s="41"/>
      <c r="E3150" s="41"/>
      <c r="F3150" s="41"/>
      <c r="G3150" s="41"/>
      <c r="H3150" s="41"/>
      <c r="I3150" s="41"/>
      <c r="J3150" s="41"/>
      <c r="K3150" s="41"/>
      <c r="L3150" s="41"/>
      <c r="M3150" s="41"/>
      <c r="N3150" s="41"/>
      <c r="O3150" s="41"/>
      <c r="P3150" s="28"/>
    </row>
    <row r="3151" customFormat="1" spans="1:16">
      <c r="A3151" s="39"/>
      <c r="B3151" s="40"/>
      <c r="C3151" s="41"/>
      <c r="D3151" s="41"/>
      <c r="E3151" s="41"/>
      <c r="F3151" s="41"/>
      <c r="G3151" s="41"/>
      <c r="H3151" s="41"/>
      <c r="I3151" s="41"/>
      <c r="J3151" s="41"/>
      <c r="K3151" s="41"/>
      <c r="L3151" s="41"/>
      <c r="M3151" s="41"/>
      <c r="N3151" s="41"/>
      <c r="O3151" s="41"/>
      <c r="P3151" s="28"/>
    </row>
    <row r="3152" customFormat="1" spans="1:16">
      <c r="A3152" s="39"/>
      <c r="B3152" s="40"/>
      <c r="C3152" s="41"/>
      <c r="D3152" s="41"/>
      <c r="E3152" s="41"/>
      <c r="F3152" s="41"/>
      <c r="G3152" s="41"/>
      <c r="H3152" s="41"/>
      <c r="I3152" s="41"/>
      <c r="J3152" s="41"/>
      <c r="K3152" s="41"/>
      <c r="L3152" s="41"/>
      <c r="M3152" s="41"/>
      <c r="N3152" s="41"/>
      <c r="O3152" s="41"/>
      <c r="P3152" s="28"/>
    </row>
    <row r="3153" customFormat="1" spans="1:16">
      <c r="A3153" s="39"/>
      <c r="B3153" s="40"/>
      <c r="C3153" s="41"/>
      <c r="D3153" s="41"/>
      <c r="E3153" s="41"/>
      <c r="F3153" s="41"/>
      <c r="G3153" s="41"/>
      <c r="H3153" s="41"/>
      <c r="I3153" s="41"/>
      <c r="J3153" s="41"/>
      <c r="K3153" s="41"/>
      <c r="L3153" s="41"/>
      <c r="M3153" s="41"/>
      <c r="N3153" s="41"/>
      <c r="O3153" s="41"/>
      <c r="P3153" s="28"/>
    </row>
    <row r="3154" customFormat="1" spans="1:16">
      <c r="A3154" s="39"/>
      <c r="B3154" s="40"/>
      <c r="C3154" s="41"/>
      <c r="D3154" s="41"/>
      <c r="E3154" s="41"/>
      <c r="F3154" s="41"/>
      <c r="G3154" s="41"/>
      <c r="H3154" s="41"/>
      <c r="I3154" s="41"/>
      <c r="J3154" s="41"/>
      <c r="K3154" s="41"/>
      <c r="L3154" s="41"/>
      <c r="M3154" s="41"/>
      <c r="N3154" s="41"/>
      <c r="O3154" s="41"/>
      <c r="P3154" s="28"/>
    </row>
    <row r="3155" customFormat="1" spans="1:16">
      <c r="A3155" s="39"/>
      <c r="B3155" s="40"/>
      <c r="C3155" s="41"/>
      <c r="D3155" s="41"/>
      <c r="E3155" s="41"/>
      <c r="F3155" s="41"/>
      <c r="G3155" s="41"/>
      <c r="H3155" s="41"/>
      <c r="I3155" s="41"/>
      <c r="J3155" s="41"/>
      <c r="K3155" s="41"/>
      <c r="L3155" s="41"/>
      <c r="M3155" s="41"/>
      <c r="N3155" s="41"/>
      <c r="O3155" s="41"/>
      <c r="P3155" s="28"/>
    </row>
    <row r="3156" customFormat="1" spans="1:16">
      <c r="A3156" s="39"/>
      <c r="B3156" s="40"/>
      <c r="C3156" s="41"/>
      <c r="D3156" s="41"/>
      <c r="E3156" s="41"/>
      <c r="F3156" s="41"/>
      <c r="G3156" s="41"/>
      <c r="H3156" s="41"/>
      <c r="I3156" s="41"/>
      <c r="J3156" s="41"/>
      <c r="K3156" s="41"/>
      <c r="L3156" s="41"/>
      <c r="M3156" s="41"/>
      <c r="N3156" s="41"/>
      <c r="O3156" s="41"/>
      <c r="P3156" s="28"/>
    </row>
    <row r="3157" customFormat="1" spans="1:16">
      <c r="A3157" s="39"/>
      <c r="B3157" s="40"/>
      <c r="C3157" s="41"/>
      <c r="D3157" s="41"/>
      <c r="E3157" s="41"/>
      <c r="F3157" s="41"/>
      <c r="G3157" s="41"/>
      <c r="H3157" s="41"/>
      <c r="I3157" s="41"/>
      <c r="J3157" s="41"/>
      <c r="K3157" s="41"/>
      <c r="L3157" s="41"/>
      <c r="M3157" s="41"/>
      <c r="N3157" s="41"/>
      <c r="O3157" s="41"/>
      <c r="P3157" s="28"/>
    </row>
    <row r="3158" customFormat="1" spans="1:16">
      <c r="A3158" s="39"/>
      <c r="B3158" s="40"/>
      <c r="C3158" s="41"/>
      <c r="D3158" s="41"/>
      <c r="E3158" s="41"/>
      <c r="F3158" s="41"/>
      <c r="G3158" s="41"/>
      <c r="H3158" s="41"/>
      <c r="I3158" s="41"/>
      <c r="J3158" s="41"/>
      <c r="K3158" s="41"/>
      <c r="L3158" s="41"/>
      <c r="M3158" s="41"/>
      <c r="N3158" s="41"/>
      <c r="O3158" s="41"/>
      <c r="P3158" s="28"/>
    </row>
    <row r="3159" customFormat="1" spans="1:16">
      <c r="A3159" s="39"/>
      <c r="B3159" s="40"/>
      <c r="C3159" s="41"/>
      <c r="D3159" s="41"/>
      <c r="E3159" s="41"/>
      <c r="F3159" s="41"/>
      <c r="G3159" s="41"/>
      <c r="H3159" s="41"/>
      <c r="I3159" s="41"/>
      <c r="J3159" s="41"/>
      <c r="K3159" s="41"/>
      <c r="L3159" s="41"/>
      <c r="M3159" s="41"/>
      <c r="N3159" s="41"/>
      <c r="O3159" s="41"/>
      <c r="P3159" s="28"/>
    </row>
    <row r="3160" customFormat="1" spans="1:16">
      <c r="A3160" s="39"/>
      <c r="B3160" s="40"/>
      <c r="C3160" s="41"/>
      <c r="D3160" s="41"/>
      <c r="E3160" s="41"/>
      <c r="F3160" s="41"/>
      <c r="G3160" s="41"/>
      <c r="H3160" s="41"/>
      <c r="I3160" s="41"/>
      <c r="J3160" s="41"/>
      <c r="K3160" s="41"/>
      <c r="L3160" s="41"/>
      <c r="M3160" s="41"/>
      <c r="N3160" s="41"/>
      <c r="O3160" s="41"/>
      <c r="P3160" s="28"/>
    </row>
    <row r="3161" customFormat="1" spans="1:16">
      <c r="A3161" s="39"/>
      <c r="B3161" s="40"/>
      <c r="C3161" s="41"/>
      <c r="D3161" s="41"/>
      <c r="E3161" s="41"/>
      <c r="F3161" s="41"/>
      <c r="G3161" s="41"/>
      <c r="H3161" s="41"/>
      <c r="I3161" s="41"/>
      <c r="J3161" s="41"/>
      <c r="K3161" s="41"/>
      <c r="L3161" s="41"/>
      <c r="M3161" s="41"/>
      <c r="N3161" s="41"/>
      <c r="O3161" s="41"/>
      <c r="P3161" s="28"/>
    </row>
    <row r="3162" customFormat="1" spans="1:16">
      <c r="A3162" s="39"/>
      <c r="B3162" s="40"/>
      <c r="C3162" s="41"/>
      <c r="D3162" s="41"/>
      <c r="E3162" s="41"/>
      <c r="F3162" s="41"/>
      <c r="G3162" s="41"/>
      <c r="H3162" s="41"/>
      <c r="I3162" s="41"/>
      <c r="J3162" s="41"/>
      <c r="K3162" s="41"/>
      <c r="L3162" s="41"/>
      <c r="M3162" s="41"/>
      <c r="N3162" s="41"/>
      <c r="O3162" s="41"/>
      <c r="P3162" s="28"/>
    </row>
    <row r="3163" customFormat="1" spans="1:16">
      <c r="A3163" s="39"/>
      <c r="B3163" s="40"/>
      <c r="C3163" s="41"/>
      <c r="D3163" s="41"/>
      <c r="E3163" s="41"/>
      <c r="F3163" s="41"/>
      <c r="G3163" s="41"/>
      <c r="H3163" s="41"/>
      <c r="I3163" s="41"/>
      <c r="J3163" s="41"/>
      <c r="K3163" s="41"/>
      <c r="L3163" s="41"/>
      <c r="M3163" s="41"/>
      <c r="N3163" s="41"/>
      <c r="O3163" s="41"/>
      <c r="P3163" s="28"/>
    </row>
    <row r="3164" customFormat="1" spans="1:16">
      <c r="A3164" s="39"/>
      <c r="B3164" s="40"/>
      <c r="C3164" s="41"/>
      <c r="D3164" s="41"/>
      <c r="E3164" s="41"/>
      <c r="F3164" s="41"/>
      <c r="G3164" s="41"/>
      <c r="H3164" s="41"/>
      <c r="I3164" s="41"/>
      <c r="J3164" s="41"/>
      <c r="K3164" s="41"/>
      <c r="L3164" s="41"/>
      <c r="M3164" s="41"/>
      <c r="N3164" s="41"/>
      <c r="O3164" s="41"/>
      <c r="P3164" s="28"/>
    </row>
    <row r="3165" customFormat="1" spans="1:16">
      <c r="A3165" s="39"/>
      <c r="B3165" s="40"/>
      <c r="C3165" s="41"/>
      <c r="D3165" s="41"/>
      <c r="E3165" s="41"/>
      <c r="F3165" s="41"/>
      <c r="G3165" s="41"/>
      <c r="H3165" s="41"/>
      <c r="I3165" s="41"/>
      <c r="J3165" s="41"/>
      <c r="K3165" s="41"/>
      <c r="L3165" s="41"/>
      <c r="M3165" s="41"/>
      <c r="N3165" s="41"/>
      <c r="O3165" s="41"/>
      <c r="P3165" s="28"/>
    </row>
    <row r="3166" customFormat="1" spans="1:16">
      <c r="A3166" s="39"/>
      <c r="B3166" s="40"/>
      <c r="C3166" s="41"/>
      <c r="D3166" s="41"/>
      <c r="E3166" s="41"/>
      <c r="F3166" s="41"/>
      <c r="G3166" s="41"/>
      <c r="H3166" s="41"/>
      <c r="I3166" s="41"/>
      <c r="J3166" s="41"/>
      <c r="K3166" s="41"/>
      <c r="L3166" s="41"/>
      <c r="M3166" s="41"/>
      <c r="N3166" s="41"/>
      <c r="O3166" s="41"/>
      <c r="P3166" s="28"/>
    </row>
    <row r="3167" customFormat="1" spans="1:16">
      <c r="A3167" s="39"/>
      <c r="B3167" s="40"/>
      <c r="C3167" s="41"/>
      <c r="D3167" s="41"/>
      <c r="E3167" s="41"/>
      <c r="F3167" s="41"/>
      <c r="G3167" s="41"/>
      <c r="H3167" s="41"/>
      <c r="I3167" s="41"/>
      <c r="J3167" s="41"/>
      <c r="K3167" s="41"/>
      <c r="L3167" s="41"/>
      <c r="M3167" s="41"/>
      <c r="N3167" s="41"/>
      <c r="O3167" s="41"/>
      <c r="P3167" s="28"/>
    </row>
    <row r="3168" customFormat="1" spans="1:16">
      <c r="A3168" s="39"/>
      <c r="B3168" s="40"/>
      <c r="C3168" s="41"/>
      <c r="D3168" s="41"/>
      <c r="E3168" s="41"/>
      <c r="F3168" s="41"/>
      <c r="G3168" s="41"/>
      <c r="H3168" s="41"/>
      <c r="I3168" s="41"/>
      <c r="J3168" s="41"/>
      <c r="K3168" s="41"/>
      <c r="L3168" s="41"/>
      <c r="M3168" s="41"/>
      <c r="N3168" s="41"/>
      <c r="O3168" s="41"/>
      <c r="P3168" s="28"/>
    </row>
    <row r="3169" customFormat="1" spans="1:16">
      <c r="A3169" s="39"/>
      <c r="B3169" s="40"/>
      <c r="C3169" s="41"/>
      <c r="D3169" s="41"/>
      <c r="E3169" s="41"/>
      <c r="F3169" s="41"/>
      <c r="G3169" s="41"/>
      <c r="H3169" s="41"/>
      <c r="I3169" s="41"/>
      <c r="J3169" s="41"/>
      <c r="K3169" s="41"/>
      <c r="L3169" s="41"/>
      <c r="M3169" s="41"/>
      <c r="N3169" s="41"/>
      <c r="O3169" s="41"/>
      <c r="P3169" s="28"/>
    </row>
    <row r="3170" customFormat="1" spans="1:16">
      <c r="A3170" s="39"/>
      <c r="B3170" s="40"/>
      <c r="C3170" s="41"/>
      <c r="D3170" s="41"/>
      <c r="E3170" s="41"/>
      <c r="F3170" s="41"/>
      <c r="G3170" s="41"/>
      <c r="H3170" s="41"/>
      <c r="I3170" s="41"/>
      <c r="J3170" s="41"/>
      <c r="K3170" s="41"/>
      <c r="L3170" s="41"/>
      <c r="M3170" s="41"/>
      <c r="N3170" s="41"/>
      <c r="O3170" s="41"/>
      <c r="P3170" s="28"/>
    </row>
    <row r="3171" customFormat="1" spans="1:16">
      <c r="A3171" s="39"/>
      <c r="B3171" s="40"/>
      <c r="C3171" s="41"/>
      <c r="D3171" s="41"/>
      <c r="E3171" s="41"/>
      <c r="F3171" s="41"/>
      <c r="G3171" s="41"/>
      <c r="H3171" s="41"/>
      <c r="I3171" s="41"/>
      <c r="J3171" s="41"/>
      <c r="K3171" s="41"/>
      <c r="L3171" s="41"/>
      <c r="M3171" s="41"/>
      <c r="N3171" s="41"/>
      <c r="O3171" s="41"/>
      <c r="P3171" s="28"/>
    </row>
    <row r="3172" customFormat="1" spans="1:16">
      <c r="A3172" s="39"/>
      <c r="B3172" s="40"/>
      <c r="C3172" s="41"/>
      <c r="D3172" s="41"/>
      <c r="E3172" s="41"/>
      <c r="F3172" s="41"/>
      <c r="G3172" s="41"/>
      <c r="H3172" s="41"/>
      <c r="I3172" s="41"/>
      <c r="J3172" s="41"/>
      <c r="K3172" s="41"/>
      <c r="L3172" s="41"/>
      <c r="M3172" s="41"/>
      <c r="N3172" s="41"/>
      <c r="O3172" s="41"/>
      <c r="P3172" s="28"/>
    </row>
    <row r="3173" customFormat="1" spans="1:16">
      <c r="A3173" s="39"/>
      <c r="B3173" s="40"/>
      <c r="C3173" s="41"/>
      <c r="D3173" s="41"/>
      <c r="E3173" s="41"/>
      <c r="F3173" s="41"/>
      <c r="G3173" s="41"/>
      <c r="H3173" s="41"/>
      <c r="I3173" s="41"/>
      <c r="J3173" s="41"/>
      <c r="K3173" s="41"/>
      <c r="L3173" s="41"/>
      <c r="M3173" s="41"/>
      <c r="N3173" s="41"/>
      <c r="O3173" s="41"/>
      <c r="P3173" s="28"/>
    </row>
    <row r="3174" customFormat="1" spans="1:16">
      <c r="A3174" s="39"/>
      <c r="B3174" s="40"/>
      <c r="C3174" s="41"/>
      <c r="D3174" s="41"/>
      <c r="E3174" s="41"/>
      <c r="F3174" s="41"/>
      <c r="G3174" s="41"/>
      <c r="H3174" s="41"/>
      <c r="I3174" s="41"/>
      <c r="J3174" s="41"/>
      <c r="K3174" s="41"/>
      <c r="L3174" s="41"/>
      <c r="M3174" s="41"/>
      <c r="N3174" s="41"/>
      <c r="O3174" s="41"/>
      <c r="P3174" s="28"/>
    </row>
    <row r="3175" customFormat="1" spans="1:16">
      <c r="A3175" s="39"/>
      <c r="B3175" s="40"/>
      <c r="C3175" s="41"/>
      <c r="D3175" s="41"/>
      <c r="E3175" s="41"/>
      <c r="F3175" s="41"/>
      <c r="G3175" s="41"/>
      <c r="H3175" s="41"/>
      <c r="I3175" s="41"/>
      <c r="J3175" s="41"/>
      <c r="K3175" s="41"/>
      <c r="L3175" s="41"/>
      <c r="M3175" s="41"/>
      <c r="N3175" s="41"/>
      <c r="O3175" s="41"/>
      <c r="P3175" s="28"/>
    </row>
    <row r="3176" customFormat="1" spans="1:16">
      <c r="A3176" s="39"/>
      <c r="B3176" s="40"/>
      <c r="C3176" s="41"/>
      <c r="D3176" s="41"/>
      <c r="E3176" s="41"/>
      <c r="F3176" s="41"/>
      <c r="G3176" s="41"/>
      <c r="H3176" s="41"/>
      <c r="I3176" s="41"/>
      <c r="J3176" s="41"/>
      <c r="K3176" s="41"/>
      <c r="L3176" s="41"/>
      <c r="M3176" s="41"/>
      <c r="N3176" s="41"/>
      <c r="O3176" s="41"/>
      <c r="P3176" s="28"/>
    </row>
    <row r="3177" customFormat="1" spans="1:16">
      <c r="A3177" s="39"/>
      <c r="B3177" s="40"/>
      <c r="C3177" s="41"/>
      <c r="D3177" s="41"/>
      <c r="E3177" s="41"/>
      <c r="F3177" s="41"/>
      <c r="G3177" s="41"/>
      <c r="H3177" s="41"/>
      <c r="I3177" s="41"/>
      <c r="J3177" s="41"/>
      <c r="K3177" s="41"/>
      <c r="L3177" s="41"/>
      <c r="M3177" s="41"/>
      <c r="N3177" s="41"/>
      <c r="O3177" s="41"/>
      <c r="P3177" s="28"/>
    </row>
    <row r="3178" customFormat="1" spans="1:16">
      <c r="A3178" s="39"/>
      <c r="B3178" s="40"/>
      <c r="C3178" s="41"/>
      <c r="D3178" s="41"/>
      <c r="E3178" s="41"/>
      <c r="F3178" s="41"/>
      <c r="G3178" s="41"/>
      <c r="H3178" s="41"/>
      <c r="I3178" s="41"/>
      <c r="J3178" s="41"/>
      <c r="K3178" s="41"/>
      <c r="L3178" s="41"/>
      <c r="M3178" s="41"/>
      <c r="N3178" s="41"/>
      <c r="O3178" s="41"/>
      <c r="P3178" s="28"/>
    </row>
    <row r="3179" customFormat="1" spans="1:16">
      <c r="A3179" s="39"/>
      <c r="B3179" s="40"/>
      <c r="C3179" s="41"/>
      <c r="D3179" s="41"/>
      <c r="E3179" s="41"/>
      <c r="F3179" s="41"/>
      <c r="G3179" s="41"/>
      <c r="H3179" s="41"/>
      <c r="I3179" s="41"/>
      <c r="J3179" s="41"/>
      <c r="K3179" s="41"/>
      <c r="L3179" s="41"/>
      <c r="M3179" s="41"/>
      <c r="N3179" s="41"/>
      <c r="O3179" s="41"/>
      <c r="P3179" s="28"/>
    </row>
    <row r="3180" customFormat="1" spans="1:16">
      <c r="A3180" s="39"/>
      <c r="B3180" s="40"/>
      <c r="C3180" s="41"/>
      <c r="D3180" s="41"/>
      <c r="E3180" s="41"/>
      <c r="F3180" s="41"/>
      <c r="G3180" s="41"/>
      <c r="H3180" s="41"/>
      <c r="I3180" s="41"/>
      <c r="J3180" s="41"/>
      <c r="K3180" s="41"/>
      <c r="L3180" s="41"/>
      <c r="M3180" s="41"/>
      <c r="N3180" s="41"/>
      <c r="O3180" s="41"/>
      <c r="P3180" s="28"/>
    </row>
    <row r="3181" customFormat="1" spans="1:16">
      <c r="A3181" s="39"/>
      <c r="B3181" s="40"/>
      <c r="C3181" s="41"/>
      <c r="D3181" s="41"/>
      <c r="E3181" s="41"/>
      <c r="F3181" s="41"/>
      <c r="G3181" s="41"/>
      <c r="H3181" s="41"/>
      <c r="I3181" s="41"/>
      <c r="J3181" s="41"/>
      <c r="K3181" s="41"/>
      <c r="L3181" s="41"/>
      <c r="M3181" s="41"/>
      <c r="N3181" s="41"/>
      <c r="O3181" s="41"/>
      <c r="P3181" s="28"/>
    </row>
    <row r="3182" customFormat="1" spans="1:16">
      <c r="A3182" s="39"/>
      <c r="B3182" s="40"/>
      <c r="C3182" s="41"/>
      <c r="D3182" s="41"/>
      <c r="E3182" s="41"/>
      <c r="F3182" s="41"/>
      <c r="G3182" s="41"/>
      <c r="H3182" s="41"/>
      <c r="I3182" s="41"/>
      <c r="J3182" s="41"/>
      <c r="K3182" s="41"/>
      <c r="L3182" s="41"/>
      <c r="M3182" s="41"/>
      <c r="N3182" s="41"/>
      <c r="O3182" s="41"/>
      <c r="P3182" s="28"/>
    </row>
    <row r="3183" customFormat="1" spans="1:16">
      <c r="A3183" s="39"/>
      <c r="B3183" s="40"/>
      <c r="C3183" s="41"/>
      <c r="D3183" s="41"/>
      <c r="E3183" s="41"/>
      <c r="F3183" s="41"/>
      <c r="G3183" s="41"/>
      <c r="H3183" s="41"/>
      <c r="I3183" s="41"/>
      <c r="J3183" s="41"/>
      <c r="K3183" s="41"/>
      <c r="L3183" s="41"/>
      <c r="M3183" s="41"/>
      <c r="N3183" s="41"/>
      <c r="O3183" s="41"/>
      <c r="P3183" s="28"/>
    </row>
    <row r="3184" customFormat="1" spans="1:16">
      <c r="A3184" s="39"/>
      <c r="B3184" s="40"/>
      <c r="C3184" s="41"/>
      <c r="D3184" s="41"/>
      <c r="E3184" s="41"/>
      <c r="F3184" s="41"/>
      <c r="G3184" s="41"/>
      <c r="H3184" s="41"/>
      <c r="I3184" s="41"/>
      <c r="J3184" s="41"/>
      <c r="K3184" s="41"/>
      <c r="L3184" s="41"/>
      <c r="M3184" s="41"/>
      <c r="N3184" s="41"/>
      <c r="O3184" s="41"/>
      <c r="P3184" s="28"/>
    </row>
    <row r="3185" customFormat="1" spans="1:16">
      <c r="A3185" s="39"/>
      <c r="B3185" s="40"/>
      <c r="C3185" s="41"/>
      <c r="D3185" s="41"/>
      <c r="E3185" s="41"/>
      <c r="F3185" s="41"/>
      <c r="G3185" s="41"/>
      <c r="H3185" s="41"/>
      <c r="I3185" s="41"/>
      <c r="J3185" s="41"/>
      <c r="K3185" s="41"/>
      <c r="L3185" s="41"/>
      <c r="M3185" s="41"/>
      <c r="N3185" s="41"/>
      <c r="O3185" s="41"/>
      <c r="P3185" s="28"/>
    </row>
    <row r="3186" customFormat="1" spans="1:16">
      <c r="A3186" s="39"/>
      <c r="B3186" s="40"/>
      <c r="C3186" s="41"/>
      <c r="D3186" s="41"/>
      <c r="E3186" s="41"/>
      <c r="F3186" s="41"/>
      <c r="G3186" s="41"/>
      <c r="H3186" s="41"/>
      <c r="I3186" s="41"/>
      <c r="J3186" s="41"/>
      <c r="K3186" s="41"/>
      <c r="L3186" s="41"/>
      <c r="M3186" s="41"/>
      <c r="N3186" s="41"/>
      <c r="O3186" s="41"/>
      <c r="P3186" s="28"/>
    </row>
    <row r="3187" customFormat="1" spans="1:16">
      <c r="A3187" s="39"/>
      <c r="B3187" s="40"/>
      <c r="C3187" s="41"/>
      <c r="D3187" s="41"/>
      <c r="E3187" s="41"/>
      <c r="F3187" s="41"/>
      <c r="G3187" s="41"/>
      <c r="H3187" s="41"/>
      <c r="I3187" s="41"/>
      <c r="J3187" s="41"/>
      <c r="K3187" s="41"/>
      <c r="L3187" s="41"/>
      <c r="M3187" s="41"/>
      <c r="N3187" s="41"/>
      <c r="O3187" s="41"/>
      <c r="P3187" s="28"/>
    </row>
    <row r="3188" customFormat="1" spans="1:16">
      <c r="A3188" s="39"/>
      <c r="B3188" s="40"/>
      <c r="C3188" s="41"/>
      <c r="D3188" s="41"/>
      <c r="E3188" s="41"/>
      <c r="F3188" s="41"/>
      <c r="G3188" s="41"/>
      <c r="H3188" s="41"/>
      <c r="I3188" s="41"/>
      <c r="J3188" s="41"/>
      <c r="K3188" s="41"/>
      <c r="L3188" s="41"/>
      <c r="M3188" s="41"/>
      <c r="N3188" s="41"/>
      <c r="O3188" s="41"/>
      <c r="P3188" s="28"/>
    </row>
    <row r="3189" customFormat="1" spans="1:16">
      <c r="A3189" s="39"/>
      <c r="B3189" s="40"/>
      <c r="C3189" s="41"/>
      <c r="D3189" s="41"/>
      <c r="E3189" s="41"/>
      <c r="F3189" s="41"/>
      <c r="G3189" s="41"/>
      <c r="H3189" s="41"/>
      <c r="I3189" s="41"/>
      <c r="J3189" s="41"/>
      <c r="K3189" s="41"/>
      <c r="L3189" s="41"/>
      <c r="M3189" s="41"/>
      <c r="N3189" s="41"/>
      <c r="O3189" s="41"/>
      <c r="P3189" s="28"/>
    </row>
    <row r="3190" customFormat="1" spans="1:16">
      <c r="A3190" s="39"/>
      <c r="B3190" s="40"/>
      <c r="C3190" s="41"/>
      <c r="D3190" s="41"/>
      <c r="E3190" s="41"/>
      <c r="F3190" s="41"/>
      <c r="G3190" s="41"/>
      <c r="H3190" s="41"/>
      <c r="I3190" s="41"/>
      <c r="J3190" s="41"/>
      <c r="K3190" s="41"/>
      <c r="L3190" s="41"/>
      <c r="M3190" s="41"/>
      <c r="N3190" s="41"/>
      <c r="O3190" s="41"/>
      <c r="P3190" s="28"/>
    </row>
    <row r="3191" customFormat="1" spans="1:16">
      <c r="A3191" s="39"/>
      <c r="B3191" s="40"/>
      <c r="C3191" s="41"/>
      <c r="D3191" s="41"/>
      <c r="E3191" s="41"/>
      <c r="F3191" s="41"/>
      <c r="G3191" s="41"/>
      <c r="H3191" s="41"/>
      <c r="I3191" s="41"/>
      <c r="J3191" s="41"/>
      <c r="K3191" s="41"/>
      <c r="L3191" s="41"/>
      <c r="M3191" s="41"/>
      <c r="N3191" s="41"/>
      <c r="O3191" s="41"/>
      <c r="P3191" s="28"/>
    </row>
    <row r="3192" customFormat="1" spans="1:16">
      <c r="A3192" s="39"/>
      <c r="B3192" s="40"/>
      <c r="C3192" s="41"/>
      <c r="D3192" s="41"/>
      <c r="E3192" s="41"/>
      <c r="F3192" s="41"/>
      <c r="G3192" s="41"/>
      <c r="H3192" s="41"/>
      <c r="I3192" s="41"/>
      <c r="J3192" s="41"/>
      <c r="K3192" s="41"/>
      <c r="L3192" s="41"/>
      <c r="M3192" s="41"/>
      <c r="N3192" s="41"/>
      <c r="O3192" s="41"/>
      <c r="P3192" s="28"/>
    </row>
    <row r="3193" customFormat="1" spans="1:16">
      <c r="A3193" s="39"/>
      <c r="B3193" s="40"/>
      <c r="C3193" s="41"/>
      <c r="D3193" s="41"/>
      <c r="E3193" s="41"/>
      <c r="F3193" s="41"/>
      <c r="G3193" s="41"/>
      <c r="H3193" s="41"/>
      <c r="I3193" s="41"/>
      <c r="J3193" s="41"/>
      <c r="K3193" s="41"/>
      <c r="L3193" s="41"/>
      <c r="M3193" s="41"/>
      <c r="N3193" s="41"/>
      <c r="O3193" s="41"/>
      <c r="P3193" s="28"/>
    </row>
    <row r="3194" customFormat="1" spans="1:16">
      <c r="A3194" s="39"/>
      <c r="B3194" s="40"/>
      <c r="C3194" s="41"/>
      <c r="D3194" s="41"/>
      <c r="E3194" s="41"/>
      <c r="F3194" s="41"/>
      <c r="G3194" s="41"/>
      <c r="H3194" s="41"/>
      <c r="I3194" s="41"/>
      <c r="J3194" s="41"/>
      <c r="K3194" s="41"/>
      <c r="L3194" s="41"/>
      <c r="M3194" s="41"/>
      <c r="N3194" s="41"/>
      <c r="O3194" s="41"/>
      <c r="P3194" s="28"/>
    </row>
    <row r="3195" customFormat="1" spans="1:16">
      <c r="A3195" s="39"/>
      <c r="B3195" s="40"/>
      <c r="C3195" s="41"/>
      <c r="D3195" s="41"/>
      <c r="E3195" s="41"/>
      <c r="F3195" s="41"/>
      <c r="G3195" s="41"/>
      <c r="H3195" s="41"/>
      <c r="I3195" s="41"/>
      <c r="J3195" s="41"/>
      <c r="K3195" s="41"/>
      <c r="L3195" s="41"/>
      <c r="M3195" s="41"/>
      <c r="N3195" s="41"/>
      <c r="O3195" s="41"/>
      <c r="P3195" s="28"/>
    </row>
    <row r="3196" customFormat="1" spans="1:16">
      <c r="A3196" s="39"/>
      <c r="B3196" s="40"/>
      <c r="C3196" s="41"/>
      <c r="D3196" s="41"/>
      <c r="E3196" s="41"/>
      <c r="F3196" s="41"/>
      <c r="G3196" s="41"/>
      <c r="H3196" s="41"/>
      <c r="I3196" s="41"/>
      <c r="J3196" s="41"/>
      <c r="K3196" s="41"/>
      <c r="L3196" s="41"/>
      <c r="M3196" s="41"/>
      <c r="N3196" s="41"/>
      <c r="O3196" s="41"/>
      <c r="P3196" s="28"/>
    </row>
    <row r="3197" customFormat="1" spans="1:16">
      <c r="A3197" s="39"/>
      <c r="B3197" s="40"/>
      <c r="C3197" s="41"/>
      <c r="D3197" s="41"/>
      <c r="E3197" s="41"/>
      <c r="F3197" s="41"/>
      <c r="G3197" s="41"/>
      <c r="H3197" s="41"/>
      <c r="I3197" s="41"/>
      <c r="J3197" s="41"/>
      <c r="K3197" s="41"/>
      <c r="L3197" s="41"/>
      <c r="M3197" s="41"/>
      <c r="N3197" s="41"/>
      <c r="O3197" s="41"/>
      <c r="P3197" s="28"/>
    </row>
    <row r="3198" customFormat="1" spans="1:16">
      <c r="A3198" s="39"/>
      <c r="B3198" s="40"/>
      <c r="C3198" s="41"/>
      <c r="D3198" s="41"/>
      <c r="E3198" s="41"/>
      <c r="F3198" s="41"/>
      <c r="G3198" s="41"/>
      <c r="H3198" s="41"/>
      <c r="I3198" s="41"/>
      <c r="J3198" s="41"/>
      <c r="K3198" s="41"/>
      <c r="L3198" s="41"/>
      <c r="M3198" s="41"/>
      <c r="N3198" s="41"/>
      <c r="O3198" s="41"/>
      <c r="P3198" s="28"/>
    </row>
    <row r="3199" customFormat="1" spans="1:16">
      <c r="A3199" s="39"/>
      <c r="B3199" s="40"/>
      <c r="C3199" s="41"/>
      <c r="D3199" s="41"/>
      <c r="E3199" s="41"/>
      <c r="F3199" s="41"/>
      <c r="G3199" s="41"/>
      <c r="H3199" s="41"/>
      <c r="I3199" s="41"/>
      <c r="J3199" s="41"/>
      <c r="K3199" s="41"/>
      <c r="L3199" s="41"/>
      <c r="M3199" s="41"/>
      <c r="N3199" s="41"/>
      <c r="O3199" s="41"/>
      <c r="P3199" s="28"/>
    </row>
    <row r="3200" customFormat="1" spans="1:16">
      <c r="A3200" s="39"/>
      <c r="B3200" s="40"/>
      <c r="C3200" s="41"/>
      <c r="D3200" s="41"/>
      <c r="E3200" s="41"/>
      <c r="F3200" s="41"/>
      <c r="G3200" s="41"/>
      <c r="H3200" s="41"/>
      <c r="I3200" s="41"/>
      <c r="J3200" s="41"/>
      <c r="K3200" s="41"/>
      <c r="L3200" s="41"/>
      <c r="M3200" s="41"/>
      <c r="N3200" s="41"/>
      <c r="O3200" s="41"/>
      <c r="P3200" s="28"/>
    </row>
    <row r="3201" customFormat="1" spans="1:16">
      <c r="A3201" s="39"/>
      <c r="B3201" s="40"/>
      <c r="C3201" s="41"/>
      <c r="D3201" s="41"/>
      <c r="E3201" s="41"/>
      <c r="F3201" s="41"/>
      <c r="G3201" s="41"/>
      <c r="H3201" s="41"/>
      <c r="I3201" s="41"/>
      <c r="J3201" s="41"/>
      <c r="K3201" s="41"/>
      <c r="L3201" s="41"/>
      <c r="M3201" s="41"/>
      <c r="N3201" s="41"/>
      <c r="O3201" s="41"/>
      <c r="P3201" s="28"/>
    </row>
    <row r="3202" customFormat="1" spans="1:16">
      <c r="A3202" s="39"/>
      <c r="B3202" s="40"/>
      <c r="C3202" s="41"/>
      <c r="D3202" s="41"/>
      <c r="E3202" s="41"/>
      <c r="F3202" s="41"/>
      <c r="G3202" s="41"/>
      <c r="H3202" s="41"/>
      <c r="I3202" s="41"/>
      <c r="J3202" s="41"/>
      <c r="K3202" s="41"/>
      <c r="L3202" s="41"/>
      <c r="M3202" s="41"/>
      <c r="N3202" s="41"/>
      <c r="O3202" s="41"/>
      <c r="P3202" s="28"/>
    </row>
    <row r="3203" customFormat="1" spans="1:16">
      <c r="A3203" s="39"/>
      <c r="B3203" s="40"/>
      <c r="C3203" s="41"/>
      <c r="D3203" s="41"/>
      <c r="E3203" s="41"/>
      <c r="F3203" s="41"/>
      <c r="G3203" s="41"/>
      <c r="H3203" s="41"/>
      <c r="I3203" s="41"/>
      <c r="J3203" s="41"/>
      <c r="K3203" s="41"/>
      <c r="L3203" s="41"/>
      <c r="M3203" s="41"/>
      <c r="N3203" s="41"/>
      <c r="O3203" s="41"/>
      <c r="P3203" s="28"/>
    </row>
    <row r="3204" customFormat="1" spans="1:16">
      <c r="A3204" s="39"/>
      <c r="B3204" s="40"/>
      <c r="C3204" s="41"/>
      <c r="D3204" s="41"/>
      <c r="E3204" s="41"/>
      <c r="F3204" s="41"/>
      <c r="G3204" s="41"/>
      <c r="H3204" s="41"/>
      <c r="I3204" s="41"/>
      <c r="J3204" s="41"/>
      <c r="K3204" s="41"/>
      <c r="L3204" s="41"/>
      <c r="M3204" s="41"/>
      <c r="N3204" s="41"/>
      <c r="O3204" s="41"/>
      <c r="P3204" s="28"/>
    </row>
    <row r="3205" customFormat="1" spans="1:16">
      <c r="A3205" s="39"/>
      <c r="B3205" s="40"/>
      <c r="C3205" s="41"/>
      <c r="D3205" s="41"/>
      <c r="E3205" s="41"/>
      <c r="F3205" s="41"/>
      <c r="G3205" s="41"/>
      <c r="H3205" s="41"/>
      <c r="I3205" s="41"/>
      <c r="J3205" s="41"/>
      <c r="K3205" s="41"/>
      <c r="L3205" s="41"/>
      <c r="M3205" s="41"/>
      <c r="N3205" s="41"/>
      <c r="O3205" s="41"/>
      <c r="P3205" s="28"/>
    </row>
    <row r="3206" customFormat="1" spans="1:16">
      <c r="A3206" s="39"/>
      <c r="B3206" s="40"/>
      <c r="C3206" s="41"/>
      <c r="D3206" s="41"/>
      <c r="E3206" s="41"/>
      <c r="F3206" s="41"/>
      <c r="G3206" s="41"/>
      <c r="H3206" s="41"/>
      <c r="I3206" s="41"/>
      <c r="J3206" s="41"/>
      <c r="K3206" s="41"/>
      <c r="L3206" s="41"/>
      <c r="M3206" s="41"/>
      <c r="N3206" s="41"/>
      <c r="O3206" s="41"/>
      <c r="P3206" s="28"/>
    </row>
    <row r="3207" customFormat="1" spans="1:16">
      <c r="A3207" s="39"/>
      <c r="B3207" s="40"/>
      <c r="C3207" s="41"/>
      <c r="D3207" s="41"/>
      <c r="E3207" s="41"/>
      <c r="F3207" s="41"/>
      <c r="G3207" s="41"/>
      <c r="H3207" s="41"/>
      <c r="I3207" s="41"/>
      <c r="J3207" s="41"/>
      <c r="K3207" s="41"/>
      <c r="L3207" s="41"/>
      <c r="M3207" s="41"/>
      <c r="N3207" s="41"/>
      <c r="O3207" s="41"/>
      <c r="P3207" s="28"/>
    </row>
    <row r="3208" customFormat="1" spans="1:16">
      <c r="A3208" s="39"/>
      <c r="B3208" s="40"/>
      <c r="C3208" s="41"/>
      <c r="D3208" s="41"/>
      <c r="E3208" s="41"/>
      <c r="F3208" s="41"/>
      <c r="G3208" s="41"/>
      <c r="H3208" s="41"/>
      <c r="I3208" s="41"/>
      <c r="J3208" s="41"/>
      <c r="K3208" s="41"/>
      <c r="L3208" s="41"/>
      <c r="M3208" s="41"/>
      <c r="N3208" s="41"/>
      <c r="O3208" s="41"/>
      <c r="P3208" s="28"/>
    </row>
    <row r="3209" customFormat="1" spans="1:16">
      <c r="A3209" s="39"/>
      <c r="B3209" s="40"/>
      <c r="C3209" s="41"/>
      <c r="D3209" s="41"/>
      <c r="E3209" s="41"/>
      <c r="F3209" s="41"/>
      <c r="G3209" s="41"/>
      <c r="H3209" s="41"/>
      <c r="I3209" s="41"/>
      <c r="J3209" s="41"/>
      <c r="K3209" s="41"/>
      <c r="L3209" s="41"/>
      <c r="M3209" s="41"/>
      <c r="N3209" s="41"/>
      <c r="O3209" s="41"/>
      <c r="P3209" s="28"/>
    </row>
    <row r="3210" customFormat="1" spans="1:16">
      <c r="A3210" s="39"/>
      <c r="B3210" s="40"/>
      <c r="C3210" s="41"/>
      <c r="D3210" s="41"/>
      <c r="E3210" s="41"/>
      <c r="F3210" s="41"/>
      <c r="G3210" s="41"/>
      <c r="H3210" s="41"/>
      <c r="I3210" s="41"/>
      <c r="J3210" s="41"/>
      <c r="K3210" s="41"/>
      <c r="L3210" s="41"/>
      <c r="M3210" s="41"/>
      <c r="N3210" s="41"/>
      <c r="O3210" s="41"/>
      <c r="P3210" s="28"/>
    </row>
    <row r="3211" customFormat="1" spans="1:16">
      <c r="A3211" s="39"/>
      <c r="B3211" s="40"/>
      <c r="C3211" s="41"/>
      <c r="D3211" s="41"/>
      <c r="E3211" s="41"/>
      <c r="F3211" s="41"/>
      <c r="G3211" s="41"/>
      <c r="H3211" s="41"/>
      <c r="I3211" s="41"/>
      <c r="J3211" s="41"/>
      <c r="K3211" s="41"/>
      <c r="L3211" s="41"/>
      <c r="M3211" s="41"/>
      <c r="N3211" s="41"/>
      <c r="O3211" s="41"/>
      <c r="P3211" s="28"/>
    </row>
    <row r="3212" customFormat="1" spans="1:16">
      <c r="A3212" s="39"/>
      <c r="B3212" s="40"/>
      <c r="C3212" s="41"/>
      <c r="D3212" s="41"/>
      <c r="E3212" s="41"/>
      <c r="F3212" s="41"/>
      <c r="G3212" s="41"/>
      <c r="H3212" s="41"/>
      <c r="I3212" s="41"/>
      <c r="J3212" s="41"/>
      <c r="K3212" s="41"/>
      <c r="L3212" s="41"/>
      <c r="M3212" s="41"/>
      <c r="N3212" s="41"/>
      <c r="O3212" s="41"/>
      <c r="P3212" s="28"/>
    </row>
    <row r="3213" customFormat="1" spans="1:16">
      <c r="A3213" s="39"/>
      <c r="B3213" s="40"/>
      <c r="C3213" s="41"/>
      <c r="D3213" s="41"/>
      <c r="E3213" s="41"/>
      <c r="F3213" s="41"/>
      <c r="G3213" s="41"/>
      <c r="H3213" s="41"/>
      <c r="I3213" s="41"/>
      <c r="J3213" s="41"/>
      <c r="K3213" s="41"/>
      <c r="L3213" s="41"/>
      <c r="M3213" s="41"/>
      <c r="N3213" s="41"/>
      <c r="O3213" s="41"/>
      <c r="P3213" s="28"/>
    </row>
    <row r="3214" customFormat="1" spans="1:16">
      <c r="A3214" s="39"/>
      <c r="B3214" s="40"/>
      <c r="C3214" s="41"/>
      <c r="D3214" s="41"/>
      <c r="E3214" s="41"/>
      <c r="F3214" s="41"/>
      <c r="G3214" s="41"/>
      <c r="H3214" s="41"/>
      <c r="I3214" s="41"/>
      <c r="J3214" s="41"/>
      <c r="K3214" s="41"/>
      <c r="L3214" s="41"/>
      <c r="M3214" s="41"/>
      <c r="N3214" s="41"/>
      <c r="O3214" s="41"/>
      <c r="P3214" s="28"/>
    </row>
    <row r="3215" customFormat="1" spans="1:16">
      <c r="A3215" s="39"/>
      <c r="B3215" s="40"/>
      <c r="C3215" s="41"/>
      <c r="D3215" s="41"/>
      <c r="E3215" s="41"/>
      <c r="F3215" s="41"/>
      <c r="G3215" s="41"/>
      <c r="H3215" s="41"/>
      <c r="I3215" s="41"/>
      <c r="J3215" s="41"/>
      <c r="K3215" s="41"/>
      <c r="L3215" s="41"/>
      <c r="M3215" s="41"/>
      <c r="N3215" s="41"/>
      <c r="O3215" s="41"/>
      <c r="P3215" s="28"/>
    </row>
    <row r="3216" customFormat="1" spans="1:16">
      <c r="A3216" s="39"/>
      <c r="B3216" s="40"/>
      <c r="C3216" s="41"/>
      <c r="D3216" s="41"/>
      <c r="E3216" s="41"/>
      <c r="F3216" s="41"/>
      <c r="G3216" s="41"/>
      <c r="H3216" s="41"/>
      <c r="I3216" s="41"/>
      <c r="J3216" s="41"/>
      <c r="K3216" s="41"/>
      <c r="L3216" s="41"/>
      <c r="M3216" s="41"/>
      <c r="N3216" s="41"/>
      <c r="O3216" s="41"/>
      <c r="P3216" s="28"/>
    </row>
    <row r="3217" customFormat="1" spans="1:16">
      <c r="A3217" s="39"/>
      <c r="B3217" s="40"/>
      <c r="C3217" s="41"/>
      <c r="D3217" s="41"/>
      <c r="E3217" s="41"/>
      <c r="F3217" s="41"/>
      <c r="G3217" s="41"/>
      <c r="H3217" s="41"/>
      <c r="I3217" s="41"/>
      <c r="J3217" s="41"/>
      <c r="K3217" s="41"/>
      <c r="L3217" s="41"/>
      <c r="M3217" s="41"/>
      <c r="N3217" s="41"/>
      <c r="O3217" s="41"/>
      <c r="P3217" s="28"/>
    </row>
    <row r="3218" customFormat="1" spans="1:16">
      <c r="A3218" s="39"/>
      <c r="B3218" s="40"/>
      <c r="C3218" s="41"/>
      <c r="D3218" s="41"/>
      <c r="E3218" s="41"/>
      <c r="F3218" s="41"/>
      <c r="G3218" s="41"/>
      <c r="H3218" s="41"/>
      <c r="I3218" s="41"/>
      <c r="J3218" s="41"/>
      <c r="K3218" s="41"/>
      <c r="L3218" s="41"/>
      <c r="M3218" s="41"/>
      <c r="N3218" s="41"/>
      <c r="O3218" s="41"/>
      <c r="P3218" s="28"/>
    </row>
    <row r="3219" customFormat="1" spans="1:16">
      <c r="A3219" s="39"/>
      <c r="B3219" s="40"/>
      <c r="C3219" s="41"/>
      <c r="D3219" s="41"/>
      <c r="E3219" s="41"/>
      <c r="F3219" s="41"/>
      <c r="G3219" s="41"/>
      <c r="H3219" s="41"/>
      <c r="I3219" s="41"/>
      <c r="J3219" s="41"/>
      <c r="K3219" s="41"/>
      <c r="L3219" s="41"/>
      <c r="M3219" s="41"/>
      <c r="N3219" s="41"/>
      <c r="O3219" s="41"/>
      <c r="P3219" s="28"/>
    </row>
    <row r="3220" customFormat="1" spans="1:16">
      <c r="A3220" s="39"/>
      <c r="B3220" s="40"/>
      <c r="C3220" s="41"/>
      <c r="D3220" s="41"/>
      <c r="E3220" s="41"/>
      <c r="F3220" s="41"/>
      <c r="G3220" s="41"/>
      <c r="H3220" s="41"/>
      <c r="I3220" s="41"/>
      <c r="J3220" s="41"/>
      <c r="K3220" s="41"/>
      <c r="L3220" s="41"/>
      <c r="M3220" s="41"/>
      <c r="N3220" s="41"/>
      <c r="O3220" s="41"/>
      <c r="P3220" s="28"/>
    </row>
    <row r="3221" customFormat="1" spans="1:16">
      <c r="A3221" s="39"/>
      <c r="B3221" s="40"/>
      <c r="C3221" s="41"/>
      <c r="D3221" s="41"/>
      <c r="E3221" s="41"/>
      <c r="F3221" s="41"/>
      <c r="G3221" s="41"/>
      <c r="H3221" s="41"/>
      <c r="I3221" s="41"/>
      <c r="J3221" s="41"/>
      <c r="K3221" s="41"/>
      <c r="L3221" s="41"/>
      <c r="M3221" s="41"/>
      <c r="N3221" s="41"/>
      <c r="O3221" s="41"/>
      <c r="P3221" s="28"/>
    </row>
    <row r="3222" customFormat="1" spans="1:16">
      <c r="A3222" s="39"/>
      <c r="B3222" s="40"/>
      <c r="C3222" s="41"/>
      <c r="D3222" s="41"/>
      <c r="E3222" s="41"/>
      <c r="F3222" s="41"/>
      <c r="G3222" s="41"/>
      <c r="H3222" s="41"/>
      <c r="I3222" s="41"/>
      <c r="J3222" s="41"/>
      <c r="K3222" s="41"/>
      <c r="L3222" s="41"/>
      <c r="M3222" s="41"/>
      <c r="N3222" s="41"/>
      <c r="O3222" s="41"/>
      <c r="P3222" s="28"/>
    </row>
    <row r="3223" customFormat="1" spans="1:16">
      <c r="A3223" s="39"/>
      <c r="B3223" s="40"/>
      <c r="C3223" s="41"/>
      <c r="D3223" s="41"/>
      <c r="E3223" s="41"/>
      <c r="F3223" s="41"/>
      <c r="G3223" s="41"/>
      <c r="H3223" s="41"/>
      <c r="I3223" s="41"/>
      <c r="J3223" s="41"/>
      <c r="K3223" s="41"/>
      <c r="L3223" s="41"/>
      <c r="M3223" s="41"/>
      <c r="N3223" s="41"/>
      <c r="O3223" s="41"/>
      <c r="P3223" s="28"/>
    </row>
    <row r="3224" customFormat="1" spans="1:16">
      <c r="A3224" s="39"/>
      <c r="B3224" s="40"/>
      <c r="C3224" s="41"/>
      <c r="D3224" s="41"/>
      <c r="E3224" s="41"/>
      <c r="F3224" s="41"/>
      <c r="G3224" s="41"/>
      <c r="H3224" s="41"/>
      <c r="I3224" s="41"/>
      <c r="J3224" s="41"/>
      <c r="K3224" s="41"/>
      <c r="L3224" s="41"/>
      <c r="M3224" s="41"/>
      <c r="N3224" s="41"/>
      <c r="O3224" s="41"/>
      <c r="P3224" s="28"/>
    </row>
    <row r="3225" customFormat="1" spans="1:16">
      <c r="A3225" s="39"/>
      <c r="B3225" s="40"/>
      <c r="C3225" s="41"/>
      <c r="D3225" s="41"/>
      <c r="E3225" s="41"/>
      <c r="F3225" s="41"/>
      <c r="G3225" s="41"/>
      <c r="H3225" s="41"/>
      <c r="I3225" s="41"/>
      <c r="J3225" s="41"/>
      <c r="K3225" s="41"/>
      <c r="L3225" s="41"/>
      <c r="M3225" s="41"/>
      <c r="N3225" s="41"/>
      <c r="O3225" s="41"/>
      <c r="P3225" s="28"/>
    </row>
    <row r="3226" customFormat="1" spans="1:16">
      <c r="A3226" s="39"/>
      <c r="B3226" s="40"/>
      <c r="C3226" s="41"/>
      <c r="D3226" s="41"/>
      <c r="E3226" s="41"/>
      <c r="F3226" s="41"/>
      <c r="G3226" s="41"/>
      <c r="H3226" s="41"/>
      <c r="I3226" s="41"/>
      <c r="J3226" s="41"/>
      <c r="K3226" s="41"/>
      <c r="L3226" s="41"/>
      <c r="M3226" s="41"/>
      <c r="N3226" s="41"/>
      <c r="O3226" s="41"/>
      <c r="P3226" s="28"/>
    </row>
    <row r="3227" customFormat="1" spans="1:16">
      <c r="A3227" s="39"/>
      <c r="B3227" s="40"/>
      <c r="C3227" s="41"/>
      <c r="D3227" s="41"/>
      <c r="E3227" s="41"/>
      <c r="F3227" s="41"/>
      <c r="G3227" s="41"/>
      <c r="H3227" s="41"/>
      <c r="I3227" s="41"/>
      <c r="J3227" s="41"/>
      <c r="K3227" s="41"/>
      <c r="L3227" s="41"/>
      <c r="M3227" s="41"/>
      <c r="N3227" s="41"/>
      <c r="O3227" s="41"/>
      <c r="P3227" s="28"/>
    </row>
    <row r="3228" customFormat="1" spans="1:16">
      <c r="A3228" s="39"/>
      <c r="B3228" s="40"/>
      <c r="C3228" s="41"/>
      <c r="D3228" s="41"/>
      <c r="E3228" s="41"/>
      <c r="F3228" s="41"/>
      <c r="G3228" s="41"/>
      <c r="H3228" s="41"/>
      <c r="I3228" s="41"/>
      <c r="J3228" s="41"/>
      <c r="K3228" s="41"/>
      <c r="L3228" s="41"/>
      <c r="M3228" s="41"/>
      <c r="N3228" s="41"/>
      <c r="O3228" s="41"/>
      <c r="P3228" s="28"/>
    </row>
    <row r="3229" customFormat="1" spans="1:16">
      <c r="A3229" s="39"/>
      <c r="B3229" s="40"/>
      <c r="C3229" s="41"/>
      <c r="D3229" s="41"/>
      <c r="E3229" s="41"/>
      <c r="F3229" s="41"/>
      <c r="G3229" s="41"/>
      <c r="H3229" s="41"/>
      <c r="I3229" s="41"/>
      <c r="J3229" s="41"/>
      <c r="K3229" s="41"/>
      <c r="L3229" s="41"/>
      <c r="M3229" s="41"/>
      <c r="N3229" s="41"/>
      <c r="O3229" s="41"/>
      <c r="P3229" s="28"/>
    </row>
    <row r="3230" customFormat="1" spans="1:16">
      <c r="A3230" s="39"/>
      <c r="B3230" s="40"/>
      <c r="C3230" s="41"/>
      <c r="D3230" s="41"/>
      <c r="E3230" s="41"/>
      <c r="F3230" s="41"/>
      <c r="G3230" s="41"/>
      <c r="H3230" s="41"/>
      <c r="I3230" s="41"/>
      <c r="J3230" s="41"/>
      <c r="K3230" s="41"/>
      <c r="L3230" s="41"/>
      <c r="M3230" s="41"/>
      <c r="N3230" s="41"/>
      <c r="O3230" s="41"/>
      <c r="P3230" s="28"/>
    </row>
    <row r="3231" customFormat="1" spans="1:16">
      <c r="A3231" s="39"/>
      <c r="B3231" s="40"/>
      <c r="C3231" s="41"/>
      <c r="D3231" s="41"/>
      <c r="E3231" s="41"/>
      <c r="F3231" s="41"/>
      <c r="G3231" s="41"/>
      <c r="H3231" s="41"/>
      <c r="I3231" s="41"/>
      <c r="J3231" s="41"/>
      <c r="K3231" s="41"/>
      <c r="L3231" s="41"/>
      <c r="M3231" s="41"/>
      <c r="N3231" s="41"/>
      <c r="O3231" s="41"/>
      <c r="P3231" s="28"/>
    </row>
    <row r="3232" customFormat="1" spans="1:16">
      <c r="A3232" s="39"/>
      <c r="B3232" s="40"/>
      <c r="C3232" s="41"/>
      <c r="D3232" s="41"/>
      <c r="E3232" s="41"/>
      <c r="F3232" s="41"/>
      <c r="G3232" s="41"/>
      <c r="H3232" s="41"/>
      <c r="I3232" s="41"/>
      <c r="J3232" s="41"/>
      <c r="K3232" s="41"/>
      <c r="L3232" s="41"/>
      <c r="M3232" s="41"/>
      <c r="N3232" s="41"/>
      <c r="O3232" s="41"/>
      <c r="P3232" s="28"/>
    </row>
    <row r="3233" customFormat="1" spans="1:16">
      <c r="A3233" s="39"/>
      <c r="B3233" s="40"/>
      <c r="C3233" s="41"/>
      <c r="D3233" s="41"/>
      <c r="E3233" s="41"/>
      <c r="F3233" s="41"/>
      <c r="G3233" s="41"/>
      <c r="H3233" s="41"/>
      <c r="I3233" s="41"/>
      <c r="J3233" s="41"/>
      <c r="K3233" s="41"/>
      <c r="L3233" s="41"/>
      <c r="M3233" s="41"/>
      <c r="N3233" s="41"/>
      <c r="O3233" s="41"/>
      <c r="P3233" s="28"/>
    </row>
    <row r="3234" customFormat="1" spans="1:16">
      <c r="A3234" s="39"/>
      <c r="B3234" s="40"/>
      <c r="C3234" s="41"/>
      <c r="D3234" s="41"/>
      <c r="E3234" s="41"/>
      <c r="F3234" s="41"/>
      <c r="G3234" s="41"/>
      <c r="H3234" s="41"/>
      <c r="I3234" s="41"/>
      <c r="J3234" s="41"/>
      <c r="K3234" s="41"/>
      <c r="L3234" s="41"/>
      <c r="M3234" s="41"/>
      <c r="N3234" s="41"/>
      <c r="O3234" s="41"/>
      <c r="P3234" s="28"/>
    </row>
    <row r="3235" customFormat="1" spans="1:16">
      <c r="A3235" s="39"/>
      <c r="B3235" s="40"/>
      <c r="C3235" s="41"/>
      <c r="D3235" s="41"/>
      <c r="E3235" s="41"/>
      <c r="F3235" s="41"/>
      <c r="G3235" s="41"/>
      <c r="H3235" s="41"/>
      <c r="I3235" s="41"/>
      <c r="J3235" s="41"/>
      <c r="K3235" s="41"/>
      <c r="L3235" s="41"/>
      <c r="M3235" s="41"/>
      <c r="N3235" s="41"/>
      <c r="O3235" s="41"/>
      <c r="P3235" s="28"/>
    </row>
    <row r="3236" customFormat="1" spans="1:16">
      <c r="A3236" s="39"/>
      <c r="B3236" s="40"/>
      <c r="C3236" s="41"/>
      <c r="D3236" s="41"/>
      <c r="E3236" s="41"/>
      <c r="F3236" s="41"/>
      <c r="G3236" s="41"/>
      <c r="H3236" s="41"/>
      <c r="I3236" s="41"/>
      <c r="J3236" s="41"/>
      <c r="K3236" s="41"/>
      <c r="L3236" s="41"/>
      <c r="M3236" s="41"/>
      <c r="N3236" s="41"/>
      <c r="O3236" s="41"/>
      <c r="P3236" s="28"/>
    </row>
    <row r="3237" customFormat="1" spans="1:16">
      <c r="A3237" s="39"/>
      <c r="B3237" s="40"/>
      <c r="C3237" s="41"/>
      <c r="D3237" s="41"/>
      <c r="E3237" s="41"/>
      <c r="F3237" s="41"/>
      <c r="G3237" s="41"/>
      <c r="H3237" s="41"/>
      <c r="I3237" s="41"/>
      <c r="J3237" s="41"/>
      <c r="K3237" s="41"/>
      <c r="L3237" s="41"/>
      <c r="M3237" s="41"/>
      <c r="N3237" s="41"/>
      <c r="O3237" s="41"/>
      <c r="P3237" s="28"/>
    </row>
    <row r="3238" customFormat="1" spans="1:16">
      <c r="A3238" s="39"/>
      <c r="B3238" s="40"/>
      <c r="C3238" s="41"/>
      <c r="D3238" s="41"/>
      <c r="E3238" s="41"/>
      <c r="F3238" s="41"/>
      <c r="G3238" s="41"/>
      <c r="H3238" s="41"/>
      <c r="I3238" s="41"/>
      <c r="J3238" s="41"/>
      <c r="K3238" s="41"/>
      <c r="L3238" s="41"/>
      <c r="M3238" s="41"/>
      <c r="N3238" s="41"/>
      <c r="O3238" s="41"/>
      <c r="P3238" s="28"/>
    </row>
    <row r="3239" customFormat="1" spans="1:16">
      <c r="A3239" s="39"/>
      <c r="B3239" s="40"/>
      <c r="C3239" s="41"/>
      <c r="D3239" s="41"/>
      <c r="E3239" s="41"/>
      <c r="F3239" s="41"/>
      <c r="G3239" s="41"/>
      <c r="H3239" s="41"/>
      <c r="I3239" s="41"/>
      <c r="J3239" s="41"/>
      <c r="K3239" s="41"/>
      <c r="L3239" s="41"/>
      <c r="M3239" s="41"/>
      <c r="N3239" s="41"/>
      <c r="O3239" s="41"/>
      <c r="P3239" s="28"/>
    </row>
    <row r="3240" customFormat="1" spans="1:16">
      <c r="A3240" s="39"/>
      <c r="B3240" s="40"/>
      <c r="C3240" s="41"/>
      <c r="D3240" s="41"/>
      <c r="E3240" s="41"/>
      <c r="F3240" s="41"/>
      <c r="G3240" s="41"/>
      <c r="H3240" s="41"/>
      <c r="I3240" s="41"/>
      <c r="J3240" s="41"/>
      <c r="K3240" s="41"/>
      <c r="L3240" s="41"/>
      <c r="M3240" s="41"/>
      <c r="N3240" s="41"/>
      <c r="O3240" s="41"/>
      <c r="P3240" s="28"/>
    </row>
    <row r="3241" customFormat="1" spans="1:16">
      <c r="A3241" s="39"/>
      <c r="B3241" s="40"/>
      <c r="C3241" s="41"/>
      <c r="D3241" s="41"/>
      <c r="E3241" s="41"/>
      <c r="F3241" s="41"/>
      <c r="G3241" s="41"/>
      <c r="H3241" s="41"/>
      <c r="I3241" s="41"/>
      <c r="J3241" s="41"/>
      <c r="K3241" s="41"/>
      <c r="L3241" s="41"/>
      <c r="M3241" s="41"/>
      <c r="N3241" s="41"/>
      <c r="O3241" s="41"/>
      <c r="P3241" s="28"/>
    </row>
    <row r="3242" customFormat="1" spans="1:16">
      <c r="A3242" s="39"/>
      <c r="B3242" s="40"/>
      <c r="C3242" s="41"/>
      <c r="D3242" s="41"/>
      <c r="E3242" s="41"/>
      <c r="F3242" s="41"/>
      <c r="G3242" s="41"/>
      <c r="H3242" s="41"/>
      <c r="I3242" s="41"/>
      <c r="J3242" s="41"/>
      <c r="K3242" s="41"/>
      <c r="L3242" s="41"/>
      <c r="M3242" s="41"/>
      <c r="N3242" s="41"/>
      <c r="O3242" s="41"/>
      <c r="P3242" s="28"/>
    </row>
    <row r="3243" customFormat="1" spans="1:16">
      <c r="A3243" s="39"/>
      <c r="B3243" s="40"/>
      <c r="C3243" s="41"/>
      <c r="D3243" s="41"/>
      <c r="E3243" s="41"/>
      <c r="F3243" s="41"/>
      <c r="G3243" s="41"/>
      <c r="H3243" s="41"/>
      <c r="I3243" s="41"/>
      <c r="J3243" s="41"/>
      <c r="K3243" s="41"/>
      <c r="L3243" s="41"/>
      <c r="M3243" s="41"/>
      <c r="N3243" s="41"/>
      <c r="O3243" s="41"/>
      <c r="P3243" s="28"/>
    </row>
    <row r="3244" customFormat="1" spans="1:16">
      <c r="A3244" s="39"/>
      <c r="B3244" s="40"/>
      <c r="C3244" s="41"/>
      <c r="D3244" s="41"/>
      <c r="E3244" s="41"/>
      <c r="F3244" s="41"/>
      <c r="G3244" s="41"/>
      <c r="H3244" s="41"/>
      <c r="I3244" s="41"/>
      <c r="J3244" s="41"/>
      <c r="K3244" s="41"/>
      <c r="L3244" s="41"/>
      <c r="M3244" s="41"/>
      <c r="N3244" s="41"/>
      <c r="O3244" s="41"/>
      <c r="P3244" s="28"/>
    </row>
    <row r="3245" customFormat="1" spans="1:16">
      <c r="A3245" s="39"/>
      <c r="B3245" s="40"/>
      <c r="C3245" s="41"/>
      <c r="D3245" s="41"/>
      <c r="E3245" s="41"/>
      <c r="F3245" s="41"/>
      <c r="G3245" s="41"/>
      <c r="H3245" s="41"/>
      <c r="I3245" s="41"/>
      <c r="J3245" s="41"/>
      <c r="K3245" s="41"/>
      <c r="L3245" s="41"/>
      <c r="M3245" s="41"/>
      <c r="N3245" s="41"/>
      <c r="O3245" s="41"/>
      <c r="P3245" s="28"/>
    </row>
    <row r="3246" customFormat="1" spans="1:16">
      <c r="A3246" s="39"/>
      <c r="B3246" s="40"/>
      <c r="C3246" s="41"/>
      <c r="D3246" s="41"/>
      <c r="E3246" s="41"/>
      <c r="F3246" s="41"/>
      <c r="G3246" s="41"/>
      <c r="H3246" s="41"/>
      <c r="I3246" s="41"/>
      <c r="J3246" s="41"/>
      <c r="K3246" s="41"/>
      <c r="L3246" s="41"/>
      <c r="M3246" s="41"/>
      <c r="N3246" s="41"/>
      <c r="O3246" s="41"/>
      <c r="P3246" s="28"/>
    </row>
    <row r="3247" customFormat="1" spans="1:16">
      <c r="A3247" s="39"/>
      <c r="B3247" s="40"/>
      <c r="C3247" s="41"/>
      <c r="D3247" s="41"/>
      <c r="E3247" s="41"/>
      <c r="F3247" s="41"/>
      <c r="G3247" s="41"/>
      <c r="H3247" s="41"/>
      <c r="I3247" s="41"/>
      <c r="J3247" s="41"/>
      <c r="K3247" s="41"/>
      <c r="L3247" s="41"/>
      <c r="M3247" s="41"/>
      <c r="N3247" s="41"/>
      <c r="O3247" s="41"/>
      <c r="P3247" s="28"/>
    </row>
    <row r="3248" customFormat="1" spans="1:16">
      <c r="A3248" s="39"/>
      <c r="B3248" s="40"/>
      <c r="C3248" s="41"/>
      <c r="D3248" s="41"/>
      <c r="E3248" s="41"/>
      <c r="F3248" s="41"/>
      <c r="G3248" s="41"/>
      <c r="H3248" s="41"/>
      <c r="I3248" s="41"/>
      <c r="J3248" s="41"/>
      <c r="K3248" s="41"/>
      <c r="L3248" s="41"/>
      <c r="M3248" s="41"/>
      <c r="N3248" s="41"/>
      <c r="O3248" s="41"/>
      <c r="P3248" s="28"/>
    </row>
    <row r="3249" customFormat="1" spans="1:16">
      <c r="A3249" s="39"/>
      <c r="B3249" s="40"/>
      <c r="C3249" s="41"/>
      <c r="D3249" s="41"/>
      <c r="E3249" s="41"/>
      <c r="F3249" s="41"/>
      <c r="G3249" s="41"/>
      <c r="H3249" s="41"/>
      <c r="I3249" s="41"/>
      <c r="J3249" s="41"/>
      <c r="K3249" s="41"/>
      <c r="L3249" s="41"/>
      <c r="M3249" s="41"/>
      <c r="N3249" s="41"/>
      <c r="O3249" s="41"/>
      <c r="P3249" s="28"/>
    </row>
    <row r="3250" customFormat="1" spans="1:16">
      <c r="A3250" s="39"/>
      <c r="B3250" s="40"/>
      <c r="C3250" s="41"/>
      <c r="D3250" s="41"/>
      <c r="E3250" s="41"/>
      <c r="F3250" s="41"/>
      <c r="G3250" s="41"/>
      <c r="H3250" s="41"/>
      <c r="I3250" s="41"/>
      <c r="J3250" s="41"/>
      <c r="K3250" s="41"/>
      <c r="L3250" s="41"/>
      <c r="M3250" s="41"/>
      <c r="N3250" s="41"/>
      <c r="O3250" s="41"/>
      <c r="P3250" s="28"/>
    </row>
    <row r="3251" customFormat="1" spans="1:16">
      <c r="A3251" s="39"/>
      <c r="B3251" s="40"/>
      <c r="C3251" s="41"/>
      <c r="D3251" s="41"/>
      <c r="E3251" s="41"/>
      <c r="F3251" s="41"/>
      <c r="G3251" s="41"/>
      <c r="H3251" s="41"/>
      <c r="I3251" s="41"/>
      <c r="J3251" s="41"/>
      <c r="K3251" s="41"/>
      <c r="L3251" s="41"/>
      <c r="M3251" s="41"/>
      <c r="N3251" s="41"/>
      <c r="O3251" s="41"/>
      <c r="P3251" s="28"/>
    </row>
    <row r="3252" customFormat="1" spans="1:16">
      <c r="A3252" s="39"/>
      <c r="B3252" s="40"/>
      <c r="C3252" s="41"/>
      <c r="D3252" s="41"/>
      <c r="E3252" s="41"/>
      <c r="F3252" s="41"/>
      <c r="G3252" s="41"/>
      <c r="H3252" s="41"/>
      <c r="I3252" s="41"/>
      <c r="J3252" s="41"/>
      <c r="K3252" s="41"/>
      <c r="L3252" s="41"/>
      <c r="M3252" s="41"/>
      <c r="N3252" s="41"/>
      <c r="O3252" s="41"/>
      <c r="P3252" s="28"/>
    </row>
    <row r="3253" customFormat="1" spans="1:16">
      <c r="A3253" s="39"/>
      <c r="B3253" s="40"/>
      <c r="C3253" s="41"/>
      <c r="D3253" s="41"/>
      <c r="E3253" s="41"/>
      <c r="F3253" s="41"/>
      <c r="G3253" s="41"/>
      <c r="H3253" s="41"/>
      <c r="I3253" s="41"/>
      <c r="J3253" s="41"/>
      <c r="K3253" s="41"/>
      <c r="L3253" s="41"/>
      <c r="M3253" s="41"/>
      <c r="N3253" s="41"/>
      <c r="O3253" s="41"/>
      <c r="P3253" s="28"/>
    </row>
    <row r="3254" customFormat="1" spans="1:16">
      <c r="A3254" s="39"/>
      <c r="B3254" s="40"/>
      <c r="C3254" s="41"/>
      <c r="D3254" s="41"/>
      <c r="E3254" s="41"/>
      <c r="F3254" s="41"/>
      <c r="G3254" s="41"/>
      <c r="H3254" s="41"/>
      <c r="I3254" s="41"/>
      <c r="J3254" s="41"/>
      <c r="K3254" s="41"/>
      <c r="L3254" s="41"/>
      <c r="M3254" s="41"/>
      <c r="N3254" s="41"/>
      <c r="O3254" s="41"/>
      <c r="P3254" s="28"/>
    </row>
    <row r="3255" customFormat="1" spans="1:16">
      <c r="A3255" s="39"/>
      <c r="B3255" s="40"/>
      <c r="C3255" s="41"/>
      <c r="D3255" s="41"/>
      <c r="E3255" s="41"/>
      <c r="F3255" s="41"/>
      <c r="G3255" s="41"/>
      <c r="H3255" s="41"/>
      <c r="I3255" s="41"/>
      <c r="J3255" s="41"/>
      <c r="K3255" s="41"/>
      <c r="L3255" s="41"/>
      <c r="M3255" s="41"/>
      <c r="N3255" s="41"/>
      <c r="O3255" s="41"/>
      <c r="P3255" s="28"/>
    </row>
    <row r="3256" customFormat="1" spans="1:16">
      <c r="A3256" s="39"/>
      <c r="B3256" s="40"/>
      <c r="C3256" s="41"/>
      <c r="D3256" s="41"/>
      <c r="E3256" s="41"/>
      <c r="F3256" s="41"/>
      <c r="G3256" s="41"/>
      <c r="H3256" s="41"/>
      <c r="I3256" s="41"/>
      <c r="J3256" s="41"/>
      <c r="K3256" s="41"/>
      <c r="L3256" s="41"/>
      <c r="M3256" s="41"/>
      <c r="N3256" s="41"/>
      <c r="O3256" s="41"/>
      <c r="P3256" s="28"/>
    </row>
    <row r="3257" customFormat="1" spans="1:16">
      <c r="A3257" s="39"/>
      <c r="B3257" s="40"/>
      <c r="C3257" s="41"/>
      <c r="D3257" s="41"/>
      <c r="E3257" s="41"/>
      <c r="F3257" s="41"/>
      <c r="G3257" s="41"/>
      <c r="H3257" s="41"/>
      <c r="I3257" s="41"/>
      <c r="J3257" s="41"/>
      <c r="K3257" s="41"/>
      <c r="L3257" s="41"/>
      <c r="M3257" s="41"/>
      <c r="N3257" s="41"/>
      <c r="O3257" s="41"/>
      <c r="P3257" s="28"/>
    </row>
    <row r="3258" customFormat="1" spans="1:16">
      <c r="A3258" s="39"/>
      <c r="B3258" s="40"/>
      <c r="C3258" s="41"/>
      <c r="D3258" s="41"/>
      <c r="E3258" s="41"/>
      <c r="F3258" s="41"/>
      <c r="G3258" s="41"/>
      <c r="H3258" s="41"/>
      <c r="I3258" s="41"/>
      <c r="J3258" s="41"/>
      <c r="K3258" s="41"/>
      <c r="L3258" s="41"/>
      <c r="M3258" s="41"/>
      <c r="N3258" s="41"/>
      <c r="O3258" s="41"/>
      <c r="P3258" s="28"/>
    </row>
    <row r="3259" customFormat="1" spans="1:16">
      <c r="A3259" s="39"/>
      <c r="B3259" s="40"/>
      <c r="C3259" s="41"/>
      <c r="D3259" s="41"/>
      <c r="E3259" s="41"/>
      <c r="F3259" s="41"/>
      <c r="G3259" s="41"/>
      <c r="H3259" s="41"/>
      <c r="I3259" s="41"/>
      <c r="J3259" s="41"/>
      <c r="K3259" s="41"/>
      <c r="L3259" s="41"/>
      <c r="M3259" s="41"/>
      <c r="N3259" s="41"/>
      <c r="O3259" s="41"/>
      <c r="P3259" s="28"/>
    </row>
    <row r="3260" customFormat="1" spans="1:16">
      <c r="A3260" s="39"/>
      <c r="B3260" s="40"/>
      <c r="C3260" s="41"/>
      <c r="D3260" s="41"/>
      <c r="E3260" s="41"/>
      <c r="F3260" s="41"/>
      <c r="G3260" s="41"/>
      <c r="H3260" s="41"/>
      <c r="I3260" s="41"/>
      <c r="J3260" s="41"/>
      <c r="K3260" s="41"/>
      <c r="L3260" s="41"/>
      <c r="M3260" s="41"/>
      <c r="N3260" s="41"/>
      <c r="O3260" s="41"/>
      <c r="P3260" s="28"/>
    </row>
    <row r="3261" customFormat="1" spans="1:16">
      <c r="A3261" s="39"/>
      <c r="B3261" s="40"/>
      <c r="C3261" s="41"/>
      <c r="D3261" s="41"/>
      <c r="E3261" s="41"/>
      <c r="F3261" s="41"/>
      <c r="G3261" s="41"/>
      <c r="H3261" s="41"/>
      <c r="I3261" s="41"/>
      <c r="J3261" s="41"/>
      <c r="K3261" s="41"/>
      <c r="L3261" s="41"/>
      <c r="M3261" s="41"/>
      <c r="N3261" s="41"/>
      <c r="O3261" s="41"/>
      <c r="P3261" s="28"/>
    </row>
    <row r="3262" customFormat="1" spans="1:16">
      <c r="A3262" s="39"/>
      <c r="B3262" s="40"/>
      <c r="C3262" s="41"/>
      <c r="D3262" s="41"/>
      <c r="E3262" s="41"/>
      <c r="F3262" s="41"/>
      <c r="G3262" s="41"/>
      <c r="H3262" s="41"/>
      <c r="I3262" s="41"/>
      <c r="J3262" s="41"/>
      <c r="K3262" s="41"/>
      <c r="L3262" s="41"/>
      <c r="M3262" s="41"/>
      <c r="N3262" s="41"/>
      <c r="O3262" s="41"/>
      <c r="P3262" s="28"/>
    </row>
    <row r="3263" customFormat="1" spans="1:16">
      <c r="A3263" s="39"/>
      <c r="B3263" s="40"/>
      <c r="C3263" s="41"/>
      <c r="D3263" s="41"/>
      <c r="E3263" s="41"/>
      <c r="F3263" s="41"/>
      <c r="G3263" s="41"/>
      <c r="H3263" s="41"/>
      <c r="I3263" s="41"/>
      <c r="J3263" s="41"/>
      <c r="K3263" s="41"/>
      <c r="L3263" s="41"/>
      <c r="M3263" s="41"/>
      <c r="N3263" s="41"/>
      <c r="O3263" s="41"/>
      <c r="P3263" s="28"/>
    </row>
    <row r="3264" customFormat="1" spans="1:16">
      <c r="A3264" s="39"/>
      <c r="B3264" s="40"/>
      <c r="C3264" s="41"/>
      <c r="D3264" s="41"/>
      <c r="E3264" s="41"/>
      <c r="F3264" s="41"/>
      <c r="G3264" s="41"/>
      <c r="H3264" s="41"/>
      <c r="I3264" s="41"/>
      <c r="J3264" s="41"/>
      <c r="K3264" s="41"/>
      <c r="L3264" s="41"/>
      <c r="M3264" s="41"/>
      <c r="N3264" s="41"/>
      <c r="O3264" s="41"/>
      <c r="P3264" s="28"/>
    </row>
    <row r="3265" customFormat="1" spans="1:16">
      <c r="A3265" s="39"/>
      <c r="B3265" s="40"/>
      <c r="C3265" s="41"/>
      <c r="D3265" s="41"/>
      <c r="E3265" s="41"/>
      <c r="F3265" s="41"/>
      <c r="G3265" s="41"/>
      <c r="H3265" s="41"/>
      <c r="I3265" s="41"/>
      <c r="J3265" s="41"/>
      <c r="K3265" s="41"/>
      <c r="L3265" s="41"/>
      <c r="M3265" s="41"/>
      <c r="N3265" s="41"/>
      <c r="O3265" s="41"/>
      <c r="P3265" s="28"/>
    </row>
    <row r="3266" customFormat="1" spans="1:16">
      <c r="A3266" s="39"/>
      <c r="B3266" s="40"/>
      <c r="C3266" s="41"/>
      <c r="D3266" s="41"/>
      <c r="E3266" s="41"/>
      <c r="F3266" s="41"/>
      <c r="G3266" s="41"/>
      <c r="H3266" s="41"/>
      <c r="I3266" s="41"/>
      <c r="J3266" s="41"/>
      <c r="K3266" s="41"/>
      <c r="L3266" s="41"/>
      <c r="M3266" s="41"/>
      <c r="N3266" s="41"/>
      <c r="O3266" s="41"/>
      <c r="P3266" s="28"/>
    </row>
    <row r="3267" customFormat="1" spans="1:16">
      <c r="A3267" s="39"/>
      <c r="B3267" s="40"/>
      <c r="C3267" s="41"/>
      <c r="D3267" s="41"/>
      <c r="E3267" s="41"/>
      <c r="F3267" s="41"/>
      <c r="G3267" s="41"/>
      <c r="H3267" s="41"/>
      <c r="I3267" s="41"/>
      <c r="J3267" s="41"/>
      <c r="K3267" s="41"/>
      <c r="L3267" s="41"/>
      <c r="M3267" s="41"/>
      <c r="N3267" s="41"/>
      <c r="O3267" s="41"/>
      <c r="P3267" s="28"/>
    </row>
    <row r="3268" customFormat="1" spans="1:16">
      <c r="A3268" s="39"/>
      <c r="B3268" s="40"/>
      <c r="C3268" s="41"/>
      <c r="D3268" s="41"/>
      <c r="E3268" s="41"/>
      <c r="F3268" s="41"/>
      <c r="G3268" s="41"/>
      <c r="H3268" s="41"/>
      <c r="I3268" s="41"/>
      <c r="J3268" s="41"/>
      <c r="K3268" s="41"/>
      <c r="L3268" s="41"/>
      <c r="M3268" s="41"/>
      <c r="N3268" s="41"/>
      <c r="O3268" s="41"/>
      <c r="P3268" s="28"/>
    </row>
    <row r="3269" customFormat="1" spans="1:16">
      <c r="A3269" s="39"/>
      <c r="B3269" s="40"/>
      <c r="C3269" s="41"/>
      <c r="D3269" s="41"/>
      <c r="E3269" s="41"/>
      <c r="F3269" s="41"/>
      <c r="G3269" s="41"/>
      <c r="H3269" s="41"/>
      <c r="I3269" s="41"/>
      <c r="J3269" s="41"/>
      <c r="K3269" s="41"/>
      <c r="L3269" s="41"/>
      <c r="M3269" s="41"/>
      <c r="N3269" s="41"/>
      <c r="O3269" s="41"/>
      <c r="P3269" s="28"/>
    </row>
    <row r="3270" customFormat="1" spans="1:16">
      <c r="A3270" s="39"/>
      <c r="B3270" s="40"/>
      <c r="C3270" s="41"/>
      <c r="D3270" s="41"/>
      <c r="E3270" s="41"/>
      <c r="F3270" s="41"/>
      <c r="G3270" s="41"/>
      <c r="H3270" s="41"/>
      <c r="I3270" s="41"/>
      <c r="J3270" s="41"/>
      <c r="K3270" s="41"/>
      <c r="L3270" s="41"/>
      <c r="M3270" s="41"/>
      <c r="N3270" s="41"/>
      <c r="O3270" s="41"/>
      <c r="P3270" s="28"/>
    </row>
    <row r="3271" customFormat="1" spans="1:16">
      <c r="A3271" s="39"/>
      <c r="B3271" s="40"/>
      <c r="C3271" s="41"/>
      <c r="D3271" s="41"/>
      <c r="E3271" s="41"/>
      <c r="F3271" s="41"/>
      <c r="G3271" s="41"/>
      <c r="H3271" s="41"/>
      <c r="I3271" s="41"/>
      <c r="J3271" s="41"/>
      <c r="K3271" s="41"/>
      <c r="L3271" s="41"/>
      <c r="M3271" s="41"/>
      <c r="N3271" s="41"/>
      <c r="O3271" s="41"/>
      <c r="P3271" s="28"/>
    </row>
    <row r="3272" customFormat="1" spans="1:16">
      <c r="A3272" s="39"/>
      <c r="B3272" s="40"/>
      <c r="C3272" s="41"/>
      <c r="D3272" s="41"/>
      <c r="E3272" s="41"/>
      <c r="F3272" s="41"/>
      <c r="G3272" s="41"/>
      <c r="H3272" s="41"/>
      <c r="I3272" s="41"/>
      <c r="J3272" s="41"/>
      <c r="K3272" s="41"/>
      <c r="L3272" s="41"/>
      <c r="M3272" s="41"/>
      <c r="N3272" s="41"/>
      <c r="O3272" s="41"/>
      <c r="P3272" s="28"/>
    </row>
    <row r="3273" customFormat="1" spans="1:16">
      <c r="A3273" s="39"/>
      <c r="B3273" s="40"/>
      <c r="C3273" s="41"/>
      <c r="D3273" s="41"/>
      <c r="E3273" s="41"/>
      <c r="F3273" s="41"/>
      <c r="G3273" s="41"/>
      <c r="H3273" s="41"/>
      <c r="I3273" s="41"/>
      <c r="J3273" s="41"/>
      <c r="K3273" s="41"/>
      <c r="L3273" s="41"/>
      <c r="M3273" s="41"/>
      <c r="N3273" s="41"/>
      <c r="O3273" s="41"/>
      <c r="P3273" s="28"/>
    </row>
    <row r="3274" customFormat="1" spans="1:16">
      <c r="A3274" s="39"/>
      <c r="B3274" s="40"/>
      <c r="C3274" s="41"/>
      <c r="D3274" s="41"/>
      <c r="E3274" s="41"/>
      <c r="F3274" s="41"/>
      <c r="G3274" s="41"/>
      <c r="H3274" s="41"/>
      <c r="I3274" s="41"/>
      <c r="J3274" s="41"/>
      <c r="K3274" s="41"/>
      <c r="L3274" s="41"/>
      <c r="M3274" s="41"/>
      <c r="N3274" s="41"/>
      <c r="O3274" s="41"/>
      <c r="P3274" s="28"/>
    </row>
    <row r="3275" customFormat="1" spans="1:16">
      <c r="A3275" s="39"/>
      <c r="B3275" s="40"/>
      <c r="C3275" s="41"/>
      <c r="D3275" s="41"/>
      <c r="E3275" s="41"/>
      <c r="F3275" s="41"/>
      <c r="G3275" s="41"/>
      <c r="H3275" s="41"/>
      <c r="I3275" s="41"/>
      <c r="J3275" s="41"/>
      <c r="K3275" s="41"/>
      <c r="L3275" s="41"/>
      <c r="M3275" s="41"/>
      <c r="N3275" s="41"/>
      <c r="O3275" s="41"/>
      <c r="P3275" s="28"/>
    </row>
    <row r="3276" customFormat="1" spans="1:16">
      <c r="A3276" s="39"/>
      <c r="B3276" s="40"/>
      <c r="C3276" s="41"/>
      <c r="D3276" s="41"/>
      <c r="E3276" s="41"/>
      <c r="F3276" s="41"/>
      <c r="G3276" s="41"/>
      <c r="H3276" s="41"/>
      <c r="I3276" s="41"/>
      <c r="J3276" s="41"/>
      <c r="K3276" s="41"/>
      <c r="L3276" s="41"/>
      <c r="M3276" s="41"/>
      <c r="N3276" s="41"/>
      <c r="O3276" s="41"/>
      <c r="P3276" s="28"/>
    </row>
    <row r="3277" customFormat="1" spans="1:16">
      <c r="A3277" s="39"/>
      <c r="B3277" s="40"/>
      <c r="C3277" s="41"/>
      <c r="D3277" s="41"/>
      <c r="E3277" s="41"/>
      <c r="F3277" s="41"/>
      <c r="G3277" s="41"/>
      <c r="H3277" s="41"/>
      <c r="I3277" s="41"/>
      <c r="J3277" s="41"/>
      <c r="K3277" s="41"/>
      <c r="L3277" s="41"/>
      <c r="M3277" s="41"/>
      <c r="N3277" s="41"/>
      <c r="O3277" s="41"/>
      <c r="P3277" s="28"/>
    </row>
    <row r="3278" customFormat="1" spans="1:16">
      <c r="A3278" s="39"/>
      <c r="B3278" s="40"/>
      <c r="C3278" s="41"/>
      <c r="D3278" s="41"/>
      <c r="E3278" s="41"/>
      <c r="F3278" s="41"/>
      <c r="G3278" s="41"/>
      <c r="H3278" s="41"/>
      <c r="I3278" s="41"/>
      <c r="J3278" s="41"/>
      <c r="K3278" s="41"/>
      <c r="L3278" s="41"/>
      <c r="M3278" s="41"/>
      <c r="N3278" s="41"/>
      <c r="O3278" s="41"/>
      <c r="P3278" s="28"/>
    </row>
    <row r="3279" customFormat="1" spans="1:16">
      <c r="A3279" s="39"/>
      <c r="B3279" s="40"/>
      <c r="C3279" s="41"/>
      <c r="D3279" s="41"/>
      <c r="E3279" s="41"/>
      <c r="F3279" s="41"/>
      <c r="G3279" s="41"/>
      <c r="H3279" s="41"/>
      <c r="I3279" s="41"/>
      <c r="J3279" s="41"/>
      <c r="K3279" s="41"/>
      <c r="L3279" s="41"/>
      <c r="M3279" s="41"/>
      <c r="N3279" s="41"/>
      <c r="O3279" s="41"/>
      <c r="P3279" s="28"/>
    </row>
    <row r="3280" customFormat="1" spans="1:16">
      <c r="A3280" s="39"/>
      <c r="B3280" s="40"/>
      <c r="C3280" s="41"/>
      <c r="D3280" s="41"/>
      <c r="E3280" s="41"/>
      <c r="F3280" s="41"/>
      <c r="G3280" s="41"/>
      <c r="H3280" s="41"/>
      <c r="I3280" s="41"/>
      <c r="J3280" s="41"/>
      <c r="K3280" s="41"/>
      <c r="L3280" s="41"/>
      <c r="M3280" s="41"/>
      <c r="N3280" s="41"/>
      <c r="O3280" s="41"/>
      <c r="P3280" s="28"/>
    </row>
    <row r="3281" customFormat="1" spans="1:16">
      <c r="A3281" s="39"/>
      <c r="B3281" s="40"/>
      <c r="C3281" s="41"/>
      <c r="D3281" s="41"/>
      <c r="E3281" s="41"/>
      <c r="F3281" s="41"/>
      <c r="G3281" s="41"/>
      <c r="H3281" s="41"/>
      <c r="I3281" s="41"/>
      <c r="J3281" s="41"/>
      <c r="K3281" s="41"/>
      <c r="L3281" s="41"/>
      <c r="M3281" s="41"/>
      <c r="N3281" s="41"/>
      <c r="O3281" s="41"/>
      <c r="P3281" s="28"/>
    </row>
    <row r="3282" customFormat="1" spans="1:16">
      <c r="A3282" s="39"/>
      <c r="B3282" s="40"/>
      <c r="C3282" s="41"/>
      <c r="D3282" s="41"/>
      <c r="E3282" s="41"/>
      <c r="F3282" s="41"/>
      <c r="G3282" s="41"/>
      <c r="H3282" s="41"/>
      <c r="I3282" s="41"/>
      <c r="J3282" s="41"/>
      <c r="K3282" s="41"/>
      <c r="L3282" s="41"/>
      <c r="M3282" s="41"/>
      <c r="N3282" s="41"/>
      <c r="O3282" s="41"/>
      <c r="P3282" s="28"/>
    </row>
    <row r="3283" customFormat="1" spans="1:16">
      <c r="A3283" s="39"/>
      <c r="B3283" s="40"/>
      <c r="C3283" s="41"/>
      <c r="D3283" s="41"/>
      <c r="E3283" s="41"/>
      <c r="F3283" s="41"/>
      <c r="G3283" s="41"/>
      <c r="H3283" s="41"/>
      <c r="I3283" s="41"/>
      <c r="J3283" s="41"/>
      <c r="K3283" s="41"/>
      <c r="L3283" s="41"/>
      <c r="M3283" s="41"/>
      <c r="N3283" s="41"/>
      <c r="O3283" s="41"/>
      <c r="P3283" s="28"/>
    </row>
    <row r="3284" customFormat="1" spans="1:16">
      <c r="A3284" s="39"/>
      <c r="B3284" s="40"/>
      <c r="C3284" s="41"/>
      <c r="D3284" s="41"/>
      <c r="E3284" s="41"/>
      <c r="F3284" s="41"/>
      <c r="G3284" s="41"/>
      <c r="H3284" s="41"/>
      <c r="I3284" s="41"/>
      <c r="J3284" s="41"/>
      <c r="K3284" s="41"/>
      <c r="L3284" s="41"/>
      <c r="M3284" s="41"/>
      <c r="N3284" s="41"/>
      <c r="O3284" s="41"/>
      <c r="P3284" s="28"/>
    </row>
    <row r="3285" customFormat="1" spans="1:16">
      <c r="A3285" s="39"/>
      <c r="B3285" s="40"/>
      <c r="C3285" s="41"/>
      <c r="D3285" s="41"/>
      <c r="E3285" s="41"/>
      <c r="F3285" s="41"/>
      <c r="G3285" s="41"/>
      <c r="H3285" s="41"/>
      <c r="I3285" s="41"/>
      <c r="J3285" s="41"/>
      <c r="K3285" s="41"/>
      <c r="L3285" s="41"/>
      <c r="M3285" s="41"/>
      <c r="N3285" s="41"/>
      <c r="O3285" s="41"/>
      <c r="P3285" s="28"/>
    </row>
    <row r="3286" customFormat="1" spans="1:16">
      <c r="A3286" s="39"/>
      <c r="B3286" s="40"/>
      <c r="C3286" s="41"/>
      <c r="D3286" s="41"/>
      <c r="E3286" s="41"/>
      <c r="F3286" s="41"/>
      <c r="G3286" s="41"/>
      <c r="H3286" s="41"/>
      <c r="I3286" s="41"/>
      <c r="J3286" s="41"/>
      <c r="K3286" s="41"/>
      <c r="L3286" s="41"/>
      <c r="M3286" s="41"/>
      <c r="N3286" s="41"/>
      <c r="O3286" s="41"/>
      <c r="P3286" s="28"/>
    </row>
    <row r="3287" customFormat="1" spans="1:16">
      <c r="A3287" s="39"/>
      <c r="B3287" s="40"/>
      <c r="C3287" s="41"/>
      <c r="D3287" s="41"/>
      <c r="E3287" s="41"/>
      <c r="F3287" s="41"/>
      <c r="G3287" s="41"/>
      <c r="H3287" s="41"/>
      <c r="I3287" s="41"/>
      <c r="J3287" s="41"/>
      <c r="K3287" s="41"/>
      <c r="L3287" s="41"/>
      <c r="M3287" s="41"/>
      <c r="N3287" s="41"/>
      <c r="O3287" s="41"/>
      <c r="P3287" s="28"/>
    </row>
    <row r="3288" customFormat="1" spans="1:16">
      <c r="A3288" s="39"/>
      <c r="B3288" s="40"/>
      <c r="C3288" s="41"/>
      <c r="D3288" s="41"/>
      <c r="E3288" s="41"/>
      <c r="F3288" s="41"/>
      <c r="G3288" s="41"/>
      <c r="H3288" s="41"/>
      <c r="I3288" s="41"/>
      <c r="J3288" s="41"/>
      <c r="K3288" s="41"/>
      <c r="L3288" s="41"/>
      <c r="M3288" s="41"/>
      <c r="N3288" s="41"/>
      <c r="O3288" s="41"/>
      <c r="P3288" s="28"/>
    </row>
    <row r="3289" customFormat="1" spans="1:16">
      <c r="A3289" s="39"/>
      <c r="B3289" s="40"/>
      <c r="C3289" s="41"/>
      <c r="D3289" s="41"/>
      <c r="E3289" s="41"/>
      <c r="F3289" s="41"/>
      <c r="G3289" s="41"/>
      <c r="H3289" s="41"/>
      <c r="I3289" s="41"/>
      <c r="J3289" s="41"/>
      <c r="K3289" s="41"/>
      <c r="L3289" s="41"/>
      <c r="M3289" s="41"/>
      <c r="N3289" s="41"/>
      <c r="O3289" s="41"/>
      <c r="P3289" s="28"/>
    </row>
    <row r="3290" customFormat="1" spans="1:16">
      <c r="A3290" s="39"/>
      <c r="B3290" s="40"/>
      <c r="C3290" s="41"/>
      <c r="D3290" s="41"/>
      <c r="E3290" s="41"/>
      <c r="F3290" s="41"/>
      <c r="G3290" s="41"/>
      <c r="H3290" s="41"/>
      <c r="I3290" s="41"/>
      <c r="J3290" s="41"/>
      <c r="K3290" s="41"/>
      <c r="L3290" s="41"/>
      <c r="M3290" s="41"/>
      <c r="N3290" s="41"/>
      <c r="O3290" s="41"/>
      <c r="P3290" s="28"/>
    </row>
    <row r="3291" customFormat="1" spans="1:16">
      <c r="A3291" s="39"/>
      <c r="B3291" s="40"/>
      <c r="C3291" s="41"/>
      <c r="D3291" s="41"/>
      <c r="E3291" s="41"/>
      <c r="F3291" s="41"/>
      <c r="G3291" s="41"/>
      <c r="H3291" s="41"/>
      <c r="I3291" s="41"/>
      <c r="J3291" s="41"/>
      <c r="K3291" s="41"/>
      <c r="L3291" s="41"/>
      <c r="M3291" s="41"/>
      <c r="N3291" s="41"/>
      <c r="O3291" s="41"/>
      <c r="P3291" s="28"/>
    </row>
    <row r="3292" customFormat="1" spans="1:16">
      <c r="A3292" s="39"/>
      <c r="B3292" s="40"/>
      <c r="C3292" s="41"/>
      <c r="D3292" s="41"/>
      <c r="E3292" s="41"/>
      <c r="F3292" s="41"/>
      <c r="G3292" s="41"/>
      <c r="H3292" s="41"/>
      <c r="I3292" s="41"/>
      <c r="J3292" s="41"/>
      <c r="K3292" s="41"/>
      <c r="L3292" s="41"/>
      <c r="M3292" s="41"/>
      <c r="N3292" s="41"/>
      <c r="O3292" s="41"/>
      <c r="P3292" s="28"/>
    </row>
    <row r="3293" customFormat="1" spans="1:16">
      <c r="A3293" s="39"/>
      <c r="B3293" s="40"/>
      <c r="C3293" s="41"/>
      <c r="D3293" s="41"/>
      <c r="E3293" s="41"/>
      <c r="F3293" s="41"/>
      <c r="G3293" s="41"/>
      <c r="H3293" s="41"/>
      <c r="I3293" s="41"/>
      <c r="J3293" s="41"/>
      <c r="K3293" s="41"/>
      <c r="L3293" s="41"/>
      <c r="M3293" s="41"/>
      <c r="N3293" s="41"/>
      <c r="O3293" s="41"/>
      <c r="P3293" s="28"/>
    </row>
    <row r="3294" customFormat="1" spans="1:16">
      <c r="A3294" s="39"/>
      <c r="B3294" s="40"/>
      <c r="C3294" s="41"/>
      <c r="D3294" s="41"/>
      <c r="E3294" s="41"/>
      <c r="F3294" s="41"/>
      <c r="G3294" s="41"/>
      <c r="H3294" s="41"/>
      <c r="I3294" s="41"/>
      <c r="J3294" s="41"/>
      <c r="K3294" s="41"/>
      <c r="L3294" s="41"/>
      <c r="M3294" s="41"/>
      <c r="N3294" s="41"/>
      <c r="O3294" s="41"/>
      <c r="P3294" s="28"/>
    </row>
    <row r="3295" customFormat="1" spans="1:16">
      <c r="A3295" s="39"/>
      <c r="B3295" s="40"/>
      <c r="C3295" s="41"/>
      <c r="D3295" s="41"/>
      <c r="E3295" s="41"/>
      <c r="F3295" s="41"/>
      <c r="G3295" s="41"/>
      <c r="H3295" s="41"/>
      <c r="I3295" s="41"/>
      <c r="J3295" s="41"/>
      <c r="K3295" s="41"/>
      <c r="L3295" s="41"/>
      <c r="M3295" s="41"/>
      <c r="N3295" s="41"/>
      <c r="O3295" s="41"/>
      <c r="P3295" s="28"/>
    </row>
    <row r="3296" customFormat="1" spans="1:16">
      <c r="A3296" s="39"/>
      <c r="B3296" s="40"/>
      <c r="C3296" s="41"/>
      <c r="D3296" s="41"/>
      <c r="E3296" s="41"/>
      <c r="F3296" s="41"/>
      <c r="G3296" s="41"/>
      <c r="H3296" s="41"/>
      <c r="I3296" s="41"/>
      <c r="J3296" s="41"/>
      <c r="K3296" s="41"/>
      <c r="L3296" s="41"/>
      <c r="M3296" s="41"/>
      <c r="N3296" s="41"/>
      <c r="O3296" s="41"/>
      <c r="P3296" s="28"/>
    </row>
    <row r="3297" customFormat="1" spans="1:16">
      <c r="A3297" s="39"/>
      <c r="B3297" s="40"/>
      <c r="C3297" s="41"/>
      <c r="D3297" s="41"/>
      <c r="E3297" s="41"/>
      <c r="F3297" s="41"/>
      <c r="G3297" s="41"/>
      <c r="H3297" s="41"/>
      <c r="I3297" s="41"/>
      <c r="J3297" s="41"/>
      <c r="K3297" s="41"/>
      <c r="L3297" s="41"/>
      <c r="M3297" s="41"/>
      <c r="N3297" s="41"/>
      <c r="O3297" s="41"/>
      <c r="P3297" s="28"/>
    </row>
    <row r="3298" customFormat="1" spans="1:16">
      <c r="A3298" s="39"/>
      <c r="B3298" s="40"/>
      <c r="C3298" s="41"/>
      <c r="D3298" s="41"/>
      <c r="E3298" s="41"/>
      <c r="F3298" s="41"/>
      <c r="G3298" s="41"/>
      <c r="H3298" s="41"/>
      <c r="I3298" s="41"/>
      <c r="J3298" s="41"/>
      <c r="K3298" s="41"/>
      <c r="L3298" s="41"/>
      <c r="M3298" s="41"/>
      <c r="N3298" s="41"/>
      <c r="O3298" s="41"/>
      <c r="P3298" s="28"/>
    </row>
    <row r="3299" customFormat="1" spans="1:16">
      <c r="A3299" s="39"/>
      <c r="B3299" s="40"/>
      <c r="C3299" s="41"/>
      <c r="D3299" s="41"/>
      <c r="E3299" s="41"/>
      <c r="F3299" s="41"/>
      <c r="G3299" s="41"/>
      <c r="H3299" s="41"/>
      <c r="I3299" s="41"/>
      <c r="J3299" s="41"/>
      <c r="K3299" s="41"/>
      <c r="L3299" s="41"/>
      <c r="M3299" s="41"/>
      <c r="N3299" s="41"/>
      <c r="O3299" s="41"/>
      <c r="P3299" s="28"/>
    </row>
    <row r="3300" customFormat="1" spans="1:16">
      <c r="A3300" s="39"/>
      <c r="B3300" s="40"/>
      <c r="C3300" s="41"/>
      <c r="D3300" s="41"/>
      <c r="E3300" s="41"/>
      <c r="F3300" s="41"/>
      <c r="G3300" s="41"/>
      <c r="H3300" s="41"/>
      <c r="I3300" s="41"/>
      <c r="J3300" s="41"/>
      <c r="K3300" s="41"/>
      <c r="L3300" s="41"/>
      <c r="M3300" s="41"/>
      <c r="N3300" s="41"/>
      <c r="O3300" s="41"/>
      <c r="P3300" s="28"/>
    </row>
    <row r="3301" customFormat="1" spans="1:16">
      <c r="A3301" s="39"/>
      <c r="B3301" s="40"/>
      <c r="C3301" s="41"/>
      <c r="D3301" s="41"/>
      <c r="E3301" s="41"/>
      <c r="F3301" s="41"/>
      <c r="G3301" s="41"/>
      <c r="H3301" s="41"/>
      <c r="I3301" s="41"/>
      <c r="J3301" s="41"/>
      <c r="K3301" s="41"/>
      <c r="L3301" s="41"/>
      <c r="M3301" s="41"/>
      <c r="N3301" s="41"/>
      <c r="O3301" s="41"/>
      <c r="P3301" s="28"/>
    </row>
    <row r="3302" customFormat="1" spans="1:16">
      <c r="A3302" s="39"/>
      <c r="B3302" s="40"/>
      <c r="C3302" s="41"/>
      <c r="D3302" s="41"/>
      <c r="E3302" s="41"/>
      <c r="F3302" s="41"/>
      <c r="G3302" s="41"/>
      <c r="H3302" s="41"/>
      <c r="I3302" s="41"/>
      <c r="J3302" s="41"/>
      <c r="K3302" s="41"/>
      <c r="L3302" s="41"/>
      <c r="M3302" s="41"/>
      <c r="N3302" s="41"/>
      <c r="O3302" s="41"/>
      <c r="P3302" s="28"/>
    </row>
    <row r="3303" customFormat="1" spans="1:16">
      <c r="A3303" s="39"/>
      <c r="B3303" s="40"/>
      <c r="C3303" s="41"/>
      <c r="D3303" s="41"/>
      <c r="E3303" s="41"/>
      <c r="F3303" s="41"/>
      <c r="G3303" s="41"/>
      <c r="H3303" s="41"/>
      <c r="I3303" s="41"/>
      <c r="J3303" s="41"/>
      <c r="K3303" s="41"/>
      <c r="L3303" s="41"/>
      <c r="M3303" s="41"/>
      <c r="N3303" s="41"/>
      <c r="O3303" s="41"/>
      <c r="P3303" s="28"/>
    </row>
    <row r="3304" customFormat="1" spans="1:16">
      <c r="A3304" s="39"/>
      <c r="B3304" s="40"/>
      <c r="C3304" s="41"/>
      <c r="D3304" s="41"/>
      <c r="E3304" s="41"/>
      <c r="F3304" s="41"/>
      <c r="G3304" s="41"/>
      <c r="H3304" s="41"/>
      <c r="I3304" s="41"/>
      <c r="J3304" s="41"/>
      <c r="K3304" s="41"/>
      <c r="L3304" s="41"/>
      <c r="M3304" s="41"/>
      <c r="N3304" s="41"/>
      <c r="O3304" s="41"/>
      <c r="P3304" s="28"/>
    </row>
    <row r="3305" customFormat="1" spans="1:16">
      <c r="A3305" s="39"/>
      <c r="B3305" s="40"/>
      <c r="C3305" s="41"/>
      <c r="D3305" s="41"/>
      <c r="E3305" s="41"/>
      <c r="F3305" s="41"/>
      <c r="G3305" s="41"/>
      <c r="H3305" s="41"/>
      <c r="I3305" s="41"/>
      <c r="J3305" s="41"/>
      <c r="K3305" s="41"/>
      <c r="L3305" s="41"/>
      <c r="M3305" s="41"/>
      <c r="N3305" s="41"/>
      <c r="O3305" s="41"/>
      <c r="P3305" s="28"/>
    </row>
    <row r="3306" customFormat="1" spans="1:16">
      <c r="A3306" s="39"/>
      <c r="B3306" s="40"/>
      <c r="C3306" s="41"/>
      <c r="D3306" s="41"/>
      <c r="E3306" s="41"/>
      <c r="F3306" s="41"/>
      <c r="G3306" s="41"/>
      <c r="H3306" s="41"/>
      <c r="I3306" s="41"/>
      <c r="J3306" s="41"/>
      <c r="K3306" s="41"/>
      <c r="L3306" s="41"/>
      <c r="M3306" s="41"/>
      <c r="N3306" s="41"/>
      <c r="O3306" s="41"/>
      <c r="P3306" s="28"/>
    </row>
    <row r="3307" customFormat="1" spans="1:16">
      <c r="A3307" s="39"/>
      <c r="B3307" s="40"/>
      <c r="C3307" s="41"/>
      <c r="D3307" s="41"/>
      <c r="E3307" s="41"/>
      <c r="F3307" s="41"/>
      <c r="G3307" s="41"/>
      <c r="H3307" s="41"/>
      <c r="I3307" s="41"/>
      <c r="J3307" s="41"/>
      <c r="K3307" s="41"/>
      <c r="L3307" s="41"/>
      <c r="M3307" s="41"/>
      <c r="N3307" s="41"/>
      <c r="O3307" s="41"/>
      <c r="P3307" s="28"/>
    </row>
    <row r="3308" customFormat="1" spans="1:16">
      <c r="A3308" s="39"/>
      <c r="B3308" s="40"/>
      <c r="C3308" s="41"/>
      <c r="D3308" s="41"/>
      <c r="E3308" s="41"/>
      <c r="F3308" s="41"/>
      <c r="G3308" s="41"/>
      <c r="H3308" s="41"/>
      <c r="I3308" s="41"/>
      <c r="J3308" s="41"/>
      <c r="K3308" s="41"/>
      <c r="L3308" s="41"/>
      <c r="M3308" s="41"/>
      <c r="N3308" s="41"/>
      <c r="O3308" s="41"/>
      <c r="P3308" s="28"/>
    </row>
    <row r="3309" customFormat="1" spans="1:16">
      <c r="A3309" s="39"/>
      <c r="B3309" s="40"/>
      <c r="C3309" s="41"/>
      <c r="D3309" s="41"/>
      <c r="E3309" s="41"/>
      <c r="F3309" s="41"/>
      <c r="G3309" s="41"/>
      <c r="H3309" s="41"/>
      <c r="I3309" s="41"/>
      <c r="J3309" s="41"/>
      <c r="K3309" s="41"/>
      <c r="L3309" s="41"/>
      <c r="M3309" s="41"/>
      <c r="N3309" s="41"/>
      <c r="O3309" s="41"/>
      <c r="P3309" s="28"/>
    </row>
    <row r="3310" customFormat="1" spans="1:16">
      <c r="A3310" s="39"/>
      <c r="B3310" s="40"/>
      <c r="C3310" s="41"/>
      <c r="D3310" s="41"/>
      <c r="E3310" s="41"/>
      <c r="F3310" s="41"/>
      <c r="G3310" s="41"/>
      <c r="H3310" s="41"/>
      <c r="I3310" s="41"/>
      <c r="J3310" s="41"/>
      <c r="K3310" s="41"/>
      <c r="L3310" s="41"/>
      <c r="M3310" s="41"/>
      <c r="N3310" s="41"/>
      <c r="O3310" s="41"/>
      <c r="P3310" s="28"/>
    </row>
    <row r="3311" customFormat="1" spans="1:16">
      <c r="A3311" s="39"/>
      <c r="B3311" s="40"/>
      <c r="C3311" s="41"/>
      <c r="D3311" s="41"/>
      <c r="E3311" s="41"/>
      <c r="F3311" s="41"/>
      <c r="G3311" s="41"/>
      <c r="H3311" s="41"/>
      <c r="I3311" s="41"/>
      <c r="J3311" s="41"/>
      <c r="K3311" s="41"/>
      <c r="L3311" s="41"/>
      <c r="M3311" s="41"/>
      <c r="N3311" s="41"/>
      <c r="O3311" s="41"/>
      <c r="P3311" s="28"/>
    </row>
    <row r="3312" customFormat="1" spans="1:16">
      <c r="A3312" s="39"/>
      <c r="B3312" s="40"/>
      <c r="C3312" s="41"/>
      <c r="D3312" s="41"/>
      <c r="E3312" s="41"/>
      <c r="F3312" s="41"/>
      <c r="G3312" s="41"/>
      <c r="H3312" s="41"/>
      <c r="I3312" s="41"/>
      <c r="J3312" s="41"/>
      <c r="K3312" s="41"/>
      <c r="L3312" s="41"/>
      <c r="M3312" s="41"/>
      <c r="N3312" s="41"/>
      <c r="O3312" s="41"/>
      <c r="P3312" s="28"/>
    </row>
    <row r="3313" customFormat="1" spans="1:16">
      <c r="A3313" s="39"/>
      <c r="B3313" s="40"/>
      <c r="C3313" s="41"/>
      <c r="D3313" s="41"/>
      <c r="E3313" s="41"/>
      <c r="F3313" s="41"/>
      <c r="G3313" s="41"/>
      <c r="H3313" s="41"/>
      <c r="I3313" s="41"/>
      <c r="J3313" s="41"/>
      <c r="K3313" s="41"/>
      <c r="L3313" s="41"/>
      <c r="M3313" s="41"/>
      <c r="N3313" s="41"/>
      <c r="O3313" s="41"/>
      <c r="P3313" s="28"/>
    </row>
    <row r="3314" customFormat="1" spans="1:16">
      <c r="A3314" s="39"/>
      <c r="B3314" s="40"/>
      <c r="C3314" s="41"/>
      <c r="D3314" s="41"/>
      <c r="E3314" s="41"/>
      <c r="F3314" s="41"/>
      <c r="G3314" s="41"/>
      <c r="H3314" s="41"/>
      <c r="I3314" s="41"/>
      <c r="J3314" s="41"/>
      <c r="K3314" s="41"/>
      <c r="L3314" s="41"/>
      <c r="M3314" s="41"/>
      <c r="N3314" s="41"/>
      <c r="O3314" s="41"/>
      <c r="P3314" s="28"/>
    </row>
    <row r="3315" customFormat="1" spans="1:16">
      <c r="A3315" s="39"/>
      <c r="B3315" s="40"/>
      <c r="C3315" s="41"/>
      <c r="D3315" s="41"/>
      <c r="E3315" s="41"/>
      <c r="F3315" s="41"/>
      <c r="G3315" s="41"/>
      <c r="H3315" s="41"/>
      <c r="I3315" s="41"/>
      <c r="J3315" s="41"/>
      <c r="K3315" s="41"/>
      <c r="L3315" s="41"/>
      <c r="M3315" s="41"/>
      <c r="N3315" s="41"/>
      <c r="O3315" s="41"/>
      <c r="P3315" s="28"/>
    </row>
    <row r="3316" customFormat="1" spans="1:16">
      <c r="A3316" s="39"/>
      <c r="B3316" s="40"/>
      <c r="C3316" s="41"/>
      <c r="D3316" s="41"/>
      <c r="E3316" s="41"/>
      <c r="F3316" s="41"/>
      <c r="G3316" s="41"/>
      <c r="H3316" s="41"/>
      <c r="I3316" s="41"/>
      <c r="J3316" s="41"/>
      <c r="K3316" s="41"/>
      <c r="L3316" s="41"/>
      <c r="M3316" s="41"/>
      <c r="N3316" s="41"/>
      <c r="O3316" s="41"/>
      <c r="P3316" s="28"/>
    </row>
    <row r="3317" customFormat="1" spans="1:16">
      <c r="A3317" s="39"/>
      <c r="B3317" s="40"/>
      <c r="C3317" s="41"/>
      <c r="D3317" s="41"/>
      <c r="E3317" s="41"/>
      <c r="F3317" s="41"/>
      <c r="G3317" s="41"/>
      <c r="H3317" s="41"/>
      <c r="I3317" s="41"/>
      <c r="J3317" s="41"/>
      <c r="K3317" s="41"/>
      <c r="L3317" s="41"/>
      <c r="M3317" s="41"/>
      <c r="N3317" s="41"/>
      <c r="O3317" s="41"/>
      <c r="P3317" s="28"/>
    </row>
    <row r="3318" customFormat="1" spans="1:16">
      <c r="A3318" s="39"/>
      <c r="B3318" s="40"/>
      <c r="C3318" s="41"/>
      <c r="D3318" s="41"/>
      <c r="E3318" s="41"/>
      <c r="F3318" s="41"/>
      <c r="G3318" s="41"/>
      <c r="H3318" s="41"/>
      <c r="I3318" s="41"/>
      <c r="J3318" s="41"/>
      <c r="K3318" s="41"/>
      <c r="L3318" s="41"/>
      <c r="M3318" s="41"/>
      <c r="N3318" s="41"/>
      <c r="O3318" s="41"/>
      <c r="P3318" s="28"/>
    </row>
    <row r="3319" customFormat="1" spans="1:16">
      <c r="A3319" s="39"/>
      <c r="B3319" s="40"/>
      <c r="C3319" s="41"/>
      <c r="D3319" s="41"/>
      <c r="E3319" s="41"/>
      <c r="F3319" s="41"/>
      <c r="G3319" s="41"/>
      <c r="H3319" s="41"/>
      <c r="I3319" s="41"/>
      <c r="J3319" s="41"/>
      <c r="K3319" s="41"/>
      <c r="L3319" s="41"/>
      <c r="M3319" s="41"/>
      <c r="N3319" s="41"/>
      <c r="O3319" s="41"/>
      <c r="P3319" s="28"/>
    </row>
    <row r="3320" customFormat="1" spans="1:16">
      <c r="A3320" s="39"/>
      <c r="B3320" s="40"/>
      <c r="C3320" s="41"/>
      <c r="D3320" s="41"/>
      <c r="E3320" s="41"/>
      <c r="F3320" s="41"/>
      <c r="G3320" s="41"/>
      <c r="H3320" s="41"/>
      <c r="I3320" s="41"/>
      <c r="J3320" s="41"/>
      <c r="K3320" s="41"/>
      <c r="L3320" s="41"/>
      <c r="M3320" s="41"/>
      <c r="N3320" s="41"/>
      <c r="O3320" s="41"/>
      <c r="P3320" s="28"/>
    </row>
    <row r="3321" customFormat="1" spans="1:16">
      <c r="A3321" s="39"/>
      <c r="B3321" s="40"/>
      <c r="C3321" s="41"/>
      <c r="D3321" s="41"/>
      <c r="E3321" s="41"/>
      <c r="F3321" s="41"/>
      <c r="G3321" s="41"/>
      <c r="H3321" s="41"/>
      <c r="I3321" s="41"/>
      <c r="J3321" s="41"/>
      <c r="K3321" s="41"/>
      <c r="L3321" s="41"/>
      <c r="M3321" s="41"/>
      <c r="N3321" s="41"/>
      <c r="O3321" s="41"/>
      <c r="P3321" s="28"/>
    </row>
    <row r="3322" customFormat="1" spans="1:16">
      <c r="A3322" s="39"/>
      <c r="B3322" s="40"/>
      <c r="C3322" s="41"/>
      <c r="D3322" s="41"/>
      <c r="E3322" s="41"/>
      <c r="F3322" s="41"/>
      <c r="G3322" s="41"/>
      <c r="H3322" s="41"/>
      <c r="I3322" s="41"/>
      <c r="J3322" s="41"/>
      <c r="K3322" s="41"/>
      <c r="L3322" s="41"/>
      <c r="M3322" s="41"/>
      <c r="N3322" s="41"/>
      <c r="O3322" s="41"/>
      <c r="P3322" s="28"/>
    </row>
    <row r="3323" customFormat="1" spans="1:16">
      <c r="A3323" s="39"/>
      <c r="B3323" s="40"/>
      <c r="C3323" s="41"/>
      <c r="D3323" s="41"/>
      <c r="E3323" s="41"/>
      <c r="F3323" s="41"/>
      <c r="G3323" s="41"/>
      <c r="H3323" s="41"/>
      <c r="I3323" s="41"/>
      <c r="J3323" s="41"/>
      <c r="K3323" s="41"/>
      <c r="L3323" s="41"/>
      <c r="M3323" s="41"/>
      <c r="N3323" s="41"/>
      <c r="O3323" s="41"/>
      <c r="P3323" s="28"/>
    </row>
    <row r="3324" customFormat="1" spans="1:16">
      <c r="A3324" s="39"/>
      <c r="B3324" s="40"/>
      <c r="C3324" s="41"/>
      <c r="D3324" s="41"/>
      <c r="E3324" s="41"/>
      <c r="F3324" s="41"/>
      <c r="G3324" s="41"/>
      <c r="H3324" s="41"/>
      <c r="I3324" s="41"/>
      <c r="J3324" s="41"/>
      <c r="K3324" s="41"/>
      <c r="L3324" s="41"/>
      <c r="M3324" s="41"/>
      <c r="N3324" s="41"/>
      <c r="O3324" s="41"/>
      <c r="P3324" s="28"/>
    </row>
    <row r="3325" customFormat="1" spans="1:16">
      <c r="A3325" s="39"/>
      <c r="B3325" s="40"/>
      <c r="C3325" s="41"/>
      <c r="D3325" s="41"/>
      <c r="E3325" s="41"/>
      <c r="F3325" s="41"/>
      <c r="G3325" s="41"/>
      <c r="H3325" s="41"/>
      <c r="I3325" s="41"/>
      <c r="J3325" s="41"/>
      <c r="K3325" s="41"/>
      <c r="L3325" s="41"/>
      <c r="M3325" s="41"/>
      <c r="N3325" s="41"/>
      <c r="O3325" s="41"/>
      <c r="P3325" s="28"/>
    </row>
    <row r="3326" customFormat="1" spans="1:16">
      <c r="A3326" s="39"/>
      <c r="B3326" s="40"/>
      <c r="C3326" s="41"/>
      <c r="D3326" s="41"/>
      <c r="E3326" s="41"/>
      <c r="F3326" s="41"/>
      <c r="G3326" s="41"/>
      <c r="H3326" s="41"/>
      <c r="I3326" s="41"/>
      <c r="J3326" s="41"/>
      <c r="K3326" s="41"/>
      <c r="L3326" s="41"/>
      <c r="M3326" s="41"/>
      <c r="N3326" s="41"/>
      <c r="O3326" s="41"/>
      <c r="P3326" s="28"/>
    </row>
    <row r="3327" customFormat="1" spans="1:16">
      <c r="A3327" s="39"/>
      <c r="B3327" s="40"/>
      <c r="C3327" s="41"/>
      <c r="D3327" s="41"/>
      <c r="E3327" s="41"/>
      <c r="F3327" s="41"/>
      <c r="G3327" s="41"/>
      <c r="H3327" s="41"/>
      <c r="I3327" s="41"/>
      <c r="J3327" s="41"/>
      <c r="K3327" s="41"/>
      <c r="L3327" s="41"/>
      <c r="M3327" s="41"/>
      <c r="N3327" s="41"/>
      <c r="O3327" s="41"/>
      <c r="P3327" s="28"/>
    </row>
    <row r="3328" customFormat="1" spans="1:16">
      <c r="A3328" s="39"/>
      <c r="B3328" s="40"/>
      <c r="C3328" s="41"/>
      <c r="D3328" s="41"/>
      <c r="E3328" s="41"/>
      <c r="F3328" s="41"/>
      <c r="G3328" s="41"/>
      <c r="H3328" s="41"/>
      <c r="I3328" s="41"/>
      <c r="J3328" s="41"/>
      <c r="K3328" s="41"/>
      <c r="L3328" s="41"/>
      <c r="M3328" s="41"/>
      <c r="N3328" s="41"/>
      <c r="O3328" s="41"/>
      <c r="P3328" s="28"/>
    </row>
    <row r="3329" customFormat="1" spans="1:16">
      <c r="A3329" s="39"/>
      <c r="B3329" s="40"/>
      <c r="C3329" s="41"/>
      <c r="D3329" s="41"/>
      <c r="E3329" s="41"/>
      <c r="F3329" s="41"/>
      <c r="G3329" s="41"/>
      <c r="H3329" s="41"/>
      <c r="I3329" s="41"/>
      <c r="J3329" s="41"/>
      <c r="K3329" s="41"/>
      <c r="L3329" s="41"/>
      <c r="M3329" s="41"/>
      <c r="N3329" s="41"/>
      <c r="O3329" s="41"/>
      <c r="P3329" s="28"/>
    </row>
    <row r="3330" customFormat="1" spans="1:16">
      <c r="A3330" s="39"/>
      <c r="B3330" s="40"/>
      <c r="C3330" s="41"/>
      <c r="D3330" s="41"/>
      <c r="E3330" s="41"/>
      <c r="F3330" s="41"/>
      <c r="G3330" s="41"/>
      <c r="H3330" s="41"/>
      <c r="I3330" s="41"/>
      <c r="J3330" s="41"/>
      <c r="K3330" s="41"/>
      <c r="L3330" s="41"/>
      <c r="M3330" s="41"/>
      <c r="N3330" s="41"/>
      <c r="O3330" s="41"/>
      <c r="P3330" s="28"/>
    </row>
    <row r="3331" customFormat="1" spans="1:16">
      <c r="A3331" s="39"/>
      <c r="B3331" s="40"/>
      <c r="C3331" s="41"/>
      <c r="D3331" s="41"/>
      <c r="E3331" s="41"/>
      <c r="F3331" s="41"/>
      <c r="G3331" s="41"/>
      <c r="H3331" s="41"/>
      <c r="I3331" s="41"/>
      <c r="J3331" s="41"/>
      <c r="K3331" s="41"/>
      <c r="L3331" s="41"/>
      <c r="M3331" s="41"/>
      <c r="N3331" s="41"/>
      <c r="O3331" s="41"/>
      <c r="P3331" s="28"/>
    </row>
    <row r="3332" customFormat="1" spans="1:16">
      <c r="A3332" s="39"/>
      <c r="B3332" s="40"/>
      <c r="C3332" s="41"/>
      <c r="D3332" s="41"/>
      <c r="E3332" s="41"/>
      <c r="F3332" s="41"/>
      <c r="G3332" s="41"/>
      <c r="H3332" s="41"/>
      <c r="I3332" s="41"/>
      <c r="J3332" s="41"/>
      <c r="K3332" s="41"/>
      <c r="L3332" s="41"/>
      <c r="M3332" s="41"/>
      <c r="N3332" s="41"/>
      <c r="O3332" s="41"/>
      <c r="P3332" s="28"/>
    </row>
    <row r="3333" customFormat="1" spans="1:16">
      <c r="A3333" s="39"/>
      <c r="B3333" s="40"/>
      <c r="C3333" s="41"/>
      <c r="D3333" s="41"/>
      <c r="E3333" s="41"/>
      <c r="F3333" s="41"/>
      <c r="G3333" s="41"/>
      <c r="H3333" s="41"/>
      <c r="I3333" s="41"/>
      <c r="J3333" s="41"/>
      <c r="K3333" s="41"/>
      <c r="L3333" s="41"/>
      <c r="M3333" s="41"/>
      <c r="N3333" s="41"/>
      <c r="O3333" s="41"/>
      <c r="P3333" s="28"/>
    </row>
    <row r="3334" customFormat="1" spans="1:16">
      <c r="A3334" s="39"/>
      <c r="B3334" s="40"/>
      <c r="C3334" s="41"/>
      <c r="D3334" s="41"/>
      <c r="E3334" s="41"/>
      <c r="F3334" s="41"/>
      <c r="G3334" s="41"/>
      <c r="H3334" s="41"/>
      <c r="I3334" s="41"/>
      <c r="J3334" s="41"/>
      <c r="K3334" s="41"/>
      <c r="L3334" s="41"/>
      <c r="M3334" s="41"/>
      <c r="N3334" s="41"/>
      <c r="O3334" s="41"/>
      <c r="P3334" s="28"/>
    </row>
    <row r="3335" customFormat="1" spans="1:16">
      <c r="A3335" s="39"/>
      <c r="B3335" s="40"/>
      <c r="C3335" s="41"/>
      <c r="D3335" s="41"/>
      <c r="E3335" s="41"/>
      <c r="F3335" s="41"/>
      <c r="G3335" s="41"/>
      <c r="H3335" s="41"/>
      <c r="I3335" s="41"/>
      <c r="J3335" s="41"/>
      <c r="K3335" s="41"/>
      <c r="L3335" s="41"/>
      <c r="M3335" s="41"/>
      <c r="N3335" s="41"/>
      <c r="O3335" s="41"/>
      <c r="P3335" s="28"/>
    </row>
    <row r="3336" customFormat="1" spans="1:16">
      <c r="A3336" s="39"/>
      <c r="B3336" s="40"/>
      <c r="C3336" s="41"/>
      <c r="D3336" s="41"/>
      <c r="E3336" s="41"/>
      <c r="F3336" s="41"/>
      <c r="G3336" s="41"/>
      <c r="H3336" s="41"/>
      <c r="I3336" s="41"/>
      <c r="J3336" s="41"/>
      <c r="K3336" s="41"/>
      <c r="L3336" s="41"/>
      <c r="M3336" s="41"/>
      <c r="N3336" s="41"/>
      <c r="O3336" s="41"/>
      <c r="P3336" s="28"/>
    </row>
    <row r="3337" customFormat="1" spans="1:16">
      <c r="A3337" s="39"/>
      <c r="B3337" s="40"/>
      <c r="C3337" s="41"/>
      <c r="D3337" s="41"/>
      <c r="E3337" s="41"/>
      <c r="F3337" s="41"/>
      <c r="G3337" s="41"/>
      <c r="H3337" s="41"/>
      <c r="I3337" s="41"/>
      <c r="J3337" s="41"/>
      <c r="K3337" s="41"/>
      <c r="L3337" s="41"/>
      <c r="M3337" s="41"/>
      <c r="N3337" s="41"/>
      <c r="O3337" s="41"/>
      <c r="P3337" s="28"/>
    </row>
    <row r="3338" customFormat="1" spans="1:16">
      <c r="A3338" s="39"/>
      <c r="B3338" s="40"/>
      <c r="C3338" s="41"/>
      <c r="D3338" s="41"/>
      <c r="E3338" s="41"/>
      <c r="F3338" s="41"/>
      <c r="G3338" s="41"/>
      <c r="H3338" s="41"/>
      <c r="I3338" s="41"/>
      <c r="J3338" s="41"/>
      <c r="K3338" s="41"/>
      <c r="L3338" s="41"/>
      <c r="M3338" s="41"/>
      <c r="N3338" s="41"/>
      <c r="O3338" s="41"/>
      <c r="P3338" s="28"/>
    </row>
    <row r="3339" customFormat="1" spans="1:16">
      <c r="A3339" s="39"/>
      <c r="B3339" s="40"/>
      <c r="C3339" s="41"/>
      <c r="D3339" s="41"/>
      <c r="E3339" s="41"/>
      <c r="F3339" s="41"/>
      <c r="G3339" s="41"/>
      <c r="H3339" s="41"/>
      <c r="I3339" s="41"/>
      <c r="J3339" s="41"/>
      <c r="K3339" s="41"/>
      <c r="L3339" s="41"/>
      <c r="M3339" s="41"/>
      <c r="N3339" s="41"/>
      <c r="O3339" s="41"/>
      <c r="P3339" s="28"/>
    </row>
    <row r="3340" customFormat="1" spans="1:16">
      <c r="A3340" s="39"/>
      <c r="B3340" s="40"/>
      <c r="C3340" s="41"/>
      <c r="D3340" s="41"/>
      <c r="E3340" s="41"/>
      <c r="F3340" s="41"/>
      <c r="G3340" s="41"/>
      <c r="H3340" s="41"/>
      <c r="I3340" s="41"/>
      <c r="J3340" s="41"/>
      <c r="K3340" s="41"/>
      <c r="L3340" s="41"/>
      <c r="M3340" s="41"/>
      <c r="N3340" s="41"/>
      <c r="O3340" s="41"/>
      <c r="P3340" s="28"/>
    </row>
    <row r="3341" customFormat="1" spans="1:16">
      <c r="A3341" s="39"/>
      <c r="B3341" s="40"/>
      <c r="C3341" s="41"/>
      <c r="D3341" s="41"/>
      <c r="E3341" s="41"/>
      <c r="F3341" s="41"/>
      <c r="G3341" s="41"/>
      <c r="H3341" s="41"/>
      <c r="I3341" s="41"/>
      <c r="J3341" s="41"/>
      <c r="K3341" s="41"/>
      <c r="L3341" s="41"/>
      <c r="M3341" s="41"/>
      <c r="N3341" s="41"/>
      <c r="O3341" s="41"/>
      <c r="P3341" s="28"/>
    </row>
    <row r="3342" customFormat="1" spans="1:16">
      <c r="A3342" s="39"/>
      <c r="B3342" s="40"/>
      <c r="C3342" s="41"/>
      <c r="D3342" s="41"/>
      <c r="E3342" s="41"/>
      <c r="F3342" s="41"/>
      <c r="G3342" s="41"/>
      <c r="H3342" s="41"/>
      <c r="I3342" s="41"/>
      <c r="J3342" s="41"/>
      <c r="K3342" s="41"/>
      <c r="L3342" s="41"/>
      <c r="M3342" s="41"/>
      <c r="N3342" s="41"/>
      <c r="O3342" s="41"/>
      <c r="P3342" s="28"/>
    </row>
    <row r="3343" customFormat="1" spans="1:16">
      <c r="A3343" s="39"/>
      <c r="B3343" s="40"/>
      <c r="C3343" s="41"/>
      <c r="D3343" s="41"/>
      <c r="E3343" s="41"/>
      <c r="F3343" s="41"/>
      <c r="G3343" s="41"/>
      <c r="H3343" s="41"/>
      <c r="I3343" s="41"/>
      <c r="J3343" s="41"/>
      <c r="K3343" s="41"/>
      <c r="L3343" s="41"/>
      <c r="M3343" s="41"/>
      <c r="N3343" s="41"/>
      <c r="O3343" s="41"/>
      <c r="P3343" s="28"/>
    </row>
    <row r="3344" customFormat="1" spans="1:16">
      <c r="A3344" s="39"/>
      <c r="B3344" s="40"/>
      <c r="C3344" s="41"/>
      <c r="D3344" s="41"/>
      <c r="E3344" s="41"/>
      <c r="F3344" s="41"/>
      <c r="G3344" s="41"/>
      <c r="H3344" s="41"/>
      <c r="I3344" s="41"/>
      <c r="J3344" s="41"/>
      <c r="K3344" s="41"/>
      <c r="L3344" s="41"/>
      <c r="M3344" s="41"/>
      <c r="N3344" s="41"/>
      <c r="O3344" s="41"/>
      <c r="P3344" s="28"/>
    </row>
    <row r="3345" customFormat="1" spans="1:16">
      <c r="A3345" s="39"/>
      <c r="B3345" s="40"/>
      <c r="C3345" s="41"/>
      <c r="D3345" s="41"/>
      <c r="E3345" s="41"/>
      <c r="F3345" s="41"/>
      <c r="G3345" s="41"/>
      <c r="H3345" s="41"/>
      <c r="I3345" s="41"/>
      <c r="J3345" s="41"/>
      <c r="K3345" s="41"/>
      <c r="L3345" s="41"/>
      <c r="M3345" s="41"/>
      <c r="N3345" s="41"/>
      <c r="O3345" s="41"/>
      <c r="P3345" s="28"/>
    </row>
    <row r="3346" customFormat="1" spans="1:16">
      <c r="A3346" s="39"/>
      <c r="B3346" s="40"/>
      <c r="C3346" s="41"/>
      <c r="D3346" s="41"/>
      <c r="E3346" s="41"/>
      <c r="F3346" s="41"/>
      <c r="G3346" s="41"/>
      <c r="H3346" s="41"/>
      <c r="I3346" s="41"/>
      <c r="J3346" s="41"/>
      <c r="K3346" s="41"/>
      <c r="L3346" s="41"/>
      <c r="M3346" s="41"/>
      <c r="N3346" s="41"/>
      <c r="O3346" s="41"/>
      <c r="P3346" s="28"/>
    </row>
    <row r="3347" customFormat="1" spans="1:16">
      <c r="A3347" s="39"/>
      <c r="B3347" s="40"/>
      <c r="C3347" s="41"/>
      <c r="D3347" s="41"/>
      <c r="E3347" s="41"/>
      <c r="F3347" s="41"/>
      <c r="G3347" s="41"/>
      <c r="H3347" s="41"/>
      <c r="I3347" s="41"/>
      <c r="J3347" s="41"/>
      <c r="K3347" s="41"/>
      <c r="L3347" s="41"/>
      <c r="M3347" s="41"/>
      <c r="N3347" s="41"/>
      <c r="O3347" s="41"/>
      <c r="P3347" s="28"/>
    </row>
    <row r="3348" customFormat="1" spans="1:16">
      <c r="A3348" s="39"/>
      <c r="B3348" s="40"/>
      <c r="C3348" s="41"/>
      <c r="D3348" s="41"/>
      <c r="E3348" s="41"/>
      <c r="F3348" s="41"/>
      <c r="G3348" s="41"/>
      <c r="H3348" s="41"/>
      <c r="I3348" s="41"/>
      <c r="J3348" s="41"/>
      <c r="K3348" s="41"/>
      <c r="L3348" s="41"/>
      <c r="M3348" s="41"/>
      <c r="N3348" s="41"/>
      <c r="O3348" s="41"/>
      <c r="P3348" s="28"/>
    </row>
    <row r="3349" customFormat="1" spans="1:16">
      <c r="A3349" s="39"/>
      <c r="B3349" s="40"/>
      <c r="C3349" s="41"/>
      <c r="D3349" s="41"/>
      <c r="E3349" s="41"/>
      <c r="F3349" s="41"/>
      <c r="G3349" s="41"/>
      <c r="H3349" s="41"/>
      <c r="I3349" s="41"/>
      <c r="J3349" s="41"/>
      <c r="K3349" s="41"/>
      <c r="L3349" s="41"/>
      <c r="M3349" s="41"/>
      <c r="N3349" s="41"/>
      <c r="O3349" s="41"/>
      <c r="P3349" s="28"/>
    </row>
    <row r="3350" customFormat="1" spans="1:16">
      <c r="A3350" s="39"/>
      <c r="B3350" s="40"/>
      <c r="C3350" s="41"/>
      <c r="D3350" s="41"/>
      <c r="E3350" s="41"/>
      <c r="F3350" s="41"/>
      <c r="G3350" s="41"/>
      <c r="H3350" s="41"/>
      <c r="I3350" s="41"/>
      <c r="J3350" s="41"/>
      <c r="K3350" s="41"/>
      <c r="L3350" s="41"/>
      <c r="M3350" s="41"/>
      <c r="N3350" s="41"/>
      <c r="O3350" s="41"/>
      <c r="P3350" s="28"/>
    </row>
    <row r="3351" customFormat="1" spans="1:16">
      <c r="A3351" s="39"/>
      <c r="B3351" s="40"/>
      <c r="C3351" s="41"/>
      <c r="D3351" s="41"/>
      <c r="E3351" s="41"/>
      <c r="F3351" s="41"/>
      <c r="G3351" s="41"/>
      <c r="H3351" s="41"/>
      <c r="I3351" s="41"/>
      <c r="J3351" s="41"/>
      <c r="K3351" s="41"/>
      <c r="L3351" s="41"/>
      <c r="M3351" s="41"/>
      <c r="N3351" s="41"/>
      <c r="O3351" s="41"/>
      <c r="P3351" s="28"/>
    </row>
    <row r="3352" customFormat="1" spans="1:16">
      <c r="A3352" s="39"/>
      <c r="B3352" s="40"/>
      <c r="C3352" s="41"/>
      <c r="D3352" s="41"/>
      <c r="E3352" s="41"/>
      <c r="F3352" s="41"/>
      <c r="G3352" s="41"/>
      <c r="H3352" s="41"/>
      <c r="I3352" s="41"/>
      <c r="J3352" s="41"/>
      <c r="K3352" s="41"/>
      <c r="L3352" s="41"/>
      <c r="M3352" s="41"/>
      <c r="N3352" s="41"/>
      <c r="O3352" s="41"/>
      <c r="P3352" s="28"/>
    </row>
    <row r="3353" customFormat="1" spans="1:16">
      <c r="A3353" s="39"/>
      <c r="B3353" s="40"/>
      <c r="C3353" s="41"/>
      <c r="D3353" s="41"/>
      <c r="E3353" s="41"/>
      <c r="F3353" s="41"/>
      <c r="G3353" s="41"/>
      <c r="H3353" s="41"/>
      <c r="I3353" s="41"/>
      <c r="J3353" s="41"/>
      <c r="K3353" s="41"/>
      <c r="L3353" s="41"/>
      <c r="M3353" s="41"/>
      <c r="N3353" s="41"/>
      <c r="O3353" s="41"/>
      <c r="P3353" s="28"/>
    </row>
    <row r="3354" customFormat="1" spans="1:16">
      <c r="A3354" s="39"/>
      <c r="B3354" s="40"/>
      <c r="C3354" s="41"/>
      <c r="D3354" s="41"/>
      <c r="E3354" s="41"/>
      <c r="F3354" s="41"/>
      <c r="G3354" s="41"/>
      <c r="H3354" s="41"/>
      <c r="I3354" s="41"/>
      <c r="J3354" s="41"/>
      <c r="K3354" s="41"/>
      <c r="L3354" s="41"/>
      <c r="M3354" s="41"/>
      <c r="N3354" s="41"/>
      <c r="O3354" s="41"/>
      <c r="P3354" s="28"/>
    </row>
    <row r="3355" customFormat="1" spans="1:16">
      <c r="A3355" s="39"/>
      <c r="B3355" s="40"/>
      <c r="C3355" s="41"/>
      <c r="D3355" s="41"/>
      <c r="E3355" s="41"/>
      <c r="F3355" s="41"/>
      <c r="G3355" s="41"/>
      <c r="H3355" s="41"/>
      <c r="I3355" s="41"/>
      <c r="J3355" s="41"/>
      <c r="K3355" s="41"/>
      <c r="L3355" s="41"/>
      <c r="M3355" s="41"/>
      <c r="N3355" s="41"/>
      <c r="O3355" s="41"/>
      <c r="P3355" s="28"/>
    </row>
    <row r="3356" customFormat="1" spans="1:16">
      <c r="A3356" s="39"/>
      <c r="B3356" s="40"/>
      <c r="C3356" s="41"/>
      <c r="D3356" s="41"/>
      <c r="E3356" s="41"/>
      <c r="F3356" s="41"/>
      <c r="G3356" s="41"/>
      <c r="H3356" s="41"/>
      <c r="I3356" s="41"/>
      <c r="J3356" s="41"/>
      <c r="K3356" s="41"/>
      <c r="L3356" s="41"/>
      <c r="M3356" s="41"/>
      <c r="N3356" s="41"/>
      <c r="O3356" s="41"/>
      <c r="P3356" s="28"/>
    </row>
    <row r="3357" customFormat="1" spans="1:16">
      <c r="A3357" s="39"/>
      <c r="B3357" s="40"/>
      <c r="C3357" s="41"/>
      <c r="D3357" s="41"/>
      <c r="E3357" s="41"/>
      <c r="F3357" s="41"/>
      <c r="G3357" s="41"/>
      <c r="H3357" s="41"/>
      <c r="I3357" s="41"/>
      <c r="J3357" s="41"/>
      <c r="K3357" s="41"/>
      <c r="L3357" s="41"/>
      <c r="M3357" s="41"/>
      <c r="N3357" s="41"/>
      <c r="O3357" s="41"/>
      <c r="P3357" s="28"/>
    </row>
    <row r="3358" customFormat="1" spans="1:16">
      <c r="A3358" s="39"/>
      <c r="B3358" s="40"/>
      <c r="C3358" s="41"/>
      <c r="D3358" s="41"/>
      <c r="E3358" s="41"/>
      <c r="F3358" s="41"/>
      <c r="G3358" s="41"/>
      <c r="H3358" s="41"/>
      <c r="I3358" s="41"/>
      <c r="J3358" s="41"/>
      <c r="K3358" s="41"/>
      <c r="L3358" s="41"/>
      <c r="M3358" s="41"/>
      <c r="N3358" s="41"/>
      <c r="O3358" s="41"/>
      <c r="P3358" s="28"/>
    </row>
    <row r="3359" customFormat="1" spans="1:16">
      <c r="A3359" s="39"/>
      <c r="B3359" s="40"/>
      <c r="C3359" s="41"/>
      <c r="D3359" s="41"/>
      <c r="E3359" s="41"/>
      <c r="F3359" s="41"/>
      <c r="G3359" s="41"/>
      <c r="H3359" s="41"/>
      <c r="I3359" s="41"/>
      <c r="J3359" s="41"/>
      <c r="K3359" s="41"/>
      <c r="L3359" s="41"/>
      <c r="M3359" s="41"/>
      <c r="N3359" s="41"/>
      <c r="O3359" s="41"/>
      <c r="P3359" s="28"/>
    </row>
    <row r="3360" customFormat="1" spans="1:16">
      <c r="A3360" s="39"/>
      <c r="B3360" s="40"/>
      <c r="C3360" s="41"/>
      <c r="D3360" s="41"/>
      <c r="E3360" s="41"/>
      <c r="F3360" s="41"/>
      <c r="G3360" s="41"/>
      <c r="H3360" s="41"/>
      <c r="I3360" s="41"/>
      <c r="J3360" s="41"/>
      <c r="K3360" s="41"/>
      <c r="L3360" s="41"/>
      <c r="M3360" s="41"/>
      <c r="N3360" s="41"/>
      <c r="O3360" s="41"/>
      <c r="P3360" s="28"/>
    </row>
    <row r="3361" customFormat="1" spans="1:16">
      <c r="A3361" s="39"/>
      <c r="B3361" s="40"/>
      <c r="C3361" s="41"/>
      <c r="D3361" s="41"/>
      <c r="E3361" s="41"/>
      <c r="F3361" s="41"/>
      <c r="G3361" s="41"/>
      <c r="H3361" s="41"/>
      <c r="I3361" s="41"/>
      <c r="J3361" s="41"/>
      <c r="K3361" s="41"/>
      <c r="L3361" s="41"/>
      <c r="M3361" s="41"/>
      <c r="N3361" s="41"/>
      <c r="O3361" s="41"/>
      <c r="P3361" s="28"/>
    </row>
    <row r="3362" customFormat="1" spans="1:16">
      <c r="A3362" s="39"/>
      <c r="B3362" s="40"/>
      <c r="C3362" s="41"/>
      <c r="D3362" s="41"/>
      <c r="E3362" s="41"/>
      <c r="F3362" s="41"/>
      <c r="G3362" s="41"/>
      <c r="H3362" s="41"/>
      <c r="I3362" s="41"/>
      <c r="J3362" s="41"/>
      <c r="K3362" s="41"/>
      <c r="L3362" s="41"/>
      <c r="M3362" s="41"/>
      <c r="N3362" s="41"/>
      <c r="O3362" s="41"/>
      <c r="P3362" s="28"/>
    </row>
    <row r="3363" customFormat="1" spans="1:16">
      <c r="A3363" s="39"/>
      <c r="B3363" s="40"/>
      <c r="C3363" s="41"/>
      <c r="D3363" s="41"/>
      <c r="E3363" s="41"/>
      <c r="F3363" s="41"/>
      <c r="G3363" s="41"/>
      <c r="H3363" s="41"/>
      <c r="I3363" s="41"/>
      <c r="J3363" s="41"/>
      <c r="K3363" s="41"/>
      <c r="L3363" s="41"/>
      <c r="M3363" s="41"/>
      <c r="N3363" s="41"/>
      <c r="O3363" s="41"/>
      <c r="P3363" s="28"/>
    </row>
    <row r="3364" customFormat="1" spans="1:16">
      <c r="A3364" s="39"/>
      <c r="B3364" s="40"/>
      <c r="C3364" s="41"/>
      <c r="D3364" s="41"/>
      <c r="E3364" s="41"/>
      <c r="F3364" s="41"/>
      <c r="G3364" s="41"/>
      <c r="H3364" s="41"/>
      <c r="I3364" s="41"/>
      <c r="J3364" s="41"/>
      <c r="K3364" s="41"/>
      <c r="L3364" s="41"/>
      <c r="M3364" s="41"/>
      <c r="N3364" s="41"/>
      <c r="O3364" s="41"/>
      <c r="P3364" s="28"/>
    </row>
    <row r="3365" customFormat="1" spans="1:16">
      <c r="A3365" s="39"/>
      <c r="B3365" s="40"/>
      <c r="C3365" s="41"/>
      <c r="D3365" s="41"/>
      <c r="E3365" s="41"/>
      <c r="F3365" s="41"/>
      <c r="G3365" s="41"/>
      <c r="H3365" s="41"/>
      <c r="I3365" s="41"/>
      <c r="J3365" s="41"/>
      <c r="K3365" s="41"/>
      <c r="L3365" s="41"/>
      <c r="M3365" s="41"/>
      <c r="N3365" s="41"/>
      <c r="O3365" s="41"/>
      <c r="P3365" s="28"/>
    </row>
    <row r="3366" customFormat="1" spans="1:16">
      <c r="A3366" s="39"/>
      <c r="B3366" s="40"/>
      <c r="C3366" s="41"/>
      <c r="D3366" s="41"/>
      <c r="E3366" s="41"/>
      <c r="F3366" s="41"/>
      <c r="G3366" s="41"/>
      <c r="H3366" s="41"/>
      <c r="I3366" s="41"/>
      <c r="J3366" s="41"/>
      <c r="K3366" s="41"/>
      <c r="L3366" s="41"/>
      <c r="M3366" s="41"/>
      <c r="N3366" s="41"/>
      <c r="O3366" s="41"/>
      <c r="P3366" s="28"/>
    </row>
    <row r="3367" customFormat="1" spans="1:16">
      <c r="A3367" s="39"/>
      <c r="B3367" s="40"/>
      <c r="C3367" s="41"/>
      <c r="D3367" s="41"/>
      <c r="E3367" s="41"/>
      <c r="F3367" s="41"/>
      <c r="G3367" s="41"/>
      <c r="H3367" s="41"/>
      <c r="I3367" s="41"/>
      <c r="J3367" s="41"/>
      <c r="K3367" s="41"/>
      <c r="L3367" s="41"/>
      <c r="M3367" s="41"/>
      <c r="N3367" s="41"/>
      <c r="O3367" s="41"/>
      <c r="P3367" s="28"/>
    </row>
    <row r="3368" customFormat="1" spans="1:16">
      <c r="A3368" s="39"/>
      <c r="B3368" s="40"/>
      <c r="C3368" s="41"/>
      <c r="D3368" s="41"/>
      <c r="E3368" s="41"/>
      <c r="F3368" s="41"/>
      <c r="G3368" s="41"/>
      <c r="H3368" s="41"/>
      <c r="I3368" s="41"/>
      <c r="J3368" s="41"/>
      <c r="K3368" s="41"/>
      <c r="L3368" s="41"/>
      <c r="M3368" s="41"/>
      <c r="N3368" s="41"/>
      <c r="O3368" s="41"/>
      <c r="P3368" s="28"/>
    </row>
    <row r="3369" customFormat="1" spans="1:16">
      <c r="A3369" s="39"/>
      <c r="B3369" s="40"/>
      <c r="C3369" s="41"/>
      <c r="D3369" s="41"/>
      <c r="E3369" s="41"/>
      <c r="F3369" s="41"/>
      <c r="G3369" s="41"/>
      <c r="H3369" s="41"/>
      <c r="I3369" s="41"/>
      <c r="J3369" s="41"/>
      <c r="K3369" s="41"/>
      <c r="L3369" s="41"/>
      <c r="M3369" s="41"/>
      <c r="N3369" s="41"/>
      <c r="O3369" s="41"/>
      <c r="P3369" s="28"/>
    </row>
    <row r="3370" customFormat="1" spans="1:16">
      <c r="A3370" s="39"/>
      <c r="B3370" s="40"/>
      <c r="C3370" s="41"/>
      <c r="D3370" s="41"/>
      <c r="E3370" s="41"/>
      <c r="F3370" s="41"/>
      <c r="G3370" s="41"/>
      <c r="H3370" s="41"/>
      <c r="I3370" s="41"/>
      <c r="J3370" s="41"/>
      <c r="K3370" s="41"/>
      <c r="L3370" s="41"/>
      <c r="M3370" s="41"/>
      <c r="N3370" s="41"/>
      <c r="O3370" s="41"/>
      <c r="P3370" s="28"/>
    </row>
    <row r="3371" customFormat="1" spans="1:16">
      <c r="A3371" s="39"/>
      <c r="B3371" s="40"/>
      <c r="C3371" s="41"/>
      <c r="D3371" s="41"/>
      <c r="E3371" s="41"/>
      <c r="F3371" s="41"/>
      <c r="G3371" s="41"/>
      <c r="H3371" s="41"/>
      <c r="I3371" s="41"/>
      <c r="J3371" s="41"/>
      <c r="K3371" s="41"/>
      <c r="L3371" s="41"/>
      <c r="M3371" s="41"/>
      <c r="N3371" s="41"/>
      <c r="O3371" s="41"/>
      <c r="P3371" s="28"/>
    </row>
    <row r="3372" customFormat="1" spans="1:16">
      <c r="A3372" s="39"/>
      <c r="B3372" s="40"/>
      <c r="C3372" s="41"/>
      <c r="D3372" s="41"/>
      <c r="E3372" s="41"/>
      <c r="F3372" s="41"/>
      <c r="G3372" s="41"/>
      <c r="H3372" s="41"/>
      <c r="I3372" s="41"/>
      <c r="J3372" s="41"/>
      <c r="K3372" s="41"/>
      <c r="L3372" s="41"/>
      <c r="M3372" s="41"/>
      <c r="N3372" s="41"/>
      <c r="O3372" s="41"/>
      <c r="P3372" s="28"/>
    </row>
    <row r="3373" customFormat="1" spans="1:16">
      <c r="A3373" s="39"/>
      <c r="B3373" s="40"/>
      <c r="C3373" s="41"/>
      <c r="D3373" s="41"/>
      <c r="E3373" s="41"/>
      <c r="F3373" s="41"/>
      <c r="G3373" s="41"/>
      <c r="H3373" s="41"/>
      <c r="I3373" s="41"/>
      <c r="J3373" s="41"/>
      <c r="K3373" s="41"/>
      <c r="L3373" s="41"/>
      <c r="M3373" s="41"/>
      <c r="N3373" s="41"/>
      <c r="O3373" s="41"/>
      <c r="P3373" s="28"/>
    </row>
    <row r="3374" customFormat="1" spans="1:16">
      <c r="A3374" s="39"/>
      <c r="B3374" s="40"/>
      <c r="C3374" s="41"/>
      <c r="D3374" s="41"/>
      <c r="E3374" s="41"/>
      <c r="F3374" s="41"/>
      <c r="G3374" s="41"/>
      <c r="H3374" s="41"/>
      <c r="I3374" s="41"/>
      <c r="J3374" s="41"/>
      <c r="K3374" s="41"/>
      <c r="L3374" s="41"/>
      <c r="M3374" s="41"/>
      <c r="N3374" s="41"/>
      <c r="O3374" s="41"/>
      <c r="P3374" s="28"/>
    </row>
    <row r="3375" customFormat="1" spans="1:16">
      <c r="A3375" s="39"/>
      <c r="B3375" s="40"/>
      <c r="C3375" s="41"/>
      <c r="D3375" s="41"/>
      <c r="E3375" s="41"/>
      <c r="F3375" s="41"/>
      <c r="G3375" s="41"/>
      <c r="H3375" s="41"/>
      <c r="I3375" s="41"/>
      <c r="J3375" s="41"/>
      <c r="K3375" s="41"/>
      <c r="L3375" s="41"/>
      <c r="M3375" s="41"/>
      <c r="N3375" s="41"/>
      <c r="O3375" s="41"/>
      <c r="P3375" s="28"/>
    </row>
    <row r="3376" customFormat="1" spans="1:16">
      <c r="A3376" s="39"/>
      <c r="B3376" s="40"/>
      <c r="C3376" s="41"/>
      <c r="D3376" s="41"/>
      <c r="E3376" s="41"/>
      <c r="F3376" s="41"/>
      <c r="G3376" s="41"/>
      <c r="H3376" s="41"/>
      <c r="I3376" s="41"/>
      <c r="J3376" s="41"/>
      <c r="K3376" s="41"/>
      <c r="L3376" s="41"/>
      <c r="M3376" s="41"/>
      <c r="N3376" s="41"/>
      <c r="O3376" s="41"/>
      <c r="P3376" s="28"/>
    </row>
    <row r="3377" customFormat="1" spans="1:16">
      <c r="A3377" s="39"/>
      <c r="B3377" s="40"/>
      <c r="C3377" s="41"/>
      <c r="D3377" s="41"/>
      <c r="E3377" s="41"/>
      <c r="F3377" s="41"/>
      <c r="G3377" s="41"/>
      <c r="H3377" s="41"/>
      <c r="I3377" s="41"/>
      <c r="J3377" s="41"/>
      <c r="K3377" s="41"/>
      <c r="L3377" s="41"/>
      <c r="M3377" s="41"/>
      <c r="N3377" s="41"/>
      <c r="O3377" s="41"/>
      <c r="P3377" s="28"/>
    </row>
    <row r="3378" customFormat="1" spans="1:16">
      <c r="A3378" s="39"/>
      <c r="B3378" s="40"/>
      <c r="C3378" s="41"/>
      <c r="D3378" s="41"/>
      <c r="E3378" s="41"/>
      <c r="F3378" s="41"/>
      <c r="G3378" s="41"/>
      <c r="H3378" s="41"/>
      <c r="I3378" s="41"/>
      <c r="J3378" s="41"/>
      <c r="K3378" s="41"/>
      <c r="L3378" s="41"/>
      <c r="M3378" s="41"/>
      <c r="N3378" s="41"/>
      <c r="O3378" s="41"/>
      <c r="P3378" s="28"/>
    </row>
    <row r="3379" customFormat="1" spans="1:16">
      <c r="A3379" s="39"/>
      <c r="B3379" s="40"/>
      <c r="C3379" s="41"/>
      <c r="D3379" s="41"/>
      <c r="E3379" s="41"/>
      <c r="F3379" s="41"/>
      <c r="G3379" s="41"/>
      <c r="H3379" s="41"/>
      <c r="I3379" s="41"/>
      <c r="J3379" s="41"/>
      <c r="K3379" s="41"/>
      <c r="L3379" s="41"/>
      <c r="M3379" s="41"/>
      <c r="N3379" s="41"/>
      <c r="O3379" s="41"/>
      <c r="P3379" s="28"/>
    </row>
    <row r="3380" customFormat="1" spans="1:16">
      <c r="A3380" s="39"/>
      <c r="B3380" s="40"/>
      <c r="C3380" s="41"/>
      <c r="D3380" s="41"/>
      <c r="E3380" s="41"/>
      <c r="F3380" s="41"/>
      <c r="G3380" s="41"/>
      <c r="H3380" s="41"/>
      <c r="I3380" s="41"/>
      <c r="J3380" s="41"/>
      <c r="K3380" s="41"/>
      <c r="L3380" s="41"/>
      <c r="M3380" s="41"/>
      <c r="N3380" s="41"/>
      <c r="O3380" s="41"/>
      <c r="P3380" s="28"/>
    </row>
    <row r="3381" customFormat="1" spans="1:16">
      <c r="A3381" s="39"/>
      <c r="B3381" s="40"/>
      <c r="C3381" s="41"/>
      <c r="D3381" s="41"/>
      <c r="E3381" s="41"/>
      <c r="F3381" s="41"/>
      <c r="G3381" s="41"/>
      <c r="H3381" s="41"/>
      <c r="I3381" s="41"/>
      <c r="J3381" s="41"/>
      <c r="K3381" s="41"/>
      <c r="L3381" s="41"/>
      <c r="M3381" s="41"/>
      <c r="N3381" s="41"/>
      <c r="O3381" s="41"/>
      <c r="P3381" s="28"/>
    </row>
    <row r="3382" customFormat="1" spans="1:16">
      <c r="A3382" s="39"/>
      <c r="B3382" s="40"/>
      <c r="C3382" s="41"/>
      <c r="D3382" s="41"/>
      <c r="E3382" s="41"/>
      <c r="F3382" s="41"/>
      <c r="G3382" s="41"/>
      <c r="H3382" s="41"/>
      <c r="I3382" s="41"/>
      <c r="J3382" s="41"/>
      <c r="K3382" s="41"/>
      <c r="L3382" s="41"/>
      <c r="M3382" s="41"/>
      <c r="N3382" s="41"/>
      <c r="O3382" s="41"/>
      <c r="P3382" s="28"/>
    </row>
    <row r="3383" customFormat="1" spans="1:16">
      <c r="A3383" s="39"/>
      <c r="B3383" s="40"/>
      <c r="C3383" s="41"/>
      <c r="D3383" s="41"/>
      <c r="E3383" s="41"/>
      <c r="F3383" s="41"/>
      <c r="G3383" s="41"/>
      <c r="H3383" s="41"/>
      <c r="I3383" s="41"/>
      <c r="J3383" s="41"/>
      <c r="K3383" s="41"/>
      <c r="L3383" s="41"/>
      <c r="M3383" s="41"/>
      <c r="N3383" s="41"/>
      <c r="O3383" s="41"/>
      <c r="P3383" s="28"/>
    </row>
    <row r="3384" customFormat="1" spans="1:16">
      <c r="A3384" s="39"/>
      <c r="B3384" s="40"/>
      <c r="C3384" s="41"/>
      <c r="D3384" s="41"/>
      <c r="E3384" s="41"/>
      <c r="F3384" s="41"/>
      <c r="G3384" s="41"/>
      <c r="H3384" s="41"/>
      <c r="I3384" s="41"/>
      <c r="J3384" s="41"/>
      <c r="K3384" s="41"/>
      <c r="L3384" s="41"/>
      <c r="M3384" s="41"/>
      <c r="N3384" s="41"/>
      <c r="O3384" s="41"/>
      <c r="P3384" s="28"/>
    </row>
    <row r="3385" customFormat="1" spans="1:16">
      <c r="A3385" s="39"/>
      <c r="B3385" s="40"/>
      <c r="C3385" s="41"/>
      <c r="D3385" s="41"/>
      <c r="E3385" s="41"/>
      <c r="F3385" s="41"/>
      <c r="G3385" s="41"/>
      <c r="H3385" s="41"/>
      <c r="I3385" s="41"/>
      <c r="J3385" s="41"/>
      <c r="K3385" s="41"/>
      <c r="L3385" s="41"/>
      <c r="M3385" s="41"/>
      <c r="N3385" s="41"/>
      <c r="O3385" s="41"/>
      <c r="P3385" s="28"/>
    </row>
    <row r="3386" customFormat="1" spans="1:16">
      <c r="A3386" s="39"/>
      <c r="B3386" s="40"/>
      <c r="C3386" s="41"/>
      <c r="D3386" s="41"/>
      <c r="E3386" s="41"/>
      <c r="F3386" s="41"/>
      <c r="G3386" s="41"/>
      <c r="H3386" s="41"/>
      <c r="I3386" s="41"/>
      <c r="J3386" s="41"/>
      <c r="K3386" s="41"/>
      <c r="L3386" s="41"/>
      <c r="M3386" s="41"/>
      <c r="N3386" s="41"/>
      <c r="O3386" s="41"/>
      <c r="P3386" s="28"/>
    </row>
    <row r="3387" customFormat="1" spans="1:16">
      <c r="A3387" s="39"/>
      <c r="B3387" s="40"/>
      <c r="C3387" s="41"/>
      <c r="D3387" s="41"/>
      <c r="E3387" s="41"/>
      <c r="F3387" s="41"/>
      <c r="G3387" s="41"/>
      <c r="H3387" s="41"/>
      <c r="I3387" s="41"/>
      <c r="J3387" s="41"/>
      <c r="K3387" s="41"/>
      <c r="L3387" s="41"/>
      <c r="M3387" s="41"/>
      <c r="N3387" s="41"/>
      <c r="O3387" s="41"/>
      <c r="P3387" s="28"/>
    </row>
    <row r="3388" customFormat="1" spans="1:16">
      <c r="A3388" s="39"/>
      <c r="B3388" s="40"/>
      <c r="C3388" s="41"/>
      <c r="D3388" s="41"/>
      <c r="E3388" s="41"/>
      <c r="F3388" s="41"/>
      <c r="G3388" s="41"/>
      <c r="H3388" s="41"/>
      <c r="I3388" s="41"/>
      <c r="J3388" s="41"/>
      <c r="K3388" s="41"/>
      <c r="L3388" s="41"/>
      <c r="M3388" s="41"/>
      <c r="N3388" s="41"/>
      <c r="O3388" s="41"/>
      <c r="P3388" s="28"/>
    </row>
    <row r="3389" customFormat="1" spans="1:16">
      <c r="A3389" s="39"/>
      <c r="B3389" s="40"/>
      <c r="C3389" s="41"/>
      <c r="D3389" s="41"/>
      <c r="E3389" s="41"/>
      <c r="F3389" s="41"/>
      <c r="G3389" s="41"/>
      <c r="H3389" s="41"/>
      <c r="I3389" s="41"/>
      <c r="J3389" s="41"/>
      <c r="K3389" s="41"/>
      <c r="L3389" s="41"/>
      <c r="M3389" s="41"/>
      <c r="N3389" s="41"/>
      <c r="O3389" s="41"/>
      <c r="P3389" s="28"/>
    </row>
    <row r="3390" customFormat="1" spans="1:16">
      <c r="A3390" s="39"/>
      <c r="B3390" s="40"/>
      <c r="C3390" s="41"/>
      <c r="D3390" s="41"/>
      <c r="E3390" s="41"/>
      <c r="F3390" s="41"/>
      <c r="G3390" s="41"/>
      <c r="H3390" s="41"/>
      <c r="I3390" s="41"/>
      <c r="J3390" s="41"/>
      <c r="K3390" s="41"/>
      <c r="L3390" s="41"/>
      <c r="M3390" s="41"/>
      <c r="N3390" s="41"/>
      <c r="O3390" s="41"/>
      <c r="P3390" s="28"/>
    </row>
    <row r="3391" customFormat="1" spans="1:16">
      <c r="A3391" s="39"/>
      <c r="B3391" s="40"/>
      <c r="C3391" s="41"/>
      <c r="D3391" s="41"/>
      <c r="E3391" s="41"/>
      <c r="F3391" s="41"/>
      <c r="G3391" s="41"/>
      <c r="H3391" s="41"/>
      <c r="I3391" s="41"/>
      <c r="J3391" s="41"/>
      <c r="K3391" s="41"/>
      <c r="L3391" s="41"/>
      <c r="M3391" s="41"/>
      <c r="N3391" s="41"/>
      <c r="O3391" s="41"/>
      <c r="P3391" s="28"/>
    </row>
    <row r="3392" customFormat="1" spans="1:16">
      <c r="A3392" s="39"/>
      <c r="B3392" s="40"/>
      <c r="C3392" s="41"/>
      <c r="D3392" s="41"/>
      <c r="E3392" s="41"/>
      <c r="F3392" s="41"/>
      <c r="G3392" s="41"/>
      <c r="H3392" s="41"/>
      <c r="I3392" s="41"/>
      <c r="J3392" s="41"/>
      <c r="K3392" s="41"/>
      <c r="L3392" s="41"/>
      <c r="M3392" s="41"/>
      <c r="N3392" s="41"/>
      <c r="O3392" s="41"/>
      <c r="P3392" s="28"/>
    </row>
    <row r="3393" customFormat="1" spans="1:16">
      <c r="A3393" s="39"/>
      <c r="B3393" s="40"/>
      <c r="C3393" s="41"/>
      <c r="D3393" s="41"/>
      <c r="E3393" s="41"/>
      <c r="F3393" s="41"/>
      <c r="G3393" s="41"/>
      <c r="H3393" s="41"/>
      <c r="I3393" s="41"/>
      <c r="J3393" s="41"/>
      <c r="K3393" s="41"/>
      <c r="L3393" s="41"/>
      <c r="M3393" s="41"/>
      <c r="N3393" s="41"/>
      <c r="O3393" s="41"/>
      <c r="P3393" s="28"/>
    </row>
    <row r="3394" customFormat="1" spans="1:16">
      <c r="A3394" s="39"/>
      <c r="B3394" s="40"/>
      <c r="C3394" s="41"/>
      <c r="D3394" s="41"/>
      <c r="E3394" s="41"/>
      <c r="F3394" s="41"/>
      <c r="G3394" s="41"/>
      <c r="H3394" s="41"/>
      <c r="I3394" s="41"/>
      <c r="J3394" s="41"/>
      <c r="K3394" s="41"/>
      <c r="L3394" s="41"/>
      <c r="M3394" s="41"/>
      <c r="N3394" s="41"/>
      <c r="O3394" s="41"/>
      <c r="P3394" s="28"/>
    </row>
    <row r="3395" customFormat="1" spans="1:16">
      <c r="A3395" s="39"/>
      <c r="B3395" s="40"/>
      <c r="C3395" s="41"/>
      <c r="D3395" s="41"/>
      <c r="E3395" s="41"/>
      <c r="F3395" s="41"/>
      <c r="G3395" s="41"/>
      <c r="H3395" s="41"/>
      <c r="I3395" s="41"/>
      <c r="J3395" s="41"/>
      <c r="K3395" s="41"/>
      <c r="L3395" s="41"/>
      <c r="M3395" s="41"/>
      <c r="N3395" s="41"/>
      <c r="O3395" s="41"/>
      <c r="P3395" s="28"/>
    </row>
    <row r="3396" customFormat="1" spans="1:16">
      <c r="A3396" s="39"/>
      <c r="B3396" s="40"/>
      <c r="C3396" s="41"/>
      <c r="D3396" s="41"/>
      <c r="E3396" s="41"/>
      <c r="F3396" s="41"/>
      <c r="G3396" s="41"/>
      <c r="H3396" s="41"/>
      <c r="I3396" s="41"/>
      <c r="J3396" s="41"/>
      <c r="K3396" s="41"/>
      <c r="L3396" s="41"/>
      <c r="M3396" s="41"/>
      <c r="N3396" s="41"/>
      <c r="O3396" s="41"/>
      <c r="P3396" s="28"/>
    </row>
    <row r="3397" customFormat="1" spans="1:16">
      <c r="A3397" s="39"/>
      <c r="B3397" s="40"/>
      <c r="C3397" s="41"/>
      <c r="D3397" s="41"/>
      <c r="E3397" s="41"/>
      <c r="F3397" s="41"/>
      <c r="G3397" s="41"/>
      <c r="H3397" s="41"/>
      <c r="I3397" s="41"/>
      <c r="J3397" s="41"/>
      <c r="K3397" s="41"/>
      <c r="L3397" s="41"/>
      <c r="M3397" s="41"/>
      <c r="N3397" s="41"/>
      <c r="O3397" s="41"/>
      <c r="P3397" s="28"/>
    </row>
    <row r="3398" customFormat="1" spans="1:16">
      <c r="A3398" s="39"/>
      <c r="B3398" s="40"/>
      <c r="C3398" s="41"/>
      <c r="D3398" s="41"/>
      <c r="E3398" s="41"/>
      <c r="F3398" s="41"/>
      <c r="G3398" s="41"/>
      <c r="H3398" s="41"/>
      <c r="I3398" s="41"/>
      <c r="J3398" s="41"/>
      <c r="K3398" s="41"/>
      <c r="L3398" s="41"/>
      <c r="M3398" s="41"/>
      <c r="N3398" s="41"/>
      <c r="O3398" s="41"/>
      <c r="P3398" s="28"/>
    </row>
    <row r="3399" customFormat="1" spans="1:16">
      <c r="A3399" s="39"/>
      <c r="B3399" s="40"/>
      <c r="C3399" s="41"/>
      <c r="D3399" s="41"/>
      <c r="E3399" s="41"/>
      <c r="F3399" s="41"/>
      <c r="G3399" s="41"/>
      <c r="H3399" s="41"/>
      <c r="I3399" s="41"/>
      <c r="J3399" s="41"/>
      <c r="K3399" s="41"/>
      <c r="L3399" s="41"/>
      <c r="M3399" s="41"/>
      <c r="N3399" s="41"/>
      <c r="O3399" s="41"/>
      <c r="P3399" s="28"/>
    </row>
    <row r="3400" customFormat="1" spans="1:16">
      <c r="A3400" s="39"/>
      <c r="B3400" s="40"/>
      <c r="C3400" s="41"/>
      <c r="D3400" s="41"/>
      <c r="E3400" s="41"/>
      <c r="F3400" s="41"/>
      <c r="G3400" s="41"/>
      <c r="H3400" s="41"/>
      <c r="I3400" s="41"/>
      <c r="J3400" s="41"/>
      <c r="K3400" s="41"/>
      <c r="L3400" s="41"/>
      <c r="M3400" s="41"/>
      <c r="N3400" s="41"/>
      <c r="O3400" s="41"/>
      <c r="P3400" s="28"/>
    </row>
    <row r="3401" customFormat="1" spans="1:16">
      <c r="A3401" s="39"/>
      <c r="B3401" s="40"/>
      <c r="C3401" s="41"/>
      <c r="D3401" s="41"/>
      <c r="E3401" s="41"/>
      <c r="F3401" s="41"/>
      <c r="G3401" s="41"/>
      <c r="H3401" s="41"/>
      <c r="I3401" s="41"/>
      <c r="J3401" s="41"/>
      <c r="K3401" s="41"/>
      <c r="L3401" s="41"/>
      <c r="M3401" s="41"/>
      <c r="N3401" s="41"/>
      <c r="O3401" s="41"/>
      <c r="P3401" s="28"/>
    </row>
    <row r="3402" customFormat="1" spans="1:16">
      <c r="A3402" s="39"/>
      <c r="B3402" s="40"/>
      <c r="C3402" s="41"/>
      <c r="D3402" s="41"/>
      <c r="E3402" s="41"/>
      <c r="F3402" s="41"/>
      <c r="G3402" s="41"/>
      <c r="H3402" s="41"/>
      <c r="I3402" s="41"/>
      <c r="J3402" s="41"/>
      <c r="K3402" s="41"/>
      <c r="L3402" s="41"/>
      <c r="M3402" s="41"/>
      <c r="N3402" s="41"/>
      <c r="O3402" s="41"/>
      <c r="P3402" s="28"/>
    </row>
    <row r="3403" customFormat="1" spans="1:16">
      <c r="A3403" s="39"/>
      <c r="B3403" s="40"/>
      <c r="C3403" s="41"/>
      <c r="D3403" s="41"/>
      <c r="E3403" s="41"/>
      <c r="F3403" s="41"/>
      <c r="G3403" s="41"/>
      <c r="H3403" s="41"/>
      <c r="I3403" s="41"/>
      <c r="J3403" s="41"/>
      <c r="K3403" s="41"/>
      <c r="L3403" s="41"/>
      <c r="M3403" s="41"/>
      <c r="N3403" s="41"/>
      <c r="O3403" s="41"/>
      <c r="P3403" s="28"/>
    </row>
    <row r="3404" customFormat="1" spans="1:16">
      <c r="A3404" s="39"/>
      <c r="B3404" s="40"/>
      <c r="C3404" s="41"/>
      <c r="D3404" s="41"/>
      <c r="E3404" s="41"/>
      <c r="F3404" s="41"/>
      <c r="G3404" s="41"/>
      <c r="H3404" s="41"/>
      <c r="I3404" s="41"/>
      <c r="J3404" s="41"/>
      <c r="K3404" s="41"/>
      <c r="L3404" s="41"/>
      <c r="M3404" s="41"/>
      <c r="N3404" s="41"/>
      <c r="O3404" s="41"/>
      <c r="P3404" s="28"/>
    </row>
    <row r="3405" customFormat="1" spans="1:16">
      <c r="A3405" s="39"/>
      <c r="B3405" s="40"/>
      <c r="C3405" s="41"/>
      <c r="D3405" s="41"/>
      <c r="E3405" s="41"/>
      <c r="F3405" s="41"/>
      <c r="G3405" s="41"/>
      <c r="H3405" s="41"/>
      <c r="I3405" s="41"/>
      <c r="J3405" s="41"/>
      <c r="K3405" s="41"/>
      <c r="L3405" s="41"/>
      <c r="M3405" s="41"/>
      <c r="N3405" s="41"/>
      <c r="O3405" s="41"/>
      <c r="P3405" s="28"/>
    </row>
    <row r="3406" customFormat="1" spans="1:16">
      <c r="A3406" s="39"/>
      <c r="B3406" s="40"/>
      <c r="C3406" s="41"/>
      <c r="D3406" s="41"/>
      <c r="E3406" s="41"/>
      <c r="F3406" s="41"/>
      <c r="G3406" s="41"/>
      <c r="H3406" s="41"/>
      <c r="I3406" s="41"/>
      <c r="J3406" s="41"/>
      <c r="K3406" s="41"/>
      <c r="L3406" s="41"/>
      <c r="M3406" s="41"/>
      <c r="N3406" s="41"/>
      <c r="O3406" s="41"/>
      <c r="P3406" s="28"/>
    </row>
    <row r="3407" customFormat="1" spans="1:16">
      <c r="A3407" s="39"/>
      <c r="B3407" s="40"/>
      <c r="C3407" s="41"/>
      <c r="D3407" s="41"/>
      <c r="E3407" s="41"/>
      <c r="F3407" s="41"/>
      <c r="G3407" s="41"/>
      <c r="H3407" s="41"/>
      <c r="I3407" s="41"/>
      <c r="J3407" s="41"/>
      <c r="K3407" s="41"/>
      <c r="L3407" s="41"/>
      <c r="M3407" s="41"/>
      <c r="N3407" s="41"/>
      <c r="O3407" s="41"/>
      <c r="P3407" s="28"/>
    </row>
    <row r="3408" customFormat="1" spans="1:16">
      <c r="A3408" s="39"/>
      <c r="B3408" s="40"/>
      <c r="C3408" s="41"/>
      <c r="D3408" s="41"/>
      <c r="E3408" s="41"/>
      <c r="F3408" s="41"/>
      <c r="G3408" s="41"/>
      <c r="H3408" s="41"/>
      <c r="I3408" s="41"/>
      <c r="J3408" s="41"/>
      <c r="K3408" s="41"/>
      <c r="L3408" s="41"/>
      <c r="M3408" s="41"/>
      <c r="N3408" s="41"/>
      <c r="O3408" s="41"/>
      <c r="P3408" s="28"/>
    </row>
    <row r="3409" customFormat="1" spans="1:16">
      <c r="A3409" s="39"/>
      <c r="B3409" s="40"/>
      <c r="C3409" s="41"/>
      <c r="D3409" s="41"/>
      <c r="E3409" s="41"/>
      <c r="F3409" s="41"/>
      <c r="G3409" s="41"/>
      <c r="H3409" s="41"/>
      <c r="I3409" s="41"/>
      <c r="J3409" s="41"/>
      <c r="K3409" s="41"/>
      <c r="L3409" s="41"/>
      <c r="M3409" s="41"/>
      <c r="N3409" s="41"/>
      <c r="O3409" s="41"/>
      <c r="P3409" s="28"/>
    </row>
    <row r="3410" customFormat="1" spans="1:16">
      <c r="A3410" s="39"/>
      <c r="B3410" s="40"/>
      <c r="C3410" s="41"/>
      <c r="D3410" s="41"/>
      <c r="E3410" s="41"/>
      <c r="F3410" s="41"/>
      <c r="G3410" s="41"/>
      <c r="H3410" s="41"/>
      <c r="I3410" s="41"/>
      <c r="J3410" s="41"/>
      <c r="K3410" s="41"/>
      <c r="L3410" s="41"/>
      <c r="M3410" s="41"/>
      <c r="N3410" s="41"/>
      <c r="O3410" s="41"/>
      <c r="P3410" s="28"/>
    </row>
    <row r="3411" customFormat="1" spans="1:16">
      <c r="A3411" s="39"/>
      <c r="B3411" s="40"/>
      <c r="C3411" s="41"/>
      <c r="D3411" s="41"/>
      <c r="E3411" s="41"/>
      <c r="F3411" s="41"/>
      <c r="G3411" s="41"/>
      <c r="H3411" s="41"/>
      <c r="I3411" s="41"/>
      <c r="J3411" s="41"/>
      <c r="K3411" s="41"/>
      <c r="L3411" s="41"/>
      <c r="M3411" s="41"/>
      <c r="N3411" s="41"/>
      <c r="O3411" s="41"/>
      <c r="P3411" s="28"/>
    </row>
    <row r="3412" customFormat="1" spans="1:16">
      <c r="A3412" s="39"/>
      <c r="B3412" s="40"/>
      <c r="C3412" s="41"/>
      <c r="D3412" s="41"/>
      <c r="E3412" s="41"/>
      <c r="F3412" s="41"/>
      <c r="G3412" s="41"/>
      <c r="H3412" s="41"/>
      <c r="I3412" s="41"/>
      <c r="J3412" s="41"/>
      <c r="K3412" s="41"/>
      <c r="L3412" s="41"/>
      <c r="M3412" s="41"/>
      <c r="N3412" s="41"/>
      <c r="O3412" s="41"/>
      <c r="P3412" s="28"/>
    </row>
    <row r="3413" customFormat="1" spans="1:16">
      <c r="A3413" s="39"/>
      <c r="B3413" s="40"/>
      <c r="C3413" s="41"/>
      <c r="D3413" s="41"/>
      <c r="E3413" s="41"/>
      <c r="F3413" s="41"/>
      <c r="G3413" s="41"/>
      <c r="H3413" s="41"/>
      <c r="I3413" s="41"/>
      <c r="J3413" s="41"/>
      <c r="K3413" s="41"/>
      <c r="L3413" s="41"/>
      <c r="M3413" s="41"/>
      <c r="N3413" s="41"/>
      <c r="O3413" s="41"/>
      <c r="P3413" s="28"/>
    </row>
    <row r="3414" customFormat="1" spans="1:16">
      <c r="A3414" s="39"/>
      <c r="B3414" s="40"/>
      <c r="C3414" s="41"/>
      <c r="D3414" s="41"/>
      <c r="E3414" s="41"/>
      <c r="F3414" s="41"/>
      <c r="G3414" s="41"/>
      <c r="H3414" s="41"/>
      <c r="I3414" s="41"/>
      <c r="J3414" s="41"/>
      <c r="K3414" s="41"/>
      <c r="L3414" s="41"/>
      <c r="M3414" s="41"/>
      <c r="N3414" s="41"/>
      <c r="O3414" s="41"/>
      <c r="P3414" s="28"/>
    </row>
    <row r="3415" customFormat="1" spans="1:16">
      <c r="A3415" s="39"/>
      <c r="B3415" s="40"/>
      <c r="C3415" s="41"/>
      <c r="D3415" s="41"/>
      <c r="E3415" s="41"/>
      <c r="F3415" s="41"/>
      <c r="G3415" s="41"/>
      <c r="H3415" s="41"/>
      <c r="I3415" s="41"/>
      <c r="J3415" s="41"/>
      <c r="K3415" s="41"/>
      <c r="L3415" s="41"/>
      <c r="M3415" s="41"/>
      <c r="N3415" s="41"/>
      <c r="O3415" s="41"/>
      <c r="P3415" s="28"/>
    </row>
    <row r="3416" customFormat="1" spans="1:16">
      <c r="A3416" s="39"/>
      <c r="B3416" s="40"/>
      <c r="C3416" s="41"/>
      <c r="D3416" s="41"/>
      <c r="E3416" s="41"/>
      <c r="F3416" s="41"/>
      <c r="G3416" s="41"/>
      <c r="H3416" s="41"/>
      <c r="I3416" s="41"/>
      <c r="J3416" s="41"/>
      <c r="K3416" s="41"/>
      <c r="L3416" s="41"/>
      <c r="M3416" s="41"/>
      <c r="N3416" s="41"/>
      <c r="O3416" s="41"/>
      <c r="P3416" s="28"/>
    </row>
    <row r="3417" customFormat="1" spans="1:16">
      <c r="A3417" s="39"/>
      <c r="B3417" s="40"/>
      <c r="C3417" s="41"/>
      <c r="D3417" s="41"/>
      <c r="E3417" s="41"/>
      <c r="F3417" s="41"/>
      <c r="G3417" s="41"/>
      <c r="H3417" s="41"/>
      <c r="I3417" s="41"/>
      <c r="J3417" s="41"/>
      <c r="K3417" s="41"/>
      <c r="L3417" s="41"/>
      <c r="M3417" s="41"/>
      <c r="N3417" s="41"/>
      <c r="O3417" s="41"/>
      <c r="P3417" s="28"/>
    </row>
    <row r="3418" customFormat="1" spans="1:16">
      <c r="A3418" s="39"/>
      <c r="B3418" s="40"/>
      <c r="C3418" s="41"/>
      <c r="D3418" s="41"/>
      <c r="E3418" s="41"/>
      <c r="F3418" s="41"/>
      <c r="G3418" s="41"/>
      <c r="H3418" s="41"/>
      <c r="I3418" s="41"/>
      <c r="J3418" s="41"/>
      <c r="K3418" s="41"/>
      <c r="L3418" s="41"/>
      <c r="M3418" s="41"/>
      <c r="N3418" s="41"/>
      <c r="O3418" s="41"/>
      <c r="P3418" s="28"/>
    </row>
    <row r="3419" customFormat="1" spans="1:16">
      <c r="A3419" s="39"/>
      <c r="B3419" s="40"/>
      <c r="C3419" s="41"/>
      <c r="D3419" s="41"/>
      <c r="E3419" s="41"/>
      <c r="F3419" s="41"/>
      <c r="G3419" s="41"/>
      <c r="H3419" s="41"/>
      <c r="I3419" s="41"/>
      <c r="J3419" s="41"/>
      <c r="K3419" s="41"/>
      <c r="L3419" s="41"/>
      <c r="M3419" s="41"/>
      <c r="N3419" s="41"/>
      <c r="O3419" s="41"/>
      <c r="P3419" s="28"/>
    </row>
    <row r="3420" customFormat="1" spans="1:16">
      <c r="A3420" s="39"/>
      <c r="B3420" s="40"/>
      <c r="C3420" s="41"/>
      <c r="D3420" s="41"/>
      <c r="E3420" s="41"/>
      <c r="F3420" s="41"/>
      <c r="G3420" s="41"/>
      <c r="H3420" s="41"/>
      <c r="I3420" s="41"/>
      <c r="J3420" s="41"/>
      <c r="K3420" s="41"/>
      <c r="L3420" s="41"/>
      <c r="M3420" s="41"/>
      <c r="N3420" s="41"/>
      <c r="O3420" s="41"/>
      <c r="P3420" s="28"/>
    </row>
    <row r="3421" customFormat="1" spans="1:16">
      <c r="A3421" s="39"/>
      <c r="B3421" s="40"/>
      <c r="C3421" s="41"/>
      <c r="D3421" s="41"/>
      <c r="E3421" s="41"/>
      <c r="F3421" s="41"/>
      <c r="G3421" s="41"/>
      <c r="H3421" s="41"/>
      <c r="I3421" s="41"/>
      <c r="J3421" s="41"/>
      <c r="K3421" s="41"/>
      <c r="L3421" s="41"/>
      <c r="M3421" s="41"/>
      <c r="N3421" s="41"/>
      <c r="O3421" s="41"/>
      <c r="P3421" s="28"/>
    </row>
    <row r="3422" customFormat="1" spans="1:16">
      <c r="A3422" s="39"/>
      <c r="B3422" s="40"/>
      <c r="C3422" s="41"/>
      <c r="D3422" s="41"/>
      <c r="E3422" s="41"/>
      <c r="F3422" s="41"/>
      <c r="G3422" s="41"/>
      <c r="H3422" s="41"/>
      <c r="I3422" s="41"/>
      <c r="J3422" s="41"/>
      <c r="K3422" s="41"/>
      <c r="L3422" s="41"/>
      <c r="M3422" s="41"/>
      <c r="N3422" s="41"/>
      <c r="O3422" s="41"/>
      <c r="P3422" s="28"/>
    </row>
    <row r="3423" customFormat="1" spans="1:16">
      <c r="A3423" s="39"/>
      <c r="B3423" s="40"/>
      <c r="C3423" s="41"/>
      <c r="D3423" s="41"/>
      <c r="E3423" s="41"/>
      <c r="F3423" s="41"/>
      <c r="G3423" s="41"/>
      <c r="H3423" s="41"/>
      <c r="I3423" s="41"/>
      <c r="J3423" s="41"/>
      <c r="K3423" s="41"/>
      <c r="L3423" s="41"/>
      <c r="M3423" s="41"/>
      <c r="N3423" s="41"/>
      <c r="O3423" s="41"/>
      <c r="P3423" s="28"/>
    </row>
    <row r="3424" customFormat="1" spans="1:16">
      <c r="A3424" s="39"/>
      <c r="B3424" s="40"/>
      <c r="C3424" s="41"/>
      <c r="D3424" s="41"/>
      <c r="E3424" s="41"/>
      <c r="F3424" s="41"/>
      <c r="G3424" s="41"/>
      <c r="H3424" s="41"/>
      <c r="I3424" s="41"/>
      <c r="J3424" s="41"/>
      <c r="K3424" s="41"/>
      <c r="L3424" s="41"/>
      <c r="M3424" s="41"/>
      <c r="N3424" s="41"/>
      <c r="O3424" s="41"/>
      <c r="P3424" s="28"/>
    </row>
    <row r="3425" customFormat="1" spans="1:16">
      <c r="A3425" s="39"/>
      <c r="B3425" s="40"/>
      <c r="C3425" s="41"/>
      <c r="D3425" s="41"/>
      <c r="E3425" s="41"/>
      <c r="F3425" s="41"/>
      <c r="G3425" s="41"/>
      <c r="H3425" s="41"/>
      <c r="I3425" s="41"/>
      <c r="J3425" s="41"/>
      <c r="K3425" s="41"/>
      <c r="L3425" s="41"/>
      <c r="M3425" s="41"/>
      <c r="N3425" s="41"/>
      <c r="O3425" s="41"/>
      <c r="P3425" s="28"/>
    </row>
    <row r="3426" customFormat="1" spans="1:16">
      <c r="A3426" s="39"/>
      <c r="B3426" s="40"/>
      <c r="C3426" s="41"/>
      <c r="D3426" s="41"/>
      <c r="E3426" s="41"/>
      <c r="F3426" s="41"/>
      <c r="G3426" s="41"/>
      <c r="H3426" s="41"/>
      <c r="I3426" s="41"/>
      <c r="J3426" s="41"/>
      <c r="K3426" s="41"/>
      <c r="L3426" s="41"/>
      <c r="M3426" s="41"/>
      <c r="N3426" s="41"/>
      <c r="O3426" s="41"/>
      <c r="P3426" s="28"/>
    </row>
    <row r="3427" customFormat="1" spans="1:16">
      <c r="A3427" s="39"/>
      <c r="B3427" s="40"/>
      <c r="C3427" s="41"/>
      <c r="D3427" s="41"/>
      <c r="E3427" s="41"/>
      <c r="F3427" s="41"/>
      <c r="G3427" s="41"/>
      <c r="H3427" s="41"/>
      <c r="I3427" s="41"/>
      <c r="J3427" s="41"/>
      <c r="K3427" s="41"/>
      <c r="L3427" s="41"/>
      <c r="M3427" s="41"/>
      <c r="N3427" s="41"/>
      <c r="O3427" s="41"/>
      <c r="P3427" s="28"/>
    </row>
    <row r="3428" customFormat="1" spans="1:16">
      <c r="A3428" s="39"/>
      <c r="B3428" s="40"/>
      <c r="C3428" s="41"/>
      <c r="D3428" s="41"/>
      <c r="E3428" s="41"/>
      <c r="F3428" s="41"/>
      <c r="G3428" s="41"/>
      <c r="H3428" s="41"/>
      <c r="I3428" s="41"/>
      <c r="J3428" s="41"/>
      <c r="K3428" s="41"/>
      <c r="L3428" s="41"/>
      <c r="M3428" s="41"/>
      <c r="N3428" s="41"/>
      <c r="O3428" s="41"/>
      <c r="P3428" s="28"/>
    </row>
    <row r="3429" customFormat="1" spans="1:16">
      <c r="A3429" s="39"/>
      <c r="B3429" s="40"/>
      <c r="C3429" s="41"/>
      <c r="D3429" s="41"/>
      <c r="E3429" s="41"/>
      <c r="F3429" s="41"/>
      <c r="G3429" s="41"/>
      <c r="H3429" s="41"/>
      <c r="I3429" s="41"/>
      <c r="J3429" s="41"/>
      <c r="K3429" s="41"/>
      <c r="L3429" s="41"/>
      <c r="M3429" s="41"/>
      <c r="N3429" s="41"/>
      <c r="O3429" s="41"/>
      <c r="P3429" s="28"/>
    </row>
    <row r="3430" customFormat="1" spans="1:16">
      <c r="A3430" s="39"/>
      <c r="B3430" s="40"/>
      <c r="C3430" s="41"/>
      <c r="D3430" s="41"/>
      <c r="E3430" s="41"/>
      <c r="F3430" s="41"/>
      <c r="G3430" s="41"/>
      <c r="H3430" s="41"/>
      <c r="I3430" s="41"/>
      <c r="J3430" s="41"/>
      <c r="K3430" s="41"/>
      <c r="L3430" s="41"/>
      <c r="M3430" s="41"/>
      <c r="N3430" s="41"/>
      <c r="O3430" s="41"/>
      <c r="P3430" s="28"/>
    </row>
    <row r="3431" customFormat="1" spans="1:16">
      <c r="A3431" s="39"/>
      <c r="B3431" s="40"/>
      <c r="C3431" s="41"/>
      <c r="D3431" s="41"/>
      <c r="E3431" s="41"/>
      <c r="F3431" s="41"/>
      <c r="G3431" s="41"/>
      <c r="H3431" s="41"/>
      <c r="I3431" s="41"/>
      <c r="J3431" s="41"/>
      <c r="K3431" s="41"/>
      <c r="L3431" s="41"/>
      <c r="M3431" s="41"/>
      <c r="N3431" s="41"/>
      <c r="O3431" s="41"/>
      <c r="P3431" s="28"/>
    </row>
    <row r="3432" customFormat="1" spans="1:16">
      <c r="A3432" s="39"/>
      <c r="B3432" s="40"/>
      <c r="C3432" s="41"/>
      <c r="D3432" s="41"/>
      <c r="E3432" s="41"/>
      <c r="F3432" s="41"/>
      <c r="G3432" s="41"/>
      <c r="H3432" s="41"/>
      <c r="I3432" s="41"/>
      <c r="J3432" s="41"/>
      <c r="K3432" s="41"/>
      <c r="L3432" s="41"/>
      <c r="M3432" s="41"/>
      <c r="N3432" s="41"/>
      <c r="O3432" s="41"/>
      <c r="P3432" s="28"/>
    </row>
    <row r="3433" customFormat="1" spans="1:16">
      <c r="A3433" s="39"/>
      <c r="B3433" s="40"/>
      <c r="C3433" s="41"/>
      <c r="D3433" s="41"/>
      <c r="E3433" s="41"/>
      <c r="F3433" s="41"/>
      <c r="G3433" s="41"/>
      <c r="H3433" s="41"/>
      <c r="I3433" s="41"/>
      <c r="J3433" s="41"/>
      <c r="K3433" s="41"/>
      <c r="L3433" s="41"/>
      <c r="M3433" s="41"/>
      <c r="N3433" s="41"/>
      <c r="O3433" s="41"/>
      <c r="P3433" s="28"/>
    </row>
    <row r="3434" customFormat="1" spans="1:16">
      <c r="A3434" s="39"/>
      <c r="B3434" s="40"/>
      <c r="C3434" s="41"/>
      <c r="D3434" s="41"/>
      <c r="E3434" s="41"/>
      <c r="F3434" s="41"/>
      <c r="G3434" s="41"/>
      <c r="H3434" s="41"/>
      <c r="I3434" s="41"/>
      <c r="J3434" s="41"/>
      <c r="K3434" s="41"/>
      <c r="L3434" s="41"/>
      <c r="M3434" s="41"/>
      <c r="N3434" s="41"/>
      <c r="O3434" s="41"/>
      <c r="P3434" s="28"/>
    </row>
    <row r="3435" customFormat="1" spans="1:16">
      <c r="A3435" s="39"/>
      <c r="B3435" s="40"/>
      <c r="C3435" s="41"/>
      <c r="D3435" s="41"/>
      <c r="E3435" s="41"/>
      <c r="F3435" s="41"/>
      <c r="G3435" s="41"/>
      <c r="H3435" s="41"/>
      <c r="I3435" s="41"/>
      <c r="J3435" s="41"/>
      <c r="K3435" s="41"/>
      <c r="L3435" s="41"/>
      <c r="M3435" s="41"/>
      <c r="N3435" s="41"/>
      <c r="O3435" s="41"/>
      <c r="P3435" s="28"/>
    </row>
    <row r="3436" customFormat="1" spans="1:16">
      <c r="A3436" s="39"/>
      <c r="B3436" s="40"/>
      <c r="C3436" s="41"/>
      <c r="D3436" s="41"/>
      <c r="E3436" s="41"/>
      <c r="F3436" s="41"/>
      <c r="G3436" s="41"/>
      <c r="H3436" s="41"/>
      <c r="I3436" s="41"/>
      <c r="J3436" s="41"/>
      <c r="K3436" s="41"/>
      <c r="L3436" s="41"/>
      <c r="M3436" s="41"/>
      <c r="N3436" s="41"/>
      <c r="O3436" s="41"/>
      <c r="P3436" s="28"/>
    </row>
    <row r="3437" customFormat="1" spans="1:16">
      <c r="A3437" s="39"/>
      <c r="B3437" s="40"/>
      <c r="C3437" s="41"/>
      <c r="D3437" s="41"/>
      <c r="E3437" s="41"/>
      <c r="F3437" s="41"/>
      <c r="G3437" s="41"/>
      <c r="H3437" s="41"/>
      <c r="I3437" s="41"/>
      <c r="J3437" s="41"/>
      <c r="K3437" s="41"/>
      <c r="L3437" s="41"/>
      <c r="M3437" s="41"/>
      <c r="N3437" s="41"/>
      <c r="O3437" s="41"/>
      <c r="P3437" s="28"/>
    </row>
    <row r="3438" customFormat="1" spans="1:16">
      <c r="A3438" s="39"/>
      <c r="B3438" s="40"/>
      <c r="C3438" s="41"/>
      <c r="D3438" s="41"/>
      <c r="E3438" s="41"/>
      <c r="F3438" s="41"/>
      <c r="G3438" s="41"/>
      <c r="H3438" s="41"/>
      <c r="I3438" s="41"/>
      <c r="J3438" s="41"/>
      <c r="K3438" s="41"/>
      <c r="L3438" s="41"/>
      <c r="M3438" s="41"/>
      <c r="N3438" s="41"/>
      <c r="O3438" s="41"/>
      <c r="P3438" s="28"/>
    </row>
    <row r="3439" customFormat="1" spans="1:16">
      <c r="A3439" s="39"/>
      <c r="B3439" s="40"/>
      <c r="C3439" s="41"/>
      <c r="D3439" s="41"/>
      <c r="E3439" s="41"/>
      <c r="F3439" s="41"/>
      <c r="G3439" s="41"/>
      <c r="H3439" s="41"/>
      <c r="I3439" s="41"/>
      <c r="J3439" s="41"/>
      <c r="K3439" s="41"/>
      <c r="L3439" s="41"/>
      <c r="M3439" s="41"/>
      <c r="N3439" s="41"/>
      <c r="O3439" s="41"/>
      <c r="P3439" s="28"/>
    </row>
    <row r="3440" customFormat="1" spans="1:16">
      <c r="A3440" s="39"/>
      <c r="B3440" s="40"/>
      <c r="C3440" s="41"/>
      <c r="D3440" s="41"/>
      <c r="E3440" s="41"/>
      <c r="F3440" s="41"/>
      <c r="G3440" s="41"/>
      <c r="H3440" s="41"/>
      <c r="I3440" s="41"/>
      <c r="J3440" s="41"/>
      <c r="K3440" s="41"/>
      <c r="L3440" s="41"/>
      <c r="M3440" s="41"/>
      <c r="N3440" s="41"/>
      <c r="O3440" s="41"/>
      <c r="P3440" s="28"/>
    </row>
    <row r="3441" customFormat="1" spans="1:16">
      <c r="A3441" s="39"/>
      <c r="B3441" s="40"/>
      <c r="C3441" s="41"/>
      <c r="D3441" s="41"/>
      <c r="E3441" s="41"/>
      <c r="F3441" s="41"/>
      <c r="G3441" s="41"/>
      <c r="H3441" s="41"/>
      <c r="I3441" s="41"/>
      <c r="J3441" s="41"/>
      <c r="K3441" s="41"/>
      <c r="L3441" s="41"/>
      <c r="M3441" s="41"/>
      <c r="N3441" s="41"/>
      <c r="O3441" s="41"/>
      <c r="P3441" s="28"/>
    </row>
    <row r="3442" customFormat="1" spans="1:16">
      <c r="A3442" s="39"/>
      <c r="B3442" s="40"/>
      <c r="C3442" s="41"/>
      <c r="D3442" s="41"/>
      <c r="E3442" s="41"/>
      <c r="F3442" s="41"/>
      <c r="G3442" s="41"/>
      <c r="H3442" s="41"/>
      <c r="I3442" s="41"/>
      <c r="J3442" s="41"/>
      <c r="K3442" s="41"/>
      <c r="L3442" s="41"/>
      <c r="M3442" s="41"/>
      <c r="N3442" s="41"/>
      <c r="O3442" s="41"/>
      <c r="P3442" s="28"/>
    </row>
    <row r="3443" customFormat="1" spans="1:16">
      <c r="A3443" s="39"/>
      <c r="B3443" s="40"/>
      <c r="C3443" s="41"/>
      <c r="D3443" s="41"/>
      <c r="E3443" s="41"/>
      <c r="F3443" s="41"/>
      <c r="G3443" s="41"/>
      <c r="H3443" s="41"/>
      <c r="I3443" s="41"/>
      <c r="J3443" s="41"/>
      <c r="K3443" s="41"/>
      <c r="L3443" s="41"/>
      <c r="M3443" s="41"/>
      <c r="N3443" s="41"/>
      <c r="O3443" s="41"/>
      <c r="P3443" s="28"/>
    </row>
    <row r="3444" customFormat="1" spans="1:16">
      <c r="A3444" s="39"/>
      <c r="B3444" s="40"/>
      <c r="C3444" s="41"/>
      <c r="D3444" s="41"/>
      <c r="E3444" s="41"/>
      <c r="F3444" s="41"/>
      <c r="G3444" s="41"/>
      <c r="H3444" s="41"/>
      <c r="I3444" s="41"/>
      <c r="J3444" s="41"/>
      <c r="K3444" s="41"/>
      <c r="L3444" s="41"/>
      <c r="M3444" s="41"/>
      <c r="N3444" s="41"/>
      <c r="O3444" s="41"/>
      <c r="P3444" s="28"/>
    </row>
    <row r="3445" customFormat="1" spans="1:16">
      <c r="A3445" s="39"/>
      <c r="B3445" s="40"/>
      <c r="C3445" s="41"/>
      <c r="D3445" s="41"/>
      <c r="E3445" s="41"/>
      <c r="F3445" s="41"/>
      <c r="G3445" s="41"/>
      <c r="H3445" s="41"/>
      <c r="I3445" s="41"/>
      <c r="J3445" s="41"/>
      <c r="K3445" s="41"/>
      <c r="L3445" s="41"/>
      <c r="M3445" s="41"/>
      <c r="N3445" s="41"/>
      <c r="O3445" s="41"/>
      <c r="P3445" s="28"/>
    </row>
    <row r="3446" customFormat="1" spans="1:16">
      <c r="A3446" s="39"/>
      <c r="B3446" s="40"/>
      <c r="C3446" s="41"/>
      <c r="D3446" s="41"/>
      <c r="E3446" s="41"/>
      <c r="F3446" s="41"/>
      <c r="G3446" s="41"/>
      <c r="H3446" s="41"/>
      <c r="I3446" s="41"/>
      <c r="J3446" s="41"/>
      <c r="K3446" s="41"/>
      <c r="L3446" s="41"/>
      <c r="M3446" s="41"/>
      <c r="N3446" s="41"/>
      <c r="O3446" s="41"/>
      <c r="P3446" s="28"/>
    </row>
    <row r="3447" customFormat="1" spans="1:16">
      <c r="A3447" s="39"/>
      <c r="B3447" s="40"/>
      <c r="C3447" s="41"/>
      <c r="D3447" s="41"/>
      <c r="E3447" s="41"/>
      <c r="F3447" s="41"/>
      <c r="G3447" s="41"/>
      <c r="H3447" s="41"/>
      <c r="I3447" s="41"/>
      <c r="J3447" s="41"/>
      <c r="K3447" s="41"/>
      <c r="L3447" s="41"/>
      <c r="M3447" s="41"/>
      <c r="N3447" s="41"/>
      <c r="O3447" s="41"/>
      <c r="P3447" s="28"/>
    </row>
    <row r="3448" customFormat="1" spans="1:16">
      <c r="A3448" s="39"/>
      <c r="B3448" s="40"/>
      <c r="C3448" s="41"/>
      <c r="D3448" s="41"/>
      <c r="E3448" s="41"/>
      <c r="F3448" s="41"/>
      <c r="G3448" s="41"/>
      <c r="H3448" s="41"/>
      <c r="I3448" s="41"/>
      <c r="J3448" s="41"/>
      <c r="K3448" s="41"/>
      <c r="L3448" s="41"/>
      <c r="M3448" s="41"/>
      <c r="N3448" s="41"/>
      <c r="O3448" s="41"/>
      <c r="P3448" s="28"/>
    </row>
    <row r="3449" customFormat="1" spans="1:16">
      <c r="A3449" s="39"/>
      <c r="B3449" s="40"/>
      <c r="C3449" s="41"/>
      <c r="D3449" s="41"/>
      <c r="E3449" s="41"/>
      <c r="F3449" s="41"/>
      <c r="G3449" s="41"/>
      <c r="H3449" s="41"/>
      <c r="I3449" s="41"/>
      <c r="J3449" s="41"/>
      <c r="K3449" s="41"/>
      <c r="L3449" s="41"/>
      <c r="M3449" s="41"/>
      <c r="N3449" s="41"/>
      <c r="O3449" s="41"/>
      <c r="P3449" s="28"/>
    </row>
    <row r="3450" customFormat="1" spans="1:16">
      <c r="A3450" s="39"/>
      <c r="B3450" s="40"/>
      <c r="C3450" s="41"/>
      <c r="D3450" s="41"/>
      <c r="E3450" s="41"/>
      <c r="F3450" s="41"/>
      <c r="G3450" s="41"/>
      <c r="H3450" s="41"/>
      <c r="I3450" s="41"/>
      <c r="J3450" s="41"/>
      <c r="K3450" s="41"/>
      <c r="L3450" s="41"/>
      <c r="M3450" s="41"/>
      <c r="N3450" s="41"/>
      <c r="O3450" s="41"/>
      <c r="P3450" s="28"/>
    </row>
    <row r="3451" customFormat="1" spans="1:16">
      <c r="A3451" s="39"/>
      <c r="B3451" s="40"/>
      <c r="C3451" s="41"/>
      <c r="D3451" s="41"/>
      <c r="E3451" s="41"/>
      <c r="F3451" s="41"/>
      <c r="G3451" s="41"/>
      <c r="H3451" s="41"/>
      <c r="I3451" s="41"/>
      <c r="J3451" s="41"/>
      <c r="K3451" s="41"/>
      <c r="L3451" s="41"/>
      <c r="M3451" s="41"/>
      <c r="N3451" s="41"/>
      <c r="O3451" s="41"/>
      <c r="P3451" s="28"/>
    </row>
    <row r="3452" customFormat="1" spans="1:16">
      <c r="A3452" s="39"/>
      <c r="B3452" s="40"/>
      <c r="C3452" s="41"/>
      <c r="D3452" s="41"/>
      <c r="E3452" s="41"/>
      <c r="F3452" s="41"/>
      <c r="G3452" s="41"/>
      <c r="H3452" s="41"/>
      <c r="I3452" s="41"/>
      <c r="J3452" s="41"/>
      <c r="K3452" s="41"/>
      <c r="L3452" s="41"/>
      <c r="M3452" s="41"/>
      <c r="N3452" s="41"/>
      <c r="O3452" s="41"/>
      <c r="P3452" s="28"/>
    </row>
    <row r="3453" customFormat="1" spans="1:16">
      <c r="A3453" s="39"/>
      <c r="B3453" s="40"/>
      <c r="C3453" s="41"/>
      <c r="D3453" s="41"/>
      <c r="E3453" s="41"/>
      <c r="F3453" s="41"/>
      <c r="G3453" s="41"/>
      <c r="H3453" s="41"/>
      <c r="I3453" s="41"/>
      <c r="J3453" s="41"/>
      <c r="K3453" s="41"/>
      <c r="L3453" s="41"/>
      <c r="M3453" s="41"/>
      <c r="N3453" s="41"/>
      <c r="O3453" s="41"/>
      <c r="P3453" s="28"/>
    </row>
    <row r="3454" customFormat="1" spans="1:16">
      <c r="A3454" s="39"/>
      <c r="B3454" s="40"/>
      <c r="C3454" s="41"/>
      <c r="D3454" s="41"/>
      <c r="E3454" s="41"/>
      <c r="F3454" s="41"/>
      <c r="G3454" s="41"/>
      <c r="H3454" s="41"/>
      <c r="I3454" s="41"/>
      <c r="J3454" s="41"/>
      <c r="K3454" s="41"/>
      <c r="L3454" s="41"/>
      <c r="M3454" s="41"/>
      <c r="N3454" s="41"/>
      <c r="O3454" s="41"/>
      <c r="P3454" s="28"/>
    </row>
    <row r="3455" customFormat="1" spans="1:16">
      <c r="A3455" s="39"/>
      <c r="B3455" s="40"/>
      <c r="C3455" s="41"/>
      <c r="D3455" s="41"/>
      <c r="E3455" s="41"/>
      <c r="F3455" s="41"/>
      <c r="G3455" s="41"/>
      <c r="H3455" s="41"/>
      <c r="I3455" s="41"/>
      <c r="J3455" s="41"/>
      <c r="K3455" s="41"/>
      <c r="L3455" s="41"/>
      <c r="M3455" s="41"/>
      <c r="N3455" s="41"/>
      <c r="O3455" s="41"/>
      <c r="P3455" s="28"/>
    </row>
    <row r="3456" customFormat="1" spans="1:16">
      <c r="A3456" s="39"/>
      <c r="B3456" s="40"/>
      <c r="C3456" s="41"/>
      <c r="D3456" s="41"/>
      <c r="E3456" s="41"/>
      <c r="F3456" s="41"/>
      <c r="G3456" s="41"/>
      <c r="H3456" s="41"/>
      <c r="I3456" s="41"/>
      <c r="J3456" s="41"/>
      <c r="K3456" s="41"/>
      <c r="L3456" s="41"/>
      <c r="M3456" s="41"/>
      <c r="N3456" s="41"/>
      <c r="O3456" s="41"/>
      <c r="P3456" s="28"/>
    </row>
    <row r="3457" customFormat="1" spans="1:16">
      <c r="A3457" s="39"/>
      <c r="B3457" s="40"/>
      <c r="C3457" s="41"/>
      <c r="D3457" s="41"/>
      <c r="E3457" s="41"/>
      <c r="F3457" s="41"/>
      <c r="G3457" s="41"/>
      <c r="H3457" s="41"/>
      <c r="I3457" s="41"/>
      <c r="J3457" s="41"/>
      <c r="K3457" s="41"/>
      <c r="L3457" s="41"/>
      <c r="M3457" s="41"/>
      <c r="N3457" s="41"/>
      <c r="O3457" s="41"/>
      <c r="P3457" s="28"/>
    </row>
    <row r="3458" customFormat="1" spans="1:16">
      <c r="A3458" s="39"/>
      <c r="B3458" s="40"/>
      <c r="C3458" s="41"/>
      <c r="D3458" s="41"/>
      <c r="E3458" s="41"/>
      <c r="F3458" s="41"/>
      <c r="G3458" s="41"/>
      <c r="H3458" s="41"/>
      <c r="I3458" s="41"/>
      <c r="J3458" s="41"/>
      <c r="K3458" s="41"/>
      <c r="L3458" s="41"/>
      <c r="M3458" s="41"/>
      <c r="N3458" s="41"/>
      <c r="O3458" s="41"/>
      <c r="P3458" s="28"/>
    </row>
    <row r="3459" customFormat="1" spans="1:16">
      <c r="A3459" s="39"/>
      <c r="B3459" s="40"/>
      <c r="C3459" s="41"/>
      <c r="D3459" s="41"/>
      <c r="E3459" s="41"/>
      <c r="F3459" s="41"/>
      <c r="G3459" s="41"/>
      <c r="H3459" s="41"/>
      <c r="I3459" s="41"/>
      <c r="J3459" s="41"/>
      <c r="K3459" s="41"/>
      <c r="L3459" s="41"/>
      <c r="M3459" s="41"/>
      <c r="N3459" s="41"/>
      <c r="O3459" s="41"/>
      <c r="P3459" s="28"/>
    </row>
    <row r="3460" customFormat="1" spans="1:16">
      <c r="A3460" s="39"/>
      <c r="B3460" s="40"/>
      <c r="C3460" s="41"/>
      <c r="D3460" s="41"/>
      <c r="E3460" s="41"/>
      <c r="F3460" s="41"/>
      <c r="G3460" s="41"/>
      <c r="H3460" s="41"/>
      <c r="I3460" s="41"/>
      <c r="J3460" s="41"/>
      <c r="K3460" s="41"/>
      <c r="L3460" s="41"/>
      <c r="M3460" s="41"/>
      <c r="N3460" s="41"/>
      <c r="O3460" s="41"/>
      <c r="P3460" s="28"/>
    </row>
    <row r="3461" customFormat="1" spans="1:16">
      <c r="A3461" s="39"/>
      <c r="B3461" s="40"/>
      <c r="C3461" s="41"/>
      <c r="D3461" s="41"/>
      <c r="E3461" s="41"/>
      <c r="F3461" s="41"/>
      <c r="G3461" s="41"/>
      <c r="H3461" s="41"/>
      <c r="I3461" s="41"/>
      <c r="J3461" s="41"/>
      <c r="K3461" s="41"/>
      <c r="L3461" s="41"/>
      <c r="M3461" s="41"/>
      <c r="N3461" s="41"/>
      <c r="O3461" s="41"/>
      <c r="P3461" s="28"/>
    </row>
    <row r="3462" customFormat="1" spans="1:16">
      <c r="A3462" s="39"/>
      <c r="B3462" s="40"/>
      <c r="C3462" s="41"/>
      <c r="D3462" s="41"/>
      <c r="E3462" s="41"/>
      <c r="F3462" s="41"/>
      <c r="G3462" s="41"/>
      <c r="H3462" s="41"/>
      <c r="I3462" s="41"/>
      <c r="J3462" s="41"/>
      <c r="K3462" s="41"/>
      <c r="L3462" s="41"/>
      <c r="M3462" s="41"/>
      <c r="N3462" s="41"/>
      <c r="O3462" s="41"/>
      <c r="P3462" s="28"/>
    </row>
    <row r="3463" customFormat="1" spans="1:16">
      <c r="A3463" s="39"/>
      <c r="B3463" s="40"/>
      <c r="C3463" s="41"/>
      <c r="D3463" s="41"/>
      <c r="E3463" s="41"/>
      <c r="F3463" s="41"/>
      <c r="G3463" s="41"/>
      <c r="H3463" s="41"/>
      <c r="I3463" s="41"/>
      <c r="J3463" s="41"/>
      <c r="K3463" s="41"/>
      <c r="L3463" s="41"/>
      <c r="M3463" s="41"/>
      <c r="N3463" s="41"/>
      <c r="O3463" s="41"/>
      <c r="P3463" s="28"/>
    </row>
    <row r="3464" customFormat="1" spans="1:16">
      <c r="A3464" s="39"/>
      <c r="B3464" s="40"/>
      <c r="C3464" s="41"/>
      <c r="D3464" s="41"/>
      <c r="E3464" s="41"/>
      <c r="F3464" s="41"/>
      <c r="G3464" s="41"/>
      <c r="H3464" s="41"/>
      <c r="I3464" s="41"/>
      <c r="J3464" s="41"/>
      <c r="K3464" s="41"/>
      <c r="L3464" s="41"/>
      <c r="M3464" s="41"/>
      <c r="N3464" s="41"/>
      <c r="O3464" s="41"/>
      <c r="P3464" s="28"/>
    </row>
    <row r="3465" customFormat="1" spans="1:16">
      <c r="A3465" s="39"/>
      <c r="B3465" s="40"/>
      <c r="C3465" s="41"/>
      <c r="D3465" s="41"/>
      <c r="E3465" s="41"/>
      <c r="F3465" s="41"/>
      <c r="G3465" s="41"/>
      <c r="H3465" s="41"/>
      <c r="I3465" s="41"/>
      <c r="J3465" s="41"/>
      <c r="K3465" s="41"/>
      <c r="L3465" s="41"/>
      <c r="M3465" s="41"/>
      <c r="N3465" s="41"/>
      <c r="O3465" s="41"/>
      <c r="P3465" s="28"/>
    </row>
    <row r="3466" customFormat="1" spans="1:16">
      <c r="A3466" s="39"/>
      <c r="B3466" s="40"/>
      <c r="C3466" s="41"/>
      <c r="D3466" s="41"/>
      <c r="E3466" s="41"/>
      <c r="F3466" s="41"/>
      <c r="G3466" s="41"/>
      <c r="H3466" s="41"/>
      <c r="I3466" s="41"/>
      <c r="J3466" s="41"/>
      <c r="K3466" s="41"/>
      <c r="L3466" s="41"/>
      <c r="M3466" s="41"/>
      <c r="N3466" s="41"/>
      <c r="O3466" s="41"/>
      <c r="P3466" s="28"/>
    </row>
    <row r="3467" customFormat="1" spans="1:16">
      <c r="A3467" s="39"/>
      <c r="B3467" s="40"/>
      <c r="C3467" s="41"/>
      <c r="D3467" s="41"/>
      <c r="E3467" s="41"/>
      <c r="F3467" s="41"/>
      <c r="G3467" s="41"/>
      <c r="H3467" s="41"/>
      <c r="I3467" s="41"/>
      <c r="J3467" s="41"/>
      <c r="K3467" s="41"/>
      <c r="L3467" s="41"/>
      <c r="M3467" s="41"/>
      <c r="N3467" s="41"/>
      <c r="O3467" s="41"/>
      <c r="P3467" s="28"/>
    </row>
    <row r="3468" customFormat="1" spans="1:16">
      <c r="A3468" s="39"/>
      <c r="B3468" s="40"/>
      <c r="C3468" s="41"/>
      <c r="D3468" s="41"/>
      <c r="E3468" s="41"/>
      <c r="F3468" s="41"/>
      <c r="G3468" s="41"/>
      <c r="H3468" s="41"/>
      <c r="I3468" s="41"/>
      <c r="J3468" s="41"/>
      <c r="K3468" s="41"/>
      <c r="L3468" s="41"/>
      <c r="M3468" s="41"/>
      <c r="N3468" s="41"/>
      <c r="O3468" s="41"/>
      <c r="P3468" s="28"/>
    </row>
    <row r="3469" customFormat="1" spans="1:16">
      <c r="A3469" s="39"/>
      <c r="B3469" s="40"/>
      <c r="C3469" s="41"/>
      <c r="D3469" s="41"/>
      <c r="E3469" s="41"/>
      <c r="F3469" s="41"/>
      <c r="G3469" s="41"/>
      <c r="H3469" s="41"/>
      <c r="I3469" s="41"/>
      <c r="J3469" s="41"/>
      <c r="K3469" s="41"/>
      <c r="L3469" s="41"/>
      <c r="M3469" s="41"/>
      <c r="N3469" s="41"/>
      <c r="O3469" s="41"/>
      <c r="P3469" s="28"/>
    </row>
    <row r="3470" customFormat="1" spans="1:16">
      <c r="A3470" s="39"/>
      <c r="B3470" s="40"/>
      <c r="C3470" s="41"/>
      <c r="D3470" s="41"/>
      <c r="E3470" s="41"/>
      <c r="F3470" s="41"/>
      <c r="G3470" s="41"/>
      <c r="H3470" s="41"/>
      <c r="I3470" s="41"/>
      <c r="J3470" s="41"/>
      <c r="K3470" s="41"/>
      <c r="L3470" s="41"/>
      <c r="M3470" s="41"/>
      <c r="N3470" s="41"/>
      <c r="O3470" s="41"/>
      <c r="P3470" s="28"/>
    </row>
    <row r="3471" customFormat="1" spans="1:16">
      <c r="A3471" s="39"/>
      <c r="B3471" s="40"/>
      <c r="C3471" s="41"/>
      <c r="D3471" s="41"/>
      <c r="E3471" s="41"/>
      <c r="F3471" s="41"/>
      <c r="G3471" s="41"/>
      <c r="H3471" s="41"/>
      <c r="I3471" s="41"/>
      <c r="J3471" s="41"/>
      <c r="K3471" s="41"/>
      <c r="L3471" s="41"/>
      <c r="M3471" s="41"/>
      <c r="N3471" s="41"/>
      <c r="O3471" s="41"/>
      <c r="P3471" s="28"/>
    </row>
    <row r="3472" customFormat="1" spans="1:16">
      <c r="A3472" s="39"/>
      <c r="B3472" s="40"/>
      <c r="C3472" s="41"/>
      <c r="D3472" s="41"/>
      <c r="E3472" s="41"/>
      <c r="F3472" s="41"/>
      <c r="G3472" s="41"/>
      <c r="H3472" s="41"/>
      <c r="I3472" s="41"/>
      <c r="J3472" s="41"/>
      <c r="K3472" s="41"/>
      <c r="L3472" s="41"/>
      <c r="M3472" s="41"/>
      <c r="N3472" s="41"/>
      <c r="O3472" s="41"/>
      <c r="P3472" s="28"/>
    </row>
    <row r="3473" customFormat="1" spans="1:16">
      <c r="A3473" s="39"/>
      <c r="B3473" s="40"/>
      <c r="C3473" s="41"/>
      <c r="D3473" s="41"/>
      <c r="E3473" s="41"/>
      <c r="F3473" s="41"/>
      <c r="G3473" s="41"/>
      <c r="H3473" s="41"/>
      <c r="I3473" s="41"/>
      <c r="J3473" s="41"/>
      <c r="K3473" s="41"/>
      <c r="L3473" s="41"/>
      <c r="M3473" s="41"/>
      <c r="N3473" s="41"/>
      <c r="O3473" s="41"/>
      <c r="P3473" s="28"/>
    </row>
    <row r="3474" customFormat="1" spans="1:16">
      <c r="A3474" s="39"/>
      <c r="B3474" s="40"/>
      <c r="C3474" s="41"/>
      <c r="D3474" s="41"/>
      <c r="E3474" s="41"/>
      <c r="F3474" s="41"/>
      <c r="G3474" s="41"/>
      <c r="H3474" s="41"/>
      <c r="I3474" s="41"/>
      <c r="J3474" s="41"/>
      <c r="K3474" s="41"/>
      <c r="L3474" s="41"/>
      <c r="M3474" s="41"/>
      <c r="N3474" s="41"/>
      <c r="O3474" s="41"/>
      <c r="P3474" s="28"/>
    </row>
    <row r="3475" customFormat="1" spans="1:16">
      <c r="A3475" s="39"/>
      <c r="B3475" s="40"/>
      <c r="C3475" s="41"/>
      <c r="D3475" s="41"/>
      <c r="E3475" s="41"/>
      <c r="F3475" s="41"/>
      <c r="G3475" s="41"/>
      <c r="H3475" s="41"/>
      <c r="I3475" s="41"/>
      <c r="J3475" s="41"/>
      <c r="K3475" s="41"/>
      <c r="L3475" s="41"/>
      <c r="M3475" s="41"/>
      <c r="N3475" s="41"/>
      <c r="O3475" s="41"/>
      <c r="P3475" s="28"/>
    </row>
    <row r="3476" customFormat="1" spans="1:16">
      <c r="A3476" s="39"/>
      <c r="B3476" s="40"/>
      <c r="C3476" s="41"/>
      <c r="D3476" s="41"/>
      <c r="E3476" s="41"/>
      <c r="F3476" s="41"/>
      <c r="G3476" s="41"/>
      <c r="H3476" s="41"/>
      <c r="I3476" s="41"/>
      <c r="J3476" s="41"/>
      <c r="K3476" s="41"/>
      <c r="L3476" s="41"/>
      <c r="M3476" s="41"/>
      <c r="N3476" s="41"/>
      <c r="O3476" s="41"/>
      <c r="P3476" s="28"/>
    </row>
    <row r="3477" customFormat="1" spans="1:16">
      <c r="A3477" s="39"/>
      <c r="B3477" s="40"/>
      <c r="C3477" s="41"/>
      <c r="D3477" s="41"/>
      <c r="E3477" s="41"/>
      <c r="F3477" s="41"/>
      <c r="G3477" s="41"/>
      <c r="H3477" s="41"/>
      <c r="I3477" s="41"/>
      <c r="J3477" s="41"/>
      <c r="K3477" s="41"/>
      <c r="L3477" s="41"/>
      <c r="M3477" s="41"/>
      <c r="N3477" s="41"/>
      <c r="O3477" s="41"/>
      <c r="P3477" s="28"/>
    </row>
    <row r="3478" customFormat="1" spans="1:16">
      <c r="A3478" s="39"/>
      <c r="B3478" s="40"/>
      <c r="C3478" s="41"/>
      <c r="D3478" s="41"/>
      <c r="E3478" s="41"/>
      <c r="F3478" s="41"/>
      <c r="G3478" s="41"/>
      <c r="H3478" s="41"/>
      <c r="I3478" s="41"/>
      <c r="J3478" s="41"/>
      <c r="K3478" s="41"/>
      <c r="L3478" s="41"/>
      <c r="M3478" s="41"/>
      <c r="N3478" s="41"/>
      <c r="O3478" s="41"/>
      <c r="P3478" s="28"/>
    </row>
    <row r="3479" customFormat="1" spans="1:16">
      <c r="A3479" s="39"/>
      <c r="B3479" s="40"/>
      <c r="C3479" s="41"/>
      <c r="D3479" s="41"/>
      <c r="E3479" s="41"/>
      <c r="F3479" s="41"/>
      <c r="G3479" s="41"/>
      <c r="H3479" s="41"/>
      <c r="I3479" s="41"/>
      <c r="J3479" s="41"/>
      <c r="K3479" s="41"/>
      <c r="L3479" s="41"/>
      <c r="M3479" s="41"/>
      <c r="N3479" s="41"/>
      <c r="O3479" s="41"/>
      <c r="P3479" s="28"/>
    </row>
    <row r="3480" customFormat="1" spans="1:16">
      <c r="A3480" s="39"/>
      <c r="B3480" s="40"/>
      <c r="C3480" s="41"/>
      <c r="D3480" s="41"/>
      <c r="E3480" s="41"/>
      <c r="F3480" s="41"/>
      <c r="G3480" s="41"/>
      <c r="H3480" s="41"/>
      <c r="I3480" s="41"/>
      <c r="J3480" s="41"/>
      <c r="K3480" s="41"/>
      <c r="L3480" s="41"/>
      <c r="M3480" s="41"/>
      <c r="N3480" s="41"/>
      <c r="O3480" s="41"/>
      <c r="P3480" s="28"/>
    </row>
    <row r="3481" customFormat="1" spans="1:16">
      <c r="A3481" s="39"/>
      <c r="B3481" s="40"/>
      <c r="C3481" s="41"/>
      <c r="D3481" s="41"/>
      <c r="E3481" s="41"/>
      <c r="F3481" s="41"/>
      <c r="G3481" s="41"/>
      <c r="H3481" s="41"/>
      <c r="I3481" s="41"/>
      <c r="J3481" s="41"/>
      <c r="K3481" s="41"/>
      <c r="L3481" s="41"/>
      <c r="M3481" s="41"/>
      <c r="N3481" s="41"/>
      <c r="O3481" s="41"/>
      <c r="P3481" s="28"/>
    </row>
    <row r="3482" customFormat="1" spans="1:16">
      <c r="A3482" s="39"/>
      <c r="B3482" s="40"/>
      <c r="C3482" s="41"/>
      <c r="D3482" s="41"/>
      <c r="E3482" s="41"/>
      <c r="F3482" s="41"/>
      <c r="G3482" s="41"/>
      <c r="H3482" s="41"/>
      <c r="I3482" s="41"/>
      <c r="J3482" s="41"/>
      <c r="K3482" s="41"/>
      <c r="L3482" s="41"/>
      <c r="M3482" s="41"/>
      <c r="N3482" s="41"/>
      <c r="O3482" s="41"/>
      <c r="P3482" s="28"/>
    </row>
    <row r="3483" customFormat="1" spans="1:16">
      <c r="A3483" s="39"/>
      <c r="B3483" s="40"/>
      <c r="C3483" s="41"/>
      <c r="D3483" s="41"/>
      <c r="E3483" s="41"/>
      <c r="F3483" s="41"/>
      <c r="G3483" s="41"/>
      <c r="H3483" s="41"/>
      <c r="I3483" s="41"/>
      <c r="J3483" s="41"/>
      <c r="K3483" s="41"/>
      <c r="L3483" s="41"/>
      <c r="M3483" s="41"/>
      <c r="N3483" s="41"/>
      <c r="O3483" s="41"/>
      <c r="P3483" s="28"/>
    </row>
    <row r="3484" customFormat="1" spans="1:16">
      <c r="A3484" s="39"/>
      <c r="B3484" s="40"/>
      <c r="C3484" s="41"/>
      <c r="D3484" s="41"/>
      <c r="E3484" s="41"/>
      <c r="F3484" s="41"/>
      <c r="G3484" s="41"/>
      <c r="H3484" s="41"/>
      <c r="I3484" s="41"/>
      <c r="J3484" s="41"/>
      <c r="K3484" s="41"/>
      <c r="L3484" s="41"/>
      <c r="M3484" s="41"/>
      <c r="N3484" s="41"/>
      <c r="O3484" s="41"/>
      <c r="P3484" s="28"/>
    </row>
    <row r="3485" customFormat="1" spans="1:16">
      <c r="A3485" s="39"/>
      <c r="B3485" s="40"/>
      <c r="C3485" s="41"/>
      <c r="D3485" s="41"/>
      <c r="E3485" s="41"/>
      <c r="F3485" s="41"/>
      <c r="G3485" s="41"/>
      <c r="H3485" s="41"/>
      <c r="I3485" s="41"/>
      <c r="J3485" s="41"/>
      <c r="K3485" s="41"/>
      <c r="L3485" s="41"/>
      <c r="M3485" s="41"/>
      <c r="N3485" s="41"/>
      <c r="O3485" s="41"/>
      <c r="P3485" s="28"/>
    </row>
    <row r="3486" customFormat="1" spans="1:16">
      <c r="A3486" s="39"/>
      <c r="B3486" s="40"/>
      <c r="C3486" s="41"/>
      <c r="D3486" s="41"/>
      <c r="E3486" s="41"/>
      <c r="F3486" s="41"/>
      <c r="G3486" s="41"/>
      <c r="H3486" s="41"/>
      <c r="I3486" s="41"/>
      <c r="J3486" s="41"/>
      <c r="K3486" s="41"/>
      <c r="L3486" s="41"/>
      <c r="M3486" s="41"/>
      <c r="N3486" s="41"/>
      <c r="O3486" s="41"/>
      <c r="P3486" s="28"/>
    </row>
    <row r="3487" customFormat="1" spans="1:16">
      <c r="A3487" s="39"/>
      <c r="B3487" s="40"/>
      <c r="C3487" s="41"/>
      <c r="D3487" s="41"/>
      <c r="E3487" s="41"/>
      <c r="F3487" s="41"/>
      <c r="G3487" s="41"/>
      <c r="H3487" s="41"/>
      <c r="I3487" s="41"/>
      <c r="J3487" s="41"/>
      <c r="K3487" s="41"/>
      <c r="L3487" s="41"/>
      <c r="M3487" s="41"/>
      <c r="N3487" s="41"/>
      <c r="O3487" s="41"/>
      <c r="P3487" s="28"/>
    </row>
    <row r="3488" customFormat="1" spans="1:16">
      <c r="A3488" s="39"/>
      <c r="B3488" s="40"/>
      <c r="C3488" s="41"/>
      <c r="D3488" s="41"/>
      <c r="E3488" s="41"/>
      <c r="F3488" s="41"/>
      <c r="G3488" s="41"/>
      <c r="H3488" s="41"/>
      <c r="I3488" s="41"/>
      <c r="J3488" s="41"/>
      <c r="K3488" s="41"/>
      <c r="L3488" s="41"/>
      <c r="M3488" s="41"/>
      <c r="N3488" s="41"/>
      <c r="O3488" s="41"/>
      <c r="P3488" s="28"/>
    </row>
    <row r="3489" customFormat="1" spans="1:16">
      <c r="A3489" s="39"/>
      <c r="B3489" s="40"/>
      <c r="C3489" s="41"/>
      <c r="D3489" s="41"/>
      <c r="E3489" s="41"/>
      <c r="F3489" s="41"/>
      <c r="G3489" s="41"/>
      <c r="H3489" s="41"/>
      <c r="I3489" s="41"/>
      <c r="J3489" s="41"/>
      <c r="K3489" s="41"/>
      <c r="L3489" s="41"/>
      <c r="M3489" s="41"/>
      <c r="N3489" s="41"/>
      <c r="O3489" s="41"/>
      <c r="P3489" s="28"/>
    </row>
    <row r="3490" customFormat="1" spans="1:16">
      <c r="A3490" s="39"/>
      <c r="B3490" s="40"/>
      <c r="C3490" s="41"/>
      <c r="D3490" s="41"/>
      <c r="E3490" s="41"/>
      <c r="F3490" s="41"/>
      <c r="G3490" s="41"/>
      <c r="H3490" s="41"/>
      <c r="I3490" s="41"/>
      <c r="J3490" s="41"/>
      <c r="K3490" s="41"/>
      <c r="L3490" s="41"/>
      <c r="M3490" s="41"/>
      <c r="N3490" s="41"/>
      <c r="O3490" s="41"/>
      <c r="P3490" s="28"/>
    </row>
    <row r="3491" customFormat="1" spans="1:16">
      <c r="A3491" s="39"/>
      <c r="B3491" s="40"/>
      <c r="C3491" s="41"/>
      <c r="D3491" s="41"/>
      <c r="E3491" s="41"/>
      <c r="F3491" s="41"/>
      <c r="G3491" s="41"/>
      <c r="H3491" s="41"/>
      <c r="I3491" s="41"/>
      <c r="J3491" s="41"/>
      <c r="K3491" s="41"/>
      <c r="L3491" s="41"/>
      <c r="M3491" s="41"/>
      <c r="N3491" s="41"/>
      <c r="O3491" s="41"/>
      <c r="P3491" s="28"/>
    </row>
    <row r="3492" customFormat="1" spans="1:16">
      <c r="A3492" s="39"/>
      <c r="B3492" s="40"/>
      <c r="C3492" s="41"/>
      <c r="D3492" s="41"/>
      <c r="E3492" s="41"/>
      <c r="F3492" s="41"/>
      <c r="G3492" s="41"/>
      <c r="H3492" s="41"/>
      <c r="I3492" s="41"/>
      <c r="J3492" s="41"/>
      <c r="K3492" s="41"/>
      <c r="L3492" s="41"/>
      <c r="M3492" s="41"/>
      <c r="N3492" s="41"/>
      <c r="O3492" s="41"/>
      <c r="P3492" s="28"/>
    </row>
    <row r="3493" customFormat="1" spans="1:16">
      <c r="A3493" s="39"/>
      <c r="B3493" s="40"/>
      <c r="C3493" s="41"/>
      <c r="D3493" s="41"/>
      <c r="E3493" s="41"/>
      <c r="F3493" s="41"/>
      <c r="G3493" s="41"/>
      <c r="H3493" s="41"/>
      <c r="I3493" s="41"/>
      <c r="J3493" s="41"/>
      <c r="K3493" s="41"/>
      <c r="L3493" s="41"/>
      <c r="M3493" s="41"/>
      <c r="N3493" s="41"/>
      <c r="O3493" s="41"/>
      <c r="P3493" s="28"/>
    </row>
    <row r="3494" customFormat="1" spans="1:16">
      <c r="A3494" s="39"/>
      <c r="B3494" s="40"/>
      <c r="C3494" s="41"/>
      <c r="D3494" s="41"/>
      <c r="E3494" s="41"/>
      <c r="F3494" s="41"/>
      <c r="G3494" s="41"/>
      <c r="H3494" s="41"/>
      <c r="I3494" s="41"/>
      <c r="J3494" s="41"/>
      <c r="K3494" s="41"/>
      <c r="L3494" s="41"/>
      <c r="M3494" s="41"/>
      <c r="N3494" s="41"/>
      <c r="O3494" s="41"/>
      <c r="P3494" s="28"/>
    </row>
    <row r="3495" customFormat="1" spans="1:16">
      <c r="A3495" s="39"/>
      <c r="B3495" s="40"/>
      <c r="C3495" s="41"/>
      <c r="D3495" s="41"/>
      <c r="E3495" s="41"/>
      <c r="F3495" s="41"/>
      <c r="G3495" s="41"/>
      <c r="H3495" s="41"/>
      <c r="I3495" s="41"/>
      <c r="J3495" s="41"/>
      <c r="K3495" s="41"/>
      <c r="L3495" s="41"/>
      <c r="M3495" s="41"/>
      <c r="N3495" s="41"/>
      <c r="O3495" s="41"/>
      <c r="P3495" s="28"/>
    </row>
    <row r="3496" customFormat="1" spans="1:16">
      <c r="A3496" s="39"/>
      <c r="B3496" s="40"/>
      <c r="C3496" s="41"/>
      <c r="D3496" s="41"/>
      <c r="E3496" s="41"/>
      <c r="F3496" s="41"/>
      <c r="G3496" s="41"/>
      <c r="H3496" s="41"/>
      <c r="I3496" s="41"/>
      <c r="J3496" s="41"/>
      <c r="K3496" s="41"/>
      <c r="L3496" s="41"/>
      <c r="M3496" s="41"/>
      <c r="N3496" s="41"/>
      <c r="O3496" s="41"/>
      <c r="P3496" s="28"/>
    </row>
    <row r="3497" customFormat="1" spans="1:16">
      <c r="A3497" s="39"/>
      <c r="B3497" s="40"/>
      <c r="C3497" s="41"/>
      <c r="D3497" s="41"/>
      <c r="E3497" s="41"/>
      <c r="F3497" s="41"/>
      <c r="G3497" s="41"/>
      <c r="H3497" s="41"/>
      <c r="I3497" s="41"/>
      <c r="J3497" s="41"/>
      <c r="K3497" s="41"/>
      <c r="L3497" s="41"/>
      <c r="M3497" s="41"/>
      <c r="N3497" s="41"/>
      <c r="O3497" s="41"/>
      <c r="P3497" s="28"/>
    </row>
    <row r="3498" customFormat="1" spans="1:16">
      <c r="A3498" s="39"/>
      <c r="B3498" s="40"/>
      <c r="C3498" s="41"/>
      <c r="D3498" s="41"/>
      <c r="E3498" s="41"/>
      <c r="F3498" s="41"/>
      <c r="G3498" s="41"/>
      <c r="H3498" s="41"/>
      <c r="I3498" s="41"/>
      <c r="J3498" s="41"/>
      <c r="K3498" s="41"/>
      <c r="L3498" s="41"/>
      <c r="M3498" s="41"/>
      <c r="N3498" s="41"/>
      <c r="O3498" s="41"/>
      <c r="P3498" s="28"/>
    </row>
    <row r="3499" customFormat="1" spans="1:16">
      <c r="A3499" s="39"/>
      <c r="B3499" s="40"/>
      <c r="C3499" s="41"/>
      <c r="D3499" s="41"/>
      <c r="E3499" s="41"/>
      <c r="F3499" s="41"/>
      <c r="G3499" s="41"/>
      <c r="H3499" s="41"/>
      <c r="I3499" s="41"/>
      <c r="J3499" s="41"/>
      <c r="K3499" s="41"/>
      <c r="L3499" s="41"/>
      <c r="M3499" s="41"/>
      <c r="N3499" s="41"/>
      <c r="O3499" s="41"/>
      <c r="P3499" s="28"/>
    </row>
    <row r="3500" customFormat="1" spans="1:16">
      <c r="A3500" s="39"/>
      <c r="B3500" s="40"/>
      <c r="C3500" s="41"/>
      <c r="D3500" s="41"/>
      <c r="E3500" s="41"/>
      <c r="F3500" s="41"/>
      <c r="G3500" s="41"/>
      <c r="H3500" s="41"/>
      <c r="I3500" s="41"/>
      <c r="J3500" s="41"/>
      <c r="K3500" s="41"/>
      <c r="L3500" s="41"/>
      <c r="M3500" s="41"/>
      <c r="N3500" s="41"/>
      <c r="O3500" s="41"/>
      <c r="P3500" s="28"/>
    </row>
    <row r="3501" customFormat="1" spans="1:16">
      <c r="A3501" s="39"/>
      <c r="B3501" s="40"/>
      <c r="C3501" s="41"/>
      <c r="D3501" s="41"/>
      <c r="E3501" s="41"/>
      <c r="F3501" s="41"/>
      <c r="G3501" s="41"/>
      <c r="H3501" s="41"/>
      <c r="I3501" s="41"/>
      <c r="J3501" s="41"/>
      <c r="K3501" s="41"/>
      <c r="L3501" s="41"/>
      <c r="M3501" s="41"/>
      <c r="N3501" s="41"/>
      <c r="O3501" s="41"/>
      <c r="P3501" s="28"/>
    </row>
    <row r="3502" customFormat="1" spans="1:16">
      <c r="A3502" s="39"/>
      <c r="B3502" s="40"/>
      <c r="C3502" s="41"/>
      <c r="D3502" s="41"/>
      <c r="E3502" s="41"/>
      <c r="F3502" s="41"/>
      <c r="G3502" s="41"/>
      <c r="H3502" s="41"/>
      <c r="I3502" s="41"/>
      <c r="J3502" s="41"/>
      <c r="K3502" s="41"/>
      <c r="L3502" s="41"/>
      <c r="M3502" s="41"/>
      <c r="N3502" s="41"/>
      <c r="O3502" s="41"/>
      <c r="P3502" s="28"/>
    </row>
    <row r="3503" customFormat="1" spans="1:16">
      <c r="A3503" s="39"/>
      <c r="B3503" s="40"/>
      <c r="C3503" s="41"/>
      <c r="D3503" s="41"/>
      <c r="E3503" s="41"/>
      <c r="F3503" s="41"/>
      <c r="G3503" s="41"/>
      <c r="H3503" s="41"/>
      <c r="I3503" s="41"/>
      <c r="J3503" s="41"/>
      <c r="K3503" s="41"/>
      <c r="L3503" s="41"/>
      <c r="M3503" s="41"/>
      <c r="N3503" s="41"/>
      <c r="O3503" s="41"/>
      <c r="P3503" s="28"/>
    </row>
    <row r="3504" customFormat="1" spans="1:16">
      <c r="A3504" s="39"/>
      <c r="B3504" s="40"/>
      <c r="C3504" s="41"/>
      <c r="D3504" s="41"/>
      <c r="E3504" s="41"/>
      <c r="F3504" s="41"/>
      <c r="G3504" s="41"/>
      <c r="H3504" s="41"/>
      <c r="I3504" s="41"/>
      <c r="J3504" s="41"/>
      <c r="K3504" s="41"/>
      <c r="L3504" s="41"/>
      <c r="M3504" s="41"/>
      <c r="N3504" s="41"/>
      <c r="O3504" s="41"/>
      <c r="P3504" s="28"/>
    </row>
    <row r="3505" customFormat="1" spans="1:16">
      <c r="A3505" s="39"/>
      <c r="B3505" s="40"/>
      <c r="C3505" s="41"/>
      <c r="D3505" s="41"/>
      <c r="E3505" s="41"/>
      <c r="F3505" s="41"/>
      <c r="G3505" s="41"/>
      <c r="H3505" s="41"/>
      <c r="I3505" s="41"/>
      <c r="J3505" s="41"/>
      <c r="K3505" s="41"/>
      <c r="L3505" s="41"/>
      <c r="M3505" s="41"/>
      <c r="N3505" s="41"/>
      <c r="O3505" s="41"/>
      <c r="P3505" s="28"/>
    </row>
    <row r="3506" customFormat="1" spans="1:16">
      <c r="A3506" s="39"/>
      <c r="B3506" s="40"/>
      <c r="C3506" s="41"/>
      <c r="D3506" s="41"/>
      <c r="E3506" s="41"/>
      <c r="F3506" s="41"/>
      <c r="G3506" s="41"/>
      <c r="H3506" s="41"/>
      <c r="I3506" s="41"/>
      <c r="J3506" s="41"/>
      <c r="K3506" s="41"/>
      <c r="L3506" s="41"/>
      <c r="M3506" s="41"/>
      <c r="N3506" s="41"/>
      <c r="O3506" s="41"/>
      <c r="P3506" s="28"/>
    </row>
    <row r="3507" customFormat="1" spans="1:16">
      <c r="A3507" s="39"/>
      <c r="B3507" s="40"/>
      <c r="C3507" s="41"/>
      <c r="D3507" s="41"/>
      <c r="E3507" s="41"/>
      <c r="F3507" s="41"/>
      <c r="G3507" s="41"/>
      <c r="H3507" s="41"/>
      <c r="I3507" s="41"/>
      <c r="J3507" s="41"/>
      <c r="K3507" s="41"/>
      <c r="L3507" s="41"/>
      <c r="M3507" s="41"/>
      <c r="N3507" s="41"/>
      <c r="O3507" s="41"/>
      <c r="P3507" s="28"/>
    </row>
    <row r="3508" customFormat="1" spans="1:16">
      <c r="A3508" s="39"/>
      <c r="B3508" s="40"/>
      <c r="C3508" s="41"/>
      <c r="D3508" s="41"/>
      <c r="E3508" s="41"/>
      <c r="F3508" s="41"/>
      <c r="G3508" s="41"/>
      <c r="H3508" s="41"/>
      <c r="I3508" s="41"/>
      <c r="J3508" s="41"/>
      <c r="K3508" s="41"/>
      <c r="L3508" s="41"/>
      <c r="M3508" s="41"/>
      <c r="N3508" s="41"/>
      <c r="O3508" s="41"/>
      <c r="P3508" s="28"/>
    </row>
    <row r="3509" customFormat="1" spans="1:16">
      <c r="A3509" s="39"/>
      <c r="B3509" s="40"/>
      <c r="C3509" s="41"/>
      <c r="D3509" s="41"/>
      <c r="E3509" s="41"/>
      <c r="F3509" s="41"/>
      <c r="G3509" s="41"/>
      <c r="H3509" s="41"/>
      <c r="I3509" s="41"/>
      <c r="J3509" s="41"/>
      <c r="K3509" s="41"/>
      <c r="L3509" s="41"/>
      <c r="M3509" s="41"/>
      <c r="N3509" s="41"/>
      <c r="O3509" s="41"/>
      <c r="P3509" s="28"/>
    </row>
    <row r="3510" customFormat="1" spans="1:16">
      <c r="A3510" s="39"/>
      <c r="B3510" s="40"/>
      <c r="C3510" s="41"/>
      <c r="D3510" s="41"/>
      <c r="E3510" s="41"/>
      <c r="F3510" s="41"/>
      <c r="G3510" s="41"/>
      <c r="H3510" s="41"/>
      <c r="I3510" s="41"/>
      <c r="J3510" s="41"/>
      <c r="K3510" s="41"/>
      <c r="L3510" s="41"/>
      <c r="M3510" s="41"/>
      <c r="N3510" s="41"/>
      <c r="O3510" s="41"/>
      <c r="P3510" s="28"/>
    </row>
    <row r="3511" customFormat="1" spans="1:16">
      <c r="A3511" s="39"/>
      <c r="B3511" s="40"/>
      <c r="C3511" s="41"/>
      <c r="D3511" s="41"/>
      <c r="E3511" s="41"/>
      <c r="F3511" s="41"/>
      <c r="G3511" s="41"/>
      <c r="H3511" s="41"/>
      <c r="I3511" s="41"/>
      <c r="J3511" s="41"/>
      <c r="K3511" s="41"/>
      <c r="L3511" s="41"/>
      <c r="M3511" s="41"/>
      <c r="N3511" s="41"/>
      <c r="O3511" s="41"/>
      <c r="P3511" s="28"/>
    </row>
    <row r="3512" customFormat="1" spans="1:16">
      <c r="A3512" s="39"/>
      <c r="B3512" s="40"/>
      <c r="C3512" s="41"/>
      <c r="D3512" s="41"/>
      <c r="E3512" s="41"/>
      <c r="F3512" s="41"/>
      <c r="G3512" s="41"/>
      <c r="H3512" s="41"/>
      <c r="I3512" s="41"/>
      <c r="J3512" s="41"/>
      <c r="K3512" s="41"/>
      <c r="L3512" s="41"/>
      <c r="M3512" s="41"/>
      <c r="N3512" s="41"/>
      <c r="O3512" s="41"/>
      <c r="P3512" s="28"/>
    </row>
    <row r="3513" customFormat="1" spans="1:16">
      <c r="A3513" s="39"/>
      <c r="B3513" s="40"/>
      <c r="C3513" s="41"/>
      <c r="D3513" s="41"/>
      <c r="E3513" s="41"/>
      <c r="F3513" s="41"/>
      <c r="G3513" s="41"/>
      <c r="H3513" s="41"/>
      <c r="I3513" s="41"/>
      <c r="J3513" s="41"/>
      <c r="K3513" s="41"/>
      <c r="L3513" s="41"/>
      <c r="M3513" s="41"/>
      <c r="N3513" s="41"/>
      <c r="O3513" s="41"/>
      <c r="P3513" s="28"/>
    </row>
    <row r="3514" customFormat="1" spans="1:16">
      <c r="A3514" s="39"/>
      <c r="B3514" s="40"/>
      <c r="C3514" s="41"/>
      <c r="D3514" s="41"/>
      <c r="E3514" s="41"/>
      <c r="F3514" s="41"/>
      <c r="G3514" s="41"/>
      <c r="H3514" s="41"/>
      <c r="I3514" s="41"/>
      <c r="J3514" s="41"/>
      <c r="K3514" s="41"/>
      <c r="L3514" s="41"/>
      <c r="M3514" s="41"/>
      <c r="N3514" s="41"/>
      <c r="O3514" s="41"/>
      <c r="P3514" s="28"/>
    </row>
    <row r="3515" customFormat="1" spans="1:16">
      <c r="A3515" s="39"/>
      <c r="B3515" s="40"/>
      <c r="C3515" s="41"/>
      <c r="D3515" s="41"/>
      <c r="E3515" s="41"/>
      <c r="F3515" s="41"/>
      <c r="G3515" s="41"/>
      <c r="H3515" s="41"/>
      <c r="I3515" s="41"/>
      <c r="J3515" s="41"/>
      <c r="K3515" s="41"/>
      <c r="L3515" s="41"/>
      <c r="M3515" s="41"/>
      <c r="N3515" s="41"/>
      <c r="O3515" s="41"/>
      <c r="P3515" s="28"/>
    </row>
    <row r="3516" customFormat="1" spans="1:16">
      <c r="A3516" s="39"/>
      <c r="B3516" s="40"/>
      <c r="C3516" s="41"/>
      <c r="D3516" s="41"/>
      <c r="E3516" s="41"/>
      <c r="F3516" s="41"/>
      <c r="G3516" s="41"/>
      <c r="H3516" s="41"/>
      <c r="I3516" s="41"/>
      <c r="J3516" s="41"/>
      <c r="K3516" s="41"/>
      <c r="L3516" s="41"/>
      <c r="M3516" s="41"/>
      <c r="N3516" s="41"/>
      <c r="O3516" s="41"/>
      <c r="P3516" s="28"/>
    </row>
    <row r="3517" customFormat="1" spans="1:16">
      <c r="A3517" s="39"/>
      <c r="B3517" s="40"/>
      <c r="C3517" s="41"/>
      <c r="D3517" s="41"/>
      <c r="E3517" s="41"/>
      <c r="F3517" s="41"/>
      <c r="G3517" s="41"/>
      <c r="H3517" s="41"/>
      <c r="I3517" s="41"/>
      <c r="J3517" s="41"/>
      <c r="K3517" s="41"/>
      <c r="L3517" s="41"/>
      <c r="M3517" s="41"/>
      <c r="N3517" s="41"/>
      <c r="O3517" s="41"/>
      <c r="P3517" s="28"/>
    </row>
    <row r="3518" customFormat="1" spans="1:16">
      <c r="A3518" s="39"/>
      <c r="B3518" s="40"/>
      <c r="C3518" s="41"/>
      <c r="D3518" s="41"/>
      <c r="E3518" s="41"/>
      <c r="F3518" s="41"/>
      <c r="G3518" s="41"/>
      <c r="H3518" s="41"/>
      <c r="I3518" s="41"/>
      <c r="J3518" s="41"/>
      <c r="K3518" s="41"/>
      <c r="L3518" s="41"/>
      <c r="M3518" s="41"/>
      <c r="N3518" s="41"/>
      <c r="O3518" s="41"/>
      <c r="P3518" s="28"/>
    </row>
    <row r="3519" customFormat="1" spans="1:16">
      <c r="A3519" s="39"/>
      <c r="B3519" s="40"/>
      <c r="C3519" s="41"/>
      <c r="D3519" s="41"/>
      <c r="E3519" s="41"/>
      <c r="F3519" s="41"/>
      <c r="G3519" s="41"/>
      <c r="H3519" s="41"/>
      <c r="I3519" s="41"/>
      <c r="J3519" s="41"/>
      <c r="K3519" s="41"/>
      <c r="L3519" s="41"/>
      <c r="M3519" s="41"/>
      <c r="N3519" s="41"/>
      <c r="O3519" s="41"/>
      <c r="P3519" s="28"/>
    </row>
    <row r="3520" customFormat="1" spans="1:16">
      <c r="A3520" s="39"/>
      <c r="B3520" s="40"/>
      <c r="C3520" s="41"/>
      <c r="D3520" s="41"/>
      <c r="E3520" s="41"/>
      <c r="F3520" s="41"/>
      <c r="G3520" s="41"/>
      <c r="H3520" s="41"/>
      <c r="I3520" s="41"/>
      <c r="J3520" s="41"/>
      <c r="K3520" s="41"/>
      <c r="L3520" s="41"/>
      <c r="M3520" s="41"/>
      <c r="N3520" s="41"/>
      <c r="O3520" s="41"/>
      <c r="P3520" s="28"/>
    </row>
    <row r="3521" customFormat="1" spans="1:16">
      <c r="A3521" s="39"/>
      <c r="B3521" s="40"/>
      <c r="C3521" s="41"/>
      <c r="D3521" s="41"/>
      <c r="E3521" s="41"/>
      <c r="F3521" s="41"/>
      <c r="G3521" s="41"/>
      <c r="H3521" s="41"/>
      <c r="I3521" s="41"/>
      <c r="J3521" s="41"/>
      <c r="K3521" s="41"/>
      <c r="L3521" s="41"/>
      <c r="M3521" s="41"/>
      <c r="N3521" s="41"/>
      <c r="O3521" s="41"/>
      <c r="P3521" s="28"/>
    </row>
    <row r="3522" customFormat="1" spans="1:16">
      <c r="A3522" s="39"/>
      <c r="B3522" s="40"/>
      <c r="C3522" s="41"/>
      <c r="D3522" s="41"/>
      <c r="E3522" s="41"/>
      <c r="F3522" s="41"/>
      <c r="G3522" s="41"/>
      <c r="H3522" s="41"/>
      <c r="I3522" s="41"/>
      <c r="J3522" s="41"/>
      <c r="K3522" s="41"/>
      <c r="L3522" s="41"/>
      <c r="M3522" s="41"/>
      <c r="N3522" s="41"/>
      <c r="O3522" s="41"/>
      <c r="P3522" s="28"/>
    </row>
    <row r="3523" customFormat="1" spans="1:16">
      <c r="A3523" s="39"/>
      <c r="B3523" s="40"/>
      <c r="C3523" s="41"/>
      <c r="D3523" s="41"/>
      <c r="E3523" s="41"/>
      <c r="F3523" s="41"/>
      <c r="G3523" s="41"/>
      <c r="H3523" s="41"/>
      <c r="I3523" s="41"/>
      <c r="J3523" s="41"/>
      <c r="K3523" s="41"/>
      <c r="L3523" s="41"/>
      <c r="M3523" s="41"/>
      <c r="N3523" s="41"/>
      <c r="O3523" s="41"/>
      <c r="P3523" s="28"/>
    </row>
    <row r="3524" customFormat="1" spans="1:16">
      <c r="A3524" s="39"/>
      <c r="B3524" s="40"/>
      <c r="C3524" s="41"/>
      <c r="D3524" s="41"/>
      <c r="E3524" s="41"/>
      <c r="F3524" s="41"/>
      <c r="G3524" s="41"/>
      <c r="H3524" s="41"/>
      <c r="I3524" s="41"/>
      <c r="J3524" s="41"/>
      <c r="K3524" s="41"/>
      <c r="L3524" s="41"/>
      <c r="M3524" s="41"/>
      <c r="N3524" s="41"/>
      <c r="O3524" s="41"/>
      <c r="P3524" s="28"/>
    </row>
    <row r="3525" customFormat="1" spans="1:16">
      <c r="A3525" s="39"/>
      <c r="B3525" s="40"/>
      <c r="C3525" s="41"/>
      <c r="D3525" s="41"/>
      <c r="E3525" s="41"/>
      <c r="F3525" s="41"/>
      <c r="G3525" s="41"/>
      <c r="H3525" s="41"/>
      <c r="I3525" s="41"/>
      <c r="J3525" s="41"/>
      <c r="K3525" s="41"/>
      <c r="L3525" s="41"/>
      <c r="M3525" s="41"/>
      <c r="N3525" s="41"/>
      <c r="O3525" s="41"/>
      <c r="P3525" s="28"/>
    </row>
    <row r="3526" customFormat="1" spans="1:16">
      <c r="A3526" s="39"/>
      <c r="B3526" s="40"/>
      <c r="C3526" s="41"/>
      <c r="D3526" s="41"/>
      <c r="E3526" s="41"/>
      <c r="F3526" s="41"/>
      <c r="G3526" s="41"/>
      <c r="H3526" s="41"/>
      <c r="I3526" s="41"/>
      <c r="J3526" s="41"/>
      <c r="K3526" s="41"/>
      <c r="L3526" s="41"/>
      <c r="M3526" s="41"/>
      <c r="N3526" s="41"/>
      <c r="O3526" s="41"/>
      <c r="P3526" s="28"/>
    </row>
    <row r="3527" customFormat="1" spans="1:16">
      <c r="A3527" s="39"/>
      <c r="B3527" s="40"/>
      <c r="C3527" s="41"/>
      <c r="D3527" s="41"/>
      <c r="E3527" s="41"/>
      <c r="F3527" s="41"/>
      <c r="G3527" s="41"/>
      <c r="H3527" s="41"/>
      <c r="I3527" s="41"/>
      <c r="J3527" s="41"/>
      <c r="K3527" s="41"/>
      <c r="L3527" s="41"/>
      <c r="M3527" s="41"/>
      <c r="N3527" s="41"/>
      <c r="O3527" s="41"/>
      <c r="P3527" s="28"/>
    </row>
    <row r="3528" customFormat="1" spans="1:16">
      <c r="A3528" s="39"/>
      <c r="B3528" s="40"/>
      <c r="C3528" s="41"/>
      <c r="D3528" s="41"/>
      <c r="E3528" s="41"/>
      <c r="F3528" s="41"/>
      <c r="G3528" s="41"/>
      <c r="H3528" s="41"/>
      <c r="I3528" s="41"/>
      <c r="J3528" s="41"/>
      <c r="K3528" s="41"/>
      <c r="L3528" s="41"/>
      <c r="M3528" s="41"/>
      <c r="N3528" s="41"/>
      <c r="O3528" s="41"/>
      <c r="P3528" s="28"/>
    </row>
    <row r="3529" customFormat="1" spans="1:16">
      <c r="A3529" s="39"/>
      <c r="B3529" s="40"/>
      <c r="C3529" s="41"/>
      <c r="D3529" s="41"/>
      <c r="E3529" s="41"/>
      <c r="F3529" s="41"/>
      <c r="G3529" s="41"/>
      <c r="H3529" s="41"/>
      <c r="I3529" s="41"/>
      <c r="J3529" s="41"/>
      <c r="K3529" s="41"/>
      <c r="L3529" s="41"/>
      <c r="M3529" s="41"/>
      <c r="N3529" s="41"/>
      <c r="O3529" s="41"/>
      <c r="P3529" s="28"/>
    </row>
    <row r="3530" customFormat="1" spans="1:16">
      <c r="A3530" s="39"/>
      <c r="B3530" s="40"/>
      <c r="C3530" s="41"/>
      <c r="D3530" s="41"/>
      <c r="E3530" s="41"/>
      <c r="F3530" s="41"/>
      <c r="G3530" s="41"/>
      <c r="H3530" s="41"/>
      <c r="I3530" s="41"/>
      <c r="J3530" s="41"/>
      <c r="K3530" s="41"/>
      <c r="L3530" s="41"/>
      <c r="M3530" s="41"/>
      <c r="N3530" s="41"/>
      <c r="O3530" s="41"/>
      <c r="P3530" s="28"/>
    </row>
    <row r="3531" customFormat="1" spans="1:16">
      <c r="A3531" s="39"/>
      <c r="B3531" s="40"/>
      <c r="C3531" s="41"/>
      <c r="D3531" s="41"/>
      <c r="E3531" s="41"/>
      <c r="F3531" s="41"/>
      <c r="G3531" s="41"/>
      <c r="H3531" s="41"/>
      <c r="I3531" s="41"/>
      <c r="J3531" s="41"/>
      <c r="K3531" s="41"/>
      <c r="L3531" s="41"/>
      <c r="M3531" s="41"/>
      <c r="N3531" s="41"/>
      <c r="O3531" s="41"/>
      <c r="P3531" s="28"/>
    </row>
    <row r="3532" customFormat="1" spans="1:16">
      <c r="A3532" s="39"/>
      <c r="B3532" s="40"/>
      <c r="C3532" s="41"/>
      <c r="D3532" s="41"/>
      <c r="E3532" s="41"/>
      <c r="F3532" s="41"/>
      <c r="G3532" s="41"/>
      <c r="H3532" s="41"/>
      <c r="I3532" s="41"/>
      <c r="J3532" s="41"/>
      <c r="K3532" s="41"/>
      <c r="L3532" s="41"/>
      <c r="M3532" s="41"/>
      <c r="N3532" s="41"/>
      <c r="O3532" s="41"/>
      <c r="P3532" s="28"/>
    </row>
    <row r="3533" customFormat="1" spans="1:16">
      <c r="A3533" s="39"/>
      <c r="B3533" s="40"/>
      <c r="C3533" s="41"/>
      <c r="D3533" s="41"/>
      <c r="E3533" s="41"/>
      <c r="F3533" s="41"/>
      <c r="G3533" s="41"/>
      <c r="H3533" s="41"/>
      <c r="I3533" s="41"/>
      <c r="J3533" s="41"/>
      <c r="K3533" s="41"/>
      <c r="L3533" s="41"/>
      <c r="M3533" s="41"/>
      <c r="N3533" s="41"/>
      <c r="O3533" s="41"/>
      <c r="P3533" s="28"/>
    </row>
    <row r="3534" customFormat="1" spans="1:16">
      <c r="A3534" s="39"/>
      <c r="B3534" s="40"/>
      <c r="C3534" s="41"/>
      <c r="D3534" s="41"/>
      <c r="E3534" s="41"/>
      <c r="F3534" s="41"/>
      <c r="G3534" s="41"/>
      <c r="H3534" s="41"/>
      <c r="I3534" s="41"/>
      <c r="J3534" s="41"/>
      <c r="K3534" s="41"/>
      <c r="L3534" s="41"/>
      <c r="M3534" s="41"/>
      <c r="N3534" s="41"/>
      <c r="O3534" s="41"/>
      <c r="P3534" s="28"/>
    </row>
    <row r="3535" customFormat="1" spans="1:16">
      <c r="A3535" s="39"/>
      <c r="B3535" s="40"/>
      <c r="C3535" s="41"/>
      <c r="D3535" s="41"/>
      <c r="E3535" s="41"/>
      <c r="F3535" s="41"/>
      <c r="G3535" s="41"/>
      <c r="H3535" s="41"/>
      <c r="I3535" s="41"/>
      <c r="J3535" s="41"/>
      <c r="K3535" s="41"/>
      <c r="L3535" s="41"/>
      <c r="M3535" s="41"/>
      <c r="N3535" s="41"/>
      <c r="O3535" s="41"/>
      <c r="P3535" s="28"/>
    </row>
    <row r="3536" customFormat="1" spans="1:16">
      <c r="A3536" s="39"/>
      <c r="B3536" s="40"/>
      <c r="C3536" s="41"/>
      <c r="D3536" s="41"/>
      <c r="E3536" s="41"/>
      <c r="F3536" s="41"/>
      <c r="G3536" s="41"/>
      <c r="H3536" s="41"/>
      <c r="I3536" s="41"/>
      <c r="J3536" s="41"/>
      <c r="K3536" s="41"/>
      <c r="L3536" s="41"/>
      <c r="M3536" s="41"/>
      <c r="N3536" s="41"/>
      <c r="O3536" s="41"/>
      <c r="P3536" s="28"/>
    </row>
    <row r="3537" customFormat="1" spans="1:16">
      <c r="A3537" s="39"/>
      <c r="B3537" s="40"/>
      <c r="C3537" s="41"/>
      <c r="D3537" s="41"/>
      <c r="E3537" s="41"/>
      <c r="F3537" s="41"/>
      <c r="G3537" s="41"/>
      <c r="H3537" s="41"/>
      <c r="I3537" s="41"/>
      <c r="J3537" s="41"/>
      <c r="K3537" s="41"/>
      <c r="L3537" s="41"/>
      <c r="M3537" s="41"/>
      <c r="N3537" s="41"/>
      <c r="O3537" s="41"/>
      <c r="P3537" s="28"/>
    </row>
    <row r="3538" customFormat="1" spans="1:16">
      <c r="A3538" s="39"/>
      <c r="B3538" s="40"/>
      <c r="C3538" s="41"/>
      <c r="D3538" s="41"/>
      <c r="E3538" s="41"/>
      <c r="F3538" s="41"/>
      <c r="G3538" s="41"/>
      <c r="H3538" s="41"/>
      <c r="I3538" s="41"/>
      <c r="J3538" s="41"/>
      <c r="K3538" s="41"/>
      <c r="L3538" s="41"/>
      <c r="M3538" s="41"/>
      <c r="N3538" s="41"/>
      <c r="O3538" s="41"/>
      <c r="P3538" s="28"/>
    </row>
    <row r="3539" customFormat="1" spans="1:16">
      <c r="A3539" s="39"/>
      <c r="B3539" s="40"/>
      <c r="C3539" s="41"/>
      <c r="D3539" s="41"/>
      <c r="E3539" s="41"/>
      <c r="F3539" s="41"/>
      <c r="G3539" s="41"/>
      <c r="H3539" s="41"/>
      <c r="I3539" s="41"/>
      <c r="J3539" s="41"/>
      <c r="K3539" s="41"/>
      <c r="L3539" s="41"/>
      <c r="M3539" s="41"/>
      <c r="N3539" s="41"/>
      <c r="O3539" s="41"/>
      <c r="P3539" s="28"/>
    </row>
    <row r="3540" customFormat="1" spans="1:16">
      <c r="A3540" s="39"/>
      <c r="B3540" s="40"/>
      <c r="C3540" s="41"/>
      <c r="D3540" s="41"/>
      <c r="E3540" s="41"/>
      <c r="F3540" s="41"/>
      <c r="G3540" s="41"/>
      <c r="H3540" s="41"/>
      <c r="I3540" s="41"/>
      <c r="J3540" s="41"/>
      <c r="K3540" s="41"/>
      <c r="L3540" s="41"/>
      <c r="M3540" s="41"/>
      <c r="N3540" s="41"/>
      <c r="O3540" s="41"/>
      <c r="P3540" s="28"/>
    </row>
    <row r="3541" customFormat="1" spans="1:16">
      <c r="A3541" s="39"/>
      <c r="B3541" s="40"/>
      <c r="C3541" s="41"/>
      <c r="D3541" s="41"/>
      <c r="E3541" s="41"/>
      <c r="F3541" s="41"/>
      <c r="G3541" s="41"/>
      <c r="H3541" s="41"/>
      <c r="I3541" s="41"/>
      <c r="J3541" s="41"/>
      <c r="K3541" s="41"/>
      <c r="L3541" s="41"/>
      <c r="M3541" s="41"/>
      <c r="N3541" s="41"/>
      <c r="O3541" s="41"/>
      <c r="P3541" s="28"/>
    </row>
    <row r="3542" customFormat="1" spans="1:16">
      <c r="A3542" s="39"/>
      <c r="B3542" s="40"/>
      <c r="C3542" s="41"/>
      <c r="D3542" s="41"/>
      <c r="E3542" s="41"/>
      <c r="F3542" s="41"/>
      <c r="G3542" s="41"/>
      <c r="H3542" s="41"/>
      <c r="I3542" s="41"/>
      <c r="J3542" s="41"/>
      <c r="K3542" s="41"/>
      <c r="L3542" s="41"/>
      <c r="M3542" s="41"/>
      <c r="N3542" s="41"/>
      <c r="O3542" s="41"/>
      <c r="P3542" s="28"/>
    </row>
    <row r="3543" customFormat="1" spans="1:16">
      <c r="A3543" s="39"/>
      <c r="B3543" s="40"/>
      <c r="C3543" s="41"/>
      <c r="D3543" s="41"/>
      <c r="E3543" s="41"/>
      <c r="F3543" s="41"/>
      <c r="G3543" s="41"/>
      <c r="H3543" s="41"/>
      <c r="I3543" s="41"/>
      <c r="J3543" s="41"/>
      <c r="K3543" s="41"/>
      <c r="L3543" s="41"/>
      <c r="M3543" s="41"/>
      <c r="N3543" s="41"/>
      <c r="O3543" s="41"/>
      <c r="P3543" s="28"/>
    </row>
    <row r="3544" customFormat="1" spans="1:16">
      <c r="A3544" s="39"/>
      <c r="B3544" s="40"/>
      <c r="C3544" s="41"/>
      <c r="D3544" s="41"/>
      <c r="E3544" s="41"/>
      <c r="F3544" s="41"/>
      <c r="G3544" s="41"/>
      <c r="H3544" s="41"/>
      <c r="I3544" s="41"/>
      <c r="J3544" s="41"/>
      <c r="K3544" s="41"/>
      <c r="L3544" s="41"/>
      <c r="M3544" s="41"/>
      <c r="N3544" s="41"/>
      <c r="O3544" s="41"/>
      <c r="P3544" s="28"/>
    </row>
    <row r="3545" customFormat="1" spans="1:16">
      <c r="A3545" s="39"/>
      <c r="B3545" s="40"/>
      <c r="C3545" s="41"/>
      <c r="D3545" s="41"/>
      <c r="E3545" s="41"/>
      <c r="F3545" s="41"/>
      <c r="G3545" s="41"/>
      <c r="H3545" s="41"/>
      <c r="I3545" s="41"/>
      <c r="J3545" s="41"/>
      <c r="K3545" s="41"/>
      <c r="L3545" s="41"/>
      <c r="M3545" s="41"/>
      <c r="N3545" s="41"/>
      <c r="O3545" s="41"/>
      <c r="P3545" s="28"/>
    </row>
    <row r="3546" customFormat="1" spans="1:16">
      <c r="A3546" s="39"/>
      <c r="B3546" s="40"/>
      <c r="C3546" s="41"/>
      <c r="D3546" s="41"/>
      <c r="E3546" s="41"/>
      <c r="F3546" s="41"/>
      <c r="G3546" s="41"/>
      <c r="H3546" s="41"/>
      <c r="I3546" s="41"/>
      <c r="J3546" s="41"/>
      <c r="K3546" s="41"/>
      <c r="L3546" s="41"/>
      <c r="M3546" s="41"/>
      <c r="N3546" s="41"/>
      <c r="O3546" s="41"/>
      <c r="P3546" s="28"/>
    </row>
    <row r="3547" customFormat="1" spans="1:16">
      <c r="A3547" s="39"/>
      <c r="B3547" s="40"/>
      <c r="C3547" s="41"/>
      <c r="D3547" s="41"/>
      <c r="E3547" s="41"/>
      <c r="F3547" s="41"/>
      <c r="G3547" s="41"/>
      <c r="H3547" s="41"/>
      <c r="I3547" s="41"/>
      <c r="J3547" s="41"/>
      <c r="K3547" s="41"/>
      <c r="L3547" s="41"/>
      <c r="M3547" s="41"/>
      <c r="N3547" s="41"/>
      <c r="O3547" s="41"/>
      <c r="P3547" s="28"/>
    </row>
    <row r="3548" customFormat="1" spans="1:16">
      <c r="A3548" s="39"/>
      <c r="B3548" s="40"/>
      <c r="C3548" s="41"/>
      <c r="D3548" s="41"/>
      <c r="E3548" s="41"/>
      <c r="F3548" s="41"/>
      <c r="G3548" s="41"/>
      <c r="H3548" s="41"/>
      <c r="I3548" s="41"/>
      <c r="J3548" s="41"/>
      <c r="K3548" s="41"/>
      <c r="L3548" s="41"/>
      <c r="M3548" s="41"/>
      <c r="N3548" s="41"/>
      <c r="O3548" s="41"/>
      <c r="P3548" s="28"/>
    </row>
    <row r="3549" customFormat="1" spans="1:16">
      <c r="A3549" s="39"/>
      <c r="B3549" s="40"/>
      <c r="C3549" s="41"/>
      <c r="D3549" s="41"/>
      <c r="E3549" s="41"/>
      <c r="F3549" s="41"/>
      <c r="G3549" s="41"/>
      <c r="H3549" s="41"/>
      <c r="I3549" s="41"/>
      <c r="J3549" s="41"/>
      <c r="K3549" s="41"/>
      <c r="L3549" s="41"/>
      <c r="M3549" s="41"/>
      <c r="N3549" s="41"/>
      <c r="O3549" s="41"/>
      <c r="P3549" s="28"/>
    </row>
    <row r="3550" customFormat="1" spans="1:16">
      <c r="A3550" s="39"/>
      <c r="B3550" s="40"/>
      <c r="C3550" s="41"/>
      <c r="D3550" s="41"/>
      <c r="E3550" s="41"/>
      <c r="F3550" s="41"/>
      <c r="G3550" s="41"/>
      <c r="H3550" s="41"/>
      <c r="I3550" s="41"/>
      <c r="J3550" s="41"/>
      <c r="K3550" s="41"/>
      <c r="L3550" s="41"/>
      <c r="M3550" s="41"/>
      <c r="N3550" s="41"/>
      <c r="O3550" s="41"/>
      <c r="P3550" s="28"/>
    </row>
    <row r="3551" customFormat="1" spans="1:16">
      <c r="A3551" s="39"/>
      <c r="B3551" s="40"/>
      <c r="C3551" s="41"/>
      <c r="D3551" s="41"/>
      <c r="E3551" s="41"/>
      <c r="F3551" s="41"/>
      <c r="G3551" s="41"/>
      <c r="H3551" s="41"/>
      <c r="I3551" s="41"/>
      <c r="J3551" s="41"/>
      <c r="K3551" s="41"/>
      <c r="L3551" s="41"/>
      <c r="M3551" s="41"/>
      <c r="N3551" s="41"/>
      <c r="O3551" s="41"/>
      <c r="P3551" s="28"/>
    </row>
    <row r="3552" customFormat="1" spans="1:16">
      <c r="A3552" s="39"/>
      <c r="B3552" s="40"/>
      <c r="C3552" s="41"/>
      <c r="D3552" s="41"/>
      <c r="E3552" s="41"/>
      <c r="F3552" s="41"/>
      <c r="G3552" s="41"/>
      <c r="H3552" s="41"/>
      <c r="I3552" s="41"/>
      <c r="J3552" s="41"/>
      <c r="K3552" s="41"/>
      <c r="L3552" s="41"/>
      <c r="M3552" s="41"/>
      <c r="N3552" s="41"/>
      <c r="O3552" s="41"/>
      <c r="P3552" s="28"/>
    </row>
    <row r="3553" customFormat="1" spans="1:16">
      <c r="A3553" s="39"/>
      <c r="B3553" s="40"/>
      <c r="C3553" s="41"/>
      <c r="D3553" s="41"/>
      <c r="E3553" s="41"/>
      <c r="F3553" s="41"/>
      <c r="G3553" s="41"/>
      <c r="H3553" s="41"/>
      <c r="I3553" s="41"/>
      <c r="J3553" s="41"/>
      <c r="K3553" s="41"/>
      <c r="L3553" s="41"/>
      <c r="M3553" s="41"/>
      <c r="N3553" s="41"/>
      <c r="O3553" s="41"/>
      <c r="P3553" s="28"/>
    </row>
    <row r="3554" customFormat="1" spans="1:16">
      <c r="A3554" s="39"/>
      <c r="B3554" s="40"/>
      <c r="C3554" s="41"/>
      <c r="D3554" s="41"/>
      <c r="E3554" s="41"/>
      <c r="F3554" s="41"/>
      <c r="G3554" s="41"/>
      <c r="H3554" s="41"/>
      <c r="I3554" s="41"/>
      <c r="J3554" s="41"/>
      <c r="K3554" s="41"/>
      <c r="L3554" s="41"/>
      <c r="M3554" s="41"/>
      <c r="N3554" s="41"/>
      <c r="O3554" s="41"/>
      <c r="P3554" s="28"/>
    </row>
    <row r="3555" customFormat="1" spans="1:16">
      <c r="A3555" s="39"/>
      <c r="B3555" s="40"/>
      <c r="C3555" s="41"/>
      <c r="D3555" s="41"/>
      <c r="E3555" s="41"/>
      <c r="F3555" s="41"/>
      <c r="G3555" s="41"/>
      <c r="H3555" s="41"/>
      <c r="I3555" s="41"/>
      <c r="J3555" s="41"/>
      <c r="K3555" s="41"/>
      <c r="L3555" s="41"/>
      <c r="M3555" s="41"/>
      <c r="N3555" s="41"/>
      <c r="O3555" s="41"/>
      <c r="P3555" s="28"/>
    </row>
    <row r="3556" customFormat="1" spans="1:16">
      <c r="A3556" s="39"/>
      <c r="B3556" s="40"/>
      <c r="C3556" s="41"/>
      <c r="D3556" s="41"/>
      <c r="E3556" s="41"/>
      <c r="F3556" s="41"/>
      <c r="G3556" s="41"/>
      <c r="H3556" s="41"/>
      <c r="I3556" s="41"/>
      <c r="J3556" s="41"/>
      <c r="K3556" s="41"/>
      <c r="L3556" s="41"/>
      <c r="M3556" s="41"/>
      <c r="N3556" s="41"/>
      <c r="O3556" s="41"/>
      <c r="P3556" s="28"/>
    </row>
    <row r="3557" customFormat="1" spans="1:16">
      <c r="A3557" s="39"/>
      <c r="B3557" s="40"/>
      <c r="C3557" s="41"/>
      <c r="D3557" s="41"/>
      <c r="E3557" s="41"/>
      <c r="F3557" s="41"/>
      <c r="G3557" s="41"/>
      <c r="H3557" s="41"/>
      <c r="I3557" s="41"/>
      <c r="J3557" s="41"/>
      <c r="K3557" s="41"/>
      <c r="L3557" s="41"/>
      <c r="M3557" s="41"/>
      <c r="N3557" s="41"/>
      <c r="O3557" s="41"/>
      <c r="P3557" s="28"/>
    </row>
    <row r="3558" customFormat="1" spans="1:16">
      <c r="A3558" s="39"/>
      <c r="B3558" s="40"/>
      <c r="C3558" s="41"/>
      <c r="D3558" s="41"/>
      <c r="E3558" s="41"/>
      <c r="F3558" s="41"/>
      <c r="G3558" s="41"/>
      <c r="H3558" s="41"/>
      <c r="I3558" s="41"/>
      <c r="J3558" s="41"/>
      <c r="K3558" s="41"/>
      <c r="L3558" s="41"/>
      <c r="M3558" s="41"/>
      <c r="N3558" s="41"/>
      <c r="O3558" s="41"/>
      <c r="P3558" s="28"/>
    </row>
    <row r="3559" customFormat="1" spans="1:16">
      <c r="A3559" s="39"/>
      <c r="B3559" s="40"/>
      <c r="C3559" s="41"/>
      <c r="D3559" s="41"/>
      <c r="E3559" s="41"/>
      <c r="F3559" s="41"/>
      <c r="G3559" s="41"/>
      <c r="H3559" s="41"/>
      <c r="I3559" s="41"/>
      <c r="J3559" s="41"/>
      <c r="K3559" s="41"/>
      <c r="L3559" s="41"/>
      <c r="M3559" s="41"/>
      <c r="N3559" s="41"/>
      <c r="O3559" s="41"/>
      <c r="P3559" s="28"/>
    </row>
    <row r="3560" customFormat="1" spans="1:16">
      <c r="A3560" s="39"/>
      <c r="B3560" s="40"/>
      <c r="C3560" s="41"/>
      <c r="D3560" s="41"/>
      <c r="E3560" s="41"/>
      <c r="F3560" s="41"/>
      <c r="G3560" s="41"/>
      <c r="H3560" s="41"/>
      <c r="I3560" s="41"/>
      <c r="J3560" s="41"/>
      <c r="K3560" s="41"/>
      <c r="L3560" s="41"/>
      <c r="M3560" s="41"/>
      <c r="N3560" s="41"/>
      <c r="O3560" s="41"/>
      <c r="P3560" s="28"/>
    </row>
    <row r="3561" customFormat="1" spans="1:16">
      <c r="A3561" s="39"/>
      <c r="B3561" s="40"/>
      <c r="C3561" s="41"/>
      <c r="D3561" s="41"/>
      <c r="E3561" s="41"/>
      <c r="F3561" s="41"/>
      <c r="G3561" s="41"/>
      <c r="H3561" s="41"/>
      <c r="I3561" s="41"/>
      <c r="J3561" s="41"/>
      <c r="K3561" s="41"/>
      <c r="L3561" s="41"/>
      <c r="M3561" s="41"/>
      <c r="N3561" s="41"/>
      <c r="O3561" s="41"/>
      <c r="P3561" s="28"/>
    </row>
    <row r="3562" customFormat="1" spans="1:16">
      <c r="A3562" s="39"/>
      <c r="B3562" s="40"/>
      <c r="C3562" s="41"/>
      <c r="D3562" s="41"/>
      <c r="E3562" s="41"/>
      <c r="F3562" s="41"/>
      <c r="G3562" s="41"/>
      <c r="H3562" s="41"/>
      <c r="I3562" s="41"/>
      <c r="J3562" s="41"/>
      <c r="K3562" s="41"/>
      <c r="L3562" s="41"/>
      <c r="M3562" s="41"/>
      <c r="N3562" s="41"/>
      <c r="O3562" s="41"/>
      <c r="P3562" s="28"/>
    </row>
    <row r="3563" customFormat="1" spans="1:16">
      <c r="A3563" s="39"/>
      <c r="B3563" s="40"/>
      <c r="C3563" s="41"/>
      <c r="D3563" s="41"/>
      <c r="E3563" s="41"/>
      <c r="F3563" s="41"/>
      <c r="G3563" s="41"/>
      <c r="H3563" s="41"/>
      <c r="I3563" s="41"/>
      <c r="J3563" s="41"/>
      <c r="K3563" s="41"/>
      <c r="L3563" s="41"/>
      <c r="M3563" s="41"/>
      <c r="N3563" s="41"/>
      <c r="O3563" s="41"/>
      <c r="P3563" s="28"/>
    </row>
    <row r="3564" customFormat="1" spans="1:16">
      <c r="A3564" s="39"/>
      <c r="B3564" s="40"/>
      <c r="C3564" s="41"/>
      <c r="D3564" s="41"/>
      <c r="E3564" s="41"/>
      <c r="F3564" s="41"/>
      <c r="G3564" s="41"/>
      <c r="H3564" s="41"/>
      <c r="I3564" s="41"/>
      <c r="J3564" s="41"/>
      <c r="K3564" s="41"/>
      <c r="L3564" s="41"/>
      <c r="M3564" s="41"/>
      <c r="N3564" s="41"/>
      <c r="O3564" s="41"/>
      <c r="P3564" s="28"/>
    </row>
    <row r="3565" customFormat="1" spans="1:16">
      <c r="A3565" s="39"/>
      <c r="B3565" s="40"/>
      <c r="C3565" s="41"/>
      <c r="D3565" s="41"/>
      <c r="E3565" s="41"/>
      <c r="F3565" s="41"/>
      <c r="G3565" s="41"/>
      <c r="H3565" s="41"/>
      <c r="I3565" s="41"/>
      <c r="J3565" s="41"/>
      <c r="K3565" s="41"/>
      <c r="L3565" s="41"/>
      <c r="M3565" s="41"/>
      <c r="N3565" s="41"/>
      <c r="O3565" s="41"/>
      <c r="P3565" s="28"/>
    </row>
    <row r="3566" customFormat="1" spans="1:16">
      <c r="A3566" s="39"/>
      <c r="B3566" s="40"/>
      <c r="C3566" s="41"/>
      <c r="D3566" s="41"/>
      <c r="E3566" s="41"/>
      <c r="F3566" s="41"/>
      <c r="G3566" s="41"/>
      <c r="H3566" s="41"/>
      <c r="I3566" s="41"/>
      <c r="J3566" s="41"/>
      <c r="K3566" s="41"/>
      <c r="L3566" s="41"/>
      <c r="M3566" s="41"/>
      <c r="N3566" s="41"/>
      <c r="O3566" s="41"/>
      <c r="P3566" s="28"/>
    </row>
    <row r="3567" customFormat="1" spans="1:16">
      <c r="A3567" s="39"/>
      <c r="B3567" s="40"/>
      <c r="C3567" s="41"/>
      <c r="D3567" s="41"/>
      <c r="E3567" s="41"/>
      <c r="F3567" s="41"/>
      <c r="G3567" s="41"/>
      <c r="H3567" s="41"/>
      <c r="I3567" s="41"/>
      <c r="J3567" s="41"/>
      <c r="K3567" s="41"/>
      <c r="L3567" s="41"/>
      <c r="M3567" s="41"/>
      <c r="N3567" s="41"/>
      <c r="O3567" s="41"/>
      <c r="P3567" s="28"/>
    </row>
    <row r="3568" customFormat="1" spans="1:16">
      <c r="A3568" s="39"/>
      <c r="B3568" s="40"/>
      <c r="C3568" s="41"/>
      <c r="D3568" s="41"/>
      <c r="E3568" s="41"/>
      <c r="F3568" s="41"/>
      <c r="G3568" s="41"/>
      <c r="H3568" s="41"/>
      <c r="I3568" s="41"/>
      <c r="J3568" s="41"/>
      <c r="K3568" s="41"/>
      <c r="L3568" s="41"/>
      <c r="M3568" s="41"/>
      <c r="N3568" s="41"/>
      <c r="O3568" s="41"/>
      <c r="P3568" s="28"/>
    </row>
    <row r="3569" customFormat="1" spans="1:16">
      <c r="A3569" s="39"/>
      <c r="B3569" s="40"/>
      <c r="C3569" s="41"/>
      <c r="D3569" s="41"/>
      <c r="E3569" s="41"/>
      <c r="F3569" s="41"/>
      <c r="G3569" s="41"/>
      <c r="H3569" s="41"/>
      <c r="I3569" s="41"/>
      <c r="J3569" s="41"/>
      <c r="K3569" s="41"/>
      <c r="L3569" s="41"/>
      <c r="M3569" s="41"/>
      <c r="N3569" s="41"/>
      <c r="O3569" s="41"/>
      <c r="P3569" s="28"/>
    </row>
    <row r="3570" customFormat="1" spans="1:16">
      <c r="A3570" s="39"/>
      <c r="B3570" s="40"/>
      <c r="C3570" s="41"/>
      <c r="D3570" s="41"/>
      <c r="E3570" s="41"/>
      <c r="F3570" s="41"/>
      <c r="G3570" s="41"/>
      <c r="H3570" s="41"/>
      <c r="I3570" s="41"/>
      <c r="J3570" s="41"/>
      <c r="K3570" s="41"/>
      <c r="L3570" s="41"/>
      <c r="M3570" s="41"/>
      <c r="N3570" s="41"/>
      <c r="O3570" s="41"/>
      <c r="P3570" s="28"/>
    </row>
    <row r="3571" customFormat="1" spans="1:16">
      <c r="A3571" s="39"/>
      <c r="B3571" s="40"/>
      <c r="C3571" s="41"/>
      <c r="D3571" s="41"/>
      <c r="E3571" s="41"/>
      <c r="F3571" s="41"/>
      <c r="G3571" s="41"/>
      <c r="H3571" s="41"/>
      <c r="I3571" s="41"/>
      <c r="J3571" s="41"/>
      <c r="K3571" s="41"/>
      <c r="L3571" s="41"/>
      <c r="M3571" s="41"/>
      <c r="N3571" s="41"/>
      <c r="O3571" s="41"/>
      <c r="P3571" s="28"/>
    </row>
    <row r="3572" customFormat="1" spans="1:16">
      <c r="A3572" s="39"/>
      <c r="B3572" s="40"/>
      <c r="C3572" s="41"/>
      <c r="D3572" s="41"/>
      <c r="E3572" s="41"/>
      <c r="F3572" s="41"/>
      <c r="G3572" s="41"/>
      <c r="H3572" s="41"/>
      <c r="I3572" s="41"/>
      <c r="J3572" s="41"/>
      <c r="K3572" s="41"/>
      <c r="L3572" s="41"/>
      <c r="M3572" s="41"/>
      <c r="N3572" s="41"/>
      <c r="O3572" s="41"/>
      <c r="P3572" s="28"/>
    </row>
    <row r="3573" customFormat="1" spans="1:16">
      <c r="A3573" s="39"/>
      <c r="B3573" s="40"/>
      <c r="C3573" s="41"/>
      <c r="D3573" s="41"/>
      <c r="E3573" s="41"/>
      <c r="F3573" s="41"/>
      <c r="G3573" s="41"/>
      <c r="H3573" s="41"/>
      <c r="I3573" s="41"/>
      <c r="J3573" s="41"/>
      <c r="K3573" s="41"/>
      <c r="L3573" s="41"/>
      <c r="M3573" s="41"/>
      <c r="N3573" s="41"/>
      <c r="O3573" s="41"/>
      <c r="P3573" s="28"/>
    </row>
    <row r="3574" customFormat="1" spans="1:16">
      <c r="A3574" s="39"/>
      <c r="B3574" s="40"/>
      <c r="C3574" s="41"/>
      <c r="D3574" s="41"/>
      <c r="E3574" s="41"/>
      <c r="F3574" s="41"/>
      <c r="G3574" s="41"/>
      <c r="H3574" s="41"/>
      <c r="I3574" s="41"/>
      <c r="J3574" s="41"/>
      <c r="K3574" s="41"/>
      <c r="L3574" s="41"/>
      <c r="M3574" s="41"/>
      <c r="N3574" s="41"/>
      <c r="O3574" s="41"/>
      <c r="P3574" s="28"/>
    </row>
    <row r="3575" customFormat="1" spans="1:16">
      <c r="A3575" s="39"/>
      <c r="B3575" s="40"/>
      <c r="C3575" s="41"/>
      <c r="D3575" s="41"/>
      <c r="E3575" s="41"/>
      <c r="F3575" s="41"/>
      <c r="G3575" s="41"/>
      <c r="H3575" s="41"/>
      <c r="I3575" s="41"/>
      <c r="J3575" s="41"/>
      <c r="K3575" s="41"/>
      <c r="L3575" s="41"/>
      <c r="M3575" s="41"/>
      <c r="N3575" s="41"/>
      <c r="O3575" s="41"/>
      <c r="P3575" s="28"/>
    </row>
    <row r="3576" customFormat="1" spans="1:16">
      <c r="A3576" s="39"/>
      <c r="B3576" s="40"/>
      <c r="C3576" s="41"/>
      <c r="D3576" s="41"/>
      <c r="E3576" s="41"/>
      <c r="F3576" s="41"/>
      <c r="G3576" s="41"/>
      <c r="H3576" s="41"/>
      <c r="I3576" s="41"/>
      <c r="J3576" s="41"/>
      <c r="K3576" s="41"/>
      <c r="L3576" s="41"/>
      <c r="M3576" s="41"/>
      <c r="N3576" s="41"/>
      <c r="O3576" s="41"/>
      <c r="P3576" s="28"/>
    </row>
    <row r="3577" customFormat="1" spans="1:16">
      <c r="A3577" s="39"/>
      <c r="B3577" s="40"/>
      <c r="C3577" s="41"/>
      <c r="D3577" s="41"/>
      <c r="E3577" s="41"/>
      <c r="F3577" s="41"/>
      <c r="G3577" s="41"/>
      <c r="H3577" s="41"/>
      <c r="I3577" s="41"/>
      <c r="J3577" s="41"/>
      <c r="K3577" s="41"/>
      <c r="L3577" s="41"/>
      <c r="M3577" s="41"/>
      <c r="N3577" s="41"/>
      <c r="O3577" s="41"/>
      <c r="P3577" s="28"/>
    </row>
    <row r="3578" customFormat="1" spans="1:16">
      <c r="A3578" s="39"/>
      <c r="B3578" s="40"/>
      <c r="C3578" s="41"/>
      <c r="D3578" s="41"/>
      <c r="E3578" s="41"/>
      <c r="F3578" s="41"/>
      <c r="G3578" s="41"/>
      <c r="H3578" s="41"/>
      <c r="I3578" s="41"/>
      <c r="J3578" s="41"/>
      <c r="K3578" s="41"/>
      <c r="L3578" s="41"/>
      <c r="M3578" s="41"/>
      <c r="N3578" s="41"/>
      <c r="O3578" s="41"/>
      <c r="P3578" s="28"/>
    </row>
    <row r="3579" customFormat="1" spans="1:16">
      <c r="A3579" s="39"/>
      <c r="B3579" s="40"/>
      <c r="C3579" s="41"/>
      <c r="D3579" s="41"/>
      <c r="E3579" s="41"/>
      <c r="F3579" s="41"/>
      <c r="G3579" s="41"/>
      <c r="H3579" s="41"/>
      <c r="I3579" s="41"/>
      <c r="J3579" s="41"/>
      <c r="K3579" s="41"/>
      <c r="L3579" s="41"/>
      <c r="M3579" s="41"/>
      <c r="N3579" s="41"/>
      <c r="O3579" s="41"/>
      <c r="P3579" s="28"/>
    </row>
    <row r="3580" customFormat="1" spans="1:16">
      <c r="A3580" s="39"/>
      <c r="B3580" s="40"/>
      <c r="C3580" s="41"/>
      <c r="D3580" s="41"/>
      <c r="E3580" s="41"/>
      <c r="F3580" s="41"/>
      <c r="G3580" s="41"/>
      <c r="H3580" s="41"/>
      <c r="I3580" s="41"/>
      <c r="J3580" s="41"/>
      <c r="K3580" s="41"/>
      <c r="L3580" s="41"/>
      <c r="M3580" s="41"/>
      <c r="N3580" s="41"/>
      <c r="O3580" s="41"/>
      <c r="P3580" s="28"/>
    </row>
    <row r="3581" customFormat="1" spans="1:16">
      <c r="A3581" s="39"/>
      <c r="B3581" s="40"/>
      <c r="C3581" s="41"/>
      <c r="D3581" s="41"/>
      <c r="E3581" s="41"/>
      <c r="F3581" s="41"/>
      <c r="G3581" s="41"/>
      <c r="H3581" s="41"/>
      <c r="I3581" s="41"/>
      <c r="J3581" s="41"/>
      <c r="K3581" s="41"/>
      <c r="L3581" s="41"/>
      <c r="M3581" s="41"/>
      <c r="N3581" s="41"/>
      <c r="O3581" s="41"/>
      <c r="P3581" s="28"/>
    </row>
    <row r="3582" customFormat="1" spans="1:16">
      <c r="A3582" s="39"/>
      <c r="B3582" s="40"/>
      <c r="C3582" s="41"/>
      <c r="D3582" s="41"/>
      <c r="E3582" s="41"/>
      <c r="F3582" s="41"/>
      <c r="G3582" s="41"/>
      <c r="H3582" s="41"/>
      <c r="I3582" s="41"/>
      <c r="J3582" s="41"/>
      <c r="K3582" s="41"/>
      <c r="L3582" s="41"/>
      <c r="M3582" s="41"/>
      <c r="N3582" s="41"/>
      <c r="O3582" s="41"/>
      <c r="P3582" s="28"/>
    </row>
    <row r="3583" customFormat="1" spans="1:16">
      <c r="A3583" s="39"/>
      <c r="B3583" s="40"/>
      <c r="C3583" s="41"/>
      <c r="D3583" s="41"/>
      <c r="E3583" s="41"/>
      <c r="F3583" s="41"/>
      <c r="G3583" s="41"/>
      <c r="H3583" s="41"/>
      <c r="I3583" s="41"/>
      <c r="J3583" s="41"/>
      <c r="K3583" s="41"/>
      <c r="L3583" s="41"/>
      <c r="M3583" s="41"/>
      <c r="N3583" s="41"/>
      <c r="O3583" s="41"/>
      <c r="P3583" s="28"/>
    </row>
    <row r="3584" customFormat="1" spans="1:16">
      <c r="A3584" s="39"/>
      <c r="B3584" s="40"/>
      <c r="C3584" s="41"/>
      <c r="D3584" s="41"/>
      <c r="E3584" s="41"/>
      <c r="F3584" s="41"/>
      <c r="G3584" s="41"/>
      <c r="H3584" s="41"/>
      <c r="I3584" s="41"/>
      <c r="J3584" s="41"/>
      <c r="K3584" s="41"/>
      <c r="L3584" s="41"/>
      <c r="M3584" s="41"/>
      <c r="N3584" s="41"/>
      <c r="O3584" s="41"/>
      <c r="P3584" s="28"/>
    </row>
    <row r="3585" customFormat="1" spans="1:16">
      <c r="A3585" s="39"/>
      <c r="B3585" s="40"/>
      <c r="C3585" s="41"/>
      <c r="D3585" s="41"/>
      <c r="E3585" s="41"/>
      <c r="F3585" s="41"/>
      <c r="G3585" s="41"/>
      <c r="H3585" s="41"/>
      <c r="I3585" s="41"/>
      <c r="J3585" s="41"/>
      <c r="K3585" s="41"/>
      <c r="L3585" s="41"/>
      <c r="M3585" s="41"/>
      <c r="N3585" s="41"/>
      <c r="O3585" s="41"/>
      <c r="P3585" s="28"/>
    </row>
    <row r="3586" customFormat="1" spans="1:16">
      <c r="A3586" s="39"/>
      <c r="B3586" s="40"/>
      <c r="C3586" s="41"/>
      <c r="D3586" s="41"/>
      <c r="E3586" s="41"/>
      <c r="F3586" s="41"/>
      <c r="G3586" s="41"/>
      <c r="H3586" s="41"/>
      <c r="I3586" s="41"/>
      <c r="J3586" s="41"/>
      <c r="K3586" s="41"/>
      <c r="L3586" s="41"/>
      <c r="M3586" s="41"/>
      <c r="N3586" s="41"/>
      <c r="O3586" s="41"/>
      <c r="P3586" s="28"/>
    </row>
    <row r="3587" customFormat="1" spans="1:16">
      <c r="A3587" s="39"/>
      <c r="B3587" s="40"/>
      <c r="C3587" s="41"/>
      <c r="D3587" s="41"/>
      <c r="E3587" s="41"/>
      <c r="F3587" s="41"/>
      <c r="G3587" s="41"/>
      <c r="H3587" s="41"/>
      <c r="I3587" s="41"/>
      <c r="J3587" s="41"/>
      <c r="K3587" s="41"/>
      <c r="L3587" s="41"/>
      <c r="M3587" s="41"/>
      <c r="N3587" s="41"/>
      <c r="O3587" s="41"/>
      <c r="P3587" s="28"/>
    </row>
    <row r="3588" customFormat="1" spans="1:16">
      <c r="A3588" s="39"/>
      <c r="B3588" s="40"/>
      <c r="C3588" s="41"/>
      <c r="D3588" s="41"/>
      <c r="E3588" s="41"/>
      <c r="F3588" s="41"/>
      <c r="G3588" s="41"/>
      <c r="H3588" s="41"/>
      <c r="I3588" s="41"/>
      <c r="J3588" s="41"/>
      <c r="K3588" s="41"/>
      <c r="L3588" s="41"/>
      <c r="M3588" s="41"/>
      <c r="N3588" s="41"/>
      <c r="O3588" s="41"/>
      <c r="P3588" s="28"/>
    </row>
    <row r="3589" customFormat="1" spans="1:16">
      <c r="A3589" s="39"/>
      <c r="B3589" s="40"/>
      <c r="C3589" s="41"/>
      <c r="D3589" s="41"/>
      <c r="E3589" s="41"/>
      <c r="F3589" s="41"/>
      <c r="G3589" s="41"/>
      <c r="H3589" s="41"/>
      <c r="I3589" s="41"/>
      <c r="J3589" s="41"/>
      <c r="K3589" s="41"/>
      <c r="L3589" s="41"/>
      <c r="M3589" s="41"/>
      <c r="N3589" s="41"/>
      <c r="O3589" s="41"/>
      <c r="P3589" s="28"/>
    </row>
    <row r="3590" customFormat="1" spans="1:16">
      <c r="A3590" s="39"/>
      <c r="B3590" s="40"/>
      <c r="C3590" s="41"/>
      <c r="D3590" s="41"/>
      <c r="E3590" s="41"/>
      <c r="F3590" s="41"/>
      <c r="G3590" s="41"/>
      <c r="H3590" s="41"/>
      <c r="I3590" s="41"/>
      <c r="J3590" s="41"/>
      <c r="K3590" s="41"/>
      <c r="L3590" s="41"/>
      <c r="M3590" s="41"/>
      <c r="N3590" s="41"/>
      <c r="O3590" s="41"/>
      <c r="P3590" s="28"/>
    </row>
    <row r="3591" customFormat="1" spans="1:16">
      <c r="A3591" s="39"/>
      <c r="B3591" s="40"/>
      <c r="C3591" s="41"/>
      <c r="D3591" s="41"/>
      <c r="E3591" s="41"/>
      <c r="F3591" s="41"/>
      <c r="G3591" s="41"/>
      <c r="H3591" s="41"/>
      <c r="I3591" s="41"/>
      <c r="J3591" s="41"/>
      <c r="K3591" s="41"/>
      <c r="L3591" s="41"/>
      <c r="M3591" s="41"/>
      <c r="N3591" s="41"/>
      <c r="O3591" s="41"/>
      <c r="P3591" s="28"/>
    </row>
    <row r="3592" customFormat="1" spans="1:16">
      <c r="A3592" s="39"/>
      <c r="B3592" s="40"/>
      <c r="C3592" s="41"/>
      <c r="D3592" s="41"/>
      <c r="E3592" s="41"/>
      <c r="F3592" s="41"/>
      <c r="G3592" s="41"/>
      <c r="H3592" s="41"/>
      <c r="I3592" s="41"/>
      <c r="J3592" s="41"/>
      <c r="K3592" s="41"/>
      <c r="L3592" s="41"/>
      <c r="M3592" s="41"/>
      <c r="N3592" s="41"/>
      <c r="O3592" s="41"/>
      <c r="P3592" s="28"/>
    </row>
    <row r="3593" customFormat="1" spans="1:16">
      <c r="A3593" s="39"/>
      <c r="B3593" s="40"/>
      <c r="C3593" s="41"/>
      <c r="D3593" s="41"/>
      <c r="E3593" s="41"/>
      <c r="F3593" s="41"/>
      <c r="G3593" s="41"/>
      <c r="H3593" s="41"/>
      <c r="I3593" s="41"/>
      <c r="J3593" s="41"/>
      <c r="K3593" s="41"/>
      <c r="L3593" s="41"/>
      <c r="M3593" s="41"/>
      <c r="N3593" s="41"/>
      <c r="O3593" s="41"/>
      <c r="P3593" s="28"/>
    </row>
    <row r="3594" customFormat="1" spans="1:16">
      <c r="A3594" s="39"/>
      <c r="B3594" s="40"/>
      <c r="C3594" s="41"/>
      <c r="D3594" s="41"/>
      <c r="E3594" s="41"/>
      <c r="F3594" s="41"/>
      <c r="G3594" s="41"/>
      <c r="H3594" s="41"/>
      <c r="I3594" s="41"/>
      <c r="J3594" s="41"/>
      <c r="K3594" s="41"/>
      <c r="L3594" s="41"/>
      <c r="M3594" s="41"/>
      <c r="N3594" s="41"/>
      <c r="O3594" s="41"/>
      <c r="P3594" s="28"/>
    </row>
    <row r="3595" customFormat="1" spans="1:16">
      <c r="A3595" s="39"/>
      <c r="B3595" s="40"/>
      <c r="C3595" s="41"/>
      <c r="D3595" s="41"/>
      <c r="E3595" s="41"/>
      <c r="F3595" s="41"/>
      <c r="G3595" s="41"/>
      <c r="H3595" s="41"/>
      <c r="I3595" s="41"/>
      <c r="J3595" s="41"/>
      <c r="K3595" s="41"/>
      <c r="L3595" s="41"/>
      <c r="M3595" s="41"/>
      <c r="N3595" s="41"/>
      <c r="O3595" s="41"/>
      <c r="P3595" s="28"/>
    </row>
    <row r="3596" customFormat="1" spans="1:16">
      <c r="A3596" s="39"/>
      <c r="B3596" s="40"/>
      <c r="C3596" s="41"/>
      <c r="D3596" s="41"/>
      <c r="E3596" s="41"/>
      <c r="F3596" s="41"/>
      <c r="G3596" s="41"/>
      <c r="H3596" s="41"/>
      <c r="I3596" s="41"/>
      <c r="J3596" s="41"/>
      <c r="K3596" s="41"/>
      <c r="L3596" s="41"/>
      <c r="M3596" s="41"/>
      <c r="N3596" s="41"/>
      <c r="O3596" s="41"/>
      <c r="P3596" s="28"/>
    </row>
    <row r="3597" customFormat="1" spans="1:16">
      <c r="A3597" s="39"/>
      <c r="B3597" s="40"/>
      <c r="C3597" s="41"/>
      <c r="D3597" s="41"/>
      <c r="E3597" s="41"/>
      <c r="F3597" s="41"/>
      <c r="G3597" s="41"/>
      <c r="H3597" s="41"/>
      <c r="I3597" s="41"/>
      <c r="J3597" s="41"/>
      <c r="K3597" s="41"/>
      <c r="L3597" s="41"/>
      <c r="M3597" s="41"/>
      <c r="N3597" s="41"/>
      <c r="O3597" s="41"/>
      <c r="P3597" s="28"/>
    </row>
    <row r="3598" customFormat="1" spans="1:16">
      <c r="A3598" s="39"/>
      <c r="B3598" s="40"/>
      <c r="C3598" s="41"/>
      <c r="D3598" s="41"/>
      <c r="E3598" s="41"/>
      <c r="F3598" s="41"/>
      <c r="G3598" s="41"/>
      <c r="H3598" s="41"/>
      <c r="I3598" s="41"/>
      <c r="J3598" s="41"/>
      <c r="K3598" s="41"/>
      <c r="L3598" s="41"/>
      <c r="M3598" s="41"/>
      <c r="N3598" s="41"/>
      <c r="O3598" s="41"/>
      <c r="P3598" s="28"/>
    </row>
    <row r="3599" customFormat="1" spans="1:16">
      <c r="A3599" s="39"/>
      <c r="B3599" s="40"/>
      <c r="C3599" s="41"/>
      <c r="D3599" s="41"/>
      <c r="E3599" s="41"/>
      <c r="F3599" s="41"/>
      <c r="G3599" s="41"/>
      <c r="H3599" s="41"/>
      <c r="I3599" s="41"/>
      <c r="J3599" s="41"/>
      <c r="K3599" s="41"/>
      <c r="L3599" s="41"/>
      <c r="M3599" s="41"/>
      <c r="N3599" s="41"/>
      <c r="O3599" s="41"/>
      <c r="P3599" s="28"/>
    </row>
    <row r="3600" customFormat="1" spans="1:16">
      <c r="A3600" s="39"/>
      <c r="B3600" s="40"/>
      <c r="C3600" s="41"/>
      <c r="D3600" s="41"/>
      <c r="E3600" s="41"/>
      <c r="F3600" s="41"/>
      <c r="G3600" s="41"/>
      <c r="H3600" s="41"/>
      <c r="I3600" s="41"/>
      <c r="J3600" s="41"/>
      <c r="K3600" s="41"/>
      <c r="L3600" s="41"/>
      <c r="M3600" s="41"/>
      <c r="N3600" s="41"/>
      <c r="O3600" s="41"/>
      <c r="P3600" s="28"/>
    </row>
    <row r="3601" customFormat="1" spans="1:16">
      <c r="A3601" s="39"/>
      <c r="B3601" s="40"/>
      <c r="C3601" s="41"/>
      <c r="D3601" s="41"/>
      <c r="E3601" s="41"/>
      <c r="F3601" s="41"/>
      <c r="G3601" s="41"/>
      <c r="H3601" s="41"/>
      <c r="I3601" s="41"/>
      <c r="J3601" s="41"/>
      <c r="K3601" s="41"/>
      <c r="L3601" s="41"/>
      <c r="M3601" s="41"/>
      <c r="N3601" s="41"/>
      <c r="O3601" s="41"/>
      <c r="P3601" s="28"/>
    </row>
    <row r="3602" customFormat="1" spans="1:16">
      <c r="A3602" s="39"/>
      <c r="B3602" s="40"/>
      <c r="C3602" s="41"/>
      <c r="D3602" s="41"/>
      <c r="E3602" s="41"/>
      <c r="F3602" s="41"/>
      <c r="G3602" s="41"/>
      <c r="H3602" s="41"/>
      <c r="I3602" s="41"/>
      <c r="J3602" s="41"/>
      <c r="K3602" s="41"/>
      <c r="L3602" s="41"/>
      <c r="M3602" s="41"/>
      <c r="N3602" s="41"/>
      <c r="O3602" s="41"/>
      <c r="P3602" s="28"/>
    </row>
    <row r="3603" customFormat="1" spans="1:16">
      <c r="A3603" s="39"/>
      <c r="B3603" s="40"/>
      <c r="C3603" s="41"/>
      <c r="D3603" s="41"/>
      <c r="E3603" s="41"/>
      <c r="F3603" s="41"/>
      <c r="G3603" s="41"/>
      <c r="H3603" s="41"/>
      <c r="I3603" s="41"/>
      <c r="J3603" s="41"/>
      <c r="K3603" s="41"/>
      <c r="L3603" s="41"/>
      <c r="M3603" s="41"/>
      <c r="N3603" s="41"/>
      <c r="O3603" s="41"/>
      <c r="P3603" s="28"/>
    </row>
    <row r="3604" customFormat="1" spans="1:16">
      <c r="A3604" s="39"/>
      <c r="B3604" s="40"/>
      <c r="C3604" s="41"/>
      <c r="D3604" s="41"/>
      <c r="E3604" s="41"/>
      <c r="F3604" s="41"/>
      <c r="G3604" s="41"/>
      <c r="H3604" s="41"/>
      <c r="I3604" s="41"/>
      <c r="J3604" s="41"/>
      <c r="K3604" s="41"/>
      <c r="L3604" s="41"/>
      <c r="M3604" s="41"/>
      <c r="N3604" s="41"/>
      <c r="O3604" s="41"/>
      <c r="P3604" s="28"/>
    </row>
    <row r="3605" customFormat="1" spans="1:16">
      <c r="A3605" s="39"/>
      <c r="B3605" s="40"/>
      <c r="C3605" s="41"/>
      <c r="D3605" s="41"/>
      <c r="E3605" s="41"/>
      <c r="F3605" s="41"/>
      <c r="G3605" s="41"/>
      <c r="H3605" s="41"/>
      <c r="I3605" s="41"/>
      <c r="J3605" s="41"/>
      <c r="K3605" s="41"/>
      <c r="L3605" s="41"/>
      <c r="M3605" s="41"/>
      <c r="N3605" s="41"/>
      <c r="O3605" s="41"/>
      <c r="P3605" s="28"/>
    </row>
    <row r="3606" customFormat="1" spans="1:16">
      <c r="A3606" s="39"/>
      <c r="B3606" s="40"/>
      <c r="C3606" s="41"/>
      <c r="D3606" s="41"/>
      <c r="E3606" s="41"/>
      <c r="F3606" s="41"/>
      <c r="G3606" s="41"/>
      <c r="H3606" s="41"/>
      <c r="I3606" s="41"/>
      <c r="J3606" s="41"/>
      <c r="K3606" s="41"/>
      <c r="L3606" s="41"/>
      <c r="M3606" s="41"/>
      <c r="N3606" s="41"/>
      <c r="O3606" s="41"/>
      <c r="P3606" s="28"/>
    </row>
    <row r="3607" customFormat="1" spans="1:16">
      <c r="A3607" s="39"/>
      <c r="B3607" s="40"/>
      <c r="C3607" s="41"/>
      <c r="D3607" s="41"/>
      <c r="E3607" s="41"/>
      <c r="F3607" s="41"/>
      <c r="G3607" s="41"/>
      <c r="H3607" s="41"/>
      <c r="I3607" s="41"/>
      <c r="J3607" s="41"/>
      <c r="K3607" s="41"/>
      <c r="L3607" s="41"/>
      <c r="M3607" s="41"/>
      <c r="N3607" s="41"/>
      <c r="O3607" s="41"/>
      <c r="P3607" s="28"/>
    </row>
    <row r="3608" customFormat="1" spans="1:16">
      <c r="A3608" s="39"/>
      <c r="B3608" s="40"/>
      <c r="C3608" s="41"/>
      <c r="D3608" s="41"/>
      <c r="E3608" s="41"/>
      <c r="F3608" s="41"/>
      <c r="G3608" s="41"/>
      <c r="H3608" s="41"/>
      <c r="I3608" s="41"/>
      <c r="J3608" s="41"/>
      <c r="K3608" s="41"/>
      <c r="L3608" s="41"/>
      <c r="M3608" s="41"/>
      <c r="N3608" s="41"/>
      <c r="O3608" s="41"/>
      <c r="P3608" s="28"/>
    </row>
    <row r="3609" customFormat="1" spans="1:16">
      <c r="A3609" s="39"/>
      <c r="B3609" s="40"/>
      <c r="C3609" s="41"/>
      <c r="D3609" s="41"/>
      <c r="E3609" s="41"/>
      <c r="F3609" s="41"/>
      <c r="G3609" s="41"/>
      <c r="H3609" s="41"/>
      <c r="I3609" s="41"/>
      <c r="J3609" s="41"/>
      <c r="K3609" s="41"/>
      <c r="L3609" s="41"/>
      <c r="M3609" s="41"/>
      <c r="N3609" s="41"/>
      <c r="O3609" s="41"/>
      <c r="P3609" s="28"/>
    </row>
    <row r="3610" customFormat="1" spans="1:16">
      <c r="A3610" s="39"/>
      <c r="B3610" s="40"/>
      <c r="C3610" s="41"/>
      <c r="D3610" s="41"/>
      <c r="E3610" s="41"/>
      <c r="F3610" s="41"/>
      <c r="G3610" s="41"/>
      <c r="H3610" s="41"/>
      <c r="I3610" s="41"/>
      <c r="J3610" s="41"/>
      <c r="K3610" s="41"/>
      <c r="L3610" s="41"/>
      <c r="M3610" s="41"/>
      <c r="N3610" s="41"/>
      <c r="O3610" s="41"/>
      <c r="P3610" s="28"/>
    </row>
    <row r="3611" customFormat="1" spans="1:16">
      <c r="A3611" s="39"/>
      <c r="B3611" s="40"/>
      <c r="C3611" s="41"/>
      <c r="D3611" s="41"/>
      <c r="E3611" s="41"/>
      <c r="F3611" s="41"/>
      <c r="G3611" s="41"/>
      <c r="H3611" s="41"/>
      <c r="I3611" s="41"/>
      <c r="J3611" s="41"/>
      <c r="K3611" s="41"/>
      <c r="L3611" s="41"/>
      <c r="M3611" s="41"/>
      <c r="N3611" s="41"/>
      <c r="O3611" s="41"/>
      <c r="P3611" s="28"/>
    </row>
    <row r="3612" customFormat="1" spans="1:16">
      <c r="A3612" s="39"/>
      <c r="B3612" s="40"/>
      <c r="C3612" s="41"/>
      <c r="D3612" s="41"/>
      <c r="E3612" s="41"/>
      <c r="F3612" s="41"/>
      <c r="G3612" s="41"/>
      <c r="H3612" s="41"/>
      <c r="I3612" s="41"/>
      <c r="J3612" s="41"/>
      <c r="K3612" s="41"/>
      <c r="L3612" s="41"/>
      <c r="M3612" s="41"/>
      <c r="N3612" s="41"/>
      <c r="O3612" s="41"/>
      <c r="P3612" s="28"/>
    </row>
    <row r="3613" customFormat="1" spans="1:16">
      <c r="A3613" s="39"/>
      <c r="B3613" s="40"/>
      <c r="C3613" s="41"/>
      <c r="D3613" s="41"/>
      <c r="E3613" s="41"/>
      <c r="F3613" s="41"/>
      <c r="G3613" s="41"/>
      <c r="H3613" s="41"/>
      <c r="I3613" s="41"/>
      <c r="J3613" s="41"/>
      <c r="K3613" s="41"/>
      <c r="L3613" s="41"/>
      <c r="M3613" s="41"/>
      <c r="N3613" s="41"/>
      <c r="O3613" s="41"/>
      <c r="P3613" s="28"/>
    </row>
    <row r="3614" customFormat="1" spans="1:16">
      <c r="A3614" s="39"/>
      <c r="B3614" s="40"/>
      <c r="C3614" s="41"/>
      <c r="D3614" s="41"/>
      <c r="E3614" s="41"/>
      <c r="F3614" s="41"/>
      <c r="G3614" s="41"/>
      <c r="H3614" s="41"/>
      <c r="I3614" s="41"/>
      <c r="J3614" s="41"/>
      <c r="K3614" s="41"/>
      <c r="L3614" s="41"/>
      <c r="M3614" s="41"/>
      <c r="N3614" s="41"/>
      <c r="O3614" s="41"/>
      <c r="P3614" s="28"/>
    </row>
    <row r="3615" customFormat="1" spans="1:16">
      <c r="A3615" s="39"/>
      <c r="B3615" s="40"/>
      <c r="C3615" s="41"/>
      <c r="D3615" s="41"/>
      <c r="E3615" s="41"/>
      <c r="F3615" s="41"/>
      <c r="G3615" s="41"/>
      <c r="H3615" s="41"/>
      <c r="I3615" s="41"/>
      <c r="J3615" s="41"/>
      <c r="K3615" s="41"/>
      <c r="L3615" s="41"/>
      <c r="M3615" s="41"/>
      <c r="N3615" s="41"/>
      <c r="O3615" s="41"/>
      <c r="P3615" s="28"/>
    </row>
    <row r="3616" customFormat="1" spans="1:16">
      <c r="A3616" s="39"/>
      <c r="B3616" s="40"/>
      <c r="C3616" s="41"/>
      <c r="D3616" s="41"/>
      <c r="E3616" s="41"/>
      <c r="F3616" s="41"/>
      <c r="G3616" s="41"/>
      <c r="H3616" s="41"/>
      <c r="I3616" s="41"/>
      <c r="J3616" s="41"/>
      <c r="K3616" s="41"/>
      <c r="L3616" s="41"/>
      <c r="M3616" s="41"/>
      <c r="N3616" s="41"/>
      <c r="O3616" s="41"/>
      <c r="P3616" s="28"/>
    </row>
    <row r="3617" customFormat="1" spans="1:16">
      <c r="A3617" s="39"/>
      <c r="B3617" s="40"/>
      <c r="C3617" s="41"/>
      <c r="D3617" s="41"/>
      <c r="E3617" s="41"/>
      <c r="F3617" s="41"/>
      <c r="G3617" s="41"/>
      <c r="H3617" s="41"/>
      <c r="I3617" s="41"/>
      <c r="J3617" s="41"/>
      <c r="K3617" s="41"/>
      <c r="L3617" s="41"/>
      <c r="M3617" s="41"/>
      <c r="N3617" s="41"/>
      <c r="O3617" s="41"/>
      <c r="P3617" s="28"/>
    </row>
    <row r="3618" customFormat="1" spans="1:16">
      <c r="A3618" s="39"/>
      <c r="B3618" s="40"/>
      <c r="C3618" s="41"/>
      <c r="D3618" s="41"/>
      <c r="E3618" s="41"/>
      <c r="F3618" s="41"/>
      <c r="G3618" s="41"/>
      <c r="H3618" s="41"/>
      <c r="I3618" s="41"/>
      <c r="J3618" s="41"/>
      <c r="K3618" s="41"/>
      <c r="L3618" s="41"/>
      <c r="M3618" s="41"/>
      <c r="N3618" s="41"/>
      <c r="O3618" s="41"/>
      <c r="P3618" s="28"/>
    </row>
    <row r="3619" customFormat="1" spans="1:16">
      <c r="A3619" s="39"/>
      <c r="B3619" s="40"/>
      <c r="C3619" s="41"/>
      <c r="D3619" s="41"/>
      <c r="E3619" s="41"/>
      <c r="F3619" s="41"/>
      <c r="G3619" s="41"/>
      <c r="H3619" s="41"/>
      <c r="I3619" s="41"/>
      <c r="J3619" s="41"/>
      <c r="K3619" s="41"/>
      <c r="L3619" s="41"/>
      <c r="M3619" s="41"/>
      <c r="N3619" s="41"/>
      <c r="O3619" s="41"/>
      <c r="P3619" s="28"/>
    </row>
    <row r="3620" customFormat="1" spans="1:16">
      <c r="A3620" s="39"/>
      <c r="B3620" s="40"/>
      <c r="C3620" s="41"/>
      <c r="D3620" s="41"/>
      <c r="E3620" s="41"/>
      <c r="F3620" s="41"/>
      <c r="G3620" s="41"/>
      <c r="H3620" s="41"/>
      <c r="I3620" s="41"/>
      <c r="J3620" s="41"/>
      <c r="K3620" s="41"/>
      <c r="L3620" s="41"/>
      <c r="M3620" s="41"/>
      <c r="N3620" s="41"/>
      <c r="O3620" s="41"/>
      <c r="P3620" s="28"/>
    </row>
    <row r="3621" customFormat="1" spans="1:16">
      <c r="A3621" s="39"/>
      <c r="B3621" s="40"/>
      <c r="C3621" s="41"/>
      <c r="D3621" s="41"/>
      <c r="E3621" s="41"/>
      <c r="F3621" s="41"/>
      <c r="G3621" s="41"/>
      <c r="H3621" s="41"/>
      <c r="I3621" s="41"/>
      <c r="J3621" s="41"/>
      <c r="K3621" s="41"/>
      <c r="L3621" s="41"/>
      <c r="M3621" s="41"/>
      <c r="N3621" s="41"/>
      <c r="O3621" s="41"/>
      <c r="P3621" s="28"/>
    </row>
    <row r="3622" customFormat="1" spans="1:16">
      <c r="A3622" s="39"/>
      <c r="B3622" s="40"/>
      <c r="C3622" s="41"/>
      <c r="D3622" s="41"/>
      <c r="E3622" s="41"/>
      <c r="F3622" s="41"/>
      <c r="G3622" s="41"/>
      <c r="H3622" s="41"/>
      <c r="I3622" s="41"/>
      <c r="J3622" s="41"/>
      <c r="K3622" s="41"/>
      <c r="L3622" s="41"/>
      <c r="M3622" s="41"/>
      <c r="N3622" s="41"/>
      <c r="O3622" s="41"/>
      <c r="P3622" s="28"/>
    </row>
    <row r="3623" customFormat="1" spans="1:16">
      <c r="A3623" s="39"/>
      <c r="B3623" s="40"/>
      <c r="C3623" s="41"/>
      <c r="D3623" s="41"/>
      <c r="E3623" s="41"/>
      <c r="F3623" s="41"/>
      <c r="G3623" s="41"/>
      <c r="H3623" s="41"/>
      <c r="I3623" s="41"/>
      <c r="J3623" s="41"/>
      <c r="K3623" s="41"/>
      <c r="L3623" s="41"/>
      <c r="M3623" s="41"/>
      <c r="N3623" s="41"/>
      <c r="O3623" s="41"/>
      <c r="P3623" s="28"/>
    </row>
    <row r="3624" customFormat="1" spans="1:16">
      <c r="A3624" s="39"/>
      <c r="B3624" s="40"/>
      <c r="C3624" s="41"/>
      <c r="D3624" s="41"/>
      <c r="E3624" s="41"/>
      <c r="F3624" s="41"/>
      <c r="G3624" s="41"/>
      <c r="H3624" s="41"/>
      <c r="I3624" s="41"/>
      <c r="J3624" s="41"/>
      <c r="K3624" s="41"/>
      <c r="L3624" s="41"/>
      <c r="M3624" s="41"/>
      <c r="N3624" s="41"/>
      <c r="O3624" s="41"/>
      <c r="P3624" s="28"/>
    </row>
    <row r="3625" customFormat="1" spans="1:16">
      <c r="A3625" s="39"/>
      <c r="B3625" s="40"/>
      <c r="C3625" s="41"/>
      <c r="D3625" s="41"/>
      <c r="E3625" s="41"/>
      <c r="F3625" s="41"/>
      <c r="G3625" s="41"/>
      <c r="H3625" s="41"/>
      <c r="I3625" s="41"/>
      <c r="J3625" s="41"/>
      <c r="K3625" s="41"/>
      <c r="L3625" s="41"/>
      <c r="M3625" s="41"/>
      <c r="N3625" s="41"/>
      <c r="O3625" s="41"/>
      <c r="P3625" s="28"/>
    </row>
    <row r="3626" customFormat="1" spans="1:16">
      <c r="A3626" s="39"/>
      <c r="B3626" s="40"/>
      <c r="C3626" s="41"/>
      <c r="D3626" s="41"/>
      <c r="E3626" s="41"/>
      <c r="F3626" s="41"/>
      <c r="G3626" s="41"/>
      <c r="H3626" s="41"/>
      <c r="I3626" s="41"/>
      <c r="J3626" s="41"/>
      <c r="K3626" s="41"/>
      <c r="L3626" s="41"/>
      <c r="M3626" s="41"/>
      <c r="N3626" s="41"/>
      <c r="O3626" s="41"/>
      <c r="P3626" s="28"/>
    </row>
    <row r="3627" customFormat="1" spans="1:16">
      <c r="A3627" s="39"/>
      <c r="B3627" s="40"/>
      <c r="C3627" s="41"/>
      <c r="D3627" s="41"/>
      <c r="E3627" s="41"/>
      <c r="F3627" s="41"/>
      <c r="G3627" s="41"/>
      <c r="H3627" s="41"/>
      <c r="I3627" s="41"/>
      <c r="J3627" s="41"/>
      <c r="K3627" s="41"/>
      <c r="L3627" s="41"/>
      <c r="M3627" s="41"/>
      <c r="N3627" s="41"/>
      <c r="O3627" s="41"/>
      <c r="P3627" s="28"/>
    </row>
    <row r="3628" customFormat="1" spans="1:16">
      <c r="A3628" s="39"/>
      <c r="B3628" s="40"/>
      <c r="C3628" s="41"/>
      <c r="D3628" s="41"/>
      <c r="E3628" s="41"/>
      <c r="F3628" s="41"/>
      <c r="G3628" s="41"/>
      <c r="H3628" s="41"/>
      <c r="I3628" s="41"/>
      <c r="J3628" s="41"/>
      <c r="K3628" s="41"/>
      <c r="L3628" s="41"/>
      <c r="M3628" s="41"/>
      <c r="N3628" s="41"/>
      <c r="O3628" s="41"/>
      <c r="P3628" s="28"/>
    </row>
    <row r="3629" customFormat="1" spans="1:16">
      <c r="A3629" s="39"/>
      <c r="B3629" s="40"/>
      <c r="C3629" s="41"/>
      <c r="D3629" s="41"/>
      <c r="E3629" s="41"/>
      <c r="F3629" s="41"/>
      <c r="G3629" s="41"/>
      <c r="H3629" s="41"/>
      <c r="I3629" s="41"/>
      <c r="J3629" s="41"/>
      <c r="K3629" s="41"/>
      <c r="L3629" s="41"/>
      <c r="M3629" s="41"/>
      <c r="N3629" s="41"/>
      <c r="O3629" s="41"/>
      <c r="P3629" s="28"/>
    </row>
    <row r="3630" customFormat="1" spans="1:16">
      <c r="A3630" s="39"/>
      <c r="B3630" s="40"/>
      <c r="C3630" s="41"/>
      <c r="D3630" s="41"/>
      <c r="E3630" s="41"/>
      <c r="F3630" s="41"/>
      <c r="G3630" s="41"/>
      <c r="H3630" s="41"/>
      <c r="I3630" s="41"/>
      <c r="J3630" s="41"/>
      <c r="K3630" s="41"/>
      <c r="L3630" s="41"/>
      <c r="M3630" s="41"/>
      <c r="N3630" s="41"/>
      <c r="O3630" s="41"/>
      <c r="P3630" s="28"/>
    </row>
    <row r="3631" customFormat="1" spans="1:16">
      <c r="A3631" s="39"/>
      <c r="B3631" s="40"/>
      <c r="C3631" s="41"/>
      <c r="D3631" s="41"/>
      <c r="E3631" s="41"/>
      <c r="F3631" s="41"/>
      <c r="G3631" s="41"/>
      <c r="H3631" s="41"/>
      <c r="I3631" s="41"/>
      <c r="J3631" s="41"/>
      <c r="K3631" s="41"/>
      <c r="L3631" s="41"/>
      <c r="M3631" s="41"/>
      <c r="N3631" s="41"/>
      <c r="O3631" s="41"/>
      <c r="P3631" s="28"/>
    </row>
    <row r="3632" customFormat="1" spans="1:16">
      <c r="A3632" s="39"/>
      <c r="B3632" s="40"/>
      <c r="C3632" s="41"/>
      <c r="D3632" s="41"/>
      <c r="E3632" s="41"/>
      <c r="F3632" s="41"/>
      <c r="G3632" s="41"/>
      <c r="H3632" s="41"/>
      <c r="I3632" s="41"/>
      <c r="J3632" s="41"/>
      <c r="K3632" s="41"/>
      <c r="L3632" s="41"/>
      <c r="M3632" s="41"/>
      <c r="N3632" s="41"/>
      <c r="O3632" s="41"/>
      <c r="P3632" s="28"/>
    </row>
    <row r="3633" customFormat="1" spans="1:16">
      <c r="A3633" s="39"/>
      <c r="B3633" s="40"/>
      <c r="C3633" s="41"/>
      <c r="D3633" s="41"/>
      <c r="E3633" s="41"/>
      <c r="F3633" s="41"/>
      <c r="G3633" s="41"/>
      <c r="H3633" s="41"/>
      <c r="I3633" s="41"/>
      <c r="J3633" s="41"/>
      <c r="K3633" s="41"/>
      <c r="L3633" s="41"/>
      <c r="M3633" s="41"/>
      <c r="N3633" s="41"/>
      <c r="O3633" s="41"/>
      <c r="P3633" s="28"/>
    </row>
    <row r="3634" customFormat="1" spans="1:16">
      <c r="A3634" s="39"/>
      <c r="B3634" s="40"/>
      <c r="C3634" s="41"/>
      <c r="D3634" s="41"/>
      <c r="E3634" s="41"/>
      <c r="F3634" s="41"/>
      <c r="G3634" s="41"/>
      <c r="H3634" s="41"/>
      <c r="I3634" s="41"/>
      <c r="J3634" s="41"/>
      <c r="K3634" s="41"/>
      <c r="L3634" s="41"/>
      <c r="M3634" s="41"/>
      <c r="N3634" s="41"/>
      <c r="O3634" s="41"/>
      <c r="P3634" s="28"/>
    </row>
    <row r="3635" customFormat="1" spans="1:16">
      <c r="A3635" s="39"/>
      <c r="B3635" s="40"/>
      <c r="C3635" s="41"/>
      <c r="D3635" s="41"/>
      <c r="E3635" s="41"/>
      <c r="F3635" s="41"/>
      <c r="G3635" s="41"/>
      <c r="H3635" s="41"/>
      <c r="I3635" s="41"/>
      <c r="J3635" s="41"/>
      <c r="K3635" s="41"/>
      <c r="L3635" s="41"/>
      <c r="M3635" s="41"/>
      <c r="N3635" s="41"/>
      <c r="O3635" s="41"/>
      <c r="P3635" s="28"/>
    </row>
    <row r="3636" customFormat="1" spans="1:16">
      <c r="A3636" s="39"/>
      <c r="B3636" s="40"/>
      <c r="C3636" s="41"/>
      <c r="D3636" s="41"/>
      <c r="E3636" s="41"/>
      <c r="F3636" s="41"/>
      <c r="G3636" s="41"/>
      <c r="H3636" s="41"/>
      <c r="I3636" s="41"/>
      <c r="J3636" s="41"/>
      <c r="K3636" s="41"/>
      <c r="L3636" s="41"/>
      <c r="M3636" s="41"/>
      <c r="N3636" s="41"/>
      <c r="O3636" s="41"/>
      <c r="P3636" s="28"/>
    </row>
    <row r="3637" customFormat="1" spans="1:16">
      <c r="A3637" s="39"/>
      <c r="B3637" s="40"/>
      <c r="C3637" s="41"/>
      <c r="D3637" s="41"/>
      <c r="E3637" s="41"/>
      <c r="F3637" s="41"/>
      <c r="G3637" s="41"/>
      <c r="H3637" s="41"/>
      <c r="I3637" s="41"/>
      <c r="J3637" s="41"/>
      <c r="K3637" s="41"/>
      <c r="L3637" s="41"/>
      <c r="M3637" s="41"/>
      <c r="N3637" s="41"/>
      <c r="O3637" s="41"/>
      <c r="P3637" s="28"/>
    </row>
    <row r="3638" customFormat="1" spans="1:16">
      <c r="A3638" s="39"/>
      <c r="B3638" s="40"/>
      <c r="C3638" s="41"/>
      <c r="D3638" s="41"/>
      <c r="E3638" s="41"/>
      <c r="F3638" s="41"/>
      <c r="G3638" s="41"/>
      <c r="H3638" s="41"/>
      <c r="I3638" s="41"/>
      <c r="J3638" s="41"/>
      <c r="K3638" s="41"/>
      <c r="L3638" s="41"/>
      <c r="M3638" s="41"/>
      <c r="N3638" s="41"/>
      <c r="O3638" s="41"/>
      <c r="P3638" s="28"/>
    </row>
    <row r="3639" customFormat="1" spans="1:16">
      <c r="A3639" s="39"/>
      <c r="B3639" s="40"/>
      <c r="C3639" s="41"/>
      <c r="D3639" s="41"/>
      <c r="E3639" s="41"/>
      <c r="F3639" s="41"/>
      <c r="G3639" s="41"/>
      <c r="H3639" s="41"/>
      <c r="I3639" s="41"/>
      <c r="J3639" s="41"/>
      <c r="K3639" s="41"/>
      <c r="L3639" s="41"/>
      <c r="M3639" s="41"/>
      <c r="N3639" s="41"/>
      <c r="O3639" s="41"/>
      <c r="P3639" s="28"/>
    </row>
    <row r="3640" customFormat="1" spans="1:16">
      <c r="A3640" s="39"/>
      <c r="B3640" s="40"/>
      <c r="C3640" s="41"/>
      <c r="D3640" s="41"/>
      <c r="E3640" s="41"/>
      <c r="F3640" s="41"/>
      <c r="G3640" s="41"/>
      <c r="H3640" s="41"/>
      <c r="I3640" s="41"/>
      <c r="J3640" s="41"/>
      <c r="K3640" s="41"/>
      <c r="L3640" s="41"/>
      <c r="M3640" s="41"/>
      <c r="N3640" s="41"/>
      <c r="O3640" s="41"/>
      <c r="P3640" s="28"/>
    </row>
    <row r="3641" customFormat="1" spans="1:16">
      <c r="A3641" s="39"/>
      <c r="B3641" s="40"/>
      <c r="C3641" s="41"/>
      <c r="D3641" s="41"/>
      <c r="E3641" s="41"/>
      <c r="F3641" s="41"/>
      <c r="G3641" s="41"/>
      <c r="H3641" s="41"/>
      <c r="I3641" s="41"/>
      <c r="J3641" s="41"/>
      <c r="K3641" s="41"/>
      <c r="L3641" s="41"/>
      <c r="M3641" s="41"/>
      <c r="N3641" s="41"/>
      <c r="O3641" s="41"/>
      <c r="P3641" s="28"/>
    </row>
    <row r="3642" customFormat="1" spans="1:16">
      <c r="A3642" s="39"/>
      <c r="B3642" s="40"/>
      <c r="C3642" s="41"/>
      <c r="D3642" s="41"/>
      <c r="E3642" s="41"/>
      <c r="F3642" s="41"/>
      <c r="G3642" s="41"/>
      <c r="H3642" s="41"/>
      <c r="I3642" s="41"/>
      <c r="J3642" s="41"/>
      <c r="K3642" s="41"/>
      <c r="L3642" s="41"/>
      <c r="M3642" s="41"/>
      <c r="N3642" s="41"/>
      <c r="O3642" s="41"/>
      <c r="P3642" s="28"/>
    </row>
    <row r="3643" customFormat="1" spans="1:16">
      <c r="A3643" s="39"/>
      <c r="B3643" s="40"/>
      <c r="C3643" s="41"/>
      <c r="D3643" s="41"/>
      <c r="E3643" s="41"/>
      <c r="F3643" s="41"/>
      <c r="G3643" s="41"/>
      <c r="H3643" s="41"/>
      <c r="I3643" s="41"/>
      <c r="J3643" s="41"/>
      <c r="K3643" s="41"/>
      <c r="L3643" s="41"/>
      <c r="M3643" s="41"/>
      <c r="N3643" s="41"/>
      <c r="O3643" s="41"/>
      <c r="P3643" s="28"/>
    </row>
    <row r="3644" customFormat="1" spans="1:16">
      <c r="A3644" s="39"/>
      <c r="B3644" s="40"/>
      <c r="C3644" s="41"/>
      <c r="D3644" s="41"/>
      <c r="E3644" s="41"/>
      <c r="F3644" s="41"/>
      <c r="G3644" s="41"/>
      <c r="H3644" s="41"/>
      <c r="I3644" s="41"/>
      <c r="J3644" s="41"/>
      <c r="K3644" s="41"/>
      <c r="L3644" s="41"/>
      <c r="M3644" s="41"/>
      <c r="N3644" s="41"/>
      <c r="O3644" s="41"/>
      <c r="P3644" s="28"/>
    </row>
    <row r="3645" customFormat="1" spans="1:16">
      <c r="A3645" s="39"/>
      <c r="B3645" s="40"/>
      <c r="C3645" s="41"/>
      <c r="D3645" s="41"/>
      <c r="E3645" s="41"/>
      <c r="F3645" s="41"/>
      <c r="G3645" s="41"/>
      <c r="H3645" s="41"/>
      <c r="I3645" s="41"/>
      <c r="J3645" s="41"/>
      <c r="K3645" s="41"/>
      <c r="L3645" s="41"/>
      <c r="M3645" s="41"/>
      <c r="N3645" s="41"/>
      <c r="O3645" s="41"/>
      <c r="P3645" s="28"/>
    </row>
    <row r="3646" customFormat="1" spans="1:16">
      <c r="A3646" s="39"/>
      <c r="B3646" s="40"/>
      <c r="C3646" s="41"/>
      <c r="D3646" s="41"/>
      <c r="E3646" s="41"/>
      <c r="F3646" s="41"/>
      <c r="G3646" s="41"/>
      <c r="H3646" s="41"/>
      <c r="I3646" s="41"/>
      <c r="J3646" s="41"/>
      <c r="K3646" s="41"/>
      <c r="L3646" s="41"/>
      <c r="M3646" s="41"/>
      <c r="N3646" s="41"/>
      <c r="O3646" s="41"/>
      <c r="P3646" s="28"/>
    </row>
    <row r="3647" customFormat="1" spans="1:16">
      <c r="A3647" s="39"/>
      <c r="B3647" s="40"/>
      <c r="C3647" s="41"/>
      <c r="D3647" s="41"/>
      <c r="E3647" s="41"/>
      <c r="F3647" s="41"/>
      <c r="G3647" s="41"/>
      <c r="H3647" s="41"/>
      <c r="I3647" s="41"/>
      <c r="J3647" s="41"/>
      <c r="K3647" s="41"/>
      <c r="L3647" s="41"/>
      <c r="M3647" s="41"/>
      <c r="N3647" s="41"/>
      <c r="O3647" s="41"/>
      <c r="P3647" s="28"/>
    </row>
    <row r="3648" customFormat="1" spans="1:16">
      <c r="A3648" s="39"/>
      <c r="B3648" s="40"/>
      <c r="C3648" s="41"/>
      <c r="D3648" s="41"/>
      <c r="E3648" s="41"/>
      <c r="F3648" s="41"/>
      <c r="G3648" s="41"/>
      <c r="H3648" s="41"/>
      <c r="I3648" s="41"/>
      <c r="J3648" s="41"/>
      <c r="K3648" s="41"/>
      <c r="L3648" s="41"/>
      <c r="M3648" s="41"/>
      <c r="N3648" s="41"/>
      <c r="O3648" s="41"/>
      <c r="P3648" s="28"/>
    </row>
    <row r="3649" customFormat="1" spans="1:16">
      <c r="A3649" s="39"/>
      <c r="B3649" s="40"/>
      <c r="C3649" s="41"/>
      <c r="D3649" s="41"/>
      <c r="E3649" s="41"/>
      <c r="F3649" s="41"/>
      <c r="G3649" s="41"/>
      <c r="H3649" s="41"/>
      <c r="I3649" s="41"/>
      <c r="J3649" s="41"/>
      <c r="K3649" s="41"/>
      <c r="L3649" s="41"/>
      <c r="M3649" s="41"/>
      <c r="N3649" s="41"/>
      <c r="O3649" s="41"/>
      <c r="P3649" s="28"/>
    </row>
    <row r="3650" customFormat="1" spans="1:16">
      <c r="A3650" s="39"/>
      <c r="B3650" s="40"/>
      <c r="C3650" s="41"/>
      <c r="D3650" s="41"/>
      <c r="E3650" s="41"/>
      <c r="F3650" s="41"/>
      <c r="G3650" s="41"/>
      <c r="H3650" s="41"/>
      <c r="I3650" s="41"/>
      <c r="J3650" s="41"/>
      <c r="K3650" s="41"/>
      <c r="L3650" s="41"/>
      <c r="M3650" s="41"/>
      <c r="N3650" s="41"/>
      <c r="O3650" s="41"/>
      <c r="P3650" s="28"/>
    </row>
    <row r="3651" customFormat="1" spans="1:16">
      <c r="A3651" s="39"/>
      <c r="B3651" s="40"/>
      <c r="C3651" s="41"/>
      <c r="D3651" s="41"/>
      <c r="E3651" s="41"/>
      <c r="F3651" s="41"/>
      <c r="G3651" s="41"/>
      <c r="H3651" s="41"/>
      <c r="I3651" s="41"/>
      <c r="J3651" s="41"/>
      <c r="K3651" s="41"/>
      <c r="L3651" s="41"/>
      <c r="M3651" s="41"/>
      <c r="N3651" s="41"/>
      <c r="O3651" s="41"/>
      <c r="P3651" s="28"/>
    </row>
    <row r="3652" customFormat="1" spans="1:16">
      <c r="A3652" s="39"/>
      <c r="B3652" s="40"/>
      <c r="C3652" s="41"/>
      <c r="D3652" s="41"/>
      <c r="E3652" s="41"/>
      <c r="F3652" s="41"/>
      <c r="G3652" s="41"/>
      <c r="H3652" s="41"/>
      <c r="I3652" s="41"/>
      <c r="J3652" s="41"/>
      <c r="K3652" s="41"/>
      <c r="L3652" s="41"/>
      <c r="M3652" s="41"/>
      <c r="N3652" s="41"/>
      <c r="O3652" s="41"/>
      <c r="P3652" s="28"/>
    </row>
    <row r="3653" customFormat="1" spans="1:16">
      <c r="A3653" s="39"/>
      <c r="B3653" s="40"/>
      <c r="C3653" s="41"/>
      <c r="D3653" s="41"/>
      <c r="E3653" s="41"/>
      <c r="F3653" s="41"/>
      <c r="G3653" s="41"/>
      <c r="H3653" s="41"/>
      <c r="I3653" s="41"/>
      <c r="J3653" s="41"/>
      <c r="K3653" s="41"/>
      <c r="L3653" s="41"/>
      <c r="M3653" s="41"/>
      <c r="N3653" s="41"/>
      <c r="O3653" s="41"/>
      <c r="P3653" s="28"/>
    </row>
    <row r="3654" customFormat="1" spans="1:16">
      <c r="A3654" s="39"/>
      <c r="B3654" s="40"/>
      <c r="C3654" s="41"/>
      <c r="D3654" s="41"/>
      <c r="E3654" s="41"/>
      <c r="F3654" s="41"/>
      <c r="G3654" s="41"/>
      <c r="H3654" s="41"/>
      <c r="I3654" s="41"/>
      <c r="J3654" s="41"/>
      <c r="K3654" s="41"/>
      <c r="L3654" s="41"/>
      <c r="M3654" s="41"/>
      <c r="N3654" s="41"/>
      <c r="O3654" s="41"/>
      <c r="P3654" s="28"/>
    </row>
    <row r="3655" customFormat="1" spans="1:16">
      <c r="A3655" s="39"/>
      <c r="B3655" s="40"/>
      <c r="C3655" s="41"/>
      <c r="D3655" s="41"/>
      <c r="E3655" s="41"/>
      <c r="F3655" s="41"/>
      <c r="G3655" s="41"/>
      <c r="H3655" s="41"/>
      <c r="I3655" s="41"/>
      <c r="J3655" s="41"/>
      <c r="K3655" s="41"/>
      <c r="L3655" s="41"/>
      <c r="M3655" s="41"/>
      <c r="N3655" s="41"/>
      <c r="O3655" s="41"/>
      <c r="P3655" s="28"/>
    </row>
    <row r="3656" customFormat="1" spans="1:16">
      <c r="A3656" s="39"/>
      <c r="B3656" s="40"/>
      <c r="C3656" s="41"/>
      <c r="D3656" s="41"/>
      <c r="E3656" s="41"/>
      <c r="F3656" s="41"/>
      <c r="G3656" s="41"/>
      <c r="H3656" s="41"/>
      <c r="I3656" s="41"/>
      <c r="J3656" s="41"/>
      <c r="K3656" s="41"/>
      <c r="L3656" s="41"/>
      <c r="M3656" s="41"/>
      <c r="N3656" s="41"/>
      <c r="O3656" s="41"/>
      <c r="P3656" s="28"/>
    </row>
    <row r="3657" customFormat="1" spans="1:16">
      <c r="A3657" s="39"/>
      <c r="B3657" s="40"/>
      <c r="C3657" s="41"/>
      <c r="D3657" s="41"/>
      <c r="E3657" s="41"/>
      <c r="F3657" s="41"/>
      <c r="G3657" s="41"/>
      <c r="H3657" s="41"/>
      <c r="I3657" s="41"/>
      <c r="J3657" s="41"/>
      <c r="K3657" s="41"/>
      <c r="L3657" s="41"/>
      <c r="M3657" s="41"/>
      <c r="N3657" s="41"/>
      <c r="O3657" s="41"/>
      <c r="P3657" s="28"/>
    </row>
    <row r="3658" customFormat="1" spans="1:16">
      <c r="A3658" s="39"/>
      <c r="B3658" s="40"/>
      <c r="C3658" s="41"/>
      <c r="D3658" s="41"/>
      <c r="E3658" s="41"/>
      <c r="F3658" s="41"/>
      <c r="G3658" s="41"/>
      <c r="H3658" s="41"/>
      <c r="I3658" s="41"/>
      <c r="J3658" s="41"/>
      <c r="K3658" s="41"/>
      <c r="L3658" s="41"/>
      <c r="M3658" s="41"/>
      <c r="N3658" s="41"/>
      <c r="O3658" s="41"/>
      <c r="P3658" s="28"/>
    </row>
    <row r="3659" customFormat="1" spans="1:16">
      <c r="A3659" s="39"/>
      <c r="B3659" s="40"/>
      <c r="C3659" s="41"/>
      <c r="D3659" s="41"/>
      <c r="E3659" s="41"/>
      <c r="F3659" s="41"/>
      <c r="G3659" s="41"/>
      <c r="H3659" s="41"/>
      <c r="I3659" s="41"/>
      <c r="J3659" s="41"/>
      <c r="K3659" s="41"/>
      <c r="L3659" s="41"/>
      <c r="M3659" s="41"/>
      <c r="N3659" s="41"/>
      <c r="O3659" s="41"/>
      <c r="P3659" s="28"/>
    </row>
    <row r="3660" customFormat="1" spans="1:16">
      <c r="A3660" s="39"/>
      <c r="B3660" s="40"/>
      <c r="C3660" s="41"/>
      <c r="D3660" s="41"/>
      <c r="E3660" s="41"/>
      <c r="F3660" s="41"/>
      <c r="G3660" s="41"/>
      <c r="H3660" s="41"/>
      <c r="I3660" s="41"/>
      <c r="J3660" s="41"/>
      <c r="K3660" s="41"/>
      <c r="L3660" s="41"/>
      <c r="M3660" s="41"/>
      <c r="N3660" s="41"/>
      <c r="O3660" s="41"/>
      <c r="P3660" s="28"/>
    </row>
    <row r="3661" customFormat="1" spans="1:16">
      <c r="A3661" s="39"/>
      <c r="B3661" s="40"/>
      <c r="C3661" s="41"/>
      <c r="D3661" s="41"/>
      <c r="E3661" s="41"/>
      <c r="F3661" s="41"/>
      <c r="G3661" s="41"/>
      <c r="H3661" s="41"/>
      <c r="I3661" s="41"/>
      <c r="J3661" s="41"/>
      <c r="K3661" s="41"/>
      <c r="L3661" s="41"/>
      <c r="M3661" s="41"/>
      <c r="N3661" s="41"/>
      <c r="O3661" s="41"/>
      <c r="P3661" s="28"/>
    </row>
    <row r="3662" customFormat="1" spans="1:16">
      <c r="A3662" s="39"/>
      <c r="B3662" s="40"/>
      <c r="C3662" s="41"/>
      <c r="D3662" s="41"/>
      <c r="E3662" s="41"/>
      <c r="F3662" s="41"/>
      <c r="G3662" s="41"/>
      <c r="H3662" s="41"/>
      <c r="I3662" s="41"/>
      <c r="J3662" s="41"/>
      <c r="K3662" s="41"/>
      <c r="L3662" s="41"/>
      <c r="M3662" s="41"/>
      <c r="N3662" s="41"/>
      <c r="O3662" s="41"/>
      <c r="P3662" s="28"/>
    </row>
    <row r="3663" customFormat="1" spans="1:16">
      <c r="A3663" s="39"/>
      <c r="B3663" s="40"/>
      <c r="C3663" s="41"/>
      <c r="D3663" s="41"/>
      <c r="E3663" s="41"/>
      <c r="F3663" s="41"/>
      <c r="G3663" s="41"/>
      <c r="H3663" s="41"/>
      <c r="I3663" s="41"/>
      <c r="J3663" s="41"/>
      <c r="K3663" s="41"/>
      <c r="L3663" s="41"/>
      <c r="M3663" s="41"/>
      <c r="N3663" s="41"/>
      <c r="O3663" s="41"/>
      <c r="P3663" s="28"/>
    </row>
    <row r="3664" customFormat="1" spans="1:16">
      <c r="A3664" s="39"/>
      <c r="B3664" s="40"/>
      <c r="C3664" s="41"/>
      <c r="D3664" s="41"/>
      <c r="E3664" s="41"/>
      <c r="F3664" s="41"/>
      <c r="G3664" s="41"/>
      <c r="H3664" s="41"/>
      <c r="I3664" s="41"/>
      <c r="J3664" s="41"/>
      <c r="K3664" s="41"/>
      <c r="L3664" s="41"/>
      <c r="M3664" s="41"/>
      <c r="N3664" s="41"/>
      <c r="O3664" s="41"/>
      <c r="P3664" s="28"/>
    </row>
    <row r="3665" customFormat="1" spans="1:16">
      <c r="A3665" s="39"/>
      <c r="B3665" s="40"/>
      <c r="C3665" s="41"/>
      <c r="D3665" s="41"/>
      <c r="E3665" s="41"/>
      <c r="F3665" s="41"/>
      <c r="G3665" s="41"/>
      <c r="H3665" s="41"/>
      <c r="I3665" s="41"/>
      <c r="J3665" s="41"/>
      <c r="K3665" s="41"/>
      <c r="L3665" s="41"/>
      <c r="M3665" s="41"/>
      <c r="N3665" s="41"/>
      <c r="O3665" s="41"/>
      <c r="P3665" s="28"/>
    </row>
    <row r="3666" customFormat="1" spans="1:16">
      <c r="A3666" s="39"/>
      <c r="B3666" s="40"/>
      <c r="C3666" s="41"/>
      <c r="D3666" s="41"/>
      <c r="E3666" s="41"/>
      <c r="F3666" s="41"/>
      <c r="G3666" s="41"/>
      <c r="H3666" s="41"/>
      <c r="I3666" s="41"/>
      <c r="J3666" s="41"/>
      <c r="K3666" s="41"/>
      <c r="L3666" s="41"/>
      <c r="M3666" s="41"/>
      <c r="N3666" s="41"/>
      <c r="O3666" s="41"/>
      <c r="P3666" s="28"/>
    </row>
    <row r="3667" customFormat="1" spans="1:16">
      <c r="A3667" s="39"/>
      <c r="B3667" s="40"/>
      <c r="C3667" s="41"/>
      <c r="D3667" s="41"/>
      <c r="E3667" s="41"/>
      <c r="F3667" s="41"/>
      <c r="G3667" s="41"/>
      <c r="H3667" s="41"/>
      <c r="I3667" s="41"/>
      <c r="J3667" s="41"/>
      <c r="K3667" s="41"/>
      <c r="L3667" s="41"/>
      <c r="M3667" s="41"/>
      <c r="N3667" s="41"/>
      <c r="O3667" s="41"/>
      <c r="P3667" s="28"/>
    </row>
    <row r="3668" customFormat="1" spans="1:16">
      <c r="A3668" s="39"/>
      <c r="B3668" s="40"/>
      <c r="C3668" s="41"/>
      <c r="D3668" s="41"/>
      <c r="E3668" s="41"/>
      <c r="F3668" s="41"/>
      <c r="G3668" s="41"/>
      <c r="H3668" s="41"/>
      <c r="I3668" s="41"/>
      <c r="J3668" s="41"/>
      <c r="K3668" s="41"/>
      <c r="L3668" s="41"/>
      <c r="M3668" s="41"/>
      <c r="N3668" s="41"/>
      <c r="O3668" s="41"/>
      <c r="P3668" s="28"/>
    </row>
    <row r="3669" customFormat="1" spans="1:16">
      <c r="A3669" s="39"/>
      <c r="B3669" s="40"/>
      <c r="C3669" s="41"/>
      <c r="D3669" s="41"/>
      <c r="E3669" s="41"/>
      <c r="F3669" s="41"/>
      <c r="G3669" s="41"/>
      <c r="H3669" s="41"/>
      <c r="I3669" s="41"/>
      <c r="J3669" s="41"/>
      <c r="K3669" s="41"/>
      <c r="L3669" s="41"/>
      <c r="M3669" s="41"/>
      <c r="N3669" s="41"/>
      <c r="O3669" s="41"/>
      <c r="P3669" s="28"/>
    </row>
    <row r="3670" customFormat="1" spans="1:16">
      <c r="A3670" s="39"/>
      <c r="B3670" s="40"/>
      <c r="C3670" s="41"/>
      <c r="D3670" s="41"/>
      <c r="E3670" s="41"/>
      <c r="F3670" s="41"/>
      <c r="G3670" s="41"/>
      <c r="H3670" s="41"/>
      <c r="I3670" s="41"/>
      <c r="J3670" s="41"/>
      <c r="K3670" s="41"/>
      <c r="L3670" s="41"/>
      <c r="M3670" s="41"/>
      <c r="N3670" s="41"/>
      <c r="O3670" s="41"/>
      <c r="P3670" s="28"/>
    </row>
    <row r="3671" customFormat="1" spans="1:16">
      <c r="A3671" s="39"/>
      <c r="B3671" s="40"/>
      <c r="C3671" s="41"/>
      <c r="D3671" s="41"/>
      <c r="E3671" s="41"/>
      <c r="F3671" s="41"/>
      <c r="G3671" s="41"/>
      <c r="H3671" s="41"/>
      <c r="I3671" s="41"/>
      <c r="J3671" s="41"/>
      <c r="K3671" s="41"/>
      <c r="L3671" s="41"/>
      <c r="M3671" s="41"/>
      <c r="N3671" s="41"/>
      <c r="O3671" s="41"/>
      <c r="P3671" s="28"/>
    </row>
    <row r="3672" customFormat="1" spans="1:16">
      <c r="A3672" s="39"/>
      <c r="B3672" s="40"/>
      <c r="C3672" s="41"/>
      <c r="D3672" s="41"/>
      <c r="E3672" s="41"/>
      <c r="F3672" s="41"/>
      <c r="G3672" s="41"/>
      <c r="H3672" s="41"/>
      <c r="I3672" s="41"/>
      <c r="J3672" s="41"/>
      <c r="K3672" s="41"/>
      <c r="L3672" s="41"/>
      <c r="M3672" s="41"/>
      <c r="N3672" s="41"/>
      <c r="O3672" s="41"/>
      <c r="P3672" s="28"/>
    </row>
    <row r="3673" customFormat="1" spans="1:16">
      <c r="A3673" s="39"/>
      <c r="B3673" s="40"/>
      <c r="C3673" s="41"/>
      <c r="D3673" s="41"/>
      <c r="E3673" s="41"/>
      <c r="F3673" s="41"/>
      <c r="G3673" s="41"/>
      <c r="H3673" s="41"/>
      <c r="I3673" s="41"/>
      <c r="J3673" s="41"/>
      <c r="K3673" s="41"/>
      <c r="L3673" s="41"/>
      <c r="M3673" s="41"/>
      <c r="N3673" s="41"/>
      <c r="O3673" s="41"/>
      <c r="P3673" s="28"/>
    </row>
    <row r="3674" customFormat="1" spans="1:16">
      <c r="A3674" s="39"/>
      <c r="B3674" s="40"/>
      <c r="C3674" s="41"/>
      <c r="D3674" s="41"/>
      <c r="E3674" s="41"/>
      <c r="F3674" s="41"/>
      <c r="G3674" s="41"/>
      <c r="H3674" s="41"/>
      <c r="I3674" s="41"/>
      <c r="J3674" s="41"/>
      <c r="K3674" s="41"/>
      <c r="L3674" s="41"/>
      <c r="M3674" s="41"/>
      <c r="N3674" s="41"/>
      <c r="O3674" s="41"/>
      <c r="P3674" s="28"/>
    </row>
    <row r="3675" customFormat="1" spans="1:16">
      <c r="A3675" s="39"/>
      <c r="B3675" s="40"/>
      <c r="C3675" s="41"/>
      <c r="D3675" s="41"/>
      <c r="E3675" s="41"/>
      <c r="F3675" s="41"/>
      <c r="G3675" s="41"/>
      <c r="H3675" s="41"/>
      <c r="I3675" s="41"/>
      <c r="J3675" s="41"/>
      <c r="K3675" s="41"/>
      <c r="L3675" s="41"/>
      <c r="M3675" s="41"/>
      <c r="N3675" s="41"/>
      <c r="O3675" s="41"/>
      <c r="P3675" s="28"/>
    </row>
    <row r="3676" customFormat="1" spans="1:16">
      <c r="A3676" s="39"/>
      <c r="B3676" s="40"/>
      <c r="C3676" s="41"/>
      <c r="D3676" s="41"/>
      <c r="E3676" s="41"/>
      <c r="F3676" s="41"/>
      <c r="G3676" s="41"/>
      <c r="H3676" s="41"/>
      <c r="I3676" s="41"/>
      <c r="J3676" s="41"/>
      <c r="K3676" s="41"/>
      <c r="L3676" s="41"/>
      <c r="M3676" s="41"/>
      <c r="N3676" s="41"/>
      <c r="O3676" s="41"/>
      <c r="P3676" s="28"/>
    </row>
    <row r="3677" customFormat="1" spans="1:16">
      <c r="A3677" s="39"/>
      <c r="B3677" s="40"/>
      <c r="C3677" s="41"/>
      <c r="D3677" s="41"/>
      <c r="E3677" s="41"/>
      <c r="F3677" s="41"/>
      <c r="G3677" s="41"/>
      <c r="H3677" s="41"/>
      <c r="I3677" s="41"/>
      <c r="J3677" s="41"/>
      <c r="K3677" s="41"/>
      <c r="L3677" s="41"/>
      <c r="M3677" s="41"/>
      <c r="N3677" s="41"/>
      <c r="O3677" s="41"/>
      <c r="P3677" s="28"/>
    </row>
    <row r="3678" customFormat="1" spans="1:16">
      <c r="A3678" s="39"/>
      <c r="B3678" s="40"/>
      <c r="C3678" s="41"/>
      <c r="D3678" s="41"/>
      <c r="E3678" s="41"/>
      <c r="F3678" s="41"/>
      <c r="G3678" s="41"/>
      <c r="H3678" s="41"/>
      <c r="I3678" s="41"/>
      <c r="J3678" s="41"/>
      <c r="K3678" s="41"/>
      <c r="L3678" s="41"/>
      <c r="M3678" s="41"/>
      <c r="N3678" s="41"/>
      <c r="O3678" s="41"/>
      <c r="P3678" s="28"/>
    </row>
    <row r="3679" customFormat="1" spans="1:16">
      <c r="A3679" s="39"/>
      <c r="B3679" s="40"/>
      <c r="C3679" s="41"/>
      <c r="D3679" s="41"/>
      <c r="E3679" s="41"/>
      <c r="F3679" s="41"/>
      <c r="G3679" s="41"/>
      <c r="H3679" s="41"/>
      <c r="I3679" s="41"/>
      <c r="J3679" s="41"/>
      <c r="K3679" s="41"/>
      <c r="L3679" s="41"/>
      <c r="M3679" s="41"/>
      <c r="N3679" s="41"/>
      <c r="O3679" s="41"/>
      <c r="P3679" s="28"/>
    </row>
    <row r="3680" customFormat="1" spans="1:16">
      <c r="A3680" s="39"/>
      <c r="B3680" s="40"/>
      <c r="C3680" s="41"/>
      <c r="D3680" s="41"/>
      <c r="E3680" s="41"/>
      <c r="F3680" s="41"/>
      <c r="G3680" s="41"/>
      <c r="H3680" s="41"/>
      <c r="I3680" s="41"/>
      <c r="J3680" s="41"/>
      <c r="K3680" s="41"/>
      <c r="L3680" s="41"/>
      <c r="M3680" s="41"/>
      <c r="N3680" s="41"/>
      <c r="O3680" s="41"/>
      <c r="P3680" s="28"/>
    </row>
    <row r="3681" customFormat="1" spans="1:16">
      <c r="A3681" s="39"/>
      <c r="B3681" s="40"/>
      <c r="C3681" s="41"/>
      <c r="D3681" s="41"/>
      <c r="E3681" s="41"/>
      <c r="F3681" s="41"/>
      <c r="G3681" s="41"/>
      <c r="H3681" s="41"/>
      <c r="I3681" s="41"/>
      <c r="J3681" s="41"/>
      <c r="K3681" s="41"/>
      <c r="L3681" s="41"/>
      <c r="M3681" s="41"/>
      <c r="N3681" s="41"/>
      <c r="O3681" s="41"/>
      <c r="P3681" s="28"/>
    </row>
    <row r="3682" customFormat="1" spans="1:16">
      <c r="A3682" s="39"/>
      <c r="B3682" s="40"/>
      <c r="C3682" s="41"/>
      <c r="D3682" s="41"/>
      <c r="E3682" s="41"/>
      <c r="F3682" s="41"/>
      <c r="G3682" s="41"/>
      <c r="H3682" s="41"/>
      <c r="I3682" s="41"/>
      <c r="J3682" s="41"/>
      <c r="K3682" s="41"/>
      <c r="L3682" s="41"/>
      <c r="M3682" s="41"/>
      <c r="N3682" s="41"/>
      <c r="O3682" s="41"/>
      <c r="P3682" s="28"/>
    </row>
    <row r="3683" customFormat="1" spans="1:16">
      <c r="A3683" s="39"/>
      <c r="B3683" s="40"/>
      <c r="C3683" s="41"/>
      <c r="D3683" s="41"/>
      <c r="E3683" s="41"/>
      <c r="F3683" s="41"/>
      <c r="G3683" s="41"/>
      <c r="H3683" s="41"/>
      <c r="I3683" s="41"/>
      <c r="J3683" s="41"/>
      <c r="K3683" s="41"/>
      <c r="L3683" s="41"/>
      <c r="M3683" s="41"/>
      <c r="N3683" s="41"/>
      <c r="O3683" s="41"/>
      <c r="P3683" s="28"/>
    </row>
    <row r="3684" customFormat="1" spans="1:16">
      <c r="A3684" s="39"/>
      <c r="B3684" s="40"/>
      <c r="C3684" s="41"/>
      <c r="D3684" s="41"/>
      <c r="E3684" s="41"/>
      <c r="F3684" s="41"/>
      <c r="G3684" s="41"/>
      <c r="H3684" s="41"/>
      <c r="I3684" s="41"/>
      <c r="J3684" s="41"/>
      <c r="K3684" s="41"/>
      <c r="L3684" s="41"/>
      <c r="M3684" s="41"/>
      <c r="N3684" s="41"/>
      <c r="O3684" s="41"/>
      <c r="P3684" s="28"/>
    </row>
    <row r="3685" customFormat="1" spans="1:16">
      <c r="A3685" s="39"/>
      <c r="B3685" s="40"/>
      <c r="C3685" s="41"/>
      <c r="D3685" s="41"/>
      <c r="E3685" s="41"/>
      <c r="F3685" s="41"/>
      <c r="G3685" s="41"/>
      <c r="H3685" s="41"/>
      <c r="I3685" s="41"/>
      <c r="J3685" s="41"/>
      <c r="K3685" s="41"/>
      <c r="L3685" s="41"/>
      <c r="M3685" s="41"/>
      <c r="N3685" s="41"/>
      <c r="O3685" s="41"/>
      <c r="P3685" s="28"/>
    </row>
    <row r="3686" customFormat="1" spans="1:16">
      <c r="A3686" s="39"/>
      <c r="B3686" s="40"/>
      <c r="C3686" s="41"/>
      <c r="D3686" s="41"/>
      <c r="E3686" s="41"/>
      <c r="F3686" s="41"/>
      <c r="G3686" s="41"/>
      <c r="H3686" s="41"/>
      <c r="I3686" s="41"/>
      <c r="J3686" s="41"/>
      <c r="K3686" s="41"/>
      <c r="L3686" s="41"/>
      <c r="M3686" s="41"/>
      <c r="N3686" s="41"/>
      <c r="O3686" s="41"/>
      <c r="P3686" s="28"/>
    </row>
    <row r="3687" customFormat="1" spans="1:16">
      <c r="A3687" s="39"/>
      <c r="B3687" s="40"/>
      <c r="C3687" s="41"/>
      <c r="D3687" s="41"/>
      <c r="E3687" s="41"/>
      <c r="F3687" s="41"/>
      <c r="G3687" s="41"/>
      <c r="H3687" s="41"/>
      <c r="I3687" s="41"/>
      <c r="J3687" s="41"/>
      <c r="K3687" s="41"/>
      <c r="L3687" s="41"/>
      <c r="M3687" s="41"/>
      <c r="N3687" s="41"/>
      <c r="O3687" s="41"/>
      <c r="P3687" s="28"/>
    </row>
    <row r="3688" customFormat="1" spans="1:16">
      <c r="A3688" s="39"/>
      <c r="B3688" s="40"/>
      <c r="C3688" s="41"/>
      <c r="D3688" s="41"/>
      <c r="E3688" s="41"/>
      <c r="F3688" s="41"/>
      <c r="G3688" s="41"/>
      <c r="H3688" s="41"/>
      <c r="I3688" s="41"/>
      <c r="J3688" s="41"/>
      <c r="K3688" s="41"/>
      <c r="L3688" s="41"/>
      <c r="M3688" s="41"/>
      <c r="N3688" s="41"/>
      <c r="O3688" s="41"/>
      <c r="P3688" s="28"/>
    </row>
    <row r="3689" customFormat="1" spans="1:16">
      <c r="A3689" s="39"/>
      <c r="B3689" s="40"/>
      <c r="C3689" s="41"/>
      <c r="D3689" s="41"/>
      <c r="E3689" s="41"/>
      <c r="F3689" s="41"/>
      <c r="G3689" s="41"/>
      <c r="H3689" s="41"/>
      <c r="I3689" s="41"/>
      <c r="J3689" s="41"/>
      <c r="K3689" s="41"/>
      <c r="L3689" s="41"/>
      <c r="M3689" s="41"/>
      <c r="N3689" s="41"/>
      <c r="O3689" s="41"/>
      <c r="P3689" s="28"/>
    </row>
    <row r="3690" customFormat="1" spans="1:16">
      <c r="A3690" s="39"/>
      <c r="B3690" s="40"/>
      <c r="C3690" s="41"/>
      <c r="D3690" s="41"/>
      <c r="E3690" s="41"/>
      <c r="F3690" s="41"/>
      <c r="G3690" s="41"/>
      <c r="H3690" s="41"/>
      <c r="I3690" s="41"/>
      <c r="J3690" s="41"/>
      <c r="K3690" s="41"/>
      <c r="L3690" s="41"/>
      <c r="M3690" s="41"/>
      <c r="N3690" s="41"/>
      <c r="O3690" s="41"/>
      <c r="P3690" s="28"/>
    </row>
    <row r="3691" customFormat="1" spans="1:16">
      <c r="A3691" s="39"/>
      <c r="B3691" s="40"/>
      <c r="C3691" s="41"/>
      <c r="D3691" s="41"/>
      <c r="E3691" s="41"/>
      <c r="F3691" s="41"/>
      <c r="G3691" s="41"/>
      <c r="H3691" s="41"/>
      <c r="I3691" s="41"/>
      <c r="J3691" s="41"/>
      <c r="K3691" s="41"/>
      <c r="L3691" s="41"/>
      <c r="M3691" s="41"/>
      <c r="N3691" s="41"/>
      <c r="O3691" s="41"/>
      <c r="P3691" s="28"/>
    </row>
    <row r="3692" customFormat="1" spans="1:16">
      <c r="A3692" s="39"/>
      <c r="B3692" s="40"/>
      <c r="C3692" s="41"/>
      <c r="D3692" s="41"/>
      <c r="E3692" s="41"/>
      <c r="F3692" s="41"/>
      <c r="G3692" s="41"/>
      <c r="H3692" s="41"/>
      <c r="I3692" s="41"/>
      <c r="J3692" s="41"/>
      <c r="K3692" s="41"/>
      <c r="L3692" s="41"/>
      <c r="M3692" s="41"/>
      <c r="N3692" s="41"/>
      <c r="O3692" s="41"/>
      <c r="P3692" s="28"/>
    </row>
    <row r="3693" customFormat="1" spans="1:16">
      <c r="A3693" s="39"/>
      <c r="B3693" s="40"/>
      <c r="C3693" s="41"/>
      <c r="D3693" s="41"/>
      <c r="E3693" s="41"/>
      <c r="F3693" s="41"/>
      <c r="G3693" s="41"/>
      <c r="H3693" s="41"/>
      <c r="I3693" s="41"/>
      <c r="J3693" s="41"/>
      <c r="K3693" s="41"/>
      <c r="L3693" s="41"/>
      <c r="M3693" s="41"/>
      <c r="N3693" s="41"/>
      <c r="O3693" s="41"/>
      <c r="P3693" s="28"/>
    </row>
    <row r="3694" customFormat="1" spans="1:16">
      <c r="A3694" s="39"/>
      <c r="B3694" s="40"/>
      <c r="C3694" s="41"/>
      <c r="D3694" s="41"/>
      <c r="E3694" s="41"/>
      <c r="F3694" s="41"/>
      <c r="G3694" s="41"/>
      <c r="H3694" s="41"/>
      <c r="I3694" s="41"/>
      <c r="J3694" s="41"/>
      <c r="K3694" s="41"/>
      <c r="L3694" s="41"/>
      <c r="M3694" s="41"/>
      <c r="N3694" s="41"/>
      <c r="O3694" s="41"/>
      <c r="P3694" s="28"/>
    </row>
    <row r="3695" customFormat="1" spans="1:16">
      <c r="A3695" s="39"/>
      <c r="B3695" s="40"/>
      <c r="C3695" s="41"/>
      <c r="D3695" s="41"/>
      <c r="E3695" s="41"/>
      <c r="F3695" s="41"/>
      <c r="G3695" s="41"/>
      <c r="H3695" s="41"/>
      <c r="I3695" s="41"/>
      <c r="J3695" s="41"/>
      <c r="K3695" s="41"/>
      <c r="L3695" s="41"/>
      <c r="M3695" s="41"/>
      <c r="N3695" s="41"/>
      <c r="O3695" s="41"/>
      <c r="P3695" s="28"/>
    </row>
    <row r="3696" customFormat="1" spans="1:16">
      <c r="A3696" s="39"/>
      <c r="B3696" s="40"/>
      <c r="C3696" s="41"/>
      <c r="D3696" s="41"/>
      <c r="E3696" s="41"/>
      <c r="F3696" s="41"/>
      <c r="G3696" s="41"/>
      <c r="H3696" s="41"/>
      <c r="I3696" s="41"/>
      <c r="J3696" s="41"/>
      <c r="K3696" s="41"/>
      <c r="L3696" s="41"/>
      <c r="M3696" s="41"/>
      <c r="N3696" s="41"/>
      <c r="O3696" s="41"/>
      <c r="P3696" s="28"/>
    </row>
    <row r="3697" customFormat="1" spans="1:16">
      <c r="A3697" s="39"/>
      <c r="B3697" s="40"/>
      <c r="C3697" s="41"/>
      <c r="D3697" s="41"/>
      <c r="E3697" s="41"/>
      <c r="F3697" s="41"/>
      <c r="G3697" s="41"/>
      <c r="H3697" s="41"/>
      <c r="I3697" s="41"/>
      <c r="J3697" s="41"/>
      <c r="K3697" s="41"/>
      <c r="L3697" s="41"/>
      <c r="M3697" s="41"/>
      <c r="N3697" s="41"/>
      <c r="O3697" s="41"/>
      <c r="P3697" s="28"/>
    </row>
    <row r="3698" customFormat="1" spans="1:16">
      <c r="A3698" s="39"/>
      <c r="B3698" s="40"/>
      <c r="C3698" s="41"/>
      <c r="D3698" s="41"/>
      <c r="E3698" s="41"/>
      <c r="F3698" s="41"/>
      <c r="G3698" s="41"/>
      <c r="H3698" s="41"/>
      <c r="I3698" s="41"/>
      <c r="J3698" s="41"/>
      <c r="K3698" s="41"/>
      <c r="L3698" s="41"/>
      <c r="M3698" s="41"/>
      <c r="N3698" s="41"/>
      <c r="O3698" s="41"/>
      <c r="P3698" s="28"/>
    </row>
    <row r="3699" customFormat="1" spans="1:16">
      <c r="A3699" s="39"/>
      <c r="B3699" s="40"/>
      <c r="C3699" s="41"/>
      <c r="D3699" s="41"/>
      <c r="E3699" s="41"/>
      <c r="F3699" s="41"/>
      <c r="G3699" s="41"/>
      <c r="H3699" s="41"/>
      <c r="I3699" s="41"/>
      <c r="J3699" s="41"/>
      <c r="K3699" s="41"/>
      <c r="L3699" s="41"/>
      <c r="M3699" s="41"/>
      <c r="N3699" s="41"/>
      <c r="O3699" s="41"/>
      <c r="P3699" s="28"/>
    </row>
    <row r="3700" customFormat="1" spans="1:16">
      <c r="A3700" s="39"/>
      <c r="B3700" s="40"/>
      <c r="C3700" s="41"/>
      <c r="D3700" s="41"/>
      <c r="E3700" s="41"/>
      <c r="F3700" s="41"/>
      <c r="G3700" s="41"/>
      <c r="H3700" s="41"/>
      <c r="I3700" s="41"/>
      <c r="J3700" s="41"/>
      <c r="K3700" s="41"/>
      <c r="L3700" s="41"/>
      <c r="M3700" s="41"/>
      <c r="N3700" s="41"/>
      <c r="O3700" s="41"/>
      <c r="P3700" s="28"/>
    </row>
    <row r="3701" customFormat="1" spans="1:16">
      <c r="A3701" s="39"/>
      <c r="B3701" s="40"/>
      <c r="C3701" s="41"/>
      <c r="D3701" s="41"/>
      <c r="E3701" s="41"/>
      <c r="F3701" s="41"/>
      <c r="G3701" s="41"/>
      <c r="H3701" s="41"/>
      <c r="I3701" s="41"/>
      <c r="J3701" s="41"/>
      <c r="K3701" s="41"/>
      <c r="L3701" s="41"/>
      <c r="M3701" s="41"/>
      <c r="N3701" s="41"/>
      <c r="O3701" s="41"/>
      <c r="P3701" s="28"/>
    </row>
    <row r="3702" customFormat="1" spans="1:16">
      <c r="A3702" s="39"/>
      <c r="B3702" s="40"/>
      <c r="C3702" s="41"/>
      <c r="D3702" s="41"/>
      <c r="E3702" s="41"/>
      <c r="F3702" s="41"/>
      <c r="G3702" s="41"/>
      <c r="H3702" s="41"/>
      <c r="I3702" s="41"/>
      <c r="J3702" s="41"/>
      <c r="K3702" s="41"/>
      <c r="L3702" s="41"/>
      <c r="M3702" s="41"/>
      <c r="N3702" s="41"/>
      <c r="O3702" s="41"/>
      <c r="P3702" s="28"/>
    </row>
    <row r="3703" customFormat="1" spans="1:16">
      <c r="A3703" s="39"/>
      <c r="B3703" s="40"/>
      <c r="C3703" s="41"/>
      <c r="D3703" s="41"/>
      <c r="E3703" s="41"/>
      <c r="F3703" s="41"/>
      <c r="G3703" s="41"/>
      <c r="H3703" s="41"/>
      <c r="I3703" s="41"/>
      <c r="J3703" s="41"/>
      <c r="K3703" s="41"/>
      <c r="L3703" s="41"/>
      <c r="M3703" s="41"/>
      <c r="N3703" s="41"/>
      <c r="O3703" s="41"/>
      <c r="P3703" s="28"/>
    </row>
    <row r="3704" customFormat="1" spans="1:16">
      <c r="A3704" s="39"/>
      <c r="B3704" s="40"/>
      <c r="C3704" s="41"/>
      <c r="D3704" s="41"/>
      <c r="E3704" s="41"/>
      <c r="F3704" s="41"/>
      <c r="G3704" s="41"/>
      <c r="H3704" s="41"/>
      <c r="I3704" s="41"/>
      <c r="J3704" s="41"/>
      <c r="K3704" s="41"/>
      <c r="L3704" s="41"/>
      <c r="M3704" s="41"/>
      <c r="N3704" s="41"/>
      <c r="O3704" s="41"/>
      <c r="P3704" s="28"/>
    </row>
    <row r="3705" customFormat="1" spans="1:16">
      <c r="A3705" s="39"/>
      <c r="B3705" s="40"/>
      <c r="C3705" s="41"/>
      <c r="D3705" s="41"/>
      <c r="E3705" s="41"/>
      <c r="F3705" s="41"/>
      <c r="G3705" s="41"/>
      <c r="H3705" s="41"/>
      <c r="I3705" s="41"/>
      <c r="J3705" s="41"/>
      <c r="K3705" s="41"/>
      <c r="L3705" s="41"/>
      <c r="M3705" s="41"/>
      <c r="N3705" s="41"/>
      <c r="O3705" s="41"/>
      <c r="P3705" s="28"/>
    </row>
    <row r="3706" customFormat="1" spans="1:16">
      <c r="A3706" s="39"/>
      <c r="B3706" s="40"/>
      <c r="C3706" s="41"/>
      <c r="D3706" s="41"/>
      <c r="E3706" s="41"/>
      <c r="F3706" s="41"/>
      <c r="G3706" s="41"/>
      <c r="H3706" s="41"/>
      <c r="I3706" s="41"/>
      <c r="J3706" s="41"/>
      <c r="K3706" s="41"/>
      <c r="L3706" s="41"/>
      <c r="M3706" s="41"/>
      <c r="N3706" s="41"/>
      <c r="O3706" s="41"/>
      <c r="P3706" s="28"/>
    </row>
    <row r="3707" customFormat="1" spans="1:16">
      <c r="A3707" s="39"/>
      <c r="B3707" s="40"/>
      <c r="C3707" s="41"/>
      <c r="D3707" s="41"/>
      <c r="E3707" s="41"/>
      <c r="F3707" s="41"/>
      <c r="G3707" s="41"/>
      <c r="H3707" s="41"/>
      <c r="I3707" s="41"/>
      <c r="J3707" s="41"/>
      <c r="K3707" s="41"/>
      <c r="L3707" s="41"/>
      <c r="M3707" s="41"/>
      <c r="N3707" s="41"/>
      <c r="O3707" s="41"/>
      <c r="P3707" s="28"/>
    </row>
    <row r="3708" customFormat="1" spans="1:16">
      <c r="A3708" s="39"/>
      <c r="B3708" s="40"/>
      <c r="C3708" s="41"/>
      <c r="D3708" s="41"/>
      <c r="E3708" s="41"/>
      <c r="F3708" s="41"/>
      <c r="G3708" s="41"/>
      <c r="H3708" s="41"/>
      <c r="I3708" s="41"/>
      <c r="J3708" s="41"/>
      <c r="K3708" s="41"/>
      <c r="L3708" s="41"/>
      <c r="M3708" s="41"/>
      <c r="N3708" s="41"/>
      <c r="O3708" s="41"/>
      <c r="P3708" s="28"/>
    </row>
    <row r="3709" customFormat="1" spans="1:16">
      <c r="A3709" s="39"/>
      <c r="B3709" s="40"/>
      <c r="C3709" s="41"/>
      <c r="D3709" s="41"/>
      <c r="E3709" s="41"/>
      <c r="F3709" s="41"/>
      <c r="G3709" s="41"/>
      <c r="H3709" s="41"/>
      <c r="I3709" s="41"/>
      <c r="J3709" s="41"/>
      <c r="K3709" s="41"/>
      <c r="L3709" s="41"/>
      <c r="M3709" s="41"/>
      <c r="N3709" s="41"/>
      <c r="O3709" s="41"/>
      <c r="P3709" s="28"/>
    </row>
    <row r="3710" customFormat="1" spans="1:16">
      <c r="A3710" s="39"/>
      <c r="B3710" s="40"/>
      <c r="C3710" s="41"/>
      <c r="D3710" s="41"/>
      <c r="E3710" s="41"/>
      <c r="F3710" s="41"/>
      <c r="G3710" s="41"/>
      <c r="H3710" s="41"/>
      <c r="I3710" s="41"/>
      <c r="J3710" s="41"/>
      <c r="K3710" s="41"/>
      <c r="L3710" s="41"/>
      <c r="M3710" s="41"/>
      <c r="N3710" s="41"/>
      <c r="O3710" s="41"/>
      <c r="P3710" s="28"/>
    </row>
    <row r="3711" customFormat="1" spans="1:16">
      <c r="A3711" s="39"/>
      <c r="B3711" s="40"/>
      <c r="C3711" s="41"/>
      <c r="D3711" s="41"/>
      <c r="E3711" s="41"/>
      <c r="F3711" s="41"/>
      <c r="G3711" s="41"/>
      <c r="H3711" s="41"/>
      <c r="I3711" s="41"/>
      <c r="J3711" s="41"/>
      <c r="K3711" s="41"/>
      <c r="L3711" s="41"/>
      <c r="M3711" s="41"/>
      <c r="N3711" s="41"/>
      <c r="O3711" s="41"/>
      <c r="P3711" s="28"/>
    </row>
    <row r="3712" customFormat="1" spans="1:16">
      <c r="A3712" s="39"/>
      <c r="B3712" s="40"/>
      <c r="C3712" s="41"/>
      <c r="D3712" s="41"/>
      <c r="E3712" s="41"/>
      <c r="F3712" s="41"/>
      <c r="G3712" s="41"/>
      <c r="H3712" s="41"/>
      <c r="I3712" s="41"/>
      <c r="J3712" s="41"/>
      <c r="K3712" s="41"/>
      <c r="L3712" s="41"/>
      <c r="M3712" s="41"/>
      <c r="N3712" s="41"/>
      <c r="O3712" s="41"/>
      <c r="P3712" s="28"/>
    </row>
    <row r="3713" customFormat="1" spans="1:16">
      <c r="A3713" s="39"/>
      <c r="B3713" s="40"/>
      <c r="C3713" s="41"/>
      <c r="D3713" s="41"/>
      <c r="E3713" s="41"/>
      <c r="F3713" s="41"/>
      <c r="G3713" s="41"/>
      <c r="H3713" s="41"/>
      <c r="I3713" s="41"/>
      <c r="J3713" s="41"/>
      <c r="K3713" s="41"/>
      <c r="L3713" s="41"/>
      <c r="M3713" s="41"/>
      <c r="N3713" s="41"/>
      <c r="O3713" s="41"/>
      <c r="P3713" s="28"/>
    </row>
    <row r="3714" customFormat="1" spans="1:16">
      <c r="A3714" s="39"/>
      <c r="B3714" s="40"/>
      <c r="C3714" s="41"/>
      <c r="D3714" s="41"/>
      <c r="E3714" s="41"/>
      <c r="F3714" s="41"/>
      <c r="G3714" s="41"/>
      <c r="H3714" s="41"/>
      <c r="I3714" s="41"/>
      <c r="J3714" s="41"/>
      <c r="K3714" s="41"/>
      <c r="L3714" s="41"/>
      <c r="M3714" s="41"/>
      <c r="N3714" s="41"/>
      <c r="O3714" s="41"/>
      <c r="P3714" s="28"/>
    </row>
    <row r="3715" customFormat="1" spans="1:16">
      <c r="A3715" s="39"/>
      <c r="B3715" s="40"/>
      <c r="C3715" s="41"/>
      <c r="D3715" s="41"/>
      <c r="E3715" s="41"/>
      <c r="F3715" s="41"/>
      <c r="G3715" s="41"/>
      <c r="H3715" s="41"/>
      <c r="I3715" s="41"/>
      <c r="J3715" s="41"/>
      <c r="K3715" s="41"/>
      <c r="L3715" s="41"/>
      <c r="M3715" s="41"/>
      <c r="N3715" s="41"/>
      <c r="O3715" s="41"/>
      <c r="P3715" s="28"/>
    </row>
    <row r="3716" customFormat="1" spans="1:16">
      <c r="A3716" s="39"/>
      <c r="B3716" s="40"/>
      <c r="C3716" s="41"/>
      <c r="D3716" s="41"/>
      <c r="E3716" s="41"/>
      <c r="F3716" s="41"/>
      <c r="G3716" s="41"/>
      <c r="H3716" s="41"/>
      <c r="I3716" s="41"/>
      <c r="J3716" s="41"/>
      <c r="K3716" s="41"/>
      <c r="L3716" s="41"/>
      <c r="M3716" s="41"/>
      <c r="N3716" s="41"/>
      <c r="O3716" s="41"/>
      <c r="P3716" s="28"/>
    </row>
    <row r="3717" customFormat="1" spans="1:16">
      <c r="A3717" s="39"/>
      <c r="B3717" s="40"/>
      <c r="C3717" s="41"/>
      <c r="D3717" s="41"/>
      <c r="E3717" s="41"/>
      <c r="F3717" s="41"/>
      <c r="G3717" s="41"/>
      <c r="H3717" s="41"/>
      <c r="I3717" s="41"/>
      <c r="J3717" s="41"/>
      <c r="K3717" s="41"/>
      <c r="L3717" s="41"/>
      <c r="M3717" s="41"/>
      <c r="N3717" s="41"/>
      <c r="O3717" s="41"/>
      <c r="P3717" s="28"/>
    </row>
    <row r="3718" customFormat="1" spans="1:16">
      <c r="A3718" s="39"/>
      <c r="B3718" s="40"/>
      <c r="C3718" s="41"/>
      <c r="D3718" s="41"/>
      <c r="E3718" s="41"/>
      <c r="F3718" s="41"/>
      <c r="G3718" s="41"/>
      <c r="H3718" s="41"/>
      <c r="I3718" s="41"/>
      <c r="J3718" s="41"/>
      <c r="K3718" s="41"/>
      <c r="L3718" s="41"/>
      <c r="M3718" s="41"/>
      <c r="N3718" s="41"/>
      <c r="O3718" s="41"/>
      <c r="P3718" s="28"/>
    </row>
    <row r="3719" customFormat="1" spans="1:16">
      <c r="A3719" s="39"/>
      <c r="B3719" s="40"/>
      <c r="C3719" s="41"/>
      <c r="D3719" s="41"/>
      <c r="E3719" s="41"/>
      <c r="F3719" s="41"/>
      <c r="G3719" s="41"/>
      <c r="H3719" s="41"/>
      <c r="I3719" s="41"/>
      <c r="J3719" s="41"/>
      <c r="K3719" s="41"/>
      <c r="L3719" s="41"/>
      <c r="M3719" s="41"/>
      <c r="N3719" s="41"/>
      <c r="O3719" s="41"/>
      <c r="P3719" s="28"/>
    </row>
    <row r="3720" customFormat="1" spans="1:16">
      <c r="A3720" s="39"/>
      <c r="B3720" s="40"/>
      <c r="C3720" s="41"/>
      <c r="D3720" s="41"/>
      <c r="E3720" s="41"/>
      <c r="F3720" s="41"/>
      <c r="G3720" s="41"/>
      <c r="H3720" s="41"/>
      <c r="I3720" s="41"/>
      <c r="J3720" s="41"/>
      <c r="K3720" s="41"/>
      <c r="L3720" s="41"/>
      <c r="M3720" s="41"/>
      <c r="N3720" s="41"/>
      <c r="O3720" s="41"/>
      <c r="P3720" s="28"/>
    </row>
    <row r="3721" customFormat="1" spans="1:16">
      <c r="A3721" s="39"/>
      <c r="B3721" s="40"/>
      <c r="C3721" s="41"/>
      <c r="D3721" s="41"/>
      <c r="E3721" s="41"/>
      <c r="F3721" s="41"/>
      <c r="G3721" s="41"/>
      <c r="H3721" s="41"/>
      <c r="I3721" s="41"/>
      <c r="J3721" s="41"/>
      <c r="K3721" s="41"/>
      <c r="L3721" s="41"/>
      <c r="M3721" s="41"/>
      <c r="N3721" s="41"/>
      <c r="O3721" s="41"/>
      <c r="P3721" s="28"/>
    </row>
    <row r="3722" customFormat="1" spans="1:16">
      <c r="A3722" s="39"/>
      <c r="B3722" s="40"/>
      <c r="C3722" s="41"/>
      <c r="D3722" s="41"/>
      <c r="E3722" s="41"/>
      <c r="F3722" s="41"/>
      <c r="G3722" s="41"/>
      <c r="H3722" s="41"/>
      <c r="I3722" s="41"/>
      <c r="J3722" s="41"/>
      <c r="K3722" s="41"/>
      <c r="L3722" s="41"/>
      <c r="M3722" s="41"/>
      <c r="N3722" s="41"/>
      <c r="O3722" s="41"/>
      <c r="P3722" s="28"/>
    </row>
    <row r="3723" customFormat="1" spans="1:16">
      <c r="A3723" s="39"/>
      <c r="B3723" s="40"/>
      <c r="C3723" s="41"/>
      <c r="D3723" s="41"/>
      <c r="E3723" s="41"/>
      <c r="F3723" s="41"/>
      <c r="G3723" s="41"/>
      <c r="H3723" s="41"/>
      <c r="I3723" s="41"/>
      <c r="J3723" s="41"/>
      <c r="K3723" s="41"/>
      <c r="L3723" s="41"/>
      <c r="M3723" s="41"/>
      <c r="N3723" s="41"/>
      <c r="O3723" s="41"/>
      <c r="P3723" s="28"/>
    </row>
    <row r="3724" customFormat="1" spans="1:16">
      <c r="A3724" s="39"/>
      <c r="B3724" s="40"/>
      <c r="C3724" s="41"/>
      <c r="D3724" s="41"/>
      <c r="E3724" s="41"/>
      <c r="F3724" s="41"/>
      <c r="G3724" s="41"/>
      <c r="H3724" s="41"/>
      <c r="I3724" s="41"/>
      <c r="J3724" s="41"/>
      <c r="K3724" s="41"/>
      <c r="L3724" s="41"/>
      <c r="M3724" s="41"/>
      <c r="N3724" s="41"/>
      <c r="O3724" s="41"/>
      <c r="P3724" s="28"/>
    </row>
    <row r="3725" customFormat="1" spans="1:16">
      <c r="A3725" s="39"/>
      <c r="B3725" s="40"/>
      <c r="C3725" s="41"/>
      <c r="D3725" s="41"/>
      <c r="E3725" s="41"/>
      <c r="F3725" s="41"/>
      <c r="G3725" s="41"/>
      <c r="H3725" s="41"/>
      <c r="I3725" s="41"/>
      <c r="J3725" s="41"/>
      <c r="K3725" s="41"/>
      <c r="L3725" s="41"/>
      <c r="M3725" s="41"/>
      <c r="N3725" s="41"/>
      <c r="O3725" s="41"/>
      <c r="P3725" s="28"/>
    </row>
    <row r="3726" customFormat="1" spans="1:16">
      <c r="A3726" s="39"/>
      <c r="B3726" s="40"/>
      <c r="C3726" s="41"/>
      <c r="D3726" s="41"/>
      <c r="E3726" s="41"/>
      <c r="F3726" s="41"/>
      <c r="G3726" s="41"/>
      <c r="H3726" s="41"/>
      <c r="I3726" s="41"/>
      <c r="J3726" s="41"/>
      <c r="K3726" s="41"/>
      <c r="L3726" s="41"/>
      <c r="M3726" s="41"/>
      <c r="N3726" s="41"/>
      <c r="O3726" s="41"/>
      <c r="P3726" s="28"/>
    </row>
    <row r="3727" customFormat="1" spans="1:16">
      <c r="A3727" s="39"/>
      <c r="B3727" s="40"/>
      <c r="C3727" s="41"/>
      <c r="D3727" s="41"/>
      <c r="E3727" s="41"/>
      <c r="F3727" s="41"/>
      <c r="G3727" s="41"/>
      <c r="H3727" s="41"/>
      <c r="I3727" s="41"/>
      <c r="J3727" s="41"/>
      <c r="K3727" s="41"/>
      <c r="L3727" s="41"/>
      <c r="M3727" s="41"/>
      <c r="N3727" s="41"/>
      <c r="O3727" s="41"/>
      <c r="P3727" s="28"/>
    </row>
    <row r="3728" customFormat="1" spans="1:16">
      <c r="A3728" s="39"/>
      <c r="B3728" s="40"/>
      <c r="C3728" s="41"/>
      <c r="D3728" s="41"/>
      <c r="E3728" s="41"/>
      <c r="F3728" s="41"/>
      <c r="G3728" s="41"/>
      <c r="H3728" s="41"/>
      <c r="I3728" s="41"/>
      <c r="J3728" s="41"/>
      <c r="K3728" s="41"/>
      <c r="L3728" s="41"/>
      <c r="M3728" s="41"/>
      <c r="N3728" s="41"/>
      <c r="O3728" s="41"/>
      <c r="P3728" s="28"/>
    </row>
    <row r="3729" customFormat="1" spans="1:16">
      <c r="A3729" s="39"/>
      <c r="B3729" s="40"/>
      <c r="C3729" s="41"/>
      <c r="D3729" s="41"/>
      <c r="E3729" s="41"/>
      <c r="F3729" s="41"/>
      <c r="G3729" s="41"/>
      <c r="H3729" s="41"/>
      <c r="I3729" s="41"/>
      <c r="J3729" s="41"/>
      <c r="K3729" s="41"/>
      <c r="L3729" s="41"/>
      <c r="M3729" s="41"/>
      <c r="N3729" s="41"/>
      <c r="O3729" s="41"/>
      <c r="P3729" s="28"/>
    </row>
    <row r="3730" customFormat="1" spans="1:16">
      <c r="A3730" s="39"/>
      <c r="B3730" s="40"/>
      <c r="C3730" s="41"/>
      <c r="D3730" s="41"/>
      <c r="E3730" s="41"/>
      <c r="F3730" s="41"/>
      <c r="G3730" s="41"/>
      <c r="H3730" s="41"/>
      <c r="I3730" s="41"/>
      <c r="J3730" s="41"/>
      <c r="K3730" s="41"/>
      <c r="L3730" s="41"/>
      <c r="M3730" s="41"/>
      <c r="N3730" s="41"/>
      <c r="O3730" s="41"/>
      <c r="P3730" s="28"/>
    </row>
    <row r="3731" customFormat="1" spans="1:16">
      <c r="A3731" s="39"/>
      <c r="B3731" s="40"/>
      <c r="C3731" s="41"/>
      <c r="D3731" s="41"/>
      <c r="E3731" s="41"/>
      <c r="F3731" s="41"/>
      <c r="G3731" s="41"/>
      <c r="H3731" s="41"/>
      <c r="I3731" s="41"/>
      <c r="J3731" s="41"/>
      <c r="K3731" s="41"/>
      <c r="L3731" s="41"/>
      <c r="M3731" s="41"/>
      <c r="N3731" s="41"/>
      <c r="O3731" s="41"/>
      <c r="P3731" s="28"/>
    </row>
    <row r="3732" customFormat="1" spans="1:16">
      <c r="A3732" s="39"/>
      <c r="B3732" s="40"/>
      <c r="C3732" s="41"/>
      <c r="D3732" s="41"/>
      <c r="E3732" s="41"/>
      <c r="F3732" s="41"/>
      <c r="G3732" s="41"/>
      <c r="H3732" s="41"/>
      <c r="I3732" s="41"/>
      <c r="J3732" s="41"/>
      <c r="K3732" s="41"/>
      <c r="L3732" s="41"/>
      <c r="M3732" s="41"/>
      <c r="N3732" s="41"/>
      <c r="O3732" s="41"/>
      <c r="P3732" s="28"/>
    </row>
    <row r="3733" customFormat="1" spans="1:16">
      <c r="A3733" s="39"/>
      <c r="B3733" s="40"/>
      <c r="C3733" s="41"/>
      <c r="D3733" s="41"/>
      <c r="E3733" s="41"/>
      <c r="F3733" s="41"/>
      <c r="G3733" s="41"/>
      <c r="H3733" s="41"/>
      <c r="I3733" s="41"/>
      <c r="J3733" s="41"/>
      <c r="K3733" s="41"/>
      <c r="L3733" s="41"/>
      <c r="M3733" s="41"/>
      <c r="N3733" s="41"/>
      <c r="O3733" s="41"/>
      <c r="P3733" s="28"/>
    </row>
    <row r="3734" customFormat="1" spans="1:16">
      <c r="A3734" s="39"/>
      <c r="B3734" s="40"/>
      <c r="C3734" s="41"/>
      <c r="D3734" s="41"/>
      <c r="E3734" s="41"/>
      <c r="F3734" s="41"/>
      <c r="G3734" s="41"/>
      <c r="H3734" s="41"/>
      <c r="I3734" s="41"/>
      <c r="J3734" s="41"/>
      <c r="K3734" s="41"/>
      <c r="L3734" s="41"/>
      <c r="M3734" s="41"/>
      <c r="N3734" s="41"/>
      <c r="O3734" s="41"/>
      <c r="P3734" s="28"/>
    </row>
    <row r="3735" customFormat="1" spans="1:16">
      <c r="A3735" s="39"/>
      <c r="B3735" s="40"/>
      <c r="C3735" s="41"/>
      <c r="D3735" s="41"/>
      <c r="E3735" s="41"/>
      <c r="F3735" s="41"/>
      <c r="G3735" s="41"/>
      <c r="H3735" s="41"/>
      <c r="I3735" s="41"/>
      <c r="J3735" s="41"/>
      <c r="K3735" s="41"/>
      <c r="L3735" s="41"/>
      <c r="M3735" s="41"/>
      <c r="N3735" s="41"/>
      <c r="O3735" s="41"/>
      <c r="P3735" s="28"/>
    </row>
    <row r="3736" customFormat="1" spans="1:16">
      <c r="A3736" s="39"/>
      <c r="B3736" s="40"/>
      <c r="C3736" s="41"/>
      <c r="D3736" s="41"/>
      <c r="E3736" s="41"/>
      <c r="F3736" s="41"/>
      <c r="G3736" s="41"/>
      <c r="H3736" s="41"/>
      <c r="I3736" s="41"/>
      <c r="J3736" s="41"/>
      <c r="K3736" s="41"/>
      <c r="L3736" s="41"/>
      <c r="M3736" s="41"/>
      <c r="N3736" s="41"/>
      <c r="O3736" s="41"/>
      <c r="P3736" s="28"/>
    </row>
    <row r="3737" customFormat="1" spans="1:16">
      <c r="A3737" s="39"/>
      <c r="B3737" s="40"/>
      <c r="C3737" s="41"/>
      <c r="D3737" s="41"/>
      <c r="E3737" s="41"/>
      <c r="F3737" s="41"/>
      <c r="G3737" s="41"/>
      <c r="H3737" s="41"/>
      <c r="I3737" s="41"/>
      <c r="J3737" s="41"/>
      <c r="K3737" s="41"/>
      <c r="L3737" s="41"/>
      <c r="M3737" s="41"/>
      <c r="N3737" s="41"/>
      <c r="O3737" s="41"/>
      <c r="P3737" s="28"/>
    </row>
    <row r="3738" customFormat="1" spans="1:16">
      <c r="A3738" s="39"/>
      <c r="B3738" s="40"/>
      <c r="C3738" s="41"/>
      <c r="D3738" s="41"/>
      <c r="E3738" s="41"/>
      <c r="F3738" s="41"/>
      <c r="G3738" s="41"/>
      <c r="H3738" s="41"/>
      <c r="I3738" s="41"/>
      <c r="J3738" s="41"/>
      <c r="K3738" s="41"/>
      <c r="L3738" s="41"/>
      <c r="M3738" s="41"/>
      <c r="N3738" s="41"/>
      <c r="O3738" s="41"/>
      <c r="P3738" s="28"/>
    </row>
    <row r="3739" customFormat="1" spans="1:16">
      <c r="A3739" s="39"/>
      <c r="B3739" s="40"/>
      <c r="C3739" s="41"/>
      <c r="D3739" s="41"/>
      <c r="E3739" s="41"/>
      <c r="F3739" s="41"/>
      <c r="G3739" s="41"/>
      <c r="H3739" s="41"/>
      <c r="I3739" s="41"/>
      <c r="J3739" s="41"/>
      <c r="K3739" s="41"/>
      <c r="L3739" s="41"/>
      <c r="M3739" s="41"/>
      <c r="N3739" s="41"/>
      <c r="O3739" s="41"/>
      <c r="P3739" s="28"/>
    </row>
    <row r="3740" customFormat="1" spans="1:16">
      <c r="A3740" s="39"/>
      <c r="B3740" s="40"/>
      <c r="C3740" s="41"/>
      <c r="D3740" s="41"/>
      <c r="E3740" s="41"/>
      <c r="F3740" s="41"/>
      <c r="G3740" s="41"/>
      <c r="H3740" s="41"/>
      <c r="I3740" s="41"/>
      <c r="J3740" s="41"/>
      <c r="K3740" s="41"/>
      <c r="L3740" s="41"/>
      <c r="M3740" s="41"/>
      <c r="N3740" s="41"/>
      <c r="O3740" s="41"/>
      <c r="P3740" s="28"/>
    </row>
    <row r="3741" customFormat="1" spans="1:16">
      <c r="A3741" s="39"/>
      <c r="B3741" s="40"/>
      <c r="C3741" s="41"/>
      <c r="D3741" s="41"/>
      <c r="E3741" s="41"/>
      <c r="F3741" s="41"/>
      <c r="G3741" s="41"/>
      <c r="H3741" s="41"/>
      <c r="I3741" s="41"/>
      <c r="J3741" s="41"/>
      <c r="K3741" s="41"/>
      <c r="L3741" s="41"/>
      <c r="M3741" s="41"/>
      <c r="N3741" s="41"/>
      <c r="O3741" s="41"/>
      <c r="P3741" s="28"/>
    </row>
    <row r="3742" customFormat="1" spans="1:16">
      <c r="A3742" s="39"/>
      <c r="B3742" s="40"/>
      <c r="C3742" s="41"/>
      <c r="D3742" s="41"/>
      <c r="E3742" s="41"/>
      <c r="F3742" s="41"/>
      <c r="G3742" s="41"/>
      <c r="H3742" s="41"/>
      <c r="I3742" s="41"/>
      <c r="J3742" s="41"/>
      <c r="K3742" s="41"/>
      <c r="L3742" s="41"/>
      <c r="M3742" s="41"/>
      <c r="N3742" s="41"/>
      <c r="O3742" s="41"/>
      <c r="P3742" s="28"/>
    </row>
    <row r="3743" customFormat="1" spans="1:16">
      <c r="A3743" s="39"/>
      <c r="B3743" s="40"/>
      <c r="C3743" s="41"/>
      <c r="D3743" s="41"/>
      <c r="E3743" s="41"/>
      <c r="F3743" s="41"/>
      <c r="G3743" s="41"/>
      <c r="H3743" s="41"/>
      <c r="I3743" s="41"/>
      <c r="J3743" s="41"/>
      <c r="K3743" s="41"/>
      <c r="L3743" s="41"/>
      <c r="M3743" s="41"/>
      <c r="N3743" s="41"/>
      <c r="O3743" s="41"/>
      <c r="P3743" s="28"/>
    </row>
    <row r="3744" customFormat="1" spans="1:16">
      <c r="A3744" s="39"/>
      <c r="B3744" s="40"/>
      <c r="C3744" s="41"/>
      <c r="D3744" s="41"/>
      <c r="E3744" s="41"/>
      <c r="F3744" s="41"/>
      <c r="G3744" s="41"/>
      <c r="H3744" s="41"/>
      <c r="I3744" s="41"/>
      <c r="J3744" s="41"/>
      <c r="K3744" s="41"/>
      <c r="L3744" s="41"/>
      <c r="M3744" s="41"/>
      <c r="N3744" s="41"/>
      <c r="O3744" s="41"/>
      <c r="P3744" s="28"/>
    </row>
    <row r="3745" customFormat="1" spans="1:16">
      <c r="A3745" s="39"/>
      <c r="B3745" s="40"/>
      <c r="C3745" s="41"/>
      <c r="D3745" s="41"/>
      <c r="E3745" s="41"/>
      <c r="F3745" s="41"/>
      <c r="G3745" s="41"/>
      <c r="H3745" s="41"/>
      <c r="I3745" s="41"/>
      <c r="J3745" s="41"/>
      <c r="K3745" s="41"/>
      <c r="L3745" s="41"/>
      <c r="M3745" s="41"/>
      <c r="N3745" s="41"/>
      <c r="O3745" s="41"/>
      <c r="P3745" s="28"/>
    </row>
    <row r="3746" customFormat="1" spans="1:16">
      <c r="A3746" s="39"/>
      <c r="B3746" s="40"/>
      <c r="C3746" s="41"/>
      <c r="D3746" s="41"/>
      <c r="E3746" s="41"/>
      <c r="F3746" s="41"/>
      <c r="G3746" s="41"/>
      <c r="H3746" s="41"/>
      <c r="I3746" s="41"/>
      <c r="J3746" s="41"/>
      <c r="K3746" s="41"/>
      <c r="L3746" s="41"/>
      <c r="M3746" s="41"/>
      <c r="N3746" s="41"/>
      <c r="O3746" s="41"/>
      <c r="P3746" s="28"/>
    </row>
    <row r="3747" customFormat="1" spans="1:16">
      <c r="A3747" s="39"/>
      <c r="B3747" s="40"/>
      <c r="C3747" s="41"/>
      <c r="D3747" s="41"/>
      <c r="E3747" s="41"/>
      <c r="F3747" s="41"/>
      <c r="G3747" s="41"/>
      <c r="H3747" s="41"/>
      <c r="I3747" s="41"/>
      <c r="J3747" s="41"/>
      <c r="K3747" s="41"/>
      <c r="L3747" s="41"/>
      <c r="M3747" s="41"/>
      <c r="N3747" s="41"/>
      <c r="O3747" s="41"/>
      <c r="P3747" s="28"/>
    </row>
    <row r="3748" customFormat="1" spans="1:16">
      <c r="A3748" s="39"/>
      <c r="B3748" s="40"/>
      <c r="C3748" s="41"/>
      <c r="D3748" s="41"/>
      <c r="E3748" s="41"/>
      <c r="F3748" s="41"/>
      <c r="G3748" s="41"/>
      <c r="H3748" s="41"/>
      <c r="I3748" s="41"/>
      <c r="J3748" s="41"/>
      <c r="K3748" s="41"/>
      <c r="L3748" s="41"/>
      <c r="M3748" s="41"/>
      <c r="N3748" s="41"/>
      <c r="O3748" s="41"/>
      <c r="P3748" s="28"/>
    </row>
    <row r="3749" customFormat="1" spans="1:16">
      <c r="A3749" s="39"/>
      <c r="B3749" s="40"/>
      <c r="C3749" s="41"/>
      <c r="D3749" s="41"/>
      <c r="E3749" s="41"/>
      <c r="F3749" s="41"/>
      <c r="G3749" s="41"/>
      <c r="H3749" s="41"/>
      <c r="I3749" s="41"/>
      <c r="J3749" s="41"/>
      <c r="K3749" s="41"/>
      <c r="L3749" s="41"/>
      <c r="M3749" s="41"/>
      <c r="N3749" s="41"/>
      <c r="O3749" s="41"/>
      <c r="P3749" s="28"/>
    </row>
    <row r="3750" customFormat="1" spans="1:16">
      <c r="A3750" s="39"/>
      <c r="B3750" s="40"/>
      <c r="C3750" s="41"/>
      <c r="D3750" s="41"/>
      <c r="E3750" s="41"/>
      <c r="F3750" s="41"/>
      <c r="G3750" s="41"/>
      <c r="H3750" s="41"/>
      <c r="I3750" s="41"/>
      <c r="J3750" s="41"/>
      <c r="K3750" s="41"/>
      <c r="L3750" s="41"/>
      <c r="M3750" s="41"/>
      <c r="N3750" s="41"/>
      <c r="O3750" s="41"/>
      <c r="P3750" s="28"/>
    </row>
    <row r="3751" customFormat="1" spans="1:16">
      <c r="A3751" s="39"/>
      <c r="B3751" s="40"/>
      <c r="C3751" s="41"/>
      <c r="D3751" s="41"/>
      <c r="E3751" s="41"/>
      <c r="F3751" s="41"/>
      <c r="G3751" s="41"/>
      <c r="H3751" s="41"/>
      <c r="I3751" s="41"/>
      <c r="J3751" s="41"/>
      <c r="K3751" s="41"/>
      <c r="L3751" s="41"/>
      <c r="M3751" s="41"/>
      <c r="N3751" s="41"/>
      <c r="O3751" s="41"/>
      <c r="P3751" s="28"/>
    </row>
    <row r="3752" customFormat="1" spans="1:16">
      <c r="A3752" s="39"/>
      <c r="B3752" s="40"/>
      <c r="C3752" s="41"/>
      <c r="D3752" s="41"/>
      <c r="E3752" s="41"/>
      <c r="F3752" s="41"/>
      <c r="G3752" s="41"/>
      <c r="H3752" s="41"/>
      <c r="I3752" s="41"/>
      <c r="J3752" s="41"/>
      <c r="K3752" s="41"/>
      <c r="L3752" s="41"/>
      <c r="M3752" s="41"/>
      <c r="N3752" s="41"/>
      <c r="O3752" s="41"/>
      <c r="P3752" s="28"/>
    </row>
    <row r="3753" customFormat="1" spans="1:16">
      <c r="A3753" s="39"/>
      <c r="B3753" s="40"/>
      <c r="C3753" s="41"/>
      <c r="D3753" s="41"/>
      <c r="E3753" s="41"/>
      <c r="F3753" s="41"/>
      <c r="G3753" s="41"/>
      <c r="H3753" s="41"/>
      <c r="I3753" s="41"/>
      <c r="J3753" s="41"/>
      <c r="K3753" s="41"/>
      <c r="L3753" s="41"/>
      <c r="M3753" s="41"/>
      <c r="N3753" s="41"/>
      <c r="O3753" s="41"/>
      <c r="P3753" s="28"/>
    </row>
    <row r="3754" customFormat="1" spans="1:16">
      <c r="A3754" s="39"/>
      <c r="B3754" s="40"/>
      <c r="C3754" s="41"/>
      <c r="D3754" s="41"/>
      <c r="E3754" s="41"/>
      <c r="F3754" s="41"/>
      <c r="G3754" s="41"/>
      <c r="H3754" s="41"/>
      <c r="I3754" s="41"/>
      <c r="J3754" s="41"/>
      <c r="K3754" s="41"/>
      <c r="L3754" s="41"/>
      <c r="M3754" s="41"/>
      <c r="N3754" s="41"/>
      <c r="O3754" s="41"/>
      <c r="P3754" s="28"/>
    </row>
    <row r="3755" customFormat="1" spans="1:16">
      <c r="A3755" s="39"/>
      <c r="B3755" s="40"/>
      <c r="C3755" s="41"/>
      <c r="D3755" s="41"/>
      <c r="E3755" s="41"/>
      <c r="F3755" s="41"/>
      <c r="G3755" s="41"/>
      <c r="H3755" s="41"/>
      <c r="I3755" s="41"/>
      <c r="J3755" s="41"/>
      <c r="K3755" s="41"/>
      <c r="L3755" s="41"/>
      <c r="M3755" s="41"/>
      <c r="N3755" s="41"/>
      <c r="O3755" s="41"/>
      <c r="P3755" s="28"/>
    </row>
    <row r="3756" customFormat="1" spans="1:16">
      <c r="A3756" s="39"/>
      <c r="B3756" s="40"/>
      <c r="C3756" s="41"/>
      <c r="D3756" s="41"/>
      <c r="E3756" s="41"/>
      <c r="F3756" s="41"/>
      <c r="G3756" s="41"/>
      <c r="H3756" s="41"/>
      <c r="I3756" s="41"/>
      <c r="J3756" s="41"/>
      <c r="K3756" s="41"/>
      <c r="L3756" s="41"/>
      <c r="M3756" s="41"/>
      <c r="N3756" s="41"/>
      <c r="O3756" s="41"/>
      <c r="P3756" s="28"/>
    </row>
    <row r="3757" customFormat="1" spans="1:16">
      <c r="A3757" s="39"/>
      <c r="B3757" s="40"/>
      <c r="C3757" s="41"/>
      <c r="D3757" s="41"/>
      <c r="E3757" s="41"/>
      <c r="F3757" s="41"/>
      <c r="G3757" s="41"/>
      <c r="H3757" s="41"/>
      <c r="I3757" s="41"/>
      <c r="J3757" s="41"/>
      <c r="K3757" s="41"/>
      <c r="L3757" s="41"/>
      <c r="M3757" s="41"/>
      <c r="N3757" s="41"/>
      <c r="O3757" s="41"/>
      <c r="P3757" s="28"/>
    </row>
    <row r="3758" customFormat="1" spans="1:16">
      <c r="A3758" s="39"/>
      <c r="B3758" s="40"/>
      <c r="C3758" s="41"/>
      <c r="D3758" s="41"/>
      <c r="E3758" s="41"/>
      <c r="F3758" s="41"/>
      <c r="G3758" s="41"/>
      <c r="H3758" s="41"/>
      <c r="I3758" s="41"/>
      <c r="J3758" s="41"/>
      <c r="K3758" s="41"/>
      <c r="L3758" s="41"/>
      <c r="M3758" s="41"/>
      <c r="N3758" s="41"/>
      <c r="O3758" s="41"/>
      <c r="P3758" s="28"/>
    </row>
    <row r="3759" customFormat="1" spans="1:16">
      <c r="A3759" s="39"/>
      <c r="B3759" s="40"/>
      <c r="C3759" s="41"/>
      <c r="D3759" s="41"/>
      <c r="E3759" s="41"/>
      <c r="F3759" s="41"/>
      <c r="G3759" s="41"/>
      <c r="H3759" s="41"/>
      <c r="I3759" s="41"/>
      <c r="J3759" s="41"/>
      <c r="K3759" s="41"/>
      <c r="L3759" s="41"/>
      <c r="M3759" s="41"/>
      <c r="N3759" s="41"/>
      <c r="O3759" s="41"/>
      <c r="P3759" s="28"/>
    </row>
    <row r="3760" customFormat="1" spans="1:16">
      <c r="A3760" s="39"/>
      <c r="B3760" s="40"/>
      <c r="C3760" s="41"/>
      <c r="D3760" s="41"/>
      <c r="E3760" s="41"/>
      <c r="F3760" s="41"/>
      <c r="G3760" s="41"/>
      <c r="H3760" s="41"/>
      <c r="I3760" s="41"/>
      <c r="J3760" s="41"/>
      <c r="K3760" s="41"/>
      <c r="L3760" s="41"/>
      <c r="M3760" s="41"/>
      <c r="N3760" s="41"/>
      <c r="O3760" s="41"/>
      <c r="P3760" s="28"/>
    </row>
    <row r="3761" customFormat="1" spans="1:16">
      <c r="A3761" s="39"/>
      <c r="B3761" s="40"/>
      <c r="C3761" s="41"/>
      <c r="D3761" s="41"/>
      <c r="E3761" s="41"/>
      <c r="F3761" s="41"/>
      <c r="G3761" s="41"/>
      <c r="H3761" s="41"/>
      <c r="I3761" s="41"/>
      <c r="J3761" s="41"/>
      <c r="K3761" s="41"/>
      <c r="L3761" s="41"/>
      <c r="M3761" s="41"/>
      <c r="N3761" s="41"/>
      <c r="O3761" s="41"/>
      <c r="P3761" s="28"/>
    </row>
    <row r="3762" customFormat="1" spans="1:16">
      <c r="A3762" s="39"/>
      <c r="B3762" s="40"/>
      <c r="C3762" s="41"/>
      <c r="D3762" s="41"/>
      <c r="E3762" s="41"/>
      <c r="F3762" s="41"/>
      <c r="G3762" s="41"/>
      <c r="H3762" s="41"/>
      <c r="I3762" s="41"/>
      <c r="J3762" s="41"/>
      <c r="K3762" s="41"/>
      <c r="L3762" s="41"/>
      <c r="M3762" s="41"/>
      <c r="N3762" s="41"/>
      <c r="O3762" s="41"/>
      <c r="P3762" s="28"/>
    </row>
    <row r="3763" customFormat="1" spans="1:16">
      <c r="A3763" s="39"/>
      <c r="B3763" s="40"/>
      <c r="C3763" s="41"/>
      <c r="D3763" s="41"/>
      <c r="E3763" s="41"/>
      <c r="F3763" s="41"/>
      <c r="G3763" s="41"/>
      <c r="H3763" s="41"/>
      <c r="I3763" s="41"/>
      <c r="J3763" s="41"/>
      <c r="K3763" s="41"/>
      <c r="L3763" s="41"/>
      <c r="M3763" s="41"/>
      <c r="N3763" s="41"/>
      <c r="O3763" s="41"/>
      <c r="P3763" s="28"/>
    </row>
    <row r="3764" customFormat="1" spans="1:16">
      <c r="A3764" s="39"/>
      <c r="B3764" s="40"/>
      <c r="C3764" s="41"/>
      <c r="D3764" s="41"/>
      <c r="E3764" s="41"/>
      <c r="F3764" s="41"/>
      <c r="G3764" s="41"/>
      <c r="H3764" s="41"/>
      <c r="I3764" s="41"/>
      <c r="J3764" s="41"/>
      <c r="K3764" s="41"/>
      <c r="L3764" s="41"/>
      <c r="M3764" s="41"/>
      <c r="N3764" s="41"/>
      <c r="O3764" s="41"/>
      <c r="P3764" s="28"/>
    </row>
    <row r="3765" customFormat="1" spans="1:16">
      <c r="A3765" s="39"/>
      <c r="B3765" s="40"/>
      <c r="C3765" s="41"/>
      <c r="D3765" s="41"/>
      <c r="E3765" s="41"/>
      <c r="F3765" s="41"/>
      <c r="G3765" s="41"/>
      <c r="H3765" s="41"/>
      <c r="I3765" s="41"/>
      <c r="J3765" s="41"/>
      <c r="K3765" s="41"/>
      <c r="L3765" s="41"/>
      <c r="M3765" s="41"/>
      <c r="N3765" s="41"/>
      <c r="O3765" s="41"/>
      <c r="P3765" s="28"/>
    </row>
    <row r="3766" customFormat="1" spans="1:16">
      <c r="A3766" s="39"/>
      <c r="B3766" s="40"/>
      <c r="C3766" s="41"/>
      <c r="D3766" s="41"/>
      <c r="E3766" s="41"/>
      <c r="F3766" s="41"/>
      <c r="G3766" s="41"/>
      <c r="H3766" s="41"/>
      <c r="I3766" s="41"/>
      <c r="J3766" s="41"/>
      <c r="K3766" s="41"/>
      <c r="L3766" s="41"/>
      <c r="M3766" s="41"/>
      <c r="N3766" s="41"/>
      <c r="O3766" s="41"/>
      <c r="P3766" s="28"/>
    </row>
    <row r="3767" customFormat="1" spans="1:16">
      <c r="A3767" s="39"/>
      <c r="B3767" s="40"/>
      <c r="C3767" s="41"/>
      <c r="D3767" s="41"/>
      <c r="E3767" s="41"/>
      <c r="F3767" s="41"/>
      <c r="G3767" s="41"/>
      <c r="H3767" s="41"/>
      <c r="I3767" s="41"/>
      <c r="J3767" s="41"/>
      <c r="K3767" s="41"/>
      <c r="L3767" s="41"/>
      <c r="M3767" s="41"/>
      <c r="N3767" s="41"/>
      <c r="O3767" s="41"/>
      <c r="P3767" s="28"/>
    </row>
    <row r="3768" customFormat="1" spans="1:16">
      <c r="A3768" s="39"/>
      <c r="B3768" s="40"/>
      <c r="C3768" s="41"/>
      <c r="D3768" s="41"/>
      <c r="E3768" s="41"/>
      <c r="F3768" s="41"/>
      <c r="G3768" s="41"/>
      <c r="H3768" s="41"/>
      <c r="I3768" s="41"/>
      <c r="J3768" s="41"/>
      <c r="K3768" s="41"/>
      <c r="L3768" s="41"/>
      <c r="M3768" s="41"/>
      <c r="N3768" s="41"/>
      <c r="O3768" s="41"/>
      <c r="P3768" s="28"/>
    </row>
    <row r="3769" customFormat="1" spans="1:16">
      <c r="A3769" s="39"/>
      <c r="B3769" s="40"/>
      <c r="C3769" s="41"/>
      <c r="D3769" s="41"/>
      <c r="E3769" s="41"/>
      <c r="F3769" s="41"/>
      <c r="G3769" s="41"/>
      <c r="H3769" s="41"/>
      <c r="I3769" s="41"/>
      <c r="J3769" s="41"/>
      <c r="K3769" s="41"/>
      <c r="L3769" s="41"/>
      <c r="M3769" s="41"/>
      <c r="N3769" s="41"/>
      <c r="O3769" s="41"/>
      <c r="P3769" s="28"/>
    </row>
    <row r="3770" customFormat="1" spans="1:16">
      <c r="A3770" s="39"/>
      <c r="B3770" s="40"/>
      <c r="C3770" s="41"/>
      <c r="D3770" s="41"/>
      <c r="E3770" s="41"/>
      <c r="F3770" s="41"/>
      <c r="G3770" s="41"/>
      <c r="H3770" s="41"/>
      <c r="I3770" s="41"/>
      <c r="J3770" s="41"/>
      <c r="K3770" s="41"/>
      <c r="L3770" s="41"/>
      <c r="M3770" s="41"/>
      <c r="N3770" s="41"/>
      <c r="O3770" s="41"/>
      <c r="P3770" s="28"/>
    </row>
    <row r="3771" customFormat="1" spans="1:16">
      <c r="A3771" s="39"/>
      <c r="B3771" s="40"/>
      <c r="C3771" s="41"/>
      <c r="D3771" s="41"/>
      <c r="E3771" s="41"/>
      <c r="F3771" s="41"/>
      <c r="G3771" s="41"/>
      <c r="H3771" s="41"/>
      <c r="I3771" s="41"/>
      <c r="J3771" s="41"/>
      <c r="K3771" s="41"/>
      <c r="L3771" s="41"/>
      <c r="M3771" s="41"/>
      <c r="N3771" s="41"/>
      <c r="O3771" s="41"/>
      <c r="P3771" s="28"/>
    </row>
    <row r="3772" customFormat="1" spans="1:16">
      <c r="A3772" s="39"/>
      <c r="B3772" s="40"/>
      <c r="C3772" s="41"/>
      <c r="D3772" s="41"/>
      <c r="E3772" s="41"/>
      <c r="F3772" s="41"/>
      <c r="G3772" s="41"/>
      <c r="H3772" s="41"/>
      <c r="I3772" s="41"/>
      <c r="J3772" s="41"/>
      <c r="K3772" s="41"/>
      <c r="L3772" s="41"/>
      <c r="M3772" s="41"/>
      <c r="N3772" s="41"/>
      <c r="O3772" s="41"/>
      <c r="P3772" s="28"/>
    </row>
    <row r="3773" customFormat="1" spans="1:16">
      <c r="A3773" s="39"/>
      <c r="B3773" s="40"/>
      <c r="C3773" s="41"/>
      <c r="D3773" s="41"/>
      <c r="E3773" s="41"/>
      <c r="F3773" s="41"/>
      <c r="G3773" s="41"/>
      <c r="H3773" s="41"/>
      <c r="I3773" s="41"/>
      <c r="J3773" s="41"/>
      <c r="K3773" s="41"/>
      <c r="L3773" s="41"/>
      <c r="M3773" s="41"/>
      <c r="N3773" s="41"/>
      <c r="O3773" s="41"/>
      <c r="P3773" s="28"/>
    </row>
    <row r="3774" customFormat="1" spans="1:16">
      <c r="A3774" s="39"/>
      <c r="B3774" s="40"/>
      <c r="C3774" s="41"/>
      <c r="D3774" s="41"/>
      <c r="E3774" s="41"/>
      <c r="F3774" s="41"/>
      <c r="G3774" s="41"/>
      <c r="H3774" s="41"/>
      <c r="I3774" s="41"/>
      <c r="J3774" s="41"/>
      <c r="K3774" s="41"/>
      <c r="L3774" s="41"/>
      <c r="M3774" s="41"/>
      <c r="N3774" s="41"/>
      <c r="O3774" s="41"/>
      <c r="P3774" s="28"/>
    </row>
    <row r="3775" customFormat="1" spans="1:16">
      <c r="A3775" s="39"/>
      <c r="B3775" s="40"/>
      <c r="C3775" s="41"/>
      <c r="D3775" s="41"/>
      <c r="E3775" s="41"/>
      <c r="F3775" s="41"/>
      <c r="G3775" s="41"/>
      <c r="H3775" s="41"/>
      <c r="I3775" s="41"/>
      <c r="J3775" s="41"/>
      <c r="K3775" s="41"/>
      <c r="L3775" s="41"/>
      <c r="M3775" s="41"/>
      <c r="N3775" s="41"/>
      <c r="O3775" s="41"/>
      <c r="P3775" s="28"/>
    </row>
    <row r="3776" customFormat="1" spans="1:16">
      <c r="A3776" s="39"/>
      <c r="B3776" s="40"/>
      <c r="C3776" s="41"/>
      <c r="D3776" s="41"/>
      <c r="E3776" s="41"/>
      <c r="F3776" s="41"/>
      <c r="G3776" s="41"/>
      <c r="H3776" s="41"/>
      <c r="I3776" s="41"/>
      <c r="J3776" s="41"/>
      <c r="K3776" s="41"/>
      <c r="L3776" s="41"/>
      <c r="M3776" s="41"/>
      <c r="N3776" s="41"/>
      <c r="O3776" s="41"/>
      <c r="P3776" s="28"/>
    </row>
    <row r="3777" customFormat="1" spans="1:16">
      <c r="A3777" s="39"/>
      <c r="B3777" s="40"/>
      <c r="C3777" s="41"/>
      <c r="D3777" s="41"/>
      <c r="E3777" s="41"/>
      <c r="F3777" s="41"/>
      <c r="G3777" s="41"/>
      <c r="H3777" s="41"/>
      <c r="I3777" s="41"/>
      <c r="J3777" s="41"/>
      <c r="K3777" s="41"/>
      <c r="L3777" s="41"/>
      <c r="M3777" s="41"/>
      <c r="N3777" s="41"/>
      <c r="O3777" s="41"/>
      <c r="P3777" s="28"/>
    </row>
    <row r="3778" customFormat="1" spans="1:16">
      <c r="A3778" s="39"/>
      <c r="B3778" s="40"/>
      <c r="C3778" s="41"/>
      <c r="D3778" s="41"/>
      <c r="E3778" s="41"/>
      <c r="F3778" s="41"/>
      <c r="G3778" s="41"/>
      <c r="H3778" s="41"/>
      <c r="I3778" s="41"/>
      <c r="J3778" s="41"/>
      <c r="K3778" s="41"/>
      <c r="L3778" s="41"/>
      <c r="M3778" s="41"/>
      <c r="N3778" s="41"/>
      <c r="O3778" s="41"/>
      <c r="P3778" s="28"/>
    </row>
    <row r="3779" customFormat="1" spans="1:16">
      <c r="A3779" s="39"/>
      <c r="B3779" s="40"/>
      <c r="C3779" s="41"/>
      <c r="D3779" s="41"/>
      <c r="E3779" s="41"/>
      <c r="F3779" s="41"/>
      <c r="G3779" s="41"/>
      <c r="H3779" s="41"/>
      <c r="I3779" s="41"/>
      <c r="J3779" s="41"/>
      <c r="K3779" s="41"/>
      <c r="L3779" s="41"/>
      <c r="M3779" s="41"/>
      <c r="N3779" s="41"/>
      <c r="O3779" s="41"/>
      <c r="P3779" s="28"/>
    </row>
    <row r="3780" customFormat="1" spans="1:16">
      <c r="A3780" s="39"/>
      <c r="B3780" s="40"/>
      <c r="C3780" s="41"/>
      <c r="D3780" s="41"/>
      <c r="E3780" s="41"/>
      <c r="F3780" s="41"/>
      <c r="G3780" s="41"/>
      <c r="H3780" s="41"/>
      <c r="I3780" s="41"/>
      <c r="J3780" s="41"/>
      <c r="K3780" s="41"/>
      <c r="L3780" s="41"/>
      <c r="M3780" s="41"/>
      <c r="N3780" s="41"/>
      <c r="O3780" s="41"/>
      <c r="P3780" s="28"/>
    </row>
    <row r="3781" customFormat="1" spans="1:16">
      <c r="A3781" s="39"/>
      <c r="B3781" s="40"/>
      <c r="C3781" s="41"/>
      <c r="D3781" s="41"/>
      <c r="E3781" s="41"/>
      <c r="F3781" s="41"/>
      <c r="G3781" s="41"/>
      <c r="H3781" s="41"/>
      <c r="I3781" s="41"/>
      <c r="J3781" s="41"/>
      <c r="K3781" s="41"/>
      <c r="L3781" s="41"/>
      <c r="M3781" s="41"/>
      <c r="N3781" s="41"/>
      <c r="O3781" s="41"/>
      <c r="P3781" s="28"/>
    </row>
    <row r="3782" customFormat="1" spans="1:16">
      <c r="A3782" s="39"/>
      <c r="B3782" s="40"/>
      <c r="C3782" s="41"/>
      <c r="D3782" s="41"/>
      <c r="E3782" s="41"/>
      <c r="F3782" s="41"/>
      <c r="G3782" s="41"/>
      <c r="H3782" s="41"/>
      <c r="I3782" s="41"/>
      <c r="J3782" s="41"/>
      <c r="K3782" s="41"/>
      <c r="L3782" s="41"/>
      <c r="M3782" s="41"/>
      <c r="N3782" s="41"/>
      <c r="O3782" s="41"/>
      <c r="P3782" s="28"/>
    </row>
    <row r="3783" customFormat="1" spans="1:16">
      <c r="A3783" s="39"/>
      <c r="B3783" s="40"/>
      <c r="C3783" s="41"/>
      <c r="D3783" s="41"/>
      <c r="E3783" s="41"/>
      <c r="F3783" s="41"/>
      <c r="G3783" s="41"/>
      <c r="H3783" s="41"/>
      <c r="I3783" s="41"/>
      <c r="J3783" s="41"/>
      <c r="K3783" s="41"/>
      <c r="L3783" s="41"/>
      <c r="M3783" s="41"/>
      <c r="N3783" s="41"/>
      <c r="O3783" s="41"/>
      <c r="P3783" s="28"/>
    </row>
    <row r="3784" customFormat="1" spans="1:16">
      <c r="A3784" s="39"/>
      <c r="B3784" s="40"/>
      <c r="C3784" s="41"/>
      <c r="D3784" s="41"/>
      <c r="E3784" s="41"/>
      <c r="F3784" s="41"/>
      <c r="G3784" s="41"/>
      <c r="H3784" s="41"/>
      <c r="I3784" s="41"/>
      <c r="J3784" s="41"/>
      <c r="K3784" s="41"/>
      <c r="L3784" s="41"/>
      <c r="M3784" s="41"/>
      <c r="N3784" s="41"/>
      <c r="O3784" s="41"/>
      <c r="P3784" s="28"/>
    </row>
    <row r="3785" customFormat="1" spans="1:16">
      <c r="A3785" s="39"/>
      <c r="B3785" s="40"/>
      <c r="C3785" s="41"/>
      <c r="D3785" s="41"/>
      <c r="E3785" s="41"/>
      <c r="F3785" s="41"/>
      <c r="G3785" s="41"/>
      <c r="H3785" s="41"/>
      <c r="I3785" s="41"/>
      <c r="J3785" s="41"/>
      <c r="K3785" s="41"/>
      <c r="L3785" s="41"/>
      <c r="M3785" s="41"/>
      <c r="N3785" s="41"/>
      <c r="O3785" s="41"/>
      <c r="P3785" s="28"/>
    </row>
    <row r="3786" customFormat="1" spans="1:16">
      <c r="A3786" s="39"/>
      <c r="B3786" s="40"/>
      <c r="C3786" s="41"/>
      <c r="D3786" s="41"/>
      <c r="E3786" s="41"/>
      <c r="F3786" s="41"/>
      <c r="G3786" s="41"/>
      <c r="H3786" s="41"/>
      <c r="I3786" s="41"/>
      <c r="J3786" s="41"/>
      <c r="K3786" s="41"/>
      <c r="L3786" s="41"/>
      <c r="M3786" s="41"/>
      <c r="N3786" s="41"/>
      <c r="O3786" s="41"/>
      <c r="P3786" s="28"/>
    </row>
    <row r="3787" customFormat="1" spans="1:16">
      <c r="A3787" s="39"/>
      <c r="B3787" s="40"/>
      <c r="C3787" s="41"/>
      <c r="D3787" s="41"/>
      <c r="E3787" s="41"/>
      <c r="F3787" s="41"/>
      <c r="G3787" s="41"/>
      <c r="H3787" s="41"/>
      <c r="I3787" s="41"/>
      <c r="J3787" s="41"/>
      <c r="K3787" s="41"/>
      <c r="L3787" s="41"/>
      <c r="M3787" s="41"/>
      <c r="N3787" s="41"/>
      <c r="O3787" s="41"/>
      <c r="P3787" s="28"/>
    </row>
    <row r="3788" customFormat="1" spans="1:16">
      <c r="A3788" s="39"/>
      <c r="B3788" s="40"/>
      <c r="C3788" s="41"/>
      <c r="D3788" s="41"/>
      <c r="E3788" s="41"/>
      <c r="F3788" s="41"/>
      <c r="G3788" s="41"/>
      <c r="H3788" s="41"/>
      <c r="I3788" s="41"/>
      <c r="J3788" s="41"/>
      <c r="K3788" s="41"/>
      <c r="L3788" s="41"/>
      <c r="M3788" s="41"/>
      <c r="N3788" s="41"/>
      <c r="O3788" s="41"/>
      <c r="P3788" s="28"/>
    </row>
    <row r="3789" customFormat="1" spans="1:16">
      <c r="A3789" s="39"/>
      <c r="B3789" s="40"/>
      <c r="C3789" s="41"/>
      <c r="D3789" s="41"/>
      <c r="E3789" s="41"/>
      <c r="F3789" s="41"/>
      <c r="G3789" s="41"/>
      <c r="H3789" s="41"/>
      <c r="I3789" s="41"/>
      <c r="J3789" s="41"/>
      <c r="K3789" s="41"/>
      <c r="L3789" s="41"/>
      <c r="M3789" s="41"/>
      <c r="N3789" s="41"/>
      <c r="O3789" s="41"/>
      <c r="P3789" s="28"/>
    </row>
    <row r="3790" customFormat="1" spans="1:16">
      <c r="A3790" s="39"/>
      <c r="B3790" s="40"/>
      <c r="C3790" s="41"/>
      <c r="D3790" s="41"/>
      <c r="E3790" s="41"/>
      <c r="F3790" s="41"/>
      <c r="G3790" s="41"/>
      <c r="H3790" s="41"/>
      <c r="I3790" s="41"/>
      <c r="J3790" s="41"/>
      <c r="K3790" s="41"/>
      <c r="L3790" s="41"/>
      <c r="M3790" s="41"/>
      <c r="N3790" s="41"/>
      <c r="O3790" s="41"/>
      <c r="P3790" s="28"/>
    </row>
    <row r="3791" customFormat="1" spans="1:16">
      <c r="A3791" s="39"/>
      <c r="B3791" s="40"/>
      <c r="C3791" s="41"/>
      <c r="D3791" s="41"/>
      <c r="E3791" s="41"/>
      <c r="F3791" s="41"/>
      <c r="G3791" s="41"/>
      <c r="H3791" s="41"/>
      <c r="I3791" s="41"/>
      <c r="J3791" s="41"/>
      <c r="K3791" s="41"/>
      <c r="L3791" s="41"/>
      <c r="M3791" s="41"/>
      <c r="N3791" s="41"/>
      <c r="O3791" s="41"/>
      <c r="P3791" s="28"/>
    </row>
    <row r="3792" customFormat="1" spans="1:16">
      <c r="A3792" s="39"/>
      <c r="B3792" s="40"/>
      <c r="C3792" s="41"/>
      <c r="D3792" s="41"/>
      <c r="E3792" s="41"/>
      <c r="F3792" s="41"/>
      <c r="G3792" s="41"/>
      <c r="H3792" s="41"/>
      <c r="I3792" s="41"/>
      <c r="J3792" s="41"/>
      <c r="K3792" s="41"/>
      <c r="L3792" s="41"/>
      <c r="M3792" s="41"/>
      <c r="N3792" s="41"/>
      <c r="O3792" s="41"/>
      <c r="P3792" s="28"/>
    </row>
    <row r="3793" customFormat="1" spans="1:16">
      <c r="A3793" s="39"/>
      <c r="B3793" s="40"/>
      <c r="C3793" s="41"/>
      <c r="D3793" s="41"/>
      <c r="E3793" s="41"/>
      <c r="F3793" s="41"/>
      <c r="G3793" s="41"/>
      <c r="H3793" s="41"/>
      <c r="I3793" s="41"/>
      <c r="J3793" s="41"/>
      <c r="K3793" s="41"/>
      <c r="L3793" s="41"/>
      <c r="M3793" s="41"/>
      <c r="N3793" s="41"/>
      <c r="O3793" s="41"/>
      <c r="P3793" s="28"/>
    </row>
    <row r="3794" customFormat="1" spans="1:16">
      <c r="A3794" s="39"/>
      <c r="B3794" s="40"/>
      <c r="C3794" s="41"/>
      <c r="D3794" s="41"/>
      <c r="E3794" s="41"/>
      <c r="F3794" s="41"/>
      <c r="G3794" s="41"/>
      <c r="H3794" s="41"/>
      <c r="I3794" s="41"/>
      <c r="J3794" s="41"/>
      <c r="K3794" s="41"/>
      <c r="L3794" s="41"/>
      <c r="M3794" s="41"/>
      <c r="N3794" s="41"/>
      <c r="O3794" s="41"/>
      <c r="P3794" s="28"/>
    </row>
    <row r="3795" customFormat="1" spans="1:16">
      <c r="A3795" s="39"/>
      <c r="B3795" s="40"/>
      <c r="C3795" s="41"/>
      <c r="D3795" s="41"/>
      <c r="E3795" s="41"/>
      <c r="F3795" s="41"/>
      <c r="G3795" s="41"/>
      <c r="H3795" s="41"/>
      <c r="I3795" s="41"/>
      <c r="J3795" s="41"/>
      <c r="K3795" s="41"/>
      <c r="L3795" s="41"/>
      <c r="M3795" s="41"/>
      <c r="N3795" s="41"/>
      <c r="O3795" s="41"/>
      <c r="P3795" s="28"/>
    </row>
    <row r="3796" customFormat="1" spans="1:16">
      <c r="A3796" s="39"/>
      <c r="B3796" s="40"/>
      <c r="C3796" s="41"/>
      <c r="D3796" s="41"/>
      <c r="E3796" s="41"/>
      <c r="F3796" s="41"/>
      <c r="G3796" s="41"/>
      <c r="H3796" s="41"/>
      <c r="I3796" s="41"/>
      <c r="J3796" s="41"/>
      <c r="K3796" s="41"/>
      <c r="L3796" s="41"/>
      <c r="M3796" s="41"/>
      <c r="N3796" s="41"/>
      <c r="O3796" s="41"/>
      <c r="P3796" s="28"/>
    </row>
    <row r="3797" customFormat="1" spans="1:16">
      <c r="A3797" s="39"/>
      <c r="B3797" s="40"/>
      <c r="C3797" s="41"/>
      <c r="D3797" s="41"/>
      <c r="E3797" s="41"/>
      <c r="F3797" s="41"/>
      <c r="G3797" s="41"/>
      <c r="H3797" s="41"/>
      <c r="I3797" s="41"/>
      <c r="J3797" s="41"/>
      <c r="K3797" s="41"/>
      <c r="L3797" s="41"/>
      <c r="M3797" s="41"/>
      <c r="N3797" s="41"/>
      <c r="O3797" s="41"/>
      <c r="P3797" s="28"/>
    </row>
    <row r="3798" customFormat="1" spans="1:16">
      <c r="A3798" s="39"/>
      <c r="B3798" s="40"/>
      <c r="C3798" s="41"/>
      <c r="D3798" s="41"/>
      <c r="E3798" s="41"/>
      <c r="F3798" s="41"/>
      <c r="G3798" s="41"/>
      <c r="H3798" s="41"/>
      <c r="I3798" s="41"/>
      <c r="J3798" s="41"/>
      <c r="K3798" s="41"/>
      <c r="L3798" s="41"/>
      <c r="M3798" s="41"/>
      <c r="N3798" s="41"/>
      <c r="O3798" s="41"/>
      <c r="P3798" s="28"/>
    </row>
    <row r="3799" customFormat="1" spans="1:16">
      <c r="A3799" s="39"/>
      <c r="B3799" s="40"/>
      <c r="C3799" s="41"/>
      <c r="D3799" s="41"/>
      <c r="E3799" s="41"/>
      <c r="F3799" s="41"/>
      <c r="G3799" s="41"/>
      <c r="H3799" s="41"/>
      <c r="I3799" s="41"/>
      <c r="J3799" s="41"/>
      <c r="K3799" s="41"/>
      <c r="L3799" s="41"/>
      <c r="M3799" s="41"/>
      <c r="N3799" s="41"/>
      <c r="O3799" s="41"/>
      <c r="P3799" s="28"/>
    </row>
    <row r="3800" customFormat="1" spans="1:16">
      <c r="A3800" s="39"/>
      <c r="B3800" s="40"/>
      <c r="C3800" s="41"/>
      <c r="D3800" s="41"/>
      <c r="E3800" s="41"/>
      <c r="F3800" s="41"/>
      <c r="G3800" s="41"/>
      <c r="H3800" s="41"/>
      <c r="I3800" s="41"/>
      <c r="J3800" s="41"/>
      <c r="K3800" s="41"/>
      <c r="L3800" s="41"/>
      <c r="M3800" s="41"/>
      <c r="N3800" s="41"/>
      <c r="O3800" s="41"/>
      <c r="P3800" s="28"/>
    </row>
    <row r="3801" customFormat="1" spans="1:16">
      <c r="A3801" s="39"/>
      <c r="B3801" s="40"/>
      <c r="C3801" s="41"/>
      <c r="D3801" s="41"/>
      <c r="E3801" s="41"/>
      <c r="F3801" s="41"/>
      <c r="G3801" s="41"/>
      <c r="H3801" s="41"/>
      <c r="I3801" s="41"/>
      <c r="J3801" s="41"/>
      <c r="K3801" s="41"/>
      <c r="L3801" s="41"/>
      <c r="M3801" s="41"/>
      <c r="N3801" s="41"/>
      <c r="O3801" s="41"/>
      <c r="P3801" s="28"/>
    </row>
    <row r="3802" customFormat="1" spans="1:16">
      <c r="A3802" s="39"/>
      <c r="B3802" s="40"/>
      <c r="C3802" s="41"/>
      <c r="D3802" s="41"/>
      <c r="E3802" s="41"/>
      <c r="F3802" s="41"/>
      <c r="G3802" s="41"/>
      <c r="H3802" s="41"/>
      <c r="I3802" s="41"/>
      <c r="J3802" s="41"/>
      <c r="K3802" s="41"/>
      <c r="L3802" s="41"/>
      <c r="M3802" s="41"/>
      <c r="N3802" s="41"/>
      <c r="O3802" s="41"/>
      <c r="P3802" s="28"/>
    </row>
    <row r="3803" customFormat="1" spans="1:16">
      <c r="A3803" s="39"/>
      <c r="B3803" s="40"/>
      <c r="C3803" s="41"/>
      <c r="D3803" s="41"/>
      <c r="E3803" s="41"/>
      <c r="F3803" s="41"/>
      <c r="G3803" s="41"/>
      <c r="H3803" s="41"/>
      <c r="I3803" s="41"/>
      <c r="J3803" s="41"/>
      <c r="K3803" s="41"/>
      <c r="L3803" s="41"/>
      <c r="M3803" s="41"/>
      <c r="N3803" s="41"/>
      <c r="O3803" s="41"/>
      <c r="P3803" s="28"/>
    </row>
    <row r="3804" customFormat="1" spans="1:16">
      <c r="A3804" s="39"/>
      <c r="B3804" s="40"/>
      <c r="C3804" s="41"/>
      <c r="D3804" s="41"/>
      <c r="E3804" s="41"/>
      <c r="F3804" s="41"/>
      <c r="G3804" s="41"/>
      <c r="H3804" s="41"/>
      <c r="I3804" s="41"/>
      <c r="J3804" s="41"/>
      <c r="K3804" s="41"/>
      <c r="L3804" s="41"/>
      <c r="M3804" s="41"/>
      <c r="N3804" s="41"/>
      <c r="O3804" s="41"/>
      <c r="P3804" s="28"/>
    </row>
    <row r="3805" customFormat="1" spans="1:16">
      <c r="A3805" s="39"/>
      <c r="B3805" s="40"/>
      <c r="C3805" s="41"/>
      <c r="D3805" s="41"/>
      <c r="E3805" s="41"/>
      <c r="F3805" s="41"/>
      <c r="G3805" s="41"/>
      <c r="H3805" s="41"/>
      <c r="I3805" s="41"/>
      <c r="J3805" s="41"/>
      <c r="K3805" s="41"/>
      <c r="L3805" s="41"/>
      <c r="M3805" s="41"/>
      <c r="N3805" s="41"/>
      <c r="O3805" s="41"/>
      <c r="P3805" s="28"/>
    </row>
    <row r="3806" customFormat="1" spans="1:16">
      <c r="A3806" s="39"/>
      <c r="B3806" s="40"/>
      <c r="C3806" s="41"/>
      <c r="D3806" s="41"/>
      <c r="E3806" s="41"/>
      <c r="F3806" s="41"/>
      <c r="G3806" s="41"/>
      <c r="H3806" s="41"/>
      <c r="I3806" s="41"/>
      <c r="J3806" s="41"/>
      <c r="K3806" s="41"/>
      <c r="L3806" s="41"/>
      <c r="M3806" s="41"/>
      <c r="N3806" s="41"/>
      <c r="O3806" s="41"/>
      <c r="P3806" s="28"/>
    </row>
    <row r="3807" customFormat="1" spans="1:16">
      <c r="A3807" s="39"/>
      <c r="B3807" s="40"/>
      <c r="C3807" s="41"/>
      <c r="D3807" s="41"/>
      <c r="E3807" s="41"/>
      <c r="F3807" s="41"/>
      <c r="G3807" s="41"/>
      <c r="H3807" s="41"/>
      <c r="I3807" s="41"/>
      <c r="J3807" s="41"/>
      <c r="K3807" s="41"/>
      <c r="L3807" s="41"/>
      <c r="M3807" s="41"/>
      <c r="N3807" s="41"/>
      <c r="O3807" s="41"/>
      <c r="P3807" s="28"/>
    </row>
    <row r="3808" customFormat="1" spans="1:16">
      <c r="A3808" s="39"/>
      <c r="B3808" s="40"/>
      <c r="C3808" s="41"/>
      <c r="D3808" s="41"/>
      <c r="E3808" s="41"/>
      <c r="F3808" s="41"/>
      <c r="G3808" s="41"/>
      <c r="H3808" s="41"/>
      <c r="I3808" s="41"/>
      <c r="J3808" s="41"/>
      <c r="K3808" s="41"/>
      <c r="L3808" s="41"/>
      <c r="M3808" s="41"/>
      <c r="N3808" s="41"/>
      <c r="O3808" s="41"/>
      <c r="P3808" s="28"/>
    </row>
    <row r="3809" customFormat="1" spans="1:16">
      <c r="A3809" s="39"/>
      <c r="B3809" s="40"/>
      <c r="C3809" s="41"/>
      <c r="D3809" s="41"/>
      <c r="E3809" s="41"/>
      <c r="F3809" s="41"/>
      <c r="G3809" s="41"/>
      <c r="H3809" s="41"/>
      <c r="I3809" s="41"/>
      <c r="J3809" s="41"/>
      <c r="K3809" s="41"/>
      <c r="L3809" s="41"/>
      <c r="M3809" s="41"/>
      <c r="N3809" s="41"/>
      <c r="O3809" s="41"/>
      <c r="P3809" s="28"/>
    </row>
    <row r="3810" customFormat="1" spans="1:16">
      <c r="A3810" s="39"/>
      <c r="B3810" s="40"/>
      <c r="C3810" s="41"/>
      <c r="D3810" s="41"/>
      <c r="E3810" s="41"/>
      <c r="F3810" s="41"/>
      <c r="G3810" s="41"/>
      <c r="H3810" s="41"/>
      <c r="I3810" s="41"/>
      <c r="J3810" s="41"/>
      <c r="K3810" s="41"/>
      <c r="L3810" s="41"/>
      <c r="M3810" s="41"/>
      <c r="N3810" s="41"/>
      <c r="O3810" s="41"/>
      <c r="P3810" s="28"/>
    </row>
    <row r="3811" customFormat="1" spans="1:16">
      <c r="A3811" s="39"/>
      <c r="B3811" s="40"/>
      <c r="C3811" s="41"/>
      <c r="D3811" s="41"/>
      <c r="E3811" s="41"/>
      <c r="F3811" s="41"/>
      <c r="G3811" s="41"/>
      <c r="H3811" s="41"/>
      <c r="I3811" s="41"/>
      <c r="J3811" s="41"/>
      <c r="K3811" s="41"/>
      <c r="L3811" s="41"/>
      <c r="M3811" s="41"/>
      <c r="N3811" s="41"/>
      <c r="O3811" s="41"/>
      <c r="P3811" s="28"/>
    </row>
    <row r="3812" customFormat="1" spans="1:16">
      <c r="A3812" s="39"/>
      <c r="B3812" s="40"/>
      <c r="C3812" s="41"/>
      <c r="D3812" s="41"/>
      <c r="E3812" s="41"/>
      <c r="F3812" s="41"/>
      <c r="G3812" s="41"/>
      <c r="H3812" s="41"/>
      <c r="I3812" s="41"/>
      <c r="J3812" s="41"/>
      <c r="K3812" s="41"/>
      <c r="L3812" s="41"/>
      <c r="M3812" s="41"/>
      <c r="N3812" s="41"/>
      <c r="O3812" s="41"/>
      <c r="P3812" s="28"/>
    </row>
    <row r="3813" customFormat="1" spans="1:16">
      <c r="A3813" s="39"/>
      <c r="B3813" s="40"/>
      <c r="C3813" s="41"/>
      <c r="D3813" s="41"/>
      <c r="E3813" s="41"/>
      <c r="F3813" s="41"/>
      <c r="G3813" s="41"/>
      <c r="H3813" s="41"/>
      <c r="I3813" s="41"/>
      <c r="J3813" s="41"/>
      <c r="K3813" s="41"/>
      <c r="L3813" s="41"/>
      <c r="M3813" s="41"/>
      <c r="N3813" s="41"/>
      <c r="O3813" s="41"/>
      <c r="P3813" s="28"/>
    </row>
    <row r="3814" customFormat="1" spans="1:16">
      <c r="A3814" s="39"/>
      <c r="B3814" s="40"/>
      <c r="C3814" s="41"/>
      <c r="D3814" s="41"/>
      <c r="E3814" s="41"/>
      <c r="F3814" s="41"/>
      <c r="G3814" s="41"/>
      <c r="H3814" s="41"/>
      <c r="I3814" s="41"/>
      <c r="J3814" s="41"/>
      <c r="K3814" s="41"/>
      <c r="L3814" s="41"/>
      <c r="M3814" s="41"/>
      <c r="N3814" s="41"/>
      <c r="O3814" s="41"/>
      <c r="P3814" s="28"/>
    </row>
    <row r="3815" customFormat="1" spans="1:16">
      <c r="A3815" s="39"/>
      <c r="B3815" s="40"/>
      <c r="C3815" s="41"/>
      <c r="D3815" s="41"/>
      <c r="E3815" s="41"/>
      <c r="F3815" s="41"/>
      <c r="G3815" s="41"/>
      <c r="H3815" s="41"/>
      <c r="I3815" s="41"/>
      <c r="J3815" s="41"/>
      <c r="K3815" s="41"/>
      <c r="L3815" s="41"/>
      <c r="M3815" s="41"/>
      <c r="N3815" s="41"/>
      <c r="O3815" s="41"/>
      <c r="P3815" s="28"/>
    </row>
    <row r="3816" customFormat="1" spans="1:16">
      <c r="A3816" s="39"/>
      <c r="B3816" s="40"/>
      <c r="C3816" s="41"/>
      <c r="D3816" s="41"/>
      <c r="E3816" s="41"/>
      <c r="F3816" s="41"/>
      <c r="G3816" s="41"/>
      <c r="H3816" s="41"/>
      <c r="I3816" s="41"/>
      <c r="J3816" s="41"/>
      <c r="K3816" s="41"/>
      <c r="L3816" s="41"/>
      <c r="M3816" s="41"/>
      <c r="N3816" s="41"/>
      <c r="O3816" s="41"/>
      <c r="P3816" s="28"/>
    </row>
    <row r="3817" customFormat="1" spans="1:16">
      <c r="A3817" s="39"/>
      <c r="B3817" s="40"/>
      <c r="C3817" s="41"/>
      <c r="D3817" s="41"/>
      <c r="E3817" s="41"/>
      <c r="F3817" s="41"/>
      <c r="G3817" s="41"/>
      <c r="H3817" s="41"/>
      <c r="I3817" s="41"/>
      <c r="J3817" s="41"/>
      <c r="K3817" s="41"/>
      <c r="L3817" s="41"/>
      <c r="M3817" s="41"/>
      <c r="N3817" s="41"/>
      <c r="O3817" s="41"/>
      <c r="P3817" s="28"/>
    </row>
    <row r="3818" customFormat="1" spans="1:16">
      <c r="A3818" s="39"/>
      <c r="B3818" s="40"/>
      <c r="C3818" s="41"/>
      <c r="D3818" s="41"/>
      <c r="E3818" s="41"/>
      <c r="F3818" s="41"/>
      <c r="G3818" s="41"/>
      <c r="H3818" s="41"/>
      <c r="I3818" s="41"/>
      <c r="J3818" s="41"/>
      <c r="K3818" s="41"/>
      <c r="L3818" s="41"/>
      <c r="M3818" s="41"/>
      <c r="N3818" s="41"/>
      <c r="O3818" s="41"/>
      <c r="P3818" s="28"/>
    </row>
    <row r="3819" customFormat="1" spans="1:16">
      <c r="A3819" s="39"/>
      <c r="B3819" s="40"/>
      <c r="C3819" s="41"/>
      <c r="D3819" s="41"/>
      <c r="E3819" s="41"/>
      <c r="F3819" s="41"/>
      <c r="G3819" s="41"/>
      <c r="H3819" s="41"/>
      <c r="I3819" s="41"/>
      <c r="J3819" s="41"/>
      <c r="K3819" s="41"/>
      <c r="L3819" s="41"/>
      <c r="M3819" s="41"/>
      <c r="N3819" s="41"/>
      <c r="O3819" s="41"/>
      <c r="P3819" s="28"/>
    </row>
    <row r="3820" customFormat="1" spans="1:16">
      <c r="A3820" s="39"/>
      <c r="B3820" s="40"/>
      <c r="C3820" s="41"/>
      <c r="D3820" s="41"/>
      <c r="E3820" s="41"/>
      <c r="F3820" s="41"/>
      <c r="G3820" s="41"/>
      <c r="H3820" s="41"/>
      <c r="I3820" s="41"/>
      <c r="J3820" s="41"/>
      <c r="K3820" s="41"/>
      <c r="L3820" s="41"/>
      <c r="M3820" s="41"/>
      <c r="N3820" s="41"/>
      <c r="O3820" s="41"/>
      <c r="P3820" s="28"/>
    </row>
    <row r="3821" customFormat="1" spans="1:16">
      <c r="A3821" s="39"/>
      <c r="B3821" s="40"/>
      <c r="C3821" s="41"/>
      <c r="D3821" s="41"/>
      <c r="E3821" s="41"/>
      <c r="F3821" s="41"/>
      <c r="G3821" s="41"/>
      <c r="H3821" s="41"/>
      <c r="I3821" s="41"/>
      <c r="J3821" s="41"/>
      <c r="K3821" s="41"/>
      <c r="L3821" s="41"/>
      <c r="M3821" s="41"/>
      <c r="N3821" s="41"/>
      <c r="O3821" s="41"/>
      <c r="P3821" s="28"/>
    </row>
    <row r="3822" customFormat="1" spans="1:16">
      <c r="A3822" s="39"/>
      <c r="B3822" s="40"/>
      <c r="C3822" s="41"/>
      <c r="D3822" s="41"/>
      <c r="E3822" s="41"/>
      <c r="F3822" s="41"/>
      <c r="G3822" s="41"/>
      <c r="H3822" s="41"/>
      <c r="I3822" s="41"/>
      <c r="J3822" s="41"/>
      <c r="K3822" s="41"/>
      <c r="L3822" s="41"/>
      <c r="M3822" s="41"/>
      <c r="N3822" s="41"/>
      <c r="O3822" s="41"/>
      <c r="P3822" s="28"/>
    </row>
    <row r="3823" customFormat="1" spans="1:16">
      <c r="A3823" s="39"/>
      <c r="B3823" s="40"/>
      <c r="C3823" s="41"/>
      <c r="D3823" s="41"/>
      <c r="E3823" s="41"/>
      <c r="F3823" s="41"/>
      <c r="G3823" s="41"/>
      <c r="H3823" s="41"/>
      <c r="I3823" s="41"/>
      <c r="J3823" s="41"/>
      <c r="K3823" s="41"/>
      <c r="L3823" s="41"/>
      <c r="M3823" s="41"/>
      <c r="N3823" s="41"/>
      <c r="O3823" s="41"/>
      <c r="P3823" s="28"/>
    </row>
    <row r="3824" customFormat="1" spans="1:16">
      <c r="A3824" s="39"/>
      <c r="B3824" s="40"/>
      <c r="C3824" s="41"/>
      <c r="D3824" s="41"/>
      <c r="E3824" s="41"/>
      <c r="F3824" s="41"/>
      <c r="G3824" s="41"/>
      <c r="H3824" s="41"/>
      <c r="I3824" s="41"/>
      <c r="J3824" s="41"/>
      <c r="K3824" s="41"/>
      <c r="L3824" s="41"/>
      <c r="M3824" s="41"/>
      <c r="N3824" s="41"/>
      <c r="O3824" s="41"/>
      <c r="P3824" s="28"/>
    </row>
    <row r="3825" customFormat="1" spans="1:16">
      <c r="A3825" s="39"/>
      <c r="B3825" s="40"/>
      <c r="C3825" s="41"/>
      <c r="D3825" s="41"/>
      <c r="E3825" s="41"/>
      <c r="F3825" s="41"/>
      <c r="G3825" s="41"/>
      <c r="H3825" s="41"/>
      <c r="I3825" s="41"/>
      <c r="J3825" s="41"/>
      <c r="K3825" s="41"/>
      <c r="L3825" s="41"/>
      <c r="M3825" s="41"/>
      <c r="N3825" s="41"/>
      <c r="O3825" s="41"/>
      <c r="P3825" s="28"/>
    </row>
    <row r="3826" customFormat="1" spans="1:16">
      <c r="A3826" s="39"/>
      <c r="B3826" s="40"/>
      <c r="C3826" s="41"/>
      <c r="D3826" s="41"/>
      <c r="E3826" s="41"/>
      <c r="F3826" s="41"/>
      <c r="G3826" s="41"/>
      <c r="H3826" s="41"/>
      <c r="I3826" s="41"/>
      <c r="J3826" s="41"/>
      <c r="K3826" s="41"/>
      <c r="L3826" s="41"/>
      <c r="M3826" s="41"/>
      <c r="N3826" s="41"/>
      <c r="O3826" s="41"/>
      <c r="P3826" s="28"/>
    </row>
    <row r="3827" customFormat="1" spans="1:16">
      <c r="A3827" s="39"/>
      <c r="B3827" s="40"/>
      <c r="C3827" s="41"/>
      <c r="D3827" s="41"/>
      <c r="E3827" s="41"/>
      <c r="F3827" s="41"/>
      <c r="G3827" s="41"/>
      <c r="H3827" s="41"/>
      <c r="I3827" s="41"/>
      <c r="J3827" s="41"/>
      <c r="K3827" s="41"/>
      <c r="L3827" s="41"/>
      <c r="M3827" s="41"/>
      <c r="N3827" s="41"/>
      <c r="O3827" s="41"/>
      <c r="P3827" s="28"/>
    </row>
    <row r="3828" customFormat="1" spans="1:16">
      <c r="A3828" s="39"/>
      <c r="B3828" s="40"/>
      <c r="C3828" s="41"/>
      <c r="D3828" s="41"/>
      <c r="E3828" s="41"/>
      <c r="F3828" s="41"/>
      <c r="G3828" s="41"/>
      <c r="H3828" s="41"/>
      <c r="I3828" s="41"/>
      <c r="J3828" s="41"/>
      <c r="K3828" s="41"/>
      <c r="L3828" s="41"/>
      <c r="M3828" s="41"/>
      <c r="N3828" s="41"/>
      <c r="O3828" s="41"/>
      <c r="P3828" s="28"/>
    </row>
    <row r="3829" customFormat="1" spans="1:16">
      <c r="A3829" s="39"/>
      <c r="B3829" s="40"/>
      <c r="C3829" s="41"/>
      <c r="D3829" s="41"/>
      <c r="E3829" s="41"/>
      <c r="F3829" s="41"/>
      <c r="G3829" s="41"/>
      <c r="H3829" s="41"/>
      <c r="I3829" s="41"/>
      <c r="J3829" s="41"/>
      <c r="K3829" s="41"/>
      <c r="L3829" s="41"/>
      <c r="M3829" s="41"/>
      <c r="N3829" s="41"/>
      <c r="O3829" s="41"/>
      <c r="P3829" s="28"/>
    </row>
    <row r="3830" customFormat="1" spans="1:16">
      <c r="A3830" s="39"/>
      <c r="B3830" s="40"/>
      <c r="C3830" s="41"/>
      <c r="D3830" s="41"/>
      <c r="E3830" s="41"/>
      <c r="F3830" s="41"/>
      <c r="G3830" s="41"/>
      <c r="H3830" s="41"/>
      <c r="I3830" s="41"/>
      <c r="J3830" s="41"/>
      <c r="K3830" s="41"/>
      <c r="L3830" s="41"/>
      <c r="M3830" s="41"/>
      <c r="N3830" s="41"/>
      <c r="O3830" s="41"/>
      <c r="P3830" s="28"/>
    </row>
    <row r="3831" customFormat="1" spans="1:16">
      <c r="A3831" s="39"/>
      <c r="B3831" s="40"/>
      <c r="C3831" s="41"/>
      <c r="D3831" s="41"/>
      <c r="E3831" s="41"/>
      <c r="F3831" s="41"/>
      <c r="G3831" s="41"/>
      <c r="H3831" s="41"/>
      <c r="I3831" s="41"/>
      <c r="J3831" s="41"/>
      <c r="K3831" s="41"/>
      <c r="L3831" s="41"/>
      <c r="M3831" s="41"/>
      <c r="N3831" s="41"/>
      <c r="O3831" s="41"/>
      <c r="P3831" s="28"/>
    </row>
    <row r="3832" customFormat="1" spans="1:16">
      <c r="A3832" s="39"/>
      <c r="B3832" s="40"/>
      <c r="C3832" s="41"/>
      <c r="D3832" s="41"/>
      <c r="E3832" s="41"/>
      <c r="F3832" s="41"/>
      <c r="G3832" s="41"/>
      <c r="H3832" s="41"/>
      <c r="I3832" s="41"/>
      <c r="J3832" s="41"/>
      <c r="K3832" s="41"/>
      <c r="L3832" s="41"/>
      <c r="M3832" s="41"/>
      <c r="N3832" s="41"/>
      <c r="O3832" s="41"/>
      <c r="P3832" s="28"/>
    </row>
    <row r="3833" customFormat="1" spans="1:16">
      <c r="A3833" s="39"/>
      <c r="B3833" s="40"/>
      <c r="C3833" s="41"/>
      <c r="D3833" s="41"/>
      <c r="E3833" s="41"/>
      <c r="F3833" s="41"/>
      <c r="G3833" s="41"/>
      <c r="H3833" s="41"/>
      <c r="I3833" s="41"/>
      <c r="J3833" s="41"/>
      <c r="K3833" s="41"/>
      <c r="L3833" s="41"/>
      <c r="M3833" s="41"/>
      <c r="N3833" s="41"/>
      <c r="O3833" s="41"/>
      <c r="P3833" s="28"/>
    </row>
    <row r="3834" customFormat="1" spans="1:16">
      <c r="A3834" s="39"/>
      <c r="B3834" s="40"/>
      <c r="C3834" s="41"/>
      <c r="D3834" s="41"/>
      <c r="E3834" s="41"/>
      <c r="F3834" s="41"/>
      <c r="G3834" s="41"/>
      <c r="H3834" s="41"/>
      <c r="I3834" s="41"/>
      <c r="J3834" s="41"/>
      <c r="K3834" s="41"/>
      <c r="L3834" s="41"/>
      <c r="M3834" s="41"/>
      <c r="N3834" s="41"/>
      <c r="O3834" s="41"/>
      <c r="P3834" s="28"/>
    </row>
    <row r="3835" customFormat="1" spans="1:16">
      <c r="A3835" s="39"/>
      <c r="B3835" s="40"/>
      <c r="C3835" s="41"/>
      <c r="D3835" s="41"/>
      <c r="E3835" s="41"/>
      <c r="F3835" s="41"/>
      <c r="G3835" s="41"/>
      <c r="H3835" s="41"/>
      <c r="I3835" s="41"/>
      <c r="J3835" s="41"/>
      <c r="K3835" s="41"/>
      <c r="L3835" s="41"/>
      <c r="M3835" s="41"/>
      <c r="N3835" s="41"/>
      <c r="O3835" s="41"/>
      <c r="P3835" s="28"/>
    </row>
    <row r="3836" customFormat="1" spans="1:16">
      <c r="A3836" s="39"/>
      <c r="B3836" s="40"/>
      <c r="C3836" s="41"/>
      <c r="D3836" s="41"/>
      <c r="E3836" s="41"/>
      <c r="F3836" s="41"/>
      <c r="G3836" s="41"/>
      <c r="H3836" s="41"/>
      <c r="I3836" s="41"/>
      <c r="J3836" s="41"/>
      <c r="K3836" s="41"/>
      <c r="L3836" s="41"/>
      <c r="M3836" s="41"/>
      <c r="N3836" s="41"/>
      <c r="O3836" s="41"/>
      <c r="P3836" s="28"/>
    </row>
    <row r="3837" customFormat="1" spans="1:16">
      <c r="A3837" s="39"/>
      <c r="B3837" s="40"/>
      <c r="C3837" s="41"/>
      <c r="D3837" s="41"/>
      <c r="E3837" s="41"/>
      <c r="F3837" s="41"/>
      <c r="G3837" s="41"/>
      <c r="H3837" s="41"/>
      <c r="I3837" s="41"/>
      <c r="J3837" s="41"/>
      <c r="K3837" s="41"/>
      <c r="L3837" s="41"/>
      <c r="M3837" s="41"/>
      <c r="N3837" s="41"/>
      <c r="O3837" s="41"/>
      <c r="P3837" s="28"/>
    </row>
    <row r="3838" customFormat="1" spans="1:16">
      <c r="A3838" s="39"/>
      <c r="B3838" s="40"/>
      <c r="C3838" s="41"/>
      <c r="D3838" s="41"/>
      <c r="E3838" s="41"/>
      <c r="F3838" s="41"/>
      <c r="G3838" s="41"/>
      <c r="H3838" s="41"/>
      <c r="I3838" s="41"/>
      <c r="J3838" s="41"/>
      <c r="K3838" s="41"/>
      <c r="L3838" s="41"/>
      <c r="M3838" s="41"/>
      <c r="N3838" s="41"/>
      <c r="O3838" s="41"/>
      <c r="P3838" s="28"/>
    </row>
    <row r="3839" customFormat="1" spans="1:16">
      <c r="A3839" s="39"/>
      <c r="B3839" s="40"/>
      <c r="C3839" s="41"/>
      <c r="D3839" s="41"/>
      <c r="E3839" s="41"/>
      <c r="F3839" s="41"/>
      <c r="G3839" s="41"/>
      <c r="H3839" s="41"/>
      <c r="I3839" s="41"/>
      <c r="J3839" s="41"/>
      <c r="K3839" s="41"/>
      <c r="L3839" s="41"/>
      <c r="M3839" s="41"/>
      <c r="N3839" s="41"/>
      <c r="O3839" s="41"/>
      <c r="P3839" s="28"/>
    </row>
    <row r="3840" customFormat="1" spans="1:16">
      <c r="A3840" s="39"/>
      <c r="B3840" s="40"/>
      <c r="C3840" s="41"/>
      <c r="D3840" s="41"/>
      <c r="E3840" s="41"/>
      <c r="F3840" s="41"/>
      <c r="G3840" s="41"/>
      <c r="H3840" s="41"/>
      <c r="I3840" s="41"/>
      <c r="J3840" s="41"/>
      <c r="K3840" s="41"/>
      <c r="L3840" s="41"/>
      <c r="M3840" s="41"/>
      <c r="N3840" s="41"/>
      <c r="O3840" s="41"/>
      <c r="P3840" s="28"/>
    </row>
    <row r="3841" customFormat="1" spans="1:16">
      <c r="A3841" s="39"/>
      <c r="B3841" s="40"/>
      <c r="C3841" s="41"/>
      <c r="D3841" s="41"/>
      <c r="E3841" s="41"/>
      <c r="F3841" s="41"/>
      <c r="G3841" s="41"/>
      <c r="H3841" s="41"/>
      <c r="I3841" s="41"/>
      <c r="J3841" s="41"/>
      <c r="K3841" s="41"/>
      <c r="L3841" s="41"/>
      <c r="M3841" s="41"/>
      <c r="N3841" s="41"/>
      <c r="O3841" s="41"/>
      <c r="P3841" s="28"/>
    </row>
    <row r="3842" customFormat="1" spans="1:16">
      <c r="A3842" s="39"/>
      <c r="B3842" s="40"/>
      <c r="C3842" s="41"/>
      <c r="D3842" s="41"/>
      <c r="E3842" s="41"/>
      <c r="F3842" s="41"/>
      <c r="G3842" s="41"/>
      <c r="H3842" s="41"/>
      <c r="I3842" s="41"/>
      <c r="J3842" s="41"/>
      <c r="K3842" s="41"/>
      <c r="L3842" s="41"/>
      <c r="M3842" s="41"/>
      <c r="N3842" s="41"/>
      <c r="O3842" s="41"/>
      <c r="P3842" s="28"/>
    </row>
    <row r="3843" customFormat="1" spans="1:16">
      <c r="A3843" s="39"/>
      <c r="B3843" s="40"/>
      <c r="C3843" s="41"/>
      <c r="D3843" s="41"/>
      <c r="E3843" s="41"/>
      <c r="F3843" s="41"/>
      <c r="G3843" s="41"/>
      <c r="H3843" s="41"/>
      <c r="I3843" s="41"/>
      <c r="J3843" s="41"/>
      <c r="K3843" s="41"/>
      <c r="L3843" s="41"/>
      <c r="M3843" s="41"/>
      <c r="N3843" s="41"/>
      <c r="O3843" s="41"/>
      <c r="P3843" s="28"/>
    </row>
    <row r="3844" customFormat="1" spans="1:16">
      <c r="A3844" s="39"/>
      <c r="B3844" s="40"/>
      <c r="C3844" s="41"/>
      <c r="D3844" s="41"/>
      <c r="E3844" s="41"/>
      <c r="F3844" s="41"/>
      <c r="G3844" s="41"/>
      <c r="H3844" s="41"/>
      <c r="I3844" s="41"/>
      <c r="J3844" s="41"/>
      <c r="K3844" s="41"/>
      <c r="L3844" s="41"/>
      <c r="M3844" s="41"/>
      <c r="N3844" s="41"/>
      <c r="O3844" s="41"/>
      <c r="P3844" s="28"/>
    </row>
    <row r="3845" customFormat="1" spans="1:16">
      <c r="A3845" s="39"/>
      <c r="B3845" s="40"/>
      <c r="C3845" s="41"/>
      <c r="D3845" s="41"/>
      <c r="E3845" s="41"/>
      <c r="F3845" s="41"/>
      <c r="G3845" s="41"/>
      <c r="H3845" s="41"/>
      <c r="I3845" s="41"/>
      <c r="J3845" s="41"/>
      <c r="K3845" s="41"/>
      <c r="L3845" s="41"/>
      <c r="M3845" s="41"/>
      <c r="N3845" s="41"/>
      <c r="O3845" s="41"/>
      <c r="P3845" s="28"/>
    </row>
    <row r="3846" customFormat="1" spans="1:16">
      <c r="A3846" s="39"/>
      <c r="B3846" s="40"/>
      <c r="C3846" s="41"/>
      <c r="D3846" s="41"/>
      <c r="E3846" s="41"/>
      <c r="F3846" s="41"/>
      <c r="G3846" s="41"/>
      <c r="H3846" s="41"/>
      <c r="I3846" s="41"/>
      <c r="J3846" s="41"/>
      <c r="K3846" s="41"/>
      <c r="L3846" s="41"/>
      <c r="M3846" s="41"/>
      <c r="N3846" s="41"/>
      <c r="O3846" s="41"/>
      <c r="P3846" s="28"/>
    </row>
    <row r="3847" customFormat="1" spans="1:16">
      <c r="A3847" s="39"/>
      <c r="B3847" s="40"/>
      <c r="C3847" s="41"/>
      <c r="D3847" s="41"/>
      <c r="E3847" s="41"/>
      <c r="F3847" s="41"/>
      <c r="G3847" s="41"/>
      <c r="H3847" s="41"/>
      <c r="I3847" s="41"/>
      <c r="J3847" s="41"/>
      <c r="K3847" s="41"/>
      <c r="L3847" s="41"/>
      <c r="M3847" s="41"/>
      <c r="N3847" s="41"/>
      <c r="O3847" s="41"/>
      <c r="P3847" s="28"/>
    </row>
    <row r="3848" customFormat="1" spans="1:16">
      <c r="A3848" s="39"/>
      <c r="B3848" s="40"/>
      <c r="C3848" s="41"/>
      <c r="D3848" s="41"/>
      <c r="E3848" s="41"/>
      <c r="F3848" s="41"/>
      <c r="G3848" s="41"/>
      <c r="H3848" s="41"/>
      <c r="I3848" s="41"/>
      <c r="J3848" s="41"/>
      <c r="K3848" s="41"/>
      <c r="L3848" s="41"/>
      <c r="M3848" s="41"/>
      <c r="N3848" s="41"/>
      <c r="O3848" s="41"/>
      <c r="P3848" s="28"/>
    </row>
    <row r="3849" customFormat="1" spans="1:16">
      <c r="A3849" s="39"/>
      <c r="B3849" s="40"/>
      <c r="C3849" s="41"/>
      <c r="D3849" s="41"/>
      <c r="E3849" s="41"/>
      <c r="F3849" s="41"/>
      <c r="G3849" s="41"/>
      <c r="H3849" s="41"/>
      <c r="I3849" s="41"/>
      <c r="J3849" s="41"/>
      <c r="K3849" s="41"/>
      <c r="L3849" s="41"/>
      <c r="M3849" s="41"/>
      <c r="N3849" s="41"/>
      <c r="O3849" s="41"/>
      <c r="P3849" s="28"/>
    </row>
    <row r="3850" customFormat="1" spans="1:16">
      <c r="A3850" s="39"/>
      <c r="B3850" s="40"/>
      <c r="C3850" s="41"/>
      <c r="D3850" s="41"/>
      <c r="E3850" s="41"/>
      <c r="F3850" s="41"/>
      <c r="G3850" s="41"/>
      <c r="H3850" s="41"/>
      <c r="I3850" s="41"/>
      <c r="J3850" s="41"/>
      <c r="K3850" s="41"/>
      <c r="L3850" s="41"/>
      <c r="M3850" s="41"/>
      <c r="N3850" s="41"/>
      <c r="O3850" s="41"/>
      <c r="P3850" s="28"/>
    </row>
    <row r="3851" customFormat="1" spans="1:16">
      <c r="A3851" s="39"/>
      <c r="B3851" s="40"/>
      <c r="C3851" s="41"/>
      <c r="D3851" s="41"/>
      <c r="E3851" s="41"/>
      <c r="F3851" s="41"/>
      <c r="G3851" s="41"/>
      <c r="H3851" s="41"/>
      <c r="I3851" s="41"/>
      <c r="J3851" s="41"/>
      <c r="K3851" s="41"/>
      <c r="L3851" s="41"/>
      <c r="M3851" s="41"/>
      <c r="N3851" s="41"/>
      <c r="O3851" s="41"/>
      <c r="P3851" s="28"/>
    </row>
    <row r="3852" customFormat="1" spans="1:16">
      <c r="A3852" s="39"/>
      <c r="B3852" s="40"/>
      <c r="C3852" s="41"/>
      <c r="D3852" s="41"/>
      <c r="E3852" s="41"/>
      <c r="F3852" s="41"/>
      <c r="G3852" s="41"/>
      <c r="H3852" s="41"/>
      <c r="I3852" s="41"/>
      <c r="J3852" s="41"/>
      <c r="K3852" s="41"/>
      <c r="L3852" s="41"/>
      <c r="M3852" s="41"/>
      <c r="N3852" s="41"/>
      <c r="O3852" s="41"/>
      <c r="P3852" s="28"/>
    </row>
    <row r="3853" customFormat="1" spans="1:16">
      <c r="A3853" s="39"/>
      <c r="B3853" s="40"/>
      <c r="C3853" s="41"/>
      <c r="D3853" s="41"/>
      <c r="E3853" s="41"/>
      <c r="F3853" s="41"/>
      <c r="G3853" s="41"/>
      <c r="H3853" s="41"/>
      <c r="I3853" s="41"/>
      <c r="J3853" s="41"/>
      <c r="K3853" s="41"/>
      <c r="L3853" s="41"/>
      <c r="M3853" s="41"/>
      <c r="N3853" s="41"/>
      <c r="O3853" s="41"/>
      <c r="P3853" s="28"/>
    </row>
    <row r="3854" customFormat="1" spans="1:16">
      <c r="A3854" s="39"/>
      <c r="B3854" s="40"/>
      <c r="C3854" s="41"/>
      <c r="D3854" s="41"/>
      <c r="E3854" s="41"/>
      <c r="F3854" s="41"/>
      <c r="G3854" s="41"/>
      <c r="H3854" s="41"/>
      <c r="I3854" s="41"/>
      <c r="J3854" s="41"/>
      <c r="K3854" s="41"/>
      <c r="L3854" s="41"/>
      <c r="M3854" s="41"/>
      <c r="N3854" s="41"/>
      <c r="O3854" s="41"/>
      <c r="P3854" s="28"/>
    </row>
    <row r="3855" customFormat="1" spans="1:16">
      <c r="A3855" s="39"/>
      <c r="B3855" s="40"/>
      <c r="C3855" s="41"/>
      <c r="D3855" s="41"/>
      <c r="E3855" s="41"/>
      <c r="F3855" s="41"/>
      <c r="G3855" s="41"/>
      <c r="H3855" s="41"/>
      <c r="I3855" s="41"/>
      <c r="J3855" s="41"/>
      <c r="K3855" s="41"/>
      <c r="L3855" s="41"/>
      <c r="M3855" s="41"/>
      <c r="N3855" s="41"/>
      <c r="O3855" s="41"/>
      <c r="P3855" s="28"/>
    </row>
    <row r="3856" customFormat="1" spans="1:16">
      <c r="A3856" s="39"/>
      <c r="B3856" s="40"/>
      <c r="C3856" s="41"/>
      <c r="D3856" s="41"/>
      <c r="E3856" s="41"/>
      <c r="F3856" s="41"/>
      <c r="G3856" s="41"/>
      <c r="H3856" s="41"/>
      <c r="I3856" s="41"/>
      <c r="J3856" s="41"/>
      <c r="K3856" s="41"/>
      <c r="L3856" s="41"/>
      <c r="M3856" s="41"/>
      <c r="N3856" s="41"/>
      <c r="O3856" s="41"/>
      <c r="P3856" s="28"/>
    </row>
    <row r="3857" customFormat="1" spans="1:16">
      <c r="A3857" s="39"/>
      <c r="B3857" s="40"/>
      <c r="C3857" s="41"/>
      <c r="D3857" s="41"/>
      <c r="E3857" s="41"/>
      <c r="F3857" s="41"/>
      <c r="G3857" s="41"/>
      <c r="H3857" s="41"/>
      <c r="I3857" s="41"/>
      <c r="J3857" s="41"/>
      <c r="K3857" s="41"/>
      <c r="L3857" s="41"/>
      <c r="M3857" s="41"/>
      <c r="N3857" s="41"/>
      <c r="O3857" s="41"/>
      <c r="P3857" s="28"/>
    </row>
    <row r="3858" customFormat="1" spans="1:16">
      <c r="A3858" s="39"/>
      <c r="B3858" s="40"/>
      <c r="C3858" s="41"/>
      <c r="D3858" s="41"/>
      <c r="E3858" s="41"/>
      <c r="F3858" s="41"/>
      <c r="G3858" s="41"/>
      <c r="H3858" s="41"/>
      <c r="I3858" s="41"/>
      <c r="J3858" s="41"/>
      <c r="K3858" s="41"/>
      <c r="L3858" s="41"/>
      <c r="M3858" s="41"/>
      <c r="N3858" s="41"/>
      <c r="O3858" s="41"/>
      <c r="P3858" s="28"/>
    </row>
    <row r="3859" customFormat="1" spans="1:16">
      <c r="A3859" s="39"/>
      <c r="B3859" s="40"/>
      <c r="C3859" s="41"/>
      <c r="D3859" s="41"/>
      <c r="E3859" s="41"/>
      <c r="F3859" s="41"/>
      <c r="G3859" s="41"/>
      <c r="H3859" s="41"/>
      <c r="I3859" s="41"/>
      <c r="J3859" s="41"/>
      <c r="K3859" s="41"/>
      <c r="L3859" s="41"/>
      <c r="M3859" s="41"/>
      <c r="N3859" s="41"/>
      <c r="O3859" s="41"/>
      <c r="P3859" s="28"/>
    </row>
    <row r="3860" customFormat="1" spans="1:16">
      <c r="A3860" s="39"/>
      <c r="B3860" s="40"/>
      <c r="C3860" s="41"/>
      <c r="D3860" s="41"/>
      <c r="E3860" s="41"/>
      <c r="F3860" s="41"/>
      <c r="G3860" s="41"/>
      <c r="H3860" s="41"/>
      <c r="I3860" s="41"/>
      <c r="J3860" s="41"/>
      <c r="K3860" s="41"/>
      <c r="L3860" s="41"/>
      <c r="M3860" s="41"/>
      <c r="N3860" s="41"/>
      <c r="O3860" s="41"/>
      <c r="P3860" s="28"/>
    </row>
    <row r="3861" customFormat="1" spans="1:16">
      <c r="A3861" s="39"/>
      <c r="B3861" s="40"/>
      <c r="C3861" s="41"/>
      <c r="D3861" s="41"/>
      <c r="E3861" s="41"/>
      <c r="F3861" s="41"/>
      <c r="G3861" s="41"/>
      <c r="H3861" s="41"/>
      <c r="I3861" s="41"/>
      <c r="J3861" s="41"/>
      <c r="K3861" s="41"/>
      <c r="L3861" s="41"/>
      <c r="M3861" s="41"/>
      <c r="N3861" s="41"/>
      <c r="O3861" s="41"/>
      <c r="P3861" s="28"/>
    </row>
    <row r="3862" customFormat="1" spans="1:16">
      <c r="A3862" s="39"/>
      <c r="B3862" s="40"/>
      <c r="C3862" s="41"/>
      <c r="D3862" s="41"/>
      <c r="E3862" s="41"/>
      <c r="F3862" s="41"/>
      <c r="G3862" s="41"/>
      <c r="H3862" s="41"/>
      <c r="I3862" s="41"/>
      <c r="J3862" s="41"/>
      <c r="K3862" s="41"/>
      <c r="L3862" s="41"/>
      <c r="M3862" s="41"/>
      <c r="N3862" s="41"/>
      <c r="O3862" s="41"/>
      <c r="P3862" s="28"/>
    </row>
    <row r="3863" customFormat="1" spans="1:16">
      <c r="A3863" s="39"/>
      <c r="B3863" s="40"/>
      <c r="C3863" s="41"/>
      <c r="D3863" s="41"/>
      <c r="E3863" s="41"/>
      <c r="F3863" s="41"/>
      <c r="G3863" s="41"/>
      <c r="H3863" s="41"/>
      <c r="I3863" s="41"/>
      <c r="J3863" s="41"/>
      <c r="K3863" s="41"/>
      <c r="L3863" s="41"/>
      <c r="M3863" s="41"/>
      <c r="N3863" s="41"/>
      <c r="O3863" s="41"/>
      <c r="P3863" s="28"/>
    </row>
    <row r="3864" customFormat="1" spans="1:16">
      <c r="A3864" s="39"/>
      <c r="B3864" s="40"/>
      <c r="C3864" s="41"/>
      <c r="D3864" s="41"/>
      <c r="E3864" s="41"/>
      <c r="F3864" s="41"/>
      <c r="G3864" s="41"/>
      <c r="H3864" s="41"/>
      <c r="I3864" s="41"/>
      <c r="J3864" s="41"/>
      <c r="K3864" s="41"/>
      <c r="L3864" s="41"/>
      <c r="M3864" s="41"/>
      <c r="N3864" s="41"/>
      <c r="O3864" s="41"/>
      <c r="P3864" s="28"/>
    </row>
    <row r="3865" customFormat="1" spans="1:16">
      <c r="A3865" s="39"/>
      <c r="B3865" s="40"/>
      <c r="C3865" s="41"/>
      <c r="D3865" s="41"/>
      <c r="E3865" s="41"/>
      <c r="F3865" s="41"/>
      <c r="G3865" s="41"/>
      <c r="H3865" s="41"/>
      <c r="I3865" s="41"/>
      <c r="J3865" s="41"/>
      <c r="K3865" s="41"/>
      <c r="L3865" s="41"/>
      <c r="M3865" s="41"/>
      <c r="N3865" s="41"/>
      <c r="O3865" s="41"/>
      <c r="P3865" s="28"/>
    </row>
    <row r="3866" customFormat="1" spans="1:16">
      <c r="A3866" s="39"/>
      <c r="B3866" s="40"/>
      <c r="C3866" s="41"/>
      <c r="D3866" s="41"/>
      <c r="E3866" s="41"/>
      <c r="F3866" s="41"/>
      <c r="G3866" s="41"/>
      <c r="H3866" s="41"/>
      <c r="I3866" s="41"/>
      <c r="J3866" s="41"/>
      <c r="K3866" s="41"/>
      <c r="L3866" s="41"/>
      <c r="M3866" s="41"/>
      <c r="N3866" s="41"/>
      <c r="O3866" s="41"/>
      <c r="P3866" s="28"/>
    </row>
    <row r="3867" customFormat="1" spans="1:16">
      <c r="A3867" s="39"/>
      <c r="B3867" s="40"/>
      <c r="C3867" s="41"/>
      <c r="D3867" s="41"/>
      <c r="E3867" s="41"/>
      <c r="F3867" s="41"/>
      <c r="G3867" s="41"/>
      <c r="H3867" s="41"/>
      <c r="I3867" s="41"/>
      <c r="J3867" s="41"/>
      <c r="K3867" s="41"/>
      <c r="L3867" s="41"/>
      <c r="M3867" s="41"/>
      <c r="N3867" s="41"/>
      <c r="O3867" s="41"/>
      <c r="P3867" s="28"/>
    </row>
    <row r="3868" customFormat="1" spans="1:16">
      <c r="A3868" s="39"/>
      <c r="B3868" s="40"/>
      <c r="C3868" s="41"/>
      <c r="D3868" s="41"/>
      <c r="E3868" s="41"/>
      <c r="F3868" s="41"/>
      <c r="G3868" s="41"/>
      <c r="H3868" s="41"/>
      <c r="I3868" s="41"/>
      <c r="J3868" s="41"/>
      <c r="K3868" s="41"/>
      <c r="L3868" s="41"/>
      <c r="M3868" s="41"/>
      <c r="N3868" s="41"/>
      <c r="O3868" s="41"/>
      <c r="P3868" s="28"/>
    </row>
    <row r="3869" customFormat="1" spans="1:16">
      <c r="A3869" s="39"/>
      <c r="B3869" s="40"/>
      <c r="C3869" s="41"/>
      <c r="D3869" s="41"/>
      <c r="E3869" s="41"/>
      <c r="F3869" s="41"/>
      <c r="G3869" s="41"/>
      <c r="H3869" s="41"/>
      <c r="I3869" s="41"/>
      <c r="J3869" s="41"/>
      <c r="K3869" s="41"/>
      <c r="L3869" s="41"/>
      <c r="M3869" s="41"/>
      <c r="N3869" s="41"/>
      <c r="O3869" s="41"/>
      <c r="P3869" s="28"/>
    </row>
    <row r="3870" customFormat="1" spans="1:16">
      <c r="A3870" s="39"/>
      <c r="B3870" s="40"/>
      <c r="C3870" s="41"/>
      <c r="D3870" s="41"/>
      <c r="E3870" s="41"/>
      <c r="F3870" s="41"/>
      <c r="G3870" s="41"/>
      <c r="H3870" s="41"/>
      <c r="I3870" s="41"/>
      <c r="J3870" s="41"/>
      <c r="K3870" s="41"/>
      <c r="L3870" s="41"/>
      <c r="M3870" s="41"/>
      <c r="N3870" s="41"/>
      <c r="O3870" s="41"/>
      <c r="P3870" s="28"/>
    </row>
    <row r="3871" customFormat="1" spans="1:16">
      <c r="A3871" s="39"/>
      <c r="B3871" s="40"/>
      <c r="C3871" s="41"/>
      <c r="D3871" s="41"/>
      <c r="E3871" s="41"/>
      <c r="F3871" s="41"/>
      <c r="G3871" s="41"/>
      <c r="H3871" s="41"/>
      <c r="I3871" s="41"/>
      <c r="J3871" s="41"/>
      <c r="K3871" s="41"/>
      <c r="L3871" s="41"/>
      <c r="M3871" s="41"/>
      <c r="N3871" s="41"/>
      <c r="O3871" s="41"/>
      <c r="P3871" s="28"/>
    </row>
    <row r="3872" customFormat="1" spans="1:16">
      <c r="A3872" s="39"/>
      <c r="B3872" s="40"/>
      <c r="C3872" s="41"/>
      <c r="D3872" s="41"/>
      <c r="E3872" s="41"/>
      <c r="F3872" s="41"/>
      <c r="G3872" s="41"/>
      <c r="H3872" s="41"/>
      <c r="I3872" s="41"/>
      <c r="J3872" s="41"/>
      <c r="K3872" s="41"/>
      <c r="L3872" s="41"/>
      <c r="M3872" s="41"/>
      <c r="N3872" s="41"/>
      <c r="O3872" s="41"/>
      <c r="P3872" s="28"/>
    </row>
    <row r="3873" customFormat="1" spans="1:16">
      <c r="A3873" s="39"/>
      <c r="B3873" s="40"/>
      <c r="C3873" s="41"/>
      <c r="D3873" s="41"/>
      <c r="E3873" s="41"/>
      <c r="F3873" s="41"/>
      <c r="G3873" s="41"/>
      <c r="H3873" s="41"/>
      <c r="I3873" s="41"/>
      <c r="J3873" s="41"/>
      <c r="K3873" s="41"/>
      <c r="L3873" s="41"/>
      <c r="M3873" s="41"/>
      <c r="N3873" s="41"/>
      <c r="O3873" s="41"/>
      <c r="P3873" s="28"/>
    </row>
    <row r="3874" customFormat="1" spans="1:16">
      <c r="A3874" s="39"/>
      <c r="B3874" s="40"/>
      <c r="C3874" s="41"/>
      <c r="D3874" s="41"/>
      <c r="E3874" s="41"/>
      <c r="F3874" s="41"/>
      <c r="G3874" s="41"/>
      <c r="H3874" s="41"/>
      <c r="I3874" s="41"/>
      <c r="J3874" s="41"/>
      <c r="K3874" s="41"/>
      <c r="L3874" s="41"/>
      <c r="M3874" s="41"/>
      <c r="N3874" s="41"/>
      <c r="O3874" s="41"/>
      <c r="P3874" s="28"/>
    </row>
    <row r="3875" customFormat="1" spans="1:16">
      <c r="A3875" s="39"/>
      <c r="B3875" s="40"/>
      <c r="C3875" s="41"/>
      <c r="D3875" s="41"/>
      <c r="E3875" s="41"/>
      <c r="F3875" s="41"/>
      <c r="G3875" s="41"/>
      <c r="H3875" s="41"/>
      <c r="I3875" s="41"/>
      <c r="J3875" s="41"/>
      <c r="K3875" s="41"/>
      <c r="L3875" s="41"/>
      <c r="M3875" s="41"/>
      <c r="N3875" s="41"/>
      <c r="O3875" s="41"/>
      <c r="P3875" s="28"/>
    </row>
    <row r="3876" customFormat="1" spans="1:16">
      <c r="A3876" s="39"/>
      <c r="B3876" s="40"/>
      <c r="C3876" s="41"/>
      <c r="D3876" s="41"/>
      <c r="E3876" s="41"/>
      <c r="F3876" s="41"/>
      <c r="G3876" s="41"/>
      <c r="H3876" s="41"/>
      <c r="I3876" s="41"/>
      <c r="J3876" s="41"/>
      <c r="K3876" s="41"/>
      <c r="L3876" s="41"/>
      <c r="M3876" s="41"/>
      <c r="N3876" s="41"/>
      <c r="O3876" s="41"/>
      <c r="P3876" s="28"/>
    </row>
    <row r="3877" customFormat="1" spans="1:16">
      <c r="A3877" s="39"/>
      <c r="B3877" s="40"/>
      <c r="C3877" s="41"/>
      <c r="D3877" s="41"/>
      <c r="E3877" s="41"/>
      <c r="F3877" s="41"/>
      <c r="G3877" s="41"/>
      <c r="H3877" s="41"/>
      <c r="I3877" s="41"/>
      <c r="J3877" s="41"/>
      <c r="K3877" s="41"/>
      <c r="L3877" s="41"/>
      <c r="M3877" s="41"/>
      <c r="N3877" s="41"/>
      <c r="O3877" s="41"/>
      <c r="P3877" s="28"/>
    </row>
    <row r="3878" customFormat="1" spans="1:16">
      <c r="A3878" s="39"/>
      <c r="B3878" s="40"/>
      <c r="C3878" s="41"/>
      <c r="D3878" s="41"/>
      <c r="E3878" s="41"/>
      <c r="F3878" s="41"/>
      <c r="G3878" s="41"/>
      <c r="H3878" s="41"/>
      <c r="I3878" s="41"/>
      <c r="J3878" s="41"/>
      <c r="K3878" s="41"/>
      <c r="L3878" s="41"/>
      <c r="M3878" s="41"/>
      <c r="N3878" s="41"/>
      <c r="O3878" s="41"/>
      <c r="P3878" s="28"/>
    </row>
    <row r="3879" customFormat="1" spans="1:16">
      <c r="A3879" s="39"/>
      <c r="B3879" s="40"/>
      <c r="C3879" s="41"/>
      <c r="D3879" s="41"/>
      <c r="E3879" s="41"/>
      <c r="F3879" s="41"/>
      <c r="G3879" s="41"/>
      <c r="H3879" s="41"/>
      <c r="I3879" s="41"/>
      <c r="J3879" s="41"/>
      <c r="K3879" s="41"/>
      <c r="L3879" s="41"/>
      <c r="M3879" s="41"/>
      <c r="N3879" s="41"/>
      <c r="O3879" s="41"/>
      <c r="P3879" s="28"/>
    </row>
    <row r="3880" customFormat="1" spans="1:16">
      <c r="A3880" s="39"/>
      <c r="B3880" s="40"/>
      <c r="C3880" s="41"/>
      <c r="D3880" s="41"/>
      <c r="E3880" s="41"/>
      <c r="F3880" s="41"/>
      <c r="G3880" s="41"/>
      <c r="H3880" s="41"/>
      <c r="I3880" s="41"/>
      <c r="J3880" s="41"/>
      <c r="K3880" s="41"/>
      <c r="L3880" s="41"/>
      <c r="M3880" s="41"/>
      <c r="N3880" s="41"/>
      <c r="O3880" s="41"/>
      <c r="P3880" s="28"/>
    </row>
    <row r="3881" customFormat="1" spans="1:16">
      <c r="A3881" s="39"/>
      <c r="B3881" s="40"/>
      <c r="C3881" s="41"/>
      <c r="D3881" s="41"/>
      <c r="E3881" s="41"/>
      <c r="F3881" s="41"/>
      <c r="G3881" s="41"/>
      <c r="H3881" s="41"/>
      <c r="I3881" s="41"/>
      <c r="J3881" s="41"/>
      <c r="K3881" s="41"/>
      <c r="L3881" s="41"/>
      <c r="M3881" s="41"/>
      <c r="N3881" s="41"/>
      <c r="O3881" s="41"/>
      <c r="P3881" s="28"/>
    </row>
    <row r="3882" customFormat="1" spans="1:16">
      <c r="A3882" s="39"/>
      <c r="B3882" s="40"/>
      <c r="C3882" s="41"/>
      <c r="D3882" s="41"/>
      <c r="E3882" s="41"/>
      <c r="F3882" s="41"/>
      <c r="G3882" s="41"/>
      <c r="H3882" s="41"/>
      <c r="I3882" s="41"/>
      <c r="J3882" s="41"/>
      <c r="K3882" s="41"/>
      <c r="L3882" s="41"/>
      <c r="M3882" s="41"/>
      <c r="N3882" s="41"/>
      <c r="O3882" s="41"/>
      <c r="P3882" s="28"/>
    </row>
    <row r="3883" customFormat="1" spans="1:16">
      <c r="A3883" s="39"/>
      <c r="B3883" s="40"/>
      <c r="C3883" s="41"/>
      <c r="D3883" s="41"/>
      <c r="E3883" s="41"/>
      <c r="F3883" s="41"/>
      <c r="G3883" s="41"/>
      <c r="H3883" s="41"/>
      <c r="I3883" s="41"/>
      <c r="J3883" s="41"/>
      <c r="K3883" s="41"/>
      <c r="L3883" s="41"/>
      <c r="M3883" s="41"/>
      <c r="N3883" s="41"/>
      <c r="O3883" s="41"/>
      <c r="P3883" s="28"/>
    </row>
    <row r="3884" customFormat="1" spans="1:16">
      <c r="A3884" s="39"/>
      <c r="B3884" s="40"/>
      <c r="C3884" s="41"/>
      <c r="D3884" s="41"/>
      <c r="E3884" s="41"/>
      <c r="F3884" s="41"/>
      <c r="G3884" s="41"/>
      <c r="H3884" s="41"/>
      <c r="I3884" s="41"/>
      <c r="J3884" s="41"/>
      <c r="K3884" s="41"/>
      <c r="L3884" s="41"/>
      <c r="M3884" s="41"/>
      <c r="N3884" s="41"/>
      <c r="O3884" s="41"/>
      <c r="P3884" s="28"/>
    </row>
    <row r="3885" customFormat="1" spans="1:16">
      <c r="A3885" s="39"/>
      <c r="B3885" s="40"/>
      <c r="C3885" s="41"/>
      <c r="D3885" s="41"/>
      <c r="E3885" s="41"/>
      <c r="F3885" s="41"/>
      <c r="G3885" s="41"/>
      <c r="H3885" s="41"/>
      <c r="I3885" s="41"/>
      <c r="J3885" s="41"/>
      <c r="K3885" s="41"/>
      <c r="L3885" s="41"/>
      <c r="M3885" s="41"/>
      <c r="N3885" s="41"/>
      <c r="O3885" s="41"/>
      <c r="P3885" s="28"/>
    </row>
    <row r="3886" customFormat="1" spans="1:16">
      <c r="A3886" s="39"/>
      <c r="B3886" s="40"/>
      <c r="C3886" s="41"/>
      <c r="D3886" s="41"/>
      <c r="E3886" s="41"/>
      <c r="F3886" s="41"/>
      <c r="G3886" s="41"/>
      <c r="H3886" s="41"/>
      <c r="I3886" s="41"/>
      <c r="J3886" s="41"/>
      <c r="K3886" s="41"/>
      <c r="L3886" s="41"/>
      <c r="M3886" s="41"/>
      <c r="N3886" s="41"/>
      <c r="O3886" s="41"/>
      <c r="P3886" s="28"/>
    </row>
    <row r="3887" customFormat="1" spans="1:16">
      <c r="A3887" s="39"/>
      <c r="B3887" s="40"/>
      <c r="C3887" s="41"/>
      <c r="D3887" s="41"/>
      <c r="E3887" s="41"/>
      <c r="F3887" s="41"/>
      <c r="G3887" s="41"/>
      <c r="H3887" s="41"/>
      <c r="I3887" s="41"/>
      <c r="J3887" s="41"/>
      <c r="K3887" s="41"/>
      <c r="L3887" s="41"/>
      <c r="M3887" s="41"/>
      <c r="N3887" s="41"/>
      <c r="O3887" s="41"/>
      <c r="P3887" s="28"/>
    </row>
    <row r="3888" customFormat="1" spans="1:16">
      <c r="A3888" s="39"/>
      <c r="B3888" s="40"/>
      <c r="C3888" s="41"/>
      <c r="D3888" s="41"/>
      <c r="E3888" s="41"/>
      <c r="F3888" s="41"/>
      <c r="G3888" s="41"/>
      <c r="H3888" s="41"/>
      <c r="I3888" s="41"/>
      <c r="J3888" s="41"/>
      <c r="K3888" s="41"/>
      <c r="L3888" s="41"/>
      <c r="M3888" s="41"/>
      <c r="N3888" s="41"/>
      <c r="O3888" s="41"/>
      <c r="P3888" s="28"/>
    </row>
    <row r="3889" customFormat="1" spans="1:16">
      <c r="A3889" s="39"/>
      <c r="B3889" s="40"/>
      <c r="C3889" s="41"/>
      <c r="D3889" s="41"/>
      <c r="E3889" s="41"/>
      <c r="F3889" s="41"/>
      <c r="G3889" s="41"/>
      <c r="H3889" s="41"/>
      <c r="I3889" s="41"/>
      <c r="J3889" s="41"/>
      <c r="K3889" s="41"/>
      <c r="L3889" s="41"/>
      <c r="M3889" s="41"/>
      <c r="N3889" s="41"/>
      <c r="O3889" s="41"/>
      <c r="P3889" s="28"/>
    </row>
    <row r="3890" customFormat="1" spans="1:16">
      <c r="A3890" s="39"/>
      <c r="B3890" s="40"/>
      <c r="C3890" s="41"/>
      <c r="D3890" s="41"/>
      <c r="E3890" s="41"/>
      <c r="F3890" s="41"/>
      <c r="G3890" s="41"/>
      <c r="H3890" s="41"/>
      <c r="I3890" s="41"/>
      <c r="J3890" s="41"/>
      <c r="K3890" s="41"/>
      <c r="L3890" s="41"/>
      <c r="M3890" s="41"/>
      <c r="N3890" s="41"/>
      <c r="O3890" s="41"/>
      <c r="P3890" s="28"/>
    </row>
    <row r="3891" customFormat="1" spans="1:16">
      <c r="A3891" s="39"/>
      <c r="B3891" s="40"/>
      <c r="C3891" s="41"/>
      <c r="D3891" s="41"/>
      <c r="E3891" s="41"/>
      <c r="F3891" s="41"/>
      <c r="G3891" s="41"/>
      <c r="H3891" s="41"/>
      <c r="I3891" s="41"/>
      <c r="J3891" s="41"/>
      <c r="K3891" s="41"/>
      <c r="L3891" s="41"/>
      <c r="M3891" s="41"/>
      <c r="N3891" s="41"/>
      <c r="O3891" s="41"/>
      <c r="P3891" s="28"/>
    </row>
    <row r="3892" customFormat="1" spans="1:16">
      <c r="A3892" s="39"/>
      <c r="B3892" s="40"/>
      <c r="C3892" s="41"/>
      <c r="D3892" s="41"/>
      <c r="E3892" s="41"/>
      <c r="F3892" s="41"/>
      <c r="G3892" s="41"/>
      <c r="H3892" s="41"/>
      <c r="I3892" s="41"/>
      <c r="J3892" s="41"/>
      <c r="K3892" s="41"/>
      <c r="L3892" s="41"/>
      <c r="M3892" s="41"/>
      <c r="N3892" s="41"/>
      <c r="O3892" s="41"/>
      <c r="P3892" s="28"/>
    </row>
    <row r="3893" customFormat="1" spans="1:16">
      <c r="A3893" s="39"/>
      <c r="B3893" s="40"/>
      <c r="C3893" s="41"/>
      <c r="D3893" s="41"/>
      <c r="E3893" s="41"/>
      <c r="F3893" s="41"/>
      <c r="G3893" s="41"/>
      <c r="H3893" s="41"/>
      <c r="I3893" s="41"/>
      <c r="J3893" s="41"/>
      <c r="K3893" s="41"/>
      <c r="L3893" s="41"/>
      <c r="M3893" s="41"/>
      <c r="N3893" s="41"/>
      <c r="O3893" s="41"/>
      <c r="P3893" s="28"/>
    </row>
    <row r="3894" customFormat="1" spans="1:16">
      <c r="A3894" s="39"/>
      <c r="B3894" s="40"/>
      <c r="C3894" s="41"/>
      <c r="D3894" s="41"/>
      <c r="E3894" s="41"/>
      <c r="F3894" s="41"/>
      <c r="G3894" s="41"/>
      <c r="H3894" s="41"/>
      <c r="I3894" s="41"/>
      <c r="J3894" s="41"/>
      <c r="K3894" s="41"/>
      <c r="L3894" s="41"/>
      <c r="M3894" s="41"/>
      <c r="N3894" s="41"/>
      <c r="O3894" s="41"/>
      <c r="P3894" s="28"/>
    </row>
    <row r="3895" customFormat="1" spans="1:16">
      <c r="A3895" s="39"/>
      <c r="B3895" s="40"/>
      <c r="C3895" s="41"/>
      <c r="D3895" s="41"/>
      <c r="E3895" s="41"/>
      <c r="F3895" s="41"/>
      <c r="G3895" s="41"/>
      <c r="H3895" s="41"/>
      <c r="I3895" s="41"/>
      <c r="J3895" s="41"/>
      <c r="K3895" s="41"/>
      <c r="L3895" s="41"/>
      <c r="M3895" s="41"/>
      <c r="N3895" s="41"/>
      <c r="O3895" s="41"/>
      <c r="P3895" s="28"/>
    </row>
    <row r="3896" customFormat="1" spans="1:16">
      <c r="A3896" s="39"/>
      <c r="B3896" s="40"/>
      <c r="C3896" s="41"/>
      <c r="D3896" s="41"/>
      <c r="E3896" s="41"/>
      <c r="F3896" s="41"/>
      <c r="G3896" s="41"/>
      <c r="H3896" s="41"/>
      <c r="I3896" s="41"/>
      <c r="J3896" s="41"/>
      <c r="K3896" s="41"/>
      <c r="L3896" s="41"/>
      <c r="M3896" s="41"/>
      <c r="N3896" s="41"/>
      <c r="O3896" s="41"/>
      <c r="P3896" s="28"/>
    </row>
    <row r="3897" customFormat="1" spans="1:16">
      <c r="A3897" s="39"/>
      <c r="B3897" s="40"/>
      <c r="C3897" s="41"/>
      <c r="D3897" s="41"/>
      <c r="E3897" s="41"/>
      <c r="F3897" s="41"/>
      <c r="G3897" s="41"/>
      <c r="H3897" s="41"/>
      <c r="I3897" s="41"/>
      <c r="J3897" s="41"/>
      <c r="K3897" s="41"/>
      <c r="L3897" s="41"/>
      <c r="M3897" s="41"/>
      <c r="N3897" s="41"/>
      <c r="O3897" s="41"/>
      <c r="P3897" s="28"/>
    </row>
    <row r="3898" customFormat="1" spans="1:16">
      <c r="A3898" s="39"/>
      <c r="B3898" s="40"/>
      <c r="C3898" s="41"/>
      <c r="D3898" s="41"/>
      <c r="E3898" s="41"/>
      <c r="F3898" s="41"/>
      <c r="G3898" s="41"/>
      <c r="H3898" s="41"/>
      <c r="I3898" s="41"/>
      <c r="J3898" s="41"/>
      <c r="K3898" s="41"/>
      <c r="L3898" s="41"/>
      <c r="M3898" s="41"/>
      <c r="N3898" s="41"/>
      <c r="O3898" s="41"/>
      <c r="P3898" s="28"/>
    </row>
    <row r="3899" customFormat="1" spans="1:16">
      <c r="A3899" s="39"/>
      <c r="B3899" s="40"/>
      <c r="C3899" s="41"/>
      <c r="D3899" s="41"/>
      <c r="E3899" s="41"/>
      <c r="F3899" s="41"/>
      <c r="G3899" s="41"/>
      <c r="H3899" s="41"/>
      <c r="I3899" s="41"/>
      <c r="J3899" s="41"/>
      <c r="K3899" s="41"/>
      <c r="L3899" s="41"/>
      <c r="M3899" s="41"/>
      <c r="N3899" s="41"/>
      <c r="O3899" s="41"/>
      <c r="P3899" s="28"/>
    </row>
    <row r="3900" customFormat="1" spans="1:16">
      <c r="A3900" s="39"/>
      <c r="B3900" s="40"/>
      <c r="C3900" s="41"/>
      <c r="D3900" s="41"/>
      <c r="E3900" s="41"/>
      <c r="F3900" s="41"/>
      <c r="G3900" s="41"/>
      <c r="H3900" s="41"/>
      <c r="I3900" s="41"/>
      <c r="J3900" s="41"/>
      <c r="K3900" s="41"/>
      <c r="L3900" s="41"/>
      <c r="M3900" s="41"/>
      <c r="N3900" s="41"/>
      <c r="O3900" s="41"/>
      <c r="P3900" s="28"/>
    </row>
    <row r="3901" customFormat="1" spans="1:16">
      <c r="A3901" s="39"/>
      <c r="B3901" s="40"/>
      <c r="C3901" s="41"/>
      <c r="D3901" s="41"/>
      <c r="E3901" s="41"/>
      <c r="F3901" s="41"/>
      <c r="G3901" s="41"/>
      <c r="H3901" s="41"/>
      <c r="I3901" s="41"/>
      <c r="J3901" s="41"/>
      <c r="K3901" s="41"/>
      <c r="L3901" s="41"/>
      <c r="M3901" s="41"/>
      <c r="N3901" s="41"/>
      <c r="O3901" s="41"/>
      <c r="P3901" s="28"/>
    </row>
    <row r="3902" customFormat="1" spans="1:16">
      <c r="A3902" s="39"/>
      <c r="B3902" s="40"/>
      <c r="C3902" s="41"/>
      <c r="D3902" s="41"/>
      <c r="E3902" s="41"/>
      <c r="F3902" s="41"/>
      <c r="G3902" s="41"/>
      <c r="H3902" s="41"/>
      <c r="I3902" s="41"/>
      <c r="J3902" s="41"/>
      <c r="K3902" s="41"/>
      <c r="L3902" s="41"/>
      <c r="M3902" s="41"/>
      <c r="N3902" s="41"/>
      <c r="O3902" s="41"/>
      <c r="P3902" s="28"/>
    </row>
    <row r="3903" customFormat="1" spans="1:16">
      <c r="A3903" s="39"/>
      <c r="B3903" s="40"/>
      <c r="C3903" s="41"/>
      <c r="D3903" s="41"/>
      <c r="E3903" s="41"/>
      <c r="F3903" s="41"/>
      <c r="G3903" s="41"/>
      <c r="H3903" s="41"/>
      <c r="I3903" s="41"/>
      <c r="J3903" s="41"/>
      <c r="K3903" s="41"/>
      <c r="L3903" s="41"/>
      <c r="M3903" s="41"/>
      <c r="N3903" s="41"/>
      <c r="O3903" s="41"/>
      <c r="P3903" s="28"/>
    </row>
    <row r="3904" customFormat="1" spans="1:16">
      <c r="A3904" s="39"/>
      <c r="B3904" s="40"/>
      <c r="C3904" s="41"/>
      <c r="D3904" s="41"/>
      <c r="E3904" s="41"/>
      <c r="F3904" s="41"/>
      <c r="G3904" s="41"/>
      <c r="H3904" s="41"/>
      <c r="I3904" s="41"/>
      <c r="J3904" s="41"/>
      <c r="K3904" s="41"/>
      <c r="L3904" s="41"/>
      <c r="M3904" s="41"/>
      <c r="N3904" s="41"/>
      <c r="O3904" s="41"/>
      <c r="P3904" s="28"/>
    </row>
    <row r="3905" customFormat="1" spans="1:16">
      <c r="A3905" s="39"/>
      <c r="B3905" s="40"/>
      <c r="C3905" s="41"/>
      <c r="D3905" s="41"/>
      <c r="E3905" s="41"/>
      <c r="F3905" s="41"/>
      <c r="G3905" s="41"/>
      <c r="H3905" s="41"/>
      <c r="I3905" s="41"/>
      <c r="J3905" s="41"/>
      <c r="K3905" s="41"/>
      <c r="L3905" s="41"/>
      <c r="M3905" s="41"/>
      <c r="N3905" s="41"/>
      <c r="O3905" s="41"/>
      <c r="P3905" s="28"/>
    </row>
    <row r="3906" customFormat="1" spans="1:16">
      <c r="A3906" s="39"/>
      <c r="B3906" s="40"/>
      <c r="C3906" s="41"/>
      <c r="D3906" s="41"/>
      <c r="E3906" s="41"/>
      <c r="F3906" s="41"/>
      <c r="G3906" s="41"/>
      <c r="H3906" s="41"/>
      <c r="I3906" s="41"/>
      <c r="J3906" s="41"/>
      <c r="K3906" s="41"/>
      <c r="L3906" s="41"/>
      <c r="M3906" s="41"/>
      <c r="N3906" s="41"/>
      <c r="O3906" s="41"/>
      <c r="P3906" s="28"/>
    </row>
    <row r="3907" customFormat="1" spans="1:16">
      <c r="A3907" s="39"/>
      <c r="B3907" s="40"/>
      <c r="C3907" s="41"/>
      <c r="D3907" s="41"/>
      <c r="E3907" s="41"/>
      <c r="F3907" s="41"/>
      <c r="G3907" s="41"/>
      <c r="H3907" s="41"/>
      <c r="I3907" s="41"/>
      <c r="J3907" s="41"/>
      <c r="K3907" s="41"/>
      <c r="L3907" s="41"/>
      <c r="M3907" s="41"/>
      <c r="N3907" s="41"/>
      <c r="O3907" s="41"/>
      <c r="P3907" s="28"/>
    </row>
    <row r="3908" customFormat="1" spans="1:16">
      <c r="A3908" s="39"/>
      <c r="B3908" s="40"/>
      <c r="C3908" s="41"/>
      <c r="D3908" s="41"/>
      <c r="E3908" s="41"/>
      <c r="F3908" s="41"/>
      <c r="G3908" s="41"/>
      <c r="H3908" s="41"/>
      <c r="I3908" s="41"/>
      <c r="J3908" s="41"/>
      <c r="K3908" s="41"/>
      <c r="L3908" s="41"/>
      <c r="M3908" s="41"/>
      <c r="N3908" s="41"/>
      <c r="O3908" s="41"/>
      <c r="P3908" s="28"/>
    </row>
    <row r="3909" customFormat="1" spans="1:16">
      <c r="A3909" s="39"/>
      <c r="B3909" s="40"/>
      <c r="C3909" s="41"/>
      <c r="D3909" s="41"/>
      <c r="E3909" s="41"/>
      <c r="F3909" s="41"/>
      <c r="G3909" s="41"/>
      <c r="H3909" s="41"/>
      <c r="I3909" s="41"/>
      <c r="J3909" s="41"/>
      <c r="K3909" s="41"/>
      <c r="L3909" s="41"/>
      <c r="M3909" s="41"/>
      <c r="N3909" s="41"/>
      <c r="O3909" s="41"/>
      <c r="P3909" s="28"/>
    </row>
    <row r="3910" customFormat="1" spans="1:16">
      <c r="A3910" s="39"/>
      <c r="B3910" s="40"/>
      <c r="C3910" s="41"/>
      <c r="D3910" s="41"/>
      <c r="E3910" s="41"/>
      <c r="F3910" s="41"/>
      <c r="G3910" s="41"/>
      <c r="H3910" s="41"/>
      <c r="I3910" s="41"/>
      <c r="J3910" s="41"/>
      <c r="K3910" s="41"/>
      <c r="L3910" s="41"/>
      <c r="M3910" s="41"/>
      <c r="N3910" s="41"/>
      <c r="O3910" s="41"/>
      <c r="P3910" s="28"/>
    </row>
    <row r="3911" customFormat="1" spans="1:16">
      <c r="A3911" s="39"/>
      <c r="B3911" s="40"/>
      <c r="C3911" s="41"/>
      <c r="D3911" s="41"/>
      <c r="E3911" s="41"/>
      <c r="F3911" s="41"/>
      <c r="G3911" s="41"/>
      <c r="H3911" s="41"/>
      <c r="I3911" s="41"/>
      <c r="J3911" s="41"/>
      <c r="K3911" s="41"/>
      <c r="L3911" s="41"/>
      <c r="M3911" s="41"/>
      <c r="N3911" s="41"/>
      <c r="O3911" s="41"/>
      <c r="P3911" s="28"/>
    </row>
    <row r="3912" customFormat="1" spans="1:16">
      <c r="A3912" s="39"/>
      <c r="B3912" s="40"/>
      <c r="C3912" s="41"/>
      <c r="D3912" s="41"/>
      <c r="E3912" s="41"/>
      <c r="F3912" s="41"/>
      <c r="G3912" s="41"/>
      <c r="H3912" s="41"/>
      <c r="I3912" s="41"/>
      <c r="J3912" s="41"/>
      <c r="K3912" s="41"/>
      <c r="L3912" s="41"/>
      <c r="M3912" s="41"/>
      <c r="N3912" s="41"/>
      <c r="O3912" s="41"/>
      <c r="P3912" s="28"/>
    </row>
    <row r="3913" customFormat="1" spans="1:16">
      <c r="A3913" s="39"/>
      <c r="B3913" s="40"/>
      <c r="C3913" s="41"/>
      <c r="D3913" s="41"/>
      <c r="E3913" s="41"/>
      <c r="F3913" s="41"/>
      <c r="G3913" s="41"/>
      <c r="H3913" s="41"/>
      <c r="I3913" s="41"/>
      <c r="J3913" s="41"/>
      <c r="K3913" s="41"/>
      <c r="L3913" s="41"/>
      <c r="M3913" s="41"/>
      <c r="N3913" s="41"/>
      <c r="O3913" s="41"/>
      <c r="P3913" s="28"/>
    </row>
    <row r="3914" customFormat="1" spans="1:16">
      <c r="A3914" s="39"/>
      <c r="B3914" s="40"/>
      <c r="C3914" s="41"/>
      <c r="D3914" s="41"/>
      <c r="E3914" s="41"/>
      <c r="F3914" s="41"/>
      <c r="G3914" s="41"/>
      <c r="H3914" s="41"/>
      <c r="I3914" s="41"/>
      <c r="J3914" s="41"/>
      <c r="K3914" s="41"/>
      <c r="L3914" s="41"/>
      <c r="M3914" s="41"/>
      <c r="N3914" s="41"/>
      <c r="O3914" s="41"/>
      <c r="P3914" s="28"/>
    </row>
    <row r="3915" customFormat="1" spans="1:16">
      <c r="A3915" s="39"/>
      <c r="B3915" s="40"/>
      <c r="C3915" s="41"/>
      <c r="D3915" s="41"/>
      <c r="E3915" s="41"/>
      <c r="F3915" s="41"/>
      <c r="G3915" s="41"/>
      <c r="H3915" s="41"/>
      <c r="I3915" s="41"/>
      <c r="J3915" s="41"/>
      <c r="K3915" s="41"/>
      <c r="L3915" s="41"/>
      <c r="M3915" s="41"/>
      <c r="N3915" s="41"/>
      <c r="O3915" s="41"/>
      <c r="P3915" s="28"/>
    </row>
    <row r="3916" customFormat="1" spans="1:16">
      <c r="A3916" s="39"/>
      <c r="B3916" s="40"/>
      <c r="C3916" s="41"/>
      <c r="D3916" s="41"/>
      <c r="E3916" s="41"/>
      <c r="F3916" s="41"/>
      <c r="G3916" s="41"/>
      <c r="H3916" s="41"/>
      <c r="I3916" s="41"/>
      <c r="J3916" s="41"/>
      <c r="K3916" s="41"/>
      <c r="L3916" s="41"/>
      <c r="M3916" s="41"/>
      <c r="N3916" s="41"/>
      <c r="O3916" s="41"/>
      <c r="P3916" s="28"/>
    </row>
    <row r="3917" customFormat="1" spans="1:16">
      <c r="A3917" s="39"/>
      <c r="B3917" s="40"/>
      <c r="C3917" s="41"/>
      <c r="D3917" s="41"/>
      <c r="E3917" s="41"/>
      <c r="F3917" s="41"/>
      <c r="G3917" s="41"/>
      <c r="H3917" s="41"/>
      <c r="I3917" s="41"/>
      <c r="J3917" s="41"/>
      <c r="K3917" s="41"/>
      <c r="L3917" s="41"/>
      <c r="M3917" s="41"/>
      <c r="N3917" s="41"/>
      <c r="O3917" s="41"/>
      <c r="P3917" s="28"/>
    </row>
    <row r="3918" customFormat="1" spans="1:16">
      <c r="A3918" s="39"/>
      <c r="B3918" s="40"/>
      <c r="C3918" s="41"/>
      <c r="D3918" s="41"/>
      <c r="E3918" s="41"/>
      <c r="F3918" s="41"/>
      <c r="G3918" s="41"/>
      <c r="H3918" s="41"/>
      <c r="I3918" s="41"/>
      <c r="J3918" s="41"/>
      <c r="K3918" s="41"/>
      <c r="L3918" s="41"/>
      <c r="M3918" s="41"/>
      <c r="N3918" s="41"/>
      <c r="O3918" s="41"/>
      <c r="P3918" s="28"/>
    </row>
    <row r="3919" customFormat="1" spans="1:16">
      <c r="A3919" s="39"/>
      <c r="B3919" s="40"/>
      <c r="C3919" s="41"/>
      <c r="D3919" s="41"/>
      <c r="E3919" s="41"/>
      <c r="F3919" s="41"/>
      <c r="G3919" s="41"/>
      <c r="H3919" s="41"/>
      <c r="I3919" s="41"/>
      <c r="J3919" s="41"/>
      <c r="K3919" s="41"/>
      <c r="L3919" s="41"/>
      <c r="M3919" s="41"/>
      <c r="N3919" s="41"/>
      <c r="O3919" s="41"/>
      <c r="P3919" s="28"/>
    </row>
    <row r="3920" customFormat="1" spans="1:16">
      <c r="A3920" s="39"/>
      <c r="B3920" s="40"/>
      <c r="C3920" s="41"/>
      <c r="D3920" s="41"/>
      <c r="E3920" s="41"/>
      <c r="F3920" s="41"/>
      <c r="G3920" s="41"/>
      <c r="H3920" s="41"/>
      <c r="I3920" s="41"/>
      <c r="J3920" s="41"/>
      <c r="K3920" s="41"/>
      <c r="L3920" s="41"/>
      <c r="M3920" s="41"/>
      <c r="N3920" s="41"/>
      <c r="O3920" s="41"/>
      <c r="P3920" s="28"/>
    </row>
    <row r="3921" customFormat="1" spans="1:16">
      <c r="A3921" s="39"/>
      <c r="B3921" s="40"/>
      <c r="C3921" s="41"/>
      <c r="D3921" s="41"/>
      <c r="E3921" s="41"/>
      <c r="F3921" s="41"/>
      <c r="G3921" s="41"/>
      <c r="H3921" s="41"/>
      <c r="I3921" s="41"/>
      <c r="J3921" s="41"/>
      <c r="K3921" s="41"/>
      <c r="L3921" s="41"/>
      <c r="M3921" s="41"/>
      <c r="N3921" s="41"/>
      <c r="O3921" s="41"/>
      <c r="P3921" s="28"/>
    </row>
    <row r="3922" customFormat="1" spans="1:16">
      <c r="A3922" s="39"/>
      <c r="B3922" s="40"/>
      <c r="C3922" s="41"/>
      <c r="D3922" s="41"/>
      <c r="E3922" s="41"/>
      <c r="F3922" s="41"/>
      <c r="G3922" s="41"/>
      <c r="H3922" s="41"/>
      <c r="I3922" s="41"/>
      <c r="J3922" s="41"/>
      <c r="K3922" s="41"/>
      <c r="L3922" s="41"/>
      <c r="M3922" s="41"/>
      <c r="N3922" s="41"/>
      <c r="O3922" s="41"/>
      <c r="P3922" s="28"/>
    </row>
    <row r="3923" customFormat="1" spans="1:16">
      <c r="A3923" s="39"/>
      <c r="B3923" s="40"/>
      <c r="C3923" s="41"/>
      <c r="D3923" s="41"/>
      <c r="E3923" s="41"/>
      <c r="F3923" s="41"/>
      <c r="G3923" s="41"/>
      <c r="H3923" s="41"/>
      <c r="I3923" s="41"/>
      <c r="J3923" s="41"/>
      <c r="K3923" s="41"/>
      <c r="L3923" s="41"/>
      <c r="M3923" s="41"/>
      <c r="N3923" s="41"/>
      <c r="O3923" s="41"/>
      <c r="P3923" s="28"/>
    </row>
    <row r="3924" customFormat="1" spans="1:16">
      <c r="A3924" s="39"/>
      <c r="B3924" s="40"/>
      <c r="C3924" s="41"/>
      <c r="D3924" s="41"/>
      <c r="E3924" s="41"/>
      <c r="F3924" s="41"/>
      <c r="G3924" s="41"/>
      <c r="H3924" s="41"/>
      <c r="I3924" s="41"/>
      <c r="J3924" s="41"/>
      <c r="K3924" s="41"/>
      <c r="L3924" s="41"/>
      <c r="M3924" s="41"/>
      <c r="N3924" s="41"/>
      <c r="O3924" s="41"/>
      <c r="P3924" s="28"/>
    </row>
    <row r="3925" customFormat="1" spans="1:16">
      <c r="A3925" s="39"/>
      <c r="B3925" s="40"/>
      <c r="C3925" s="41"/>
      <c r="D3925" s="41"/>
      <c r="E3925" s="41"/>
      <c r="F3925" s="41"/>
      <c r="G3925" s="41"/>
      <c r="H3925" s="41"/>
      <c r="I3925" s="41"/>
      <c r="J3925" s="41"/>
      <c r="K3925" s="41"/>
      <c r="L3925" s="41"/>
      <c r="M3925" s="41"/>
      <c r="N3925" s="41"/>
      <c r="O3925" s="41"/>
      <c r="P3925" s="28"/>
    </row>
    <row r="3926" customFormat="1" spans="1:16">
      <c r="A3926" s="39"/>
      <c r="B3926" s="40"/>
      <c r="C3926" s="41"/>
      <c r="D3926" s="41"/>
      <c r="E3926" s="41"/>
      <c r="F3926" s="41"/>
      <c r="G3926" s="41"/>
      <c r="H3926" s="41"/>
      <c r="I3926" s="41"/>
      <c r="J3926" s="41"/>
      <c r="K3926" s="41"/>
      <c r="L3926" s="41"/>
      <c r="M3926" s="41"/>
      <c r="N3926" s="41"/>
      <c r="O3926" s="41"/>
      <c r="P3926" s="28"/>
    </row>
    <row r="3927" customFormat="1" spans="1:16">
      <c r="A3927" s="39"/>
      <c r="B3927" s="40"/>
      <c r="C3927" s="41"/>
      <c r="D3927" s="41"/>
      <c r="E3927" s="41"/>
      <c r="F3927" s="41"/>
      <c r="G3927" s="41"/>
      <c r="H3927" s="41"/>
      <c r="I3927" s="41"/>
      <c r="J3927" s="41"/>
      <c r="K3927" s="41"/>
      <c r="L3927" s="41"/>
      <c r="M3927" s="41"/>
      <c r="N3927" s="41"/>
      <c r="O3927" s="41"/>
      <c r="P3927" s="28"/>
    </row>
    <row r="3928" customFormat="1" spans="1:16">
      <c r="A3928" s="39"/>
      <c r="B3928" s="40"/>
      <c r="C3928" s="41"/>
      <c r="D3928" s="41"/>
      <c r="E3928" s="41"/>
      <c r="F3928" s="41"/>
      <c r="G3928" s="41"/>
      <c r="H3928" s="41"/>
      <c r="I3928" s="41"/>
      <c r="J3928" s="41"/>
      <c r="K3928" s="41"/>
      <c r="L3928" s="41"/>
      <c r="M3928" s="41"/>
      <c r="N3928" s="41"/>
      <c r="O3928" s="41"/>
      <c r="P3928" s="28"/>
    </row>
    <row r="3929" customFormat="1" spans="1:16">
      <c r="A3929" s="39"/>
      <c r="B3929" s="40"/>
      <c r="C3929" s="41"/>
      <c r="D3929" s="41"/>
      <c r="E3929" s="41"/>
      <c r="F3929" s="41"/>
      <c r="G3929" s="41"/>
      <c r="H3929" s="41"/>
      <c r="I3929" s="41"/>
      <c r="J3929" s="41"/>
      <c r="K3929" s="41"/>
      <c r="L3929" s="41"/>
      <c r="M3929" s="41"/>
      <c r="N3929" s="41"/>
      <c r="O3929" s="41"/>
      <c r="P3929" s="28"/>
    </row>
    <row r="3930" customFormat="1" spans="1:16">
      <c r="A3930" s="39"/>
      <c r="B3930" s="40"/>
      <c r="C3930" s="41"/>
      <c r="D3930" s="41"/>
      <c r="E3930" s="41"/>
      <c r="F3930" s="41"/>
      <c r="G3930" s="41"/>
      <c r="H3930" s="41"/>
      <c r="I3930" s="41"/>
      <c r="J3930" s="41"/>
      <c r="K3930" s="41"/>
      <c r="L3930" s="41"/>
      <c r="M3930" s="41"/>
      <c r="N3930" s="41"/>
      <c r="O3930" s="41"/>
      <c r="P3930" s="28"/>
    </row>
    <row r="3931" customFormat="1" spans="1:16">
      <c r="A3931" s="39"/>
      <c r="B3931" s="40"/>
      <c r="C3931" s="41"/>
      <c r="D3931" s="41"/>
      <c r="E3931" s="41"/>
      <c r="F3931" s="41"/>
      <c r="G3931" s="41"/>
      <c r="H3931" s="41"/>
      <c r="I3931" s="41"/>
      <c r="J3931" s="41"/>
      <c r="K3931" s="41"/>
      <c r="L3931" s="41"/>
      <c r="M3931" s="41"/>
      <c r="N3931" s="41"/>
      <c r="O3931" s="41"/>
      <c r="P3931" s="28"/>
    </row>
    <row r="3932" customFormat="1" spans="1:16">
      <c r="A3932" s="39"/>
      <c r="B3932" s="40"/>
      <c r="C3932" s="41"/>
      <c r="D3932" s="41"/>
      <c r="E3932" s="41"/>
      <c r="F3932" s="41"/>
      <c r="G3932" s="41"/>
      <c r="H3932" s="41"/>
      <c r="I3932" s="41"/>
      <c r="J3932" s="41"/>
      <c r="K3932" s="41"/>
      <c r="L3932" s="41"/>
      <c r="M3932" s="41"/>
      <c r="N3932" s="41"/>
      <c r="O3932" s="41"/>
      <c r="P3932" s="28"/>
    </row>
    <row r="3933" customFormat="1" spans="1:16">
      <c r="A3933" s="39"/>
      <c r="B3933" s="40"/>
      <c r="C3933" s="41"/>
      <c r="D3933" s="41"/>
      <c r="E3933" s="41"/>
      <c r="F3933" s="41"/>
      <c r="G3933" s="41"/>
      <c r="H3933" s="41"/>
      <c r="I3933" s="41"/>
      <c r="J3933" s="41"/>
      <c r="K3933" s="41"/>
      <c r="L3933" s="41"/>
      <c r="M3933" s="41"/>
      <c r="N3933" s="41"/>
      <c r="O3933" s="41"/>
      <c r="P3933" s="28"/>
    </row>
    <row r="3934" customFormat="1" spans="1:16">
      <c r="A3934" s="39"/>
      <c r="B3934" s="40"/>
      <c r="C3934" s="41"/>
      <c r="D3934" s="41"/>
      <c r="E3934" s="41"/>
      <c r="F3934" s="41"/>
      <c r="G3934" s="41"/>
      <c r="H3934" s="41"/>
      <c r="I3934" s="41"/>
      <c r="J3934" s="41"/>
      <c r="K3934" s="41"/>
      <c r="L3934" s="41"/>
      <c r="M3934" s="41"/>
      <c r="N3934" s="41"/>
      <c r="O3934" s="41"/>
      <c r="P3934" s="28"/>
    </row>
    <row r="3935" customFormat="1" spans="1:16">
      <c r="A3935" s="39"/>
      <c r="B3935" s="40"/>
      <c r="C3935" s="41"/>
      <c r="D3935" s="41"/>
      <c r="E3935" s="41"/>
      <c r="F3935" s="41"/>
      <c r="G3935" s="41"/>
      <c r="H3935" s="41"/>
      <c r="I3935" s="41"/>
      <c r="J3935" s="41"/>
      <c r="K3935" s="41"/>
      <c r="L3935" s="41"/>
      <c r="M3935" s="41"/>
      <c r="N3935" s="41"/>
      <c r="O3935" s="41"/>
      <c r="P3935" s="28"/>
    </row>
    <row r="3936" customFormat="1" spans="1:16">
      <c r="A3936" s="39"/>
      <c r="B3936" s="40"/>
      <c r="C3936" s="41"/>
      <c r="D3936" s="41"/>
      <c r="E3936" s="41"/>
      <c r="F3936" s="41"/>
      <c r="G3936" s="41"/>
      <c r="H3936" s="41"/>
      <c r="I3936" s="41"/>
      <c r="J3936" s="41"/>
      <c r="K3936" s="41"/>
      <c r="L3936" s="41"/>
      <c r="M3936" s="41"/>
      <c r="N3936" s="41"/>
      <c r="O3936" s="41"/>
      <c r="P3936" s="28"/>
    </row>
    <row r="3937" customFormat="1" spans="1:16">
      <c r="A3937" s="39"/>
      <c r="B3937" s="40"/>
      <c r="C3937" s="41"/>
      <c r="D3937" s="41"/>
      <c r="E3937" s="41"/>
      <c r="F3937" s="41"/>
      <c r="G3937" s="41"/>
      <c r="H3937" s="41"/>
      <c r="I3937" s="41"/>
      <c r="J3937" s="41"/>
      <c r="K3937" s="41"/>
      <c r="L3937" s="41"/>
      <c r="M3937" s="41"/>
      <c r="N3937" s="41"/>
      <c r="O3937" s="41"/>
      <c r="P3937" s="28"/>
    </row>
    <row r="3938" customFormat="1" spans="1:16">
      <c r="A3938" s="39"/>
      <c r="B3938" s="40"/>
      <c r="C3938" s="41"/>
      <c r="D3938" s="41"/>
      <c r="E3938" s="41"/>
      <c r="F3938" s="41"/>
      <c r="G3938" s="41"/>
      <c r="H3938" s="41"/>
      <c r="I3938" s="41"/>
      <c r="J3938" s="41"/>
      <c r="K3938" s="41"/>
      <c r="L3938" s="41"/>
      <c r="M3938" s="41"/>
      <c r="N3938" s="41"/>
      <c r="O3938" s="41"/>
      <c r="P3938" s="28"/>
    </row>
    <row r="3939" customFormat="1" spans="1:16">
      <c r="A3939" s="39"/>
      <c r="B3939" s="40"/>
      <c r="C3939" s="41"/>
      <c r="D3939" s="41"/>
      <c r="E3939" s="41"/>
      <c r="F3939" s="41"/>
      <c r="G3939" s="41"/>
      <c r="H3939" s="41"/>
      <c r="I3939" s="41"/>
      <c r="J3939" s="41"/>
      <c r="K3939" s="41"/>
      <c r="L3939" s="41"/>
      <c r="M3939" s="41"/>
      <c r="N3939" s="41"/>
      <c r="O3939" s="41"/>
      <c r="P3939" s="28"/>
    </row>
    <row r="3940" customFormat="1" spans="1:16">
      <c r="A3940" s="39"/>
      <c r="B3940" s="40"/>
      <c r="C3940" s="41"/>
      <c r="D3940" s="41"/>
      <c r="E3940" s="41"/>
      <c r="F3940" s="41"/>
      <c r="G3940" s="41"/>
      <c r="H3940" s="41"/>
      <c r="I3940" s="41"/>
      <c r="J3940" s="41"/>
      <c r="K3940" s="41"/>
      <c r="L3940" s="41"/>
      <c r="M3940" s="41"/>
      <c r="N3940" s="41"/>
      <c r="O3940" s="41"/>
      <c r="P3940" s="28"/>
    </row>
    <row r="3941" customFormat="1" spans="1:16">
      <c r="A3941" s="39"/>
      <c r="B3941" s="40"/>
      <c r="C3941" s="41"/>
      <c r="D3941" s="41"/>
      <c r="E3941" s="41"/>
      <c r="F3941" s="41"/>
      <c r="G3941" s="41"/>
      <c r="H3941" s="41"/>
      <c r="I3941" s="41"/>
      <c r="J3941" s="41"/>
      <c r="K3941" s="41"/>
      <c r="L3941" s="41"/>
      <c r="M3941" s="41"/>
      <c r="N3941" s="41"/>
      <c r="O3941" s="41"/>
      <c r="P3941" s="28"/>
    </row>
    <row r="3942" customFormat="1" spans="1:16">
      <c r="A3942" s="39"/>
      <c r="B3942" s="40"/>
      <c r="C3942" s="41"/>
      <c r="D3942" s="41"/>
      <c r="E3942" s="41"/>
      <c r="F3942" s="41"/>
      <c r="G3942" s="41"/>
      <c r="H3942" s="41"/>
      <c r="I3942" s="41"/>
      <c r="J3942" s="41"/>
      <c r="K3942" s="41"/>
      <c r="L3942" s="41"/>
      <c r="M3942" s="41"/>
      <c r="N3942" s="41"/>
      <c r="O3942" s="41"/>
      <c r="P3942" s="28"/>
    </row>
    <row r="3943" customFormat="1" spans="1:16">
      <c r="A3943" s="39"/>
      <c r="B3943" s="40"/>
      <c r="C3943" s="41"/>
      <c r="D3943" s="41"/>
      <c r="E3943" s="41"/>
      <c r="F3943" s="41"/>
      <c r="G3943" s="41"/>
      <c r="H3943" s="41"/>
      <c r="I3943" s="41"/>
      <c r="J3943" s="41"/>
      <c r="K3943" s="41"/>
      <c r="L3943" s="41"/>
      <c r="M3943" s="41"/>
      <c r="N3943" s="41"/>
      <c r="O3943" s="41"/>
      <c r="P3943" s="28"/>
    </row>
    <row r="3944" customFormat="1" spans="1:16">
      <c r="A3944" s="39"/>
      <c r="B3944" s="40"/>
      <c r="C3944" s="41"/>
      <c r="D3944" s="41"/>
      <c r="E3944" s="41"/>
      <c r="F3944" s="41"/>
      <c r="G3944" s="41"/>
      <c r="H3944" s="41"/>
      <c r="I3944" s="41"/>
      <c r="J3944" s="41"/>
      <c r="K3944" s="41"/>
      <c r="L3944" s="41"/>
      <c r="M3944" s="41"/>
      <c r="N3944" s="41"/>
      <c r="O3944" s="41"/>
      <c r="P3944" s="28"/>
    </row>
    <row r="3945" customFormat="1" spans="1:16">
      <c r="A3945" s="39"/>
      <c r="B3945" s="40"/>
      <c r="C3945" s="41"/>
      <c r="D3945" s="41"/>
      <c r="E3945" s="41"/>
      <c r="F3945" s="41"/>
      <c r="G3945" s="41"/>
      <c r="H3945" s="41"/>
      <c r="I3945" s="41"/>
      <c r="J3945" s="41"/>
      <c r="K3945" s="41"/>
      <c r="L3945" s="41"/>
      <c r="M3945" s="41"/>
      <c r="N3945" s="41"/>
      <c r="O3945" s="41"/>
      <c r="P3945" s="28"/>
    </row>
    <row r="3946" customFormat="1" spans="1:16">
      <c r="A3946" s="39"/>
      <c r="B3946" s="40"/>
      <c r="C3946" s="41"/>
      <c r="D3946" s="41"/>
      <c r="E3946" s="41"/>
      <c r="F3946" s="41"/>
      <c r="G3946" s="41"/>
      <c r="H3946" s="41"/>
      <c r="I3946" s="41"/>
      <c r="J3946" s="41"/>
      <c r="K3946" s="41"/>
      <c r="L3946" s="41"/>
      <c r="M3946" s="41"/>
      <c r="N3946" s="41"/>
      <c r="O3946" s="41"/>
      <c r="P3946" s="28"/>
    </row>
    <row r="3947" customFormat="1" spans="1:16">
      <c r="A3947" s="39"/>
      <c r="B3947" s="40"/>
      <c r="C3947" s="41"/>
      <c r="D3947" s="41"/>
      <c r="E3947" s="41"/>
      <c r="F3947" s="41"/>
      <c r="G3947" s="41"/>
      <c r="H3947" s="41"/>
      <c r="I3947" s="41"/>
      <c r="J3947" s="41"/>
      <c r="K3947" s="41"/>
      <c r="L3947" s="41"/>
      <c r="M3947" s="41"/>
      <c r="N3947" s="41"/>
      <c r="O3947" s="41"/>
      <c r="P3947" s="28"/>
    </row>
    <row r="3948" customFormat="1" spans="1:16">
      <c r="A3948" s="39"/>
      <c r="B3948" s="40"/>
      <c r="C3948" s="41"/>
      <c r="D3948" s="41"/>
      <c r="E3948" s="41"/>
      <c r="F3948" s="41"/>
      <c r="G3948" s="41"/>
      <c r="H3948" s="41"/>
      <c r="I3948" s="41"/>
      <c r="J3948" s="41"/>
      <c r="K3948" s="41"/>
      <c r="L3948" s="41"/>
      <c r="M3948" s="41"/>
      <c r="N3948" s="41"/>
      <c r="O3948" s="41"/>
      <c r="P3948" s="28"/>
    </row>
    <row r="3949" customFormat="1" spans="1:16">
      <c r="A3949" s="39"/>
      <c r="B3949" s="40"/>
      <c r="C3949" s="41"/>
      <c r="D3949" s="41"/>
      <c r="E3949" s="41"/>
      <c r="F3949" s="41"/>
      <c r="G3949" s="41"/>
      <c r="H3949" s="41"/>
      <c r="I3949" s="41"/>
      <c r="J3949" s="41"/>
      <c r="K3949" s="41"/>
      <c r="L3949" s="41"/>
      <c r="M3949" s="41"/>
      <c r="N3949" s="41"/>
      <c r="O3949" s="41"/>
      <c r="P3949" s="28"/>
    </row>
    <row r="3950" customFormat="1" spans="1:16">
      <c r="A3950" s="39"/>
      <c r="B3950" s="40"/>
      <c r="C3950" s="41"/>
      <c r="D3950" s="41"/>
      <c r="E3950" s="41"/>
      <c r="F3950" s="41"/>
      <c r="G3950" s="41"/>
      <c r="H3950" s="41"/>
      <c r="I3950" s="41"/>
      <c r="J3950" s="41"/>
      <c r="K3950" s="41"/>
      <c r="L3950" s="41"/>
      <c r="M3950" s="41"/>
      <c r="N3950" s="41"/>
      <c r="O3950" s="41"/>
      <c r="P3950" s="28"/>
    </row>
    <row r="3951" customFormat="1" spans="1:16">
      <c r="A3951" s="39"/>
      <c r="B3951" s="40"/>
      <c r="C3951" s="41"/>
      <c r="D3951" s="41"/>
      <c r="E3951" s="41"/>
      <c r="F3951" s="41"/>
      <c r="G3951" s="41"/>
      <c r="H3951" s="41"/>
      <c r="I3951" s="41"/>
      <c r="J3951" s="41"/>
      <c r="K3951" s="41"/>
      <c r="L3951" s="41"/>
      <c r="M3951" s="41"/>
      <c r="N3951" s="41"/>
      <c r="O3951" s="41"/>
      <c r="P3951" s="28"/>
    </row>
    <row r="3952" customFormat="1" spans="1:16">
      <c r="A3952" s="39"/>
      <c r="B3952" s="40"/>
      <c r="C3952" s="41"/>
      <c r="D3952" s="41"/>
      <c r="E3952" s="41"/>
      <c r="F3952" s="41"/>
      <c r="G3952" s="41"/>
      <c r="H3952" s="41"/>
      <c r="I3952" s="41"/>
      <c r="J3952" s="41"/>
      <c r="K3952" s="41"/>
      <c r="L3952" s="41"/>
      <c r="M3952" s="41"/>
      <c r="N3952" s="41"/>
      <c r="O3952" s="41"/>
      <c r="P3952" s="28"/>
    </row>
    <row r="3953" customFormat="1" spans="1:16">
      <c r="A3953" s="39"/>
      <c r="B3953" s="40"/>
      <c r="C3953" s="41"/>
      <c r="D3953" s="41"/>
      <c r="E3953" s="41"/>
      <c r="F3953" s="41"/>
      <c r="G3953" s="41"/>
      <c r="H3953" s="41"/>
      <c r="I3953" s="41"/>
      <c r="J3953" s="41"/>
      <c r="K3953" s="41"/>
      <c r="L3953" s="41"/>
      <c r="M3953" s="41"/>
      <c r="N3953" s="41"/>
      <c r="O3953" s="41"/>
      <c r="P3953" s="28"/>
    </row>
    <row r="3954" customFormat="1" spans="1:16">
      <c r="A3954" s="39"/>
      <c r="B3954" s="40"/>
      <c r="C3954" s="41"/>
      <c r="D3954" s="41"/>
      <c r="E3954" s="41"/>
      <c r="F3954" s="41"/>
      <c r="G3954" s="41"/>
      <c r="H3954" s="41"/>
      <c r="I3954" s="41"/>
      <c r="J3954" s="41"/>
      <c r="K3954" s="41"/>
      <c r="L3954" s="41"/>
      <c r="M3954" s="41"/>
      <c r="N3954" s="41"/>
      <c r="O3954" s="41"/>
      <c r="P3954" s="28"/>
    </row>
    <row r="3955" customFormat="1" spans="1:16">
      <c r="A3955" s="39"/>
      <c r="B3955" s="40"/>
      <c r="C3955" s="41"/>
      <c r="D3955" s="41"/>
      <c r="E3955" s="41"/>
      <c r="F3955" s="41"/>
      <c r="G3955" s="41"/>
      <c r="H3955" s="41"/>
      <c r="I3955" s="41"/>
      <c r="J3955" s="41"/>
      <c r="K3955" s="41"/>
      <c r="L3955" s="41"/>
      <c r="M3955" s="41"/>
      <c r="N3955" s="41"/>
      <c r="O3955" s="41"/>
      <c r="P3955" s="28"/>
    </row>
    <row r="3956" customFormat="1" spans="1:16">
      <c r="A3956" s="39"/>
      <c r="B3956" s="40"/>
      <c r="C3956" s="41"/>
      <c r="D3956" s="41"/>
      <c r="E3956" s="41"/>
      <c r="F3956" s="41"/>
      <c r="G3956" s="41"/>
      <c r="H3956" s="41"/>
      <c r="I3956" s="41"/>
      <c r="J3956" s="41"/>
      <c r="K3956" s="41"/>
      <c r="L3956" s="41"/>
      <c r="M3956" s="41"/>
      <c r="N3956" s="41"/>
      <c r="O3956" s="41"/>
      <c r="P3956" s="28"/>
    </row>
    <row r="3957" customFormat="1" spans="1:16">
      <c r="A3957" s="39"/>
      <c r="B3957" s="40"/>
      <c r="C3957" s="41"/>
      <c r="D3957" s="41"/>
      <c r="E3957" s="41"/>
      <c r="F3957" s="41"/>
      <c r="G3957" s="41"/>
      <c r="H3957" s="41"/>
      <c r="I3957" s="41"/>
      <c r="J3957" s="41"/>
      <c r="K3957" s="41"/>
      <c r="L3957" s="41"/>
      <c r="M3957" s="41"/>
      <c r="N3957" s="41"/>
      <c r="O3957" s="41"/>
      <c r="P3957" s="28"/>
    </row>
    <row r="3958" customFormat="1" spans="1:16">
      <c r="A3958" s="39"/>
      <c r="B3958" s="40"/>
      <c r="C3958" s="41"/>
      <c r="D3958" s="41"/>
      <c r="E3958" s="41"/>
      <c r="F3958" s="41"/>
      <c r="G3958" s="41"/>
      <c r="H3958" s="41"/>
      <c r="I3958" s="41"/>
      <c r="J3958" s="41"/>
      <c r="K3958" s="41"/>
      <c r="L3958" s="41"/>
      <c r="M3958" s="41"/>
      <c r="N3958" s="41"/>
      <c r="O3958" s="41"/>
      <c r="P3958" s="28"/>
    </row>
    <row r="3959" customFormat="1" spans="1:16">
      <c r="A3959" s="39"/>
      <c r="B3959" s="40"/>
      <c r="C3959" s="41"/>
      <c r="D3959" s="41"/>
      <c r="E3959" s="41"/>
      <c r="F3959" s="41"/>
      <c r="G3959" s="41"/>
      <c r="H3959" s="41"/>
      <c r="I3959" s="41"/>
      <c r="J3959" s="41"/>
      <c r="K3959" s="41"/>
      <c r="L3959" s="41"/>
      <c r="M3959" s="41"/>
      <c r="N3959" s="41"/>
      <c r="O3959" s="41"/>
      <c r="P3959" s="28"/>
    </row>
    <row r="3960" customFormat="1" spans="1:16">
      <c r="A3960" s="39"/>
      <c r="B3960" s="40"/>
      <c r="C3960" s="41"/>
      <c r="D3960" s="41"/>
      <c r="E3960" s="41"/>
      <c r="F3960" s="41"/>
      <c r="G3960" s="41"/>
      <c r="H3960" s="41"/>
      <c r="I3960" s="41"/>
      <c r="J3960" s="41"/>
      <c r="K3960" s="41"/>
      <c r="L3960" s="41"/>
      <c r="M3960" s="41"/>
      <c r="N3960" s="41"/>
      <c r="O3960" s="41"/>
      <c r="P3960" s="28"/>
    </row>
    <row r="3961" customFormat="1" spans="1:16">
      <c r="A3961" s="39"/>
      <c r="B3961" s="40"/>
      <c r="C3961" s="41"/>
      <c r="D3961" s="41"/>
      <c r="E3961" s="41"/>
      <c r="F3961" s="41"/>
      <c r="G3961" s="41"/>
      <c r="H3961" s="41"/>
      <c r="I3961" s="41"/>
      <c r="J3961" s="41"/>
      <c r="K3961" s="41"/>
      <c r="L3961" s="41"/>
      <c r="M3961" s="41"/>
      <c r="N3961" s="41"/>
      <c r="O3961" s="41"/>
      <c r="P3961" s="28"/>
    </row>
    <row r="3962" customFormat="1" spans="1:16">
      <c r="A3962" s="39"/>
      <c r="B3962" s="40"/>
      <c r="C3962" s="41"/>
      <c r="D3962" s="41"/>
      <c r="E3962" s="41"/>
      <c r="F3962" s="41"/>
      <c r="G3962" s="41"/>
      <c r="H3962" s="41"/>
      <c r="I3962" s="41"/>
      <c r="J3962" s="41"/>
      <c r="K3962" s="41"/>
      <c r="L3962" s="41"/>
      <c r="M3962" s="41"/>
      <c r="N3962" s="41"/>
      <c r="O3962" s="41"/>
      <c r="P3962" s="28"/>
    </row>
    <row r="3963" customFormat="1" spans="1:16">
      <c r="A3963" s="39"/>
      <c r="B3963" s="40"/>
      <c r="C3963" s="41"/>
      <c r="D3963" s="41"/>
      <c r="E3963" s="41"/>
      <c r="F3963" s="41"/>
      <c r="G3963" s="41"/>
      <c r="H3963" s="41"/>
      <c r="I3963" s="41"/>
      <c r="J3963" s="41"/>
      <c r="K3963" s="41"/>
      <c r="L3963" s="41"/>
      <c r="M3963" s="41"/>
      <c r="N3963" s="41"/>
      <c r="O3963" s="41"/>
      <c r="P3963" s="28"/>
    </row>
    <row r="3964" customFormat="1" spans="1:16">
      <c r="A3964" s="39"/>
      <c r="B3964" s="40"/>
      <c r="C3964" s="41"/>
      <c r="D3964" s="41"/>
      <c r="E3964" s="41"/>
      <c r="F3964" s="41"/>
      <c r="G3964" s="41"/>
      <c r="H3964" s="41"/>
      <c r="I3964" s="41"/>
      <c r="J3964" s="41"/>
      <c r="K3964" s="41"/>
      <c r="L3964" s="41"/>
      <c r="M3964" s="41"/>
      <c r="N3964" s="41"/>
      <c r="O3964" s="41"/>
      <c r="P3964" s="28"/>
    </row>
    <row r="3965" customFormat="1" spans="1:16">
      <c r="A3965" s="39"/>
      <c r="B3965" s="40"/>
      <c r="C3965" s="41"/>
      <c r="D3965" s="41"/>
      <c r="E3965" s="41"/>
      <c r="F3965" s="41"/>
      <c r="G3965" s="41"/>
      <c r="H3965" s="41"/>
      <c r="I3965" s="41"/>
      <c r="J3965" s="41"/>
      <c r="K3965" s="41"/>
      <c r="L3965" s="41"/>
      <c r="M3965" s="41"/>
      <c r="N3965" s="41"/>
      <c r="O3965" s="41"/>
      <c r="P3965" s="28"/>
    </row>
    <row r="3966" customFormat="1" spans="1:16">
      <c r="A3966" s="39"/>
      <c r="B3966" s="40"/>
      <c r="C3966" s="41"/>
      <c r="D3966" s="41"/>
      <c r="E3966" s="41"/>
      <c r="F3966" s="41"/>
      <c r="G3966" s="41"/>
      <c r="H3966" s="41"/>
      <c r="I3966" s="41"/>
      <c r="J3966" s="41"/>
      <c r="K3966" s="41"/>
      <c r="L3966" s="41"/>
      <c r="M3966" s="41"/>
      <c r="N3966" s="41"/>
      <c r="O3966" s="41"/>
      <c r="P3966" s="28"/>
    </row>
    <row r="3967" customFormat="1" spans="1:16">
      <c r="A3967" s="39"/>
      <c r="B3967" s="40"/>
      <c r="C3967" s="41"/>
      <c r="D3967" s="41"/>
      <c r="E3967" s="41"/>
      <c r="F3967" s="41"/>
      <c r="G3967" s="41"/>
      <c r="H3967" s="41"/>
      <c r="I3967" s="41"/>
      <c r="J3967" s="41"/>
      <c r="K3967" s="41"/>
      <c r="L3967" s="41"/>
      <c r="M3967" s="41"/>
      <c r="N3967" s="41"/>
      <c r="O3967" s="41"/>
      <c r="P3967" s="28"/>
    </row>
    <row r="3968" customFormat="1" spans="1:16">
      <c r="A3968" s="39"/>
      <c r="B3968" s="40"/>
      <c r="C3968" s="41"/>
      <c r="D3968" s="41"/>
      <c r="E3968" s="41"/>
      <c r="F3968" s="41"/>
      <c r="G3968" s="41"/>
      <c r="H3968" s="41"/>
      <c r="I3968" s="41"/>
      <c r="J3968" s="41"/>
      <c r="K3968" s="41"/>
      <c r="L3968" s="41"/>
      <c r="M3968" s="41"/>
      <c r="N3968" s="41"/>
      <c r="O3968" s="41"/>
      <c r="P3968" s="28"/>
    </row>
    <row r="3969" customFormat="1" spans="1:16">
      <c r="A3969" s="39"/>
      <c r="B3969" s="40"/>
      <c r="C3969" s="41"/>
      <c r="D3969" s="41"/>
      <c r="E3969" s="41"/>
      <c r="F3969" s="41"/>
      <c r="G3969" s="41"/>
      <c r="H3969" s="41"/>
      <c r="I3969" s="41"/>
      <c r="J3969" s="41"/>
      <c r="K3969" s="41"/>
      <c r="L3969" s="41"/>
      <c r="M3969" s="41"/>
      <c r="N3969" s="41"/>
      <c r="O3969" s="41"/>
      <c r="P3969" s="28"/>
    </row>
    <row r="3970" customFormat="1" spans="1:16">
      <c r="A3970" s="39"/>
      <c r="B3970" s="40"/>
      <c r="C3970" s="41"/>
      <c r="D3970" s="41"/>
      <c r="E3970" s="41"/>
      <c r="F3970" s="41"/>
      <c r="G3970" s="41"/>
      <c r="H3970" s="41"/>
      <c r="I3970" s="41"/>
      <c r="J3970" s="41"/>
      <c r="K3970" s="41"/>
      <c r="L3970" s="41"/>
      <c r="M3970" s="41"/>
      <c r="N3970" s="41"/>
      <c r="O3970" s="41"/>
      <c r="P3970" s="28"/>
    </row>
    <row r="3971" customFormat="1" spans="1:16">
      <c r="A3971" s="39"/>
      <c r="B3971" s="40"/>
      <c r="C3971" s="41"/>
      <c r="D3971" s="41"/>
      <c r="E3971" s="41"/>
      <c r="F3971" s="41"/>
      <c r="G3971" s="41"/>
      <c r="H3971" s="41"/>
      <c r="I3971" s="41"/>
      <c r="J3971" s="41"/>
      <c r="K3971" s="41"/>
      <c r="L3971" s="41"/>
      <c r="M3971" s="41"/>
      <c r="N3971" s="41"/>
      <c r="O3971" s="41"/>
      <c r="P3971" s="28"/>
    </row>
    <row r="3972" customFormat="1" spans="1:16">
      <c r="A3972" s="39"/>
      <c r="B3972" s="40"/>
      <c r="C3972" s="41"/>
      <c r="D3972" s="41"/>
      <c r="E3972" s="41"/>
      <c r="F3972" s="41"/>
      <c r="G3972" s="41"/>
      <c r="H3972" s="41"/>
      <c r="I3972" s="41"/>
      <c r="J3972" s="41"/>
      <c r="K3972" s="41"/>
      <c r="L3972" s="41"/>
      <c r="M3972" s="41"/>
      <c r="N3972" s="41"/>
      <c r="O3972" s="41"/>
      <c r="P3972" s="28"/>
    </row>
    <row r="3973" customFormat="1" spans="1:16">
      <c r="A3973" s="39"/>
      <c r="B3973" s="40"/>
      <c r="C3973" s="41"/>
      <c r="D3973" s="41"/>
      <c r="E3973" s="41"/>
      <c r="F3973" s="41"/>
      <c r="G3973" s="41"/>
      <c r="H3973" s="41"/>
      <c r="I3973" s="41"/>
      <c r="J3973" s="41"/>
      <c r="K3973" s="41"/>
      <c r="L3973" s="41"/>
      <c r="M3973" s="41"/>
      <c r="N3973" s="41"/>
      <c r="O3973" s="41"/>
      <c r="P3973" s="28"/>
    </row>
    <row r="3974" customFormat="1" spans="1:16">
      <c r="A3974" s="39"/>
      <c r="B3974" s="40"/>
      <c r="C3974" s="41"/>
      <c r="D3974" s="41"/>
      <c r="E3974" s="41"/>
      <c r="F3974" s="41"/>
      <c r="G3974" s="41"/>
      <c r="H3974" s="41"/>
      <c r="I3974" s="41"/>
      <c r="J3974" s="41"/>
      <c r="K3974" s="41"/>
      <c r="L3974" s="41"/>
      <c r="M3974" s="41"/>
      <c r="N3974" s="41"/>
      <c r="O3974" s="41"/>
      <c r="P3974" s="28"/>
    </row>
    <row r="3975" customFormat="1" spans="1:16">
      <c r="A3975" s="39"/>
      <c r="B3975" s="40"/>
      <c r="C3975" s="41"/>
      <c r="D3975" s="41"/>
      <c r="E3975" s="41"/>
      <c r="F3975" s="41"/>
      <c r="G3975" s="41"/>
      <c r="H3975" s="41"/>
      <c r="I3975" s="41"/>
      <c r="J3975" s="41"/>
      <c r="K3975" s="41"/>
      <c r="L3975" s="41"/>
      <c r="M3975" s="41"/>
      <c r="N3975" s="41"/>
      <c r="O3975" s="41"/>
      <c r="P3975" s="28"/>
    </row>
    <row r="3976" customFormat="1" spans="1:16">
      <c r="A3976" s="39"/>
      <c r="B3976" s="40"/>
      <c r="C3976" s="41"/>
      <c r="D3976" s="41"/>
      <c r="E3976" s="41"/>
      <c r="F3976" s="41"/>
      <c r="G3976" s="41"/>
      <c r="H3976" s="41"/>
      <c r="I3976" s="41"/>
      <c r="J3976" s="41"/>
      <c r="K3976" s="41"/>
      <c r="L3976" s="41"/>
      <c r="M3976" s="41"/>
      <c r="N3976" s="41"/>
      <c r="O3976" s="41"/>
      <c r="P3976" s="28"/>
    </row>
    <row r="3977" customFormat="1" spans="1:16">
      <c r="A3977" s="39"/>
      <c r="B3977" s="40"/>
      <c r="C3977" s="41"/>
      <c r="D3977" s="41"/>
      <c r="E3977" s="41"/>
      <c r="F3977" s="41"/>
      <c r="G3977" s="41"/>
      <c r="H3977" s="41"/>
      <c r="I3977" s="41"/>
      <c r="J3977" s="41"/>
      <c r="K3977" s="41"/>
      <c r="L3977" s="41"/>
      <c r="M3977" s="41"/>
      <c r="N3977" s="41"/>
      <c r="O3977" s="41"/>
      <c r="P3977" s="28"/>
    </row>
    <row r="3978" customFormat="1" spans="1:16">
      <c r="A3978" s="39"/>
      <c r="B3978" s="40"/>
      <c r="C3978" s="41"/>
      <c r="D3978" s="41"/>
      <c r="E3978" s="41"/>
      <c r="F3978" s="41"/>
      <c r="G3978" s="41"/>
      <c r="H3978" s="41"/>
      <c r="I3978" s="41"/>
      <c r="J3978" s="41"/>
      <c r="K3978" s="41"/>
      <c r="L3978" s="41"/>
      <c r="M3978" s="41"/>
      <c r="N3978" s="41"/>
      <c r="O3978" s="41"/>
      <c r="P3978" s="28"/>
    </row>
    <row r="3979" customFormat="1" spans="1:16">
      <c r="A3979" s="39"/>
      <c r="B3979" s="40"/>
      <c r="C3979" s="41"/>
      <c r="D3979" s="41"/>
      <c r="E3979" s="41"/>
      <c r="F3979" s="41"/>
      <c r="G3979" s="41"/>
      <c r="H3979" s="41"/>
      <c r="I3979" s="41"/>
      <c r="J3979" s="41"/>
      <c r="K3979" s="41"/>
      <c r="L3979" s="41"/>
      <c r="M3979" s="41"/>
      <c r="N3979" s="41"/>
      <c r="O3979" s="41"/>
      <c r="P3979" s="28"/>
    </row>
    <row r="3980" customFormat="1" spans="1:16">
      <c r="A3980" s="39"/>
      <c r="B3980" s="40"/>
      <c r="C3980" s="41"/>
      <c r="D3980" s="41"/>
      <c r="E3980" s="41"/>
      <c r="F3980" s="41"/>
      <c r="G3980" s="41"/>
      <c r="H3980" s="41"/>
      <c r="I3980" s="41"/>
      <c r="J3980" s="41"/>
      <c r="K3980" s="41"/>
      <c r="L3980" s="41"/>
      <c r="M3980" s="41"/>
      <c r="N3980" s="41"/>
      <c r="O3980" s="41"/>
      <c r="P3980" s="28"/>
    </row>
    <row r="3981" customFormat="1" spans="1:16">
      <c r="A3981" s="39"/>
      <c r="B3981" s="40"/>
      <c r="C3981" s="41"/>
      <c r="D3981" s="41"/>
      <c r="E3981" s="41"/>
      <c r="F3981" s="41"/>
      <c r="G3981" s="41"/>
      <c r="H3981" s="41"/>
      <c r="I3981" s="41"/>
      <c r="J3981" s="41"/>
      <c r="K3981" s="41"/>
      <c r="L3981" s="41"/>
      <c r="M3981" s="41"/>
      <c r="N3981" s="41"/>
      <c r="O3981" s="41"/>
      <c r="P3981" s="28"/>
    </row>
    <row r="3982" customFormat="1" spans="1:16">
      <c r="A3982" s="39"/>
      <c r="B3982" s="40"/>
      <c r="C3982" s="41"/>
      <c r="D3982" s="41"/>
      <c r="E3982" s="41"/>
      <c r="F3982" s="41"/>
      <c r="G3982" s="41"/>
      <c r="H3982" s="41"/>
      <c r="I3982" s="41"/>
      <c r="J3982" s="41"/>
      <c r="K3982" s="41"/>
      <c r="L3982" s="41"/>
      <c r="M3982" s="41"/>
      <c r="N3982" s="41"/>
      <c r="O3982" s="41"/>
      <c r="P3982" s="28"/>
    </row>
    <row r="3983" customFormat="1" spans="1:16">
      <c r="A3983" s="39"/>
      <c r="B3983" s="40"/>
      <c r="C3983" s="41"/>
      <c r="D3983" s="41"/>
      <c r="E3983" s="41"/>
      <c r="F3983" s="41"/>
      <c r="G3983" s="41"/>
      <c r="H3983" s="41"/>
      <c r="I3983" s="41"/>
      <c r="J3983" s="41"/>
      <c r="K3983" s="41"/>
      <c r="L3983" s="41"/>
      <c r="M3983" s="41"/>
      <c r="N3983" s="41"/>
      <c r="O3983" s="41"/>
      <c r="P3983" s="28"/>
    </row>
    <row r="3984" customFormat="1" spans="1:16">
      <c r="A3984" s="39"/>
      <c r="B3984" s="40"/>
      <c r="C3984" s="41"/>
      <c r="D3984" s="41"/>
      <c r="E3984" s="41"/>
      <c r="F3984" s="41"/>
      <c r="G3984" s="41"/>
      <c r="H3984" s="41"/>
      <c r="I3984" s="41"/>
      <c r="J3984" s="41"/>
      <c r="K3984" s="41"/>
      <c r="L3984" s="41"/>
      <c r="M3984" s="41"/>
      <c r="N3984" s="41"/>
      <c r="O3984" s="41"/>
      <c r="P3984" s="28"/>
    </row>
    <row r="3985" customFormat="1" spans="1:16">
      <c r="A3985" s="39"/>
      <c r="B3985" s="40"/>
      <c r="C3985" s="41"/>
      <c r="D3985" s="41"/>
      <c r="E3985" s="41"/>
      <c r="F3985" s="41"/>
      <c r="G3985" s="41"/>
      <c r="H3985" s="41"/>
      <c r="I3985" s="41"/>
      <c r="J3985" s="41"/>
      <c r="K3985" s="41"/>
      <c r="L3985" s="41"/>
      <c r="M3985" s="41"/>
      <c r="N3985" s="41"/>
      <c r="O3985" s="41"/>
      <c r="P3985" s="28"/>
    </row>
    <row r="3986" customFormat="1" spans="1:16">
      <c r="A3986" s="39"/>
      <c r="B3986" s="40"/>
      <c r="C3986" s="41"/>
      <c r="D3986" s="41"/>
      <c r="E3986" s="41"/>
      <c r="F3986" s="41"/>
      <c r="G3986" s="41"/>
      <c r="H3986" s="41"/>
      <c r="I3986" s="41"/>
      <c r="J3986" s="41"/>
      <c r="K3986" s="41"/>
      <c r="L3986" s="41"/>
      <c r="M3986" s="41"/>
      <c r="N3986" s="41"/>
      <c r="O3986" s="41"/>
      <c r="P3986" s="28"/>
    </row>
    <row r="3987" customFormat="1" spans="1:16">
      <c r="A3987" s="39"/>
      <c r="B3987" s="40"/>
      <c r="C3987" s="41"/>
      <c r="D3987" s="41"/>
      <c r="E3987" s="41"/>
      <c r="F3987" s="41"/>
      <c r="G3987" s="41"/>
      <c r="H3987" s="41"/>
      <c r="I3987" s="41"/>
      <c r="J3987" s="41"/>
      <c r="K3987" s="41"/>
      <c r="L3987" s="41"/>
      <c r="M3987" s="41"/>
      <c r="N3987" s="41"/>
      <c r="O3987" s="41"/>
      <c r="P3987" s="28"/>
    </row>
    <row r="3988" customFormat="1" spans="1:16">
      <c r="A3988" s="39"/>
      <c r="B3988" s="40"/>
      <c r="C3988" s="41"/>
      <c r="D3988" s="41"/>
      <c r="E3988" s="41"/>
      <c r="F3988" s="41"/>
      <c r="G3988" s="41"/>
      <c r="H3988" s="41"/>
      <c r="I3988" s="41"/>
      <c r="J3988" s="41"/>
      <c r="K3988" s="41"/>
      <c r="L3988" s="41"/>
      <c r="M3988" s="41"/>
      <c r="N3988" s="41"/>
      <c r="O3988" s="41"/>
      <c r="P3988" s="28"/>
    </row>
    <row r="3989" customFormat="1" spans="1:16">
      <c r="A3989" s="39"/>
      <c r="B3989" s="40"/>
      <c r="C3989" s="41"/>
      <c r="D3989" s="41"/>
      <c r="E3989" s="41"/>
      <c r="F3989" s="41"/>
      <c r="G3989" s="41"/>
      <c r="H3989" s="41"/>
      <c r="I3989" s="41"/>
      <c r="J3989" s="41"/>
      <c r="K3989" s="41"/>
      <c r="L3989" s="41"/>
      <c r="M3989" s="41"/>
      <c r="N3989" s="41"/>
      <c r="O3989" s="41"/>
      <c r="P3989" s="28"/>
    </row>
    <row r="3990" customFormat="1" spans="1:16">
      <c r="A3990" s="39"/>
      <c r="B3990" s="40"/>
      <c r="C3990" s="41"/>
      <c r="D3990" s="41"/>
      <c r="E3990" s="41"/>
      <c r="F3990" s="41"/>
      <c r="G3990" s="41"/>
      <c r="H3990" s="41"/>
      <c r="I3990" s="41"/>
      <c r="J3990" s="41"/>
      <c r="K3990" s="41"/>
      <c r="L3990" s="41"/>
      <c r="M3990" s="41"/>
      <c r="N3990" s="41"/>
      <c r="O3990" s="41"/>
      <c r="P3990" s="28"/>
    </row>
    <row r="3991" customFormat="1" spans="1:16">
      <c r="A3991" s="39"/>
      <c r="B3991" s="40"/>
      <c r="C3991" s="41"/>
      <c r="D3991" s="41"/>
      <c r="E3991" s="41"/>
      <c r="F3991" s="41"/>
      <c r="G3991" s="41"/>
      <c r="H3991" s="41"/>
      <c r="I3991" s="41"/>
      <c r="J3991" s="41"/>
      <c r="K3991" s="41"/>
      <c r="L3991" s="41"/>
      <c r="M3991" s="41"/>
      <c r="N3991" s="41"/>
      <c r="O3991" s="41"/>
      <c r="P3991" s="28"/>
    </row>
    <row r="3992" customFormat="1" spans="1:16">
      <c r="A3992" s="39"/>
      <c r="B3992" s="40"/>
      <c r="C3992" s="41"/>
      <c r="D3992" s="41"/>
      <c r="E3992" s="41"/>
      <c r="F3992" s="41"/>
      <c r="G3992" s="41"/>
      <c r="H3992" s="41"/>
      <c r="I3992" s="41"/>
      <c r="J3992" s="41"/>
      <c r="K3992" s="41"/>
      <c r="L3992" s="41"/>
      <c r="M3992" s="41"/>
      <c r="N3992" s="41"/>
      <c r="O3992" s="41"/>
      <c r="P3992" s="28"/>
    </row>
    <row r="3993" customFormat="1" spans="1:16">
      <c r="A3993" s="39"/>
      <c r="B3993" s="40"/>
      <c r="C3993" s="41"/>
      <c r="D3993" s="41"/>
      <c r="E3993" s="41"/>
      <c r="F3993" s="41"/>
      <c r="G3993" s="41"/>
      <c r="H3993" s="41"/>
      <c r="I3993" s="41"/>
      <c r="J3993" s="41"/>
      <c r="K3993" s="41"/>
      <c r="L3993" s="41"/>
      <c r="M3993" s="41"/>
      <c r="N3993" s="41"/>
      <c r="O3993" s="41"/>
      <c r="P3993" s="28"/>
    </row>
    <row r="3994" customFormat="1" spans="1:16">
      <c r="A3994" s="39"/>
      <c r="B3994" s="40"/>
      <c r="C3994" s="41"/>
      <c r="D3994" s="41"/>
      <c r="E3994" s="41"/>
      <c r="F3994" s="41"/>
      <c r="G3994" s="41"/>
      <c r="H3994" s="41"/>
      <c r="I3994" s="41"/>
      <c r="J3994" s="41"/>
      <c r="K3994" s="41"/>
      <c r="L3994" s="41"/>
      <c r="M3994" s="41"/>
      <c r="N3994" s="41"/>
      <c r="O3994" s="41"/>
      <c r="P3994" s="28"/>
    </row>
    <row r="3995" customFormat="1" spans="1:16">
      <c r="A3995" s="39"/>
      <c r="B3995" s="40"/>
      <c r="C3995" s="41"/>
      <c r="D3995" s="41"/>
      <c r="E3995" s="41"/>
      <c r="F3995" s="41"/>
      <c r="G3995" s="41"/>
      <c r="H3995" s="41"/>
      <c r="I3995" s="41"/>
      <c r="J3995" s="41"/>
      <c r="K3995" s="41"/>
      <c r="L3995" s="41"/>
      <c r="M3995" s="41"/>
      <c r="N3995" s="41"/>
      <c r="O3995" s="41"/>
      <c r="P3995" s="28"/>
    </row>
    <row r="3996" customFormat="1" spans="1:16">
      <c r="A3996" s="39"/>
      <c r="B3996" s="40"/>
      <c r="C3996" s="41"/>
      <c r="D3996" s="41"/>
      <c r="E3996" s="41"/>
      <c r="F3996" s="41"/>
      <c r="G3996" s="41"/>
      <c r="H3996" s="41"/>
      <c r="I3996" s="41"/>
      <c r="J3996" s="41"/>
      <c r="K3996" s="41"/>
      <c r="L3996" s="41"/>
      <c r="M3996" s="41"/>
      <c r="N3996" s="41"/>
      <c r="O3996" s="41"/>
      <c r="P3996" s="28"/>
    </row>
    <row r="3997" customFormat="1" spans="1:16">
      <c r="A3997" s="39"/>
      <c r="B3997" s="40"/>
      <c r="C3997" s="41"/>
      <c r="D3997" s="41"/>
      <c r="E3997" s="41"/>
      <c r="F3997" s="41"/>
      <c r="G3997" s="41"/>
      <c r="H3997" s="41"/>
      <c r="I3997" s="41"/>
      <c r="J3997" s="41"/>
      <c r="K3997" s="41"/>
      <c r="L3997" s="41"/>
      <c r="M3997" s="41"/>
      <c r="N3997" s="41"/>
      <c r="O3997" s="41"/>
      <c r="P3997" s="28"/>
    </row>
    <row r="3998" customFormat="1" spans="1:16">
      <c r="A3998" s="39"/>
      <c r="B3998" s="40"/>
      <c r="C3998" s="41"/>
      <c r="D3998" s="41"/>
      <c r="E3998" s="41"/>
      <c r="F3998" s="41"/>
      <c r="G3998" s="41"/>
      <c r="H3998" s="41"/>
      <c r="I3998" s="41"/>
      <c r="J3998" s="41"/>
      <c r="K3998" s="41"/>
      <c r="L3998" s="41"/>
      <c r="M3998" s="41"/>
      <c r="N3998" s="41"/>
      <c r="O3998" s="41"/>
      <c r="P3998" s="28"/>
    </row>
    <row r="3999" customFormat="1" spans="1:16">
      <c r="A3999" s="39"/>
      <c r="B3999" s="40"/>
      <c r="C3999" s="41"/>
      <c r="D3999" s="41"/>
      <c r="E3999" s="41"/>
      <c r="F3999" s="41"/>
      <c r="G3999" s="41"/>
      <c r="H3999" s="41"/>
      <c r="I3999" s="41"/>
      <c r="J3999" s="41"/>
      <c r="K3999" s="41"/>
      <c r="L3999" s="41"/>
      <c r="M3999" s="41"/>
      <c r="N3999" s="41"/>
      <c r="O3999" s="41"/>
      <c r="P3999" s="28"/>
    </row>
    <row r="4000" customFormat="1" spans="1:16">
      <c r="A4000" s="39"/>
      <c r="B4000" s="40"/>
      <c r="C4000" s="41"/>
      <c r="D4000" s="41"/>
      <c r="E4000" s="41"/>
      <c r="F4000" s="41"/>
      <c r="G4000" s="41"/>
      <c r="H4000" s="41"/>
      <c r="I4000" s="41"/>
      <c r="J4000" s="41"/>
      <c r="K4000" s="41"/>
      <c r="L4000" s="41"/>
      <c r="M4000" s="41"/>
      <c r="N4000" s="41"/>
      <c r="O4000" s="41"/>
      <c r="P4000" s="28"/>
    </row>
    <row r="4001" customFormat="1" spans="1:16">
      <c r="A4001" s="39"/>
      <c r="B4001" s="40"/>
      <c r="C4001" s="41"/>
      <c r="D4001" s="41"/>
      <c r="E4001" s="41"/>
      <c r="F4001" s="41"/>
      <c r="G4001" s="41"/>
      <c r="H4001" s="41"/>
      <c r="I4001" s="41"/>
      <c r="J4001" s="41"/>
      <c r="K4001" s="41"/>
      <c r="L4001" s="41"/>
      <c r="M4001" s="41"/>
      <c r="N4001" s="41"/>
      <c r="O4001" s="41"/>
      <c r="P4001" s="28"/>
    </row>
    <row r="4002" customFormat="1" spans="1:16">
      <c r="A4002" s="39"/>
      <c r="B4002" s="40"/>
      <c r="C4002" s="41"/>
      <c r="D4002" s="41"/>
      <c r="E4002" s="41"/>
      <c r="F4002" s="41"/>
      <c r="G4002" s="41"/>
      <c r="H4002" s="41"/>
      <c r="I4002" s="41"/>
      <c r="J4002" s="41"/>
      <c r="K4002" s="41"/>
      <c r="L4002" s="41"/>
      <c r="M4002" s="41"/>
      <c r="N4002" s="41"/>
      <c r="O4002" s="41"/>
      <c r="P4002" s="28"/>
    </row>
    <row r="4003" customFormat="1" spans="1:16">
      <c r="A4003" s="39"/>
      <c r="B4003" s="40"/>
      <c r="C4003" s="41"/>
      <c r="D4003" s="41"/>
      <c r="E4003" s="41"/>
      <c r="F4003" s="41"/>
      <c r="G4003" s="41"/>
      <c r="H4003" s="41"/>
      <c r="I4003" s="41"/>
      <c r="J4003" s="41"/>
      <c r="K4003" s="41"/>
      <c r="L4003" s="41"/>
      <c r="M4003" s="41"/>
      <c r="N4003" s="41"/>
      <c r="O4003" s="41"/>
      <c r="P4003" s="28"/>
    </row>
    <row r="4004" customFormat="1" spans="1:16">
      <c r="A4004" s="39"/>
      <c r="B4004" s="40"/>
      <c r="C4004" s="41"/>
      <c r="D4004" s="41"/>
      <c r="E4004" s="41"/>
      <c r="F4004" s="41"/>
      <c r="G4004" s="41"/>
      <c r="H4004" s="41"/>
      <c r="I4004" s="41"/>
      <c r="J4004" s="41"/>
      <c r="K4004" s="41"/>
      <c r="L4004" s="41"/>
      <c r="M4004" s="41"/>
      <c r="N4004" s="41"/>
      <c r="O4004" s="41"/>
      <c r="P4004" s="28"/>
    </row>
    <row r="4005" customFormat="1" spans="1:16">
      <c r="A4005" s="39"/>
      <c r="B4005" s="40"/>
      <c r="C4005" s="41"/>
      <c r="D4005" s="41"/>
      <c r="E4005" s="41"/>
      <c r="F4005" s="41"/>
      <c r="G4005" s="41"/>
      <c r="H4005" s="41"/>
      <c r="I4005" s="41"/>
      <c r="J4005" s="41"/>
      <c r="K4005" s="41"/>
      <c r="L4005" s="41"/>
      <c r="M4005" s="41"/>
      <c r="N4005" s="41"/>
      <c r="O4005" s="41"/>
      <c r="P4005" s="28"/>
    </row>
    <row r="4006" customFormat="1" spans="1:16">
      <c r="A4006" s="39"/>
      <c r="B4006" s="40"/>
      <c r="C4006" s="41"/>
      <c r="D4006" s="41"/>
      <c r="E4006" s="41"/>
      <c r="F4006" s="41"/>
      <c r="G4006" s="41"/>
      <c r="H4006" s="41"/>
      <c r="I4006" s="41"/>
      <c r="J4006" s="41"/>
      <c r="K4006" s="41"/>
      <c r="L4006" s="41"/>
      <c r="M4006" s="41"/>
      <c r="N4006" s="41"/>
      <c r="O4006" s="41"/>
      <c r="P4006" s="28"/>
    </row>
    <row r="4007" customFormat="1" spans="1:16">
      <c r="A4007" s="39"/>
      <c r="B4007" s="40"/>
      <c r="C4007" s="41"/>
      <c r="D4007" s="41"/>
      <c r="E4007" s="41"/>
      <c r="F4007" s="41"/>
      <c r="G4007" s="41"/>
      <c r="H4007" s="41"/>
      <c r="I4007" s="41"/>
      <c r="J4007" s="41"/>
      <c r="K4007" s="41"/>
      <c r="L4007" s="41"/>
      <c r="M4007" s="41"/>
      <c r="N4007" s="41"/>
      <c r="O4007" s="41"/>
      <c r="P4007" s="28"/>
    </row>
    <row r="4008" customFormat="1" spans="1:16">
      <c r="A4008" s="39"/>
      <c r="B4008" s="40"/>
      <c r="C4008" s="41"/>
      <c r="D4008" s="41"/>
      <c r="E4008" s="41"/>
      <c r="F4008" s="41"/>
      <c r="G4008" s="41"/>
      <c r="H4008" s="41"/>
      <c r="I4008" s="41"/>
      <c r="J4008" s="41"/>
      <c r="K4008" s="41"/>
      <c r="L4008" s="41"/>
      <c r="M4008" s="41"/>
      <c r="N4008" s="41"/>
      <c r="O4008" s="41"/>
      <c r="P4008" s="28"/>
    </row>
    <row r="4009" customFormat="1" spans="1:16">
      <c r="A4009" s="39"/>
      <c r="B4009" s="40"/>
      <c r="C4009" s="41"/>
      <c r="D4009" s="41"/>
      <c r="E4009" s="41"/>
      <c r="F4009" s="41"/>
      <c r="G4009" s="41"/>
      <c r="H4009" s="41"/>
      <c r="I4009" s="41"/>
      <c r="J4009" s="41"/>
      <c r="K4009" s="41"/>
      <c r="L4009" s="41"/>
      <c r="M4009" s="41"/>
      <c r="N4009" s="41"/>
      <c r="O4009" s="41"/>
      <c r="P4009" s="28"/>
    </row>
    <row r="4010" customFormat="1" spans="1:16">
      <c r="A4010" s="39"/>
      <c r="B4010" s="40"/>
      <c r="C4010" s="41"/>
      <c r="D4010" s="41"/>
      <c r="E4010" s="41"/>
      <c r="F4010" s="41"/>
      <c r="G4010" s="41"/>
      <c r="H4010" s="41"/>
      <c r="I4010" s="41"/>
      <c r="J4010" s="41"/>
      <c r="K4010" s="41"/>
      <c r="L4010" s="41"/>
      <c r="M4010" s="41"/>
      <c r="N4010" s="41"/>
      <c r="O4010" s="41"/>
      <c r="P4010" s="28"/>
    </row>
    <row r="4011" customFormat="1" spans="1:16">
      <c r="A4011" s="39"/>
      <c r="B4011" s="40"/>
      <c r="C4011" s="41"/>
      <c r="D4011" s="41"/>
      <c r="E4011" s="41"/>
      <c r="F4011" s="41"/>
      <c r="G4011" s="41"/>
      <c r="H4011" s="41"/>
      <c r="I4011" s="41"/>
      <c r="J4011" s="41"/>
      <c r="K4011" s="41"/>
      <c r="L4011" s="41"/>
      <c r="M4011" s="41"/>
      <c r="N4011" s="41"/>
      <c r="O4011" s="41"/>
      <c r="P4011" s="28"/>
    </row>
    <row r="4012" customFormat="1" spans="1:16">
      <c r="A4012" s="39"/>
      <c r="B4012" s="40"/>
      <c r="C4012" s="41"/>
      <c r="D4012" s="41"/>
      <c r="E4012" s="41"/>
      <c r="F4012" s="41"/>
      <c r="G4012" s="41"/>
      <c r="H4012" s="41"/>
      <c r="I4012" s="41"/>
      <c r="J4012" s="41"/>
      <c r="K4012" s="41"/>
      <c r="L4012" s="41"/>
      <c r="M4012" s="41"/>
      <c r="N4012" s="41"/>
      <c r="O4012" s="41"/>
      <c r="P4012" s="28"/>
    </row>
    <row r="4013" customFormat="1" spans="1:16">
      <c r="A4013" s="39"/>
      <c r="B4013" s="40"/>
      <c r="C4013" s="41"/>
      <c r="D4013" s="41"/>
      <c r="E4013" s="41"/>
      <c r="F4013" s="41"/>
      <c r="G4013" s="41"/>
      <c r="H4013" s="41"/>
      <c r="I4013" s="41"/>
      <c r="J4013" s="41"/>
      <c r="K4013" s="41"/>
      <c r="L4013" s="41"/>
      <c r="M4013" s="41"/>
      <c r="N4013" s="41"/>
      <c r="O4013" s="41"/>
      <c r="P4013" s="28"/>
    </row>
    <row r="4014" customFormat="1" spans="1:16">
      <c r="A4014" s="39"/>
      <c r="B4014" s="40"/>
      <c r="C4014" s="41"/>
      <c r="D4014" s="41"/>
      <c r="E4014" s="41"/>
      <c r="F4014" s="41"/>
      <c r="G4014" s="41"/>
      <c r="H4014" s="41"/>
      <c r="I4014" s="41"/>
      <c r="J4014" s="41"/>
      <c r="K4014" s="41"/>
      <c r="L4014" s="41"/>
      <c r="M4014" s="41"/>
      <c r="N4014" s="41"/>
      <c r="O4014" s="41"/>
      <c r="P4014" s="28"/>
    </row>
    <row r="4015" customFormat="1" spans="1:16">
      <c r="A4015" s="39"/>
      <c r="B4015" s="40"/>
      <c r="C4015" s="41"/>
      <c r="D4015" s="41"/>
      <c r="E4015" s="41"/>
      <c r="F4015" s="41"/>
      <c r="G4015" s="41"/>
      <c r="H4015" s="41"/>
      <c r="I4015" s="41"/>
      <c r="J4015" s="41"/>
      <c r="K4015" s="41"/>
      <c r="L4015" s="41"/>
      <c r="M4015" s="41"/>
      <c r="N4015" s="41"/>
      <c r="O4015" s="41"/>
      <c r="P4015" s="28"/>
    </row>
    <row r="4016" customFormat="1" spans="1:16">
      <c r="A4016" s="39"/>
      <c r="B4016" s="40"/>
      <c r="C4016" s="41"/>
      <c r="D4016" s="41"/>
      <c r="E4016" s="41"/>
      <c r="F4016" s="41"/>
      <c r="G4016" s="41"/>
      <c r="H4016" s="41"/>
      <c r="I4016" s="41"/>
      <c r="J4016" s="41"/>
      <c r="K4016" s="41"/>
      <c r="L4016" s="41"/>
      <c r="M4016" s="41"/>
      <c r="N4016" s="41"/>
      <c r="O4016" s="41"/>
      <c r="P4016" s="28"/>
    </row>
    <row r="4017" customFormat="1" spans="1:16">
      <c r="A4017" s="39"/>
      <c r="B4017" s="40"/>
      <c r="C4017" s="41"/>
      <c r="D4017" s="41"/>
      <c r="E4017" s="41"/>
      <c r="F4017" s="41"/>
      <c r="G4017" s="41"/>
      <c r="H4017" s="41"/>
      <c r="I4017" s="41"/>
      <c r="J4017" s="41"/>
      <c r="K4017" s="41"/>
      <c r="L4017" s="41"/>
      <c r="M4017" s="41"/>
      <c r="N4017" s="41"/>
      <c r="O4017" s="41"/>
      <c r="P4017" s="28"/>
    </row>
    <row r="4018" customFormat="1" spans="1:16">
      <c r="A4018" s="39"/>
      <c r="B4018" s="40"/>
      <c r="C4018" s="41"/>
      <c r="D4018" s="41"/>
      <c r="E4018" s="41"/>
      <c r="F4018" s="41"/>
      <c r="G4018" s="41"/>
      <c r="H4018" s="41"/>
      <c r="I4018" s="41"/>
      <c r="J4018" s="41"/>
      <c r="K4018" s="41"/>
      <c r="L4018" s="41"/>
      <c r="M4018" s="41"/>
      <c r="N4018" s="41"/>
      <c r="O4018" s="41"/>
      <c r="P4018" s="28"/>
    </row>
    <row r="4019" customFormat="1" spans="1:16">
      <c r="A4019" s="39"/>
      <c r="B4019" s="40"/>
      <c r="C4019" s="41"/>
      <c r="D4019" s="41"/>
      <c r="E4019" s="41"/>
      <c r="F4019" s="41"/>
      <c r="G4019" s="41"/>
      <c r="H4019" s="41"/>
      <c r="I4019" s="41"/>
      <c r="J4019" s="41"/>
      <c r="K4019" s="41"/>
      <c r="L4019" s="41"/>
      <c r="M4019" s="41"/>
      <c r="N4019" s="41"/>
      <c r="O4019" s="41"/>
      <c r="P4019" s="28"/>
    </row>
    <row r="4020" customFormat="1" spans="1:16">
      <c r="A4020" s="39"/>
      <c r="B4020" s="40"/>
      <c r="C4020" s="41"/>
      <c r="D4020" s="41"/>
      <c r="E4020" s="41"/>
      <c r="F4020" s="41"/>
      <c r="G4020" s="41"/>
      <c r="H4020" s="41"/>
      <c r="I4020" s="41"/>
      <c r="J4020" s="41"/>
      <c r="K4020" s="41"/>
      <c r="L4020" s="41"/>
      <c r="M4020" s="41"/>
      <c r="N4020" s="41"/>
      <c r="O4020" s="41"/>
      <c r="P4020" s="28"/>
    </row>
    <row r="4021" customFormat="1" spans="1:16">
      <c r="A4021" s="39"/>
      <c r="B4021" s="40"/>
      <c r="C4021" s="41"/>
      <c r="D4021" s="41"/>
      <c r="E4021" s="41"/>
      <c r="F4021" s="41"/>
      <c r="G4021" s="41"/>
      <c r="H4021" s="41"/>
      <c r="I4021" s="41"/>
      <c r="J4021" s="41"/>
      <c r="K4021" s="41"/>
      <c r="L4021" s="41"/>
      <c r="M4021" s="41"/>
      <c r="N4021" s="41"/>
      <c r="O4021" s="41"/>
      <c r="P4021" s="28"/>
    </row>
    <row r="4022" customFormat="1" spans="1:16">
      <c r="A4022" s="39"/>
      <c r="B4022" s="40"/>
      <c r="C4022" s="41"/>
      <c r="D4022" s="41"/>
      <c r="E4022" s="41"/>
      <c r="F4022" s="41"/>
      <c r="G4022" s="41"/>
      <c r="H4022" s="41"/>
      <c r="I4022" s="41"/>
      <c r="J4022" s="41"/>
      <c r="K4022" s="41"/>
      <c r="L4022" s="41"/>
      <c r="M4022" s="41"/>
      <c r="N4022" s="41"/>
      <c r="O4022" s="41"/>
      <c r="P4022" s="28"/>
    </row>
    <row r="4023" customFormat="1" spans="1:16">
      <c r="A4023" s="39"/>
      <c r="B4023" s="40"/>
      <c r="C4023" s="41"/>
      <c r="D4023" s="41"/>
      <c r="E4023" s="41"/>
      <c r="F4023" s="41"/>
      <c r="G4023" s="41"/>
      <c r="H4023" s="41"/>
      <c r="I4023" s="41"/>
      <c r="J4023" s="41"/>
      <c r="K4023" s="41"/>
      <c r="L4023" s="41"/>
      <c r="M4023" s="41"/>
      <c r="N4023" s="41"/>
      <c r="O4023" s="41"/>
      <c r="P4023" s="28"/>
    </row>
    <row r="4024" customFormat="1" spans="1:16">
      <c r="A4024" s="39"/>
      <c r="B4024" s="40"/>
      <c r="C4024" s="41"/>
      <c r="D4024" s="41"/>
      <c r="E4024" s="41"/>
      <c r="F4024" s="41"/>
      <c r="G4024" s="41"/>
      <c r="H4024" s="41"/>
      <c r="I4024" s="41"/>
      <c r="J4024" s="41"/>
      <c r="K4024" s="41"/>
      <c r="L4024" s="41"/>
      <c r="M4024" s="41"/>
      <c r="N4024" s="41"/>
      <c r="O4024" s="41"/>
      <c r="P4024" s="28"/>
    </row>
    <row r="4025" customFormat="1" spans="1:16">
      <c r="A4025" s="39"/>
      <c r="B4025" s="40"/>
      <c r="C4025" s="41"/>
      <c r="D4025" s="41"/>
      <c r="E4025" s="41"/>
      <c r="F4025" s="41"/>
      <c r="G4025" s="41"/>
      <c r="H4025" s="41"/>
      <c r="I4025" s="41"/>
      <c r="J4025" s="41"/>
      <c r="K4025" s="41"/>
      <c r="L4025" s="41"/>
      <c r="M4025" s="41"/>
      <c r="N4025" s="41"/>
      <c r="O4025" s="41"/>
      <c r="P4025" s="28"/>
    </row>
    <row r="4026" customFormat="1" spans="1:16">
      <c r="A4026" s="39"/>
      <c r="B4026" s="40"/>
      <c r="C4026" s="41"/>
      <c r="D4026" s="41"/>
      <c r="E4026" s="41"/>
      <c r="F4026" s="41"/>
      <c r="G4026" s="41"/>
      <c r="H4026" s="41"/>
      <c r="I4026" s="41"/>
      <c r="J4026" s="41"/>
      <c r="K4026" s="41"/>
      <c r="L4026" s="41"/>
      <c r="M4026" s="41"/>
      <c r="N4026" s="41"/>
      <c r="O4026" s="41"/>
      <c r="P4026" s="28"/>
    </row>
    <row r="4027" customFormat="1" spans="1:16">
      <c r="A4027" s="39"/>
      <c r="B4027" s="40"/>
      <c r="C4027" s="41"/>
      <c r="D4027" s="41"/>
      <c r="E4027" s="41"/>
      <c r="F4027" s="41"/>
      <c r="G4027" s="41"/>
      <c r="H4027" s="41"/>
      <c r="I4027" s="41"/>
      <c r="J4027" s="41"/>
      <c r="K4027" s="41"/>
      <c r="L4027" s="41"/>
      <c r="M4027" s="41"/>
      <c r="N4027" s="41"/>
      <c r="O4027" s="41"/>
      <c r="P4027" s="28"/>
    </row>
    <row r="4028" customFormat="1" spans="1:16">
      <c r="A4028" s="39"/>
      <c r="B4028" s="40"/>
      <c r="C4028" s="41"/>
      <c r="D4028" s="41"/>
      <c r="E4028" s="41"/>
      <c r="F4028" s="41"/>
      <c r="G4028" s="41"/>
      <c r="H4028" s="41"/>
      <c r="I4028" s="41"/>
      <c r="J4028" s="41"/>
      <c r="K4028" s="41"/>
      <c r="L4028" s="41"/>
      <c r="M4028" s="41"/>
      <c r="N4028" s="41"/>
      <c r="O4028" s="41"/>
      <c r="P4028" s="28"/>
    </row>
    <row r="4029" customFormat="1" spans="1:16">
      <c r="A4029" s="39"/>
      <c r="B4029" s="40"/>
      <c r="C4029" s="41"/>
      <c r="D4029" s="41"/>
      <c r="E4029" s="41"/>
      <c r="F4029" s="41"/>
      <c r="G4029" s="41"/>
      <c r="H4029" s="41"/>
      <c r="I4029" s="41"/>
      <c r="J4029" s="41"/>
      <c r="K4029" s="41"/>
      <c r="L4029" s="41"/>
      <c r="M4029" s="41"/>
      <c r="N4029" s="41"/>
      <c r="O4029" s="41"/>
      <c r="P4029" s="28"/>
    </row>
    <row r="4030" customFormat="1" spans="1:16">
      <c r="A4030" s="39"/>
      <c r="B4030" s="40"/>
      <c r="C4030" s="41"/>
      <c r="D4030" s="41"/>
      <c r="E4030" s="41"/>
      <c r="F4030" s="41"/>
      <c r="G4030" s="41"/>
      <c r="H4030" s="41"/>
      <c r="I4030" s="41"/>
      <c r="J4030" s="41"/>
      <c r="K4030" s="41"/>
      <c r="L4030" s="41"/>
      <c r="M4030" s="41"/>
      <c r="N4030" s="41"/>
      <c r="O4030" s="41"/>
      <c r="P4030" s="28"/>
    </row>
    <row r="4031" customFormat="1" spans="1:16">
      <c r="A4031" s="39"/>
      <c r="B4031" s="40"/>
      <c r="C4031" s="41"/>
      <c r="D4031" s="41"/>
      <c r="E4031" s="41"/>
      <c r="F4031" s="41"/>
      <c r="G4031" s="41"/>
      <c r="H4031" s="41"/>
      <c r="I4031" s="41"/>
      <c r="J4031" s="41"/>
      <c r="K4031" s="41"/>
      <c r="L4031" s="41"/>
      <c r="M4031" s="41"/>
      <c r="N4031" s="41"/>
      <c r="O4031" s="41"/>
      <c r="P4031" s="28"/>
    </row>
    <row r="4032" customFormat="1" spans="1:16">
      <c r="A4032" s="39"/>
      <c r="B4032" s="40"/>
      <c r="C4032" s="41"/>
      <c r="D4032" s="41"/>
      <c r="E4032" s="41"/>
      <c r="F4032" s="41"/>
      <c r="G4032" s="41"/>
      <c r="H4032" s="41"/>
      <c r="I4032" s="41"/>
      <c r="J4032" s="41"/>
      <c r="K4032" s="41"/>
      <c r="L4032" s="41"/>
      <c r="M4032" s="41"/>
      <c r="N4032" s="41"/>
      <c r="O4032" s="41"/>
      <c r="P4032" s="28"/>
    </row>
    <row r="4033" customFormat="1" spans="1:16">
      <c r="A4033" s="39"/>
      <c r="B4033" s="40"/>
      <c r="C4033" s="41"/>
      <c r="D4033" s="41"/>
      <c r="E4033" s="41"/>
      <c r="F4033" s="41"/>
      <c r="G4033" s="41"/>
      <c r="H4033" s="41"/>
      <c r="I4033" s="41"/>
      <c r="J4033" s="41"/>
      <c r="K4033" s="41"/>
      <c r="L4033" s="41"/>
      <c r="M4033" s="41"/>
      <c r="N4033" s="41"/>
      <c r="O4033" s="41"/>
      <c r="P4033" s="28"/>
    </row>
    <row r="4034" customFormat="1" spans="1:16">
      <c r="A4034" s="39"/>
      <c r="B4034" s="40"/>
      <c r="C4034" s="41"/>
      <c r="D4034" s="41"/>
      <c r="E4034" s="41"/>
      <c r="F4034" s="41"/>
      <c r="G4034" s="41"/>
      <c r="H4034" s="41"/>
      <c r="I4034" s="41"/>
      <c r="J4034" s="41"/>
      <c r="K4034" s="41"/>
      <c r="L4034" s="41"/>
      <c r="M4034" s="41"/>
      <c r="N4034" s="41"/>
      <c r="O4034" s="41"/>
      <c r="P4034" s="28"/>
    </row>
    <row r="4035" customFormat="1" spans="1:16">
      <c r="A4035" s="39"/>
      <c r="B4035" s="40"/>
      <c r="C4035" s="41"/>
      <c r="D4035" s="41"/>
      <c r="E4035" s="41"/>
      <c r="F4035" s="41"/>
      <c r="G4035" s="41"/>
      <c r="H4035" s="41"/>
      <c r="I4035" s="41"/>
      <c r="J4035" s="41"/>
      <c r="K4035" s="41"/>
      <c r="L4035" s="41"/>
      <c r="M4035" s="41"/>
      <c r="N4035" s="41"/>
      <c r="O4035" s="41"/>
      <c r="P4035" s="28"/>
    </row>
    <row r="4036" customFormat="1" spans="1:16">
      <c r="A4036" s="39"/>
      <c r="B4036" s="40"/>
      <c r="C4036" s="41"/>
      <c r="D4036" s="41"/>
      <c r="E4036" s="41"/>
      <c r="F4036" s="41"/>
      <c r="G4036" s="41"/>
      <c r="H4036" s="41"/>
      <c r="I4036" s="41"/>
      <c r="J4036" s="41"/>
      <c r="K4036" s="41"/>
      <c r="L4036" s="41"/>
      <c r="M4036" s="41"/>
      <c r="N4036" s="41"/>
      <c r="O4036" s="41"/>
      <c r="P4036" s="28"/>
    </row>
    <row r="4037" customFormat="1" spans="1:16">
      <c r="A4037" s="39"/>
      <c r="B4037" s="40"/>
      <c r="C4037" s="41"/>
      <c r="D4037" s="41"/>
      <c r="E4037" s="41"/>
      <c r="F4037" s="41"/>
      <c r="G4037" s="41"/>
      <c r="H4037" s="41"/>
      <c r="I4037" s="41"/>
      <c r="J4037" s="41"/>
      <c r="K4037" s="41"/>
      <c r="L4037" s="41"/>
      <c r="M4037" s="41"/>
      <c r="N4037" s="41"/>
      <c r="O4037" s="41"/>
      <c r="P4037" s="28"/>
    </row>
    <row r="4038" customFormat="1" spans="1:16">
      <c r="A4038" s="39"/>
      <c r="B4038" s="40"/>
      <c r="C4038" s="41"/>
      <c r="D4038" s="41"/>
      <c r="E4038" s="41"/>
      <c r="F4038" s="41"/>
      <c r="G4038" s="41"/>
      <c r="H4038" s="41"/>
      <c r="I4038" s="41"/>
      <c r="J4038" s="41"/>
      <c r="K4038" s="41"/>
      <c r="L4038" s="41"/>
      <c r="M4038" s="41"/>
      <c r="N4038" s="41"/>
      <c r="O4038" s="41"/>
      <c r="P4038" s="28"/>
    </row>
    <row r="4039" customFormat="1" spans="1:16">
      <c r="A4039" s="39"/>
      <c r="B4039" s="40"/>
      <c r="C4039" s="41"/>
      <c r="D4039" s="41"/>
      <c r="E4039" s="41"/>
      <c r="F4039" s="41"/>
      <c r="G4039" s="41"/>
      <c r="H4039" s="41"/>
      <c r="I4039" s="41"/>
      <c r="J4039" s="41"/>
      <c r="K4039" s="41"/>
      <c r="L4039" s="41"/>
      <c r="M4039" s="41"/>
      <c r="N4039" s="41"/>
      <c r="O4039" s="41"/>
      <c r="P4039" s="28"/>
    </row>
    <row r="4040" customFormat="1" spans="1:16">
      <c r="A4040" s="39"/>
      <c r="B4040" s="40"/>
      <c r="C4040" s="41"/>
      <c r="D4040" s="41"/>
      <c r="E4040" s="41"/>
      <c r="F4040" s="41"/>
      <c r="G4040" s="41"/>
      <c r="H4040" s="41"/>
      <c r="I4040" s="41"/>
      <c r="J4040" s="41"/>
      <c r="K4040" s="41"/>
      <c r="L4040" s="41"/>
      <c r="M4040" s="41"/>
      <c r="N4040" s="41"/>
      <c r="O4040" s="41"/>
      <c r="P4040" s="28"/>
    </row>
    <row r="4041" customFormat="1" spans="1:16">
      <c r="A4041" s="39"/>
      <c r="B4041" s="40"/>
      <c r="C4041" s="41"/>
      <c r="D4041" s="41"/>
      <c r="E4041" s="41"/>
      <c r="F4041" s="41"/>
      <c r="G4041" s="41"/>
      <c r="H4041" s="41"/>
      <c r="I4041" s="41"/>
      <c r="J4041" s="41"/>
      <c r="K4041" s="41"/>
      <c r="L4041" s="41"/>
      <c r="M4041" s="41"/>
      <c r="N4041" s="41"/>
      <c r="O4041" s="41"/>
      <c r="P4041" s="28"/>
    </row>
    <row r="4042" customFormat="1" spans="1:16">
      <c r="A4042" s="39"/>
      <c r="B4042" s="40"/>
      <c r="C4042" s="41"/>
      <c r="D4042" s="41"/>
      <c r="E4042" s="41"/>
      <c r="F4042" s="41"/>
      <c r="G4042" s="41"/>
      <c r="H4042" s="41"/>
      <c r="I4042" s="41"/>
      <c r="J4042" s="41"/>
      <c r="K4042" s="41"/>
      <c r="L4042" s="41"/>
      <c r="M4042" s="41"/>
      <c r="N4042" s="41"/>
      <c r="O4042" s="41"/>
      <c r="P4042" s="28"/>
    </row>
    <row r="4043" customFormat="1" spans="1:16">
      <c r="A4043" s="39"/>
      <c r="B4043" s="40"/>
      <c r="C4043" s="41"/>
      <c r="D4043" s="41"/>
      <c r="E4043" s="41"/>
      <c r="F4043" s="41"/>
      <c r="G4043" s="41"/>
      <c r="H4043" s="41"/>
      <c r="I4043" s="41"/>
      <c r="J4043" s="41"/>
      <c r="K4043" s="41"/>
      <c r="L4043" s="41"/>
      <c r="M4043" s="41"/>
      <c r="N4043" s="41"/>
      <c r="O4043" s="41"/>
      <c r="P4043" s="28"/>
    </row>
    <row r="4044" customFormat="1" spans="1:16">
      <c r="A4044" s="39"/>
      <c r="B4044" s="40"/>
      <c r="C4044" s="41"/>
      <c r="D4044" s="41"/>
      <c r="E4044" s="41"/>
      <c r="F4044" s="41"/>
      <c r="G4044" s="41"/>
      <c r="H4044" s="41"/>
      <c r="I4044" s="41"/>
      <c r="J4044" s="41"/>
      <c r="K4044" s="41"/>
      <c r="L4044" s="41"/>
      <c r="M4044" s="41"/>
      <c r="N4044" s="41"/>
      <c r="O4044" s="41"/>
      <c r="P4044" s="28"/>
    </row>
    <row r="4045" customFormat="1" spans="1:16">
      <c r="A4045" s="39"/>
      <c r="B4045" s="40"/>
      <c r="C4045" s="41"/>
      <c r="D4045" s="41"/>
      <c r="E4045" s="41"/>
      <c r="F4045" s="41"/>
      <c r="G4045" s="41"/>
      <c r="H4045" s="41"/>
      <c r="I4045" s="41"/>
      <c r="J4045" s="41"/>
      <c r="K4045" s="41"/>
      <c r="L4045" s="41"/>
      <c r="M4045" s="41"/>
      <c r="N4045" s="41"/>
      <c r="O4045" s="41"/>
      <c r="P4045" s="28"/>
    </row>
    <row r="4046" customFormat="1" spans="1:16">
      <c r="A4046" s="39"/>
      <c r="B4046" s="40"/>
      <c r="C4046" s="41"/>
      <c r="D4046" s="41"/>
      <c r="E4046" s="41"/>
      <c r="F4046" s="41"/>
      <c r="G4046" s="41"/>
      <c r="H4046" s="41"/>
      <c r="I4046" s="41"/>
      <c r="J4046" s="41"/>
      <c r="K4046" s="41"/>
      <c r="L4046" s="41"/>
      <c r="M4046" s="41"/>
      <c r="N4046" s="41"/>
      <c r="O4046" s="41"/>
      <c r="P4046" s="28"/>
    </row>
    <row r="4047" customFormat="1" spans="1:16">
      <c r="A4047" s="39"/>
      <c r="B4047" s="40"/>
      <c r="C4047" s="41"/>
      <c r="D4047" s="41"/>
      <c r="E4047" s="41"/>
      <c r="F4047" s="41"/>
      <c r="G4047" s="41"/>
      <c r="H4047" s="41"/>
      <c r="I4047" s="41"/>
      <c r="J4047" s="41"/>
      <c r="K4047" s="41"/>
      <c r="L4047" s="41"/>
      <c r="M4047" s="41"/>
      <c r="N4047" s="41"/>
      <c r="O4047" s="41"/>
      <c r="P4047" s="28"/>
    </row>
    <row r="4048" customFormat="1" spans="1:16">
      <c r="A4048" s="39"/>
      <c r="B4048" s="40"/>
      <c r="C4048" s="41"/>
      <c r="D4048" s="41"/>
      <c r="E4048" s="41"/>
      <c r="F4048" s="41"/>
      <c r="G4048" s="41"/>
      <c r="H4048" s="41"/>
      <c r="I4048" s="41"/>
      <c r="J4048" s="41"/>
      <c r="K4048" s="41"/>
      <c r="L4048" s="41"/>
      <c r="M4048" s="41"/>
      <c r="N4048" s="41"/>
      <c r="O4048" s="41"/>
      <c r="P4048" s="28"/>
    </row>
    <row r="4049" customFormat="1" spans="1:16">
      <c r="A4049" s="39"/>
      <c r="B4049" s="40"/>
      <c r="C4049" s="41"/>
      <c r="D4049" s="41"/>
      <c r="E4049" s="41"/>
      <c r="F4049" s="41"/>
      <c r="G4049" s="41"/>
      <c r="H4049" s="41"/>
      <c r="I4049" s="41"/>
      <c r="J4049" s="41"/>
      <c r="K4049" s="41"/>
      <c r="L4049" s="41"/>
      <c r="M4049" s="41"/>
      <c r="N4049" s="41"/>
      <c r="O4049" s="41"/>
      <c r="P4049" s="28"/>
    </row>
    <row r="4050" customFormat="1" spans="1:16">
      <c r="A4050" s="39"/>
      <c r="B4050" s="40"/>
      <c r="C4050" s="41"/>
      <c r="D4050" s="41"/>
      <c r="E4050" s="41"/>
      <c r="F4050" s="41"/>
      <c r="G4050" s="41"/>
      <c r="H4050" s="41"/>
      <c r="I4050" s="41"/>
      <c r="J4050" s="41"/>
      <c r="K4050" s="41"/>
      <c r="L4050" s="41"/>
      <c r="M4050" s="41"/>
      <c r="N4050" s="41"/>
      <c r="O4050" s="41"/>
      <c r="P4050" s="28"/>
    </row>
    <row r="4051" customFormat="1" spans="1:16">
      <c r="A4051" s="39"/>
      <c r="B4051" s="40"/>
      <c r="C4051" s="41"/>
      <c r="D4051" s="41"/>
      <c r="E4051" s="41"/>
      <c r="F4051" s="41"/>
      <c r="G4051" s="41"/>
      <c r="H4051" s="41"/>
      <c r="I4051" s="41"/>
      <c r="J4051" s="41"/>
      <c r="K4051" s="41"/>
      <c r="L4051" s="41"/>
      <c r="M4051" s="41"/>
      <c r="N4051" s="41"/>
      <c r="O4051" s="41"/>
      <c r="P4051" s="28"/>
    </row>
    <row r="4052" customFormat="1" spans="1:16">
      <c r="A4052" s="39"/>
      <c r="B4052" s="40"/>
      <c r="C4052" s="41"/>
      <c r="D4052" s="41"/>
      <c r="E4052" s="41"/>
      <c r="F4052" s="41"/>
      <c r="G4052" s="41"/>
      <c r="H4052" s="41"/>
      <c r="I4052" s="41"/>
      <c r="J4052" s="41"/>
      <c r="K4052" s="41"/>
      <c r="L4052" s="41"/>
      <c r="M4052" s="41"/>
      <c r="N4052" s="41"/>
      <c r="O4052" s="41"/>
      <c r="P4052" s="28"/>
    </row>
    <row r="4053" customFormat="1" spans="1:16">
      <c r="A4053" s="39"/>
      <c r="B4053" s="40"/>
      <c r="C4053" s="41"/>
      <c r="D4053" s="41"/>
      <c r="E4053" s="41"/>
      <c r="F4053" s="41"/>
      <c r="G4053" s="41"/>
      <c r="H4053" s="41"/>
      <c r="I4053" s="41"/>
      <c r="J4053" s="41"/>
      <c r="K4053" s="41"/>
      <c r="L4053" s="41"/>
      <c r="M4053" s="41"/>
      <c r="N4053" s="41"/>
      <c r="O4053" s="41"/>
      <c r="P4053" s="28"/>
    </row>
    <row r="4054" customFormat="1" spans="1:16">
      <c r="A4054" s="39"/>
      <c r="B4054" s="40"/>
      <c r="C4054" s="41"/>
      <c r="D4054" s="41"/>
      <c r="E4054" s="41"/>
      <c r="F4054" s="41"/>
      <c r="G4054" s="41"/>
      <c r="H4054" s="41"/>
      <c r="I4054" s="41"/>
      <c r="J4054" s="41"/>
      <c r="K4054" s="41"/>
      <c r="L4054" s="41"/>
      <c r="M4054" s="41"/>
      <c r="N4054" s="41"/>
      <c r="O4054" s="41"/>
      <c r="P4054" s="28"/>
    </row>
    <row r="4055" customFormat="1" spans="1:16">
      <c r="A4055" s="39"/>
      <c r="B4055" s="40"/>
      <c r="C4055" s="41"/>
      <c r="D4055" s="41"/>
      <c r="E4055" s="41"/>
      <c r="F4055" s="41"/>
      <c r="G4055" s="41"/>
      <c r="H4055" s="41"/>
      <c r="I4055" s="41"/>
      <c r="J4055" s="41"/>
      <c r="K4055" s="41"/>
      <c r="L4055" s="41"/>
      <c r="M4055" s="41"/>
      <c r="N4055" s="41"/>
      <c r="O4055" s="41"/>
      <c r="P4055" s="28"/>
    </row>
    <row r="4056" customFormat="1" spans="1:16">
      <c r="A4056" s="39"/>
      <c r="B4056" s="40"/>
      <c r="C4056" s="41"/>
      <c r="D4056" s="41"/>
      <c r="E4056" s="41"/>
      <c r="F4056" s="41"/>
      <c r="G4056" s="41"/>
      <c r="H4056" s="41"/>
      <c r="I4056" s="41"/>
      <c r="J4056" s="41"/>
      <c r="K4056" s="41"/>
      <c r="L4056" s="41"/>
      <c r="M4056" s="41"/>
      <c r="N4056" s="41"/>
      <c r="O4056" s="41"/>
      <c r="P4056" s="28"/>
    </row>
    <row r="4057" customFormat="1" spans="1:16">
      <c r="A4057" s="39"/>
      <c r="B4057" s="40"/>
      <c r="C4057" s="41"/>
      <c r="D4057" s="41"/>
      <c r="E4057" s="41"/>
      <c r="F4057" s="41"/>
      <c r="G4057" s="41"/>
      <c r="H4057" s="41"/>
      <c r="I4057" s="41"/>
      <c r="J4057" s="41"/>
      <c r="K4057" s="41"/>
      <c r="L4057" s="41"/>
      <c r="M4057" s="41"/>
      <c r="N4057" s="41"/>
      <c r="O4057" s="41"/>
      <c r="P4057" s="28"/>
    </row>
    <row r="4058" customFormat="1" spans="1:16">
      <c r="A4058" s="39"/>
      <c r="B4058" s="40"/>
      <c r="C4058" s="41"/>
      <c r="D4058" s="41"/>
      <c r="E4058" s="41"/>
      <c r="F4058" s="41"/>
      <c r="G4058" s="41"/>
      <c r="H4058" s="41"/>
      <c r="I4058" s="41"/>
      <c r="J4058" s="41"/>
      <c r="K4058" s="41"/>
      <c r="L4058" s="41"/>
      <c r="M4058" s="41"/>
      <c r="N4058" s="41"/>
      <c r="O4058" s="41"/>
      <c r="P4058" s="28"/>
    </row>
    <row r="4059" customFormat="1" spans="1:16">
      <c r="A4059" s="39"/>
      <c r="B4059" s="40"/>
      <c r="C4059" s="41"/>
      <c r="D4059" s="41"/>
      <c r="E4059" s="41"/>
      <c r="F4059" s="41"/>
      <c r="G4059" s="41"/>
      <c r="H4059" s="41"/>
      <c r="I4059" s="41"/>
      <c r="J4059" s="41"/>
      <c r="K4059" s="41"/>
      <c r="L4059" s="41"/>
      <c r="M4059" s="41"/>
      <c r="N4059" s="41"/>
      <c r="O4059" s="41"/>
      <c r="P4059" s="28"/>
    </row>
    <row r="4060" customFormat="1" spans="1:16">
      <c r="A4060" s="39"/>
      <c r="B4060" s="40"/>
      <c r="C4060" s="41"/>
      <c r="D4060" s="41"/>
      <c r="E4060" s="41"/>
      <c r="F4060" s="41"/>
      <c r="G4060" s="41"/>
      <c r="H4060" s="41"/>
      <c r="I4060" s="41"/>
      <c r="J4060" s="41"/>
      <c r="K4060" s="41"/>
      <c r="L4060" s="41"/>
      <c r="M4060" s="41"/>
      <c r="N4060" s="41"/>
      <c r="O4060" s="41"/>
      <c r="P4060" s="28"/>
    </row>
    <row r="4061" customFormat="1" spans="1:16">
      <c r="A4061" s="39"/>
      <c r="B4061" s="40"/>
      <c r="C4061" s="41"/>
      <c r="D4061" s="41"/>
      <c r="E4061" s="41"/>
      <c r="F4061" s="41"/>
      <c r="G4061" s="41"/>
      <c r="H4061" s="41"/>
      <c r="I4061" s="41"/>
      <c r="J4061" s="41"/>
      <c r="K4061" s="41"/>
      <c r="L4061" s="41"/>
      <c r="M4061" s="41"/>
      <c r="N4061" s="41"/>
      <c r="O4061" s="41"/>
      <c r="P4061" s="28"/>
    </row>
    <row r="4062" customFormat="1" spans="1:16">
      <c r="A4062" s="39"/>
      <c r="B4062" s="40"/>
      <c r="C4062" s="41"/>
      <c r="D4062" s="41"/>
      <c r="E4062" s="41"/>
      <c r="F4062" s="41"/>
      <c r="G4062" s="41"/>
      <c r="H4062" s="41"/>
      <c r="I4062" s="41"/>
      <c r="J4062" s="41"/>
      <c r="K4062" s="41"/>
      <c r="L4062" s="41"/>
      <c r="M4062" s="41"/>
      <c r="N4062" s="41"/>
      <c r="O4062" s="41"/>
      <c r="P4062" s="28"/>
    </row>
    <row r="4063" customFormat="1" spans="1:16">
      <c r="A4063" s="39"/>
      <c r="B4063" s="40"/>
      <c r="C4063" s="41"/>
      <c r="D4063" s="41"/>
      <c r="E4063" s="41"/>
      <c r="F4063" s="41"/>
      <c r="G4063" s="41"/>
      <c r="H4063" s="41"/>
      <c r="I4063" s="41"/>
      <c r="J4063" s="41"/>
      <c r="K4063" s="41"/>
      <c r="L4063" s="41"/>
      <c r="M4063" s="41"/>
      <c r="N4063" s="41"/>
      <c r="O4063" s="41"/>
      <c r="P4063" s="28"/>
    </row>
    <row r="4064" customFormat="1" spans="1:16">
      <c r="A4064" s="39"/>
      <c r="B4064" s="40"/>
      <c r="C4064" s="41"/>
      <c r="D4064" s="41"/>
      <c r="E4064" s="41"/>
      <c r="F4064" s="41"/>
      <c r="G4064" s="41"/>
      <c r="H4064" s="41"/>
      <c r="I4064" s="41"/>
      <c r="J4064" s="41"/>
      <c r="K4064" s="41"/>
      <c r="L4064" s="41"/>
      <c r="M4064" s="41"/>
      <c r="N4064" s="41"/>
      <c r="O4064" s="41"/>
      <c r="P4064" s="28"/>
    </row>
    <row r="4065" customFormat="1" spans="1:16">
      <c r="A4065" s="39"/>
      <c r="B4065" s="40"/>
      <c r="C4065" s="41"/>
      <c r="D4065" s="41"/>
      <c r="E4065" s="41"/>
      <c r="F4065" s="41"/>
      <c r="G4065" s="41"/>
      <c r="H4065" s="41"/>
      <c r="I4065" s="41"/>
      <c r="J4065" s="41"/>
      <c r="K4065" s="41"/>
      <c r="L4065" s="41"/>
      <c r="M4065" s="41"/>
      <c r="N4065" s="41"/>
      <c r="O4065" s="41"/>
      <c r="P4065" s="28"/>
    </row>
    <row r="4066" customFormat="1" spans="1:16">
      <c r="A4066" s="39"/>
      <c r="B4066" s="40"/>
      <c r="C4066" s="41"/>
      <c r="D4066" s="41"/>
      <c r="E4066" s="41"/>
      <c r="F4066" s="41"/>
      <c r="G4066" s="41"/>
      <c r="H4066" s="41"/>
      <c r="I4066" s="41"/>
      <c r="J4066" s="41"/>
      <c r="K4066" s="41"/>
      <c r="L4066" s="41"/>
      <c r="M4066" s="41"/>
      <c r="N4066" s="41"/>
      <c r="O4066" s="41"/>
      <c r="P4066" s="28"/>
    </row>
    <row r="4067" customFormat="1" spans="1:16">
      <c r="A4067" s="39"/>
      <c r="B4067" s="40"/>
      <c r="C4067" s="41"/>
      <c r="D4067" s="41"/>
      <c r="E4067" s="41"/>
      <c r="F4067" s="41"/>
      <c r="G4067" s="41"/>
      <c r="H4067" s="41"/>
      <c r="I4067" s="41"/>
      <c r="J4067" s="41"/>
      <c r="K4067" s="41"/>
      <c r="L4067" s="41"/>
      <c r="M4067" s="41"/>
      <c r="N4067" s="41"/>
      <c r="O4067" s="41"/>
      <c r="P4067" s="28"/>
    </row>
    <row r="4068" customFormat="1" spans="1:16">
      <c r="A4068" s="39"/>
      <c r="B4068" s="40"/>
      <c r="C4068" s="41"/>
      <c r="D4068" s="41"/>
      <c r="E4068" s="41"/>
      <c r="F4068" s="41"/>
      <c r="G4068" s="41"/>
      <c r="H4068" s="41"/>
      <c r="I4068" s="41"/>
      <c r="J4068" s="41"/>
      <c r="K4068" s="41"/>
      <c r="L4068" s="41"/>
      <c r="M4068" s="41"/>
      <c r="N4068" s="41"/>
      <c r="O4068" s="41"/>
      <c r="P4068" s="28"/>
    </row>
    <row r="4069" customFormat="1" spans="1:16">
      <c r="A4069" s="39"/>
      <c r="B4069" s="40"/>
      <c r="C4069" s="41"/>
      <c r="D4069" s="41"/>
      <c r="E4069" s="41"/>
      <c r="F4069" s="41"/>
      <c r="G4069" s="41"/>
      <c r="H4069" s="41"/>
      <c r="I4069" s="41"/>
      <c r="J4069" s="41"/>
      <c r="K4069" s="41"/>
      <c r="L4069" s="41"/>
      <c r="M4069" s="41"/>
      <c r="N4069" s="41"/>
      <c r="O4069" s="41"/>
      <c r="P4069" s="28"/>
    </row>
    <row r="4070" customFormat="1" spans="1:16">
      <c r="A4070" s="39"/>
      <c r="B4070" s="40"/>
      <c r="C4070" s="41"/>
      <c r="D4070" s="41"/>
      <c r="E4070" s="41"/>
      <c r="F4070" s="41"/>
      <c r="G4070" s="41"/>
      <c r="H4070" s="41"/>
      <c r="I4070" s="41"/>
      <c r="J4070" s="41"/>
      <c r="K4070" s="41"/>
      <c r="L4070" s="41"/>
      <c r="M4070" s="41"/>
      <c r="N4070" s="41"/>
      <c r="O4070" s="41"/>
      <c r="P4070" s="28"/>
    </row>
    <row r="4071" customFormat="1" spans="1:16">
      <c r="A4071" s="39"/>
      <c r="B4071" s="40"/>
      <c r="C4071" s="41"/>
      <c r="D4071" s="41"/>
      <c r="E4071" s="41"/>
      <c r="F4071" s="41"/>
      <c r="G4071" s="41"/>
      <c r="H4071" s="41"/>
      <c r="I4071" s="41"/>
      <c r="J4071" s="41"/>
      <c r="K4071" s="41"/>
      <c r="L4071" s="41"/>
      <c r="M4071" s="41"/>
      <c r="N4071" s="41"/>
      <c r="O4071" s="41"/>
      <c r="P4071" s="28"/>
    </row>
    <row r="4072" customFormat="1" spans="1:16">
      <c r="A4072" s="39"/>
      <c r="B4072" s="40"/>
      <c r="C4072" s="41"/>
      <c r="D4072" s="41"/>
      <c r="E4072" s="41"/>
      <c r="F4072" s="41"/>
      <c r="G4072" s="41"/>
      <c r="H4072" s="41"/>
      <c r="I4072" s="41"/>
      <c r="J4072" s="41"/>
      <c r="K4072" s="41"/>
      <c r="L4072" s="41"/>
      <c r="M4072" s="41"/>
      <c r="N4072" s="41"/>
      <c r="O4072" s="41"/>
      <c r="P4072" s="28"/>
    </row>
    <row r="4073" customFormat="1" spans="1:16">
      <c r="A4073" s="39"/>
      <c r="B4073" s="40"/>
      <c r="C4073" s="41"/>
      <c r="D4073" s="41"/>
      <c r="E4073" s="41"/>
      <c r="F4073" s="41"/>
      <c r="G4073" s="41"/>
      <c r="H4073" s="41"/>
      <c r="I4073" s="41"/>
      <c r="J4073" s="41"/>
      <c r="K4073" s="41"/>
      <c r="L4073" s="41"/>
      <c r="M4073" s="41"/>
      <c r="N4073" s="41"/>
      <c r="O4073" s="41"/>
      <c r="P4073" s="28"/>
    </row>
    <row r="4074" customFormat="1" spans="1:16">
      <c r="A4074" s="39"/>
      <c r="B4074" s="40"/>
      <c r="C4074" s="41"/>
      <c r="D4074" s="41"/>
      <c r="E4074" s="41"/>
      <c r="F4074" s="41"/>
      <c r="G4074" s="41"/>
      <c r="H4074" s="41"/>
      <c r="I4074" s="41"/>
      <c r="J4074" s="41"/>
      <c r="K4074" s="41"/>
      <c r="L4074" s="41"/>
      <c r="M4074" s="41"/>
      <c r="N4074" s="41"/>
      <c r="O4074" s="41"/>
      <c r="P4074" s="28"/>
    </row>
    <row r="4075" customFormat="1" spans="1:16">
      <c r="A4075" s="39"/>
      <c r="B4075" s="40"/>
      <c r="C4075" s="41"/>
      <c r="D4075" s="41"/>
      <c r="E4075" s="41"/>
      <c r="F4075" s="41"/>
      <c r="G4075" s="41"/>
      <c r="H4075" s="41"/>
      <c r="I4075" s="41"/>
      <c r="J4075" s="41"/>
      <c r="K4075" s="41"/>
      <c r="L4075" s="41"/>
      <c r="M4075" s="41"/>
      <c r="N4075" s="41"/>
      <c r="O4075" s="41"/>
      <c r="P4075" s="28"/>
    </row>
    <row r="4076" customFormat="1" spans="1:16">
      <c r="A4076" s="39"/>
      <c r="B4076" s="40"/>
      <c r="C4076" s="41"/>
      <c r="D4076" s="41"/>
      <c r="E4076" s="41"/>
      <c r="F4076" s="41"/>
      <c r="G4076" s="41"/>
      <c r="H4076" s="41"/>
      <c r="I4076" s="41"/>
      <c r="J4076" s="41"/>
      <c r="K4076" s="41"/>
      <c r="L4076" s="41"/>
      <c r="M4076" s="41"/>
      <c r="N4076" s="41"/>
      <c r="O4076" s="41"/>
      <c r="P4076" s="28"/>
    </row>
    <row r="4077" customFormat="1" spans="1:16">
      <c r="A4077" s="39"/>
      <c r="B4077" s="40"/>
      <c r="C4077" s="41"/>
      <c r="D4077" s="41"/>
      <c r="E4077" s="41"/>
      <c r="F4077" s="41"/>
      <c r="G4077" s="41"/>
      <c r="H4077" s="41"/>
      <c r="I4077" s="41"/>
      <c r="J4077" s="41"/>
      <c r="K4077" s="41"/>
      <c r="L4077" s="41"/>
      <c r="M4077" s="41"/>
      <c r="N4077" s="41"/>
      <c r="O4077" s="41"/>
      <c r="P4077" s="28"/>
    </row>
    <row r="4078" customFormat="1" spans="1:16">
      <c r="A4078" s="39"/>
      <c r="B4078" s="40"/>
      <c r="C4078" s="41"/>
      <c r="D4078" s="41"/>
      <c r="E4078" s="41"/>
      <c r="F4078" s="41"/>
      <c r="G4078" s="41"/>
      <c r="H4078" s="41"/>
      <c r="I4078" s="41"/>
      <c r="J4078" s="41"/>
      <c r="K4078" s="41"/>
      <c r="L4078" s="41"/>
      <c r="M4078" s="41"/>
      <c r="N4078" s="41"/>
      <c r="O4078" s="41"/>
      <c r="P4078" s="28"/>
    </row>
    <row r="4079" customFormat="1" spans="1:16">
      <c r="A4079" s="39"/>
      <c r="B4079" s="40"/>
      <c r="C4079" s="41"/>
      <c r="D4079" s="41"/>
      <c r="E4079" s="41"/>
      <c r="F4079" s="41"/>
      <c r="G4079" s="41"/>
      <c r="H4079" s="41"/>
      <c r="I4079" s="41"/>
      <c r="J4079" s="41"/>
      <c r="K4079" s="41"/>
      <c r="L4079" s="41"/>
      <c r="M4079" s="41"/>
      <c r="N4079" s="41"/>
      <c r="O4079" s="41"/>
      <c r="P4079" s="28"/>
    </row>
    <row r="4080" customFormat="1" spans="1:16">
      <c r="A4080" s="39"/>
      <c r="B4080" s="40"/>
      <c r="C4080" s="41"/>
      <c r="D4080" s="41"/>
      <c r="E4080" s="41"/>
      <c r="F4080" s="41"/>
      <c r="G4080" s="41"/>
      <c r="H4080" s="41"/>
      <c r="I4080" s="41"/>
      <c r="J4080" s="41"/>
      <c r="K4080" s="41"/>
      <c r="L4080" s="41"/>
      <c r="M4080" s="41"/>
      <c r="N4080" s="41"/>
      <c r="O4080" s="41"/>
      <c r="P4080" s="28"/>
    </row>
    <row r="4081" customFormat="1" spans="1:16">
      <c r="A4081" s="39"/>
      <c r="B4081" s="40"/>
      <c r="C4081" s="41"/>
      <c r="D4081" s="41"/>
      <c r="E4081" s="41"/>
      <c r="F4081" s="41"/>
      <c r="G4081" s="41"/>
      <c r="H4081" s="41"/>
      <c r="I4081" s="41"/>
      <c r="J4081" s="41"/>
      <c r="K4081" s="41"/>
      <c r="L4081" s="41"/>
      <c r="M4081" s="41"/>
      <c r="N4081" s="41"/>
      <c r="O4081" s="41"/>
      <c r="P4081" s="28"/>
    </row>
    <row r="4082" customFormat="1" spans="1:16">
      <c r="A4082" s="39"/>
      <c r="B4082" s="40"/>
      <c r="C4082" s="41"/>
      <c r="D4082" s="41"/>
      <c r="E4082" s="41"/>
      <c r="F4082" s="41"/>
      <c r="G4082" s="41"/>
      <c r="H4082" s="41"/>
      <c r="I4082" s="41"/>
      <c r="J4082" s="41"/>
      <c r="K4082" s="41"/>
      <c r="L4082" s="41"/>
      <c r="M4082" s="41"/>
      <c r="N4082" s="41"/>
      <c r="O4082" s="41"/>
      <c r="P4082" s="28"/>
    </row>
    <row r="4083" customFormat="1" spans="1:16">
      <c r="A4083" s="39"/>
      <c r="B4083" s="40"/>
      <c r="C4083" s="41"/>
      <c r="D4083" s="41"/>
      <c r="E4083" s="41"/>
      <c r="F4083" s="41"/>
      <c r="G4083" s="41"/>
      <c r="H4083" s="41"/>
      <c r="I4083" s="41"/>
      <c r="J4083" s="41"/>
      <c r="K4083" s="41"/>
      <c r="L4083" s="41"/>
      <c r="M4083" s="41"/>
      <c r="N4083" s="41"/>
      <c r="O4083" s="41"/>
      <c r="P4083" s="28"/>
    </row>
    <row r="4084" customFormat="1" spans="1:16">
      <c r="A4084" s="39"/>
      <c r="B4084" s="40"/>
      <c r="C4084" s="41"/>
      <c r="D4084" s="41"/>
      <c r="E4084" s="41"/>
      <c r="F4084" s="41"/>
      <c r="G4084" s="41"/>
      <c r="H4084" s="41"/>
      <c r="I4084" s="41"/>
      <c r="J4084" s="41"/>
      <c r="K4084" s="41"/>
      <c r="L4084" s="41"/>
      <c r="M4084" s="41"/>
      <c r="N4084" s="41"/>
      <c r="O4084" s="41"/>
      <c r="P4084" s="28"/>
    </row>
    <row r="4085" customFormat="1" spans="1:16">
      <c r="A4085" s="39"/>
      <c r="B4085" s="40"/>
      <c r="C4085" s="41"/>
      <c r="D4085" s="41"/>
      <c r="E4085" s="41"/>
      <c r="F4085" s="41"/>
      <c r="G4085" s="41"/>
      <c r="H4085" s="41"/>
      <c r="I4085" s="41"/>
      <c r="J4085" s="41"/>
      <c r="K4085" s="41"/>
      <c r="L4085" s="41"/>
      <c r="M4085" s="41"/>
      <c r="N4085" s="41"/>
      <c r="O4085" s="41"/>
      <c r="P4085" s="28"/>
    </row>
    <row r="4086" customFormat="1" spans="1:16">
      <c r="A4086" s="39"/>
      <c r="B4086" s="40"/>
      <c r="C4086" s="41"/>
      <c r="D4086" s="41"/>
      <c r="E4086" s="41"/>
      <c r="F4086" s="41"/>
      <c r="G4086" s="41"/>
      <c r="H4086" s="41"/>
      <c r="I4086" s="41"/>
      <c r="J4086" s="41"/>
      <c r="K4086" s="41"/>
      <c r="L4086" s="41"/>
      <c r="M4086" s="41"/>
      <c r="N4086" s="41"/>
      <c r="O4086" s="41"/>
      <c r="P4086" s="28"/>
    </row>
    <row r="4087" customFormat="1" spans="1:16">
      <c r="A4087" s="39"/>
      <c r="B4087" s="40"/>
      <c r="C4087" s="41"/>
      <c r="D4087" s="41"/>
      <c r="E4087" s="41"/>
      <c r="F4087" s="41"/>
      <c r="G4087" s="41"/>
      <c r="H4087" s="41"/>
      <c r="I4087" s="41"/>
      <c r="J4087" s="41"/>
      <c r="K4087" s="41"/>
      <c r="L4087" s="41"/>
      <c r="M4087" s="41"/>
      <c r="N4087" s="41"/>
      <c r="O4087" s="41"/>
      <c r="P4087" s="28"/>
    </row>
    <row r="4088" customFormat="1" spans="1:16">
      <c r="A4088" s="39"/>
      <c r="B4088" s="40"/>
      <c r="C4088" s="41"/>
      <c r="D4088" s="41"/>
      <c r="E4088" s="41"/>
      <c r="F4088" s="41"/>
      <c r="G4088" s="41"/>
      <c r="H4088" s="41"/>
      <c r="I4088" s="41"/>
      <c r="J4088" s="41"/>
      <c r="K4088" s="41"/>
      <c r="L4088" s="41"/>
      <c r="M4088" s="41"/>
      <c r="N4088" s="41"/>
      <c r="O4088" s="41"/>
      <c r="P4088" s="28"/>
    </row>
    <row r="4089" customFormat="1" spans="1:16">
      <c r="A4089" s="39"/>
      <c r="B4089" s="40"/>
      <c r="C4089" s="41"/>
      <c r="D4089" s="41"/>
      <c r="E4089" s="41"/>
      <c r="F4089" s="41"/>
      <c r="G4089" s="41"/>
      <c r="H4089" s="41"/>
      <c r="I4089" s="41"/>
      <c r="J4089" s="41"/>
      <c r="K4089" s="41"/>
      <c r="L4089" s="41"/>
      <c r="M4089" s="41"/>
      <c r="N4089" s="41"/>
      <c r="O4089" s="41"/>
      <c r="P4089" s="28"/>
    </row>
    <row r="4090" customFormat="1" spans="1:16">
      <c r="A4090" s="39"/>
      <c r="B4090" s="40"/>
      <c r="C4090" s="41"/>
      <c r="D4090" s="41"/>
      <c r="E4090" s="41"/>
      <c r="F4090" s="41"/>
      <c r="G4090" s="41"/>
      <c r="H4090" s="41"/>
      <c r="I4090" s="41"/>
      <c r="J4090" s="41"/>
      <c r="K4090" s="41"/>
      <c r="L4090" s="41"/>
      <c r="M4090" s="41"/>
      <c r="N4090" s="41"/>
      <c r="O4090" s="41"/>
      <c r="P4090" s="28"/>
    </row>
    <row r="4091" customFormat="1" spans="1:16">
      <c r="A4091" s="39"/>
      <c r="B4091" s="40"/>
      <c r="C4091" s="41"/>
      <c r="D4091" s="41"/>
      <c r="E4091" s="41"/>
      <c r="F4091" s="41"/>
      <c r="G4091" s="41"/>
      <c r="H4091" s="41"/>
      <c r="I4091" s="41"/>
      <c r="J4091" s="41"/>
      <c r="K4091" s="41"/>
      <c r="L4091" s="41"/>
      <c r="M4091" s="41"/>
      <c r="N4091" s="41"/>
      <c r="O4091" s="41"/>
      <c r="P4091" s="28"/>
    </row>
    <row r="4092" customFormat="1" spans="1:16">
      <c r="A4092" s="39"/>
      <c r="B4092" s="40"/>
      <c r="C4092" s="41"/>
      <c r="D4092" s="41"/>
      <c r="E4092" s="41"/>
      <c r="F4092" s="41"/>
      <c r="G4092" s="41"/>
      <c r="H4092" s="41"/>
      <c r="I4092" s="41"/>
      <c r="J4092" s="41"/>
      <c r="K4092" s="41"/>
      <c r="L4092" s="41"/>
      <c r="M4092" s="41"/>
      <c r="N4092" s="41"/>
      <c r="O4092" s="41"/>
      <c r="P4092" s="28"/>
    </row>
    <row r="4093" customFormat="1" spans="1:16">
      <c r="A4093" s="39"/>
      <c r="B4093" s="40"/>
      <c r="C4093" s="41"/>
      <c r="D4093" s="41"/>
      <c r="E4093" s="41"/>
      <c r="F4093" s="41"/>
      <c r="G4093" s="41"/>
      <c r="H4093" s="41"/>
      <c r="I4093" s="41"/>
      <c r="J4093" s="41"/>
      <c r="K4093" s="41"/>
      <c r="L4093" s="41"/>
      <c r="M4093" s="41"/>
      <c r="N4093" s="41"/>
      <c r="O4093" s="41"/>
      <c r="P4093" s="28"/>
    </row>
    <row r="4094" customFormat="1" spans="1:16">
      <c r="A4094" s="39"/>
      <c r="B4094" s="40"/>
      <c r="C4094" s="41"/>
      <c r="D4094" s="41"/>
      <c r="E4094" s="41"/>
      <c r="F4094" s="41"/>
      <c r="G4094" s="41"/>
      <c r="H4094" s="41"/>
      <c r="I4094" s="41"/>
      <c r="J4094" s="41"/>
      <c r="K4094" s="41"/>
      <c r="L4094" s="41"/>
      <c r="M4094" s="41"/>
      <c r="N4094" s="41"/>
      <c r="O4094" s="41"/>
      <c r="P4094" s="28"/>
    </row>
    <row r="4095" customFormat="1" spans="1:16">
      <c r="A4095" s="39"/>
      <c r="B4095" s="40"/>
      <c r="C4095" s="41"/>
      <c r="D4095" s="41"/>
      <c r="E4095" s="41"/>
      <c r="F4095" s="41"/>
      <c r="G4095" s="41"/>
      <c r="H4095" s="41"/>
      <c r="I4095" s="41"/>
      <c r="J4095" s="41"/>
      <c r="K4095" s="41"/>
      <c r="L4095" s="41"/>
      <c r="M4095" s="41"/>
      <c r="N4095" s="41"/>
      <c r="O4095" s="41"/>
      <c r="P4095" s="28"/>
    </row>
    <row r="4096" customFormat="1" spans="1:16">
      <c r="A4096" s="39"/>
      <c r="B4096" s="40"/>
      <c r="C4096" s="41"/>
      <c r="D4096" s="41"/>
      <c r="E4096" s="41"/>
      <c r="F4096" s="41"/>
      <c r="G4096" s="41"/>
      <c r="H4096" s="41"/>
      <c r="I4096" s="41"/>
      <c r="J4096" s="41"/>
      <c r="K4096" s="41"/>
      <c r="L4096" s="41"/>
      <c r="M4096" s="41"/>
      <c r="N4096" s="41"/>
      <c r="O4096" s="41"/>
      <c r="P4096" s="28"/>
    </row>
    <row r="4097" customFormat="1" spans="1:16">
      <c r="A4097" s="39"/>
      <c r="B4097" s="40"/>
      <c r="C4097" s="41"/>
      <c r="D4097" s="41"/>
      <c r="E4097" s="41"/>
      <c r="F4097" s="41"/>
      <c r="G4097" s="41"/>
      <c r="H4097" s="41"/>
      <c r="I4097" s="41"/>
      <c r="J4097" s="41"/>
      <c r="K4097" s="41"/>
      <c r="L4097" s="41"/>
      <c r="M4097" s="41"/>
      <c r="N4097" s="41"/>
      <c r="O4097" s="41"/>
      <c r="P4097" s="28"/>
    </row>
    <row r="4098" customFormat="1" spans="1:16">
      <c r="A4098" s="39"/>
      <c r="B4098" s="40"/>
      <c r="C4098" s="41"/>
      <c r="D4098" s="41"/>
      <c r="E4098" s="41"/>
      <c r="F4098" s="41"/>
      <c r="G4098" s="41"/>
      <c r="H4098" s="41"/>
      <c r="I4098" s="41"/>
      <c r="J4098" s="41"/>
      <c r="K4098" s="41"/>
      <c r="L4098" s="41"/>
      <c r="M4098" s="41"/>
      <c r="N4098" s="41"/>
      <c r="O4098" s="41"/>
      <c r="P4098" s="28"/>
    </row>
    <row r="4099" customFormat="1" spans="1:16">
      <c r="A4099" s="39"/>
      <c r="B4099" s="40"/>
      <c r="C4099" s="41"/>
      <c r="D4099" s="41"/>
      <c r="E4099" s="41"/>
      <c r="F4099" s="41"/>
      <c r="G4099" s="41"/>
      <c r="H4099" s="41"/>
      <c r="I4099" s="41"/>
      <c r="J4099" s="41"/>
      <c r="K4099" s="41"/>
      <c r="L4099" s="41"/>
      <c r="M4099" s="41"/>
      <c r="N4099" s="41"/>
      <c r="O4099" s="41"/>
      <c r="P4099" s="28"/>
    </row>
    <row r="4100" customFormat="1" spans="1:16">
      <c r="A4100" s="39"/>
      <c r="B4100" s="40"/>
      <c r="C4100" s="41"/>
      <c r="D4100" s="41"/>
      <c r="E4100" s="41"/>
      <c r="F4100" s="41"/>
      <c r="G4100" s="41"/>
      <c r="H4100" s="41"/>
      <c r="I4100" s="41"/>
      <c r="J4100" s="41"/>
      <c r="K4100" s="41"/>
      <c r="L4100" s="41"/>
      <c r="M4100" s="41"/>
      <c r="N4100" s="41"/>
      <c r="O4100" s="41"/>
      <c r="P4100" s="28"/>
    </row>
    <row r="4101" customFormat="1" spans="1:16">
      <c r="A4101" s="39"/>
      <c r="B4101" s="40"/>
      <c r="C4101" s="41"/>
      <c r="D4101" s="41"/>
      <c r="E4101" s="41"/>
      <c r="F4101" s="41"/>
      <c r="G4101" s="41"/>
      <c r="H4101" s="41"/>
      <c r="I4101" s="41"/>
      <c r="J4101" s="41"/>
      <c r="K4101" s="41"/>
      <c r="L4101" s="41"/>
      <c r="M4101" s="41"/>
      <c r="N4101" s="41"/>
      <c r="O4101" s="41"/>
      <c r="P4101" s="28"/>
    </row>
    <row r="4102" customFormat="1" spans="1:16">
      <c r="A4102" s="39"/>
      <c r="B4102" s="40"/>
      <c r="C4102" s="41"/>
      <c r="D4102" s="41"/>
      <c r="E4102" s="41"/>
      <c r="F4102" s="41"/>
      <c r="G4102" s="41"/>
      <c r="H4102" s="41"/>
      <c r="I4102" s="41"/>
      <c r="J4102" s="41"/>
      <c r="K4102" s="41"/>
      <c r="L4102" s="41"/>
      <c r="M4102" s="41"/>
      <c r="N4102" s="41"/>
      <c r="O4102" s="41"/>
      <c r="P4102" s="28"/>
    </row>
    <row r="4103" customFormat="1" spans="1:16">
      <c r="A4103" s="39"/>
      <c r="B4103" s="40"/>
      <c r="C4103" s="41"/>
      <c r="D4103" s="41"/>
      <c r="E4103" s="41"/>
      <c r="F4103" s="41"/>
      <c r="G4103" s="41"/>
      <c r="H4103" s="41"/>
      <c r="I4103" s="41"/>
      <c r="J4103" s="41"/>
      <c r="K4103" s="41"/>
      <c r="L4103" s="41"/>
      <c r="M4103" s="41"/>
      <c r="N4103" s="41"/>
      <c r="O4103" s="41"/>
      <c r="P4103" s="28"/>
    </row>
    <row r="4104" customFormat="1" spans="1:16">
      <c r="A4104" s="39"/>
      <c r="B4104" s="40"/>
      <c r="C4104" s="41"/>
      <c r="D4104" s="41"/>
      <c r="E4104" s="41"/>
      <c r="F4104" s="41"/>
      <c r="G4104" s="41"/>
      <c r="H4104" s="41"/>
      <c r="I4104" s="41"/>
      <c r="J4104" s="41"/>
      <c r="K4104" s="41"/>
      <c r="L4104" s="41"/>
      <c r="M4104" s="41"/>
      <c r="N4104" s="41"/>
      <c r="O4104" s="41"/>
      <c r="P4104" s="28"/>
    </row>
    <row r="4105" customFormat="1" spans="1:16">
      <c r="A4105" s="39"/>
      <c r="B4105" s="40"/>
      <c r="C4105" s="41"/>
      <c r="D4105" s="41"/>
      <c r="E4105" s="41"/>
      <c r="F4105" s="41"/>
      <c r="G4105" s="41"/>
      <c r="H4105" s="41"/>
      <c r="I4105" s="41"/>
      <c r="J4105" s="41"/>
      <c r="K4105" s="41"/>
      <c r="L4105" s="41"/>
      <c r="M4105" s="41"/>
      <c r="N4105" s="41"/>
      <c r="O4105" s="41"/>
      <c r="P4105" s="28"/>
    </row>
    <row r="4106" customFormat="1" spans="1:16">
      <c r="A4106" s="39"/>
      <c r="B4106" s="40"/>
      <c r="C4106" s="41"/>
      <c r="D4106" s="41"/>
      <c r="E4106" s="41"/>
      <c r="F4106" s="41"/>
      <c r="G4106" s="41"/>
      <c r="H4106" s="41"/>
      <c r="I4106" s="41"/>
      <c r="J4106" s="41"/>
      <c r="K4106" s="41"/>
      <c r="L4106" s="41"/>
      <c r="M4106" s="41"/>
      <c r="N4106" s="41"/>
      <c r="O4106" s="41"/>
      <c r="P4106" s="28"/>
    </row>
    <row r="4107" customFormat="1" spans="1:16">
      <c r="A4107" s="39"/>
      <c r="B4107" s="40"/>
      <c r="C4107" s="41"/>
      <c r="D4107" s="41"/>
      <c r="E4107" s="41"/>
      <c r="F4107" s="41"/>
      <c r="G4107" s="41"/>
      <c r="H4107" s="41"/>
      <c r="I4107" s="41"/>
      <c r="J4107" s="41"/>
      <c r="K4107" s="41"/>
      <c r="L4107" s="41"/>
      <c r="M4107" s="41"/>
      <c r="N4107" s="41"/>
      <c r="O4107" s="41"/>
      <c r="P4107" s="28"/>
    </row>
    <row r="4108" customFormat="1" spans="1:16">
      <c r="A4108" s="39"/>
      <c r="B4108" s="40"/>
      <c r="C4108" s="41"/>
      <c r="D4108" s="41"/>
      <c r="E4108" s="41"/>
      <c r="F4108" s="41"/>
      <c r="G4108" s="41"/>
      <c r="H4108" s="41"/>
      <c r="I4108" s="41"/>
      <c r="J4108" s="41"/>
      <c r="K4108" s="41"/>
      <c r="L4108" s="41"/>
      <c r="M4108" s="41"/>
      <c r="N4108" s="41"/>
      <c r="O4108" s="41"/>
      <c r="P4108" s="28"/>
    </row>
    <row r="4109" customFormat="1" spans="1:16">
      <c r="A4109" s="39"/>
      <c r="B4109" s="40"/>
      <c r="C4109" s="41"/>
      <c r="D4109" s="41"/>
      <c r="E4109" s="41"/>
      <c r="F4109" s="41"/>
      <c r="G4109" s="41"/>
      <c r="H4109" s="41"/>
      <c r="I4109" s="41"/>
      <c r="J4109" s="41"/>
      <c r="K4109" s="41"/>
      <c r="L4109" s="41"/>
      <c r="M4109" s="41"/>
      <c r="N4109" s="41"/>
      <c r="O4109" s="41"/>
      <c r="P4109" s="28"/>
    </row>
    <row r="4110" customFormat="1" spans="1:16">
      <c r="A4110" s="39"/>
      <c r="B4110" s="40"/>
      <c r="C4110" s="41"/>
      <c r="D4110" s="41"/>
      <c r="E4110" s="41"/>
      <c r="F4110" s="41"/>
      <c r="G4110" s="41"/>
      <c r="H4110" s="41"/>
      <c r="I4110" s="41"/>
      <c r="J4110" s="41"/>
      <c r="K4110" s="41"/>
      <c r="L4110" s="41"/>
      <c r="M4110" s="41"/>
      <c r="N4110" s="41"/>
      <c r="O4110" s="41"/>
      <c r="P4110" s="28"/>
    </row>
    <row r="4111" customFormat="1" spans="1:16">
      <c r="A4111" s="39"/>
      <c r="B4111" s="40"/>
      <c r="C4111" s="41"/>
      <c r="D4111" s="41"/>
      <c r="E4111" s="41"/>
      <c r="F4111" s="41"/>
      <c r="G4111" s="41"/>
      <c r="H4111" s="41"/>
      <c r="I4111" s="41"/>
      <c r="J4111" s="41"/>
      <c r="K4111" s="41"/>
      <c r="L4111" s="41"/>
      <c r="M4111" s="41"/>
      <c r="N4111" s="41"/>
      <c r="O4111" s="41"/>
      <c r="P4111" s="28"/>
    </row>
    <row r="4112" customFormat="1" spans="1:16">
      <c r="A4112" s="39"/>
      <c r="B4112" s="40"/>
      <c r="C4112" s="41"/>
      <c r="D4112" s="41"/>
      <c r="E4112" s="41"/>
      <c r="F4112" s="41"/>
      <c r="G4112" s="41"/>
      <c r="H4112" s="41"/>
      <c r="I4112" s="41"/>
      <c r="J4112" s="41"/>
      <c r="K4112" s="41"/>
      <c r="L4112" s="41"/>
      <c r="M4112" s="41"/>
      <c r="N4112" s="41"/>
      <c r="O4112" s="41"/>
      <c r="P4112" s="28"/>
    </row>
    <row r="4113" customFormat="1" spans="1:16">
      <c r="A4113" s="39"/>
      <c r="B4113" s="40"/>
      <c r="C4113" s="41"/>
      <c r="D4113" s="41"/>
      <c r="E4113" s="41"/>
      <c r="F4113" s="41"/>
      <c r="G4113" s="41"/>
      <c r="H4113" s="41"/>
      <c r="I4113" s="41"/>
      <c r="J4113" s="41"/>
      <c r="K4113" s="41"/>
      <c r="L4113" s="41"/>
      <c r="M4113" s="41"/>
      <c r="N4113" s="41"/>
      <c r="O4113" s="41"/>
      <c r="P4113" s="28"/>
    </row>
    <row r="4114" customFormat="1" spans="1:16">
      <c r="A4114" s="39"/>
      <c r="B4114" s="40"/>
      <c r="C4114" s="41"/>
      <c r="D4114" s="41"/>
      <c r="E4114" s="41"/>
      <c r="F4114" s="41"/>
      <c r="G4114" s="41"/>
      <c r="H4114" s="41"/>
      <c r="I4114" s="41"/>
      <c r="J4114" s="41"/>
      <c r="K4114" s="41"/>
      <c r="L4114" s="41"/>
      <c r="M4114" s="41"/>
      <c r="N4114" s="41"/>
      <c r="O4114" s="41"/>
      <c r="P4114" s="28"/>
    </row>
    <row r="4115" customFormat="1" spans="1:16">
      <c r="A4115" s="39"/>
      <c r="B4115" s="40"/>
      <c r="C4115" s="41"/>
      <c r="D4115" s="41"/>
      <c r="E4115" s="41"/>
      <c r="F4115" s="41"/>
      <c r="G4115" s="41"/>
      <c r="H4115" s="41"/>
      <c r="I4115" s="41"/>
      <c r="J4115" s="41"/>
      <c r="K4115" s="41"/>
      <c r="L4115" s="41"/>
      <c r="M4115" s="41"/>
      <c r="N4115" s="41"/>
      <c r="O4115" s="41"/>
      <c r="P4115" s="28"/>
    </row>
    <row r="4116" customFormat="1" spans="1:16">
      <c r="A4116" s="39"/>
      <c r="B4116" s="40"/>
      <c r="C4116" s="41"/>
      <c r="D4116" s="41"/>
      <c r="E4116" s="41"/>
      <c r="F4116" s="41"/>
      <c r="G4116" s="41"/>
      <c r="H4116" s="41"/>
      <c r="I4116" s="41"/>
      <c r="J4116" s="41"/>
      <c r="K4116" s="41"/>
      <c r="L4116" s="41"/>
      <c r="M4116" s="41"/>
      <c r="N4116" s="41"/>
      <c r="O4116" s="41"/>
      <c r="P4116" s="28"/>
    </row>
    <row r="4117" customFormat="1" spans="1:16">
      <c r="A4117" s="39"/>
      <c r="B4117" s="40"/>
      <c r="C4117" s="41"/>
      <c r="D4117" s="41"/>
      <c r="E4117" s="41"/>
      <c r="F4117" s="41"/>
      <c r="G4117" s="41"/>
      <c r="H4117" s="41"/>
      <c r="I4117" s="41"/>
      <c r="J4117" s="41"/>
      <c r="K4117" s="41"/>
      <c r="L4117" s="41"/>
      <c r="M4117" s="41"/>
      <c r="N4117" s="41"/>
      <c r="O4117" s="41"/>
      <c r="P4117" s="28"/>
    </row>
    <row r="4118" customFormat="1" spans="1:16">
      <c r="A4118" s="39"/>
      <c r="B4118" s="40"/>
      <c r="C4118" s="41"/>
      <c r="D4118" s="41"/>
      <c r="E4118" s="41"/>
      <c r="F4118" s="41"/>
      <c r="G4118" s="41"/>
      <c r="H4118" s="41"/>
      <c r="I4118" s="41"/>
      <c r="J4118" s="41"/>
      <c r="K4118" s="41"/>
      <c r="L4118" s="41"/>
      <c r="M4118" s="41"/>
      <c r="N4118" s="41"/>
      <c r="O4118" s="41"/>
      <c r="P4118" s="28"/>
    </row>
    <row r="4119" customFormat="1" spans="1:16">
      <c r="A4119" s="39"/>
      <c r="B4119" s="40"/>
      <c r="C4119" s="41"/>
      <c r="D4119" s="41"/>
      <c r="E4119" s="41"/>
      <c r="F4119" s="41"/>
      <c r="G4119" s="41"/>
      <c r="H4119" s="41"/>
      <c r="I4119" s="41"/>
      <c r="J4119" s="41"/>
      <c r="K4119" s="41"/>
      <c r="L4119" s="41"/>
      <c r="M4119" s="41"/>
      <c r="N4119" s="41"/>
      <c r="O4119" s="41"/>
      <c r="P4119" s="28"/>
    </row>
    <row r="4120" customFormat="1" spans="1:16">
      <c r="A4120" s="39"/>
      <c r="B4120" s="40"/>
      <c r="C4120" s="41"/>
      <c r="D4120" s="41"/>
      <c r="E4120" s="41"/>
      <c r="F4120" s="41"/>
      <c r="G4120" s="41"/>
      <c r="H4120" s="41"/>
      <c r="I4120" s="41"/>
      <c r="J4120" s="41"/>
      <c r="K4120" s="41"/>
      <c r="L4120" s="41"/>
      <c r="M4120" s="41"/>
      <c r="N4120" s="41"/>
      <c r="O4120" s="41"/>
      <c r="P4120" s="28"/>
    </row>
    <row r="4121" customFormat="1" spans="1:16">
      <c r="A4121" s="39"/>
      <c r="B4121" s="40"/>
      <c r="C4121" s="41"/>
      <c r="D4121" s="41"/>
      <c r="E4121" s="41"/>
      <c r="F4121" s="41"/>
      <c r="G4121" s="41"/>
      <c r="H4121" s="41"/>
      <c r="I4121" s="41"/>
      <c r="J4121" s="41"/>
      <c r="K4121" s="41"/>
      <c r="L4121" s="41"/>
      <c r="M4121" s="41"/>
      <c r="N4121" s="41"/>
      <c r="O4121" s="41"/>
      <c r="P4121" s="28"/>
    </row>
    <row r="4122" customFormat="1" spans="1:16">
      <c r="A4122" s="39"/>
      <c r="B4122" s="40"/>
      <c r="C4122" s="41"/>
      <c r="D4122" s="41"/>
      <c r="E4122" s="41"/>
      <c r="F4122" s="41"/>
      <c r="G4122" s="41"/>
      <c r="H4122" s="41"/>
      <c r="I4122" s="41"/>
      <c r="J4122" s="41"/>
      <c r="K4122" s="41"/>
      <c r="L4122" s="41"/>
      <c r="M4122" s="41"/>
      <c r="N4122" s="41"/>
      <c r="O4122" s="41"/>
      <c r="P4122" s="28"/>
    </row>
    <row r="4123" customFormat="1" spans="1:16">
      <c r="A4123" s="39"/>
      <c r="B4123" s="40"/>
      <c r="C4123" s="41"/>
      <c r="D4123" s="41"/>
      <c r="E4123" s="41"/>
      <c r="F4123" s="41"/>
      <c r="G4123" s="41"/>
      <c r="H4123" s="41"/>
      <c r="I4123" s="41"/>
      <c r="J4123" s="41"/>
      <c r="K4123" s="41"/>
      <c r="L4123" s="41"/>
      <c r="M4123" s="41"/>
      <c r="N4123" s="41"/>
      <c r="O4123" s="41"/>
      <c r="P4123" s="28"/>
    </row>
    <row r="4124" customFormat="1" spans="1:16">
      <c r="A4124" s="39"/>
      <c r="B4124" s="40"/>
      <c r="C4124" s="41"/>
      <c r="D4124" s="41"/>
      <c r="E4124" s="41"/>
      <c r="F4124" s="41"/>
      <c r="G4124" s="41"/>
      <c r="H4124" s="41"/>
      <c r="I4124" s="41"/>
      <c r="J4124" s="41"/>
      <c r="K4124" s="41"/>
      <c r="L4124" s="41"/>
      <c r="M4124" s="41"/>
      <c r="N4124" s="41"/>
      <c r="O4124" s="41"/>
      <c r="P4124" s="28"/>
    </row>
    <row r="4125" customFormat="1" spans="1:16">
      <c r="A4125" s="39"/>
      <c r="B4125" s="40"/>
      <c r="C4125" s="41"/>
      <c r="D4125" s="41"/>
      <c r="E4125" s="41"/>
      <c r="F4125" s="41"/>
      <c r="G4125" s="41"/>
      <c r="H4125" s="41"/>
      <c r="I4125" s="41"/>
      <c r="J4125" s="41"/>
      <c r="K4125" s="41"/>
      <c r="L4125" s="41"/>
      <c r="M4125" s="41"/>
      <c r="N4125" s="41"/>
      <c r="O4125" s="41"/>
      <c r="P4125" s="28"/>
    </row>
    <row r="4126" customFormat="1" spans="1:16">
      <c r="A4126" s="39"/>
      <c r="B4126" s="40"/>
      <c r="C4126" s="41"/>
      <c r="D4126" s="41"/>
      <c r="E4126" s="41"/>
      <c r="F4126" s="41"/>
      <c r="G4126" s="41"/>
      <c r="H4126" s="41"/>
      <c r="I4126" s="41"/>
      <c r="J4126" s="41"/>
      <c r="K4126" s="41"/>
      <c r="L4126" s="41"/>
      <c r="M4126" s="41"/>
      <c r="N4126" s="41"/>
      <c r="O4126" s="41"/>
      <c r="P4126" s="28"/>
    </row>
    <row r="4127" customFormat="1" spans="1:16">
      <c r="A4127" s="39"/>
      <c r="B4127" s="40"/>
      <c r="C4127" s="41"/>
      <c r="D4127" s="41"/>
      <c r="E4127" s="41"/>
      <c r="F4127" s="41"/>
      <c r="G4127" s="41"/>
      <c r="H4127" s="41"/>
      <c r="I4127" s="41"/>
      <c r="J4127" s="41"/>
      <c r="K4127" s="41"/>
      <c r="L4127" s="41"/>
      <c r="M4127" s="41"/>
      <c r="N4127" s="41"/>
      <c r="O4127" s="41"/>
      <c r="P4127" s="28"/>
    </row>
    <row r="4128" customFormat="1" spans="1:16">
      <c r="A4128" s="39"/>
      <c r="B4128" s="40"/>
      <c r="C4128" s="41"/>
      <c r="D4128" s="41"/>
      <c r="E4128" s="41"/>
      <c r="F4128" s="41"/>
      <c r="G4128" s="41"/>
      <c r="H4128" s="41"/>
      <c r="I4128" s="41"/>
      <c r="J4128" s="41"/>
      <c r="K4128" s="41"/>
      <c r="L4128" s="41"/>
      <c r="M4128" s="41"/>
      <c r="N4128" s="41"/>
      <c r="O4128" s="41"/>
      <c r="P4128" s="28"/>
    </row>
    <row r="4129" customFormat="1" spans="1:16">
      <c r="A4129" s="39"/>
      <c r="B4129" s="40"/>
      <c r="C4129" s="41"/>
      <c r="D4129" s="41"/>
      <c r="E4129" s="41"/>
      <c r="F4129" s="41"/>
      <c r="G4129" s="41"/>
      <c r="H4129" s="41"/>
      <c r="I4129" s="41"/>
      <c r="J4129" s="41"/>
      <c r="K4129" s="41"/>
      <c r="L4129" s="41"/>
      <c r="M4129" s="41"/>
      <c r="N4129" s="41"/>
      <c r="O4129" s="41"/>
      <c r="P4129" s="28"/>
    </row>
    <row r="4130" customFormat="1" spans="1:16">
      <c r="A4130" s="39"/>
      <c r="B4130" s="40"/>
      <c r="C4130" s="41"/>
      <c r="D4130" s="41"/>
      <c r="E4130" s="41"/>
      <c r="F4130" s="41"/>
      <c r="G4130" s="41"/>
      <c r="H4130" s="41"/>
      <c r="I4130" s="41"/>
      <c r="J4130" s="41"/>
      <c r="K4130" s="41"/>
      <c r="L4130" s="41"/>
      <c r="M4130" s="41"/>
      <c r="N4130" s="41"/>
      <c r="O4130" s="41"/>
      <c r="P4130" s="28"/>
    </row>
    <row r="4131" customFormat="1" spans="1:16">
      <c r="A4131" s="39"/>
      <c r="B4131" s="40"/>
      <c r="C4131" s="41"/>
      <c r="D4131" s="41"/>
      <c r="E4131" s="41"/>
      <c r="F4131" s="41"/>
      <c r="G4131" s="41"/>
      <c r="H4131" s="41"/>
      <c r="I4131" s="41"/>
      <c r="J4131" s="41"/>
      <c r="K4131" s="41"/>
      <c r="L4131" s="41"/>
      <c r="M4131" s="41"/>
      <c r="N4131" s="41"/>
      <c r="O4131" s="41"/>
      <c r="P4131" s="28"/>
    </row>
    <row r="4132" customFormat="1" spans="1:16">
      <c r="A4132" s="39"/>
      <c r="B4132" s="40"/>
      <c r="C4132" s="41"/>
      <c r="D4132" s="41"/>
      <c r="E4132" s="41"/>
      <c r="F4132" s="41"/>
      <c r="G4132" s="41"/>
      <c r="H4132" s="41"/>
      <c r="I4132" s="41"/>
      <c r="J4132" s="41"/>
      <c r="K4132" s="41"/>
      <c r="L4132" s="41"/>
      <c r="M4132" s="41"/>
      <c r="N4132" s="41"/>
      <c r="O4132" s="41"/>
      <c r="P4132" s="28"/>
    </row>
    <row r="4133" customFormat="1" spans="1:16">
      <c r="A4133" s="39"/>
      <c r="B4133" s="40"/>
      <c r="C4133" s="41"/>
      <c r="D4133" s="41"/>
      <c r="E4133" s="41"/>
      <c r="F4133" s="41"/>
      <c r="G4133" s="41"/>
      <c r="H4133" s="41"/>
      <c r="I4133" s="41"/>
      <c r="J4133" s="41"/>
      <c r="K4133" s="41"/>
      <c r="L4133" s="41"/>
      <c r="M4133" s="41"/>
      <c r="N4133" s="41"/>
      <c r="O4133" s="41"/>
      <c r="P4133" s="28"/>
    </row>
    <row r="4134" customFormat="1" spans="1:16">
      <c r="A4134" s="39"/>
      <c r="B4134" s="40"/>
      <c r="C4134" s="41"/>
      <c r="D4134" s="41"/>
      <c r="E4134" s="41"/>
      <c r="F4134" s="41"/>
      <c r="G4134" s="41"/>
      <c r="H4134" s="41"/>
      <c r="I4134" s="41"/>
      <c r="J4134" s="41"/>
      <c r="K4134" s="41"/>
      <c r="L4134" s="41"/>
      <c r="M4134" s="41"/>
      <c r="N4134" s="41"/>
      <c r="O4134" s="41"/>
      <c r="P4134" s="28"/>
    </row>
    <row r="4135" customFormat="1" spans="1:16">
      <c r="A4135" s="39"/>
      <c r="B4135" s="40"/>
      <c r="C4135" s="41"/>
      <c r="D4135" s="41"/>
      <c r="E4135" s="41"/>
      <c r="F4135" s="41"/>
      <c r="G4135" s="41"/>
      <c r="H4135" s="41"/>
      <c r="I4135" s="41"/>
      <c r="J4135" s="41"/>
      <c r="K4135" s="41"/>
      <c r="L4135" s="41"/>
      <c r="M4135" s="41"/>
      <c r="N4135" s="41"/>
      <c r="O4135" s="41"/>
      <c r="P4135" s="28"/>
    </row>
    <row r="4136" customFormat="1" spans="1:16">
      <c r="A4136" s="39"/>
      <c r="B4136" s="40"/>
      <c r="C4136" s="41"/>
      <c r="D4136" s="41"/>
      <c r="E4136" s="41"/>
      <c r="F4136" s="41"/>
      <c r="G4136" s="41"/>
      <c r="H4136" s="41"/>
      <c r="I4136" s="41"/>
      <c r="J4136" s="41"/>
      <c r="K4136" s="41"/>
      <c r="L4136" s="41"/>
      <c r="M4136" s="41"/>
      <c r="N4136" s="41"/>
      <c r="O4136" s="41"/>
      <c r="P4136" s="28"/>
    </row>
    <row r="4137" customFormat="1" spans="1:16">
      <c r="A4137" s="39"/>
      <c r="B4137" s="40"/>
      <c r="C4137" s="41"/>
      <c r="D4137" s="41"/>
      <c r="E4137" s="41"/>
      <c r="F4137" s="41"/>
      <c r="G4137" s="41"/>
      <c r="H4137" s="41"/>
      <c r="I4137" s="41"/>
      <c r="J4137" s="41"/>
      <c r="K4137" s="41"/>
      <c r="L4137" s="41"/>
      <c r="M4137" s="41"/>
      <c r="N4137" s="41"/>
      <c r="O4137" s="41"/>
      <c r="P4137" s="28"/>
    </row>
    <row r="4138" customFormat="1" spans="1:16">
      <c r="A4138" s="39"/>
      <c r="B4138" s="40"/>
      <c r="C4138" s="41"/>
      <c r="D4138" s="41"/>
      <c r="E4138" s="41"/>
      <c r="F4138" s="41"/>
      <c r="G4138" s="41"/>
      <c r="H4138" s="41"/>
      <c r="I4138" s="41"/>
      <c r="J4138" s="41"/>
      <c r="K4138" s="41"/>
      <c r="L4138" s="41"/>
      <c r="M4138" s="41"/>
      <c r="N4138" s="41"/>
      <c r="O4138" s="41"/>
      <c r="P4138" s="28"/>
    </row>
    <row r="4139" customFormat="1" spans="1:16">
      <c r="A4139" s="39"/>
      <c r="B4139" s="40"/>
      <c r="C4139" s="41"/>
      <c r="D4139" s="41"/>
      <c r="E4139" s="41"/>
      <c r="F4139" s="41"/>
      <c r="G4139" s="41"/>
      <c r="H4139" s="41"/>
      <c r="I4139" s="41"/>
      <c r="J4139" s="41"/>
      <c r="K4139" s="41"/>
      <c r="L4139" s="41"/>
      <c r="M4139" s="41"/>
      <c r="N4139" s="41"/>
      <c r="O4139" s="41"/>
      <c r="P4139" s="28"/>
    </row>
    <row r="4140" customFormat="1" spans="1:16">
      <c r="A4140" s="39"/>
      <c r="B4140" s="40"/>
      <c r="C4140" s="41"/>
      <c r="D4140" s="41"/>
      <c r="E4140" s="41"/>
      <c r="F4140" s="41"/>
      <c r="G4140" s="41"/>
      <c r="H4140" s="41"/>
      <c r="I4140" s="41"/>
      <c r="J4140" s="41"/>
      <c r="K4140" s="41"/>
      <c r="L4140" s="41"/>
      <c r="M4140" s="41"/>
      <c r="N4140" s="41"/>
      <c r="O4140" s="41"/>
      <c r="P4140" s="28"/>
    </row>
    <row r="4141" customFormat="1" spans="1:16">
      <c r="A4141" s="39"/>
      <c r="B4141" s="40"/>
      <c r="C4141" s="41"/>
      <c r="D4141" s="41"/>
      <c r="E4141" s="41"/>
      <c r="F4141" s="41"/>
      <c r="G4141" s="41"/>
      <c r="H4141" s="41"/>
      <c r="I4141" s="41"/>
      <c r="J4141" s="41"/>
      <c r="K4141" s="41"/>
      <c r="L4141" s="41"/>
      <c r="M4141" s="41"/>
      <c r="N4141" s="41"/>
      <c r="O4141" s="41"/>
      <c r="P4141" s="28"/>
    </row>
    <row r="4142" customFormat="1" spans="1:16">
      <c r="A4142" s="39"/>
      <c r="B4142" s="40"/>
      <c r="C4142" s="41"/>
      <c r="D4142" s="41"/>
      <c r="E4142" s="41"/>
      <c r="F4142" s="41"/>
      <c r="G4142" s="41"/>
      <c r="H4142" s="41"/>
      <c r="I4142" s="41"/>
      <c r="J4142" s="41"/>
      <c r="K4142" s="41"/>
      <c r="L4142" s="41"/>
      <c r="M4142" s="41"/>
      <c r="N4142" s="41"/>
      <c r="O4142" s="41"/>
      <c r="P4142" s="28"/>
    </row>
    <row r="4143" customFormat="1" spans="1:16">
      <c r="A4143" s="39"/>
      <c r="B4143" s="40"/>
      <c r="C4143" s="41"/>
      <c r="D4143" s="41"/>
      <c r="E4143" s="41"/>
      <c r="F4143" s="41"/>
      <c r="G4143" s="41"/>
      <c r="H4143" s="41"/>
      <c r="I4143" s="41"/>
      <c r="J4143" s="41"/>
      <c r="K4143" s="41"/>
      <c r="L4143" s="41"/>
      <c r="M4143" s="41"/>
      <c r="N4143" s="41"/>
      <c r="O4143" s="41"/>
      <c r="P4143" s="28"/>
    </row>
    <row r="4144" customFormat="1" spans="1:16">
      <c r="A4144" s="39"/>
      <c r="B4144" s="40"/>
      <c r="C4144" s="41"/>
      <c r="D4144" s="41"/>
      <c r="E4144" s="41"/>
      <c r="F4144" s="41"/>
      <c r="G4144" s="41"/>
      <c r="H4144" s="41"/>
      <c r="I4144" s="41"/>
      <c r="J4144" s="41"/>
      <c r="K4144" s="41"/>
      <c r="L4144" s="41"/>
      <c r="M4144" s="41"/>
      <c r="N4144" s="41"/>
      <c r="O4144" s="41"/>
      <c r="P4144" s="28"/>
    </row>
    <row r="4145" customFormat="1" spans="1:16">
      <c r="A4145" s="39"/>
      <c r="B4145" s="40"/>
      <c r="C4145" s="41"/>
      <c r="D4145" s="41"/>
      <c r="E4145" s="41"/>
      <c r="F4145" s="41"/>
      <c r="G4145" s="41"/>
      <c r="H4145" s="41"/>
      <c r="I4145" s="41"/>
      <c r="J4145" s="41"/>
      <c r="K4145" s="41"/>
      <c r="L4145" s="41"/>
      <c r="M4145" s="41"/>
      <c r="N4145" s="41"/>
      <c r="O4145" s="41"/>
      <c r="P4145" s="28"/>
    </row>
    <row r="4146" customFormat="1" spans="1:16">
      <c r="A4146" s="39"/>
      <c r="B4146" s="40"/>
      <c r="C4146" s="41"/>
      <c r="D4146" s="41"/>
      <c r="E4146" s="41"/>
      <c r="F4146" s="41"/>
      <c r="G4146" s="41"/>
      <c r="H4146" s="41"/>
      <c r="I4146" s="41"/>
      <c r="J4146" s="41"/>
      <c r="K4146" s="41"/>
      <c r="L4146" s="41"/>
      <c r="M4146" s="41"/>
      <c r="N4146" s="41"/>
      <c r="O4146" s="41"/>
      <c r="P4146" s="28"/>
    </row>
    <row r="4147" customFormat="1" spans="1:16">
      <c r="A4147" s="39"/>
      <c r="B4147" s="40"/>
      <c r="C4147" s="41"/>
      <c r="D4147" s="41"/>
      <c r="E4147" s="41"/>
      <c r="F4147" s="41"/>
      <c r="G4147" s="41"/>
      <c r="H4147" s="41"/>
      <c r="I4147" s="41"/>
      <c r="J4147" s="41"/>
      <c r="K4147" s="41"/>
      <c r="L4147" s="41"/>
      <c r="M4147" s="41"/>
      <c r="N4147" s="41"/>
      <c r="O4147" s="41"/>
      <c r="P4147" s="28"/>
    </row>
    <row r="4148" customFormat="1" spans="1:16">
      <c r="A4148" s="39"/>
      <c r="B4148" s="40"/>
      <c r="C4148" s="41"/>
      <c r="D4148" s="41"/>
      <c r="E4148" s="41"/>
      <c r="F4148" s="41"/>
      <c r="G4148" s="41"/>
      <c r="H4148" s="41"/>
      <c r="I4148" s="41"/>
      <c r="J4148" s="41"/>
      <c r="K4148" s="41"/>
      <c r="L4148" s="41"/>
      <c r="M4148" s="41"/>
      <c r="N4148" s="41"/>
      <c r="O4148" s="41"/>
      <c r="P4148" s="28"/>
    </row>
    <row r="4149" customFormat="1" spans="1:16">
      <c r="A4149" s="39"/>
      <c r="B4149" s="40"/>
      <c r="C4149" s="41"/>
      <c r="D4149" s="41"/>
      <c r="E4149" s="41"/>
      <c r="F4149" s="41"/>
      <c r="G4149" s="41"/>
      <c r="H4149" s="41"/>
      <c r="I4149" s="41"/>
      <c r="J4149" s="41"/>
      <c r="K4149" s="41"/>
      <c r="L4149" s="41"/>
      <c r="M4149" s="41"/>
      <c r="N4149" s="41"/>
      <c r="O4149" s="41"/>
      <c r="P4149" s="28"/>
    </row>
    <row r="4150" customFormat="1" spans="1:16">
      <c r="A4150" s="39"/>
      <c r="B4150" s="40"/>
      <c r="C4150" s="41"/>
      <c r="D4150" s="41"/>
      <c r="E4150" s="41"/>
      <c r="F4150" s="41"/>
      <c r="G4150" s="41"/>
      <c r="H4150" s="41"/>
      <c r="I4150" s="41"/>
      <c r="J4150" s="41"/>
      <c r="K4150" s="41"/>
      <c r="L4150" s="41"/>
      <c r="M4150" s="41"/>
      <c r="N4150" s="41"/>
      <c r="O4150" s="41"/>
      <c r="P4150" s="28"/>
    </row>
    <row r="4151" customFormat="1" spans="1:16">
      <c r="A4151" s="39"/>
      <c r="B4151" s="40"/>
      <c r="C4151" s="41"/>
      <c r="D4151" s="41"/>
      <c r="E4151" s="41"/>
      <c r="F4151" s="41"/>
      <c r="G4151" s="41"/>
      <c r="H4151" s="41"/>
      <c r="I4151" s="41"/>
      <c r="J4151" s="41"/>
      <c r="K4151" s="41"/>
      <c r="L4151" s="41"/>
      <c r="M4151" s="41"/>
      <c r="N4151" s="41"/>
      <c r="O4151" s="41"/>
      <c r="P4151" s="28"/>
    </row>
    <row r="4152" customFormat="1" spans="1:16">
      <c r="A4152" s="39"/>
      <c r="B4152" s="40"/>
      <c r="C4152" s="41"/>
      <c r="D4152" s="41"/>
      <c r="E4152" s="41"/>
      <c r="F4152" s="41"/>
      <c r="G4152" s="41"/>
      <c r="H4152" s="41"/>
      <c r="I4152" s="41"/>
      <c r="J4152" s="41"/>
      <c r="K4152" s="41"/>
      <c r="L4152" s="41"/>
      <c r="M4152" s="41"/>
      <c r="N4152" s="41"/>
      <c r="O4152" s="41"/>
      <c r="P4152" s="28"/>
    </row>
    <row r="4153" customFormat="1" spans="1:16">
      <c r="A4153" s="39"/>
      <c r="B4153" s="40"/>
      <c r="C4153" s="41"/>
      <c r="D4153" s="41"/>
      <c r="E4153" s="41"/>
      <c r="F4153" s="41"/>
      <c r="G4153" s="41"/>
      <c r="H4153" s="41"/>
      <c r="I4153" s="41"/>
      <c r="J4153" s="41"/>
      <c r="K4153" s="41"/>
      <c r="L4153" s="41"/>
      <c r="M4153" s="41"/>
      <c r="N4153" s="41"/>
      <c r="O4153" s="41"/>
      <c r="P4153" s="28"/>
    </row>
    <row r="4154" customFormat="1" spans="1:16">
      <c r="A4154" s="39"/>
      <c r="B4154" s="40"/>
      <c r="C4154" s="41"/>
      <c r="D4154" s="41"/>
      <c r="E4154" s="41"/>
      <c r="F4154" s="41"/>
      <c r="G4154" s="41"/>
      <c r="H4154" s="41"/>
      <c r="I4154" s="41"/>
      <c r="J4154" s="41"/>
      <c r="K4154" s="41"/>
      <c r="L4154" s="41"/>
      <c r="M4154" s="41"/>
      <c r="N4154" s="41"/>
      <c r="O4154" s="41"/>
      <c r="P4154" s="28"/>
    </row>
    <row r="4155" customFormat="1" spans="1:16">
      <c r="A4155" s="39"/>
      <c r="B4155" s="40"/>
      <c r="C4155" s="41"/>
      <c r="D4155" s="41"/>
      <c r="E4155" s="41"/>
      <c r="F4155" s="41"/>
      <c r="G4155" s="41"/>
      <c r="H4155" s="41"/>
      <c r="I4155" s="41"/>
      <c r="J4155" s="41"/>
      <c r="K4155" s="41"/>
      <c r="L4155" s="41"/>
      <c r="M4155" s="41"/>
      <c r="N4155" s="41"/>
      <c r="O4155" s="41"/>
      <c r="P4155" s="28"/>
    </row>
    <row r="4156" customFormat="1" spans="1:16">
      <c r="A4156" s="39"/>
      <c r="B4156" s="40"/>
      <c r="C4156" s="41"/>
      <c r="D4156" s="41"/>
      <c r="E4156" s="41"/>
      <c r="F4156" s="41"/>
      <c r="G4156" s="41"/>
      <c r="H4156" s="41"/>
      <c r="I4156" s="41"/>
      <c r="J4156" s="41"/>
      <c r="K4156" s="41"/>
      <c r="L4156" s="41"/>
      <c r="M4156" s="41"/>
      <c r="N4156" s="41"/>
      <c r="O4156" s="41"/>
      <c r="P4156" s="28"/>
    </row>
    <row r="4157" customFormat="1" spans="1:16">
      <c r="A4157" s="39"/>
      <c r="B4157" s="40"/>
      <c r="C4157" s="41"/>
      <c r="D4157" s="41"/>
      <c r="E4157" s="41"/>
      <c r="F4157" s="41"/>
      <c r="G4157" s="41"/>
      <c r="H4157" s="41"/>
      <c r="I4157" s="41"/>
      <c r="J4157" s="41"/>
      <c r="K4157" s="41"/>
      <c r="L4157" s="41"/>
      <c r="M4157" s="41"/>
      <c r="N4157" s="41"/>
      <c r="O4157" s="41"/>
      <c r="P4157" s="28"/>
    </row>
    <row r="4158" customFormat="1" spans="1:16">
      <c r="A4158" s="39"/>
      <c r="B4158" s="40"/>
      <c r="C4158" s="41"/>
      <c r="D4158" s="41"/>
      <c r="E4158" s="41"/>
      <c r="F4158" s="41"/>
      <c r="G4158" s="41"/>
      <c r="H4158" s="41"/>
      <c r="I4158" s="41"/>
      <c r="J4158" s="41"/>
      <c r="K4158" s="41"/>
      <c r="L4158" s="41"/>
      <c r="M4158" s="41"/>
      <c r="N4158" s="41"/>
      <c r="O4158" s="41"/>
      <c r="P4158" s="28"/>
    </row>
    <row r="4159" customFormat="1" spans="1:16">
      <c r="A4159" s="39"/>
      <c r="B4159" s="40"/>
      <c r="C4159" s="41"/>
      <c r="D4159" s="41"/>
      <c r="E4159" s="41"/>
      <c r="F4159" s="41"/>
      <c r="G4159" s="41"/>
      <c r="H4159" s="41"/>
      <c r="I4159" s="41"/>
      <c r="J4159" s="41"/>
      <c r="K4159" s="41"/>
      <c r="L4159" s="41"/>
      <c r="M4159" s="41"/>
      <c r="N4159" s="41"/>
      <c r="O4159" s="41"/>
      <c r="P4159" s="28"/>
    </row>
    <row r="4160" customFormat="1" spans="1:16">
      <c r="A4160" s="39"/>
      <c r="B4160" s="40"/>
      <c r="C4160" s="41"/>
      <c r="D4160" s="41"/>
      <c r="E4160" s="41"/>
      <c r="F4160" s="41"/>
      <c r="G4160" s="41"/>
      <c r="H4160" s="41"/>
      <c r="I4160" s="41"/>
      <c r="J4160" s="41"/>
      <c r="K4160" s="41"/>
      <c r="L4160" s="41"/>
      <c r="M4160" s="41"/>
      <c r="N4160" s="41"/>
      <c r="O4160" s="41"/>
      <c r="P4160" s="28"/>
    </row>
    <row r="4161" customFormat="1" spans="1:16">
      <c r="A4161" s="39"/>
      <c r="B4161" s="40"/>
      <c r="C4161" s="41"/>
      <c r="D4161" s="41"/>
      <c r="E4161" s="41"/>
      <c r="F4161" s="41"/>
      <c r="G4161" s="41"/>
      <c r="H4161" s="41"/>
      <c r="I4161" s="41"/>
      <c r="J4161" s="41"/>
      <c r="K4161" s="41"/>
      <c r="L4161" s="41"/>
      <c r="M4161" s="41"/>
      <c r="N4161" s="41"/>
      <c r="O4161" s="41"/>
      <c r="P4161" s="28"/>
    </row>
    <row r="4162" customFormat="1" spans="1:16">
      <c r="A4162" s="39"/>
      <c r="B4162" s="40"/>
      <c r="C4162" s="41"/>
      <c r="D4162" s="41"/>
      <c r="E4162" s="41"/>
      <c r="F4162" s="41"/>
      <c r="G4162" s="41"/>
      <c r="H4162" s="41"/>
      <c r="I4162" s="41"/>
      <c r="J4162" s="41"/>
      <c r="K4162" s="41"/>
      <c r="L4162" s="41"/>
      <c r="M4162" s="41"/>
      <c r="N4162" s="41"/>
      <c r="O4162" s="41"/>
      <c r="P4162" s="28"/>
    </row>
    <row r="4163" customFormat="1" spans="1:16">
      <c r="A4163" s="39"/>
      <c r="B4163" s="40"/>
      <c r="C4163" s="41"/>
      <c r="D4163" s="41"/>
      <c r="E4163" s="41"/>
      <c r="F4163" s="41"/>
      <c r="G4163" s="41"/>
      <c r="H4163" s="41"/>
      <c r="I4163" s="41"/>
      <c r="J4163" s="41"/>
      <c r="K4163" s="41"/>
      <c r="L4163" s="41"/>
      <c r="M4163" s="41"/>
      <c r="N4163" s="41"/>
      <c r="O4163" s="41"/>
      <c r="P4163" s="28"/>
    </row>
    <row r="4164" customFormat="1" spans="1:16">
      <c r="A4164" s="39"/>
      <c r="B4164" s="40"/>
      <c r="C4164" s="41"/>
      <c r="D4164" s="41"/>
      <c r="E4164" s="41"/>
      <c r="F4164" s="41"/>
      <c r="G4164" s="41"/>
      <c r="H4164" s="41"/>
      <c r="I4164" s="41"/>
      <c r="J4164" s="41"/>
      <c r="K4164" s="41"/>
      <c r="L4164" s="41"/>
      <c r="M4164" s="41"/>
      <c r="N4164" s="41"/>
      <c r="O4164" s="41"/>
      <c r="P4164" s="28"/>
    </row>
    <row r="4165" customFormat="1" spans="1:16">
      <c r="A4165" s="39"/>
      <c r="B4165" s="40"/>
      <c r="C4165" s="41"/>
      <c r="D4165" s="41"/>
      <c r="E4165" s="41"/>
      <c r="F4165" s="41"/>
      <c r="G4165" s="41"/>
      <c r="H4165" s="41"/>
      <c r="I4165" s="41"/>
      <c r="J4165" s="41"/>
      <c r="K4165" s="41"/>
      <c r="L4165" s="41"/>
      <c r="M4165" s="41"/>
      <c r="N4165" s="41"/>
      <c r="O4165" s="41"/>
      <c r="P4165" s="28"/>
    </row>
    <row r="4166" customFormat="1" spans="1:16">
      <c r="A4166" s="39"/>
      <c r="B4166" s="40"/>
      <c r="C4166" s="41"/>
      <c r="D4166" s="41"/>
      <c r="E4166" s="41"/>
      <c r="F4166" s="41"/>
      <c r="G4166" s="41"/>
      <c r="H4166" s="41"/>
      <c r="I4166" s="41"/>
      <c r="J4166" s="41"/>
      <c r="K4166" s="41"/>
      <c r="L4166" s="41"/>
      <c r="M4166" s="41"/>
      <c r="N4166" s="41"/>
      <c r="O4166" s="41"/>
      <c r="P4166" s="28"/>
    </row>
    <row r="4167" customFormat="1" spans="1:16">
      <c r="A4167" s="39"/>
      <c r="B4167" s="40"/>
      <c r="C4167" s="41"/>
      <c r="D4167" s="41"/>
      <c r="E4167" s="41"/>
      <c r="F4167" s="41"/>
      <c r="G4167" s="41"/>
      <c r="H4167" s="41"/>
      <c r="I4167" s="41"/>
      <c r="J4167" s="41"/>
      <c r="K4167" s="41"/>
      <c r="L4167" s="41"/>
      <c r="M4167" s="41"/>
      <c r="N4167" s="41"/>
      <c r="O4167" s="41"/>
      <c r="P4167" s="28"/>
    </row>
    <row r="4168" customFormat="1" spans="1:16">
      <c r="A4168" s="39"/>
      <c r="B4168" s="40"/>
      <c r="C4168" s="41"/>
      <c r="D4168" s="41"/>
      <c r="E4168" s="41"/>
      <c r="F4168" s="41"/>
      <c r="G4168" s="41"/>
      <c r="H4168" s="41"/>
      <c r="I4168" s="41"/>
      <c r="J4168" s="41"/>
      <c r="K4168" s="41"/>
      <c r="L4168" s="41"/>
      <c r="M4168" s="41"/>
      <c r="N4168" s="41"/>
      <c r="O4168" s="41"/>
      <c r="P4168" s="28"/>
    </row>
    <row r="4169" customFormat="1" spans="1:16">
      <c r="A4169" s="39"/>
      <c r="B4169" s="40"/>
      <c r="C4169" s="41"/>
      <c r="D4169" s="41"/>
      <c r="E4169" s="41"/>
      <c r="F4169" s="41"/>
      <c r="G4169" s="41"/>
      <c r="H4169" s="41"/>
      <c r="I4169" s="41"/>
      <c r="J4169" s="41"/>
      <c r="K4169" s="41"/>
      <c r="L4169" s="41"/>
      <c r="M4169" s="41"/>
      <c r="N4169" s="41"/>
      <c r="O4169" s="41"/>
      <c r="P4169" s="28"/>
    </row>
    <row r="4170" customFormat="1" spans="1:16">
      <c r="A4170" s="39"/>
      <c r="B4170" s="40"/>
      <c r="C4170" s="41"/>
      <c r="D4170" s="41"/>
      <c r="E4170" s="41"/>
      <c r="F4170" s="41"/>
      <c r="G4170" s="41"/>
      <c r="H4170" s="41"/>
      <c r="I4170" s="41"/>
      <c r="J4170" s="41"/>
      <c r="K4170" s="41"/>
      <c r="L4170" s="41"/>
      <c r="M4170" s="41"/>
      <c r="N4170" s="41"/>
      <c r="O4170" s="41"/>
      <c r="P4170" s="28"/>
    </row>
    <row r="4171" customFormat="1" spans="1:16">
      <c r="A4171" s="39"/>
      <c r="B4171" s="40"/>
      <c r="C4171" s="41"/>
      <c r="D4171" s="41"/>
      <c r="E4171" s="41"/>
      <c r="F4171" s="41"/>
      <c r="G4171" s="41"/>
      <c r="H4171" s="41"/>
      <c r="I4171" s="41"/>
      <c r="J4171" s="41"/>
      <c r="K4171" s="41"/>
      <c r="L4171" s="41"/>
      <c r="M4171" s="41"/>
      <c r="N4171" s="41"/>
      <c r="O4171" s="41"/>
      <c r="P4171" s="28"/>
    </row>
    <row r="4172" customFormat="1" spans="1:16">
      <c r="A4172" s="39"/>
      <c r="B4172" s="40"/>
      <c r="C4172" s="41"/>
      <c r="D4172" s="41"/>
      <c r="E4172" s="41"/>
      <c r="F4172" s="41"/>
      <c r="G4172" s="41"/>
      <c r="H4172" s="41"/>
      <c r="I4172" s="41"/>
      <c r="J4172" s="41"/>
      <c r="K4172" s="41"/>
      <c r="L4172" s="41"/>
      <c r="M4172" s="41"/>
      <c r="N4172" s="41"/>
      <c r="O4172" s="41"/>
      <c r="P4172" s="28"/>
    </row>
    <row r="4173" customFormat="1" spans="1:16">
      <c r="A4173" s="39"/>
      <c r="B4173" s="40"/>
      <c r="C4173" s="41"/>
      <c r="D4173" s="41"/>
      <c r="E4173" s="41"/>
      <c r="F4173" s="41"/>
      <c r="G4173" s="41"/>
      <c r="H4173" s="41"/>
      <c r="I4173" s="41"/>
      <c r="J4173" s="41"/>
      <c r="K4173" s="41"/>
      <c r="L4173" s="41"/>
      <c r="M4173" s="41"/>
      <c r="N4173" s="41"/>
      <c r="O4173" s="41"/>
      <c r="P4173" s="28"/>
    </row>
    <row r="4174" customFormat="1" spans="1:16">
      <c r="A4174" s="39"/>
      <c r="B4174" s="40"/>
      <c r="C4174" s="41"/>
      <c r="D4174" s="41"/>
      <c r="E4174" s="41"/>
      <c r="F4174" s="41"/>
      <c r="G4174" s="41"/>
      <c r="H4174" s="41"/>
      <c r="I4174" s="41"/>
      <c r="J4174" s="41"/>
      <c r="K4174" s="41"/>
      <c r="L4174" s="41"/>
      <c r="M4174" s="41"/>
      <c r="N4174" s="41"/>
      <c r="O4174" s="41"/>
      <c r="P4174" s="28"/>
    </row>
    <row r="4175" customFormat="1" spans="1:16">
      <c r="A4175" s="39"/>
      <c r="B4175" s="40"/>
      <c r="C4175" s="41"/>
      <c r="D4175" s="41"/>
      <c r="E4175" s="41"/>
      <c r="F4175" s="41"/>
      <c r="G4175" s="41"/>
      <c r="H4175" s="41"/>
      <c r="I4175" s="41"/>
      <c r="J4175" s="41"/>
      <c r="K4175" s="41"/>
      <c r="L4175" s="41"/>
      <c r="M4175" s="41"/>
      <c r="N4175" s="41"/>
      <c r="O4175" s="41"/>
      <c r="P4175" s="28"/>
    </row>
    <row r="4176" customFormat="1" spans="1:16">
      <c r="A4176" s="39"/>
      <c r="B4176" s="40"/>
      <c r="C4176" s="41"/>
      <c r="D4176" s="41"/>
      <c r="E4176" s="41"/>
      <c r="F4176" s="41"/>
      <c r="G4176" s="41"/>
      <c r="H4176" s="41"/>
      <c r="I4176" s="41"/>
      <c r="J4176" s="41"/>
      <c r="K4176" s="41"/>
      <c r="L4176" s="41"/>
      <c r="M4176" s="41"/>
      <c r="N4176" s="41"/>
      <c r="O4176" s="41"/>
      <c r="P4176" s="28"/>
    </row>
    <row r="4177" customFormat="1" spans="1:16">
      <c r="A4177" s="39"/>
      <c r="B4177" s="40"/>
      <c r="C4177" s="41"/>
      <c r="D4177" s="41"/>
      <c r="E4177" s="41"/>
      <c r="F4177" s="41"/>
      <c r="G4177" s="41"/>
      <c r="H4177" s="41"/>
      <c r="I4177" s="41"/>
      <c r="J4177" s="41"/>
      <c r="K4177" s="41"/>
      <c r="L4177" s="41"/>
      <c r="M4177" s="41"/>
      <c r="N4177" s="41"/>
      <c r="O4177" s="41"/>
      <c r="P4177" s="28"/>
    </row>
    <row r="4178" customFormat="1" spans="1:16">
      <c r="A4178" s="39"/>
      <c r="B4178" s="40"/>
      <c r="C4178" s="41"/>
      <c r="D4178" s="41"/>
      <c r="E4178" s="41"/>
      <c r="F4178" s="41"/>
      <c r="G4178" s="41"/>
      <c r="H4178" s="41"/>
      <c r="I4178" s="41"/>
      <c r="J4178" s="41"/>
      <c r="K4178" s="41"/>
      <c r="L4178" s="41"/>
      <c r="M4178" s="41"/>
      <c r="N4178" s="41"/>
      <c r="O4178" s="41"/>
      <c r="P4178" s="28"/>
    </row>
    <row r="4179" customFormat="1" spans="1:16">
      <c r="A4179" s="39"/>
      <c r="B4179" s="40"/>
      <c r="C4179" s="41"/>
      <c r="D4179" s="41"/>
      <c r="E4179" s="41"/>
      <c r="F4179" s="41"/>
      <c r="G4179" s="41"/>
      <c r="H4179" s="41"/>
      <c r="I4179" s="41"/>
      <c r="J4179" s="41"/>
      <c r="K4179" s="41"/>
      <c r="L4179" s="41"/>
      <c r="M4179" s="41"/>
      <c r="N4179" s="41"/>
      <c r="O4179" s="41"/>
      <c r="P4179" s="28"/>
    </row>
    <row r="4180" customFormat="1" spans="1:16">
      <c r="A4180" s="39"/>
      <c r="B4180" s="40"/>
      <c r="C4180" s="41"/>
      <c r="D4180" s="41"/>
      <c r="E4180" s="41"/>
      <c r="F4180" s="41"/>
      <c r="G4180" s="41"/>
      <c r="H4180" s="41"/>
      <c r="I4180" s="41"/>
      <c r="J4180" s="41"/>
      <c r="K4180" s="41"/>
      <c r="L4180" s="41"/>
      <c r="M4180" s="41"/>
      <c r="N4180" s="41"/>
      <c r="O4180" s="41"/>
      <c r="P4180" s="28"/>
    </row>
    <row r="4181" customFormat="1" spans="1:16">
      <c r="A4181" s="39"/>
      <c r="B4181" s="40"/>
      <c r="C4181" s="41"/>
      <c r="D4181" s="41"/>
      <c r="E4181" s="41"/>
      <c r="F4181" s="41"/>
      <c r="G4181" s="41"/>
      <c r="H4181" s="41"/>
      <c r="I4181" s="41"/>
      <c r="J4181" s="41"/>
      <c r="K4181" s="41"/>
      <c r="L4181" s="41"/>
      <c r="M4181" s="41"/>
      <c r="N4181" s="41"/>
      <c r="O4181" s="41"/>
      <c r="P4181" s="28"/>
    </row>
    <row r="4182" customFormat="1" spans="1:16">
      <c r="A4182" s="39"/>
      <c r="B4182" s="40"/>
      <c r="C4182" s="41"/>
      <c r="D4182" s="41"/>
      <c r="E4182" s="41"/>
      <c r="F4182" s="41"/>
      <c r="G4182" s="41"/>
      <c r="H4182" s="41"/>
      <c r="I4182" s="41"/>
      <c r="J4182" s="41"/>
      <c r="K4182" s="41"/>
      <c r="L4182" s="41"/>
      <c r="M4182" s="41"/>
      <c r="N4182" s="41"/>
      <c r="O4182" s="41"/>
      <c r="P4182" s="28"/>
    </row>
    <row r="4183" customFormat="1" spans="1:16">
      <c r="A4183" s="39"/>
      <c r="B4183" s="40"/>
      <c r="C4183" s="41"/>
      <c r="D4183" s="41"/>
      <c r="E4183" s="41"/>
      <c r="F4183" s="41"/>
      <c r="G4183" s="41"/>
      <c r="H4183" s="41"/>
      <c r="I4183" s="41"/>
      <c r="J4183" s="41"/>
      <c r="K4183" s="41"/>
      <c r="L4183" s="41"/>
      <c r="M4183" s="41"/>
      <c r="N4183" s="41"/>
      <c r="O4183" s="41"/>
      <c r="P4183" s="28"/>
    </row>
    <row r="4184" customFormat="1" spans="1:16">
      <c r="A4184" s="39"/>
      <c r="B4184" s="40"/>
      <c r="C4184" s="41"/>
      <c r="D4184" s="41"/>
      <c r="E4184" s="41"/>
      <c r="F4184" s="41"/>
      <c r="G4184" s="41"/>
      <c r="H4184" s="41"/>
      <c r="I4184" s="41"/>
      <c r="J4184" s="41"/>
      <c r="K4184" s="41"/>
      <c r="L4184" s="41"/>
      <c r="M4184" s="41"/>
      <c r="N4184" s="41"/>
      <c r="O4184" s="41"/>
      <c r="P4184" s="28"/>
    </row>
    <row r="4185" customFormat="1" spans="1:16">
      <c r="A4185" s="39"/>
      <c r="B4185" s="40"/>
      <c r="C4185" s="41"/>
      <c r="D4185" s="41"/>
      <c r="E4185" s="41"/>
      <c r="F4185" s="41"/>
      <c r="G4185" s="41"/>
      <c r="H4185" s="41"/>
      <c r="I4185" s="41"/>
      <c r="J4185" s="41"/>
      <c r="K4185" s="41"/>
      <c r="L4185" s="41"/>
      <c r="M4185" s="41"/>
      <c r="N4185" s="41"/>
      <c r="O4185" s="41"/>
      <c r="P4185" s="28"/>
    </row>
    <row r="4186" customFormat="1" spans="1:16">
      <c r="A4186" s="39"/>
      <c r="B4186" s="40"/>
      <c r="C4186" s="41"/>
      <c r="D4186" s="41"/>
      <c r="E4186" s="41"/>
      <c r="F4186" s="41"/>
      <c r="G4186" s="41"/>
      <c r="H4186" s="41"/>
      <c r="I4186" s="41"/>
      <c r="J4186" s="41"/>
      <c r="K4186" s="41"/>
      <c r="L4186" s="41"/>
      <c r="M4186" s="41"/>
      <c r="N4186" s="41"/>
      <c r="O4186" s="41"/>
      <c r="P4186" s="28"/>
    </row>
    <row r="4187" customFormat="1" spans="1:16">
      <c r="A4187" s="39"/>
      <c r="B4187" s="40"/>
      <c r="C4187" s="41"/>
      <c r="D4187" s="41"/>
      <c r="E4187" s="41"/>
      <c r="F4187" s="41"/>
      <c r="G4187" s="41"/>
      <c r="H4187" s="41"/>
      <c r="I4187" s="41"/>
      <c r="J4187" s="41"/>
      <c r="K4187" s="41"/>
      <c r="L4187" s="41"/>
      <c r="M4187" s="41"/>
      <c r="N4187" s="41"/>
      <c r="O4187" s="41"/>
      <c r="P4187" s="28"/>
    </row>
    <row r="4188" customFormat="1" spans="1:16">
      <c r="A4188" s="39"/>
      <c r="B4188" s="40"/>
      <c r="C4188" s="41"/>
      <c r="D4188" s="41"/>
      <c r="E4188" s="41"/>
      <c r="F4188" s="41"/>
      <c r="G4188" s="41"/>
      <c r="H4188" s="41"/>
      <c r="I4188" s="41"/>
      <c r="J4188" s="41"/>
      <c r="K4188" s="41"/>
      <c r="L4188" s="41"/>
      <c r="M4188" s="41"/>
      <c r="N4188" s="41"/>
      <c r="O4188" s="41"/>
      <c r="P4188" s="28"/>
    </row>
    <row r="4189" customFormat="1" spans="1:16">
      <c r="A4189" s="39"/>
      <c r="B4189" s="40"/>
      <c r="C4189" s="41"/>
      <c r="D4189" s="41"/>
      <c r="E4189" s="41"/>
      <c r="F4189" s="41"/>
      <c r="G4189" s="41"/>
      <c r="H4189" s="41"/>
      <c r="I4189" s="41"/>
      <c r="J4189" s="41"/>
      <c r="K4189" s="41"/>
      <c r="L4189" s="41"/>
      <c r="M4189" s="41"/>
      <c r="N4189" s="41"/>
      <c r="O4189" s="41"/>
      <c r="P4189" s="28"/>
    </row>
    <row r="4190" customFormat="1" spans="1:16">
      <c r="A4190" s="39"/>
      <c r="B4190" s="40"/>
      <c r="C4190" s="41"/>
      <c r="D4190" s="41"/>
      <c r="E4190" s="41"/>
      <c r="F4190" s="41"/>
      <c r="G4190" s="41"/>
      <c r="H4190" s="41"/>
      <c r="I4190" s="41"/>
      <c r="J4190" s="41"/>
      <c r="K4190" s="41"/>
      <c r="L4190" s="41"/>
      <c r="M4190" s="41"/>
      <c r="N4190" s="41"/>
      <c r="O4190" s="41"/>
      <c r="P4190" s="28"/>
    </row>
    <row r="4191" customFormat="1" spans="1:16">
      <c r="A4191" s="39"/>
      <c r="B4191" s="40"/>
      <c r="C4191" s="41"/>
      <c r="D4191" s="41"/>
      <c r="E4191" s="41"/>
      <c r="F4191" s="41"/>
      <c r="G4191" s="41"/>
      <c r="H4191" s="41"/>
      <c r="I4191" s="41"/>
      <c r="J4191" s="41"/>
      <c r="K4191" s="41"/>
      <c r="L4191" s="41"/>
      <c r="M4191" s="41"/>
      <c r="N4191" s="41"/>
      <c r="O4191" s="41"/>
      <c r="P4191" s="28"/>
    </row>
    <row r="4192" customFormat="1" spans="1:16">
      <c r="A4192" s="39"/>
      <c r="B4192" s="40"/>
      <c r="C4192" s="41"/>
      <c r="D4192" s="41"/>
      <c r="E4192" s="41"/>
      <c r="F4192" s="41"/>
      <c r="G4192" s="41"/>
      <c r="H4192" s="41"/>
      <c r="I4192" s="41"/>
      <c r="J4192" s="41"/>
      <c r="K4192" s="41"/>
      <c r="L4192" s="41"/>
      <c r="M4192" s="41"/>
      <c r="N4192" s="41"/>
      <c r="O4192" s="41"/>
      <c r="P4192" s="28"/>
    </row>
    <row r="4193" customFormat="1" spans="1:16">
      <c r="A4193" s="39"/>
      <c r="B4193" s="40"/>
      <c r="C4193" s="41"/>
      <c r="D4193" s="41"/>
      <c r="E4193" s="41"/>
      <c r="F4193" s="41"/>
      <c r="G4193" s="41"/>
      <c r="H4193" s="41"/>
      <c r="I4193" s="41"/>
      <c r="J4193" s="41"/>
      <c r="K4193" s="41"/>
      <c r="L4193" s="41"/>
      <c r="M4193" s="41"/>
      <c r="N4193" s="41"/>
      <c r="O4193" s="41"/>
      <c r="P4193" s="28"/>
    </row>
    <row r="4194" customFormat="1" spans="1:16">
      <c r="A4194" s="39"/>
      <c r="B4194" s="40"/>
      <c r="C4194" s="41"/>
      <c r="D4194" s="41"/>
      <c r="E4194" s="41"/>
      <c r="F4194" s="41"/>
      <c r="G4194" s="41"/>
      <c r="H4194" s="41"/>
      <c r="I4194" s="41"/>
      <c r="J4194" s="41"/>
      <c r="K4194" s="41"/>
      <c r="L4194" s="41"/>
      <c r="M4194" s="41"/>
      <c r="N4194" s="41"/>
      <c r="O4194" s="41"/>
      <c r="P4194" s="28"/>
    </row>
    <row r="4195" customFormat="1" spans="1:16">
      <c r="A4195" s="39"/>
      <c r="B4195" s="40"/>
      <c r="C4195" s="41"/>
      <c r="D4195" s="41"/>
      <c r="E4195" s="41"/>
      <c r="F4195" s="41"/>
      <c r="G4195" s="41"/>
      <c r="H4195" s="41"/>
      <c r="I4195" s="41"/>
      <c r="J4195" s="41"/>
      <c r="K4195" s="41"/>
      <c r="L4195" s="41"/>
      <c r="M4195" s="41"/>
      <c r="N4195" s="41"/>
      <c r="O4195" s="41"/>
      <c r="P4195" s="28"/>
    </row>
    <row r="4196" customFormat="1" spans="1:16">
      <c r="A4196" s="39"/>
      <c r="B4196" s="40"/>
      <c r="C4196" s="41"/>
      <c r="D4196" s="41"/>
      <c r="E4196" s="41"/>
      <c r="F4196" s="41"/>
      <c r="G4196" s="41"/>
      <c r="H4196" s="41"/>
      <c r="I4196" s="41"/>
      <c r="J4196" s="41"/>
      <c r="K4196" s="41"/>
      <c r="L4196" s="41"/>
      <c r="M4196" s="41"/>
      <c r="N4196" s="41"/>
      <c r="O4196" s="41"/>
      <c r="P4196" s="28"/>
    </row>
    <row r="4197" customFormat="1" spans="1:16">
      <c r="A4197" s="39"/>
      <c r="B4197" s="40"/>
      <c r="C4197" s="41"/>
      <c r="D4197" s="41"/>
      <c r="E4197" s="41"/>
      <c r="F4197" s="41"/>
      <c r="G4197" s="41"/>
      <c r="H4197" s="41"/>
      <c r="I4197" s="41"/>
      <c r="J4197" s="41"/>
      <c r="K4197" s="41"/>
      <c r="L4197" s="41"/>
      <c r="M4197" s="41"/>
      <c r="N4197" s="41"/>
      <c r="O4197" s="41"/>
      <c r="P4197" s="28"/>
    </row>
    <row r="4198" customFormat="1" spans="1:16">
      <c r="A4198" s="39"/>
      <c r="B4198" s="40"/>
      <c r="C4198" s="41"/>
      <c r="D4198" s="41"/>
      <c r="E4198" s="41"/>
      <c r="F4198" s="41"/>
      <c r="G4198" s="41"/>
      <c r="H4198" s="41"/>
      <c r="I4198" s="41"/>
      <c r="J4198" s="41"/>
      <c r="K4198" s="41"/>
      <c r="L4198" s="41"/>
      <c r="M4198" s="41"/>
      <c r="N4198" s="41"/>
      <c r="O4198" s="41"/>
      <c r="P4198" s="28"/>
    </row>
    <row r="4199" customFormat="1" spans="1:16">
      <c r="A4199" s="39"/>
      <c r="B4199" s="40"/>
      <c r="C4199" s="41"/>
      <c r="D4199" s="41"/>
      <c r="E4199" s="41"/>
      <c r="F4199" s="41"/>
      <c r="G4199" s="41"/>
      <c r="H4199" s="41"/>
      <c r="I4199" s="41"/>
      <c r="J4199" s="41"/>
      <c r="K4199" s="41"/>
      <c r="L4199" s="41"/>
      <c r="M4199" s="41"/>
      <c r="N4199" s="41"/>
      <c r="O4199" s="41"/>
      <c r="P4199" s="28"/>
    </row>
    <row r="4200" customFormat="1" spans="1:16">
      <c r="A4200" s="39"/>
      <c r="B4200" s="40"/>
      <c r="C4200" s="41"/>
      <c r="D4200" s="41"/>
      <c r="E4200" s="41"/>
      <c r="F4200" s="41"/>
      <c r="G4200" s="41"/>
      <c r="H4200" s="41"/>
      <c r="I4200" s="41"/>
      <c r="J4200" s="41"/>
      <c r="K4200" s="41"/>
      <c r="L4200" s="41"/>
      <c r="M4200" s="41"/>
      <c r="N4200" s="41"/>
      <c r="O4200" s="41"/>
      <c r="P4200" s="28"/>
    </row>
    <row r="4201" customFormat="1" spans="1:16">
      <c r="A4201" s="39"/>
      <c r="B4201" s="40"/>
      <c r="C4201" s="41"/>
      <c r="D4201" s="41"/>
      <c r="E4201" s="41"/>
      <c r="F4201" s="41"/>
      <c r="G4201" s="41"/>
      <c r="H4201" s="41"/>
      <c r="I4201" s="41"/>
      <c r="J4201" s="41"/>
      <c r="K4201" s="41"/>
      <c r="L4201" s="41"/>
      <c r="M4201" s="41"/>
      <c r="N4201" s="41"/>
      <c r="O4201" s="41"/>
      <c r="P4201" s="28"/>
    </row>
    <row r="4202" customFormat="1" spans="1:16">
      <c r="A4202" s="39"/>
      <c r="B4202" s="40"/>
      <c r="C4202" s="41"/>
      <c r="D4202" s="41"/>
      <c r="E4202" s="41"/>
      <c r="F4202" s="41"/>
      <c r="G4202" s="41"/>
      <c r="H4202" s="41"/>
      <c r="I4202" s="41"/>
      <c r="J4202" s="41"/>
      <c r="K4202" s="41"/>
      <c r="L4202" s="41"/>
      <c r="M4202" s="41"/>
      <c r="N4202" s="41"/>
      <c r="O4202" s="41"/>
      <c r="P4202" s="28"/>
    </row>
    <row r="4203" customFormat="1" spans="1:16">
      <c r="A4203" s="39"/>
      <c r="B4203" s="40"/>
      <c r="C4203" s="41"/>
      <c r="D4203" s="41"/>
      <c r="E4203" s="41"/>
      <c r="F4203" s="41"/>
      <c r="G4203" s="41"/>
      <c r="H4203" s="41"/>
      <c r="I4203" s="41"/>
      <c r="J4203" s="41"/>
      <c r="K4203" s="41"/>
      <c r="L4203" s="41"/>
      <c r="M4203" s="41"/>
      <c r="N4203" s="41"/>
      <c r="O4203" s="41"/>
      <c r="P4203" s="28"/>
    </row>
    <row r="4204" customFormat="1" spans="1:16">
      <c r="A4204" s="39"/>
      <c r="B4204" s="40"/>
      <c r="C4204" s="41"/>
      <c r="D4204" s="41"/>
      <c r="E4204" s="41"/>
      <c r="F4204" s="41"/>
      <c r="G4204" s="41"/>
      <c r="H4204" s="41"/>
      <c r="I4204" s="41"/>
      <c r="J4204" s="41"/>
      <c r="K4204" s="41"/>
      <c r="L4204" s="41"/>
      <c r="M4204" s="41"/>
      <c r="N4204" s="41"/>
      <c r="O4204" s="41"/>
      <c r="P4204" s="28"/>
    </row>
    <row r="4205" customFormat="1" spans="1:16">
      <c r="A4205" s="39"/>
      <c r="B4205" s="40"/>
      <c r="C4205" s="41"/>
      <c r="D4205" s="41"/>
      <c r="E4205" s="41"/>
      <c r="F4205" s="41"/>
      <c r="G4205" s="41"/>
      <c r="H4205" s="41"/>
      <c r="I4205" s="41"/>
      <c r="J4205" s="41"/>
      <c r="K4205" s="41"/>
      <c r="L4205" s="41"/>
      <c r="M4205" s="41"/>
      <c r="N4205" s="41"/>
      <c r="O4205" s="41"/>
      <c r="P4205" s="28"/>
    </row>
    <row r="4206" customFormat="1" spans="1:16">
      <c r="A4206" s="39"/>
      <c r="B4206" s="40"/>
      <c r="C4206" s="41"/>
      <c r="D4206" s="41"/>
      <c r="E4206" s="41"/>
      <c r="F4206" s="41"/>
      <c r="G4206" s="41"/>
      <c r="H4206" s="41"/>
      <c r="I4206" s="41"/>
      <c r="J4206" s="41"/>
      <c r="K4206" s="41"/>
      <c r="L4206" s="41"/>
      <c r="M4206" s="41"/>
      <c r="N4206" s="41"/>
      <c r="O4206" s="41"/>
      <c r="P4206" s="28"/>
    </row>
    <row r="4207" customFormat="1" spans="1:16">
      <c r="A4207" s="39"/>
      <c r="B4207" s="40"/>
      <c r="C4207" s="41"/>
      <c r="D4207" s="41"/>
      <c r="E4207" s="41"/>
      <c r="F4207" s="41"/>
      <c r="G4207" s="41"/>
      <c r="H4207" s="41"/>
      <c r="I4207" s="41"/>
      <c r="J4207" s="41"/>
      <c r="K4207" s="41"/>
      <c r="L4207" s="41"/>
      <c r="M4207" s="41"/>
      <c r="N4207" s="41"/>
      <c r="O4207" s="41"/>
      <c r="P4207" s="28"/>
    </row>
    <row r="4208" customFormat="1" spans="1:16">
      <c r="A4208" s="39"/>
      <c r="B4208" s="40"/>
      <c r="C4208" s="41"/>
      <c r="D4208" s="41"/>
      <c r="E4208" s="41"/>
      <c r="F4208" s="41"/>
      <c r="G4208" s="41"/>
      <c r="H4208" s="41"/>
      <c r="I4208" s="41"/>
      <c r="J4208" s="41"/>
      <c r="K4208" s="41"/>
      <c r="L4208" s="41"/>
      <c r="M4208" s="41"/>
      <c r="N4208" s="41"/>
      <c r="O4208" s="41"/>
      <c r="P4208" s="28"/>
    </row>
    <row r="4209" customFormat="1" spans="1:16">
      <c r="A4209" s="39"/>
      <c r="B4209" s="40"/>
      <c r="C4209" s="41"/>
      <c r="D4209" s="41"/>
      <c r="E4209" s="41"/>
      <c r="F4209" s="41"/>
      <c r="G4209" s="41"/>
      <c r="H4209" s="41"/>
      <c r="I4209" s="41"/>
      <c r="J4209" s="41"/>
      <c r="K4209" s="41"/>
      <c r="L4209" s="41"/>
      <c r="M4209" s="41"/>
      <c r="N4209" s="41"/>
      <c r="O4209" s="41"/>
      <c r="P4209" s="28"/>
    </row>
    <row r="4210" customFormat="1" spans="1:16">
      <c r="A4210" s="39"/>
      <c r="B4210" s="40"/>
      <c r="C4210" s="41"/>
      <c r="D4210" s="41"/>
      <c r="E4210" s="41"/>
      <c r="F4210" s="41"/>
      <c r="G4210" s="41"/>
      <c r="H4210" s="41"/>
      <c r="I4210" s="41"/>
      <c r="J4210" s="41"/>
      <c r="K4210" s="41"/>
      <c r="L4210" s="41"/>
      <c r="M4210" s="41"/>
      <c r="N4210" s="41"/>
      <c r="O4210" s="41"/>
      <c r="P4210" s="28"/>
    </row>
    <row r="4211" customFormat="1" spans="1:16">
      <c r="A4211" s="39"/>
      <c r="B4211" s="40"/>
      <c r="C4211" s="41"/>
      <c r="D4211" s="41"/>
      <c r="E4211" s="41"/>
      <c r="F4211" s="41"/>
      <c r="G4211" s="41"/>
      <c r="H4211" s="41"/>
      <c r="I4211" s="41"/>
      <c r="J4211" s="41"/>
      <c r="K4211" s="41"/>
      <c r="L4211" s="41"/>
      <c r="M4211" s="41"/>
      <c r="N4211" s="41"/>
      <c r="O4211" s="41"/>
      <c r="P4211" s="28"/>
    </row>
    <row r="4212" customFormat="1" spans="1:16">
      <c r="A4212" s="39"/>
      <c r="B4212" s="40"/>
      <c r="C4212" s="41"/>
      <c r="D4212" s="41"/>
      <c r="E4212" s="41"/>
      <c r="F4212" s="41"/>
      <c r="G4212" s="41"/>
      <c r="H4212" s="41"/>
      <c r="I4212" s="41"/>
      <c r="J4212" s="41"/>
      <c r="K4212" s="41"/>
      <c r="L4212" s="41"/>
      <c r="M4212" s="41"/>
      <c r="N4212" s="41"/>
      <c r="O4212" s="41"/>
      <c r="P4212" s="28"/>
    </row>
    <row r="4213" customFormat="1" spans="1:16">
      <c r="A4213" s="39"/>
      <c r="B4213" s="40"/>
      <c r="C4213" s="41"/>
      <c r="D4213" s="41"/>
      <c r="E4213" s="41"/>
      <c r="F4213" s="41"/>
      <c r="G4213" s="41"/>
      <c r="H4213" s="41"/>
      <c r="I4213" s="41"/>
      <c r="J4213" s="41"/>
      <c r="K4213" s="41"/>
      <c r="L4213" s="41"/>
      <c r="M4213" s="41"/>
      <c r="N4213" s="41"/>
      <c r="O4213" s="41"/>
      <c r="P4213" s="28"/>
    </row>
    <row r="4214" customFormat="1" spans="1:16">
      <c r="A4214" s="39"/>
      <c r="B4214" s="40"/>
      <c r="C4214" s="41"/>
      <c r="D4214" s="41"/>
      <c r="E4214" s="41"/>
      <c r="F4214" s="41"/>
      <c r="G4214" s="41"/>
      <c r="H4214" s="41"/>
      <c r="I4214" s="41"/>
      <c r="J4214" s="41"/>
      <c r="K4214" s="41"/>
      <c r="L4214" s="41"/>
      <c r="M4214" s="41"/>
      <c r="N4214" s="41"/>
      <c r="O4214" s="41"/>
      <c r="P4214" s="28"/>
    </row>
    <row r="4215" customFormat="1" spans="1:16">
      <c r="A4215" s="39"/>
      <c r="B4215" s="40"/>
      <c r="C4215" s="41"/>
      <c r="D4215" s="41"/>
      <c r="E4215" s="41"/>
      <c r="F4215" s="41"/>
      <c r="G4215" s="41"/>
      <c r="H4215" s="41"/>
      <c r="I4215" s="41"/>
      <c r="J4215" s="41"/>
      <c r="K4215" s="41"/>
      <c r="L4215" s="41"/>
      <c r="M4215" s="41"/>
      <c r="N4215" s="41"/>
      <c r="O4215" s="41"/>
      <c r="P4215" s="28"/>
    </row>
    <row r="4216" customFormat="1" spans="1:16">
      <c r="A4216" s="39"/>
      <c r="B4216" s="40"/>
      <c r="C4216" s="41"/>
      <c r="D4216" s="41"/>
      <c r="E4216" s="41"/>
      <c r="F4216" s="41"/>
      <c r="G4216" s="41"/>
      <c r="H4216" s="41"/>
      <c r="I4216" s="41"/>
      <c r="J4216" s="41"/>
      <c r="K4216" s="41"/>
      <c r="L4216" s="41"/>
      <c r="M4216" s="41"/>
      <c r="N4216" s="41"/>
      <c r="O4216" s="41"/>
      <c r="P4216" s="28"/>
    </row>
    <row r="4217" customFormat="1" spans="1:16">
      <c r="A4217" s="39"/>
      <c r="B4217" s="40"/>
      <c r="C4217" s="41"/>
      <c r="D4217" s="41"/>
      <c r="E4217" s="41"/>
      <c r="F4217" s="41"/>
      <c r="G4217" s="41"/>
      <c r="H4217" s="41"/>
      <c r="I4217" s="41"/>
      <c r="J4217" s="41"/>
      <c r="K4217" s="41"/>
      <c r="L4217" s="41"/>
      <c r="M4217" s="41"/>
      <c r="N4217" s="41"/>
      <c r="O4217" s="41"/>
      <c r="P4217" s="28"/>
    </row>
    <row r="4218" customFormat="1" spans="1:16">
      <c r="A4218" s="39"/>
      <c r="B4218" s="40"/>
      <c r="C4218" s="41"/>
      <c r="D4218" s="41"/>
      <c r="E4218" s="41"/>
      <c r="F4218" s="41"/>
      <c r="G4218" s="41"/>
      <c r="H4218" s="41"/>
      <c r="I4218" s="41"/>
      <c r="J4218" s="41"/>
      <c r="K4218" s="41"/>
      <c r="L4218" s="41"/>
      <c r="M4218" s="41"/>
      <c r="N4218" s="41"/>
      <c r="O4218" s="41"/>
      <c r="P4218" s="28"/>
    </row>
    <row r="4219" customFormat="1" spans="1:16">
      <c r="A4219" s="39"/>
      <c r="B4219" s="40"/>
      <c r="C4219" s="41"/>
      <c r="D4219" s="41"/>
      <c r="E4219" s="41"/>
      <c r="F4219" s="41"/>
      <c r="G4219" s="41"/>
      <c r="H4219" s="41"/>
      <c r="I4219" s="41"/>
      <c r="J4219" s="41"/>
      <c r="K4219" s="41"/>
      <c r="L4219" s="41"/>
      <c r="M4219" s="41"/>
      <c r="N4219" s="41"/>
      <c r="O4219" s="41"/>
      <c r="P4219" s="28"/>
    </row>
    <row r="4220" customFormat="1" spans="1:16">
      <c r="A4220" s="39"/>
      <c r="B4220" s="40"/>
      <c r="C4220" s="41"/>
      <c r="D4220" s="41"/>
      <c r="E4220" s="41"/>
      <c r="F4220" s="41"/>
      <c r="G4220" s="41"/>
      <c r="H4220" s="41"/>
      <c r="I4220" s="41"/>
      <c r="J4220" s="41"/>
      <c r="K4220" s="41"/>
      <c r="L4220" s="41"/>
      <c r="M4220" s="41"/>
      <c r="N4220" s="41"/>
      <c r="O4220" s="41"/>
      <c r="P4220" s="28"/>
    </row>
    <row r="4221" customFormat="1" spans="1:16">
      <c r="A4221" s="39"/>
      <c r="B4221" s="40"/>
      <c r="C4221" s="41"/>
      <c r="D4221" s="41"/>
      <c r="E4221" s="41"/>
      <c r="F4221" s="41"/>
      <c r="G4221" s="41"/>
      <c r="H4221" s="41"/>
      <c r="I4221" s="41"/>
      <c r="J4221" s="41"/>
      <c r="K4221" s="41"/>
      <c r="L4221" s="41"/>
      <c r="M4221" s="41"/>
      <c r="N4221" s="41"/>
      <c r="O4221" s="41"/>
      <c r="P4221" s="28"/>
    </row>
    <row r="4222" customFormat="1" spans="1:16">
      <c r="A4222" s="39"/>
      <c r="B4222" s="40"/>
      <c r="C4222" s="41"/>
      <c r="D4222" s="41"/>
      <c r="E4222" s="41"/>
      <c r="F4222" s="41"/>
      <c r="G4222" s="41"/>
      <c r="H4222" s="41"/>
      <c r="I4222" s="41"/>
      <c r="J4222" s="41"/>
      <c r="K4222" s="41"/>
      <c r="L4222" s="41"/>
      <c r="M4222" s="41"/>
      <c r="N4222" s="41"/>
      <c r="O4222" s="41"/>
      <c r="P4222" s="28"/>
    </row>
    <row r="4223" customFormat="1" spans="1:16">
      <c r="A4223" s="39"/>
      <c r="B4223" s="40"/>
      <c r="C4223" s="41"/>
      <c r="D4223" s="41"/>
      <c r="E4223" s="41"/>
      <c r="F4223" s="41"/>
      <c r="G4223" s="41"/>
      <c r="H4223" s="41"/>
      <c r="I4223" s="41"/>
      <c r="J4223" s="41"/>
      <c r="K4223" s="41"/>
      <c r="L4223" s="41"/>
      <c r="M4223" s="41"/>
      <c r="N4223" s="41"/>
      <c r="O4223" s="41"/>
      <c r="P4223" s="28"/>
    </row>
    <row r="4224" customFormat="1" spans="1:16">
      <c r="A4224" s="39"/>
      <c r="B4224" s="40"/>
      <c r="C4224" s="41"/>
      <c r="D4224" s="41"/>
      <c r="E4224" s="41"/>
      <c r="F4224" s="41"/>
      <c r="G4224" s="41"/>
      <c r="H4224" s="41"/>
      <c r="I4224" s="41"/>
      <c r="J4224" s="41"/>
      <c r="K4224" s="41"/>
      <c r="L4224" s="41"/>
      <c r="M4224" s="41"/>
      <c r="N4224" s="41"/>
      <c r="O4224" s="41"/>
      <c r="P4224" s="28"/>
    </row>
    <row r="4225" customFormat="1" spans="1:16">
      <c r="A4225" s="39"/>
      <c r="B4225" s="40"/>
      <c r="C4225" s="41"/>
      <c r="D4225" s="41"/>
      <c r="E4225" s="41"/>
      <c r="F4225" s="41"/>
      <c r="G4225" s="41"/>
      <c r="H4225" s="41"/>
      <c r="I4225" s="41"/>
      <c r="J4225" s="41"/>
      <c r="K4225" s="41"/>
      <c r="L4225" s="41"/>
      <c r="M4225" s="41"/>
      <c r="N4225" s="41"/>
      <c r="O4225" s="41"/>
      <c r="P4225" s="28"/>
    </row>
    <row r="4226" customFormat="1" spans="1:16">
      <c r="A4226" s="39"/>
      <c r="B4226" s="40"/>
      <c r="C4226" s="41"/>
      <c r="D4226" s="41"/>
      <c r="E4226" s="41"/>
      <c r="F4226" s="41"/>
      <c r="G4226" s="41"/>
      <c r="H4226" s="41"/>
      <c r="I4226" s="41"/>
      <c r="J4226" s="41"/>
      <c r="K4226" s="41"/>
      <c r="L4226" s="41"/>
      <c r="M4226" s="41"/>
      <c r="N4226" s="41"/>
      <c r="O4226" s="41"/>
      <c r="P4226" s="28"/>
    </row>
    <row r="4227" customFormat="1" spans="1:16">
      <c r="A4227" s="39"/>
      <c r="B4227" s="40"/>
      <c r="C4227" s="41"/>
      <c r="D4227" s="41"/>
      <c r="E4227" s="41"/>
      <c r="F4227" s="41"/>
      <c r="G4227" s="41"/>
      <c r="H4227" s="41"/>
      <c r="I4227" s="41"/>
      <c r="J4227" s="41"/>
      <c r="K4227" s="41"/>
      <c r="L4227" s="41"/>
      <c r="M4227" s="41"/>
      <c r="N4227" s="41"/>
      <c r="O4227" s="41"/>
      <c r="P4227" s="28"/>
    </row>
    <row r="4228" customFormat="1" spans="1:16">
      <c r="A4228" s="39"/>
      <c r="B4228" s="40"/>
      <c r="C4228" s="41"/>
      <c r="D4228" s="41"/>
      <c r="E4228" s="41"/>
      <c r="F4228" s="41"/>
      <c r="G4228" s="41"/>
      <c r="H4228" s="41"/>
      <c r="I4228" s="41"/>
      <c r="J4228" s="41"/>
      <c r="K4228" s="41"/>
      <c r="L4228" s="41"/>
      <c r="M4228" s="41"/>
      <c r="N4228" s="41"/>
      <c r="O4228" s="41"/>
      <c r="P4228" s="28"/>
    </row>
    <row r="4229" customFormat="1" spans="1:16">
      <c r="A4229" s="39"/>
      <c r="B4229" s="40"/>
      <c r="C4229" s="41"/>
      <c r="D4229" s="41"/>
      <c r="E4229" s="41"/>
      <c r="F4229" s="41"/>
      <c r="G4229" s="41"/>
      <c r="H4229" s="41"/>
      <c r="I4229" s="41"/>
      <c r="J4229" s="41"/>
      <c r="K4229" s="41"/>
      <c r="L4229" s="41"/>
      <c r="M4229" s="41"/>
      <c r="N4229" s="41"/>
      <c r="O4229" s="41"/>
      <c r="P4229" s="28"/>
    </row>
    <row r="4230" customFormat="1" spans="1:16">
      <c r="A4230" s="39"/>
      <c r="B4230" s="40"/>
      <c r="C4230" s="41"/>
      <c r="D4230" s="41"/>
      <c r="E4230" s="41"/>
      <c r="F4230" s="41"/>
      <c r="G4230" s="41"/>
      <c r="H4230" s="41"/>
      <c r="I4230" s="41"/>
      <c r="J4230" s="41"/>
      <c r="K4230" s="41"/>
      <c r="L4230" s="41"/>
      <c r="M4230" s="41"/>
      <c r="N4230" s="41"/>
      <c r="O4230" s="41"/>
      <c r="P4230" s="28"/>
    </row>
    <row r="4231" customFormat="1" spans="1:16">
      <c r="A4231" s="39"/>
      <c r="B4231" s="40"/>
      <c r="C4231" s="41"/>
      <c r="D4231" s="41"/>
      <c r="E4231" s="41"/>
      <c r="F4231" s="41"/>
      <c r="G4231" s="41"/>
      <c r="H4231" s="41"/>
      <c r="I4231" s="41"/>
      <c r="J4231" s="41"/>
      <c r="K4231" s="41"/>
      <c r="L4231" s="41"/>
      <c r="M4231" s="41"/>
      <c r="N4231" s="41"/>
      <c r="O4231" s="41"/>
      <c r="P4231" s="28"/>
    </row>
    <row r="4232" customFormat="1" spans="1:16">
      <c r="A4232" s="39"/>
      <c r="B4232" s="40"/>
      <c r="C4232" s="41"/>
      <c r="D4232" s="41"/>
      <c r="E4232" s="41"/>
      <c r="F4232" s="41"/>
      <c r="G4232" s="41"/>
      <c r="H4232" s="41"/>
      <c r="I4232" s="41"/>
      <c r="J4232" s="41"/>
      <c r="K4232" s="41"/>
      <c r="L4232" s="41"/>
      <c r="M4232" s="41"/>
      <c r="N4232" s="41"/>
      <c r="O4232" s="41"/>
      <c r="P4232" s="28"/>
    </row>
    <row r="4233" customFormat="1" spans="1:16">
      <c r="A4233" s="39"/>
      <c r="B4233" s="40"/>
      <c r="C4233" s="41"/>
      <c r="D4233" s="41"/>
      <c r="E4233" s="41"/>
      <c r="F4233" s="41"/>
      <c r="G4233" s="41"/>
      <c r="H4233" s="41"/>
      <c r="I4233" s="41"/>
      <c r="J4233" s="41"/>
      <c r="K4233" s="41"/>
      <c r="L4233" s="41"/>
      <c r="M4233" s="41"/>
      <c r="N4233" s="41"/>
      <c r="O4233" s="41"/>
      <c r="P4233" s="28"/>
    </row>
    <row r="4234" customFormat="1" spans="1:16">
      <c r="A4234" s="39"/>
      <c r="B4234" s="40"/>
      <c r="C4234" s="41"/>
      <c r="D4234" s="41"/>
      <c r="E4234" s="41"/>
      <c r="F4234" s="41"/>
      <c r="G4234" s="41"/>
      <c r="H4234" s="41"/>
      <c r="I4234" s="41"/>
      <c r="J4234" s="41"/>
      <c r="K4234" s="41"/>
      <c r="L4234" s="41"/>
      <c r="M4234" s="41"/>
      <c r="N4234" s="41"/>
      <c r="O4234" s="41"/>
      <c r="P4234" s="28"/>
    </row>
    <row r="4235" customFormat="1" spans="1:16">
      <c r="A4235" s="39"/>
      <c r="B4235" s="40"/>
      <c r="C4235" s="41"/>
      <c r="D4235" s="41"/>
      <c r="E4235" s="41"/>
      <c r="F4235" s="41"/>
      <c r="G4235" s="41"/>
      <c r="H4235" s="41"/>
      <c r="I4235" s="41"/>
      <c r="J4235" s="41"/>
      <c r="K4235" s="41"/>
      <c r="L4235" s="41"/>
      <c r="M4235" s="41"/>
      <c r="N4235" s="41"/>
      <c r="O4235" s="41"/>
      <c r="P4235" s="28"/>
    </row>
    <row r="4236" customFormat="1" spans="1:16">
      <c r="A4236" s="39"/>
      <c r="B4236" s="40"/>
      <c r="C4236" s="41"/>
      <c r="D4236" s="41"/>
      <c r="E4236" s="41"/>
      <c r="F4236" s="41"/>
      <c r="G4236" s="41"/>
      <c r="H4236" s="41"/>
      <c r="I4236" s="41"/>
      <c r="J4236" s="41"/>
      <c r="K4236" s="41"/>
      <c r="L4236" s="41"/>
      <c r="M4236" s="41"/>
      <c r="N4236" s="41"/>
      <c r="O4236" s="41"/>
      <c r="P4236" s="28"/>
    </row>
    <row r="4237" customFormat="1" spans="1:16">
      <c r="A4237" s="39"/>
      <c r="B4237" s="40"/>
      <c r="C4237" s="41"/>
      <c r="D4237" s="41"/>
      <c r="E4237" s="41"/>
      <c r="F4237" s="41"/>
      <c r="G4237" s="41"/>
      <c r="H4237" s="41"/>
      <c r="I4237" s="41"/>
      <c r="J4237" s="41"/>
      <c r="K4237" s="41"/>
      <c r="L4237" s="41"/>
      <c r="M4237" s="41"/>
      <c r="N4237" s="41"/>
      <c r="O4237" s="41"/>
      <c r="P4237" s="28"/>
    </row>
    <row r="4238" customFormat="1" spans="1:16">
      <c r="A4238" s="39"/>
      <c r="B4238" s="40"/>
      <c r="C4238" s="41"/>
      <c r="D4238" s="41"/>
      <c r="E4238" s="41"/>
      <c r="F4238" s="41"/>
      <c r="G4238" s="41"/>
      <c r="H4238" s="41"/>
      <c r="I4238" s="41"/>
      <c r="J4238" s="41"/>
      <c r="K4238" s="41"/>
      <c r="L4238" s="41"/>
      <c r="M4238" s="41"/>
      <c r="N4238" s="41"/>
      <c r="O4238" s="41"/>
      <c r="P4238" s="28"/>
    </row>
    <row r="4239" customFormat="1" spans="1:16">
      <c r="A4239" s="39"/>
      <c r="B4239" s="40"/>
      <c r="C4239" s="41"/>
      <c r="D4239" s="41"/>
      <c r="E4239" s="41"/>
      <c r="F4239" s="41"/>
      <c r="G4239" s="41"/>
      <c r="H4239" s="41"/>
      <c r="I4239" s="41"/>
      <c r="J4239" s="41"/>
      <c r="K4239" s="41"/>
      <c r="L4239" s="41"/>
      <c r="M4239" s="41"/>
      <c r="N4239" s="41"/>
      <c r="O4239" s="41"/>
      <c r="P4239" s="28"/>
    </row>
    <row r="4240" customFormat="1" spans="1:16">
      <c r="A4240" s="39"/>
      <c r="B4240" s="40"/>
      <c r="C4240" s="41"/>
      <c r="D4240" s="41"/>
      <c r="E4240" s="41"/>
      <c r="F4240" s="41"/>
      <c r="G4240" s="41"/>
      <c r="H4240" s="41"/>
      <c r="I4240" s="41"/>
      <c r="J4240" s="41"/>
      <c r="K4240" s="41"/>
      <c r="L4240" s="41"/>
      <c r="M4240" s="41"/>
      <c r="N4240" s="41"/>
      <c r="O4240" s="41"/>
      <c r="P4240" s="28"/>
    </row>
    <row r="4241" customFormat="1" spans="1:16">
      <c r="A4241" s="39"/>
      <c r="B4241" s="40"/>
      <c r="C4241" s="41"/>
      <c r="D4241" s="41"/>
      <c r="E4241" s="41"/>
      <c r="F4241" s="41"/>
      <c r="G4241" s="41"/>
      <c r="H4241" s="41"/>
      <c r="I4241" s="41"/>
      <c r="J4241" s="41"/>
      <c r="K4241" s="41"/>
      <c r="L4241" s="41"/>
      <c r="M4241" s="41"/>
      <c r="N4241" s="41"/>
      <c r="O4241" s="41"/>
      <c r="P4241" s="28"/>
    </row>
    <row r="4242" customFormat="1" spans="1:16">
      <c r="A4242" s="39"/>
      <c r="B4242" s="40"/>
      <c r="C4242" s="41"/>
      <c r="D4242" s="41"/>
      <c r="E4242" s="41"/>
      <c r="F4242" s="41"/>
      <c r="G4242" s="41"/>
      <c r="H4242" s="41"/>
      <c r="I4242" s="41"/>
      <c r="J4242" s="41"/>
      <c r="K4242" s="41"/>
      <c r="L4242" s="41"/>
      <c r="M4242" s="41"/>
      <c r="N4242" s="41"/>
      <c r="O4242" s="41"/>
      <c r="P4242" s="28"/>
    </row>
    <row r="4243" customFormat="1" spans="1:16">
      <c r="A4243" s="39"/>
      <c r="B4243" s="40"/>
      <c r="C4243" s="41"/>
      <c r="D4243" s="41"/>
      <c r="E4243" s="41"/>
      <c r="F4243" s="41"/>
      <c r="G4243" s="41"/>
      <c r="H4243" s="41"/>
      <c r="I4243" s="41"/>
      <c r="J4243" s="41"/>
      <c r="K4243" s="41"/>
      <c r="L4243" s="41"/>
      <c r="M4243" s="41"/>
      <c r="N4243" s="41"/>
      <c r="O4243" s="41"/>
      <c r="P4243" s="28"/>
    </row>
    <row r="4244" customFormat="1" spans="1:16">
      <c r="A4244" s="39"/>
      <c r="B4244" s="40"/>
      <c r="C4244" s="41"/>
      <c r="D4244" s="41"/>
      <c r="E4244" s="41"/>
      <c r="F4244" s="41"/>
      <c r="G4244" s="41"/>
      <c r="H4244" s="41"/>
      <c r="I4244" s="41"/>
      <c r="J4244" s="41"/>
      <c r="K4244" s="41"/>
      <c r="L4244" s="41"/>
      <c r="M4244" s="41"/>
      <c r="N4244" s="41"/>
      <c r="O4244" s="41"/>
      <c r="P4244" s="28"/>
    </row>
    <row r="4245" customFormat="1" spans="1:16">
      <c r="A4245" s="39"/>
      <c r="B4245" s="40"/>
      <c r="C4245" s="41"/>
      <c r="D4245" s="41"/>
      <c r="E4245" s="41"/>
      <c r="F4245" s="41"/>
      <c r="G4245" s="41"/>
      <c r="H4245" s="41"/>
      <c r="I4245" s="41"/>
      <c r="J4245" s="41"/>
      <c r="K4245" s="41"/>
      <c r="L4245" s="41"/>
      <c r="M4245" s="41"/>
      <c r="N4245" s="41"/>
      <c r="O4245" s="41"/>
      <c r="P4245" s="28"/>
    </row>
    <row r="4246" customFormat="1" spans="1:16">
      <c r="A4246" s="39"/>
      <c r="B4246" s="40"/>
      <c r="C4246" s="41"/>
      <c r="D4246" s="41"/>
      <c r="E4246" s="41"/>
      <c r="F4246" s="41"/>
      <c r="G4246" s="41"/>
      <c r="H4246" s="41"/>
      <c r="I4246" s="41"/>
      <c r="J4246" s="41"/>
      <c r="K4246" s="41"/>
      <c r="L4246" s="41"/>
      <c r="M4246" s="41"/>
      <c r="N4246" s="41"/>
      <c r="O4246" s="41"/>
      <c r="P4246" s="28"/>
    </row>
    <row r="4247" customFormat="1" spans="1:16">
      <c r="A4247" s="39"/>
      <c r="B4247" s="40"/>
      <c r="C4247" s="41"/>
      <c r="D4247" s="41"/>
      <c r="E4247" s="41"/>
      <c r="F4247" s="41"/>
      <c r="G4247" s="41"/>
      <c r="H4247" s="41"/>
      <c r="I4247" s="41"/>
      <c r="J4247" s="41"/>
      <c r="K4247" s="41"/>
      <c r="L4247" s="41"/>
      <c r="M4247" s="41"/>
      <c r="N4247" s="41"/>
      <c r="O4247" s="41"/>
      <c r="P4247" s="28"/>
    </row>
    <row r="4248" customFormat="1" spans="1:16">
      <c r="A4248" s="39"/>
      <c r="B4248" s="40"/>
      <c r="C4248" s="41"/>
      <c r="D4248" s="41"/>
      <c r="E4248" s="41"/>
      <c r="F4248" s="41"/>
      <c r="G4248" s="41"/>
      <c r="H4248" s="41"/>
      <c r="I4248" s="41"/>
      <c r="J4248" s="41"/>
      <c r="K4248" s="41"/>
      <c r="L4248" s="41"/>
      <c r="M4248" s="41"/>
      <c r="N4248" s="41"/>
      <c r="O4248" s="41"/>
      <c r="P4248" s="28"/>
    </row>
    <row r="4249" customFormat="1" spans="1:16">
      <c r="A4249" s="39"/>
      <c r="B4249" s="40"/>
      <c r="C4249" s="41"/>
      <c r="D4249" s="41"/>
      <c r="E4249" s="41"/>
      <c r="F4249" s="41"/>
      <c r="G4249" s="41"/>
      <c r="H4249" s="41"/>
      <c r="I4249" s="41"/>
      <c r="J4249" s="41"/>
      <c r="K4249" s="41"/>
      <c r="L4249" s="41"/>
      <c r="M4249" s="41"/>
      <c r="N4249" s="41"/>
      <c r="O4249" s="41"/>
      <c r="P4249" s="28"/>
    </row>
    <row r="4250" customFormat="1" spans="1:16">
      <c r="A4250" s="39"/>
      <c r="B4250" s="40"/>
      <c r="C4250" s="41"/>
      <c r="D4250" s="41"/>
      <c r="E4250" s="41"/>
      <c r="F4250" s="41"/>
      <c r="G4250" s="41"/>
      <c r="H4250" s="41"/>
      <c r="I4250" s="41"/>
      <c r="J4250" s="41"/>
      <c r="K4250" s="41"/>
      <c r="L4250" s="41"/>
      <c r="M4250" s="41"/>
      <c r="N4250" s="41"/>
      <c r="O4250" s="41"/>
      <c r="P4250" s="28"/>
    </row>
    <row r="4251" customFormat="1" spans="1:16">
      <c r="A4251" s="39"/>
      <c r="B4251" s="40"/>
      <c r="C4251" s="41"/>
      <c r="D4251" s="41"/>
      <c r="E4251" s="41"/>
      <c r="F4251" s="41"/>
      <c r="G4251" s="41"/>
      <c r="H4251" s="41"/>
      <c r="I4251" s="41"/>
      <c r="J4251" s="41"/>
      <c r="K4251" s="41"/>
      <c r="L4251" s="41"/>
      <c r="M4251" s="41"/>
      <c r="N4251" s="41"/>
      <c r="O4251" s="41"/>
      <c r="P4251" s="28"/>
    </row>
    <row r="4252" customFormat="1" spans="1:16">
      <c r="A4252" s="39"/>
      <c r="B4252" s="40"/>
      <c r="C4252" s="41"/>
      <c r="D4252" s="41"/>
      <c r="E4252" s="41"/>
      <c r="F4252" s="41"/>
      <c r="G4252" s="41"/>
      <c r="H4252" s="41"/>
      <c r="I4252" s="41"/>
      <c r="J4252" s="41"/>
      <c r="K4252" s="41"/>
      <c r="L4252" s="41"/>
      <c r="M4252" s="41"/>
      <c r="N4252" s="41"/>
      <c r="O4252" s="41"/>
      <c r="P4252" s="28"/>
    </row>
    <row r="4253" customFormat="1" spans="1:16">
      <c r="A4253" s="39"/>
      <c r="B4253" s="40"/>
      <c r="C4253" s="41"/>
      <c r="D4253" s="41"/>
      <c r="E4253" s="41"/>
      <c r="F4253" s="41"/>
      <c r="G4253" s="41"/>
      <c r="H4253" s="41"/>
      <c r="I4253" s="41"/>
      <c r="J4253" s="41"/>
      <c r="K4253" s="41"/>
      <c r="L4253" s="41"/>
      <c r="M4253" s="41"/>
      <c r="N4253" s="41"/>
      <c r="O4253" s="41"/>
      <c r="P4253" s="28"/>
    </row>
    <row r="4254" customFormat="1" spans="1:16">
      <c r="A4254" s="39"/>
      <c r="B4254" s="40"/>
      <c r="C4254" s="41"/>
      <c r="D4254" s="41"/>
      <c r="E4254" s="41"/>
      <c r="F4254" s="41"/>
      <c r="G4254" s="41"/>
      <c r="H4254" s="41"/>
      <c r="I4254" s="41"/>
      <c r="J4254" s="41"/>
      <c r="K4254" s="41"/>
      <c r="L4254" s="41"/>
      <c r="M4254" s="41"/>
      <c r="N4254" s="41"/>
      <c r="O4254" s="41"/>
      <c r="P4254" s="28"/>
    </row>
    <row r="4255" customFormat="1" spans="1:16">
      <c r="A4255" s="39"/>
      <c r="B4255" s="40"/>
      <c r="C4255" s="41"/>
      <c r="D4255" s="41"/>
      <c r="E4255" s="41"/>
      <c r="F4255" s="41"/>
      <c r="G4255" s="41"/>
      <c r="H4255" s="41"/>
      <c r="I4255" s="41"/>
      <c r="J4255" s="41"/>
      <c r="K4255" s="41"/>
      <c r="L4255" s="41"/>
      <c r="M4255" s="41"/>
      <c r="N4255" s="41"/>
      <c r="O4255" s="41"/>
      <c r="P4255" s="28"/>
    </row>
    <row r="4256" customFormat="1" spans="1:16">
      <c r="A4256" s="39"/>
      <c r="B4256" s="40"/>
      <c r="C4256" s="41"/>
      <c r="D4256" s="41"/>
      <c r="E4256" s="41"/>
      <c r="F4256" s="41"/>
      <c r="G4256" s="41"/>
      <c r="H4256" s="41"/>
      <c r="I4256" s="41"/>
      <c r="J4256" s="41"/>
      <c r="K4256" s="41"/>
      <c r="L4256" s="41"/>
      <c r="M4256" s="41"/>
      <c r="N4256" s="41"/>
      <c r="O4256" s="41"/>
      <c r="P4256" s="28"/>
    </row>
    <row r="4257" customFormat="1" spans="1:16">
      <c r="A4257" s="39"/>
      <c r="B4257" s="40"/>
      <c r="C4257" s="41"/>
      <c r="D4257" s="41"/>
      <c r="E4257" s="41"/>
      <c r="F4257" s="41"/>
      <c r="G4257" s="41"/>
      <c r="H4257" s="41"/>
      <c r="I4257" s="41"/>
      <c r="J4257" s="41"/>
      <c r="K4257" s="41"/>
      <c r="L4257" s="41"/>
      <c r="M4257" s="41"/>
      <c r="N4257" s="41"/>
      <c r="O4257" s="41"/>
      <c r="P4257" s="28"/>
    </row>
    <row r="4258" customFormat="1" spans="1:16">
      <c r="A4258" s="39"/>
      <c r="B4258" s="40"/>
      <c r="C4258" s="41"/>
      <c r="D4258" s="41"/>
      <c r="E4258" s="41"/>
      <c r="F4258" s="41"/>
      <c r="G4258" s="41"/>
      <c r="H4258" s="41"/>
      <c r="I4258" s="41"/>
      <c r="J4258" s="41"/>
      <c r="K4258" s="41"/>
      <c r="L4258" s="41"/>
      <c r="M4258" s="41"/>
      <c r="N4258" s="41"/>
      <c r="O4258" s="41"/>
      <c r="P4258" s="28"/>
    </row>
    <row r="4259" customFormat="1" spans="1:16">
      <c r="A4259" s="39"/>
      <c r="B4259" s="40"/>
      <c r="C4259" s="41"/>
      <c r="D4259" s="41"/>
      <c r="E4259" s="41"/>
      <c r="F4259" s="41"/>
      <c r="G4259" s="41"/>
      <c r="H4259" s="41"/>
      <c r="I4259" s="41"/>
      <c r="J4259" s="41"/>
      <c r="K4259" s="41"/>
      <c r="L4259" s="41"/>
      <c r="M4259" s="41"/>
      <c r="N4259" s="41"/>
      <c r="O4259" s="41"/>
      <c r="P4259" s="28"/>
    </row>
    <row r="4260" customFormat="1" spans="1:16">
      <c r="A4260" s="39"/>
      <c r="B4260" s="40"/>
      <c r="C4260" s="41"/>
      <c r="D4260" s="41"/>
      <c r="E4260" s="41"/>
      <c r="F4260" s="41"/>
      <c r="G4260" s="41"/>
      <c r="H4260" s="41"/>
      <c r="I4260" s="41"/>
      <c r="J4260" s="41"/>
      <c r="K4260" s="41"/>
      <c r="L4260" s="41"/>
      <c r="M4260" s="41"/>
      <c r="N4260" s="41"/>
      <c r="O4260" s="41"/>
      <c r="P4260" s="28"/>
    </row>
    <row r="4261" customFormat="1" spans="1:16">
      <c r="A4261" s="39"/>
      <c r="B4261" s="40"/>
      <c r="C4261" s="41"/>
      <c r="D4261" s="41"/>
      <c r="E4261" s="41"/>
      <c r="F4261" s="41"/>
      <c r="G4261" s="41"/>
      <c r="H4261" s="41"/>
      <c r="I4261" s="41"/>
      <c r="J4261" s="41"/>
      <c r="K4261" s="41"/>
      <c r="L4261" s="41"/>
      <c r="M4261" s="41"/>
      <c r="N4261" s="41"/>
      <c r="O4261" s="41"/>
      <c r="P4261" s="28"/>
    </row>
    <row r="4262" customFormat="1" spans="1:16">
      <c r="A4262" s="39"/>
      <c r="B4262" s="40"/>
      <c r="C4262" s="41"/>
      <c r="D4262" s="41"/>
      <c r="E4262" s="41"/>
      <c r="F4262" s="41"/>
      <c r="G4262" s="41"/>
      <c r="H4262" s="41"/>
      <c r="I4262" s="41"/>
      <c r="J4262" s="41"/>
      <c r="K4262" s="41"/>
      <c r="L4262" s="41"/>
      <c r="M4262" s="41"/>
      <c r="N4262" s="41"/>
      <c r="O4262" s="41"/>
      <c r="P4262" s="28"/>
    </row>
    <row r="4263" customFormat="1" spans="1:16">
      <c r="A4263" s="39"/>
      <c r="B4263" s="40"/>
      <c r="C4263" s="41"/>
      <c r="D4263" s="41"/>
      <c r="E4263" s="41"/>
      <c r="F4263" s="41"/>
      <c r="G4263" s="41"/>
      <c r="H4263" s="41"/>
      <c r="I4263" s="41"/>
      <c r="J4263" s="41"/>
      <c r="K4263" s="41"/>
      <c r="L4263" s="41"/>
      <c r="M4263" s="41"/>
      <c r="N4263" s="41"/>
      <c r="O4263" s="41"/>
      <c r="P4263" s="28"/>
    </row>
    <row r="4264" customFormat="1" spans="1:16">
      <c r="A4264" s="39"/>
      <c r="B4264" s="40"/>
      <c r="C4264" s="41"/>
      <c r="D4264" s="41"/>
      <c r="E4264" s="41"/>
      <c r="F4264" s="41"/>
      <c r="G4264" s="41"/>
      <c r="H4264" s="41"/>
      <c r="I4264" s="41"/>
      <c r="J4264" s="41"/>
      <c r="K4264" s="41"/>
      <c r="L4264" s="41"/>
      <c r="M4264" s="41"/>
      <c r="N4264" s="41"/>
      <c r="O4264" s="41"/>
      <c r="P4264" s="28"/>
    </row>
    <row r="4265" customFormat="1" spans="1:16">
      <c r="A4265" s="39"/>
      <c r="B4265" s="40"/>
      <c r="C4265" s="41"/>
      <c r="D4265" s="41"/>
      <c r="E4265" s="41"/>
      <c r="F4265" s="41"/>
      <c r="G4265" s="41"/>
      <c r="H4265" s="41"/>
      <c r="I4265" s="41"/>
      <c r="J4265" s="41"/>
      <c r="K4265" s="41"/>
      <c r="L4265" s="41"/>
      <c r="M4265" s="41"/>
      <c r="N4265" s="41"/>
      <c r="O4265" s="41"/>
      <c r="P4265" s="28"/>
    </row>
    <row r="4266" customFormat="1" spans="1:16">
      <c r="A4266" s="39"/>
      <c r="B4266" s="40"/>
      <c r="C4266" s="41"/>
      <c r="D4266" s="41"/>
      <c r="E4266" s="41"/>
      <c r="F4266" s="41"/>
      <c r="G4266" s="41"/>
      <c r="H4266" s="41"/>
      <c r="I4266" s="41"/>
      <c r="J4266" s="41"/>
      <c r="K4266" s="41"/>
      <c r="L4266" s="41"/>
      <c r="M4266" s="41"/>
      <c r="N4266" s="41"/>
      <c r="O4266" s="41"/>
      <c r="P4266" s="28"/>
    </row>
    <row r="4267" customFormat="1" spans="1:16">
      <c r="A4267" s="39"/>
      <c r="B4267" s="40"/>
      <c r="C4267" s="41"/>
      <c r="D4267" s="41"/>
      <c r="E4267" s="41"/>
      <c r="F4267" s="41"/>
      <c r="G4267" s="41"/>
      <c r="H4267" s="41"/>
      <c r="I4267" s="41"/>
      <c r="J4267" s="41"/>
      <c r="K4267" s="41"/>
      <c r="L4267" s="41"/>
      <c r="M4267" s="41"/>
      <c r="N4267" s="41"/>
      <c r="O4267" s="41"/>
      <c r="P4267" s="28"/>
    </row>
    <row r="4268" customFormat="1" spans="1:16">
      <c r="A4268" s="39"/>
      <c r="B4268" s="40"/>
      <c r="C4268" s="41"/>
      <c r="D4268" s="41"/>
      <c r="E4268" s="41"/>
      <c r="F4268" s="41"/>
      <c r="G4268" s="41"/>
      <c r="H4268" s="41"/>
      <c r="I4268" s="41"/>
      <c r="J4268" s="41"/>
      <c r="K4268" s="41"/>
      <c r="L4268" s="41"/>
      <c r="M4268" s="41"/>
      <c r="N4268" s="41"/>
      <c r="O4268" s="41"/>
      <c r="P4268" s="28"/>
    </row>
    <row r="4269" customFormat="1" spans="1:16">
      <c r="A4269" s="39"/>
      <c r="B4269" s="40"/>
      <c r="C4269" s="41"/>
      <c r="D4269" s="41"/>
      <c r="E4269" s="41"/>
      <c r="F4269" s="41"/>
      <c r="G4269" s="41"/>
      <c r="H4269" s="41"/>
      <c r="I4269" s="41"/>
      <c r="J4269" s="41"/>
      <c r="K4269" s="41"/>
      <c r="L4269" s="41"/>
      <c r="M4269" s="41"/>
      <c r="N4269" s="41"/>
      <c r="O4269" s="41"/>
      <c r="P4269" s="28"/>
    </row>
    <row r="4270" customFormat="1" spans="1:16">
      <c r="A4270" s="39"/>
      <c r="B4270" s="40"/>
      <c r="C4270" s="41"/>
      <c r="D4270" s="41"/>
      <c r="E4270" s="41"/>
      <c r="F4270" s="41"/>
      <c r="G4270" s="41"/>
      <c r="H4270" s="41"/>
      <c r="I4270" s="41"/>
      <c r="J4270" s="41"/>
      <c r="K4270" s="41"/>
      <c r="L4270" s="41"/>
      <c r="M4270" s="41"/>
      <c r="N4270" s="41"/>
      <c r="O4270" s="41"/>
      <c r="P4270" s="28"/>
    </row>
    <row r="4271" customFormat="1" spans="1:16">
      <c r="A4271" s="39"/>
      <c r="B4271" s="40"/>
      <c r="C4271" s="41"/>
      <c r="D4271" s="41"/>
      <c r="E4271" s="41"/>
      <c r="F4271" s="41"/>
      <c r="G4271" s="41"/>
      <c r="H4271" s="41"/>
      <c r="I4271" s="41"/>
      <c r="J4271" s="41"/>
      <c r="K4271" s="41"/>
      <c r="L4271" s="41"/>
      <c r="M4271" s="41"/>
      <c r="N4271" s="41"/>
      <c r="O4271" s="41"/>
      <c r="P4271" s="28"/>
    </row>
    <row r="4272" customFormat="1" spans="1:16">
      <c r="A4272" s="39"/>
      <c r="B4272" s="40"/>
      <c r="C4272" s="41"/>
      <c r="D4272" s="41"/>
      <c r="E4272" s="41"/>
      <c r="F4272" s="41"/>
      <c r="G4272" s="41"/>
      <c r="H4272" s="41"/>
      <c r="I4272" s="41"/>
      <c r="J4272" s="41"/>
      <c r="K4272" s="41"/>
      <c r="L4272" s="41"/>
      <c r="M4272" s="41"/>
      <c r="N4272" s="41"/>
      <c r="O4272" s="41"/>
      <c r="P4272" s="28"/>
    </row>
    <row r="4273" customFormat="1" spans="1:16">
      <c r="A4273" s="39"/>
      <c r="B4273" s="40"/>
      <c r="C4273" s="41"/>
      <c r="D4273" s="41"/>
      <c r="E4273" s="41"/>
      <c r="F4273" s="41"/>
      <c r="G4273" s="41"/>
      <c r="H4273" s="41"/>
      <c r="I4273" s="41"/>
      <c r="J4273" s="41"/>
      <c r="K4273" s="41"/>
      <c r="L4273" s="41"/>
      <c r="M4273" s="41"/>
      <c r="N4273" s="41"/>
      <c r="O4273" s="41"/>
      <c r="P4273" s="28"/>
    </row>
    <row r="4274" customFormat="1" spans="1:16">
      <c r="A4274" s="39"/>
      <c r="B4274" s="40"/>
      <c r="C4274" s="41"/>
      <c r="D4274" s="41"/>
      <c r="E4274" s="41"/>
      <c r="F4274" s="41"/>
      <c r="G4274" s="41"/>
      <c r="H4274" s="41"/>
      <c r="I4274" s="41"/>
      <c r="J4274" s="41"/>
      <c r="K4274" s="41"/>
      <c r="L4274" s="41"/>
      <c r="M4274" s="41"/>
      <c r="N4274" s="41"/>
      <c r="O4274" s="41"/>
      <c r="P4274" s="28"/>
    </row>
    <row r="4275" customFormat="1" spans="1:16">
      <c r="A4275" s="39"/>
      <c r="B4275" s="40"/>
      <c r="C4275" s="41"/>
      <c r="D4275" s="41"/>
      <c r="E4275" s="41"/>
      <c r="F4275" s="41"/>
      <c r="G4275" s="41"/>
      <c r="H4275" s="41"/>
      <c r="I4275" s="41"/>
      <c r="J4275" s="41"/>
      <c r="K4275" s="41"/>
      <c r="L4275" s="41"/>
      <c r="M4275" s="41"/>
      <c r="N4275" s="41"/>
      <c r="O4275" s="41"/>
      <c r="P4275" s="28"/>
    </row>
    <row r="4276" customFormat="1" spans="1:16">
      <c r="A4276" s="39"/>
      <c r="B4276" s="40"/>
      <c r="C4276" s="41"/>
      <c r="D4276" s="41"/>
      <c r="E4276" s="41"/>
      <c r="F4276" s="41"/>
      <c r="G4276" s="41"/>
      <c r="H4276" s="41"/>
      <c r="I4276" s="41"/>
      <c r="J4276" s="41"/>
      <c r="K4276" s="41"/>
      <c r="L4276" s="41"/>
      <c r="M4276" s="41"/>
      <c r="N4276" s="41"/>
      <c r="O4276" s="41"/>
      <c r="P4276" s="28"/>
    </row>
    <row r="4277" customFormat="1" spans="1:16">
      <c r="A4277" s="39"/>
      <c r="B4277" s="40"/>
      <c r="C4277" s="41"/>
      <c r="D4277" s="41"/>
      <c r="E4277" s="41"/>
      <c r="F4277" s="41"/>
      <c r="G4277" s="41"/>
      <c r="H4277" s="41"/>
      <c r="I4277" s="41"/>
      <c r="J4277" s="41"/>
      <c r="K4277" s="41"/>
      <c r="L4277" s="41"/>
      <c r="M4277" s="41"/>
      <c r="N4277" s="41"/>
      <c r="O4277" s="41"/>
      <c r="P4277" s="28"/>
    </row>
    <row r="4278" customFormat="1" spans="1:16">
      <c r="A4278" s="39"/>
      <c r="B4278" s="40"/>
      <c r="C4278" s="41"/>
      <c r="D4278" s="41"/>
      <c r="E4278" s="41"/>
      <c r="F4278" s="41"/>
      <c r="G4278" s="41"/>
      <c r="H4278" s="41"/>
      <c r="I4278" s="41"/>
      <c r="J4278" s="41"/>
      <c r="K4278" s="41"/>
      <c r="L4278" s="41"/>
      <c r="M4278" s="41"/>
      <c r="N4278" s="41"/>
      <c r="O4278" s="41"/>
      <c r="P4278" s="28"/>
    </row>
    <row r="4279" customFormat="1" spans="1:16">
      <c r="A4279" s="39"/>
      <c r="B4279" s="40"/>
      <c r="C4279" s="41"/>
      <c r="D4279" s="41"/>
      <c r="E4279" s="41"/>
      <c r="F4279" s="41"/>
      <c r="G4279" s="41"/>
      <c r="H4279" s="41"/>
      <c r="I4279" s="41"/>
      <c r="J4279" s="41"/>
      <c r="K4279" s="41"/>
      <c r="L4279" s="41"/>
      <c r="M4279" s="41"/>
      <c r="N4279" s="41"/>
      <c r="O4279" s="41"/>
      <c r="P4279" s="28"/>
    </row>
    <row r="4280" customFormat="1" spans="1:16">
      <c r="A4280" s="39"/>
      <c r="B4280" s="40"/>
      <c r="C4280" s="41"/>
      <c r="D4280" s="41"/>
      <c r="E4280" s="41"/>
      <c r="F4280" s="41"/>
      <c r="G4280" s="41"/>
      <c r="H4280" s="41"/>
      <c r="I4280" s="41"/>
      <c r="J4280" s="41"/>
      <c r="K4280" s="41"/>
      <c r="L4280" s="41"/>
      <c r="M4280" s="41"/>
      <c r="N4280" s="41"/>
      <c r="O4280" s="41"/>
      <c r="P4280" s="28"/>
    </row>
    <row r="4281" customFormat="1" spans="1:16">
      <c r="A4281" s="39"/>
      <c r="B4281" s="40"/>
      <c r="C4281" s="41"/>
      <c r="D4281" s="41"/>
      <c r="E4281" s="41"/>
      <c r="F4281" s="41"/>
      <c r="G4281" s="41"/>
      <c r="H4281" s="41"/>
      <c r="I4281" s="41"/>
      <c r="J4281" s="41"/>
      <c r="K4281" s="41"/>
      <c r="L4281" s="41"/>
      <c r="M4281" s="41"/>
      <c r="N4281" s="41"/>
      <c r="O4281" s="41"/>
      <c r="P4281" s="28"/>
    </row>
    <row r="4282" customFormat="1" spans="1:16">
      <c r="A4282" s="39"/>
      <c r="B4282" s="40"/>
      <c r="C4282" s="41"/>
      <c r="D4282" s="41"/>
      <c r="E4282" s="41"/>
      <c r="F4282" s="41"/>
      <c r="G4282" s="41"/>
      <c r="H4282" s="41"/>
      <c r="I4282" s="41"/>
      <c r="J4282" s="41"/>
      <c r="K4282" s="41"/>
      <c r="L4282" s="41"/>
      <c r="M4282" s="41"/>
      <c r="N4282" s="41"/>
      <c r="O4282" s="41"/>
      <c r="P4282" s="28"/>
    </row>
    <row r="4283" customFormat="1" spans="1:16">
      <c r="A4283" s="39"/>
      <c r="B4283" s="40"/>
      <c r="C4283" s="41"/>
      <c r="D4283" s="41"/>
      <c r="E4283" s="41"/>
      <c r="F4283" s="41"/>
      <c r="G4283" s="41"/>
      <c r="H4283" s="41"/>
      <c r="I4283" s="41"/>
      <c r="J4283" s="41"/>
      <c r="K4283" s="41"/>
      <c r="L4283" s="41"/>
      <c r="M4283" s="41"/>
      <c r="N4283" s="41"/>
      <c r="O4283" s="41"/>
      <c r="P4283" s="28"/>
    </row>
    <row r="4284" customFormat="1" spans="1:16">
      <c r="A4284" s="39"/>
      <c r="B4284" s="40"/>
      <c r="C4284" s="41"/>
      <c r="D4284" s="41"/>
      <c r="E4284" s="41"/>
      <c r="F4284" s="41"/>
      <c r="G4284" s="41"/>
      <c r="H4284" s="41"/>
      <c r="I4284" s="41"/>
      <c r="J4284" s="41"/>
      <c r="K4284" s="41"/>
      <c r="L4284" s="41"/>
      <c r="M4284" s="41"/>
      <c r="N4284" s="41"/>
      <c r="O4284" s="41"/>
      <c r="P4284" s="28"/>
    </row>
    <row r="4285" customFormat="1" spans="1:16">
      <c r="A4285" s="39"/>
      <c r="B4285" s="40"/>
      <c r="C4285" s="41"/>
      <c r="D4285" s="41"/>
      <c r="E4285" s="41"/>
      <c r="F4285" s="41"/>
      <c r="G4285" s="41"/>
      <c r="H4285" s="41"/>
      <c r="I4285" s="41"/>
      <c r="J4285" s="41"/>
      <c r="K4285" s="41"/>
      <c r="L4285" s="41"/>
      <c r="M4285" s="41"/>
      <c r="N4285" s="41"/>
      <c r="O4285" s="41"/>
      <c r="P4285" s="28"/>
    </row>
    <row r="4286" customFormat="1" spans="1:16">
      <c r="A4286" s="39"/>
      <c r="B4286" s="40"/>
      <c r="C4286" s="41"/>
      <c r="D4286" s="41"/>
      <c r="E4286" s="41"/>
      <c r="F4286" s="41"/>
      <c r="G4286" s="41"/>
      <c r="H4286" s="41"/>
      <c r="I4286" s="41"/>
      <c r="J4286" s="41"/>
      <c r="K4286" s="41"/>
      <c r="L4286" s="41"/>
      <c r="M4286" s="41"/>
      <c r="N4286" s="41"/>
      <c r="O4286" s="41"/>
      <c r="P4286" s="28"/>
    </row>
    <row r="4287" customFormat="1" spans="1:16">
      <c r="A4287" s="39"/>
      <c r="B4287" s="40"/>
      <c r="C4287" s="41"/>
      <c r="D4287" s="41"/>
      <c r="E4287" s="41"/>
      <c r="F4287" s="41"/>
      <c r="G4287" s="41"/>
      <c r="H4287" s="41"/>
      <c r="I4287" s="41"/>
      <c r="J4287" s="41"/>
      <c r="K4287" s="41"/>
      <c r="L4287" s="41"/>
      <c r="M4287" s="41"/>
      <c r="N4287" s="41"/>
      <c r="O4287" s="41"/>
      <c r="P4287" s="28"/>
    </row>
    <row r="4288" customFormat="1" spans="1:16">
      <c r="A4288" s="39"/>
      <c r="B4288" s="40"/>
      <c r="C4288" s="41"/>
      <c r="D4288" s="41"/>
      <c r="E4288" s="41"/>
      <c r="F4288" s="41"/>
      <c r="G4288" s="41"/>
      <c r="H4288" s="41"/>
      <c r="I4288" s="41"/>
      <c r="J4288" s="41"/>
      <c r="K4288" s="41"/>
      <c r="L4288" s="41"/>
      <c r="M4288" s="41"/>
      <c r="N4288" s="41"/>
      <c r="O4288" s="41"/>
      <c r="P4288" s="28"/>
    </row>
    <row r="4289" customFormat="1" spans="1:16">
      <c r="A4289" s="39"/>
      <c r="B4289" s="40"/>
      <c r="C4289" s="41"/>
      <c r="D4289" s="41"/>
      <c r="E4289" s="41"/>
      <c r="F4289" s="41"/>
      <c r="G4289" s="41"/>
      <c r="H4289" s="41"/>
      <c r="I4289" s="41"/>
      <c r="J4289" s="41"/>
      <c r="K4289" s="41"/>
      <c r="L4289" s="41"/>
      <c r="M4289" s="41"/>
      <c r="N4289" s="41"/>
      <c r="O4289" s="41"/>
      <c r="P4289" s="28"/>
    </row>
    <row r="4290" customFormat="1" spans="1:16">
      <c r="A4290" s="39"/>
      <c r="B4290" s="40"/>
      <c r="C4290" s="41"/>
      <c r="D4290" s="41"/>
      <c r="E4290" s="41"/>
      <c r="F4290" s="41"/>
      <c r="G4290" s="41"/>
      <c r="H4290" s="41"/>
      <c r="I4290" s="41"/>
      <c r="J4290" s="41"/>
      <c r="K4290" s="41"/>
      <c r="L4290" s="41"/>
      <c r="M4290" s="41"/>
      <c r="N4290" s="41"/>
      <c r="O4290" s="41"/>
      <c r="P4290" s="28"/>
    </row>
    <row r="4291" customFormat="1" spans="1:16">
      <c r="A4291" s="39"/>
      <c r="B4291" s="40"/>
      <c r="C4291" s="41"/>
      <c r="D4291" s="41"/>
      <c r="E4291" s="41"/>
      <c r="F4291" s="41"/>
      <c r="G4291" s="41"/>
      <c r="H4291" s="41"/>
      <c r="I4291" s="41"/>
      <c r="J4291" s="41"/>
      <c r="K4291" s="41"/>
      <c r="L4291" s="41"/>
      <c r="M4291" s="41"/>
      <c r="N4291" s="41"/>
      <c r="O4291" s="41"/>
      <c r="P4291" s="28"/>
    </row>
    <row r="4292" customFormat="1" spans="1:16">
      <c r="A4292" s="39"/>
      <c r="B4292" s="40"/>
      <c r="C4292" s="41"/>
      <c r="D4292" s="41"/>
      <c r="E4292" s="41"/>
      <c r="F4292" s="41"/>
      <c r="G4292" s="41"/>
      <c r="H4292" s="41"/>
      <c r="I4292" s="41"/>
      <c r="J4292" s="41"/>
      <c r="K4292" s="41"/>
      <c r="L4292" s="41"/>
      <c r="M4292" s="41"/>
      <c r="N4292" s="41"/>
      <c r="O4292" s="41"/>
      <c r="P4292" s="28"/>
    </row>
    <row r="4293" customFormat="1" spans="1:16">
      <c r="A4293" s="39"/>
      <c r="B4293" s="40"/>
      <c r="C4293" s="41"/>
      <c r="D4293" s="41"/>
      <c r="E4293" s="41"/>
      <c r="F4293" s="41"/>
      <c r="G4293" s="41"/>
      <c r="H4293" s="41"/>
      <c r="I4293" s="41"/>
      <c r="J4293" s="41"/>
      <c r="K4293" s="41"/>
      <c r="L4293" s="41"/>
      <c r="M4293" s="41"/>
      <c r="N4293" s="41"/>
      <c r="O4293" s="41"/>
      <c r="P4293" s="28"/>
    </row>
    <row r="4294" customFormat="1" spans="1:16">
      <c r="A4294" s="39"/>
      <c r="B4294" s="40"/>
      <c r="C4294" s="41"/>
      <c r="D4294" s="41"/>
      <c r="E4294" s="41"/>
      <c r="F4294" s="41"/>
      <c r="G4294" s="41"/>
      <c r="H4294" s="41"/>
      <c r="I4294" s="41"/>
      <c r="J4294" s="41"/>
      <c r="K4294" s="41"/>
      <c r="L4294" s="41"/>
      <c r="M4294" s="41"/>
      <c r="N4294" s="41"/>
      <c r="O4294" s="41"/>
      <c r="P4294" s="28"/>
    </row>
    <row r="4295" customFormat="1" spans="1:16">
      <c r="A4295" s="39"/>
      <c r="B4295" s="40"/>
      <c r="C4295" s="41"/>
      <c r="D4295" s="41"/>
      <c r="E4295" s="41"/>
      <c r="F4295" s="41"/>
      <c r="G4295" s="41"/>
      <c r="H4295" s="41"/>
      <c r="I4295" s="41"/>
      <c r="J4295" s="41"/>
      <c r="K4295" s="41"/>
      <c r="L4295" s="41"/>
      <c r="M4295" s="41"/>
      <c r="N4295" s="41"/>
      <c r="O4295" s="41"/>
      <c r="P4295" s="28"/>
    </row>
    <row r="4296" customFormat="1" spans="1:16">
      <c r="A4296" s="39"/>
      <c r="B4296" s="40"/>
      <c r="C4296" s="41"/>
      <c r="D4296" s="41"/>
      <c r="E4296" s="41"/>
      <c r="F4296" s="41"/>
      <c r="G4296" s="41"/>
      <c r="H4296" s="41"/>
      <c r="I4296" s="41"/>
      <c r="J4296" s="41"/>
      <c r="K4296" s="41"/>
      <c r="L4296" s="41"/>
      <c r="M4296" s="41"/>
      <c r="N4296" s="41"/>
      <c r="O4296" s="41"/>
      <c r="P4296" s="28"/>
    </row>
    <row r="4297" customFormat="1" spans="1:16">
      <c r="A4297" s="39"/>
      <c r="B4297" s="40"/>
      <c r="C4297" s="41"/>
      <c r="D4297" s="41"/>
      <c r="E4297" s="41"/>
      <c r="F4297" s="41"/>
      <c r="G4297" s="41"/>
      <c r="H4297" s="41"/>
      <c r="I4297" s="41"/>
      <c r="J4297" s="41"/>
      <c r="K4297" s="41"/>
      <c r="L4297" s="41"/>
      <c r="M4297" s="41"/>
      <c r="N4297" s="41"/>
      <c r="O4297" s="41"/>
      <c r="P4297" s="28"/>
    </row>
    <row r="4298" customFormat="1" spans="1:16">
      <c r="A4298" s="39"/>
      <c r="B4298" s="40"/>
      <c r="C4298" s="41"/>
      <c r="D4298" s="41"/>
      <c r="E4298" s="41"/>
      <c r="F4298" s="41"/>
      <c r="G4298" s="41"/>
      <c r="H4298" s="41"/>
      <c r="I4298" s="41"/>
      <c r="J4298" s="41"/>
      <c r="K4298" s="41"/>
      <c r="L4298" s="41"/>
      <c r="M4298" s="41"/>
      <c r="N4298" s="41"/>
      <c r="O4298" s="41"/>
      <c r="P4298" s="28"/>
    </row>
    <row r="4299" customFormat="1" spans="1:16">
      <c r="A4299" s="39"/>
      <c r="B4299" s="40"/>
      <c r="C4299" s="41"/>
      <c r="D4299" s="41"/>
      <c r="E4299" s="41"/>
      <c r="F4299" s="41"/>
      <c r="G4299" s="41"/>
      <c r="H4299" s="41"/>
      <c r="I4299" s="41"/>
      <c r="J4299" s="41"/>
      <c r="K4299" s="41"/>
      <c r="L4299" s="41"/>
      <c r="M4299" s="41"/>
      <c r="N4299" s="41"/>
      <c r="O4299" s="41"/>
      <c r="P4299" s="28"/>
    </row>
    <row r="4300" customFormat="1" spans="1:16">
      <c r="A4300" s="39"/>
      <c r="B4300" s="40"/>
      <c r="C4300" s="41"/>
      <c r="D4300" s="41"/>
      <c r="E4300" s="41"/>
      <c r="F4300" s="41"/>
      <c r="G4300" s="41"/>
      <c r="H4300" s="41"/>
      <c r="I4300" s="41"/>
      <c r="J4300" s="41"/>
      <c r="K4300" s="41"/>
      <c r="L4300" s="41"/>
      <c r="M4300" s="41"/>
      <c r="N4300" s="41"/>
      <c r="O4300" s="41"/>
      <c r="P4300" s="28"/>
    </row>
    <row r="4301" customFormat="1" spans="1:16">
      <c r="A4301" s="39"/>
      <c r="B4301" s="40"/>
      <c r="C4301" s="41"/>
      <c r="D4301" s="41"/>
      <c r="E4301" s="41"/>
      <c r="F4301" s="41"/>
      <c r="G4301" s="41"/>
      <c r="H4301" s="41"/>
      <c r="I4301" s="41"/>
      <c r="J4301" s="41"/>
      <c r="K4301" s="41"/>
      <c r="L4301" s="41"/>
      <c r="M4301" s="41"/>
      <c r="N4301" s="41"/>
      <c r="O4301" s="41"/>
      <c r="P4301" s="28"/>
    </row>
    <row r="4302" customFormat="1" spans="1:16">
      <c r="A4302" s="39"/>
      <c r="B4302" s="40"/>
      <c r="C4302" s="41"/>
      <c r="D4302" s="41"/>
      <c r="E4302" s="41"/>
      <c r="F4302" s="41"/>
      <c r="G4302" s="41"/>
      <c r="H4302" s="41"/>
      <c r="I4302" s="41"/>
      <c r="J4302" s="41"/>
      <c r="K4302" s="41"/>
      <c r="L4302" s="41"/>
      <c r="M4302" s="41"/>
      <c r="N4302" s="41"/>
      <c r="O4302" s="41"/>
      <c r="P4302" s="28"/>
    </row>
    <row r="4303" customFormat="1" spans="1:16">
      <c r="A4303" s="39"/>
      <c r="B4303" s="40"/>
      <c r="C4303" s="41"/>
      <c r="D4303" s="41"/>
      <c r="E4303" s="41"/>
      <c r="F4303" s="41"/>
      <c r="G4303" s="41"/>
      <c r="H4303" s="41"/>
      <c r="I4303" s="41"/>
      <c r="J4303" s="41"/>
      <c r="K4303" s="41"/>
      <c r="L4303" s="41"/>
      <c r="M4303" s="41"/>
      <c r="N4303" s="41"/>
      <c r="O4303" s="41"/>
      <c r="P4303" s="28"/>
    </row>
    <row r="4304" customFormat="1" spans="1:16">
      <c r="A4304" s="39"/>
      <c r="B4304" s="40"/>
      <c r="C4304" s="41"/>
      <c r="D4304" s="41"/>
      <c r="E4304" s="41"/>
      <c r="F4304" s="41"/>
      <c r="G4304" s="41"/>
      <c r="H4304" s="41"/>
      <c r="I4304" s="41"/>
      <c r="J4304" s="41"/>
      <c r="K4304" s="41"/>
      <c r="L4304" s="41"/>
      <c r="M4304" s="41"/>
      <c r="N4304" s="41"/>
      <c r="O4304" s="41"/>
      <c r="P4304" s="28"/>
    </row>
    <row r="4305" customFormat="1" spans="1:16">
      <c r="A4305" s="39"/>
      <c r="B4305" s="40"/>
      <c r="C4305" s="41"/>
      <c r="D4305" s="41"/>
      <c r="E4305" s="41"/>
      <c r="F4305" s="41"/>
      <c r="G4305" s="41"/>
      <c r="H4305" s="41"/>
      <c r="I4305" s="41"/>
      <c r="J4305" s="41"/>
      <c r="K4305" s="41"/>
      <c r="L4305" s="41"/>
      <c r="M4305" s="41"/>
      <c r="N4305" s="41"/>
      <c r="O4305" s="41"/>
      <c r="P4305" s="28"/>
    </row>
    <row r="4306" customFormat="1" spans="1:16">
      <c r="A4306" s="39"/>
      <c r="B4306" s="40"/>
      <c r="C4306" s="41"/>
      <c r="D4306" s="41"/>
      <c r="E4306" s="41"/>
      <c r="F4306" s="41"/>
      <c r="G4306" s="41"/>
      <c r="H4306" s="41"/>
      <c r="I4306" s="41"/>
      <c r="J4306" s="41"/>
      <c r="K4306" s="41"/>
      <c r="L4306" s="41"/>
      <c r="M4306" s="41"/>
      <c r="N4306" s="41"/>
      <c r="O4306" s="41"/>
      <c r="P4306" s="28"/>
    </row>
    <row r="4307" customFormat="1" spans="1:16">
      <c r="A4307" s="39"/>
      <c r="B4307" s="40"/>
      <c r="C4307" s="41"/>
      <c r="D4307" s="41"/>
      <c r="E4307" s="41"/>
      <c r="F4307" s="41"/>
      <c r="G4307" s="41"/>
      <c r="H4307" s="41"/>
      <c r="I4307" s="41"/>
      <c r="J4307" s="41"/>
      <c r="K4307" s="41"/>
      <c r="L4307" s="41"/>
      <c r="M4307" s="41"/>
      <c r="N4307" s="41"/>
      <c r="O4307" s="41"/>
      <c r="P4307" s="28"/>
    </row>
    <row r="4308" customFormat="1" spans="1:16">
      <c r="A4308" s="39"/>
      <c r="B4308" s="40"/>
      <c r="C4308" s="41"/>
      <c r="D4308" s="41"/>
      <c r="E4308" s="41"/>
      <c r="F4308" s="41"/>
      <c r="G4308" s="41"/>
      <c r="H4308" s="41"/>
      <c r="I4308" s="41"/>
      <c r="J4308" s="41"/>
      <c r="K4308" s="41"/>
      <c r="L4308" s="41"/>
      <c r="M4308" s="41"/>
      <c r="N4308" s="41"/>
      <c r="O4308" s="41"/>
      <c r="P4308" s="28"/>
    </row>
    <row r="4309" customFormat="1" spans="1:16">
      <c r="A4309" s="39"/>
      <c r="B4309" s="40"/>
      <c r="C4309" s="41"/>
      <c r="D4309" s="41"/>
      <c r="E4309" s="41"/>
      <c r="F4309" s="41"/>
      <c r="G4309" s="41"/>
      <c r="H4309" s="41"/>
      <c r="I4309" s="41"/>
      <c r="J4309" s="41"/>
      <c r="K4309" s="41"/>
      <c r="L4309" s="41"/>
      <c r="M4309" s="41"/>
      <c r="N4309" s="41"/>
      <c r="O4309" s="41"/>
      <c r="P4309" s="28"/>
    </row>
    <row r="4310" customFormat="1" spans="1:16">
      <c r="A4310" s="39"/>
      <c r="B4310" s="40"/>
      <c r="C4310" s="41"/>
      <c r="D4310" s="41"/>
      <c r="E4310" s="41"/>
      <c r="F4310" s="41"/>
      <c r="G4310" s="41"/>
      <c r="H4310" s="41"/>
      <c r="I4310" s="41"/>
      <c r="J4310" s="41"/>
      <c r="K4310" s="41"/>
      <c r="L4310" s="41"/>
      <c r="M4310" s="41"/>
      <c r="N4310" s="41"/>
      <c r="O4310" s="41"/>
      <c r="P4310" s="28"/>
    </row>
    <row r="4311" customFormat="1" spans="1:16">
      <c r="A4311" s="39"/>
      <c r="B4311" s="40"/>
      <c r="C4311" s="41"/>
      <c r="D4311" s="41"/>
      <c r="E4311" s="41"/>
      <c r="F4311" s="41"/>
      <c r="G4311" s="41"/>
      <c r="H4311" s="41"/>
      <c r="I4311" s="41"/>
      <c r="J4311" s="41"/>
      <c r="K4311" s="41"/>
      <c r="L4311" s="41"/>
      <c r="M4311" s="41"/>
      <c r="N4311" s="41"/>
      <c r="O4311" s="41"/>
      <c r="P4311" s="28"/>
    </row>
    <row r="4312" customFormat="1" spans="1:16">
      <c r="A4312" s="39"/>
      <c r="B4312" s="40"/>
      <c r="C4312" s="41"/>
      <c r="D4312" s="41"/>
      <c r="E4312" s="41"/>
      <c r="F4312" s="41"/>
      <c r="G4312" s="41"/>
      <c r="H4312" s="41"/>
      <c r="I4312" s="41"/>
      <c r="J4312" s="41"/>
      <c r="K4312" s="41"/>
      <c r="L4312" s="41"/>
      <c r="M4312" s="41"/>
      <c r="N4312" s="41"/>
      <c r="O4312" s="41"/>
      <c r="P4312" s="28"/>
    </row>
    <row r="4313" customFormat="1" spans="1:16">
      <c r="A4313" s="39"/>
      <c r="B4313" s="40"/>
      <c r="C4313" s="41"/>
      <c r="D4313" s="41"/>
      <c r="E4313" s="41"/>
      <c r="F4313" s="41"/>
      <c r="G4313" s="41"/>
      <c r="H4313" s="41"/>
      <c r="I4313" s="41"/>
      <c r="J4313" s="41"/>
      <c r="K4313" s="41"/>
      <c r="L4313" s="41"/>
      <c r="M4313" s="41"/>
      <c r="N4313" s="41"/>
      <c r="O4313" s="41"/>
      <c r="P4313" s="28"/>
    </row>
    <row r="4314" customFormat="1" spans="1:16">
      <c r="A4314" s="39"/>
      <c r="B4314" s="40"/>
      <c r="C4314" s="41"/>
      <c r="D4314" s="41"/>
      <c r="E4314" s="41"/>
      <c r="F4314" s="41"/>
      <c r="G4314" s="41"/>
      <c r="H4314" s="41"/>
      <c r="I4314" s="41"/>
      <c r="J4314" s="41"/>
      <c r="K4314" s="41"/>
      <c r="L4314" s="41"/>
      <c r="M4314" s="41"/>
      <c r="N4314" s="41"/>
      <c r="O4314" s="41"/>
      <c r="P4314" s="28"/>
    </row>
    <row r="4315" customFormat="1" spans="1:16">
      <c r="A4315" s="39"/>
      <c r="B4315" s="40"/>
      <c r="C4315" s="41"/>
      <c r="D4315" s="41"/>
      <c r="E4315" s="41"/>
      <c r="F4315" s="41"/>
      <c r="G4315" s="41"/>
      <c r="H4315" s="41"/>
      <c r="I4315" s="41"/>
      <c r="J4315" s="41"/>
      <c r="K4315" s="41"/>
      <c r="L4315" s="41"/>
      <c r="M4315" s="41"/>
      <c r="N4315" s="41"/>
      <c r="O4315" s="41"/>
      <c r="P4315" s="28"/>
    </row>
    <row r="4316" customFormat="1" spans="1:16">
      <c r="A4316" s="39"/>
      <c r="B4316" s="40"/>
      <c r="C4316" s="41"/>
      <c r="D4316" s="41"/>
      <c r="E4316" s="41"/>
      <c r="F4316" s="41"/>
      <c r="G4316" s="41"/>
      <c r="H4316" s="41"/>
      <c r="I4316" s="41"/>
      <c r="J4316" s="41"/>
      <c r="K4316" s="41"/>
      <c r="L4316" s="41"/>
      <c r="M4316" s="41"/>
      <c r="N4316" s="41"/>
      <c r="O4316" s="41"/>
      <c r="P4316" s="28"/>
    </row>
    <row r="4317" customFormat="1" spans="1:16">
      <c r="A4317" s="39"/>
      <c r="B4317" s="40"/>
      <c r="C4317" s="41"/>
      <c r="D4317" s="41"/>
      <c r="E4317" s="41"/>
      <c r="F4317" s="41"/>
      <c r="G4317" s="41"/>
      <c r="H4317" s="41"/>
      <c r="I4317" s="41"/>
      <c r="J4317" s="41"/>
      <c r="K4317" s="41"/>
      <c r="L4317" s="41"/>
      <c r="M4317" s="41"/>
      <c r="N4317" s="41"/>
      <c r="O4317" s="41"/>
      <c r="P4317" s="28"/>
    </row>
    <row r="4318" customFormat="1" spans="1:16">
      <c r="A4318" s="39"/>
      <c r="B4318" s="40"/>
      <c r="C4318" s="41"/>
      <c r="D4318" s="41"/>
      <c r="E4318" s="41"/>
      <c r="F4318" s="41"/>
      <c r="G4318" s="41"/>
      <c r="H4318" s="41"/>
      <c r="I4318" s="41"/>
      <c r="J4318" s="41"/>
      <c r="K4318" s="41"/>
      <c r="L4318" s="41"/>
      <c r="M4318" s="41"/>
      <c r="N4318" s="41"/>
      <c r="O4318" s="41"/>
      <c r="P4318" s="28"/>
    </row>
    <row r="4319" customFormat="1" spans="1:16">
      <c r="A4319" s="39"/>
      <c r="B4319" s="40"/>
      <c r="C4319" s="41"/>
      <c r="D4319" s="41"/>
      <c r="E4319" s="41"/>
      <c r="F4319" s="41"/>
      <c r="G4319" s="41"/>
      <c r="H4319" s="41"/>
      <c r="I4319" s="41"/>
      <c r="J4319" s="41"/>
      <c r="K4319" s="41"/>
      <c r="L4319" s="41"/>
      <c r="M4319" s="41"/>
      <c r="N4319" s="41"/>
      <c r="O4319" s="41"/>
      <c r="P4319" s="28"/>
    </row>
    <row r="4320" customFormat="1" spans="1:16">
      <c r="A4320" s="39"/>
      <c r="B4320" s="40"/>
      <c r="C4320" s="41"/>
      <c r="D4320" s="41"/>
      <c r="E4320" s="41"/>
      <c r="F4320" s="41"/>
      <c r="G4320" s="41"/>
      <c r="H4320" s="41"/>
      <c r="I4320" s="41"/>
      <c r="J4320" s="41"/>
      <c r="K4320" s="41"/>
      <c r="L4320" s="41"/>
      <c r="M4320" s="41"/>
      <c r="N4320" s="41"/>
      <c r="O4320" s="41"/>
      <c r="P4320" s="28"/>
    </row>
    <row r="4321" customFormat="1" spans="1:16">
      <c r="A4321" s="39"/>
      <c r="B4321" s="40"/>
      <c r="C4321" s="41"/>
      <c r="D4321" s="41"/>
      <c r="E4321" s="41"/>
      <c r="F4321" s="41"/>
      <c r="G4321" s="41"/>
      <c r="H4321" s="41"/>
      <c r="I4321" s="41"/>
      <c r="J4321" s="41"/>
      <c r="K4321" s="41"/>
      <c r="L4321" s="41"/>
      <c r="M4321" s="41"/>
      <c r="N4321" s="41"/>
      <c r="O4321" s="41"/>
      <c r="P4321" s="28"/>
    </row>
    <row r="4322" customFormat="1" spans="1:16">
      <c r="A4322" s="39"/>
      <c r="B4322" s="40"/>
      <c r="C4322" s="41"/>
      <c r="D4322" s="41"/>
      <c r="E4322" s="41"/>
      <c r="F4322" s="41"/>
      <c r="G4322" s="41"/>
      <c r="H4322" s="41"/>
      <c r="I4322" s="41"/>
      <c r="J4322" s="41"/>
      <c r="K4322" s="41"/>
      <c r="L4322" s="41"/>
      <c r="M4322" s="41"/>
      <c r="N4322" s="41"/>
      <c r="O4322" s="41"/>
      <c r="P4322" s="28"/>
    </row>
    <row r="4323" customFormat="1" spans="1:16">
      <c r="A4323" s="39"/>
      <c r="B4323" s="40"/>
      <c r="C4323" s="41"/>
      <c r="D4323" s="41"/>
      <c r="E4323" s="41"/>
      <c r="F4323" s="41"/>
      <c r="G4323" s="41"/>
      <c r="H4323" s="41"/>
      <c r="I4323" s="41"/>
      <c r="J4323" s="41"/>
      <c r="K4323" s="41"/>
      <c r="L4323" s="41"/>
      <c r="M4323" s="41"/>
      <c r="N4323" s="41"/>
      <c r="O4323" s="41"/>
      <c r="P4323" s="28"/>
    </row>
    <row r="4324" customFormat="1" spans="1:16">
      <c r="A4324" s="39"/>
      <c r="B4324" s="40"/>
      <c r="C4324" s="41"/>
      <c r="D4324" s="41"/>
      <c r="E4324" s="41"/>
      <c r="F4324" s="41"/>
      <c r="G4324" s="41"/>
      <c r="H4324" s="41"/>
      <c r="I4324" s="41"/>
      <c r="J4324" s="41"/>
      <c r="K4324" s="41"/>
      <c r="L4324" s="41"/>
      <c r="M4324" s="41"/>
      <c r="N4324" s="41"/>
      <c r="O4324" s="41"/>
      <c r="P4324" s="28"/>
    </row>
    <row r="4325" customFormat="1" spans="1:16">
      <c r="A4325" s="39"/>
      <c r="B4325" s="40"/>
      <c r="C4325" s="41"/>
      <c r="D4325" s="41"/>
      <c r="E4325" s="41"/>
      <c r="F4325" s="41"/>
      <c r="G4325" s="41"/>
      <c r="H4325" s="41"/>
      <c r="I4325" s="41"/>
      <c r="J4325" s="41"/>
      <c r="K4325" s="41"/>
      <c r="L4325" s="41"/>
      <c r="M4325" s="41"/>
      <c r="N4325" s="41"/>
      <c r="O4325" s="41"/>
      <c r="P4325" s="28"/>
    </row>
    <row r="4326" customFormat="1" spans="1:16">
      <c r="A4326" s="39"/>
      <c r="B4326" s="40"/>
      <c r="C4326" s="41"/>
      <c r="D4326" s="41"/>
      <c r="E4326" s="41"/>
      <c r="F4326" s="41"/>
      <c r="G4326" s="41"/>
      <c r="H4326" s="41"/>
      <c r="I4326" s="41"/>
      <c r="J4326" s="41"/>
      <c r="K4326" s="41"/>
      <c r="L4326" s="41"/>
      <c r="M4326" s="41"/>
      <c r="N4326" s="41"/>
      <c r="O4326" s="41"/>
      <c r="P4326" s="28"/>
    </row>
    <row r="4327" customFormat="1" spans="1:16">
      <c r="A4327" s="39"/>
      <c r="B4327" s="40"/>
      <c r="C4327" s="41"/>
      <c r="D4327" s="41"/>
      <c r="E4327" s="41"/>
      <c r="F4327" s="41"/>
      <c r="G4327" s="41"/>
      <c r="H4327" s="41"/>
      <c r="I4327" s="41"/>
      <c r="J4327" s="41"/>
      <c r="K4327" s="41"/>
      <c r="L4327" s="41"/>
      <c r="M4327" s="41"/>
      <c r="N4327" s="41"/>
      <c r="O4327" s="41"/>
      <c r="P4327" s="28"/>
    </row>
    <row r="4328" customFormat="1" spans="1:16">
      <c r="A4328" s="39"/>
      <c r="B4328" s="40"/>
      <c r="C4328" s="41"/>
      <c r="D4328" s="41"/>
      <c r="E4328" s="41"/>
      <c r="F4328" s="41"/>
      <c r="G4328" s="41"/>
      <c r="H4328" s="41"/>
      <c r="I4328" s="41"/>
      <c r="J4328" s="41"/>
      <c r="K4328" s="41"/>
      <c r="L4328" s="41"/>
      <c r="M4328" s="41"/>
      <c r="N4328" s="41"/>
      <c r="O4328" s="41"/>
      <c r="P4328" s="28"/>
    </row>
    <row r="4329" customFormat="1" spans="1:16">
      <c r="A4329" s="39"/>
      <c r="B4329" s="40"/>
      <c r="C4329" s="41"/>
      <c r="D4329" s="41"/>
      <c r="E4329" s="41"/>
      <c r="F4329" s="41"/>
      <c r="G4329" s="41"/>
      <c r="H4329" s="41"/>
      <c r="I4329" s="41"/>
      <c r="J4329" s="41"/>
      <c r="K4329" s="41"/>
      <c r="L4329" s="41"/>
      <c r="M4329" s="41"/>
      <c r="N4329" s="41"/>
      <c r="O4329" s="41"/>
      <c r="P4329" s="28"/>
    </row>
    <row r="4330" customFormat="1" spans="1:16">
      <c r="A4330" s="39"/>
      <c r="B4330" s="40"/>
      <c r="C4330" s="41"/>
      <c r="D4330" s="41"/>
      <c r="E4330" s="41"/>
      <c r="F4330" s="41"/>
      <c r="G4330" s="41"/>
      <c r="H4330" s="41"/>
      <c r="I4330" s="41"/>
      <c r="J4330" s="41"/>
      <c r="K4330" s="41"/>
      <c r="L4330" s="41"/>
      <c r="M4330" s="41"/>
      <c r="N4330" s="41"/>
      <c r="O4330" s="41"/>
      <c r="P4330" s="28"/>
    </row>
    <row r="4331" customFormat="1" spans="1:16">
      <c r="A4331" s="39"/>
      <c r="B4331" s="40"/>
      <c r="C4331" s="41"/>
      <c r="D4331" s="41"/>
      <c r="E4331" s="41"/>
      <c r="F4331" s="41"/>
      <c r="G4331" s="41"/>
      <c r="H4331" s="41"/>
      <c r="I4331" s="41"/>
      <c r="J4331" s="41"/>
      <c r="K4331" s="41"/>
      <c r="L4331" s="41"/>
      <c r="M4331" s="41"/>
      <c r="N4331" s="41"/>
      <c r="O4331" s="41"/>
      <c r="P4331" s="28"/>
    </row>
    <row r="4332" customFormat="1" spans="1:16">
      <c r="A4332" s="39"/>
      <c r="B4332" s="40"/>
      <c r="C4332" s="41"/>
      <c r="D4332" s="41"/>
      <c r="E4332" s="41"/>
      <c r="F4332" s="41"/>
      <c r="G4332" s="41"/>
      <c r="H4332" s="41"/>
      <c r="I4332" s="41"/>
      <c r="J4332" s="41"/>
      <c r="K4332" s="41"/>
      <c r="L4332" s="41"/>
      <c r="M4332" s="41"/>
      <c r="N4332" s="41"/>
      <c r="O4332" s="41"/>
      <c r="P4332" s="28"/>
    </row>
    <row r="4333" customFormat="1" spans="1:16">
      <c r="A4333" s="39"/>
      <c r="B4333" s="40"/>
      <c r="C4333" s="41"/>
      <c r="D4333" s="41"/>
      <c r="E4333" s="41"/>
      <c r="F4333" s="41"/>
      <c r="G4333" s="41"/>
      <c r="H4333" s="41"/>
      <c r="I4333" s="41"/>
      <c r="J4333" s="41"/>
      <c r="K4333" s="41"/>
      <c r="L4333" s="41"/>
      <c r="M4333" s="41"/>
      <c r="N4333" s="41"/>
      <c r="O4333" s="41"/>
      <c r="P4333" s="28"/>
    </row>
    <row r="4334" customFormat="1" spans="1:16">
      <c r="A4334" s="39"/>
      <c r="B4334" s="40"/>
      <c r="C4334" s="41"/>
      <c r="D4334" s="41"/>
      <c r="E4334" s="41"/>
      <c r="F4334" s="41"/>
      <c r="G4334" s="41"/>
      <c r="H4334" s="41"/>
      <c r="I4334" s="41"/>
      <c r="J4334" s="41"/>
      <c r="K4334" s="41"/>
      <c r="L4334" s="41"/>
      <c r="M4334" s="41"/>
      <c r="N4334" s="41"/>
      <c r="O4334" s="41"/>
      <c r="P4334" s="28"/>
    </row>
    <row r="4335" customFormat="1" spans="1:16">
      <c r="A4335" s="39"/>
      <c r="B4335" s="40"/>
      <c r="C4335" s="41"/>
      <c r="D4335" s="41"/>
      <c r="E4335" s="41"/>
      <c r="F4335" s="41"/>
      <c r="G4335" s="41"/>
      <c r="H4335" s="41"/>
      <c r="I4335" s="41"/>
      <c r="J4335" s="41"/>
      <c r="K4335" s="41"/>
      <c r="L4335" s="41"/>
      <c r="M4335" s="41"/>
      <c r="N4335" s="41"/>
      <c r="O4335" s="41"/>
      <c r="P4335" s="28"/>
    </row>
    <row r="4336" customFormat="1" spans="1:16">
      <c r="A4336" s="39"/>
      <c r="B4336" s="40"/>
      <c r="C4336" s="41"/>
      <c r="D4336" s="41"/>
      <c r="E4336" s="41"/>
      <c r="F4336" s="41"/>
      <c r="G4336" s="41"/>
      <c r="H4336" s="41"/>
      <c r="I4336" s="41"/>
      <c r="J4336" s="41"/>
      <c r="K4336" s="41"/>
      <c r="L4336" s="41"/>
      <c r="M4336" s="41"/>
      <c r="N4336" s="41"/>
      <c r="O4336" s="41"/>
      <c r="P4336" s="28"/>
    </row>
    <row r="4337" customFormat="1" spans="1:16">
      <c r="A4337" s="39"/>
      <c r="B4337" s="40"/>
      <c r="C4337" s="41"/>
      <c r="D4337" s="41"/>
      <c r="E4337" s="41"/>
      <c r="F4337" s="41"/>
      <c r="G4337" s="41"/>
      <c r="H4337" s="41"/>
      <c r="I4337" s="41"/>
      <c r="J4337" s="41"/>
      <c r="K4337" s="41"/>
      <c r="L4337" s="41"/>
      <c r="M4337" s="41"/>
      <c r="N4337" s="41"/>
      <c r="O4337" s="41"/>
      <c r="P4337" s="28"/>
    </row>
    <row r="4338" customFormat="1" spans="1:16">
      <c r="A4338" s="39"/>
      <c r="B4338" s="40"/>
      <c r="C4338" s="41"/>
      <c r="D4338" s="41"/>
      <c r="E4338" s="41"/>
      <c r="F4338" s="41"/>
      <c r="G4338" s="41"/>
      <c r="H4338" s="41"/>
      <c r="I4338" s="41"/>
      <c r="J4338" s="41"/>
      <c r="K4338" s="41"/>
      <c r="L4338" s="41"/>
      <c r="M4338" s="41"/>
      <c r="N4338" s="41"/>
      <c r="O4338" s="41"/>
      <c r="P4338" s="28"/>
    </row>
    <row r="4339" customFormat="1" spans="1:16">
      <c r="A4339" s="39"/>
      <c r="B4339" s="40"/>
      <c r="C4339" s="41"/>
      <c r="D4339" s="41"/>
      <c r="E4339" s="41"/>
      <c r="F4339" s="41"/>
      <c r="G4339" s="41"/>
      <c r="H4339" s="41"/>
      <c r="I4339" s="41"/>
      <c r="J4339" s="41"/>
      <c r="K4339" s="41"/>
      <c r="L4339" s="41"/>
      <c r="M4339" s="41"/>
      <c r="N4339" s="41"/>
      <c r="O4339" s="41"/>
      <c r="P4339" s="28"/>
    </row>
    <row r="4340" customFormat="1" spans="1:16">
      <c r="A4340" s="39"/>
      <c r="B4340" s="40"/>
      <c r="C4340" s="41"/>
      <c r="D4340" s="41"/>
      <c r="E4340" s="41"/>
      <c r="F4340" s="41"/>
      <c r="G4340" s="41"/>
      <c r="H4340" s="41"/>
      <c r="I4340" s="41"/>
      <c r="J4340" s="41"/>
      <c r="K4340" s="41"/>
      <c r="L4340" s="41"/>
      <c r="M4340" s="41"/>
      <c r="N4340" s="41"/>
      <c r="O4340" s="41"/>
      <c r="P4340" s="28"/>
    </row>
    <row r="4341" customFormat="1" spans="1:16">
      <c r="A4341" s="39"/>
      <c r="B4341" s="40"/>
      <c r="C4341" s="41"/>
      <c r="D4341" s="41"/>
      <c r="E4341" s="41"/>
      <c r="F4341" s="41"/>
      <c r="G4341" s="41"/>
      <c r="H4341" s="41"/>
      <c r="I4341" s="41"/>
      <c r="J4341" s="41"/>
      <c r="K4341" s="41"/>
      <c r="L4341" s="41"/>
      <c r="M4341" s="41"/>
      <c r="N4341" s="41"/>
      <c r="O4341" s="41"/>
      <c r="P4341" s="28"/>
    </row>
    <row r="4342" customFormat="1" spans="1:16">
      <c r="A4342" s="39"/>
      <c r="B4342" s="40"/>
      <c r="C4342" s="41"/>
      <c r="D4342" s="41"/>
      <c r="E4342" s="41"/>
      <c r="F4342" s="41"/>
      <c r="G4342" s="41"/>
      <c r="H4342" s="41"/>
      <c r="I4342" s="41"/>
      <c r="J4342" s="41"/>
      <c r="K4342" s="41"/>
      <c r="L4342" s="41"/>
      <c r="M4342" s="41"/>
      <c r="N4342" s="41"/>
      <c r="O4342" s="41"/>
      <c r="P4342" s="28"/>
    </row>
    <row r="4343" customFormat="1" spans="1:16">
      <c r="A4343" s="39"/>
      <c r="B4343" s="40"/>
      <c r="C4343" s="41"/>
      <c r="D4343" s="41"/>
      <c r="E4343" s="41"/>
      <c r="F4343" s="41"/>
      <c r="G4343" s="41"/>
      <c r="H4343" s="41"/>
      <c r="I4343" s="41"/>
      <c r="J4343" s="41"/>
      <c r="K4343" s="41"/>
      <c r="L4343" s="41"/>
      <c r="M4343" s="41"/>
      <c r="N4343" s="41"/>
      <c r="O4343" s="41"/>
      <c r="P4343" s="28"/>
    </row>
    <row r="4344" customFormat="1" spans="1:16">
      <c r="A4344" s="39"/>
      <c r="B4344" s="40"/>
      <c r="C4344" s="41"/>
      <c r="D4344" s="41"/>
      <c r="E4344" s="41"/>
      <c r="F4344" s="41"/>
      <c r="G4344" s="41"/>
      <c r="H4344" s="41"/>
      <c r="I4344" s="41"/>
      <c r="J4344" s="41"/>
      <c r="K4344" s="41"/>
      <c r="L4344" s="41"/>
      <c r="M4344" s="41"/>
      <c r="N4344" s="41"/>
      <c r="O4344" s="41"/>
      <c r="P4344" s="28"/>
    </row>
    <row r="4345" customFormat="1" spans="1:16">
      <c r="A4345" s="39"/>
      <c r="B4345" s="40"/>
      <c r="C4345" s="41"/>
      <c r="D4345" s="41"/>
      <c r="E4345" s="41"/>
      <c r="F4345" s="41"/>
      <c r="G4345" s="41"/>
      <c r="H4345" s="41"/>
      <c r="I4345" s="41"/>
      <c r="J4345" s="41"/>
      <c r="K4345" s="41"/>
      <c r="L4345" s="41"/>
      <c r="M4345" s="41"/>
      <c r="N4345" s="41"/>
      <c r="O4345" s="41"/>
      <c r="P4345" s="28"/>
    </row>
    <row r="4346" customFormat="1" spans="1:16">
      <c r="A4346" s="39"/>
      <c r="B4346" s="40"/>
      <c r="C4346" s="41"/>
      <c r="D4346" s="41"/>
      <c r="E4346" s="41"/>
      <c r="F4346" s="41"/>
      <c r="G4346" s="41"/>
      <c r="H4346" s="41"/>
      <c r="I4346" s="41"/>
      <c r="J4346" s="41"/>
      <c r="K4346" s="41"/>
      <c r="L4346" s="41"/>
      <c r="M4346" s="41"/>
      <c r="N4346" s="41"/>
      <c r="O4346" s="41"/>
      <c r="P4346" s="28"/>
    </row>
    <row r="4347" customFormat="1" spans="1:16">
      <c r="A4347" s="39"/>
      <c r="B4347" s="40"/>
      <c r="C4347" s="41"/>
      <c r="D4347" s="41"/>
      <c r="E4347" s="41"/>
      <c r="F4347" s="41"/>
      <c r="G4347" s="41"/>
      <c r="H4347" s="41"/>
      <c r="I4347" s="41"/>
      <c r="J4347" s="41"/>
      <c r="K4347" s="41"/>
      <c r="L4347" s="41"/>
      <c r="M4347" s="41"/>
      <c r="N4347" s="41"/>
      <c r="O4347" s="41"/>
      <c r="P4347" s="28"/>
    </row>
    <row r="4348" customFormat="1" spans="1:16">
      <c r="A4348" s="39"/>
      <c r="B4348" s="40"/>
      <c r="C4348" s="41"/>
      <c r="D4348" s="41"/>
      <c r="E4348" s="41"/>
      <c r="F4348" s="41"/>
      <c r="G4348" s="41"/>
      <c r="H4348" s="41"/>
      <c r="I4348" s="41"/>
      <c r="J4348" s="41"/>
      <c r="K4348" s="41"/>
      <c r="L4348" s="41"/>
      <c r="M4348" s="41"/>
      <c r="N4348" s="41"/>
      <c r="O4348" s="41"/>
      <c r="P4348" s="28"/>
    </row>
    <row r="4349" customFormat="1" spans="1:16">
      <c r="A4349" s="39"/>
      <c r="B4349" s="40"/>
      <c r="C4349" s="41"/>
      <c r="D4349" s="41"/>
      <c r="E4349" s="41"/>
      <c r="F4349" s="41"/>
      <c r="G4349" s="41"/>
      <c r="H4349" s="41"/>
      <c r="I4349" s="41"/>
      <c r="J4349" s="41"/>
      <c r="K4349" s="41"/>
      <c r="L4349" s="41"/>
      <c r="M4349" s="41"/>
      <c r="N4349" s="41"/>
      <c r="O4349" s="41"/>
      <c r="P4349" s="28"/>
    </row>
    <row r="4350" customFormat="1" spans="1:16">
      <c r="A4350" s="39"/>
      <c r="B4350" s="40"/>
      <c r="C4350" s="41"/>
      <c r="D4350" s="41"/>
      <c r="E4350" s="41"/>
      <c r="F4350" s="41"/>
      <c r="G4350" s="41"/>
      <c r="H4350" s="41"/>
      <c r="I4350" s="41"/>
      <c r="J4350" s="41"/>
      <c r="K4350" s="41"/>
      <c r="L4350" s="41"/>
      <c r="M4350" s="41"/>
      <c r="N4350" s="41"/>
      <c r="O4350" s="41"/>
      <c r="P4350" s="28"/>
    </row>
    <row r="4351" customFormat="1" spans="1:16">
      <c r="A4351" s="39"/>
      <c r="B4351" s="40"/>
      <c r="C4351" s="41"/>
      <c r="D4351" s="41"/>
      <c r="E4351" s="41"/>
      <c r="F4351" s="41"/>
      <c r="G4351" s="41"/>
      <c r="H4351" s="41"/>
      <c r="I4351" s="41"/>
      <c r="J4351" s="41"/>
      <c r="K4351" s="41"/>
      <c r="L4351" s="41"/>
      <c r="M4351" s="41"/>
      <c r="N4351" s="41"/>
      <c r="O4351" s="41"/>
      <c r="P4351" s="28"/>
    </row>
    <row r="4352" customFormat="1" spans="1:16">
      <c r="A4352" s="39"/>
      <c r="B4352" s="40"/>
      <c r="C4352" s="41"/>
      <c r="D4352" s="41"/>
      <c r="E4352" s="41"/>
      <c r="F4352" s="41"/>
      <c r="G4352" s="41"/>
      <c r="H4352" s="41"/>
      <c r="I4352" s="41"/>
      <c r="J4352" s="41"/>
      <c r="K4352" s="41"/>
      <c r="L4352" s="41"/>
      <c r="M4352" s="41"/>
      <c r="N4352" s="41"/>
      <c r="O4352" s="41"/>
      <c r="P4352" s="28"/>
    </row>
    <row r="4353" customFormat="1" spans="1:16">
      <c r="A4353" s="39"/>
      <c r="B4353" s="40"/>
      <c r="C4353" s="41"/>
      <c r="D4353" s="41"/>
      <c r="E4353" s="41"/>
      <c r="F4353" s="41"/>
      <c r="G4353" s="41"/>
      <c r="H4353" s="41"/>
      <c r="I4353" s="41"/>
      <c r="J4353" s="41"/>
      <c r="K4353" s="41"/>
      <c r="L4353" s="41"/>
      <c r="M4353" s="41"/>
      <c r="N4353" s="41"/>
      <c r="O4353" s="41"/>
      <c r="P4353" s="28"/>
    </row>
    <row r="4354" customFormat="1" spans="1:16">
      <c r="A4354" s="39"/>
      <c r="B4354" s="40"/>
      <c r="C4354" s="41"/>
      <c r="D4354" s="41"/>
      <c r="E4354" s="41"/>
      <c r="F4354" s="41"/>
      <c r="G4354" s="41"/>
      <c r="H4354" s="41"/>
      <c r="I4354" s="41"/>
      <c r="J4354" s="41"/>
      <c r="K4354" s="41"/>
      <c r="L4354" s="41"/>
      <c r="M4354" s="41"/>
      <c r="N4354" s="41"/>
      <c r="O4354" s="41"/>
      <c r="P4354" s="28"/>
    </row>
    <row r="4355" customFormat="1" spans="1:16">
      <c r="A4355" s="39"/>
      <c r="B4355" s="40"/>
      <c r="C4355" s="41"/>
      <c r="D4355" s="41"/>
      <c r="E4355" s="41"/>
      <c r="F4355" s="41"/>
      <c r="G4355" s="41"/>
      <c r="H4355" s="41"/>
      <c r="I4355" s="41"/>
      <c r="J4355" s="41"/>
      <c r="K4355" s="41"/>
      <c r="L4355" s="41"/>
      <c r="M4355" s="41"/>
      <c r="N4355" s="41"/>
      <c r="O4355" s="41"/>
      <c r="P4355" s="28"/>
    </row>
    <row r="4356" customFormat="1" spans="1:16">
      <c r="A4356" s="39"/>
      <c r="B4356" s="40"/>
      <c r="C4356" s="41"/>
      <c r="D4356" s="41"/>
      <c r="E4356" s="41"/>
      <c r="F4356" s="41"/>
      <c r="G4356" s="41"/>
      <c r="H4356" s="41"/>
      <c r="I4356" s="41"/>
      <c r="J4356" s="41"/>
      <c r="K4356" s="41"/>
      <c r="L4356" s="41"/>
      <c r="M4356" s="41"/>
      <c r="N4356" s="41"/>
      <c r="O4356" s="41"/>
      <c r="P4356" s="28"/>
    </row>
    <row r="4357" customFormat="1" spans="1:16">
      <c r="A4357" s="39"/>
      <c r="B4357" s="40"/>
      <c r="C4357" s="41"/>
      <c r="D4357" s="41"/>
      <c r="E4357" s="41"/>
      <c r="F4357" s="41"/>
      <c r="G4357" s="41"/>
      <c r="H4357" s="41"/>
      <c r="I4357" s="41"/>
      <c r="J4357" s="41"/>
      <c r="K4357" s="41"/>
      <c r="L4357" s="41"/>
      <c r="M4357" s="41"/>
      <c r="N4357" s="41"/>
      <c r="O4357" s="41"/>
      <c r="P4357" s="28"/>
    </row>
    <row r="4358" customFormat="1" spans="1:16">
      <c r="A4358" s="39"/>
      <c r="B4358" s="40"/>
      <c r="C4358" s="41"/>
      <c r="D4358" s="41"/>
      <c r="E4358" s="41"/>
      <c r="F4358" s="41"/>
      <c r="G4358" s="41"/>
      <c r="H4358" s="41"/>
      <c r="I4358" s="41"/>
      <c r="J4358" s="41"/>
      <c r="K4358" s="41"/>
      <c r="L4358" s="41"/>
      <c r="M4358" s="41"/>
      <c r="N4358" s="41"/>
      <c r="O4358" s="41"/>
      <c r="P4358" s="28"/>
    </row>
    <row r="4359" customFormat="1" spans="1:16">
      <c r="A4359" s="39"/>
      <c r="B4359" s="40"/>
      <c r="C4359" s="41"/>
      <c r="D4359" s="41"/>
      <c r="E4359" s="41"/>
      <c r="F4359" s="41"/>
      <c r="G4359" s="41"/>
      <c r="H4359" s="41"/>
      <c r="I4359" s="41"/>
      <c r="J4359" s="41"/>
      <c r="K4359" s="41"/>
      <c r="L4359" s="41"/>
      <c r="M4359" s="41"/>
      <c r="N4359" s="41"/>
      <c r="O4359" s="41"/>
      <c r="P4359" s="28"/>
    </row>
    <row r="4360" customFormat="1" spans="1:16">
      <c r="A4360" s="39"/>
      <c r="B4360" s="40"/>
      <c r="C4360" s="41"/>
      <c r="D4360" s="41"/>
      <c r="E4360" s="41"/>
      <c r="F4360" s="41"/>
      <c r="G4360" s="41"/>
      <c r="H4360" s="41"/>
      <c r="I4360" s="41"/>
      <c r="J4360" s="41"/>
      <c r="K4360" s="41"/>
      <c r="L4360" s="41"/>
      <c r="M4360" s="41"/>
      <c r="N4360" s="41"/>
      <c r="O4360" s="41"/>
      <c r="P4360" s="28"/>
    </row>
    <row r="4361" customFormat="1" spans="1:16">
      <c r="A4361" s="39"/>
      <c r="B4361" s="40"/>
      <c r="C4361" s="41"/>
      <c r="D4361" s="41"/>
      <c r="E4361" s="41"/>
      <c r="F4361" s="41"/>
      <c r="G4361" s="41"/>
      <c r="H4361" s="41"/>
      <c r="I4361" s="41"/>
      <c r="J4361" s="41"/>
      <c r="K4361" s="41"/>
      <c r="L4361" s="41"/>
      <c r="M4361" s="41"/>
      <c r="N4361" s="41"/>
      <c r="O4361" s="41"/>
      <c r="P4361" s="28"/>
    </row>
    <row r="4362" customFormat="1" spans="1:16">
      <c r="A4362" s="39"/>
      <c r="B4362" s="40"/>
      <c r="C4362" s="41"/>
      <c r="D4362" s="41"/>
      <c r="E4362" s="41"/>
      <c r="F4362" s="41"/>
      <c r="G4362" s="41"/>
      <c r="H4362" s="41"/>
      <c r="I4362" s="41"/>
      <c r="J4362" s="41"/>
      <c r="K4362" s="41"/>
      <c r="L4362" s="41"/>
      <c r="M4362" s="41"/>
      <c r="N4362" s="41"/>
      <c r="O4362" s="41"/>
      <c r="P4362" s="28"/>
    </row>
    <row r="4363" customFormat="1" spans="1:16">
      <c r="A4363" s="39"/>
      <c r="B4363" s="40"/>
      <c r="C4363" s="41"/>
      <c r="D4363" s="41"/>
      <c r="E4363" s="41"/>
      <c r="F4363" s="41"/>
      <c r="G4363" s="41"/>
      <c r="H4363" s="41"/>
      <c r="I4363" s="41"/>
      <c r="J4363" s="41"/>
      <c r="K4363" s="41"/>
      <c r="L4363" s="41"/>
      <c r="M4363" s="41"/>
      <c r="N4363" s="41"/>
      <c r="O4363" s="41"/>
      <c r="P4363" s="28"/>
    </row>
    <row r="4364" customFormat="1" spans="1:16">
      <c r="A4364" s="39"/>
      <c r="B4364" s="40"/>
      <c r="C4364" s="41"/>
      <c r="D4364" s="41"/>
      <c r="E4364" s="41"/>
      <c r="F4364" s="41"/>
      <c r="G4364" s="41"/>
      <c r="H4364" s="41"/>
      <c r="I4364" s="41"/>
      <c r="J4364" s="41"/>
      <c r="K4364" s="41"/>
      <c r="L4364" s="41"/>
      <c r="M4364" s="41"/>
      <c r="N4364" s="41"/>
      <c r="O4364" s="41"/>
      <c r="P4364" s="28"/>
    </row>
    <row r="4365" customFormat="1" spans="1:16">
      <c r="A4365" s="39"/>
      <c r="B4365" s="40"/>
      <c r="C4365" s="41"/>
      <c r="D4365" s="41"/>
      <c r="E4365" s="41"/>
      <c r="F4365" s="41"/>
      <c r="G4365" s="41"/>
      <c r="H4365" s="41"/>
      <c r="I4365" s="41"/>
      <c r="J4365" s="41"/>
      <c r="K4365" s="41"/>
      <c r="L4365" s="41"/>
      <c r="M4365" s="41"/>
      <c r="N4365" s="41"/>
      <c r="O4365" s="41"/>
      <c r="P4365" s="28"/>
    </row>
    <row r="4366" customFormat="1" spans="1:16">
      <c r="A4366" s="39"/>
      <c r="B4366" s="40"/>
      <c r="C4366" s="41"/>
      <c r="D4366" s="41"/>
      <c r="E4366" s="41"/>
      <c r="F4366" s="41"/>
      <c r="G4366" s="41"/>
      <c r="H4366" s="41"/>
      <c r="I4366" s="41"/>
      <c r="J4366" s="41"/>
      <c r="K4366" s="41"/>
      <c r="L4366" s="41"/>
      <c r="M4366" s="41"/>
      <c r="N4366" s="41"/>
      <c r="O4366" s="41"/>
      <c r="P4366" s="28"/>
    </row>
    <row r="4367" customFormat="1" spans="1:16">
      <c r="A4367" s="39"/>
      <c r="B4367" s="40"/>
      <c r="C4367" s="41"/>
      <c r="D4367" s="41"/>
      <c r="E4367" s="41"/>
      <c r="F4367" s="41"/>
      <c r="G4367" s="41"/>
      <c r="H4367" s="41"/>
      <c r="I4367" s="41"/>
      <c r="J4367" s="41"/>
      <c r="K4367" s="41"/>
      <c r="L4367" s="41"/>
      <c r="M4367" s="41"/>
      <c r="N4367" s="41"/>
      <c r="O4367" s="41"/>
      <c r="P4367" s="28"/>
    </row>
    <row r="4368" customFormat="1" spans="1:16">
      <c r="A4368" s="39"/>
      <c r="B4368" s="40"/>
      <c r="C4368" s="41"/>
      <c r="D4368" s="41"/>
      <c r="E4368" s="41"/>
      <c r="F4368" s="41"/>
      <c r="G4368" s="41"/>
      <c r="H4368" s="41"/>
      <c r="I4368" s="41"/>
      <c r="J4368" s="41"/>
      <c r="K4368" s="41"/>
      <c r="L4368" s="41"/>
      <c r="M4368" s="41"/>
      <c r="N4368" s="41"/>
      <c r="O4368" s="41"/>
      <c r="P4368" s="28"/>
    </row>
    <row r="4369" customFormat="1" spans="1:16">
      <c r="A4369" s="39"/>
      <c r="B4369" s="40"/>
      <c r="C4369" s="41"/>
      <c r="D4369" s="41"/>
      <c r="E4369" s="41"/>
      <c r="F4369" s="41"/>
      <c r="G4369" s="41"/>
      <c r="H4369" s="41"/>
      <c r="I4369" s="41"/>
      <c r="J4369" s="41"/>
      <c r="K4369" s="41"/>
      <c r="L4369" s="41"/>
      <c r="M4369" s="41"/>
      <c r="N4369" s="41"/>
      <c r="O4369" s="41"/>
      <c r="P4369" s="28"/>
    </row>
    <row r="4370" customFormat="1" spans="1:16">
      <c r="A4370" s="39"/>
      <c r="B4370" s="40"/>
      <c r="C4370" s="41"/>
      <c r="D4370" s="41"/>
      <c r="E4370" s="41"/>
      <c r="F4370" s="41"/>
      <c r="G4370" s="41"/>
      <c r="H4370" s="41"/>
      <c r="I4370" s="41"/>
      <c r="J4370" s="41"/>
      <c r="K4370" s="41"/>
      <c r="L4370" s="41"/>
      <c r="M4370" s="41"/>
      <c r="N4370" s="41"/>
      <c r="O4370" s="41"/>
      <c r="P4370" s="28"/>
    </row>
    <row r="4371" customFormat="1" spans="1:16">
      <c r="A4371" s="39"/>
      <c r="B4371" s="40"/>
      <c r="C4371" s="41"/>
      <c r="D4371" s="41"/>
      <c r="E4371" s="41"/>
      <c r="F4371" s="41"/>
      <c r="G4371" s="41"/>
      <c r="H4371" s="41"/>
      <c r="I4371" s="41"/>
      <c r="J4371" s="41"/>
      <c r="K4371" s="41"/>
      <c r="L4371" s="41"/>
      <c r="M4371" s="41"/>
      <c r="N4371" s="41"/>
      <c r="O4371" s="41"/>
      <c r="P4371" s="28"/>
    </row>
    <row r="4372" customFormat="1" spans="1:16">
      <c r="A4372" s="39"/>
      <c r="B4372" s="40"/>
      <c r="C4372" s="41"/>
      <c r="D4372" s="41"/>
      <c r="E4372" s="41"/>
      <c r="F4372" s="41"/>
      <c r="G4372" s="41"/>
      <c r="H4372" s="41"/>
      <c r="I4372" s="41"/>
      <c r="J4372" s="41"/>
      <c r="K4372" s="41"/>
      <c r="L4372" s="41"/>
      <c r="M4372" s="41"/>
      <c r="N4372" s="41"/>
      <c r="O4372" s="41"/>
      <c r="P4372" s="28"/>
    </row>
    <row r="4373" customFormat="1" spans="1:16">
      <c r="A4373" s="39"/>
      <c r="B4373" s="40"/>
      <c r="C4373" s="41"/>
      <c r="D4373" s="41"/>
      <c r="E4373" s="41"/>
      <c r="F4373" s="41"/>
      <c r="G4373" s="41"/>
      <c r="H4373" s="41"/>
      <c r="I4373" s="41"/>
      <c r="J4373" s="41"/>
      <c r="K4373" s="41"/>
      <c r="L4373" s="41"/>
      <c r="M4373" s="41"/>
      <c r="N4373" s="41"/>
      <c r="O4373" s="41"/>
      <c r="P4373" s="28"/>
    </row>
    <row r="4374" customFormat="1" spans="1:16">
      <c r="A4374" s="39"/>
      <c r="B4374" s="40"/>
      <c r="C4374" s="41"/>
      <c r="D4374" s="41"/>
      <c r="E4374" s="41"/>
      <c r="F4374" s="41"/>
      <c r="G4374" s="41"/>
      <c r="H4374" s="41"/>
      <c r="I4374" s="41"/>
      <c r="J4374" s="41"/>
      <c r="K4374" s="41"/>
      <c r="L4374" s="41"/>
      <c r="M4374" s="41"/>
      <c r="N4374" s="41"/>
      <c r="O4374" s="41"/>
      <c r="P4374" s="28"/>
    </row>
    <row r="4375" customFormat="1" spans="1:16">
      <c r="A4375" s="39"/>
      <c r="B4375" s="40"/>
      <c r="C4375" s="41"/>
      <c r="D4375" s="41"/>
      <c r="E4375" s="41"/>
      <c r="F4375" s="41"/>
      <c r="G4375" s="41"/>
      <c r="H4375" s="41"/>
      <c r="I4375" s="41"/>
      <c r="J4375" s="41"/>
      <c r="K4375" s="41"/>
      <c r="L4375" s="41"/>
      <c r="M4375" s="41"/>
      <c r="N4375" s="41"/>
      <c r="O4375" s="41"/>
      <c r="P4375" s="28"/>
    </row>
    <row r="4376" customFormat="1" spans="1:16">
      <c r="A4376" s="39"/>
      <c r="B4376" s="40"/>
      <c r="C4376" s="41"/>
      <c r="D4376" s="41"/>
      <c r="E4376" s="41"/>
      <c r="F4376" s="41"/>
      <c r="G4376" s="41"/>
      <c r="H4376" s="41"/>
      <c r="I4376" s="41"/>
      <c r="J4376" s="41"/>
      <c r="K4376" s="41"/>
      <c r="L4376" s="41"/>
      <c r="M4376" s="41"/>
      <c r="N4376" s="41"/>
      <c r="O4376" s="41"/>
      <c r="P4376" s="28"/>
    </row>
    <row r="4377" customFormat="1" spans="1:16">
      <c r="A4377" s="39"/>
      <c r="B4377" s="40"/>
      <c r="C4377" s="41"/>
      <c r="D4377" s="41"/>
      <c r="E4377" s="41"/>
      <c r="F4377" s="41"/>
      <c r="G4377" s="41"/>
      <c r="H4377" s="41"/>
      <c r="I4377" s="41"/>
      <c r="J4377" s="41"/>
      <c r="K4377" s="41"/>
      <c r="L4377" s="41"/>
      <c r="M4377" s="41"/>
      <c r="N4377" s="41"/>
      <c r="O4377" s="41"/>
      <c r="P4377" s="28"/>
    </row>
    <row r="4378" customFormat="1" spans="1:16">
      <c r="A4378" s="39"/>
      <c r="B4378" s="40"/>
      <c r="C4378" s="41"/>
      <c r="D4378" s="41"/>
      <c r="E4378" s="41"/>
      <c r="F4378" s="41"/>
      <c r="G4378" s="41"/>
      <c r="H4378" s="41"/>
      <c r="I4378" s="41"/>
      <c r="J4378" s="41"/>
      <c r="K4378" s="41"/>
      <c r="L4378" s="41"/>
      <c r="M4378" s="41"/>
      <c r="N4378" s="41"/>
      <c r="O4378" s="41"/>
      <c r="P4378" s="28"/>
    </row>
    <row r="4379" customFormat="1" spans="1:16">
      <c r="A4379" s="39"/>
      <c r="B4379" s="40"/>
      <c r="C4379" s="41"/>
      <c r="D4379" s="41"/>
      <c r="E4379" s="41"/>
      <c r="F4379" s="41"/>
      <c r="G4379" s="41"/>
      <c r="H4379" s="41"/>
      <c r="I4379" s="41"/>
      <c r="J4379" s="41"/>
      <c r="K4379" s="41"/>
      <c r="L4379" s="41"/>
      <c r="M4379" s="41"/>
      <c r="N4379" s="41"/>
      <c r="O4379" s="41"/>
      <c r="P4379" s="28"/>
    </row>
    <row r="4380" customFormat="1" spans="1:16">
      <c r="A4380" s="39"/>
      <c r="B4380" s="40"/>
      <c r="C4380" s="41"/>
      <c r="D4380" s="41"/>
      <c r="E4380" s="41"/>
      <c r="F4380" s="41"/>
      <c r="G4380" s="41"/>
      <c r="H4380" s="41"/>
      <c r="I4380" s="41"/>
      <c r="J4380" s="41"/>
      <c r="K4380" s="41"/>
      <c r="L4380" s="41"/>
      <c r="M4380" s="41"/>
      <c r="N4380" s="41"/>
      <c r="O4380" s="41"/>
      <c r="P4380" s="28"/>
    </row>
    <row r="4381" customFormat="1" spans="1:16">
      <c r="A4381" s="39"/>
      <c r="B4381" s="40"/>
      <c r="C4381" s="41"/>
      <c r="D4381" s="41"/>
      <c r="E4381" s="41"/>
      <c r="F4381" s="41"/>
      <c r="G4381" s="41"/>
      <c r="H4381" s="41"/>
      <c r="I4381" s="41"/>
      <c r="J4381" s="41"/>
      <c r="K4381" s="41"/>
      <c r="L4381" s="41"/>
      <c r="M4381" s="41"/>
      <c r="N4381" s="41"/>
      <c r="O4381" s="41"/>
      <c r="P4381" s="28"/>
    </row>
    <row r="4382" customFormat="1" spans="1:16">
      <c r="A4382" s="39"/>
      <c r="B4382" s="40"/>
      <c r="C4382" s="41"/>
      <c r="D4382" s="41"/>
      <c r="E4382" s="41"/>
      <c r="F4382" s="41"/>
      <c r="G4382" s="41"/>
      <c r="H4382" s="41"/>
      <c r="I4382" s="41"/>
      <c r="J4382" s="41"/>
      <c r="K4382" s="41"/>
      <c r="L4382" s="41"/>
      <c r="M4382" s="41"/>
      <c r="N4382" s="41"/>
      <c r="O4382" s="41"/>
      <c r="P4382" s="28"/>
    </row>
    <row r="4383" customFormat="1" spans="1:16">
      <c r="A4383" s="39"/>
      <c r="B4383" s="40"/>
      <c r="C4383" s="41"/>
      <c r="D4383" s="41"/>
      <c r="E4383" s="41"/>
      <c r="F4383" s="41"/>
      <c r="G4383" s="41"/>
      <c r="H4383" s="41"/>
      <c r="I4383" s="41"/>
      <c r="J4383" s="41"/>
      <c r="K4383" s="41"/>
      <c r="L4383" s="41"/>
      <c r="M4383" s="41"/>
      <c r="N4383" s="41"/>
      <c r="O4383" s="41"/>
      <c r="P4383" s="28"/>
    </row>
    <row r="4384" customFormat="1" spans="1:16">
      <c r="A4384" s="39"/>
      <c r="B4384" s="40"/>
      <c r="C4384" s="41"/>
      <c r="D4384" s="41"/>
      <c r="E4384" s="41"/>
      <c r="F4384" s="41"/>
      <c r="G4384" s="41"/>
      <c r="H4384" s="41"/>
      <c r="I4384" s="41"/>
      <c r="J4384" s="41"/>
      <c r="K4384" s="41"/>
      <c r="L4384" s="41"/>
      <c r="M4384" s="41"/>
      <c r="N4384" s="41"/>
      <c r="O4384" s="41"/>
      <c r="P4384" s="28"/>
    </row>
    <row r="4385" customFormat="1" spans="1:16">
      <c r="A4385" s="39"/>
      <c r="B4385" s="40"/>
      <c r="C4385" s="41"/>
      <c r="D4385" s="41"/>
      <c r="E4385" s="41"/>
      <c r="F4385" s="41"/>
      <c r="G4385" s="41"/>
      <c r="H4385" s="41"/>
      <c r="I4385" s="41"/>
      <c r="J4385" s="41"/>
      <c r="K4385" s="41"/>
      <c r="L4385" s="41"/>
      <c r="M4385" s="41"/>
      <c r="N4385" s="41"/>
      <c r="O4385" s="41"/>
      <c r="P4385" s="28"/>
    </row>
    <row r="4386" customFormat="1" spans="1:16">
      <c r="A4386" s="39"/>
      <c r="B4386" s="40"/>
      <c r="C4386" s="41"/>
      <c r="D4386" s="41"/>
      <c r="E4386" s="41"/>
      <c r="F4386" s="41"/>
      <c r="G4386" s="41"/>
      <c r="H4386" s="41"/>
      <c r="I4386" s="41"/>
      <c r="J4386" s="41"/>
      <c r="K4386" s="41"/>
      <c r="L4386" s="41"/>
      <c r="M4386" s="41"/>
      <c r="N4386" s="41"/>
      <c r="O4386" s="41"/>
      <c r="P4386" s="28"/>
    </row>
    <row r="4387" customFormat="1" spans="1:16">
      <c r="A4387" s="39"/>
      <c r="B4387" s="40"/>
      <c r="C4387" s="41"/>
      <c r="D4387" s="41"/>
      <c r="E4387" s="41"/>
      <c r="F4387" s="41"/>
      <c r="G4387" s="41"/>
      <c r="H4387" s="41"/>
      <c r="I4387" s="41"/>
      <c r="J4387" s="41"/>
      <c r="K4387" s="41"/>
      <c r="L4387" s="41"/>
      <c r="M4387" s="41"/>
      <c r="N4387" s="41"/>
      <c r="O4387" s="41"/>
      <c r="P4387" s="28"/>
    </row>
    <row r="4388" customFormat="1" spans="1:16">
      <c r="A4388" s="39"/>
      <c r="B4388" s="40"/>
      <c r="C4388" s="41"/>
      <c r="D4388" s="41"/>
      <c r="E4388" s="41"/>
      <c r="F4388" s="41"/>
      <c r="G4388" s="41"/>
      <c r="H4388" s="41"/>
      <c r="I4388" s="41"/>
      <c r="J4388" s="41"/>
      <c r="K4388" s="41"/>
      <c r="L4388" s="41"/>
      <c r="M4388" s="41"/>
      <c r="N4388" s="41"/>
      <c r="O4388" s="41"/>
      <c r="P4388" s="28"/>
    </row>
    <row r="4389" customFormat="1" spans="1:16">
      <c r="A4389" s="39"/>
      <c r="B4389" s="40"/>
      <c r="C4389" s="41"/>
      <c r="D4389" s="41"/>
      <c r="E4389" s="41"/>
      <c r="F4389" s="41"/>
      <c r="G4389" s="41"/>
      <c r="H4389" s="41"/>
      <c r="I4389" s="41"/>
      <c r="J4389" s="41"/>
      <c r="K4389" s="41"/>
      <c r="L4389" s="41"/>
      <c r="M4389" s="41"/>
      <c r="N4389" s="41"/>
      <c r="O4389" s="41"/>
      <c r="P4389" s="28"/>
    </row>
    <row r="4390" customFormat="1" spans="1:16">
      <c r="A4390" s="39"/>
      <c r="B4390" s="40"/>
      <c r="C4390" s="41"/>
      <c r="D4390" s="41"/>
      <c r="E4390" s="41"/>
      <c r="F4390" s="41"/>
      <c r="G4390" s="41"/>
      <c r="H4390" s="41"/>
      <c r="I4390" s="41"/>
      <c r="J4390" s="41"/>
      <c r="K4390" s="41"/>
      <c r="L4390" s="41"/>
      <c r="M4390" s="41"/>
      <c r="N4390" s="41"/>
      <c r="O4390" s="41"/>
      <c r="P4390" s="28"/>
    </row>
    <row r="4391" customFormat="1" spans="1:16">
      <c r="A4391" s="39"/>
      <c r="B4391" s="40"/>
      <c r="C4391" s="41"/>
      <c r="D4391" s="41"/>
      <c r="E4391" s="41"/>
      <c r="F4391" s="41"/>
      <c r="G4391" s="41"/>
      <c r="H4391" s="41"/>
      <c r="I4391" s="41"/>
      <c r="J4391" s="41"/>
      <c r="K4391" s="41"/>
      <c r="L4391" s="41"/>
      <c r="M4391" s="41"/>
      <c r="N4391" s="41"/>
      <c r="O4391" s="41"/>
      <c r="P4391" s="28"/>
    </row>
    <row r="4392" customFormat="1" spans="1:16">
      <c r="A4392" s="39"/>
      <c r="B4392" s="40"/>
      <c r="C4392" s="41"/>
      <c r="D4392" s="41"/>
      <c r="E4392" s="41"/>
      <c r="F4392" s="41"/>
      <c r="G4392" s="41"/>
      <c r="H4392" s="41"/>
      <c r="I4392" s="41"/>
      <c r="J4392" s="41"/>
      <c r="K4392" s="41"/>
      <c r="L4392" s="41"/>
      <c r="M4392" s="41"/>
      <c r="N4392" s="41"/>
      <c r="O4392" s="41"/>
      <c r="P4392" s="28"/>
    </row>
    <row r="4393" customFormat="1" spans="1:16">
      <c r="A4393" s="39"/>
      <c r="B4393" s="40"/>
      <c r="C4393" s="41"/>
      <c r="D4393" s="41"/>
      <c r="E4393" s="41"/>
      <c r="F4393" s="41"/>
      <c r="G4393" s="41"/>
      <c r="H4393" s="41"/>
      <c r="I4393" s="41"/>
      <c r="J4393" s="41"/>
      <c r="K4393" s="41"/>
      <c r="L4393" s="41"/>
      <c r="M4393" s="41"/>
      <c r="N4393" s="41"/>
      <c r="O4393" s="41"/>
      <c r="P4393" s="28"/>
    </row>
    <row r="4394" customFormat="1" spans="1:16">
      <c r="A4394" s="39"/>
      <c r="B4394" s="40"/>
      <c r="C4394" s="41"/>
      <c r="D4394" s="41"/>
      <c r="E4394" s="41"/>
      <c r="F4394" s="41"/>
      <c r="G4394" s="41"/>
      <c r="H4394" s="41"/>
      <c r="I4394" s="41"/>
      <c r="J4394" s="41"/>
      <c r="K4394" s="41"/>
      <c r="L4394" s="41"/>
      <c r="M4394" s="41"/>
      <c r="N4394" s="41"/>
      <c r="O4394" s="41"/>
      <c r="P4394" s="28"/>
    </row>
    <row r="4395" customFormat="1" spans="1:16">
      <c r="A4395" s="39"/>
      <c r="B4395" s="40"/>
      <c r="C4395" s="41"/>
      <c r="D4395" s="41"/>
      <c r="E4395" s="41"/>
      <c r="F4395" s="41"/>
      <c r="G4395" s="41"/>
      <c r="H4395" s="41"/>
      <c r="I4395" s="41"/>
      <c r="J4395" s="41"/>
      <c r="K4395" s="41"/>
      <c r="L4395" s="41"/>
      <c r="M4395" s="41"/>
      <c r="N4395" s="41"/>
      <c r="O4395" s="41"/>
      <c r="P4395" s="28"/>
    </row>
    <row r="4396" customFormat="1" spans="1:16">
      <c r="A4396" s="39"/>
      <c r="B4396" s="40"/>
      <c r="C4396" s="41"/>
      <c r="D4396" s="41"/>
      <c r="E4396" s="41"/>
      <c r="F4396" s="41"/>
      <c r="G4396" s="41"/>
      <c r="H4396" s="41"/>
      <c r="I4396" s="41"/>
      <c r="J4396" s="41"/>
      <c r="K4396" s="41"/>
      <c r="L4396" s="41"/>
      <c r="M4396" s="41"/>
      <c r="N4396" s="41"/>
      <c r="O4396" s="41"/>
      <c r="P4396" s="28"/>
    </row>
    <row r="4397" customFormat="1" spans="1:16">
      <c r="A4397" s="39"/>
      <c r="B4397" s="40"/>
      <c r="C4397" s="41"/>
      <c r="D4397" s="41"/>
      <c r="E4397" s="41"/>
      <c r="F4397" s="41"/>
      <c r="G4397" s="41"/>
      <c r="H4397" s="41"/>
      <c r="I4397" s="41"/>
      <c r="J4397" s="41"/>
      <c r="K4397" s="41"/>
      <c r="L4397" s="41"/>
      <c r="M4397" s="41"/>
      <c r="N4397" s="41"/>
      <c r="O4397" s="41"/>
      <c r="P4397" s="28"/>
    </row>
    <row r="4398" customFormat="1" spans="1:16">
      <c r="A4398" s="39"/>
      <c r="B4398" s="40"/>
      <c r="C4398" s="41"/>
      <c r="D4398" s="41"/>
      <c r="E4398" s="41"/>
      <c r="F4398" s="41"/>
      <c r="G4398" s="41"/>
      <c r="H4398" s="41"/>
      <c r="I4398" s="41"/>
      <c r="J4398" s="41"/>
      <c r="K4398" s="41"/>
      <c r="L4398" s="41"/>
      <c r="M4398" s="41"/>
      <c r="N4398" s="41"/>
      <c r="O4398" s="41"/>
      <c r="P4398" s="28"/>
    </row>
    <row r="4399" customFormat="1" spans="1:16">
      <c r="A4399" s="39"/>
      <c r="B4399" s="40"/>
      <c r="C4399" s="41"/>
      <c r="D4399" s="41"/>
      <c r="E4399" s="41"/>
      <c r="F4399" s="41"/>
      <c r="G4399" s="41"/>
      <c r="H4399" s="41"/>
      <c r="I4399" s="41"/>
      <c r="J4399" s="41"/>
      <c r="K4399" s="41"/>
      <c r="L4399" s="41"/>
      <c r="M4399" s="41"/>
      <c r="N4399" s="41"/>
      <c r="O4399" s="41"/>
      <c r="P4399" s="28"/>
    </row>
    <row r="4400" customFormat="1" spans="1:16">
      <c r="A4400" s="39"/>
      <c r="B4400" s="40"/>
      <c r="C4400" s="41"/>
      <c r="D4400" s="41"/>
      <c r="E4400" s="41"/>
      <c r="F4400" s="41"/>
      <c r="G4400" s="41"/>
      <c r="H4400" s="41"/>
      <c r="I4400" s="41"/>
      <c r="J4400" s="41"/>
      <c r="K4400" s="41"/>
      <c r="L4400" s="41"/>
      <c r="M4400" s="41"/>
      <c r="N4400" s="41"/>
      <c r="O4400" s="41"/>
      <c r="P4400" s="28"/>
    </row>
    <row r="4401" customFormat="1" spans="1:16">
      <c r="A4401" s="39"/>
      <c r="B4401" s="40"/>
      <c r="C4401" s="41"/>
      <c r="D4401" s="41"/>
      <c r="E4401" s="41"/>
      <c r="F4401" s="41"/>
      <c r="G4401" s="41"/>
      <c r="H4401" s="41"/>
      <c r="I4401" s="41"/>
      <c r="J4401" s="41"/>
      <c r="K4401" s="41"/>
      <c r="L4401" s="41"/>
      <c r="M4401" s="41"/>
      <c r="N4401" s="41"/>
      <c r="O4401" s="41"/>
      <c r="P4401" s="28"/>
    </row>
    <row r="4402" customFormat="1" spans="1:16">
      <c r="A4402" s="39"/>
      <c r="B4402" s="40"/>
      <c r="C4402" s="41"/>
      <c r="D4402" s="41"/>
      <c r="E4402" s="41"/>
      <c r="F4402" s="41"/>
      <c r="G4402" s="41"/>
      <c r="H4402" s="41"/>
      <c r="I4402" s="41"/>
      <c r="J4402" s="41"/>
      <c r="K4402" s="41"/>
      <c r="L4402" s="41"/>
      <c r="M4402" s="41"/>
      <c r="N4402" s="41"/>
      <c r="O4402" s="41"/>
      <c r="P4402" s="28"/>
    </row>
    <row r="4403" customFormat="1" spans="1:16">
      <c r="A4403" s="39"/>
      <c r="B4403" s="40"/>
      <c r="C4403" s="41"/>
      <c r="D4403" s="41"/>
      <c r="E4403" s="41"/>
      <c r="F4403" s="41"/>
      <c r="G4403" s="41"/>
      <c r="H4403" s="41"/>
      <c r="I4403" s="41"/>
      <c r="J4403" s="41"/>
      <c r="K4403" s="41"/>
      <c r="L4403" s="41"/>
      <c r="M4403" s="41"/>
      <c r="N4403" s="41"/>
      <c r="O4403" s="41"/>
      <c r="P4403" s="28"/>
    </row>
    <row r="4404" customFormat="1" spans="1:16">
      <c r="A4404" s="39"/>
      <c r="B4404" s="40"/>
      <c r="C4404" s="41"/>
      <c r="D4404" s="41"/>
      <c r="E4404" s="41"/>
      <c r="F4404" s="41"/>
      <c r="G4404" s="41"/>
      <c r="H4404" s="41"/>
      <c r="I4404" s="41"/>
      <c r="J4404" s="41"/>
      <c r="K4404" s="41"/>
      <c r="L4404" s="41"/>
      <c r="M4404" s="41"/>
      <c r="N4404" s="41"/>
      <c r="O4404" s="41"/>
      <c r="P4404" s="28"/>
    </row>
    <row r="4405" customFormat="1" spans="1:16">
      <c r="A4405" s="39"/>
      <c r="B4405" s="40"/>
      <c r="C4405" s="41"/>
      <c r="D4405" s="41"/>
      <c r="E4405" s="41"/>
      <c r="F4405" s="41"/>
      <c r="G4405" s="41"/>
      <c r="H4405" s="41"/>
      <c r="I4405" s="41"/>
      <c r="J4405" s="41"/>
      <c r="K4405" s="41"/>
      <c r="L4405" s="41"/>
      <c r="M4405" s="41"/>
      <c r="N4405" s="41"/>
      <c r="O4405" s="41"/>
      <c r="P4405" s="28"/>
    </row>
    <row r="4406" customFormat="1" spans="1:16">
      <c r="A4406" s="39"/>
      <c r="B4406" s="40"/>
      <c r="C4406" s="41"/>
      <c r="D4406" s="41"/>
      <c r="E4406" s="41"/>
      <c r="F4406" s="41"/>
      <c r="G4406" s="41"/>
      <c r="H4406" s="41"/>
      <c r="I4406" s="41"/>
      <c r="J4406" s="41"/>
      <c r="K4406" s="41"/>
      <c r="L4406" s="41"/>
      <c r="M4406" s="41"/>
      <c r="N4406" s="41"/>
      <c r="O4406" s="41"/>
      <c r="P4406" s="28"/>
    </row>
    <row r="4407" customFormat="1" spans="1:16">
      <c r="A4407" s="39"/>
      <c r="B4407" s="40"/>
      <c r="C4407" s="41"/>
      <c r="D4407" s="41"/>
      <c r="E4407" s="41"/>
      <c r="F4407" s="41"/>
      <c r="G4407" s="41"/>
      <c r="H4407" s="41"/>
      <c r="I4407" s="41"/>
      <c r="J4407" s="41"/>
      <c r="K4407" s="41"/>
      <c r="L4407" s="41"/>
      <c r="M4407" s="41"/>
      <c r="N4407" s="41"/>
      <c r="O4407" s="41"/>
      <c r="P4407" s="28"/>
    </row>
    <row r="4408" customFormat="1" spans="1:16">
      <c r="A4408" s="39"/>
      <c r="B4408" s="40"/>
      <c r="C4408" s="41"/>
      <c r="D4408" s="41"/>
      <c r="E4408" s="41"/>
      <c r="F4408" s="41"/>
      <c r="G4408" s="41"/>
      <c r="H4408" s="41"/>
      <c r="I4408" s="41"/>
      <c r="J4408" s="41"/>
      <c r="K4408" s="41"/>
      <c r="L4408" s="41"/>
      <c r="M4408" s="41"/>
      <c r="N4408" s="41"/>
      <c r="O4408" s="41"/>
      <c r="P4408" s="28"/>
    </row>
    <row r="4409" customFormat="1" spans="1:16">
      <c r="A4409" s="39"/>
      <c r="B4409" s="40"/>
      <c r="C4409" s="41"/>
      <c r="D4409" s="41"/>
      <c r="E4409" s="41"/>
      <c r="F4409" s="41"/>
      <c r="G4409" s="41"/>
      <c r="H4409" s="41"/>
      <c r="I4409" s="41"/>
      <c r="J4409" s="41"/>
      <c r="K4409" s="41"/>
      <c r="L4409" s="41"/>
      <c r="M4409" s="41"/>
      <c r="N4409" s="41"/>
      <c r="O4409" s="41"/>
      <c r="P4409" s="28"/>
    </row>
    <row r="4410" customFormat="1" spans="1:16">
      <c r="A4410" s="39"/>
      <c r="B4410" s="40"/>
      <c r="C4410" s="41"/>
      <c r="D4410" s="41"/>
      <c r="E4410" s="41"/>
      <c r="F4410" s="41"/>
      <c r="G4410" s="41"/>
      <c r="H4410" s="41"/>
      <c r="I4410" s="41"/>
      <c r="J4410" s="41"/>
      <c r="K4410" s="41"/>
      <c r="L4410" s="41"/>
      <c r="M4410" s="41"/>
      <c r="N4410" s="41"/>
      <c r="O4410" s="41"/>
      <c r="P4410" s="28"/>
    </row>
    <row r="4411" customFormat="1" spans="1:16">
      <c r="A4411" s="39"/>
      <c r="B4411" s="40"/>
      <c r="C4411" s="41"/>
      <c r="D4411" s="41"/>
      <c r="E4411" s="41"/>
      <c r="F4411" s="41"/>
      <c r="G4411" s="41"/>
      <c r="H4411" s="41"/>
      <c r="I4411" s="41"/>
      <c r="J4411" s="41"/>
      <c r="K4411" s="41"/>
      <c r="L4411" s="41"/>
      <c r="M4411" s="41"/>
      <c r="N4411" s="41"/>
      <c r="O4411" s="41"/>
      <c r="P4411" s="28"/>
    </row>
    <row r="4412" customFormat="1" spans="1:16">
      <c r="A4412" s="39"/>
      <c r="B4412" s="40"/>
      <c r="C4412" s="41"/>
      <c r="D4412" s="41"/>
      <c r="E4412" s="41"/>
      <c r="F4412" s="41"/>
      <c r="G4412" s="41"/>
      <c r="H4412" s="41"/>
      <c r="I4412" s="41"/>
      <c r="J4412" s="41"/>
      <c r="K4412" s="41"/>
      <c r="L4412" s="41"/>
      <c r="M4412" s="41"/>
      <c r="N4412" s="41"/>
      <c r="O4412" s="41"/>
      <c r="P4412" s="28"/>
    </row>
    <row r="4413" customFormat="1" spans="1:16">
      <c r="A4413" s="39"/>
      <c r="B4413" s="40"/>
      <c r="C4413" s="41"/>
      <c r="D4413" s="41"/>
      <c r="E4413" s="41"/>
      <c r="F4413" s="41"/>
      <c r="G4413" s="41"/>
      <c r="H4413" s="41"/>
      <c r="I4413" s="41"/>
      <c r="J4413" s="41"/>
      <c r="K4413" s="41"/>
      <c r="L4413" s="41"/>
      <c r="M4413" s="41"/>
      <c r="N4413" s="41"/>
      <c r="O4413" s="41"/>
      <c r="P4413" s="28"/>
    </row>
    <row r="4414" customFormat="1" spans="1:16">
      <c r="A4414" s="39"/>
      <c r="B4414" s="40"/>
      <c r="C4414" s="41"/>
      <c r="D4414" s="41"/>
      <c r="E4414" s="41"/>
      <c r="F4414" s="41"/>
      <c r="G4414" s="41"/>
      <c r="H4414" s="41"/>
      <c r="I4414" s="41"/>
      <c r="J4414" s="41"/>
      <c r="K4414" s="41"/>
      <c r="L4414" s="41"/>
      <c r="M4414" s="41"/>
      <c r="N4414" s="41"/>
      <c r="O4414" s="41"/>
      <c r="P4414" s="28"/>
    </row>
    <row r="4415" customFormat="1" spans="1:16">
      <c r="A4415" s="39"/>
      <c r="B4415" s="40"/>
      <c r="C4415" s="41"/>
      <c r="D4415" s="41"/>
      <c r="E4415" s="41"/>
      <c r="F4415" s="41"/>
      <c r="G4415" s="41"/>
      <c r="H4415" s="41"/>
      <c r="I4415" s="41"/>
      <c r="J4415" s="41"/>
      <c r="K4415" s="41"/>
      <c r="L4415" s="41"/>
      <c r="M4415" s="41"/>
      <c r="N4415" s="41"/>
      <c r="O4415" s="41"/>
      <c r="P4415" s="28"/>
    </row>
    <row r="4416" customFormat="1" spans="1:16">
      <c r="A4416" s="39"/>
      <c r="B4416" s="40"/>
      <c r="C4416" s="41"/>
      <c r="D4416" s="41"/>
      <c r="E4416" s="41"/>
      <c r="F4416" s="41"/>
      <c r="G4416" s="41"/>
      <c r="H4416" s="41"/>
      <c r="I4416" s="41"/>
      <c r="J4416" s="41"/>
      <c r="K4416" s="41"/>
      <c r="L4416" s="41"/>
      <c r="M4416" s="41"/>
      <c r="N4416" s="41"/>
      <c r="O4416" s="41"/>
      <c r="P4416" s="28"/>
    </row>
    <row r="4417" customFormat="1" spans="1:16">
      <c r="A4417" s="39"/>
      <c r="B4417" s="40"/>
      <c r="C4417" s="41"/>
      <c r="D4417" s="41"/>
      <c r="E4417" s="41"/>
      <c r="F4417" s="41"/>
      <c r="G4417" s="41"/>
      <c r="H4417" s="41"/>
      <c r="I4417" s="41"/>
      <c r="J4417" s="41"/>
      <c r="K4417" s="41"/>
      <c r="L4417" s="41"/>
      <c r="M4417" s="41"/>
      <c r="N4417" s="41"/>
      <c r="O4417" s="41"/>
      <c r="P4417" s="28"/>
    </row>
    <row r="4418" customFormat="1" spans="1:16">
      <c r="A4418" s="39"/>
      <c r="B4418" s="40"/>
      <c r="C4418" s="41"/>
      <c r="D4418" s="41"/>
      <c r="E4418" s="41"/>
      <c r="F4418" s="41"/>
      <c r="G4418" s="41"/>
      <c r="H4418" s="41"/>
      <c r="I4418" s="41"/>
      <c r="J4418" s="41"/>
      <c r="K4418" s="41"/>
      <c r="L4418" s="41"/>
      <c r="M4418" s="41"/>
      <c r="N4418" s="41"/>
      <c r="O4418" s="41"/>
      <c r="P4418" s="28"/>
    </row>
    <row r="4419" customFormat="1" spans="1:16">
      <c r="A4419" s="39"/>
      <c r="B4419" s="40"/>
      <c r="C4419" s="41"/>
      <c r="D4419" s="41"/>
      <c r="E4419" s="41"/>
      <c r="F4419" s="41"/>
      <c r="G4419" s="41"/>
      <c r="H4419" s="41"/>
      <c r="I4419" s="41"/>
      <c r="J4419" s="41"/>
      <c r="K4419" s="41"/>
      <c r="L4419" s="41"/>
      <c r="M4419" s="41"/>
      <c r="N4419" s="41"/>
      <c r="O4419" s="41"/>
      <c r="P4419" s="28"/>
    </row>
    <row r="4420" customFormat="1" spans="1:16">
      <c r="A4420" s="39"/>
      <c r="B4420" s="40"/>
      <c r="C4420" s="41"/>
      <c r="D4420" s="41"/>
      <c r="E4420" s="41"/>
      <c r="F4420" s="41"/>
      <c r="G4420" s="41"/>
      <c r="H4420" s="41"/>
      <c r="I4420" s="41"/>
      <c r="J4420" s="41"/>
      <c r="K4420" s="41"/>
      <c r="L4420" s="41"/>
      <c r="M4420" s="41"/>
      <c r="N4420" s="41"/>
      <c r="O4420" s="41"/>
      <c r="P4420" s="28"/>
    </row>
    <row r="4421" customFormat="1" spans="1:16">
      <c r="A4421" s="39"/>
      <c r="B4421" s="40"/>
      <c r="C4421" s="41"/>
      <c r="D4421" s="41"/>
      <c r="E4421" s="41"/>
      <c r="F4421" s="41"/>
      <c r="G4421" s="41"/>
      <c r="H4421" s="41"/>
      <c r="I4421" s="41"/>
      <c r="J4421" s="41"/>
      <c r="K4421" s="41"/>
      <c r="L4421" s="41"/>
      <c r="M4421" s="41"/>
      <c r="N4421" s="41"/>
      <c r="O4421" s="41"/>
      <c r="P4421" s="28"/>
    </row>
    <row r="4422" customFormat="1" spans="1:16">
      <c r="A4422" s="39"/>
      <c r="B4422" s="40"/>
      <c r="C4422" s="41"/>
      <c r="D4422" s="41"/>
      <c r="E4422" s="41"/>
      <c r="F4422" s="41"/>
      <c r="G4422" s="41"/>
      <c r="H4422" s="41"/>
      <c r="I4422" s="41"/>
      <c r="J4422" s="41"/>
      <c r="K4422" s="41"/>
      <c r="L4422" s="41"/>
      <c r="M4422" s="41"/>
      <c r="N4422" s="41"/>
      <c r="O4422" s="41"/>
      <c r="P4422" s="28"/>
    </row>
    <row r="4423" customFormat="1" spans="1:16">
      <c r="A4423" s="39"/>
      <c r="B4423" s="40"/>
      <c r="C4423" s="41"/>
      <c r="D4423" s="41"/>
      <c r="E4423" s="41"/>
      <c r="F4423" s="41"/>
      <c r="G4423" s="41"/>
      <c r="H4423" s="41"/>
      <c r="I4423" s="41"/>
      <c r="J4423" s="41"/>
      <c r="K4423" s="41"/>
      <c r="L4423" s="41"/>
      <c r="M4423" s="41"/>
      <c r="N4423" s="41"/>
      <c r="O4423" s="41"/>
      <c r="P4423" s="28"/>
    </row>
    <row r="4424" customFormat="1" spans="1:16">
      <c r="A4424" s="39"/>
      <c r="B4424" s="40"/>
      <c r="C4424" s="41"/>
      <c r="D4424" s="41"/>
      <c r="E4424" s="41"/>
      <c r="F4424" s="41"/>
      <c r="G4424" s="41"/>
      <c r="H4424" s="41"/>
      <c r="I4424" s="41"/>
      <c r="J4424" s="41"/>
      <c r="K4424" s="41"/>
      <c r="L4424" s="41"/>
      <c r="M4424" s="41"/>
      <c r="N4424" s="41"/>
      <c r="O4424" s="41"/>
      <c r="P4424" s="28"/>
    </row>
    <row r="4425" customFormat="1" spans="1:16">
      <c r="A4425" s="39"/>
      <c r="B4425" s="40"/>
      <c r="C4425" s="41"/>
      <c r="D4425" s="41"/>
      <c r="E4425" s="41"/>
      <c r="F4425" s="41"/>
      <c r="G4425" s="41"/>
      <c r="H4425" s="41"/>
      <c r="I4425" s="41"/>
      <c r="J4425" s="41"/>
      <c r="K4425" s="41"/>
      <c r="L4425" s="41"/>
      <c r="M4425" s="41"/>
      <c r="N4425" s="41"/>
      <c r="O4425" s="41"/>
      <c r="P4425" s="28"/>
    </row>
    <row r="4426" customFormat="1" spans="1:16">
      <c r="A4426" s="39"/>
      <c r="B4426" s="40"/>
      <c r="C4426" s="41"/>
      <c r="D4426" s="41"/>
      <c r="E4426" s="41"/>
      <c r="F4426" s="41"/>
      <c r="G4426" s="41"/>
      <c r="H4426" s="41"/>
      <c r="I4426" s="41"/>
      <c r="J4426" s="41"/>
      <c r="K4426" s="41"/>
      <c r="L4426" s="41"/>
      <c r="M4426" s="41"/>
      <c r="N4426" s="41"/>
      <c r="O4426" s="41"/>
      <c r="P4426" s="28"/>
    </row>
    <row r="4427" customFormat="1" spans="1:16">
      <c r="A4427" s="39"/>
      <c r="B4427" s="40"/>
      <c r="C4427" s="41"/>
      <c r="D4427" s="41"/>
      <c r="E4427" s="41"/>
      <c r="F4427" s="41"/>
      <c r="G4427" s="41"/>
      <c r="H4427" s="41"/>
      <c r="I4427" s="41"/>
      <c r="J4427" s="41"/>
      <c r="K4427" s="41"/>
      <c r="L4427" s="41"/>
      <c r="M4427" s="41"/>
      <c r="N4427" s="41"/>
      <c r="O4427" s="41"/>
      <c r="P4427" s="28"/>
    </row>
    <row r="4428" customFormat="1" spans="1:16">
      <c r="A4428" s="39"/>
      <c r="B4428" s="40"/>
      <c r="C4428" s="41"/>
      <c r="D4428" s="41"/>
      <c r="E4428" s="41"/>
      <c r="F4428" s="41"/>
      <c r="G4428" s="41"/>
      <c r="H4428" s="41"/>
      <c r="I4428" s="41"/>
      <c r="J4428" s="41"/>
      <c r="K4428" s="41"/>
      <c r="L4428" s="41"/>
      <c r="M4428" s="41"/>
      <c r="N4428" s="41"/>
      <c r="O4428" s="41"/>
      <c r="P4428" s="28"/>
    </row>
    <row r="4429" customFormat="1" spans="1:16">
      <c r="A4429" s="39"/>
      <c r="B4429" s="40"/>
      <c r="C4429" s="41"/>
      <c r="D4429" s="41"/>
      <c r="E4429" s="41"/>
      <c r="F4429" s="41"/>
      <c r="G4429" s="41"/>
      <c r="H4429" s="41"/>
      <c r="I4429" s="41"/>
      <c r="J4429" s="41"/>
      <c r="K4429" s="41"/>
      <c r="L4429" s="41"/>
      <c r="M4429" s="41"/>
      <c r="N4429" s="41"/>
      <c r="O4429" s="41"/>
      <c r="P4429" s="28"/>
    </row>
    <row r="4430" customFormat="1" spans="1:16">
      <c r="A4430" s="39"/>
      <c r="B4430" s="40"/>
      <c r="C4430" s="41"/>
      <c r="D4430" s="41"/>
      <c r="E4430" s="41"/>
      <c r="F4430" s="41"/>
      <c r="G4430" s="41"/>
      <c r="H4430" s="41"/>
      <c r="I4430" s="41"/>
      <c r="J4430" s="41"/>
      <c r="K4430" s="41"/>
      <c r="L4430" s="41"/>
      <c r="M4430" s="41"/>
      <c r="N4430" s="41"/>
      <c r="O4430" s="41"/>
      <c r="P4430" s="28"/>
    </row>
    <row r="4431" customFormat="1" spans="1:16">
      <c r="A4431" s="39"/>
      <c r="B4431" s="40"/>
      <c r="C4431" s="41"/>
      <c r="D4431" s="41"/>
      <c r="E4431" s="41"/>
      <c r="F4431" s="41"/>
      <c r="G4431" s="41"/>
      <c r="H4431" s="41"/>
      <c r="I4431" s="41"/>
      <c r="J4431" s="41"/>
      <c r="K4431" s="41"/>
      <c r="L4431" s="41"/>
      <c r="M4431" s="41"/>
      <c r="N4431" s="41"/>
      <c r="O4431" s="41"/>
      <c r="P4431" s="28"/>
    </row>
    <row r="4432" customFormat="1" spans="1:16">
      <c r="A4432" s="39"/>
      <c r="B4432" s="40"/>
      <c r="C4432" s="41"/>
      <c r="D4432" s="41"/>
      <c r="E4432" s="41"/>
      <c r="F4432" s="41"/>
      <c r="G4432" s="41"/>
      <c r="H4432" s="41"/>
      <c r="I4432" s="41"/>
      <c r="J4432" s="41"/>
      <c r="K4432" s="41"/>
      <c r="L4432" s="41"/>
      <c r="M4432" s="41"/>
      <c r="N4432" s="41"/>
      <c r="O4432" s="41"/>
      <c r="P4432" s="28"/>
    </row>
    <row r="4433" customFormat="1" spans="1:16">
      <c r="A4433" s="39"/>
      <c r="B4433" s="40"/>
      <c r="C4433" s="41"/>
      <c r="D4433" s="41"/>
      <c r="E4433" s="41"/>
      <c r="F4433" s="41"/>
      <c r="G4433" s="41"/>
      <c r="H4433" s="41"/>
      <c r="I4433" s="41"/>
      <c r="J4433" s="41"/>
      <c r="K4433" s="41"/>
      <c r="L4433" s="41"/>
      <c r="M4433" s="41"/>
      <c r="N4433" s="41"/>
      <c r="O4433" s="41"/>
      <c r="P4433" s="28"/>
    </row>
    <row r="4434" customFormat="1" spans="1:16">
      <c r="A4434" s="39"/>
      <c r="B4434" s="40"/>
      <c r="C4434" s="41"/>
      <c r="D4434" s="41"/>
      <c r="E4434" s="41"/>
      <c r="F4434" s="41"/>
      <c r="G4434" s="41"/>
      <c r="H4434" s="41"/>
      <c r="I4434" s="41"/>
      <c r="J4434" s="41"/>
      <c r="K4434" s="41"/>
      <c r="L4434" s="41"/>
      <c r="M4434" s="41"/>
      <c r="N4434" s="41"/>
      <c r="O4434" s="41"/>
      <c r="P4434" s="28"/>
    </row>
    <row r="4435" customFormat="1" spans="1:16">
      <c r="A4435" s="39"/>
      <c r="B4435" s="40"/>
      <c r="C4435" s="41"/>
      <c r="D4435" s="41"/>
      <c r="E4435" s="41"/>
      <c r="F4435" s="41"/>
      <c r="G4435" s="41"/>
      <c r="H4435" s="41"/>
      <c r="I4435" s="41"/>
      <c r="J4435" s="41"/>
      <c r="K4435" s="41"/>
      <c r="L4435" s="41"/>
      <c r="M4435" s="41"/>
      <c r="N4435" s="41"/>
      <c r="O4435" s="41"/>
      <c r="P4435" s="28"/>
    </row>
    <row r="4436" customFormat="1" spans="1:16">
      <c r="A4436" s="39"/>
      <c r="B4436" s="40"/>
      <c r="C4436" s="41"/>
      <c r="D4436" s="41"/>
      <c r="E4436" s="41"/>
      <c r="F4436" s="41"/>
      <c r="G4436" s="41"/>
      <c r="H4436" s="41"/>
      <c r="I4436" s="41"/>
      <c r="J4436" s="41"/>
      <c r="K4436" s="41"/>
      <c r="L4436" s="41"/>
      <c r="M4436" s="41"/>
      <c r="N4436" s="41"/>
      <c r="O4436" s="41"/>
      <c r="P4436" s="28"/>
    </row>
    <row r="4437" customFormat="1" spans="1:16">
      <c r="A4437" s="39"/>
      <c r="B4437" s="40"/>
      <c r="C4437" s="41"/>
      <c r="D4437" s="41"/>
      <c r="E4437" s="41"/>
      <c r="F4437" s="41"/>
      <c r="G4437" s="41"/>
      <c r="H4437" s="41"/>
      <c r="I4437" s="41"/>
      <c r="J4437" s="41"/>
      <c r="K4437" s="41"/>
      <c r="L4437" s="41"/>
      <c r="M4437" s="41"/>
      <c r="N4437" s="41"/>
      <c r="O4437" s="41"/>
      <c r="P4437" s="28"/>
    </row>
    <row r="4438" customFormat="1" spans="1:16">
      <c r="A4438" s="39"/>
      <c r="B4438" s="40"/>
      <c r="C4438" s="41"/>
      <c r="D4438" s="41"/>
      <c r="E4438" s="41"/>
      <c r="F4438" s="41"/>
      <c r="G4438" s="41"/>
      <c r="H4438" s="41"/>
      <c r="I4438" s="41"/>
      <c r="J4438" s="41"/>
      <c r="K4438" s="41"/>
      <c r="L4438" s="41"/>
      <c r="M4438" s="41"/>
      <c r="N4438" s="41"/>
      <c r="O4438" s="41"/>
      <c r="P4438" s="28"/>
    </row>
    <row r="4439" customFormat="1" spans="1:16">
      <c r="A4439" s="39"/>
      <c r="B4439" s="40"/>
      <c r="C4439" s="41"/>
      <c r="D4439" s="41"/>
      <c r="E4439" s="41"/>
      <c r="F4439" s="41"/>
      <c r="G4439" s="41"/>
      <c r="H4439" s="41"/>
      <c r="I4439" s="41"/>
      <c r="J4439" s="41"/>
      <c r="K4439" s="41"/>
      <c r="L4439" s="41"/>
      <c r="M4439" s="41"/>
      <c r="N4439" s="41"/>
      <c r="O4439" s="41"/>
      <c r="P4439" s="28"/>
    </row>
    <row r="4440" customFormat="1" spans="1:16">
      <c r="A4440" s="39"/>
      <c r="B4440" s="40"/>
      <c r="C4440" s="41"/>
      <c r="D4440" s="41"/>
      <c r="E4440" s="41"/>
      <c r="F4440" s="41"/>
      <c r="G4440" s="41"/>
      <c r="H4440" s="41"/>
      <c r="I4440" s="41"/>
      <c r="J4440" s="41"/>
      <c r="K4440" s="41"/>
      <c r="L4440" s="41"/>
      <c r="M4440" s="41"/>
      <c r="N4440" s="41"/>
      <c r="O4440" s="41"/>
      <c r="P4440" s="28"/>
    </row>
    <row r="4441" customFormat="1" spans="1:16">
      <c r="A4441" s="39"/>
      <c r="B4441" s="40"/>
      <c r="C4441" s="41"/>
      <c r="D4441" s="41"/>
      <c r="E4441" s="41"/>
      <c r="F4441" s="41"/>
      <c r="G4441" s="41"/>
      <c r="H4441" s="41"/>
      <c r="I4441" s="41"/>
      <c r="J4441" s="41"/>
      <c r="K4441" s="41"/>
      <c r="L4441" s="41"/>
      <c r="M4441" s="41"/>
      <c r="N4441" s="41"/>
      <c r="O4441" s="41"/>
      <c r="P4441" s="28"/>
    </row>
    <row r="4442" customFormat="1" spans="1:16">
      <c r="A4442" s="39"/>
      <c r="B4442" s="40"/>
      <c r="C4442" s="41"/>
      <c r="D4442" s="41"/>
      <c r="E4442" s="41"/>
      <c r="F4442" s="41"/>
      <c r="G4442" s="41"/>
      <c r="H4442" s="41"/>
      <c r="I4442" s="41"/>
      <c r="J4442" s="41"/>
      <c r="K4442" s="41"/>
      <c r="L4442" s="41"/>
      <c r="M4442" s="41"/>
      <c r="N4442" s="41"/>
      <c r="O4442" s="41"/>
      <c r="P4442" s="28"/>
    </row>
    <row r="4443" customFormat="1" spans="1:16">
      <c r="A4443" s="39"/>
      <c r="B4443" s="40"/>
      <c r="C4443" s="41"/>
      <c r="D4443" s="41"/>
      <c r="E4443" s="41"/>
      <c r="F4443" s="41"/>
      <c r="G4443" s="41"/>
      <c r="H4443" s="41"/>
      <c r="I4443" s="41"/>
      <c r="J4443" s="41"/>
      <c r="K4443" s="41"/>
      <c r="L4443" s="41"/>
      <c r="M4443" s="41"/>
      <c r="N4443" s="41"/>
      <c r="O4443" s="41"/>
      <c r="P4443" s="28"/>
    </row>
    <row r="4444" customFormat="1" spans="1:16">
      <c r="A4444" s="39"/>
      <c r="B4444" s="40"/>
      <c r="C4444" s="41"/>
      <c r="D4444" s="41"/>
      <c r="E4444" s="41"/>
      <c r="F4444" s="41"/>
      <c r="G4444" s="41"/>
      <c r="H4444" s="41"/>
      <c r="I4444" s="41"/>
      <c r="J4444" s="41"/>
      <c r="K4444" s="41"/>
      <c r="L4444" s="41"/>
      <c r="M4444" s="41"/>
      <c r="N4444" s="41"/>
      <c r="O4444" s="41"/>
      <c r="P4444" s="28"/>
    </row>
    <row r="4445" customFormat="1" spans="1:16">
      <c r="A4445" s="39"/>
      <c r="B4445" s="40"/>
      <c r="C4445" s="41"/>
      <c r="D4445" s="41"/>
      <c r="E4445" s="41"/>
      <c r="F4445" s="41"/>
      <c r="G4445" s="41"/>
      <c r="H4445" s="41"/>
      <c r="I4445" s="41"/>
      <c r="J4445" s="41"/>
      <c r="K4445" s="41"/>
      <c r="L4445" s="41"/>
      <c r="M4445" s="41"/>
      <c r="N4445" s="41"/>
      <c r="O4445" s="41"/>
      <c r="P4445" s="28"/>
    </row>
    <row r="4446" customFormat="1" spans="1:16">
      <c r="A4446" s="39"/>
      <c r="B4446" s="40"/>
      <c r="C4446" s="41"/>
      <c r="D4446" s="41"/>
      <c r="E4446" s="41"/>
      <c r="F4446" s="41"/>
      <c r="G4446" s="41"/>
      <c r="H4446" s="41"/>
      <c r="I4446" s="41"/>
      <c r="J4446" s="41"/>
      <c r="K4446" s="41"/>
      <c r="L4446" s="41"/>
      <c r="M4446" s="41"/>
      <c r="N4446" s="41"/>
      <c r="O4446" s="41"/>
      <c r="P4446" s="28"/>
    </row>
    <row r="4447" customFormat="1" spans="1:16">
      <c r="A4447" s="39"/>
      <c r="B4447" s="40"/>
      <c r="C4447" s="41"/>
      <c r="D4447" s="41"/>
      <c r="E4447" s="41"/>
      <c r="F4447" s="41"/>
      <c r="G4447" s="41"/>
      <c r="H4447" s="41"/>
      <c r="I4447" s="41"/>
      <c r="J4447" s="41"/>
      <c r="K4447" s="41"/>
      <c r="L4447" s="41"/>
      <c r="M4447" s="41"/>
      <c r="N4447" s="41"/>
      <c r="O4447" s="41"/>
      <c r="P4447" s="28"/>
    </row>
    <row r="4448" customFormat="1" spans="1:16">
      <c r="A4448" s="39"/>
      <c r="B4448" s="40"/>
      <c r="C4448" s="41"/>
      <c r="D4448" s="41"/>
      <c r="E4448" s="41"/>
      <c r="F4448" s="41"/>
      <c r="G4448" s="41"/>
      <c r="H4448" s="41"/>
      <c r="I4448" s="41"/>
      <c r="J4448" s="41"/>
      <c r="K4448" s="41"/>
      <c r="L4448" s="41"/>
      <c r="M4448" s="41"/>
      <c r="N4448" s="41"/>
      <c r="O4448" s="41"/>
      <c r="P4448" s="28"/>
    </row>
    <row r="4449" customFormat="1" spans="1:16">
      <c r="A4449" s="39"/>
      <c r="B4449" s="40"/>
      <c r="C4449" s="41"/>
      <c r="D4449" s="41"/>
      <c r="E4449" s="41"/>
      <c r="F4449" s="41"/>
      <c r="G4449" s="41"/>
      <c r="H4449" s="41"/>
      <c r="I4449" s="41"/>
      <c r="J4449" s="41"/>
      <c r="K4449" s="41"/>
      <c r="L4449" s="41"/>
      <c r="M4449" s="41"/>
      <c r="N4449" s="41"/>
      <c r="O4449" s="41"/>
      <c r="P4449" s="28"/>
    </row>
    <row r="4450" customFormat="1" spans="1:16">
      <c r="A4450" s="39"/>
      <c r="B4450" s="40"/>
      <c r="C4450" s="41"/>
      <c r="D4450" s="41"/>
      <c r="E4450" s="41"/>
      <c r="F4450" s="41"/>
      <c r="G4450" s="41"/>
      <c r="H4450" s="41"/>
      <c r="I4450" s="41"/>
      <c r="J4450" s="41"/>
      <c r="K4450" s="41"/>
      <c r="L4450" s="41"/>
      <c r="M4450" s="41"/>
      <c r="N4450" s="41"/>
      <c r="O4450" s="41"/>
      <c r="P4450" s="28"/>
    </row>
    <row r="4451" customFormat="1" spans="1:16">
      <c r="A4451" s="39"/>
      <c r="B4451" s="40"/>
      <c r="C4451" s="41"/>
      <c r="D4451" s="41"/>
      <c r="E4451" s="41"/>
      <c r="F4451" s="41"/>
      <c r="G4451" s="41"/>
      <c r="H4451" s="41"/>
      <c r="I4451" s="41"/>
      <c r="J4451" s="41"/>
      <c r="K4451" s="41"/>
      <c r="L4451" s="41"/>
      <c r="M4451" s="41"/>
      <c r="N4451" s="41"/>
      <c r="O4451" s="41"/>
      <c r="P4451" s="28"/>
    </row>
    <row r="4452" customFormat="1" spans="1:16">
      <c r="A4452" s="39"/>
      <c r="B4452" s="40"/>
      <c r="C4452" s="41"/>
      <c r="D4452" s="41"/>
      <c r="E4452" s="41"/>
      <c r="F4452" s="41"/>
      <c r="G4452" s="41"/>
      <c r="H4452" s="41"/>
      <c r="I4452" s="41"/>
      <c r="J4452" s="41"/>
      <c r="K4452" s="41"/>
      <c r="L4452" s="41"/>
      <c r="M4452" s="41"/>
      <c r="N4452" s="41"/>
      <c r="O4452" s="41"/>
      <c r="P4452" s="28"/>
    </row>
    <row r="4453" customFormat="1" spans="1:16">
      <c r="A4453" s="39"/>
      <c r="B4453" s="40"/>
      <c r="C4453" s="41"/>
      <c r="D4453" s="41"/>
      <c r="E4453" s="41"/>
      <c r="F4453" s="41"/>
      <c r="G4453" s="41"/>
      <c r="H4453" s="41"/>
      <c r="I4453" s="41"/>
      <c r="J4453" s="41"/>
      <c r="K4453" s="41"/>
      <c r="L4453" s="41"/>
      <c r="M4453" s="41"/>
      <c r="N4453" s="41"/>
      <c r="O4453" s="41"/>
      <c r="P4453" s="28"/>
    </row>
    <row r="4454" customFormat="1" spans="1:16">
      <c r="A4454" s="39"/>
      <c r="B4454" s="40"/>
      <c r="C4454" s="41"/>
      <c r="D4454" s="41"/>
      <c r="E4454" s="41"/>
      <c r="F4454" s="41"/>
      <c r="G4454" s="41"/>
      <c r="H4454" s="41"/>
      <c r="I4454" s="41"/>
      <c r="J4454" s="41"/>
      <c r="K4454" s="41"/>
      <c r="L4454" s="41"/>
      <c r="M4454" s="41"/>
      <c r="N4454" s="41"/>
      <c r="O4454" s="41"/>
      <c r="P4454" s="28"/>
    </row>
    <row r="4455" customFormat="1" spans="1:16">
      <c r="A4455" s="39"/>
      <c r="B4455" s="40"/>
      <c r="C4455" s="41"/>
      <c r="D4455" s="41"/>
      <c r="E4455" s="41"/>
      <c r="F4455" s="41"/>
      <c r="G4455" s="41"/>
      <c r="H4455" s="41"/>
      <c r="I4455" s="41"/>
      <c r="J4455" s="41"/>
      <c r="K4455" s="41"/>
      <c r="L4455" s="41"/>
      <c r="M4455" s="41"/>
      <c r="N4455" s="41"/>
      <c r="O4455" s="41"/>
      <c r="P4455" s="28"/>
    </row>
    <row r="4456" customFormat="1" spans="1:16">
      <c r="A4456" s="39"/>
      <c r="B4456" s="40"/>
      <c r="C4456" s="41"/>
      <c r="D4456" s="41"/>
      <c r="E4456" s="41"/>
      <c r="F4456" s="41"/>
      <c r="G4456" s="41"/>
      <c r="H4456" s="41"/>
      <c r="I4456" s="41"/>
      <c r="J4456" s="41"/>
      <c r="K4456" s="41"/>
      <c r="L4456" s="41"/>
      <c r="M4456" s="41"/>
      <c r="N4456" s="41"/>
      <c r="O4456" s="41"/>
      <c r="P4456" s="28"/>
    </row>
    <row r="4457" customFormat="1" spans="1:16">
      <c r="A4457" s="39"/>
      <c r="B4457" s="40"/>
      <c r="C4457" s="41"/>
      <c r="D4457" s="41"/>
      <c r="E4457" s="41"/>
      <c r="F4457" s="41"/>
      <c r="G4457" s="41"/>
      <c r="H4457" s="41"/>
      <c r="I4457" s="41"/>
      <c r="J4457" s="41"/>
      <c r="K4457" s="41"/>
      <c r="L4457" s="41"/>
      <c r="M4457" s="41"/>
      <c r="N4457" s="41"/>
      <c r="O4457" s="41"/>
      <c r="P4457" s="28"/>
    </row>
    <row r="4458" customFormat="1" spans="1:16">
      <c r="A4458" s="39"/>
      <c r="B4458" s="40"/>
      <c r="C4458" s="41"/>
      <c r="D4458" s="41"/>
      <c r="E4458" s="41"/>
      <c r="F4458" s="41"/>
      <c r="G4458" s="41"/>
      <c r="H4458" s="41"/>
      <c r="I4458" s="41"/>
      <c r="J4458" s="41"/>
      <c r="K4458" s="41"/>
      <c r="L4458" s="41"/>
      <c r="M4458" s="41"/>
      <c r="N4458" s="41"/>
      <c r="O4458" s="41"/>
      <c r="P4458" s="28"/>
    </row>
    <row r="4459" customFormat="1" spans="1:16">
      <c r="A4459" s="39"/>
      <c r="B4459" s="40"/>
      <c r="C4459" s="41"/>
      <c r="D4459" s="41"/>
      <c r="E4459" s="41"/>
      <c r="F4459" s="41"/>
      <c r="G4459" s="41"/>
      <c r="H4459" s="41"/>
      <c r="I4459" s="41"/>
      <c r="J4459" s="41"/>
      <c r="K4459" s="41"/>
      <c r="L4459" s="41"/>
      <c r="M4459" s="41"/>
      <c r="N4459" s="41"/>
      <c r="O4459" s="41"/>
      <c r="P4459" s="28"/>
    </row>
    <row r="4460" customFormat="1" spans="1:16">
      <c r="A4460" s="39"/>
      <c r="B4460" s="40"/>
      <c r="C4460" s="41"/>
      <c r="D4460" s="41"/>
      <c r="E4460" s="41"/>
      <c r="F4460" s="41"/>
      <c r="G4460" s="41"/>
      <c r="H4460" s="41"/>
      <c r="I4460" s="41"/>
      <c r="J4460" s="41"/>
      <c r="K4460" s="41"/>
      <c r="L4460" s="41"/>
      <c r="M4460" s="41"/>
      <c r="N4460" s="41"/>
      <c r="O4460" s="41"/>
      <c r="P4460" s="28"/>
    </row>
    <row r="4461" customFormat="1" spans="1:16">
      <c r="A4461" s="39"/>
      <c r="B4461" s="40"/>
      <c r="C4461" s="41"/>
      <c r="D4461" s="41"/>
      <c r="E4461" s="41"/>
      <c r="F4461" s="41"/>
      <c r="G4461" s="41"/>
      <c r="H4461" s="41"/>
      <c r="I4461" s="41"/>
      <c r="J4461" s="41"/>
      <c r="K4461" s="41"/>
      <c r="L4461" s="41"/>
      <c r="M4461" s="41"/>
      <c r="N4461" s="41"/>
      <c r="O4461" s="41"/>
      <c r="P4461" s="28"/>
    </row>
    <row r="4462" customFormat="1" spans="1:16">
      <c r="A4462" s="39"/>
      <c r="B4462" s="40"/>
      <c r="C4462" s="41"/>
      <c r="D4462" s="41"/>
      <c r="E4462" s="41"/>
      <c r="F4462" s="41"/>
      <c r="G4462" s="41"/>
      <c r="H4462" s="41"/>
      <c r="I4462" s="41"/>
      <c r="J4462" s="41"/>
      <c r="K4462" s="41"/>
      <c r="L4462" s="41"/>
      <c r="M4462" s="41"/>
      <c r="N4462" s="41"/>
      <c r="O4462" s="41"/>
      <c r="P4462" s="28"/>
    </row>
    <row r="4463" customFormat="1" spans="1:16">
      <c r="A4463" s="39"/>
      <c r="B4463" s="40"/>
      <c r="C4463" s="41"/>
      <c r="D4463" s="41"/>
      <c r="E4463" s="41"/>
      <c r="F4463" s="41"/>
      <c r="G4463" s="41"/>
      <c r="H4463" s="41"/>
      <c r="I4463" s="41"/>
      <c r="J4463" s="41"/>
      <c r="K4463" s="41"/>
      <c r="L4463" s="41"/>
      <c r="M4463" s="41"/>
      <c r="N4463" s="41"/>
      <c r="O4463" s="41"/>
      <c r="P4463" s="28"/>
    </row>
    <row r="4464" customFormat="1" spans="1:16">
      <c r="A4464" s="39"/>
      <c r="B4464" s="40"/>
      <c r="C4464" s="41"/>
      <c r="D4464" s="41"/>
      <c r="E4464" s="41"/>
      <c r="F4464" s="41"/>
      <c r="G4464" s="41"/>
      <c r="H4464" s="41"/>
      <c r="I4464" s="41"/>
      <c r="J4464" s="41"/>
      <c r="K4464" s="41"/>
      <c r="L4464" s="41"/>
      <c r="M4464" s="41"/>
      <c r="N4464" s="41"/>
      <c r="O4464" s="41"/>
      <c r="P4464" s="28"/>
    </row>
    <row r="4465" customFormat="1" spans="1:16">
      <c r="A4465" s="39"/>
      <c r="B4465" s="40"/>
      <c r="C4465" s="41"/>
      <c r="D4465" s="41"/>
      <c r="E4465" s="41"/>
      <c r="F4465" s="41"/>
      <c r="G4465" s="41"/>
      <c r="H4465" s="41"/>
      <c r="I4465" s="41"/>
      <c r="J4465" s="41"/>
      <c r="K4465" s="41"/>
      <c r="L4465" s="41"/>
      <c r="M4465" s="41"/>
      <c r="N4465" s="41"/>
      <c r="O4465" s="41"/>
      <c r="P4465" s="28"/>
    </row>
    <row r="4466" customFormat="1" spans="1:16">
      <c r="A4466" s="39"/>
      <c r="B4466" s="40"/>
      <c r="C4466" s="41"/>
      <c r="D4466" s="41"/>
      <c r="E4466" s="41"/>
      <c r="F4466" s="41"/>
      <c r="G4466" s="41"/>
      <c r="H4466" s="41"/>
      <c r="I4466" s="41"/>
      <c r="J4466" s="41"/>
      <c r="K4466" s="41"/>
      <c r="L4466" s="41"/>
      <c r="M4466" s="41"/>
      <c r="N4466" s="41"/>
      <c r="O4466" s="41"/>
      <c r="P4466" s="28"/>
    </row>
    <row r="4467" customFormat="1" spans="1:16">
      <c r="A4467" s="39"/>
      <c r="B4467" s="40"/>
      <c r="C4467" s="41"/>
      <c r="D4467" s="41"/>
      <c r="E4467" s="41"/>
      <c r="F4467" s="41"/>
      <c r="G4467" s="41"/>
      <c r="H4467" s="41"/>
      <c r="I4467" s="41"/>
      <c r="J4467" s="41"/>
      <c r="K4467" s="41"/>
      <c r="L4467" s="41"/>
      <c r="M4467" s="41"/>
      <c r="N4467" s="41"/>
      <c r="O4467" s="41"/>
      <c r="P4467" s="28"/>
    </row>
    <row r="4468" customFormat="1" spans="1:16">
      <c r="A4468" s="39"/>
      <c r="B4468" s="40"/>
      <c r="C4468" s="41"/>
      <c r="D4468" s="41"/>
      <c r="E4468" s="41"/>
      <c r="F4468" s="41"/>
      <c r="G4468" s="41"/>
      <c r="H4468" s="41"/>
      <c r="I4468" s="41"/>
      <c r="J4468" s="41"/>
      <c r="K4468" s="41"/>
      <c r="L4468" s="41"/>
      <c r="M4468" s="41"/>
      <c r="N4468" s="41"/>
      <c r="O4468" s="41"/>
      <c r="P4468" s="28"/>
    </row>
    <row r="4469" customFormat="1" spans="1:16">
      <c r="A4469" s="39"/>
      <c r="B4469" s="40"/>
      <c r="C4469" s="41"/>
      <c r="D4469" s="41"/>
      <c r="E4469" s="41"/>
      <c r="F4469" s="41"/>
      <c r="G4469" s="41"/>
      <c r="H4469" s="41"/>
      <c r="I4469" s="41"/>
      <c r="J4469" s="41"/>
      <c r="K4469" s="41"/>
      <c r="L4469" s="41"/>
      <c r="M4469" s="41"/>
      <c r="N4469" s="41"/>
      <c r="O4469" s="41"/>
      <c r="P4469" s="28"/>
    </row>
    <row r="4470" customFormat="1" spans="1:16">
      <c r="A4470" s="39"/>
      <c r="B4470" s="40"/>
      <c r="C4470" s="41"/>
      <c r="D4470" s="41"/>
      <c r="E4470" s="41"/>
      <c r="F4470" s="41"/>
      <c r="G4470" s="41"/>
      <c r="H4470" s="41"/>
      <c r="I4470" s="41"/>
      <c r="J4470" s="41"/>
      <c r="K4470" s="41"/>
      <c r="L4470" s="41"/>
      <c r="M4470" s="41"/>
      <c r="N4470" s="41"/>
      <c r="O4470" s="41"/>
      <c r="P4470" s="28"/>
    </row>
    <row r="4471" customFormat="1" spans="1:16">
      <c r="A4471" s="39"/>
      <c r="B4471" s="40"/>
      <c r="C4471" s="41"/>
      <c r="D4471" s="41"/>
      <c r="E4471" s="41"/>
      <c r="F4471" s="41"/>
      <c r="G4471" s="41"/>
      <c r="H4471" s="41"/>
      <c r="I4471" s="41"/>
      <c r="J4471" s="41"/>
      <c r="K4471" s="41"/>
      <c r="L4471" s="41"/>
      <c r="M4471" s="41"/>
      <c r="N4471" s="41"/>
      <c r="O4471" s="41"/>
      <c r="P4471" s="28"/>
    </row>
    <row r="4472" customFormat="1" spans="1:16">
      <c r="A4472" s="39"/>
      <c r="B4472" s="40"/>
      <c r="C4472" s="41"/>
      <c r="D4472" s="41"/>
      <c r="E4472" s="41"/>
      <c r="F4472" s="41"/>
      <c r="G4472" s="41"/>
      <c r="H4472" s="41"/>
      <c r="I4472" s="41"/>
      <c r="J4472" s="41"/>
      <c r="K4472" s="41"/>
      <c r="L4472" s="41"/>
      <c r="M4472" s="41"/>
      <c r="N4472" s="41"/>
      <c r="O4472" s="41"/>
      <c r="P4472" s="28"/>
    </row>
    <row r="4473" customFormat="1" spans="1:16">
      <c r="A4473" s="39"/>
      <c r="B4473" s="40"/>
      <c r="C4473" s="41"/>
      <c r="D4473" s="41"/>
      <c r="E4473" s="41"/>
      <c r="F4473" s="41"/>
      <c r="G4473" s="41"/>
      <c r="H4473" s="41"/>
      <c r="I4473" s="41"/>
      <c r="J4473" s="41"/>
      <c r="K4473" s="41"/>
      <c r="L4473" s="41"/>
      <c r="M4473" s="41"/>
      <c r="N4473" s="41"/>
      <c r="O4473" s="41"/>
      <c r="P4473" s="28"/>
    </row>
    <row r="4474" customFormat="1" spans="1:16">
      <c r="A4474" s="39"/>
      <c r="B4474" s="40"/>
      <c r="C4474" s="41"/>
      <c r="D4474" s="41"/>
      <c r="E4474" s="41"/>
      <c r="F4474" s="41"/>
      <c r="G4474" s="41"/>
      <c r="H4474" s="41"/>
      <c r="I4474" s="41"/>
      <c r="J4474" s="41"/>
      <c r="K4474" s="41"/>
      <c r="L4474" s="41"/>
      <c r="M4474" s="41"/>
      <c r="N4474" s="41"/>
      <c r="O4474" s="41"/>
      <c r="P4474" s="28"/>
    </row>
    <row r="4475" customFormat="1" spans="1:16">
      <c r="A4475" s="39"/>
      <c r="B4475" s="40"/>
      <c r="C4475" s="41"/>
      <c r="D4475" s="41"/>
      <c r="E4475" s="41"/>
      <c r="F4475" s="41"/>
      <c r="G4475" s="41"/>
      <c r="H4475" s="41"/>
      <c r="I4475" s="41"/>
      <c r="J4475" s="41"/>
      <c r="K4475" s="41"/>
      <c r="L4475" s="41"/>
      <c r="M4475" s="41"/>
      <c r="N4475" s="41"/>
      <c r="O4475" s="41"/>
      <c r="P4475" s="28"/>
    </row>
    <row r="4476" customFormat="1" spans="1:16">
      <c r="A4476" s="39"/>
      <c r="B4476" s="40"/>
      <c r="C4476" s="41"/>
      <c r="D4476" s="41"/>
      <c r="E4476" s="41"/>
      <c r="F4476" s="41"/>
      <c r="G4476" s="41"/>
      <c r="H4476" s="41"/>
      <c r="I4476" s="41"/>
      <c r="J4476" s="41"/>
      <c r="K4476" s="41"/>
      <c r="L4476" s="41"/>
      <c r="M4476" s="41"/>
      <c r="N4476" s="41"/>
      <c r="O4476" s="41"/>
      <c r="P4476" s="28"/>
    </row>
    <row r="4477" customFormat="1" spans="1:16">
      <c r="A4477" s="39"/>
      <c r="B4477" s="40"/>
      <c r="C4477" s="41"/>
      <c r="D4477" s="41"/>
      <c r="E4477" s="41"/>
      <c r="F4477" s="41"/>
      <c r="G4477" s="41"/>
      <c r="H4477" s="41"/>
      <c r="I4477" s="41"/>
      <c r="J4477" s="41"/>
      <c r="K4477" s="41"/>
      <c r="L4477" s="41"/>
      <c r="M4477" s="41"/>
      <c r="N4477" s="41"/>
      <c r="O4477" s="41"/>
      <c r="P4477" s="28"/>
    </row>
    <row r="4478" customFormat="1" spans="1:16">
      <c r="A4478" s="39"/>
      <c r="B4478" s="40"/>
      <c r="C4478" s="41"/>
      <c r="D4478" s="41"/>
      <c r="E4478" s="41"/>
      <c r="F4478" s="41"/>
      <c r="G4478" s="41"/>
      <c r="H4478" s="41"/>
      <c r="I4478" s="41"/>
      <c r="J4478" s="41"/>
      <c r="K4478" s="41"/>
      <c r="L4478" s="41"/>
      <c r="M4478" s="41"/>
      <c r="N4478" s="41"/>
      <c r="O4478" s="41"/>
      <c r="P4478" s="28"/>
    </row>
    <row r="4479" customFormat="1" spans="1:16">
      <c r="A4479" s="39"/>
      <c r="B4479" s="40"/>
      <c r="C4479" s="41"/>
      <c r="D4479" s="41"/>
      <c r="E4479" s="41"/>
      <c r="F4479" s="41"/>
      <c r="G4479" s="41"/>
      <c r="H4479" s="41"/>
      <c r="I4479" s="41"/>
      <c r="J4479" s="41"/>
      <c r="K4479" s="41"/>
      <c r="L4479" s="41"/>
      <c r="M4479" s="41"/>
      <c r="N4479" s="41"/>
      <c r="O4479" s="41"/>
      <c r="P4479" s="28"/>
    </row>
    <row r="4480" customFormat="1" spans="1:16">
      <c r="A4480" s="39"/>
      <c r="B4480" s="40"/>
      <c r="C4480" s="41"/>
      <c r="D4480" s="41"/>
      <c r="E4480" s="41"/>
      <c r="F4480" s="41"/>
      <c r="G4480" s="41"/>
      <c r="H4480" s="41"/>
      <c r="I4480" s="41"/>
      <c r="J4480" s="41"/>
      <c r="K4480" s="41"/>
      <c r="L4480" s="41"/>
      <c r="M4480" s="41"/>
      <c r="N4480" s="41"/>
      <c r="O4480" s="41"/>
      <c r="P4480" s="28"/>
    </row>
    <row r="4481" customFormat="1" spans="1:16">
      <c r="A4481" s="39"/>
      <c r="B4481" s="40"/>
      <c r="C4481" s="41"/>
      <c r="D4481" s="41"/>
      <c r="E4481" s="41"/>
      <c r="F4481" s="41"/>
      <c r="G4481" s="41"/>
      <c r="H4481" s="41"/>
      <c r="I4481" s="41"/>
      <c r="J4481" s="41"/>
      <c r="K4481" s="41"/>
      <c r="L4481" s="41"/>
      <c r="M4481" s="41"/>
      <c r="N4481" s="41"/>
      <c r="O4481" s="41"/>
      <c r="P4481" s="28"/>
    </row>
    <row r="4482" customFormat="1" spans="1:16">
      <c r="A4482" s="39"/>
      <c r="B4482" s="40"/>
      <c r="C4482" s="41"/>
      <c r="D4482" s="41"/>
      <c r="E4482" s="41"/>
      <c r="F4482" s="41"/>
      <c r="G4482" s="41"/>
      <c r="H4482" s="41"/>
      <c r="I4482" s="41"/>
      <c r="J4482" s="41"/>
      <c r="K4482" s="41"/>
      <c r="L4482" s="41"/>
      <c r="M4482" s="41"/>
      <c r="N4482" s="41"/>
      <c r="O4482" s="41"/>
      <c r="P4482" s="28"/>
    </row>
    <row r="4483" customFormat="1" spans="1:16">
      <c r="A4483" s="39"/>
      <c r="B4483" s="40"/>
      <c r="C4483" s="41"/>
      <c r="D4483" s="41"/>
      <c r="E4483" s="41"/>
      <c r="F4483" s="41"/>
      <c r="G4483" s="41"/>
      <c r="H4483" s="41"/>
      <c r="I4483" s="41"/>
      <c r="J4483" s="41"/>
      <c r="K4483" s="41"/>
      <c r="L4483" s="41"/>
      <c r="M4483" s="41"/>
      <c r="N4483" s="41"/>
      <c r="O4483" s="41"/>
      <c r="P4483" s="28"/>
    </row>
    <row r="4484" customFormat="1" spans="1:16">
      <c r="A4484" s="39"/>
      <c r="B4484" s="40"/>
      <c r="C4484" s="41"/>
      <c r="D4484" s="41"/>
      <c r="E4484" s="41"/>
      <c r="F4484" s="41"/>
      <c r="G4484" s="41"/>
      <c r="H4484" s="41"/>
      <c r="I4484" s="41"/>
      <c r="J4484" s="41"/>
      <c r="K4484" s="41"/>
      <c r="L4484" s="41"/>
      <c r="M4484" s="41"/>
      <c r="N4484" s="41"/>
      <c r="O4484" s="41"/>
      <c r="P4484" s="28"/>
    </row>
    <row r="4485" customFormat="1" spans="1:16">
      <c r="A4485" s="39"/>
      <c r="B4485" s="40"/>
      <c r="C4485" s="41"/>
      <c r="D4485" s="41"/>
      <c r="E4485" s="41"/>
      <c r="F4485" s="41"/>
      <c r="G4485" s="41"/>
      <c r="H4485" s="41"/>
      <c r="I4485" s="41"/>
      <c r="J4485" s="41"/>
      <c r="K4485" s="41"/>
      <c r="L4485" s="41"/>
      <c r="M4485" s="41"/>
      <c r="N4485" s="41"/>
      <c r="O4485" s="41"/>
      <c r="P4485" s="28"/>
    </row>
    <row r="4486" customFormat="1" spans="1:16">
      <c r="A4486" s="39"/>
      <c r="B4486" s="40"/>
      <c r="C4486" s="41"/>
      <c r="D4486" s="41"/>
      <c r="E4486" s="41"/>
      <c r="F4486" s="41"/>
      <c r="G4486" s="41"/>
      <c r="H4486" s="41"/>
      <c r="I4486" s="41"/>
      <c r="J4486" s="41"/>
      <c r="K4486" s="41"/>
      <c r="L4486" s="41"/>
      <c r="M4486" s="41"/>
      <c r="N4486" s="41"/>
      <c r="O4486" s="41"/>
      <c r="P4486" s="28"/>
    </row>
    <row r="4487" customFormat="1" spans="1:16">
      <c r="A4487" s="39"/>
      <c r="B4487" s="40"/>
      <c r="C4487" s="41"/>
      <c r="D4487" s="41"/>
      <c r="E4487" s="41"/>
      <c r="F4487" s="41"/>
      <c r="G4487" s="41"/>
      <c r="H4487" s="41"/>
      <c r="I4487" s="41"/>
      <c r="J4487" s="41"/>
      <c r="K4487" s="41"/>
      <c r="L4487" s="41"/>
      <c r="M4487" s="41"/>
      <c r="N4487" s="41"/>
      <c r="O4487" s="41"/>
      <c r="P4487" s="28"/>
    </row>
    <row r="4488" customFormat="1" spans="1:16">
      <c r="A4488" s="39"/>
      <c r="B4488" s="40"/>
      <c r="C4488" s="41"/>
      <c r="D4488" s="41"/>
      <c r="E4488" s="41"/>
      <c r="F4488" s="41"/>
      <c r="G4488" s="41"/>
      <c r="H4488" s="41"/>
      <c r="I4488" s="41"/>
      <c r="J4488" s="41"/>
      <c r="K4488" s="41"/>
      <c r="L4488" s="41"/>
      <c r="M4488" s="41"/>
      <c r="N4488" s="41"/>
      <c r="O4488" s="41"/>
      <c r="P4488" s="28"/>
    </row>
    <row r="4489" customFormat="1" spans="1:16">
      <c r="A4489" s="39"/>
      <c r="B4489" s="40"/>
      <c r="C4489" s="41"/>
      <c r="D4489" s="41"/>
      <c r="E4489" s="41"/>
      <c r="F4489" s="41"/>
      <c r="G4489" s="41"/>
      <c r="H4489" s="41"/>
      <c r="I4489" s="41"/>
      <c r="J4489" s="41"/>
      <c r="K4489" s="41"/>
      <c r="L4489" s="41"/>
      <c r="M4489" s="41"/>
      <c r="N4489" s="41"/>
      <c r="O4489" s="41"/>
      <c r="P4489" s="28"/>
    </row>
    <row r="4490" customFormat="1" spans="1:16">
      <c r="A4490" s="39"/>
      <c r="B4490" s="40"/>
      <c r="C4490" s="41"/>
      <c r="D4490" s="41"/>
      <c r="E4490" s="41"/>
      <c r="F4490" s="41"/>
      <c r="G4490" s="41"/>
      <c r="H4490" s="41"/>
      <c r="I4490" s="41"/>
      <c r="J4490" s="41"/>
      <c r="K4490" s="41"/>
      <c r="L4490" s="41"/>
      <c r="M4490" s="41"/>
      <c r="N4490" s="41"/>
      <c r="O4490" s="41"/>
      <c r="P4490" s="28"/>
    </row>
    <row r="4491" customFormat="1" spans="1:16">
      <c r="A4491" s="39"/>
      <c r="B4491" s="40"/>
      <c r="C4491" s="41"/>
      <c r="D4491" s="41"/>
      <c r="E4491" s="41"/>
      <c r="F4491" s="41"/>
      <c r="G4491" s="41"/>
      <c r="H4491" s="41"/>
      <c r="I4491" s="41"/>
      <c r="J4491" s="41"/>
      <c r="K4491" s="41"/>
      <c r="L4491" s="41"/>
      <c r="M4491" s="41"/>
      <c r="N4491" s="41"/>
      <c r="O4491" s="41"/>
      <c r="P4491" s="28"/>
    </row>
    <row r="4492" customFormat="1" spans="1:16">
      <c r="A4492" s="39"/>
      <c r="B4492" s="40"/>
      <c r="C4492" s="41"/>
      <c r="D4492" s="41"/>
      <c r="E4492" s="41"/>
      <c r="F4492" s="41"/>
      <c r="G4492" s="41"/>
      <c r="H4492" s="41"/>
      <c r="I4492" s="41"/>
      <c r="J4492" s="41"/>
      <c r="K4492" s="41"/>
      <c r="L4492" s="41"/>
      <c r="M4492" s="41"/>
      <c r="N4492" s="41"/>
      <c r="O4492" s="41"/>
      <c r="P4492" s="28"/>
    </row>
    <row r="4493" customFormat="1" spans="1:16">
      <c r="A4493" s="39"/>
      <c r="B4493" s="40"/>
      <c r="C4493" s="41"/>
      <c r="D4493" s="41"/>
      <c r="E4493" s="41"/>
      <c r="F4493" s="41"/>
      <c r="G4493" s="41"/>
      <c r="H4493" s="41"/>
      <c r="I4493" s="41"/>
      <c r="J4493" s="41"/>
      <c r="K4493" s="41"/>
      <c r="L4493" s="41"/>
      <c r="M4493" s="41"/>
      <c r="N4493" s="41"/>
      <c r="O4493" s="41"/>
      <c r="P4493" s="28"/>
    </row>
    <row r="4494" customFormat="1" spans="1:16">
      <c r="A4494" s="39"/>
      <c r="B4494" s="40"/>
      <c r="C4494" s="41"/>
      <c r="D4494" s="41"/>
      <c r="E4494" s="41"/>
      <c r="F4494" s="41"/>
      <c r="G4494" s="41"/>
      <c r="H4494" s="41"/>
      <c r="I4494" s="41"/>
      <c r="J4494" s="41"/>
      <c r="K4494" s="41"/>
      <c r="L4494" s="41"/>
      <c r="M4494" s="41"/>
      <c r="N4494" s="41"/>
      <c r="O4494" s="41"/>
      <c r="P4494" s="28"/>
    </row>
    <row r="4495" customFormat="1" spans="1:16">
      <c r="A4495" s="39"/>
      <c r="B4495" s="40"/>
      <c r="C4495" s="41"/>
      <c r="D4495" s="41"/>
      <c r="E4495" s="41"/>
      <c r="F4495" s="41"/>
      <c r="G4495" s="41"/>
      <c r="H4495" s="41"/>
      <c r="I4495" s="41"/>
      <c r="J4495" s="41"/>
      <c r="K4495" s="41"/>
      <c r="L4495" s="41"/>
      <c r="M4495" s="41"/>
      <c r="N4495" s="41"/>
      <c r="O4495" s="41"/>
      <c r="P4495" s="28"/>
    </row>
    <row r="4496" customFormat="1" spans="1:16">
      <c r="A4496" s="39"/>
      <c r="B4496" s="40"/>
      <c r="C4496" s="41"/>
      <c r="D4496" s="41"/>
      <c r="E4496" s="41"/>
      <c r="F4496" s="41"/>
      <c r="G4496" s="41"/>
      <c r="H4496" s="41"/>
      <c r="I4496" s="41"/>
      <c r="J4496" s="41"/>
      <c r="K4496" s="41"/>
      <c r="L4496" s="41"/>
      <c r="M4496" s="41"/>
      <c r="N4496" s="41"/>
      <c r="O4496" s="41"/>
      <c r="P4496" s="28"/>
    </row>
    <row r="4497" customFormat="1" spans="1:16">
      <c r="A4497" s="39"/>
      <c r="B4497" s="40"/>
      <c r="C4497" s="41"/>
      <c r="D4497" s="41"/>
      <c r="E4497" s="41"/>
      <c r="F4497" s="41"/>
      <c r="G4497" s="41"/>
      <c r="H4497" s="41"/>
      <c r="I4497" s="41"/>
      <c r="J4497" s="41"/>
      <c r="K4497" s="41"/>
      <c r="L4497" s="41"/>
      <c r="M4497" s="41"/>
      <c r="N4497" s="41"/>
      <c r="O4497" s="41"/>
      <c r="P4497" s="28"/>
    </row>
    <row r="4498" customFormat="1" spans="1:16">
      <c r="A4498" s="39"/>
      <c r="B4498" s="40"/>
      <c r="C4498" s="41"/>
      <c r="D4498" s="41"/>
      <c r="E4498" s="41"/>
      <c r="F4498" s="41"/>
      <c r="G4498" s="41"/>
      <c r="H4498" s="41"/>
      <c r="I4498" s="41"/>
      <c r="J4498" s="41"/>
      <c r="K4498" s="41"/>
      <c r="L4498" s="41"/>
      <c r="M4498" s="41"/>
      <c r="N4498" s="41"/>
      <c r="O4498" s="41"/>
      <c r="P4498" s="28"/>
    </row>
    <row r="4499" customFormat="1" spans="1:16">
      <c r="A4499" s="39"/>
      <c r="B4499" s="40"/>
      <c r="C4499" s="41"/>
      <c r="D4499" s="41"/>
      <c r="E4499" s="41"/>
      <c r="F4499" s="41"/>
      <c r="G4499" s="41"/>
      <c r="H4499" s="41"/>
      <c r="I4499" s="41"/>
      <c r="J4499" s="41"/>
      <c r="K4499" s="41"/>
      <c r="L4499" s="41"/>
      <c r="M4499" s="41"/>
      <c r="N4499" s="41"/>
      <c r="O4499" s="41"/>
      <c r="P4499" s="28"/>
    </row>
    <row r="4500" customFormat="1" spans="1:16">
      <c r="A4500" s="39"/>
      <c r="B4500" s="40"/>
      <c r="C4500" s="41"/>
      <c r="D4500" s="41"/>
      <c r="E4500" s="41"/>
      <c r="F4500" s="41"/>
      <c r="G4500" s="41"/>
      <c r="H4500" s="41"/>
      <c r="I4500" s="41"/>
      <c r="J4500" s="41"/>
      <c r="K4500" s="41"/>
      <c r="L4500" s="41"/>
      <c r="M4500" s="41"/>
      <c r="N4500" s="41"/>
      <c r="O4500" s="41"/>
      <c r="P4500" s="28"/>
    </row>
    <row r="4501" customFormat="1" spans="1:16">
      <c r="A4501" s="39"/>
      <c r="B4501" s="40"/>
      <c r="C4501" s="41"/>
      <c r="D4501" s="41"/>
      <c r="E4501" s="41"/>
      <c r="F4501" s="41"/>
      <c r="G4501" s="41"/>
      <c r="H4501" s="41"/>
      <c r="I4501" s="41"/>
      <c r="J4501" s="41"/>
      <c r="K4501" s="41"/>
      <c r="L4501" s="41"/>
      <c r="M4501" s="41"/>
      <c r="N4501" s="41"/>
      <c r="O4501" s="41"/>
      <c r="P4501" s="28"/>
    </row>
    <row r="4502" customFormat="1" spans="1:16">
      <c r="A4502" s="39"/>
      <c r="B4502" s="40"/>
      <c r="C4502" s="41"/>
      <c r="D4502" s="41"/>
      <c r="E4502" s="41"/>
      <c r="F4502" s="41"/>
      <c r="G4502" s="41"/>
      <c r="H4502" s="41"/>
      <c r="I4502" s="41"/>
      <c r="J4502" s="41"/>
      <c r="K4502" s="41"/>
      <c r="L4502" s="41"/>
      <c r="M4502" s="41"/>
      <c r="N4502" s="41"/>
      <c r="O4502" s="41"/>
      <c r="P4502" s="28"/>
    </row>
    <row r="4503" customFormat="1" spans="1:16">
      <c r="A4503" s="39"/>
      <c r="B4503" s="40"/>
      <c r="C4503" s="41"/>
      <c r="D4503" s="41"/>
      <c r="E4503" s="41"/>
      <c r="F4503" s="41"/>
      <c r="G4503" s="41"/>
      <c r="H4503" s="41"/>
      <c r="I4503" s="41"/>
      <c r="J4503" s="41"/>
      <c r="K4503" s="41"/>
      <c r="L4503" s="41"/>
      <c r="M4503" s="41"/>
      <c r="N4503" s="41"/>
      <c r="O4503" s="41"/>
      <c r="P4503" s="28"/>
    </row>
    <row r="4504" customFormat="1" spans="1:16">
      <c r="A4504" s="39"/>
      <c r="B4504" s="40"/>
      <c r="C4504" s="41"/>
      <c r="D4504" s="41"/>
      <c r="E4504" s="41"/>
      <c r="F4504" s="41"/>
      <c r="G4504" s="41"/>
      <c r="H4504" s="41"/>
      <c r="I4504" s="41"/>
      <c r="J4504" s="41"/>
      <c r="K4504" s="41"/>
      <c r="L4504" s="41"/>
      <c r="M4504" s="41"/>
      <c r="N4504" s="41"/>
      <c r="O4504" s="41"/>
      <c r="P4504" s="28"/>
    </row>
    <row r="4505" customFormat="1" spans="1:16">
      <c r="A4505" s="39"/>
      <c r="B4505" s="40"/>
      <c r="C4505" s="41"/>
      <c r="D4505" s="41"/>
      <c r="E4505" s="41"/>
      <c r="F4505" s="41"/>
      <c r="G4505" s="41"/>
      <c r="H4505" s="41"/>
      <c r="I4505" s="41"/>
      <c r="J4505" s="41"/>
      <c r="K4505" s="41"/>
      <c r="L4505" s="41"/>
      <c r="M4505" s="41"/>
      <c r="N4505" s="41"/>
      <c r="O4505" s="41"/>
      <c r="P4505" s="28"/>
    </row>
    <row r="4506" customFormat="1" spans="1:16">
      <c r="A4506" s="39"/>
      <c r="B4506" s="40"/>
      <c r="C4506" s="41"/>
      <c r="D4506" s="41"/>
      <c r="E4506" s="41"/>
      <c r="F4506" s="41"/>
      <c r="G4506" s="41"/>
      <c r="H4506" s="41"/>
      <c r="I4506" s="41"/>
      <c r="J4506" s="41"/>
      <c r="K4506" s="41"/>
      <c r="L4506" s="41"/>
      <c r="M4506" s="41"/>
      <c r="N4506" s="41"/>
      <c r="O4506" s="41"/>
      <c r="P4506" s="28"/>
    </row>
    <row r="4507" customFormat="1" spans="1:16">
      <c r="A4507" s="39"/>
      <c r="B4507" s="40"/>
      <c r="C4507" s="41"/>
      <c r="D4507" s="41"/>
      <c r="E4507" s="41"/>
      <c r="F4507" s="41"/>
      <c r="G4507" s="41"/>
      <c r="H4507" s="41"/>
      <c r="I4507" s="41"/>
      <c r="J4507" s="41"/>
      <c r="K4507" s="41"/>
      <c r="L4507" s="41"/>
      <c r="M4507" s="41"/>
      <c r="N4507" s="41"/>
      <c r="O4507" s="41"/>
      <c r="P4507" s="28"/>
    </row>
    <row r="4508" customFormat="1" spans="1:16">
      <c r="A4508" s="39"/>
      <c r="B4508" s="40"/>
      <c r="C4508" s="41"/>
      <c r="D4508" s="41"/>
      <c r="E4508" s="41"/>
      <c r="F4508" s="41"/>
      <c r="G4508" s="41"/>
      <c r="H4508" s="41"/>
      <c r="I4508" s="41"/>
      <c r="J4508" s="41"/>
      <c r="K4508" s="41"/>
      <c r="L4508" s="41"/>
      <c r="M4508" s="41"/>
      <c r="N4508" s="41"/>
      <c r="O4508" s="41"/>
      <c r="P4508" s="28"/>
    </row>
    <row r="4509" customFormat="1" spans="1:16">
      <c r="A4509" s="39"/>
      <c r="B4509" s="40"/>
      <c r="C4509" s="41"/>
      <c r="D4509" s="41"/>
      <c r="E4509" s="41"/>
      <c r="F4509" s="41"/>
      <c r="G4509" s="41"/>
      <c r="H4509" s="41"/>
      <c r="I4509" s="41"/>
      <c r="J4509" s="41"/>
      <c r="K4509" s="41"/>
      <c r="L4509" s="41"/>
      <c r="M4509" s="41"/>
      <c r="N4509" s="41"/>
      <c r="O4509" s="41"/>
      <c r="P4509" s="28"/>
    </row>
    <row r="4510" customFormat="1" spans="1:16">
      <c r="A4510" s="39"/>
      <c r="B4510" s="40"/>
      <c r="C4510" s="41"/>
      <c r="D4510" s="41"/>
      <c r="E4510" s="41"/>
      <c r="F4510" s="41"/>
      <c r="G4510" s="41"/>
      <c r="H4510" s="41"/>
      <c r="I4510" s="41"/>
      <c r="J4510" s="41"/>
      <c r="K4510" s="41"/>
      <c r="L4510" s="41"/>
      <c r="M4510" s="41"/>
      <c r="N4510" s="41"/>
      <c r="O4510" s="41"/>
      <c r="P4510" s="28"/>
    </row>
    <row r="4511" customFormat="1" spans="1:16">
      <c r="A4511" s="39"/>
      <c r="B4511" s="40"/>
      <c r="C4511" s="41"/>
      <c r="D4511" s="41"/>
      <c r="E4511" s="41"/>
      <c r="F4511" s="41"/>
      <c r="G4511" s="41"/>
      <c r="H4511" s="41"/>
      <c r="I4511" s="41"/>
      <c r="J4511" s="41"/>
      <c r="K4511" s="41"/>
      <c r="L4511" s="41"/>
      <c r="M4511" s="41"/>
      <c r="N4511" s="41"/>
      <c r="O4511" s="41"/>
      <c r="P4511" s="28"/>
    </row>
    <row r="4512" customFormat="1" spans="1:16">
      <c r="A4512" s="39"/>
      <c r="B4512" s="40"/>
      <c r="C4512" s="41"/>
      <c r="D4512" s="41"/>
      <c r="E4512" s="41"/>
      <c r="F4512" s="41"/>
      <c r="G4512" s="41"/>
      <c r="H4512" s="41"/>
      <c r="I4512" s="41"/>
      <c r="J4512" s="41"/>
      <c r="K4512" s="41"/>
      <c r="L4512" s="41"/>
      <c r="M4512" s="41"/>
      <c r="N4512" s="41"/>
      <c r="O4512" s="41"/>
      <c r="P4512" s="28"/>
    </row>
    <row r="4513" customFormat="1" spans="1:16">
      <c r="A4513" s="39"/>
      <c r="B4513" s="40"/>
      <c r="C4513" s="41"/>
      <c r="D4513" s="41"/>
      <c r="E4513" s="41"/>
      <c r="F4513" s="41"/>
      <c r="G4513" s="41"/>
      <c r="H4513" s="41"/>
      <c r="I4513" s="41"/>
      <c r="J4513" s="41"/>
      <c r="K4513" s="41"/>
      <c r="L4513" s="41"/>
      <c r="M4513" s="41"/>
      <c r="N4513" s="41"/>
      <c r="O4513" s="41"/>
      <c r="P4513" s="28"/>
    </row>
    <row r="4514" customFormat="1" spans="1:16">
      <c r="A4514" s="39"/>
      <c r="B4514" s="40"/>
      <c r="C4514" s="41"/>
      <c r="D4514" s="41"/>
      <c r="E4514" s="41"/>
      <c r="F4514" s="41"/>
      <c r="G4514" s="41"/>
      <c r="H4514" s="41"/>
      <c r="I4514" s="41"/>
      <c r="J4514" s="41"/>
      <c r="K4514" s="41"/>
      <c r="L4514" s="41"/>
      <c r="M4514" s="41"/>
      <c r="N4514" s="41"/>
      <c r="O4514" s="41"/>
      <c r="P4514" s="28"/>
    </row>
    <row r="4515" customFormat="1" spans="1:16">
      <c r="A4515" s="39"/>
      <c r="B4515" s="40"/>
      <c r="C4515" s="41"/>
      <c r="D4515" s="41"/>
      <c r="E4515" s="41"/>
      <c r="F4515" s="41"/>
      <c r="G4515" s="41"/>
      <c r="H4515" s="41"/>
      <c r="I4515" s="41"/>
      <c r="J4515" s="41"/>
      <c r="K4515" s="41"/>
      <c r="L4515" s="41"/>
      <c r="M4515" s="41"/>
      <c r="N4515" s="41"/>
      <c r="O4515" s="41"/>
      <c r="P4515" s="28"/>
    </row>
    <row r="4516" customFormat="1" spans="1:16">
      <c r="A4516" s="39"/>
      <c r="B4516" s="40"/>
      <c r="C4516" s="41"/>
      <c r="D4516" s="41"/>
      <c r="E4516" s="41"/>
      <c r="F4516" s="41"/>
      <c r="G4516" s="41"/>
      <c r="H4516" s="41"/>
      <c r="I4516" s="41"/>
      <c r="J4516" s="41"/>
      <c r="K4516" s="41"/>
      <c r="L4516" s="41"/>
      <c r="M4516" s="41"/>
      <c r="N4516" s="41"/>
      <c r="O4516" s="41"/>
      <c r="P4516" s="28"/>
    </row>
    <row r="4517" customFormat="1" spans="1:16">
      <c r="A4517" s="39"/>
      <c r="B4517" s="40"/>
      <c r="C4517" s="41"/>
      <c r="D4517" s="41"/>
      <c r="E4517" s="41"/>
      <c r="F4517" s="41"/>
      <c r="G4517" s="41"/>
      <c r="H4517" s="41"/>
      <c r="I4517" s="41"/>
      <c r="J4517" s="41"/>
      <c r="K4517" s="41"/>
      <c r="L4517" s="41"/>
      <c r="M4517" s="41"/>
      <c r="N4517" s="41"/>
      <c r="O4517" s="41"/>
      <c r="P4517" s="28"/>
    </row>
    <row r="4518" customFormat="1" spans="1:16">
      <c r="A4518" s="39"/>
      <c r="B4518" s="40"/>
      <c r="C4518" s="41"/>
      <c r="D4518" s="41"/>
      <c r="E4518" s="41"/>
      <c r="F4518" s="41"/>
      <c r="G4518" s="41"/>
      <c r="H4518" s="41"/>
      <c r="I4518" s="41"/>
      <c r="J4518" s="41"/>
      <c r="K4518" s="41"/>
      <c r="L4518" s="41"/>
      <c r="M4518" s="41"/>
      <c r="N4518" s="41"/>
      <c r="O4518" s="41"/>
      <c r="P4518" s="28"/>
    </row>
    <row r="4519" customFormat="1" spans="1:16">
      <c r="A4519" s="39"/>
      <c r="B4519" s="40"/>
      <c r="C4519" s="41"/>
      <c r="D4519" s="41"/>
      <c r="E4519" s="41"/>
      <c r="F4519" s="41"/>
      <c r="G4519" s="41"/>
      <c r="H4519" s="41"/>
      <c r="I4519" s="41"/>
      <c r="J4519" s="41"/>
      <c r="K4519" s="41"/>
      <c r="L4519" s="41"/>
      <c r="M4519" s="41"/>
      <c r="N4519" s="41"/>
      <c r="O4519" s="41"/>
      <c r="P4519" s="28"/>
    </row>
    <row r="4520" customFormat="1" spans="1:16">
      <c r="A4520" s="39"/>
      <c r="B4520" s="40"/>
      <c r="C4520" s="41"/>
      <c r="D4520" s="41"/>
      <c r="E4520" s="41"/>
      <c r="F4520" s="41"/>
      <c r="G4520" s="41"/>
      <c r="H4520" s="41"/>
      <c r="I4520" s="41"/>
      <c r="J4520" s="41"/>
      <c r="K4520" s="41"/>
      <c r="L4520" s="41"/>
      <c r="M4520" s="41"/>
      <c r="N4520" s="41"/>
      <c r="O4520" s="41"/>
      <c r="P4520" s="28"/>
    </row>
    <row r="4521" customFormat="1" spans="1:16">
      <c r="A4521" s="39"/>
      <c r="B4521" s="40"/>
      <c r="C4521" s="41"/>
      <c r="D4521" s="41"/>
      <c r="E4521" s="41"/>
      <c r="F4521" s="41"/>
      <c r="G4521" s="41"/>
      <c r="H4521" s="41"/>
      <c r="I4521" s="41"/>
      <c r="J4521" s="41"/>
      <c r="K4521" s="41"/>
      <c r="L4521" s="41"/>
      <c r="M4521" s="41"/>
      <c r="N4521" s="41"/>
      <c r="O4521" s="41"/>
      <c r="P4521" s="28"/>
    </row>
    <row r="4522" customFormat="1" spans="1:16">
      <c r="A4522" s="39"/>
      <c r="B4522" s="40"/>
      <c r="C4522" s="41"/>
      <c r="D4522" s="41"/>
      <c r="E4522" s="41"/>
      <c r="F4522" s="41"/>
      <c r="G4522" s="41"/>
      <c r="H4522" s="41"/>
      <c r="I4522" s="41"/>
      <c r="J4522" s="41"/>
      <c r="K4522" s="41"/>
      <c r="L4522" s="41"/>
      <c r="M4522" s="41"/>
      <c r="N4522" s="41"/>
      <c r="O4522" s="41"/>
      <c r="P4522" s="28"/>
    </row>
    <row r="4523" customFormat="1" spans="1:16">
      <c r="A4523" s="39"/>
      <c r="B4523" s="40"/>
      <c r="C4523" s="41"/>
      <c r="D4523" s="41"/>
      <c r="E4523" s="41"/>
      <c r="F4523" s="41"/>
      <c r="G4523" s="41"/>
      <c r="H4523" s="41"/>
      <c r="I4523" s="41"/>
      <c r="J4523" s="41"/>
      <c r="K4523" s="41"/>
      <c r="L4523" s="41"/>
      <c r="M4523" s="41"/>
      <c r="N4523" s="41"/>
      <c r="O4523" s="41"/>
      <c r="P4523" s="28"/>
    </row>
    <row r="4524" customFormat="1" spans="1:16">
      <c r="A4524" s="39"/>
      <c r="B4524" s="40"/>
      <c r="C4524" s="41"/>
      <c r="D4524" s="41"/>
      <c r="E4524" s="41"/>
      <c r="F4524" s="41"/>
      <c r="G4524" s="41"/>
      <c r="H4524" s="41"/>
      <c r="I4524" s="41"/>
      <c r="J4524" s="41"/>
      <c r="K4524" s="41"/>
      <c r="L4524" s="41"/>
      <c r="M4524" s="41"/>
      <c r="N4524" s="41"/>
      <c r="O4524" s="41"/>
      <c r="P4524" s="28"/>
    </row>
    <row r="4525" customFormat="1" spans="1:16">
      <c r="A4525" s="39"/>
      <c r="B4525" s="40"/>
      <c r="C4525" s="41"/>
      <c r="D4525" s="41"/>
      <c r="E4525" s="41"/>
      <c r="F4525" s="41"/>
      <c r="G4525" s="41"/>
      <c r="H4525" s="41"/>
      <c r="I4525" s="41"/>
      <c r="J4525" s="41"/>
      <c r="K4525" s="41"/>
      <c r="L4525" s="41"/>
      <c r="M4525" s="41"/>
      <c r="N4525" s="41"/>
      <c r="O4525" s="41"/>
      <c r="P4525" s="28"/>
    </row>
    <row r="4526" customFormat="1" spans="1:16">
      <c r="A4526" s="39"/>
      <c r="B4526" s="40"/>
      <c r="C4526" s="41"/>
      <c r="D4526" s="41"/>
      <c r="E4526" s="41"/>
      <c r="F4526" s="41"/>
      <c r="G4526" s="41"/>
      <c r="H4526" s="41"/>
      <c r="I4526" s="41"/>
      <c r="J4526" s="41"/>
      <c r="K4526" s="41"/>
      <c r="L4526" s="41"/>
      <c r="M4526" s="41"/>
      <c r="N4526" s="41"/>
      <c r="O4526" s="41"/>
      <c r="P4526" s="28"/>
    </row>
    <row r="4527" customFormat="1" spans="1:16">
      <c r="A4527" s="39"/>
      <c r="B4527" s="40"/>
      <c r="C4527" s="41"/>
      <c r="D4527" s="41"/>
      <c r="E4527" s="41"/>
      <c r="F4527" s="41"/>
      <c r="G4527" s="41"/>
      <c r="H4527" s="41"/>
      <c r="I4527" s="41"/>
      <c r="J4527" s="41"/>
      <c r="K4527" s="41"/>
      <c r="L4527" s="41"/>
      <c r="M4527" s="41"/>
      <c r="N4527" s="41"/>
      <c r="O4527" s="41"/>
      <c r="P4527" s="28"/>
    </row>
    <row r="4528" customFormat="1" spans="1:16">
      <c r="A4528" s="39"/>
      <c r="B4528" s="40"/>
      <c r="C4528" s="41"/>
      <c r="D4528" s="41"/>
      <c r="E4528" s="41"/>
      <c r="F4528" s="41"/>
      <c r="G4528" s="41"/>
      <c r="H4528" s="41"/>
      <c r="I4528" s="41"/>
      <c r="J4528" s="41"/>
      <c r="K4528" s="41"/>
      <c r="L4528" s="41"/>
      <c r="M4528" s="41"/>
      <c r="N4528" s="41"/>
      <c r="O4528" s="41"/>
      <c r="P4528" s="28"/>
    </row>
    <row r="4529" customFormat="1" spans="1:16">
      <c r="A4529" s="39"/>
      <c r="B4529" s="40"/>
      <c r="C4529" s="41"/>
      <c r="D4529" s="41"/>
      <c r="E4529" s="41"/>
      <c r="F4529" s="41"/>
      <c r="G4529" s="41"/>
      <c r="H4529" s="41"/>
      <c r="I4529" s="41"/>
      <c r="J4529" s="41"/>
      <c r="K4529" s="41"/>
      <c r="L4529" s="41"/>
      <c r="M4529" s="41"/>
      <c r="N4529" s="41"/>
      <c r="O4529" s="41"/>
      <c r="P4529" s="28"/>
    </row>
    <row r="4530" customFormat="1" spans="1:16">
      <c r="A4530" s="39"/>
      <c r="B4530" s="40"/>
      <c r="C4530" s="41"/>
      <c r="D4530" s="41"/>
      <c r="E4530" s="41"/>
      <c r="F4530" s="41"/>
      <c r="G4530" s="41"/>
      <c r="H4530" s="41"/>
      <c r="I4530" s="41"/>
      <c r="J4530" s="41"/>
      <c r="K4530" s="41"/>
      <c r="L4530" s="41"/>
      <c r="M4530" s="41"/>
      <c r="N4530" s="41"/>
      <c r="O4530" s="41"/>
      <c r="P4530" s="28"/>
    </row>
    <row r="4531" customFormat="1" spans="1:16">
      <c r="A4531" s="39"/>
      <c r="B4531" s="40"/>
      <c r="C4531" s="41"/>
      <c r="D4531" s="41"/>
      <c r="E4531" s="41"/>
      <c r="F4531" s="41"/>
      <c r="G4531" s="41"/>
      <c r="H4531" s="41"/>
      <c r="I4531" s="41"/>
      <c r="J4531" s="41"/>
      <c r="K4531" s="41"/>
      <c r="L4531" s="41"/>
      <c r="M4531" s="41"/>
      <c r="N4531" s="41"/>
      <c r="O4531" s="41"/>
      <c r="P4531" s="28"/>
    </row>
    <row r="4532" customFormat="1" spans="1:16">
      <c r="A4532" s="39"/>
      <c r="B4532" s="40"/>
      <c r="C4532" s="41"/>
      <c r="D4532" s="41"/>
      <c r="E4532" s="41"/>
      <c r="F4532" s="41"/>
      <c r="G4532" s="41"/>
      <c r="H4532" s="41"/>
      <c r="I4532" s="41"/>
      <c r="J4532" s="41"/>
      <c r="K4532" s="41"/>
      <c r="L4532" s="41"/>
      <c r="M4532" s="41"/>
      <c r="N4532" s="41"/>
      <c r="O4532" s="41"/>
      <c r="P4532" s="28"/>
    </row>
    <row r="4533" customFormat="1" spans="1:16">
      <c r="A4533" s="39"/>
      <c r="B4533" s="40"/>
      <c r="C4533" s="41"/>
      <c r="D4533" s="41"/>
      <c r="E4533" s="41"/>
      <c r="F4533" s="41"/>
      <c r="G4533" s="41"/>
      <c r="H4533" s="41"/>
      <c r="I4533" s="41"/>
      <c r="J4533" s="41"/>
      <c r="K4533" s="41"/>
      <c r="L4533" s="41"/>
      <c r="M4533" s="41"/>
      <c r="N4533" s="41"/>
      <c r="O4533" s="41"/>
      <c r="P4533" s="28"/>
    </row>
    <row r="4534" customFormat="1" spans="1:16">
      <c r="A4534" s="39"/>
      <c r="B4534" s="40"/>
      <c r="C4534" s="41"/>
      <c r="D4534" s="41"/>
      <c r="E4534" s="41"/>
      <c r="F4534" s="41"/>
      <c r="G4534" s="41"/>
      <c r="H4534" s="41"/>
      <c r="I4534" s="41"/>
      <c r="J4534" s="41"/>
      <c r="K4534" s="41"/>
      <c r="L4534" s="41"/>
      <c r="M4534" s="41"/>
      <c r="N4534" s="41"/>
      <c r="O4534" s="41"/>
      <c r="P4534" s="28"/>
    </row>
    <row r="4535" customFormat="1" spans="1:16">
      <c r="A4535" s="39"/>
      <c r="B4535" s="40"/>
      <c r="C4535" s="41"/>
      <c r="D4535" s="41"/>
      <c r="E4535" s="41"/>
      <c r="F4535" s="41"/>
      <c r="G4535" s="41"/>
      <c r="H4535" s="41"/>
      <c r="I4535" s="41"/>
      <c r="J4535" s="41"/>
      <c r="K4535" s="41"/>
      <c r="L4535" s="41"/>
      <c r="M4535" s="41"/>
      <c r="N4535" s="41"/>
      <c r="O4535" s="41"/>
      <c r="P4535" s="28"/>
    </row>
    <row r="4536" customFormat="1" spans="1:16">
      <c r="A4536" s="39"/>
      <c r="B4536" s="40"/>
      <c r="C4536" s="41"/>
      <c r="D4536" s="41"/>
      <c r="E4536" s="41"/>
      <c r="F4536" s="41"/>
      <c r="G4536" s="41"/>
      <c r="H4536" s="41"/>
      <c r="I4536" s="41"/>
      <c r="J4536" s="41"/>
      <c r="K4536" s="41"/>
      <c r="L4536" s="41"/>
      <c r="M4536" s="41"/>
      <c r="N4536" s="41"/>
      <c r="O4536" s="41"/>
      <c r="P4536" s="28"/>
    </row>
    <row r="4537" customFormat="1" spans="1:16">
      <c r="A4537" s="39"/>
      <c r="B4537" s="40"/>
      <c r="C4537" s="41"/>
      <c r="D4537" s="41"/>
      <c r="E4537" s="41"/>
      <c r="F4537" s="41"/>
      <c r="G4537" s="41"/>
      <c r="H4537" s="41"/>
      <c r="I4537" s="41"/>
      <c r="J4537" s="41"/>
      <c r="K4537" s="41"/>
      <c r="L4537" s="41"/>
      <c r="M4537" s="41"/>
      <c r="N4537" s="41"/>
      <c r="O4537" s="41"/>
      <c r="P4537" s="28"/>
    </row>
    <row r="4538" customFormat="1" spans="1:16">
      <c r="A4538" s="39"/>
      <c r="B4538" s="40"/>
      <c r="C4538" s="41"/>
      <c r="D4538" s="41"/>
      <c r="E4538" s="41"/>
      <c r="F4538" s="41"/>
      <c r="G4538" s="41"/>
      <c r="H4538" s="41"/>
      <c r="I4538" s="41"/>
      <c r="J4538" s="41"/>
      <c r="K4538" s="41"/>
      <c r="L4538" s="41"/>
      <c r="M4538" s="41"/>
      <c r="N4538" s="41"/>
      <c r="O4538" s="41"/>
      <c r="P4538" s="28"/>
    </row>
    <row r="4539" customFormat="1" spans="1:16">
      <c r="A4539" s="39"/>
      <c r="B4539" s="40"/>
      <c r="C4539" s="41"/>
      <c r="D4539" s="41"/>
      <c r="E4539" s="41"/>
      <c r="F4539" s="41"/>
      <c r="G4539" s="41"/>
      <c r="H4539" s="41"/>
      <c r="I4539" s="41"/>
      <c r="J4539" s="41"/>
      <c r="K4539" s="41"/>
      <c r="L4539" s="41"/>
      <c r="M4539" s="41"/>
      <c r="N4539" s="41"/>
      <c r="O4539" s="41"/>
      <c r="P4539" s="28"/>
    </row>
    <row r="4540" customFormat="1" spans="1:16">
      <c r="A4540" s="39"/>
      <c r="B4540" s="40"/>
      <c r="C4540" s="41"/>
      <c r="D4540" s="41"/>
      <c r="E4540" s="41"/>
      <c r="F4540" s="41"/>
      <c r="G4540" s="41"/>
      <c r="H4540" s="41"/>
      <c r="I4540" s="41"/>
      <c r="J4540" s="41"/>
      <c r="K4540" s="41"/>
      <c r="L4540" s="41"/>
      <c r="M4540" s="41"/>
      <c r="N4540" s="41"/>
      <c r="O4540" s="41"/>
      <c r="P4540" s="28"/>
    </row>
    <row r="4541" customFormat="1" spans="1:16">
      <c r="A4541" s="39"/>
      <c r="B4541" s="40"/>
      <c r="C4541" s="41"/>
      <c r="D4541" s="41"/>
      <c r="E4541" s="41"/>
      <c r="F4541" s="41"/>
      <c r="G4541" s="41"/>
      <c r="H4541" s="41"/>
      <c r="I4541" s="41"/>
      <c r="J4541" s="41"/>
      <c r="K4541" s="41"/>
      <c r="L4541" s="41"/>
      <c r="M4541" s="41"/>
      <c r="N4541" s="41"/>
      <c r="O4541" s="41"/>
      <c r="P4541" s="28"/>
    </row>
    <row r="4542" customFormat="1" spans="1:16">
      <c r="A4542" s="39"/>
      <c r="B4542" s="40"/>
      <c r="C4542" s="41"/>
      <c r="D4542" s="41"/>
      <c r="E4542" s="41"/>
      <c r="F4542" s="41"/>
      <c r="G4542" s="41"/>
      <c r="H4542" s="41"/>
      <c r="I4542" s="41"/>
      <c r="J4542" s="41"/>
      <c r="K4542" s="41"/>
      <c r="L4542" s="41"/>
      <c r="M4542" s="41"/>
      <c r="N4542" s="41"/>
      <c r="O4542" s="41"/>
      <c r="P4542" s="28"/>
    </row>
    <row r="4543" customFormat="1" spans="1:16">
      <c r="A4543" s="39"/>
      <c r="B4543" s="40"/>
      <c r="C4543" s="41"/>
      <c r="D4543" s="41"/>
      <c r="E4543" s="41"/>
      <c r="F4543" s="41"/>
      <c r="G4543" s="41"/>
      <c r="H4543" s="41"/>
      <c r="I4543" s="41"/>
      <c r="J4543" s="41"/>
      <c r="K4543" s="41"/>
      <c r="L4543" s="41"/>
      <c r="M4543" s="41"/>
      <c r="N4543" s="41"/>
      <c r="O4543" s="41"/>
      <c r="P4543" s="28"/>
    </row>
    <row r="4544" customFormat="1" spans="1:16">
      <c r="A4544" s="39"/>
      <c r="B4544" s="40"/>
      <c r="C4544" s="41"/>
      <c r="D4544" s="41"/>
      <c r="E4544" s="41"/>
      <c r="F4544" s="41"/>
      <c r="G4544" s="41"/>
      <c r="H4544" s="41"/>
      <c r="I4544" s="41"/>
      <c r="J4544" s="41"/>
      <c r="K4544" s="41"/>
      <c r="L4544" s="41"/>
      <c r="M4544" s="41"/>
      <c r="N4544" s="41"/>
      <c r="O4544" s="41"/>
      <c r="P4544" s="28"/>
    </row>
    <row r="4545" customFormat="1" spans="1:16">
      <c r="A4545" s="39"/>
      <c r="B4545" s="40"/>
      <c r="C4545" s="41"/>
      <c r="D4545" s="41"/>
      <c r="E4545" s="41"/>
      <c r="F4545" s="41"/>
      <c r="G4545" s="41"/>
      <c r="H4545" s="41"/>
      <c r="I4545" s="41"/>
      <c r="J4545" s="41"/>
      <c r="K4545" s="41"/>
      <c r="L4545" s="41"/>
      <c r="M4545" s="41"/>
      <c r="N4545" s="41"/>
      <c r="O4545" s="41"/>
      <c r="P4545" s="28"/>
    </row>
    <row r="4546" customFormat="1" spans="1:16">
      <c r="A4546" s="39"/>
      <c r="B4546" s="40"/>
      <c r="C4546" s="41"/>
      <c r="D4546" s="41"/>
      <c r="E4546" s="41"/>
      <c r="F4546" s="41"/>
      <c r="G4546" s="41"/>
      <c r="H4546" s="41"/>
      <c r="I4546" s="41"/>
      <c r="J4546" s="41"/>
      <c r="K4546" s="41"/>
      <c r="L4546" s="41"/>
      <c r="M4546" s="41"/>
      <c r="N4546" s="41"/>
      <c r="O4546" s="41"/>
      <c r="P4546" s="28"/>
    </row>
    <row r="4547" customFormat="1" spans="1:16">
      <c r="A4547" s="39"/>
      <c r="B4547" s="40"/>
      <c r="C4547" s="41"/>
      <c r="D4547" s="41"/>
      <c r="E4547" s="41"/>
      <c r="F4547" s="41"/>
      <c r="G4547" s="41"/>
      <c r="H4547" s="41"/>
      <c r="I4547" s="41"/>
      <c r="J4547" s="41"/>
      <c r="K4547" s="41"/>
      <c r="L4547" s="41"/>
      <c r="M4547" s="41"/>
      <c r="N4547" s="41"/>
      <c r="O4547" s="41"/>
      <c r="P4547" s="28"/>
    </row>
    <row r="4548" customFormat="1" spans="1:16">
      <c r="A4548" s="39"/>
      <c r="B4548" s="40"/>
      <c r="C4548" s="41"/>
      <c r="D4548" s="41"/>
      <c r="E4548" s="41"/>
      <c r="F4548" s="41"/>
      <c r="G4548" s="41"/>
      <c r="H4548" s="41"/>
      <c r="I4548" s="41"/>
      <c r="J4548" s="41"/>
      <c r="K4548" s="41"/>
      <c r="L4548" s="41"/>
      <c r="M4548" s="41"/>
      <c r="N4548" s="41"/>
      <c r="O4548" s="41"/>
      <c r="P4548" s="28"/>
    </row>
    <row r="4549" customFormat="1" spans="1:16">
      <c r="A4549" s="39"/>
      <c r="B4549" s="40"/>
      <c r="C4549" s="41"/>
      <c r="D4549" s="41"/>
      <c r="E4549" s="41"/>
      <c r="F4549" s="41"/>
      <c r="G4549" s="41"/>
      <c r="H4549" s="41"/>
      <c r="I4549" s="41"/>
      <c r="J4549" s="41"/>
      <c r="K4549" s="41"/>
      <c r="L4549" s="41"/>
      <c r="M4549" s="41"/>
      <c r="N4549" s="41"/>
      <c r="O4549" s="41"/>
      <c r="P4549" s="28"/>
    </row>
    <row r="4550" customFormat="1" spans="1:16">
      <c r="A4550" s="39"/>
      <c r="B4550" s="40"/>
      <c r="C4550" s="41"/>
      <c r="D4550" s="41"/>
      <c r="E4550" s="41"/>
      <c r="F4550" s="41"/>
      <c r="G4550" s="41"/>
      <c r="H4550" s="41"/>
      <c r="I4550" s="41"/>
      <c r="J4550" s="41"/>
      <c r="K4550" s="41"/>
      <c r="L4550" s="41"/>
      <c r="M4550" s="41"/>
      <c r="N4550" s="41"/>
      <c r="O4550" s="41"/>
      <c r="P4550" s="28"/>
    </row>
    <row r="4551" customFormat="1" spans="1:16">
      <c r="A4551" s="39"/>
      <c r="B4551" s="40"/>
      <c r="C4551" s="41"/>
      <c r="D4551" s="41"/>
      <c r="E4551" s="41"/>
      <c r="F4551" s="41"/>
      <c r="G4551" s="41"/>
      <c r="H4551" s="41"/>
      <c r="I4551" s="41"/>
      <c r="J4551" s="41"/>
      <c r="K4551" s="41"/>
      <c r="L4551" s="41"/>
      <c r="M4551" s="41"/>
      <c r="N4551" s="41"/>
      <c r="O4551" s="41"/>
      <c r="P4551" s="28"/>
    </row>
    <row r="4552" customFormat="1" spans="1:16">
      <c r="A4552" s="39"/>
      <c r="B4552" s="40"/>
      <c r="C4552" s="41"/>
      <c r="D4552" s="41"/>
      <c r="E4552" s="41"/>
      <c r="F4552" s="41"/>
      <c r="G4552" s="41"/>
      <c r="H4552" s="41"/>
      <c r="I4552" s="41"/>
      <c r="J4552" s="41"/>
      <c r="K4552" s="41"/>
      <c r="L4552" s="41"/>
      <c r="M4552" s="41"/>
      <c r="N4552" s="41"/>
      <c r="O4552" s="41"/>
      <c r="P4552" s="28"/>
    </row>
    <row r="4553" customFormat="1" spans="1:16">
      <c r="A4553" s="39"/>
      <c r="B4553" s="40"/>
      <c r="C4553" s="41"/>
      <c r="D4553" s="41"/>
      <c r="E4553" s="41"/>
      <c r="F4553" s="41"/>
      <c r="G4553" s="41"/>
      <c r="H4553" s="41"/>
      <c r="I4553" s="41"/>
      <c r="J4553" s="41"/>
      <c r="K4553" s="41"/>
      <c r="L4553" s="41"/>
      <c r="M4553" s="41"/>
      <c r="N4553" s="41"/>
      <c r="O4553" s="41"/>
      <c r="P4553" s="28"/>
    </row>
    <row r="4554" customFormat="1" spans="1:16">
      <c r="A4554" s="39"/>
      <c r="B4554" s="40"/>
      <c r="C4554" s="41"/>
      <c r="D4554" s="41"/>
      <c r="E4554" s="41"/>
      <c r="F4554" s="41"/>
      <c r="G4554" s="41"/>
      <c r="H4554" s="41"/>
      <c r="I4554" s="41"/>
      <c r="J4554" s="41"/>
      <c r="K4554" s="41"/>
      <c r="L4554" s="41"/>
      <c r="M4554" s="41"/>
      <c r="N4554" s="41"/>
      <c r="O4554" s="41"/>
      <c r="P4554" s="28"/>
    </row>
    <row r="4555" customFormat="1" spans="1:16">
      <c r="A4555" s="39"/>
      <c r="B4555" s="40"/>
      <c r="C4555" s="41"/>
      <c r="D4555" s="41"/>
      <c r="E4555" s="41"/>
      <c r="F4555" s="41"/>
      <c r="G4555" s="41"/>
      <c r="H4555" s="41"/>
      <c r="I4555" s="41"/>
      <c r="J4555" s="41"/>
      <c r="K4555" s="41"/>
      <c r="L4555" s="41"/>
      <c r="M4555" s="41"/>
      <c r="N4555" s="41"/>
      <c r="O4555" s="41"/>
      <c r="P4555" s="28"/>
    </row>
    <row r="4556" customFormat="1" spans="1:16">
      <c r="A4556" s="39"/>
      <c r="B4556" s="40"/>
      <c r="C4556" s="41"/>
      <c r="D4556" s="41"/>
      <c r="E4556" s="41"/>
      <c r="F4556" s="41"/>
      <c r="G4556" s="41"/>
      <c r="H4556" s="41"/>
      <c r="I4556" s="41"/>
      <c r="J4556" s="41"/>
      <c r="K4556" s="41"/>
      <c r="L4556" s="41"/>
      <c r="M4556" s="41"/>
      <c r="N4556" s="41"/>
      <c r="O4556" s="41"/>
      <c r="P4556" s="28"/>
    </row>
    <row r="4557" customFormat="1" spans="1:16">
      <c r="A4557" s="39"/>
      <c r="B4557" s="40"/>
      <c r="C4557" s="41"/>
      <c r="D4557" s="41"/>
      <c r="E4557" s="41"/>
      <c r="F4557" s="41"/>
      <c r="G4557" s="41"/>
      <c r="H4557" s="41"/>
      <c r="I4557" s="41"/>
      <c r="J4557" s="41"/>
      <c r="K4557" s="41"/>
      <c r="L4557" s="41"/>
      <c r="M4557" s="41"/>
      <c r="N4557" s="41"/>
      <c r="O4557" s="41"/>
      <c r="P4557" s="28"/>
    </row>
    <row r="4558" customFormat="1" spans="1:16">
      <c r="A4558" s="39"/>
      <c r="B4558" s="40"/>
      <c r="C4558" s="41"/>
      <c r="D4558" s="41"/>
      <c r="E4558" s="41"/>
      <c r="F4558" s="41"/>
      <c r="G4558" s="41"/>
      <c r="H4558" s="41"/>
      <c r="I4558" s="41"/>
      <c r="J4558" s="41"/>
      <c r="K4558" s="41"/>
      <c r="L4558" s="41"/>
      <c r="M4558" s="41"/>
      <c r="N4558" s="41"/>
      <c r="O4558" s="41"/>
      <c r="P4558" s="28"/>
    </row>
    <row r="4559" customFormat="1" spans="1:16">
      <c r="A4559" s="39"/>
      <c r="B4559" s="40"/>
      <c r="C4559" s="41"/>
      <c r="D4559" s="41"/>
      <c r="E4559" s="41"/>
      <c r="F4559" s="41"/>
      <c r="G4559" s="41"/>
      <c r="H4559" s="41"/>
      <c r="I4559" s="41"/>
      <c r="J4559" s="41"/>
      <c r="K4559" s="41"/>
      <c r="L4559" s="41"/>
      <c r="M4559" s="41"/>
      <c r="N4559" s="41"/>
      <c r="O4559" s="41"/>
      <c r="P4559" s="28"/>
    </row>
    <row r="4560" customFormat="1" spans="1:16">
      <c r="A4560" s="39"/>
      <c r="B4560" s="40"/>
      <c r="C4560" s="41"/>
      <c r="D4560" s="41"/>
      <c r="E4560" s="41"/>
      <c r="F4560" s="41"/>
      <c r="G4560" s="41"/>
      <c r="H4560" s="41"/>
      <c r="I4560" s="41"/>
      <c r="J4560" s="41"/>
      <c r="K4560" s="41"/>
      <c r="L4560" s="41"/>
      <c r="M4560" s="41"/>
      <c r="N4560" s="41"/>
      <c r="O4560" s="41"/>
      <c r="P4560" s="28"/>
    </row>
    <row r="4561" customFormat="1" spans="1:16">
      <c r="A4561" s="39"/>
      <c r="B4561" s="40"/>
      <c r="C4561" s="41"/>
      <c r="D4561" s="41"/>
      <c r="E4561" s="41"/>
      <c r="F4561" s="41"/>
      <c r="G4561" s="41"/>
      <c r="H4561" s="41"/>
      <c r="I4561" s="41"/>
      <c r="J4561" s="41"/>
      <c r="K4561" s="41"/>
      <c r="L4561" s="41"/>
      <c r="M4561" s="41"/>
      <c r="N4561" s="41"/>
      <c r="O4561" s="41"/>
      <c r="P4561" s="28"/>
    </row>
    <row r="4562" customFormat="1" spans="1:16">
      <c r="A4562" s="39"/>
      <c r="B4562" s="40"/>
      <c r="C4562" s="41"/>
      <c r="D4562" s="41"/>
      <c r="E4562" s="41"/>
      <c r="F4562" s="41"/>
      <c r="G4562" s="41"/>
      <c r="H4562" s="41"/>
      <c r="I4562" s="41"/>
      <c r="J4562" s="41"/>
      <c r="K4562" s="41"/>
      <c r="L4562" s="41"/>
      <c r="M4562" s="41"/>
      <c r="N4562" s="41"/>
      <c r="O4562" s="41"/>
      <c r="P4562" s="28"/>
    </row>
    <row r="4563" customFormat="1" spans="1:16">
      <c r="A4563" s="39"/>
      <c r="B4563" s="40"/>
      <c r="C4563" s="41"/>
      <c r="D4563" s="41"/>
      <c r="E4563" s="41"/>
      <c r="F4563" s="41"/>
      <c r="G4563" s="41"/>
      <c r="H4563" s="41"/>
      <c r="I4563" s="41"/>
      <c r="J4563" s="41"/>
      <c r="K4563" s="41"/>
      <c r="L4563" s="41"/>
      <c r="M4563" s="41"/>
      <c r="N4563" s="41"/>
      <c r="O4563" s="41"/>
      <c r="P4563" s="28"/>
    </row>
    <row r="4564" customFormat="1" spans="1:16">
      <c r="A4564" s="39"/>
      <c r="B4564" s="40"/>
      <c r="C4564" s="41"/>
      <c r="D4564" s="41"/>
      <c r="E4564" s="41"/>
      <c r="F4564" s="41"/>
      <c r="G4564" s="41"/>
      <c r="H4564" s="41"/>
      <c r="I4564" s="41"/>
      <c r="J4564" s="41"/>
      <c r="K4564" s="41"/>
      <c r="L4564" s="41"/>
      <c r="M4564" s="41"/>
      <c r="N4564" s="41"/>
      <c r="O4564" s="41"/>
      <c r="P4564" s="28"/>
    </row>
    <row r="4565" customFormat="1" spans="1:16">
      <c r="A4565" s="39"/>
      <c r="B4565" s="40"/>
      <c r="C4565" s="41"/>
      <c r="D4565" s="41"/>
      <c r="E4565" s="41"/>
      <c r="F4565" s="41"/>
      <c r="G4565" s="41"/>
      <c r="H4565" s="41"/>
      <c r="I4565" s="41"/>
      <c r="J4565" s="41"/>
      <c r="K4565" s="41"/>
      <c r="L4565" s="41"/>
      <c r="M4565" s="41"/>
      <c r="N4565" s="41"/>
      <c r="O4565" s="41"/>
      <c r="P4565" s="28"/>
    </row>
    <row r="4566" customFormat="1" spans="1:16">
      <c r="A4566" s="39"/>
      <c r="B4566" s="40"/>
      <c r="C4566" s="41"/>
      <c r="D4566" s="41"/>
      <c r="E4566" s="41"/>
      <c r="F4566" s="41"/>
      <c r="G4566" s="41"/>
      <c r="H4566" s="41"/>
      <c r="I4566" s="41"/>
      <c r="J4566" s="41"/>
      <c r="K4566" s="41"/>
      <c r="L4566" s="41"/>
      <c r="M4566" s="41"/>
      <c r="N4566" s="41"/>
      <c r="O4566" s="41"/>
      <c r="P4566" s="28"/>
    </row>
    <row r="4567" customFormat="1" spans="1:16">
      <c r="A4567" s="39"/>
      <c r="B4567" s="40"/>
      <c r="C4567" s="41"/>
      <c r="D4567" s="41"/>
      <c r="E4567" s="41"/>
      <c r="F4567" s="41"/>
      <c r="G4567" s="41"/>
      <c r="H4567" s="41"/>
      <c r="I4567" s="41"/>
      <c r="J4567" s="41"/>
      <c r="K4567" s="41"/>
      <c r="L4567" s="41"/>
      <c r="M4567" s="41"/>
      <c r="N4567" s="41"/>
      <c r="O4567" s="41"/>
      <c r="P4567" s="28"/>
    </row>
    <row r="4568" customFormat="1" spans="1:16">
      <c r="A4568" s="39"/>
      <c r="B4568" s="40"/>
      <c r="C4568" s="41"/>
      <c r="D4568" s="41"/>
      <c r="E4568" s="41"/>
      <c r="F4568" s="41"/>
      <c r="G4568" s="41"/>
      <c r="H4568" s="41"/>
      <c r="I4568" s="41"/>
      <c r="J4568" s="41"/>
      <c r="K4568" s="41"/>
      <c r="L4568" s="41"/>
      <c r="M4568" s="41"/>
      <c r="N4568" s="41"/>
      <c r="O4568" s="41"/>
      <c r="P4568" s="28"/>
    </row>
    <row r="4569" customFormat="1" spans="1:16">
      <c r="A4569" s="39"/>
      <c r="B4569" s="40"/>
      <c r="C4569" s="41"/>
      <c r="D4569" s="41"/>
      <c r="E4569" s="41"/>
      <c r="F4569" s="41"/>
      <c r="G4569" s="41"/>
      <c r="H4569" s="41"/>
      <c r="I4569" s="41"/>
      <c r="J4569" s="41"/>
      <c r="K4569" s="41"/>
      <c r="L4569" s="41"/>
      <c r="M4569" s="41"/>
      <c r="N4569" s="41"/>
      <c r="O4569" s="41"/>
      <c r="P4569" s="28"/>
    </row>
    <row r="4570" customFormat="1" spans="1:16">
      <c r="A4570" s="39"/>
      <c r="B4570" s="40"/>
      <c r="C4570" s="41"/>
      <c r="D4570" s="41"/>
      <c r="E4570" s="41"/>
      <c r="F4570" s="41"/>
      <c r="G4570" s="41"/>
      <c r="H4570" s="41"/>
      <c r="I4570" s="41"/>
      <c r="J4570" s="41"/>
      <c r="K4570" s="41"/>
      <c r="L4570" s="41"/>
      <c r="M4570" s="41"/>
      <c r="N4570" s="41"/>
      <c r="O4570" s="41"/>
      <c r="P4570" s="28"/>
    </row>
    <row r="4571" customFormat="1" spans="1:16">
      <c r="A4571" s="39"/>
      <c r="B4571" s="40"/>
      <c r="C4571" s="41"/>
      <c r="D4571" s="41"/>
      <c r="E4571" s="41"/>
      <c r="F4571" s="41"/>
      <c r="G4571" s="41"/>
      <c r="H4571" s="41"/>
      <c r="I4571" s="41"/>
      <c r="J4571" s="41"/>
      <c r="K4571" s="41"/>
      <c r="L4571" s="41"/>
      <c r="M4571" s="41"/>
      <c r="N4571" s="41"/>
      <c r="O4571" s="41"/>
      <c r="P4571" s="28"/>
    </row>
    <row r="4572" customFormat="1" spans="1:16">
      <c r="A4572" s="39"/>
      <c r="B4572" s="40"/>
      <c r="C4572" s="41"/>
      <c r="D4572" s="41"/>
      <c r="E4572" s="41"/>
      <c r="F4572" s="41"/>
      <c r="G4572" s="41"/>
      <c r="H4572" s="41"/>
      <c r="I4572" s="41"/>
      <c r="J4572" s="41"/>
      <c r="K4572" s="41"/>
      <c r="L4572" s="41"/>
      <c r="M4572" s="41"/>
      <c r="N4572" s="41"/>
      <c r="O4572" s="41"/>
      <c r="P4572" s="28"/>
    </row>
    <row r="4573" customFormat="1" spans="1:16">
      <c r="A4573" s="39"/>
      <c r="B4573" s="40"/>
      <c r="C4573" s="41"/>
      <c r="D4573" s="41"/>
      <c r="E4573" s="41"/>
      <c r="F4573" s="41"/>
      <c r="G4573" s="41"/>
      <c r="H4573" s="41"/>
      <c r="I4573" s="41"/>
      <c r="J4573" s="41"/>
      <c r="K4573" s="41"/>
      <c r="L4573" s="41"/>
      <c r="M4573" s="41"/>
      <c r="N4573" s="41"/>
      <c r="O4573" s="41"/>
      <c r="P4573" s="28"/>
    </row>
    <row r="4574" customFormat="1" spans="1:16">
      <c r="A4574" s="39"/>
      <c r="B4574" s="40"/>
      <c r="C4574" s="41"/>
      <c r="D4574" s="41"/>
      <c r="E4574" s="41"/>
      <c r="F4574" s="41"/>
      <c r="G4574" s="41"/>
      <c r="H4574" s="41"/>
      <c r="I4574" s="41"/>
      <c r="J4574" s="41"/>
      <c r="K4574" s="41"/>
      <c r="L4574" s="41"/>
      <c r="M4574" s="41"/>
      <c r="N4574" s="41"/>
      <c r="O4574" s="41"/>
      <c r="P4574" s="28"/>
    </row>
    <row r="4575" customFormat="1" spans="1:16">
      <c r="A4575" s="39"/>
      <c r="B4575" s="40"/>
      <c r="C4575" s="41"/>
      <c r="D4575" s="41"/>
      <c r="E4575" s="41"/>
      <c r="F4575" s="41"/>
      <c r="G4575" s="41"/>
      <c r="H4575" s="41"/>
      <c r="I4575" s="41"/>
      <c r="J4575" s="41"/>
      <c r="K4575" s="41"/>
      <c r="L4575" s="41"/>
      <c r="M4575" s="41"/>
      <c r="N4575" s="41"/>
      <c r="O4575" s="41"/>
      <c r="P4575" s="28"/>
    </row>
    <row r="4576" customFormat="1" spans="1:16">
      <c r="A4576" s="39"/>
      <c r="B4576" s="40"/>
      <c r="C4576" s="41"/>
      <c r="D4576" s="41"/>
      <c r="E4576" s="41"/>
      <c r="F4576" s="41"/>
      <c r="G4576" s="41"/>
      <c r="H4576" s="41"/>
      <c r="I4576" s="41"/>
      <c r="J4576" s="41"/>
      <c r="K4576" s="41"/>
      <c r="L4576" s="41"/>
      <c r="M4576" s="41"/>
      <c r="N4576" s="41"/>
      <c r="O4576" s="41"/>
      <c r="P4576" s="28"/>
    </row>
    <row r="4577" customFormat="1" spans="1:16">
      <c r="A4577" s="39"/>
      <c r="B4577" s="40"/>
      <c r="C4577" s="41"/>
      <c r="D4577" s="41"/>
      <c r="E4577" s="41"/>
      <c r="F4577" s="41"/>
      <c r="G4577" s="41"/>
      <c r="H4577" s="41"/>
      <c r="I4577" s="41"/>
      <c r="J4577" s="41"/>
      <c r="K4577" s="41"/>
      <c r="L4577" s="41"/>
      <c r="M4577" s="41"/>
      <c r="N4577" s="41"/>
      <c r="O4577" s="41"/>
      <c r="P4577" s="28"/>
    </row>
    <row r="4578" customFormat="1" spans="1:16">
      <c r="A4578" s="39"/>
      <c r="B4578" s="40"/>
      <c r="C4578" s="41"/>
      <c r="D4578" s="41"/>
      <c r="E4578" s="41"/>
      <c r="F4578" s="41"/>
      <c r="G4578" s="41"/>
      <c r="H4578" s="41"/>
      <c r="I4578" s="41"/>
      <c r="J4578" s="41"/>
      <c r="K4578" s="41"/>
      <c r="L4578" s="41"/>
      <c r="M4578" s="41"/>
      <c r="N4578" s="41"/>
      <c r="O4578" s="41"/>
      <c r="P4578" s="28"/>
    </row>
    <row r="4579" customFormat="1" spans="1:16">
      <c r="A4579" s="39"/>
      <c r="B4579" s="40"/>
      <c r="C4579" s="41"/>
      <c r="D4579" s="41"/>
      <c r="E4579" s="41"/>
      <c r="F4579" s="41"/>
      <c r="G4579" s="41"/>
      <c r="H4579" s="41"/>
      <c r="I4579" s="41"/>
      <c r="J4579" s="41"/>
      <c r="K4579" s="41"/>
      <c r="L4579" s="41"/>
      <c r="M4579" s="41"/>
      <c r="N4579" s="41"/>
      <c r="O4579" s="41"/>
      <c r="P4579" s="28"/>
    </row>
    <row r="4580" customFormat="1" spans="1:16">
      <c r="A4580" s="39"/>
      <c r="B4580" s="40"/>
      <c r="C4580" s="41"/>
      <c r="D4580" s="41"/>
      <c r="E4580" s="41"/>
      <c r="F4580" s="41"/>
      <c r="G4580" s="41"/>
      <c r="H4580" s="41"/>
      <c r="I4580" s="41"/>
      <c r="J4580" s="41"/>
      <c r="K4580" s="41"/>
      <c r="L4580" s="41"/>
      <c r="M4580" s="41"/>
      <c r="N4580" s="41"/>
      <c r="O4580" s="41"/>
      <c r="P4580" s="28"/>
    </row>
    <row r="4581" customFormat="1" spans="1:16">
      <c r="A4581" s="39"/>
      <c r="B4581" s="40"/>
      <c r="C4581" s="41"/>
      <c r="D4581" s="41"/>
      <c r="E4581" s="41"/>
      <c r="F4581" s="41"/>
      <c r="G4581" s="41"/>
      <c r="H4581" s="41"/>
      <c r="I4581" s="41"/>
      <c r="J4581" s="41"/>
      <c r="K4581" s="41"/>
      <c r="L4581" s="41"/>
      <c r="M4581" s="41"/>
      <c r="N4581" s="41"/>
      <c r="O4581" s="41"/>
      <c r="P4581" s="28"/>
    </row>
    <row r="4582" customFormat="1" spans="1:16">
      <c r="A4582" s="39"/>
      <c r="B4582" s="40"/>
      <c r="C4582" s="41"/>
      <c r="D4582" s="41"/>
      <c r="E4582" s="41"/>
      <c r="F4582" s="41"/>
      <c r="G4582" s="41"/>
      <c r="H4582" s="41"/>
      <c r="I4582" s="41"/>
      <c r="J4582" s="41"/>
      <c r="K4582" s="41"/>
      <c r="L4582" s="41"/>
      <c r="M4582" s="41"/>
      <c r="N4582" s="41"/>
      <c r="O4582" s="41"/>
      <c r="P4582" s="28"/>
    </row>
    <row r="4583" customFormat="1" spans="1:16">
      <c r="A4583" s="39"/>
      <c r="B4583" s="40"/>
      <c r="C4583" s="41"/>
      <c r="D4583" s="41"/>
      <c r="E4583" s="41"/>
      <c r="F4583" s="41"/>
      <c r="G4583" s="41"/>
      <c r="H4583" s="41"/>
      <c r="I4583" s="41"/>
      <c r="J4583" s="41"/>
      <c r="K4583" s="41"/>
      <c r="L4583" s="41"/>
      <c r="M4583" s="41"/>
      <c r="N4583" s="41"/>
      <c r="O4583" s="41"/>
      <c r="P4583" s="28"/>
    </row>
    <row r="4584" customFormat="1" spans="1:16">
      <c r="A4584" s="39"/>
      <c r="B4584" s="40"/>
      <c r="C4584" s="41"/>
      <c r="D4584" s="41"/>
      <c r="E4584" s="41"/>
      <c r="F4584" s="41"/>
      <c r="G4584" s="41"/>
      <c r="H4584" s="41"/>
      <c r="I4584" s="41"/>
      <c r="J4584" s="41"/>
      <c r="K4584" s="41"/>
      <c r="L4584" s="41"/>
      <c r="M4584" s="41"/>
      <c r="N4584" s="41"/>
      <c r="O4584" s="41"/>
      <c r="P4584" s="28"/>
    </row>
    <row r="4585" customFormat="1" spans="1:16">
      <c r="A4585" s="39"/>
      <c r="B4585" s="40"/>
      <c r="C4585" s="41"/>
      <c r="D4585" s="41"/>
      <c r="E4585" s="41"/>
      <c r="F4585" s="41"/>
      <c r="G4585" s="41"/>
      <c r="H4585" s="41"/>
      <c r="I4585" s="41"/>
      <c r="J4585" s="41"/>
      <c r="K4585" s="41"/>
      <c r="L4585" s="41"/>
      <c r="M4585" s="41"/>
      <c r="N4585" s="41"/>
      <c r="O4585" s="41"/>
      <c r="P4585" s="28"/>
    </row>
    <row r="4586" customFormat="1" spans="1:16">
      <c r="A4586" s="39"/>
      <c r="B4586" s="40"/>
      <c r="C4586" s="41"/>
      <c r="D4586" s="41"/>
      <c r="E4586" s="41"/>
      <c r="F4586" s="41"/>
      <c r="G4586" s="41"/>
      <c r="H4586" s="41"/>
      <c r="I4586" s="41"/>
      <c r="J4586" s="41"/>
      <c r="K4586" s="41"/>
      <c r="L4586" s="41"/>
      <c r="M4586" s="41"/>
      <c r="N4586" s="41"/>
      <c r="O4586" s="41"/>
      <c r="P4586" s="28"/>
    </row>
    <row r="4587" customFormat="1" spans="1:16">
      <c r="A4587" s="39"/>
      <c r="B4587" s="40"/>
      <c r="C4587" s="41"/>
      <c r="D4587" s="41"/>
      <c r="E4587" s="41"/>
      <c r="F4587" s="41"/>
      <c r="G4587" s="41"/>
      <c r="H4587" s="41"/>
      <c r="I4587" s="41"/>
      <c r="J4587" s="41"/>
      <c r="K4587" s="41"/>
      <c r="L4587" s="41"/>
      <c r="M4587" s="41"/>
      <c r="N4587" s="41"/>
      <c r="O4587" s="41"/>
      <c r="P4587" s="28"/>
    </row>
    <row r="4588" customFormat="1" spans="1:16">
      <c r="A4588" s="39"/>
      <c r="B4588" s="40"/>
      <c r="C4588" s="41"/>
      <c r="D4588" s="41"/>
      <c r="E4588" s="41"/>
      <c r="F4588" s="41"/>
      <c r="G4588" s="41"/>
      <c r="H4588" s="41"/>
      <c r="I4588" s="41"/>
      <c r="J4588" s="41"/>
      <c r="K4588" s="41"/>
      <c r="L4588" s="41"/>
      <c r="M4588" s="41"/>
      <c r="N4588" s="41"/>
      <c r="O4588" s="41"/>
      <c r="P4588" s="28"/>
    </row>
    <row r="4589" customFormat="1" spans="1:16">
      <c r="A4589" s="39"/>
      <c r="B4589" s="40"/>
      <c r="C4589" s="41"/>
      <c r="D4589" s="41"/>
      <c r="E4589" s="41"/>
      <c r="F4589" s="41"/>
      <c r="G4589" s="41"/>
      <c r="H4589" s="41"/>
      <c r="I4589" s="41"/>
      <c r="J4589" s="41"/>
      <c r="K4589" s="41"/>
      <c r="L4589" s="41"/>
      <c r="M4589" s="41"/>
      <c r="N4589" s="41"/>
      <c r="O4589" s="41"/>
      <c r="P4589" s="28"/>
    </row>
    <row r="4590" customFormat="1" spans="1:16">
      <c r="A4590" s="39"/>
      <c r="B4590" s="40"/>
      <c r="C4590" s="41"/>
      <c r="D4590" s="41"/>
      <c r="E4590" s="41"/>
      <c r="F4590" s="41"/>
      <c r="G4590" s="41"/>
      <c r="H4590" s="41"/>
      <c r="I4590" s="41"/>
      <c r="J4590" s="41"/>
      <c r="K4590" s="41"/>
      <c r="L4590" s="41"/>
      <c r="M4590" s="41"/>
      <c r="N4590" s="41"/>
      <c r="O4590" s="41"/>
      <c r="P4590" s="28"/>
    </row>
    <row r="4591" customFormat="1" spans="1:16">
      <c r="A4591" s="39"/>
      <c r="B4591" s="40"/>
      <c r="C4591" s="41"/>
      <c r="D4591" s="41"/>
      <c r="E4591" s="41"/>
      <c r="F4591" s="41"/>
      <c r="G4591" s="41"/>
      <c r="H4591" s="41"/>
      <c r="I4591" s="41"/>
      <c r="J4591" s="41"/>
      <c r="K4591" s="41"/>
      <c r="L4591" s="41"/>
      <c r="M4591" s="41"/>
      <c r="N4591" s="41"/>
      <c r="O4591" s="41"/>
      <c r="P4591" s="28"/>
    </row>
    <row r="4592" customFormat="1" spans="1:16">
      <c r="A4592" s="39"/>
      <c r="B4592" s="40"/>
      <c r="C4592" s="41"/>
      <c r="D4592" s="41"/>
      <c r="E4592" s="41"/>
      <c r="F4592" s="41"/>
      <c r="G4592" s="41"/>
      <c r="H4592" s="41"/>
      <c r="I4592" s="41"/>
      <c r="J4592" s="41"/>
      <c r="K4592" s="41"/>
      <c r="L4592" s="41"/>
      <c r="M4592" s="41"/>
      <c r="N4592" s="41"/>
      <c r="O4592" s="41"/>
      <c r="P4592" s="28"/>
    </row>
    <row r="4593" customFormat="1" spans="1:16">
      <c r="A4593" s="39"/>
      <c r="B4593" s="40"/>
      <c r="C4593" s="41"/>
      <c r="D4593" s="41"/>
      <c r="E4593" s="41"/>
      <c r="F4593" s="41"/>
      <c r="G4593" s="41"/>
      <c r="H4593" s="41"/>
      <c r="I4593" s="41"/>
      <c r="J4593" s="41"/>
      <c r="K4593" s="41"/>
      <c r="L4593" s="41"/>
      <c r="M4593" s="41"/>
      <c r="N4593" s="41"/>
      <c r="O4593" s="41"/>
      <c r="P4593" s="28"/>
    </row>
    <row r="4594" customFormat="1" spans="1:16">
      <c r="A4594" s="39"/>
      <c r="B4594" s="40"/>
      <c r="C4594" s="41"/>
      <c r="D4594" s="41"/>
      <c r="E4594" s="41"/>
      <c r="F4594" s="41"/>
      <c r="G4594" s="41"/>
      <c r="H4594" s="41"/>
      <c r="I4594" s="41"/>
      <c r="J4594" s="41"/>
      <c r="K4594" s="41"/>
      <c r="L4594" s="41"/>
      <c r="M4594" s="41"/>
      <c r="N4594" s="41"/>
      <c r="O4594" s="41"/>
      <c r="P4594" s="28"/>
    </row>
    <row r="4595" customFormat="1" spans="1:16">
      <c r="A4595" s="39"/>
      <c r="B4595" s="40"/>
      <c r="C4595" s="41"/>
      <c r="D4595" s="41"/>
      <c r="E4595" s="41"/>
      <c r="F4595" s="41"/>
      <c r="G4595" s="41"/>
      <c r="H4595" s="41"/>
      <c r="I4595" s="41"/>
      <c r="J4595" s="41"/>
      <c r="K4595" s="41"/>
      <c r="L4595" s="41"/>
      <c r="M4595" s="41"/>
      <c r="N4595" s="41"/>
      <c r="O4595" s="41"/>
      <c r="P4595" s="28"/>
    </row>
    <row r="4596" customFormat="1" spans="1:16">
      <c r="A4596" s="39"/>
      <c r="B4596" s="40"/>
      <c r="C4596" s="41"/>
      <c r="D4596" s="41"/>
      <c r="E4596" s="41"/>
      <c r="F4596" s="41"/>
      <c r="G4596" s="41"/>
      <c r="H4596" s="41"/>
      <c r="I4596" s="41"/>
      <c r="J4596" s="41"/>
      <c r="K4596" s="41"/>
      <c r="L4596" s="41"/>
      <c r="M4596" s="41"/>
      <c r="N4596" s="41"/>
      <c r="O4596" s="41"/>
      <c r="P4596" s="28"/>
    </row>
    <row r="4597" customFormat="1" spans="1:16">
      <c r="A4597" s="39"/>
      <c r="B4597" s="40"/>
      <c r="C4597" s="41"/>
      <c r="D4597" s="41"/>
      <c r="E4597" s="41"/>
      <c r="F4597" s="41"/>
      <c r="G4597" s="41"/>
      <c r="H4597" s="41"/>
      <c r="I4597" s="41"/>
      <c r="J4597" s="41"/>
      <c r="K4597" s="41"/>
      <c r="L4597" s="41"/>
      <c r="M4597" s="41"/>
      <c r="N4597" s="41"/>
      <c r="O4597" s="41"/>
      <c r="P4597" s="28"/>
    </row>
    <row r="4598" customFormat="1" spans="1:16">
      <c r="A4598" s="39"/>
      <c r="B4598" s="40"/>
      <c r="C4598" s="41"/>
      <c r="D4598" s="41"/>
      <c r="E4598" s="41"/>
      <c r="F4598" s="41"/>
      <c r="G4598" s="41"/>
      <c r="H4598" s="41"/>
      <c r="I4598" s="41"/>
      <c r="J4598" s="41"/>
      <c r="K4598" s="41"/>
      <c r="L4598" s="41"/>
      <c r="M4598" s="41"/>
      <c r="N4598" s="41"/>
      <c r="O4598" s="41"/>
      <c r="P4598" s="28"/>
    </row>
    <row r="4599" customFormat="1" spans="1:16">
      <c r="A4599" s="39"/>
      <c r="B4599" s="40"/>
      <c r="C4599" s="41"/>
      <c r="D4599" s="41"/>
      <c r="E4599" s="41"/>
      <c r="F4599" s="41"/>
      <c r="G4599" s="41"/>
      <c r="H4599" s="41"/>
      <c r="I4599" s="41"/>
      <c r="J4599" s="41"/>
      <c r="K4599" s="41"/>
      <c r="L4599" s="41"/>
      <c r="M4599" s="41"/>
      <c r="N4599" s="41"/>
      <c r="O4599" s="41"/>
      <c r="P4599" s="28"/>
    </row>
    <row r="4600" customFormat="1" spans="1:16">
      <c r="A4600" s="39"/>
      <c r="B4600" s="40"/>
      <c r="C4600" s="41"/>
      <c r="D4600" s="41"/>
      <c r="E4600" s="41"/>
      <c r="F4600" s="41"/>
      <c r="G4600" s="41"/>
      <c r="H4600" s="41"/>
      <c r="I4600" s="41"/>
      <c r="J4600" s="41"/>
      <c r="K4600" s="41"/>
      <c r="L4600" s="41"/>
      <c r="M4600" s="41"/>
      <c r="N4600" s="41"/>
      <c r="O4600" s="41"/>
      <c r="P4600" s="28"/>
    </row>
    <row r="4601" customFormat="1" spans="1:16">
      <c r="A4601" s="39"/>
      <c r="B4601" s="40"/>
      <c r="C4601" s="41"/>
      <c r="D4601" s="41"/>
      <c r="E4601" s="41"/>
      <c r="F4601" s="41"/>
      <c r="G4601" s="41"/>
      <c r="H4601" s="41"/>
      <c r="I4601" s="41"/>
      <c r="J4601" s="41"/>
      <c r="K4601" s="41"/>
      <c r="L4601" s="41"/>
      <c r="M4601" s="41"/>
      <c r="N4601" s="41"/>
      <c r="O4601" s="41"/>
      <c r="P4601" s="28"/>
    </row>
    <row r="4602" customFormat="1" spans="1:16">
      <c r="A4602" s="39"/>
      <c r="B4602" s="40"/>
      <c r="C4602" s="41"/>
      <c r="D4602" s="41"/>
      <c r="E4602" s="41"/>
      <c r="F4602" s="41"/>
      <c r="G4602" s="41"/>
      <c r="H4602" s="41"/>
      <c r="I4602" s="41"/>
      <c r="J4602" s="41"/>
      <c r="K4602" s="41"/>
      <c r="L4602" s="41"/>
      <c r="M4602" s="41"/>
      <c r="N4602" s="41"/>
      <c r="O4602" s="41"/>
      <c r="P4602" s="28"/>
    </row>
    <row r="4603" customFormat="1" spans="1:16">
      <c r="A4603" s="39"/>
      <c r="B4603" s="40"/>
      <c r="C4603" s="41"/>
      <c r="D4603" s="41"/>
      <c r="E4603" s="41"/>
      <c r="F4603" s="41"/>
      <c r="G4603" s="41"/>
      <c r="H4603" s="41"/>
      <c r="I4603" s="41"/>
      <c r="J4603" s="41"/>
      <c r="K4603" s="41"/>
      <c r="L4603" s="41"/>
      <c r="M4603" s="41"/>
      <c r="N4603" s="41"/>
      <c r="O4603" s="41"/>
      <c r="P4603" s="28"/>
    </row>
    <row r="4604" customFormat="1" spans="1:16">
      <c r="A4604" s="39"/>
      <c r="B4604" s="40"/>
      <c r="C4604" s="41"/>
      <c r="D4604" s="41"/>
      <c r="E4604" s="41"/>
      <c r="F4604" s="41"/>
      <c r="G4604" s="41"/>
      <c r="H4604" s="41"/>
      <c r="I4604" s="41"/>
      <c r="J4604" s="41"/>
      <c r="K4604" s="41"/>
      <c r="L4604" s="41"/>
      <c r="M4604" s="41"/>
      <c r="N4604" s="41"/>
      <c r="O4604" s="41"/>
      <c r="P4604" s="28"/>
    </row>
    <row r="4605" customFormat="1" spans="1:16">
      <c r="A4605" s="39"/>
      <c r="B4605" s="40"/>
      <c r="C4605" s="41"/>
      <c r="D4605" s="41"/>
      <c r="E4605" s="41"/>
      <c r="F4605" s="41"/>
      <c r="G4605" s="41"/>
      <c r="H4605" s="41"/>
      <c r="I4605" s="41"/>
      <c r="J4605" s="41"/>
      <c r="K4605" s="41"/>
      <c r="L4605" s="41"/>
      <c r="M4605" s="41"/>
      <c r="N4605" s="41"/>
      <c r="O4605" s="41"/>
      <c r="P4605" s="28"/>
    </row>
    <row r="4606" customFormat="1" spans="1:16">
      <c r="A4606" s="39"/>
      <c r="B4606" s="40"/>
      <c r="C4606" s="41"/>
      <c r="D4606" s="41"/>
      <c r="E4606" s="41"/>
      <c r="F4606" s="41"/>
      <c r="G4606" s="41"/>
      <c r="H4606" s="41"/>
      <c r="I4606" s="41"/>
      <c r="J4606" s="41"/>
      <c r="K4606" s="41"/>
      <c r="L4606" s="41"/>
      <c r="M4606" s="41"/>
      <c r="N4606" s="41"/>
      <c r="O4606" s="41"/>
      <c r="P4606" s="28"/>
    </row>
    <row r="4607" customFormat="1" spans="1:16">
      <c r="A4607" s="39"/>
      <c r="B4607" s="40"/>
      <c r="C4607" s="41"/>
      <c r="D4607" s="41"/>
      <c r="E4607" s="41"/>
      <c r="F4607" s="41"/>
      <c r="G4607" s="41"/>
      <c r="H4607" s="41"/>
      <c r="I4607" s="41"/>
      <c r="J4607" s="41"/>
      <c r="K4607" s="41"/>
      <c r="L4607" s="41"/>
      <c r="M4607" s="41"/>
      <c r="N4607" s="41"/>
      <c r="O4607" s="41"/>
      <c r="P4607" s="28"/>
    </row>
    <row r="4608" customFormat="1" spans="1:16">
      <c r="A4608" s="39"/>
      <c r="B4608" s="40"/>
      <c r="C4608" s="41"/>
      <c r="D4608" s="41"/>
      <c r="E4608" s="41"/>
      <c r="F4608" s="41"/>
      <c r="G4608" s="41"/>
      <c r="H4608" s="41"/>
      <c r="I4608" s="41"/>
      <c r="J4608" s="41"/>
      <c r="K4608" s="41"/>
      <c r="L4608" s="41"/>
      <c r="M4608" s="41"/>
      <c r="N4608" s="41"/>
      <c r="O4608" s="41"/>
      <c r="P4608" s="28"/>
    </row>
    <row r="4609" customFormat="1" spans="1:16">
      <c r="A4609" s="39"/>
      <c r="B4609" s="40"/>
      <c r="C4609" s="41"/>
      <c r="D4609" s="41"/>
      <c r="E4609" s="41"/>
      <c r="F4609" s="41"/>
      <c r="G4609" s="41"/>
      <c r="H4609" s="41"/>
      <c r="I4609" s="41"/>
      <c r="J4609" s="41"/>
      <c r="K4609" s="41"/>
      <c r="L4609" s="41"/>
      <c r="M4609" s="41"/>
      <c r="N4609" s="41"/>
      <c r="O4609" s="41"/>
      <c r="P4609" s="28"/>
    </row>
    <row r="4610" customFormat="1" spans="1:16">
      <c r="A4610" s="39"/>
      <c r="B4610" s="40"/>
      <c r="C4610" s="41"/>
      <c r="D4610" s="41"/>
      <c r="E4610" s="41"/>
      <c r="F4610" s="41"/>
      <c r="G4610" s="41"/>
      <c r="H4610" s="41"/>
      <c r="I4610" s="41"/>
      <c r="J4610" s="41"/>
      <c r="K4610" s="41"/>
      <c r="L4610" s="41"/>
      <c r="M4610" s="41"/>
      <c r="N4610" s="41"/>
      <c r="O4610" s="41"/>
      <c r="P4610" s="28"/>
    </row>
    <row r="4611" customFormat="1" spans="1:16">
      <c r="A4611" s="39"/>
      <c r="B4611" s="40"/>
      <c r="C4611" s="41"/>
      <c r="D4611" s="41"/>
      <c r="E4611" s="41"/>
      <c r="F4611" s="41"/>
      <c r="G4611" s="41"/>
      <c r="H4611" s="41"/>
      <c r="I4611" s="41"/>
      <c r="J4611" s="41"/>
      <c r="K4611" s="41"/>
      <c r="L4611" s="41"/>
      <c r="M4611" s="41"/>
      <c r="N4611" s="41"/>
      <c r="O4611" s="41"/>
      <c r="P4611" s="28"/>
    </row>
    <row r="4612" customFormat="1" spans="1:16">
      <c r="A4612" s="39"/>
      <c r="B4612" s="40"/>
      <c r="C4612" s="41"/>
      <c r="D4612" s="41"/>
      <c r="E4612" s="41"/>
      <c r="F4612" s="41"/>
      <c r="G4612" s="41"/>
      <c r="H4612" s="41"/>
      <c r="I4612" s="41"/>
      <c r="J4612" s="41"/>
      <c r="K4612" s="41"/>
      <c r="L4612" s="41"/>
      <c r="M4612" s="41"/>
      <c r="N4612" s="41"/>
      <c r="O4612" s="41"/>
      <c r="P4612" s="28"/>
    </row>
    <row r="4613" customFormat="1" spans="1:16">
      <c r="A4613" s="39"/>
      <c r="B4613" s="40"/>
      <c r="C4613" s="41"/>
      <c r="D4613" s="41"/>
      <c r="E4613" s="41"/>
      <c r="F4613" s="41"/>
      <c r="G4613" s="41"/>
      <c r="H4613" s="41"/>
      <c r="I4613" s="41"/>
      <c r="J4613" s="41"/>
      <c r="K4613" s="41"/>
      <c r="L4613" s="41"/>
      <c r="M4613" s="41"/>
      <c r="N4613" s="41"/>
      <c r="O4613" s="41"/>
      <c r="P4613" s="28"/>
    </row>
    <row r="4614" customFormat="1" spans="1:16">
      <c r="A4614" s="39"/>
      <c r="B4614" s="40"/>
      <c r="C4614" s="41"/>
      <c r="D4614" s="41"/>
      <c r="E4614" s="41"/>
      <c r="F4614" s="41"/>
      <c r="G4614" s="41"/>
      <c r="H4614" s="41"/>
      <c r="I4614" s="41"/>
      <c r="J4614" s="41"/>
      <c r="K4614" s="41"/>
      <c r="L4614" s="41"/>
      <c r="M4614" s="41"/>
      <c r="N4614" s="41"/>
      <c r="O4614" s="41"/>
      <c r="P4614" s="28"/>
    </row>
    <row r="4615" customFormat="1" spans="1:16">
      <c r="A4615" s="39"/>
      <c r="B4615" s="40"/>
      <c r="C4615" s="41"/>
      <c r="D4615" s="41"/>
      <c r="E4615" s="41"/>
      <c r="F4615" s="41"/>
      <c r="G4615" s="41"/>
      <c r="H4615" s="41"/>
      <c r="I4615" s="41"/>
      <c r="J4615" s="41"/>
      <c r="K4615" s="41"/>
      <c r="L4615" s="41"/>
      <c r="M4615" s="41"/>
      <c r="N4615" s="41"/>
      <c r="O4615" s="41"/>
      <c r="P4615" s="28"/>
    </row>
    <row r="4616" customFormat="1" spans="1:16">
      <c r="A4616" s="39"/>
      <c r="B4616" s="40"/>
      <c r="C4616" s="41"/>
      <c r="D4616" s="41"/>
      <c r="E4616" s="41"/>
      <c r="F4616" s="41"/>
      <c r="G4616" s="41"/>
      <c r="H4616" s="41"/>
      <c r="I4616" s="41"/>
      <c r="J4616" s="41"/>
      <c r="K4616" s="41"/>
      <c r="L4616" s="41"/>
      <c r="M4616" s="41"/>
      <c r="N4616" s="41"/>
      <c r="O4616" s="41"/>
      <c r="P4616" s="28"/>
    </row>
    <row r="4617" customFormat="1" spans="1:16">
      <c r="A4617" s="39"/>
      <c r="B4617" s="40"/>
      <c r="C4617" s="41"/>
      <c r="D4617" s="41"/>
      <c r="E4617" s="41"/>
      <c r="F4617" s="41"/>
      <c r="G4617" s="41"/>
      <c r="H4617" s="41"/>
      <c r="I4617" s="41"/>
      <c r="J4617" s="41"/>
      <c r="K4617" s="41"/>
      <c r="L4617" s="41"/>
      <c r="M4617" s="41"/>
      <c r="N4617" s="41"/>
      <c r="O4617" s="41"/>
      <c r="P4617" s="28"/>
    </row>
    <row r="4618" customFormat="1" spans="1:16">
      <c r="A4618" s="39"/>
      <c r="B4618" s="40"/>
      <c r="C4618" s="41"/>
      <c r="D4618" s="41"/>
      <c r="E4618" s="41"/>
      <c r="F4618" s="41"/>
      <c r="G4618" s="41"/>
      <c r="H4618" s="41"/>
      <c r="I4618" s="41"/>
      <c r="J4618" s="41"/>
      <c r="K4618" s="41"/>
      <c r="L4618" s="41"/>
      <c r="M4618" s="41"/>
      <c r="N4618" s="41"/>
      <c r="O4618" s="41"/>
      <c r="P4618" s="28"/>
    </row>
    <row r="4619" customFormat="1" spans="1:16">
      <c r="A4619" s="39"/>
      <c r="B4619" s="40"/>
      <c r="C4619" s="41"/>
      <c r="D4619" s="41"/>
      <c r="E4619" s="41"/>
      <c r="F4619" s="41"/>
      <c r="G4619" s="41"/>
      <c r="H4619" s="41"/>
      <c r="I4619" s="41"/>
      <c r="J4619" s="41"/>
      <c r="K4619" s="41"/>
      <c r="L4619" s="41"/>
      <c r="M4619" s="41"/>
      <c r="N4619" s="41"/>
      <c r="O4619" s="41"/>
      <c r="P4619" s="28"/>
    </row>
    <row r="4620" customFormat="1" spans="1:16">
      <c r="A4620" s="39"/>
      <c r="B4620" s="40"/>
      <c r="C4620" s="41"/>
      <c r="D4620" s="41"/>
      <c r="E4620" s="41"/>
      <c r="F4620" s="41"/>
      <c r="G4620" s="41"/>
      <c r="H4620" s="41"/>
      <c r="I4620" s="41"/>
      <c r="J4620" s="41"/>
      <c r="K4620" s="41"/>
      <c r="L4620" s="41"/>
      <c r="M4620" s="41"/>
      <c r="N4620" s="41"/>
      <c r="O4620" s="41"/>
      <c r="P4620" s="28"/>
    </row>
    <row r="4621" customFormat="1" spans="1:16">
      <c r="A4621" s="39"/>
      <c r="B4621" s="40"/>
      <c r="C4621" s="41"/>
      <c r="D4621" s="41"/>
      <c r="E4621" s="41"/>
      <c r="F4621" s="41"/>
      <c r="G4621" s="41"/>
      <c r="H4621" s="41"/>
      <c r="I4621" s="41"/>
      <c r="J4621" s="41"/>
      <c r="K4621" s="41"/>
      <c r="L4621" s="41"/>
      <c r="M4621" s="41"/>
      <c r="N4621" s="41"/>
      <c r="O4621" s="41"/>
      <c r="P4621" s="28"/>
    </row>
    <row r="4622" customFormat="1" spans="1:16">
      <c r="A4622" s="39"/>
      <c r="B4622" s="40"/>
      <c r="C4622" s="41"/>
      <c r="D4622" s="41"/>
      <c r="E4622" s="41"/>
      <c r="F4622" s="41"/>
      <c r="G4622" s="41"/>
      <c r="H4622" s="41"/>
      <c r="I4622" s="41"/>
      <c r="J4622" s="41"/>
      <c r="K4622" s="41"/>
      <c r="L4622" s="41"/>
      <c r="M4622" s="41"/>
      <c r="N4622" s="41"/>
      <c r="O4622" s="41"/>
      <c r="P4622" s="28"/>
    </row>
    <row r="4623" customFormat="1" spans="1:16">
      <c r="A4623" s="39"/>
      <c r="B4623" s="40"/>
      <c r="C4623" s="41"/>
      <c r="D4623" s="41"/>
      <c r="E4623" s="41"/>
      <c r="F4623" s="41"/>
      <c r="G4623" s="41"/>
      <c r="H4623" s="41"/>
      <c r="I4623" s="41"/>
      <c r="J4623" s="41"/>
      <c r="K4623" s="41"/>
      <c r="L4623" s="41"/>
      <c r="M4623" s="41"/>
      <c r="N4623" s="41"/>
      <c r="O4623" s="41"/>
      <c r="P4623" s="28"/>
    </row>
    <row r="4624" customFormat="1" spans="1:16">
      <c r="A4624" s="39"/>
      <c r="B4624" s="40"/>
      <c r="C4624" s="41"/>
      <c r="D4624" s="41"/>
      <c r="E4624" s="41"/>
      <c r="F4624" s="41"/>
      <c r="G4624" s="41"/>
      <c r="H4624" s="41"/>
      <c r="I4624" s="41"/>
      <c r="J4624" s="41"/>
      <c r="K4624" s="41"/>
      <c r="L4624" s="41"/>
      <c r="M4624" s="41"/>
      <c r="N4624" s="41"/>
      <c r="O4624" s="41"/>
      <c r="P4624" s="28"/>
    </row>
    <row r="4625" customFormat="1" spans="1:16">
      <c r="A4625" s="39"/>
      <c r="B4625" s="40"/>
      <c r="C4625" s="41"/>
      <c r="D4625" s="41"/>
      <c r="E4625" s="41"/>
      <c r="F4625" s="41"/>
      <c r="G4625" s="41"/>
      <c r="H4625" s="41"/>
      <c r="I4625" s="41"/>
      <c r="J4625" s="41"/>
      <c r="K4625" s="41"/>
      <c r="L4625" s="41"/>
      <c r="M4625" s="41"/>
      <c r="N4625" s="41"/>
      <c r="O4625" s="41"/>
      <c r="P4625" s="28"/>
    </row>
    <row r="4626" customFormat="1" spans="1:16">
      <c r="A4626" s="39"/>
      <c r="B4626" s="40"/>
      <c r="C4626" s="41"/>
      <c r="D4626" s="41"/>
      <c r="E4626" s="41"/>
      <c r="F4626" s="41"/>
      <c r="G4626" s="41"/>
      <c r="H4626" s="41"/>
      <c r="I4626" s="41"/>
      <c r="J4626" s="41"/>
      <c r="K4626" s="41"/>
      <c r="L4626" s="41"/>
      <c r="M4626" s="41"/>
      <c r="N4626" s="41"/>
      <c r="O4626" s="41"/>
      <c r="P4626" s="28"/>
    </row>
    <row r="4627" customFormat="1" spans="1:16">
      <c r="A4627" s="39"/>
      <c r="B4627" s="40"/>
      <c r="C4627" s="41"/>
      <c r="D4627" s="41"/>
      <c r="E4627" s="41"/>
      <c r="F4627" s="41"/>
      <c r="G4627" s="41"/>
      <c r="H4627" s="41"/>
      <c r="I4627" s="41"/>
      <c r="J4627" s="41"/>
      <c r="K4627" s="41"/>
      <c r="L4627" s="41"/>
      <c r="M4627" s="41"/>
      <c r="N4627" s="41"/>
      <c r="O4627" s="41"/>
      <c r="P4627" s="28"/>
    </row>
    <row r="4628" customFormat="1" spans="1:16">
      <c r="A4628" s="39"/>
      <c r="B4628" s="40"/>
      <c r="C4628" s="41"/>
      <c r="D4628" s="41"/>
      <c r="E4628" s="41"/>
      <c r="F4628" s="41"/>
      <c r="G4628" s="41"/>
      <c r="H4628" s="41"/>
      <c r="I4628" s="41"/>
      <c r="J4628" s="41"/>
      <c r="K4628" s="41"/>
      <c r="L4628" s="41"/>
      <c r="M4628" s="41"/>
      <c r="N4628" s="41"/>
      <c r="O4628" s="41"/>
      <c r="P4628" s="28"/>
    </row>
    <row r="4629" customFormat="1" spans="1:16">
      <c r="A4629" s="39"/>
      <c r="B4629" s="40"/>
      <c r="C4629" s="41"/>
      <c r="D4629" s="41"/>
      <c r="E4629" s="41"/>
      <c r="F4629" s="41"/>
      <c r="G4629" s="41"/>
      <c r="H4629" s="41"/>
      <c r="I4629" s="41"/>
      <c r="J4629" s="41"/>
      <c r="K4629" s="41"/>
      <c r="L4629" s="41"/>
      <c r="M4629" s="41"/>
      <c r="N4629" s="41"/>
      <c r="O4629" s="41"/>
      <c r="P4629" s="28"/>
    </row>
    <row r="4630" customFormat="1" spans="1:16">
      <c r="A4630" s="39"/>
      <c r="B4630" s="40"/>
      <c r="C4630" s="41"/>
      <c r="D4630" s="41"/>
      <c r="E4630" s="41"/>
      <c r="F4630" s="41"/>
      <c r="G4630" s="41"/>
      <c r="H4630" s="41"/>
      <c r="I4630" s="41"/>
      <c r="J4630" s="41"/>
      <c r="K4630" s="41"/>
      <c r="L4630" s="41"/>
      <c r="M4630" s="41"/>
      <c r="N4630" s="41"/>
      <c r="O4630" s="41"/>
      <c r="P4630" s="28"/>
    </row>
    <row r="4631" customFormat="1" spans="1:16">
      <c r="A4631" s="39"/>
      <c r="B4631" s="40"/>
      <c r="C4631" s="41"/>
      <c r="D4631" s="41"/>
      <c r="E4631" s="41"/>
      <c r="F4631" s="41"/>
      <c r="G4631" s="41"/>
      <c r="H4631" s="41"/>
      <c r="I4631" s="41"/>
      <c r="J4631" s="41"/>
      <c r="K4631" s="41"/>
      <c r="L4631" s="41"/>
      <c r="M4631" s="41"/>
      <c r="N4631" s="41"/>
      <c r="O4631" s="41"/>
      <c r="P4631" s="28"/>
    </row>
    <row r="4632" customFormat="1" spans="1:16">
      <c r="A4632" s="39"/>
      <c r="B4632" s="40"/>
      <c r="C4632" s="41"/>
      <c r="D4632" s="41"/>
      <c r="E4632" s="41"/>
      <c r="F4632" s="41"/>
      <c r="G4632" s="41"/>
      <c r="H4632" s="41"/>
      <c r="I4632" s="41"/>
      <c r="J4632" s="41"/>
      <c r="K4632" s="41"/>
      <c r="L4632" s="41"/>
      <c r="M4632" s="41"/>
      <c r="N4632" s="41"/>
      <c r="O4632" s="41"/>
      <c r="P4632" s="28"/>
    </row>
    <row r="4633" customFormat="1" spans="1:16">
      <c r="A4633" s="39"/>
      <c r="B4633" s="40"/>
      <c r="C4633" s="41"/>
      <c r="D4633" s="41"/>
      <c r="E4633" s="41"/>
      <c r="F4633" s="41"/>
      <c r="G4633" s="41"/>
      <c r="H4633" s="41"/>
      <c r="I4633" s="41"/>
      <c r="J4633" s="41"/>
      <c r="K4633" s="41"/>
      <c r="L4633" s="41"/>
      <c r="M4633" s="41"/>
      <c r="N4633" s="41"/>
      <c r="O4633" s="41"/>
      <c r="P4633" s="28"/>
    </row>
    <row r="4634" customFormat="1" spans="1:16">
      <c r="A4634" s="39"/>
      <c r="B4634" s="40"/>
      <c r="C4634" s="41"/>
      <c r="D4634" s="41"/>
      <c r="E4634" s="41"/>
      <c r="F4634" s="41"/>
      <c r="G4634" s="41"/>
      <c r="H4634" s="41"/>
      <c r="I4634" s="41"/>
      <c r="J4634" s="41"/>
      <c r="K4634" s="41"/>
      <c r="L4634" s="41"/>
      <c r="M4634" s="41"/>
      <c r="N4634" s="41"/>
      <c r="O4634" s="41"/>
      <c r="P4634" s="28"/>
    </row>
    <row r="4635" customFormat="1" spans="1:16">
      <c r="A4635" s="39"/>
      <c r="B4635" s="40"/>
      <c r="C4635" s="41"/>
      <c r="D4635" s="41"/>
      <c r="E4635" s="41"/>
      <c r="F4635" s="41"/>
      <c r="G4635" s="41"/>
      <c r="H4635" s="41"/>
      <c r="I4635" s="41"/>
      <c r="J4635" s="41"/>
      <c r="K4635" s="41"/>
      <c r="L4635" s="41"/>
      <c r="M4635" s="41"/>
      <c r="N4635" s="41"/>
      <c r="O4635" s="41"/>
      <c r="P4635" s="28"/>
    </row>
    <row r="4636" customFormat="1" spans="1:16">
      <c r="A4636" s="39"/>
      <c r="B4636" s="40"/>
      <c r="C4636" s="41"/>
      <c r="D4636" s="41"/>
      <c r="E4636" s="41"/>
      <c r="F4636" s="41"/>
      <c r="G4636" s="41"/>
      <c r="H4636" s="41"/>
      <c r="I4636" s="41"/>
      <c r="J4636" s="41"/>
      <c r="K4636" s="41"/>
      <c r="L4636" s="41"/>
      <c r="M4636" s="41"/>
      <c r="N4636" s="41"/>
      <c r="O4636" s="41"/>
      <c r="P4636" s="28"/>
    </row>
    <row r="4637" customFormat="1" spans="1:16">
      <c r="A4637" s="39"/>
      <c r="B4637" s="40"/>
      <c r="C4637" s="41"/>
      <c r="D4637" s="41"/>
      <c r="E4637" s="41"/>
      <c r="F4637" s="41"/>
      <c r="G4637" s="41"/>
      <c r="H4637" s="41"/>
      <c r="I4637" s="41"/>
      <c r="J4637" s="41"/>
      <c r="K4637" s="41"/>
      <c r="L4637" s="41"/>
      <c r="M4637" s="41"/>
      <c r="N4637" s="41"/>
      <c r="O4637" s="41"/>
      <c r="P4637" s="28"/>
    </row>
    <row r="4638" customFormat="1" spans="1:16">
      <c r="A4638" s="39"/>
      <c r="B4638" s="40"/>
      <c r="C4638" s="41"/>
      <c r="D4638" s="41"/>
      <c r="E4638" s="41"/>
      <c r="F4638" s="41"/>
      <c r="G4638" s="41"/>
      <c r="H4638" s="41"/>
      <c r="I4638" s="41"/>
      <c r="J4638" s="41"/>
      <c r="K4638" s="41"/>
      <c r="L4638" s="41"/>
      <c r="M4638" s="41"/>
      <c r="N4638" s="41"/>
      <c r="O4638" s="41"/>
      <c r="P4638" s="28"/>
    </row>
    <row r="4639" customFormat="1" spans="1:16">
      <c r="A4639" s="39"/>
      <c r="B4639" s="40"/>
      <c r="C4639" s="41"/>
      <c r="D4639" s="41"/>
      <c r="E4639" s="41"/>
      <c r="F4639" s="41"/>
      <c r="G4639" s="41"/>
      <c r="H4639" s="41"/>
      <c r="I4639" s="41"/>
      <c r="J4639" s="41"/>
      <c r="K4639" s="41"/>
      <c r="L4639" s="41"/>
      <c r="M4639" s="41"/>
      <c r="N4639" s="41"/>
      <c r="O4639" s="41"/>
      <c r="P4639" s="28"/>
    </row>
    <row r="4640" customFormat="1" spans="1:16">
      <c r="A4640" s="39"/>
      <c r="B4640" s="40"/>
      <c r="C4640" s="41"/>
      <c r="D4640" s="41"/>
      <c r="E4640" s="41"/>
      <c r="F4640" s="41"/>
      <c r="G4640" s="41"/>
      <c r="H4640" s="41"/>
      <c r="I4640" s="41"/>
      <c r="J4640" s="41"/>
      <c r="K4640" s="41"/>
      <c r="L4640" s="41"/>
      <c r="M4640" s="41"/>
      <c r="N4640" s="41"/>
      <c r="O4640" s="41"/>
      <c r="P4640" s="28"/>
    </row>
    <row r="4641" customFormat="1" spans="1:16">
      <c r="A4641" s="39"/>
      <c r="B4641" s="40"/>
      <c r="C4641" s="41"/>
      <c r="D4641" s="41"/>
      <c r="E4641" s="41"/>
      <c r="F4641" s="41"/>
      <c r="G4641" s="41"/>
      <c r="H4641" s="41"/>
      <c r="I4641" s="41"/>
      <c r="J4641" s="41"/>
      <c r="K4641" s="41"/>
      <c r="L4641" s="41"/>
      <c r="M4641" s="41"/>
      <c r="N4641" s="41"/>
      <c r="O4641" s="41"/>
      <c r="P4641" s="28"/>
    </row>
    <row r="4642" customFormat="1" spans="1:16">
      <c r="A4642" s="39"/>
      <c r="B4642" s="40"/>
      <c r="C4642" s="41"/>
      <c r="D4642" s="41"/>
      <c r="E4642" s="41"/>
      <c r="F4642" s="41"/>
      <c r="G4642" s="41"/>
      <c r="H4642" s="41"/>
      <c r="I4642" s="41"/>
      <c r="J4642" s="41"/>
      <c r="K4642" s="41"/>
      <c r="L4642" s="41"/>
      <c r="M4642" s="41"/>
      <c r="N4642" s="41"/>
      <c r="O4642" s="41"/>
      <c r="P4642" s="28"/>
    </row>
    <row r="4643" customFormat="1" spans="1:16">
      <c r="A4643" s="39"/>
      <c r="B4643" s="40"/>
      <c r="C4643" s="41"/>
      <c r="D4643" s="41"/>
      <c r="E4643" s="41"/>
      <c r="F4643" s="41"/>
      <c r="G4643" s="41"/>
      <c r="H4643" s="41"/>
      <c r="I4643" s="41"/>
      <c r="J4643" s="41"/>
      <c r="K4643" s="41"/>
      <c r="L4643" s="41"/>
      <c r="M4643" s="41"/>
      <c r="N4643" s="41"/>
      <c r="O4643" s="41"/>
      <c r="P4643" s="28"/>
    </row>
    <row r="4644" customFormat="1" spans="1:16">
      <c r="A4644" s="39"/>
      <c r="B4644" s="40"/>
      <c r="C4644" s="41"/>
      <c r="D4644" s="41"/>
      <c r="E4644" s="41"/>
      <c r="F4644" s="41"/>
      <c r="G4644" s="41"/>
      <c r="H4644" s="41"/>
      <c r="I4644" s="41"/>
      <c r="J4644" s="41"/>
      <c r="K4644" s="41"/>
      <c r="L4644" s="41"/>
      <c r="M4644" s="41"/>
      <c r="N4644" s="41"/>
      <c r="O4644" s="41"/>
      <c r="P4644" s="28"/>
    </row>
    <row r="4645" customFormat="1" spans="1:16">
      <c r="A4645" s="39"/>
      <c r="B4645" s="40"/>
      <c r="C4645" s="41"/>
      <c r="D4645" s="41"/>
      <c r="E4645" s="41"/>
      <c r="F4645" s="41"/>
      <c r="G4645" s="41"/>
      <c r="H4645" s="41"/>
      <c r="I4645" s="41"/>
      <c r="J4645" s="41"/>
      <c r="K4645" s="41"/>
      <c r="L4645" s="41"/>
      <c r="M4645" s="41"/>
      <c r="N4645" s="41"/>
      <c r="O4645" s="41"/>
      <c r="P4645" s="28"/>
    </row>
    <row r="4646" customFormat="1" spans="1:16">
      <c r="A4646" s="39"/>
      <c r="B4646" s="40"/>
      <c r="C4646" s="41"/>
      <c r="D4646" s="41"/>
      <c r="E4646" s="41"/>
      <c r="F4646" s="41"/>
      <c r="G4646" s="41"/>
      <c r="H4646" s="41"/>
      <c r="I4646" s="41"/>
      <c r="J4646" s="41"/>
      <c r="K4646" s="41"/>
      <c r="L4646" s="41"/>
      <c r="M4646" s="41"/>
      <c r="N4646" s="41"/>
      <c r="O4646" s="41"/>
      <c r="P4646" s="28"/>
    </row>
    <row r="4647" customFormat="1" spans="1:16">
      <c r="A4647" s="39"/>
      <c r="B4647" s="40"/>
      <c r="C4647" s="41"/>
      <c r="D4647" s="41"/>
      <c r="E4647" s="41"/>
      <c r="F4647" s="41"/>
      <c r="G4647" s="41"/>
      <c r="H4647" s="41"/>
      <c r="I4647" s="41"/>
      <c r="J4647" s="41"/>
      <c r="K4647" s="41"/>
      <c r="L4647" s="41"/>
      <c r="M4647" s="41"/>
      <c r="N4647" s="41"/>
      <c r="O4647" s="41"/>
      <c r="P4647" s="28"/>
    </row>
    <row r="4648" customFormat="1" spans="1:16">
      <c r="A4648" s="39"/>
      <c r="B4648" s="40"/>
      <c r="C4648" s="41"/>
      <c r="D4648" s="41"/>
      <c r="E4648" s="41"/>
      <c r="F4648" s="41"/>
      <c r="G4648" s="41"/>
      <c r="H4648" s="41"/>
      <c r="I4648" s="41"/>
      <c r="J4648" s="41"/>
      <c r="K4648" s="41"/>
      <c r="L4648" s="41"/>
      <c r="M4648" s="41"/>
      <c r="N4648" s="41"/>
      <c r="O4648" s="41"/>
      <c r="P4648" s="28"/>
    </row>
    <row r="4649" customFormat="1" spans="1:16">
      <c r="A4649" s="39"/>
      <c r="B4649" s="40"/>
      <c r="C4649" s="41"/>
      <c r="D4649" s="41"/>
      <c r="E4649" s="41"/>
      <c r="F4649" s="41"/>
      <c r="G4649" s="41"/>
      <c r="H4649" s="41"/>
      <c r="I4649" s="41"/>
      <c r="J4649" s="41"/>
      <c r="K4649" s="41"/>
      <c r="L4649" s="41"/>
      <c r="M4649" s="41"/>
      <c r="N4649" s="41"/>
      <c r="O4649" s="41"/>
      <c r="P4649" s="28"/>
    </row>
    <row r="4650" customFormat="1" spans="1:16">
      <c r="A4650" s="39"/>
      <c r="B4650" s="40"/>
      <c r="C4650" s="41"/>
      <c r="D4650" s="41"/>
      <c r="E4650" s="41"/>
      <c r="F4650" s="41"/>
      <c r="G4650" s="41"/>
      <c r="H4650" s="41"/>
      <c r="I4650" s="41"/>
      <c r="J4650" s="41"/>
      <c r="K4650" s="41"/>
      <c r="L4650" s="41"/>
      <c r="M4650" s="41"/>
      <c r="N4650" s="41"/>
      <c r="O4650" s="41"/>
      <c r="P4650" s="28"/>
    </row>
    <row r="4651" customFormat="1" spans="1:16">
      <c r="A4651" s="39"/>
      <c r="B4651" s="40"/>
      <c r="C4651" s="41"/>
      <c r="D4651" s="41"/>
      <c r="E4651" s="41"/>
      <c r="F4651" s="41"/>
      <c r="G4651" s="41"/>
      <c r="H4651" s="41"/>
      <c r="I4651" s="41"/>
      <c r="J4651" s="41"/>
      <c r="K4651" s="41"/>
      <c r="L4651" s="41"/>
      <c r="M4651" s="41"/>
      <c r="N4651" s="41"/>
      <c r="O4651" s="41"/>
      <c r="P4651" s="28"/>
    </row>
    <row r="4652" customFormat="1" spans="1:16">
      <c r="A4652" s="39"/>
      <c r="B4652" s="40"/>
      <c r="C4652" s="41"/>
      <c r="D4652" s="41"/>
      <c r="E4652" s="41"/>
      <c r="F4652" s="41"/>
      <c r="G4652" s="41"/>
      <c r="H4652" s="41"/>
      <c r="I4652" s="41"/>
      <c r="J4652" s="41"/>
      <c r="K4652" s="41"/>
      <c r="L4652" s="41"/>
      <c r="M4652" s="41"/>
      <c r="N4652" s="41"/>
      <c r="O4652" s="41"/>
      <c r="P4652" s="28"/>
    </row>
    <row r="4653" customFormat="1" spans="1:16">
      <c r="A4653" s="39"/>
      <c r="B4653" s="40"/>
      <c r="C4653" s="41"/>
      <c r="D4653" s="41"/>
      <c r="E4653" s="41"/>
      <c r="F4653" s="41"/>
      <c r="G4653" s="41"/>
      <c r="H4653" s="41"/>
      <c r="I4653" s="41"/>
      <c r="J4653" s="41"/>
      <c r="K4653" s="41"/>
      <c r="L4653" s="41"/>
      <c r="M4653" s="41"/>
      <c r="N4653" s="41"/>
      <c r="O4653" s="41"/>
      <c r="P4653" s="28"/>
    </row>
    <row r="4654" customFormat="1" spans="1:16">
      <c r="A4654" s="39"/>
      <c r="B4654" s="40"/>
      <c r="C4654" s="41"/>
      <c r="D4654" s="41"/>
      <c r="E4654" s="41"/>
      <c r="F4654" s="41"/>
      <c r="G4654" s="41"/>
      <c r="H4654" s="41"/>
      <c r="I4654" s="41"/>
      <c r="J4654" s="41"/>
      <c r="K4654" s="41"/>
      <c r="L4654" s="41"/>
      <c r="M4654" s="41"/>
      <c r="N4654" s="41"/>
      <c r="O4654" s="41"/>
      <c r="P4654" s="28"/>
    </row>
    <row r="4655" customFormat="1" spans="1:16">
      <c r="A4655" s="39"/>
      <c r="B4655" s="40"/>
      <c r="C4655" s="41"/>
      <c r="D4655" s="41"/>
      <c r="E4655" s="41"/>
      <c r="F4655" s="41"/>
      <c r="G4655" s="41"/>
      <c r="H4655" s="41"/>
      <c r="I4655" s="41"/>
      <c r="J4655" s="41"/>
      <c r="K4655" s="41"/>
      <c r="L4655" s="41"/>
      <c r="M4655" s="41"/>
      <c r="N4655" s="41"/>
      <c r="O4655" s="41"/>
      <c r="P4655" s="28"/>
    </row>
    <row r="4656" customFormat="1" spans="1:16">
      <c r="A4656" s="39"/>
      <c r="B4656" s="40"/>
      <c r="C4656" s="41"/>
      <c r="D4656" s="41"/>
      <c r="E4656" s="41"/>
      <c r="F4656" s="41"/>
      <c r="G4656" s="41"/>
      <c r="H4656" s="41"/>
      <c r="I4656" s="41"/>
      <c r="J4656" s="41"/>
      <c r="K4656" s="41"/>
      <c r="L4656" s="41"/>
      <c r="M4656" s="41"/>
      <c r="N4656" s="41"/>
      <c r="O4656" s="41"/>
      <c r="P4656" s="28"/>
    </row>
    <row r="4657" customFormat="1" spans="1:16">
      <c r="A4657" s="39"/>
      <c r="B4657" s="40"/>
      <c r="C4657" s="41"/>
      <c r="D4657" s="41"/>
      <c r="E4657" s="41"/>
      <c r="F4657" s="41"/>
      <c r="G4657" s="41"/>
      <c r="H4657" s="41"/>
      <c r="I4657" s="41"/>
      <c r="J4657" s="41"/>
      <c r="K4657" s="41"/>
      <c r="L4657" s="41"/>
      <c r="M4657" s="41"/>
      <c r="N4657" s="41"/>
      <c r="O4657" s="41"/>
      <c r="P4657" s="28"/>
    </row>
    <row r="4658" customFormat="1" spans="1:16">
      <c r="A4658" s="39"/>
      <c r="B4658" s="40"/>
      <c r="C4658" s="41"/>
      <c r="D4658" s="41"/>
      <c r="E4658" s="41"/>
      <c r="F4658" s="41"/>
      <c r="G4658" s="41"/>
      <c r="H4658" s="41"/>
      <c r="I4658" s="41"/>
      <c r="J4658" s="41"/>
      <c r="K4658" s="41"/>
      <c r="L4658" s="41"/>
      <c r="M4658" s="41"/>
      <c r="N4658" s="41"/>
      <c r="O4658" s="41"/>
      <c r="P4658" s="28"/>
    </row>
    <row r="4659" customFormat="1" spans="1:16">
      <c r="A4659" s="39"/>
      <c r="B4659" s="40"/>
      <c r="C4659" s="41"/>
      <c r="D4659" s="41"/>
      <c r="E4659" s="41"/>
      <c r="F4659" s="41"/>
      <c r="G4659" s="41"/>
      <c r="H4659" s="41"/>
      <c r="I4659" s="41"/>
      <c r="J4659" s="41"/>
      <c r="K4659" s="41"/>
      <c r="L4659" s="41"/>
      <c r="M4659" s="41"/>
      <c r="N4659" s="41"/>
      <c r="O4659" s="41"/>
      <c r="P4659" s="28"/>
    </row>
    <row r="4660" customFormat="1" spans="1:16">
      <c r="A4660" s="39"/>
      <c r="B4660" s="40"/>
      <c r="C4660" s="41"/>
      <c r="D4660" s="41"/>
      <c r="E4660" s="41"/>
      <c r="F4660" s="41"/>
      <c r="G4660" s="41"/>
      <c r="H4660" s="41"/>
      <c r="I4660" s="41"/>
      <c r="J4660" s="41"/>
      <c r="K4660" s="41"/>
      <c r="L4660" s="41"/>
      <c r="M4660" s="41"/>
      <c r="N4660" s="41"/>
      <c r="O4660" s="41"/>
      <c r="P4660" s="28"/>
    </row>
    <row r="4661" customFormat="1" spans="1:16">
      <c r="A4661" s="39"/>
      <c r="B4661" s="40"/>
      <c r="C4661" s="41"/>
      <c r="D4661" s="41"/>
      <c r="E4661" s="41"/>
      <c r="F4661" s="41"/>
      <c r="G4661" s="41"/>
      <c r="H4661" s="41"/>
      <c r="I4661" s="41"/>
      <c r="J4661" s="41"/>
      <c r="K4661" s="41"/>
      <c r="L4661" s="41"/>
      <c r="M4661" s="41"/>
      <c r="N4661" s="41"/>
      <c r="O4661" s="41"/>
      <c r="P4661" s="28"/>
    </row>
    <row r="4662" customFormat="1" spans="1:16">
      <c r="A4662" s="39"/>
      <c r="B4662" s="40"/>
      <c r="C4662" s="41"/>
      <c r="D4662" s="41"/>
      <c r="E4662" s="41"/>
      <c r="F4662" s="41"/>
      <c r="G4662" s="41"/>
      <c r="H4662" s="41"/>
      <c r="I4662" s="41"/>
      <c r="J4662" s="41"/>
      <c r="K4662" s="41"/>
      <c r="L4662" s="41"/>
      <c r="M4662" s="41"/>
      <c r="N4662" s="41"/>
      <c r="O4662" s="41"/>
      <c r="P4662" s="28"/>
    </row>
    <row r="4663" customFormat="1" spans="1:16">
      <c r="A4663" s="39"/>
      <c r="B4663" s="40"/>
      <c r="C4663" s="41"/>
      <c r="D4663" s="41"/>
      <c r="E4663" s="41"/>
      <c r="F4663" s="41"/>
      <c r="G4663" s="41"/>
      <c r="H4663" s="41"/>
      <c r="I4663" s="41"/>
      <c r="J4663" s="41"/>
      <c r="K4663" s="41"/>
      <c r="L4663" s="41"/>
      <c r="M4663" s="41"/>
      <c r="N4663" s="41"/>
      <c r="O4663" s="41"/>
      <c r="P4663" s="28"/>
    </row>
    <row r="4664" customFormat="1" spans="1:16">
      <c r="A4664" s="39"/>
      <c r="B4664" s="40"/>
      <c r="C4664" s="41"/>
      <c r="D4664" s="41"/>
      <c r="E4664" s="41"/>
      <c r="F4664" s="41"/>
      <c r="G4664" s="41"/>
      <c r="H4664" s="41"/>
      <c r="I4664" s="41"/>
      <c r="J4664" s="41"/>
      <c r="K4664" s="41"/>
      <c r="L4664" s="41"/>
      <c r="M4664" s="41"/>
      <c r="N4664" s="41"/>
      <c r="O4664" s="41"/>
      <c r="P4664" s="28"/>
    </row>
    <row r="4665" customFormat="1" spans="1:16">
      <c r="A4665" s="39"/>
      <c r="B4665" s="40"/>
      <c r="C4665" s="41"/>
      <c r="D4665" s="41"/>
      <c r="E4665" s="41"/>
      <c r="F4665" s="41"/>
      <c r="G4665" s="41"/>
      <c r="H4665" s="41"/>
      <c r="I4665" s="41"/>
      <c r="J4665" s="41"/>
      <c r="K4665" s="41"/>
      <c r="L4665" s="41"/>
      <c r="M4665" s="41"/>
      <c r="N4665" s="41"/>
      <c r="O4665" s="41"/>
      <c r="P4665" s="28"/>
    </row>
    <row r="4666" customFormat="1" spans="1:16">
      <c r="A4666" s="39"/>
      <c r="B4666" s="40"/>
      <c r="C4666" s="41"/>
      <c r="D4666" s="41"/>
      <c r="E4666" s="41"/>
      <c r="F4666" s="41"/>
      <c r="G4666" s="41"/>
      <c r="H4666" s="41"/>
      <c r="I4666" s="41"/>
      <c r="J4666" s="41"/>
      <c r="K4666" s="41"/>
      <c r="L4666" s="41"/>
      <c r="M4666" s="41"/>
      <c r="N4666" s="41"/>
      <c r="O4666" s="41"/>
      <c r="P4666" s="28"/>
    </row>
    <row r="4667" customFormat="1" spans="1:16">
      <c r="A4667" s="39"/>
      <c r="B4667" s="40"/>
      <c r="C4667" s="41"/>
      <c r="D4667" s="41"/>
      <c r="E4667" s="41"/>
      <c r="F4667" s="41"/>
      <c r="G4667" s="41"/>
      <c r="H4667" s="41"/>
      <c r="I4667" s="41"/>
      <c r="J4667" s="41"/>
      <c r="K4667" s="41"/>
      <c r="L4667" s="41"/>
      <c r="M4667" s="41"/>
      <c r="N4667" s="41"/>
      <c r="O4667" s="41"/>
      <c r="P4667" s="28"/>
    </row>
    <row r="4668" customFormat="1" spans="1:16">
      <c r="A4668" s="39"/>
      <c r="B4668" s="40"/>
      <c r="C4668" s="41"/>
      <c r="D4668" s="41"/>
      <c r="E4668" s="41"/>
      <c r="F4668" s="41"/>
      <c r="G4668" s="41"/>
      <c r="H4668" s="41"/>
      <c r="I4668" s="41"/>
      <c r="J4668" s="41"/>
      <c r="K4668" s="41"/>
      <c r="L4668" s="41"/>
      <c r="M4668" s="41"/>
      <c r="N4668" s="41"/>
      <c r="O4668" s="41"/>
      <c r="P4668" s="28"/>
    </row>
    <row r="4669" customFormat="1" spans="1:16">
      <c r="A4669" s="39"/>
      <c r="B4669" s="40"/>
      <c r="C4669" s="41"/>
      <c r="D4669" s="41"/>
      <c r="E4669" s="41"/>
      <c r="F4669" s="41"/>
      <c r="G4669" s="41"/>
      <c r="H4669" s="41"/>
      <c r="I4669" s="41"/>
      <c r="J4669" s="41"/>
      <c r="K4669" s="41"/>
      <c r="L4669" s="41"/>
      <c r="M4669" s="41"/>
      <c r="N4669" s="41"/>
      <c r="O4669" s="41"/>
      <c r="P4669" s="28"/>
    </row>
    <row r="4670" customFormat="1" spans="1:16">
      <c r="A4670" s="39"/>
      <c r="B4670" s="40"/>
      <c r="C4670" s="41"/>
      <c r="D4670" s="41"/>
      <c r="E4670" s="41"/>
      <c r="F4670" s="41"/>
      <c r="G4670" s="41"/>
      <c r="H4670" s="41"/>
      <c r="I4670" s="41"/>
      <c r="J4670" s="41"/>
      <c r="K4670" s="41"/>
      <c r="L4670" s="41"/>
      <c r="M4670" s="41"/>
      <c r="N4670" s="41"/>
      <c r="O4670" s="41"/>
      <c r="P4670" s="28"/>
    </row>
    <row r="4671" customFormat="1" spans="1:16">
      <c r="A4671" s="39"/>
      <c r="B4671" s="40"/>
      <c r="C4671" s="41"/>
      <c r="D4671" s="41"/>
      <c r="E4671" s="41"/>
      <c r="F4671" s="41"/>
      <c r="G4671" s="41"/>
      <c r="H4671" s="41"/>
      <c r="I4671" s="41"/>
      <c r="J4671" s="41"/>
      <c r="K4671" s="41"/>
      <c r="L4671" s="41"/>
      <c r="M4671" s="41"/>
      <c r="N4671" s="41"/>
      <c r="O4671" s="41"/>
      <c r="P4671" s="28"/>
    </row>
    <row r="4672" customFormat="1" spans="1:16">
      <c r="A4672" s="39"/>
      <c r="B4672" s="40"/>
      <c r="C4672" s="41"/>
      <c r="D4672" s="41"/>
      <c r="E4672" s="41"/>
      <c r="F4672" s="41"/>
      <c r="G4672" s="41"/>
      <c r="H4672" s="41"/>
      <c r="I4672" s="41"/>
      <c r="J4672" s="41"/>
      <c r="K4672" s="41"/>
      <c r="L4672" s="41"/>
      <c r="M4672" s="41"/>
      <c r="N4672" s="41"/>
      <c r="O4672" s="41"/>
      <c r="P4672" s="28"/>
    </row>
    <row r="4673" customFormat="1" spans="1:16">
      <c r="A4673" s="39"/>
      <c r="B4673" s="40"/>
      <c r="C4673" s="41"/>
      <c r="D4673" s="41"/>
      <c r="E4673" s="41"/>
      <c r="F4673" s="41"/>
      <c r="G4673" s="41"/>
      <c r="H4673" s="41"/>
      <c r="I4673" s="41"/>
      <c r="J4673" s="41"/>
      <c r="K4673" s="41"/>
      <c r="L4673" s="41"/>
      <c r="M4673" s="41"/>
      <c r="N4673" s="41"/>
      <c r="O4673" s="41"/>
      <c r="P4673" s="28"/>
    </row>
    <row r="4674" customFormat="1" spans="1:16">
      <c r="A4674" s="39"/>
      <c r="B4674" s="40"/>
      <c r="C4674" s="41"/>
      <c r="D4674" s="41"/>
      <c r="E4674" s="41"/>
      <c r="F4674" s="41"/>
      <c r="G4674" s="41"/>
      <c r="H4674" s="41"/>
      <c r="I4674" s="41"/>
      <c r="J4674" s="41"/>
      <c r="K4674" s="41"/>
      <c r="L4674" s="41"/>
      <c r="M4674" s="41"/>
      <c r="N4674" s="41"/>
      <c r="O4674" s="41"/>
      <c r="P4674" s="28"/>
    </row>
    <row r="4675" customFormat="1" spans="1:16">
      <c r="A4675" s="39"/>
      <c r="B4675" s="40"/>
      <c r="C4675" s="41"/>
      <c r="D4675" s="41"/>
      <c r="E4675" s="41"/>
      <c r="F4675" s="41"/>
      <c r="G4675" s="41"/>
      <c r="H4675" s="41"/>
      <c r="I4675" s="41"/>
      <c r="J4675" s="41"/>
      <c r="K4675" s="41"/>
      <c r="L4675" s="41"/>
      <c r="M4675" s="41"/>
      <c r="N4675" s="41"/>
      <c r="O4675" s="41"/>
      <c r="P4675" s="28"/>
    </row>
    <row r="4676" customFormat="1" spans="1:16">
      <c r="A4676" s="39"/>
      <c r="B4676" s="40"/>
      <c r="C4676" s="41"/>
      <c r="D4676" s="41"/>
      <c r="E4676" s="41"/>
      <c r="F4676" s="41"/>
      <c r="G4676" s="41"/>
      <c r="H4676" s="41"/>
      <c r="I4676" s="41"/>
      <c r="J4676" s="41"/>
      <c r="K4676" s="41"/>
      <c r="L4676" s="41"/>
      <c r="M4676" s="41"/>
      <c r="N4676" s="41"/>
      <c r="O4676" s="41"/>
      <c r="P4676" s="28"/>
    </row>
    <row r="4677" customFormat="1" spans="1:16">
      <c r="A4677" s="39"/>
      <c r="B4677" s="40"/>
      <c r="C4677" s="41"/>
      <c r="D4677" s="41"/>
      <c r="E4677" s="41"/>
      <c r="F4677" s="41"/>
      <c r="G4677" s="41"/>
      <c r="H4677" s="41"/>
      <c r="I4677" s="41"/>
      <c r="J4677" s="41"/>
      <c r="K4677" s="41"/>
      <c r="L4677" s="41"/>
      <c r="M4677" s="41"/>
      <c r="N4677" s="41"/>
      <c r="O4677" s="41"/>
      <c r="P4677" s="28"/>
    </row>
    <row r="4678" customFormat="1" spans="1:16">
      <c r="A4678" s="39"/>
      <c r="B4678" s="40"/>
      <c r="C4678" s="41"/>
      <c r="D4678" s="41"/>
      <c r="E4678" s="41"/>
      <c r="F4678" s="41"/>
      <c r="G4678" s="41"/>
      <c r="H4678" s="41"/>
      <c r="I4678" s="41"/>
      <c r="J4678" s="41"/>
      <c r="K4678" s="41"/>
      <c r="L4678" s="41"/>
      <c r="M4678" s="41"/>
      <c r="N4678" s="41"/>
      <c r="O4678" s="41"/>
      <c r="P4678" s="28"/>
    </row>
    <row r="4679" customFormat="1" spans="1:16">
      <c r="A4679" s="39"/>
      <c r="B4679" s="40"/>
      <c r="C4679" s="41"/>
      <c r="D4679" s="41"/>
      <c r="E4679" s="41"/>
      <c r="F4679" s="41"/>
      <c r="G4679" s="41"/>
      <c r="H4679" s="41"/>
      <c r="I4679" s="41"/>
      <c r="J4679" s="41"/>
      <c r="K4679" s="41"/>
      <c r="L4679" s="41"/>
      <c r="M4679" s="41"/>
      <c r="N4679" s="41"/>
      <c r="O4679" s="41"/>
      <c r="P4679" s="28"/>
    </row>
    <row r="4680" customFormat="1" spans="1:16">
      <c r="A4680" s="39"/>
      <c r="B4680" s="40"/>
      <c r="C4680" s="41"/>
      <c r="D4680" s="41"/>
      <c r="E4680" s="41"/>
      <c r="F4680" s="41"/>
      <c r="G4680" s="41"/>
      <c r="H4680" s="41"/>
      <c r="I4680" s="41"/>
      <c r="J4680" s="41"/>
      <c r="K4680" s="41"/>
      <c r="L4680" s="41"/>
      <c r="M4680" s="41"/>
      <c r="N4680" s="41"/>
      <c r="O4680" s="41"/>
      <c r="P4680" s="28"/>
    </row>
    <row r="4681" customFormat="1" spans="1:16">
      <c r="A4681" s="39"/>
      <c r="B4681" s="40"/>
      <c r="C4681" s="41"/>
      <c r="D4681" s="41"/>
      <c r="E4681" s="41"/>
      <c r="F4681" s="41"/>
      <c r="G4681" s="41"/>
      <c r="H4681" s="41"/>
      <c r="I4681" s="41"/>
      <c r="J4681" s="41"/>
      <c r="K4681" s="41"/>
      <c r="L4681" s="41"/>
      <c r="M4681" s="41"/>
      <c r="N4681" s="41"/>
      <c r="O4681" s="41"/>
      <c r="P4681" s="28"/>
    </row>
    <row r="4682" customFormat="1" spans="1:16">
      <c r="A4682" s="39"/>
      <c r="B4682" s="40"/>
      <c r="C4682" s="41"/>
      <c r="D4682" s="41"/>
      <c r="E4682" s="41"/>
      <c r="F4682" s="41"/>
      <c r="G4682" s="41"/>
      <c r="H4682" s="41"/>
      <c r="I4682" s="41"/>
      <c r="J4682" s="41"/>
      <c r="K4682" s="41"/>
      <c r="L4682" s="41"/>
      <c r="M4682" s="41"/>
      <c r="N4682" s="41"/>
      <c r="O4682" s="41"/>
      <c r="P4682" s="28"/>
    </row>
    <row r="4683" customFormat="1" spans="1:16">
      <c r="A4683" s="39"/>
      <c r="B4683" s="40"/>
      <c r="C4683" s="41"/>
      <c r="D4683" s="41"/>
      <c r="E4683" s="41"/>
      <c r="F4683" s="41"/>
      <c r="G4683" s="41"/>
      <c r="H4683" s="41"/>
      <c r="I4683" s="41"/>
      <c r="J4683" s="41"/>
      <c r="K4683" s="41"/>
      <c r="L4683" s="41"/>
      <c r="M4683" s="41"/>
      <c r="N4683" s="41"/>
      <c r="O4683" s="41"/>
      <c r="P4683" s="28"/>
    </row>
    <row r="4684" customFormat="1" spans="1:16">
      <c r="A4684" s="39"/>
      <c r="B4684" s="40"/>
      <c r="C4684" s="41"/>
      <c r="D4684" s="41"/>
      <c r="E4684" s="41"/>
      <c r="F4684" s="41"/>
      <c r="G4684" s="41"/>
      <c r="H4684" s="41"/>
      <c r="I4684" s="41"/>
      <c r="J4684" s="41"/>
      <c r="K4684" s="41"/>
      <c r="L4684" s="41"/>
      <c r="M4684" s="41"/>
      <c r="N4684" s="41"/>
      <c r="O4684" s="41"/>
      <c r="P4684" s="28"/>
    </row>
    <row r="4685" customFormat="1" spans="1:16">
      <c r="A4685" s="39"/>
      <c r="B4685" s="40"/>
      <c r="C4685" s="41"/>
      <c r="D4685" s="41"/>
      <c r="E4685" s="41"/>
      <c r="F4685" s="41"/>
      <c r="G4685" s="41"/>
      <c r="H4685" s="41"/>
      <c r="I4685" s="41"/>
      <c r="J4685" s="41"/>
      <c r="K4685" s="41"/>
      <c r="L4685" s="41"/>
      <c r="M4685" s="41"/>
      <c r="N4685" s="41"/>
      <c r="O4685" s="41"/>
      <c r="P4685" s="28"/>
    </row>
    <row r="4686" customFormat="1" spans="1:16">
      <c r="A4686" s="39"/>
      <c r="B4686" s="40"/>
      <c r="C4686" s="41"/>
      <c r="D4686" s="41"/>
      <c r="E4686" s="41"/>
      <c r="F4686" s="41"/>
      <c r="G4686" s="41"/>
      <c r="H4686" s="41"/>
      <c r="I4686" s="41"/>
      <c r="J4686" s="41"/>
      <c r="K4686" s="41"/>
      <c r="L4686" s="41"/>
      <c r="M4686" s="41"/>
      <c r="N4686" s="41"/>
      <c r="O4686" s="41"/>
      <c r="P4686" s="28"/>
    </row>
    <row r="4687" customFormat="1" spans="1:16">
      <c r="A4687" s="39"/>
      <c r="B4687" s="40"/>
      <c r="C4687" s="41"/>
      <c r="D4687" s="41"/>
      <c r="E4687" s="41"/>
      <c r="F4687" s="41"/>
      <c r="G4687" s="41"/>
      <c r="H4687" s="41"/>
      <c r="I4687" s="41"/>
      <c r="J4687" s="41"/>
      <c r="K4687" s="41"/>
      <c r="L4687" s="41"/>
      <c r="M4687" s="41"/>
      <c r="N4687" s="41"/>
      <c r="O4687" s="41"/>
      <c r="P4687" s="28"/>
    </row>
    <row r="4688" customFormat="1" spans="1:16">
      <c r="A4688" s="39"/>
      <c r="B4688" s="40"/>
      <c r="C4688" s="41"/>
      <c r="D4688" s="41"/>
      <c r="E4688" s="41"/>
      <c r="F4688" s="41"/>
      <c r="G4688" s="41"/>
      <c r="H4688" s="41"/>
      <c r="I4688" s="41"/>
      <c r="J4688" s="41"/>
      <c r="K4688" s="41"/>
      <c r="L4688" s="41"/>
      <c r="M4688" s="41"/>
      <c r="N4688" s="41"/>
      <c r="O4688" s="41"/>
      <c r="P4688" s="28"/>
    </row>
    <row r="4689" customFormat="1" spans="1:16">
      <c r="A4689" s="39"/>
      <c r="B4689" s="40"/>
      <c r="C4689" s="41"/>
      <c r="D4689" s="41"/>
      <c r="E4689" s="41"/>
      <c r="F4689" s="41"/>
      <c r="G4689" s="41"/>
      <c r="H4689" s="41"/>
      <c r="I4689" s="41"/>
      <c r="J4689" s="41"/>
      <c r="K4689" s="41"/>
      <c r="L4689" s="41"/>
      <c r="M4689" s="41"/>
      <c r="N4689" s="41"/>
      <c r="O4689" s="41"/>
      <c r="P4689" s="28"/>
    </row>
    <row r="4690" customFormat="1" spans="1:16">
      <c r="A4690" s="39"/>
      <c r="B4690" s="40"/>
      <c r="C4690" s="41"/>
      <c r="D4690" s="41"/>
      <c r="E4690" s="41"/>
      <c r="F4690" s="41"/>
      <c r="G4690" s="41"/>
      <c r="H4690" s="41"/>
      <c r="I4690" s="41"/>
      <c r="J4690" s="41"/>
      <c r="K4690" s="41"/>
      <c r="L4690" s="41"/>
      <c r="M4690" s="41"/>
      <c r="N4690" s="41"/>
      <c r="O4690" s="41"/>
      <c r="P4690" s="28"/>
    </row>
    <row r="4691" customFormat="1" spans="1:16">
      <c r="A4691" s="39"/>
      <c r="B4691" s="40"/>
      <c r="C4691" s="41"/>
      <c r="D4691" s="41"/>
      <c r="E4691" s="41"/>
      <c r="F4691" s="41"/>
      <c r="G4691" s="41"/>
      <c r="H4691" s="41"/>
      <c r="I4691" s="41"/>
      <c r="J4691" s="41"/>
      <c r="K4691" s="41"/>
      <c r="L4691" s="41"/>
      <c r="M4691" s="41"/>
      <c r="N4691" s="41"/>
      <c r="O4691" s="41"/>
      <c r="P4691" s="28"/>
    </row>
    <row r="4692" customFormat="1" spans="1:16">
      <c r="A4692" s="39"/>
      <c r="B4692" s="40"/>
      <c r="C4692" s="41"/>
      <c r="D4692" s="41"/>
      <c r="E4692" s="41"/>
      <c r="F4692" s="41"/>
      <c r="G4692" s="41"/>
      <c r="H4692" s="41"/>
      <c r="I4692" s="41"/>
      <c r="J4692" s="41"/>
      <c r="K4692" s="41"/>
      <c r="L4692" s="41"/>
      <c r="M4692" s="41"/>
      <c r="N4692" s="41"/>
      <c r="O4692" s="41"/>
      <c r="P4692" s="28"/>
    </row>
    <row r="4693" customFormat="1" spans="1:16">
      <c r="A4693" s="39"/>
      <c r="B4693" s="40"/>
      <c r="C4693" s="41"/>
      <c r="D4693" s="41"/>
      <c r="E4693" s="41"/>
      <c r="F4693" s="41"/>
      <c r="G4693" s="41"/>
      <c r="H4693" s="41"/>
      <c r="I4693" s="41"/>
      <c r="J4693" s="41"/>
      <c r="K4693" s="41"/>
      <c r="L4693" s="41"/>
      <c r="M4693" s="41"/>
      <c r="N4693" s="41"/>
      <c r="O4693" s="41"/>
      <c r="P4693" s="28"/>
    </row>
    <row r="4694" customFormat="1" spans="1:16">
      <c r="A4694" s="39"/>
      <c r="B4694" s="40"/>
      <c r="C4694" s="41"/>
      <c r="D4694" s="41"/>
      <c r="E4694" s="41"/>
      <c r="F4694" s="41"/>
      <c r="G4694" s="41"/>
      <c r="H4694" s="41"/>
      <c r="I4694" s="41"/>
      <c r="J4694" s="41"/>
      <c r="K4694" s="41"/>
      <c r="L4694" s="41"/>
      <c r="M4694" s="41"/>
      <c r="N4694" s="41"/>
      <c r="O4694" s="41"/>
      <c r="P4694" s="28"/>
    </row>
    <row r="4695" customFormat="1" spans="1:16">
      <c r="A4695" s="39"/>
      <c r="B4695" s="40"/>
      <c r="C4695" s="41"/>
      <c r="D4695" s="41"/>
      <c r="E4695" s="41"/>
      <c r="F4695" s="41"/>
      <c r="G4695" s="41"/>
      <c r="H4695" s="41"/>
      <c r="I4695" s="41"/>
      <c r="J4695" s="41"/>
      <c r="K4695" s="41"/>
      <c r="L4695" s="41"/>
      <c r="M4695" s="41"/>
      <c r="N4695" s="41"/>
      <c r="O4695" s="41"/>
      <c r="P4695" s="28"/>
    </row>
    <row r="4696" customFormat="1" spans="1:16">
      <c r="A4696" s="39"/>
      <c r="B4696" s="40"/>
      <c r="C4696" s="41"/>
      <c r="D4696" s="41"/>
      <c r="E4696" s="41"/>
      <c r="F4696" s="41"/>
      <c r="G4696" s="41"/>
      <c r="H4696" s="41"/>
      <c r="I4696" s="41"/>
      <c r="J4696" s="41"/>
      <c r="K4696" s="41"/>
      <c r="L4696" s="41"/>
      <c r="M4696" s="41"/>
      <c r="N4696" s="41"/>
      <c r="O4696" s="41"/>
      <c r="P4696" s="28"/>
    </row>
    <row r="4697" customFormat="1" spans="1:16">
      <c r="A4697" s="39"/>
      <c r="B4697" s="40"/>
      <c r="C4697" s="41"/>
      <c r="D4697" s="41"/>
      <c r="E4697" s="41"/>
      <c r="F4697" s="41"/>
      <c r="G4697" s="41"/>
      <c r="H4697" s="41"/>
      <c r="I4697" s="41"/>
      <c r="J4697" s="41"/>
      <c r="K4697" s="41"/>
      <c r="L4697" s="41"/>
      <c r="M4697" s="41"/>
      <c r="N4697" s="41"/>
      <c r="O4697" s="41"/>
      <c r="P4697" s="28"/>
    </row>
    <row r="4698" customFormat="1" spans="1:16">
      <c r="A4698" s="39"/>
      <c r="B4698" s="40"/>
      <c r="C4698" s="41"/>
      <c r="D4698" s="41"/>
      <c r="E4698" s="41"/>
      <c r="F4698" s="41"/>
      <c r="G4698" s="41"/>
      <c r="H4698" s="41"/>
      <c r="I4698" s="41"/>
      <c r="J4698" s="41"/>
      <c r="K4698" s="41"/>
      <c r="L4698" s="41"/>
      <c r="M4698" s="41"/>
      <c r="N4698" s="41"/>
      <c r="O4698" s="41"/>
      <c r="P4698" s="28"/>
    </row>
    <row r="4699" customFormat="1" spans="1:16">
      <c r="A4699" s="39"/>
      <c r="B4699" s="40"/>
      <c r="C4699" s="41"/>
      <c r="D4699" s="41"/>
      <c r="E4699" s="41"/>
      <c r="F4699" s="41"/>
      <c r="G4699" s="41"/>
      <c r="H4699" s="41"/>
      <c r="I4699" s="41"/>
      <c r="J4699" s="41"/>
      <c r="K4699" s="41"/>
      <c r="L4699" s="41"/>
      <c r="M4699" s="41"/>
      <c r="N4699" s="41"/>
      <c r="O4699" s="41"/>
      <c r="P4699" s="28"/>
    </row>
    <row r="4700" customFormat="1" spans="1:16">
      <c r="A4700" s="39"/>
      <c r="B4700" s="40"/>
      <c r="C4700" s="41"/>
      <c r="D4700" s="41"/>
      <c r="E4700" s="41"/>
      <c r="F4700" s="41"/>
      <c r="G4700" s="41"/>
      <c r="H4700" s="41"/>
      <c r="I4700" s="41"/>
      <c r="J4700" s="41"/>
      <c r="K4700" s="41"/>
      <c r="L4700" s="41"/>
      <c r="M4700" s="41"/>
      <c r="N4700" s="41"/>
      <c r="O4700" s="41"/>
      <c r="P4700" s="28"/>
    </row>
    <row r="4701" customFormat="1" spans="1:16">
      <c r="A4701" s="39"/>
      <c r="B4701" s="40"/>
      <c r="C4701" s="41"/>
      <c r="D4701" s="41"/>
      <c r="E4701" s="41"/>
      <c r="F4701" s="41"/>
      <c r="G4701" s="41"/>
      <c r="H4701" s="41"/>
      <c r="I4701" s="41"/>
      <c r="J4701" s="41"/>
      <c r="K4701" s="41"/>
      <c r="L4701" s="41"/>
      <c r="M4701" s="41"/>
      <c r="N4701" s="41"/>
      <c r="O4701" s="41"/>
      <c r="P4701" s="28"/>
    </row>
    <row r="4702" customFormat="1" spans="1:16">
      <c r="A4702" s="39"/>
      <c r="B4702" s="40"/>
      <c r="C4702" s="41"/>
      <c r="D4702" s="41"/>
      <c r="E4702" s="41"/>
      <c r="F4702" s="41"/>
      <c r="G4702" s="41"/>
      <c r="H4702" s="41"/>
      <c r="I4702" s="41"/>
      <c r="J4702" s="41"/>
      <c r="K4702" s="41"/>
      <c r="L4702" s="41"/>
      <c r="M4702" s="41"/>
      <c r="N4702" s="41"/>
      <c r="O4702" s="41"/>
      <c r="P4702" s="28"/>
    </row>
    <row r="4703" customFormat="1" spans="1:16">
      <c r="A4703" s="39"/>
      <c r="B4703" s="40"/>
      <c r="C4703" s="41"/>
      <c r="D4703" s="41"/>
      <c r="E4703" s="41"/>
      <c r="F4703" s="41"/>
      <c r="G4703" s="41"/>
      <c r="H4703" s="41"/>
      <c r="I4703" s="41"/>
      <c r="J4703" s="41"/>
      <c r="K4703" s="41"/>
      <c r="L4703" s="41"/>
      <c r="M4703" s="41"/>
      <c r="N4703" s="41"/>
      <c r="O4703" s="41"/>
      <c r="P4703" s="28"/>
    </row>
    <row r="4704" customFormat="1" spans="1:16">
      <c r="A4704" s="39"/>
      <c r="B4704" s="40"/>
      <c r="C4704" s="41"/>
      <c r="D4704" s="41"/>
      <c r="E4704" s="41"/>
      <c r="F4704" s="41"/>
      <c r="G4704" s="41"/>
      <c r="H4704" s="41"/>
      <c r="I4704" s="41"/>
      <c r="J4704" s="41"/>
      <c r="K4704" s="41"/>
      <c r="L4704" s="41"/>
      <c r="M4704" s="41"/>
      <c r="N4704" s="41"/>
      <c r="O4704" s="41"/>
      <c r="P4704" s="28"/>
    </row>
    <row r="4705" customFormat="1" spans="1:16">
      <c r="A4705" s="39"/>
      <c r="B4705" s="40"/>
      <c r="C4705" s="41"/>
      <c r="D4705" s="41"/>
      <c r="E4705" s="41"/>
      <c r="F4705" s="41"/>
      <c r="G4705" s="41"/>
      <c r="H4705" s="41"/>
      <c r="I4705" s="41"/>
      <c r="J4705" s="41"/>
      <c r="K4705" s="41"/>
      <c r="L4705" s="41"/>
      <c r="M4705" s="41"/>
      <c r="N4705" s="41"/>
      <c r="O4705" s="41"/>
      <c r="P4705" s="28"/>
    </row>
    <row r="4706" customFormat="1" spans="1:16">
      <c r="A4706" s="39"/>
      <c r="B4706" s="40"/>
      <c r="C4706" s="41"/>
      <c r="D4706" s="41"/>
      <c r="E4706" s="41"/>
      <c r="F4706" s="41"/>
      <c r="G4706" s="41"/>
      <c r="H4706" s="41"/>
      <c r="I4706" s="41"/>
      <c r="J4706" s="41"/>
      <c r="K4706" s="41"/>
      <c r="L4706" s="41"/>
      <c r="M4706" s="41"/>
      <c r="N4706" s="41"/>
      <c r="O4706" s="41"/>
      <c r="P4706" s="28"/>
    </row>
    <row r="4707" customFormat="1" spans="1:16">
      <c r="A4707" s="39"/>
      <c r="B4707" s="40"/>
      <c r="C4707" s="41"/>
      <c r="D4707" s="41"/>
      <c r="E4707" s="41"/>
      <c r="F4707" s="41"/>
      <c r="G4707" s="41"/>
      <c r="H4707" s="41"/>
      <c r="I4707" s="41"/>
      <c r="J4707" s="41"/>
      <c r="K4707" s="41"/>
      <c r="L4707" s="41"/>
      <c r="M4707" s="41"/>
      <c r="N4707" s="41"/>
      <c r="O4707" s="41"/>
      <c r="P4707" s="28"/>
    </row>
    <row r="4708" customFormat="1" spans="1:16">
      <c r="A4708" s="39"/>
      <c r="B4708" s="40"/>
      <c r="C4708" s="41"/>
      <c r="D4708" s="41"/>
      <c r="E4708" s="41"/>
      <c r="F4708" s="41"/>
      <c r="G4708" s="41"/>
      <c r="H4708" s="41"/>
      <c r="I4708" s="41"/>
      <c r="J4708" s="41"/>
      <c r="K4708" s="41"/>
      <c r="L4708" s="41"/>
      <c r="M4708" s="41"/>
      <c r="N4708" s="41"/>
      <c r="O4708" s="41"/>
      <c r="P4708" s="28"/>
    </row>
    <row r="4709" customFormat="1" spans="1:16">
      <c r="A4709" s="39"/>
      <c r="B4709" s="40"/>
      <c r="C4709" s="41"/>
      <c r="D4709" s="41"/>
      <c r="E4709" s="41"/>
      <c r="F4709" s="41"/>
      <c r="G4709" s="41"/>
      <c r="H4709" s="41"/>
      <c r="I4709" s="41"/>
      <c r="J4709" s="41"/>
      <c r="K4709" s="41"/>
      <c r="L4709" s="41"/>
      <c r="M4709" s="41"/>
      <c r="N4709" s="41"/>
      <c r="O4709" s="41"/>
      <c r="P4709" s="28"/>
    </row>
    <row r="4710" customFormat="1" spans="1:16">
      <c r="A4710" s="39"/>
      <c r="B4710" s="40"/>
      <c r="C4710" s="41"/>
      <c r="D4710" s="41"/>
      <c r="E4710" s="41"/>
      <c r="F4710" s="41"/>
      <c r="G4710" s="41"/>
      <c r="H4710" s="41"/>
      <c r="I4710" s="41"/>
      <c r="J4710" s="41"/>
      <c r="K4710" s="41"/>
      <c r="L4710" s="41"/>
      <c r="M4710" s="41"/>
      <c r="N4710" s="41"/>
      <c r="O4710" s="41"/>
      <c r="P4710" s="28"/>
    </row>
    <row r="4711" customFormat="1" spans="1:16">
      <c r="A4711" s="39"/>
      <c r="B4711" s="40"/>
      <c r="C4711" s="41"/>
      <c r="D4711" s="41"/>
      <c r="E4711" s="41"/>
      <c r="F4711" s="41"/>
      <c r="G4711" s="41"/>
      <c r="H4711" s="41"/>
      <c r="I4711" s="41"/>
      <c r="J4711" s="41"/>
      <c r="K4711" s="41"/>
      <c r="L4711" s="41"/>
      <c r="M4711" s="41"/>
      <c r="N4711" s="41"/>
      <c r="O4711" s="41"/>
      <c r="P4711" s="28"/>
    </row>
    <row r="4712" customFormat="1" spans="1:16">
      <c r="A4712" s="39"/>
      <c r="B4712" s="40"/>
      <c r="C4712" s="41"/>
      <c r="D4712" s="41"/>
      <c r="E4712" s="41"/>
      <c r="F4712" s="41"/>
      <c r="G4712" s="41"/>
      <c r="H4712" s="41"/>
      <c r="I4712" s="41"/>
      <c r="J4712" s="41"/>
      <c r="K4712" s="41"/>
      <c r="L4712" s="41"/>
      <c r="M4712" s="41"/>
      <c r="N4712" s="41"/>
      <c r="O4712" s="41"/>
      <c r="P4712" s="28"/>
    </row>
    <row r="4713" customFormat="1" spans="1:16">
      <c r="A4713" s="39"/>
      <c r="B4713" s="40"/>
      <c r="C4713" s="41"/>
      <c r="D4713" s="41"/>
      <c r="E4713" s="41"/>
      <c r="F4713" s="41"/>
      <c r="G4713" s="41"/>
      <c r="H4713" s="41"/>
      <c r="I4713" s="41"/>
      <c r="J4713" s="41"/>
      <c r="K4713" s="41"/>
      <c r="L4713" s="41"/>
      <c r="M4713" s="41"/>
      <c r="N4713" s="41"/>
      <c r="O4713" s="41"/>
      <c r="P4713" s="28"/>
    </row>
    <row r="4714" customFormat="1" spans="1:16">
      <c r="A4714" s="39"/>
      <c r="B4714" s="40"/>
      <c r="C4714" s="41"/>
      <c r="D4714" s="41"/>
      <c r="E4714" s="41"/>
      <c r="F4714" s="41"/>
      <c r="G4714" s="41"/>
      <c r="H4714" s="41"/>
      <c r="I4714" s="41"/>
      <c r="J4714" s="41"/>
      <c r="K4714" s="41"/>
      <c r="L4714" s="41"/>
      <c r="M4714" s="41"/>
      <c r="N4714" s="41"/>
      <c r="O4714" s="41"/>
      <c r="P4714" s="28"/>
    </row>
    <row r="4715" customFormat="1" spans="1:16">
      <c r="A4715" s="39"/>
      <c r="B4715" s="40"/>
      <c r="C4715" s="41"/>
      <c r="D4715" s="41"/>
      <c r="E4715" s="41"/>
      <c r="F4715" s="41"/>
      <c r="G4715" s="41"/>
      <c r="H4715" s="41"/>
      <c r="I4715" s="41"/>
      <c r="J4715" s="41"/>
      <c r="K4715" s="41"/>
      <c r="L4715" s="41"/>
      <c r="M4715" s="41"/>
      <c r="N4715" s="41"/>
      <c r="O4715" s="41"/>
      <c r="P4715" s="28"/>
    </row>
    <row r="4716" customFormat="1" spans="1:16">
      <c r="A4716" s="39"/>
      <c r="B4716" s="40"/>
      <c r="C4716" s="41"/>
      <c r="D4716" s="41"/>
      <c r="E4716" s="41"/>
      <c r="F4716" s="41"/>
      <c r="G4716" s="41"/>
      <c r="H4716" s="41"/>
      <c r="I4716" s="41"/>
      <c r="J4716" s="41"/>
      <c r="K4716" s="41"/>
      <c r="L4716" s="41"/>
      <c r="M4716" s="41"/>
      <c r="N4716" s="41"/>
      <c r="O4716" s="41"/>
      <c r="P4716" s="28"/>
    </row>
    <row r="4717" customFormat="1" spans="1:16">
      <c r="A4717" s="39"/>
      <c r="B4717" s="40"/>
      <c r="C4717" s="41"/>
      <c r="D4717" s="41"/>
      <c r="E4717" s="41"/>
      <c r="F4717" s="41"/>
      <c r="G4717" s="41"/>
      <c r="H4717" s="41"/>
      <c r="I4717" s="41"/>
      <c r="J4717" s="41"/>
      <c r="K4717" s="41"/>
      <c r="L4717" s="41"/>
      <c r="M4717" s="41"/>
      <c r="N4717" s="41"/>
      <c r="O4717" s="41"/>
      <c r="P4717" s="28"/>
    </row>
    <row r="4718" customFormat="1" spans="1:16">
      <c r="A4718" s="39"/>
      <c r="B4718" s="40"/>
      <c r="C4718" s="41"/>
      <c r="D4718" s="41"/>
      <c r="E4718" s="41"/>
      <c r="F4718" s="41"/>
      <c r="G4718" s="41"/>
      <c r="H4718" s="41"/>
      <c r="I4718" s="41"/>
      <c r="J4718" s="41"/>
      <c r="K4718" s="41"/>
      <c r="L4718" s="41"/>
      <c r="M4718" s="41"/>
      <c r="N4718" s="41"/>
      <c r="O4718" s="41"/>
      <c r="P4718" s="28"/>
    </row>
    <row r="4719" customFormat="1" spans="1:16">
      <c r="A4719" s="39"/>
      <c r="B4719" s="40"/>
      <c r="C4719" s="41"/>
      <c r="D4719" s="41"/>
      <c r="E4719" s="41"/>
      <c r="F4719" s="41"/>
      <c r="G4719" s="41"/>
      <c r="H4719" s="41"/>
      <c r="I4719" s="41"/>
      <c r="J4719" s="41"/>
      <c r="K4719" s="41"/>
      <c r="L4719" s="41"/>
      <c r="M4719" s="41"/>
      <c r="N4719" s="41"/>
      <c r="O4719" s="41"/>
      <c r="P4719" s="28"/>
    </row>
    <row r="4720" customFormat="1" spans="1:16">
      <c r="A4720" s="39"/>
      <c r="B4720" s="40"/>
      <c r="C4720" s="41"/>
      <c r="D4720" s="41"/>
      <c r="E4720" s="41"/>
      <c r="F4720" s="41"/>
      <c r="G4720" s="41"/>
      <c r="H4720" s="41"/>
      <c r="I4720" s="41"/>
      <c r="J4720" s="41"/>
      <c r="K4720" s="41"/>
      <c r="L4720" s="41"/>
      <c r="M4720" s="41"/>
      <c r="N4720" s="41"/>
      <c r="O4720" s="41"/>
      <c r="P4720" s="28"/>
    </row>
    <row r="4721" customFormat="1" spans="1:16">
      <c r="A4721" s="39"/>
      <c r="B4721" s="40"/>
      <c r="C4721" s="41"/>
      <c r="D4721" s="41"/>
      <c r="E4721" s="41"/>
      <c r="F4721" s="41"/>
      <c r="G4721" s="41"/>
      <c r="H4721" s="41"/>
      <c r="I4721" s="41"/>
      <c r="J4721" s="41"/>
      <c r="K4721" s="41"/>
      <c r="L4721" s="41"/>
      <c r="M4721" s="41"/>
      <c r="N4721" s="41"/>
      <c r="O4721" s="41"/>
      <c r="P4721" s="28"/>
    </row>
    <row r="4722" customFormat="1" spans="1:16">
      <c r="A4722" s="39"/>
      <c r="B4722" s="40"/>
      <c r="C4722" s="41"/>
      <c r="D4722" s="41"/>
      <c r="E4722" s="41"/>
      <c r="F4722" s="41"/>
      <c r="G4722" s="41"/>
      <c r="H4722" s="41"/>
      <c r="I4722" s="41"/>
      <c r="J4722" s="41"/>
      <c r="K4722" s="41"/>
      <c r="L4722" s="41"/>
      <c r="M4722" s="41"/>
      <c r="N4722" s="41"/>
      <c r="O4722" s="41"/>
      <c r="P4722" s="28"/>
    </row>
    <row r="4723" customFormat="1" spans="1:16">
      <c r="A4723" s="39"/>
      <c r="B4723" s="40"/>
      <c r="C4723" s="41"/>
      <c r="D4723" s="41"/>
      <c r="E4723" s="41"/>
      <c r="F4723" s="41"/>
      <c r="G4723" s="41"/>
      <c r="H4723" s="41"/>
      <c r="I4723" s="41"/>
      <c r="J4723" s="41"/>
      <c r="K4723" s="41"/>
      <c r="L4723" s="41"/>
      <c r="M4723" s="41"/>
      <c r="N4723" s="41"/>
      <c r="O4723" s="41"/>
      <c r="P4723" s="28"/>
    </row>
    <row r="4724" customFormat="1" spans="1:16">
      <c r="A4724" s="39"/>
      <c r="B4724" s="40"/>
      <c r="C4724" s="41"/>
      <c r="D4724" s="41"/>
      <c r="E4724" s="41"/>
      <c r="F4724" s="41"/>
      <c r="G4724" s="41"/>
      <c r="H4724" s="41"/>
      <c r="I4724" s="41"/>
      <c r="J4724" s="41"/>
      <c r="K4724" s="41"/>
      <c r="L4724" s="41"/>
      <c r="M4724" s="41"/>
      <c r="N4724" s="41"/>
      <c r="O4724" s="41"/>
      <c r="P4724" s="28"/>
    </row>
    <row r="4725" customFormat="1" spans="1:16">
      <c r="A4725" s="39"/>
      <c r="B4725" s="40"/>
      <c r="C4725" s="41"/>
      <c r="D4725" s="41"/>
      <c r="E4725" s="41"/>
      <c r="F4725" s="41"/>
      <c r="G4725" s="41"/>
      <c r="H4725" s="41"/>
      <c r="I4725" s="41"/>
      <c r="J4725" s="41"/>
      <c r="K4725" s="41"/>
      <c r="L4725" s="41"/>
      <c r="M4725" s="41"/>
      <c r="N4725" s="41"/>
      <c r="O4725" s="41"/>
      <c r="P4725" s="28"/>
    </row>
    <row r="4726" customFormat="1" spans="1:16">
      <c r="A4726" s="39"/>
      <c r="B4726" s="40"/>
      <c r="C4726" s="41"/>
      <c r="D4726" s="41"/>
      <c r="E4726" s="41"/>
      <c r="F4726" s="41"/>
      <c r="G4726" s="41"/>
      <c r="H4726" s="41"/>
      <c r="I4726" s="41"/>
      <c r="J4726" s="41"/>
      <c r="K4726" s="41"/>
      <c r="L4726" s="41"/>
      <c r="M4726" s="41"/>
      <c r="N4726" s="41"/>
      <c r="O4726" s="41"/>
      <c r="P4726" s="28"/>
    </row>
    <row r="4727" customFormat="1" spans="1:16">
      <c r="A4727" s="39"/>
      <c r="B4727" s="40"/>
      <c r="C4727" s="41"/>
      <c r="D4727" s="41"/>
      <c r="E4727" s="41"/>
      <c r="F4727" s="41"/>
      <c r="G4727" s="41"/>
      <c r="H4727" s="41"/>
      <c r="I4727" s="41"/>
      <c r="J4727" s="41"/>
      <c r="K4727" s="41"/>
      <c r="L4727" s="41"/>
      <c r="M4727" s="41"/>
      <c r="N4727" s="41"/>
      <c r="O4727" s="41"/>
      <c r="P4727" s="28"/>
    </row>
    <row r="4728" customFormat="1" spans="1:16">
      <c r="A4728" s="39"/>
      <c r="B4728" s="40"/>
      <c r="C4728" s="41"/>
      <c r="D4728" s="41"/>
      <c r="E4728" s="41"/>
      <c r="F4728" s="41"/>
      <c r="G4728" s="41"/>
      <c r="H4728" s="41"/>
      <c r="I4728" s="41"/>
      <c r="J4728" s="41"/>
      <c r="K4728" s="41"/>
      <c r="L4728" s="41"/>
      <c r="M4728" s="41"/>
      <c r="N4728" s="41"/>
      <c r="O4728" s="41"/>
      <c r="P4728" s="28"/>
    </row>
    <row r="4729" customFormat="1" spans="1:16">
      <c r="A4729" s="39"/>
      <c r="B4729" s="40"/>
      <c r="C4729" s="41"/>
      <c r="D4729" s="41"/>
      <c r="E4729" s="41"/>
      <c r="F4729" s="41"/>
      <c r="G4729" s="41"/>
      <c r="H4729" s="41"/>
      <c r="I4729" s="41"/>
      <c r="J4729" s="41"/>
      <c r="K4729" s="41"/>
      <c r="L4729" s="41"/>
      <c r="M4729" s="41"/>
      <c r="N4729" s="41"/>
      <c r="O4729" s="41"/>
      <c r="P4729" s="28"/>
    </row>
    <row r="4730" customFormat="1" spans="1:16">
      <c r="A4730" s="39"/>
      <c r="B4730" s="40"/>
      <c r="C4730" s="41"/>
      <c r="D4730" s="41"/>
      <c r="E4730" s="41"/>
      <c r="F4730" s="41"/>
      <c r="G4730" s="41"/>
      <c r="H4730" s="41"/>
      <c r="I4730" s="41"/>
      <c r="J4730" s="41"/>
      <c r="K4730" s="41"/>
      <c r="L4730" s="41"/>
      <c r="M4730" s="41"/>
      <c r="N4730" s="41"/>
      <c r="O4730" s="41"/>
      <c r="P4730" s="28"/>
    </row>
    <row r="4731" customFormat="1" spans="1:16">
      <c r="A4731" s="39"/>
      <c r="B4731" s="40"/>
      <c r="C4731" s="41"/>
      <c r="D4731" s="41"/>
      <c r="E4731" s="41"/>
      <c r="F4731" s="41"/>
      <c r="G4731" s="41"/>
      <c r="H4731" s="41"/>
      <c r="I4731" s="41"/>
      <c r="J4731" s="41"/>
      <c r="K4731" s="41"/>
      <c r="L4731" s="41"/>
      <c r="M4731" s="41"/>
      <c r="N4731" s="41"/>
      <c r="O4731" s="41"/>
      <c r="P4731" s="28"/>
    </row>
    <row r="4732" customFormat="1" spans="1:16">
      <c r="A4732" s="39"/>
      <c r="B4732" s="40"/>
      <c r="C4732" s="41"/>
      <c r="D4732" s="41"/>
      <c r="E4732" s="41"/>
      <c r="F4732" s="41"/>
      <c r="G4732" s="41"/>
      <c r="H4732" s="41"/>
      <c r="I4732" s="41"/>
      <c r="J4732" s="41"/>
      <c r="K4732" s="41"/>
      <c r="L4732" s="41"/>
      <c r="M4732" s="41"/>
      <c r="N4732" s="41"/>
      <c r="O4732" s="41"/>
      <c r="P4732" s="28"/>
    </row>
    <row r="4733" customFormat="1" spans="1:16">
      <c r="A4733" s="39"/>
      <c r="B4733" s="40"/>
      <c r="C4733" s="41"/>
      <c r="D4733" s="41"/>
      <c r="E4733" s="41"/>
      <c r="F4733" s="41"/>
      <c r="G4733" s="41"/>
      <c r="H4733" s="41"/>
      <c r="I4733" s="41"/>
      <c r="J4733" s="41"/>
      <c r="K4733" s="41"/>
      <c r="L4733" s="41"/>
      <c r="M4733" s="41"/>
      <c r="N4733" s="41"/>
      <c r="O4733" s="41"/>
      <c r="P4733" s="28"/>
    </row>
    <row r="4734" customFormat="1" spans="1:16">
      <c r="A4734" s="39"/>
      <c r="B4734" s="40"/>
      <c r="C4734" s="41"/>
      <c r="D4734" s="41"/>
      <c r="E4734" s="41"/>
      <c r="F4734" s="41"/>
      <c r="G4734" s="41"/>
      <c r="H4734" s="41"/>
      <c r="I4734" s="41"/>
      <c r="J4734" s="41"/>
      <c r="K4734" s="41"/>
      <c r="L4734" s="41"/>
      <c r="M4734" s="41"/>
      <c r="N4734" s="41"/>
      <c r="O4734" s="41"/>
      <c r="P4734" s="28"/>
    </row>
    <row r="4735" customFormat="1" spans="1:16">
      <c r="A4735" s="39"/>
      <c r="B4735" s="40"/>
      <c r="C4735" s="41"/>
      <c r="D4735" s="41"/>
      <c r="E4735" s="41"/>
      <c r="F4735" s="41"/>
      <c r="G4735" s="41"/>
      <c r="H4735" s="41"/>
      <c r="I4735" s="41"/>
      <c r="J4735" s="41"/>
      <c r="K4735" s="41"/>
      <c r="L4735" s="41"/>
      <c r="M4735" s="41"/>
      <c r="N4735" s="41"/>
      <c r="O4735" s="41"/>
      <c r="P4735" s="28"/>
    </row>
    <row r="4736" customFormat="1" spans="1:16">
      <c r="A4736" s="39"/>
      <c r="B4736" s="40"/>
      <c r="C4736" s="41"/>
      <c r="D4736" s="41"/>
      <c r="E4736" s="41"/>
      <c r="F4736" s="41"/>
      <c r="G4736" s="41"/>
      <c r="H4736" s="41"/>
      <c r="I4736" s="41"/>
      <c r="J4736" s="41"/>
      <c r="K4736" s="41"/>
      <c r="L4736" s="41"/>
      <c r="M4736" s="41"/>
      <c r="N4736" s="41"/>
      <c r="O4736" s="41"/>
      <c r="P4736" s="28"/>
    </row>
    <row r="4737" customFormat="1" spans="1:16">
      <c r="A4737" s="39"/>
      <c r="B4737" s="40"/>
      <c r="C4737" s="41"/>
      <c r="D4737" s="41"/>
      <c r="E4737" s="41"/>
      <c r="F4737" s="41"/>
      <c r="G4737" s="41"/>
      <c r="H4737" s="41"/>
      <c r="I4737" s="41"/>
      <c r="J4737" s="41"/>
      <c r="K4737" s="41"/>
      <c r="L4737" s="41"/>
      <c r="M4737" s="41"/>
      <c r="N4737" s="41"/>
      <c r="O4737" s="41"/>
      <c r="P4737" s="28"/>
    </row>
    <row r="4738" customFormat="1" spans="1:16">
      <c r="A4738" s="39"/>
      <c r="B4738" s="40"/>
      <c r="C4738" s="41"/>
      <c r="D4738" s="41"/>
      <c r="E4738" s="41"/>
      <c r="F4738" s="41"/>
      <c r="G4738" s="41"/>
      <c r="H4738" s="41"/>
      <c r="I4738" s="41"/>
      <c r="J4738" s="41"/>
      <c r="K4738" s="41"/>
      <c r="L4738" s="41"/>
      <c r="M4738" s="41"/>
      <c r="N4738" s="41"/>
      <c r="O4738" s="41"/>
      <c r="P4738" s="28"/>
    </row>
    <row r="4739" customFormat="1" spans="1:16">
      <c r="A4739" s="39"/>
      <c r="B4739" s="40"/>
      <c r="C4739" s="41"/>
      <c r="D4739" s="41"/>
      <c r="E4739" s="41"/>
      <c r="F4739" s="41"/>
      <c r="G4739" s="41"/>
      <c r="H4739" s="41"/>
      <c r="I4739" s="41"/>
      <c r="J4739" s="41"/>
      <c r="K4739" s="41"/>
      <c r="L4739" s="41"/>
      <c r="M4739" s="41"/>
      <c r="N4739" s="41"/>
      <c r="O4739" s="41"/>
      <c r="P4739" s="28"/>
    </row>
    <row r="4740" customFormat="1" spans="1:16">
      <c r="A4740" s="39"/>
      <c r="B4740" s="40"/>
      <c r="C4740" s="41"/>
      <c r="D4740" s="41"/>
      <c r="E4740" s="41"/>
      <c r="F4740" s="41"/>
      <c r="G4740" s="41"/>
      <c r="H4740" s="41"/>
      <c r="I4740" s="41"/>
      <c r="J4740" s="41"/>
      <c r="K4740" s="41"/>
      <c r="L4740" s="41"/>
      <c r="M4740" s="41"/>
      <c r="N4740" s="41"/>
      <c r="O4740" s="41"/>
      <c r="P4740" s="28"/>
    </row>
    <row r="4741" customFormat="1" spans="1:16">
      <c r="A4741" s="39"/>
      <c r="B4741" s="40"/>
      <c r="C4741" s="41"/>
      <c r="D4741" s="41"/>
      <c r="E4741" s="41"/>
      <c r="F4741" s="41"/>
      <c r="G4741" s="41"/>
      <c r="H4741" s="41"/>
      <c r="I4741" s="41"/>
      <c r="J4741" s="41"/>
      <c r="K4741" s="41"/>
      <c r="L4741" s="41"/>
      <c r="M4741" s="41"/>
      <c r="N4741" s="41"/>
      <c r="O4741" s="41"/>
      <c r="P4741" s="28"/>
    </row>
    <row r="4742" customFormat="1" spans="1:16">
      <c r="A4742" s="39"/>
      <c r="B4742" s="40"/>
      <c r="C4742" s="41"/>
      <c r="D4742" s="41"/>
      <c r="E4742" s="41"/>
      <c r="F4742" s="41"/>
      <c r="G4742" s="41"/>
      <c r="H4742" s="41"/>
      <c r="I4742" s="41"/>
      <c r="J4742" s="41"/>
      <c r="K4742" s="41"/>
      <c r="L4742" s="41"/>
      <c r="M4742" s="41"/>
      <c r="N4742" s="41"/>
      <c r="O4742" s="41"/>
      <c r="P4742" s="28"/>
    </row>
    <row r="4743" customFormat="1" spans="1:16">
      <c r="A4743" s="39"/>
      <c r="B4743" s="40"/>
      <c r="C4743" s="41"/>
      <c r="D4743" s="41"/>
      <c r="E4743" s="41"/>
      <c r="F4743" s="41"/>
      <c r="G4743" s="41"/>
      <c r="H4743" s="41"/>
      <c r="I4743" s="41"/>
      <c r="J4743" s="41"/>
      <c r="K4743" s="41"/>
      <c r="L4743" s="41"/>
      <c r="M4743" s="41"/>
      <c r="N4743" s="41"/>
      <c r="O4743" s="41"/>
      <c r="P4743" s="28"/>
    </row>
    <row r="4744" customFormat="1" spans="1:16">
      <c r="A4744" s="39"/>
      <c r="B4744" s="40"/>
      <c r="C4744" s="41"/>
      <c r="D4744" s="41"/>
      <c r="E4744" s="41"/>
      <c r="F4744" s="41"/>
      <c r="G4744" s="41"/>
      <c r="H4744" s="41"/>
      <c r="I4744" s="41"/>
      <c r="J4744" s="41"/>
      <c r="K4744" s="41"/>
      <c r="L4744" s="41"/>
      <c r="M4744" s="41"/>
      <c r="N4744" s="41"/>
      <c r="O4744" s="41"/>
      <c r="P4744" s="28"/>
    </row>
    <row r="4745" customFormat="1" spans="1:16">
      <c r="A4745" s="39"/>
      <c r="B4745" s="40"/>
      <c r="C4745" s="41"/>
      <c r="D4745" s="41"/>
      <c r="E4745" s="41"/>
      <c r="F4745" s="41"/>
      <c r="G4745" s="41"/>
      <c r="H4745" s="41"/>
      <c r="I4745" s="41"/>
      <c r="J4745" s="41"/>
      <c r="K4745" s="41"/>
      <c r="L4745" s="41"/>
      <c r="M4745" s="41"/>
      <c r="N4745" s="41"/>
      <c r="O4745" s="41"/>
      <c r="P4745" s="28"/>
    </row>
    <row r="4746" customFormat="1" spans="1:16">
      <c r="A4746" s="39"/>
      <c r="B4746" s="40"/>
      <c r="C4746" s="41"/>
      <c r="D4746" s="41"/>
      <c r="E4746" s="41"/>
      <c r="F4746" s="41"/>
      <c r="G4746" s="41"/>
      <c r="H4746" s="41"/>
      <c r="I4746" s="41"/>
      <c r="J4746" s="41"/>
      <c r="K4746" s="41"/>
      <c r="L4746" s="41"/>
      <c r="M4746" s="41"/>
      <c r="N4746" s="41"/>
      <c r="O4746" s="41"/>
      <c r="P4746" s="28"/>
    </row>
    <row r="4747" customFormat="1" spans="1:16">
      <c r="A4747" s="39"/>
      <c r="B4747" s="40"/>
      <c r="C4747" s="41"/>
      <c r="D4747" s="41"/>
      <c r="E4747" s="41"/>
      <c r="F4747" s="41"/>
      <c r="G4747" s="41"/>
      <c r="H4747" s="41"/>
      <c r="I4747" s="41"/>
      <c r="J4747" s="41"/>
      <c r="K4747" s="41"/>
      <c r="L4747" s="41"/>
      <c r="M4747" s="41"/>
      <c r="N4747" s="41"/>
      <c r="O4747" s="41"/>
      <c r="P4747" s="28"/>
    </row>
    <row r="4748" customFormat="1" spans="1:16">
      <c r="A4748" s="39"/>
      <c r="B4748" s="40"/>
      <c r="C4748" s="41"/>
      <c r="D4748" s="41"/>
      <c r="E4748" s="41"/>
      <c r="F4748" s="41"/>
      <c r="G4748" s="41"/>
      <c r="H4748" s="41"/>
      <c r="I4748" s="41"/>
      <c r="J4748" s="41"/>
      <c r="K4748" s="41"/>
      <c r="L4748" s="41"/>
      <c r="M4748" s="41"/>
      <c r="N4748" s="41"/>
      <c r="O4748" s="41"/>
      <c r="P4748" s="28"/>
    </row>
    <row r="4749" customFormat="1" spans="1:16">
      <c r="A4749" s="39"/>
      <c r="B4749" s="40"/>
      <c r="C4749" s="41"/>
      <c r="D4749" s="41"/>
      <c r="E4749" s="41"/>
      <c r="F4749" s="41"/>
      <c r="G4749" s="41"/>
      <c r="H4749" s="41"/>
      <c r="I4749" s="41"/>
      <c r="J4749" s="41"/>
      <c r="K4749" s="41"/>
      <c r="L4749" s="41"/>
      <c r="M4749" s="41"/>
      <c r="N4749" s="41"/>
      <c r="O4749" s="41"/>
      <c r="P4749" s="28"/>
    </row>
    <row r="4750" customFormat="1" spans="1:16">
      <c r="A4750" s="39"/>
      <c r="B4750" s="40"/>
      <c r="C4750" s="41"/>
      <c r="D4750" s="41"/>
      <c r="E4750" s="41"/>
      <c r="F4750" s="41"/>
      <c r="G4750" s="41"/>
      <c r="H4750" s="41"/>
      <c r="I4750" s="41"/>
      <c r="J4750" s="41"/>
      <c r="K4750" s="41"/>
      <c r="L4750" s="41"/>
      <c r="M4750" s="41"/>
      <c r="N4750" s="41"/>
      <c r="O4750" s="41"/>
      <c r="P4750" s="28"/>
    </row>
    <row r="4751" customFormat="1" spans="1:16">
      <c r="A4751" s="39"/>
      <c r="B4751" s="40"/>
      <c r="C4751" s="41"/>
      <c r="D4751" s="41"/>
      <c r="E4751" s="41"/>
      <c r="F4751" s="41"/>
      <c r="G4751" s="41"/>
      <c r="H4751" s="41"/>
      <c r="I4751" s="41"/>
      <c r="J4751" s="41"/>
      <c r="K4751" s="41"/>
      <c r="L4751" s="41"/>
      <c r="M4751" s="41"/>
      <c r="N4751" s="41"/>
      <c r="O4751" s="41"/>
      <c r="P4751" s="28"/>
    </row>
    <row r="4752" customFormat="1" spans="1:16">
      <c r="A4752" s="39"/>
      <c r="B4752" s="40"/>
      <c r="C4752" s="41"/>
      <c r="D4752" s="41"/>
      <c r="E4752" s="41"/>
      <c r="F4752" s="41"/>
      <c r="G4752" s="41"/>
      <c r="H4752" s="41"/>
      <c r="I4752" s="41"/>
      <c r="J4752" s="41"/>
      <c r="K4752" s="41"/>
      <c r="L4752" s="41"/>
      <c r="M4752" s="41"/>
      <c r="N4752" s="41"/>
      <c r="O4752" s="41"/>
      <c r="P4752" s="28"/>
    </row>
    <row r="4753" customFormat="1" spans="1:16">
      <c r="A4753" s="39"/>
      <c r="B4753" s="40"/>
      <c r="C4753" s="41"/>
      <c r="D4753" s="41"/>
      <c r="E4753" s="41"/>
      <c r="F4753" s="41"/>
      <c r="G4753" s="41"/>
      <c r="H4753" s="41"/>
      <c r="I4753" s="41"/>
      <c r="J4753" s="41"/>
      <c r="K4753" s="41"/>
      <c r="L4753" s="41"/>
      <c r="M4753" s="41"/>
      <c r="N4753" s="41"/>
      <c r="O4753" s="41"/>
      <c r="P4753" s="28"/>
    </row>
    <row r="4754" customFormat="1" spans="1:16">
      <c r="A4754" s="39"/>
      <c r="B4754" s="40"/>
      <c r="C4754" s="41"/>
      <c r="D4754" s="41"/>
      <c r="E4754" s="41"/>
      <c r="F4754" s="41"/>
      <c r="G4754" s="41"/>
      <c r="H4754" s="41"/>
      <c r="I4754" s="41"/>
      <c r="J4754" s="41"/>
      <c r="K4754" s="41"/>
      <c r="L4754" s="41"/>
      <c r="M4754" s="41"/>
      <c r="N4754" s="41"/>
      <c r="O4754" s="41"/>
      <c r="P4754" s="28"/>
    </row>
    <row r="4755" customFormat="1" spans="1:16">
      <c r="A4755" s="39"/>
      <c r="B4755" s="40"/>
      <c r="C4755" s="41"/>
      <c r="D4755" s="41"/>
      <c r="E4755" s="41"/>
      <c r="F4755" s="41"/>
      <c r="G4755" s="41"/>
      <c r="H4755" s="41"/>
      <c r="I4755" s="41"/>
      <c r="J4755" s="41"/>
      <c r="K4755" s="41"/>
      <c r="L4755" s="41"/>
      <c r="M4755" s="41"/>
      <c r="N4755" s="41"/>
      <c r="O4755" s="41"/>
      <c r="P4755" s="28"/>
    </row>
    <row r="4756" customFormat="1" spans="1:16">
      <c r="A4756" s="39"/>
      <c r="B4756" s="40"/>
      <c r="C4756" s="41"/>
      <c r="D4756" s="41"/>
      <c r="E4756" s="41"/>
      <c r="F4756" s="41"/>
      <c r="G4756" s="41"/>
      <c r="H4756" s="41"/>
      <c r="I4756" s="41"/>
      <c r="J4756" s="41"/>
      <c r="K4756" s="41"/>
      <c r="L4756" s="41"/>
      <c r="M4756" s="41"/>
      <c r="N4756" s="41"/>
      <c r="O4756" s="41"/>
      <c r="P4756" s="28"/>
    </row>
    <row r="4757" customFormat="1" spans="1:16">
      <c r="A4757" s="39"/>
      <c r="B4757" s="40"/>
      <c r="C4757" s="41"/>
      <c r="D4757" s="41"/>
      <c r="E4757" s="41"/>
      <c r="F4757" s="41"/>
      <c r="G4757" s="41"/>
      <c r="H4757" s="41"/>
      <c r="I4757" s="41"/>
      <c r="J4757" s="41"/>
      <c r="K4757" s="41"/>
      <c r="L4757" s="41"/>
      <c r="M4757" s="41"/>
      <c r="N4757" s="41"/>
      <c r="O4757" s="41"/>
      <c r="P4757" s="28"/>
    </row>
    <row r="4758" customFormat="1" spans="1:16">
      <c r="A4758" s="39"/>
      <c r="B4758" s="40"/>
      <c r="C4758" s="41"/>
      <c r="D4758" s="41"/>
      <c r="E4758" s="41"/>
      <c r="F4758" s="41"/>
      <c r="G4758" s="41"/>
      <c r="H4758" s="41"/>
      <c r="I4758" s="41"/>
      <c r="J4758" s="41"/>
      <c r="K4758" s="41"/>
      <c r="L4758" s="41"/>
      <c r="M4758" s="41"/>
      <c r="N4758" s="41"/>
      <c r="O4758" s="41"/>
      <c r="P4758" s="28"/>
    </row>
    <row r="4759" customFormat="1" spans="1:16">
      <c r="A4759" s="39"/>
      <c r="B4759" s="40"/>
      <c r="C4759" s="41"/>
      <c r="D4759" s="41"/>
      <c r="E4759" s="41"/>
      <c r="F4759" s="41"/>
      <c r="G4759" s="41"/>
      <c r="H4759" s="41"/>
      <c r="I4759" s="41"/>
      <c r="J4759" s="41"/>
      <c r="K4759" s="41"/>
      <c r="L4759" s="41"/>
      <c r="M4759" s="41"/>
      <c r="N4759" s="41"/>
      <c r="O4759" s="41"/>
      <c r="P4759" s="28"/>
    </row>
    <row r="4760" customFormat="1" spans="1:16">
      <c r="A4760" s="39"/>
      <c r="B4760" s="40"/>
      <c r="C4760" s="41"/>
      <c r="D4760" s="41"/>
      <c r="E4760" s="41"/>
      <c r="F4760" s="41"/>
      <c r="G4760" s="41"/>
      <c r="H4760" s="41"/>
      <c r="I4760" s="41"/>
      <c r="J4760" s="41"/>
      <c r="K4760" s="41"/>
      <c r="L4760" s="41"/>
      <c r="M4760" s="41"/>
      <c r="N4760" s="41"/>
      <c r="O4760" s="41"/>
      <c r="P4760" s="28"/>
    </row>
    <row r="4761" customFormat="1" spans="1:16">
      <c r="A4761" s="39"/>
      <c r="B4761" s="40"/>
      <c r="C4761" s="41"/>
      <c r="D4761" s="41"/>
      <c r="E4761" s="41"/>
      <c r="F4761" s="41"/>
      <c r="G4761" s="41"/>
      <c r="H4761" s="41"/>
      <c r="I4761" s="41"/>
      <c r="J4761" s="41"/>
      <c r="K4761" s="41"/>
      <c r="L4761" s="41"/>
      <c r="M4761" s="41"/>
      <c r="N4761" s="41"/>
      <c r="O4761" s="41"/>
      <c r="P4761" s="28"/>
    </row>
    <row r="4762" customFormat="1" spans="1:16">
      <c r="A4762" s="39"/>
      <c r="B4762" s="40"/>
      <c r="C4762" s="41"/>
      <c r="D4762" s="41"/>
      <c r="E4762" s="41"/>
      <c r="F4762" s="41"/>
      <c r="G4762" s="41"/>
      <c r="H4762" s="41"/>
      <c r="I4762" s="41"/>
      <c r="J4762" s="41"/>
      <c r="K4762" s="41"/>
      <c r="L4762" s="41"/>
      <c r="M4762" s="41"/>
      <c r="N4762" s="41"/>
      <c r="O4762" s="41"/>
      <c r="P4762" s="28"/>
    </row>
    <row r="4763" customFormat="1" spans="1:16">
      <c r="A4763" s="39"/>
      <c r="B4763" s="40"/>
      <c r="C4763" s="41"/>
      <c r="D4763" s="41"/>
      <c r="E4763" s="41"/>
      <c r="F4763" s="41"/>
      <c r="G4763" s="41"/>
      <c r="H4763" s="41"/>
      <c r="I4763" s="41"/>
      <c r="J4763" s="41"/>
      <c r="K4763" s="41"/>
      <c r="L4763" s="41"/>
      <c r="M4763" s="41"/>
      <c r="N4763" s="41"/>
      <c r="O4763" s="41"/>
      <c r="P4763" s="28"/>
    </row>
    <row r="4764" customFormat="1" spans="1:16">
      <c r="A4764" s="39"/>
      <c r="B4764" s="40"/>
      <c r="C4764" s="41"/>
      <c r="D4764" s="41"/>
      <c r="E4764" s="41"/>
      <c r="F4764" s="41"/>
      <c r="G4764" s="41"/>
      <c r="H4764" s="41"/>
      <c r="I4764" s="41"/>
      <c r="J4764" s="41"/>
      <c r="K4764" s="41"/>
      <c r="L4764" s="41"/>
      <c r="M4764" s="41"/>
      <c r="N4764" s="41"/>
      <c r="O4764" s="41"/>
      <c r="P4764" s="28"/>
    </row>
    <row r="4765" customFormat="1" spans="1:16">
      <c r="A4765" s="39"/>
      <c r="B4765" s="40"/>
      <c r="C4765" s="41"/>
      <c r="D4765" s="41"/>
      <c r="E4765" s="41"/>
      <c r="F4765" s="41"/>
      <c r="G4765" s="41"/>
      <c r="H4765" s="41"/>
      <c r="I4765" s="41"/>
      <c r="J4765" s="41"/>
      <c r="K4765" s="41"/>
      <c r="L4765" s="41"/>
      <c r="M4765" s="41"/>
      <c r="N4765" s="41"/>
      <c r="O4765" s="41"/>
      <c r="P4765" s="28"/>
    </row>
    <row r="4766" customFormat="1" spans="1:16">
      <c r="A4766" s="39"/>
      <c r="B4766" s="40"/>
      <c r="C4766" s="41"/>
      <c r="D4766" s="41"/>
      <c r="E4766" s="41"/>
      <c r="F4766" s="41"/>
      <c r="G4766" s="41"/>
      <c r="H4766" s="41"/>
      <c r="I4766" s="41"/>
      <c r="J4766" s="41"/>
      <c r="K4766" s="41"/>
      <c r="L4766" s="41"/>
      <c r="M4766" s="41"/>
      <c r="N4766" s="41"/>
      <c r="O4766" s="41"/>
      <c r="P4766" s="28"/>
    </row>
    <row r="4767" customFormat="1" spans="1:16">
      <c r="A4767" s="39"/>
      <c r="B4767" s="40"/>
      <c r="C4767" s="41"/>
      <c r="D4767" s="41"/>
      <c r="E4767" s="41"/>
      <c r="F4767" s="41"/>
      <c r="G4767" s="41"/>
      <c r="H4767" s="41"/>
      <c r="I4767" s="41"/>
      <c r="J4767" s="41"/>
      <c r="K4767" s="41"/>
      <c r="L4767" s="41"/>
      <c r="M4767" s="41"/>
      <c r="N4767" s="41"/>
      <c r="O4767" s="41"/>
      <c r="P4767" s="28"/>
    </row>
    <row r="4768" customFormat="1" spans="1:16">
      <c r="A4768" s="39"/>
      <c r="B4768" s="40"/>
      <c r="C4768" s="41"/>
      <c r="D4768" s="41"/>
      <c r="E4768" s="41"/>
      <c r="F4768" s="41"/>
      <c r="G4768" s="41"/>
      <c r="H4768" s="41"/>
      <c r="I4768" s="41"/>
      <c r="J4768" s="41"/>
      <c r="K4768" s="41"/>
      <c r="L4768" s="41"/>
      <c r="M4768" s="41"/>
      <c r="N4768" s="41"/>
      <c r="O4768" s="41"/>
      <c r="P4768" s="28"/>
    </row>
    <row r="4769" customFormat="1" spans="1:16">
      <c r="A4769" s="39"/>
      <c r="B4769" s="40"/>
      <c r="C4769" s="41"/>
      <c r="D4769" s="41"/>
      <c r="E4769" s="41"/>
      <c r="F4769" s="41"/>
      <c r="G4769" s="41"/>
      <c r="H4769" s="41"/>
      <c r="I4769" s="41"/>
      <c r="J4769" s="41"/>
      <c r="K4769" s="41"/>
      <c r="L4769" s="41"/>
      <c r="M4769" s="41"/>
      <c r="N4769" s="41"/>
      <c r="O4769" s="41"/>
      <c r="P4769" s="28"/>
    </row>
    <row r="4770" customFormat="1" spans="1:16">
      <c r="A4770" s="39"/>
      <c r="B4770" s="40"/>
      <c r="C4770" s="41"/>
      <c r="D4770" s="41"/>
      <c r="E4770" s="41"/>
      <c r="F4770" s="41"/>
      <c r="G4770" s="41"/>
      <c r="H4770" s="41"/>
      <c r="I4770" s="41"/>
      <c r="J4770" s="41"/>
      <c r="K4770" s="41"/>
      <c r="L4770" s="41"/>
      <c r="M4770" s="41"/>
      <c r="N4770" s="41"/>
      <c r="O4770" s="41"/>
      <c r="P4770" s="28"/>
    </row>
    <row r="4771" customFormat="1" spans="1:16">
      <c r="A4771" s="39"/>
      <c r="B4771" s="40"/>
      <c r="C4771" s="41"/>
      <c r="D4771" s="41"/>
      <c r="E4771" s="41"/>
      <c r="F4771" s="41"/>
      <c r="G4771" s="41"/>
      <c r="H4771" s="41"/>
      <c r="I4771" s="41"/>
      <c r="J4771" s="41"/>
      <c r="K4771" s="41"/>
      <c r="L4771" s="41"/>
      <c r="M4771" s="41"/>
      <c r="N4771" s="41"/>
      <c r="O4771" s="41"/>
      <c r="P4771" s="28"/>
    </row>
    <row r="4772" customFormat="1" spans="1:16">
      <c r="A4772" s="39"/>
      <c r="B4772" s="40"/>
      <c r="C4772" s="41"/>
      <c r="D4772" s="41"/>
      <c r="E4772" s="41"/>
      <c r="F4772" s="41"/>
      <c r="G4772" s="41"/>
      <c r="H4772" s="41"/>
      <c r="I4772" s="41"/>
      <c r="J4772" s="41"/>
      <c r="K4772" s="41"/>
      <c r="L4772" s="41"/>
      <c r="M4772" s="41"/>
      <c r="N4772" s="41"/>
      <c r="O4772" s="41"/>
      <c r="P4772" s="28"/>
    </row>
    <row r="4773" customFormat="1" spans="1:16">
      <c r="A4773" s="39"/>
      <c r="B4773" s="40"/>
      <c r="C4773" s="41"/>
      <c r="D4773" s="41"/>
      <c r="E4773" s="41"/>
      <c r="F4773" s="41"/>
      <c r="G4773" s="41"/>
      <c r="H4773" s="41"/>
      <c r="I4773" s="41"/>
      <c r="J4773" s="41"/>
      <c r="K4773" s="41"/>
      <c r="L4773" s="41"/>
      <c r="M4773" s="41"/>
      <c r="N4773" s="41"/>
      <c r="O4773" s="41"/>
      <c r="P4773" s="28"/>
    </row>
    <row r="4774" customFormat="1" spans="1:16">
      <c r="A4774" s="39"/>
      <c r="B4774" s="40"/>
      <c r="C4774" s="41"/>
      <c r="D4774" s="41"/>
      <c r="E4774" s="41"/>
      <c r="F4774" s="41"/>
      <c r="G4774" s="41"/>
      <c r="H4774" s="41"/>
      <c r="I4774" s="41"/>
      <c r="J4774" s="41"/>
      <c r="K4774" s="41"/>
      <c r="L4774" s="41"/>
      <c r="M4774" s="41"/>
      <c r="N4774" s="41"/>
      <c r="O4774" s="41"/>
      <c r="P4774" s="28"/>
    </row>
    <row r="4775" customFormat="1" spans="1:16">
      <c r="A4775" s="39"/>
      <c r="B4775" s="40"/>
      <c r="C4775" s="41"/>
      <c r="D4775" s="41"/>
      <c r="E4775" s="41"/>
      <c r="F4775" s="41"/>
      <c r="G4775" s="41"/>
      <c r="H4775" s="41"/>
      <c r="I4775" s="41"/>
      <c r="J4775" s="41"/>
      <c r="K4775" s="41"/>
      <c r="L4775" s="41"/>
      <c r="M4775" s="41"/>
      <c r="N4775" s="41"/>
      <c r="O4775" s="41"/>
      <c r="P4775" s="28"/>
    </row>
    <row r="4776" customFormat="1" spans="1:16">
      <c r="A4776" s="39"/>
      <c r="B4776" s="40"/>
      <c r="C4776" s="41"/>
      <c r="D4776" s="41"/>
      <c r="E4776" s="41"/>
      <c r="F4776" s="41"/>
      <c r="G4776" s="41"/>
      <c r="H4776" s="41"/>
      <c r="I4776" s="41"/>
      <c r="J4776" s="41"/>
      <c r="K4776" s="41"/>
      <c r="L4776" s="41"/>
      <c r="M4776" s="41"/>
      <c r="N4776" s="41"/>
      <c r="O4776" s="41"/>
      <c r="P4776" s="28"/>
    </row>
    <row r="4777" customFormat="1" spans="1:16">
      <c r="A4777" s="39"/>
      <c r="B4777" s="40"/>
      <c r="C4777" s="41"/>
      <c r="D4777" s="41"/>
      <c r="E4777" s="41"/>
      <c r="F4777" s="41"/>
      <c r="G4777" s="41"/>
      <c r="H4777" s="41"/>
      <c r="I4777" s="41"/>
      <c r="J4777" s="41"/>
      <c r="K4777" s="41"/>
      <c r="L4777" s="41"/>
      <c r="M4777" s="41"/>
      <c r="N4777" s="41"/>
      <c r="O4777" s="41"/>
      <c r="P4777" s="28"/>
    </row>
    <row r="4778" customFormat="1" spans="1:16">
      <c r="A4778" s="39"/>
      <c r="B4778" s="40"/>
      <c r="C4778" s="41"/>
      <c r="D4778" s="41"/>
      <c r="E4778" s="41"/>
      <c r="F4778" s="41"/>
      <c r="G4778" s="41"/>
      <c r="H4778" s="41"/>
      <c r="I4778" s="41"/>
      <c r="J4778" s="41"/>
      <c r="K4778" s="41"/>
      <c r="L4778" s="41"/>
      <c r="M4778" s="41"/>
      <c r="N4778" s="41"/>
      <c r="O4778" s="41"/>
      <c r="P4778" s="28"/>
    </row>
    <row r="4779" customFormat="1" spans="1:16">
      <c r="A4779" s="39"/>
      <c r="B4779" s="40"/>
      <c r="C4779" s="41"/>
      <c r="D4779" s="41"/>
      <c r="E4779" s="41"/>
      <c r="F4779" s="41"/>
      <c r="G4779" s="41"/>
      <c r="H4779" s="41"/>
      <c r="I4779" s="41"/>
      <c r="J4779" s="41"/>
      <c r="K4779" s="41"/>
      <c r="L4779" s="41"/>
      <c r="M4779" s="41"/>
      <c r="N4779" s="41"/>
      <c r="O4779" s="41"/>
      <c r="P4779" s="28"/>
    </row>
    <row r="4780" customFormat="1" spans="1:16">
      <c r="A4780" s="39"/>
      <c r="B4780" s="40"/>
      <c r="C4780" s="41"/>
      <c r="D4780" s="41"/>
      <c r="E4780" s="41"/>
      <c r="F4780" s="41"/>
      <c r="G4780" s="41"/>
      <c r="H4780" s="41"/>
      <c r="I4780" s="41"/>
      <c r="J4780" s="41"/>
      <c r="K4780" s="41"/>
      <c r="L4780" s="41"/>
      <c r="M4780" s="41"/>
      <c r="N4780" s="41"/>
      <c r="O4780" s="41"/>
      <c r="P4780" s="28"/>
    </row>
    <row r="4781" customFormat="1" spans="1:16">
      <c r="A4781" s="39"/>
      <c r="B4781" s="40"/>
      <c r="C4781" s="41"/>
      <c r="D4781" s="41"/>
      <c r="E4781" s="41"/>
      <c r="F4781" s="41"/>
      <c r="G4781" s="41"/>
      <c r="H4781" s="41"/>
      <c r="I4781" s="41"/>
      <c r="J4781" s="41"/>
      <c r="K4781" s="41"/>
      <c r="L4781" s="41"/>
      <c r="M4781" s="41"/>
      <c r="N4781" s="41"/>
      <c r="O4781" s="41"/>
      <c r="P4781" s="28"/>
    </row>
    <row r="4782" customFormat="1" spans="1:16">
      <c r="A4782" s="39"/>
      <c r="B4782" s="40"/>
      <c r="C4782" s="41"/>
      <c r="D4782" s="41"/>
      <c r="E4782" s="41"/>
      <c r="F4782" s="41"/>
      <c r="G4782" s="41"/>
      <c r="H4782" s="41"/>
      <c r="I4782" s="41"/>
      <c r="J4782" s="41"/>
      <c r="K4782" s="41"/>
      <c r="L4782" s="41"/>
      <c r="M4782" s="41"/>
      <c r="N4782" s="41"/>
      <c r="O4782" s="41"/>
      <c r="P4782" s="28"/>
    </row>
    <row r="4783" customFormat="1" spans="1:16">
      <c r="A4783" s="39"/>
      <c r="B4783" s="40"/>
      <c r="C4783" s="41"/>
      <c r="D4783" s="41"/>
      <c r="E4783" s="41"/>
      <c r="F4783" s="41"/>
      <c r="G4783" s="41"/>
      <c r="H4783" s="41"/>
      <c r="I4783" s="41"/>
      <c r="J4783" s="41"/>
      <c r="K4783" s="41"/>
      <c r="L4783" s="41"/>
      <c r="M4783" s="41"/>
      <c r="N4783" s="41"/>
      <c r="O4783" s="41"/>
      <c r="P4783" s="28"/>
    </row>
    <row r="4784" customFormat="1" spans="1:16">
      <c r="A4784" s="39"/>
      <c r="B4784" s="40"/>
      <c r="C4784" s="41"/>
      <c r="D4784" s="41"/>
      <c r="E4784" s="41"/>
      <c r="F4784" s="41"/>
      <c r="G4784" s="41"/>
      <c r="H4784" s="41"/>
      <c r="I4784" s="41"/>
      <c r="J4784" s="41"/>
      <c r="K4784" s="41"/>
      <c r="L4784" s="41"/>
      <c r="M4784" s="41"/>
      <c r="N4784" s="41"/>
      <c r="O4784" s="41"/>
      <c r="P4784" s="28"/>
    </row>
    <row r="4785" customFormat="1" spans="1:16">
      <c r="A4785" s="39"/>
      <c r="B4785" s="40"/>
      <c r="C4785" s="41"/>
      <c r="D4785" s="41"/>
      <c r="E4785" s="41"/>
      <c r="F4785" s="41"/>
      <c r="G4785" s="41"/>
      <c r="H4785" s="41"/>
      <c r="I4785" s="41"/>
      <c r="J4785" s="41"/>
      <c r="K4785" s="41"/>
      <c r="L4785" s="41"/>
      <c r="M4785" s="41"/>
      <c r="N4785" s="41"/>
      <c r="O4785" s="41"/>
      <c r="P4785" s="28"/>
    </row>
    <row r="4786" customFormat="1" spans="1:16">
      <c r="A4786" s="39"/>
      <c r="B4786" s="40"/>
      <c r="C4786" s="41"/>
      <c r="D4786" s="41"/>
      <c r="E4786" s="41"/>
      <c r="F4786" s="41"/>
      <c r="G4786" s="41"/>
      <c r="H4786" s="41"/>
      <c r="I4786" s="41"/>
      <c r="J4786" s="41"/>
      <c r="K4786" s="41"/>
      <c r="L4786" s="41"/>
      <c r="M4786" s="41"/>
      <c r="N4786" s="41"/>
      <c r="O4786" s="41"/>
      <c r="P4786" s="28"/>
    </row>
    <row r="4787" customFormat="1" spans="1:16">
      <c r="A4787" s="39"/>
      <c r="B4787" s="40"/>
      <c r="C4787" s="41"/>
      <c r="D4787" s="41"/>
      <c r="E4787" s="41"/>
      <c r="F4787" s="41"/>
      <c r="G4787" s="41"/>
      <c r="H4787" s="41"/>
      <c r="I4787" s="41"/>
      <c r="J4787" s="41"/>
      <c r="K4787" s="41"/>
      <c r="L4787" s="41"/>
      <c r="M4787" s="41"/>
      <c r="N4787" s="41"/>
      <c r="O4787" s="41"/>
      <c r="P4787" s="28"/>
    </row>
    <row r="4788" customFormat="1" spans="1:16">
      <c r="A4788" s="39"/>
      <c r="B4788" s="40"/>
      <c r="C4788" s="41"/>
      <c r="D4788" s="41"/>
      <c r="E4788" s="41"/>
      <c r="F4788" s="41"/>
      <c r="G4788" s="41"/>
      <c r="H4788" s="41"/>
      <c r="I4788" s="41"/>
      <c r="J4788" s="41"/>
      <c r="K4788" s="41"/>
      <c r="L4788" s="41"/>
      <c r="M4788" s="41"/>
      <c r="N4788" s="41"/>
      <c r="O4788" s="41"/>
      <c r="P4788" s="28"/>
    </row>
    <row r="4789" customFormat="1" spans="1:16">
      <c r="A4789" s="39"/>
      <c r="B4789" s="40"/>
      <c r="C4789" s="41"/>
      <c r="D4789" s="41"/>
      <c r="E4789" s="41"/>
      <c r="F4789" s="41"/>
      <c r="G4789" s="41"/>
      <c r="H4789" s="41"/>
      <c r="I4789" s="41"/>
      <c r="J4789" s="41"/>
      <c r="K4789" s="41"/>
      <c r="L4789" s="41"/>
      <c r="M4789" s="41"/>
      <c r="N4789" s="41"/>
      <c r="O4789" s="41"/>
      <c r="P4789" s="28"/>
    </row>
    <row r="4790" customFormat="1" spans="1:16">
      <c r="A4790" s="39"/>
      <c r="B4790" s="40"/>
      <c r="C4790" s="41"/>
      <c r="D4790" s="41"/>
      <c r="E4790" s="41"/>
      <c r="F4790" s="41"/>
      <c r="G4790" s="41"/>
      <c r="H4790" s="41"/>
      <c r="I4790" s="41"/>
      <c r="J4790" s="41"/>
      <c r="K4790" s="41"/>
      <c r="L4790" s="41"/>
      <c r="M4790" s="41"/>
      <c r="N4790" s="41"/>
      <c r="O4790" s="41"/>
      <c r="P4790" s="28"/>
    </row>
    <row r="4791" customFormat="1" spans="1:16">
      <c r="A4791" s="39"/>
      <c r="B4791" s="40"/>
      <c r="C4791" s="41"/>
      <c r="D4791" s="41"/>
      <c r="E4791" s="41"/>
      <c r="F4791" s="41"/>
      <c r="G4791" s="41"/>
      <c r="H4791" s="41"/>
      <c r="I4791" s="41"/>
      <c r="J4791" s="41"/>
      <c r="K4791" s="41"/>
      <c r="L4791" s="41"/>
      <c r="M4791" s="41"/>
      <c r="N4791" s="41"/>
      <c r="O4791" s="41"/>
      <c r="P4791" s="28"/>
    </row>
    <row r="4792" customFormat="1" spans="1:16">
      <c r="A4792" s="39"/>
      <c r="B4792" s="40"/>
      <c r="C4792" s="41"/>
      <c r="D4792" s="41"/>
      <c r="E4792" s="41"/>
      <c r="F4792" s="41"/>
      <c r="G4792" s="41"/>
      <c r="H4792" s="41"/>
      <c r="I4792" s="41"/>
      <c r="J4792" s="41"/>
      <c r="K4792" s="41"/>
      <c r="L4792" s="41"/>
      <c r="M4792" s="41"/>
      <c r="N4792" s="41"/>
      <c r="O4792" s="41"/>
      <c r="P4792" s="28"/>
    </row>
    <row r="4793" customFormat="1" spans="1:16">
      <c r="A4793" s="39"/>
      <c r="B4793" s="40"/>
      <c r="C4793" s="41"/>
      <c r="D4793" s="41"/>
      <c r="E4793" s="41"/>
      <c r="F4793" s="41"/>
      <c r="G4793" s="41"/>
      <c r="H4793" s="41"/>
      <c r="I4793" s="41"/>
      <c r="J4793" s="41"/>
      <c r="K4793" s="41"/>
      <c r="L4793" s="41"/>
      <c r="M4793" s="41"/>
      <c r="N4793" s="41"/>
      <c r="O4793" s="41"/>
      <c r="P4793" s="28"/>
    </row>
    <row r="4794" customFormat="1" spans="1:16">
      <c r="A4794" s="39"/>
      <c r="B4794" s="40"/>
      <c r="C4794" s="41"/>
      <c r="D4794" s="41"/>
      <c r="E4794" s="41"/>
      <c r="F4794" s="41"/>
      <c r="G4794" s="41"/>
      <c r="H4794" s="41"/>
      <c r="I4794" s="41"/>
      <c r="J4794" s="41"/>
      <c r="K4794" s="41"/>
      <c r="L4794" s="41"/>
      <c r="M4794" s="41"/>
      <c r="N4794" s="41"/>
      <c r="O4794" s="41"/>
      <c r="P4794" s="28"/>
    </row>
    <row r="4795" customFormat="1" spans="1:16">
      <c r="A4795" s="39"/>
      <c r="B4795" s="40"/>
      <c r="C4795" s="41"/>
      <c r="D4795" s="41"/>
      <c r="E4795" s="41"/>
      <c r="F4795" s="41"/>
      <c r="G4795" s="41"/>
      <c r="H4795" s="41"/>
      <c r="I4795" s="41"/>
      <c r="J4795" s="41"/>
      <c r="K4795" s="41"/>
      <c r="L4795" s="41"/>
      <c r="M4795" s="41"/>
      <c r="N4795" s="41"/>
      <c r="O4795" s="41"/>
      <c r="P4795" s="28"/>
    </row>
    <row r="4796" customFormat="1" spans="1:16">
      <c r="A4796" s="39"/>
      <c r="B4796" s="40"/>
      <c r="C4796" s="41"/>
      <c r="D4796" s="41"/>
      <c r="E4796" s="41"/>
      <c r="F4796" s="41"/>
      <c r="G4796" s="41"/>
      <c r="H4796" s="41"/>
      <c r="I4796" s="41"/>
      <c r="J4796" s="41"/>
      <c r="K4796" s="41"/>
      <c r="L4796" s="41"/>
      <c r="M4796" s="41"/>
      <c r="N4796" s="41"/>
      <c r="O4796" s="41"/>
      <c r="P4796" s="28"/>
    </row>
    <row r="4797" customFormat="1" spans="1:16">
      <c r="A4797" s="39"/>
      <c r="B4797" s="40"/>
      <c r="C4797" s="41"/>
      <c r="D4797" s="41"/>
      <c r="E4797" s="41"/>
      <c r="F4797" s="41"/>
      <c r="G4797" s="41"/>
      <c r="H4797" s="41"/>
      <c r="I4797" s="41"/>
      <c r="J4797" s="41"/>
      <c r="K4797" s="41"/>
      <c r="L4797" s="41"/>
      <c r="M4797" s="41"/>
      <c r="N4797" s="41"/>
      <c r="O4797" s="41"/>
      <c r="P4797" s="28"/>
    </row>
    <row r="4798" customFormat="1" spans="1:16">
      <c r="A4798" s="39"/>
      <c r="B4798" s="40"/>
      <c r="C4798" s="41"/>
      <c r="D4798" s="41"/>
      <c r="E4798" s="41"/>
      <c r="F4798" s="41"/>
      <c r="G4798" s="41"/>
      <c r="H4798" s="41"/>
      <c r="I4798" s="41"/>
      <c r="J4798" s="41"/>
      <c r="K4798" s="41"/>
      <c r="L4798" s="41"/>
      <c r="M4798" s="41"/>
      <c r="N4798" s="41"/>
      <c r="O4798" s="41"/>
      <c r="P4798" s="28"/>
    </row>
    <row r="4799" customFormat="1" spans="1:16">
      <c r="A4799" s="39"/>
      <c r="B4799" s="40"/>
      <c r="C4799" s="41"/>
      <c r="D4799" s="41"/>
      <c r="E4799" s="41"/>
      <c r="F4799" s="41"/>
      <c r="G4799" s="41"/>
      <c r="H4799" s="41"/>
      <c r="I4799" s="41"/>
      <c r="J4799" s="41"/>
      <c r="K4799" s="41"/>
      <c r="L4799" s="41"/>
      <c r="M4799" s="41"/>
      <c r="N4799" s="41"/>
      <c r="O4799" s="41"/>
      <c r="P4799" s="28"/>
    </row>
    <row r="4800" customFormat="1" spans="1:16">
      <c r="A4800" s="39"/>
      <c r="B4800" s="40"/>
      <c r="C4800" s="41"/>
      <c r="D4800" s="41"/>
      <c r="E4800" s="41"/>
      <c r="F4800" s="41"/>
      <c r="G4800" s="41"/>
      <c r="H4800" s="41"/>
      <c r="I4800" s="41"/>
      <c r="J4800" s="41"/>
      <c r="K4800" s="41"/>
      <c r="L4800" s="41"/>
      <c r="M4800" s="41"/>
      <c r="N4800" s="41"/>
      <c r="O4800" s="41"/>
      <c r="P4800" s="28"/>
    </row>
    <row r="4801" customFormat="1" spans="1:16">
      <c r="A4801" s="39"/>
      <c r="B4801" s="40"/>
      <c r="C4801" s="41"/>
      <c r="D4801" s="41"/>
      <c r="E4801" s="41"/>
      <c r="F4801" s="41"/>
      <c r="G4801" s="41"/>
      <c r="H4801" s="41"/>
      <c r="I4801" s="41"/>
      <c r="J4801" s="41"/>
      <c r="K4801" s="41"/>
      <c r="L4801" s="41"/>
      <c r="M4801" s="41"/>
      <c r="N4801" s="41"/>
      <c r="O4801" s="41"/>
      <c r="P4801" s="28"/>
    </row>
    <row r="4802" customFormat="1" spans="1:16">
      <c r="A4802" s="39"/>
      <c r="B4802" s="40"/>
      <c r="C4802" s="41"/>
      <c r="D4802" s="41"/>
      <c r="E4802" s="41"/>
      <c r="F4802" s="41"/>
      <c r="G4802" s="41"/>
      <c r="H4802" s="41"/>
      <c r="I4802" s="41"/>
      <c r="J4802" s="41"/>
      <c r="K4802" s="41"/>
      <c r="L4802" s="41"/>
      <c r="M4802" s="41"/>
      <c r="N4802" s="41"/>
      <c r="O4802" s="41"/>
      <c r="P4802" s="28"/>
    </row>
    <row r="4803" customFormat="1" spans="1:16">
      <c r="A4803" s="39"/>
      <c r="B4803" s="40"/>
      <c r="C4803" s="41"/>
      <c r="D4803" s="41"/>
      <c r="E4803" s="41"/>
      <c r="F4803" s="41"/>
      <c r="G4803" s="41"/>
      <c r="H4803" s="41"/>
      <c r="I4803" s="41"/>
      <c r="J4803" s="41"/>
      <c r="K4803" s="41"/>
      <c r="L4803" s="41"/>
      <c r="M4803" s="41"/>
      <c r="N4803" s="41"/>
      <c r="O4803" s="41"/>
      <c r="P4803" s="28"/>
    </row>
    <row r="4804" customFormat="1" spans="1:16">
      <c r="A4804" s="39"/>
      <c r="B4804" s="40"/>
      <c r="C4804" s="41"/>
      <c r="D4804" s="41"/>
      <c r="E4804" s="41"/>
      <c r="F4804" s="41"/>
      <c r="G4804" s="41"/>
      <c r="H4804" s="41"/>
      <c r="I4804" s="41"/>
      <c r="J4804" s="41"/>
      <c r="K4804" s="41"/>
      <c r="L4804" s="41"/>
      <c r="M4804" s="41"/>
      <c r="N4804" s="41"/>
      <c r="O4804" s="41"/>
      <c r="P4804" s="28"/>
    </row>
    <row r="4805" customFormat="1" spans="1:16">
      <c r="A4805" s="39"/>
      <c r="B4805" s="40"/>
      <c r="C4805" s="41"/>
      <c r="D4805" s="41"/>
      <c r="E4805" s="41"/>
      <c r="F4805" s="41"/>
      <c r="G4805" s="41"/>
      <c r="H4805" s="41"/>
      <c r="I4805" s="41"/>
      <c r="J4805" s="41"/>
      <c r="K4805" s="41"/>
      <c r="L4805" s="41"/>
      <c r="M4805" s="41"/>
      <c r="N4805" s="41"/>
      <c r="O4805" s="41"/>
      <c r="P4805" s="28"/>
    </row>
    <row r="4806" customFormat="1" spans="1:16">
      <c r="A4806" s="39"/>
      <c r="B4806" s="40"/>
      <c r="C4806" s="41"/>
      <c r="D4806" s="41"/>
      <c r="E4806" s="41"/>
      <c r="F4806" s="41"/>
      <c r="G4806" s="41"/>
      <c r="H4806" s="41"/>
      <c r="I4806" s="41"/>
      <c r="J4806" s="41"/>
      <c r="K4806" s="41"/>
      <c r="L4806" s="41"/>
      <c r="M4806" s="41"/>
      <c r="N4806" s="41"/>
      <c r="O4806" s="41"/>
      <c r="P4806" s="28"/>
    </row>
    <row r="4807" customFormat="1" spans="1:16">
      <c r="A4807" s="39"/>
      <c r="B4807" s="40"/>
      <c r="C4807" s="41"/>
      <c r="D4807" s="41"/>
      <c r="E4807" s="41"/>
      <c r="F4807" s="41"/>
      <c r="G4807" s="41"/>
      <c r="H4807" s="41"/>
      <c r="I4807" s="41"/>
      <c r="J4807" s="41"/>
      <c r="K4807" s="41"/>
      <c r="L4807" s="41"/>
      <c r="M4807" s="41"/>
      <c r="N4807" s="41"/>
      <c r="O4807" s="41"/>
      <c r="P4807" s="28"/>
    </row>
    <row r="4808" customFormat="1" spans="1:16">
      <c r="A4808" s="39"/>
      <c r="B4808" s="40"/>
      <c r="C4808" s="41"/>
      <c r="D4808" s="41"/>
      <c r="E4808" s="41"/>
      <c r="F4808" s="41"/>
      <c r="G4808" s="41"/>
      <c r="H4808" s="41"/>
      <c r="I4808" s="41"/>
      <c r="J4808" s="41"/>
      <c r="K4808" s="41"/>
      <c r="L4808" s="41"/>
      <c r="M4808" s="41"/>
      <c r="N4808" s="41"/>
      <c r="O4808" s="41"/>
      <c r="P4808" s="28"/>
    </row>
    <row r="4809" customFormat="1" spans="1:16">
      <c r="A4809" s="39"/>
      <c r="B4809" s="40"/>
      <c r="C4809" s="41"/>
      <c r="D4809" s="41"/>
      <c r="E4809" s="41"/>
      <c r="F4809" s="41"/>
      <c r="G4809" s="41"/>
      <c r="H4809" s="41"/>
      <c r="I4809" s="41"/>
      <c r="J4809" s="41"/>
      <c r="K4809" s="41"/>
      <c r="L4809" s="41"/>
      <c r="M4809" s="41"/>
      <c r="N4809" s="41"/>
      <c r="O4809" s="41"/>
      <c r="P4809" s="28"/>
    </row>
    <row r="4810" customFormat="1" spans="1:16">
      <c r="A4810" s="39"/>
      <c r="B4810" s="40"/>
      <c r="C4810" s="41"/>
      <c r="D4810" s="41"/>
      <c r="E4810" s="41"/>
      <c r="F4810" s="41"/>
      <c r="G4810" s="41"/>
      <c r="H4810" s="41"/>
      <c r="I4810" s="41"/>
      <c r="J4810" s="41"/>
      <c r="K4810" s="41"/>
      <c r="L4810" s="41"/>
      <c r="M4810" s="41"/>
      <c r="N4810" s="41"/>
      <c r="O4810" s="41"/>
      <c r="P4810" s="28"/>
    </row>
    <row r="4811" customFormat="1" spans="1:16">
      <c r="A4811" s="39"/>
      <c r="B4811" s="40"/>
      <c r="C4811" s="41"/>
      <c r="D4811" s="41"/>
      <c r="E4811" s="41"/>
      <c r="F4811" s="41"/>
      <c r="G4811" s="41"/>
      <c r="H4811" s="41"/>
      <c r="I4811" s="41"/>
      <c r="J4811" s="41"/>
      <c r="K4811" s="41"/>
      <c r="L4811" s="41"/>
      <c r="M4811" s="41"/>
      <c r="N4811" s="41"/>
      <c r="O4811" s="41"/>
      <c r="P4811" s="28"/>
    </row>
    <row r="4812" customFormat="1" spans="1:16">
      <c r="A4812" s="39"/>
      <c r="B4812" s="40"/>
      <c r="C4812" s="41"/>
      <c r="D4812" s="41"/>
      <c r="E4812" s="41"/>
      <c r="F4812" s="41"/>
      <c r="G4812" s="41"/>
      <c r="H4812" s="41"/>
      <c r="I4812" s="41"/>
      <c r="J4812" s="41"/>
      <c r="K4812" s="41"/>
      <c r="L4812" s="41"/>
      <c r="M4812" s="41"/>
      <c r="N4812" s="41"/>
      <c r="O4812" s="41"/>
      <c r="P4812" s="28"/>
    </row>
    <row r="4813" customFormat="1" spans="1:16">
      <c r="A4813" s="39"/>
      <c r="B4813" s="40"/>
      <c r="C4813" s="41"/>
      <c r="D4813" s="41"/>
      <c r="E4813" s="41"/>
      <c r="F4813" s="41"/>
      <c r="G4813" s="41"/>
      <c r="H4813" s="41"/>
      <c r="I4813" s="41"/>
      <c r="J4813" s="41"/>
      <c r="K4813" s="41"/>
      <c r="L4813" s="41"/>
      <c r="M4813" s="41"/>
      <c r="N4813" s="41"/>
      <c r="O4813" s="41"/>
      <c r="P4813" s="28"/>
    </row>
    <row r="4814" customFormat="1" spans="1:16">
      <c r="A4814" s="39"/>
      <c r="B4814" s="40"/>
      <c r="C4814" s="41"/>
      <c r="D4814" s="41"/>
      <c r="E4814" s="41"/>
      <c r="F4814" s="41"/>
      <c r="G4814" s="41"/>
      <c r="H4814" s="41"/>
      <c r="I4814" s="41"/>
      <c r="J4814" s="41"/>
      <c r="K4814" s="41"/>
      <c r="L4814" s="41"/>
      <c r="M4814" s="41"/>
      <c r="N4814" s="41"/>
      <c r="O4814" s="41"/>
      <c r="P4814" s="28"/>
    </row>
    <row r="4815" customFormat="1" spans="1:16">
      <c r="A4815" s="39"/>
      <c r="B4815" s="40"/>
      <c r="C4815" s="41"/>
      <c r="D4815" s="41"/>
      <c r="E4815" s="41"/>
      <c r="F4815" s="41"/>
      <c r="G4815" s="41"/>
      <c r="H4815" s="41"/>
      <c r="I4815" s="41"/>
      <c r="J4815" s="41"/>
      <c r="K4815" s="41"/>
      <c r="L4815" s="41"/>
      <c r="M4815" s="41"/>
      <c r="N4815" s="41"/>
      <c r="O4815" s="41"/>
      <c r="P4815" s="28"/>
    </row>
    <row r="4816" customFormat="1" spans="1:16">
      <c r="A4816" s="39"/>
      <c r="B4816" s="40"/>
      <c r="C4816" s="41"/>
      <c r="D4816" s="41"/>
      <c r="E4816" s="41"/>
      <c r="F4816" s="41"/>
      <c r="G4816" s="41"/>
      <c r="H4816" s="41"/>
      <c r="I4816" s="41"/>
      <c r="J4816" s="41"/>
      <c r="K4816" s="41"/>
      <c r="L4816" s="41"/>
      <c r="M4816" s="41"/>
      <c r="N4816" s="41"/>
      <c r="O4816" s="41"/>
      <c r="P4816" s="28"/>
    </row>
    <row r="4817" customFormat="1" spans="1:16">
      <c r="A4817" s="39"/>
      <c r="B4817" s="40"/>
      <c r="C4817" s="41"/>
      <c r="D4817" s="41"/>
      <c r="E4817" s="41"/>
      <c r="F4817" s="41"/>
      <c r="G4817" s="41"/>
      <c r="H4817" s="41"/>
      <c r="I4817" s="41"/>
      <c r="J4817" s="41"/>
      <c r="K4817" s="41"/>
      <c r="L4817" s="41"/>
      <c r="M4817" s="41"/>
      <c r="N4817" s="41"/>
      <c r="O4817" s="41"/>
      <c r="P4817" s="28"/>
    </row>
    <row r="4818" customFormat="1" spans="1:16">
      <c r="A4818" s="39"/>
      <c r="B4818" s="40"/>
      <c r="C4818" s="41"/>
      <c r="D4818" s="41"/>
      <c r="E4818" s="41"/>
      <c r="F4818" s="41"/>
      <c r="G4818" s="41"/>
      <c r="H4818" s="41"/>
      <c r="I4818" s="41"/>
      <c r="J4818" s="41"/>
      <c r="K4818" s="41"/>
      <c r="L4818" s="41"/>
      <c r="M4818" s="41"/>
      <c r="N4818" s="41"/>
      <c r="O4818" s="41"/>
      <c r="P4818" s="28"/>
    </row>
    <row r="4819" customFormat="1" spans="1:16">
      <c r="A4819" s="39"/>
      <c r="B4819" s="40"/>
      <c r="C4819" s="41"/>
      <c r="D4819" s="41"/>
      <c r="E4819" s="41"/>
      <c r="F4819" s="41"/>
      <c r="G4819" s="41"/>
      <c r="H4819" s="41"/>
      <c r="I4819" s="41"/>
      <c r="J4819" s="41"/>
      <c r="K4819" s="41"/>
      <c r="L4819" s="41"/>
      <c r="M4819" s="41"/>
      <c r="N4819" s="41"/>
      <c r="O4819" s="41"/>
      <c r="P4819" s="28"/>
    </row>
    <row r="4820" customFormat="1" spans="1:16">
      <c r="A4820" s="39"/>
      <c r="B4820" s="40"/>
      <c r="C4820" s="41"/>
      <c r="D4820" s="41"/>
      <c r="E4820" s="41"/>
      <c r="F4820" s="41"/>
      <c r="G4820" s="41"/>
      <c r="H4820" s="41"/>
      <c r="I4820" s="41"/>
      <c r="J4820" s="41"/>
      <c r="K4820" s="41"/>
      <c r="L4820" s="41"/>
      <c r="M4820" s="41"/>
      <c r="N4820" s="41"/>
      <c r="O4820" s="41"/>
      <c r="P4820" s="28"/>
    </row>
    <row r="4821" customFormat="1" spans="1:16">
      <c r="A4821" s="39"/>
      <c r="B4821" s="40"/>
      <c r="C4821" s="41"/>
      <c r="D4821" s="41"/>
      <c r="E4821" s="41"/>
      <c r="F4821" s="41"/>
      <c r="G4821" s="41"/>
      <c r="H4821" s="41"/>
      <c r="I4821" s="41"/>
      <c r="J4821" s="41"/>
      <c r="K4821" s="41"/>
      <c r="L4821" s="41"/>
      <c r="M4821" s="41"/>
      <c r="N4821" s="41"/>
      <c r="O4821" s="41"/>
      <c r="P4821" s="28"/>
    </row>
    <row r="4822" customFormat="1" spans="1:16">
      <c r="A4822" s="39"/>
      <c r="B4822" s="40"/>
      <c r="C4822" s="41"/>
      <c r="D4822" s="41"/>
      <c r="E4822" s="41"/>
      <c r="F4822" s="41"/>
      <c r="G4822" s="41"/>
      <c r="H4822" s="41"/>
      <c r="I4822" s="41"/>
      <c r="J4822" s="41"/>
      <c r="K4822" s="41"/>
      <c r="L4822" s="41"/>
      <c r="M4822" s="41"/>
      <c r="N4822" s="41"/>
      <c r="O4822" s="41"/>
      <c r="P4822" s="28"/>
    </row>
    <row r="4823" customFormat="1" spans="1:16">
      <c r="A4823" s="39"/>
      <c r="B4823" s="40"/>
      <c r="C4823" s="41"/>
      <c r="D4823" s="41"/>
      <c r="E4823" s="41"/>
      <c r="F4823" s="41"/>
      <c r="G4823" s="41"/>
      <c r="H4823" s="41"/>
      <c r="I4823" s="41"/>
      <c r="J4823" s="41"/>
      <c r="K4823" s="41"/>
      <c r="L4823" s="41"/>
      <c r="M4823" s="41"/>
      <c r="N4823" s="41"/>
      <c r="O4823" s="41"/>
      <c r="P4823" s="28"/>
    </row>
    <row r="4824" customFormat="1" spans="1:16">
      <c r="A4824" s="39"/>
      <c r="B4824" s="40"/>
      <c r="C4824" s="41"/>
      <c r="D4824" s="41"/>
      <c r="E4824" s="41"/>
      <c r="F4824" s="41"/>
      <c r="G4824" s="41"/>
      <c r="H4824" s="41"/>
      <c r="I4824" s="41"/>
      <c r="J4824" s="41"/>
      <c r="K4824" s="41"/>
      <c r="L4824" s="41"/>
      <c r="M4824" s="41"/>
      <c r="N4824" s="41"/>
      <c r="O4824" s="41"/>
      <c r="P4824" s="28"/>
    </row>
    <row r="4825" customFormat="1" spans="1:16">
      <c r="A4825" s="39"/>
      <c r="B4825" s="40"/>
      <c r="C4825" s="41"/>
      <c r="D4825" s="41"/>
      <c r="E4825" s="41"/>
      <c r="F4825" s="41"/>
      <c r="G4825" s="41"/>
      <c r="H4825" s="41"/>
      <c r="I4825" s="41"/>
      <c r="J4825" s="41"/>
      <c r="K4825" s="41"/>
      <c r="L4825" s="41"/>
      <c r="M4825" s="41"/>
      <c r="N4825" s="41"/>
      <c r="O4825" s="41"/>
      <c r="P4825" s="28"/>
    </row>
    <row r="4826" customFormat="1" spans="1:16">
      <c r="A4826" s="39"/>
      <c r="B4826" s="40"/>
      <c r="C4826" s="41"/>
      <c r="D4826" s="41"/>
      <c r="E4826" s="41"/>
      <c r="F4826" s="41"/>
      <c r="G4826" s="41"/>
      <c r="H4826" s="41"/>
      <c r="I4826" s="41"/>
      <c r="J4826" s="41"/>
      <c r="K4826" s="41"/>
      <c r="L4826" s="41"/>
      <c r="M4826" s="41"/>
      <c r="N4826" s="41"/>
      <c r="O4826" s="41"/>
      <c r="P4826" s="28"/>
    </row>
    <row r="4827" customFormat="1" spans="1:16">
      <c r="A4827" s="39"/>
      <c r="B4827" s="40"/>
      <c r="C4827" s="41"/>
      <c r="D4827" s="41"/>
      <c r="E4827" s="41"/>
      <c r="F4827" s="41"/>
      <c r="G4827" s="41"/>
      <c r="H4827" s="41"/>
      <c r="I4827" s="41"/>
      <c r="J4827" s="41"/>
      <c r="K4827" s="41"/>
      <c r="L4827" s="41"/>
      <c r="M4827" s="41"/>
      <c r="N4827" s="41"/>
      <c r="O4827" s="41"/>
      <c r="P4827" s="28"/>
    </row>
    <row r="4828" customFormat="1" spans="1:16">
      <c r="A4828" s="39"/>
      <c r="B4828" s="40"/>
      <c r="C4828" s="41"/>
      <c r="D4828" s="41"/>
      <c r="E4828" s="41"/>
      <c r="F4828" s="41"/>
      <c r="G4828" s="41"/>
      <c r="H4828" s="41"/>
      <c r="I4828" s="41"/>
      <c r="J4828" s="41"/>
      <c r="K4828" s="41"/>
      <c r="L4828" s="41"/>
      <c r="M4828" s="41"/>
      <c r="N4828" s="41"/>
      <c r="O4828" s="41"/>
      <c r="P4828" s="28"/>
    </row>
    <row r="4829" customFormat="1" spans="1:16">
      <c r="A4829" s="39"/>
      <c r="B4829" s="40"/>
      <c r="C4829" s="41"/>
      <c r="D4829" s="41"/>
      <c r="E4829" s="41"/>
      <c r="F4829" s="41"/>
      <c r="G4829" s="41"/>
      <c r="H4829" s="41"/>
      <c r="I4829" s="41"/>
      <c r="J4829" s="41"/>
      <c r="K4829" s="41"/>
      <c r="L4829" s="41"/>
      <c r="M4829" s="41"/>
      <c r="N4829" s="41"/>
      <c r="O4829" s="41"/>
      <c r="P4829" s="28"/>
    </row>
    <row r="4830" customFormat="1" spans="1:16">
      <c r="A4830" s="39"/>
      <c r="B4830" s="40"/>
      <c r="C4830" s="41"/>
      <c r="D4830" s="41"/>
      <c r="E4830" s="41"/>
      <c r="F4830" s="41"/>
      <c r="G4830" s="41"/>
      <c r="H4830" s="41"/>
      <c r="I4830" s="41"/>
      <c r="J4830" s="41"/>
      <c r="K4830" s="41"/>
      <c r="L4830" s="41"/>
      <c r="M4830" s="41"/>
      <c r="N4830" s="41"/>
      <c r="O4830" s="41"/>
      <c r="P4830" s="28"/>
    </row>
    <row r="4831" customFormat="1" spans="1:16">
      <c r="A4831" s="39"/>
      <c r="B4831" s="40"/>
      <c r="C4831" s="41"/>
      <c r="D4831" s="41"/>
      <c r="E4831" s="41"/>
      <c r="F4831" s="41"/>
      <c r="G4831" s="41"/>
      <c r="H4831" s="41"/>
      <c r="I4831" s="41"/>
      <c r="J4831" s="41"/>
      <c r="K4831" s="41"/>
      <c r="L4831" s="41"/>
      <c r="M4831" s="41"/>
      <c r="N4831" s="41"/>
      <c r="O4831" s="41"/>
      <c r="P4831" s="28"/>
    </row>
    <row r="4832" customFormat="1" spans="1:16">
      <c r="A4832" s="39"/>
      <c r="B4832" s="40"/>
      <c r="C4832" s="41"/>
      <c r="D4832" s="41"/>
      <c r="E4832" s="41"/>
      <c r="F4832" s="41"/>
      <c r="G4832" s="41"/>
      <c r="H4832" s="41"/>
      <c r="I4832" s="41"/>
      <c r="J4832" s="41"/>
      <c r="K4832" s="41"/>
      <c r="L4832" s="41"/>
      <c r="M4832" s="41"/>
      <c r="N4832" s="41"/>
      <c r="O4832" s="41"/>
      <c r="P4832" s="28"/>
    </row>
    <row r="4833" customFormat="1" spans="1:16">
      <c r="A4833" s="39"/>
      <c r="B4833" s="40"/>
      <c r="C4833" s="41"/>
      <c r="D4833" s="41"/>
      <c r="E4833" s="41"/>
      <c r="F4833" s="41"/>
      <c r="G4833" s="41"/>
      <c r="H4833" s="41"/>
      <c r="I4833" s="41"/>
      <c r="J4833" s="41"/>
      <c r="K4833" s="41"/>
      <c r="L4833" s="41"/>
      <c r="M4833" s="41"/>
      <c r="N4833" s="41"/>
      <c r="O4833" s="41"/>
      <c r="P4833" s="28"/>
    </row>
    <row r="4834" customFormat="1" spans="1:16">
      <c r="A4834" s="39"/>
      <c r="B4834" s="40"/>
      <c r="C4834" s="41"/>
      <c r="D4834" s="41"/>
      <c r="E4834" s="41"/>
      <c r="F4834" s="41"/>
      <c r="G4834" s="41"/>
      <c r="H4834" s="41"/>
      <c r="I4834" s="41"/>
      <c r="J4834" s="41"/>
      <c r="K4834" s="41"/>
      <c r="L4834" s="41"/>
      <c r="M4834" s="41"/>
      <c r="N4834" s="41"/>
      <c r="O4834" s="41"/>
      <c r="P4834" s="28"/>
    </row>
    <row r="4835" customFormat="1" spans="1:16">
      <c r="A4835" s="39"/>
      <c r="B4835" s="40"/>
      <c r="C4835" s="41"/>
      <c r="D4835" s="41"/>
      <c r="E4835" s="41"/>
      <c r="F4835" s="41"/>
      <c r="G4835" s="41"/>
      <c r="H4835" s="41"/>
      <c r="I4835" s="41"/>
      <c r="J4835" s="41"/>
      <c r="K4835" s="41"/>
      <c r="L4835" s="41"/>
      <c r="M4835" s="41"/>
      <c r="N4835" s="41"/>
      <c r="O4835" s="41"/>
      <c r="P4835" s="28"/>
    </row>
    <row r="4836" customFormat="1" spans="1:16">
      <c r="A4836" s="39"/>
      <c r="B4836" s="40"/>
      <c r="C4836" s="41"/>
      <c r="D4836" s="41"/>
      <c r="E4836" s="41"/>
      <c r="F4836" s="41"/>
      <c r="G4836" s="41"/>
      <c r="H4836" s="41"/>
      <c r="I4836" s="41"/>
      <c r="J4836" s="41"/>
      <c r="K4836" s="41"/>
      <c r="L4836" s="41"/>
      <c r="M4836" s="41"/>
      <c r="N4836" s="41"/>
      <c r="O4836" s="41"/>
      <c r="P4836" s="28"/>
    </row>
    <row r="4837" customFormat="1" spans="1:16">
      <c r="A4837" s="39"/>
      <c r="B4837" s="40"/>
      <c r="C4837" s="41"/>
      <c r="D4837" s="41"/>
      <c r="E4837" s="41"/>
      <c r="F4837" s="41"/>
      <c r="G4837" s="41"/>
      <c r="H4837" s="41"/>
      <c r="I4837" s="41"/>
      <c r="J4837" s="41"/>
      <c r="K4837" s="41"/>
      <c r="L4837" s="41"/>
      <c r="M4837" s="41"/>
      <c r="N4837" s="41"/>
      <c r="O4837" s="41"/>
      <c r="P4837" s="28"/>
    </row>
    <row r="4838" customFormat="1" spans="1:16">
      <c r="A4838" s="39"/>
      <c r="B4838" s="40"/>
      <c r="C4838" s="41"/>
      <c r="D4838" s="41"/>
      <c r="E4838" s="41"/>
      <c r="F4838" s="41"/>
      <c r="G4838" s="41"/>
      <c r="H4838" s="41"/>
      <c r="I4838" s="41"/>
      <c r="J4838" s="41"/>
      <c r="K4838" s="41"/>
      <c r="L4838" s="41"/>
      <c r="M4838" s="41"/>
      <c r="N4838" s="41"/>
      <c r="O4838" s="41"/>
      <c r="P4838" s="28"/>
    </row>
    <row r="4839" customFormat="1" spans="1:16">
      <c r="A4839" s="39"/>
      <c r="B4839" s="40"/>
      <c r="C4839" s="41"/>
      <c r="D4839" s="41"/>
      <c r="E4839" s="41"/>
      <c r="F4839" s="41"/>
      <c r="G4839" s="41"/>
      <c r="H4839" s="41"/>
      <c r="I4839" s="41"/>
      <c r="J4839" s="41"/>
      <c r="K4839" s="41"/>
      <c r="L4839" s="41"/>
      <c r="M4839" s="41"/>
      <c r="N4839" s="41"/>
      <c r="O4839" s="41"/>
      <c r="P4839" s="28"/>
    </row>
    <row r="4840" customFormat="1" spans="1:16">
      <c r="A4840" s="39"/>
      <c r="B4840" s="40"/>
      <c r="C4840" s="41"/>
      <c r="D4840" s="41"/>
      <c r="E4840" s="41"/>
      <c r="F4840" s="41"/>
      <c r="G4840" s="41"/>
      <c r="H4840" s="41"/>
      <c r="I4840" s="41"/>
      <c r="J4840" s="41"/>
      <c r="K4840" s="41"/>
      <c r="L4840" s="41"/>
      <c r="M4840" s="41"/>
      <c r="N4840" s="41"/>
      <c r="O4840" s="41"/>
      <c r="P4840" s="28"/>
    </row>
    <row r="4841" customFormat="1" spans="1:16">
      <c r="A4841" s="39"/>
      <c r="B4841" s="40"/>
      <c r="C4841" s="41"/>
      <c r="D4841" s="41"/>
      <c r="E4841" s="41"/>
      <c r="F4841" s="41"/>
      <c r="G4841" s="41"/>
      <c r="H4841" s="41"/>
      <c r="I4841" s="41"/>
      <c r="J4841" s="41"/>
      <c r="K4841" s="41"/>
      <c r="L4841" s="41"/>
      <c r="M4841" s="41"/>
      <c r="N4841" s="41"/>
      <c r="O4841" s="41"/>
      <c r="P4841" s="28"/>
    </row>
    <row r="4842" customFormat="1" spans="1:16">
      <c r="A4842" s="39"/>
      <c r="B4842" s="40"/>
      <c r="C4842" s="41"/>
      <c r="D4842" s="41"/>
      <c r="E4842" s="41"/>
      <c r="F4842" s="41"/>
      <c r="G4842" s="41"/>
      <c r="H4842" s="41"/>
      <c r="I4842" s="41"/>
      <c r="J4842" s="41"/>
      <c r="K4842" s="41"/>
      <c r="L4842" s="41"/>
      <c r="M4842" s="41"/>
      <c r="N4842" s="41"/>
      <c r="O4842" s="41"/>
      <c r="P4842" s="28"/>
    </row>
    <row r="4843" customFormat="1" spans="1:16">
      <c r="A4843" s="39"/>
      <c r="B4843" s="40"/>
      <c r="C4843" s="41"/>
      <c r="D4843" s="41"/>
      <c r="E4843" s="41"/>
      <c r="F4843" s="41"/>
      <c r="G4843" s="41"/>
      <c r="H4843" s="41"/>
      <c r="I4843" s="41"/>
      <c r="J4843" s="41"/>
      <c r="K4843" s="41"/>
      <c r="L4843" s="41"/>
      <c r="M4843" s="41"/>
      <c r="N4843" s="41"/>
      <c r="O4843" s="41"/>
      <c r="P4843" s="28"/>
    </row>
    <row r="4844" customFormat="1" spans="1:16">
      <c r="A4844" s="39"/>
      <c r="B4844" s="40"/>
      <c r="C4844" s="41"/>
      <c r="D4844" s="41"/>
      <c r="E4844" s="41"/>
      <c r="F4844" s="41"/>
      <c r="G4844" s="41"/>
      <c r="H4844" s="41"/>
      <c r="I4844" s="41"/>
      <c r="J4844" s="41"/>
      <c r="K4844" s="41"/>
      <c r="L4844" s="41"/>
      <c r="M4844" s="41"/>
      <c r="N4844" s="41"/>
      <c r="O4844" s="41"/>
      <c r="P4844" s="28"/>
    </row>
    <row r="4845" customFormat="1" spans="1:16">
      <c r="A4845" s="39"/>
      <c r="B4845" s="40"/>
      <c r="C4845" s="41"/>
      <c r="D4845" s="41"/>
      <c r="E4845" s="41"/>
      <c r="F4845" s="41"/>
      <c r="G4845" s="41"/>
      <c r="H4845" s="41"/>
      <c r="I4845" s="41"/>
      <c r="J4845" s="41"/>
      <c r="K4845" s="41"/>
      <c r="L4845" s="41"/>
      <c r="M4845" s="41"/>
      <c r="N4845" s="41"/>
      <c r="O4845" s="41"/>
      <c r="P4845" s="28"/>
    </row>
    <row r="4846" customFormat="1" spans="1:16">
      <c r="A4846" s="39"/>
      <c r="B4846" s="40"/>
      <c r="C4846" s="41"/>
      <c r="D4846" s="41"/>
      <c r="E4846" s="41"/>
      <c r="F4846" s="41"/>
      <c r="G4846" s="41"/>
      <c r="H4846" s="41"/>
      <c r="I4846" s="41"/>
      <c r="J4846" s="41"/>
      <c r="K4846" s="41"/>
      <c r="L4846" s="41"/>
      <c r="M4846" s="41"/>
      <c r="N4846" s="41"/>
      <c r="O4846" s="41"/>
      <c r="P4846" s="28"/>
    </row>
    <row r="4847" customFormat="1" spans="1:16">
      <c r="A4847" s="39"/>
      <c r="B4847" s="40"/>
      <c r="C4847" s="41"/>
      <c r="D4847" s="41"/>
      <c r="E4847" s="41"/>
      <c r="F4847" s="41"/>
      <c r="G4847" s="41"/>
      <c r="H4847" s="41"/>
      <c r="I4847" s="41"/>
      <c r="J4847" s="41"/>
      <c r="K4847" s="41"/>
      <c r="L4847" s="41"/>
      <c r="M4847" s="41"/>
      <c r="N4847" s="41"/>
      <c r="O4847" s="41"/>
      <c r="P4847" s="28"/>
    </row>
    <row r="4848" customFormat="1" spans="1:16">
      <c r="A4848" s="39"/>
      <c r="B4848" s="40"/>
      <c r="C4848" s="41"/>
      <c r="D4848" s="41"/>
      <c r="E4848" s="41"/>
      <c r="F4848" s="41"/>
      <c r="G4848" s="41"/>
      <c r="H4848" s="41"/>
      <c r="I4848" s="41"/>
      <c r="J4848" s="41"/>
      <c r="K4848" s="41"/>
      <c r="L4848" s="41"/>
      <c r="M4848" s="41"/>
      <c r="N4848" s="41"/>
      <c r="O4848" s="41"/>
      <c r="P4848" s="28"/>
    </row>
    <row r="4849" customFormat="1" spans="1:16">
      <c r="A4849" s="39"/>
      <c r="B4849" s="40"/>
      <c r="C4849" s="41"/>
      <c r="D4849" s="41"/>
      <c r="E4849" s="41"/>
      <c r="F4849" s="41"/>
      <c r="G4849" s="41"/>
      <c r="H4849" s="41"/>
      <c r="I4849" s="41"/>
      <c r="J4849" s="41"/>
      <c r="K4849" s="41"/>
      <c r="L4849" s="41"/>
      <c r="M4849" s="41"/>
      <c r="N4849" s="41"/>
      <c r="O4849" s="41"/>
      <c r="P4849" s="28"/>
    </row>
    <row r="4850" customFormat="1" spans="1:16">
      <c r="A4850" s="39"/>
      <c r="B4850" s="40"/>
      <c r="C4850" s="41"/>
      <c r="D4850" s="41"/>
      <c r="E4850" s="41"/>
      <c r="F4850" s="41"/>
      <c r="G4850" s="41"/>
      <c r="H4850" s="41"/>
      <c r="I4850" s="41"/>
      <c r="J4850" s="41"/>
      <c r="K4850" s="41"/>
      <c r="L4850" s="41"/>
      <c r="M4850" s="41"/>
      <c r="N4850" s="41"/>
      <c r="O4850" s="41"/>
      <c r="P4850" s="28"/>
    </row>
    <row r="4851" customFormat="1" spans="1:16">
      <c r="A4851" s="39"/>
      <c r="B4851" s="40"/>
      <c r="C4851" s="41"/>
      <c r="D4851" s="41"/>
      <c r="E4851" s="41"/>
      <c r="F4851" s="41"/>
      <c r="G4851" s="41"/>
      <c r="H4851" s="41"/>
      <c r="I4851" s="41"/>
      <c r="J4851" s="41"/>
      <c r="K4851" s="41"/>
      <c r="L4851" s="41"/>
      <c r="M4851" s="41"/>
      <c r="N4851" s="41"/>
      <c r="O4851" s="41"/>
      <c r="P4851" s="28"/>
    </row>
    <row r="4852" customFormat="1" spans="1:16">
      <c r="A4852" s="39"/>
      <c r="B4852" s="40"/>
      <c r="C4852" s="41"/>
      <c r="D4852" s="41"/>
      <c r="E4852" s="41"/>
      <c r="F4852" s="41"/>
      <c r="G4852" s="41"/>
      <c r="H4852" s="41"/>
      <c r="I4852" s="41"/>
      <c r="J4852" s="41"/>
      <c r="K4852" s="41"/>
      <c r="L4852" s="41"/>
      <c r="M4852" s="41"/>
      <c r="N4852" s="41"/>
      <c r="O4852" s="41"/>
      <c r="P4852" s="28"/>
    </row>
    <row r="4853" customFormat="1" spans="1:16">
      <c r="A4853" s="39"/>
      <c r="B4853" s="40"/>
      <c r="C4853" s="41"/>
      <c r="D4853" s="41"/>
      <c r="E4853" s="41"/>
      <c r="F4853" s="41"/>
      <c r="G4853" s="41"/>
      <c r="H4853" s="41"/>
      <c r="I4853" s="41"/>
      <c r="J4853" s="41"/>
      <c r="K4853" s="41"/>
      <c r="L4853" s="41"/>
      <c r="M4853" s="41"/>
      <c r="N4853" s="41"/>
      <c r="O4853" s="41"/>
      <c r="P4853" s="28"/>
    </row>
    <row r="4854" customFormat="1" spans="1:16">
      <c r="A4854" s="39"/>
      <c r="B4854" s="40"/>
      <c r="C4854" s="41"/>
      <c r="D4854" s="41"/>
      <c r="E4854" s="41"/>
      <c r="F4854" s="41"/>
      <c r="G4854" s="41"/>
      <c r="H4854" s="41"/>
      <c r="I4854" s="41"/>
      <c r="J4854" s="41"/>
      <c r="K4854" s="41"/>
      <c r="L4854" s="41"/>
      <c r="M4854" s="41"/>
      <c r="N4854" s="41"/>
      <c r="O4854" s="41"/>
      <c r="P4854" s="28"/>
    </row>
    <row r="4855" customFormat="1" spans="1:16">
      <c r="A4855" s="39"/>
      <c r="B4855" s="40"/>
      <c r="C4855" s="41"/>
      <c r="D4855" s="41"/>
      <c r="E4855" s="41"/>
      <c r="F4855" s="41"/>
      <c r="G4855" s="41"/>
      <c r="H4855" s="41"/>
      <c r="I4855" s="41"/>
      <c r="J4855" s="41"/>
      <c r="K4855" s="41"/>
      <c r="L4855" s="41"/>
      <c r="M4855" s="41"/>
      <c r="N4855" s="41"/>
      <c r="O4855" s="41"/>
      <c r="P4855" s="28"/>
    </row>
    <row r="4856" customFormat="1" spans="1:16">
      <c r="A4856" s="39"/>
      <c r="B4856" s="40"/>
      <c r="C4856" s="41"/>
      <c r="D4856" s="41"/>
      <c r="E4856" s="41"/>
      <c r="F4856" s="41"/>
      <c r="G4856" s="41"/>
      <c r="H4856" s="41"/>
      <c r="I4856" s="41"/>
      <c r="J4856" s="41"/>
      <c r="K4856" s="41"/>
      <c r="L4856" s="41"/>
      <c r="M4856" s="41"/>
      <c r="N4856" s="41"/>
      <c r="O4856" s="41"/>
      <c r="P4856" s="28"/>
    </row>
    <row r="4857" customFormat="1" spans="1:16">
      <c r="A4857" s="39"/>
      <c r="B4857" s="40"/>
      <c r="C4857" s="41"/>
      <c r="D4857" s="41"/>
      <c r="E4857" s="41"/>
      <c r="F4857" s="41"/>
      <c r="G4857" s="41"/>
      <c r="H4857" s="41"/>
      <c r="I4857" s="41"/>
      <c r="J4857" s="41"/>
      <c r="K4857" s="41"/>
      <c r="L4857" s="41"/>
      <c r="M4857" s="41"/>
      <c r="N4857" s="41"/>
      <c r="O4857" s="41"/>
      <c r="P4857" s="28"/>
    </row>
    <row r="4858" customFormat="1" spans="1:16">
      <c r="A4858" s="39"/>
      <c r="B4858" s="40"/>
      <c r="C4858" s="41"/>
      <c r="D4858" s="41"/>
      <c r="E4858" s="41"/>
      <c r="F4858" s="41"/>
      <c r="G4858" s="41"/>
      <c r="H4858" s="41"/>
      <c r="I4858" s="41"/>
      <c r="J4858" s="41"/>
      <c r="K4858" s="41"/>
      <c r="L4858" s="41"/>
      <c r="M4858" s="41"/>
      <c r="N4858" s="41"/>
      <c r="O4858" s="41"/>
      <c r="P4858" s="28"/>
    </row>
    <row r="4859" customFormat="1" spans="1:16">
      <c r="A4859" s="39"/>
      <c r="B4859" s="40"/>
      <c r="C4859" s="41"/>
      <c r="D4859" s="41"/>
      <c r="E4859" s="41"/>
      <c r="F4859" s="41"/>
      <c r="G4859" s="41"/>
      <c r="H4859" s="41"/>
      <c r="I4859" s="41"/>
      <c r="J4859" s="41"/>
      <c r="K4859" s="41"/>
      <c r="L4859" s="41"/>
      <c r="M4859" s="41"/>
      <c r="N4859" s="41"/>
      <c r="O4859" s="41"/>
      <c r="P4859" s="28"/>
    </row>
    <row r="4860" customFormat="1" spans="1:16">
      <c r="A4860" s="39"/>
      <c r="B4860" s="40"/>
      <c r="C4860" s="41"/>
      <c r="D4860" s="41"/>
      <c r="E4860" s="41"/>
      <c r="F4860" s="41"/>
      <c r="G4860" s="41"/>
      <c r="H4860" s="41"/>
      <c r="I4860" s="41"/>
      <c r="J4860" s="41"/>
      <c r="K4860" s="41"/>
      <c r="L4860" s="41"/>
      <c r="M4860" s="41"/>
      <c r="N4860" s="41"/>
      <c r="O4860" s="41"/>
      <c r="P4860" s="28"/>
    </row>
    <row r="4861" customFormat="1" spans="1:16">
      <c r="A4861" s="39"/>
      <c r="B4861" s="40"/>
      <c r="C4861" s="41"/>
      <c r="D4861" s="41"/>
      <c r="E4861" s="41"/>
      <c r="F4861" s="41"/>
      <c r="G4861" s="41"/>
      <c r="H4861" s="41"/>
      <c r="I4861" s="41"/>
      <c r="J4861" s="41"/>
      <c r="K4861" s="41"/>
      <c r="L4861" s="41"/>
      <c r="M4861" s="41"/>
      <c r="N4861" s="41"/>
      <c r="O4861" s="41"/>
      <c r="P4861" s="28"/>
    </row>
    <row r="4862" customFormat="1" spans="1:16">
      <c r="A4862" s="39"/>
      <c r="B4862" s="40"/>
      <c r="C4862" s="41"/>
      <c r="D4862" s="41"/>
      <c r="E4862" s="41"/>
      <c r="F4862" s="41"/>
      <c r="G4862" s="41"/>
      <c r="H4862" s="41"/>
      <c r="I4862" s="41"/>
      <c r="J4862" s="41"/>
      <c r="K4862" s="41"/>
      <c r="L4862" s="41"/>
      <c r="M4862" s="41"/>
      <c r="N4862" s="41"/>
      <c r="O4862" s="41"/>
      <c r="P4862" s="28"/>
    </row>
    <row r="4863" customFormat="1" spans="1:16">
      <c r="A4863" s="39"/>
      <c r="B4863" s="40"/>
      <c r="C4863" s="41"/>
      <c r="D4863" s="41"/>
      <c r="E4863" s="41"/>
      <c r="F4863" s="41"/>
      <c r="G4863" s="41"/>
      <c r="H4863" s="41"/>
      <c r="I4863" s="41"/>
      <c r="J4863" s="41"/>
      <c r="K4863" s="41"/>
      <c r="L4863" s="41"/>
      <c r="M4863" s="41"/>
      <c r="N4863" s="41"/>
      <c r="O4863" s="41"/>
      <c r="P4863" s="28"/>
    </row>
    <row r="4864" customFormat="1" spans="1:16">
      <c r="A4864" s="39"/>
      <c r="B4864" s="40"/>
      <c r="C4864" s="41"/>
      <c r="D4864" s="41"/>
      <c r="E4864" s="41"/>
      <c r="F4864" s="41"/>
      <c r="G4864" s="41"/>
      <c r="H4864" s="41"/>
      <c r="I4864" s="41"/>
      <c r="J4864" s="41"/>
      <c r="K4864" s="41"/>
      <c r="L4864" s="41"/>
      <c r="M4864" s="41"/>
      <c r="N4864" s="41"/>
      <c r="O4864" s="41"/>
      <c r="P4864" s="28"/>
    </row>
    <row r="4865" customFormat="1" spans="1:16">
      <c r="A4865" s="39"/>
      <c r="B4865" s="40"/>
      <c r="C4865" s="41"/>
      <c r="D4865" s="41"/>
      <c r="E4865" s="41"/>
      <c r="F4865" s="41"/>
      <c r="G4865" s="41"/>
      <c r="H4865" s="41"/>
      <c r="I4865" s="41"/>
      <c r="J4865" s="41"/>
      <c r="K4865" s="41"/>
      <c r="L4865" s="41"/>
      <c r="M4865" s="41"/>
      <c r="N4865" s="41"/>
      <c r="O4865" s="41"/>
      <c r="P4865" s="28"/>
    </row>
    <row r="4866" customFormat="1" spans="1:16">
      <c r="A4866" s="39"/>
      <c r="B4866" s="40"/>
      <c r="C4866" s="41"/>
      <c r="D4866" s="41"/>
      <c r="E4866" s="41"/>
      <c r="F4866" s="41"/>
      <c r="G4866" s="41"/>
      <c r="H4866" s="41"/>
      <c r="I4866" s="41"/>
      <c r="J4866" s="41"/>
      <c r="K4866" s="41"/>
      <c r="L4866" s="41"/>
      <c r="M4866" s="41"/>
      <c r="N4866" s="41"/>
      <c r="O4866" s="41"/>
      <c r="P4866" s="28"/>
    </row>
    <row r="4867" customFormat="1" spans="1:16">
      <c r="A4867" s="39"/>
      <c r="B4867" s="40"/>
      <c r="C4867" s="41"/>
      <c r="D4867" s="41"/>
      <c r="E4867" s="41"/>
      <c r="F4867" s="41"/>
      <c r="G4867" s="41"/>
      <c r="H4867" s="41"/>
      <c r="I4867" s="41"/>
      <c r="J4867" s="41"/>
      <c r="K4867" s="41"/>
      <c r="L4867" s="41"/>
      <c r="M4867" s="41"/>
      <c r="N4867" s="41"/>
      <c r="O4867" s="41"/>
      <c r="P4867" s="28"/>
    </row>
    <row r="4868" customFormat="1" spans="1:16">
      <c r="A4868" s="39"/>
      <c r="B4868" s="40"/>
      <c r="C4868" s="41"/>
      <c r="D4868" s="41"/>
      <c r="E4868" s="41"/>
      <c r="F4868" s="41"/>
      <c r="G4868" s="41"/>
      <c r="H4868" s="41"/>
      <c r="I4868" s="41"/>
      <c r="J4868" s="41"/>
      <c r="K4868" s="41"/>
      <c r="L4868" s="41"/>
      <c r="M4868" s="41"/>
      <c r="N4868" s="41"/>
      <c r="O4868" s="41"/>
      <c r="P4868" s="28"/>
    </row>
    <row r="4869" customFormat="1" spans="1:16">
      <c r="A4869" s="39"/>
      <c r="B4869" s="40"/>
      <c r="C4869" s="41"/>
      <c r="D4869" s="41"/>
      <c r="E4869" s="41"/>
      <c r="F4869" s="41"/>
      <c r="G4869" s="41"/>
      <c r="H4869" s="41"/>
      <c r="I4869" s="41"/>
      <c r="J4869" s="41"/>
      <c r="K4869" s="41"/>
      <c r="L4869" s="41"/>
      <c r="M4869" s="41"/>
      <c r="N4869" s="41"/>
      <c r="O4869" s="41"/>
      <c r="P4869" s="28"/>
    </row>
    <row r="4870" customFormat="1" spans="1:16">
      <c r="A4870" s="39"/>
      <c r="B4870" s="40"/>
      <c r="C4870" s="41"/>
      <c r="D4870" s="41"/>
      <c r="E4870" s="41"/>
      <c r="F4870" s="41"/>
      <c r="G4870" s="41"/>
      <c r="H4870" s="41"/>
      <c r="I4870" s="41"/>
      <c r="J4870" s="41"/>
      <c r="K4870" s="41"/>
      <c r="L4870" s="41"/>
      <c r="M4870" s="41"/>
      <c r="N4870" s="41"/>
      <c r="O4870" s="41"/>
      <c r="P4870" s="28"/>
    </row>
    <row r="4871" customFormat="1" spans="1:16">
      <c r="A4871" s="39"/>
      <c r="B4871" s="40"/>
      <c r="C4871" s="41"/>
      <c r="D4871" s="41"/>
      <c r="E4871" s="41"/>
      <c r="F4871" s="41"/>
      <c r="G4871" s="41"/>
      <c r="H4871" s="41"/>
      <c r="I4871" s="41"/>
      <c r="J4871" s="41"/>
      <c r="K4871" s="41"/>
      <c r="L4871" s="41"/>
      <c r="M4871" s="41"/>
      <c r="N4871" s="41"/>
      <c r="O4871" s="41"/>
      <c r="P4871" s="28"/>
    </row>
    <row r="4872" customFormat="1" spans="1:16">
      <c r="A4872" s="39"/>
      <c r="B4872" s="40"/>
      <c r="C4872" s="41"/>
      <c r="D4872" s="41"/>
      <c r="E4872" s="41"/>
      <c r="F4872" s="41"/>
      <c r="G4872" s="41"/>
      <c r="H4872" s="41"/>
      <c r="I4872" s="41"/>
      <c r="J4872" s="41"/>
      <c r="K4872" s="41"/>
      <c r="L4872" s="41"/>
      <c r="M4872" s="41"/>
      <c r="N4872" s="41"/>
      <c r="O4872" s="41"/>
      <c r="P4872" s="28"/>
    </row>
    <row r="4873" customFormat="1" spans="1:16">
      <c r="A4873" s="39"/>
      <c r="B4873" s="40"/>
      <c r="C4873" s="41"/>
      <c r="D4873" s="41"/>
      <c r="E4873" s="41"/>
      <c r="F4873" s="41"/>
      <c r="G4873" s="41"/>
      <c r="H4873" s="41"/>
      <c r="I4873" s="41"/>
      <c r="J4873" s="41"/>
      <c r="K4873" s="41"/>
      <c r="L4873" s="41"/>
      <c r="M4873" s="41"/>
      <c r="N4873" s="41"/>
      <c r="O4873" s="41"/>
      <c r="P4873" s="28"/>
    </row>
    <row r="4874" customFormat="1" spans="1:16">
      <c r="A4874" s="39"/>
      <c r="B4874" s="40"/>
      <c r="C4874" s="41"/>
      <c r="D4874" s="41"/>
      <c r="E4874" s="41"/>
      <c r="F4874" s="41"/>
      <c r="G4874" s="41"/>
      <c r="H4874" s="41"/>
      <c r="I4874" s="41"/>
      <c r="J4874" s="41"/>
      <c r="K4874" s="41"/>
      <c r="L4874" s="41"/>
      <c r="M4874" s="41"/>
      <c r="N4874" s="41"/>
      <c r="O4874" s="41"/>
      <c r="P4874" s="28"/>
    </row>
    <row r="4875" customFormat="1" spans="1:16">
      <c r="A4875" s="39"/>
      <c r="B4875" s="40"/>
      <c r="C4875" s="41"/>
      <c r="D4875" s="41"/>
      <c r="E4875" s="41"/>
      <c r="F4875" s="41"/>
      <c r="G4875" s="41"/>
      <c r="H4875" s="41"/>
      <c r="I4875" s="41"/>
      <c r="J4875" s="41"/>
      <c r="K4875" s="41"/>
      <c r="L4875" s="41"/>
      <c r="M4875" s="41"/>
      <c r="N4875" s="41"/>
      <c r="O4875" s="41"/>
      <c r="P4875" s="28"/>
    </row>
    <row r="4876" customFormat="1" spans="1:16">
      <c r="A4876" s="39"/>
      <c r="B4876" s="40"/>
      <c r="C4876" s="41"/>
      <c r="D4876" s="41"/>
      <c r="E4876" s="41"/>
      <c r="F4876" s="41"/>
      <c r="G4876" s="41"/>
      <c r="H4876" s="41"/>
      <c r="I4876" s="41"/>
      <c r="J4876" s="41"/>
      <c r="K4876" s="41"/>
      <c r="L4876" s="41"/>
      <c r="M4876" s="41"/>
      <c r="N4876" s="41"/>
      <c r="O4876" s="41"/>
      <c r="P4876" s="28"/>
    </row>
    <row r="4877" customFormat="1" spans="1:16">
      <c r="A4877" s="39"/>
      <c r="B4877" s="40"/>
      <c r="C4877" s="41"/>
      <c r="D4877" s="41"/>
      <c r="E4877" s="41"/>
      <c r="F4877" s="41"/>
      <c r="G4877" s="41"/>
      <c r="H4877" s="41"/>
      <c r="I4877" s="41"/>
      <c r="J4877" s="41"/>
      <c r="K4877" s="41"/>
      <c r="L4877" s="41"/>
      <c r="M4877" s="41"/>
      <c r="N4877" s="41"/>
      <c r="O4877" s="41"/>
      <c r="P4877" s="28"/>
    </row>
    <row r="4878" customFormat="1" spans="1:16">
      <c r="A4878" s="39"/>
      <c r="B4878" s="40"/>
      <c r="C4878" s="41"/>
      <c r="D4878" s="41"/>
      <c r="E4878" s="41"/>
      <c r="F4878" s="41"/>
      <c r="G4878" s="41"/>
      <c r="H4878" s="41"/>
      <c r="I4878" s="41"/>
      <c r="J4878" s="41"/>
      <c r="K4878" s="41"/>
      <c r="L4878" s="41"/>
      <c r="M4878" s="41"/>
      <c r="N4878" s="41"/>
      <c r="O4878" s="41"/>
      <c r="P4878" s="28"/>
    </row>
    <row r="4879" customFormat="1" spans="1:16">
      <c r="A4879" s="39"/>
      <c r="B4879" s="40"/>
      <c r="C4879" s="41"/>
      <c r="D4879" s="41"/>
      <c r="E4879" s="41"/>
      <c r="F4879" s="41"/>
      <c r="G4879" s="41"/>
      <c r="H4879" s="41"/>
      <c r="I4879" s="41"/>
      <c r="J4879" s="41"/>
      <c r="K4879" s="41"/>
      <c r="L4879" s="41"/>
      <c r="M4879" s="41"/>
      <c r="N4879" s="41"/>
      <c r="O4879" s="41"/>
      <c r="P4879" s="28"/>
    </row>
    <row r="4880" customFormat="1" spans="1:16">
      <c r="A4880" s="39"/>
      <c r="B4880" s="40"/>
      <c r="C4880" s="41"/>
      <c r="D4880" s="41"/>
      <c r="E4880" s="41"/>
      <c r="F4880" s="41"/>
      <c r="G4880" s="41"/>
      <c r="H4880" s="41"/>
      <c r="I4880" s="41"/>
      <c r="J4880" s="41"/>
      <c r="K4880" s="41"/>
      <c r="L4880" s="41"/>
      <c r="M4880" s="41"/>
      <c r="N4880" s="41"/>
      <c r="O4880" s="41"/>
      <c r="P4880" s="28"/>
    </row>
    <row r="4881" customFormat="1" spans="1:16">
      <c r="A4881" s="39"/>
      <c r="B4881" s="40"/>
      <c r="C4881" s="41"/>
      <c r="D4881" s="41"/>
      <c r="E4881" s="41"/>
      <c r="F4881" s="41"/>
      <c r="G4881" s="41"/>
      <c r="H4881" s="41"/>
      <c r="I4881" s="41"/>
      <c r="J4881" s="41"/>
      <c r="K4881" s="41"/>
      <c r="L4881" s="41"/>
      <c r="M4881" s="41"/>
      <c r="N4881" s="41"/>
      <c r="O4881" s="41"/>
      <c r="P4881" s="28"/>
    </row>
    <row r="4882" customFormat="1" spans="1:16">
      <c r="A4882" s="39"/>
      <c r="B4882" s="40"/>
      <c r="C4882" s="41"/>
      <c r="D4882" s="41"/>
      <c r="E4882" s="41"/>
      <c r="F4882" s="41"/>
      <c r="G4882" s="41"/>
      <c r="H4882" s="41"/>
      <c r="I4882" s="41"/>
      <c r="J4882" s="41"/>
      <c r="K4882" s="41"/>
      <c r="L4882" s="41"/>
      <c r="M4882" s="41"/>
      <c r="N4882" s="41"/>
      <c r="O4882" s="41"/>
      <c r="P4882" s="28"/>
    </row>
    <row r="4883" customFormat="1" spans="1:16">
      <c r="A4883" s="39"/>
      <c r="B4883" s="40"/>
      <c r="C4883" s="41"/>
      <c r="D4883" s="41"/>
      <c r="E4883" s="41"/>
      <c r="F4883" s="41"/>
      <c r="G4883" s="41"/>
      <c r="H4883" s="41"/>
      <c r="I4883" s="41"/>
      <c r="J4883" s="41"/>
      <c r="K4883" s="41"/>
      <c r="L4883" s="41"/>
      <c r="M4883" s="41"/>
      <c r="N4883" s="41"/>
      <c r="O4883" s="41"/>
      <c r="P4883" s="28"/>
    </row>
    <row r="4884" customFormat="1" spans="1:16">
      <c r="A4884" s="39"/>
      <c r="B4884" s="40"/>
      <c r="C4884" s="41"/>
      <c r="D4884" s="41"/>
      <c r="E4884" s="41"/>
      <c r="F4884" s="41"/>
      <c r="G4884" s="41"/>
      <c r="H4884" s="41"/>
      <c r="I4884" s="41"/>
      <c r="J4884" s="41"/>
      <c r="K4884" s="41"/>
      <c r="L4884" s="41"/>
      <c r="M4884" s="41"/>
      <c r="N4884" s="41"/>
      <c r="O4884" s="41"/>
      <c r="P4884" s="28"/>
    </row>
    <row r="4885" customFormat="1" spans="1:16">
      <c r="A4885" s="39"/>
      <c r="B4885" s="40"/>
      <c r="C4885" s="41"/>
      <c r="D4885" s="41"/>
      <c r="E4885" s="41"/>
      <c r="F4885" s="41"/>
      <c r="G4885" s="41"/>
      <c r="H4885" s="41"/>
      <c r="I4885" s="41"/>
      <c r="J4885" s="41"/>
      <c r="K4885" s="41"/>
      <c r="L4885" s="41"/>
      <c r="M4885" s="41"/>
      <c r="N4885" s="41"/>
      <c r="O4885" s="41"/>
      <c r="P4885" s="28"/>
    </row>
    <row r="4886" customFormat="1" spans="1:16">
      <c r="A4886" s="39"/>
      <c r="B4886" s="40"/>
      <c r="C4886" s="41"/>
      <c r="D4886" s="41"/>
      <c r="E4886" s="41"/>
      <c r="F4886" s="41"/>
      <c r="G4886" s="41"/>
      <c r="H4886" s="41"/>
      <c r="I4886" s="41"/>
      <c r="J4886" s="41"/>
      <c r="K4886" s="41"/>
      <c r="L4886" s="41"/>
      <c r="M4886" s="41"/>
      <c r="N4886" s="41"/>
      <c r="O4886" s="41"/>
      <c r="P4886" s="28"/>
    </row>
    <row r="4887" customFormat="1" spans="1:16">
      <c r="A4887" s="39"/>
      <c r="B4887" s="40"/>
      <c r="C4887" s="41"/>
      <c r="D4887" s="41"/>
      <c r="E4887" s="41"/>
      <c r="F4887" s="41"/>
      <c r="G4887" s="41"/>
      <c r="H4887" s="41"/>
      <c r="I4887" s="41"/>
      <c r="J4887" s="41"/>
      <c r="K4887" s="41"/>
      <c r="L4887" s="41"/>
      <c r="M4887" s="41"/>
      <c r="N4887" s="41"/>
      <c r="O4887" s="41"/>
      <c r="P4887" s="28"/>
    </row>
    <row r="4888" customFormat="1" spans="1:16">
      <c r="A4888" s="39"/>
      <c r="B4888" s="40"/>
      <c r="C4888" s="41"/>
      <c r="D4888" s="41"/>
      <c r="E4888" s="41"/>
      <c r="F4888" s="41"/>
      <c r="G4888" s="41"/>
      <c r="H4888" s="41"/>
      <c r="I4888" s="41"/>
      <c r="J4888" s="41"/>
      <c r="K4888" s="41"/>
      <c r="L4888" s="41"/>
      <c r="M4888" s="41"/>
      <c r="N4888" s="41"/>
      <c r="O4888" s="41"/>
      <c r="P4888" s="28"/>
    </row>
    <row r="4889" customFormat="1" spans="1:16">
      <c r="A4889" s="39"/>
      <c r="B4889" s="40"/>
      <c r="C4889" s="41"/>
      <c r="D4889" s="41"/>
      <c r="E4889" s="41"/>
      <c r="F4889" s="41"/>
      <c r="G4889" s="41"/>
      <c r="H4889" s="41"/>
      <c r="I4889" s="41"/>
      <c r="J4889" s="41"/>
      <c r="K4889" s="41"/>
      <c r="L4889" s="41"/>
      <c r="M4889" s="41"/>
      <c r="N4889" s="41"/>
      <c r="O4889" s="41"/>
      <c r="P4889" s="28"/>
    </row>
    <row r="4890" customFormat="1" spans="1:16">
      <c r="A4890" s="39"/>
      <c r="B4890" s="40"/>
      <c r="C4890" s="41"/>
      <c r="D4890" s="41"/>
      <c r="E4890" s="41"/>
      <c r="F4890" s="41"/>
      <c r="G4890" s="41"/>
      <c r="H4890" s="41"/>
      <c r="I4890" s="41"/>
      <c r="J4890" s="41"/>
      <c r="K4890" s="41"/>
      <c r="L4890" s="41"/>
      <c r="M4890" s="41"/>
      <c r="N4890" s="41"/>
      <c r="O4890" s="41"/>
      <c r="P4890" s="28"/>
    </row>
    <row r="4891" customFormat="1" spans="1:16">
      <c r="A4891" s="39"/>
      <c r="B4891" s="40"/>
      <c r="C4891" s="41"/>
      <c r="D4891" s="41"/>
      <c r="E4891" s="41"/>
      <c r="F4891" s="41"/>
      <c r="G4891" s="41"/>
      <c r="H4891" s="41"/>
      <c r="I4891" s="41"/>
      <c r="J4891" s="41"/>
      <c r="K4891" s="41"/>
      <c r="L4891" s="41"/>
      <c r="M4891" s="41"/>
      <c r="N4891" s="41"/>
      <c r="O4891" s="41"/>
      <c r="P4891" s="28"/>
    </row>
    <row r="4892" customFormat="1" spans="1:16">
      <c r="A4892" s="39"/>
      <c r="B4892" s="40"/>
      <c r="C4892" s="41"/>
      <c r="D4892" s="41"/>
      <c r="E4892" s="41"/>
      <c r="F4892" s="41"/>
      <c r="G4892" s="41"/>
      <c r="H4892" s="41"/>
      <c r="I4892" s="41"/>
      <c r="J4892" s="41"/>
      <c r="K4892" s="41"/>
      <c r="L4892" s="41"/>
      <c r="M4892" s="41"/>
      <c r="N4892" s="41"/>
      <c r="O4892" s="41"/>
      <c r="P4892" s="28"/>
    </row>
    <row r="4893" customFormat="1" spans="1:16">
      <c r="A4893" s="39"/>
      <c r="B4893" s="40"/>
      <c r="C4893" s="41"/>
      <c r="D4893" s="41"/>
      <c r="E4893" s="41"/>
      <c r="F4893" s="41"/>
      <c r="G4893" s="41"/>
      <c r="H4893" s="41"/>
      <c r="I4893" s="41"/>
      <c r="J4893" s="41"/>
      <c r="K4893" s="41"/>
      <c r="L4893" s="41"/>
      <c r="M4893" s="41"/>
      <c r="N4893" s="41"/>
      <c r="O4893" s="41"/>
      <c r="P4893" s="28"/>
    </row>
    <row r="4894" customFormat="1" spans="1:16">
      <c r="A4894" s="39"/>
      <c r="B4894" s="40"/>
      <c r="C4894" s="41"/>
      <c r="D4894" s="41"/>
      <c r="E4894" s="41"/>
      <c r="F4894" s="41"/>
      <c r="G4894" s="41"/>
      <c r="H4894" s="41"/>
      <c r="I4894" s="41"/>
      <c r="J4894" s="41"/>
      <c r="K4894" s="41"/>
      <c r="L4894" s="41"/>
      <c r="M4894" s="41"/>
      <c r="N4894" s="41"/>
      <c r="O4894" s="41"/>
      <c r="P4894" s="28"/>
    </row>
    <row r="4895" customFormat="1" spans="1:16">
      <c r="A4895" s="39"/>
      <c r="B4895" s="40"/>
      <c r="C4895" s="41"/>
      <c r="D4895" s="41"/>
      <c r="E4895" s="41"/>
      <c r="F4895" s="41"/>
      <c r="G4895" s="41"/>
      <c r="H4895" s="41"/>
      <c r="I4895" s="41"/>
      <c r="J4895" s="41"/>
      <c r="K4895" s="41"/>
      <c r="L4895" s="41"/>
      <c r="M4895" s="41"/>
      <c r="N4895" s="41"/>
      <c r="O4895" s="41"/>
      <c r="P4895" s="28"/>
    </row>
    <row r="4896" customFormat="1" spans="1:16">
      <c r="A4896" s="39"/>
      <c r="B4896" s="40"/>
      <c r="C4896" s="41"/>
      <c r="D4896" s="41"/>
      <c r="E4896" s="41"/>
      <c r="F4896" s="41"/>
      <c r="G4896" s="41"/>
      <c r="H4896" s="41"/>
      <c r="I4896" s="41"/>
      <c r="J4896" s="41"/>
      <c r="K4896" s="41"/>
      <c r="L4896" s="41"/>
      <c r="M4896" s="41"/>
      <c r="N4896" s="41"/>
      <c r="O4896" s="41"/>
      <c r="P4896" s="28"/>
    </row>
    <row r="4897" customFormat="1" spans="1:16">
      <c r="A4897" s="39"/>
      <c r="B4897" s="40"/>
      <c r="C4897" s="41"/>
      <c r="D4897" s="41"/>
      <c r="E4897" s="41"/>
      <c r="F4897" s="41"/>
      <c r="G4897" s="41"/>
      <c r="H4897" s="41"/>
      <c r="I4897" s="41"/>
      <c r="J4897" s="41"/>
      <c r="K4897" s="41"/>
      <c r="L4897" s="41"/>
      <c r="M4897" s="41"/>
      <c r="N4897" s="41"/>
      <c r="O4897" s="41"/>
      <c r="P4897" s="28"/>
    </row>
    <row r="4898" customFormat="1" spans="1:16">
      <c r="A4898" s="39"/>
      <c r="B4898" s="40"/>
      <c r="C4898" s="41"/>
      <c r="D4898" s="41"/>
      <c r="E4898" s="41"/>
      <c r="F4898" s="41"/>
      <c r="G4898" s="41"/>
      <c r="H4898" s="41"/>
      <c r="I4898" s="41"/>
      <c r="J4898" s="41"/>
      <c r="K4898" s="41"/>
      <c r="L4898" s="41"/>
      <c r="M4898" s="41"/>
      <c r="N4898" s="41"/>
      <c r="O4898" s="41"/>
      <c r="P4898" s="28"/>
    </row>
    <row r="4899" customFormat="1" spans="1:16">
      <c r="A4899" s="39"/>
      <c r="B4899" s="40"/>
      <c r="C4899" s="41"/>
      <c r="D4899" s="41"/>
      <c r="E4899" s="41"/>
      <c r="F4899" s="41"/>
      <c r="G4899" s="41"/>
      <c r="H4899" s="41"/>
      <c r="I4899" s="41"/>
      <c r="J4899" s="41"/>
      <c r="K4899" s="41"/>
      <c r="L4899" s="41"/>
      <c r="M4899" s="41"/>
      <c r="N4899" s="41"/>
      <c r="O4899" s="41"/>
      <c r="P4899" s="28"/>
    </row>
    <row r="4900" customFormat="1" spans="1:16">
      <c r="A4900" s="39"/>
      <c r="B4900" s="40"/>
      <c r="C4900" s="41"/>
      <c r="D4900" s="41"/>
      <c r="E4900" s="41"/>
      <c r="F4900" s="41"/>
      <c r="G4900" s="41"/>
      <c r="H4900" s="41"/>
      <c r="I4900" s="41"/>
      <c r="J4900" s="41"/>
      <c r="K4900" s="41"/>
      <c r="L4900" s="41"/>
      <c r="M4900" s="41"/>
      <c r="N4900" s="41"/>
      <c r="O4900" s="41"/>
      <c r="P4900" s="28"/>
    </row>
    <row r="4901" customFormat="1" spans="1:16">
      <c r="A4901" s="39"/>
      <c r="B4901" s="40"/>
      <c r="C4901" s="41"/>
      <c r="D4901" s="41"/>
      <c r="E4901" s="41"/>
      <c r="F4901" s="41"/>
      <c r="G4901" s="41"/>
      <c r="H4901" s="41"/>
      <c r="I4901" s="41"/>
      <c r="J4901" s="41"/>
      <c r="K4901" s="41"/>
      <c r="L4901" s="41"/>
      <c r="M4901" s="41"/>
      <c r="N4901" s="41"/>
      <c r="O4901" s="41"/>
      <c r="P4901" s="28"/>
    </row>
    <row r="4902" customFormat="1" spans="1:16">
      <c r="A4902" s="39"/>
      <c r="B4902" s="40"/>
      <c r="C4902" s="41"/>
      <c r="D4902" s="41"/>
      <c r="E4902" s="41"/>
      <c r="F4902" s="41"/>
      <c r="G4902" s="41"/>
      <c r="H4902" s="41"/>
      <c r="I4902" s="41"/>
      <c r="J4902" s="41"/>
      <c r="K4902" s="41"/>
      <c r="L4902" s="41"/>
      <c r="M4902" s="41"/>
      <c r="N4902" s="41"/>
      <c r="O4902" s="41"/>
      <c r="P4902" s="28"/>
    </row>
    <row r="4903" customFormat="1" spans="1:16">
      <c r="A4903" s="39"/>
      <c r="B4903" s="40"/>
      <c r="C4903" s="41"/>
      <c r="D4903" s="41"/>
      <c r="E4903" s="41"/>
      <c r="F4903" s="41"/>
      <c r="G4903" s="41"/>
      <c r="H4903" s="41"/>
      <c r="I4903" s="41"/>
      <c r="J4903" s="41"/>
      <c r="K4903" s="41"/>
      <c r="L4903" s="41"/>
      <c r="M4903" s="41"/>
      <c r="N4903" s="41"/>
      <c r="O4903" s="41"/>
      <c r="P4903" s="28"/>
    </row>
    <row r="4904" customFormat="1" spans="1:16">
      <c r="A4904" s="39"/>
      <c r="B4904" s="40"/>
      <c r="C4904" s="41"/>
      <c r="D4904" s="41"/>
      <c r="E4904" s="41"/>
      <c r="F4904" s="41"/>
      <c r="G4904" s="41"/>
      <c r="H4904" s="41"/>
      <c r="I4904" s="41"/>
      <c r="J4904" s="41"/>
      <c r="K4904" s="41"/>
      <c r="L4904" s="41"/>
      <c r="M4904" s="41"/>
      <c r="N4904" s="41"/>
      <c r="O4904" s="41"/>
      <c r="P4904" s="28"/>
    </row>
    <row r="4905" customFormat="1" spans="1:16">
      <c r="A4905" s="39"/>
      <c r="B4905" s="40"/>
      <c r="C4905" s="41"/>
      <c r="D4905" s="41"/>
      <c r="E4905" s="41"/>
      <c r="F4905" s="41"/>
      <c r="G4905" s="41"/>
      <c r="H4905" s="41"/>
      <c r="I4905" s="41"/>
      <c r="J4905" s="41"/>
      <c r="K4905" s="41"/>
      <c r="L4905" s="41"/>
      <c r="M4905" s="41"/>
      <c r="N4905" s="41"/>
      <c r="O4905" s="41"/>
      <c r="P4905" s="28"/>
    </row>
    <row r="4906" customFormat="1" spans="1:16">
      <c r="A4906" s="39"/>
      <c r="B4906" s="40"/>
      <c r="C4906" s="41"/>
      <c r="D4906" s="41"/>
      <c r="E4906" s="41"/>
      <c r="F4906" s="41"/>
      <c r="G4906" s="41"/>
      <c r="H4906" s="41"/>
      <c r="I4906" s="41"/>
      <c r="J4906" s="41"/>
      <c r="K4906" s="41"/>
      <c r="L4906" s="41"/>
      <c r="M4906" s="41"/>
      <c r="N4906" s="41"/>
      <c r="O4906" s="41"/>
      <c r="P4906" s="28"/>
    </row>
    <row r="4907" customFormat="1" spans="1:16">
      <c r="A4907" s="39"/>
      <c r="B4907" s="40"/>
      <c r="C4907" s="41"/>
      <c r="D4907" s="41"/>
      <c r="E4907" s="41"/>
      <c r="F4907" s="41"/>
      <c r="G4907" s="41"/>
      <c r="H4907" s="41"/>
      <c r="I4907" s="41"/>
      <c r="J4907" s="41"/>
      <c r="K4907" s="41"/>
      <c r="L4907" s="41"/>
      <c r="M4907" s="41"/>
      <c r="N4907" s="41"/>
      <c r="O4907" s="41"/>
      <c r="P4907" s="28"/>
    </row>
    <row r="4908" customFormat="1" spans="1:16">
      <c r="A4908" s="39"/>
      <c r="B4908" s="40"/>
      <c r="C4908" s="41"/>
      <c r="D4908" s="41"/>
      <c r="E4908" s="41"/>
      <c r="F4908" s="41"/>
      <c r="G4908" s="41"/>
      <c r="H4908" s="41"/>
      <c r="I4908" s="41"/>
      <c r="J4908" s="41"/>
      <c r="K4908" s="41"/>
      <c r="L4908" s="41"/>
      <c r="M4908" s="41"/>
      <c r="N4908" s="41"/>
      <c r="O4908" s="41"/>
      <c r="P4908" s="28"/>
    </row>
    <row r="4909" customFormat="1" spans="1:16">
      <c r="A4909" s="39"/>
      <c r="B4909" s="40"/>
      <c r="C4909" s="41"/>
      <c r="D4909" s="41"/>
      <c r="E4909" s="41"/>
      <c r="F4909" s="41"/>
      <c r="G4909" s="41"/>
      <c r="H4909" s="41"/>
      <c r="I4909" s="41"/>
      <c r="J4909" s="41"/>
      <c r="K4909" s="41"/>
      <c r="L4909" s="41"/>
      <c r="M4909" s="41"/>
      <c r="N4909" s="41"/>
      <c r="O4909" s="41"/>
      <c r="P4909" s="28"/>
    </row>
    <row r="4910" customFormat="1" spans="1:16">
      <c r="A4910" s="39"/>
      <c r="B4910" s="40"/>
      <c r="C4910" s="41"/>
      <c r="D4910" s="41"/>
      <c r="E4910" s="41"/>
      <c r="F4910" s="41"/>
      <c r="G4910" s="41"/>
      <c r="H4910" s="41"/>
      <c r="I4910" s="41"/>
      <c r="J4910" s="41"/>
      <c r="K4910" s="41"/>
      <c r="L4910" s="41"/>
      <c r="M4910" s="41"/>
      <c r="N4910" s="41"/>
      <c r="O4910" s="41"/>
      <c r="P4910" s="28"/>
    </row>
    <row r="4911" customFormat="1" spans="1:16">
      <c r="A4911" s="39"/>
      <c r="B4911" s="40"/>
      <c r="C4911" s="41"/>
      <c r="D4911" s="41"/>
      <c r="E4911" s="41"/>
      <c r="F4911" s="41"/>
      <c r="G4911" s="41"/>
      <c r="H4911" s="41"/>
      <c r="I4911" s="41"/>
      <c r="J4911" s="41"/>
      <c r="K4911" s="41"/>
      <c r="L4911" s="41"/>
      <c r="M4911" s="41"/>
      <c r="N4911" s="41"/>
      <c r="O4911" s="41"/>
      <c r="P4911" s="28"/>
    </row>
    <row r="4912" customFormat="1" spans="1:16">
      <c r="A4912" s="39"/>
      <c r="B4912" s="40"/>
      <c r="C4912" s="41"/>
      <c r="D4912" s="41"/>
      <c r="E4912" s="41"/>
      <c r="F4912" s="41"/>
      <c r="G4912" s="41"/>
      <c r="H4912" s="41"/>
      <c r="I4912" s="41"/>
      <c r="J4912" s="41"/>
      <c r="K4912" s="41"/>
      <c r="L4912" s="41"/>
      <c r="M4912" s="41"/>
      <c r="N4912" s="41"/>
      <c r="O4912" s="41"/>
      <c r="P4912" s="28"/>
    </row>
    <row r="4913" customFormat="1" spans="1:16">
      <c r="A4913" s="39"/>
      <c r="B4913" s="40"/>
      <c r="C4913" s="41"/>
      <c r="D4913" s="41"/>
      <c r="E4913" s="41"/>
      <c r="F4913" s="41"/>
      <c r="G4913" s="41"/>
      <c r="H4913" s="41"/>
      <c r="I4913" s="41"/>
      <c r="J4913" s="41"/>
      <c r="K4913" s="41"/>
      <c r="L4913" s="41"/>
      <c r="M4913" s="41"/>
      <c r="N4913" s="41"/>
      <c r="O4913" s="41"/>
      <c r="P4913" s="28"/>
    </row>
    <row r="4914" customFormat="1" spans="1:16">
      <c r="A4914" s="39"/>
      <c r="B4914" s="40"/>
      <c r="C4914" s="41"/>
      <c r="D4914" s="41"/>
      <c r="E4914" s="41"/>
      <c r="F4914" s="41"/>
      <c r="G4914" s="41"/>
      <c r="H4914" s="41"/>
      <c r="I4914" s="41"/>
      <c r="J4914" s="41"/>
      <c r="K4914" s="41"/>
      <c r="L4914" s="41"/>
      <c r="M4914" s="41"/>
      <c r="N4914" s="41"/>
      <c r="O4914" s="41"/>
      <c r="P4914" s="28"/>
    </row>
    <row r="4915" customFormat="1" spans="1:16">
      <c r="A4915" s="39"/>
      <c r="B4915" s="40"/>
      <c r="C4915" s="41"/>
      <c r="D4915" s="41"/>
      <c r="E4915" s="41"/>
      <c r="F4915" s="41"/>
      <c r="G4915" s="41"/>
      <c r="H4915" s="41"/>
      <c r="I4915" s="41"/>
      <c r="J4915" s="41"/>
      <c r="K4915" s="41"/>
      <c r="L4915" s="41"/>
      <c r="M4915" s="41"/>
      <c r="N4915" s="41"/>
      <c r="O4915" s="41"/>
      <c r="P4915" s="28"/>
    </row>
    <row r="4916" customFormat="1" spans="1:16">
      <c r="A4916" s="39"/>
      <c r="B4916" s="40"/>
      <c r="C4916" s="41"/>
      <c r="D4916" s="41"/>
      <c r="E4916" s="41"/>
      <c r="F4916" s="41"/>
      <c r="G4916" s="41"/>
      <c r="H4916" s="41"/>
      <c r="I4916" s="41"/>
      <c r="J4916" s="41"/>
      <c r="K4916" s="41"/>
      <c r="L4916" s="41"/>
      <c r="M4916" s="41"/>
      <c r="N4916" s="41"/>
      <c r="O4916" s="41"/>
      <c r="P4916" s="28"/>
    </row>
    <row r="4917" customFormat="1" spans="1:16">
      <c r="A4917" s="39"/>
      <c r="B4917" s="40"/>
      <c r="C4917" s="41"/>
      <c r="D4917" s="41"/>
      <c r="E4917" s="41"/>
      <c r="F4917" s="41"/>
      <c r="G4917" s="41"/>
      <c r="H4917" s="41"/>
      <c r="I4917" s="41"/>
      <c r="J4917" s="41"/>
      <c r="K4917" s="41"/>
      <c r="L4917" s="41"/>
      <c r="M4917" s="41"/>
      <c r="N4917" s="41"/>
      <c r="O4917" s="41"/>
      <c r="P4917" s="28"/>
    </row>
    <row r="4918" customFormat="1" spans="1:16">
      <c r="A4918" s="39"/>
      <c r="B4918" s="40"/>
      <c r="C4918" s="41"/>
      <c r="D4918" s="41"/>
      <c r="E4918" s="41"/>
      <c r="F4918" s="41"/>
      <c r="G4918" s="41"/>
      <c r="H4918" s="41"/>
      <c r="I4918" s="41"/>
      <c r="J4918" s="41"/>
      <c r="K4918" s="41"/>
      <c r="L4918" s="41"/>
      <c r="M4918" s="41"/>
      <c r="N4918" s="41"/>
      <c r="O4918" s="41"/>
      <c r="P4918" s="28"/>
    </row>
    <row r="4919" customFormat="1" spans="1:16">
      <c r="A4919" s="39"/>
      <c r="B4919" s="40"/>
      <c r="C4919" s="41"/>
      <c r="D4919" s="41"/>
      <c r="E4919" s="41"/>
      <c r="F4919" s="41"/>
      <c r="G4919" s="41"/>
      <c r="H4919" s="41"/>
      <c r="I4919" s="41"/>
      <c r="J4919" s="41"/>
      <c r="K4919" s="41"/>
      <c r="L4919" s="41"/>
      <c r="M4919" s="41"/>
      <c r="N4919" s="41"/>
      <c r="O4919" s="41"/>
      <c r="P4919" s="28"/>
    </row>
    <row r="4920" customFormat="1" spans="1:16">
      <c r="A4920" s="39"/>
      <c r="B4920" s="40"/>
      <c r="C4920" s="41"/>
      <c r="D4920" s="41"/>
      <c r="E4920" s="41"/>
      <c r="F4920" s="41"/>
      <c r="G4920" s="41"/>
      <c r="H4920" s="41"/>
      <c r="I4920" s="41"/>
      <c r="J4920" s="41"/>
      <c r="K4920" s="41"/>
      <c r="L4920" s="41"/>
      <c r="M4920" s="41"/>
      <c r="N4920" s="41"/>
      <c r="O4920" s="41"/>
      <c r="P4920" s="28"/>
    </row>
    <row r="4921" customFormat="1" spans="1:16">
      <c r="A4921" s="39"/>
      <c r="B4921" s="40"/>
      <c r="C4921" s="41"/>
      <c r="D4921" s="41"/>
      <c r="E4921" s="41"/>
      <c r="F4921" s="41"/>
      <c r="G4921" s="41"/>
      <c r="H4921" s="41"/>
      <c r="I4921" s="41"/>
      <c r="J4921" s="41"/>
      <c r="K4921" s="41"/>
      <c r="L4921" s="41"/>
      <c r="M4921" s="41"/>
      <c r="N4921" s="41"/>
      <c r="O4921" s="41"/>
      <c r="P4921" s="28"/>
    </row>
    <row r="4922" customFormat="1" spans="1:16">
      <c r="A4922" s="39"/>
      <c r="B4922" s="40"/>
      <c r="C4922" s="41"/>
      <c r="D4922" s="41"/>
      <c r="E4922" s="41"/>
      <c r="F4922" s="41"/>
      <c r="G4922" s="41"/>
      <c r="H4922" s="41"/>
      <c r="I4922" s="41"/>
      <c r="J4922" s="41"/>
      <c r="K4922" s="41"/>
      <c r="L4922" s="41"/>
      <c r="M4922" s="41"/>
      <c r="N4922" s="41"/>
      <c r="O4922" s="41"/>
      <c r="P4922" s="28"/>
    </row>
    <row r="4923" customFormat="1" spans="1:16">
      <c r="A4923" s="39"/>
      <c r="B4923" s="40"/>
      <c r="C4923" s="41"/>
      <c r="D4923" s="41"/>
      <c r="E4923" s="41"/>
      <c r="F4923" s="41"/>
      <c r="G4923" s="41"/>
      <c r="H4923" s="41"/>
      <c r="I4923" s="41"/>
      <c r="J4923" s="41"/>
      <c r="K4923" s="41"/>
      <c r="L4923" s="41"/>
      <c r="M4923" s="41"/>
      <c r="N4923" s="41"/>
      <c r="O4923" s="41"/>
      <c r="P4923" s="28"/>
    </row>
    <row r="4924" customFormat="1" spans="1:16">
      <c r="A4924" s="39"/>
      <c r="B4924" s="40"/>
      <c r="C4924" s="41"/>
      <c r="D4924" s="41"/>
      <c r="E4924" s="41"/>
      <c r="F4924" s="41"/>
      <c r="G4924" s="41"/>
      <c r="H4924" s="41"/>
      <c r="I4924" s="41"/>
      <c r="J4924" s="41"/>
      <c r="K4924" s="41"/>
      <c r="L4924" s="41"/>
      <c r="M4924" s="41"/>
      <c r="N4924" s="41"/>
      <c r="O4924" s="41"/>
      <c r="P4924" s="28"/>
    </row>
    <row r="4925" customFormat="1" spans="1:16">
      <c r="A4925" s="39"/>
      <c r="B4925" s="40"/>
      <c r="C4925" s="41"/>
      <c r="D4925" s="41"/>
      <c r="E4925" s="41"/>
      <c r="F4925" s="41"/>
      <c r="G4925" s="41"/>
      <c r="H4925" s="41"/>
      <c r="I4925" s="41"/>
      <c r="J4925" s="41"/>
      <c r="K4925" s="41"/>
      <c r="L4925" s="41"/>
      <c r="M4925" s="41"/>
      <c r="N4925" s="41"/>
      <c r="O4925" s="41"/>
      <c r="P4925" s="28"/>
    </row>
    <row r="4926" customFormat="1" spans="1:16">
      <c r="A4926" s="39"/>
      <c r="B4926" s="40"/>
      <c r="C4926" s="41"/>
      <c r="D4926" s="41"/>
      <c r="E4926" s="41"/>
      <c r="F4926" s="41"/>
      <c r="G4926" s="41"/>
      <c r="H4926" s="41"/>
      <c r="I4926" s="41"/>
      <c r="J4926" s="41"/>
      <c r="K4926" s="41"/>
      <c r="L4926" s="41"/>
      <c r="M4926" s="41"/>
      <c r="N4926" s="41"/>
      <c r="O4926" s="41"/>
      <c r="P4926" s="28"/>
    </row>
    <row r="4927" customFormat="1" spans="1:16">
      <c r="A4927" s="39"/>
      <c r="B4927" s="40"/>
      <c r="C4927" s="41"/>
      <c r="D4927" s="41"/>
      <c r="E4927" s="41"/>
      <c r="F4927" s="41"/>
      <c r="G4927" s="41"/>
      <c r="H4927" s="41"/>
      <c r="I4927" s="41"/>
      <c r="J4927" s="41"/>
      <c r="K4927" s="41"/>
      <c r="L4927" s="41"/>
      <c r="M4927" s="41"/>
      <c r="N4927" s="41"/>
      <c r="O4927" s="41"/>
      <c r="P4927" s="28"/>
    </row>
    <row r="4928" customFormat="1" spans="1:16">
      <c r="A4928" s="39"/>
      <c r="B4928" s="40"/>
      <c r="C4928" s="41"/>
      <c r="D4928" s="41"/>
      <c r="E4928" s="41"/>
      <c r="F4928" s="41"/>
      <c r="G4928" s="41"/>
      <c r="H4928" s="41"/>
      <c r="I4928" s="41"/>
      <c r="J4928" s="41"/>
      <c r="K4928" s="41"/>
      <c r="L4928" s="41"/>
      <c r="M4928" s="41"/>
      <c r="N4928" s="41"/>
      <c r="O4928" s="41"/>
      <c r="P4928" s="28"/>
    </row>
    <row r="4929" customFormat="1" spans="1:16">
      <c r="A4929" s="39"/>
      <c r="B4929" s="40"/>
      <c r="C4929" s="41"/>
      <c r="D4929" s="41"/>
      <c r="E4929" s="41"/>
      <c r="F4929" s="41"/>
      <c r="G4929" s="41"/>
      <c r="H4929" s="41"/>
      <c r="I4929" s="41"/>
      <c r="J4929" s="41"/>
      <c r="K4929" s="41"/>
      <c r="L4929" s="41"/>
      <c r="M4929" s="41"/>
      <c r="N4929" s="41"/>
      <c r="O4929" s="41"/>
      <c r="P4929" s="28"/>
    </row>
    <row r="4930" customFormat="1" spans="1:16">
      <c r="A4930" s="39"/>
      <c r="B4930" s="40"/>
      <c r="C4930" s="41"/>
      <c r="D4930" s="41"/>
      <c r="E4930" s="41"/>
      <c r="F4930" s="41"/>
      <c r="G4930" s="41"/>
      <c r="H4930" s="41"/>
      <c r="I4930" s="41"/>
      <c r="J4930" s="41"/>
      <c r="K4930" s="41"/>
      <c r="L4930" s="41"/>
      <c r="M4930" s="41"/>
      <c r="N4930" s="41"/>
      <c r="O4930" s="41"/>
      <c r="P4930" s="28"/>
    </row>
    <row r="4931" customFormat="1" spans="1:16">
      <c r="A4931" s="39"/>
      <c r="B4931" s="40"/>
      <c r="C4931" s="41"/>
      <c r="D4931" s="41"/>
      <c r="E4931" s="41"/>
      <c r="F4931" s="41"/>
      <c r="G4931" s="41"/>
      <c r="H4931" s="41"/>
      <c r="I4931" s="41"/>
      <c r="J4931" s="41"/>
      <c r="K4931" s="41"/>
      <c r="L4931" s="41"/>
      <c r="M4931" s="41"/>
      <c r="N4931" s="41"/>
      <c r="O4931" s="41"/>
      <c r="P4931" s="28"/>
    </row>
    <row r="4932" customFormat="1" spans="1:16">
      <c r="A4932" s="39"/>
      <c r="B4932" s="40"/>
      <c r="C4932" s="41"/>
      <c r="D4932" s="41"/>
      <c r="E4932" s="41"/>
      <c r="F4932" s="41"/>
      <c r="G4932" s="41"/>
      <c r="H4932" s="41"/>
      <c r="I4932" s="41"/>
      <c r="J4932" s="41"/>
      <c r="K4932" s="41"/>
      <c r="L4932" s="41"/>
      <c r="M4932" s="41"/>
      <c r="N4932" s="41"/>
      <c r="O4932" s="41"/>
      <c r="P4932" s="28"/>
    </row>
    <row r="4933" customFormat="1" spans="1:16">
      <c r="A4933" s="39"/>
      <c r="B4933" s="40"/>
      <c r="C4933" s="41"/>
      <c r="D4933" s="41"/>
      <c r="E4933" s="41"/>
      <c r="F4933" s="41"/>
      <c r="G4933" s="41"/>
      <c r="H4933" s="41"/>
      <c r="I4933" s="41"/>
      <c r="J4933" s="41"/>
      <c r="K4933" s="41"/>
      <c r="L4933" s="41"/>
      <c r="M4933" s="41"/>
      <c r="N4933" s="41"/>
      <c r="O4933" s="41"/>
      <c r="P4933" s="28"/>
    </row>
    <row r="4934" customFormat="1" spans="1:16">
      <c r="A4934" s="39"/>
      <c r="B4934" s="40"/>
      <c r="C4934" s="41"/>
      <c r="D4934" s="41"/>
      <c r="E4934" s="41"/>
      <c r="F4934" s="41"/>
      <c r="G4934" s="41"/>
      <c r="H4934" s="41"/>
      <c r="I4934" s="41"/>
      <c r="J4934" s="41"/>
      <c r="K4934" s="41"/>
      <c r="L4934" s="41"/>
      <c r="M4934" s="41"/>
      <c r="N4934" s="41"/>
      <c r="O4934" s="41"/>
      <c r="P4934" s="28"/>
    </row>
    <row r="4935" customFormat="1" spans="1:16">
      <c r="A4935" s="39"/>
      <c r="B4935" s="40"/>
      <c r="C4935" s="41"/>
      <c r="D4935" s="41"/>
      <c r="E4935" s="41"/>
      <c r="F4935" s="41"/>
      <c r="G4935" s="41"/>
      <c r="H4935" s="41"/>
      <c r="I4935" s="41"/>
      <c r="J4935" s="41"/>
      <c r="K4935" s="41"/>
      <c r="L4935" s="41"/>
      <c r="M4935" s="41"/>
      <c r="N4935" s="41"/>
      <c r="O4935" s="41"/>
      <c r="P4935" s="28"/>
    </row>
    <row r="4936" customFormat="1" spans="1:16">
      <c r="A4936" s="39"/>
      <c r="B4936" s="40"/>
      <c r="C4936" s="41"/>
      <c r="D4936" s="41"/>
      <c r="E4936" s="41"/>
      <c r="F4936" s="41"/>
      <c r="G4936" s="41"/>
      <c r="H4936" s="41"/>
      <c r="I4936" s="41"/>
      <c r="J4936" s="41"/>
      <c r="K4936" s="41"/>
      <c r="L4936" s="41"/>
      <c r="M4936" s="41"/>
      <c r="N4936" s="41"/>
      <c r="O4936" s="41"/>
      <c r="P4936" s="28"/>
    </row>
    <row r="4937" customFormat="1" spans="1:16">
      <c r="A4937" s="39"/>
      <c r="B4937" s="40"/>
      <c r="C4937" s="41"/>
      <c r="D4937" s="41"/>
      <c r="E4937" s="41"/>
      <c r="F4937" s="41"/>
      <c r="G4937" s="41"/>
      <c r="H4937" s="41"/>
      <c r="I4937" s="41"/>
      <c r="J4937" s="41"/>
      <c r="K4937" s="41"/>
      <c r="L4937" s="41"/>
      <c r="M4937" s="41"/>
      <c r="N4937" s="41"/>
      <c r="O4937" s="41"/>
      <c r="P4937" s="28"/>
    </row>
    <row r="4938" customFormat="1" spans="1:16">
      <c r="A4938" s="39"/>
      <c r="B4938" s="40"/>
      <c r="C4938" s="41"/>
      <c r="D4938" s="41"/>
      <c r="E4938" s="41"/>
      <c r="F4938" s="41"/>
      <c r="G4938" s="41"/>
      <c r="H4938" s="41"/>
      <c r="I4938" s="41"/>
      <c r="J4938" s="41"/>
      <c r="K4938" s="41"/>
      <c r="L4938" s="41"/>
      <c r="M4938" s="41"/>
      <c r="N4938" s="41"/>
      <c r="O4938" s="41"/>
      <c r="P4938" s="28"/>
    </row>
    <row r="4939" customFormat="1" spans="1:16">
      <c r="A4939" s="39"/>
      <c r="B4939" s="40"/>
      <c r="C4939" s="41"/>
      <c r="D4939" s="41"/>
      <c r="E4939" s="41"/>
      <c r="F4939" s="41"/>
      <c r="G4939" s="41"/>
      <c r="H4939" s="41"/>
      <c r="I4939" s="41"/>
      <c r="J4939" s="41"/>
      <c r="K4939" s="41"/>
      <c r="L4939" s="41"/>
      <c r="M4939" s="41"/>
      <c r="N4939" s="41"/>
      <c r="O4939" s="41"/>
      <c r="P4939" s="28"/>
    </row>
    <row r="4940" customFormat="1" spans="1:16">
      <c r="A4940" s="39"/>
      <c r="B4940" s="40"/>
      <c r="C4940" s="41"/>
      <c r="D4940" s="41"/>
      <c r="E4940" s="41"/>
      <c r="F4940" s="41"/>
      <c r="G4940" s="41"/>
      <c r="H4940" s="41"/>
      <c r="I4940" s="41"/>
      <c r="J4940" s="41"/>
      <c r="K4940" s="41"/>
      <c r="L4940" s="41"/>
      <c r="M4940" s="41"/>
      <c r="N4940" s="41"/>
      <c r="O4940" s="41"/>
      <c r="P4940" s="28"/>
    </row>
    <row r="4941" customFormat="1" spans="1:16">
      <c r="A4941" s="39"/>
      <c r="B4941" s="40"/>
      <c r="C4941" s="41"/>
      <c r="D4941" s="41"/>
      <c r="E4941" s="41"/>
      <c r="F4941" s="41"/>
      <c r="G4941" s="41"/>
      <c r="H4941" s="41"/>
      <c r="I4941" s="41"/>
      <c r="J4941" s="41"/>
      <c r="K4941" s="41"/>
      <c r="L4941" s="41"/>
      <c r="M4941" s="41"/>
      <c r="N4941" s="41"/>
      <c r="O4941" s="41"/>
      <c r="P4941" s="28"/>
    </row>
    <row r="4942" customFormat="1" spans="1:16">
      <c r="A4942" s="39"/>
      <c r="B4942" s="40"/>
      <c r="C4942" s="41"/>
      <c r="D4942" s="41"/>
      <c r="E4942" s="41"/>
      <c r="F4942" s="41"/>
      <c r="G4942" s="41"/>
      <c r="H4942" s="41"/>
      <c r="I4942" s="41"/>
      <c r="J4942" s="41"/>
      <c r="K4942" s="41"/>
      <c r="L4942" s="41"/>
      <c r="M4942" s="41"/>
      <c r="N4942" s="41"/>
      <c r="O4942" s="41"/>
      <c r="P4942" s="28"/>
    </row>
    <row r="4943" customFormat="1" spans="1:16">
      <c r="A4943" s="39"/>
      <c r="B4943" s="40"/>
      <c r="C4943" s="41"/>
      <c r="D4943" s="41"/>
      <c r="E4943" s="41"/>
      <c r="F4943" s="41"/>
      <c r="G4943" s="41"/>
      <c r="H4943" s="41"/>
      <c r="I4943" s="41"/>
      <c r="J4943" s="41"/>
      <c r="K4943" s="41"/>
      <c r="L4943" s="41"/>
      <c r="M4943" s="41"/>
      <c r="N4943" s="41"/>
      <c r="O4943" s="41"/>
      <c r="P4943" s="28"/>
    </row>
    <row r="4944" customFormat="1" spans="1:16">
      <c r="A4944" s="39"/>
      <c r="B4944" s="40"/>
      <c r="C4944" s="41"/>
      <c r="D4944" s="41"/>
      <c r="E4944" s="41"/>
      <c r="F4944" s="41"/>
      <c r="G4944" s="41"/>
      <c r="H4944" s="41"/>
      <c r="I4944" s="41"/>
      <c r="J4944" s="41"/>
      <c r="K4944" s="41"/>
      <c r="L4944" s="41"/>
      <c r="M4944" s="41"/>
      <c r="N4944" s="41"/>
      <c r="O4944" s="41"/>
      <c r="P4944" s="28"/>
    </row>
    <row r="4945" customFormat="1" spans="1:16">
      <c r="A4945" s="39"/>
      <c r="B4945" s="40"/>
      <c r="C4945" s="41"/>
      <c r="D4945" s="41"/>
      <c r="E4945" s="41"/>
      <c r="F4945" s="41"/>
      <c r="G4945" s="41"/>
      <c r="H4945" s="41"/>
      <c r="I4945" s="41"/>
      <c r="J4945" s="41"/>
      <c r="K4945" s="41"/>
      <c r="L4945" s="41"/>
      <c r="M4945" s="41"/>
      <c r="N4945" s="41"/>
      <c r="O4945" s="41"/>
      <c r="P4945" s="28"/>
    </row>
    <row r="4946" customFormat="1" spans="1:16">
      <c r="A4946" s="39"/>
      <c r="B4946" s="40"/>
      <c r="C4946" s="41"/>
      <c r="D4946" s="41"/>
      <c r="E4946" s="41"/>
      <c r="F4946" s="41"/>
      <c r="G4946" s="41"/>
      <c r="H4946" s="41"/>
      <c r="I4946" s="41"/>
      <c r="J4946" s="41"/>
      <c r="K4946" s="41"/>
      <c r="L4946" s="41"/>
      <c r="M4946" s="41"/>
      <c r="N4946" s="41"/>
      <c r="O4946" s="41"/>
      <c r="P4946" s="28"/>
    </row>
    <row r="4947" customFormat="1" spans="1:16">
      <c r="A4947" s="39"/>
      <c r="B4947" s="40"/>
      <c r="C4947" s="41"/>
      <c r="D4947" s="41"/>
      <c r="E4947" s="41"/>
      <c r="F4947" s="41"/>
      <c r="G4947" s="41"/>
      <c r="H4947" s="41"/>
      <c r="I4947" s="41"/>
      <c r="J4947" s="41"/>
      <c r="K4947" s="41"/>
      <c r="L4947" s="41"/>
      <c r="M4947" s="41"/>
      <c r="N4947" s="41"/>
      <c r="O4947" s="41"/>
      <c r="P4947" s="28"/>
    </row>
    <row r="4948" customFormat="1" spans="1:16">
      <c r="A4948" s="39"/>
      <c r="B4948" s="40"/>
      <c r="C4948" s="41"/>
      <c r="D4948" s="41"/>
      <c r="E4948" s="41"/>
      <c r="F4948" s="41"/>
      <c r="G4948" s="41"/>
      <c r="H4948" s="41"/>
      <c r="I4948" s="41"/>
      <c r="J4948" s="41"/>
      <c r="K4948" s="41"/>
      <c r="L4948" s="41"/>
      <c r="M4948" s="41"/>
      <c r="N4948" s="41"/>
      <c r="O4948" s="41"/>
      <c r="P4948" s="28"/>
    </row>
    <row r="4949" customFormat="1" spans="1:16">
      <c r="A4949" s="39"/>
      <c r="B4949" s="40"/>
      <c r="C4949" s="41"/>
      <c r="D4949" s="41"/>
      <c r="E4949" s="41"/>
      <c r="F4949" s="41"/>
      <c r="G4949" s="41"/>
      <c r="H4949" s="41"/>
      <c r="I4949" s="41"/>
      <c r="J4949" s="41"/>
      <c r="K4949" s="41"/>
      <c r="L4949" s="41"/>
      <c r="M4949" s="41"/>
      <c r="N4949" s="41"/>
      <c r="O4949" s="41"/>
      <c r="P4949" s="28"/>
    </row>
    <row r="4950" customFormat="1" spans="1:16">
      <c r="A4950" s="39"/>
      <c r="B4950" s="40"/>
      <c r="C4950" s="41"/>
      <c r="D4950" s="41"/>
      <c r="E4950" s="41"/>
      <c r="F4950" s="41"/>
      <c r="G4950" s="41"/>
      <c r="H4950" s="41"/>
      <c r="I4950" s="41"/>
      <c r="J4950" s="41"/>
      <c r="K4950" s="41"/>
      <c r="L4950" s="41"/>
      <c r="M4950" s="41"/>
      <c r="N4950" s="41"/>
      <c r="O4950" s="41"/>
      <c r="P4950" s="28"/>
    </row>
    <row r="4951" customFormat="1" spans="1:16">
      <c r="A4951" s="39"/>
      <c r="B4951" s="40"/>
      <c r="C4951" s="41"/>
      <c r="D4951" s="41"/>
      <c r="E4951" s="41"/>
      <c r="F4951" s="41"/>
      <c r="G4951" s="41"/>
      <c r="H4951" s="41"/>
      <c r="I4951" s="41"/>
      <c r="J4951" s="41"/>
      <c r="K4951" s="41"/>
      <c r="L4951" s="41"/>
      <c r="M4951" s="41"/>
      <c r="N4951" s="41"/>
      <c r="O4951" s="41"/>
      <c r="P4951" s="28"/>
    </row>
    <row r="4952" customFormat="1" spans="1:16">
      <c r="A4952" s="39"/>
      <c r="B4952" s="40"/>
      <c r="C4952" s="41"/>
      <c r="D4952" s="41"/>
      <c r="E4952" s="41"/>
      <c r="F4952" s="41"/>
      <c r="G4952" s="41"/>
      <c r="H4952" s="41"/>
      <c r="I4952" s="41"/>
      <c r="J4952" s="41"/>
      <c r="K4952" s="41"/>
      <c r="L4952" s="41"/>
      <c r="M4952" s="41"/>
      <c r="N4952" s="41"/>
      <c r="O4952" s="41"/>
      <c r="P4952" s="28"/>
    </row>
    <row r="4953" customFormat="1" spans="1:16">
      <c r="A4953" s="39"/>
      <c r="B4953" s="40"/>
      <c r="C4953" s="41"/>
      <c r="D4953" s="41"/>
      <c r="E4953" s="41"/>
      <c r="F4953" s="41"/>
      <c r="G4953" s="41"/>
      <c r="H4953" s="41"/>
      <c r="I4953" s="41"/>
      <c r="J4953" s="41"/>
      <c r="K4953" s="41"/>
      <c r="L4953" s="41"/>
      <c r="M4953" s="41"/>
      <c r="N4953" s="41"/>
      <c r="O4953" s="41"/>
      <c r="P4953" s="28"/>
    </row>
    <row r="4954" customFormat="1" spans="1:16">
      <c r="A4954" s="39"/>
      <c r="B4954" s="40"/>
      <c r="C4954" s="41"/>
      <c r="D4954" s="41"/>
      <c r="E4954" s="41"/>
      <c r="F4954" s="41"/>
      <c r="G4954" s="41"/>
      <c r="H4954" s="41"/>
      <c r="I4954" s="41"/>
      <c r="J4954" s="41"/>
      <c r="K4954" s="41"/>
      <c r="L4954" s="41"/>
      <c r="M4954" s="41"/>
      <c r="N4954" s="41"/>
      <c r="O4954" s="41"/>
      <c r="P4954" s="28"/>
    </row>
    <row r="4955" customFormat="1" spans="1:16">
      <c r="A4955" s="39"/>
      <c r="B4955" s="40"/>
      <c r="C4955" s="41"/>
      <c r="D4955" s="41"/>
      <c r="E4955" s="41"/>
      <c r="F4955" s="41"/>
      <c r="G4955" s="41"/>
      <c r="H4955" s="41"/>
      <c r="I4955" s="41"/>
      <c r="J4955" s="41"/>
      <c r="K4955" s="41"/>
      <c r="L4955" s="41"/>
      <c r="M4955" s="41"/>
      <c r="N4955" s="41"/>
      <c r="O4955" s="41"/>
      <c r="P4955" s="28"/>
    </row>
    <row r="4956" customFormat="1" spans="1:16">
      <c r="A4956" s="39"/>
      <c r="B4956" s="40"/>
      <c r="C4956" s="41"/>
      <c r="D4956" s="41"/>
      <c r="E4956" s="41"/>
      <c r="F4956" s="41"/>
      <c r="G4956" s="41"/>
      <c r="H4956" s="41"/>
      <c r="I4956" s="41"/>
      <c r="J4956" s="41"/>
      <c r="K4956" s="41"/>
      <c r="L4956" s="41"/>
      <c r="M4956" s="41"/>
      <c r="N4956" s="41"/>
      <c r="O4956" s="41"/>
      <c r="P4956" s="28"/>
    </row>
    <row r="4957" customFormat="1" spans="1:16">
      <c r="A4957" s="39"/>
      <c r="B4957" s="40"/>
      <c r="C4957" s="41"/>
      <c r="D4957" s="41"/>
      <c r="E4957" s="41"/>
      <c r="F4957" s="41"/>
      <c r="G4957" s="41"/>
      <c r="H4957" s="41"/>
      <c r="I4957" s="41"/>
      <c r="J4957" s="41"/>
      <c r="K4957" s="41"/>
      <c r="L4957" s="41"/>
      <c r="M4957" s="41"/>
      <c r="N4957" s="41"/>
      <c r="O4957" s="41"/>
      <c r="P4957" s="28"/>
    </row>
    <row r="4958" customFormat="1" spans="1:16">
      <c r="A4958" s="39"/>
      <c r="B4958" s="40"/>
      <c r="C4958" s="41"/>
      <c r="D4958" s="41"/>
      <c r="E4958" s="41"/>
      <c r="F4958" s="41"/>
      <c r="G4958" s="41"/>
      <c r="H4958" s="41"/>
      <c r="I4958" s="41"/>
      <c r="J4958" s="41"/>
      <c r="K4958" s="41"/>
      <c r="L4958" s="41"/>
      <c r="M4958" s="41"/>
      <c r="N4958" s="41"/>
      <c r="O4958" s="41"/>
      <c r="P4958" s="28"/>
    </row>
    <row r="4959" customFormat="1" spans="1:16">
      <c r="A4959" s="39"/>
      <c r="B4959" s="40"/>
      <c r="C4959" s="41"/>
      <c r="D4959" s="41"/>
      <c r="E4959" s="41"/>
      <c r="F4959" s="41"/>
      <c r="G4959" s="41"/>
      <c r="H4959" s="41"/>
      <c r="I4959" s="41"/>
      <c r="J4959" s="41"/>
      <c r="K4959" s="41"/>
      <c r="L4959" s="41"/>
      <c r="M4959" s="41"/>
      <c r="N4959" s="41"/>
      <c r="O4959" s="41"/>
      <c r="P4959" s="28"/>
    </row>
    <row r="4960" customFormat="1" spans="1:16">
      <c r="A4960" s="39"/>
      <c r="B4960" s="40"/>
      <c r="C4960" s="41"/>
      <c r="D4960" s="41"/>
      <c r="E4960" s="41"/>
      <c r="F4960" s="41"/>
      <c r="G4960" s="41"/>
      <c r="H4960" s="41"/>
      <c r="I4960" s="41"/>
      <c r="J4960" s="41"/>
      <c r="K4960" s="41"/>
      <c r="L4960" s="41"/>
      <c r="M4960" s="41"/>
      <c r="N4960" s="41"/>
      <c r="O4960" s="41"/>
      <c r="P4960" s="28"/>
    </row>
    <row r="4961" customFormat="1" spans="1:16">
      <c r="A4961" s="39"/>
      <c r="B4961" s="40"/>
      <c r="C4961" s="41"/>
      <c r="D4961" s="41"/>
      <c r="E4961" s="41"/>
      <c r="F4961" s="41"/>
      <c r="G4961" s="41"/>
      <c r="H4961" s="41"/>
      <c r="I4961" s="41"/>
      <c r="J4961" s="41"/>
      <c r="K4961" s="41"/>
      <c r="L4961" s="41"/>
      <c r="M4961" s="41"/>
      <c r="N4961" s="41"/>
      <c r="O4961" s="41"/>
      <c r="P4961" s="28"/>
    </row>
    <row r="4962" customFormat="1" spans="1:16">
      <c r="A4962" s="39"/>
      <c r="B4962" s="40"/>
      <c r="C4962" s="41"/>
      <c r="D4962" s="41"/>
      <c r="E4962" s="41"/>
      <c r="F4962" s="41"/>
      <c r="G4962" s="41"/>
      <c r="H4962" s="41"/>
      <c r="I4962" s="41"/>
      <c r="J4962" s="41"/>
      <c r="K4962" s="41"/>
      <c r="L4962" s="41"/>
      <c r="M4962" s="41"/>
      <c r="N4962" s="41"/>
      <c r="O4962" s="41"/>
      <c r="P4962" s="28"/>
    </row>
    <row r="4963" customFormat="1" spans="1:16">
      <c r="A4963" s="39"/>
      <c r="B4963" s="40"/>
      <c r="C4963" s="41"/>
      <c r="D4963" s="41"/>
      <c r="E4963" s="41"/>
      <c r="F4963" s="41"/>
      <c r="G4963" s="41"/>
      <c r="H4963" s="41"/>
      <c r="I4963" s="41"/>
      <c r="J4963" s="41"/>
      <c r="K4963" s="41"/>
      <c r="L4963" s="41"/>
      <c r="M4963" s="41"/>
      <c r="N4963" s="41"/>
      <c r="O4963" s="41"/>
      <c r="P4963" s="28"/>
    </row>
    <row r="4964" customFormat="1" spans="1:16">
      <c r="A4964" s="39"/>
      <c r="B4964" s="40"/>
      <c r="C4964" s="41"/>
      <c r="D4964" s="41"/>
      <c r="E4964" s="41"/>
      <c r="F4964" s="41"/>
      <c r="G4964" s="41"/>
      <c r="H4964" s="41"/>
      <c r="I4964" s="41"/>
      <c r="J4964" s="41"/>
      <c r="K4964" s="41"/>
      <c r="L4964" s="41"/>
      <c r="M4964" s="41"/>
      <c r="N4964" s="41"/>
      <c r="O4964" s="41"/>
      <c r="P4964" s="28"/>
    </row>
    <row r="4965" customFormat="1" spans="1:16">
      <c r="A4965" s="39"/>
      <c r="B4965" s="40"/>
      <c r="C4965" s="41"/>
      <c r="D4965" s="41"/>
      <c r="E4965" s="41"/>
      <c r="F4965" s="41"/>
      <c r="G4965" s="41"/>
      <c r="H4965" s="41"/>
      <c r="I4965" s="41"/>
      <c r="J4965" s="41"/>
      <c r="K4965" s="41"/>
      <c r="L4965" s="41"/>
      <c r="M4965" s="41"/>
      <c r="N4965" s="41"/>
      <c r="O4965" s="41"/>
      <c r="P4965" s="28"/>
    </row>
    <row r="4966" customFormat="1" spans="1:16">
      <c r="A4966" s="39"/>
      <c r="B4966" s="40"/>
      <c r="C4966" s="41"/>
      <c r="D4966" s="41"/>
      <c r="E4966" s="41"/>
      <c r="F4966" s="41"/>
      <c r="G4966" s="41"/>
      <c r="H4966" s="41"/>
      <c r="I4966" s="41"/>
      <c r="J4966" s="41"/>
      <c r="K4966" s="41"/>
      <c r="L4966" s="41"/>
      <c r="M4966" s="41"/>
      <c r="N4966" s="41"/>
      <c r="O4966" s="41"/>
      <c r="P4966" s="28"/>
    </row>
    <row r="4967" customFormat="1" spans="1:16">
      <c r="A4967" s="39"/>
      <c r="B4967" s="40"/>
      <c r="C4967" s="41"/>
      <c r="D4967" s="41"/>
      <c r="E4967" s="41"/>
      <c r="F4967" s="41"/>
      <c r="G4967" s="41"/>
      <c r="H4967" s="41"/>
      <c r="I4967" s="41"/>
      <c r="J4967" s="41"/>
      <c r="K4967" s="41"/>
      <c r="L4967" s="41"/>
      <c r="M4967" s="41"/>
      <c r="N4967" s="41"/>
      <c r="O4967" s="41"/>
      <c r="P4967" s="28"/>
    </row>
    <row r="4968" customFormat="1" spans="1:16">
      <c r="A4968" s="39"/>
      <c r="B4968" s="40"/>
      <c r="C4968" s="41"/>
      <c r="D4968" s="41"/>
      <c r="E4968" s="41"/>
      <c r="F4968" s="41"/>
      <c r="G4968" s="41"/>
      <c r="H4968" s="41"/>
      <c r="I4968" s="41"/>
      <c r="J4968" s="41"/>
      <c r="K4968" s="41"/>
      <c r="L4968" s="41"/>
      <c r="M4968" s="41"/>
      <c r="N4968" s="41"/>
      <c r="O4968" s="41"/>
      <c r="P4968" s="28"/>
    </row>
    <row r="4969" customFormat="1" spans="1:16">
      <c r="A4969" s="39"/>
      <c r="B4969" s="40"/>
      <c r="C4969" s="41"/>
      <c r="D4969" s="41"/>
      <c r="E4969" s="41"/>
      <c r="F4969" s="41"/>
      <c r="G4969" s="41"/>
      <c r="H4969" s="41"/>
      <c r="I4969" s="41"/>
      <c r="J4969" s="41"/>
      <c r="K4969" s="41"/>
      <c r="L4969" s="41"/>
      <c r="M4969" s="41"/>
      <c r="N4969" s="41"/>
      <c r="O4969" s="41"/>
      <c r="P4969" s="28"/>
    </row>
    <row r="4970" customFormat="1" spans="1:16">
      <c r="A4970" s="39"/>
      <c r="B4970" s="40"/>
      <c r="C4970" s="41"/>
      <c r="D4970" s="41"/>
      <c r="E4970" s="41"/>
      <c r="F4970" s="41"/>
      <c r="G4970" s="41"/>
      <c r="H4970" s="41"/>
      <c r="I4970" s="41"/>
      <c r="J4970" s="41"/>
      <c r="K4970" s="41"/>
      <c r="L4970" s="41"/>
      <c r="M4970" s="41"/>
      <c r="N4970" s="41"/>
      <c r="O4970" s="41"/>
      <c r="P4970" s="28"/>
    </row>
    <row r="4971" customFormat="1" spans="1:16">
      <c r="A4971" s="39"/>
      <c r="B4971" s="40"/>
      <c r="C4971" s="41"/>
      <c r="D4971" s="41"/>
      <c r="E4971" s="41"/>
      <c r="F4971" s="41"/>
      <c r="G4971" s="41"/>
      <c r="H4971" s="41"/>
      <c r="I4971" s="41"/>
      <c r="J4971" s="41"/>
      <c r="K4971" s="41"/>
      <c r="L4971" s="41"/>
      <c r="M4971" s="41"/>
      <c r="N4971" s="41"/>
      <c r="O4971" s="41"/>
      <c r="P4971" s="28"/>
    </row>
    <row r="4972" customFormat="1" spans="1:16">
      <c r="A4972" s="39"/>
      <c r="B4972" s="40"/>
      <c r="C4972" s="41"/>
      <c r="D4972" s="41"/>
      <c r="E4972" s="41"/>
      <c r="F4972" s="41"/>
      <c r="G4972" s="41"/>
      <c r="H4972" s="41"/>
      <c r="I4972" s="41"/>
      <c r="J4972" s="41"/>
      <c r="K4972" s="41"/>
      <c r="L4972" s="41"/>
      <c r="M4972" s="41"/>
      <c r="N4972" s="41"/>
      <c r="O4972" s="41"/>
      <c r="P4972" s="28"/>
    </row>
    <row r="4973" customFormat="1" spans="1:16">
      <c r="A4973" s="39"/>
      <c r="B4973" s="40"/>
      <c r="C4973" s="41"/>
      <c r="D4973" s="41"/>
      <c r="E4973" s="41"/>
      <c r="F4973" s="41"/>
      <c r="G4973" s="41"/>
      <c r="H4973" s="41"/>
      <c r="I4973" s="41"/>
      <c r="J4973" s="41"/>
      <c r="K4973" s="41"/>
      <c r="L4973" s="41"/>
      <c r="M4973" s="41"/>
      <c r="N4973" s="41"/>
      <c r="O4973" s="41"/>
      <c r="P4973" s="28"/>
    </row>
    <row r="4974" customFormat="1" spans="1:16">
      <c r="A4974" s="39"/>
      <c r="B4974" s="40"/>
      <c r="C4974" s="41"/>
      <c r="D4974" s="41"/>
      <c r="E4974" s="41"/>
      <c r="F4974" s="41"/>
      <c r="G4974" s="41"/>
      <c r="H4974" s="41"/>
      <c r="I4974" s="41"/>
      <c r="J4974" s="41"/>
      <c r="K4974" s="41"/>
      <c r="L4974" s="41"/>
      <c r="M4974" s="41"/>
      <c r="N4974" s="41"/>
      <c r="O4974" s="41"/>
      <c r="P4974" s="28"/>
    </row>
    <row r="4975" customFormat="1" spans="1:16">
      <c r="A4975" s="39"/>
      <c r="B4975" s="40"/>
      <c r="C4975" s="41"/>
      <c r="D4975" s="41"/>
      <c r="E4975" s="41"/>
      <c r="F4975" s="41"/>
      <c r="G4975" s="41"/>
      <c r="H4975" s="41"/>
      <c r="I4975" s="41"/>
      <c r="J4975" s="41"/>
      <c r="K4975" s="41"/>
      <c r="L4975" s="41"/>
      <c r="M4975" s="41"/>
      <c r="N4975" s="41"/>
      <c r="O4975" s="41"/>
      <c r="P4975" s="28"/>
    </row>
    <row r="4976" customFormat="1" spans="1:16">
      <c r="A4976" s="39"/>
      <c r="B4976" s="40"/>
      <c r="C4976" s="41"/>
      <c r="D4976" s="41"/>
      <c r="E4976" s="41"/>
      <c r="F4976" s="41"/>
      <c r="G4976" s="41"/>
      <c r="H4976" s="41"/>
      <c r="I4976" s="41"/>
      <c r="J4976" s="41"/>
      <c r="K4976" s="41"/>
      <c r="L4976" s="41"/>
      <c r="M4976" s="41"/>
      <c r="N4976" s="41"/>
      <c r="O4976" s="41"/>
      <c r="P4976" s="28"/>
    </row>
    <row r="4977" customFormat="1" spans="1:16">
      <c r="A4977" s="39"/>
      <c r="B4977" s="40"/>
      <c r="C4977" s="41"/>
      <c r="D4977" s="41"/>
      <c r="E4977" s="41"/>
      <c r="F4977" s="41"/>
      <c r="G4977" s="41"/>
      <c r="H4977" s="41"/>
      <c r="I4977" s="41"/>
      <c r="J4977" s="41"/>
      <c r="K4977" s="41"/>
      <c r="L4977" s="41"/>
      <c r="M4977" s="41"/>
      <c r="N4977" s="41"/>
      <c r="O4977" s="41"/>
      <c r="P4977" s="28"/>
    </row>
    <row r="4978" customFormat="1" spans="1:16">
      <c r="A4978" s="39"/>
      <c r="B4978" s="40"/>
      <c r="C4978" s="41"/>
      <c r="D4978" s="41"/>
      <c r="E4978" s="41"/>
      <c r="F4978" s="41"/>
      <c r="G4978" s="41"/>
      <c r="H4978" s="41"/>
      <c r="I4978" s="41"/>
      <c r="J4978" s="41"/>
      <c r="K4978" s="41"/>
      <c r="L4978" s="41"/>
      <c r="M4978" s="41"/>
      <c r="N4978" s="41"/>
      <c r="O4978" s="41"/>
      <c r="P4978" s="28"/>
    </row>
    <row r="4979" customFormat="1" spans="1:16">
      <c r="A4979" s="39"/>
      <c r="B4979" s="40"/>
      <c r="C4979" s="41"/>
      <c r="D4979" s="41"/>
      <c r="E4979" s="41"/>
      <c r="F4979" s="41"/>
      <c r="G4979" s="41"/>
      <c r="H4979" s="41"/>
      <c r="I4979" s="41"/>
      <c r="J4979" s="41"/>
      <c r="K4979" s="41"/>
      <c r="L4979" s="41"/>
      <c r="M4979" s="41"/>
      <c r="N4979" s="41"/>
      <c r="O4979" s="41"/>
      <c r="P4979" s="28"/>
    </row>
    <row r="4980" customFormat="1" spans="1:16">
      <c r="A4980" s="39"/>
      <c r="B4980" s="40"/>
      <c r="C4980" s="41"/>
      <c r="D4980" s="41"/>
      <c r="E4980" s="41"/>
      <c r="F4980" s="41"/>
      <c r="G4980" s="41"/>
      <c r="H4980" s="41"/>
      <c r="I4980" s="41"/>
      <c r="J4980" s="41"/>
      <c r="K4980" s="41"/>
      <c r="L4980" s="41"/>
      <c r="M4980" s="41"/>
      <c r="N4980" s="41"/>
      <c r="O4980" s="41"/>
      <c r="P4980" s="28"/>
    </row>
    <row r="4981" customFormat="1" spans="1:16">
      <c r="A4981" s="39"/>
      <c r="B4981" s="40"/>
      <c r="C4981" s="41"/>
      <c r="D4981" s="41"/>
      <c r="E4981" s="41"/>
      <c r="F4981" s="41"/>
      <c r="G4981" s="41"/>
      <c r="H4981" s="41"/>
      <c r="I4981" s="41"/>
      <c r="J4981" s="41"/>
      <c r="K4981" s="41"/>
      <c r="L4981" s="41"/>
      <c r="M4981" s="41"/>
      <c r="N4981" s="41"/>
      <c r="O4981" s="41"/>
      <c r="P4981" s="28"/>
    </row>
    <row r="4982" customFormat="1" spans="1:16">
      <c r="A4982" s="39"/>
      <c r="B4982" s="40"/>
      <c r="C4982" s="41"/>
      <c r="D4982" s="41"/>
      <c r="E4982" s="41"/>
      <c r="F4982" s="41"/>
      <c r="G4982" s="41"/>
      <c r="H4982" s="41"/>
      <c r="I4982" s="41"/>
      <c r="J4982" s="41"/>
      <c r="K4982" s="41"/>
      <c r="L4982" s="41"/>
      <c r="M4982" s="41"/>
      <c r="N4982" s="41"/>
      <c r="O4982" s="41"/>
      <c r="P4982" s="28"/>
    </row>
    <row r="4983" customFormat="1" spans="1:16">
      <c r="A4983" s="39"/>
      <c r="B4983" s="40"/>
      <c r="C4983" s="41"/>
      <c r="D4983" s="41"/>
      <c r="E4983" s="41"/>
      <c r="F4983" s="41"/>
      <c r="G4983" s="41"/>
      <c r="H4983" s="41"/>
      <c r="I4983" s="41"/>
      <c r="J4983" s="41"/>
      <c r="K4983" s="41"/>
      <c r="L4983" s="41"/>
      <c r="M4983" s="41"/>
      <c r="N4983" s="41"/>
      <c r="O4983" s="41"/>
      <c r="P4983" s="28"/>
    </row>
    <row r="4984" customFormat="1" spans="1:16">
      <c r="A4984" s="39"/>
      <c r="B4984" s="40"/>
      <c r="C4984" s="41"/>
      <c r="D4984" s="41"/>
      <c r="E4984" s="41"/>
      <c r="F4984" s="41"/>
      <c r="G4984" s="41"/>
      <c r="H4984" s="41"/>
      <c r="I4984" s="41"/>
      <c r="J4984" s="41"/>
      <c r="K4984" s="41"/>
      <c r="L4984" s="41"/>
      <c r="M4984" s="41"/>
      <c r="N4984" s="41"/>
      <c r="O4984" s="41"/>
      <c r="P4984" s="28"/>
    </row>
    <row r="4985" customFormat="1" spans="1:16">
      <c r="A4985" s="39"/>
      <c r="B4985" s="40"/>
      <c r="C4985" s="41"/>
      <c r="D4985" s="41"/>
      <c r="E4985" s="41"/>
      <c r="F4985" s="41"/>
      <c r="G4985" s="41"/>
      <c r="H4985" s="41"/>
      <c r="I4985" s="41"/>
      <c r="J4985" s="41"/>
      <c r="K4985" s="41"/>
      <c r="L4985" s="41"/>
      <c r="M4985" s="41"/>
      <c r="N4985" s="41"/>
      <c r="O4985" s="41"/>
      <c r="P4985" s="28"/>
    </row>
    <row r="4986" customFormat="1" spans="1:16">
      <c r="A4986" s="39"/>
      <c r="B4986" s="40"/>
      <c r="C4986" s="41"/>
      <c r="D4986" s="41"/>
      <c r="E4986" s="41"/>
      <c r="F4986" s="41"/>
      <c r="G4986" s="41"/>
      <c r="H4986" s="41"/>
      <c r="I4986" s="41"/>
      <c r="J4986" s="41"/>
      <c r="K4986" s="41"/>
      <c r="L4986" s="41"/>
      <c r="M4986" s="41"/>
      <c r="N4986" s="41"/>
      <c r="O4986" s="41"/>
      <c r="P4986" s="28"/>
    </row>
    <row r="4987" customFormat="1" spans="1:16">
      <c r="A4987" s="39"/>
      <c r="B4987" s="40"/>
      <c r="C4987" s="41"/>
      <c r="D4987" s="41"/>
      <c r="E4987" s="41"/>
      <c r="F4987" s="41"/>
      <c r="G4987" s="41"/>
      <c r="H4987" s="41"/>
      <c r="I4987" s="41"/>
      <c r="J4987" s="41"/>
      <c r="K4987" s="41"/>
      <c r="L4987" s="41"/>
      <c r="M4987" s="41"/>
      <c r="N4987" s="41"/>
      <c r="O4987" s="41"/>
      <c r="P4987" s="28"/>
    </row>
    <row r="4988" customFormat="1" spans="1:16">
      <c r="A4988" s="39"/>
      <c r="B4988" s="40"/>
      <c r="C4988" s="41"/>
      <c r="D4988" s="41"/>
      <c r="E4988" s="41"/>
      <c r="F4988" s="41"/>
      <c r="G4988" s="41"/>
      <c r="H4988" s="41"/>
      <c r="I4988" s="41"/>
      <c r="J4988" s="41"/>
      <c r="K4988" s="41"/>
      <c r="L4988" s="41"/>
      <c r="M4988" s="41"/>
      <c r="N4988" s="41"/>
      <c r="O4988" s="41"/>
      <c r="P4988" s="28"/>
    </row>
    <row r="4989" customFormat="1" spans="1:16">
      <c r="A4989" s="39"/>
      <c r="B4989" s="40"/>
      <c r="C4989" s="41"/>
      <c r="D4989" s="41"/>
      <c r="E4989" s="41"/>
      <c r="F4989" s="41"/>
      <c r="G4989" s="41"/>
      <c r="H4989" s="41"/>
      <c r="I4989" s="41"/>
      <c r="J4989" s="41"/>
      <c r="K4989" s="41"/>
      <c r="L4989" s="41"/>
      <c r="M4989" s="41"/>
      <c r="N4989" s="41"/>
      <c r="O4989" s="41"/>
      <c r="P4989" s="28"/>
    </row>
    <row r="4990" customFormat="1" spans="1:16">
      <c r="A4990" s="39"/>
      <c r="B4990" s="40"/>
      <c r="C4990" s="41"/>
      <c r="D4990" s="41"/>
      <c r="E4990" s="41"/>
      <c r="F4990" s="41"/>
      <c r="G4990" s="41"/>
      <c r="H4990" s="41"/>
      <c r="I4990" s="41"/>
      <c r="J4990" s="41"/>
      <c r="K4990" s="41"/>
      <c r="L4990" s="41"/>
      <c r="M4990" s="41"/>
      <c r="N4990" s="41"/>
      <c r="O4990" s="41"/>
      <c r="P4990" s="28"/>
    </row>
    <row r="4991" customFormat="1" spans="1:16">
      <c r="A4991" s="39"/>
      <c r="B4991" s="40"/>
      <c r="C4991" s="41"/>
      <c r="D4991" s="41"/>
      <c r="E4991" s="41"/>
      <c r="F4991" s="41"/>
      <c r="G4991" s="41"/>
      <c r="H4991" s="41"/>
      <c r="I4991" s="41"/>
      <c r="J4991" s="41"/>
      <c r="K4991" s="41"/>
      <c r="L4991" s="41"/>
      <c r="M4991" s="41"/>
      <c r="N4991" s="41"/>
      <c r="O4991" s="41"/>
      <c r="P4991" s="28"/>
    </row>
    <row r="4992" customFormat="1" spans="1:16">
      <c r="A4992" s="39"/>
      <c r="B4992" s="40"/>
      <c r="C4992" s="41"/>
      <c r="D4992" s="41"/>
      <c r="E4992" s="41"/>
      <c r="F4992" s="41"/>
      <c r="G4992" s="41"/>
      <c r="H4992" s="41"/>
      <c r="I4992" s="41"/>
      <c r="J4992" s="41"/>
      <c r="K4992" s="41"/>
      <c r="L4992" s="41"/>
      <c r="M4992" s="41"/>
      <c r="N4992" s="41"/>
      <c r="O4992" s="41"/>
      <c r="P4992" s="28"/>
    </row>
    <row r="4993" customFormat="1" spans="1:16">
      <c r="A4993" s="39"/>
      <c r="B4993" s="40"/>
      <c r="C4993" s="41"/>
      <c r="D4993" s="41"/>
      <c r="E4993" s="41"/>
      <c r="F4993" s="41"/>
      <c r="G4993" s="41"/>
      <c r="H4993" s="41"/>
      <c r="I4993" s="41"/>
      <c r="J4993" s="41"/>
      <c r="K4993" s="41"/>
      <c r="L4993" s="41"/>
      <c r="M4993" s="41"/>
      <c r="N4993" s="41"/>
      <c r="O4993" s="41"/>
      <c r="P4993" s="28"/>
    </row>
    <row r="4994" customFormat="1" spans="1:16">
      <c r="A4994" s="42"/>
      <c r="B4994" s="43"/>
      <c r="C4994" s="43"/>
      <c r="D4994" s="43"/>
      <c r="E4994" s="43"/>
      <c r="F4994" s="43"/>
      <c r="G4994" s="43"/>
      <c r="H4994" s="43"/>
      <c r="I4994" s="43"/>
      <c r="J4994" s="43"/>
      <c r="K4994" s="43"/>
      <c r="L4994" s="43"/>
      <c r="M4994" s="43"/>
      <c r="N4994" s="43"/>
      <c r="O4994" s="43"/>
      <c r="P4994" s="28"/>
    </row>
  </sheetData>
  <mergeCells count="1">
    <mergeCell ref="A1:P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41"/>
  <sheetViews>
    <sheetView showGridLines="0" topLeftCell="C1" workbookViewId="0">
      <pane ySplit="1" topLeftCell="A19" activePane="bottomLeft" state="frozen"/>
      <selection/>
      <selection pane="bottomLeft" activeCell="L34" sqref="L34"/>
    </sheetView>
  </sheetViews>
  <sheetFormatPr defaultColWidth="8" defaultRowHeight="13.5"/>
  <cols>
    <col min="1" max="1" width="13.625" style="65" customWidth="1"/>
    <col min="2" max="2" width="13.25" style="65" customWidth="1"/>
    <col min="3" max="3" width="14.875" style="65" customWidth="1"/>
    <col min="4" max="7" width="10.625" style="65" customWidth="1"/>
    <col min="8" max="8" width="14.875" style="65" customWidth="1"/>
    <col min="9" max="9" width="13.5083333333333" style="65" customWidth="1"/>
    <col min="10" max="10" width="10.625" style="65" customWidth="1"/>
    <col min="11" max="11" width="15.2583333333333" style="65" customWidth="1"/>
    <col min="12" max="15" width="14.875" style="65" customWidth="1"/>
    <col min="16" max="21" width="14.625" style="65" customWidth="1"/>
    <col min="22" max="22" width="10.2583333333333" style="65" customWidth="1"/>
    <col min="35" max="35" width="9.49166666666667" customWidth="1"/>
    <col min="61" max="61" width="10.6916666666667" customWidth="1"/>
    <col min="62" max="62" width="10.1583333333333" customWidth="1"/>
    <col min="65" max="65" width="11.8833333333333" style="65" customWidth="1"/>
    <col min="66" max="66" width="12.3416666666667" style="65" customWidth="1"/>
    <col min="67" max="67" width="9.50833333333333" style="65" customWidth="1"/>
  </cols>
  <sheetData>
    <row r="1" s="64" customFormat="1" ht="28" customHeight="1" spans="1:68">
      <c r="A1" s="66" t="s">
        <v>258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67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</row>
    <row r="2" s="64" customFormat="1" ht="15" customHeight="1" spans="1:68">
      <c r="A2" s="69" t="s">
        <v>259</v>
      </c>
      <c r="B2" s="70">
        <v>46143</v>
      </c>
      <c r="C2" s="71" t="s">
        <v>203</v>
      </c>
      <c r="D2" s="72" t="s">
        <v>260</v>
      </c>
      <c r="E2" s="70">
        <v>46173</v>
      </c>
      <c r="F2" s="73" t="s">
        <v>203</v>
      </c>
      <c r="G2" s="74" t="s">
        <v>261</v>
      </c>
      <c r="H2" s="74">
        <f>IF(OR($B$2="",$E$2=""),"",IF($E$2&lt;$B$2,"日期错误",IF($E$2-$B$2+1&gt;31,"超过31天",$E$2-$B$2+1)))</f>
        <v>31</v>
      </c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</row>
    <row r="3" s="64" customFormat="1" ht="15" customHeight="1" spans="1:68">
      <c r="A3" s="75" t="s">
        <v>262</v>
      </c>
    </row>
    <row r="4" s="64" customFormat="1" ht="15" customHeight="1" spans="1:68">
      <c r="A4" s="76" t="s">
        <v>263</v>
      </c>
      <c r="B4" s="76"/>
      <c r="C4" s="76" t="s">
        <v>264</v>
      </c>
      <c r="D4" s="76"/>
      <c r="E4" s="76" t="s">
        <v>265</v>
      </c>
      <c r="F4" s="76"/>
      <c r="G4" s="76" t="s">
        <v>266</v>
      </c>
      <c r="H4" s="76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</row>
    <row r="5" s="64" customFormat="1" ht="15.75" customHeight="1" spans="1:68">
      <c r="A5" s="73"/>
      <c r="B5" s="77">
        <f>SUM(B8:B21)</f>
        <v>361.379999999976</v>
      </c>
      <c r="C5" s="77"/>
      <c r="D5" s="77">
        <f>SUM(BM8:BM21)</f>
        <v>408697.01</v>
      </c>
      <c r="E5" s="77"/>
      <c r="F5" s="77">
        <f>SUM(BN8:BN21)</f>
        <v>339606.59</v>
      </c>
      <c r="G5" s="77"/>
      <c r="H5" s="77">
        <f>SUM(BO8:BO21)</f>
        <v>69451.8</v>
      </c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</row>
    <row r="6" s="64" customFormat="1" ht="20" customHeight="1" spans="1:68">
      <c r="A6" s="76"/>
      <c r="B6" s="76"/>
      <c r="C6" s="78">
        <f>IF(1&lt;=MIN($H$2,31),$B$2+0,"")</f>
        <v>46143</v>
      </c>
      <c r="D6" s="78">
        <f>IF(1&lt;=MIN($H$2,31),$B$2+0,"")</f>
        <v>46143</v>
      </c>
      <c r="E6" s="78">
        <f>IF(2&lt;=MIN($H$2,31),$B$2+1,"")</f>
        <v>46144</v>
      </c>
      <c r="F6" s="78">
        <f>IF(2&lt;=MIN($H$2,31),$B$2+1,"")</f>
        <v>46144</v>
      </c>
      <c r="G6" s="78">
        <f>IF(3&lt;=MIN($H$2,31),$B$2+2,"")</f>
        <v>46145</v>
      </c>
      <c r="H6" s="78">
        <f>IF(3&lt;=MIN($H$2,31),$B$2+2,"")</f>
        <v>46145</v>
      </c>
      <c r="I6" s="78">
        <f>IF(4&lt;=MIN($H$2,31),$B$2+3,"")</f>
        <v>46146</v>
      </c>
      <c r="J6" s="78">
        <f>IF(4&lt;=MIN($H$2,31),$B$2+3,"")</f>
        <v>46146</v>
      </c>
      <c r="K6" s="78">
        <f>IF(5&lt;=MIN($H$2,31),$B$2+4,"")</f>
        <v>46147</v>
      </c>
      <c r="L6" s="78">
        <f>IF(5&lt;=MIN($H$2,31),$B$2+4,"")</f>
        <v>46147</v>
      </c>
      <c r="M6" s="78">
        <f>IF(6&lt;=MIN($H$2,31),$B$2+5,"")</f>
        <v>46148</v>
      </c>
      <c r="N6" s="78">
        <f>IF(6&lt;=MIN($H$2,31),$B$2+5,"")</f>
        <v>46148</v>
      </c>
      <c r="O6" s="78">
        <f>IF(7&lt;=MIN($H$2,31),$B$2+6,"")</f>
        <v>46149</v>
      </c>
      <c r="P6" s="78">
        <f>IF(7&lt;=MIN($H$2,31),$B$2+6,"")</f>
        <v>46149</v>
      </c>
      <c r="Q6" s="78">
        <f>IF(8&lt;=MIN($H$2,31),$B$2+7,"")</f>
        <v>46150</v>
      </c>
      <c r="R6" s="78">
        <f>IF(8&lt;=MIN($H$2,31),$B$2+7,"")</f>
        <v>46150</v>
      </c>
      <c r="S6" s="78">
        <f>IF(9&lt;=MIN($H$2,31),$B$2+8,"")</f>
        <v>46151</v>
      </c>
      <c r="T6" s="78">
        <f>IF(9&lt;=MIN($H$2,31),$B$2+8,"")</f>
        <v>46151</v>
      </c>
      <c r="U6" s="79">
        <f>IF(10&lt;=MIN($H$2,31),$B$2+9,"")</f>
        <v>46152</v>
      </c>
      <c r="V6" s="79">
        <f>IF(10&lt;=MIN($H$2,31),$B$2+9,"")</f>
        <v>46152</v>
      </c>
      <c r="W6" s="79">
        <f>IF(11&lt;=MIN($H$2,31),$B$2+10,"")</f>
        <v>46153</v>
      </c>
      <c r="X6" s="79">
        <f>IF(11&lt;=MIN($H$2,31),$B$2+10,"")</f>
        <v>46153</v>
      </c>
      <c r="Y6" s="79">
        <f>IF(12&lt;=MIN($H$2,31),$B$2+11,"")</f>
        <v>46154</v>
      </c>
      <c r="Z6" s="79">
        <f>IF(12&lt;=MIN($H$2,31),$B$2+11,"")</f>
        <v>46154</v>
      </c>
      <c r="AA6" s="79">
        <f>IF(13&lt;=MIN($H$2,31),$B$2+12,"")</f>
        <v>46155</v>
      </c>
      <c r="AB6" s="79">
        <f>IF(13&lt;=MIN($H$2,31),$B$2+12,"")</f>
        <v>46155</v>
      </c>
      <c r="AC6" s="79">
        <f>IF(14&lt;=MIN($H$2,31),$B$2+13,"")</f>
        <v>46156</v>
      </c>
      <c r="AD6" s="79">
        <f>IF(14&lt;=MIN($H$2,31),$B$2+13,"")</f>
        <v>46156</v>
      </c>
      <c r="AE6" s="79">
        <f>IF(15&lt;=MIN($H$2,31),$B$2+14,"")</f>
        <v>46157</v>
      </c>
      <c r="AF6" s="79">
        <f>IF(15&lt;=MIN($H$2,31),$B$2+14,"")</f>
        <v>46157</v>
      </c>
      <c r="AG6" s="79">
        <f>IF(16&lt;=MIN($H$2,31),$B$2+15,"")</f>
        <v>46158</v>
      </c>
      <c r="AH6" s="79">
        <f>IF(16&lt;=MIN($H$2,31),$B$2+15,"")</f>
        <v>46158</v>
      </c>
      <c r="AI6" s="79">
        <f>IF(17&lt;=MIN($H$2,31),$B$2+16,"")</f>
        <v>46159</v>
      </c>
      <c r="AJ6" s="79">
        <f>IF(17&lt;=MIN($H$2,31),$B$2+16,"")</f>
        <v>46159</v>
      </c>
      <c r="AK6" s="79">
        <f>IF(18&lt;=MIN($H$2,31),$B$2+17,"")</f>
        <v>46160</v>
      </c>
      <c r="AL6" s="79">
        <f>IF(18&lt;=MIN($H$2,31),$B$2+17,"")</f>
        <v>46160</v>
      </c>
      <c r="AM6" s="79">
        <f>IF(19&lt;=MIN($H$2,31),$B$2+18,"")</f>
        <v>46161</v>
      </c>
      <c r="AN6" s="79">
        <f>IF(19&lt;=MIN($H$2,31),$B$2+18,"")</f>
        <v>46161</v>
      </c>
      <c r="AO6" s="79">
        <f>IF(20&lt;=MIN($H$2,31),$B$2+19,"")</f>
        <v>46162</v>
      </c>
      <c r="AP6" s="79">
        <f>IF(20&lt;=MIN($H$2,31),$B$2+19,"")</f>
        <v>46162</v>
      </c>
      <c r="AQ6" s="79">
        <f>IF(21&lt;=MIN($H$2,31),$B$2+20,"")</f>
        <v>46163</v>
      </c>
      <c r="AR6" s="79">
        <f>IF(21&lt;=MIN($H$2,31),$B$2+20,"")</f>
        <v>46163</v>
      </c>
      <c r="AS6" s="79">
        <f>IF(22&lt;=MIN($H$2,31),$B$2+21,"")</f>
        <v>46164</v>
      </c>
      <c r="AT6" s="79">
        <f>IF(22&lt;=MIN($H$2,31),$B$2+21,"")</f>
        <v>46164</v>
      </c>
      <c r="AU6" s="79">
        <f>IF(23&lt;=MIN($H$2,31),$B$2+22,"")</f>
        <v>46165</v>
      </c>
      <c r="AV6" s="79">
        <f>IF(23&lt;=MIN($H$2,31),$B$2+22,"")</f>
        <v>46165</v>
      </c>
      <c r="AW6" s="79">
        <f>IF(24&lt;=MIN($H$2,31),$B$2+23,"")</f>
        <v>46166</v>
      </c>
      <c r="AX6" s="79">
        <f>IF(24&lt;=MIN($H$2,31),$B$2+23,"")</f>
        <v>46166</v>
      </c>
      <c r="AY6" s="79">
        <f>IF(25&lt;=MIN($H$2,31),$B$2+24,"")</f>
        <v>46167</v>
      </c>
      <c r="AZ6" s="79">
        <f>IF(25&lt;=MIN($H$2,31),$B$2+24,"")</f>
        <v>46167</v>
      </c>
      <c r="BA6" s="79">
        <f>IF(26&lt;=MIN($H$2,31),$B$2+25,"")</f>
        <v>46168</v>
      </c>
      <c r="BB6" s="79">
        <f>IF(26&lt;=MIN($H$2,31),$B$2+25,"")</f>
        <v>46168</v>
      </c>
      <c r="BC6" s="79">
        <f>IF(27&lt;=MIN($H$2,31),$B$2+26,"")</f>
        <v>46169</v>
      </c>
      <c r="BD6" s="79">
        <f>IF(27&lt;=MIN($H$2,31),$B$2+26,"")</f>
        <v>46169</v>
      </c>
      <c r="BE6" s="79">
        <f>IF(28&lt;=MIN($H$2,31),$B$2+27,"")</f>
        <v>46170</v>
      </c>
      <c r="BF6" s="79">
        <f>IF(28&lt;=MIN($H$2,31),$B$2+27,"")</f>
        <v>46170</v>
      </c>
      <c r="BG6" s="79">
        <f>IF(29&lt;=MIN($H$2,31),$B$2+28,"")</f>
        <v>46171</v>
      </c>
      <c r="BH6" s="79">
        <f>IF(29&lt;=MIN($H$2,31),$B$2+28,"")</f>
        <v>46171</v>
      </c>
      <c r="BI6" s="79">
        <f>IF(30&lt;=MIN($H$2,31),$B$2+29,"")</f>
        <v>46172</v>
      </c>
      <c r="BJ6" s="79">
        <f>IF(30&lt;=MIN($H$2,31),$B$2+29,"")</f>
        <v>46172</v>
      </c>
      <c r="BK6" s="79">
        <f>IF(31&lt;=MIN($H$2,31),$B$2+30,"")</f>
        <v>46173</v>
      </c>
      <c r="BL6" s="79">
        <f>IF(31&lt;=MIN($H$2,31),$B$2+30,"")</f>
        <v>46173</v>
      </c>
      <c r="BM6" s="80"/>
      <c r="BN6" s="80"/>
      <c r="BO6" s="80"/>
      <c r="BP6" s="81"/>
    </row>
    <row r="7" s="64" customFormat="1" ht="20" customHeight="1" spans="1:68">
      <c r="A7" s="76" t="s">
        <v>37</v>
      </c>
      <c r="B7" s="76" t="s">
        <v>100</v>
      </c>
      <c r="C7" s="76" t="str">
        <f>IF(C$6="","","收款")</f>
        <v>收款</v>
      </c>
      <c r="D7" s="76" t="str">
        <f>IF(D$6="","","付款")</f>
        <v>付款</v>
      </c>
      <c r="E7" s="76" t="str">
        <f>IF(E$6="","","收款")</f>
        <v>收款</v>
      </c>
      <c r="F7" s="76" t="str">
        <f>IF(F$6="","","付款")</f>
        <v>付款</v>
      </c>
      <c r="G7" s="76" t="str">
        <f>IF(G$6="","","收款")</f>
        <v>收款</v>
      </c>
      <c r="H7" s="76" t="str">
        <f>IF(H$6="","","付款")</f>
        <v>付款</v>
      </c>
      <c r="I7" s="76" t="str">
        <f>IF(I$6="","","收款")</f>
        <v>收款</v>
      </c>
      <c r="J7" s="76" t="str">
        <f>IF(J$6="","","付款")</f>
        <v>付款</v>
      </c>
      <c r="K7" s="76" t="str">
        <f>IF(K$6="","","收款")</f>
        <v>收款</v>
      </c>
      <c r="L7" s="76" t="str">
        <f>IF(L$6="","","付款")</f>
        <v>付款</v>
      </c>
      <c r="M7" s="76" t="str">
        <f>IF(M$6="","","收款")</f>
        <v>收款</v>
      </c>
      <c r="N7" s="76" t="str">
        <f>IF(N$6="","","付款")</f>
        <v>付款</v>
      </c>
      <c r="O7" s="76" t="str">
        <f>IF(O$6="","","收款")</f>
        <v>收款</v>
      </c>
      <c r="P7" s="76" t="str">
        <f>IF(P$6="","","付款")</f>
        <v>付款</v>
      </c>
      <c r="Q7" s="76" t="str">
        <f>IF(Q$6="","","收款")</f>
        <v>收款</v>
      </c>
      <c r="R7" s="76" t="str">
        <f>IF(R$6="","","付款")</f>
        <v>付款</v>
      </c>
      <c r="S7" s="76" t="str">
        <f>IF(S$6="","","收款")</f>
        <v>收款</v>
      </c>
      <c r="T7" s="76" t="str">
        <f>IF(T$6="","","付款")</f>
        <v>付款</v>
      </c>
      <c r="U7" s="82" t="str">
        <f>IF(U$6="","","收款")</f>
        <v>收款</v>
      </c>
      <c r="V7" s="82" t="str">
        <f>IF(V$6="","","付款")</f>
        <v>付款</v>
      </c>
      <c r="W7" s="82" t="str">
        <f>IF(W$6="","","收款")</f>
        <v>收款</v>
      </c>
      <c r="X7" s="82" t="str">
        <f>IF(X$6="","","付款")</f>
        <v>付款</v>
      </c>
      <c r="Y7" s="82" t="str">
        <f>IF(Y$6="","","收款")</f>
        <v>收款</v>
      </c>
      <c r="Z7" s="82" t="str">
        <f>IF(Z$6="","","付款")</f>
        <v>付款</v>
      </c>
      <c r="AA7" s="82" t="str">
        <f>IF(AA$6="","","收款")</f>
        <v>收款</v>
      </c>
      <c r="AB7" s="82" t="str">
        <f>IF(AB$6="","","付款")</f>
        <v>付款</v>
      </c>
      <c r="AC7" s="82" t="str">
        <f>IF(AC$6="","","收款")</f>
        <v>收款</v>
      </c>
      <c r="AD7" s="82" t="str">
        <f>IF(AD$6="","","付款")</f>
        <v>付款</v>
      </c>
      <c r="AE7" s="82" t="str">
        <f>IF(AE$6="","","收款")</f>
        <v>收款</v>
      </c>
      <c r="AF7" s="82" t="str">
        <f>IF(AF$6="","","付款")</f>
        <v>付款</v>
      </c>
      <c r="AG7" s="82" t="str">
        <f>IF(AG$6="","","收款")</f>
        <v>收款</v>
      </c>
      <c r="AH7" s="82" t="str">
        <f>IF(AH$6="","","付款")</f>
        <v>付款</v>
      </c>
      <c r="AI7" s="82" t="str">
        <f>IF(AI$6="","","收款")</f>
        <v>收款</v>
      </c>
      <c r="AJ7" s="82" t="str">
        <f>IF(AJ$6="","","付款")</f>
        <v>付款</v>
      </c>
      <c r="AK7" s="82" t="str">
        <f>IF(AK$6="","","收款")</f>
        <v>收款</v>
      </c>
      <c r="AL7" s="82" t="str">
        <f>IF(AL$6="","","付款")</f>
        <v>付款</v>
      </c>
      <c r="AM7" s="82" t="str">
        <f>IF(AM$6="","","收款")</f>
        <v>收款</v>
      </c>
      <c r="AN7" s="82" t="str">
        <f>IF(AN$6="","","付款")</f>
        <v>付款</v>
      </c>
      <c r="AO7" s="82" t="str">
        <f>IF(AO$6="","","收款")</f>
        <v>收款</v>
      </c>
      <c r="AP7" s="82" t="str">
        <f>IF(AP$6="","","付款")</f>
        <v>付款</v>
      </c>
      <c r="AQ7" s="82" t="str">
        <f>IF(AQ$6="","","收款")</f>
        <v>收款</v>
      </c>
      <c r="AR7" s="82" t="str">
        <f>IF(AR$6="","","付款")</f>
        <v>付款</v>
      </c>
      <c r="AS7" s="82" t="str">
        <f>IF(AS$6="","","收款")</f>
        <v>收款</v>
      </c>
      <c r="AT7" s="82" t="str">
        <f>IF(AT$6="","","付款")</f>
        <v>付款</v>
      </c>
      <c r="AU7" s="82" t="str">
        <f>IF(AU$6="","","收款")</f>
        <v>收款</v>
      </c>
      <c r="AV7" s="82" t="str">
        <f>IF(AV$6="","","付款")</f>
        <v>付款</v>
      </c>
      <c r="AW7" s="82" t="str">
        <f>IF(AW$6="","","收款")</f>
        <v>收款</v>
      </c>
      <c r="AX7" s="82" t="str">
        <f>IF(AX$6="","","付款")</f>
        <v>付款</v>
      </c>
      <c r="AY7" s="82" t="str">
        <f>IF(AY$6="","","收款")</f>
        <v>收款</v>
      </c>
      <c r="AZ7" s="82" t="str">
        <f>IF(AZ$6="","","付款")</f>
        <v>付款</v>
      </c>
      <c r="BA7" s="82" t="str">
        <f>IF(BA$6="","","收款")</f>
        <v>收款</v>
      </c>
      <c r="BB7" s="82" t="str">
        <f>IF(BB$6="","","付款")</f>
        <v>付款</v>
      </c>
      <c r="BC7" s="82" t="str">
        <f>IF(BC$6="","","收款")</f>
        <v>收款</v>
      </c>
      <c r="BD7" s="82" t="str">
        <f>IF(BD$6="","","付款")</f>
        <v>付款</v>
      </c>
      <c r="BE7" s="82" t="str">
        <f>IF(BE$6="","","收款")</f>
        <v>收款</v>
      </c>
      <c r="BF7" s="82" t="str">
        <f>IF(BF$6="","","付款")</f>
        <v>付款</v>
      </c>
      <c r="BG7" s="82" t="str">
        <f>IF(BG$6="","","收款")</f>
        <v>收款</v>
      </c>
      <c r="BH7" s="82" t="str">
        <f>IF(BH$6="","","付款")</f>
        <v>付款</v>
      </c>
      <c r="BI7" s="82" t="str">
        <f>IF(BI$6="","","收款")</f>
        <v>收款</v>
      </c>
      <c r="BJ7" s="82" t="str">
        <f>IF(BJ$6="","","付款")</f>
        <v>付款</v>
      </c>
      <c r="BK7" s="80" t="str">
        <f>IF(BK$6="","","收款")</f>
        <v>收款</v>
      </c>
      <c r="BL7" s="80" t="str">
        <f>IF(BL$6="","","付款")</f>
        <v>付款</v>
      </c>
      <c r="BM7" s="82" t="s">
        <v>267</v>
      </c>
      <c r="BN7" s="82" t="s">
        <v>268</v>
      </c>
      <c r="BO7" s="82" t="s">
        <v>245</v>
      </c>
      <c r="BP7" s="81"/>
    </row>
    <row r="8" s="64" customFormat="1" ht="20" customHeight="1" spans="1:68">
      <c r="A8" s="83" t="s">
        <v>43</v>
      </c>
      <c r="B8" s="84">
        <f>IF(OR($A8="",NOT(ISNUMBER($H$2))),"",SUMIFS(数据录入!$H$5:$H$4999,数据录入!$C$5:$C$4999,$A8,数据录入!$E$5:$E$4999,"期初余额",数据录入!$B$5:$B$4999,"&lt;="&amp;$B$2)+SUMIFS(数据录入!$F$5:$F$4999,数据录入!$C$5:$C$4999,$A8,数据录入!$B$5:$B$4999,"&lt;"&amp;$B$2)-SUMIFS(数据录入!$G$5:$G$4999,数据录入!$C$5:$C$4999,$A8,数据录入!$B$5:$B$4999,"&lt;"&amp;$B$2))</f>
        <v>0</v>
      </c>
      <c r="C8" s="84">
        <f>IF(OR($A8="",C$6="",NOT(ISNUMBER($H$2))),"",SUMIFS(数据录入!$F$5:$F$4999,数据录入!$C$5:$C$4999,$A8,数据录入!$B$5:$B$4999,C$6))</f>
        <v>0</v>
      </c>
      <c r="D8" s="84">
        <f>IF(OR($A8="",D$6="",NOT(ISNUMBER($H$2))),"",SUMIFS(数据录入!$G$5:$G$4999,数据录入!$C$5:$C$4999,$A8,数据录入!$B$5:$B$4999,D$6))</f>
        <v>0</v>
      </c>
      <c r="E8" s="84">
        <f>IF(OR($A8="",E$6="",NOT(ISNUMBER($H$2))),"",SUMIFS(数据录入!$F$5:$F$4999,数据录入!$C$5:$C$4999,$A8,数据录入!$B$5:$B$4999,E$6))</f>
        <v>0</v>
      </c>
      <c r="F8" s="84">
        <f>IF(OR($A8="",F$6="",NOT(ISNUMBER($H$2))),"",SUMIFS(数据录入!$G$5:$G$4999,数据录入!$C$5:$C$4999,$A8,数据录入!$B$5:$B$4999,F$6))</f>
        <v>0</v>
      </c>
      <c r="G8" s="84">
        <f>IF(OR($A8="",G$6="",NOT(ISNUMBER($H$2))),"",SUMIFS(数据录入!$F$5:$F$4999,数据录入!$C$5:$C$4999,$A8,数据录入!$B$5:$B$4999,G$6))</f>
        <v>0</v>
      </c>
      <c r="H8" s="84">
        <f>IF(OR($A8="",H$6="",NOT(ISNUMBER($H$2))),"",SUMIFS(数据录入!$G$5:$G$4999,数据录入!$C$5:$C$4999,$A8,数据录入!$B$5:$B$4999,H$6))</f>
        <v>0</v>
      </c>
      <c r="I8" s="84">
        <f>IF(OR($A8="",I$6="",NOT(ISNUMBER($H$2))),"",SUMIFS(数据录入!$F$5:$F$4999,数据录入!$C$5:$C$4999,$A8,数据录入!$B$5:$B$4999,I$6))</f>
        <v>0</v>
      </c>
      <c r="J8" s="84">
        <f>IF(OR($A8="",J$6="",NOT(ISNUMBER($H$2))),"",SUMIFS(数据录入!$G$5:$G$4999,数据录入!$C$5:$C$4999,$A8,数据录入!$B$5:$B$4999,J$6))</f>
        <v>0</v>
      </c>
      <c r="K8" s="84">
        <f>IF(OR($A8="",K$6="",NOT(ISNUMBER($H$2))),"",SUMIFS(数据录入!$F$5:$F$4999,数据录入!$C$5:$C$4999,$A8,数据录入!$B$5:$B$4999,K$6))</f>
        <v>0</v>
      </c>
      <c r="L8" s="84">
        <f>IF(OR($A8="",L$6="",NOT(ISNUMBER($H$2))),"",SUMIFS(数据录入!$G$5:$G$4999,数据录入!$C$5:$C$4999,$A8,数据录入!$B$5:$B$4999,L$6))</f>
        <v>0</v>
      </c>
      <c r="M8" s="84">
        <f>IF(OR($A8="",M$6="",NOT(ISNUMBER($H$2))),"",SUMIFS(数据录入!$F$5:$F$4999,数据录入!$C$5:$C$4999,$A8,数据录入!$B$5:$B$4999,M$6))</f>
        <v>0</v>
      </c>
      <c r="N8" s="84">
        <f>IF(OR($A8="",N$6="",NOT(ISNUMBER($H$2))),"",SUMIFS(数据录入!$G$5:$G$4999,数据录入!$C$5:$C$4999,$A8,数据录入!$B$5:$B$4999,N$6))</f>
        <v>0</v>
      </c>
      <c r="O8" s="84">
        <f>IF(OR($A8="",O$6="",NOT(ISNUMBER($H$2))),"",SUMIFS(数据录入!$F$5:$F$4999,数据录入!$C$5:$C$4999,$A8,数据录入!$B$5:$B$4999,O$6))</f>
        <v>0</v>
      </c>
      <c r="P8" s="84">
        <f>IF(OR($A8="",P$6="",NOT(ISNUMBER($H$2))),"",SUMIFS(数据录入!$G$5:$G$4999,数据录入!$C$5:$C$4999,$A8,数据录入!$B$5:$B$4999,P$6))</f>
        <v>0</v>
      </c>
      <c r="Q8" s="84">
        <f>IF(OR($A8="",Q$6="",NOT(ISNUMBER($H$2))),"",SUMIFS(数据录入!$F$5:$F$4999,数据录入!$C$5:$C$4999,$A8,数据录入!$B$5:$B$4999,Q$6))</f>
        <v>0</v>
      </c>
      <c r="R8" s="84">
        <f>IF(OR($A8="",R$6="",NOT(ISNUMBER($H$2))),"",SUMIFS(数据录入!$G$5:$G$4999,数据录入!$C$5:$C$4999,$A8,数据录入!$B$5:$B$4999,R$6))</f>
        <v>0</v>
      </c>
      <c r="S8" s="84">
        <f>IF(OR($A8="",S$6="",NOT(ISNUMBER($H$2))),"",SUMIFS(数据录入!$F$5:$F$4999,数据录入!$C$5:$C$4999,$A8,数据录入!$B$5:$B$4999,S$6))</f>
        <v>0</v>
      </c>
      <c r="T8" s="84">
        <f>IF(OR($A8="",T$6="",NOT(ISNUMBER($H$2))),"",SUMIFS(数据录入!$G$5:$G$4999,数据录入!$C$5:$C$4999,$A8,数据录入!$B$5:$B$4999,T$6))</f>
        <v>0</v>
      </c>
      <c r="U8" s="85">
        <f>IF(OR($A8="",U$6="",NOT(ISNUMBER($H$2))),"",SUMIFS(数据录入!$F$5:$F$4999,数据录入!$C$5:$C$4999,$A8,数据录入!$B$5:$B$4999,U$6))</f>
        <v>0</v>
      </c>
      <c r="V8" s="85">
        <f>IF(OR($A8="",V$6="",NOT(ISNUMBER($H$2))),"",SUMIFS(数据录入!$G$5:$G$4999,数据录入!$C$5:$C$4999,$A8,数据录入!$B$5:$B$4999,V$6))</f>
        <v>0</v>
      </c>
      <c r="W8" s="85">
        <f>IF(OR($A8="",W$6="",NOT(ISNUMBER($H$2))),"",SUMIFS(数据录入!$F$5:$F$4999,数据录入!$C$5:$C$4999,$A8,数据录入!$B$5:$B$4999,W$6))</f>
        <v>0</v>
      </c>
      <c r="X8" s="85">
        <f>IF(OR($A8="",X$6="",NOT(ISNUMBER($H$2))),"",SUMIFS(数据录入!$G$5:$G$4999,数据录入!$C$5:$C$4999,$A8,数据录入!$B$5:$B$4999,X$6))</f>
        <v>0</v>
      </c>
      <c r="Y8" s="85">
        <f>IF(OR($A8="",Y$6="",NOT(ISNUMBER($H$2))),"",SUMIFS(数据录入!$F$5:$F$4999,数据录入!$C$5:$C$4999,$A8,数据录入!$B$5:$B$4999,Y$6))</f>
        <v>0</v>
      </c>
      <c r="Z8" s="85">
        <f>IF(OR($A8="",Z$6="",NOT(ISNUMBER($H$2))),"",SUMIFS(数据录入!$G$5:$G$4999,数据录入!$C$5:$C$4999,$A8,数据录入!$B$5:$B$4999,Z$6))</f>
        <v>0</v>
      </c>
      <c r="AA8" s="85">
        <f>IF(OR($A8="",AA$6="",NOT(ISNUMBER($H$2))),"",SUMIFS(数据录入!$F$5:$F$4999,数据录入!$C$5:$C$4999,$A8,数据录入!$B$5:$B$4999,AA$6))</f>
        <v>0</v>
      </c>
      <c r="AB8" s="85">
        <f>IF(OR($A8="",AB$6="",NOT(ISNUMBER($H$2))),"",SUMIFS(数据录入!$G$5:$G$4999,数据录入!$C$5:$C$4999,$A8,数据录入!$B$5:$B$4999,AB$6))</f>
        <v>0</v>
      </c>
      <c r="AC8" s="85">
        <f>IF(OR($A8="",AC$6="",NOT(ISNUMBER($H$2))),"",SUMIFS(数据录入!$F$5:$F$4999,数据录入!$C$5:$C$4999,$A8,数据录入!$B$5:$B$4999,AC$6))</f>
        <v>0</v>
      </c>
      <c r="AD8" s="85">
        <f>IF(OR($A8="",AD$6="",NOT(ISNUMBER($H$2))),"",SUMIFS(数据录入!$G$5:$G$4999,数据录入!$C$5:$C$4999,$A8,数据录入!$B$5:$B$4999,AD$6))</f>
        <v>0</v>
      </c>
      <c r="AE8" s="85">
        <f>IF(OR($A8="",AE$6="",NOT(ISNUMBER($H$2))),"",SUMIFS(数据录入!$F$5:$F$4999,数据录入!$C$5:$C$4999,$A8,数据录入!$B$5:$B$4999,AE$6))</f>
        <v>0</v>
      </c>
      <c r="AF8" s="85">
        <f>IF(OR($A8="",AF$6="",NOT(ISNUMBER($H$2))),"",SUMIFS(数据录入!$G$5:$G$4999,数据录入!$C$5:$C$4999,$A8,数据录入!$B$5:$B$4999,AF$6))</f>
        <v>0</v>
      </c>
      <c r="AG8" s="85">
        <f>IF(OR($A8="",AG$6="",NOT(ISNUMBER($H$2))),"",SUMIFS(数据录入!$F$5:$F$4999,数据录入!$C$5:$C$4999,$A8,数据录入!$B$5:$B$4999,AG$6))</f>
        <v>0</v>
      </c>
      <c r="AH8" s="85">
        <f>IF(OR($A8="",AH$6="",NOT(ISNUMBER($H$2))),"",SUMIFS(数据录入!$G$5:$G$4999,数据录入!$C$5:$C$4999,$A8,数据录入!$B$5:$B$4999,AH$6))</f>
        <v>0</v>
      </c>
      <c r="AI8" s="85">
        <f>IF(OR($A8="",AI$6="",NOT(ISNUMBER($H$2))),"",SUMIFS(数据录入!$F$5:$F$4999,数据录入!$C$5:$C$4999,$A8,数据录入!$B$5:$B$4999,AI$6))</f>
        <v>0</v>
      </c>
      <c r="AJ8" s="85">
        <f>IF(OR($A8="",AJ$6="",NOT(ISNUMBER($H$2))),"",SUMIFS(数据录入!$G$5:$G$4999,数据录入!$C$5:$C$4999,$A8,数据录入!$B$5:$B$4999,AJ$6))</f>
        <v>0</v>
      </c>
      <c r="AK8" s="85">
        <f>IF(OR($A8="",AK$6="",NOT(ISNUMBER($H$2))),"",SUMIFS(数据录入!$F$5:$F$4999,数据录入!$C$5:$C$4999,$A8,数据录入!$B$5:$B$4999,AK$6))</f>
        <v>0</v>
      </c>
      <c r="AL8" s="85">
        <f>IF(OR($A8="",AL$6="",NOT(ISNUMBER($H$2))),"",SUMIFS(数据录入!$G$5:$G$4999,数据录入!$C$5:$C$4999,$A8,数据录入!$B$5:$B$4999,AL$6))</f>
        <v>0</v>
      </c>
      <c r="AM8" s="85">
        <f>IF(OR($A8="",AM$6="",NOT(ISNUMBER($H$2))),"",SUMIFS(数据录入!$F$5:$F$4999,数据录入!$C$5:$C$4999,$A8,数据录入!$B$5:$B$4999,AM$6))</f>
        <v>0</v>
      </c>
      <c r="AN8" s="85">
        <f>IF(OR($A8="",AN$6="",NOT(ISNUMBER($H$2))),"",SUMIFS(数据录入!$G$5:$G$4999,数据录入!$C$5:$C$4999,$A8,数据录入!$B$5:$B$4999,AN$6))</f>
        <v>0</v>
      </c>
      <c r="AO8" s="85">
        <f>IF(OR($A8="",AO$6="",NOT(ISNUMBER($H$2))),"",SUMIFS(数据录入!$F$5:$F$4999,数据录入!$C$5:$C$4999,$A8,数据录入!$B$5:$B$4999,AO$6))</f>
        <v>0</v>
      </c>
      <c r="AP8" s="85">
        <f>IF(OR($A8="",AP$6="",NOT(ISNUMBER($H$2))),"",SUMIFS(数据录入!$G$5:$G$4999,数据录入!$C$5:$C$4999,$A8,数据录入!$B$5:$B$4999,AP$6))</f>
        <v>0</v>
      </c>
      <c r="AQ8" s="85">
        <f>IF(OR($A8="",AQ$6="",NOT(ISNUMBER($H$2))),"",SUMIFS(数据录入!$F$5:$F$4999,数据录入!$C$5:$C$4999,$A8,数据录入!$B$5:$B$4999,AQ$6))</f>
        <v>0</v>
      </c>
      <c r="AR8" s="85">
        <f>IF(OR($A8="",AR$6="",NOT(ISNUMBER($H$2))),"",SUMIFS(数据录入!$G$5:$G$4999,数据录入!$C$5:$C$4999,$A8,数据录入!$B$5:$B$4999,AR$6))</f>
        <v>0</v>
      </c>
      <c r="AS8" s="85">
        <f>IF(OR($A8="",AS$6="",NOT(ISNUMBER($H$2))),"",SUMIFS(数据录入!$F$5:$F$4999,数据录入!$C$5:$C$4999,$A8,数据录入!$B$5:$B$4999,AS$6))</f>
        <v>0</v>
      </c>
      <c r="AT8" s="85">
        <f>IF(OR($A8="",AT$6="",NOT(ISNUMBER($H$2))),"",SUMIFS(数据录入!$G$5:$G$4999,数据录入!$C$5:$C$4999,$A8,数据录入!$B$5:$B$4999,AT$6))</f>
        <v>0</v>
      </c>
      <c r="AU8" s="85">
        <f>IF(OR($A8="",AU$6="",NOT(ISNUMBER($H$2))),"",SUMIFS(数据录入!$F$5:$F$4999,数据录入!$C$5:$C$4999,$A8,数据录入!$B$5:$B$4999,AU$6))</f>
        <v>0</v>
      </c>
      <c r="AV8" s="85">
        <f>IF(OR($A8="",AV$6="",NOT(ISNUMBER($H$2))),"",SUMIFS(数据录入!$G$5:$G$4999,数据录入!$C$5:$C$4999,$A8,数据录入!$B$5:$B$4999,AV$6))</f>
        <v>0</v>
      </c>
      <c r="AW8" s="85">
        <f>IF(OR($A8="",AW$6="",NOT(ISNUMBER($H$2))),"",SUMIFS(数据录入!$F$5:$F$4999,数据录入!$C$5:$C$4999,$A8,数据录入!$B$5:$B$4999,AW$6))</f>
        <v>0</v>
      </c>
      <c r="AX8" s="85">
        <f>IF(OR($A8="",AX$6="",NOT(ISNUMBER($H$2))),"",SUMIFS(数据录入!$G$5:$G$4999,数据录入!$C$5:$C$4999,$A8,数据录入!$B$5:$B$4999,AX$6))</f>
        <v>0</v>
      </c>
      <c r="AY8" s="85">
        <f>IF(OR($A8="",AY$6="",NOT(ISNUMBER($H$2))),"",SUMIFS(数据录入!$F$5:$F$4999,数据录入!$C$5:$C$4999,$A8,数据录入!$B$5:$B$4999,AY$6))</f>
        <v>0</v>
      </c>
      <c r="AZ8" s="85">
        <f>IF(OR($A8="",AZ$6="",NOT(ISNUMBER($H$2))),"",SUMIFS(数据录入!$G$5:$G$4999,数据录入!$C$5:$C$4999,$A8,数据录入!$B$5:$B$4999,AZ$6))</f>
        <v>0</v>
      </c>
      <c r="BA8" s="85">
        <f>IF(OR($A8="",BA$6="",NOT(ISNUMBER($H$2))),"",SUMIFS(数据录入!$F$5:$F$4999,数据录入!$C$5:$C$4999,$A8,数据录入!$B$5:$B$4999,BA$6))</f>
        <v>0</v>
      </c>
      <c r="BB8" s="85">
        <f>IF(OR($A8="",BB$6="",NOT(ISNUMBER($H$2))),"",SUMIFS(数据录入!$G$5:$G$4999,数据录入!$C$5:$C$4999,$A8,数据录入!$B$5:$B$4999,BB$6))</f>
        <v>0</v>
      </c>
      <c r="BC8" s="85">
        <f>IF(OR($A8="",BC$6="",NOT(ISNUMBER($H$2))),"",SUMIFS(数据录入!$F$5:$F$4999,数据录入!$C$5:$C$4999,$A8,数据录入!$B$5:$B$4999,BC$6))</f>
        <v>0</v>
      </c>
      <c r="BD8" s="85">
        <f>IF(OR($A8="",BD$6="",NOT(ISNUMBER($H$2))),"",SUMIFS(数据录入!$G$5:$G$4999,数据录入!$C$5:$C$4999,$A8,数据录入!$B$5:$B$4999,BD$6))</f>
        <v>0</v>
      </c>
      <c r="BE8" s="85">
        <f>IF(OR($A8="",BE$6="",NOT(ISNUMBER($H$2))),"",SUMIFS(数据录入!$F$5:$F$4999,数据录入!$C$5:$C$4999,$A8,数据录入!$B$5:$B$4999,BE$6))</f>
        <v>0</v>
      </c>
      <c r="BF8" s="85">
        <f>IF(OR($A8="",BF$6="",NOT(ISNUMBER($H$2))),"",SUMIFS(数据录入!$G$5:$G$4999,数据录入!$C$5:$C$4999,$A8,数据录入!$B$5:$B$4999,BF$6))</f>
        <v>0</v>
      </c>
      <c r="BG8" s="85">
        <f>IF(OR($A8="",BG$6="",NOT(ISNUMBER($H$2))),"",SUMIFS(数据录入!$F$5:$F$4999,数据录入!$C$5:$C$4999,$A8,数据录入!$B$5:$B$4999,BG$6))</f>
        <v>0</v>
      </c>
      <c r="BH8" s="85">
        <f>IF(OR($A8="",BH$6="",NOT(ISNUMBER($H$2))),"",SUMIFS(数据录入!$G$5:$G$4999,数据录入!$C$5:$C$4999,$A8,数据录入!$B$5:$B$4999,BH$6))</f>
        <v>0</v>
      </c>
      <c r="BI8" s="85">
        <f>IF(OR($A8="",BI$6="",NOT(ISNUMBER($H$2))),"",SUMIFS(数据录入!$F$5:$F$4999,数据录入!$C$5:$C$4999,$A8,数据录入!$B$5:$B$4999,BI$6))</f>
        <v>0</v>
      </c>
      <c r="BJ8" s="85">
        <f>IF(OR($A8="",BJ$6="",NOT(ISNUMBER($H$2))),"",SUMIFS(数据录入!$G$5:$G$4999,数据录入!$C$5:$C$4999,$A8,数据录入!$B$5:$B$4999,BJ$6))</f>
        <v>0</v>
      </c>
      <c r="BK8" s="85">
        <f>IF(OR($A8="",BK$6="",NOT(ISNUMBER($H$2))),"",SUMIFS(数据录入!$F$5:$F$4999,数据录入!$C$5:$C$4999,$A8,数据录入!$B$5:$B$4999,BK$6))</f>
        <v>0</v>
      </c>
      <c r="BL8" s="85">
        <f>IF(OR($A8="",BL$6="",NOT(ISNUMBER($H$2))),"",SUMIFS(数据录入!$G$5:$G$4999,数据录入!$C$5:$C$4999,$A8,数据录入!$B$5:$B$4999,BL$6))</f>
        <v>0</v>
      </c>
      <c r="BM8" s="85">
        <f t="shared" ref="BM8:BM21" si="0">IF($A8="","",SUMIF($C$7:$BL$7,"收款",C8:BL8))</f>
        <v>0</v>
      </c>
      <c r="BN8" s="85">
        <f t="shared" ref="BN8:BN21" si="1">IF($A8="","",SUMIF($C$7:$BL$7,"付款",C8:BL8))</f>
        <v>0</v>
      </c>
      <c r="BO8" s="85">
        <f t="shared" ref="BO8:BO21" si="2">IF($A8="","",B8+BM8-BN8)</f>
        <v>0</v>
      </c>
      <c r="BP8" s="85"/>
    </row>
    <row r="9" s="64" customFormat="1" ht="20" customHeight="1" spans="1:68">
      <c r="A9" s="83" t="s">
        <v>46</v>
      </c>
      <c r="B9" s="84">
        <f>IF(OR($A9="",NOT(ISNUMBER($H$2))),"",SUMIFS(数据录入!$H$5:$H$4999,数据录入!$C$5:$C$4999,$A9,数据录入!$E$5:$E$4999,"期初余额",数据录入!$B$5:$B$4999,"&lt;="&amp;$B$2)+SUMIFS(数据录入!$F$5:$F$4999,数据录入!$C$5:$C$4999,$A9,数据录入!$B$5:$B$4999,"&lt;"&amp;$B$2)-SUMIFS(数据录入!$G$5:$G$4999,数据录入!$C$5:$C$4999,$A9,数据录入!$B$5:$B$4999,"&lt;"&amp;$B$2))</f>
        <v>0</v>
      </c>
      <c r="C9" s="84">
        <f>IF(OR($A9="",C$6="",NOT(ISNUMBER($H$2))),"",SUMIFS(数据录入!$F$5:$F$4999,数据录入!$C$5:$C$4999,$A9,数据录入!$B$5:$B$4999,C$6))</f>
        <v>0</v>
      </c>
      <c r="D9" s="84">
        <f>IF(OR($A9="",D$6="",NOT(ISNUMBER($H$2))),"",SUMIFS(数据录入!$G$5:$G$4999,数据录入!$C$5:$C$4999,$A9,数据录入!$B$5:$B$4999,D$6))</f>
        <v>0</v>
      </c>
      <c r="E9" s="84">
        <f>IF(OR($A9="",E$6="",NOT(ISNUMBER($H$2))),"",SUMIFS(数据录入!$F$5:$F$4999,数据录入!$C$5:$C$4999,$A9,数据录入!$B$5:$B$4999,E$6))</f>
        <v>0</v>
      </c>
      <c r="F9" s="84">
        <f>IF(OR($A9="",F$6="",NOT(ISNUMBER($H$2))),"",SUMIFS(数据录入!$G$5:$G$4999,数据录入!$C$5:$C$4999,$A9,数据录入!$B$5:$B$4999,F$6))</f>
        <v>0</v>
      </c>
      <c r="G9" s="84">
        <f>IF(OR($A9="",G$6="",NOT(ISNUMBER($H$2))),"",SUMIFS(数据录入!$F$5:$F$4999,数据录入!$C$5:$C$4999,$A9,数据录入!$B$5:$B$4999,G$6))</f>
        <v>0</v>
      </c>
      <c r="H9" s="84">
        <f>IF(OR($A9="",H$6="",NOT(ISNUMBER($H$2))),"",SUMIFS(数据录入!$G$5:$G$4999,数据录入!$C$5:$C$4999,$A9,数据录入!$B$5:$B$4999,H$6))</f>
        <v>0</v>
      </c>
      <c r="I9" s="84">
        <f>IF(OR($A9="",I$6="",NOT(ISNUMBER($H$2))),"",SUMIFS(数据录入!$F$5:$F$4999,数据录入!$C$5:$C$4999,$A9,数据录入!$B$5:$B$4999,I$6))</f>
        <v>0</v>
      </c>
      <c r="J9" s="84">
        <f>IF(OR($A9="",J$6="",NOT(ISNUMBER($H$2))),"",SUMIFS(数据录入!$G$5:$G$4999,数据录入!$C$5:$C$4999,$A9,数据录入!$B$5:$B$4999,J$6))</f>
        <v>0</v>
      </c>
      <c r="K9" s="84">
        <f>IF(OR($A9="",K$6="",NOT(ISNUMBER($H$2))),"",SUMIFS(数据录入!$F$5:$F$4999,数据录入!$C$5:$C$4999,$A9,数据录入!$B$5:$B$4999,K$6))</f>
        <v>0</v>
      </c>
      <c r="L9" s="84">
        <f>IF(OR($A9="",L$6="",NOT(ISNUMBER($H$2))),"",SUMIFS(数据录入!$G$5:$G$4999,数据录入!$C$5:$C$4999,$A9,数据录入!$B$5:$B$4999,L$6))</f>
        <v>0</v>
      </c>
      <c r="M9" s="84">
        <f>IF(OR($A9="",M$6="",NOT(ISNUMBER($H$2))),"",SUMIFS(数据录入!$F$5:$F$4999,数据录入!$C$5:$C$4999,$A9,数据录入!$B$5:$B$4999,M$6))</f>
        <v>0</v>
      </c>
      <c r="N9" s="84">
        <f>IF(OR($A9="",N$6="",NOT(ISNUMBER($H$2))),"",SUMIFS(数据录入!$G$5:$G$4999,数据录入!$C$5:$C$4999,$A9,数据录入!$B$5:$B$4999,N$6))</f>
        <v>0</v>
      </c>
      <c r="O9" s="84">
        <f>IF(OR($A9="",O$6="",NOT(ISNUMBER($H$2))),"",SUMIFS(数据录入!$F$5:$F$4999,数据录入!$C$5:$C$4999,$A9,数据录入!$B$5:$B$4999,O$6))</f>
        <v>0</v>
      </c>
      <c r="P9" s="84">
        <f>IF(OR($A9="",P$6="",NOT(ISNUMBER($H$2))),"",SUMIFS(数据录入!$G$5:$G$4999,数据录入!$C$5:$C$4999,$A9,数据录入!$B$5:$B$4999,P$6))</f>
        <v>0</v>
      </c>
      <c r="Q9" s="84">
        <f>IF(OR($A9="",Q$6="",NOT(ISNUMBER($H$2))),"",SUMIFS(数据录入!$F$5:$F$4999,数据录入!$C$5:$C$4999,$A9,数据录入!$B$5:$B$4999,Q$6))</f>
        <v>0</v>
      </c>
      <c r="R9" s="84">
        <f>IF(OR($A9="",R$6="",NOT(ISNUMBER($H$2))),"",SUMIFS(数据录入!$G$5:$G$4999,数据录入!$C$5:$C$4999,$A9,数据录入!$B$5:$B$4999,R$6))</f>
        <v>0</v>
      </c>
      <c r="S9" s="84">
        <f>IF(OR($A9="",S$6="",NOT(ISNUMBER($H$2))),"",SUMIFS(数据录入!$F$5:$F$4999,数据录入!$C$5:$C$4999,$A9,数据录入!$B$5:$B$4999,S$6))</f>
        <v>0</v>
      </c>
      <c r="T9" s="84">
        <f>IF(OR($A9="",T$6="",NOT(ISNUMBER($H$2))),"",SUMIFS(数据录入!$G$5:$G$4999,数据录入!$C$5:$C$4999,$A9,数据录入!$B$5:$B$4999,T$6))</f>
        <v>0</v>
      </c>
      <c r="U9" s="85">
        <f>IF(OR($A9="",U$6="",NOT(ISNUMBER($H$2))),"",SUMIFS(数据录入!$F$5:$F$4999,数据录入!$C$5:$C$4999,$A9,数据录入!$B$5:$B$4999,U$6))</f>
        <v>0</v>
      </c>
      <c r="V9" s="85">
        <f>IF(OR($A9="",V$6="",NOT(ISNUMBER($H$2))),"",SUMIFS(数据录入!$G$5:$G$4999,数据录入!$C$5:$C$4999,$A9,数据录入!$B$5:$B$4999,V$6))</f>
        <v>0</v>
      </c>
      <c r="W9" s="85">
        <f>IF(OR($A9="",W$6="",NOT(ISNUMBER($H$2))),"",SUMIFS(数据录入!$F$5:$F$4999,数据录入!$C$5:$C$4999,$A9,数据录入!$B$5:$B$4999,W$6))</f>
        <v>0</v>
      </c>
      <c r="X9" s="85">
        <f>IF(OR($A9="",X$6="",NOT(ISNUMBER($H$2))),"",SUMIFS(数据录入!$G$5:$G$4999,数据录入!$C$5:$C$4999,$A9,数据录入!$B$5:$B$4999,X$6))</f>
        <v>0</v>
      </c>
      <c r="Y9" s="85">
        <f>IF(OR($A9="",Y$6="",NOT(ISNUMBER($H$2))),"",SUMIFS(数据录入!$F$5:$F$4999,数据录入!$C$5:$C$4999,$A9,数据录入!$B$5:$B$4999,Y$6))</f>
        <v>0</v>
      </c>
      <c r="Z9" s="85">
        <f>IF(OR($A9="",Z$6="",NOT(ISNUMBER($H$2))),"",SUMIFS(数据录入!$G$5:$G$4999,数据录入!$C$5:$C$4999,$A9,数据录入!$B$5:$B$4999,Z$6))</f>
        <v>0</v>
      </c>
      <c r="AA9" s="85">
        <f>IF(OR($A9="",AA$6="",NOT(ISNUMBER($H$2))),"",SUMIFS(数据录入!$F$5:$F$4999,数据录入!$C$5:$C$4999,$A9,数据录入!$B$5:$B$4999,AA$6))</f>
        <v>0</v>
      </c>
      <c r="AB9" s="85">
        <f>IF(OR($A9="",AB$6="",NOT(ISNUMBER($H$2))),"",SUMIFS(数据录入!$G$5:$G$4999,数据录入!$C$5:$C$4999,$A9,数据录入!$B$5:$B$4999,AB$6))</f>
        <v>0</v>
      </c>
      <c r="AC9" s="85">
        <f>IF(OR($A9="",AC$6="",NOT(ISNUMBER($H$2))),"",SUMIFS(数据录入!$F$5:$F$4999,数据录入!$C$5:$C$4999,$A9,数据录入!$B$5:$B$4999,AC$6))</f>
        <v>0</v>
      </c>
      <c r="AD9" s="85">
        <f>IF(OR($A9="",AD$6="",NOT(ISNUMBER($H$2))),"",SUMIFS(数据录入!$G$5:$G$4999,数据录入!$C$5:$C$4999,$A9,数据录入!$B$5:$B$4999,AD$6))</f>
        <v>0</v>
      </c>
      <c r="AE9" s="85">
        <f>IF(OR($A9="",AE$6="",NOT(ISNUMBER($H$2))),"",SUMIFS(数据录入!$F$5:$F$4999,数据录入!$C$5:$C$4999,$A9,数据录入!$B$5:$B$4999,AE$6))</f>
        <v>0</v>
      </c>
      <c r="AF9" s="85">
        <f>IF(OR($A9="",AF$6="",NOT(ISNUMBER($H$2))),"",SUMIFS(数据录入!$G$5:$G$4999,数据录入!$C$5:$C$4999,$A9,数据录入!$B$5:$B$4999,AF$6))</f>
        <v>0</v>
      </c>
      <c r="AG9" s="85">
        <f>IF(OR($A9="",AG$6="",NOT(ISNUMBER($H$2))),"",SUMIFS(数据录入!$F$5:$F$4999,数据录入!$C$5:$C$4999,$A9,数据录入!$B$5:$B$4999,AG$6))</f>
        <v>0</v>
      </c>
      <c r="AH9" s="85">
        <f>IF(OR($A9="",AH$6="",NOT(ISNUMBER($H$2))),"",SUMIFS(数据录入!$G$5:$G$4999,数据录入!$C$5:$C$4999,$A9,数据录入!$B$5:$B$4999,AH$6))</f>
        <v>0</v>
      </c>
      <c r="AI9" s="85">
        <f>IF(OR($A9="",AI$6="",NOT(ISNUMBER($H$2))),"",SUMIFS(数据录入!$F$5:$F$4999,数据录入!$C$5:$C$4999,$A9,数据录入!$B$5:$B$4999,AI$6))</f>
        <v>0</v>
      </c>
      <c r="AJ9" s="85">
        <f>IF(OR($A9="",AJ$6="",NOT(ISNUMBER($H$2))),"",SUMIFS(数据录入!$G$5:$G$4999,数据录入!$C$5:$C$4999,$A9,数据录入!$B$5:$B$4999,AJ$6))</f>
        <v>0</v>
      </c>
      <c r="AK9" s="85">
        <f>IF(OR($A9="",AK$6="",NOT(ISNUMBER($H$2))),"",SUMIFS(数据录入!$F$5:$F$4999,数据录入!$C$5:$C$4999,$A9,数据录入!$B$5:$B$4999,AK$6))</f>
        <v>0</v>
      </c>
      <c r="AL9" s="85">
        <f>IF(OR($A9="",AL$6="",NOT(ISNUMBER($H$2))),"",SUMIFS(数据录入!$G$5:$G$4999,数据录入!$C$5:$C$4999,$A9,数据录入!$B$5:$B$4999,AL$6))</f>
        <v>0</v>
      </c>
      <c r="AM9" s="85">
        <f>IF(OR($A9="",AM$6="",NOT(ISNUMBER($H$2))),"",SUMIFS(数据录入!$F$5:$F$4999,数据录入!$C$5:$C$4999,$A9,数据录入!$B$5:$B$4999,AM$6))</f>
        <v>0</v>
      </c>
      <c r="AN9" s="85">
        <f>IF(OR($A9="",AN$6="",NOT(ISNUMBER($H$2))),"",SUMIFS(数据录入!$G$5:$G$4999,数据录入!$C$5:$C$4999,$A9,数据录入!$B$5:$B$4999,AN$6))</f>
        <v>0</v>
      </c>
      <c r="AO9" s="85">
        <f>IF(OR($A9="",AO$6="",NOT(ISNUMBER($H$2))),"",SUMIFS(数据录入!$F$5:$F$4999,数据录入!$C$5:$C$4999,$A9,数据录入!$B$5:$B$4999,AO$6))</f>
        <v>0</v>
      </c>
      <c r="AP9" s="85">
        <f>IF(OR($A9="",AP$6="",NOT(ISNUMBER($H$2))),"",SUMIFS(数据录入!$G$5:$G$4999,数据录入!$C$5:$C$4999,$A9,数据录入!$B$5:$B$4999,AP$6))</f>
        <v>0</v>
      </c>
      <c r="AQ9" s="85">
        <f>IF(OR($A9="",AQ$6="",NOT(ISNUMBER($H$2))),"",SUMIFS(数据录入!$F$5:$F$4999,数据录入!$C$5:$C$4999,$A9,数据录入!$B$5:$B$4999,AQ$6))</f>
        <v>0</v>
      </c>
      <c r="AR9" s="85">
        <f>IF(OR($A9="",AR$6="",NOT(ISNUMBER($H$2))),"",SUMIFS(数据录入!$G$5:$G$4999,数据录入!$C$5:$C$4999,$A9,数据录入!$B$5:$B$4999,AR$6))</f>
        <v>0</v>
      </c>
      <c r="AS9" s="85">
        <f>IF(OR($A9="",AS$6="",NOT(ISNUMBER($H$2))),"",SUMIFS(数据录入!$F$5:$F$4999,数据录入!$C$5:$C$4999,$A9,数据录入!$B$5:$B$4999,AS$6))</f>
        <v>0</v>
      </c>
      <c r="AT9" s="85">
        <f>IF(OR($A9="",AT$6="",NOT(ISNUMBER($H$2))),"",SUMIFS(数据录入!$G$5:$G$4999,数据录入!$C$5:$C$4999,$A9,数据录入!$B$5:$B$4999,AT$6))</f>
        <v>0</v>
      </c>
      <c r="AU9" s="85">
        <f>IF(OR($A9="",AU$6="",NOT(ISNUMBER($H$2))),"",SUMIFS(数据录入!$F$5:$F$4999,数据录入!$C$5:$C$4999,$A9,数据录入!$B$5:$B$4999,AU$6))</f>
        <v>0</v>
      </c>
      <c r="AV9" s="85">
        <f>IF(OR($A9="",AV$6="",NOT(ISNUMBER($H$2))),"",SUMIFS(数据录入!$G$5:$G$4999,数据录入!$C$5:$C$4999,$A9,数据录入!$B$5:$B$4999,AV$6))</f>
        <v>0</v>
      </c>
      <c r="AW9" s="85">
        <f>IF(OR($A9="",AW$6="",NOT(ISNUMBER($H$2))),"",SUMIFS(数据录入!$F$5:$F$4999,数据录入!$C$5:$C$4999,$A9,数据录入!$B$5:$B$4999,AW$6))</f>
        <v>0</v>
      </c>
      <c r="AX9" s="85">
        <f>IF(OR($A9="",AX$6="",NOT(ISNUMBER($H$2))),"",SUMIFS(数据录入!$G$5:$G$4999,数据录入!$C$5:$C$4999,$A9,数据录入!$B$5:$B$4999,AX$6))</f>
        <v>0</v>
      </c>
      <c r="AY9" s="85">
        <f>IF(OR($A9="",AY$6="",NOT(ISNUMBER($H$2))),"",SUMIFS(数据录入!$F$5:$F$4999,数据录入!$C$5:$C$4999,$A9,数据录入!$B$5:$B$4999,AY$6))</f>
        <v>0</v>
      </c>
      <c r="AZ9" s="85">
        <f>IF(OR($A9="",AZ$6="",NOT(ISNUMBER($H$2))),"",SUMIFS(数据录入!$G$5:$G$4999,数据录入!$C$5:$C$4999,$A9,数据录入!$B$5:$B$4999,AZ$6))</f>
        <v>0</v>
      </c>
      <c r="BA9" s="85">
        <f>IF(OR($A9="",BA$6="",NOT(ISNUMBER($H$2))),"",SUMIFS(数据录入!$F$5:$F$4999,数据录入!$C$5:$C$4999,$A9,数据录入!$B$5:$B$4999,BA$6))</f>
        <v>0</v>
      </c>
      <c r="BB9" s="85">
        <f>IF(OR($A9="",BB$6="",NOT(ISNUMBER($H$2))),"",SUMIFS(数据录入!$G$5:$G$4999,数据录入!$C$5:$C$4999,$A9,数据录入!$B$5:$B$4999,BB$6))</f>
        <v>0</v>
      </c>
      <c r="BC9" s="85">
        <f>IF(OR($A9="",BC$6="",NOT(ISNUMBER($H$2))),"",SUMIFS(数据录入!$F$5:$F$4999,数据录入!$C$5:$C$4999,$A9,数据录入!$B$5:$B$4999,BC$6))</f>
        <v>0</v>
      </c>
      <c r="BD9" s="85">
        <f>IF(OR($A9="",BD$6="",NOT(ISNUMBER($H$2))),"",SUMIFS(数据录入!$G$5:$G$4999,数据录入!$C$5:$C$4999,$A9,数据录入!$B$5:$B$4999,BD$6))</f>
        <v>0</v>
      </c>
      <c r="BE9" s="85">
        <f>IF(OR($A9="",BE$6="",NOT(ISNUMBER($H$2))),"",SUMIFS(数据录入!$F$5:$F$4999,数据录入!$C$5:$C$4999,$A9,数据录入!$B$5:$B$4999,BE$6))</f>
        <v>0</v>
      </c>
      <c r="BF9" s="85">
        <f>IF(OR($A9="",BF$6="",NOT(ISNUMBER($H$2))),"",SUMIFS(数据录入!$G$5:$G$4999,数据录入!$C$5:$C$4999,$A9,数据录入!$B$5:$B$4999,BF$6))</f>
        <v>0</v>
      </c>
      <c r="BG9" s="85">
        <f>IF(OR($A9="",BG$6="",NOT(ISNUMBER($H$2))),"",SUMIFS(数据录入!$F$5:$F$4999,数据录入!$C$5:$C$4999,$A9,数据录入!$B$5:$B$4999,BG$6))</f>
        <v>0</v>
      </c>
      <c r="BH9" s="85">
        <f>IF(OR($A9="",BH$6="",NOT(ISNUMBER($H$2))),"",SUMIFS(数据录入!$G$5:$G$4999,数据录入!$C$5:$C$4999,$A9,数据录入!$B$5:$B$4999,BH$6))</f>
        <v>0</v>
      </c>
      <c r="BI9" s="85">
        <f>IF(OR($A9="",BI$6="",NOT(ISNUMBER($H$2))),"",SUMIFS(数据录入!$F$5:$F$4999,数据录入!$C$5:$C$4999,$A9,数据录入!$B$5:$B$4999,BI$6))</f>
        <v>0</v>
      </c>
      <c r="BJ9" s="85">
        <f>IF(OR($A9="",BJ$6="",NOT(ISNUMBER($H$2))),"",SUMIFS(数据录入!$G$5:$G$4999,数据录入!$C$5:$C$4999,$A9,数据录入!$B$5:$B$4999,BJ$6))</f>
        <v>0</v>
      </c>
      <c r="BK9" s="85">
        <f>IF(OR($A9="",BK$6="",NOT(ISNUMBER($H$2))),"",SUMIFS(数据录入!$F$5:$F$4999,数据录入!$C$5:$C$4999,$A9,数据录入!$B$5:$B$4999,BK$6))</f>
        <v>0</v>
      </c>
      <c r="BL9" s="85">
        <f>IF(OR($A9="",BL$6="",NOT(ISNUMBER($H$2))),"",SUMIFS(数据录入!$G$5:$G$4999,数据录入!$C$5:$C$4999,$A9,数据录入!$B$5:$B$4999,BL$6))</f>
        <v>0</v>
      </c>
      <c r="BM9" s="85">
        <f t="shared" si="0"/>
        <v>0</v>
      </c>
      <c r="BN9" s="85">
        <f t="shared" si="1"/>
        <v>0</v>
      </c>
      <c r="BO9" s="85">
        <f t="shared" si="2"/>
        <v>0</v>
      </c>
      <c r="BP9" s="85"/>
    </row>
    <row r="10" s="64" customFormat="1" ht="20" customHeight="1" spans="1:68">
      <c r="A10" s="83" t="s">
        <v>49</v>
      </c>
      <c r="B10" s="84">
        <f>IF(OR($A10="",NOT(ISNUMBER($H$2))),"",SUMIFS(数据录入!$H$5:$H$4999,数据录入!$C$5:$C$4999,$A10,数据录入!$E$5:$E$4999,"期初余额",数据录入!$B$5:$B$4999,"&lt;="&amp;$B$2)+SUMIFS(数据录入!$F$5:$F$4999,数据录入!$C$5:$C$4999,$A10,数据录入!$B$5:$B$4999,"&lt;"&amp;$B$2)-SUMIFS(数据录入!$G$5:$G$4999,数据录入!$C$5:$C$4999,$A10,数据录入!$B$5:$B$4999,"&lt;"&amp;$B$2))</f>
        <v>361.379999999976</v>
      </c>
      <c r="C10" s="84">
        <f>IF(OR($A10="",C$6="",NOT(ISNUMBER($H$2))),"",SUMIFS(数据录入!$F$5:$F$4999,数据录入!$C$5:$C$4999,$A10,数据录入!$B$5:$B$4999,C$6))</f>
        <v>0</v>
      </c>
      <c r="D10" s="84">
        <f>IF(OR($A10="",D$6="",NOT(ISNUMBER($H$2))),"",SUMIFS(数据录入!$G$5:$G$4999,数据录入!$C$5:$C$4999,$A10,数据录入!$B$5:$B$4999,D$6))</f>
        <v>0</v>
      </c>
      <c r="E10" s="84">
        <f>IF(OR($A10="",E$6="",NOT(ISNUMBER($H$2))),"",SUMIFS(数据录入!$F$5:$F$4999,数据录入!$C$5:$C$4999,$A10,数据录入!$B$5:$B$4999,E$6))</f>
        <v>0</v>
      </c>
      <c r="F10" s="84">
        <f>IF(OR($A10="",F$6="",NOT(ISNUMBER($H$2))),"",SUMIFS(数据录入!$G$5:$G$4999,数据录入!$C$5:$C$4999,$A10,数据录入!$B$5:$B$4999,F$6))</f>
        <v>0</v>
      </c>
      <c r="G10" s="84">
        <f>IF(OR($A10="",G$6="",NOT(ISNUMBER($H$2))),"",SUMIFS(数据录入!$F$5:$F$4999,数据录入!$C$5:$C$4999,$A10,数据录入!$B$5:$B$4999,G$6))</f>
        <v>0</v>
      </c>
      <c r="H10" s="84">
        <f>IF(OR($A10="",H$6="",NOT(ISNUMBER($H$2))),"",SUMIFS(数据录入!$G$5:$G$4999,数据录入!$C$5:$C$4999,$A10,数据录入!$B$5:$B$4999,H$6))</f>
        <v>0</v>
      </c>
      <c r="I10" s="84">
        <f>IF(OR($A10="",I$6="",NOT(ISNUMBER($H$2))),"",SUMIFS(数据录入!$F$5:$F$4999,数据录入!$C$5:$C$4999,$A10,数据录入!$B$5:$B$4999,I$6))</f>
        <v>90000</v>
      </c>
      <c r="J10" s="84">
        <f>IF(OR($A10="",J$6="",NOT(ISNUMBER($H$2))),"",SUMIFS(数据录入!$G$5:$G$4999,数据录入!$C$5:$C$4999,$A10,数据录入!$B$5:$B$4999,J$6))</f>
        <v>82409</v>
      </c>
      <c r="K10" s="84">
        <f>IF(OR($A10="",K$6="",NOT(ISNUMBER($H$2))),"",SUMIFS(数据录入!$F$5:$F$4999,数据录入!$C$5:$C$4999,$A10,数据录入!$B$5:$B$4999,K$6))</f>
        <v>0</v>
      </c>
      <c r="L10" s="84">
        <f>IF(OR($A10="",L$6="",NOT(ISNUMBER($H$2))),"",SUMIFS(数据录入!$G$5:$G$4999,数据录入!$C$5:$C$4999,$A10,数据录入!$B$5:$B$4999,L$6))</f>
        <v>0</v>
      </c>
      <c r="M10" s="84">
        <f>IF(OR($A10="",M$6="",NOT(ISNUMBER($H$2))),"",SUMIFS(数据录入!$F$5:$F$4999,数据录入!$C$5:$C$4999,$A10,数据录入!$B$5:$B$4999,M$6))</f>
        <v>0</v>
      </c>
      <c r="N10" s="84">
        <f>IF(OR($A10="",N$6="",NOT(ISNUMBER($H$2))),"",SUMIFS(数据录入!$G$5:$G$4999,数据录入!$C$5:$C$4999,$A10,数据录入!$B$5:$B$4999,N$6))</f>
        <v>0</v>
      </c>
      <c r="O10" s="84">
        <f>IF(OR($A10="",O$6="",NOT(ISNUMBER($H$2))),"",SUMIFS(数据录入!$F$5:$F$4999,数据录入!$C$5:$C$4999,$A10,数据录入!$B$5:$B$4999,O$6))</f>
        <v>0</v>
      </c>
      <c r="P10" s="84">
        <f>IF(OR($A10="",P$6="",NOT(ISNUMBER($H$2))),"",SUMIFS(数据录入!$G$5:$G$4999,数据录入!$C$5:$C$4999,$A10,数据录入!$B$5:$B$4999,P$6))</f>
        <v>0</v>
      </c>
      <c r="Q10" s="84">
        <f>IF(OR($A10="",Q$6="",NOT(ISNUMBER($H$2))),"",SUMIFS(数据录入!$F$5:$F$4999,数据录入!$C$5:$C$4999,$A10,数据录入!$B$5:$B$4999,Q$6))</f>
        <v>0</v>
      </c>
      <c r="R10" s="84">
        <f>IF(OR($A10="",R$6="",NOT(ISNUMBER($H$2))),"",SUMIFS(数据录入!$G$5:$G$4999,数据录入!$C$5:$C$4999,$A10,数据录入!$B$5:$B$4999,R$6))</f>
        <v>0</v>
      </c>
      <c r="S10" s="84">
        <f>IF(OR($A10="",S$6="",NOT(ISNUMBER($H$2))),"",SUMIFS(数据录入!$F$5:$F$4999,数据录入!$C$5:$C$4999,$A10,数据录入!$B$5:$B$4999,S$6))</f>
        <v>0</v>
      </c>
      <c r="T10" s="84">
        <f>IF(OR($A10="",T$6="",NOT(ISNUMBER($H$2))),"",SUMIFS(数据录入!$G$5:$G$4999,数据录入!$C$5:$C$4999,$A10,数据录入!$B$5:$B$4999,T$6))</f>
        <v>450</v>
      </c>
      <c r="U10" s="85">
        <f>IF(OR($A10="",U$6="",NOT(ISNUMBER($H$2))),"",SUMIFS(数据录入!$F$5:$F$4999,数据录入!$C$5:$C$4999,$A10,数据录入!$B$5:$B$4999,U$6))</f>
        <v>0</v>
      </c>
      <c r="V10" s="85">
        <f>IF(OR($A10="",V$6="",NOT(ISNUMBER($H$2))),"",SUMIFS(数据录入!$G$5:$G$4999,数据录入!$C$5:$C$4999,$A10,数据录入!$B$5:$B$4999,V$6))</f>
        <v>0</v>
      </c>
      <c r="W10" s="85">
        <f>IF(OR($A10="",W$6="",NOT(ISNUMBER($H$2))),"",SUMIFS(数据录入!$F$5:$F$4999,数据录入!$C$5:$C$4999,$A10,数据录入!$B$5:$B$4999,W$6))</f>
        <v>0</v>
      </c>
      <c r="X10" s="85">
        <f>IF(OR($A10="",X$6="",NOT(ISNUMBER($H$2))),"",SUMIFS(数据录入!$G$5:$G$4999,数据录入!$C$5:$C$4999,$A10,数据录入!$B$5:$B$4999,X$6))</f>
        <v>0</v>
      </c>
      <c r="Y10" s="85">
        <f>IF(OR($A10="",Y$6="",NOT(ISNUMBER($H$2))),"",SUMIFS(数据录入!$F$5:$F$4999,数据录入!$C$5:$C$4999,$A10,数据录入!$B$5:$B$4999,Y$6))</f>
        <v>0</v>
      </c>
      <c r="Z10" s="85">
        <f>IF(OR($A10="",Z$6="",NOT(ISNUMBER($H$2))),"",SUMIFS(数据录入!$G$5:$G$4999,数据录入!$C$5:$C$4999,$A10,数据录入!$B$5:$B$4999,Z$6))</f>
        <v>4504.5</v>
      </c>
      <c r="AA10" s="85">
        <f>IF(OR($A10="",AA$6="",NOT(ISNUMBER($H$2))),"",SUMIFS(数据录入!$F$5:$F$4999,数据录入!$C$5:$C$4999,$A10,数据录入!$B$5:$B$4999,AA$6))</f>
        <v>0</v>
      </c>
      <c r="AB10" s="85">
        <f>IF(OR($A10="",AB$6="",NOT(ISNUMBER($H$2))),"",SUMIFS(数据录入!$G$5:$G$4999,数据录入!$C$5:$C$4999,$A10,数据录入!$B$5:$B$4999,AB$6))</f>
        <v>0</v>
      </c>
      <c r="AC10" s="85">
        <f>IF(OR($A10="",AC$6="",NOT(ISNUMBER($H$2))),"",SUMIFS(数据录入!$F$5:$F$4999,数据录入!$C$5:$C$4999,$A10,数据录入!$B$5:$B$4999,AC$6))</f>
        <v>0</v>
      </c>
      <c r="AD10" s="85">
        <f>IF(OR($A10="",AD$6="",NOT(ISNUMBER($H$2))),"",SUMIFS(数据录入!$G$5:$G$4999,数据录入!$C$5:$C$4999,$A10,数据录入!$B$5:$B$4999,AD$6))</f>
        <v>0</v>
      </c>
      <c r="AE10" s="85">
        <f>IF(OR($A10="",AE$6="",NOT(ISNUMBER($H$2))),"",SUMIFS(数据录入!$F$5:$F$4999,数据录入!$C$5:$C$4999,$A10,数据录入!$B$5:$B$4999,AE$6))</f>
        <v>0</v>
      </c>
      <c r="AF10" s="85">
        <f>IF(OR($A10="",AF$6="",NOT(ISNUMBER($H$2))),"",SUMIFS(数据录入!$G$5:$G$4999,数据录入!$C$5:$C$4999,$A10,数据录入!$B$5:$B$4999,AF$6))</f>
        <v>0</v>
      </c>
      <c r="AG10" s="85">
        <f>IF(OR($A10="",AG$6="",NOT(ISNUMBER($H$2))),"",SUMIFS(数据录入!$F$5:$F$4999,数据录入!$C$5:$C$4999,$A10,数据录入!$B$5:$B$4999,AG$6))</f>
        <v>30000</v>
      </c>
      <c r="AH10" s="85">
        <f>IF(OR($A10="",AH$6="",NOT(ISNUMBER($H$2))),"",SUMIFS(数据录入!$G$5:$G$4999,数据录入!$C$5:$C$4999,$A10,数据录入!$B$5:$B$4999,AH$6))</f>
        <v>0</v>
      </c>
      <c r="AI10" s="85">
        <f>IF(OR($A10="",AI$6="",NOT(ISNUMBER($H$2))),"",SUMIFS(数据录入!$F$5:$F$4999,数据录入!$C$5:$C$4999,$A10,数据录入!$B$5:$B$4999,AI$6))</f>
        <v>0</v>
      </c>
      <c r="AJ10" s="85">
        <f>IF(OR($A10="",AJ$6="",NOT(ISNUMBER($H$2))),"",SUMIFS(数据录入!$G$5:$G$4999,数据录入!$C$5:$C$4999,$A10,数据录入!$B$5:$B$4999,AJ$6))</f>
        <v>0</v>
      </c>
      <c r="AK10" s="85">
        <f>IF(OR($A10="",AK$6="",NOT(ISNUMBER($H$2))),"",SUMIFS(数据录入!$F$5:$F$4999,数据录入!$C$5:$C$4999,$A10,数据录入!$B$5:$B$4999,AK$6))</f>
        <v>0</v>
      </c>
      <c r="AL10" s="85">
        <f>IF(OR($A10="",AL$6="",NOT(ISNUMBER($H$2))),"",SUMIFS(数据录入!$G$5:$G$4999,数据录入!$C$5:$C$4999,$A10,数据录入!$B$5:$B$4999,AL$6))</f>
        <v>0</v>
      </c>
      <c r="AM10" s="85">
        <f>IF(OR($A10="",AM$6="",NOT(ISNUMBER($H$2))),"",SUMIFS(数据录入!$F$5:$F$4999,数据录入!$C$5:$C$4999,$A10,数据录入!$B$5:$B$4999,AM$6))</f>
        <v>0</v>
      </c>
      <c r="AN10" s="85">
        <f>IF(OR($A10="",AN$6="",NOT(ISNUMBER($H$2))),"",SUMIFS(数据录入!$G$5:$G$4999,数据录入!$C$5:$C$4999,$A10,数据录入!$B$5:$B$4999,AN$6))</f>
        <v>0</v>
      </c>
      <c r="AO10" s="85">
        <f>IF(OR($A10="",AO$6="",NOT(ISNUMBER($H$2))),"",SUMIFS(数据录入!$F$5:$F$4999,数据录入!$C$5:$C$4999,$A10,数据录入!$B$5:$B$4999,AO$6))</f>
        <v>20000</v>
      </c>
      <c r="AP10" s="85">
        <f>IF(OR($A10="",AP$6="",NOT(ISNUMBER($H$2))),"",SUMIFS(数据录入!$G$5:$G$4999,数据录入!$C$5:$C$4999,$A10,数据录入!$B$5:$B$4999,AP$6))</f>
        <v>44409</v>
      </c>
      <c r="AQ10" s="85">
        <f>IF(OR($A10="",AQ$6="",NOT(ISNUMBER($H$2))),"",SUMIFS(数据录入!$F$5:$F$4999,数据录入!$C$5:$C$4999,$A10,数据录入!$B$5:$B$4999,AQ$6))</f>
        <v>9088</v>
      </c>
      <c r="AR10" s="85">
        <f>IF(OR($A10="",AR$6="",NOT(ISNUMBER($H$2))),"",SUMIFS(数据录入!$G$5:$G$4999,数据录入!$C$5:$C$4999,$A10,数据录入!$B$5:$B$4999,AR$6))</f>
        <v>0</v>
      </c>
      <c r="AS10" s="85">
        <f>IF(OR($A10="",AS$6="",NOT(ISNUMBER($H$2))),"",SUMIFS(数据录入!$F$5:$F$4999,数据录入!$C$5:$C$4999,$A10,数据录入!$B$5:$B$4999,AS$6))</f>
        <v>189383.96</v>
      </c>
      <c r="AT10" s="85">
        <f>IF(OR($A10="",AT$6="",NOT(ISNUMBER($H$2))),"",SUMIFS(数据录入!$G$5:$G$4999,数据录入!$C$5:$C$4999,$A10,数据录入!$B$5:$B$4999,AT$6))</f>
        <v>150002.7</v>
      </c>
      <c r="AU10" s="85">
        <f>IF(OR($A10="",AU$6="",NOT(ISNUMBER($H$2))),"",SUMIFS(数据录入!$F$5:$F$4999,数据录入!$C$5:$C$4999,$A10,数据录入!$B$5:$B$4999,AU$6))</f>
        <v>8368.85</v>
      </c>
      <c r="AV10" s="85">
        <f>IF(OR($A10="",AV$6="",NOT(ISNUMBER($H$2))),"",SUMIFS(数据录入!$G$5:$G$4999,数据录入!$C$5:$C$4999,$A10,数据录入!$B$5:$B$4999,AV$6))</f>
        <v>50000.9</v>
      </c>
      <c r="AW10" s="85">
        <f>IF(OR($A10="",AW$6="",NOT(ISNUMBER($H$2))),"",SUMIFS(数据录入!$F$5:$F$4999,数据录入!$C$5:$C$4999,$A10,数据录入!$B$5:$B$4999,AW$6))</f>
        <v>6442.95</v>
      </c>
      <c r="AX10" s="85">
        <f>IF(OR($A10="",AX$6="",NOT(ISNUMBER($H$2))),"",SUMIFS(数据录入!$G$5:$G$4999,数据录入!$C$5:$C$4999,$A10,数据录入!$B$5:$B$4999,AX$6))</f>
        <v>0</v>
      </c>
      <c r="AY10" s="85">
        <f>IF(OR($A10="",AY$6="",NOT(ISNUMBER($H$2))),"",SUMIFS(数据录入!$F$5:$F$4999,数据录入!$C$5:$C$4999,$A10,数据录入!$B$5:$B$4999,AY$6))</f>
        <v>6494.62</v>
      </c>
      <c r="AZ10" s="85">
        <f>IF(OR($A10="",AZ$6="",NOT(ISNUMBER($H$2))),"",SUMIFS(数据录入!$G$5:$G$4999,数据录入!$C$5:$C$4999,$A10,数据录入!$B$5:$B$4999,AZ$6))</f>
        <v>16.25</v>
      </c>
      <c r="BA10" s="85">
        <f>IF(OR($A10="",BA$6="",NOT(ISNUMBER($H$2))),"",SUMIFS(数据录入!$F$5:$F$4999,数据录入!$C$5:$C$4999,$A10,数据录入!$B$5:$B$4999,BA$6))</f>
        <v>9286.7</v>
      </c>
      <c r="BB10" s="85">
        <f>IF(OR($A10="",BB$6="",NOT(ISNUMBER($H$2))),"",SUMIFS(数据录入!$G$5:$G$4999,数据录入!$C$5:$C$4999,$A10,数据录入!$B$5:$B$4999,BB$6))</f>
        <v>3886.06</v>
      </c>
      <c r="BC10" s="85">
        <f>IF(OR($A10="",BC$6="",NOT(ISNUMBER($H$2))),"",SUMIFS(数据录入!$F$5:$F$4999,数据录入!$C$5:$C$4999,$A10,数据录入!$B$5:$B$4999,BC$6))</f>
        <v>9388.54</v>
      </c>
      <c r="BD10" s="85">
        <f>IF(OR($A10="",BD$6="",NOT(ISNUMBER($H$2))),"",SUMIFS(数据录入!$G$5:$G$4999,数据录入!$C$5:$C$4999,$A10,数据录入!$B$5:$B$4999,BD$6))</f>
        <v>0</v>
      </c>
      <c r="BE10" s="85">
        <f>IF(OR($A10="",BE$6="",NOT(ISNUMBER($H$2))),"",SUMIFS(数据录入!$F$5:$F$4999,数据录入!$C$5:$C$4999,$A10,数据录入!$B$5:$B$4999,BE$6))</f>
        <v>8734.59</v>
      </c>
      <c r="BF10" s="85">
        <f>IF(OR($A10="",BF$6="",NOT(ISNUMBER($H$2))),"",SUMIFS(数据录入!$G$5:$G$4999,数据录入!$C$5:$C$4999,$A10,数据录入!$B$5:$B$4999,BF$6))</f>
        <v>3928.18</v>
      </c>
      <c r="BG10" s="85">
        <f>IF(OR($A10="",BG$6="",NOT(ISNUMBER($H$2))),"",SUMIFS(数据录入!$F$5:$F$4999,数据录入!$C$5:$C$4999,$A10,数据录入!$B$5:$B$4999,BG$6))</f>
        <v>7792.69</v>
      </c>
      <c r="BH10" s="85">
        <f>IF(OR($A10="",BH$6="",NOT(ISNUMBER($H$2))),"",SUMIFS(数据录入!$G$5:$G$4999,数据录入!$C$5:$C$4999,$A10,数据录入!$B$5:$B$4999,BH$6))</f>
        <v>0</v>
      </c>
      <c r="BI10" s="85">
        <f>IF(OR($A10="",BI$6="",NOT(ISNUMBER($H$2))),"",SUMIFS(数据录入!$F$5:$F$4999,数据录入!$C$5:$C$4999,$A10,数据录入!$B$5:$B$4999,BI$6))</f>
        <v>7862.46</v>
      </c>
      <c r="BJ10" s="85">
        <f>IF(OR($A10="",BJ$6="",NOT(ISNUMBER($H$2))),"",SUMIFS(数据录入!$G$5:$G$4999,数据录入!$C$5:$C$4999,$A10,数据录入!$B$5:$B$4999,BJ$6))</f>
        <v>0</v>
      </c>
      <c r="BK10" s="85">
        <f>IF(OR($A10="",BK$6="",NOT(ISNUMBER($H$2))),"",SUMIFS(数据录入!$F$5:$F$4999,数据录入!$C$5:$C$4999,$A10,数据录入!$B$5:$B$4999,BK$6))</f>
        <v>5853.65</v>
      </c>
      <c r="BL10" s="85">
        <f>IF(OR($A10="",BL$6="",NOT(ISNUMBER($H$2))),"",SUMIFS(数据录入!$G$5:$G$4999,数据录入!$C$5:$C$4999,$A10,数据录入!$B$5:$B$4999,BL$6))</f>
        <v>0</v>
      </c>
      <c r="BM10" s="85">
        <f t="shared" si="0"/>
        <v>408697.01</v>
      </c>
      <c r="BN10" s="85">
        <f t="shared" si="1"/>
        <v>339606.59</v>
      </c>
      <c r="BO10" s="85">
        <f t="shared" si="2"/>
        <v>69451.8</v>
      </c>
      <c r="BP10" s="85"/>
    </row>
    <row r="11" s="64" customFormat="1" ht="20" customHeight="1" spans="1:68">
      <c r="A11" s="83" t="s">
        <v>52</v>
      </c>
      <c r="B11" s="84">
        <f>IF(OR($A11="",NOT(ISNUMBER($H$2))),"",SUMIFS(数据录入!$H$5:$H$4999,数据录入!$C$5:$C$4999,$A11,数据录入!$E$5:$E$4999,"期初余额",数据录入!$B$5:$B$4999,"&lt;="&amp;$B$2)+SUMIFS(数据录入!$F$5:$F$4999,数据录入!$C$5:$C$4999,$A11,数据录入!$B$5:$B$4999,"&lt;"&amp;$B$2)-SUMIFS(数据录入!$G$5:$G$4999,数据录入!$C$5:$C$4999,$A11,数据录入!$B$5:$B$4999,"&lt;"&amp;$B$2))</f>
        <v>0</v>
      </c>
      <c r="C11" s="84">
        <f>IF(OR($A11="",C$6="",NOT(ISNUMBER($H$2))),"",SUMIFS(数据录入!$F$5:$F$4999,数据录入!$C$5:$C$4999,$A11,数据录入!$B$5:$B$4999,C$6))</f>
        <v>0</v>
      </c>
      <c r="D11" s="84">
        <f>IF(OR($A11="",D$6="",NOT(ISNUMBER($H$2))),"",SUMIFS(数据录入!$G$5:$G$4999,数据录入!$C$5:$C$4999,$A11,数据录入!$B$5:$B$4999,D$6))</f>
        <v>0</v>
      </c>
      <c r="E11" s="84">
        <f>IF(OR($A11="",E$6="",NOT(ISNUMBER($H$2))),"",SUMIFS(数据录入!$F$5:$F$4999,数据录入!$C$5:$C$4999,$A11,数据录入!$B$5:$B$4999,E$6))</f>
        <v>0</v>
      </c>
      <c r="F11" s="84">
        <f>IF(OR($A11="",F$6="",NOT(ISNUMBER($H$2))),"",SUMIFS(数据录入!$G$5:$G$4999,数据录入!$C$5:$C$4999,$A11,数据录入!$B$5:$B$4999,F$6))</f>
        <v>0</v>
      </c>
      <c r="G11" s="84">
        <f>IF(OR($A11="",G$6="",NOT(ISNUMBER($H$2))),"",SUMIFS(数据录入!$F$5:$F$4999,数据录入!$C$5:$C$4999,$A11,数据录入!$B$5:$B$4999,G$6))</f>
        <v>0</v>
      </c>
      <c r="H11" s="84">
        <f>IF(OR($A11="",H$6="",NOT(ISNUMBER($H$2))),"",SUMIFS(数据录入!$G$5:$G$4999,数据录入!$C$5:$C$4999,$A11,数据录入!$B$5:$B$4999,H$6))</f>
        <v>0</v>
      </c>
      <c r="I11" s="84">
        <f>IF(OR($A11="",I$6="",NOT(ISNUMBER($H$2))),"",SUMIFS(数据录入!$F$5:$F$4999,数据录入!$C$5:$C$4999,$A11,数据录入!$B$5:$B$4999,I$6))</f>
        <v>0</v>
      </c>
      <c r="J11" s="84">
        <f>IF(OR($A11="",J$6="",NOT(ISNUMBER($H$2))),"",SUMIFS(数据录入!$G$5:$G$4999,数据录入!$C$5:$C$4999,$A11,数据录入!$B$5:$B$4999,J$6))</f>
        <v>0</v>
      </c>
      <c r="K11" s="84">
        <f>IF(OR($A11="",K$6="",NOT(ISNUMBER($H$2))),"",SUMIFS(数据录入!$F$5:$F$4999,数据录入!$C$5:$C$4999,$A11,数据录入!$B$5:$B$4999,K$6))</f>
        <v>0</v>
      </c>
      <c r="L11" s="84">
        <f>IF(OR($A11="",L$6="",NOT(ISNUMBER($H$2))),"",SUMIFS(数据录入!$G$5:$G$4999,数据录入!$C$5:$C$4999,$A11,数据录入!$B$5:$B$4999,L$6))</f>
        <v>0</v>
      </c>
      <c r="M11" s="84">
        <f>IF(OR($A11="",M$6="",NOT(ISNUMBER($H$2))),"",SUMIFS(数据录入!$F$5:$F$4999,数据录入!$C$5:$C$4999,$A11,数据录入!$B$5:$B$4999,M$6))</f>
        <v>0</v>
      </c>
      <c r="N11" s="84">
        <f>IF(OR($A11="",N$6="",NOT(ISNUMBER($H$2))),"",SUMIFS(数据录入!$G$5:$G$4999,数据录入!$C$5:$C$4999,$A11,数据录入!$B$5:$B$4999,N$6))</f>
        <v>0</v>
      </c>
      <c r="O11" s="84">
        <f>IF(OR($A11="",O$6="",NOT(ISNUMBER($H$2))),"",SUMIFS(数据录入!$F$5:$F$4999,数据录入!$C$5:$C$4999,$A11,数据录入!$B$5:$B$4999,O$6))</f>
        <v>0</v>
      </c>
      <c r="P11" s="84">
        <f>IF(OR($A11="",P$6="",NOT(ISNUMBER($H$2))),"",SUMIFS(数据录入!$G$5:$G$4999,数据录入!$C$5:$C$4999,$A11,数据录入!$B$5:$B$4999,P$6))</f>
        <v>0</v>
      </c>
      <c r="Q11" s="84">
        <f>IF(OR($A11="",Q$6="",NOT(ISNUMBER($H$2))),"",SUMIFS(数据录入!$F$5:$F$4999,数据录入!$C$5:$C$4999,$A11,数据录入!$B$5:$B$4999,Q$6))</f>
        <v>0</v>
      </c>
      <c r="R11" s="84">
        <f>IF(OR($A11="",R$6="",NOT(ISNUMBER($H$2))),"",SUMIFS(数据录入!$G$5:$G$4999,数据录入!$C$5:$C$4999,$A11,数据录入!$B$5:$B$4999,R$6))</f>
        <v>0</v>
      </c>
      <c r="S11" s="84">
        <f>IF(OR($A11="",S$6="",NOT(ISNUMBER($H$2))),"",SUMIFS(数据录入!$F$5:$F$4999,数据录入!$C$5:$C$4999,$A11,数据录入!$B$5:$B$4999,S$6))</f>
        <v>0</v>
      </c>
      <c r="T11" s="84">
        <f>IF(OR($A11="",T$6="",NOT(ISNUMBER($H$2))),"",SUMIFS(数据录入!$G$5:$G$4999,数据录入!$C$5:$C$4999,$A11,数据录入!$B$5:$B$4999,T$6))</f>
        <v>0</v>
      </c>
      <c r="U11" s="85">
        <f>IF(OR($A11="",U$6="",NOT(ISNUMBER($H$2))),"",SUMIFS(数据录入!$F$5:$F$4999,数据录入!$C$5:$C$4999,$A11,数据录入!$B$5:$B$4999,U$6))</f>
        <v>0</v>
      </c>
      <c r="V11" s="85">
        <f>IF(OR($A11="",V$6="",NOT(ISNUMBER($H$2))),"",SUMIFS(数据录入!$G$5:$G$4999,数据录入!$C$5:$C$4999,$A11,数据录入!$B$5:$B$4999,V$6))</f>
        <v>0</v>
      </c>
      <c r="W11" s="85">
        <f>IF(OR($A11="",W$6="",NOT(ISNUMBER($H$2))),"",SUMIFS(数据录入!$F$5:$F$4999,数据录入!$C$5:$C$4999,$A11,数据录入!$B$5:$B$4999,W$6))</f>
        <v>0</v>
      </c>
      <c r="X11" s="85">
        <f>IF(OR($A11="",X$6="",NOT(ISNUMBER($H$2))),"",SUMIFS(数据录入!$G$5:$G$4999,数据录入!$C$5:$C$4999,$A11,数据录入!$B$5:$B$4999,X$6))</f>
        <v>0</v>
      </c>
      <c r="Y11" s="85">
        <f>IF(OR($A11="",Y$6="",NOT(ISNUMBER($H$2))),"",SUMIFS(数据录入!$F$5:$F$4999,数据录入!$C$5:$C$4999,$A11,数据录入!$B$5:$B$4999,Y$6))</f>
        <v>0</v>
      </c>
      <c r="Z11" s="85">
        <f>IF(OR($A11="",Z$6="",NOT(ISNUMBER($H$2))),"",SUMIFS(数据录入!$G$5:$G$4999,数据录入!$C$5:$C$4999,$A11,数据录入!$B$5:$B$4999,Z$6))</f>
        <v>0</v>
      </c>
      <c r="AA11" s="85">
        <f>IF(OR($A11="",AA$6="",NOT(ISNUMBER($H$2))),"",SUMIFS(数据录入!$F$5:$F$4999,数据录入!$C$5:$C$4999,$A11,数据录入!$B$5:$B$4999,AA$6))</f>
        <v>0</v>
      </c>
      <c r="AB11" s="85">
        <f>IF(OR($A11="",AB$6="",NOT(ISNUMBER($H$2))),"",SUMIFS(数据录入!$G$5:$G$4999,数据录入!$C$5:$C$4999,$A11,数据录入!$B$5:$B$4999,AB$6))</f>
        <v>0</v>
      </c>
      <c r="AC11" s="85">
        <f>IF(OR($A11="",AC$6="",NOT(ISNUMBER($H$2))),"",SUMIFS(数据录入!$F$5:$F$4999,数据录入!$C$5:$C$4999,$A11,数据录入!$B$5:$B$4999,AC$6))</f>
        <v>0</v>
      </c>
      <c r="AD11" s="85">
        <f>IF(OR($A11="",AD$6="",NOT(ISNUMBER($H$2))),"",SUMIFS(数据录入!$G$5:$G$4999,数据录入!$C$5:$C$4999,$A11,数据录入!$B$5:$B$4999,AD$6))</f>
        <v>0</v>
      </c>
      <c r="AE11" s="85">
        <f>IF(OR($A11="",AE$6="",NOT(ISNUMBER($H$2))),"",SUMIFS(数据录入!$F$5:$F$4999,数据录入!$C$5:$C$4999,$A11,数据录入!$B$5:$B$4999,AE$6))</f>
        <v>0</v>
      </c>
      <c r="AF11" s="85">
        <f>IF(OR($A11="",AF$6="",NOT(ISNUMBER($H$2))),"",SUMIFS(数据录入!$G$5:$G$4999,数据录入!$C$5:$C$4999,$A11,数据录入!$B$5:$B$4999,AF$6))</f>
        <v>0</v>
      </c>
      <c r="AG11" s="85">
        <f>IF(OR($A11="",AG$6="",NOT(ISNUMBER($H$2))),"",SUMIFS(数据录入!$F$5:$F$4999,数据录入!$C$5:$C$4999,$A11,数据录入!$B$5:$B$4999,AG$6))</f>
        <v>0</v>
      </c>
      <c r="AH11" s="85">
        <f>IF(OR($A11="",AH$6="",NOT(ISNUMBER($H$2))),"",SUMIFS(数据录入!$G$5:$G$4999,数据录入!$C$5:$C$4999,$A11,数据录入!$B$5:$B$4999,AH$6))</f>
        <v>0</v>
      </c>
      <c r="AI11" s="85">
        <f>IF(OR($A11="",AI$6="",NOT(ISNUMBER($H$2))),"",SUMIFS(数据录入!$F$5:$F$4999,数据录入!$C$5:$C$4999,$A11,数据录入!$B$5:$B$4999,AI$6))</f>
        <v>0</v>
      </c>
      <c r="AJ11" s="85">
        <f>IF(OR($A11="",AJ$6="",NOT(ISNUMBER($H$2))),"",SUMIFS(数据录入!$G$5:$G$4999,数据录入!$C$5:$C$4999,$A11,数据录入!$B$5:$B$4999,AJ$6))</f>
        <v>0</v>
      </c>
      <c r="AK11" s="85">
        <f>IF(OR($A11="",AK$6="",NOT(ISNUMBER($H$2))),"",SUMIFS(数据录入!$F$5:$F$4999,数据录入!$C$5:$C$4999,$A11,数据录入!$B$5:$B$4999,AK$6))</f>
        <v>0</v>
      </c>
      <c r="AL11" s="85">
        <f>IF(OR($A11="",AL$6="",NOT(ISNUMBER($H$2))),"",SUMIFS(数据录入!$G$5:$G$4999,数据录入!$C$5:$C$4999,$A11,数据录入!$B$5:$B$4999,AL$6))</f>
        <v>0</v>
      </c>
      <c r="AM11" s="85">
        <f>IF(OR($A11="",AM$6="",NOT(ISNUMBER($H$2))),"",SUMIFS(数据录入!$F$5:$F$4999,数据录入!$C$5:$C$4999,$A11,数据录入!$B$5:$B$4999,AM$6))</f>
        <v>0</v>
      </c>
      <c r="AN11" s="85">
        <f>IF(OR($A11="",AN$6="",NOT(ISNUMBER($H$2))),"",SUMIFS(数据录入!$G$5:$G$4999,数据录入!$C$5:$C$4999,$A11,数据录入!$B$5:$B$4999,AN$6))</f>
        <v>0</v>
      </c>
      <c r="AO11" s="85">
        <f>IF(OR($A11="",AO$6="",NOT(ISNUMBER($H$2))),"",SUMIFS(数据录入!$F$5:$F$4999,数据录入!$C$5:$C$4999,$A11,数据录入!$B$5:$B$4999,AO$6))</f>
        <v>0</v>
      </c>
      <c r="AP11" s="85">
        <f>IF(OR($A11="",AP$6="",NOT(ISNUMBER($H$2))),"",SUMIFS(数据录入!$G$5:$G$4999,数据录入!$C$5:$C$4999,$A11,数据录入!$B$5:$B$4999,AP$6))</f>
        <v>0</v>
      </c>
      <c r="AQ11" s="85">
        <f>IF(OR($A11="",AQ$6="",NOT(ISNUMBER($H$2))),"",SUMIFS(数据录入!$F$5:$F$4999,数据录入!$C$5:$C$4999,$A11,数据录入!$B$5:$B$4999,AQ$6))</f>
        <v>0</v>
      </c>
      <c r="AR11" s="85">
        <f>IF(OR($A11="",AR$6="",NOT(ISNUMBER($H$2))),"",SUMIFS(数据录入!$G$5:$G$4999,数据录入!$C$5:$C$4999,$A11,数据录入!$B$5:$B$4999,AR$6))</f>
        <v>0</v>
      </c>
      <c r="AS11" s="85">
        <f>IF(OR($A11="",AS$6="",NOT(ISNUMBER($H$2))),"",SUMIFS(数据录入!$F$5:$F$4999,数据录入!$C$5:$C$4999,$A11,数据录入!$B$5:$B$4999,AS$6))</f>
        <v>0</v>
      </c>
      <c r="AT11" s="85">
        <f>IF(OR($A11="",AT$6="",NOT(ISNUMBER($H$2))),"",SUMIFS(数据录入!$G$5:$G$4999,数据录入!$C$5:$C$4999,$A11,数据录入!$B$5:$B$4999,AT$6))</f>
        <v>0</v>
      </c>
      <c r="AU11" s="85">
        <f>IF(OR($A11="",AU$6="",NOT(ISNUMBER($H$2))),"",SUMIFS(数据录入!$F$5:$F$4999,数据录入!$C$5:$C$4999,$A11,数据录入!$B$5:$B$4999,AU$6))</f>
        <v>0</v>
      </c>
      <c r="AV11" s="85">
        <f>IF(OR($A11="",AV$6="",NOT(ISNUMBER($H$2))),"",SUMIFS(数据录入!$G$5:$G$4999,数据录入!$C$5:$C$4999,$A11,数据录入!$B$5:$B$4999,AV$6))</f>
        <v>0</v>
      </c>
      <c r="AW11" s="85">
        <f>IF(OR($A11="",AW$6="",NOT(ISNUMBER($H$2))),"",SUMIFS(数据录入!$F$5:$F$4999,数据录入!$C$5:$C$4999,$A11,数据录入!$B$5:$B$4999,AW$6))</f>
        <v>0</v>
      </c>
      <c r="AX11" s="85">
        <f>IF(OR($A11="",AX$6="",NOT(ISNUMBER($H$2))),"",SUMIFS(数据录入!$G$5:$G$4999,数据录入!$C$5:$C$4999,$A11,数据录入!$B$5:$B$4999,AX$6))</f>
        <v>0</v>
      </c>
      <c r="AY11" s="85">
        <f>IF(OR($A11="",AY$6="",NOT(ISNUMBER($H$2))),"",SUMIFS(数据录入!$F$5:$F$4999,数据录入!$C$5:$C$4999,$A11,数据录入!$B$5:$B$4999,AY$6))</f>
        <v>0</v>
      </c>
      <c r="AZ11" s="85">
        <f>IF(OR($A11="",AZ$6="",NOT(ISNUMBER($H$2))),"",SUMIFS(数据录入!$G$5:$G$4999,数据录入!$C$5:$C$4999,$A11,数据录入!$B$5:$B$4999,AZ$6))</f>
        <v>0</v>
      </c>
      <c r="BA11" s="85">
        <f>IF(OR($A11="",BA$6="",NOT(ISNUMBER($H$2))),"",SUMIFS(数据录入!$F$5:$F$4999,数据录入!$C$5:$C$4999,$A11,数据录入!$B$5:$B$4999,BA$6))</f>
        <v>0</v>
      </c>
      <c r="BB11" s="85">
        <f>IF(OR($A11="",BB$6="",NOT(ISNUMBER($H$2))),"",SUMIFS(数据录入!$G$5:$G$4999,数据录入!$C$5:$C$4999,$A11,数据录入!$B$5:$B$4999,BB$6))</f>
        <v>0</v>
      </c>
      <c r="BC11" s="85">
        <f>IF(OR($A11="",BC$6="",NOT(ISNUMBER($H$2))),"",SUMIFS(数据录入!$F$5:$F$4999,数据录入!$C$5:$C$4999,$A11,数据录入!$B$5:$B$4999,BC$6))</f>
        <v>0</v>
      </c>
      <c r="BD11" s="85">
        <f>IF(OR($A11="",BD$6="",NOT(ISNUMBER($H$2))),"",SUMIFS(数据录入!$G$5:$G$4999,数据录入!$C$5:$C$4999,$A11,数据录入!$B$5:$B$4999,BD$6))</f>
        <v>0</v>
      </c>
      <c r="BE11" s="85">
        <f>IF(OR($A11="",BE$6="",NOT(ISNUMBER($H$2))),"",SUMIFS(数据录入!$F$5:$F$4999,数据录入!$C$5:$C$4999,$A11,数据录入!$B$5:$B$4999,BE$6))</f>
        <v>0</v>
      </c>
      <c r="BF11" s="85">
        <f>IF(OR($A11="",BF$6="",NOT(ISNUMBER($H$2))),"",SUMIFS(数据录入!$G$5:$G$4999,数据录入!$C$5:$C$4999,$A11,数据录入!$B$5:$B$4999,BF$6))</f>
        <v>0</v>
      </c>
      <c r="BG11" s="85">
        <f>IF(OR($A11="",BG$6="",NOT(ISNUMBER($H$2))),"",SUMIFS(数据录入!$F$5:$F$4999,数据录入!$C$5:$C$4999,$A11,数据录入!$B$5:$B$4999,BG$6))</f>
        <v>0</v>
      </c>
      <c r="BH11" s="85">
        <f>IF(OR($A11="",BH$6="",NOT(ISNUMBER($H$2))),"",SUMIFS(数据录入!$G$5:$G$4999,数据录入!$C$5:$C$4999,$A11,数据录入!$B$5:$B$4999,BH$6))</f>
        <v>0</v>
      </c>
      <c r="BI11" s="85">
        <f>IF(OR($A11="",BI$6="",NOT(ISNUMBER($H$2))),"",SUMIFS(数据录入!$F$5:$F$4999,数据录入!$C$5:$C$4999,$A11,数据录入!$B$5:$B$4999,BI$6))</f>
        <v>0</v>
      </c>
      <c r="BJ11" s="85">
        <f>IF(OR($A11="",BJ$6="",NOT(ISNUMBER($H$2))),"",SUMIFS(数据录入!$G$5:$G$4999,数据录入!$C$5:$C$4999,$A11,数据录入!$B$5:$B$4999,BJ$6))</f>
        <v>0</v>
      </c>
      <c r="BK11" s="85">
        <f>IF(OR($A11="",BK$6="",NOT(ISNUMBER($H$2))),"",SUMIFS(数据录入!$F$5:$F$4999,数据录入!$C$5:$C$4999,$A11,数据录入!$B$5:$B$4999,BK$6))</f>
        <v>0</v>
      </c>
      <c r="BL11" s="85">
        <f>IF(OR($A11="",BL$6="",NOT(ISNUMBER($H$2))),"",SUMIFS(数据录入!$G$5:$G$4999,数据录入!$C$5:$C$4999,$A11,数据录入!$B$5:$B$4999,BL$6))</f>
        <v>0</v>
      </c>
      <c r="BM11" s="85">
        <f t="shared" si="0"/>
        <v>0</v>
      </c>
      <c r="BN11" s="85">
        <f t="shared" si="1"/>
        <v>0</v>
      </c>
      <c r="BO11" s="85">
        <f t="shared" si="2"/>
        <v>0</v>
      </c>
      <c r="BP11" s="85"/>
    </row>
    <row r="12" s="64" customFormat="1" ht="20" customHeight="1" spans="1:68">
      <c r="A12" s="73"/>
      <c r="B12" s="84" t="str">
        <f>IF(OR($A12="",NOT(ISNUMBER($H$2))),"",SUMIFS(数据录入!$H$5:$H$4999,数据录入!$C$5:$C$4999,$A12,数据录入!$E$5:$E$4999,"期初余额",数据录入!$B$5:$B$4999,"&lt;="&amp;$B$2)+SUMIFS(数据录入!$F$5:$F$4999,数据录入!$C$5:$C$4999,$A12,数据录入!$B$5:$B$4999,"&lt;"&amp;$B$2)-SUMIFS(数据录入!$G$5:$G$4999,数据录入!$C$5:$C$4999,$A12,数据录入!$B$5:$B$4999,"&lt;"&amp;$B$2))</f>
        <v/>
      </c>
      <c r="C12" s="84" t="str">
        <f>IF(OR($A12="",C$6="",NOT(ISNUMBER($H$2))),"",SUMIFS(数据录入!$F$5:$F$4999,数据录入!$C$5:$C$4999,$A12,数据录入!$B$5:$B$4999,C$6))</f>
        <v/>
      </c>
      <c r="D12" s="84" t="str">
        <f>IF(OR($A12="",D$6="",NOT(ISNUMBER($H$2))),"",SUMIFS(数据录入!$G$5:$G$4999,数据录入!$C$5:$C$4999,$A12,数据录入!$B$5:$B$4999,D$6))</f>
        <v/>
      </c>
      <c r="E12" s="84" t="str">
        <f>IF(OR($A12="",E$6="",NOT(ISNUMBER($H$2))),"",SUMIFS(数据录入!$F$5:$F$4999,数据录入!$C$5:$C$4999,$A12,数据录入!$B$5:$B$4999,E$6))</f>
        <v/>
      </c>
      <c r="F12" s="84" t="str">
        <f>IF(OR($A12="",F$6="",NOT(ISNUMBER($H$2))),"",SUMIFS(数据录入!$G$5:$G$4999,数据录入!$C$5:$C$4999,$A12,数据录入!$B$5:$B$4999,F$6))</f>
        <v/>
      </c>
      <c r="G12" s="84" t="str">
        <f>IF(OR($A12="",G$6="",NOT(ISNUMBER($H$2))),"",SUMIFS(数据录入!$F$5:$F$4999,数据录入!$C$5:$C$4999,$A12,数据录入!$B$5:$B$4999,G$6))</f>
        <v/>
      </c>
      <c r="H12" s="84" t="str">
        <f>IF(OR($A12="",H$6="",NOT(ISNUMBER($H$2))),"",SUMIFS(数据录入!$G$5:$G$4999,数据录入!$C$5:$C$4999,$A12,数据录入!$B$5:$B$4999,H$6))</f>
        <v/>
      </c>
      <c r="I12" s="84" t="str">
        <f>IF(OR($A12="",I$6="",NOT(ISNUMBER($H$2))),"",SUMIFS(数据录入!$F$5:$F$4999,数据录入!$C$5:$C$4999,$A12,数据录入!$B$5:$B$4999,I$6))</f>
        <v/>
      </c>
      <c r="J12" s="84" t="str">
        <f>IF(OR($A12="",J$6="",NOT(ISNUMBER($H$2))),"",SUMIFS(数据录入!$G$5:$G$4999,数据录入!$C$5:$C$4999,$A12,数据录入!$B$5:$B$4999,J$6))</f>
        <v/>
      </c>
      <c r="K12" s="84" t="str">
        <f>IF(OR($A12="",K$6="",NOT(ISNUMBER($H$2))),"",SUMIFS(数据录入!$F$5:$F$4999,数据录入!$C$5:$C$4999,$A12,数据录入!$B$5:$B$4999,K$6))</f>
        <v/>
      </c>
      <c r="L12" s="84" t="str">
        <f>IF(OR($A12="",L$6="",NOT(ISNUMBER($H$2))),"",SUMIFS(数据录入!$G$5:$G$4999,数据录入!$C$5:$C$4999,$A12,数据录入!$B$5:$B$4999,L$6))</f>
        <v/>
      </c>
      <c r="M12" s="84" t="str">
        <f>IF(OR($A12="",M$6="",NOT(ISNUMBER($H$2))),"",SUMIFS(数据录入!$F$5:$F$4999,数据录入!$C$5:$C$4999,$A12,数据录入!$B$5:$B$4999,M$6))</f>
        <v/>
      </c>
      <c r="N12" s="84" t="str">
        <f>IF(OR($A12="",N$6="",NOT(ISNUMBER($H$2))),"",SUMIFS(数据录入!$G$5:$G$4999,数据录入!$C$5:$C$4999,$A12,数据录入!$B$5:$B$4999,N$6))</f>
        <v/>
      </c>
      <c r="O12" s="84" t="str">
        <f>IF(OR($A12="",O$6="",NOT(ISNUMBER($H$2))),"",SUMIFS(数据录入!$F$5:$F$4999,数据录入!$C$5:$C$4999,$A12,数据录入!$B$5:$B$4999,O$6))</f>
        <v/>
      </c>
      <c r="P12" s="84" t="str">
        <f>IF(OR($A12="",P$6="",NOT(ISNUMBER($H$2))),"",SUMIFS(数据录入!$G$5:$G$4999,数据录入!$C$5:$C$4999,$A12,数据录入!$B$5:$B$4999,P$6))</f>
        <v/>
      </c>
      <c r="Q12" s="84" t="str">
        <f>IF(OR($A12="",Q$6="",NOT(ISNUMBER($H$2))),"",SUMIFS(数据录入!$F$5:$F$4999,数据录入!$C$5:$C$4999,$A12,数据录入!$B$5:$B$4999,Q$6))</f>
        <v/>
      </c>
      <c r="R12" s="84" t="str">
        <f>IF(OR($A12="",R$6="",NOT(ISNUMBER($H$2))),"",SUMIFS(数据录入!$G$5:$G$4999,数据录入!$C$5:$C$4999,$A12,数据录入!$B$5:$B$4999,R$6))</f>
        <v/>
      </c>
      <c r="S12" s="84" t="str">
        <f>IF(OR($A12="",S$6="",NOT(ISNUMBER($H$2))),"",SUMIFS(数据录入!$F$5:$F$4999,数据录入!$C$5:$C$4999,$A12,数据录入!$B$5:$B$4999,S$6))</f>
        <v/>
      </c>
      <c r="T12" s="84" t="str">
        <f>IF(OR($A12="",T$6="",NOT(ISNUMBER($H$2))),"",SUMIFS(数据录入!$G$5:$G$4999,数据录入!$C$5:$C$4999,$A12,数据录入!$B$5:$B$4999,T$6))</f>
        <v/>
      </c>
      <c r="U12" s="85" t="str">
        <f>IF(OR($A12="",U$6="",NOT(ISNUMBER($H$2))),"",SUMIFS(数据录入!$F$5:$F$4999,数据录入!$C$5:$C$4999,$A12,数据录入!$B$5:$B$4999,U$6))</f>
        <v/>
      </c>
      <c r="V12" s="85" t="str">
        <f>IF(OR($A12="",V$6="",NOT(ISNUMBER($H$2))),"",SUMIFS(数据录入!$G$5:$G$4999,数据录入!$C$5:$C$4999,$A12,数据录入!$B$5:$B$4999,V$6))</f>
        <v/>
      </c>
      <c r="W12" s="85" t="str">
        <f>IF(OR($A12="",W$6="",NOT(ISNUMBER($H$2))),"",SUMIFS(数据录入!$F$5:$F$4999,数据录入!$C$5:$C$4999,$A12,数据录入!$B$5:$B$4999,W$6))</f>
        <v/>
      </c>
      <c r="X12" s="85" t="str">
        <f>IF(OR($A12="",X$6="",NOT(ISNUMBER($H$2))),"",SUMIFS(数据录入!$G$5:$G$4999,数据录入!$C$5:$C$4999,$A12,数据录入!$B$5:$B$4999,X$6))</f>
        <v/>
      </c>
      <c r="Y12" s="85" t="str">
        <f>IF(OR($A12="",Y$6="",NOT(ISNUMBER($H$2))),"",SUMIFS(数据录入!$F$5:$F$4999,数据录入!$C$5:$C$4999,$A12,数据录入!$B$5:$B$4999,Y$6))</f>
        <v/>
      </c>
      <c r="Z12" s="85" t="str">
        <f>IF(OR($A12="",Z$6="",NOT(ISNUMBER($H$2))),"",SUMIFS(数据录入!$G$5:$G$4999,数据录入!$C$5:$C$4999,$A12,数据录入!$B$5:$B$4999,Z$6))</f>
        <v/>
      </c>
      <c r="AA12" s="85" t="str">
        <f>IF(OR($A12="",AA$6="",NOT(ISNUMBER($H$2))),"",SUMIFS(数据录入!$F$5:$F$4999,数据录入!$C$5:$C$4999,$A12,数据录入!$B$5:$B$4999,AA$6))</f>
        <v/>
      </c>
      <c r="AB12" s="85" t="str">
        <f>IF(OR($A12="",AB$6="",NOT(ISNUMBER($H$2))),"",SUMIFS(数据录入!$G$5:$G$4999,数据录入!$C$5:$C$4999,$A12,数据录入!$B$5:$B$4999,AB$6))</f>
        <v/>
      </c>
      <c r="AC12" s="85" t="str">
        <f>IF(OR($A12="",AC$6="",NOT(ISNUMBER($H$2))),"",SUMIFS(数据录入!$F$5:$F$4999,数据录入!$C$5:$C$4999,$A12,数据录入!$B$5:$B$4999,AC$6))</f>
        <v/>
      </c>
      <c r="AD12" s="85" t="str">
        <f>IF(OR($A12="",AD$6="",NOT(ISNUMBER($H$2))),"",SUMIFS(数据录入!$G$5:$G$4999,数据录入!$C$5:$C$4999,$A12,数据录入!$B$5:$B$4999,AD$6))</f>
        <v/>
      </c>
      <c r="AE12" s="85" t="str">
        <f>IF(OR($A12="",AE$6="",NOT(ISNUMBER($H$2))),"",SUMIFS(数据录入!$F$5:$F$4999,数据录入!$C$5:$C$4999,$A12,数据录入!$B$5:$B$4999,AE$6))</f>
        <v/>
      </c>
      <c r="AF12" s="85" t="str">
        <f>IF(OR($A12="",AF$6="",NOT(ISNUMBER($H$2))),"",SUMIFS(数据录入!$G$5:$G$4999,数据录入!$C$5:$C$4999,$A12,数据录入!$B$5:$B$4999,AF$6))</f>
        <v/>
      </c>
      <c r="AG12" s="85" t="str">
        <f>IF(OR($A12="",AG$6="",NOT(ISNUMBER($H$2))),"",SUMIFS(数据录入!$F$5:$F$4999,数据录入!$C$5:$C$4999,$A12,数据录入!$B$5:$B$4999,AG$6))</f>
        <v/>
      </c>
      <c r="AH12" s="85" t="str">
        <f>IF(OR($A12="",AH$6="",NOT(ISNUMBER($H$2))),"",SUMIFS(数据录入!$G$5:$G$4999,数据录入!$C$5:$C$4999,$A12,数据录入!$B$5:$B$4999,AH$6))</f>
        <v/>
      </c>
      <c r="AI12" s="85" t="str">
        <f>IF(OR($A12="",AI$6="",NOT(ISNUMBER($H$2))),"",SUMIFS(数据录入!$F$5:$F$4999,数据录入!$C$5:$C$4999,$A12,数据录入!$B$5:$B$4999,AI$6))</f>
        <v/>
      </c>
      <c r="AJ12" s="85" t="str">
        <f>IF(OR($A12="",AJ$6="",NOT(ISNUMBER($H$2))),"",SUMIFS(数据录入!$G$5:$G$4999,数据录入!$C$5:$C$4999,$A12,数据录入!$B$5:$B$4999,AJ$6))</f>
        <v/>
      </c>
      <c r="AK12" s="85" t="str">
        <f>IF(OR($A12="",AK$6="",NOT(ISNUMBER($H$2))),"",SUMIFS(数据录入!$F$5:$F$4999,数据录入!$C$5:$C$4999,$A12,数据录入!$B$5:$B$4999,AK$6))</f>
        <v/>
      </c>
      <c r="AL12" s="85" t="str">
        <f>IF(OR($A12="",AL$6="",NOT(ISNUMBER($H$2))),"",SUMIFS(数据录入!$G$5:$G$4999,数据录入!$C$5:$C$4999,$A12,数据录入!$B$5:$B$4999,AL$6))</f>
        <v/>
      </c>
      <c r="AM12" s="85" t="str">
        <f>IF(OR($A12="",AM$6="",NOT(ISNUMBER($H$2))),"",SUMIFS(数据录入!$F$5:$F$4999,数据录入!$C$5:$C$4999,$A12,数据录入!$B$5:$B$4999,AM$6))</f>
        <v/>
      </c>
      <c r="AN12" s="85" t="str">
        <f>IF(OR($A12="",AN$6="",NOT(ISNUMBER($H$2))),"",SUMIFS(数据录入!$G$5:$G$4999,数据录入!$C$5:$C$4999,$A12,数据录入!$B$5:$B$4999,AN$6))</f>
        <v/>
      </c>
      <c r="AO12" s="85" t="str">
        <f>IF(OR($A12="",AO$6="",NOT(ISNUMBER($H$2))),"",SUMIFS(数据录入!$F$5:$F$4999,数据录入!$C$5:$C$4999,$A12,数据录入!$B$5:$B$4999,AO$6))</f>
        <v/>
      </c>
      <c r="AP12" s="85" t="str">
        <f>IF(OR($A12="",AP$6="",NOT(ISNUMBER($H$2))),"",SUMIFS(数据录入!$G$5:$G$4999,数据录入!$C$5:$C$4999,$A12,数据录入!$B$5:$B$4999,AP$6))</f>
        <v/>
      </c>
      <c r="AQ12" s="85" t="str">
        <f>IF(OR($A12="",AQ$6="",NOT(ISNUMBER($H$2))),"",SUMIFS(数据录入!$F$5:$F$4999,数据录入!$C$5:$C$4999,$A12,数据录入!$B$5:$B$4999,AQ$6))</f>
        <v/>
      </c>
      <c r="AR12" s="85" t="str">
        <f>IF(OR($A12="",AR$6="",NOT(ISNUMBER($H$2))),"",SUMIFS(数据录入!$G$5:$G$4999,数据录入!$C$5:$C$4999,$A12,数据录入!$B$5:$B$4999,AR$6))</f>
        <v/>
      </c>
      <c r="AS12" s="85" t="str">
        <f>IF(OR($A12="",AS$6="",NOT(ISNUMBER($H$2))),"",SUMIFS(数据录入!$F$5:$F$4999,数据录入!$C$5:$C$4999,$A12,数据录入!$B$5:$B$4999,AS$6))</f>
        <v/>
      </c>
      <c r="AT12" s="85" t="str">
        <f>IF(OR($A12="",AT$6="",NOT(ISNUMBER($H$2))),"",SUMIFS(数据录入!$G$5:$G$4999,数据录入!$C$5:$C$4999,$A12,数据录入!$B$5:$B$4999,AT$6))</f>
        <v/>
      </c>
      <c r="AU12" s="85" t="str">
        <f>IF(OR($A12="",AU$6="",NOT(ISNUMBER($H$2))),"",SUMIFS(数据录入!$F$5:$F$4999,数据录入!$C$5:$C$4999,$A12,数据录入!$B$5:$B$4999,AU$6))</f>
        <v/>
      </c>
      <c r="AV12" s="85" t="str">
        <f>IF(OR($A12="",AV$6="",NOT(ISNUMBER($H$2))),"",SUMIFS(数据录入!$G$5:$G$4999,数据录入!$C$5:$C$4999,$A12,数据录入!$B$5:$B$4999,AV$6))</f>
        <v/>
      </c>
      <c r="AW12" s="85" t="str">
        <f>IF(OR($A12="",AW$6="",NOT(ISNUMBER($H$2))),"",SUMIFS(数据录入!$F$5:$F$4999,数据录入!$C$5:$C$4999,$A12,数据录入!$B$5:$B$4999,AW$6))</f>
        <v/>
      </c>
      <c r="AX12" s="85" t="str">
        <f>IF(OR($A12="",AX$6="",NOT(ISNUMBER($H$2))),"",SUMIFS(数据录入!$G$5:$G$4999,数据录入!$C$5:$C$4999,$A12,数据录入!$B$5:$B$4999,AX$6))</f>
        <v/>
      </c>
      <c r="AY12" s="85" t="str">
        <f>IF(OR($A12="",AY$6="",NOT(ISNUMBER($H$2))),"",SUMIFS(数据录入!$F$5:$F$4999,数据录入!$C$5:$C$4999,$A12,数据录入!$B$5:$B$4999,AY$6))</f>
        <v/>
      </c>
      <c r="AZ12" s="85" t="str">
        <f>IF(OR($A12="",AZ$6="",NOT(ISNUMBER($H$2))),"",SUMIFS(数据录入!$G$5:$G$4999,数据录入!$C$5:$C$4999,$A12,数据录入!$B$5:$B$4999,AZ$6))</f>
        <v/>
      </c>
      <c r="BA12" s="85" t="str">
        <f>IF(OR($A12="",BA$6="",NOT(ISNUMBER($H$2))),"",SUMIFS(数据录入!$F$5:$F$4999,数据录入!$C$5:$C$4999,$A12,数据录入!$B$5:$B$4999,BA$6))</f>
        <v/>
      </c>
      <c r="BB12" s="85" t="str">
        <f>IF(OR($A12="",BB$6="",NOT(ISNUMBER($H$2))),"",SUMIFS(数据录入!$G$5:$G$4999,数据录入!$C$5:$C$4999,$A12,数据录入!$B$5:$B$4999,BB$6))</f>
        <v/>
      </c>
      <c r="BC12" s="85" t="str">
        <f>IF(OR($A12="",BC$6="",NOT(ISNUMBER($H$2))),"",SUMIFS(数据录入!$F$5:$F$4999,数据录入!$C$5:$C$4999,$A12,数据录入!$B$5:$B$4999,BC$6))</f>
        <v/>
      </c>
      <c r="BD12" s="85" t="str">
        <f>IF(OR($A12="",BD$6="",NOT(ISNUMBER($H$2))),"",SUMIFS(数据录入!$G$5:$G$4999,数据录入!$C$5:$C$4999,$A12,数据录入!$B$5:$B$4999,BD$6))</f>
        <v/>
      </c>
      <c r="BE12" s="85" t="str">
        <f>IF(OR($A12="",BE$6="",NOT(ISNUMBER($H$2))),"",SUMIFS(数据录入!$F$5:$F$4999,数据录入!$C$5:$C$4999,$A12,数据录入!$B$5:$B$4999,BE$6))</f>
        <v/>
      </c>
      <c r="BF12" s="85" t="str">
        <f>IF(OR($A12="",BF$6="",NOT(ISNUMBER($H$2))),"",SUMIFS(数据录入!$G$5:$G$4999,数据录入!$C$5:$C$4999,$A12,数据录入!$B$5:$B$4999,BF$6))</f>
        <v/>
      </c>
      <c r="BG12" s="85" t="str">
        <f>IF(OR($A12="",BG$6="",NOT(ISNUMBER($H$2))),"",SUMIFS(数据录入!$F$5:$F$4999,数据录入!$C$5:$C$4999,$A12,数据录入!$B$5:$B$4999,BG$6))</f>
        <v/>
      </c>
      <c r="BH12" s="85" t="str">
        <f>IF(OR($A12="",BH$6="",NOT(ISNUMBER($H$2))),"",SUMIFS(数据录入!$G$5:$G$4999,数据录入!$C$5:$C$4999,$A12,数据录入!$B$5:$B$4999,BH$6))</f>
        <v/>
      </c>
      <c r="BI12" s="85" t="str">
        <f>IF(OR($A12="",BI$6="",NOT(ISNUMBER($H$2))),"",SUMIFS(数据录入!$F$5:$F$4999,数据录入!$C$5:$C$4999,$A12,数据录入!$B$5:$B$4999,BI$6))</f>
        <v/>
      </c>
      <c r="BJ12" s="85" t="str">
        <f>IF(OR($A12="",BJ$6="",NOT(ISNUMBER($H$2))),"",SUMIFS(数据录入!$G$5:$G$4999,数据录入!$C$5:$C$4999,$A12,数据录入!$B$5:$B$4999,BJ$6))</f>
        <v/>
      </c>
      <c r="BK12" s="85" t="str">
        <f>IF(OR($A12="",BK$6="",NOT(ISNUMBER($H$2))),"",SUMIFS(数据录入!$F$5:$F$4999,数据录入!$C$5:$C$4999,$A12,数据录入!$B$5:$B$4999,BK$6))</f>
        <v/>
      </c>
      <c r="BL12" s="85" t="str">
        <f>IF(OR($A12="",BL$6="",NOT(ISNUMBER($H$2))),"",SUMIFS(数据录入!$G$5:$G$4999,数据录入!$C$5:$C$4999,$A12,数据录入!$B$5:$B$4999,BL$6))</f>
        <v/>
      </c>
      <c r="BM12" s="85" t="str">
        <f t="shared" si="0"/>
        <v/>
      </c>
      <c r="BN12" s="85" t="str">
        <f t="shared" si="1"/>
        <v/>
      </c>
      <c r="BO12" s="85" t="str">
        <f t="shared" si="2"/>
        <v/>
      </c>
      <c r="BP12" s="85"/>
    </row>
    <row r="13" s="64" customFormat="1" ht="20" customHeight="1" spans="1:68">
      <c r="A13" s="73"/>
      <c r="B13" s="84" t="str">
        <f>IF(OR($A13="",NOT(ISNUMBER($H$2))),"",SUMIFS(数据录入!$H$5:$H$4999,数据录入!$C$5:$C$4999,$A13,数据录入!$E$5:$E$4999,"期初余额",数据录入!$B$5:$B$4999,"&lt;="&amp;$B$2)+SUMIFS(数据录入!$F$5:$F$4999,数据录入!$C$5:$C$4999,$A13,数据录入!$B$5:$B$4999,"&lt;"&amp;$B$2)-SUMIFS(数据录入!$G$5:$G$4999,数据录入!$C$5:$C$4999,$A13,数据录入!$B$5:$B$4999,"&lt;"&amp;$B$2))</f>
        <v/>
      </c>
      <c r="C13" s="84" t="str">
        <f>IF(OR($A13="",C$6="",NOT(ISNUMBER($H$2))),"",SUMIFS(数据录入!$F$5:$F$4999,数据录入!$C$5:$C$4999,$A13,数据录入!$B$5:$B$4999,C$6))</f>
        <v/>
      </c>
      <c r="D13" s="84" t="str">
        <f>IF(OR($A13="",D$6="",NOT(ISNUMBER($H$2))),"",SUMIFS(数据录入!$G$5:$G$4999,数据录入!$C$5:$C$4999,$A13,数据录入!$B$5:$B$4999,D$6))</f>
        <v/>
      </c>
      <c r="E13" s="84" t="str">
        <f>IF(OR($A13="",E$6="",NOT(ISNUMBER($H$2))),"",SUMIFS(数据录入!$F$5:$F$4999,数据录入!$C$5:$C$4999,$A13,数据录入!$B$5:$B$4999,E$6))</f>
        <v/>
      </c>
      <c r="F13" s="84" t="str">
        <f>IF(OR($A13="",F$6="",NOT(ISNUMBER($H$2))),"",SUMIFS(数据录入!$G$5:$G$4999,数据录入!$C$5:$C$4999,$A13,数据录入!$B$5:$B$4999,F$6))</f>
        <v/>
      </c>
      <c r="G13" s="84" t="str">
        <f>IF(OR($A13="",G$6="",NOT(ISNUMBER($H$2))),"",SUMIFS(数据录入!$F$5:$F$4999,数据录入!$C$5:$C$4999,$A13,数据录入!$B$5:$B$4999,G$6))</f>
        <v/>
      </c>
      <c r="H13" s="84" t="str">
        <f>IF(OR($A13="",H$6="",NOT(ISNUMBER($H$2))),"",SUMIFS(数据录入!$G$5:$G$4999,数据录入!$C$5:$C$4999,$A13,数据录入!$B$5:$B$4999,H$6))</f>
        <v/>
      </c>
      <c r="I13" s="84" t="str">
        <f>IF(OR($A13="",I$6="",NOT(ISNUMBER($H$2))),"",SUMIFS(数据录入!$F$5:$F$4999,数据录入!$C$5:$C$4999,$A13,数据录入!$B$5:$B$4999,I$6))</f>
        <v/>
      </c>
      <c r="J13" s="84" t="str">
        <f>IF(OR($A13="",J$6="",NOT(ISNUMBER($H$2))),"",SUMIFS(数据录入!$G$5:$G$4999,数据录入!$C$5:$C$4999,$A13,数据录入!$B$5:$B$4999,J$6))</f>
        <v/>
      </c>
      <c r="K13" s="84" t="str">
        <f>IF(OR($A13="",K$6="",NOT(ISNUMBER($H$2))),"",SUMIFS(数据录入!$F$5:$F$4999,数据录入!$C$5:$C$4999,$A13,数据录入!$B$5:$B$4999,K$6))</f>
        <v/>
      </c>
      <c r="L13" s="84" t="str">
        <f>IF(OR($A13="",L$6="",NOT(ISNUMBER($H$2))),"",SUMIFS(数据录入!$G$5:$G$4999,数据录入!$C$5:$C$4999,$A13,数据录入!$B$5:$B$4999,L$6))</f>
        <v/>
      </c>
      <c r="M13" s="84" t="str">
        <f>IF(OR($A13="",M$6="",NOT(ISNUMBER($H$2))),"",SUMIFS(数据录入!$F$5:$F$4999,数据录入!$C$5:$C$4999,$A13,数据录入!$B$5:$B$4999,M$6))</f>
        <v/>
      </c>
      <c r="N13" s="84" t="str">
        <f>IF(OR($A13="",N$6="",NOT(ISNUMBER($H$2))),"",SUMIFS(数据录入!$G$5:$G$4999,数据录入!$C$5:$C$4999,$A13,数据录入!$B$5:$B$4999,N$6))</f>
        <v/>
      </c>
      <c r="O13" s="84" t="str">
        <f>IF(OR($A13="",O$6="",NOT(ISNUMBER($H$2))),"",SUMIFS(数据录入!$F$5:$F$4999,数据录入!$C$5:$C$4999,$A13,数据录入!$B$5:$B$4999,O$6))</f>
        <v/>
      </c>
      <c r="P13" s="84" t="str">
        <f>IF(OR($A13="",P$6="",NOT(ISNUMBER($H$2))),"",SUMIFS(数据录入!$G$5:$G$4999,数据录入!$C$5:$C$4999,$A13,数据录入!$B$5:$B$4999,P$6))</f>
        <v/>
      </c>
      <c r="Q13" s="84" t="str">
        <f>IF(OR($A13="",Q$6="",NOT(ISNUMBER($H$2))),"",SUMIFS(数据录入!$F$5:$F$4999,数据录入!$C$5:$C$4999,$A13,数据录入!$B$5:$B$4999,Q$6))</f>
        <v/>
      </c>
      <c r="R13" s="84" t="str">
        <f>IF(OR($A13="",R$6="",NOT(ISNUMBER($H$2))),"",SUMIFS(数据录入!$G$5:$G$4999,数据录入!$C$5:$C$4999,$A13,数据录入!$B$5:$B$4999,R$6))</f>
        <v/>
      </c>
      <c r="S13" s="84" t="str">
        <f>IF(OR($A13="",S$6="",NOT(ISNUMBER($H$2))),"",SUMIFS(数据录入!$F$5:$F$4999,数据录入!$C$5:$C$4999,$A13,数据录入!$B$5:$B$4999,S$6))</f>
        <v/>
      </c>
      <c r="T13" s="84" t="str">
        <f>IF(OR($A13="",T$6="",NOT(ISNUMBER($H$2))),"",SUMIFS(数据录入!$G$5:$G$4999,数据录入!$C$5:$C$4999,$A13,数据录入!$B$5:$B$4999,T$6))</f>
        <v/>
      </c>
      <c r="U13" s="85" t="str">
        <f>IF(OR($A13="",U$6="",NOT(ISNUMBER($H$2))),"",SUMIFS(数据录入!$F$5:$F$4999,数据录入!$C$5:$C$4999,$A13,数据录入!$B$5:$B$4999,U$6))</f>
        <v/>
      </c>
      <c r="V13" s="85" t="str">
        <f>IF(OR($A13="",V$6="",NOT(ISNUMBER($H$2))),"",SUMIFS(数据录入!$G$5:$G$4999,数据录入!$C$5:$C$4999,$A13,数据录入!$B$5:$B$4999,V$6))</f>
        <v/>
      </c>
      <c r="W13" s="85" t="str">
        <f>IF(OR($A13="",W$6="",NOT(ISNUMBER($H$2))),"",SUMIFS(数据录入!$F$5:$F$4999,数据录入!$C$5:$C$4999,$A13,数据录入!$B$5:$B$4999,W$6))</f>
        <v/>
      </c>
      <c r="X13" s="85" t="str">
        <f>IF(OR($A13="",X$6="",NOT(ISNUMBER($H$2))),"",SUMIFS(数据录入!$G$5:$G$4999,数据录入!$C$5:$C$4999,$A13,数据录入!$B$5:$B$4999,X$6))</f>
        <v/>
      </c>
      <c r="Y13" s="85" t="str">
        <f>IF(OR($A13="",Y$6="",NOT(ISNUMBER($H$2))),"",SUMIFS(数据录入!$F$5:$F$4999,数据录入!$C$5:$C$4999,$A13,数据录入!$B$5:$B$4999,Y$6))</f>
        <v/>
      </c>
      <c r="Z13" s="85" t="str">
        <f>IF(OR($A13="",Z$6="",NOT(ISNUMBER($H$2))),"",SUMIFS(数据录入!$G$5:$G$4999,数据录入!$C$5:$C$4999,$A13,数据录入!$B$5:$B$4999,Z$6))</f>
        <v/>
      </c>
      <c r="AA13" s="85" t="str">
        <f>IF(OR($A13="",AA$6="",NOT(ISNUMBER($H$2))),"",SUMIFS(数据录入!$F$5:$F$4999,数据录入!$C$5:$C$4999,$A13,数据录入!$B$5:$B$4999,AA$6))</f>
        <v/>
      </c>
      <c r="AB13" s="85" t="str">
        <f>IF(OR($A13="",AB$6="",NOT(ISNUMBER($H$2))),"",SUMIFS(数据录入!$G$5:$G$4999,数据录入!$C$5:$C$4999,$A13,数据录入!$B$5:$B$4999,AB$6))</f>
        <v/>
      </c>
      <c r="AC13" s="85" t="str">
        <f>IF(OR($A13="",AC$6="",NOT(ISNUMBER($H$2))),"",SUMIFS(数据录入!$F$5:$F$4999,数据录入!$C$5:$C$4999,$A13,数据录入!$B$5:$B$4999,AC$6))</f>
        <v/>
      </c>
      <c r="AD13" s="85" t="str">
        <f>IF(OR($A13="",AD$6="",NOT(ISNUMBER($H$2))),"",SUMIFS(数据录入!$G$5:$G$4999,数据录入!$C$5:$C$4999,$A13,数据录入!$B$5:$B$4999,AD$6))</f>
        <v/>
      </c>
      <c r="AE13" s="85" t="str">
        <f>IF(OR($A13="",AE$6="",NOT(ISNUMBER($H$2))),"",SUMIFS(数据录入!$F$5:$F$4999,数据录入!$C$5:$C$4999,$A13,数据录入!$B$5:$B$4999,AE$6))</f>
        <v/>
      </c>
      <c r="AF13" s="85" t="str">
        <f>IF(OR($A13="",AF$6="",NOT(ISNUMBER($H$2))),"",SUMIFS(数据录入!$G$5:$G$4999,数据录入!$C$5:$C$4999,$A13,数据录入!$B$5:$B$4999,AF$6))</f>
        <v/>
      </c>
      <c r="AG13" s="85" t="str">
        <f>IF(OR($A13="",AG$6="",NOT(ISNUMBER($H$2))),"",SUMIFS(数据录入!$F$5:$F$4999,数据录入!$C$5:$C$4999,$A13,数据录入!$B$5:$B$4999,AG$6))</f>
        <v/>
      </c>
      <c r="AH13" s="85" t="str">
        <f>IF(OR($A13="",AH$6="",NOT(ISNUMBER($H$2))),"",SUMIFS(数据录入!$G$5:$G$4999,数据录入!$C$5:$C$4999,$A13,数据录入!$B$5:$B$4999,AH$6))</f>
        <v/>
      </c>
      <c r="AI13" s="85" t="str">
        <f>IF(OR($A13="",AI$6="",NOT(ISNUMBER($H$2))),"",SUMIFS(数据录入!$F$5:$F$4999,数据录入!$C$5:$C$4999,$A13,数据录入!$B$5:$B$4999,AI$6))</f>
        <v/>
      </c>
      <c r="AJ13" s="85" t="str">
        <f>IF(OR($A13="",AJ$6="",NOT(ISNUMBER($H$2))),"",SUMIFS(数据录入!$G$5:$G$4999,数据录入!$C$5:$C$4999,$A13,数据录入!$B$5:$B$4999,AJ$6))</f>
        <v/>
      </c>
      <c r="AK13" s="85" t="str">
        <f>IF(OR($A13="",AK$6="",NOT(ISNUMBER($H$2))),"",SUMIFS(数据录入!$F$5:$F$4999,数据录入!$C$5:$C$4999,$A13,数据录入!$B$5:$B$4999,AK$6))</f>
        <v/>
      </c>
      <c r="AL13" s="85" t="str">
        <f>IF(OR($A13="",AL$6="",NOT(ISNUMBER($H$2))),"",SUMIFS(数据录入!$G$5:$G$4999,数据录入!$C$5:$C$4999,$A13,数据录入!$B$5:$B$4999,AL$6))</f>
        <v/>
      </c>
      <c r="AM13" s="85" t="str">
        <f>IF(OR($A13="",AM$6="",NOT(ISNUMBER($H$2))),"",SUMIFS(数据录入!$F$5:$F$4999,数据录入!$C$5:$C$4999,$A13,数据录入!$B$5:$B$4999,AM$6))</f>
        <v/>
      </c>
      <c r="AN13" s="85" t="str">
        <f>IF(OR($A13="",AN$6="",NOT(ISNUMBER($H$2))),"",SUMIFS(数据录入!$G$5:$G$4999,数据录入!$C$5:$C$4999,$A13,数据录入!$B$5:$B$4999,AN$6))</f>
        <v/>
      </c>
      <c r="AO13" s="85" t="str">
        <f>IF(OR($A13="",AO$6="",NOT(ISNUMBER($H$2))),"",SUMIFS(数据录入!$F$5:$F$4999,数据录入!$C$5:$C$4999,$A13,数据录入!$B$5:$B$4999,AO$6))</f>
        <v/>
      </c>
      <c r="AP13" s="85" t="str">
        <f>IF(OR($A13="",AP$6="",NOT(ISNUMBER($H$2))),"",SUMIFS(数据录入!$G$5:$G$4999,数据录入!$C$5:$C$4999,$A13,数据录入!$B$5:$B$4999,AP$6))</f>
        <v/>
      </c>
      <c r="AQ13" s="85" t="str">
        <f>IF(OR($A13="",AQ$6="",NOT(ISNUMBER($H$2))),"",SUMIFS(数据录入!$F$5:$F$4999,数据录入!$C$5:$C$4999,$A13,数据录入!$B$5:$B$4999,AQ$6))</f>
        <v/>
      </c>
      <c r="AR13" s="85" t="str">
        <f>IF(OR($A13="",AR$6="",NOT(ISNUMBER($H$2))),"",SUMIFS(数据录入!$G$5:$G$4999,数据录入!$C$5:$C$4999,$A13,数据录入!$B$5:$B$4999,AR$6))</f>
        <v/>
      </c>
      <c r="AS13" s="85" t="str">
        <f>IF(OR($A13="",AS$6="",NOT(ISNUMBER($H$2))),"",SUMIFS(数据录入!$F$5:$F$4999,数据录入!$C$5:$C$4999,$A13,数据录入!$B$5:$B$4999,AS$6))</f>
        <v/>
      </c>
      <c r="AT13" s="85" t="str">
        <f>IF(OR($A13="",AT$6="",NOT(ISNUMBER($H$2))),"",SUMIFS(数据录入!$G$5:$G$4999,数据录入!$C$5:$C$4999,$A13,数据录入!$B$5:$B$4999,AT$6))</f>
        <v/>
      </c>
      <c r="AU13" s="85" t="str">
        <f>IF(OR($A13="",AU$6="",NOT(ISNUMBER($H$2))),"",SUMIFS(数据录入!$F$5:$F$4999,数据录入!$C$5:$C$4999,$A13,数据录入!$B$5:$B$4999,AU$6))</f>
        <v/>
      </c>
      <c r="AV13" s="85" t="str">
        <f>IF(OR($A13="",AV$6="",NOT(ISNUMBER($H$2))),"",SUMIFS(数据录入!$G$5:$G$4999,数据录入!$C$5:$C$4999,$A13,数据录入!$B$5:$B$4999,AV$6))</f>
        <v/>
      </c>
      <c r="AW13" s="85" t="str">
        <f>IF(OR($A13="",AW$6="",NOT(ISNUMBER($H$2))),"",SUMIFS(数据录入!$F$5:$F$4999,数据录入!$C$5:$C$4999,$A13,数据录入!$B$5:$B$4999,AW$6))</f>
        <v/>
      </c>
      <c r="AX13" s="85" t="str">
        <f>IF(OR($A13="",AX$6="",NOT(ISNUMBER($H$2))),"",SUMIFS(数据录入!$G$5:$G$4999,数据录入!$C$5:$C$4999,$A13,数据录入!$B$5:$B$4999,AX$6))</f>
        <v/>
      </c>
      <c r="AY13" s="85" t="str">
        <f>IF(OR($A13="",AY$6="",NOT(ISNUMBER($H$2))),"",SUMIFS(数据录入!$F$5:$F$4999,数据录入!$C$5:$C$4999,$A13,数据录入!$B$5:$B$4999,AY$6))</f>
        <v/>
      </c>
      <c r="AZ13" s="85" t="str">
        <f>IF(OR($A13="",AZ$6="",NOT(ISNUMBER($H$2))),"",SUMIFS(数据录入!$G$5:$G$4999,数据录入!$C$5:$C$4999,$A13,数据录入!$B$5:$B$4999,AZ$6))</f>
        <v/>
      </c>
      <c r="BA13" s="85" t="str">
        <f>IF(OR($A13="",BA$6="",NOT(ISNUMBER($H$2))),"",SUMIFS(数据录入!$F$5:$F$4999,数据录入!$C$5:$C$4999,$A13,数据录入!$B$5:$B$4999,BA$6))</f>
        <v/>
      </c>
      <c r="BB13" s="85" t="str">
        <f>IF(OR($A13="",BB$6="",NOT(ISNUMBER($H$2))),"",SUMIFS(数据录入!$G$5:$G$4999,数据录入!$C$5:$C$4999,$A13,数据录入!$B$5:$B$4999,BB$6))</f>
        <v/>
      </c>
      <c r="BC13" s="85" t="str">
        <f>IF(OR($A13="",BC$6="",NOT(ISNUMBER($H$2))),"",SUMIFS(数据录入!$F$5:$F$4999,数据录入!$C$5:$C$4999,$A13,数据录入!$B$5:$B$4999,BC$6))</f>
        <v/>
      </c>
      <c r="BD13" s="85" t="str">
        <f>IF(OR($A13="",BD$6="",NOT(ISNUMBER($H$2))),"",SUMIFS(数据录入!$G$5:$G$4999,数据录入!$C$5:$C$4999,$A13,数据录入!$B$5:$B$4999,BD$6))</f>
        <v/>
      </c>
      <c r="BE13" s="85" t="str">
        <f>IF(OR($A13="",BE$6="",NOT(ISNUMBER($H$2))),"",SUMIFS(数据录入!$F$5:$F$4999,数据录入!$C$5:$C$4999,$A13,数据录入!$B$5:$B$4999,BE$6))</f>
        <v/>
      </c>
      <c r="BF13" s="85" t="str">
        <f>IF(OR($A13="",BF$6="",NOT(ISNUMBER($H$2))),"",SUMIFS(数据录入!$G$5:$G$4999,数据录入!$C$5:$C$4999,$A13,数据录入!$B$5:$B$4999,BF$6))</f>
        <v/>
      </c>
      <c r="BG13" s="85" t="str">
        <f>IF(OR($A13="",BG$6="",NOT(ISNUMBER($H$2))),"",SUMIFS(数据录入!$F$5:$F$4999,数据录入!$C$5:$C$4999,$A13,数据录入!$B$5:$B$4999,BG$6))</f>
        <v/>
      </c>
      <c r="BH13" s="85" t="str">
        <f>IF(OR($A13="",BH$6="",NOT(ISNUMBER($H$2))),"",SUMIFS(数据录入!$G$5:$G$4999,数据录入!$C$5:$C$4999,$A13,数据录入!$B$5:$B$4999,BH$6))</f>
        <v/>
      </c>
      <c r="BI13" s="85" t="str">
        <f>IF(OR($A13="",BI$6="",NOT(ISNUMBER($H$2))),"",SUMIFS(数据录入!$F$5:$F$4999,数据录入!$C$5:$C$4999,$A13,数据录入!$B$5:$B$4999,BI$6))</f>
        <v/>
      </c>
      <c r="BJ13" s="85" t="str">
        <f>IF(OR($A13="",BJ$6="",NOT(ISNUMBER($H$2))),"",SUMIFS(数据录入!$G$5:$G$4999,数据录入!$C$5:$C$4999,$A13,数据录入!$B$5:$B$4999,BJ$6))</f>
        <v/>
      </c>
      <c r="BK13" s="85" t="str">
        <f>IF(OR($A13="",BK$6="",NOT(ISNUMBER($H$2))),"",SUMIFS(数据录入!$F$5:$F$4999,数据录入!$C$5:$C$4999,$A13,数据录入!$B$5:$B$4999,BK$6))</f>
        <v/>
      </c>
      <c r="BL13" s="85" t="str">
        <f>IF(OR($A13="",BL$6="",NOT(ISNUMBER($H$2))),"",SUMIFS(数据录入!$G$5:$G$4999,数据录入!$C$5:$C$4999,$A13,数据录入!$B$5:$B$4999,BL$6))</f>
        <v/>
      </c>
      <c r="BM13" s="85" t="str">
        <f t="shared" si="0"/>
        <v/>
      </c>
      <c r="BN13" s="85" t="str">
        <f t="shared" si="1"/>
        <v/>
      </c>
      <c r="BO13" s="85" t="str">
        <f t="shared" si="2"/>
        <v/>
      </c>
      <c r="BP13" s="85"/>
    </row>
    <row r="14" s="64" customFormat="1" ht="20" customHeight="1" spans="1:68">
      <c r="A14" s="73"/>
      <c r="B14" s="84" t="str">
        <f>IF(OR($A14="",NOT(ISNUMBER($H$2))),"",SUMIFS(数据录入!$H$5:$H$4999,数据录入!$C$5:$C$4999,$A14,数据录入!$E$5:$E$4999,"期初余额",数据录入!$B$5:$B$4999,"&lt;="&amp;$B$2)+SUMIFS(数据录入!$F$5:$F$4999,数据录入!$C$5:$C$4999,$A14,数据录入!$B$5:$B$4999,"&lt;"&amp;$B$2)-SUMIFS(数据录入!$G$5:$G$4999,数据录入!$C$5:$C$4999,$A14,数据录入!$B$5:$B$4999,"&lt;"&amp;$B$2))</f>
        <v/>
      </c>
      <c r="C14" s="84" t="str">
        <f>IF(OR($A14="",C$6="",NOT(ISNUMBER($H$2))),"",SUMIFS(数据录入!$F$5:$F$4999,数据录入!$C$5:$C$4999,$A14,数据录入!$B$5:$B$4999,C$6))</f>
        <v/>
      </c>
      <c r="D14" s="84" t="str">
        <f>IF(OR($A14="",D$6="",NOT(ISNUMBER($H$2))),"",SUMIFS(数据录入!$G$5:$G$4999,数据录入!$C$5:$C$4999,$A14,数据录入!$B$5:$B$4999,D$6))</f>
        <v/>
      </c>
      <c r="E14" s="84" t="str">
        <f>IF(OR($A14="",E$6="",NOT(ISNUMBER($H$2))),"",SUMIFS(数据录入!$F$5:$F$4999,数据录入!$C$5:$C$4999,$A14,数据录入!$B$5:$B$4999,E$6))</f>
        <v/>
      </c>
      <c r="F14" s="84" t="str">
        <f>IF(OR($A14="",F$6="",NOT(ISNUMBER($H$2))),"",SUMIFS(数据录入!$G$5:$G$4999,数据录入!$C$5:$C$4999,$A14,数据录入!$B$5:$B$4999,F$6))</f>
        <v/>
      </c>
      <c r="G14" s="84" t="str">
        <f>IF(OR($A14="",G$6="",NOT(ISNUMBER($H$2))),"",SUMIFS(数据录入!$F$5:$F$4999,数据录入!$C$5:$C$4999,$A14,数据录入!$B$5:$B$4999,G$6))</f>
        <v/>
      </c>
      <c r="H14" s="84" t="str">
        <f>IF(OR($A14="",H$6="",NOT(ISNUMBER($H$2))),"",SUMIFS(数据录入!$G$5:$G$4999,数据录入!$C$5:$C$4999,$A14,数据录入!$B$5:$B$4999,H$6))</f>
        <v/>
      </c>
      <c r="I14" s="84" t="str">
        <f>IF(OR($A14="",I$6="",NOT(ISNUMBER($H$2))),"",SUMIFS(数据录入!$F$5:$F$4999,数据录入!$C$5:$C$4999,$A14,数据录入!$B$5:$B$4999,I$6))</f>
        <v/>
      </c>
      <c r="J14" s="84" t="str">
        <f>IF(OR($A14="",J$6="",NOT(ISNUMBER($H$2))),"",SUMIFS(数据录入!$G$5:$G$4999,数据录入!$C$5:$C$4999,$A14,数据录入!$B$5:$B$4999,J$6))</f>
        <v/>
      </c>
      <c r="K14" s="84" t="str">
        <f>IF(OR($A14="",K$6="",NOT(ISNUMBER($H$2))),"",SUMIFS(数据录入!$F$5:$F$4999,数据录入!$C$5:$C$4999,$A14,数据录入!$B$5:$B$4999,K$6))</f>
        <v/>
      </c>
      <c r="L14" s="84" t="str">
        <f>IF(OR($A14="",L$6="",NOT(ISNUMBER($H$2))),"",SUMIFS(数据录入!$G$5:$G$4999,数据录入!$C$5:$C$4999,$A14,数据录入!$B$5:$B$4999,L$6))</f>
        <v/>
      </c>
      <c r="M14" s="84" t="str">
        <f>IF(OR($A14="",M$6="",NOT(ISNUMBER($H$2))),"",SUMIFS(数据录入!$F$5:$F$4999,数据录入!$C$5:$C$4999,$A14,数据录入!$B$5:$B$4999,M$6))</f>
        <v/>
      </c>
      <c r="N14" s="84" t="str">
        <f>IF(OR($A14="",N$6="",NOT(ISNUMBER($H$2))),"",SUMIFS(数据录入!$G$5:$G$4999,数据录入!$C$5:$C$4999,$A14,数据录入!$B$5:$B$4999,N$6))</f>
        <v/>
      </c>
      <c r="O14" s="84" t="str">
        <f>IF(OR($A14="",O$6="",NOT(ISNUMBER($H$2))),"",SUMIFS(数据录入!$F$5:$F$4999,数据录入!$C$5:$C$4999,$A14,数据录入!$B$5:$B$4999,O$6))</f>
        <v/>
      </c>
      <c r="P14" s="84" t="str">
        <f>IF(OR($A14="",P$6="",NOT(ISNUMBER($H$2))),"",SUMIFS(数据录入!$G$5:$G$4999,数据录入!$C$5:$C$4999,$A14,数据录入!$B$5:$B$4999,P$6))</f>
        <v/>
      </c>
      <c r="Q14" s="84" t="str">
        <f>IF(OR($A14="",Q$6="",NOT(ISNUMBER($H$2))),"",SUMIFS(数据录入!$F$5:$F$4999,数据录入!$C$5:$C$4999,$A14,数据录入!$B$5:$B$4999,Q$6))</f>
        <v/>
      </c>
      <c r="R14" s="84" t="str">
        <f>IF(OR($A14="",R$6="",NOT(ISNUMBER($H$2))),"",SUMIFS(数据录入!$G$5:$G$4999,数据录入!$C$5:$C$4999,$A14,数据录入!$B$5:$B$4999,R$6))</f>
        <v/>
      </c>
      <c r="S14" s="84" t="str">
        <f>IF(OR($A14="",S$6="",NOT(ISNUMBER($H$2))),"",SUMIFS(数据录入!$F$5:$F$4999,数据录入!$C$5:$C$4999,$A14,数据录入!$B$5:$B$4999,S$6))</f>
        <v/>
      </c>
      <c r="T14" s="84" t="str">
        <f>IF(OR($A14="",T$6="",NOT(ISNUMBER($H$2))),"",SUMIFS(数据录入!$G$5:$G$4999,数据录入!$C$5:$C$4999,$A14,数据录入!$B$5:$B$4999,T$6))</f>
        <v/>
      </c>
      <c r="U14" s="85" t="str">
        <f>IF(OR($A14="",U$6="",NOT(ISNUMBER($H$2))),"",SUMIFS(数据录入!$F$5:$F$4999,数据录入!$C$5:$C$4999,$A14,数据录入!$B$5:$B$4999,U$6))</f>
        <v/>
      </c>
      <c r="V14" s="85" t="str">
        <f>IF(OR($A14="",V$6="",NOT(ISNUMBER($H$2))),"",SUMIFS(数据录入!$G$5:$G$4999,数据录入!$C$5:$C$4999,$A14,数据录入!$B$5:$B$4999,V$6))</f>
        <v/>
      </c>
      <c r="W14" s="85" t="str">
        <f>IF(OR($A14="",W$6="",NOT(ISNUMBER($H$2))),"",SUMIFS(数据录入!$F$5:$F$4999,数据录入!$C$5:$C$4999,$A14,数据录入!$B$5:$B$4999,W$6))</f>
        <v/>
      </c>
      <c r="X14" s="85" t="str">
        <f>IF(OR($A14="",X$6="",NOT(ISNUMBER($H$2))),"",SUMIFS(数据录入!$G$5:$G$4999,数据录入!$C$5:$C$4999,$A14,数据录入!$B$5:$B$4999,X$6))</f>
        <v/>
      </c>
      <c r="Y14" s="85" t="str">
        <f>IF(OR($A14="",Y$6="",NOT(ISNUMBER($H$2))),"",SUMIFS(数据录入!$F$5:$F$4999,数据录入!$C$5:$C$4999,$A14,数据录入!$B$5:$B$4999,Y$6))</f>
        <v/>
      </c>
      <c r="Z14" s="85" t="str">
        <f>IF(OR($A14="",Z$6="",NOT(ISNUMBER($H$2))),"",SUMIFS(数据录入!$G$5:$G$4999,数据录入!$C$5:$C$4999,$A14,数据录入!$B$5:$B$4999,Z$6))</f>
        <v/>
      </c>
      <c r="AA14" s="85" t="str">
        <f>IF(OR($A14="",AA$6="",NOT(ISNUMBER($H$2))),"",SUMIFS(数据录入!$F$5:$F$4999,数据录入!$C$5:$C$4999,$A14,数据录入!$B$5:$B$4999,AA$6))</f>
        <v/>
      </c>
      <c r="AB14" s="85" t="str">
        <f>IF(OR($A14="",AB$6="",NOT(ISNUMBER($H$2))),"",SUMIFS(数据录入!$G$5:$G$4999,数据录入!$C$5:$C$4999,$A14,数据录入!$B$5:$B$4999,AB$6))</f>
        <v/>
      </c>
      <c r="AC14" s="85" t="str">
        <f>IF(OR($A14="",AC$6="",NOT(ISNUMBER($H$2))),"",SUMIFS(数据录入!$F$5:$F$4999,数据录入!$C$5:$C$4999,$A14,数据录入!$B$5:$B$4999,AC$6))</f>
        <v/>
      </c>
      <c r="AD14" s="85" t="str">
        <f>IF(OR($A14="",AD$6="",NOT(ISNUMBER($H$2))),"",SUMIFS(数据录入!$G$5:$G$4999,数据录入!$C$5:$C$4999,$A14,数据录入!$B$5:$B$4999,AD$6))</f>
        <v/>
      </c>
      <c r="AE14" s="85" t="str">
        <f>IF(OR($A14="",AE$6="",NOT(ISNUMBER($H$2))),"",SUMIFS(数据录入!$F$5:$F$4999,数据录入!$C$5:$C$4999,$A14,数据录入!$B$5:$B$4999,AE$6))</f>
        <v/>
      </c>
      <c r="AF14" s="85" t="str">
        <f>IF(OR($A14="",AF$6="",NOT(ISNUMBER($H$2))),"",SUMIFS(数据录入!$G$5:$G$4999,数据录入!$C$5:$C$4999,$A14,数据录入!$B$5:$B$4999,AF$6))</f>
        <v/>
      </c>
      <c r="AG14" s="85" t="str">
        <f>IF(OR($A14="",AG$6="",NOT(ISNUMBER($H$2))),"",SUMIFS(数据录入!$F$5:$F$4999,数据录入!$C$5:$C$4999,$A14,数据录入!$B$5:$B$4999,AG$6))</f>
        <v/>
      </c>
      <c r="AH14" s="85" t="str">
        <f>IF(OR($A14="",AH$6="",NOT(ISNUMBER($H$2))),"",SUMIFS(数据录入!$G$5:$G$4999,数据录入!$C$5:$C$4999,$A14,数据录入!$B$5:$B$4999,AH$6))</f>
        <v/>
      </c>
      <c r="AI14" s="85" t="str">
        <f>IF(OR($A14="",AI$6="",NOT(ISNUMBER($H$2))),"",SUMIFS(数据录入!$F$5:$F$4999,数据录入!$C$5:$C$4999,$A14,数据录入!$B$5:$B$4999,AI$6))</f>
        <v/>
      </c>
      <c r="AJ14" s="85" t="str">
        <f>IF(OR($A14="",AJ$6="",NOT(ISNUMBER($H$2))),"",SUMIFS(数据录入!$G$5:$G$4999,数据录入!$C$5:$C$4999,$A14,数据录入!$B$5:$B$4999,AJ$6))</f>
        <v/>
      </c>
      <c r="AK14" s="85" t="str">
        <f>IF(OR($A14="",AK$6="",NOT(ISNUMBER($H$2))),"",SUMIFS(数据录入!$F$5:$F$4999,数据录入!$C$5:$C$4999,$A14,数据录入!$B$5:$B$4999,AK$6))</f>
        <v/>
      </c>
      <c r="AL14" s="85" t="str">
        <f>IF(OR($A14="",AL$6="",NOT(ISNUMBER($H$2))),"",SUMIFS(数据录入!$G$5:$G$4999,数据录入!$C$5:$C$4999,$A14,数据录入!$B$5:$B$4999,AL$6))</f>
        <v/>
      </c>
      <c r="AM14" s="85" t="str">
        <f>IF(OR($A14="",AM$6="",NOT(ISNUMBER($H$2))),"",SUMIFS(数据录入!$F$5:$F$4999,数据录入!$C$5:$C$4999,$A14,数据录入!$B$5:$B$4999,AM$6))</f>
        <v/>
      </c>
      <c r="AN14" s="85" t="str">
        <f>IF(OR($A14="",AN$6="",NOT(ISNUMBER($H$2))),"",SUMIFS(数据录入!$G$5:$G$4999,数据录入!$C$5:$C$4999,$A14,数据录入!$B$5:$B$4999,AN$6))</f>
        <v/>
      </c>
      <c r="AO14" s="85" t="str">
        <f>IF(OR($A14="",AO$6="",NOT(ISNUMBER($H$2))),"",SUMIFS(数据录入!$F$5:$F$4999,数据录入!$C$5:$C$4999,$A14,数据录入!$B$5:$B$4999,AO$6))</f>
        <v/>
      </c>
      <c r="AP14" s="85" t="str">
        <f>IF(OR($A14="",AP$6="",NOT(ISNUMBER($H$2))),"",SUMIFS(数据录入!$G$5:$G$4999,数据录入!$C$5:$C$4999,$A14,数据录入!$B$5:$B$4999,AP$6))</f>
        <v/>
      </c>
      <c r="AQ14" s="85" t="str">
        <f>IF(OR($A14="",AQ$6="",NOT(ISNUMBER($H$2))),"",SUMIFS(数据录入!$F$5:$F$4999,数据录入!$C$5:$C$4999,$A14,数据录入!$B$5:$B$4999,AQ$6))</f>
        <v/>
      </c>
      <c r="AR14" s="85" t="str">
        <f>IF(OR($A14="",AR$6="",NOT(ISNUMBER($H$2))),"",SUMIFS(数据录入!$G$5:$G$4999,数据录入!$C$5:$C$4999,$A14,数据录入!$B$5:$B$4999,AR$6))</f>
        <v/>
      </c>
      <c r="AS14" s="85" t="str">
        <f>IF(OR($A14="",AS$6="",NOT(ISNUMBER($H$2))),"",SUMIFS(数据录入!$F$5:$F$4999,数据录入!$C$5:$C$4999,$A14,数据录入!$B$5:$B$4999,AS$6))</f>
        <v/>
      </c>
      <c r="AT14" s="85" t="str">
        <f>IF(OR($A14="",AT$6="",NOT(ISNUMBER($H$2))),"",SUMIFS(数据录入!$G$5:$G$4999,数据录入!$C$5:$C$4999,$A14,数据录入!$B$5:$B$4999,AT$6))</f>
        <v/>
      </c>
      <c r="AU14" s="85" t="str">
        <f>IF(OR($A14="",AU$6="",NOT(ISNUMBER($H$2))),"",SUMIFS(数据录入!$F$5:$F$4999,数据录入!$C$5:$C$4999,$A14,数据录入!$B$5:$B$4999,AU$6))</f>
        <v/>
      </c>
      <c r="AV14" s="85" t="str">
        <f>IF(OR($A14="",AV$6="",NOT(ISNUMBER($H$2))),"",SUMIFS(数据录入!$G$5:$G$4999,数据录入!$C$5:$C$4999,$A14,数据录入!$B$5:$B$4999,AV$6))</f>
        <v/>
      </c>
      <c r="AW14" s="85" t="str">
        <f>IF(OR($A14="",AW$6="",NOT(ISNUMBER($H$2))),"",SUMIFS(数据录入!$F$5:$F$4999,数据录入!$C$5:$C$4999,$A14,数据录入!$B$5:$B$4999,AW$6))</f>
        <v/>
      </c>
      <c r="AX14" s="85" t="str">
        <f>IF(OR($A14="",AX$6="",NOT(ISNUMBER($H$2))),"",SUMIFS(数据录入!$G$5:$G$4999,数据录入!$C$5:$C$4999,$A14,数据录入!$B$5:$B$4999,AX$6))</f>
        <v/>
      </c>
      <c r="AY14" s="85" t="str">
        <f>IF(OR($A14="",AY$6="",NOT(ISNUMBER($H$2))),"",SUMIFS(数据录入!$F$5:$F$4999,数据录入!$C$5:$C$4999,$A14,数据录入!$B$5:$B$4999,AY$6))</f>
        <v/>
      </c>
      <c r="AZ14" s="85" t="str">
        <f>IF(OR($A14="",AZ$6="",NOT(ISNUMBER($H$2))),"",SUMIFS(数据录入!$G$5:$G$4999,数据录入!$C$5:$C$4999,$A14,数据录入!$B$5:$B$4999,AZ$6))</f>
        <v/>
      </c>
      <c r="BA14" s="85" t="str">
        <f>IF(OR($A14="",BA$6="",NOT(ISNUMBER($H$2))),"",SUMIFS(数据录入!$F$5:$F$4999,数据录入!$C$5:$C$4999,$A14,数据录入!$B$5:$B$4999,BA$6))</f>
        <v/>
      </c>
      <c r="BB14" s="85" t="str">
        <f>IF(OR($A14="",BB$6="",NOT(ISNUMBER($H$2))),"",SUMIFS(数据录入!$G$5:$G$4999,数据录入!$C$5:$C$4999,$A14,数据录入!$B$5:$B$4999,BB$6))</f>
        <v/>
      </c>
      <c r="BC14" s="85" t="str">
        <f>IF(OR($A14="",BC$6="",NOT(ISNUMBER($H$2))),"",SUMIFS(数据录入!$F$5:$F$4999,数据录入!$C$5:$C$4999,$A14,数据录入!$B$5:$B$4999,BC$6))</f>
        <v/>
      </c>
      <c r="BD14" s="85" t="str">
        <f>IF(OR($A14="",BD$6="",NOT(ISNUMBER($H$2))),"",SUMIFS(数据录入!$G$5:$G$4999,数据录入!$C$5:$C$4999,$A14,数据录入!$B$5:$B$4999,BD$6))</f>
        <v/>
      </c>
      <c r="BE14" s="85" t="str">
        <f>IF(OR($A14="",BE$6="",NOT(ISNUMBER($H$2))),"",SUMIFS(数据录入!$F$5:$F$4999,数据录入!$C$5:$C$4999,$A14,数据录入!$B$5:$B$4999,BE$6))</f>
        <v/>
      </c>
      <c r="BF14" s="85" t="str">
        <f>IF(OR($A14="",BF$6="",NOT(ISNUMBER($H$2))),"",SUMIFS(数据录入!$G$5:$G$4999,数据录入!$C$5:$C$4999,$A14,数据录入!$B$5:$B$4999,BF$6))</f>
        <v/>
      </c>
      <c r="BG14" s="85" t="str">
        <f>IF(OR($A14="",BG$6="",NOT(ISNUMBER($H$2))),"",SUMIFS(数据录入!$F$5:$F$4999,数据录入!$C$5:$C$4999,$A14,数据录入!$B$5:$B$4999,BG$6))</f>
        <v/>
      </c>
      <c r="BH14" s="85" t="str">
        <f>IF(OR($A14="",BH$6="",NOT(ISNUMBER($H$2))),"",SUMIFS(数据录入!$G$5:$G$4999,数据录入!$C$5:$C$4999,$A14,数据录入!$B$5:$B$4999,BH$6))</f>
        <v/>
      </c>
      <c r="BI14" s="85" t="str">
        <f>IF(OR($A14="",BI$6="",NOT(ISNUMBER($H$2))),"",SUMIFS(数据录入!$F$5:$F$4999,数据录入!$C$5:$C$4999,$A14,数据录入!$B$5:$B$4999,BI$6))</f>
        <v/>
      </c>
      <c r="BJ14" s="85" t="str">
        <f>IF(OR($A14="",BJ$6="",NOT(ISNUMBER($H$2))),"",SUMIFS(数据录入!$G$5:$G$4999,数据录入!$C$5:$C$4999,$A14,数据录入!$B$5:$B$4999,BJ$6))</f>
        <v/>
      </c>
      <c r="BK14" s="85" t="str">
        <f>IF(OR($A14="",BK$6="",NOT(ISNUMBER($H$2))),"",SUMIFS(数据录入!$F$5:$F$4999,数据录入!$C$5:$C$4999,$A14,数据录入!$B$5:$B$4999,BK$6))</f>
        <v/>
      </c>
      <c r="BL14" s="85" t="str">
        <f>IF(OR($A14="",BL$6="",NOT(ISNUMBER($H$2))),"",SUMIFS(数据录入!$G$5:$G$4999,数据录入!$C$5:$C$4999,$A14,数据录入!$B$5:$B$4999,BL$6))</f>
        <v/>
      </c>
      <c r="BM14" s="85" t="str">
        <f t="shared" si="0"/>
        <v/>
      </c>
      <c r="BN14" s="85" t="str">
        <f t="shared" si="1"/>
        <v/>
      </c>
      <c r="BO14" s="85" t="str">
        <f t="shared" si="2"/>
        <v/>
      </c>
      <c r="BP14" s="85"/>
    </row>
    <row r="15" s="64" customFormat="1" ht="20" customHeight="1" spans="1:68">
      <c r="A15" s="73"/>
      <c r="B15" s="84" t="str">
        <f>IF(OR($A15="",NOT(ISNUMBER($H$2))),"",SUMIFS(数据录入!$H$5:$H$4999,数据录入!$C$5:$C$4999,$A15,数据录入!$E$5:$E$4999,"期初余额",数据录入!$B$5:$B$4999,"&lt;="&amp;$B$2)+SUMIFS(数据录入!$F$5:$F$4999,数据录入!$C$5:$C$4999,$A15,数据录入!$B$5:$B$4999,"&lt;"&amp;$B$2)-SUMIFS(数据录入!$G$5:$G$4999,数据录入!$C$5:$C$4999,$A15,数据录入!$B$5:$B$4999,"&lt;"&amp;$B$2))</f>
        <v/>
      </c>
      <c r="C15" s="84" t="str">
        <f>IF(OR($A15="",C$6="",NOT(ISNUMBER($H$2))),"",SUMIFS(数据录入!$F$5:$F$4999,数据录入!$C$5:$C$4999,$A15,数据录入!$B$5:$B$4999,C$6))</f>
        <v/>
      </c>
      <c r="D15" s="84" t="str">
        <f>IF(OR($A15="",D$6="",NOT(ISNUMBER($H$2))),"",SUMIFS(数据录入!$G$5:$G$4999,数据录入!$C$5:$C$4999,$A15,数据录入!$B$5:$B$4999,D$6))</f>
        <v/>
      </c>
      <c r="E15" s="84" t="str">
        <f>IF(OR($A15="",E$6="",NOT(ISNUMBER($H$2))),"",SUMIFS(数据录入!$F$5:$F$4999,数据录入!$C$5:$C$4999,$A15,数据录入!$B$5:$B$4999,E$6))</f>
        <v/>
      </c>
      <c r="F15" s="84" t="str">
        <f>IF(OR($A15="",F$6="",NOT(ISNUMBER($H$2))),"",SUMIFS(数据录入!$G$5:$G$4999,数据录入!$C$5:$C$4999,$A15,数据录入!$B$5:$B$4999,F$6))</f>
        <v/>
      </c>
      <c r="G15" s="84" t="str">
        <f>IF(OR($A15="",G$6="",NOT(ISNUMBER($H$2))),"",SUMIFS(数据录入!$F$5:$F$4999,数据录入!$C$5:$C$4999,$A15,数据录入!$B$5:$B$4999,G$6))</f>
        <v/>
      </c>
      <c r="H15" s="84" t="str">
        <f>IF(OR($A15="",H$6="",NOT(ISNUMBER($H$2))),"",SUMIFS(数据录入!$G$5:$G$4999,数据录入!$C$5:$C$4999,$A15,数据录入!$B$5:$B$4999,H$6))</f>
        <v/>
      </c>
      <c r="I15" s="84" t="str">
        <f>IF(OR($A15="",I$6="",NOT(ISNUMBER($H$2))),"",SUMIFS(数据录入!$F$5:$F$4999,数据录入!$C$5:$C$4999,$A15,数据录入!$B$5:$B$4999,I$6))</f>
        <v/>
      </c>
      <c r="J15" s="84" t="str">
        <f>IF(OR($A15="",J$6="",NOT(ISNUMBER($H$2))),"",SUMIFS(数据录入!$G$5:$G$4999,数据录入!$C$5:$C$4999,$A15,数据录入!$B$5:$B$4999,J$6))</f>
        <v/>
      </c>
      <c r="K15" s="84" t="str">
        <f>IF(OR($A15="",K$6="",NOT(ISNUMBER($H$2))),"",SUMIFS(数据录入!$F$5:$F$4999,数据录入!$C$5:$C$4999,$A15,数据录入!$B$5:$B$4999,K$6))</f>
        <v/>
      </c>
      <c r="L15" s="84" t="str">
        <f>IF(OR($A15="",L$6="",NOT(ISNUMBER($H$2))),"",SUMIFS(数据录入!$G$5:$G$4999,数据录入!$C$5:$C$4999,$A15,数据录入!$B$5:$B$4999,L$6))</f>
        <v/>
      </c>
      <c r="M15" s="84" t="str">
        <f>IF(OR($A15="",M$6="",NOT(ISNUMBER($H$2))),"",SUMIFS(数据录入!$F$5:$F$4999,数据录入!$C$5:$C$4999,$A15,数据录入!$B$5:$B$4999,M$6))</f>
        <v/>
      </c>
      <c r="N15" s="84" t="str">
        <f>IF(OR($A15="",N$6="",NOT(ISNUMBER($H$2))),"",SUMIFS(数据录入!$G$5:$G$4999,数据录入!$C$5:$C$4999,$A15,数据录入!$B$5:$B$4999,N$6))</f>
        <v/>
      </c>
      <c r="O15" s="84" t="str">
        <f>IF(OR($A15="",O$6="",NOT(ISNUMBER($H$2))),"",SUMIFS(数据录入!$F$5:$F$4999,数据录入!$C$5:$C$4999,$A15,数据录入!$B$5:$B$4999,O$6))</f>
        <v/>
      </c>
      <c r="P15" s="84" t="str">
        <f>IF(OR($A15="",P$6="",NOT(ISNUMBER($H$2))),"",SUMIFS(数据录入!$G$5:$G$4999,数据录入!$C$5:$C$4999,$A15,数据录入!$B$5:$B$4999,P$6))</f>
        <v/>
      </c>
      <c r="Q15" s="84" t="str">
        <f>IF(OR($A15="",Q$6="",NOT(ISNUMBER($H$2))),"",SUMIFS(数据录入!$F$5:$F$4999,数据录入!$C$5:$C$4999,$A15,数据录入!$B$5:$B$4999,Q$6))</f>
        <v/>
      </c>
      <c r="R15" s="84" t="str">
        <f>IF(OR($A15="",R$6="",NOT(ISNUMBER($H$2))),"",SUMIFS(数据录入!$G$5:$G$4999,数据录入!$C$5:$C$4999,$A15,数据录入!$B$5:$B$4999,R$6))</f>
        <v/>
      </c>
      <c r="S15" s="84" t="str">
        <f>IF(OR($A15="",S$6="",NOT(ISNUMBER($H$2))),"",SUMIFS(数据录入!$F$5:$F$4999,数据录入!$C$5:$C$4999,$A15,数据录入!$B$5:$B$4999,S$6))</f>
        <v/>
      </c>
      <c r="T15" s="84" t="str">
        <f>IF(OR($A15="",T$6="",NOT(ISNUMBER($H$2))),"",SUMIFS(数据录入!$G$5:$G$4999,数据录入!$C$5:$C$4999,$A15,数据录入!$B$5:$B$4999,T$6))</f>
        <v/>
      </c>
      <c r="U15" s="85" t="str">
        <f>IF(OR($A15="",U$6="",NOT(ISNUMBER($H$2))),"",SUMIFS(数据录入!$F$5:$F$4999,数据录入!$C$5:$C$4999,$A15,数据录入!$B$5:$B$4999,U$6))</f>
        <v/>
      </c>
      <c r="V15" s="85" t="str">
        <f>IF(OR($A15="",V$6="",NOT(ISNUMBER($H$2))),"",SUMIFS(数据录入!$G$5:$G$4999,数据录入!$C$5:$C$4999,$A15,数据录入!$B$5:$B$4999,V$6))</f>
        <v/>
      </c>
      <c r="W15" s="85" t="str">
        <f>IF(OR($A15="",W$6="",NOT(ISNUMBER($H$2))),"",SUMIFS(数据录入!$F$5:$F$4999,数据录入!$C$5:$C$4999,$A15,数据录入!$B$5:$B$4999,W$6))</f>
        <v/>
      </c>
      <c r="X15" s="85" t="str">
        <f>IF(OR($A15="",X$6="",NOT(ISNUMBER($H$2))),"",SUMIFS(数据录入!$G$5:$G$4999,数据录入!$C$5:$C$4999,$A15,数据录入!$B$5:$B$4999,X$6))</f>
        <v/>
      </c>
      <c r="Y15" s="85" t="str">
        <f>IF(OR($A15="",Y$6="",NOT(ISNUMBER($H$2))),"",SUMIFS(数据录入!$F$5:$F$4999,数据录入!$C$5:$C$4999,$A15,数据录入!$B$5:$B$4999,Y$6))</f>
        <v/>
      </c>
      <c r="Z15" s="85" t="str">
        <f>IF(OR($A15="",Z$6="",NOT(ISNUMBER($H$2))),"",SUMIFS(数据录入!$G$5:$G$4999,数据录入!$C$5:$C$4999,$A15,数据录入!$B$5:$B$4999,Z$6))</f>
        <v/>
      </c>
      <c r="AA15" s="85" t="str">
        <f>IF(OR($A15="",AA$6="",NOT(ISNUMBER($H$2))),"",SUMIFS(数据录入!$F$5:$F$4999,数据录入!$C$5:$C$4999,$A15,数据录入!$B$5:$B$4999,AA$6))</f>
        <v/>
      </c>
      <c r="AB15" s="85" t="str">
        <f>IF(OR($A15="",AB$6="",NOT(ISNUMBER($H$2))),"",SUMIFS(数据录入!$G$5:$G$4999,数据录入!$C$5:$C$4999,$A15,数据录入!$B$5:$B$4999,AB$6))</f>
        <v/>
      </c>
      <c r="AC15" s="85" t="str">
        <f>IF(OR($A15="",AC$6="",NOT(ISNUMBER($H$2))),"",SUMIFS(数据录入!$F$5:$F$4999,数据录入!$C$5:$C$4999,$A15,数据录入!$B$5:$B$4999,AC$6))</f>
        <v/>
      </c>
      <c r="AD15" s="85" t="str">
        <f>IF(OR($A15="",AD$6="",NOT(ISNUMBER($H$2))),"",SUMIFS(数据录入!$G$5:$G$4999,数据录入!$C$5:$C$4999,$A15,数据录入!$B$5:$B$4999,AD$6))</f>
        <v/>
      </c>
      <c r="AE15" s="85" t="str">
        <f>IF(OR($A15="",AE$6="",NOT(ISNUMBER($H$2))),"",SUMIFS(数据录入!$F$5:$F$4999,数据录入!$C$5:$C$4999,$A15,数据录入!$B$5:$B$4999,AE$6))</f>
        <v/>
      </c>
      <c r="AF15" s="85" t="str">
        <f>IF(OR($A15="",AF$6="",NOT(ISNUMBER($H$2))),"",SUMIFS(数据录入!$G$5:$G$4999,数据录入!$C$5:$C$4999,$A15,数据录入!$B$5:$B$4999,AF$6))</f>
        <v/>
      </c>
      <c r="AG15" s="85" t="str">
        <f>IF(OR($A15="",AG$6="",NOT(ISNUMBER($H$2))),"",SUMIFS(数据录入!$F$5:$F$4999,数据录入!$C$5:$C$4999,$A15,数据录入!$B$5:$B$4999,AG$6))</f>
        <v/>
      </c>
      <c r="AH15" s="85" t="str">
        <f>IF(OR($A15="",AH$6="",NOT(ISNUMBER($H$2))),"",SUMIFS(数据录入!$G$5:$G$4999,数据录入!$C$5:$C$4999,$A15,数据录入!$B$5:$B$4999,AH$6))</f>
        <v/>
      </c>
      <c r="AI15" s="85" t="str">
        <f>IF(OR($A15="",AI$6="",NOT(ISNUMBER($H$2))),"",SUMIFS(数据录入!$F$5:$F$4999,数据录入!$C$5:$C$4999,$A15,数据录入!$B$5:$B$4999,AI$6))</f>
        <v/>
      </c>
      <c r="AJ15" s="85" t="str">
        <f>IF(OR($A15="",AJ$6="",NOT(ISNUMBER($H$2))),"",SUMIFS(数据录入!$G$5:$G$4999,数据录入!$C$5:$C$4999,$A15,数据录入!$B$5:$B$4999,AJ$6))</f>
        <v/>
      </c>
      <c r="AK15" s="85" t="str">
        <f>IF(OR($A15="",AK$6="",NOT(ISNUMBER($H$2))),"",SUMIFS(数据录入!$F$5:$F$4999,数据录入!$C$5:$C$4999,$A15,数据录入!$B$5:$B$4999,AK$6))</f>
        <v/>
      </c>
      <c r="AL15" s="85" t="str">
        <f>IF(OR($A15="",AL$6="",NOT(ISNUMBER($H$2))),"",SUMIFS(数据录入!$G$5:$G$4999,数据录入!$C$5:$C$4999,$A15,数据录入!$B$5:$B$4999,AL$6))</f>
        <v/>
      </c>
      <c r="AM15" s="85" t="str">
        <f>IF(OR($A15="",AM$6="",NOT(ISNUMBER($H$2))),"",SUMIFS(数据录入!$F$5:$F$4999,数据录入!$C$5:$C$4999,$A15,数据录入!$B$5:$B$4999,AM$6))</f>
        <v/>
      </c>
      <c r="AN15" s="85" t="str">
        <f>IF(OR($A15="",AN$6="",NOT(ISNUMBER($H$2))),"",SUMIFS(数据录入!$G$5:$G$4999,数据录入!$C$5:$C$4999,$A15,数据录入!$B$5:$B$4999,AN$6))</f>
        <v/>
      </c>
      <c r="AO15" s="85" t="str">
        <f>IF(OR($A15="",AO$6="",NOT(ISNUMBER($H$2))),"",SUMIFS(数据录入!$F$5:$F$4999,数据录入!$C$5:$C$4999,$A15,数据录入!$B$5:$B$4999,AO$6))</f>
        <v/>
      </c>
      <c r="AP15" s="85" t="str">
        <f>IF(OR($A15="",AP$6="",NOT(ISNUMBER($H$2))),"",SUMIFS(数据录入!$G$5:$G$4999,数据录入!$C$5:$C$4999,$A15,数据录入!$B$5:$B$4999,AP$6))</f>
        <v/>
      </c>
      <c r="AQ15" s="85" t="str">
        <f>IF(OR($A15="",AQ$6="",NOT(ISNUMBER($H$2))),"",SUMIFS(数据录入!$F$5:$F$4999,数据录入!$C$5:$C$4999,$A15,数据录入!$B$5:$B$4999,AQ$6))</f>
        <v/>
      </c>
      <c r="AR15" s="85" t="str">
        <f>IF(OR($A15="",AR$6="",NOT(ISNUMBER($H$2))),"",SUMIFS(数据录入!$G$5:$G$4999,数据录入!$C$5:$C$4999,$A15,数据录入!$B$5:$B$4999,AR$6))</f>
        <v/>
      </c>
      <c r="AS15" s="85" t="str">
        <f>IF(OR($A15="",AS$6="",NOT(ISNUMBER($H$2))),"",SUMIFS(数据录入!$F$5:$F$4999,数据录入!$C$5:$C$4999,$A15,数据录入!$B$5:$B$4999,AS$6))</f>
        <v/>
      </c>
      <c r="AT15" s="85" t="str">
        <f>IF(OR($A15="",AT$6="",NOT(ISNUMBER($H$2))),"",SUMIFS(数据录入!$G$5:$G$4999,数据录入!$C$5:$C$4999,$A15,数据录入!$B$5:$B$4999,AT$6))</f>
        <v/>
      </c>
      <c r="AU15" s="85" t="str">
        <f>IF(OR($A15="",AU$6="",NOT(ISNUMBER($H$2))),"",SUMIFS(数据录入!$F$5:$F$4999,数据录入!$C$5:$C$4999,$A15,数据录入!$B$5:$B$4999,AU$6))</f>
        <v/>
      </c>
      <c r="AV15" s="85" t="str">
        <f>IF(OR($A15="",AV$6="",NOT(ISNUMBER($H$2))),"",SUMIFS(数据录入!$G$5:$G$4999,数据录入!$C$5:$C$4999,$A15,数据录入!$B$5:$B$4999,AV$6))</f>
        <v/>
      </c>
      <c r="AW15" s="85" t="str">
        <f>IF(OR($A15="",AW$6="",NOT(ISNUMBER($H$2))),"",SUMIFS(数据录入!$F$5:$F$4999,数据录入!$C$5:$C$4999,$A15,数据录入!$B$5:$B$4999,AW$6))</f>
        <v/>
      </c>
      <c r="AX15" s="85" t="str">
        <f>IF(OR($A15="",AX$6="",NOT(ISNUMBER($H$2))),"",SUMIFS(数据录入!$G$5:$G$4999,数据录入!$C$5:$C$4999,$A15,数据录入!$B$5:$B$4999,AX$6))</f>
        <v/>
      </c>
      <c r="AY15" s="85" t="str">
        <f>IF(OR($A15="",AY$6="",NOT(ISNUMBER($H$2))),"",SUMIFS(数据录入!$F$5:$F$4999,数据录入!$C$5:$C$4999,$A15,数据录入!$B$5:$B$4999,AY$6))</f>
        <v/>
      </c>
      <c r="AZ15" s="85" t="str">
        <f>IF(OR($A15="",AZ$6="",NOT(ISNUMBER($H$2))),"",SUMIFS(数据录入!$G$5:$G$4999,数据录入!$C$5:$C$4999,$A15,数据录入!$B$5:$B$4999,AZ$6))</f>
        <v/>
      </c>
      <c r="BA15" s="85" t="str">
        <f>IF(OR($A15="",BA$6="",NOT(ISNUMBER($H$2))),"",SUMIFS(数据录入!$F$5:$F$4999,数据录入!$C$5:$C$4999,$A15,数据录入!$B$5:$B$4999,BA$6))</f>
        <v/>
      </c>
      <c r="BB15" s="85" t="str">
        <f>IF(OR($A15="",BB$6="",NOT(ISNUMBER($H$2))),"",SUMIFS(数据录入!$G$5:$G$4999,数据录入!$C$5:$C$4999,$A15,数据录入!$B$5:$B$4999,BB$6))</f>
        <v/>
      </c>
      <c r="BC15" s="85" t="str">
        <f>IF(OR($A15="",BC$6="",NOT(ISNUMBER($H$2))),"",SUMIFS(数据录入!$F$5:$F$4999,数据录入!$C$5:$C$4999,$A15,数据录入!$B$5:$B$4999,BC$6))</f>
        <v/>
      </c>
      <c r="BD15" s="85" t="str">
        <f>IF(OR($A15="",BD$6="",NOT(ISNUMBER($H$2))),"",SUMIFS(数据录入!$G$5:$G$4999,数据录入!$C$5:$C$4999,$A15,数据录入!$B$5:$B$4999,BD$6))</f>
        <v/>
      </c>
      <c r="BE15" s="85" t="str">
        <f>IF(OR($A15="",BE$6="",NOT(ISNUMBER($H$2))),"",SUMIFS(数据录入!$F$5:$F$4999,数据录入!$C$5:$C$4999,$A15,数据录入!$B$5:$B$4999,BE$6))</f>
        <v/>
      </c>
      <c r="BF15" s="85" t="str">
        <f>IF(OR($A15="",BF$6="",NOT(ISNUMBER($H$2))),"",SUMIFS(数据录入!$G$5:$G$4999,数据录入!$C$5:$C$4999,$A15,数据录入!$B$5:$B$4999,BF$6))</f>
        <v/>
      </c>
      <c r="BG15" s="85" t="str">
        <f>IF(OR($A15="",BG$6="",NOT(ISNUMBER($H$2))),"",SUMIFS(数据录入!$F$5:$F$4999,数据录入!$C$5:$C$4999,$A15,数据录入!$B$5:$B$4999,BG$6))</f>
        <v/>
      </c>
      <c r="BH15" s="85" t="str">
        <f>IF(OR($A15="",BH$6="",NOT(ISNUMBER($H$2))),"",SUMIFS(数据录入!$G$5:$G$4999,数据录入!$C$5:$C$4999,$A15,数据录入!$B$5:$B$4999,BH$6))</f>
        <v/>
      </c>
      <c r="BI15" s="85" t="str">
        <f>IF(OR($A15="",BI$6="",NOT(ISNUMBER($H$2))),"",SUMIFS(数据录入!$F$5:$F$4999,数据录入!$C$5:$C$4999,$A15,数据录入!$B$5:$B$4999,BI$6))</f>
        <v/>
      </c>
      <c r="BJ15" s="85" t="str">
        <f>IF(OR($A15="",BJ$6="",NOT(ISNUMBER($H$2))),"",SUMIFS(数据录入!$G$5:$G$4999,数据录入!$C$5:$C$4999,$A15,数据录入!$B$5:$B$4999,BJ$6))</f>
        <v/>
      </c>
      <c r="BK15" s="85" t="str">
        <f>IF(OR($A15="",BK$6="",NOT(ISNUMBER($H$2))),"",SUMIFS(数据录入!$F$5:$F$4999,数据录入!$C$5:$C$4999,$A15,数据录入!$B$5:$B$4999,BK$6))</f>
        <v/>
      </c>
      <c r="BL15" s="85" t="str">
        <f>IF(OR($A15="",BL$6="",NOT(ISNUMBER($H$2))),"",SUMIFS(数据录入!$G$5:$G$4999,数据录入!$C$5:$C$4999,$A15,数据录入!$B$5:$B$4999,BL$6))</f>
        <v/>
      </c>
      <c r="BM15" s="85" t="str">
        <f t="shared" si="0"/>
        <v/>
      </c>
      <c r="BN15" s="85" t="str">
        <f t="shared" si="1"/>
        <v/>
      </c>
      <c r="BO15" s="85" t="str">
        <f t="shared" si="2"/>
        <v/>
      </c>
      <c r="BP15" s="85"/>
    </row>
    <row r="16" s="64" customFormat="1" ht="20" customHeight="1" spans="1:68">
      <c r="A16" s="73"/>
      <c r="B16" s="84" t="str">
        <f>IF(OR($A16="",NOT(ISNUMBER($H$2))),"",SUMIFS(数据录入!$H$5:$H$4999,数据录入!$C$5:$C$4999,$A16,数据录入!$E$5:$E$4999,"期初余额",数据录入!$B$5:$B$4999,"&lt;="&amp;$B$2)+SUMIFS(数据录入!$F$5:$F$4999,数据录入!$C$5:$C$4999,$A16,数据录入!$B$5:$B$4999,"&lt;"&amp;$B$2)-SUMIFS(数据录入!$G$5:$G$4999,数据录入!$C$5:$C$4999,$A16,数据录入!$B$5:$B$4999,"&lt;"&amp;$B$2))</f>
        <v/>
      </c>
      <c r="C16" s="84" t="str">
        <f>IF(OR($A16="",C$6="",NOT(ISNUMBER($H$2))),"",SUMIFS(数据录入!$F$5:$F$4999,数据录入!$C$5:$C$4999,$A16,数据录入!$B$5:$B$4999,C$6))</f>
        <v/>
      </c>
      <c r="D16" s="84" t="str">
        <f>IF(OR($A16="",D$6="",NOT(ISNUMBER($H$2))),"",SUMIFS(数据录入!$G$5:$G$4999,数据录入!$C$5:$C$4999,$A16,数据录入!$B$5:$B$4999,D$6))</f>
        <v/>
      </c>
      <c r="E16" s="84" t="str">
        <f>IF(OR($A16="",E$6="",NOT(ISNUMBER($H$2))),"",SUMIFS(数据录入!$F$5:$F$4999,数据录入!$C$5:$C$4999,$A16,数据录入!$B$5:$B$4999,E$6))</f>
        <v/>
      </c>
      <c r="F16" s="84" t="str">
        <f>IF(OR($A16="",F$6="",NOT(ISNUMBER($H$2))),"",SUMIFS(数据录入!$G$5:$G$4999,数据录入!$C$5:$C$4999,$A16,数据录入!$B$5:$B$4999,F$6))</f>
        <v/>
      </c>
      <c r="G16" s="84" t="str">
        <f>IF(OR($A16="",G$6="",NOT(ISNUMBER($H$2))),"",SUMIFS(数据录入!$F$5:$F$4999,数据录入!$C$5:$C$4999,$A16,数据录入!$B$5:$B$4999,G$6))</f>
        <v/>
      </c>
      <c r="H16" s="84" t="str">
        <f>IF(OR($A16="",H$6="",NOT(ISNUMBER($H$2))),"",SUMIFS(数据录入!$G$5:$G$4999,数据录入!$C$5:$C$4999,$A16,数据录入!$B$5:$B$4999,H$6))</f>
        <v/>
      </c>
      <c r="I16" s="84" t="str">
        <f>IF(OR($A16="",I$6="",NOT(ISNUMBER($H$2))),"",SUMIFS(数据录入!$F$5:$F$4999,数据录入!$C$5:$C$4999,$A16,数据录入!$B$5:$B$4999,I$6))</f>
        <v/>
      </c>
      <c r="J16" s="84" t="str">
        <f>IF(OR($A16="",J$6="",NOT(ISNUMBER($H$2))),"",SUMIFS(数据录入!$G$5:$G$4999,数据录入!$C$5:$C$4999,$A16,数据录入!$B$5:$B$4999,J$6))</f>
        <v/>
      </c>
      <c r="K16" s="84" t="str">
        <f>IF(OR($A16="",K$6="",NOT(ISNUMBER($H$2))),"",SUMIFS(数据录入!$F$5:$F$4999,数据录入!$C$5:$C$4999,$A16,数据录入!$B$5:$B$4999,K$6))</f>
        <v/>
      </c>
      <c r="L16" s="84" t="str">
        <f>IF(OR($A16="",L$6="",NOT(ISNUMBER($H$2))),"",SUMIFS(数据录入!$G$5:$G$4999,数据录入!$C$5:$C$4999,$A16,数据录入!$B$5:$B$4999,L$6))</f>
        <v/>
      </c>
      <c r="M16" s="84" t="str">
        <f>IF(OR($A16="",M$6="",NOT(ISNUMBER($H$2))),"",SUMIFS(数据录入!$F$5:$F$4999,数据录入!$C$5:$C$4999,$A16,数据录入!$B$5:$B$4999,M$6))</f>
        <v/>
      </c>
      <c r="N16" s="84" t="str">
        <f>IF(OR($A16="",N$6="",NOT(ISNUMBER($H$2))),"",SUMIFS(数据录入!$G$5:$G$4999,数据录入!$C$5:$C$4999,$A16,数据录入!$B$5:$B$4999,N$6))</f>
        <v/>
      </c>
      <c r="O16" s="84" t="str">
        <f>IF(OR($A16="",O$6="",NOT(ISNUMBER($H$2))),"",SUMIFS(数据录入!$F$5:$F$4999,数据录入!$C$5:$C$4999,$A16,数据录入!$B$5:$B$4999,O$6))</f>
        <v/>
      </c>
      <c r="P16" s="84" t="str">
        <f>IF(OR($A16="",P$6="",NOT(ISNUMBER($H$2))),"",SUMIFS(数据录入!$G$5:$G$4999,数据录入!$C$5:$C$4999,$A16,数据录入!$B$5:$B$4999,P$6))</f>
        <v/>
      </c>
      <c r="Q16" s="84" t="str">
        <f>IF(OR($A16="",Q$6="",NOT(ISNUMBER($H$2))),"",SUMIFS(数据录入!$F$5:$F$4999,数据录入!$C$5:$C$4999,$A16,数据录入!$B$5:$B$4999,Q$6))</f>
        <v/>
      </c>
      <c r="R16" s="84" t="str">
        <f>IF(OR($A16="",R$6="",NOT(ISNUMBER($H$2))),"",SUMIFS(数据录入!$G$5:$G$4999,数据录入!$C$5:$C$4999,$A16,数据录入!$B$5:$B$4999,R$6))</f>
        <v/>
      </c>
      <c r="S16" s="84" t="str">
        <f>IF(OR($A16="",S$6="",NOT(ISNUMBER($H$2))),"",SUMIFS(数据录入!$F$5:$F$4999,数据录入!$C$5:$C$4999,$A16,数据录入!$B$5:$B$4999,S$6))</f>
        <v/>
      </c>
      <c r="T16" s="84" t="str">
        <f>IF(OR($A16="",T$6="",NOT(ISNUMBER($H$2))),"",SUMIFS(数据录入!$G$5:$G$4999,数据录入!$C$5:$C$4999,$A16,数据录入!$B$5:$B$4999,T$6))</f>
        <v/>
      </c>
      <c r="U16" s="85" t="str">
        <f>IF(OR($A16="",U$6="",NOT(ISNUMBER($H$2))),"",SUMIFS(数据录入!$F$5:$F$4999,数据录入!$C$5:$C$4999,$A16,数据录入!$B$5:$B$4999,U$6))</f>
        <v/>
      </c>
      <c r="V16" s="85" t="str">
        <f>IF(OR($A16="",V$6="",NOT(ISNUMBER($H$2))),"",SUMIFS(数据录入!$G$5:$G$4999,数据录入!$C$5:$C$4999,$A16,数据录入!$B$5:$B$4999,V$6))</f>
        <v/>
      </c>
      <c r="W16" s="85" t="str">
        <f>IF(OR($A16="",W$6="",NOT(ISNUMBER($H$2))),"",SUMIFS(数据录入!$F$5:$F$4999,数据录入!$C$5:$C$4999,$A16,数据录入!$B$5:$B$4999,W$6))</f>
        <v/>
      </c>
      <c r="X16" s="85" t="str">
        <f>IF(OR($A16="",X$6="",NOT(ISNUMBER($H$2))),"",SUMIFS(数据录入!$G$5:$G$4999,数据录入!$C$5:$C$4999,$A16,数据录入!$B$5:$B$4999,X$6))</f>
        <v/>
      </c>
      <c r="Y16" s="85" t="str">
        <f>IF(OR($A16="",Y$6="",NOT(ISNUMBER($H$2))),"",SUMIFS(数据录入!$F$5:$F$4999,数据录入!$C$5:$C$4999,$A16,数据录入!$B$5:$B$4999,Y$6))</f>
        <v/>
      </c>
      <c r="Z16" s="85" t="str">
        <f>IF(OR($A16="",Z$6="",NOT(ISNUMBER($H$2))),"",SUMIFS(数据录入!$G$5:$G$4999,数据录入!$C$5:$C$4999,$A16,数据录入!$B$5:$B$4999,Z$6))</f>
        <v/>
      </c>
      <c r="AA16" s="85" t="str">
        <f>IF(OR($A16="",AA$6="",NOT(ISNUMBER($H$2))),"",SUMIFS(数据录入!$F$5:$F$4999,数据录入!$C$5:$C$4999,$A16,数据录入!$B$5:$B$4999,AA$6))</f>
        <v/>
      </c>
      <c r="AB16" s="85" t="str">
        <f>IF(OR($A16="",AB$6="",NOT(ISNUMBER($H$2))),"",SUMIFS(数据录入!$G$5:$G$4999,数据录入!$C$5:$C$4999,$A16,数据录入!$B$5:$B$4999,AB$6))</f>
        <v/>
      </c>
      <c r="AC16" s="85" t="str">
        <f>IF(OR($A16="",AC$6="",NOT(ISNUMBER($H$2))),"",SUMIFS(数据录入!$F$5:$F$4999,数据录入!$C$5:$C$4999,$A16,数据录入!$B$5:$B$4999,AC$6))</f>
        <v/>
      </c>
      <c r="AD16" s="85" t="str">
        <f>IF(OR($A16="",AD$6="",NOT(ISNUMBER($H$2))),"",SUMIFS(数据录入!$G$5:$G$4999,数据录入!$C$5:$C$4999,$A16,数据录入!$B$5:$B$4999,AD$6))</f>
        <v/>
      </c>
      <c r="AE16" s="85" t="str">
        <f>IF(OR($A16="",AE$6="",NOT(ISNUMBER($H$2))),"",SUMIFS(数据录入!$F$5:$F$4999,数据录入!$C$5:$C$4999,$A16,数据录入!$B$5:$B$4999,AE$6))</f>
        <v/>
      </c>
      <c r="AF16" s="85" t="str">
        <f>IF(OR($A16="",AF$6="",NOT(ISNUMBER($H$2))),"",SUMIFS(数据录入!$G$5:$G$4999,数据录入!$C$5:$C$4999,$A16,数据录入!$B$5:$B$4999,AF$6))</f>
        <v/>
      </c>
      <c r="AG16" s="85" t="str">
        <f>IF(OR($A16="",AG$6="",NOT(ISNUMBER($H$2))),"",SUMIFS(数据录入!$F$5:$F$4999,数据录入!$C$5:$C$4999,$A16,数据录入!$B$5:$B$4999,AG$6))</f>
        <v/>
      </c>
      <c r="AH16" s="85" t="str">
        <f>IF(OR($A16="",AH$6="",NOT(ISNUMBER($H$2))),"",SUMIFS(数据录入!$G$5:$G$4999,数据录入!$C$5:$C$4999,$A16,数据录入!$B$5:$B$4999,AH$6))</f>
        <v/>
      </c>
      <c r="AI16" s="85" t="str">
        <f>IF(OR($A16="",AI$6="",NOT(ISNUMBER($H$2))),"",SUMIFS(数据录入!$F$5:$F$4999,数据录入!$C$5:$C$4999,$A16,数据录入!$B$5:$B$4999,AI$6))</f>
        <v/>
      </c>
      <c r="AJ16" s="85" t="str">
        <f>IF(OR($A16="",AJ$6="",NOT(ISNUMBER($H$2))),"",SUMIFS(数据录入!$G$5:$G$4999,数据录入!$C$5:$C$4999,$A16,数据录入!$B$5:$B$4999,AJ$6))</f>
        <v/>
      </c>
      <c r="AK16" s="85" t="str">
        <f>IF(OR($A16="",AK$6="",NOT(ISNUMBER($H$2))),"",SUMIFS(数据录入!$F$5:$F$4999,数据录入!$C$5:$C$4999,$A16,数据录入!$B$5:$B$4999,AK$6))</f>
        <v/>
      </c>
      <c r="AL16" s="85" t="str">
        <f>IF(OR($A16="",AL$6="",NOT(ISNUMBER($H$2))),"",SUMIFS(数据录入!$G$5:$G$4999,数据录入!$C$5:$C$4999,$A16,数据录入!$B$5:$B$4999,AL$6))</f>
        <v/>
      </c>
      <c r="AM16" s="85" t="str">
        <f>IF(OR($A16="",AM$6="",NOT(ISNUMBER($H$2))),"",SUMIFS(数据录入!$F$5:$F$4999,数据录入!$C$5:$C$4999,$A16,数据录入!$B$5:$B$4999,AM$6))</f>
        <v/>
      </c>
      <c r="AN16" s="85" t="str">
        <f>IF(OR($A16="",AN$6="",NOT(ISNUMBER($H$2))),"",SUMIFS(数据录入!$G$5:$G$4999,数据录入!$C$5:$C$4999,$A16,数据录入!$B$5:$B$4999,AN$6))</f>
        <v/>
      </c>
      <c r="AO16" s="85" t="str">
        <f>IF(OR($A16="",AO$6="",NOT(ISNUMBER($H$2))),"",SUMIFS(数据录入!$F$5:$F$4999,数据录入!$C$5:$C$4999,$A16,数据录入!$B$5:$B$4999,AO$6))</f>
        <v/>
      </c>
      <c r="AP16" s="85" t="str">
        <f>IF(OR($A16="",AP$6="",NOT(ISNUMBER($H$2))),"",SUMIFS(数据录入!$G$5:$G$4999,数据录入!$C$5:$C$4999,$A16,数据录入!$B$5:$B$4999,AP$6))</f>
        <v/>
      </c>
      <c r="AQ16" s="85" t="str">
        <f>IF(OR($A16="",AQ$6="",NOT(ISNUMBER($H$2))),"",SUMIFS(数据录入!$F$5:$F$4999,数据录入!$C$5:$C$4999,$A16,数据录入!$B$5:$B$4999,AQ$6))</f>
        <v/>
      </c>
      <c r="AR16" s="85" t="str">
        <f>IF(OR($A16="",AR$6="",NOT(ISNUMBER($H$2))),"",SUMIFS(数据录入!$G$5:$G$4999,数据录入!$C$5:$C$4999,$A16,数据录入!$B$5:$B$4999,AR$6))</f>
        <v/>
      </c>
      <c r="AS16" s="85" t="str">
        <f>IF(OR($A16="",AS$6="",NOT(ISNUMBER($H$2))),"",SUMIFS(数据录入!$F$5:$F$4999,数据录入!$C$5:$C$4999,$A16,数据录入!$B$5:$B$4999,AS$6))</f>
        <v/>
      </c>
      <c r="AT16" s="85" t="str">
        <f>IF(OR($A16="",AT$6="",NOT(ISNUMBER($H$2))),"",SUMIFS(数据录入!$G$5:$G$4999,数据录入!$C$5:$C$4999,$A16,数据录入!$B$5:$B$4999,AT$6))</f>
        <v/>
      </c>
      <c r="AU16" s="85" t="str">
        <f>IF(OR($A16="",AU$6="",NOT(ISNUMBER($H$2))),"",SUMIFS(数据录入!$F$5:$F$4999,数据录入!$C$5:$C$4999,$A16,数据录入!$B$5:$B$4999,AU$6))</f>
        <v/>
      </c>
      <c r="AV16" s="85" t="str">
        <f>IF(OR($A16="",AV$6="",NOT(ISNUMBER($H$2))),"",SUMIFS(数据录入!$G$5:$G$4999,数据录入!$C$5:$C$4999,$A16,数据录入!$B$5:$B$4999,AV$6))</f>
        <v/>
      </c>
      <c r="AW16" s="85" t="str">
        <f>IF(OR($A16="",AW$6="",NOT(ISNUMBER($H$2))),"",SUMIFS(数据录入!$F$5:$F$4999,数据录入!$C$5:$C$4999,$A16,数据录入!$B$5:$B$4999,AW$6))</f>
        <v/>
      </c>
      <c r="AX16" s="85" t="str">
        <f>IF(OR($A16="",AX$6="",NOT(ISNUMBER($H$2))),"",SUMIFS(数据录入!$G$5:$G$4999,数据录入!$C$5:$C$4999,$A16,数据录入!$B$5:$B$4999,AX$6))</f>
        <v/>
      </c>
      <c r="AY16" s="85" t="str">
        <f>IF(OR($A16="",AY$6="",NOT(ISNUMBER($H$2))),"",SUMIFS(数据录入!$F$5:$F$4999,数据录入!$C$5:$C$4999,$A16,数据录入!$B$5:$B$4999,AY$6))</f>
        <v/>
      </c>
      <c r="AZ16" s="85" t="str">
        <f>IF(OR($A16="",AZ$6="",NOT(ISNUMBER($H$2))),"",SUMIFS(数据录入!$G$5:$G$4999,数据录入!$C$5:$C$4999,$A16,数据录入!$B$5:$B$4999,AZ$6))</f>
        <v/>
      </c>
      <c r="BA16" s="85" t="str">
        <f>IF(OR($A16="",BA$6="",NOT(ISNUMBER($H$2))),"",SUMIFS(数据录入!$F$5:$F$4999,数据录入!$C$5:$C$4999,$A16,数据录入!$B$5:$B$4999,BA$6))</f>
        <v/>
      </c>
      <c r="BB16" s="85" t="str">
        <f>IF(OR($A16="",BB$6="",NOT(ISNUMBER($H$2))),"",SUMIFS(数据录入!$G$5:$G$4999,数据录入!$C$5:$C$4999,$A16,数据录入!$B$5:$B$4999,BB$6))</f>
        <v/>
      </c>
      <c r="BC16" s="85" t="str">
        <f>IF(OR($A16="",BC$6="",NOT(ISNUMBER($H$2))),"",SUMIFS(数据录入!$F$5:$F$4999,数据录入!$C$5:$C$4999,$A16,数据录入!$B$5:$B$4999,BC$6))</f>
        <v/>
      </c>
      <c r="BD16" s="85" t="str">
        <f>IF(OR($A16="",BD$6="",NOT(ISNUMBER($H$2))),"",SUMIFS(数据录入!$G$5:$G$4999,数据录入!$C$5:$C$4999,$A16,数据录入!$B$5:$B$4999,BD$6))</f>
        <v/>
      </c>
      <c r="BE16" s="85" t="str">
        <f>IF(OR($A16="",BE$6="",NOT(ISNUMBER($H$2))),"",SUMIFS(数据录入!$F$5:$F$4999,数据录入!$C$5:$C$4999,$A16,数据录入!$B$5:$B$4999,BE$6))</f>
        <v/>
      </c>
      <c r="BF16" s="85" t="str">
        <f>IF(OR($A16="",BF$6="",NOT(ISNUMBER($H$2))),"",SUMIFS(数据录入!$G$5:$G$4999,数据录入!$C$5:$C$4999,$A16,数据录入!$B$5:$B$4999,BF$6))</f>
        <v/>
      </c>
      <c r="BG16" s="85" t="str">
        <f>IF(OR($A16="",BG$6="",NOT(ISNUMBER($H$2))),"",SUMIFS(数据录入!$F$5:$F$4999,数据录入!$C$5:$C$4999,$A16,数据录入!$B$5:$B$4999,BG$6))</f>
        <v/>
      </c>
      <c r="BH16" s="85" t="str">
        <f>IF(OR($A16="",BH$6="",NOT(ISNUMBER($H$2))),"",SUMIFS(数据录入!$G$5:$G$4999,数据录入!$C$5:$C$4999,$A16,数据录入!$B$5:$B$4999,BH$6))</f>
        <v/>
      </c>
      <c r="BI16" s="85" t="str">
        <f>IF(OR($A16="",BI$6="",NOT(ISNUMBER($H$2))),"",SUMIFS(数据录入!$F$5:$F$4999,数据录入!$C$5:$C$4999,$A16,数据录入!$B$5:$B$4999,BI$6))</f>
        <v/>
      </c>
      <c r="BJ16" s="85" t="str">
        <f>IF(OR($A16="",BJ$6="",NOT(ISNUMBER($H$2))),"",SUMIFS(数据录入!$G$5:$G$4999,数据录入!$C$5:$C$4999,$A16,数据录入!$B$5:$B$4999,BJ$6))</f>
        <v/>
      </c>
      <c r="BK16" s="85" t="str">
        <f>IF(OR($A16="",BK$6="",NOT(ISNUMBER($H$2))),"",SUMIFS(数据录入!$F$5:$F$4999,数据录入!$C$5:$C$4999,$A16,数据录入!$B$5:$B$4999,BK$6))</f>
        <v/>
      </c>
      <c r="BL16" s="85" t="str">
        <f>IF(OR($A16="",BL$6="",NOT(ISNUMBER($H$2))),"",SUMIFS(数据录入!$G$5:$G$4999,数据录入!$C$5:$C$4999,$A16,数据录入!$B$5:$B$4999,BL$6))</f>
        <v/>
      </c>
      <c r="BM16" s="85" t="str">
        <f t="shared" si="0"/>
        <v/>
      </c>
      <c r="BN16" s="85" t="str">
        <f t="shared" si="1"/>
        <v/>
      </c>
      <c r="BO16" s="85" t="str">
        <f t="shared" si="2"/>
        <v/>
      </c>
      <c r="BP16" s="85"/>
    </row>
    <row r="17" s="64" customFormat="1" ht="20" customHeight="1" spans="1:68">
      <c r="A17" s="73"/>
      <c r="B17" s="84" t="str">
        <f>IF(OR($A17="",NOT(ISNUMBER($H$2))),"",SUMIFS(数据录入!$H$5:$H$4999,数据录入!$C$5:$C$4999,$A17,数据录入!$E$5:$E$4999,"期初余额",数据录入!$B$5:$B$4999,"&lt;="&amp;$B$2)+SUMIFS(数据录入!$F$5:$F$4999,数据录入!$C$5:$C$4999,$A17,数据录入!$B$5:$B$4999,"&lt;"&amp;$B$2)-SUMIFS(数据录入!$G$5:$G$4999,数据录入!$C$5:$C$4999,$A17,数据录入!$B$5:$B$4999,"&lt;"&amp;$B$2))</f>
        <v/>
      </c>
      <c r="C17" s="84" t="str">
        <f>IF(OR($A17="",C$6="",NOT(ISNUMBER($H$2))),"",SUMIFS(数据录入!$F$5:$F$4999,数据录入!$C$5:$C$4999,$A17,数据录入!$B$5:$B$4999,C$6))</f>
        <v/>
      </c>
      <c r="D17" s="84" t="str">
        <f>IF(OR($A17="",D$6="",NOT(ISNUMBER($H$2))),"",SUMIFS(数据录入!$G$5:$G$4999,数据录入!$C$5:$C$4999,$A17,数据录入!$B$5:$B$4999,D$6))</f>
        <v/>
      </c>
      <c r="E17" s="84" t="str">
        <f>IF(OR($A17="",E$6="",NOT(ISNUMBER($H$2))),"",SUMIFS(数据录入!$F$5:$F$4999,数据录入!$C$5:$C$4999,$A17,数据录入!$B$5:$B$4999,E$6))</f>
        <v/>
      </c>
      <c r="F17" s="84" t="str">
        <f>IF(OR($A17="",F$6="",NOT(ISNUMBER($H$2))),"",SUMIFS(数据录入!$G$5:$G$4999,数据录入!$C$5:$C$4999,$A17,数据录入!$B$5:$B$4999,F$6))</f>
        <v/>
      </c>
      <c r="G17" s="84" t="str">
        <f>IF(OR($A17="",G$6="",NOT(ISNUMBER($H$2))),"",SUMIFS(数据录入!$F$5:$F$4999,数据录入!$C$5:$C$4999,$A17,数据录入!$B$5:$B$4999,G$6))</f>
        <v/>
      </c>
      <c r="H17" s="84" t="str">
        <f>IF(OR($A17="",H$6="",NOT(ISNUMBER($H$2))),"",SUMIFS(数据录入!$G$5:$G$4999,数据录入!$C$5:$C$4999,$A17,数据录入!$B$5:$B$4999,H$6))</f>
        <v/>
      </c>
      <c r="I17" s="84" t="str">
        <f>IF(OR($A17="",I$6="",NOT(ISNUMBER($H$2))),"",SUMIFS(数据录入!$F$5:$F$4999,数据录入!$C$5:$C$4999,$A17,数据录入!$B$5:$B$4999,I$6))</f>
        <v/>
      </c>
      <c r="J17" s="84" t="str">
        <f>IF(OR($A17="",J$6="",NOT(ISNUMBER($H$2))),"",SUMIFS(数据录入!$G$5:$G$4999,数据录入!$C$5:$C$4999,$A17,数据录入!$B$5:$B$4999,J$6))</f>
        <v/>
      </c>
      <c r="K17" s="84" t="str">
        <f>IF(OR($A17="",K$6="",NOT(ISNUMBER($H$2))),"",SUMIFS(数据录入!$F$5:$F$4999,数据录入!$C$5:$C$4999,$A17,数据录入!$B$5:$B$4999,K$6))</f>
        <v/>
      </c>
      <c r="L17" s="84" t="str">
        <f>IF(OR($A17="",L$6="",NOT(ISNUMBER($H$2))),"",SUMIFS(数据录入!$G$5:$G$4999,数据录入!$C$5:$C$4999,$A17,数据录入!$B$5:$B$4999,L$6))</f>
        <v/>
      </c>
      <c r="M17" s="84" t="str">
        <f>IF(OR($A17="",M$6="",NOT(ISNUMBER($H$2))),"",SUMIFS(数据录入!$F$5:$F$4999,数据录入!$C$5:$C$4999,$A17,数据录入!$B$5:$B$4999,M$6))</f>
        <v/>
      </c>
      <c r="N17" s="84" t="str">
        <f>IF(OR($A17="",N$6="",NOT(ISNUMBER($H$2))),"",SUMIFS(数据录入!$G$5:$G$4999,数据录入!$C$5:$C$4999,$A17,数据录入!$B$5:$B$4999,N$6))</f>
        <v/>
      </c>
      <c r="O17" s="84" t="str">
        <f>IF(OR($A17="",O$6="",NOT(ISNUMBER($H$2))),"",SUMIFS(数据录入!$F$5:$F$4999,数据录入!$C$5:$C$4999,$A17,数据录入!$B$5:$B$4999,O$6))</f>
        <v/>
      </c>
      <c r="P17" s="84" t="str">
        <f>IF(OR($A17="",P$6="",NOT(ISNUMBER($H$2))),"",SUMIFS(数据录入!$G$5:$G$4999,数据录入!$C$5:$C$4999,$A17,数据录入!$B$5:$B$4999,P$6))</f>
        <v/>
      </c>
      <c r="Q17" s="84" t="str">
        <f>IF(OR($A17="",Q$6="",NOT(ISNUMBER($H$2))),"",SUMIFS(数据录入!$F$5:$F$4999,数据录入!$C$5:$C$4999,$A17,数据录入!$B$5:$B$4999,Q$6))</f>
        <v/>
      </c>
      <c r="R17" s="84" t="str">
        <f>IF(OR($A17="",R$6="",NOT(ISNUMBER($H$2))),"",SUMIFS(数据录入!$G$5:$G$4999,数据录入!$C$5:$C$4999,$A17,数据录入!$B$5:$B$4999,R$6))</f>
        <v/>
      </c>
      <c r="S17" s="84" t="str">
        <f>IF(OR($A17="",S$6="",NOT(ISNUMBER($H$2))),"",SUMIFS(数据录入!$F$5:$F$4999,数据录入!$C$5:$C$4999,$A17,数据录入!$B$5:$B$4999,S$6))</f>
        <v/>
      </c>
      <c r="T17" s="84" t="str">
        <f>IF(OR($A17="",T$6="",NOT(ISNUMBER($H$2))),"",SUMIFS(数据录入!$G$5:$G$4999,数据录入!$C$5:$C$4999,$A17,数据录入!$B$5:$B$4999,T$6))</f>
        <v/>
      </c>
      <c r="U17" s="85" t="str">
        <f>IF(OR($A17="",U$6="",NOT(ISNUMBER($H$2))),"",SUMIFS(数据录入!$F$5:$F$4999,数据录入!$C$5:$C$4999,$A17,数据录入!$B$5:$B$4999,U$6))</f>
        <v/>
      </c>
      <c r="V17" s="85" t="str">
        <f>IF(OR($A17="",V$6="",NOT(ISNUMBER($H$2))),"",SUMIFS(数据录入!$G$5:$G$4999,数据录入!$C$5:$C$4999,$A17,数据录入!$B$5:$B$4999,V$6))</f>
        <v/>
      </c>
      <c r="W17" s="85" t="str">
        <f>IF(OR($A17="",W$6="",NOT(ISNUMBER($H$2))),"",SUMIFS(数据录入!$F$5:$F$4999,数据录入!$C$5:$C$4999,$A17,数据录入!$B$5:$B$4999,W$6))</f>
        <v/>
      </c>
      <c r="X17" s="85" t="str">
        <f>IF(OR($A17="",X$6="",NOT(ISNUMBER($H$2))),"",SUMIFS(数据录入!$G$5:$G$4999,数据录入!$C$5:$C$4999,$A17,数据录入!$B$5:$B$4999,X$6))</f>
        <v/>
      </c>
      <c r="Y17" s="85" t="str">
        <f>IF(OR($A17="",Y$6="",NOT(ISNUMBER($H$2))),"",SUMIFS(数据录入!$F$5:$F$4999,数据录入!$C$5:$C$4999,$A17,数据录入!$B$5:$B$4999,Y$6))</f>
        <v/>
      </c>
      <c r="Z17" s="85" t="str">
        <f>IF(OR($A17="",Z$6="",NOT(ISNUMBER($H$2))),"",SUMIFS(数据录入!$G$5:$G$4999,数据录入!$C$5:$C$4999,$A17,数据录入!$B$5:$B$4999,Z$6))</f>
        <v/>
      </c>
      <c r="AA17" s="85" t="str">
        <f>IF(OR($A17="",AA$6="",NOT(ISNUMBER($H$2))),"",SUMIFS(数据录入!$F$5:$F$4999,数据录入!$C$5:$C$4999,$A17,数据录入!$B$5:$B$4999,AA$6))</f>
        <v/>
      </c>
      <c r="AB17" s="85" t="str">
        <f>IF(OR($A17="",AB$6="",NOT(ISNUMBER($H$2))),"",SUMIFS(数据录入!$G$5:$G$4999,数据录入!$C$5:$C$4999,$A17,数据录入!$B$5:$B$4999,AB$6))</f>
        <v/>
      </c>
      <c r="AC17" s="85" t="str">
        <f>IF(OR($A17="",AC$6="",NOT(ISNUMBER($H$2))),"",SUMIFS(数据录入!$F$5:$F$4999,数据录入!$C$5:$C$4999,$A17,数据录入!$B$5:$B$4999,AC$6))</f>
        <v/>
      </c>
      <c r="AD17" s="85" t="str">
        <f>IF(OR($A17="",AD$6="",NOT(ISNUMBER($H$2))),"",SUMIFS(数据录入!$G$5:$G$4999,数据录入!$C$5:$C$4999,$A17,数据录入!$B$5:$B$4999,AD$6))</f>
        <v/>
      </c>
      <c r="AE17" s="85" t="str">
        <f>IF(OR($A17="",AE$6="",NOT(ISNUMBER($H$2))),"",SUMIFS(数据录入!$F$5:$F$4999,数据录入!$C$5:$C$4999,$A17,数据录入!$B$5:$B$4999,AE$6))</f>
        <v/>
      </c>
      <c r="AF17" s="85" t="str">
        <f>IF(OR($A17="",AF$6="",NOT(ISNUMBER($H$2))),"",SUMIFS(数据录入!$G$5:$G$4999,数据录入!$C$5:$C$4999,$A17,数据录入!$B$5:$B$4999,AF$6))</f>
        <v/>
      </c>
      <c r="AG17" s="85" t="str">
        <f>IF(OR($A17="",AG$6="",NOT(ISNUMBER($H$2))),"",SUMIFS(数据录入!$F$5:$F$4999,数据录入!$C$5:$C$4999,$A17,数据录入!$B$5:$B$4999,AG$6))</f>
        <v/>
      </c>
      <c r="AH17" s="85" t="str">
        <f>IF(OR($A17="",AH$6="",NOT(ISNUMBER($H$2))),"",SUMIFS(数据录入!$G$5:$G$4999,数据录入!$C$5:$C$4999,$A17,数据录入!$B$5:$B$4999,AH$6))</f>
        <v/>
      </c>
      <c r="AI17" s="85" t="str">
        <f>IF(OR($A17="",AI$6="",NOT(ISNUMBER($H$2))),"",SUMIFS(数据录入!$F$5:$F$4999,数据录入!$C$5:$C$4999,$A17,数据录入!$B$5:$B$4999,AI$6))</f>
        <v/>
      </c>
      <c r="AJ17" s="85" t="str">
        <f>IF(OR($A17="",AJ$6="",NOT(ISNUMBER($H$2))),"",SUMIFS(数据录入!$G$5:$G$4999,数据录入!$C$5:$C$4999,$A17,数据录入!$B$5:$B$4999,AJ$6))</f>
        <v/>
      </c>
      <c r="AK17" s="85" t="str">
        <f>IF(OR($A17="",AK$6="",NOT(ISNUMBER($H$2))),"",SUMIFS(数据录入!$F$5:$F$4999,数据录入!$C$5:$C$4999,$A17,数据录入!$B$5:$B$4999,AK$6))</f>
        <v/>
      </c>
      <c r="AL17" s="85" t="str">
        <f>IF(OR($A17="",AL$6="",NOT(ISNUMBER($H$2))),"",SUMIFS(数据录入!$G$5:$G$4999,数据录入!$C$5:$C$4999,$A17,数据录入!$B$5:$B$4999,AL$6))</f>
        <v/>
      </c>
      <c r="AM17" s="85" t="str">
        <f>IF(OR($A17="",AM$6="",NOT(ISNUMBER($H$2))),"",SUMIFS(数据录入!$F$5:$F$4999,数据录入!$C$5:$C$4999,$A17,数据录入!$B$5:$B$4999,AM$6))</f>
        <v/>
      </c>
      <c r="AN17" s="85" t="str">
        <f>IF(OR($A17="",AN$6="",NOT(ISNUMBER($H$2))),"",SUMIFS(数据录入!$G$5:$G$4999,数据录入!$C$5:$C$4999,$A17,数据录入!$B$5:$B$4999,AN$6))</f>
        <v/>
      </c>
      <c r="AO17" s="85" t="str">
        <f>IF(OR($A17="",AO$6="",NOT(ISNUMBER($H$2))),"",SUMIFS(数据录入!$F$5:$F$4999,数据录入!$C$5:$C$4999,$A17,数据录入!$B$5:$B$4999,AO$6))</f>
        <v/>
      </c>
      <c r="AP17" s="85" t="str">
        <f>IF(OR($A17="",AP$6="",NOT(ISNUMBER($H$2))),"",SUMIFS(数据录入!$G$5:$G$4999,数据录入!$C$5:$C$4999,$A17,数据录入!$B$5:$B$4999,AP$6))</f>
        <v/>
      </c>
      <c r="AQ17" s="85" t="str">
        <f>IF(OR($A17="",AQ$6="",NOT(ISNUMBER($H$2))),"",SUMIFS(数据录入!$F$5:$F$4999,数据录入!$C$5:$C$4999,$A17,数据录入!$B$5:$B$4999,AQ$6))</f>
        <v/>
      </c>
      <c r="AR17" s="85" t="str">
        <f>IF(OR($A17="",AR$6="",NOT(ISNUMBER($H$2))),"",SUMIFS(数据录入!$G$5:$G$4999,数据录入!$C$5:$C$4999,$A17,数据录入!$B$5:$B$4999,AR$6))</f>
        <v/>
      </c>
      <c r="AS17" s="85" t="str">
        <f>IF(OR($A17="",AS$6="",NOT(ISNUMBER($H$2))),"",SUMIFS(数据录入!$F$5:$F$4999,数据录入!$C$5:$C$4999,$A17,数据录入!$B$5:$B$4999,AS$6))</f>
        <v/>
      </c>
      <c r="AT17" s="85" t="str">
        <f>IF(OR($A17="",AT$6="",NOT(ISNUMBER($H$2))),"",SUMIFS(数据录入!$G$5:$G$4999,数据录入!$C$5:$C$4999,$A17,数据录入!$B$5:$B$4999,AT$6))</f>
        <v/>
      </c>
      <c r="AU17" s="85" t="str">
        <f>IF(OR($A17="",AU$6="",NOT(ISNUMBER($H$2))),"",SUMIFS(数据录入!$F$5:$F$4999,数据录入!$C$5:$C$4999,$A17,数据录入!$B$5:$B$4999,AU$6))</f>
        <v/>
      </c>
      <c r="AV17" s="85" t="str">
        <f>IF(OR($A17="",AV$6="",NOT(ISNUMBER($H$2))),"",SUMIFS(数据录入!$G$5:$G$4999,数据录入!$C$5:$C$4999,$A17,数据录入!$B$5:$B$4999,AV$6))</f>
        <v/>
      </c>
      <c r="AW17" s="85" t="str">
        <f>IF(OR($A17="",AW$6="",NOT(ISNUMBER($H$2))),"",SUMIFS(数据录入!$F$5:$F$4999,数据录入!$C$5:$C$4999,$A17,数据录入!$B$5:$B$4999,AW$6))</f>
        <v/>
      </c>
      <c r="AX17" s="85" t="str">
        <f>IF(OR($A17="",AX$6="",NOT(ISNUMBER($H$2))),"",SUMIFS(数据录入!$G$5:$G$4999,数据录入!$C$5:$C$4999,$A17,数据录入!$B$5:$B$4999,AX$6))</f>
        <v/>
      </c>
      <c r="AY17" s="85" t="str">
        <f>IF(OR($A17="",AY$6="",NOT(ISNUMBER($H$2))),"",SUMIFS(数据录入!$F$5:$F$4999,数据录入!$C$5:$C$4999,$A17,数据录入!$B$5:$B$4999,AY$6))</f>
        <v/>
      </c>
      <c r="AZ17" s="85" t="str">
        <f>IF(OR($A17="",AZ$6="",NOT(ISNUMBER($H$2))),"",SUMIFS(数据录入!$G$5:$G$4999,数据录入!$C$5:$C$4999,$A17,数据录入!$B$5:$B$4999,AZ$6))</f>
        <v/>
      </c>
      <c r="BA17" s="85" t="str">
        <f>IF(OR($A17="",BA$6="",NOT(ISNUMBER($H$2))),"",SUMIFS(数据录入!$F$5:$F$4999,数据录入!$C$5:$C$4999,$A17,数据录入!$B$5:$B$4999,BA$6))</f>
        <v/>
      </c>
      <c r="BB17" s="85" t="str">
        <f>IF(OR($A17="",BB$6="",NOT(ISNUMBER($H$2))),"",SUMIFS(数据录入!$G$5:$G$4999,数据录入!$C$5:$C$4999,$A17,数据录入!$B$5:$B$4999,BB$6))</f>
        <v/>
      </c>
      <c r="BC17" s="85" t="str">
        <f>IF(OR($A17="",BC$6="",NOT(ISNUMBER($H$2))),"",SUMIFS(数据录入!$F$5:$F$4999,数据录入!$C$5:$C$4999,$A17,数据录入!$B$5:$B$4999,BC$6))</f>
        <v/>
      </c>
      <c r="BD17" s="85" t="str">
        <f>IF(OR($A17="",BD$6="",NOT(ISNUMBER($H$2))),"",SUMIFS(数据录入!$G$5:$G$4999,数据录入!$C$5:$C$4999,$A17,数据录入!$B$5:$B$4999,BD$6))</f>
        <v/>
      </c>
      <c r="BE17" s="85" t="str">
        <f>IF(OR($A17="",BE$6="",NOT(ISNUMBER($H$2))),"",SUMIFS(数据录入!$F$5:$F$4999,数据录入!$C$5:$C$4999,$A17,数据录入!$B$5:$B$4999,BE$6))</f>
        <v/>
      </c>
      <c r="BF17" s="85" t="str">
        <f>IF(OR($A17="",BF$6="",NOT(ISNUMBER($H$2))),"",SUMIFS(数据录入!$G$5:$G$4999,数据录入!$C$5:$C$4999,$A17,数据录入!$B$5:$B$4999,BF$6))</f>
        <v/>
      </c>
      <c r="BG17" s="85" t="str">
        <f>IF(OR($A17="",BG$6="",NOT(ISNUMBER($H$2))),"",SUMIFS(数据录入!$F$5:$F$4999,数据录入!$C$5:$C$4999,$A17,数据录入!$B$5:$B$4999,BG$6))</f>
        <v/>
      </c>
      <c r="BH17" s="85" t="str">
        <f>IF(OR($A17="",BH$6="",NOT(ISNUMBER($H$2))),"",SUMIFS(数据录入!$G$5:$G$4999,数据录入!$C$5:$C$4999,$A17,数据录入!$B$5:$B$4999,BH$6))</f>
        <v/>
      </c>
      <c r="BI17" s="85" t="str">
        <f>IF(OR($A17="",BI$6="",NOT(ISNUMBER($H$2))),"",SUMIFS(数据录入!$F$5:$F$4999,数据录入!$C$5:$C$4999,$A17,数据录入!$B$5:$B$4999,BI$6))</f>
        <v/>
      </c>
      <c r="BJ17" s="85" t="str">
        <f>IF(OR($A17="",BJ$6="",NOT(ISNUMBER($H$2))),"",SUMIFS(数据录入!$G$5:$G$4999,数据录入!$C$5:$C$4999,$A17,数据录入!$B$5:$B$4999,BJ$6))</f>
        <v/>
      </c>
      <c r="BK17" s="85" t="str">
        <f>IF(OR($A17="",BK$6="",NOT(ISNUMBER($H$2))),"",SUMIFS(数据录入!$F$5:$F$4999,数据录入!$C$5:$C$4999,$A17,数据录入!$B$5:$B$4999,BK$6))</f>
        <v/>
      </c>
      <c r="BL17" s="85" t="str">
        <f>IF(OR($A17="",BL$6="",NOT(ISNUMBER($H$2))),"",SUMIFS(数据录入!$G$5:$G$4999,数据录入!$C$5:$C$4999,$A17,数据录入!$B$5:$B$4999,BL$6))</f>
        <v/>
      </c>
      <c r="BM17" s="85" t="str">
        <f t="shared" si="0"/>
        <v/>
      </c>
      <c r="BN17" s="85" t="str">
        <f t="shared" si="1"/>
        <v/>
      </c>
      <c r="BO17" s="85" t="str">
        <f t="shared" si="2"/>
        <v/>
      </c>
      <c r="BP17" s="85"/>
    </row>
    <row r="18" s="64" customFormat="1" ht="20" customHeight="1" spans="1:68">
      <c r="A18" s="73"/>
      <c r="B18" s="84" t="str">
        <f>IF(OR($A18="",NOT(ISNUMBER($H$2))),"",SUMIFS(数据录入!$H$5:$H$4999,数据录入!$C$5:$C$4999,$A18,数据录入!$E$5:$E$4999,"期初余额",数据录入!$B$5:$B$4999,"&lt;="&amp;$B$2)+SUMIFS(数据录入!$F$5:$F$4999,数据录入!$C$5:$C$4999,$A18,数据录入!$B$5:$B$4999,"&lt;"&amp;$B$2)-SUMIFS(数据录入!$G$5:$G$4999,数据录入!$C$5:$C$4999,$A18,数据录入!$B$5:$B$4999,"&lt;"&amp;$B$2))</f>
        <v/>
      </c>
      <c r="C18" s="84" t="str">
        <f>IF(OR($A18="",C$6="",NOT(ISNUMBER($H$2))),"",SUMIFS(数据录入!$F$5:$F$4999,数据录入!$C$5:$C$4999,$A18,数据录入!$B$5:$B$4999,C$6))</f>
        <v/>
      </c>
      <c r="D18" s="84" t="str">
        <f>IF(OR($A18="",D$6="",NOT(ISNUMBER($H$2))),"",SUMIFS(数据录入!$G$5:$G$4999,数据录入!$C$5:$C$4999,$A18,数据录入!$B$5:$B$4999,D$6))</f>
        <v/>
      </c>
      <c r="E18" s="84" t="str">
        <f>IF(OR($A18="",E$6="",NOT(ISNUMBER($H$2))),"",SUMIFS(数据录入!$F$5:$F$4999,数据录入!$C$5:$C$4999,$A18,数据录入!$B$5:$B$4999,E$6))</f>
        <v/>
      </c>
      <c r="F18" s="84" t="str">
        <f>IF(OR($A18="",F$6="",NOT(ISNUMBER($H$2))),"",SUMIFS(数据录入!$G$5:$G$4999,数据录入!$C$5:$C$4999,$A18,数据录入!$B$5:$B$4999,F$6))</f>
        <v/>
      </c>
      <c r="G18" s="84" t="str">
        <f>IF(OR($A18="",G$6="",NOT(ISNUMBER($H$2))),"",SUMIFS(数据录入!$F$5:$F$4999,数据录入!$C$5:$C$4999,$A18,数据录入!$B$5:$B$4999,G$6))</f>
        <v/>
      </c>
      <c r="H18" s="84" t="str">
        <f>IF(OR($A18="",H$6="",NOT(ISNUMBER($H$2))),"",SUMIFS(数据录入!$G$5:$G$4999,数据录入!$C$5:$C$4999,$A18,数据录入!$B$5:$B$4999,H$6))</f>
        <v/>
      </c>
      <c r="I18" s="84" t="str">
        <f>IF(OR($A18="",I$6="",NOT(ISNUMBER($H$2))),"",SUMIFS(数据录入!$F$5:$F$4999,数据录入!$C$5:$C$4999,$A18,数据录入!$B$5:$B$4999,I$6))</f>
        <v/>
      </c>
      <c r="J18" s="84" t="str">
        <f>IF(OR($A18="",J$6="",NOT(ISNUMBER($H$2))),"",SUMIFS(数据录入!$G$5:$G$4999,数据录入!$C$5:$C$4999,$A18,数据录入!$B$5:$B$4999,J$6))</f>
        <v/>
      </c>
      <c r="K18" s="84" t="str">
        <f>IF(OR($A18="",K$6="",NOT(ISNUMBER($H$2))),"",SUMIFS(数据录入!$F$5:$F$4999,数据录入!$C$5:$C$4999,$A18,数据录入!$B$5:$B$4999,K$6))</f>
        <v/>
      </c>
      <c r="L18" s="84" t="str">
        <f>IF(OR($A18="",L$6="",NOT(ISNUMBER($H$2))),"",SUMIFS(数据录入!$G$5:$G$4999,数据录入!$C$5:$C$4999,$A18,数据录入!$B$5:$B$4999,L$6))</f>
        <v/>
      </c>
      <c r="M18" s="84" t="str">
        <f>IF(OR($A18="",M$6="",NOT(ISNUMBER($H$2))),"",SUMIFS(数据录入!$F$5:$F$4999,数据录入!$C$5:$C$4999,$A18,数据录入!$B$5:$B$4999,M$6))</f>
        <v/>
      </c>
      <c r="N18" s="84" t="str">
        <f>IF(OR($A18="",N$6="",NOT(ISNUMBER($H$2))),"",SUMIFS(数据录入!$G$5:$G$4999,数据录入!$C$5:$C$4999,$A18,数据录入!$B$5:$B$4999,N$6))</f>
        <v/>
      </c>
      <c r="O18" s="84" t="str">
        <f>IF(OR($A18="",O$6="",NOT(ISNUMBER($H$2))),"",SUMIFS(数据录入!$F$5:$F$4999,数据录入!$C$5:$C$4999,$A18,数据录入!$B$5:$B$4999,O$6))</f>
        <v/>
      </c>
      <c r="P18" s="84" t="str">
        <f>IF(OR($A18="",P$6="",NOT(ISNUMBER($H$2))),"",SUMIFS(数据录入!$G$5:$G$4999,数据录入!$C$5:$C$4999,$A18,数据录入!$B$5:$B$4999,P$6))</f>
        <v/>
      </c>
      <c r="Q18" s="84" t="str">
        <f>IF(OR($A18="",Q$6="",NOT(ISNUMBER($H$2))),"",SUMIFS(数据录入!$F$5:$F$4999,数据录入!$C$5:$C$4999,$A18,数据录入!$B$5:$B$4999,Q$6))</f>
        <v/>
      </c>
      <c r="R18" s="84" t="str">
        <f>IF(OR($A18="",R$6="",NOT(ISNUMBER($H$2))),"",SUMIFS(数据录入!$G$5:$G$4999,数据录入!$C$5:$C$4999,$A18,数据录入!$B$5:$B$4999,R$6))</f>
        <v/>
      </c>
      <c r="S18" s="84" t="str">
        <f>IF(OR($A18="",S$6="",NOT(ISNUMBER($H$2))),"",SUMIFS(数据录入!$F$5:$F$4999,数据录入!$C$5:$C$4999,$A18,数据录入!$B$5:$B$4999,S$6))</f>
        <v/>
      </c>
      <c r="T18" s="84" t="str">
        <f>IF(OR($A18="",T$6="",NOT(ISNUMBER($H$2))),"",SUMIFS(数据录入!$G$5:$G$4999,数据录入!$C$5:$C$4999,$A18,数据录入!$B$5:$B$4999,T$6))</f>
        <v/>
      </c>
      <c r="U18" s="85" t="str">
        <f>IF(OR($A18="",U$6="",NOT(ISNUMBER($H$2))),"",SUMIFS(数据录入!$F$5:$F$4999,数据录入!$C$5:$C$4999,$A18,数据录入!$B$5:$B$4999,U$6))</f>
        <v/>
      </c>
      <c r="V18" s="85" t="str">
        <f>IF(OR($A18="",V$6="",NOT(ISNUMBER($H$2))),"",SUMIFS(数据录入!$G$5:$G$4999,数据录入!$C$5:$C$4999,$A18,数据录入!$B$5:$B$4999,V$6))</f>
        <v/>
      </c>
      <c r="W18" s="85" t="str">
        <f>IF(OR($A18="",W$6="",NOT(ISNUMBER($H$2))),"",SUMIFS(数据录入!$F$5:$F$4999,数据录入!$C$5:$C$4999,$A18,数据录入!$B$5:$B$4999,W$6))</f>
        <v/>
      </c>
      <c r="X18" s="85" t="str">
        <f>IF(OR($A18="",X$6="",NOT(ISNUMBER($H$2))),"",SUMIFS(数据录入!$G$5:$G$4999,数据录入!$C$5:$C$4999,$A18,数据录入!$B$5:$B$4999,X$6))</f>
        <v/>
      </c>
      <c r="Y18" s="85" t="str">
        <f>IF(OR($A18="",Y$6="",NOT(ISNUMBER($H$2))),"",SUMIFS(数据录入!$F$5:$F$4999,数据录入!$C$5:$C$4999,$A18,数据录入!$B$5:$B$4999,Y$6))</f>
        <v/>
      </c>
      <c r="Z18" s="85" t="str">
        <f>IF(OR($A18="",Z$6="",NOT(ISNUMBER($H$2))),"",SUMIFS(数据录入!$G$5:$G$4999,数据录入!$C$5:$C$4999,$A18,数据录入!$B$5:$B$4999,Z$6))</f>
        <v/>
      </c>
      <c r="AA18" s="85" t="str">
        <f>IF(OR($A18="",AA$6="",NOT(ISNUMBER($H$2))),"",SUMIFS(数据录入!$F$5:$F$4999,数据录入!$C$5:$C$4999,$A18,数据录入!$B$5:$B$4999,AA$6))</f>
        <v/>
      </c>
      <c r="AB18" s="85" t="str">
        <f>IF(OR($A18="",AB$6="",NOT(ISNUMBER($H$2))),"",SUMIFS(数据录入!$G$5:$G$4999,数据录入!$C$5:$C$4999,$A18,数据录入!$B$5:$B$4999,AB$6))</f>
        <v/>
      </c>
      <c r="AC18" s="85" t="str">
        <f>IF(OR($A18="",AC$6="",NOT(ISNUMBER($H$2))),"",SUMIFS(数据录入!$F$5:$F$4999,数据录入!$C$5:$C$4999,$A18,数据录入!$B$5:$B$4999,AC$6))</f>
        <v/>
      </c>
      <c r="AD18" s="85" t="str">
        <f>IF(OR($A18="",AD$6="",NOT(ISNUMBER($H$2))),"",SUMIFS(数据录入!$G$5:$G$4999,数据录入!$C$5:$C$4999,$A18,数据录入!$B$5:$B$4999,AD$6))</f>
        <v/>
      </c>
      <c r="AE18" s="85" t="str">
        <f>IF(OR($A18="",AE$6="",NOT(ISNUMBER($H$2))),"",SUMIFS(数据录入!$F$5:$F$4999,数据录入!$C$5:$C$4999,$A18,数据录入!$B$5:$B$4999,AE$6))</f>
        <v/>
      </c>
      <c r="AF18" s="85" t="str">
        <f>IF(OR($A18="",AF$6="",NOT(ISNUMBER($H$2))),"",SUMIFS(数据录入!$G$5:$G$4999,数据录入!$C$5:$C$4999,$A18,数据录入!$B$5:$B$4999,AF$6))</f>
        <v/>
      </c>
      <c r="AG18" s="85" t="str">
        <f>IF(OR($A18="",AG$6="",NOT(ISNUMBER($H$2))),"",SUMIFS(数据录入!$F$5:$F$4999,数据录入!$C$5:$C$4999,$A18,数据录入!$B$5:$B$4999,AG$6))</f>
        <v/>
      </c>
      <c r="AH18" s="85" t="str">
        <f>IF(OR($A18="",AH$6="",NOT(ISNUMBER($H$2))),"",SUMIFS(数据录入!$G$5:$G$4999,数据录入!$C$5:$C$4999,$A18,数据录入!$B$5:$B$4999,AH$6))</f>
        <v/>
      </c>
      <c r="AI18" s="85" t="str">
        <f>IF(OR($A18="",AI$6="",NOT(ISNUMBER($H$2))),"",SUMIFS(数据录入!$F$5:$F$4999,数据录入!$C$5:$C$4999,$A18,数据录入!$B$5:$B$4999,AI$6))</f>
        <v/>
      </c>
      <c r="AJ18" s="85" t="str">
        <f>IF(OR($A18="",AJ$6="",NOT(ISNUMBER($H$2))),"",SUMIFS(数据录入!$G$5:$G$4999,数据录入!$C$5:$C$4999,$A18,数据录入!$B$5:$B$4999,AJ$6))</f>
        <v/>
      </c>
      <c r="AK18" s="85" t="str">
        <f>IF(OR($A18="",AK$6="",NOT(ISNUMBER($H$2))),"",SUMIFS(数据录入!$F$5:$F$4999,数据录入!$C$5:$C$4999,$A18,数据录入!$B$5:$B$4999,AK$6))</f>
        <v/>
      </c>
      <c r="AL18" s="85" t="str">
        <f>IF(OR($A18="",AL$6="",NOT(ISNUMBER($H$2))),"",SUMIFS(数据录入!$G$5:$G$4999,数据录入!$C$5:$C$4999,$A18,数据录入!$B$5:$B$4999,AL$6))</f>
        <v/>
      </c>
      <c r="AM18" s="85" t="str">
        <f>IF(OR($A18="",AM$6="",NOT(ISNUMBER($H$2))),"",SUMIFS(数据录入!$F$5:$F$4999,数据录入!$C$5:$C$4999,$A18,数据录入!$B$5:$B$4999,AM$6))</f>
        <v/>
      </c>
      <c r="AN18" s="85" t="str">
        <f>IF(OR($A18="",AN$6="",NOT(ISNUMBER($H$2))),"",SUMIFS(数据录入!$G$5:$G$4999,数据录入!$C$5:$C$4999,$A18,数据录入!$B$5:$B$4999,AN$6))</f>
        <v/>
      </c>
      <c r="AO18" s="85" t="str">
        <f>IF(OR($A18="",AO$6="",NOT(ISNUMBER($H$2))),"",SUMIFS(数据录入!$F$5:$F$4999,数据录入!$C$5:$C$4999,$A18,数据录入!$B$5:$B$4999,AO$6))</f>
        <v/>
      </c>
      <c r="AP18" s="85" t="str">
        <f>IF(OR($A18="",AP$6="",NOT(ISNUMBER($H$2))),"",SUMIFS(数据录入!$G$5:$G$4999,数据录入!$C$5:$C$4999,$A18,数据录入!$B$5:$B$4999,AP$6))</f>
        <v/>
      </c>
      <c r="AQ18" s="85" t="str">
        <f>IF(OR($A18="",AQ$6="",NOT(ISNUMBER($H$2))),"",SUMIFS(数据录入!$F$5:$F$4999,数据录入!$C$5:$C$4999,$A18,数据录入!$B$5:$B$4999,AQ$6))</f>
        <v/>
      </c>
      <c r="AR18" s="85" t="str">
        <f>IF(OR($A18="",AR$6="",NOT(ISNUMBER($H$2))),"",SUMIFS(数据录入!$G$5:$G$4999,数据录入!$C$5:$C$4999,$A18,数据录入!$B$5:$B$4999,AR$6))</f>
        <v/>
      </c>
      <c r="AS18" s="85" t="str">
        <f>IF(OR($A18="",AS$6="",NOT(ISNUMBER($H$2))),"",SUMIFS(数据录入!$F$5:$F$4999,数据录入!$C$5:$C$4999,$A18,数据录入!$B$5:$B$4999,AS$6))</f>
        <v/>
      </c>
      <c r="AT18" s="85" t="str">
        <f>IF(OR($A18="",AT$6="",NOT(ISNUMBER($H$2))),"",SUMIFS(数据录入!$G$5:$G$4999,数据录入!$C$5:$C$4999,$A18,数据录入!$B$5:$B$4999,AT$6))</f>
        <v/>
      </c>
      <c r="AU18" s="85" t="str">
        <f>IF(OR($A18="",AU$6="",NOT(ISNUMBER($H$2))),"",SUMIFS(数据录入!$F$5:$F$4999,数据录入!$C$5:$C$4999,$A18,数据录入!$B$5:$B$4999,AU$6))</f>
        <v/>
      </c>
      <c r="AV18" s="85" t="str">
        <f>IF(OR($A18="",AV$6="",NOT(ISNUMBER($H$2))),"",SUMIFS(数据录入!$G$5:$G$4999,数据录入!$C$5:$C$4999,$A18,数据录入!$B$5:$B$4999,AV$6))</f>
        <v/>
      </c>
      <c r="AW18" s="85" t="str">
        <f>IF(OR($A18="",AW$6="",NOT(ISNUMBER($H$2))),"",SUMIFS(数据录入!$F$5:$F$4999,数据录入!$C$5:$C$4999,$A18,数据录入!$B$5:$B$4999,AW$6))</f>
        <v/>
      </c>
      <c r="AX18" s="85" t="str">
        <f>IF(OR($A18="",AX$6="",NOT(ISNUMBER($H$2))),"",SUMIFS(数据录入!$G$5:$G$4999,数据录入!$C$5:$C$4999,$A18,数据录入!$B$5:$B$4999,AX$6))</f>
        <v/>
      </c>
      <c r="AY18" s="85" t="str">
        <f>IF(OR($A18="",AY$6="",NOT(ISNUMBER($H$2))),"",SUMIFS(数据录入!$F$5:$F$4999,数据录入!$C$5:$C$4999,$A18,数据录入!$B$5:$B$4999,AY$6))</f>
        <v/>
      </c>
      <c r="AZ18" s="85" t="str">
        <f>IF(OR($A18="",AZ$6="",NOT(ISNUMBER($H$2))),"",SUMIFS(数据录入!$G$5:$G$4999,数据录入!$C$5:$C$4999,$A18,数据录入!$B$5:$B$4999,AZ$6))</f>
        <v/>
      </c>
      <c r="BA18" s="85" t="str">
        <f>IF(OR($A18="",BA$6="",NOT(ISNUMBER($H$2))),"",SUMIFS(数据录入!$F$5:$F$4999,数据录入!$C$5:$C$4999,$A18,数据录入!$B$5:$B$4999,BA$6))</f>
        <v/>
      </c>
      <c r="BB18" s="85" t="str">
        <f>IF(OR($A18="",BB$6="",NOT(ISNUMBER($H$2))),"",SUMIFS(数据录入!$G$5:$G$4999,数据录入!$C$5:$C$4999,$A18,数据录入!$B$5:$B$4999,BB$6))</f>
        <v/>
      </c>
      <c r="BC18" s="85" t="str">
        <f>IF(OR($A18="",BC$6="",NOT(ISNUMBER($H$2))),"",SUMIFS(数据录入!$F$5:$F$4999,数据录入!$C$5:$C$4999,$A18,数据录入!$B$5:$B$4999,BC$6))</f>
        <v/>
      </c>
      <c r="BD18" s="85" t="str">
        <f>IF(OR($A18="",BD$6="",NOT(ISNUMBER($H$2))),"",SUMIFS(数据录入!$G$5:$G$4999,数据录入!$C$5:$C$4999,$A18,数据录入!$B$5:$B$4999,BD$6))</f>
        <v/>
      </c>
      <c r="BE18" s="85" t="str">
        <f>IF(OR($A18="",BE$6="",NOT(ISNUMBER($H$2))),"",SUMIFS(数据录入!$F$5:$F$4999,数据录入!$C$5:$C$4999,$A18,数据录入!$B$5:$B$4999,BE$6))</f>
        <v/>
      </c>
      <c r="BF18" s="85" t="str">
        <f>IF(OR($A18="",BF$6="",NOT(ISNUMBER($H$2))),"",SUMIFS(数据录入!$G$5:$G$4999,数据录入!$C$5:$C$4999,$A18,数据录入!$B$5:$B$4999,BF$6))</f>
        <v/>
      </c>
      <c r="BG18" s="85" t="str">
        <f>IF(OR($A18="",BG$6="",NOT(ISNUMBER($H$2))),"",SUMIFS(数据录入!$F$5:$F$4999,数据录入!$C$5:$C$4999,$A18,数据录入!$B$5:$B$4999,BG$6))</f>
        <v/>
      </c>
      <c r="BH18" s="85" t="str">
        <f>IF(OR($A18="",BH$6="",NOT(ISNUMBER($H$2))),"",SUMIFS(数据录入!$G$5:$G$4999,数据录入!$C$5:$C$4999,$A18,数据录入!$B$5:$B$4999,BH$6))</f>
        <v/>
      </c>
      <c r="BI18" s="85" t="str">
        <f>IF(OR($A18="",BI$6="",NOT(ISNUMBER($H$2))),"",SUMIFS(数据录入!$F$5:$F$4999,数据录入!$C$5:$C$4999,$A18,数据录入!$B$5:$B$4999,BI$6))</f>
        <v/>
      </c>
      <c r="BJ18" s="85" t="str">
        <f>IF(OR($A18="",BJ$6="",NOT(ISNUMBER($H$2))),"",SUMIFS(数据录入!$G$5:$G$4999,数据录入!$C$5:$C$4999,$A18,数据录入!$B$5:$B$4999,BJ$6))</f>
        <v/>
      </c>
      <c r="BK18" s="85" t="str">
        <f>IF(OR($A18="",BK$6="",NOT(ISNUMBER($H$2))),"",SUMIFS(数据录入!$F$5:$F$4999,数据录入!$C$5:$C$4999,$A18,数据录入!$B$5:$B$4999,BK$6))</f>
        <v/>
      </c>
      <c r="BL18" s="85" t="str">
        <f>IF(OR($A18="",BL$6="",NOT(ISNUMBER($H$2))),"",SUMIFS(数据录入!$G$5:$G$4999,数据录入!$C$5:$C$4999,$A18,数据录入!$B$5:$B$4999,BL$6))</f>
        <v/>
      </c>
      <c r="BM18" s="85" t="str">
        <f t="shared" si="0"/>
        <v/>
      </c>
      <c r="BN18" s="85" t="str">
        <f t="shared" si="1"/>
        <v/>
      </c>
      <c r="BO18" s="85" t="str">
        <f t="shared" si="2"/>
        <v/>
      </c>
      <c r="BP18" s="85"/>
    </row>
    <row r="19" s="64" customFormat="1" ht="20" customHeight="1" spans="1:68">
      <c r="A19" s="73"/>
      <c r="B19" s="84" t="str">
        <f>IF(OR($A19="",NOT(ISNUMBER($H$2))),"",SUMIFS(数据录入!$H$5:$H$4999,数据录入!$C$5:$C$4999,$A19,数据录入!$E$5:$E$4999,"期初余额",数据录入!$B$5:$B$4999,"&lt;="&amp;$B$2)+SUMIFS(数据录入!$F$5:$F$4999,数据录入!$C$5:$C$4999,$A19,数据录入!$B$5:$B$4999,"&lt;"&amp;$B$2)-SUMIFS(数据录入!$G$5:$G$4999,数据录入!$C$5:$C$4999,$A19,数据录入!$B$5:$B$4999,"&lt;"&amp;$B$2))</f>
        <v/>
      </c>
      <c r="C19" s="84" t="str">
        <f>IF(OR($A19="",C$6="",NOT(ISNUMBER($H$2))),"",SUMIFS(数据录入!$F$5:$F$4999,数据录入!$C$5:$C$4999,$A19,数据录入!$B$5:$B$4999,C$6))</f>
        <v/>
      </c>
      <c r="D19" s="84" t="str">
        <f>IF(OR($A19="",D$6="",NOT(ISNUMBER($H$2))),"",SUMIFS(数据录入!$G$5:$G$4999,数据录入!$C$5:$C$4999,$A19,数据录入!$B$5:$B$4999,D$6))</f>
        <v/>
      </c>
      <c r="E19" s="84" t="str">
        <f>IF(OR($A19="",E$6="",NOT(ISNUMBER($H$2))),"",SUMIFS(数据录入!$F$5:$F$4999,数据录入!$C$5:$C$4999,$A19,数据录入!$B$5:$B$4999,E$6))</f>
        <v/>
      </c>
      <c r="F19" s="84" t="str">
        <f>IF(OR($A19="",F$6="",NOT(ISNUMBER($H$2))),"",SUMIFS(数据录入!$G$5:$G$4999,数据录入!$C$5:$C$4999,$A19,数据录入!$B$5:$B$4999,F$6))</f>
        <v/>
      </c>
      <c r="G19" s="84" t="str">
        <f>IF(OR($A19="",G$6="",NOT(ISNUMBER($H$2))),"",SUMIFS(数据录入!$F$5:$F$4999,数据录入!$C$5:$C$4999,$A19,数据录入!$B$5:$B$4999,G$6))</f>
        <v/>
      </c>
      <c r="H19" s="84" t="str">
        <f>IF(OR($A19="",H$6="",NOT(ISNUMBER($H$2))),"",SUMIFS(数据录入!$G$5:$G$4999,数据录入!$C$5:$C$4999,$A19,数据录入!$B$5:$B$4999,H$6))</f>
        <v/>
      </c>
      <c r="I19" s="84" t="str">
        <f>IF(OR($A19="",I$6="",NOT(ISNUMBER($H$2))),"",SUMIFS(数据录入!$F$5:$F$4999,数据录入!$C$5:$C$4999,$A19,数据录入!$B$5:$B$4999,I$6))</f>
        <v/>
      </c>
      <c r="J19" s="84" t="str">
        <f>IF(OR($A19="",J$6="",NOT(ISNUMBER($H$2))),"",SUMIFS(数据录入!$G$5:$G$4999,数据录入!$C$5:$C$4999,$A19,数据录入!$B$5:$B$4999,J$6))</f>
        <v/>
      </c>
      <c r="K19" s="84" t="str">
        <f>IF(OR($A19="",K$6="",NOT(ISNUMBER($H$2))),"",SUMIFS(数据录入!$F$5:$F$4999,数据录入!$C$5:$C$4999,$A19,数据录入!$B$5:$B$4999,K$6))</f>
        <v/>
      </c>
      <c r="L19" s="84" t="str">
        <f>IF(OR($A19="",L$6="",NOT(ISNUMBER($H$2))),"",SUMIFS(数据录入!$G$5:$G$4999,数据录入!$C$5:$C$4999,$A19,数据录入!$B$5:$B$4999,L$6))</f>
        <v/>
      </c>
      <c r="M19" s="84" t="str">
        <f>IF(OR($A19="",M$6="",NOT(ISNUMBER($H$2))),"",SUMIFS(数据录入!$F$5:$F$4999,数据录入!$C$5:$C$4999,$A19,数据录入!$B$5:$B$4999,M$6))</f>
        <v/>
      </c>
      <c r="N19" s="84" t="str">
        <f>IF(OR($A19="",N$6="",NOT(ISNUMBER($H$2))),"",SUMIFS(数据录入!$G$5:$G$4999,数据录入!$C$5:$C$4999,$A19,数据录入!$B$5:$B$4999,N$6))</f>
        <v/>
      </c>
      <c r="O19" s="84" t="str">
        <f>IF(OR($A19="",O$6="",NOT(ISNUMBER($H$2))),"",SUMIFS(数据录入!$F$5:$F$4999,数据录入!$C$5:$C$4999,$A19,数据录入!$B$5:$B$4999,O$6))</f>
        <v/>
      </c>
      <c r="P19" s="84" t="str">
        <f>IF(OR($A19="",P$6="",NOT(ISNUMBER($H$2))),"",SUMIFS(数据录入!$G$5:$G$4999,数据录入!$C$5:$C$4999,$A19,数据录入!$B$5:$B$4999,P$6))</f>
        <v/>
      </c>
      <c r="Q19" s="84" t="str">
        <f>IF(OR($A19="",Q$6="",NOT(ISNUMBER($H$2))),"",SUMIFS(数据录入!$F$5:$F$4999,数据录入!$C$5:$C$4999,$A19,数据录入!$B$5:$B$4999,Q$6))</f>
        <v/>
      </c>
      <c r="R19" s="84" t="str">
        <f>IF(OR($A19="",R$6="",NOT(ISNUMBER($H$2))),"",SUMIFS(数据录入!$G$5:$G$4999,数据录入!$C$5:$C$4999,$A19,数据录入!$B$5:$B$4999,R$6))</f>
        <v/>
      </c>
      <c r="S19" s="84" t="str">
        <f>IF(OR($A19="",S$6="",NOT(ISNUMBER($H$2))),"",SUMIFS(数据录入!$F$5:$F$4999,数据录入!$C$5:$C$4999,$A19,数据录入!$B$5:$B$4999,S$6))</f>
        <v/>
      </c>
      <c r="T19" s="84" t="str">
        <f>IF(OR($A19="",T$6="",NOT(ISNUMBER($H$2))),"",SUMIFS(数据录入!$G$5:$G$4999,数据录入!$C$5:$C$4999,$A19,数据录入!$B$5:$B$4999,T$6))</f>
        <v/>
      </c>
      <c r="U19" s="85" t="str">
        <f>IF(OR($A19="",U$6="",NOT(ISNUMBER($H$2))),"",SUMIFS(数据录入!$F$5:$F$4999,数据录入!$C$5:$C$4999,$A19,数据录入!$B$5:$B$4999,U$6))</f>
        <v/>
      </c>
      <c r="V19" s="85" t="str">
        <f>IF(OR($A19="",V$6="",NOT(ISNUMBER($H$2))),"",SUMIFS(数据录入!$G$5:$G$4999,数据录入!$C$5:$C$4999,$A19,数据录入!$B$5:$B$4999,V$6))</f>
        <v/>
      </c>
      <c r="W19" s="85" t="str">
        <f>IF(OR($A19="",W$6="",NOT(ISNUMBER($H$2))),"",SUMIFS(数据录入!$F$5:$F$4999,数据录入!$C$5:$C$4999,$A19,数据录入!$B$5:$B$4999,W$6))</f>
        <v/>
      </c>
      <c r="X19" s="85" t="str">
        <f>IF(OR($A19="",X$6="",NOT(ISNUMBER($H$2))),"",SUMIFS(数据录入!$G$5:$G$4999,数据录入!$C$5:$C$4999,$A19,数据录入!$B$5:$B$4999,X$6))</f>
        <v/>
      </c>
      <c r="Y19" s="85" t="str">
        <f>IF(OR($A19="",Y$6="",NOT(ISNUMBER($H$2))),"",SUMIFS(数据录入!$F$5:$F$4999,数据录入!$C$5:$C$4999,$A19,数据录入!$B$5:$B$4999,Y$6))</f>
        <v/>
      </c>
      <c r="Z19" s="85" t="str">
        <f>IF(OR($A19="",Z$6="",NOT(ISNUMBER($H$2))),"",SUMIFS(数据录入!$G$5:$G$4999,数据录入!$C$5:$C$4999,$A19,数据录入!$B$5:$B$4999,Z$6))</f>
        <v/>
      </c>
      <c r="AA19" s="85" t="str">
        <f>IF(OR($A19="",AA$6="",NOT(ISNUMBER($H$2))),"",SUMIFS(数据录入!$F$5:$F$4999,数据录入!$C$5:$C$4999,$A19,数据录入!$B$5:$B$4999,AA$6))</f>
        <v/>
      </c>
      <c r="AB19" s="85" t="str">
        <f>IF(OR($A19="",AB$6="",NOT(ISNUMBER($H$2))),"",SUMIFS(数据录入!$G$5:$G$4999,数据录入!$C$5:$C$4999,$A19,数据录入!$B$5:$B$4999,AB$6))</f>
        <v/>
      </c>
      <c r="AC19" s="85" t="str">
        <f>IF(OR($A19="",AC$6="",NOT(ISNUMBER($H$2))),"",SUMIFS(数据录入!$F$5:$F$4999,数据录入!$C$5:$C$4999,$A19,数据录入!$B$5:$B$4999,AC$6))</f>
        <v/>
      </c>
      <c r="AD19" s="85" t="str">
        <f>IF(OR($A19="",AD$6="",NOT(ISNUMBER($H$2))),"",SUMIFS(数据录入!$G$5:$G$4999,数据录入!$C$5:$C$4999,$A19,数据录入!$B$5:$B$4999,AD$6))</f>
        <v/>
      </c>
      <c r="AE19" s="85" t="str">
        <f>IF(OR($A19="",AE$6="",NOT(ISNUMBER($H$2))),"",SUMIFS(数据录入!$F$5:$F$4999,数据录入!$C$5:$C$4999,$A19,数据录入!$B$5:$B$4999,AE$6))</f>
        <v/>
      </c>
      <c r="AF19" s="85" t="str">
        <f>IF(OR($A19="",AF$6="",NOT(ISNUMBER($H$2))),"",SUMIFS(数据录入!$G$5:$G$4999,数据录入!$C$5:$C$4999,$A19,数据录入!$B$5:$B$4999,AF$6))</f>
        <v/>
      </c>
      <c r="AG19" s="85" t="str">
        <f>IF(OR($A19="",AG$6="",NOT(ISNUMBER($H$2))),"",SUMIFS(数据录入!$F$5:$F$4999,数据录入!$C$5:$C$4999,$A19,数据录入!$B$5:$B$4999,AG$6))</f>
        <v/>
      </c>
      <c r="AH19" s="85" t="str">
        <f>IF(OR($A19="",AH$6="",NOT(ISNUMBER($H$2))),"",SUMIFS(数据录入!$G$5:$G$4999,数据录入!$C$5:$C$4999,$A19,数据录入!$B$5:$B$4999,AH$6))</f>
        <v/>
      </c>
      <c r="AI19" s="85" t="str">
        <f>IF(OR($A19="",AI$6="",NOT(ISNUMBER($H$2))),"",SUMIFS(数据录入!$F$5:$F$4999,数据录入!$C$5:$C$4999,$A19,数据录入!$B$5:$B$4999,AI$6))</f>
        <v/>
      </c>
      <c r="AJ19" s="85" t="str">
        <f>IF(OR($A19="",AJ$6="",NOT(ISNUMBER($H$2))),"",SUMIFS(数据录入!$G$5:$G$4999,数据录入!$C$5:$C$4999,$A19,数据录入!$B$5:$B$4999,AJ$6))</f>
        <v/>
      </c>
      <c r="AK19" s="85" t="str">
        <f>IF(OR($A19="",AK$6="",NOT(ISNUMBER($H$2))),"",SUMIFS(数据录入!$F$5:$F$4999,数据录入!$C$5:$C$4999,$A19,数据录入!$B$5:$B$4999,AK$6))</f>
        <v/>
      </c>
      <c r="AL19" s="85" t="str">
        <f>IF(OR($A19="",AL$6="",NOT(ISNUMBER($H$2))),"",SUMIFS(数据录入!$G$5:$G$4999,数据录入!$C$5:$C$4999,$A19,数据录入!$B$5:$B$4999,AL$6))</f>
        <v/>
      </c>
      <c r="AM19" s="85" t="str">
        <f>IF(OR($A19="",AM$6="",NOT(ISNUMBER($H$2))),"",SUMIFS(数据录入!$F$5:$F$4999,数据录入!$C$5:$C$4999,$A19,数据录入!$B$5:$B$4999,AM$6))</f>
        <v/>
      </c>
      <c r="AN19" s="85" t="str">
        <f>IF(OR($A19="",AN$6="",NOT(ISNUMBER($H$2))),"",SUMIFS(数据录入!$G$5:$G$4999,数据录入!$C$5:$C$4999,$A19,数据录入!$B$5:$B$4999,AN$6))</f>
        <v/>
      </c>
      <c r="AO19" s="85" t="str">
        <f>IF(OR($A19="",AO$6="",NOT(ISNUMBER($H$2))),"",SUMIFS(数据录入!$F$5:$F$4999,数据录入!$C$5:$C$4999,$A19,数据录入!$B$5:$B$4999,AO$6))</f>
        <v/>
      </c>
      <c r="AP19" s="85" t="str">
        <f>IF(OR($A19="",AP$6="",NOT(ISNUMBER($H$2))),"",SUMIFS(数据录入!$G$5:$G$4999,数据录入!$C$5:$C$4999,$A19,数据录入!$B$5:$B$4999,AP$6))</f>
        <v/>
      </c>
      <c r="AQ19" s="85" t="str">
        <f>IF(OR($A19="",AQ$6="",NOT(ISNUMBER($H$2))),"",SUMIFS(数据录入!$F$5:$F$4999,数据录入!$C$5:$C$4999,$A19,数据录入!$B$5:$B$4999,AQ$6))</f>
        <v/>
      </c>
      <c r="AR19" s="85" t="str">
        <f>IF(OR($A19="",AR$6="",NOT(ISNUMBER($H$2))),"",SUMIFS(数据录入!$G$5:$G$4999,数据录入!$C$5:$C$4999,$A19,数据录入!$B$5:$B$4999,AR$6))</f>
        <v/>
      </c>
      <c r="AS19" s="85" t="str">
        <f>IF(OR($A19="",AS$6="",NOT(ISNUMBER($H$2))),"",SUMIFS(数据录入!$F$5:$F$4999,数据录入!$C$5:$C$4999,$A19,数据录入!$B$5:$B$4999,AS$6))</f>
        <v/>
      </c>
      <c r="AT19" s="85" t="str">
        <f>IF(OR($A19="",AT$6="",NOT(ISNUMBER($H$2))),"",SUMIFS(数据录入!$G$5:$G$4999,数据录入!$C$5:$C$4999,$A19,数据录入!$B$5:$B$4999,AT$6))</f>
        <v/>
      </c>
      <c r="AU19" s="85" t="str">
        <f>IF(OR($A19="",AU$6="",NOT(ISNUMBER($H$2))),"",SUMIFS(数据录入!$F$5:$F$4999,数据录入!$C$5:$C$4999,$A19,数据录入!$B$5:$B$4999,AU$6))</f>
        <v/>
      </c>
      <c r="AV19" s="85" t="str">
        <f>IF(OR($A19="",AV$6="",NOT(ISNUMBER($H$2))),"",SUMIFS(数据录入!$G$5:$G$4999,数据录入!$C$5:$C$4999,$A19,数据录入!$B$5:$B$4999,AV$6))</f>
        <v/>
      </c>
      <c r="AW19" s="85" t="str">
        <f>IF(OR($A19="",AW$6="",NOT(ISNUMBER($H$2))),"",SUMIFS(数据录入!$F$5:$F$4999,数据录入!$C$5:$C$4999,$A19,数据录入!$B$5:$B$4999,AW$6))</f>
        <v/>
      </c>
      <c r="AX19" s="85" t="str">
        <f>IF(OR($A19="",AX$6="",NOT(ISNUMBER($H$2))),"",SUMIFS(数据录入!$G$5:$G$4999,数据录入!$C$5:$C$4999,$A19,数据录入!$B$5:$B$4999,AX$6))</f>
        <v/>
      </c>
      <c r="AY19" s="85" t="str">
        <f>IF(OR($A19="",AY$6="",NOT(ISNUMBER($H$2))),"",SUMIFS(数据录入!$F$5:$F$4999,数据录入!$C$5:$C$4999,$A19,数据录入!$B$5:$B$4999,AY$6))</f>
        <v/>
      </c>
      <c r="AZ19" s="85" t="str">
        <f>IF(OR($A19="",AZ$6="",NOT(ISNUMBER($H$2))),"",SUMIFS(数据录入!$G$5:$G$4999,数据录入!$C$5:$C$4999,$A19,数据录入!$B$5:$B$4999,AZ$6))</f>
        <v/>
      </c>
      <c r="BA19" s="85" t="str">
        <f>IF(OR($A19="",BA$6="",NOT(ISNUMBER($H$2))),"",SUMIFS(数据录入!$F$5:$F$4999,数据录入!$C$5:$C$4999,$A19,数据录入!$B$5:$B$4999,BA$6))</f>
        <v/>
      </c>
      <c r="BB19" s="85" t="str">
        <f>IF(OR($A19="",BB$6="",NOT(ISNUMBER($H$2))),"",SUMIFS(数据录入!$G$5:$G$4999,数据录入!$C$5:$C$4999,$A19,数据录入!$B$5:$B$4999,BB$6))</f>
        <v/>
      </c>
      <c r="BC19" s="85" t="str">
        <f>IF(OR($A19="",BC$6="",NOT(ISNUMBER($H$2))),"",SUMIFS(数据录入!$F$5:$F$4999,数据录入!$C$5:$C$4999,$A19,数据录入!$B$5:$B$4999,BC$6))</f>
        <v/>
      </c>
      <c r="BD19" s="85" t="str">
        <f>IF(OR($A19="",BD$6="",NOT(ISNUMBER($H$2))),"",SUMIFS(数据录入!$G$5:$G$4999,数据录入!$C$5:$C$4999,$A19,数据录入!$B$5:$B$4999,BD$6))</f>
        <v/>
      </c>
      <c r="BE19" s="85" t="str">
        <f>IF(OR($A19="",BE$6="",NOT(ISNUMBER($H$2))),"",SUMIFS(数据录入!$F$5:$F$4999,数据录入!$C$5:$C$4999,$A19,数据录入!$B$5:$B$4999,BE$6))</f>
        <v/>
      </c>
      <c r="BF19" s="85" t="str">
        <f>IF(OR($A19="",BF$6="",NOT(ISNUMBER($H$2))),"",SUMIFS(数据录入!$G$5:$G$4999,数据录入!$C$5:$C$4999,$A19,数据录入!$B$5:$B$4999,BF$6))</f>
        <v/>
      </c>
      <c r="BG19" s="85" t="str">
        <f>IF(OR($A19="",BG$6="",NOT(ISNUMBER($H$2))),"",SUMIFS(数据录入!$F$5:$F$4999,数据录入!$C$5:$C$4999,$A19,数据录入!$B$5:$B$4999,BG$6))</f>
        <v/>
      </c>
      <c r="BH19" s="85" t="str">
        <f>IF(OR($A19="",BH$6="",NOT(ISNUMBER($H$2))),"",SUMIFS(数据录入!$G$5:$G$4999,数据录入!$C$5:$C$4999,$A19,数据录入!$B$5:$B$4999,BH$6))</f>
        <v/>
      </c>
      <c r="BI19" s="85" t="str">
        <f>IF(OR($A19="",BI$6="",NOT(ISNUMBER($H$2))),"",SUMIFS(数据录入!$F$5:$F$4999,数据录入!$C$5:$C$4999,$A19,数据录入!$B$5:$B$4999,BI$6))</f>
        <v/>
      </c>
      <c r="BJ19" s="85" t="str">
        <f>IF(OR($A19="",BJ$6="",NOT(ISNUMBER($H$2))),"",SUMIFS(数据录入!$G$5:$G$4999,数据录入!$C$5:$C$4999,$A19,数据录入!$B$5:$B$4999,BJ$6))</f>
        <v/>
      </c>
      <c r="BK19" s="85" t="str">
        <f>IF(OR($A19="",BK$6="",NOT(ISNUMBER($H$2))),"",SUMIFS(数据录入!$F$5:$F$4999,数据录入!$C$5:$C$4999,$A19,数据录入!$B$5:$B$4999,BK$6))</f>
        <v/>
      </c>
      <c r="BL19" s="85" t="str">
        <f>IF(OR($A19="",BL$6="",NOT(ISNUMBER($H$2))),"",SUMIFS(数据录入!$G$5:$G$4999,数据录入!$C$5:$C$4999,$A19,数据录入!$B$5:$B$4999,BL$6))</f>
        <v/>
      </c>
      <c r="BM19" s="85" t="str">
        <f t="shared" si="0"/>
        <v/>
      </c>
      <c r="BN19" s="85" t="str">
        <f t="shared" si="1"/>
        <v/>
      </c>
      <c r="BO19" s="85" t="str">
        <f t="shared" si="2"/>
        <v/>
      </c>
      <c r="BP19" s="85"/>
    </row>
    <row r="20" s="64" customFormat="1" ht="20" customHeight="1" spans="1:68">
      <c r="A20" s="73"/>
      <c r="B20" s="84" t="str">
        <f>IF(OR($A20="",NOT(ISNUMBER($H$2))),"",SUMIFS(数据录入!$H$5:$H$4999,数据录入!$C$5:$C$4999,$A20,数据录入!$E$5:$E$4999,"期初余额",数据录入!$B$5:$B$4999,"&lt;="&amp;$B$2)+SUMIFS(数据录入!$F$5:$F$4999,数据录入!$C$5:$C$4999,$A20,数据录入!$B$5:$B$4999,"&lt;"&amp;$B$2)-SUMIFS(数据录入!$G$5:$G$4999,数据录入!$C$5:$C$4999,$A20,数据录入!$B$5:$B$4999,"&lt;"&amp;$B$2))</f>
        <v/>
      </c>
      <c r="C20" s="84" t="str">
        <f>IF(OR($A20="",C$6="",NOT(ISNUMBER($H$2))),"",SUMIFS(数据录入!$F$5:$F$4999,数据录入!$C$5:$C$4999,$A20,数据录入!$B$5:$B$4999,C$6))</f>
        <v/>
      </c>
      <c r="D20" s="84" t="str">
        <f>IF(OR($A20="",D$6="",NOT(ISNUMBER($H$2))),"",SUMIFS(数据录入!$G$5:$G$4999,数据录入!$C$5:$C$4999,$A20,数据录入!$B$5:$B$4999,D$6))</f>
        <v/>
      </c>
      <c r="E20" s="84" t="str">
        <f>IF(OR($A20="",E$6="",NOT(ISNUMBER($H$2))),"",SUMIFS(数据录入!$F$5:$F$4999,数据录入!$C$5:$C$4999,$A20,数据录入!$B$5:$B$4999,E$6))</f>
        <v/>
      </c>
      <c r="F20" s="84" t="str">
        <f>IF(OR($A20="",F$6="",NOT(ISNUMBER($H$2))),"",SUMIFS(数据录入!$G$5:$G$4999,数据录入!$C$5:$C$4999,$A20,数据录入!$B$5:$B$4999,F$6))</f>
        <v/>
      </c>
      <c r="G20" s="84" t="str">
        <f>IF(OR($A20="",G$6="",NOT(ISNUMBER($H$2))),"",SUMIFS(数据录入!$F$5:$F$4999,数据录入!$C$5:$C$4999,$A20,数据录入!$B$5:$B$4999,G$6))</f>
        <v/>
      </c>
      <c r="H20" s="84" t="str">
        <f>IF(OR($A20="",H$6="",NOT(ISNUMBER($H$2))),"",SUMIFS(数据录入!$G$5:$G$4999,数据录入!$C$5:$C$4999,$A20,数据录入!$B$5:$B$4999,H$6))</f>
        <v/>
      </c>
      <c r="I20" s="84" t="str">
        <f>IF(OR($A20="",I$6="",NOT(ISNUMBER($H$2))),"",SUMIFS(数据录入!$F$5:$F$4999,数据录入!$C$5:$C$4999,$A20,数据录入!$B$5:$B$4999,I$6))</f>
        <v/>
      </c>
      <c r="J20" s="84" t="str">
        <f>IF(OR($A20="",J$6="",NOT(ISNUMBER($H$2))),"",SUMIFS(数据录入!$G$5:$G$4999,数据录入!$C$5:$C$4999,$A20,数据录入!$B$5:$B$4999,J$6))</f>
        <v/>
      </c>
      <c r="K20" s="84" t="str">
        <f>IF(OR($A20="",K$6="",NOT(ISNUMBER($H$2))),"",SUMIFS(数据录入!$F$5:$F$4999,数据录入!$C$5:$C$4999,$A20,数据录入!$B$5:$B$4999,K$6))</f>
        <v/>
      </c>
      <c r="L20" s="84" t="str">
        <f>IF(OR($A20="",L$6="",NOT(ISNUMBER($H$2))),"",SUMIFS(数据录入!$G$5:$G$4999,数据录入!$C$5:$C$4999,$A20,数据录入!$B$5:$B$4999,L$6))</f>
        <v/>
      </c>
      <c r="M20" s="84" t="str">
        <f>IF(OR($A20="",M$6="",NOT(ISNUMBER($H$2))),"",SUMIFS(数据录入!$F$5:$F$4999,数据录入!$C$5:$C$4999,$A20,数据录入!$B$5:$B$4999,M$6))</f>
        <v/>
      </c>
      <c r="N20" s="84" t="str">
        <f>IF(OR($A20="",N$6="",NOT(ISNUMBER($H$2))),"",SUMIFS(数据录入!$G$5:$G$4999,数据录入!$C$5:$C$4999,$A20,数据录入!$B$5:$B$4999,N$6))</f>
        <v/>
      </c>
      <c r="O20" s="84" t="str">
        <f>IF(OR($A20="",O$6="",NOT(ISNUMBER($H$2))),"",SUMIFS(数据录入!$F$5:$F$4999,数据录入!$C$5:$C$4999,$A20,数据录入!$B$5:$B$4999,O$6))</f>
        <v/>
      </c>
      <c r="P20" s="84" t="str">
        <f>IF(OR($A20="",P$6="",NOT(ISNUMBER($H$2))),"",SUMIFS(数据录入!$G$5:$G$4999,数据录入!$C$5:$C$4999,$A20,数据录入!$B$5:$B$4999,P$6))</f>
        <v/>
      </c>
      <c r="Q20" s="84" t="str">
        <f>IF(OR($A20="",Q$6="",NOT(ISNUMBER($H$2))),"",SUMIFS(数据录入!$F$5:$F$4999,数据录入!$C$5:$C$4999,$A20,数据录入!$B$5:$B$4999,Q$6))</f>
        <v/>
      </c>
      <c r="R20" s="84" t="str">
        <f>IF(OR($A20="",R$6="",NOT(ISNUMBER($H$2))),"",SUMIFS(数据录入!$G$5:$G$4999,数据录入!$C$5:$C$4999,$A20,数据录入!$B$5:$B$4999,R$6))</f>
        <v/>
      </c>
      <c r="S20" s="84" t="str">
        <f>IF(OR($A20="",S$6="",NOT(ISNUMBER($H$2))),"",SUMIFS(数据录入!$F$5:$F$4999,数据录入!$C$5:$C$4999,$A20,数据录入!$B$5:$B$4999,S$6))</f>
        <v/>
      </c>
      <c r="T20" s="84" t="str">
        <f>IF(OR($A20="",T$6="",NOT(ISNUMBER($H$2))),"",SUMIFS(数据录入!$G$5:$G$4999,数据录入!$C$5:$C$4999,$A20,数据录入!$B$5:$B$4999,T$6))</f>
        <v/>
      </c>
      <c r="U20" s="85" t="str">
        <f>IF(OR($A20="",U$6="",NOT(ISNUMBER($H$2))),"",SUMIFS(数据录入!$F$5:$F$4999,数据录入!$C$5:$C$4999,$A20,数据录入!$B$5:$B$4999,U$6))</f>
        <v/>
      </c>
      <c r="V20" s="85" t="str">
        <f>IF(OR($A20="",V$6="",NOT(ISNUMBER($H$2))),"",SUMIFS(数据录入!$G$5:$G$4999,数据录入!$C$5:$C$4999,$A20,数据录入!$B$5:$B$4999,V$6))</f>
        <v/>
      </c>
      <c r="W20" s="85" t="str">
        <f>IF(OR($A20="",W$6="",NOT(ISNUMBER($H$2))),"",SUMIFS(数据录入!$F$5:$F$4999,数据录入!$C$5:$C$4999,$A20,数据录入!$B$5:$B$4999,W$6))</f>
        <v/>
      </c>
      <c r="X20" s="85" t="str">
        <f>IF(OR($A20="",X$6="",NOT(ISNUMBER($H$2))),"",SUMIFS(数据录入!$G$5:$G$4999,数据录入!$C$5:$C$4999,$A20,数据录入!$B$5:$B$4999,X$6))</f>
        <v/>
      </c>
      <c r="Y20" s="85" t="str">
        <f>IF(OR($A20="",Y$6="",NOT(ISNUMBER($H$2))),"",SUMIFS(数据录入!$F$5:$F$4999,数据录入!$C$5:$C$4999,$A20,数据录入!$B$5:$B$4999,Y$6))</f>
        <v/>
      </c>
      <c r="Z20" s="85" t="str">
        <f>IF(OR($A20="",Z$6="",NOT(ISNUMBER($H$2))),"",SUMIFS(数据录入!$G$5:$G$4999,数据录入!$C$5:$C$4999,$A20,数据录入!$B$5:$B$4999,Z$6))</f>
        <v/>
      </c>
      <c r="AA20" s="85" t="str">
        <f>IF(OR($A20="",AA$6="",NOT(ISNUMBER($H$2))),"",SUMIFS(数据录入!$F$5:$F$4999,数据录入!$C$5:$C$4999,$A20,数据录入!$B$5:$B$4999,AA$6))</f>
        <v/>
      </c>
      <c r="AB20" s="85" t="str">
        <f>IF(OR($A20="",AB$6="",NOT(ISNUMBER($H$2))),"",SUMIFS(数据录入!$G$5:$G$4999,数据录入!$C$5:$C$4999,$A20,数据录入!$B$5:$B$4999,AB$6))</f>
        <v/>
      </c>
      <c r="AC20" s="85" t="str">
        <f>IF(OR($A20="",AC$6="",NOT(ISNUMBER($H$2))),"",SUMIFS(数据录入!$F$5:$F$4999,数据录入!$C$5:$C$4999,$A20,数据录入!$B$5:$B$4999,AC$6))</f>
        <v/>
      </c>
      <c r="AD20" s="85" t="str">
        <f>IF(OR($A20="",AD$6="",NOT(ISNUMBER($H$2))),"",SUMIFS(数据录入!$G$5:$G$4999,数据录入!$C$5:$C$4999,$A20,数据录入!$B$5:$B$4999,AD$6))</f>
        <v/>
      </c>
      <c r="AE20" s="85" t="str">
        <f>IF(OR($A20="",AE$6="",NOT(ISNUMBER($H$2))),"",SUMIFS(数据录入!$F$5:$F$4999,数据录入!$C$5:$C$4999,$A20,数据录入!$B$5:$B$4999,AE$6))</f>
        <v/>
      </c>
      <c r="AF20" s="85" t="str">
        <f>IF(OR($A20="",AF$6="",NOT(ISNUMBER($H$2))),"",SUMIFS(数据录入!$G$5:$G$4999,数据录入!$C$5:$C$4999,$A20,数据录入!$B$5:$B$4999,AF$6))</f>
        <v/>
      </c>
      <c r="AG20" s="85" t="str">
        <f>IF(OR($A20="",AG$6="",NOT(ISNUMBER($H$2))),"",SUMIFS(数据录入!$F$5:$F$4999,数据录入!$C$5:$C$4999,$A20,数据录入!$B$5:$B$4999,AG$6))</f>
        <v/>
      </c>
      <c r="AH20" s="85" t="str">
        <f>IF(OR($A20="",AH$6="",NOT(ISNUMBER($H$2))),"",SUMIFS(数据录入!$G$5:$G$4999,数据录入!$C$5:$C$4999,$A20,数据录入!$B$5:$B$4999,AH$6))</f>
        <v/>
      </c>
      <c r="AI20" s="85" t="str">
        <f>IF(OR($A20="",AI$6="",NOT(ISNUMBER($H$2))),"",SUMIFS(数据录入!$F$5:$F$4999,数据录入!$C$5:$C$4999,$A20,数据录入!$B$5:$B$4999,AI$6))</f>
        <v/>
      </c>
      <c r="AJ20" s="85" t="str">
        <f>IF(OR($A20="",AJ$6="",NOT(ISNUMBER($H$2))),"",SUMIFS(数据录入!$G$5:$G$4999,数据录入!$C$5:$C$4999,$A20,数据录入!$B$5:$B$4999,AJ$6))</f>
        <v/>
      </c>
      <c r="AK20" s="85" t="str">
        <f>IF(OR($A20="",AK$6="",NOT(ISNUMBER($H$2))),"",SUMIFS(数据录入!$F$5:$F$4999,数据录入!$C$5:$C$4999,$A20,数据录入!$B$5:$B$4999,AK$6))</f>
        <v/>
      </c>
      <c r="AL20" s="85" t="str">
        <f>IF(OR($A20="",AL$6="",NOT(ISNUMBER($H$2))),"",SUMIFS(数据录入!$G$5:$G$4999,数据录入!$C$5:$C$4999,$A20,数据录入!$B$5:$B$4999,AL$6))</f>
        <v/>
      </c>
      <c r="AM20" s="85" t="str">
        <f>IF(OR($A20="",AM$6="",NOT(ISNUMBER($H$2))),"",SUMIFS(数据录入!$F$5:$F$4999,数据录入!$C$5:$C$4999,$A20,数据录入!$B$5:$B$4999,AM$6))</f>
        <v/>
      </c>
      <c r="AN20" s="85" t="str">
        <f>IF(OR($A20="",AN$6="",NOT(ISNUMBER($H$2))),"",SUMIFS(数据录入!$G$5:$G$4999,数据录入!$C$5:$C$4999,$A20,数据录入!$B$5:$B$4999,AN$6))</f>
        <v/>
      </c>
      <c r="AO20" s="85" t="str">
        <f>IF(OR($A20="",AO$6="",NOT(ISNUMBER($H$2))),"",SUMIFS(数据录入!$F$5:$F$4999,数据录入!$C$5:$C$4999,$A20,数据录入!$B$5:$B$4999,AO$6))</f>
        <v/>
      </c>
      <c r="AP20" s="85" t="str">
        <f>IF(OR($A20="",AP$6="",NOT(ISNUMBER($H$2))),"",SUMIFS(数据录入!$G$5:$G$4999,数据录入!$C$5:$C$4999,$A20,数据录入!$B$5:$B$4999,AP$6))</f>
        <v/>
      </c>
      <c r="AQ20" s="85" t="str">
        <f>IF(OR($A20="",AQ$6="",NOT(ISNUMBER($H$2))),"",SUMIFS(数据录入!$F$5:$F$4999,数据录入!$C$5:$C$4999,$A20,数据录入!$B$5:$B$4999,AQ$6))</f>
        <v/>
      </c>
      <c r="AR20" s="85" t="str">
        <f>IF(OR($A20="",AR$6="",NOT(ISNUMBER($H$2))),"",SUMIFS(数据录入!$G$5:$G$4999,数据录入!$C$5:$C$4999,$A20,数据录入!$B$5:$B$4999,AR$6))</f>
        <v/>
      </c>
      <c r="AS20" s="85" t="str">
        <f>IF(OR($A20="",AS$6="",NOT(ISNUMBER($H$2))),"",SUMIFS(数据录入!$F$5:$F$4999,数据录入!$C$5:$C$4999,$A20,数据录入!$B$5:$B$4999,AS$6))</f>
        <v/>
      </c>
      <c r="AT20" s="85" t="str">
        <f>IF(OR($A20="",AT$6="",NOT(ISNUMBER($H$2))),"",SUMIFS(数据录入!$G$5:$G$4999,数据录入!$C$5:$C$4999,$A20,数据录入!$B$5:$B$4999,AT$6))</f>
        <v/>
      </c>
      <c r="AU20" s="85" t="str">
        <f>IF(OR($A20="",AU$6="",NOT(ISNUMBER($H$2))),"",SUMIFS(数据录入!$F$5:$F$4999,数据录入!$C$5:$C$4999,$A20,数据录入!$B$5:$B$4999,AU$6))</f>
        <v/>
      </c>
      <c r="AV20" s="85" t="str">
        <f>IF(OR($A20="",AV$6="",NOT(ISNUMBER($H$2))),"",SUMIFS(数据录入!$G$5:$G$4999,数据录入!$C$5:$C$4999,$A20,数据录入!$B$5:$B$4999,AV$6))</f>
        <v/>
      </c>
      <c r="AW20" s="85" t="str">
        <f>IF(OR($A20="",AW$6="",NOT(ISNUMBER($H$2))),"",SUMIFS(数据录入!$F$5:$F$4999,数据录入!$C$5:$C$4999,$A20,数据录入!$B$5:$B$4999,AW$6))</f>
        <v/>
      </c>
      <c r="AX20" s="85" t="str">
        <f>IF(OR($A20="",AX$6="",NOT(ISNUMBER($H$2))),"",SUMIFS(数据录入!$G$5:$G$4999,数据录入!$C$5:$C$4999,$A20,数据录入!$B$5:$B$4999,AX$6))</f>
        <v/>
      </c>
      <c r="AY20" s="85" t="str">
        <f>IF(OR($A20="",AY$6="",NOT(ISNUMBER($H$2))),"",SUMIFS(数据录入!$F$5:$F$4999,数据录入!$C$5:$C$4999,$A20,数据录入!$B$5:$B$4999,AY$6))</f>
        <v/>
      </c>
      <c r="AZ20" s="85" t="str">
        <f>IF(OR($A20="",AZ$6="",NOT(ISNUMBER($H$2))),"",SUMIFS(数据录入!$G$5:$G$4999,数据录入!$C$5:$C$4999,$A20,数据录入!$B$5:$B$4999,AZ$6))</f>
        <v/>
      </c>
      <c r="BA20" s="85" t="str">
        <f>IF(OR($A20="",BA$6="",NOT(ISNUMBER($H$2))),"",SUMIFS(数据录入!$F$5:$F$4999,数据录入!$C$5:$C$4999,$A20,数据录入!$B$5:$B$4999,BA$6))</f>
        <v/>
      </c>
      <c r="BB20" s="85" t="str">
        <f>IF(OR($A20="",BB$6="",NOT(ISNUMBER($H$2))),"",SUMIFS(数据录入!$G$5:$G$4999,数据录入!$C$5:$C$4999,$A20,数据录入!$B$5:$B$4999,BB$6))</f>
        <v/>
      </c>
      <c r="BC20" s="85" t="str">
        <f>IF(OR($A20="",BC$6="",NOT(ISNUMBER($H$2))),"",SUMIFS(数据录入!$F$5:$F$4999,数据录入!$C$5:$C$4999,$A20,数据录入!$B$5:$B$4999,BC$6))</f>
        <v/>
      </c>
      <c r="BD20" s="85" t="str">
        <f>IF(OR($A20="",BD$6="",NOT(ISNUMBER($H$2))),"",SUMIFS(数据录入!$G$5:$G$4999,数据录入!$C$5:$C$4999,$A20,数据录入!$B$5:$B$4999,BD$6))</f>
        <v/>
      </c>
      <c r="BE20" s="85" t="str">
        <f>IF(OR($A20="",BE$6="",NOT(ISNUMBER($H$2))),"",SUMIFS(数据录入!$F$5:$F$4999,数据录入!$C$5:$C$4999,$A20,数据录入!$B$5:$B$4999,BE$6))</f>
        <v/>
      </c>
      <c r="BF20" s="85" t="str">
        <f>IF(OR($A20="",BF$6="",NOT(ISNUMBER($H$2))),"",SUMIFS(数据录入!$G$5:$G$4999,数据录入!$C$5:$C$4999,$A20,数据录入!$B$5:$B$4999,BF$6))</f>
        <v/>
      </c>
      <c r="BG20" s="85" t="str">
        <f>IF(OR($A20="",BG$6="",NOT(ISNUMBER($H$2))),"",SUMIFS(数据录入!$F$5:$F$4999,数据录入!$C$5:$C$4999,$A20,数据录入!$B$5:$B$4999,BG$6))</f>
        <v/>
      </c>
      <c r="BH20" s="85" t="str">
        <f>IF(OR($A20="",BH$6="",NOT(ISNUMBER($H$2))),"",SUMIFS(数据录入!$G$5:$G$4999,数据录入!$C$5:$C$4999,$A20,数据录入!$B$5:$B$4999,BH$6))</f>
        <v/>
      </c>
      <c r="BI20" s="85" t="str">
        <f>IF(OR($A20="",BI$6="",NOT(ISNUMBER($H$2))),"",SUMIFS(数据录入!$F$5:$F$4999,数据录入!$C$5:$C$4999,$A20,数据录入!$B$5:$B$4999,BI$6))</f>
        <v/>
      </c>
      <c r="BJ20" s="85" t="str">
        <f>IF(OR($A20="",BJ$6="",NOT(ISNUMBER($H$2))),"",SUMIFS(数据录入!$G$5:$G$4999,数据录入!$C$5:$C$4999,$A20,数据录入!$B$5:$B$4999,BJ$6))</f>
        <v/>
      </c>
      <c r="BK20" s="85" t="str">
        <f>IF(OR($A20="",BK$6="",NOT(ISNUMBER($H$2))),"",SUMIFS(数据录入!$F$5:$F$4999,数据录入!$C$5:$C$4999,$A20,数据录入!$B$5:$B$4999,BK$6))</f>
        <v/>
      </c>
      <c r="BL20" s="85" t="str">
        <f>IF(OR($A20="",BL$6="",NOT(ISNUMBER($H$2))),"",SUMIFS(数据录入!$G$5:$G$4999,数据录入!$C$5:$C$4999,$A20,数据录入!$B$5:$B$4999,BL$6))</f>
        <v/>
      </c>
      <c r="BM20" s="85" t="str">
        <f t="shared" si="0"/>
        <v/>
      </c>
      <c r="BN20" s="85" t="str">
        <f t="shared" si="1"/>
        <v/>
      </c>
      <c r="BO20" s="85" t="str">
        <f t="shared" si="2"/>
        <v/>
      </c>
      <c r="BP20" s="85"/>
    </row>
    <row r="21" s="64" customFormat="1" ht="20" customHeight="1" spans="1:68">
      <c r="A21" s="73"/>
      <c r="B21" s="84" t="str">
        <f>IF(OR($A21="",NOT(ISNUMBER($H$2))),"",SUMIFS(数据录入!$H$5:$H$4999,数据录入!$C$5:$C$4999,$A21,数据录入!$E$5:$E$4999,"期初余额",数据录入!$B$5:$B$4999,"&lt;="&amp;$B$2)+SUMIFS(数据录入!$F$5:$F$4999,数据录入!$C$5:$C$4999,$A21,数据录入!$B$5:$B$4999,"&lt;"&amp;$B$2)-SUMIFS(数据录入!$G$5:$G$4999,数据录入!$C$5:$C$4999,$A21,数据录入!$B$5:$B$4999,"&lt;"&amp;$B$2))</f>
        <v/>
      </c>
      <c r="C21" s="84" t="str">
        <f>IF(OR($A21="",C$6="",NOT(ISNUMBER($H$2))),"",SUMIFS(数据录入!$F$5:$F$4999,数据录入!$C$5:$C$4999,$A21,数据录入!$B$5:$B$4999,C$6))</f>
        <v/>
      </c>
      <c r="D21" s="84" t="str">
        <f>IF(OR($A21="",D$6="",NOT(ISNUMBER($H$2))),"",SUMIFS(数据录入!$G$5:$G$4999,数据录入!$C$5:$C$4999,$A21,数据录入!$B$5:$B$4999,D$6))</f>
        <v/>
      </c>
      <c r="E21" s="84" t="str">
        <f>IF(OR($A21="",E$6="",NOT(ISNUMBER($H$2))),"",SUMIFS(数据录入!$F$5:$F$4999,数据录入!$C$5:$C$4999,$A21,数据录入!$B$5:$B$4999,E$6))</f>
        <v/>
      </c>
      <c r="F21" s="84" t="str">
        <f>IF(OR($A21="",F$6="",NOT(ISNUMBER($H$2))),"",SUMIFS(数据录入!$G$5:$G$4999,数据录入!$C$5:$C$4999,$A21,数据录入!$B$5:$B$4999,F$6))</f>
        <v/>
      </c>
      <c r="G21" s="84" t="str">
        <f>IF(OR($A21="",G$6="",NOT(ISNUMBER($H$2))),"",SUMIFS(数据录入!$F$5:$F$4999,数据录入!$C$5:$C$4999,$A21,数据录入!$B$5:$B$4999,G$6))</f>
        <v/>
      </c>
      <c r="H21" s="84" t="str">
        <f>IF(OR($A21="",H$6="",NOT(ISNUMBER($H$2))),"",SUMIFS(数据录入!$G$5:$G$4999,数据录入!$C$5:$C$4999,$A21,数据录入!$B$5:$B$4999,H$6))</f>
        <v/>
      </c>
      <c r="I21" s="84" t="str">
        <f>IF(OR($A21="",I$6="",NOT(ISNUMBER($H$2))),"",SUMIFS(数据录入!$F$5:$F$4999,数据录入!$C$5:$C$4999,$A21,数据录入!$B$5:$B$4999,I$6))</f>
        <v/>
      </c>
      <c r="J21" s="84" t="str">
        <f>IF(OR($A21="",J$6="",NOT(ISNUMBER($H$2))),"",SUMIFS(数据录入!$G$5:$G$4999,数据录入!$C$5:$C$4999,$A21,数据录入!$B$5:$B$4999,J$6))</f>
        <v/>
      </c>
      <c r="K21" s="84" t="str">
        <f>IF(OR($A21="",K$6="",NOT(ISNUMBER($H$2))),"",SUMIFS(数据录入!$F$5:$F$4999,数据录入!$C$5:$C$4999,$A21,数据录入!$B$5:$B$4999,K$6))</f>
        <v/>
      </c>
      <c r="L21" s="84" t="str">
        <f>IF(OR($A21="",L$6="",NOT(ISNUMBER($H$2))),"",SUMIFS(数据录入!$G$5:$G$4999,数据录入!$C$5:$C$4999,$A21,数据录入!$B$5:$B$4999,L$6))</f>
        <v/>
      </c>
      <c r="M21" s="84" t="str">
        <f>IF(OR($A21="",M$6="",NOT(ISNUMBER($H$2))),"",SUMIFS(数据录入!$F$5:$F$4999,数据录入!$C$5:$C$4999,$A21,数据录入!$B$5:$B$4999,M$6))</f>
        <v/>
      </c>
      <c r="N21" s="84" t="str">
        <f>IF(OR($A21="",N$6="",NOT(ISNUMBER($H$2))),"",SUMIFS(数据录入!$G$5:$G$4999,数据录入!$C$5:$C$4999,$A21,数据录入!$B$5:$B$4999,N$6))</f>
        <v/>
      </c>
      <c r="O21" s="84" t="str">
        <f>IF(OR($A21="",O$6="",NOT(ISNUMBER($H$2))),"",SUMIFS(数据录入!$F$5:$F$4999,数据录入!$C$5:$C$4999,$A21,数据录入!$B$5:$B$4999,O$6))</f>
        <v/>
      </c>
      <c r="P21" s="84" t="str">
        <f>IF(OR($A21="",P$6="",NOT(ISNUMBER($H$2))),"",SUMIFS(数据录入!$G$5:$G$4999,数据录入!$C$5:$C$4999,$A21,数据录入!$B$5:$B$4999,P$6))</f>
        <v/>
      </c>
      <c r="Q21" s="84" t="str">
        <f>IF(OR($A21="",Q$6="",NOT(ISNUMBER($H$2))),"",SUMIFS(数据录入!$F$5:$F$4999,数据录入!$C$5:$C$4999,$A21,数据录入!$B$5:$B$4999,Q$6))</f>
        <v/>
      </c>
      <c r="R21" s="84" t="str">
        <f>IF(OR($A21="",R$6="",NOT(ISNUMBER($H$2))),"",SUMIFS(数据录入!$G$5:$G$4999,数据录入!$C$5:$C$4999,$A21,数据录入!$B$5:$B$4999,R$6))</f>
        <v/>
      </c>
      <c r="S21" s="84" t="str">
        <f>IF(OR($A21="",S$6="",NOT(ISNUMBER($H$2))),"",SUMIFS(数据录入!$F$5:$F$4999,数据录入!$C$5:$C$4999,$A21,数据录入!$B$5:$B$4999,S$6))</f>
        <v/>
      </c>
      <c r="T21" s="84" t="str">
        <f>IF(OR($A21="",T$6="",NOT(ISNUMBER($H$2))),"",SUMIFS(数据录入!$G$5:$G$4999,数据录入!$C$5:$C$4999,$A21,数据录入!$B$5:$B$4999,T$6))</f>
        <v/>
      </c>
      <c r="U21" s="85" t="str">
        <f>IF(OR($A21="",U$6="",NOT(ISNUMBER($H$2))),"",SUMIFS(数据录入!$F$5:$F$4999,数据录入!$C$5:$C$4999,$A21,数据录入!$B$5:$B$4999,U$6))</f>
        <v/>
      </c>
      <c r="V21" s="85" t="str">
        <f>IF(OR($A21="",V$6="",NOT(ISNUMBER($H$2))),"",SUMIFS(数据录入!$G$5:$G$4999,数据录入!$C$5:$C$4999,$A21,数据录入!$B$5:$B$4999,V$6))</f>
        <v/>
      </c>
      <c r="W21" s="85" t="str">
        <f>IF(OR($A21="",W$6="",NOT(ISNUMBER($H$2))),"",SUMIFS(数据录入!$F$5:$F$4999,数据录入!$C$5:$C$4999,$A21,数据录入!$B$5:$B$4999,W$6))</f>
        <v/>
      </c>
      <c r="X21" s="85" t="str">
        <f>IF(OR($A21="",X$6="",NOT(ISNUMBER($H$2))),"",SUMIFS(数据录入!$G$5:$G$4999,数据录入!$C$5:$C$4999,$A21,数据录入!$B$5:$B$4999,X$6))</f>
        <v/>
      </c>
      <c r="Y21" s="85" t="str">
        <f>IF(OR($A21="",Y$6="",NOT(ISNUMBER($H$2))),"",SUMIFS(数据录入!$F$5:$F$4999,数据录入!$C$5:$C$4999,$A21,数据录入!$B$5:$B$4999,Y$6))</f>
        <v/>
      </c>
      <c r="Z21" s="85" t="str">
        <f>IF(OR($A21="",Z$6="",NOT(ISNUMBER($H$2))),"",SUMIFS(数据录入!$G$5:$G$4999,数据录入!$C$5:$C$4999,$A21,数据录入!$B$5:$B$4999,Z$6))</f>
        <v/>
      </c>
      <c r="AA21" s="85" t="str">
        <f>IF(OR($A21="",AA$6="",NOT(ISNUMBER($H$2))),"",SUMIFS(数据录入!$F$5:$F$4999,数据录入!$C$5:$C$4999,$A21,数据录入!$B$5:$B$4999,AA$6))</f>
        <v/>
      </c>
      <c r="AB21" s="85" t="str">
        <f>IF(OR($A21="",AB$6="",NOT(ISNUMBER($H$2))),"",SUMIFS(数据录入!$G$5:$G$4999,数据录入!$C$5:$C$4999,$A21,数据录入!$B$5:$B$4999,AB$6))</f>
        <v/>
      </c>
      <c r="AC21" s="85" t="str">
        <f>IF(OR($A21="",AC$6="",NOT(ISNUMBER($H$2))),"",SUMIFS(数据录入!$F$5:$F$4999,数据录入!$C$5:$C$4999,$A21,数据录入!$B$5:$B$4999,AC$6))</f>
        <v/>
      </c>
      <c r="AD21" s="85" t="str">
        <f>IF(OR($A21="",AD$6="",NOT(ISNUMBER($H$2))),"",SUMIFS(数据录入!$G$5:$G$4999,数据录入!$C$5:$C$4999,$A21,数据录入!$B$5:$B$4999,AD$6))</f>
        <v/>
      </c>
      <c r="AE21" s="85" t="str">
        <f>IF(OR($A21="",AE$6="",NOT(ISNUMBER($H$2))),"",SUMIFS(数据录入!$F$5:$F$4999,数据录入!$C$5:$C$4999,$A21,数据录入!$B$5:$B$4999,AE$6))</f>
        <v/>
      </c>
      <c r="AF21" s="85" t="str">
        <f>IF(OR($A21="",AF$6="",NOT(ISNUMBER($H$2))),"",SUMIFS(数据录入!$G$5:$G$4999,数据录入!$C$5:$C$4999,$A21,数据录入!$B$5:$B$4999,AF$6))</f>
        <v/>
      </c>
      <c r="AG21" s="85" t="str">
        <f>IF(OR($A21="",AG$6="",NOT(ISNUMBER($H$2))),"",SUMIFS(数据录入!$F$5:$F$4999,数据录入!$C$5:$C$4999,$A21,数据录入!$B$5:$B$4999,AG$6))</f>
        <v/>
      </c>
      <c r="AH21" s="85" t="str">
        <f>IF(OR($A21="",AH$6="",NOT(ISNUMBER($H$2))),"",SUMIFS(数据录入!$G$5:$G$4999,数据录入!$C$5:$C$4999,$A21,数据录入!$B$5:$B$4999,AH$6))</f>
        <v/>
      </c>
      <c r="AI21" s="85" t="str">
        <f>IF(OR($A21="",AI$6="",NOT(ISNUMBER($H$2))),"",SUMIFS(数据录入!$F$5:$F$4999,数据录入!$C$5:$C$4999,$A21,数据录入!$B$5:$B$4999,AI$6))</f>
        <v/>
      </c>
      <c r="AJ21" s="85" t="str">
        <f>IF(OR($A21="",AJ$6="",NOT(ISNUMBER($H$2))),"",SUMIFS(数据录入!$G$5:$G$4999,数据录入!$C$5:$C$4999,$A21,数据录入!$B$5:$B$4999,AJ$6))</f>
        <v/>
      </c>
      <c r="AK21" s="85" t="str">
        <f>IF(OR($A21="",AK$6="",NOT(ISNUMBER($H$2))),"",SUMIFS(数据录入!$F$5:$F$4999,数据录入!$C$5:$C$4999,$A21,数据录入!$B$5:$B$4999,AK$6))</f>
        <v/>
      </c>
      <c r="AL21" s="85" t="str">
        <f>IF(OR($A21="",AL$6="",NOT(ISNUMBER($H$2))),"",SUMIFS(数据录入!$G$5:$G$4999,数据录入!$C$5:$C$4999,$A21,数据录入!$B$5:$B$4999,AL$6))</f>
        <v/>
      </c>
      <c r="AM21" s="85" t="str">
        <f>IF(OR($A21="",AM$6="",NOT(ISNUMBER($H$2))),"",SUMIFS(数据录入!$F$5:$F$4999,数据录入!$C$5:$C$4999,$A21,数据录入!$B$5:$B$4999,AM$6))</f>
        <v/>
      </c>
      <c r="AN21" s="85" t="str">
        <f>IF(OR($A21="",AN$6="",NOT(ISNUMBER($H$2))),"",SUMIFS(数据录入!$G$5:$G$4999,数据录入!$C$5:$C$4999,$A21,数据录入!$B$5:$B$4999,AN$6))</f>
        <v/>
      </c>
      <c r="AO21" s="85" t="str">
        <f>IF(OR($A21="",AO$6="",NOT(ISNUMBER($H$2))),"",SUMIFS(数据录入!$F$5:$F$4999,数据录入!$C$5:$C$4999,$A21,数据录入!$B$5:$B$4999,AO$6))</f>
        <v/>
      </c>
      <c r="AP21" s="85" t="str">
        <f>IF(OR($A21="",AP$6="",NOT(ISNUMBER($H$2))),"",SUMIFS(数据录入!$G$5:$G$4999,数据录入!$C$5:$C$4999,$A21,数据录入!$B$5:$B$4999,AP$6))</f>
        <v/>
      </c>
      <c r="AQ21" s="85" t="str">
        <f>IF(OR($A21="",AQ$6="",NOT(ISNUMBER($H$2))),"",SUMIFS(数据录入!$F$5:$F$4999,数据录入!$C$5:$C$4999,$A21,数据录入!$B$5:$B$4999,AQ$6))</f>
        <v/>
      </c>
      <c r="AR21" s="85" t="str">
        <f>IF(OR($A21="",AR$6="",NOT(ISNUMBER($H$2))),"",SUMIFS(数据录入!$G$5:$G$4999,数据录入!$C$5:$C$4999,$A21,数据录入!$B$5:$B$4999,AR$6))</f>
        <v/>
      </c>
      <c r="AS21" s="85" t="str">
        <f>IF(OR($A21="",AS$6="",NOT(ISNUMBER($H$2))),"",SUMIFS(数据录入!$F$5:$F$4999,数据录入!$C$5:$C$4999,$A21,数据录入!$B$5:$B$4999,AS$6))</f>
        <v/>
      </c>
      <c r="AT21" s="85" t="str">
        <f>IF(OR($A21="",AT$6="",NOT(ISNUMBER($H$2))),"",SUMIFS(数据录入!$G$5:$G$4999,数据录入!$C$5:$C$4999,$A21,数据录入!$B$5:$B$4999,AT$6))</f>
        <v/>
      </c>
      <c r="AU21" s="85" t="str">
        <f>IF(OR($A21="",AU$6="",NOT(ISNUMBER($H$2))),"",SUMIFS(数据录入!$F$5:$F$4999,数据录入!$C$5:$C$4999,$A21,数据录入!$B$5:$B$4999,AU$6))</f>
        <v/>
      </c>
      <c r="AV21" s="85" t="str">
        <f>IF(OR($A21="",AV$6="",NOT(ISNUMBER($H$2))),"",SUMIFS(数据录入!$G$5:$G$4999,数据录入!$C$5:$C$4999,$A21,数据录入!$B$5:$B$4999,AV$6))</f>
        <v/>
      </c>
      <c r="AW21" s="85" t="str">
        <f>IF(OR($A21="",AW$6="",NOT(ISNUMBER($H$2))),"",SUMIFS(数据录入!$F$5:$F$4999,数据录入!$C$5:$C$4999,$A21,数据录入!$B$5:$B$4999,AW$6))</f>
        <v/>
      </c>
      <c r="AX21" s="85" t="str">
        <f>IF(OR($A21="",AX$6="",NOT(ISNUMBER($H$2))),"",SUMIFS(数据录入!$G$5:$G$4999,数据录入!$C$5:$C$4999,$A21,数据录入!$B$5:$B$4999,AX$6))</f>
        <v/>
      </c>
      <c r="AY21" s="85" t="str">
        <f>IF(OR($A21="",AY$6="",NOT(ISNUMBER($H$2))),"",SUMIFS(数据录入!$F$5:$F$4999,数据录入!$C$5:$C$4999,$A21,数据录入!$B$5:$B$4999,AY$6))</f>
        <v/>
      </c>
      <c r="AZ21" s="85" t="str">
        <f>IF(OR($A21="",AZ$6="",NOT(ISNUMBER($H$2))),"",SUMIFS(数据录入!$G$5:$G$4999,数据录入!$C$5:$C$4999,$A21,数据录入!$B$5:$B$4999,AZ$6))</f>
        <v/>
      </c>
      <c r="BA21" s="85" t="str">
        <f>IF(OR($A21="",BA$6="",NOT(ISNUMBER($H$2))),"",SUMIFS(数据录入!$F$5:$F$4999,数据录入!$C$5:$C$4999,$A21,数据录入!$B$5:$B$4999,BA$6))</f>
        <v/>
      </c>
      <c r="BB21" s="85" t="str">
        <f>IF(OR($A21="",BB$6="",NOT(ISNUMBER($H$2))),"",SUMIFS(数据录入!$G$5:$G$4999,数据录入!$C$5:$C$4999,$A21,数据录入!$B$5:$B$4999,BB$6))</f>
        <v/>
      </c>
      <c r="BC21" s="85" t="str">
        <f>IF(OR($A21="",BC$6="",NOT(ISNUMBER($H$2))),"",SUMIFS(数据录入!$F$5:$F$4999,数据录入!$C$5:$C$4999,$A21,数据录入!$B$5:$B$4999,BC$6))</f>
        <v/>
      </c>
      <c r="BD21" s="85" t="str">
        <f>IF(OR($A21="",BD$6="",NOT(ISNUMBER($H$2))),"",SUMIFS(数据录入!$G$5:$G$4999,数据录入!$C$5:$C$4999,$A21,数据录入!$B$5:$B$4999,BD$6))</f>
        <v/>
      </c>
      <c r="BE21" s="85" t="str">
        <f>IF(OR($A21="",BE$6="",NOT(ISNUMBER($H$2))),"",SUMIFS(数据录入!$F$5:$F$4999,数据录入!$C$5:$C$4999,$A21,数据录入!$B$5:$B$4999,BE$6))</f>
        <v/>
      </c>
      <c r="BF21" s="85" t="str">
        <f>IF(OR($A21="",BF$6="",NOT(ISNUMBER($H$2))),"",SUMIFS(数据录入!$G$5:$G$4999,数据录入!$C$5:$C$4999,$A21,数据录入!$B$5:$B$4999,BF$6))</f>
        <v/>
      </c>
      <c r="BG21" s="85" t="str">
        <f>IF(OR($A21="",BG$6="",NOT(ISNUMBER($H$2))),"",SUMIFS(数据录入!$F$5:$F$4999,数据录入!$C$5:$C$4999,$A21,数据录入!$B$5:$B$4999,BG$6))</f>
        <v/>
      </c>
      <c r="BH21" s="85" t="str">
        <f>IF(OR($A21="",BH$6="",NOT(ISNUMBER($H$2))),"",SUMIFS(数据录入!$G$5:$G$4999,数据录入!$C$5:$C$4999,$A21,数据录入!$B$5:$B$4999,BH$6))</f>
        <v/>
      </c>
      <c r="BI21" s="85" t="str">
        <f>IF(OR($A21="",BI$6="",NOT(ISNUMBER($H$2))),"",SUMIFS(数据录入!$F$5:$F$4999,数据录入!$C$5:$C$4999,$A21,数据录入!$B$5:$B$4999,BI$6))</f>
        <v/>
      </c>
      <c r="BJ21" s="85" t="str">
        <f>IF(OR($A21="",BJ$6="",NOT(ISNUMBER($H$2))),"",SUMIFS(数据录入!$G$5:$G$4999,数据录入!$C$5:$C$4999,$A21,数据录入!$B$5:$B$4999,BJ$6))</f>
        <v/>
      </c>
      <c r="BK21" s="85" t="str">
        <f>IF(OR($A21="",BK$6="",NOT(ISNUMBER($H$2))),"",SUMIFS(数据录入!$F$5:$F$4999,数据录入!$C$5:$C$4999,$A21,数据录入!$B$5:$B$4999,BK$6))</f>
        <v/>
      </c>
      <c r="BL21" s="85" t="str">
        <f>IF(OR($A21="",BL$6="",NOT(ISNUMBER($H$2))),"",SUMIFS(数据录入!$G$5:$G$4999,数据录入!$C$5:$C$4999,$A21,数据录入!$B$5:$B$4999,BL$6))</f>
        <v/>
      </c>
      <c r="BM21" s="85" t="str">
        <f t="shared" si="0"/>
        <v/>
      </c>
      <c r="BN21" s="85" t="str">
        <f t="shared" si="1"/>
        <v/>
      </c>
      <c r="BO21" s="85" t="str">
        <f t="shared" si="2"/>
        <v/>
      </c>
      <c r="BP21" s="85"/>
    </row>
    <row r="22" s="64" customFormat="1" ht="20" customHeight="1" spans="1:68">
      <c r="A22" s="76" t="s">
        <v>256</v>
      </c>
      <c r="B22" s="86">
        <f t="shared" ref="B22:BM22" si="3">SUM(B8:B21)</f>
        <v>361.379999999976</v>
      </c>
      <c r="C22" s="86">
        <f t="shared" si="3"/>
        <v>0</v>
      </c>
      <c r="D22" s="86">
        <f t="shared" si="3"/>
        <v>0</v>
      </c>
      <c r="E22" s="86">
        <f t="shared" si="3"/>
        <v>0</v>
      </c>
      <c r="F22" s="86">
        <f t="shared" si="3"/>
        <v>0</v>
      </c>
      <c r="G22" s="86">
        <f t="shared" si="3"/>
        <v>0</v>
      </c>
      <c r="H22" s="86">
        <f t="shared" si="3"/>
        <v>0</v>
      </c>
      <c r="I22" s="86">
        <f t="shared" si="3"/>
        <v>90000</v>
      </c>
      <c r="J22" s="86">
        <f t="shared" si="3"/>
        <v>82409</v>
      </c>
      <c r="K22" s="86">
        <f t="shared" si="3"/>
        <v>0</v>
      </c>
      <c r="L22" s="86">
        <f t="shared" si="3"/>
        <v>0</v>
      </c>
      <c r="M22" s="86">
        <f t="shared" si="3"/>
        <v>0</v>
      </c>
      <c r="N22" s="86">
        <f t="shared" si="3"/>
        <v>0</v>
      </c>
      <c r="O22" s="86">
        <f t="shared" si="3"/>
        <v>0</v>
      </c>
      <c r="P22" s="86">
        <f t="shared" si="3"/>
        <v>0</v>
      </c>
      <c r="Q22" s="86">
        <f t="shared" si="3"/>
        <v>0</v>
      </c>
      <c r="R22" s="86">
        <f t="shared" si="3"/>
        <v>0</v>
      </c>
      <c r="S22" s="86">
        <f t="shared" si="3"/>
        <v>0</v>
      </c>
      <c r="T22" s="86">
        <f t="shared" si="3"/>
        <v>450</v>
      </c>
      <c r="U22" s="87">
        <f t="shared" si="3"/>
        <v>0</v>
      </c>
      <c r="V22" s="87">
        <f t="shared" si="3"/>
        <v>0</v>
      </c>
      <c r="W22" s="87">
        <f t="shared" si="3"/>
        <v>0</v>
      </c>
      <c r="X22" s="87">
        <f t="shared" si="3"/>
        <v>0</v>
      </c>
      <c r="Y22" s="87">
        <f t="shared" si="3"/>
        <v>0</v>
      </c>
      <c r="Z22" s="87">
        <f t="shared" si="3"/>
        <v>4504.5</v>
      </c>
      <c r="AA22" s="87">
        <f t="shared" si="3"/>
        <v>0</v>
      </c>
      <c r="AB22" s="87">
        <f t="shared" si="3"/>
        <v>0</v>
      </c>
      <c r="AC22" s="87">
        <f t="shared" si="3"/>
        <v>0</v>
      </c>
      <c r="AD22" s="87">
        <f t="shared" si="3"/>
        <v>0</v>
      </c>
      <c r="AE22" s="87">
        <f t="shared" si="3"/>
        <v>0</v>
      </c>
      <c r="AF22" s="87">
        <f t="shared" si="3"/>
        <v>0</v>
      </c>
      <c r="AG22" s="87">
        <f t="shared" si="3"/>
        <v>30000</v>
      </c>
      <c r="AH22" s="87">
        <f t="shared" si="3"/>
        <v>0</v>
      </c>
      <c r="AI22" s="87">
        <f t="shared" si="3"/>
        <v>0</v>
      </c>
      <c r="AJ22" s="87">
        <f t="shared" si="3"/>
        <v>0</v>
      </c>
      <c r="AK22" s="87">
        <f t="shared" si="3"/>
        <v>0</v>
      </c>
      <c r="AL22" s="87">
        <f t="shared" si="3"/>
        <v>0</v>
      </c>
      <c r="AM22" s="87">
        <f t="shared" si="3"/>
        <v>0</v>
      </c>
      <c r="AN22" s="87">
        <f t="shared" si="3"/>
        <v>0</v>
      </c>
      <c r="AO22" s="87">
        <f t="shared" si="3"/>
        <v>20000</v>
      </c>
      <c r="AP22" s="87">
        <f t="shared" si="3"/>
        <v>44409</v>
      </c>
      <c r="AQ22" s="87">
        <f t="shared" si="3"/>
        <v>9088</v>
      </c>
      <c r="AR22" s="87">
        <f t="shared" si="3"/>
        <v>0</v>
      </c>
      <c r="AS22" s="87">
        <f t="shared" si="3"/>
        <v>189383.96</v>
      </c>
      <c r="AT22" s="87">
        <f t="shared" si="3"/>
        <v>150002.7</v>
      </c>
      <c r="AU22" s="87">
        <f t="shared" si="3"/>
        <v>8368.85</v>
      </c>
      <c r="AV22" s="87">
        <f t="shared" si="3"/>
        <v>50000.9</v>
      </c>
      <c r="AW22" s="87">
        <f t="shared" si="3"/>
        <v>6442.95</v>
      </c>
      <c r="AX22" s="87">
        <f t="shared" si="3"/>
        <v>0</v>
      </c>
      <c r="AY22" s="87">
        <f t="shared" si="3"/>
        <v>6494.62</v>
      </c>
      <c r="AZ22" s="87">
        <f t="shared" si="3"/>
        <v>16.25</v>
      </c>
      <c r="BA22" s="87">
        <f t="shared" si="3"/>
        <v>9286.7</v>
      </c>
      <c r="BB22" s="87">
        <f t="shared" si="3"/>
        <v>3886.06</v>
      </c>
      <c r="BC22" s="87">
        <f t="shared" si="3"/>
        <v>9388.54</v>
      </c>
      <c r="BD22" s="87">
        <f t="shared" si="3"/>
        <v>0</v>
      </c>
      <c r="BE22" s="87">
        <f t="shared" si="3"/>
        <v>8734.59</v>
      </c>
      <c r="BF22" s="87">
        <f t="shared" si="3"/>
        <v>3928.18</v>
      </c>
      <c r="BG22" s="87">
        <f t="shared" si="3"/>
        <v>7792.69</v>
      </c>
      <c r="BH22" s="87">
        <f t="shared" si="3"/>
        <v>0</v>
      </c>
      <c r="BI22" s="87">
        <f t="shared" si="3"/>
        <v>7862.46</v>
      </c>
      <c r="BJ22" s="87">
        <f t="shared" si="3"/>
        <v>0</v>
      </c>
      <c r="BK22" s="87">
        <f t="shared" si="3"/>
        <v>5853.65</v>
      </c>
      <c r="BL22" s="87">
        <f t="shared" si="3"/>
        <v>0</v>
      </c>
      <c r="BM22" s="87">
        <f t="shared" si="3"/>
        <v>408697.01</v>
      </c>
      <c r="BN22" s="87">
        <f>SUM(BN8:BN21)</f>
        <v>339606.59</v>
      </c>
      <c r="BO22" s="87">
        <f>SUM(BO8:BO21)</f>
        <v>69451.8</v>
      </c>
      <c r="BP22" s="88"/>
    </row>
    <row r="23" ht="16.5" spans="1:68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 ht="21.75" customHeight="1" spans="1:68">
      <c r="A24" s="89" t="s">
        <v>269</v>
      </c>
      <c r="B24" s="89"/>
      <c r="C24" s="89"/>
      <c r="D24" s="89"/>
      <c r="E24" s="89"/>
      <c r="F24" s="89"/>
      <c r="G24" s="29"/>
      <c r="H24" s="89" t="s">
        <v>270</v>
      </c>
      <c r="I24" s="90"/>
      <c r="J24" s="90"/>
      <c r="K24" s="90"/>
      <c r="L24" s="90"/>
      <c r="M24" s="90"/>
      <c r="N24" s="29"/>
      <c r="O24" s="29"/>
      <c r="P24" s="29"/>
      <c r="Q24" s="29"/>
      <c r="R24" s="29"/>
      <c r="U24"/>
      <c r="V24"/>
      <c r="BK24" s="65"/>
      <c r="BL24" s="65"/>
      <c r="BN24"/>
      <c r="BO24"/>
    </row>
    <row r="25" customFormat="1" ht="24" customHeight="1" spans="1:68">
      <c r="A25" s="29"/>
      <c r="B25" s="29" t="s">
        <v>271</v>
      </c>
      <c r="C25" s="70">
        <v>46129</v>
      </c>
      <c r="D25" s="91"/>
      <c r="E25" s="29"/>
      <c r="F25" s="29" t="s">
        <v>272</v>
      </c>
      <c r="G25" s="29"/>
      <c r="H25" s="29"/>
      <c r="I25" s="29" t="s">
        <v>273</v>
      </c>
      <c r="J25" s="29"/>
      <c r="K25" s="92">
        <v>46143</v>
      </c>
      <c r="L25" s="29"/>
      <c r="M25" s="29"/>
      <c r="N25" s="29"/>
      <c r="Q25" s="29"/>
      <c r="R25" s="29"/>
    </row>
    <row r="26" ht="24" customHeight="1" spans="1:68">
      <c r="A26" s="33" t="s">
        <v>92</v>
      </c>
      <c r="B26" s="33" t="s">
        <v>37</v>
      </c>
      <c r="C26" s="33" t="s">
        <v>274</v>
      </c>
      <c r="D26" s="33" t="s">
        <v>275</v>
      </c>
      <c r="E26" s="33" t="s">
        <v>276</v>
      </c>
      <c r="F26" s="33" t="s">
        <v>277</v>
      </c>
      <c r="G26" s="33"/>
      <c r="H26" s="33" t="s">
        <v>92</v>
      </c>
      <c r="I26" s="33" t="s">
        <v>278</v>
      </c>
      <c r="J26" s="33" t="s">
        <v>100</v>
      </c>
      <c r="K26" s="33" t="s">
        <v>279</v>
      </c>
      <c r="L26" s="33" t="s">
        <v>280</v>
      </c>
      <c r="M26" s="33" t="s">
        <v>281</v>
      </c>
      <c r="P26" s="93" t="s">
        <v>282</v>
      </c>
      <c r="U26"/>
      <c r="V26"/>
      <c r="BK26" s="65"/>
      <c r="BL26" s="65"/>
      <c r="BN26"/>
      <c r="BO26"/>
    </row>
    <row r="27" ht="20" customHeight="1" spans="1:68">
      <c r="A27" s="94">
        <v>1</v>
      </c>
      <c r="B27" s="95" t="s">
        <v>43</v>
      </c>
      <c r="C27" s="96">
        <f>IF($B27="","",SUMIFS(数据录入!$H$5:$H$4999,数据录入!$C$5:$C$4999,$B27,数据录入!$E$5:$E$4999,"期初余额",数据录入!$B$5:$B$4999,"&lt;="&amp;$C$25)+SUMIFS(数据录入!$F$5:$F$4999,数据录入!$C$5:$C$4999,$B27,数据录入!$B$5:$B$4999,"&lt;"&amp;$C$25)-SUMIFS(数据录入!$G$5:$G$4999,数据录入!$C$5:$C$4999,$B27,数据录入!$B$5:$B$4999,"&lt;"&amp;$C$25))</f>
        <v>0</v>
      </c>
      <c r="D27" s="36">
        <f>IF($B27="","",SUMIFS(数据录入!$F$5:$F$4999,数据录入!$C$5:$C$4999,$B27,数据录入!$B$5:$B$4999,$C$25))</f>
        <v>0</v>
      </c>
      <c r="E27" s="36">
        <f>IF($B27="","",SUMIFS(数据录入!$G$5:$G$4999,数据录入!$C$5:$C$4999,$B27,数据录入!$B$5:$B$4999,$C$25))</f>
        <v>0</v>
      </c>
      <c r="F27" s="96">
        <f>IF($B27="","",C27+D27-E27)</f>
        <v>0</v>
      </c>
      <c r="G27" s="29"/>
      <c r="H27" s="94">
        <v>1</v>
      </c>
      <c r="I27" s="97" t="s">
        <v>43</v>
      </c>
      <c r="J27" s="98">
        <f>IF($I27="","",SUMIFS(数据录入!$H$5:$H$4999,数据录入!$C$5:$C$4999,$I27,数据录入!$E$5:$E$4999,"期初余额",数据录入!$B$5:$B$4999,"&lt;="&amp;DATE(YEAR($K$25),MONTH($K$25),1))+SUMIFS(数据录入!$F$5:$F$4999,数据录入!$C$5:$C$4999,$I27,数据录入!$B$5:$B$4999,"&lt;"&amp;DATE(YEAR($K$25),MONTH($K$25),1))-SUMIFS(数据录入!$G$5:$G$4999,数据录入!$C$5:$C$4999,$I27,数据录入!$B$5:$B$4999,"&lt;"&amp;DATE(YEAR($K$25),MONTH($K$25),1)))</f>
        <v>0</v>
      </c>
      <c r="K27" s="99">
        <f>IF($I27="","",SUMIFS(数据录入!$F$5:$F$4999,数据录入!$C$5:$C$4999,$I27,数据录入!$B$5:$B$4999,"&gt;="&amp;DATE(YEAR($K$25),MONTH($K$25),1),数据录入!$B$5:$B$4999,"&lt;="&amp;DATE(YEAR($K$25),MONTH($K$25)+1,0)))</f>
        <v>0</v>
      </c>
      <c r="L27" s="99">
        <f>IF($I27="","",SUMIFS(数据录入!$G$5:$G$4999,数据录入!$C$5:$C$4999,$I27,数据录入!$B$5:$B$4999,"&gt;="&amp;DATE(YEAR($K$25),MONTH($K$25),1),数据录入!$B$5:$B$4999,"&lt;="&amp;DATE(YEAR($K$25),MONTH($K$25)+1,0)))</f>
        <v>0</v>
      </c>
      <c r="M27" s="98">
        <f t="shared" ref="M27:M40" si="4">IF($I27="","",J27+K27-L27)</f>
        <v>0</v>
      </c>
      <c r="N27" s="29"/>
      <c r="P27" s="100" t="s">
        <v>283</v>
      </c>
      <c r="Q27" s="29"/>
      <c r="R27" s="29"/>
      <c r="U27"/>
      <c r="V27"/>
      <c r="BK27" s="65"/>
      <c r="BL27" s="65"/>
      <c r="BN27"/>
      <c r="BO27"/>
    </row>
    <row r="28" ht="20" customHeight="1" spans="1:68">
      <c r="A28" s="94">
        <v>2</v>
      </c>
      <c r="B28" s="95" t="s">
        <v>46</v>
      </c>
      <c r="C28" s="96">
        <f>IF($B28="","",SUMIFS(数据录入!$H$5:$H$4999,数据录入!$C$5:$C$4999,$B28,数据录入!$E$5:$E$4999,"期初余额",数据录入!$B$5:$B$4999,"&lt;="&amp;$C$25)+SUMIFS(数据录入!$F$5:$F$4999,数据录入!$C$5:$C$4999,$B28,数据录入!$B$5:$B$4999,"&lt;"&amp;$C$25)-SUMIFS(数据录入!$G$5:$G$4999,数据录入!$C$5:$C$4999,$B28,数据录入!$B$5:$B$4999,"&lt;"&amp;$C$25))</f>
        <v>0</v>
      </c>
      <c r="D28" s="36">
        <f>IF($B28="","",SUMIFS(数据录入!$F$5:$F$4999,数据录入!$C$5:$C$4999,$B28,数据录入!$B$5:$B$4999,$C$25))</f>
        <v>0</v>
      </c>
      <c r="E28" s="36">
        <f>IF($B28="","",SUMIFS(数据录入!$G$5:$G$4999,数据录入!$C$5:$C$4999,$B28,数据录入!$B$5:$B$4999,$C$25))</f>
        <v>0</v>
      </c>
      <c r="F28" s="96">
        <f t="shared" ref="F28:F40" si="5">IF($B28="","",C28+D28-E28)</f>
        <v>0</v>
      </c>
      <c r="G28" s="29"/>
      <c r="H28" s="94">
        <v>2</v>
      </c>
      <c r="I28" s="97" t="s">
        <v>46</v>
      </c>
      <c r="J28" s="98">
        <f>IF($I28="","",SUMIFS(数据录入!$H$5:$H$4999,数据录入!$C$5:$C$4999,$I28,数据录入!$E$5:$E$4999,"期初余额",数据录入!$B$5:$B$4999,"&lt;="&amp;DATE(YEAR($K$25),MONTH($K$25),1))+SUMIFS(数据录入!$F$5:$F$4999,数据录入!$C$5:$C$4999,$I28,数据录入!$B$5:$B$4999,"&lt;"&amp;DATE(YEAR($K$25),MONTH($K$25),1))-SUMIFS(数据录入!$G$5:$G$4999,数据录入!$C$5:$C$4999,$I28,数据录入!$B$5:$B$4999,"&lt;"&amp;DATE(YEAR($K$25),MONTH($K$25),1)))</f>
        <v>0</v>
      </c>
      <c r="K28" s="99">
        <f>IF($I28="","",SUMIFS(数据录入!$F$5:$F$4999,数据录入!$C$5:$C$4999,$I28,数据录入!$B$5:$B$4999,"&gt;="&amp;DATE(YEAR($K$25),MONTH($K$25),1),数据录入!$B$5:$B$4999,"&lt;="&amp;DATE(YEAR($K$25),MONTH($K$25)+1,0)))</f>
        <v>0</v>
      </c>
      <c r="L28" s="99">
        <f>IF($I28="","",SUMIFS(数据录入!$G$5:$G$4999,数据录入!$C$5:$C$4999,$I28,数据录入!$B$5:$B$4999,"&gt;="&amp;DATE(YEAR($K$25),MONTH($K$25),1),数据录入!$B$5:$B$4999,"&lt;="&amp;DATE(YEAR($K$25),MONTH($K$25)+1,0)))</f>
        <v>0</v>
      </c>
      <c r="M28" s="98">
        <f t="shared" si="4"/>
        <v>0</v>
      </c>
      <c r="N28" s="29"/>
      <c r="P28" s="101">
        <v>46023</v>
      </c>
      <c r="Q28" s="29"/>
      <c r="R28" s="29"/>
      <c r="U28"/>
      <c r="V28"/>
      <c r="BK28" s="65"/>
      <c r="BL28" s="65"/>
      <c r="BN28"/>
      <c r="BO28"/>
    </row>
    <row r="29" ht="20" customHeight="1" spans="1:68">
      <c r="A29" s="94">
        <v>3</v>
      </c>
      <c r="B29" s="95" t="s">
        <v>49</v>
      </c>
      <c r="C29" s="96">
        <f>IF($B29="","",SUMIFS(数据录入!$H$5:$H$4999,数据录入!$C$5:$C$4999,$B29,数据录入!$E$5:$E$4999,"期初余额",数据录入!$B$5:$B$4999,"&lt;="&amp;$C$25)+SUMIFS(数据录入!$F$5:$F$4999,数据录入!$C$5:$C$4999,$B29,数据录入!$B$5:$B$4999,"&lt;"&amp;$C$25)-SUMIFS(数据录入!$G$5:$G$4999,数据录入!$C$5:$C$4999,$B29,数据录入!$B$5:$B$4999,"&lt;"&amp;$C$25))</f>
        <v>0</v>
      </c>
      <c r="D29" s="36">
        <f>IF($B29="","",SUMIFS(数据录入!$F$5:$F$4999,数据录入!$C$5:$C$4999,$B29,数据录入!$B$5:$B$4999,$C$25))</f>
        <v>10000</v>
      </c>
      <c r="E29" s="36">
        <f>IF($B29="","",SUMIFS(数据录入!$G$5:$G$4999,数据录入!$C$5:$C$4999,$B29,数据录入!$B$5:$B$4999,$C$25))</f>
        <v>119.12</v>
      </c>
      <c r="F29" s="96">
        <f t="shared" si="5"/>
        <v>9880.88</v>
      </c>
      <c r="G29" s="29"/>
      <c r="H29" s="94">
        <v>3</v>
      </c>
      <c r="I29" s="97" t="s">
        <v>49</v>
      </c>
      <c r="J29" s="98">
        <f>IF($I29="","",SUMIFS(数据录入!$H$5:$H$4999,数据录入!$C$5:$C$4999,$I29,数据录入!$E$5:$E$4999,"期初余额",数据录入!$B$5:$B$4999,"&lt;="&amp;DATE(YEAR($K$25),MONTH($K$25),1))+SUMIFS(数据录入!$F$5:$F$4999,数据录入!$C$5:$C$4999,$I29,数据录入!$B$5:$B$4999,"&lt;"&amp;DATE(YEAR($K$25),MONTH($K$25),1))-SUMIFS(数据录入!$G$5:$G$4999,数据录入!$C$5:$C$4999,$I29,数据录入!$B$5:$B$4999,"&lt;"&amp;DATE(YEAR($K$25),MONTH($K$25),1)))</f>
        <v>361.379999999976</v>
      </c>
      <c r="K29" s="99">
        <f>IF($I29="","",SUMIFS(数据录入!$F$5:$F$4999,数据录入!$C$5:$C$4999,$I29,数据录入!$B$5:$B$4999,"&gt;="&amp;DATE(YEAR($K$25),MONTH($K$25),1),数据录入!$B$5:$B$4999,"&lt;="&amp;DATE(YEAR($K$25),MONTH($K$25)+1,0)))</f>
        <v>408697.01</v>
      </c>
      <c r="L29" s="99">
        <f>IF($I29="","",SUMIFS(数据录入!$G$5:$G$4999,数据录入!$C$5:$C$4999,$I29,数据录入!$B$5:$B$4999,"&gt;="&amp;DATE(YEAR($K$25),MONTH($K$25),1),数据录入!$B$5:$B$4999,"&lt;="&amp;DATE(YEAR($K$25),MONTH($K$25)+1,0)))</f>
        <v>339606.59</v>
      </c>
      <c r="M29" s="98">
        <f t="shared" si="4"/>
        <v>69451.8</v>
      </c>
      <c r="N29" s="29"/>
      <c r="P29" s="101">
        <v>46054</v>
      </c>
      <c r="Q29" s="29"/>
      <c r="R29" s="29"/>
      <c r="U29"/>
      <c r="V29"/>
      <c r="BK29" s="65"/>
      <c r="BL29" s="65"/>
      <c r="BN29"/>
      <c r="BO29"/>
    </row>
    <row r="30" ht="20" customHeight="1" spans="1:68">
      <c r="A30" s="94">
        <v>4</v>
      </c>
      <c r="B30" s="95" t="s">
        <v>52</v>
      </c>
      <c r="C30" s="96">
        <f>IF($B30="","",SUMIFS(数据录入!$H$5:$H$4999,数据录入!$C$5:$C$4999,$B30,数据录入!$E$5:$E$4999,"期初余额",数据录入!$B$5:$B$4999,"&lt;="&amp;$C$25)+SUMIFS(数据录入!$F$5:$F$4999,数据录入!$C$5:$C$4999,$B30,数据录入!$B$5:$B$4999,"&lt;"&amp;$C$25)-SUMIFS(数据录入!$G$5:$G$4999,数据录入!$C$5:$C$4999,$B30,数据录入!$B$5:$B$4999,"&lt;"&amp;$C$25))</f>
        <v>0</v>
      </c>
      <c r="D30" s="36">
        <f>IF($B30="","",SUMIFS(数据录入!$F$5:$F$4999,数据录入!$C$5:$C$4999,$B30,数据录入!$B$5:$B$4999,$C$25))</f>
        <v>0</v>
      </c>
      <c r="E30" s="36">
        <f>IF($B30="","",SUMIFS(数据录入!$G$5:$G$4999,数据录入!$C$5:$C$4999,$B30,数据录入!$B$5:$B$4999,$C$25))</f>
        <v>0</v>
      </c>
      <c r="F30" s="96">
        <f t="shared" si="5"/>
        <v>0</v>
      </c>
      <c r="G30" s="29"/>
      <c r="H30" s="94">
        <v>4</v>
      </c>
      <c r="I30" s="97" t="s">
        <v>52</v>
      </c>
      <c r="J30" s="98">
        <f>IF($I30="","",SUMIFS(数据录入!$H$5:$H$4999,数据录入!$C$5:$C$4999,$I30,数据录入!$E$5:$E$4999,"期初余额",数据录入!$B$5:$B$4999,"&lt;="&amp;DATE(YEAR($K$25),MONTH($K$25),1))+SUMIFS(数据录入!$F$5:$F$4999,数据录入!$C$5:$C$4999,$I30,数据录入!$B$5:$B$4999,"&lt;"&amp;DATE(YEAR($K$25),MONTH($K$25),1))-SUMIFS(数据录入!$G$5:$G$4999,数据录入!$C$5:$C$4999,$I30,数据录入!$B$5:$B$4999,"&lt;"&amp;DATE(YEAR($K$25),MONTH($K$25),1)))</f>
        <v>0</v>
      </c>
      <c r="K30" s="99">
        <f>IF($I30="","",SUMIFS(数据录入!$F$5:$F$4999,数据录入!$C$5:$C$4999,$I30,数据录入!$B$5:$B$4999,"&gt;="&amp;DATE(YEAR($K$25),MONTH($K$25),1),数据录入!$B$5:$B$4999,"&lt;="&amp;DATE(YEAR($K$25),MONTH($K$25)+1,0)))</f>
        <v>0</v>
      </c>
      <c r="L30" s="99">
        <f>IF($I30="","",SUMIFS(数据录入!$G$5:$G$4999,数据录入!$C$5:$C$4999,$I30,数据录入!$B$5:$B$4999,"&gt;="&amp;DATE(YEAR($K$25),MONTH($K$25),1),数据录入!$B$5:$B$4999,"&lt;="&amp;DATE(YEAR($K$25),MONTH($K$25)+1,0)))</f>
        <v>0</v>
      </c>
      <c r="M30" s="98">
        <f t="shared" si="4"/>
        <v>0</v>
      </c>
      <c r="N30" s="29"/>
      <c r="P30" s="101">
        <v>46082</v>
      </c>
      <c r="Q30" s="29"/>
      <c r="R30" s="29"/>
      <c r="U30"/>
      <c r="V30"/>
      <c r="BK30" s="65"/>
      <c r="BL30" s="65"/>
      <c r="BN30"/>
      <c r="BO30"/>
    </row>
    <row r="31" ht="20" customHeight="1" spans="1:68">
      <c r="A31" s="94">
        <v>5</v>
      </c>
      <c r="B31" s="95"/>
      <c r="C31" s="96" t="str">
        <f>IF($B31="","",SUMIFS(数据录入!$H$5:$H$4999,数据录入!$C$5:$C$4999,$B31,数据录入!$E$5:$E$4999,"期初余额",数据录入!$B$5:$B$4999,"&lt;="&amp;$C$25)+SUMIFS(数据录入!$F$5:$F$4999,数据录入!$C$5:$C$4999,$B31,数据录入!$B$5:$B$4999,"&lt;"&amp;$C$25)-SUMIFS(数据录入!$G$5:$G$4999,数据录入!$C$5:$C$4999,$B31,数据录入!$B$5:$B$4999,"&lt;"&amp;$C$25))</f>
        <v/>
      </c>
      <c r="D31" s="36" t="str">
        <f>IF($B31="","",SUMIFS(数据录入!$F$5:$F$4999,数据录入!$C$5:$C$4999,$B31,数据录入!$B$5:$B$4999,$C$25))</f>
        <v/>
      </c>
      <c r="E31" s="36" t="str">
        <f>IF($B31="","",SUMIFS(数据录入!$G$5:$G$4999,数据录入!$C$5:$C$4999,$B31,数据录入!$B$5:$B$4999,$C$25))</f>
        <v/>
      </c>
      <c r="F31" s="96" t="str">
        <f t="shared" si="5"/>
        <v/>
      </c>
      <c r="G31" s="29"/>
      <c r="H31" s="94">
        <v>5</v>
      </c>
      <c r="I31" s="97"/>
      <c r="J31" s="98" t="str">
        <f>IF($I31="","",SUMIFS(数据录入!$H$5:$H$4999,数据录入!$C$5:$C$4999,$I31,数据录入!$E$5:$E$4999,"期初余额",数据录入!$B$5:$B$4999,"&lt;="&amp;DATE(YEAR($K$25),MONTH($K$25),1))+SUMIFS(数据录入!$F$5:$F$4999,数据录入!$C$5:$C$4999,$I31,数据录入!$B$5:$B$4999,"&lt;"&amp;DATE(YEAR($K$25),MONTH($K$25),1))-SUMIFS(数据录入!$G$5:$G$4999,数据录入!$C$5:$C$4999,$I31,数据录入!$B$5:$B$4999,"&lt;"&amp;DATE(YEAR($K$25),MONTH($K$25),1)))</f>
        <v/>
      </c>
      <c r="K31" s="99" t="str">
        <f>IF($I31="","",SUMIFS(数据录入!$F$5:$F$4999,数据录入!$C$5:$C$4999,$I31,数据录入!$B$5:$B$4999,"&gt;="&amp;DATE(YEAR($K$25),MONTH($K$25),1),数据录入!$B$5:$B$4999,"&lt;="&amp;DATE(YEAR($K$25),MONTH($K$25)+1,0)))</f>
        <v/>
      </c>
      <c r="L31" s="99" t="str">
        <f>IF($I31="","",SUMIFS(数据录入!$G$5:$G$4999,数据录入!$C$5:$C$4999,$I31,数据录入!$B$5:$B$4999,"&gt;="&amp;DATE(YEAR($K$25),MONTH($K$25),1),数据录入!$B$5:$B$4999,"&lt;="&amp;DATE(YEAR($K$25),MONTH($K$25)+1,0)))</f>
        <v/>
      </c>
      <c r="M31" s="98" t="str">
        <f t="shared" si="4"/>
        <v/>
      </c>
      <c r="N31" s="29"/>
      <c r="P31" s="101">
        <v>46113</v>
      </c>
      <c r="Q31" s="29"/>
      <c r="R31" s="29"/>
      <c r="U31"/>
      <c r="V31"/>
      <c r="BK31" s="65"/>
      <c r="BL31" s="65"/>
      <c r="BN31"/>
      <c r="BO31"/>
    </row>
    <row r="32" ht="20" customHeight="1" spans="1:68">
      <c r="A32" s="94">
        <v>6</v>
      </c>
      <c r="B32" s="95"/>
      <c r="C32" s="96" t="str">
        <f>IF($B32="","",SUMIFS(数据录入!$H$5:$H$4999,数据录入!$C$5:$C$4999,$B32,数据录入!$E$5:$E$4999,"期初余额",数据录入!$B$5:$B$4999,"&lt;="&amp;$C$25)+SUMIFS(数据录入!$F$5:$F$4999,数据录入!$C$5:$C$4999,$B32,数据录入!$B$5:$B$4999,"&lt;"&amp;$C$25)-SUMIFS(数据录入!$G$5:$G$4999,数据录入!$C$5:$C$4999,$B32,数据录入!$B$5:$B$4999,"&lt;"&amp;$C$25))</f>
        <v/>
      </c>
      <c r="D32" s="36" t="str">
        <f>IF($B32="","",SUMIFS(数据录入!$F$5:$F$4999,数据录入!$C$5:$C$4999,$B32,数据录入!$B$5:$B$4999,$C$25))</f>
        <v/>
      </c>
      <c r="E32" s="36" t="str">
        <f>IF($B32="","",SUMIFS(数据录入!$G$5:$G$4999,数据录入!$C$5:$C$4999,$B32,数据录入!$B$5:$B$4999,$C$25))</f>
        <v/>
      </c>
      <c r="F32" s="96" t="str">
        <f t="shared" si="5"/>
        <v/>
      </c>
      <c r="G32" s="29"/>
      <c r="H32" s="94">
        <v>6</v>
      </c>
      <c r="I32" s="97"/>
      <c r="J32" s="98" t="str">
        <f>IF($I32="","",SUMIFS(数据录入!$H$5:$H$4999,数据录入!$C$5:$C$4999,$I32,数据录入!$E$5:$E$4999,"期初余额",数据录入!$B$5:$B$4999,"&lt;="&amp;DATE(YEAR($K$25),MONTH($K$25),1))+SUMIFS(数据录入!$F$5:$F$4999,数据录入!$C$5:$C$4999,$I32,数据录入!$B$5:$B$4999,"&lt;"&amp;DATE(YEAR($K$25),MONTH($K$25),1))-SUMIFS(数据录入!$G$5:$G$4999,数据录入!$C$5:$C$4999,$I32,数据录入!$B$5:$B$4999,"&lt;"&amp;DATE(YEAR($K$25),MONTH($K$25),1)))</f>
        <v/>
      </c>
      <c r="K32" s="99" t="str">
        <f>IF($I32="","",SUMIFS(数据录入!$F$5:$F$4999,数据录入!$C$5:$C$4999,$I32,数据录入!$B$5:$B$4999,"&gt;="&amp;DATE(YEAR($K$25),MONTH($K$25),1),数据录入!$B$5:$B$4999,"&lt;="&amp;DATE(YEAR($K$25),MONTH($K$25)+1,0)))</f>
        <v/>
      </c>
      <c r="L32" s="99" t="str">
        <f>IF($I32="","",SUMIFS(数据录入!$G$5:$G$4999,数据录入!$C$5:$C$4999,$I32,数据录入!$B$5:$B$4999,"&gt;="&amp;DATE(YEAR($K$25),MONTH($K$25),1),数据录入!$B$5:$B$4999,"&lt;="&amp;DATE(YEAR($K$25),MONTH($K$25)+1,0)))</f>
        <v/>
      </c>
      <c r="M32" s="98" t="str">
        <f t="shared" si="4"/>
        <v/>
      </c>
      <c r="N32" s="29"/>
      <c r="P32" s="101">
        <v>46143</v>
      </c>
      <c r="Q32" s="29"/>
      <c r="R32" s="29"/>
      <c r="U32"/>
      <c r="V32"/>
      <c r="BK32" s="65"/>
      <c r="BL32" s="65"/>
      <c r="BN32"/>
      <c r="BO32"/>
    </row>
    <row r="33" ht="20" customHeight="1" spans="1:67">
      <c r="A33" s="94">
        <v>7</v>
      </c>
      <c r="B33" s="95"/>
      <c r="C33" s="96" t="str">
        <f>IF($B33="","",SUMIFS(数据录入!$H$5:$H$4999,数据录入!$C$5:$C$4999,$B33,数据录入!$E$5:$E$4999,"期初余额",数据录入!$B$5:$B$4999,"&lt;="&amp;$C$25)+SUMIFS(数据录入!$F$5:$F$4999,数据录入!$C$5:$C$4999,$B33,数据录入!$B$5:$B$4999,"&lt;"&amp;$C$25)-SUMIFS(数据录入!$G$5:$G$4999,数据录入!$C$5:$C$4999,$B33,数据录入!$B$5:$B$4999,"&lt;"&amp;$C$25))</f>
        <v/>
      </c>
      <c r="D33" s="36" t="str">
        <f>IF($B33="","",SUMIFS(数据录入!$F$5:$F$4999,数据录入!$C$5:$C$4999,$B33,数据录入!$B$5:$B$4999,$C$25))</f>
        <v/>
      </c>
      <c r="E33" s="36" t="str">
        <f>IF($B33="","",SUMIFS(数据录入!$G$5:$G$4999,数据录入!$C$5:$C$4999,$B33,数据录入!$B$5:$B$4999,$C$25))</f>
        <v/>
      </c>
      <c r="F33" s="96" t="str">
        <f t="shared" si="5"/>
        <v/>
      </c>
      <c r="G33" s="29"/>
      <c r="H33" s="94">
        <v>7</v>
      </c>
      <c r="I33" s="97"/>
      <c r="J33" s="98" t="str">
        <f>IF($I33="","",SUMIFS(数据录入!$H$5:$H$4999,数据录入!$C$5:$C$4999,$I33,数据录入!$E$5:$E$4999,"期初余额",数据录入!$B$5:$B$4999,"&lt;="&amp;DATE(YEAR($K$25),MONTH($K$25),1))+SUMIFS(数据录入!$F$5:$F$4999,数据录入!$C$5:$C$4999,$I33,数据录入!$B$5:$B$4999,"&lt;"&amp;DATE(YEAR($K$25),MONTH($K$25),1))-SUMIFS(数据录入!$G$5:$G$4999,数据录入!$C$5:$C$4999,$I33,数据录入!$B$5:$B$4999,"&lt;"&amp;DATE(YEAR($K$25),MONTH($K$25),1)))</f>
        <v/>
      </c>
      <c r="K33" s="99" t="str">
        <f>IF($I33="","",SUMIFS(数据录入!$F$5:$F$4999,数据录入!$C$5:$C$4999,$I33,数据录入!$B$5:$B$4999,"&gt;="&amp;DATE(YEAR($K$25),MONTH($K$25),1),数据录入!$B$5:$B$4999,"&lt;="&amp;DATE(YEAR($K$25),MONTH($K$25)+1,0)))</f>
        <v/>
      </c>
      <c r="L33" s="99" t="str">
        <f>IF($I33="","",SUMIFS(数据录入!$G$5:$G$4999,数据录入!$C$5:$C$4999,$I33,数据录入!$B$5:$B$4999,"&gt;="&amp;DATE(YEAR($K$25),MONTH($K$25),1),数据录入!$B$5:$B$4999,"&lt;="&amp;DATE(YEAR($K$25),MONTH($K$25)+1,0)))</f>
        <v/>
      </c>
      <c r="M33" s="98" t="str">
        <f t="shared" si="4"/>
        <v/>
      </c>
      <c r="N33" s="29"/>
      <c r="P33" s="101">
        <v>46174</v>
      </c>
      <c r="Q33" s="29"/>
      <c r="R33" s="29"/>
      <c r="U33"/>
      <c r="V33"/>
      <c r="BK33" s="65"/>
      <c r="BL33" s="65"/>
      <c r="BN33"/>
      <c r="BO33"/>
    </row>
    <row r="34" ht="20" customHeight="1" spans="1:67">
      <c r="A34" s="94">
        <v>8</v>
      </c>
      <c r="B34" s="95"/>
      <c r="C34" s="96" t="str">
        <f>IF($B34="","",SUMIFS(数据录入!$H$5:$H$4999,数据录入!$C$5:$C$4999,$B34,数据录入!$E$5:$E$4999,"期初余额",数据录入!$B$5:$B$4999,"&lt;="&amp;$C$25)+SUMIFS(数据录入!$F$5:$F$4999,数据录入!$C$5:$C$4999,$B34,数据录入!$B$5:$B$4999,"&lt;"&amp;$C$25)-SUMIFS(数据录入!$G$5:$G$4999,数据录入!$C$5:$C$4999,$B34,数据录入!$B$5:$B$4999,"&lt;"&amp;$C$25))</f>
        <v/>
      </c>
      <c r="D34" s="36" t="str">
        <f>IF($B34="","",SUMIFS(数据录入!$F$5:$F$4999,数据录入!$C$5:$C$4999,$B34,数据录入!$B$5:$B$4999,$C$25))</f>
        <v/>
      </c>
      <c r="E34" s="36" t="str">
        <f>IF($B34="","",SUMIFS(数据录入!$G$5:$G$4999,数据录入!$C$5:$C$4999,$B34,数据录入!$B$5:$B$4999,$C$25))</f>
        <v/>
      </c>
      <c r="F34" s="96" t="str">
        <f t="shared" si="5"/>
        <v/>
      </c>
      <c r="G34" s="29"/>
      <c r="H34" s="94">
        <v>8</v>
      </c>
      <c r="I34" s="97"/>
      <c r="J34" s="98" t="str">
        <f>IF($I34="","",SUMIFS(数据录入!$H$5:$H$4999,数据录入!$C$5:$C$4999,$I34,数据录入!$E$5:$E$4999,"期初余额",数据录入!$B$5:$B$4999,"&lt;="&amp;DATE(YEAR($K$25),MONTH($K$25),1))+SUMIFS(数据录入!$F$5:$F$4999,数据录入!$C$5:$C$4999,$I34,数据录入!$B$5:$B$4999,"&lt;"&amp;DATE(YEAR($K$25),MONTH($K$25),1))-SUMIFS(数据录入!$G$5:$G$4999,数据录入!$C$5:$C$4999,$I34,数据录入!$B$5:$B$4999,"&lt;"&amp;DATE(YEAR($K$25),MONTH($K$25),1)))</f>
        <v/>
      </c>
      <c r="K34" s="99" t="str">
        <f>IF($I34="","",SUMIFS(数据录入!$F$5:$F$4999,数据录入!$C$5:$C$4999,$I34,数据录入!$B$5:$B$4999,"&gt;="&amp;DATE(YEAR($K$25),MONTH($K$25),1),数据录入!$B$5:$B$4999,"&lt;="&amp;DATE(YEAR($K$25),MONTH($K$25)+1,0)))</f>
        <v/>
      </c>
      <c r="L34" s="99" t="str">
        <f>IF($I34="","",SUMIFS(数据录入!$G$5:$G$4999,数据录入!$C$5:$C$4999,$I34,数据录入!$B$5:$B$4999,"&gt;="&amp;DATE(YEAR($K$25),MONTH($K$25),1),数据录入!$B$5:$B$4999,"&lt;="&amp;DATE(YEAR($K$25),MONTH($K$25)+1,0)))</f>
        <v/>
      </c>
      <c r="M34" s="98" t="str">
        <f t="shared" si="4"/>
        <v/>
      </c>
      <c r="N34" s="29"/>
      <c r="P34" s="101">
        <v>46204</v>
      </c>
      <c r="Q34" s="29"/>
      <c r="R34" s="29"/>
      <c r="U34"/>
      <c r="V34"/>
      <c r="BK34" s="65"/>
      <c r="BL34" s="65"/>
      <c r="BN34"/>
      <c r="BO34"/>
    </row>
    <row r="35" ht="20" customHeight="1" spans="1:67">
      <c r="A35" s="94">
        <v>9</v>
      </c>
      <c r="B35" s="95"/>
      <c r="C35" s="96" t="str">
        <f>IF($B35="","",SUMIFS(数据录入!$H$5:$H$4999,数据录入!$C$5:$C$4999,$B35,数据录入!$E$5:$E$4999,"期初余额",数据录入!$B$5:$B$4999,"&lt;="&amp;$C$25)+SUMIFS(数据录入!$F$5:$F$4999,数据录入!$C$5:$C$4999,$B35,数据录入!$B$5:$B$4999,"&lt;"&amp;$C$25)-SUMIFS(数据录入!$G$5:$G$4999,数据录入!$C$5:$C$4999,$B35,数据录入!$B$5:$B$4999,"&lt;"&amp;$C$25))</f>
        <v/>
      </c>
      <c r="D35" s="36" t="str">
        <f>IF($B35="","",SUMIFS(数据录入!$F$5:$F$4999,数据录入!$C$5:$C$4999,$B35,数据录入!$B$5:$B$4999,$C$25))</f>
        <v/>
      </c>
      <c r="E35" s="36" t="str">
        <f>IF($B35="","",SUMIFS(数据录入!$G$5:$G$4999,数据录入!$C$5:$C$4999,$B35,数据录入!$B$5:$B$4999,$C$25))</f>
        <v/>
      </c>
      <c r="F35" s="96" t="str">
        <f t="shared" si="5"/>
        <v/>
      </c>
      <c r="G35" s="29"/>
      <c r="H35" s="94">
        <v>9</v>
      </c>
      <c r="I35" s="97"/>
      <c r="J35" s="98" t="str">
        <f>IF($I35="","",SUMIFS(数据录入!$H$5:$H$4999,数据录入!$C$5:$C$4999,$I35,数据录入!$E$5:$E$4999,"期初余额",数据录入!$B$5:$B$4999,"&lt;="&amp;DATE(YEAR($K$25),MONTH($K$25),1))+SUMIFS(数据录入!$F$5:$F$4999,数据录入!$C$5:$C$4999,$I35,数据录入!$B$5:$B$4999,"&lt;"&amp;DATE(YEAR($K$25),MONTH($K$25),1))-SUMIFS(数据录入!$G$5:$G$4999,数据录入!$C$5:$C$4999,$I35,数据录入!$B$5:$B$4999,"&lt;"&amp;DATE(YEAR($K$25),MONTH($K$25),1)))</f>
        <v/>
      </c>
      <c r="K35" s="99" t="str">
        <f>IF($I35="","",SUMIFS(数据录入!$F$5:$F$4999,数据录入!$C$5:$C$4999,$I35,数据录入!$B$5:$B$4999,"&gt;="&amp;DATE(YEAR($K$25),MONTH($K$25),1),数据录入!$B$5:$B$4999,"&lt;="&amp;DATE(YEAR($K$25),MONTH($K$25)+1,0)))</f>
        <v/>
      </c>
      <c r="L35" s="99" t="str">
        <f>IF($I35="","",SUMIFS(数据录入!$G$5:$G$4999,数据录入!$C$5:$C$4999,$I35,数据录入!$B$5:$B$4999,"&gt;="&amp;DATE(YEAR($K$25),MONTH($K$25),1),数据录入!$B$5:$B$4999,"&lt;="&amp;DATE(YEAR($K$25),MONTH($K$25)+1,0)))</f>
        <v/>
      </c>
      <c r="M35" s="98" t="str">
        <f t="shared" si="4"/>
        <v/>
      </c>
      <c r="N35" s="29"/>
      <c r="P35" s="101">
        <v>46235</v>
      </c>
      <c r="Q35" s="29"/>
      <c r="R35" s="29"/>
      <c r="U35"/>
      <c r="V35"/>
      <c r="BK35" s="65"/>
      <c r="BL35" s="65"/>
      <c r="BN35"/>
      <c r="BO35"/>
    </row>
    <row r="36" ht="20" customHeight="1" spans="1:67">
      <c r="A36" s="94">
        <v>10</v>
      </c>
      <c r="B36" s="95"/>
      <c r="C36" s="96" t="str">
        <f>IF($B36="","",SUMIFS(数据录入!$H$5:$H$4999,数据录入!$C$5:$C$4999,$B36,数据录入!$E$5:$E$4999,"期初余额",数据录入!$B$5:$B$4999,"&lt;="&amp;$C$25)+SUMIFS(数据录入!$F$5:$F$4999,数据录入!$C$5:$C$4999,$B36,数据录入!$B$5:$B$4999,"&lt;"&amp;$C$25)-SUMIFS(数据录入!$G$5:$G$4999,数据录入!$C$5:$C$4999,$B36,数据录入!$B$5:$B$4999,"&lt;"&amp;$C$25))</f>
        <v/>
      </c>
      <c r="D36" s="36" t="str">
        <f>IF($B36="","",SUMIFS(数据录入!$F$5:$F$4999,数据录入!$C$5:$C$4999,$B36,数据录入!$B$5:$B$4999,$C$25))</f>
        <v/>
      </c>
      <c r="E36" s="36" t="str">
        <f>IF($B36="","",SUMIFS(数据录入!$G$5:$G$4999,数据录入!$C$5:$C$4999,$B36,数据录入!$B$5:$B$4999,$C$25))</f>
        <v/>
      </c>
      <c r="F36" s="96" t="str">
        <f t="shared" si="5"/>
        <v/>
      </c>
      <c r="G36" s="29"/>
      <c r="H36" s="94">
        <v>10</v>
      </c>
      <c r="I36" s="97"/>
      <c r="J36" s="98" t="str">
        <f>IF($I36="","",SUMIFS(数据录入!$H$5:$H$4999,数据录入!$C$5:$C$4999,$I36,数据录入!$E$5:$E$4999,"期初余额",数据录入!$B$5:$B$4999,"&lt;="&amp;DATE(YEAR($K$25),MONTH($K$25),1))+SUMIFS(数据录入!$F$5:$F$4999,数据录入!$C$5:$C$4999,$I36,数据录入!$B$5:$B$4999,"&lt;"&amp;DATE(YEAR($K$25),MONTH($K$25),1))-SUMIFS(数据录入!$G$5:$G$4999,数据录入!$C$5:$C$4999,$I36,数据录入!$B$5:$B$4999,"&lt;"&amp;DATE(YEAR($K$25),MONTH($K$25),1)))</f>
        <v/>
      </c>
      <c r="K36" s="99" t="str">
        <f>IF($I36="","",SUMIFS(数据录入!$F$5:$F$4999,数据录入!$C$5:$C$4999,$I36,数据录入!$B$5:$B$4999,"&gt;="&amp;DATE(YEAR($K$25),MONTH($K$25),1),数据录入!$B$5:$B$4999,"&lt;="&amp;DATE(YEAR($K$25),MONTH($K$25)+1,0)))</f>
        <v/>
      </c>
      <c r="L36" s="99" t="str">
        <f>IF($I36="","",SUMIFS(数据录入!$G$5:$G$4999,数据录入!$C$5:$C$4999,$I36,数据录入!$B$5:$B$4999,"&gt;="&amp;DATE(YEAR($K$25),MONTH($K$25),1),数据录入!$B$5:$B$4999,"&lt;="&amp;DATE(YEAR($K$25),MONTH($K$25)+1,0)))</f>
        <v/>
      </c>
      <c r="M36" s="98" t="str">
        <f t="shared" si="4"/>
        <v/>
      </c>
      <c r="N36" s="29"/>
      <c r="P36" s="101">
        <v>46266</v>
      </c>
      <c r="Q36" s="29"/>
      <c r="R36" s="29"/>
      <c r="U36"/>
      <c r="V36"/>
      <c r="BK36" s="65"/>
      <c r="BL36" s="65"/>
      <c r="BN36"/>
      <c r="BO36"/>
    </row>
    <row r="37" ht="20" customHeight="1" spans="1:67">
      <c r="A37" s="94">
        <v>11</v>
      </c>
      <c r="B37" s="95"/>
      <c r="C37" s="96" t="str">
        <f>IF($B37="","",SUMIFS(数据录入!$H$5:$H$4999,数据录入!$C$5:$C$4999,$B37,数据录入!$E$5:$E$4999,"期初余额",数据录入!$B$5:$B$4999,"&lt;="&amp;$C$25)+SUMIFS(数据录入!$F$5:$F$4999,数据录入!$C$5:$C$4999,$B37,数据录入!$B$5:$B$4999,"&lt;"&amp;$C$25)-SUMIFS(数据录入!$G$5:$G$4999,数据录入!$C$5:$C$4999,$B37,数据录入!$B$5:$B$4999,"&lt;"&amp;$C$25))</f>
        <v/>
      </c>
      <c r="D37" s="36" t="str">
        <f>IF($B37="","",SUMIFS(数据录入!$F$5:$F$4999,数据录入!$C$5:$C$4999,$B37,数据录入!$B$5:$B$4999,$C$25))</f>
        <v/>
      </c>
      <c r="E37" s="36" t="str">
        <f>IF($B37="","",SUMIFS(数据录入!$G$5:$G$4999,数据录入!$C$5:$C$4999,$B37,数据录入!$B$5:$B$4999,$C$25))</f>
        <v/>
      </c>
      <c r="F37" s="96" t="str">
        <f t="shared" si="5"/>
        <v/>
      </c>
      <c r="G37" s="29"/>
      <c r="H37" s="94">
        <v>11</v>
      </c>
      <c r="I37" s="97"/>
      <c r="J37" s="98" t="str">
        <f>IF($I37="","",SUMIFS(数据录入!$H$5:$H$4999,数据录入!$C$5:$C$4999,$I37,数据录入!$E$5:$E$4999,"期初余额",数据录入!$B$5:$B$4999,"&lt;="&amp;DATE(YEAR($K$25),MONTH($K$25),1))+SUMIFS(数据录入!$F$5:$F$4999,数据录入!$C$5:$C$4999,$I37,数据录入!$B$5:$B$4999,"&lt;"&amp;DATE(YEAR($K$25),MONTH($K$25),1))-SUMIFS(数据录入!$G$5:$G$4999,数据录入!$C$5:$C$4999,$I37,数据录入!$B$5:$B$4999,"&lt;"&amp;DATE(YEAR($K$25),MONTH($K$25),1)))</f>
        <v/>
      </c>
      <c r="K37" s="99" t="str">
        <f>IF($I37="","",SUMIFS(数据录入!$F$5:$F$4999,数据录入!$C$5:$C$4999,$I37,数据录入!$B$5:$B$4999,"&gt;="&amp;DATE(YEAR($K$25),MONTH($K$25),1),数据录入!$B$5:$B$4999,"&lt;="&amp;DATE(YEAR($K$25),MONTH($K$25)+1,0)))</f>
        <v/>
      </c>
      <c r="L37" s="99" t="str">
        <f>IF($I37="","",SUMIFS(数据录入!$G$5:$G$4999,数据录入!$C$5:$C$4999,$I37,数据录入!$B$5:$B$4999,"&gt;="&amp;DATE(YEAR($K$25),MONTH($K$25),1),数据录入!$B$5:$B$4999,"&lt;="&amp;DATE(YEAR($K$25),MONTH($K$25)+1,0)))</f>
        <v/>
      </c>
      <c r="M37" s="98" t="str">
        <f t="shared" si="4"/>
        <v/>
      </c>
      <c r="N37" s="29"/>
      <c r="P37" s="101">
        <v>46296</v>
      </c>
      <c r="Q37" s="29"/>
      <c r="R37" s="29"/>
      <c r="U37"/>
      <c r="V37"/>
      <c r="BK37" s="65"/>
      <c r="BL37" s="65"/>
      <c r="BN37"/>
      <c r="BO37"/>
    </row>
    <row r="38" ht="20" customHeight="1" spans="1:67">
      <c r="A38" s="94">
        <v>12</v>
      </c>
      <c r="B38" s="102"/>
      <c r="C38" s="103" t="str">
        <f>IF($B38="","",SUMIFS(数据录入!$H$5:$H$4999,数据录入!$C$5:$C$4999,$B38,数据录入!$E$5:$E$4999,"期初余额",数据录入!$B$5:$B$4999,"&lt;="&amp;$C$25)+SUMIFS(数据录入!$F$5:$F$4999,数据录入!$C$5:$C$4999,$B38,数据录入!$B$5:$B$4999,"&lt;"&amp;$C$25)-SUMIFS(数据录入!$G$5:$G$4999,数据录入!$C$5:$C$4999,$B38,数据录入!$B$5:$B$4999,"&lt;"&amp;$C$25))</f>
        <v/>
      </c>
      <c r="D38" s="36" t="str">
        <f>IF($B38="","",SUMIFS(数据录入!$F$5:$F$4999,数据录入!$C$5:$C$4999,$B38,数据录入!$B$5:$B$4999,$C$25))</f>
        <v/>
      </c>
      <c r="E38" s="36" t="str">
        <f>IF($B38="","",SUMIFS(数据录入!$G$5:$G$4999,数据录入!$C$5:$C$4999,$B38,数据录入!$B$5:$B$4999,$C$25))</f>
        <v/>
      </c>
      <c r="F38" s="96" t="str">
        <f t="shared" si="5"/>
        <v/>
      </c>
      <c r="G38" s="29"/>
      <c r="H38" s="94">
        <v>12</v>
      </c>
      <c r="I38" s="97"/>
      <c r="J38" s="98" t="str">
        <f>IF($I38="","",SUMIFS(数据录入!$H$5:$H$4999,数据录入!$C$5:$C$4999,$I38,数据录入!$E$5:$E$4999,"期初余额",数据录入!$B$5:$B$4999,"&lt;="&amp;DATE(YEAR($K$25),MONTH($K$25),1))+SUMIFS(数据录入!$F$5:$F$4999,数据录入!$C$5:$C$4999,$I38,数据录入!$B$5:$B$4999,"&lt;"&amp;DATE(YEAR($K$25),MONTH($K$25),1))-SUMIFS(数据录入!$G$5:$G$4999,数据录入!$C$5:$C$4999,$I38,数据录入!$B$5:$B$4999,"&lt;"&amp;DATE(YEAR($K$25),MONTH($K$25),1)))</f>
        <v/>
      </c>
      <c r="K38" s="99" t="str">
        <f>IF($I38="","",SUMIFS(数据录入!$F$5:$F$4999,数据录入!$C$5:$C$4999,$I38,数据录入!$B$5:$B$4999,"&gt;="&amp;DATE(YEAR($K$25),MONTH($K$25),1),数据录入!$B$5:$B$4999,"&lt;="&amp;DATE(YEAR($K$25),MONTH($K$25)+1,0)))</f>
        <v/>
      </c>
      <c r="L38" s="99" t="str">
        <f>IF($I38="","",SUMIFS(数据录入!$G$5:$G$4999,数据录入!$C$5:$C$4999,$I38,数据录入!$B$5:$B$4999,"&gt;="&amp;DATE(YEAR($K$25),MONTH($K$25),1),数据录入!$B$5:$B$4999,"&lt;="&amp;DATE(YEAR($K$25),MONTH($K$25)+1,0)))</f>
        <v/>
      </c>
      <c r="M38" s="98" t="str">
        <f t="shared" si="4"/>
        <v/>
      </c>
      <c r="N38" s="29"/>
      <c r="P38" s="101">
        <v>46327</v>
      </c>
      <c r="Q38" s="29"/>
      <c r="R38" s="29"/>
      <c r="U38"/>
      <c r="V38"/>
      <c r="BK38" s="65"/>
      <c r="BL38" s="65"/>
      <c r="BN38"/>
      <c r="BO38"/>
    </row>
    <row r="39" ht="20" customHeight="1" spans="1:67">
      <c r="A39" s="94">
        <v>13</v>
      </c>
      <c r="B39" s="95"/>
      <c r="C39" s="96" t="str">
        <f>IF($B39="","",SUMIFS(数据录入!$H$5:$H$4999,数据录入!$C$5:$C$4999,$B39,数据录入!$E$5:$E$4999,"期初余额",数据录入!$B$5:$B$4999,"&lt;="&amp;$C$25)+SUMIFS(数据录入!$F$5:$F$4999,数据录入!$C$5:$C$4999,$B39,数据录入!$B$5:$B$4999,"&lt;"&amp;$C$25)-SUMIFS(数据录入!$G$5:$G$4999,数据录入!$C$5:$C$4999,$B39,数据录入!$B$5:$B$4999,"&lt;"&amp;$C$25))</f>
        <v/>
      </c>
      <c r="D39" s="36" t="str">
        <f>IF($B39="","",SUMIFS(数据录入!$F$5:$F$4999,数据录入!$C$5:$C$4999,$B39,数据录入!$B$5:$B$4999,$C$25))</f>
        <v/>
      </c>
      <c r="E39" s="36" t="str">
        <f>IF($B39="","",SUMIFS(数据录入!$G$5:$G$4999,数据录入!$C$5:$C$4999,$B39,数据录入!$B$5:$B$4999,$C$25))</f>
        <v/>
      </c>
      <c r="F39" s="96" t="str">
        <f t="shared" si="5"/>
        <v/>
      </c>
      <c r="G39" s="29"/>
      <c r="H39" s="94">
        <v>13</v>
      </c>
      <c r="I39" s="97"/>
      <c r="J39" s="98" t="str">
        <f>IF($I39="","",SUMIFS(数据录入!$H$5:$H$4999,数据录入!$C$5:$C$4999,$I39,数据录入!$E$5:$E$4999,"期初余额",数据录入!$B$5:$B$4999,"&lt;="&amp;DATE(YEAR($K$25),MONTH($K$25),1))+SUMIFS(数据录入!$F$5:$F$4999,数据录入!$C$5:$C$4999,$I39,数据录入!$B$5:$B$4999,"&lt;"&amp;DATE(YEAR($K$25),MONTH($K$25),1))-SUMIFS(数据录入!$G$5:$G$4999,数据录入!$C$5:$C$4999,$I39,数据录入!$B$5:$B$4999,"&lt;"&amp;DATE(YEAR($K$25),MONTH($K$25),1)))</f>
        <v/>
      </c>
      <c r="K39" s="99" t="str">
        <f>IF($I39="","",SUMIFS(数据录入!$F$5:$F$4999,数据录入!$C$5:$C$4999,$I39,数据录入!$B$5:$B$4999,"&gt;="&amp;DATE(YEAR($K$25),MONTH($K$25),1),数据录入!$B$5:$B$4999,"&lt;="&amp;DATE(YEAR($K$25),MONTH($K$25)+1,0)))</f>
        <v/>
      </c>
      <c r="L39" s="99" t="str">
        <f>IF($I39="","",SUMIFS(数据录入!$G$5:$G$4999,数据录入!$C$5:$C$4999,$I39,数据录入!$B$5:$B$4999,"&gt;="&amp;DATE(YEAR($K$25),MONTH($K$25),1),数据录入!$B$5:$B$4999,"&lt;="&amp;DATE(YEAR($K$25),MONTH($K$25)+1,0)))</f>
        <v/>
      </c>
      <c r="M39" s="98" t="str">
        <f t="shared" si="4"/>
        <v/>
      </c>
      <c r="N39" s="29"/>
      <c r="O39" s="104"/>
      <c r="P39" s="101">
        <v>46357</v>
      </c>
      <c r="Q39" s="29"/>
      <c r="R39" s="29"/>
      <c r="U39"/>
      <c r="V39"/>
      <c r="BK39" s="65"/>
      <c r="BL39" s="65"/>
      <c r="BN39"/>
      <c r="BO39"/>
    </row>
    <row r="40" ht="20" customHeight="1" spans="1:67">
      <c r="A40" s="94">
        <v>14</v>
      </c>
      <c r="B40" s="102"/>
      <c r="C40" s="103" t="str">
        <f>IF($B40="","",SUMIFS(数据录入!$H$5:$H$4999,数据录入!$C$5:$C$4999,$B40,数据录入!$E$5:$E$4999,"期初余额",数据录入!$B$5:$B$4999,"&lt;="&amp;$C$25)+SUMIFS(数据录入!$F$5:$F$4999,数据录入!$C$5:$C$4999,$B40,数据录入!$B$5:$B$4999,"&lt;"&amp;$C$25)-SUMIFS(数据录入!$G$5:$G$4999,数据录入!$C$5:$C$4999,$B40,数据录入!$B$5:$B$4999,"&lt;"&amp;$C$25))</f>
        <v/>
      </c>
      <c r="D40" s="36" t="str">
        <f>IF($B40="","",SUMIFS(数据录入!$F$5:$F$4999,数据录入!$C$5:$C$4999,$B40,数据录入!$B$5:$B$4999,$C$25))</f>
        <v/>
      </c>
      <c r="E40" s="36" t="str">
        <f>IF($B40="","",SUMIFS(数据录入!$G$5:$G$4999,数据录入!$C$5:$C$4999,$B40,数据录入!$B$5:$B$4999,$C$25))</f>
        <v/>
      </c>
      <c r="F40" s="96" t="str">
        <f t="shared" si="5"/>
        <v/>
      </c>
      <c r="G40" s="29"/>
      <c r="H40" s="94">
        <v>14</v>
      </c>
      <c r="I40" s="97"/>
      <c r="J40" s="98" t="str">
        <f>IF($I40="","",SUMIFS(数据录入!$H$5:$H$4999,数据录入!$C$5:$C$4999,$I40,数据录入!$E$5:$E$4999,"期初余额",数据录入!$B$5:$B$4999,"&lt;="&amp;DATE(YEAR($K$25),MONTH($K$25),1))+SUMIFS(数据录入!$F$5:$F$4999,数据录入!$C$5:$C$4999,$I40,数据录入!$B$5:$B$4999,"&lt;"&amp;DATE(YEAR($K$25),MONTH($K$25),1))-SUMIFS(数据录入!$G$5:$G$4999,数据录入!$C$5:$C$4999,$I40,数据录入!$B$5:$B$4999,"&lt;"&amp;DATE(YEAR($K$25),MONTH($K$25),1)))</f>
        <v/>
      </c>
      <c r="K40" s="99" t="str">
        <f>IF($I40="","",SUMIFS(数据录入!$F$5:$F$4999,数据录入!$C$5:$C$4999,$I40,数据录入!$B$5:$B$4999,"&gt;="&amp;DATE(YEAR($K$25),MONTH($K$25),1),数据录入!$B$5:$B$4999,"&lt;="&amp;DATE(YEAR($K$25),MONTH($K$25)+1,0)))</f>
        <v/>
      </c>
      <c r="L40" s="99" t="str">
        <f>IF($I40="","",SUMIFS(数据录入!$G$5:$G$4999,数据录入!$C$5:$C$4999,$I40,数据录入!$B$5:$B$4999,"&gt;="&amp;DATE(YEAR($K$25),MONTH($K$25),1),数据录入!$B$5:$B$4999,"&lt;="&amp;DATE(YEAR($K$25),MONTH($K$25)+1,0)))</f>
        <v/>
      </c>
      <c r="M40" s="98" t="str">
        <f t="shared" si="4"/>
        <v/>
      </c>
      <c r="N40" s="29"/>
      <c r="O40" s="104"/>
      <c r="P40" s="29"/>
      <c r="Q40" s="29"/>
      <c r="R40" s="29"/>
      <c r="U40"/>
      <c r="V40"/>
      <c r="BK40" s="65"/>
      <c r="BL40" s="65"/>
      <c r="BN40"/>
      <c r="BO40"/>
    </row>
    <row r="41" ht="20" customHeight="1" spans="1:67">
      <c r="A41" s="105" t="s">
        <v>256</v>
      </c>
      <c r="B41" s="105"/>
      <c r="C41" s="106">
        <f>SUM(C27:C40)</f>
        <v>0</v>
      </c>
      <c r="D41" s="106">
        <f>SUM(D27:D40)</f>
        <v>10000</v>
      </c>
      <c r="E41" s="106">
        <f>SUM(E27:E40)</f>
        <v>119.12</v>
      </c>
      <c r="F41" s="106">
        <f>SUM(F27:F40)</f>
        <v>9880.88</v>
      </c>
      <c r="G41" s="29"/>
      <c r="H41" s="105"/>
      <c r="I41" s="105" t="s">
        <v>256</v>
      </c>
      <c r="J41" s="106">
        <f>SUM(J27:J40)</f>
        <v>361.379999999976</v>
      </c>
      <c r="K41" s="106">
        <f>SUM(K27:K40)</f>
        <v>408697.01</v>
      </c>
      <c r="L41" s="106">
        <f>SUM(L27:L40)</f>
        <v>339606.59</v>
      </c>
      <c r="M41" s="106">
        <f>SUM(M27:M40)</f>
        <v>69451.8</v>
      </c>
      <c r="N41" s="29"/>
      <c r="O41" s="29"/>
      <c r="P41" s="29"/>
      <c r="Q41" s="29"/>
      <c r="R41" s="29"/>
      <c r="U41"/>
      <c r="V41"/>
      <c r="BK41" s="65"/>
      <c r="BL41" s="65"/>
      <c r="BN41"/>
      <c r="BO41"/>
    </row>
  </sheetData>
  <mergeCells count="4">
    <mergeCell ref="A1:T1"/>
    <mergeCell ref="A3:BO3"/>
    <mergeCell ref="A24:F24"/>
    <mergeCell ref="H24:M24"/>
  </mergeCells>
  <conditionalFormatting sqref="B8:BO17 B20:BO21">
    <cfRule type="cellIs" dxfId="7" priority="2" operator="lessThan">
      <formula>0</formula>
    </cfRule>
  </conditionalFormatting>
  <conditionalFormatting sqref="B18:BO19">
    <cfRule type="cellIs" dxfId="7" priority="1" operator="lessThan">
      <formula>0</formula>
    </cfRule>
  </conditionalFormatting>
  <dataValidations count="1">
    <dataValidation type="list" allowBlank="1" showInputMessage="1" showErrorMessage="1" sqref="K25">
      <formula1>$P$28:$P$39</formula1>
    </dataValidation>
  </dataValidations>
  <pageMargins left="0.75" right="0.75" top="1" bottom="1" header="0.5" footer="0.5"/>
  <headerFooter/>
  <ignoredErrors>
    <ignoredError sqref="H5" evalError="1"/>
    <ignoredError sqref="D8:BP22" 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showGridLines="0" workbookViewId="0">
      <pane ySplit="5" topLeftCell="A22" activePane="bottomLeft" state="frozen"/>
      <selection/>
      <selection pane="bottomLeft" activeCell="F26" sqref="F26"/>
    </sheetView>
  </sheetViews>
  <sheetFormatPr defaultColWidth="9" defaultRowHeight="13.5"/>
  <cols>
    <col min="1" max="1" width="2.25" style="45" customWidth="1"/>
    <col min="2" max="2" width="13.475" style="44" customWidth="1"/>
    <col min="3" max="3" width="14" style="44" customWidth="1"/>
    <col min="4" max="4" width="7.875" style="44" customWidth="1"/>
    <col min="5" max="5" width="7.125" style="44" customWidth="1"/>
    <col min="6" max="6" width="13.875" style="44" customWidth="1"/>
    <col min="7" max="7" width="12" style="44" customWidth="1"/>
    <col min="8" max="8" width="14.875" style="44" customWidth="1"/>
    <col min="9" max="16371" width="9" style="44" customWidth="1"/>
    <col min="16372" max="16381" width="9" style="44"/>
  </cols>
  <sheetData>
    <row r="1" s="44" customFormat="1" ht="28" customHeight="1" spans="1:13">
      <c r="A1" s="45"/>
      <c r="B1" s="46" t="s">
        <v>284</v>
      </c>
      <c r="C1" s="47"/>
      <c r="D1" s="47"/>
      <c r="E1" s="47"/>
      <c r="F1" s="47"/>
      <c r="G1" s="47"/>
      <c r="H1" s="47"/>
      <c r="J1" s="48" t="s">
        <v>285</v>
      </c>
      <c r="K1" s="49"/>
      <c r="L1" s="49"/>
      <c r="M1" s="49"/>
    </row>
    <row r="2" s="44" customFormat="1" ht="24" customHeight="1" spans="1:13">
      <c r="A2" s="45"/>
      <c r="B2" s="50" t="s">
        <v>240</v>
      </c>
      <c r="C2" s="51">
        <v>46113</v>
      </c>
      <c r="D2" s="50" t="s">
        <v>89</v>
      </c>
      <c r="E2" s="50" t="e">
        <f>IF(OR($C$2="",$C$3=""),"",SUMIFS([1]数据录入!$J$4:$J$9999,[1]数据录入!$B$4:$B$9999,"&gt;="&amp;$C$2,[1]数据录入!$B$4:$B$9999,"&lt;="&amp;$C$3))</f>
        <v>#VALUE!</v>
      </c>
      <c r="F2" s="52">
        <f>SUM(C5:C39)</f>
        <v>64488</v>
      </c>
      <c r="G2" s="53" t="s">
        <v>286</v>
      </c>
      <c r="H2" s="52">
        <f>IF(OR(F2="",F3=""),"",F2-F3)</f>
        <v>-1805701.74</v>
      </c>
    </row>
    <row r="3" s="44" customFormat="1" ht="24" customHeight="1" spans="1:13">
      <c r="A3" s="45"/>
      <c r="B3" s="50" t="s">
        <v>241</v>
      </c>
      <c r="C3" s="51">
        <v>46295</v>
      </c>
      <c r="D3" s="50" t="s">
        <v>90</v>
      </c>
      <c r="E3" s="50" t="e">
        <f>IF(OR($C$2="",$C$3=""),"",SUMIFS([1]数据录入!$K$4:$K$9999,[1]数据录入!$B$4:$B$9999,"&gt;="&amp;$C$2,[1]数据录入!$B$4:$B$9999,"&lt;="&amp;$C$3))</f>
        <v>#VALUE!</v>
      </c>
      <c r="F3" s="52">
        <f>SUM(G5:G39)</f>
        <v>1870189.74</v>
      </c>
      <c r="G3" s="54"/>
      <c r="H3" s="52"/>
      <c r="I3" s="55"/>
      <c r="J3" s="55"/>
      <c r="K3" s="55"/>
      <c r="L3" s="55"/>
      <c r="M3" s="55"/>
    </row>
    <row r="4" s="44" customFormat="1" ht="33" customHeight="1" spans="1:13">
      <c r="A4" s="45"/>
      <c r="B4" s="56" t="s">
        <v>287</v>
      </c>
      <c r="C4" s="56" t="s">
        <v>288</v>
      </c>
      <c r="D4" s="56" t="s">
        <v>289</v>
      </c>
      <c r="E4" s="56" t="s">
        <v>92</v>
      </c>
      <c r="F4" s="56" t="s">
        <v>290</v>
      </c>
      <c r="G4" s="56" t="s">
        <v>288</v>
      </c>
      <c r="H4" s="56" t="s">
        <v>291</v>
      </c>
    </row>
    <row r="5" s="44" customFormat="1" ht="32" customHeight="1" spans="1:13">
      <c r="A5" s="45"/>
      <c r="B5" s="57" t="s">
        <v>44</v>
      </c>
      <c r="C5" s="58">
        <f>IF($B5="","",SUMIFS(数据录入!$F$4:$F$9999,数据录入!$I$4:$I$9999,$B5,数据录入!$B$4:$B$9999,"&gt;="&amp;$C$2,数据录入!$B$4:$B$9999,"&lt;="&amp;$C$3))</f>
        <v>0</v>
      </c>
      <c r="D5" s="59">
        <f>IF(OR($B5="",$F$2=0),"",C5/$F$2)</f>
        <v>0</v>
      </c>
      <c r="E5" s="60">
        <v>1</v>
      </c>
      <c r="F5" s="38" t="s">
        <v>41</v>
      </c>
      <c r="G5" s="58">
        <f>IF($F5="","",SUMIFS(数据录入!$G$4:$G$9999,数据录入!$D$4:$D$9999,$F5,数据录入!$B$4:$B$9999,"&gt;="&amp;$C$2,数据录入!$B$4:$B$9999,"&lt;="&amp;$C$3))</f>
        <v>393376.85</v>
      </c>
      <c r="H5" s="59">
        <f>IF(OR($F5="",$F$3=0),"",G5/$F$3)</f>
        <v>0.210340609611087</v>
      </c>
    </row>
    <row r="6" s="44" customFormat="1" ht="44" customHeight="1" spans="1:13">
      <c r="A6" s="45"/>
      <c r="B6" s="57" t="s">
        <v>47</v>
      </c>
      <c r="C6" s="58">
        <f>IF($B6="","",SUMIFS(数据录入!$F$4:$F$9999,数据录入!$I$4:$I$9999,$B6,数据录入!$B$4:$B$9999,"&gt;="&amp;$C$2,数据录入!$B$4:$B$9999,"&lt;="&amp;$C$3))</f>
        <v>4488</v>
      </c>
      <c r="D6" s="59">
        <f t="shared" ref="D6:D39" si="0">IF(OR($B6="",$F$2=0),"",C6/$F$2)</f>
        <v>0.0695943431336063</v>
      </c>
      <c r="E6" s="60">
        <v>2</v>
      </c>
      <c r="F6" s="35"/>
      <c r="G6" s="58" t="str">
        <f>IF($F6="","",SUMIFS(数据录入!$G$4:$G$9999,数据录入!$D$4:$D$9999,$F6,数据录入!$B$4:$B$9999,"&gt;="&amp;$C$2,数据录入!$B$4:$B$9999,"&lt;="&amp;$C$3))</f>
        <v/>
      </c>
      <c r="H6" s="59" t="str">
        <f>IF(OR($F6="",$F$3=0),"",G6/$F$3)</f>
        <v/>
      </c>
    </row>
    <row r="7" s="44" customFormat="1" ht="20" customHeight="1" spans="1:13">
      <c r="A7" s="45"/>
      <c r="B7" s="57" t="s">
        <v>51</v>
      </c>
      <c r="C7" s="58">
        <f>IF($B7="","",SUMIFS(数据录入!$F$4:$F$9999,数据录入!$I$4:$I$9999,$B7,数据录入!$B$4:$B$9999,"&gt;="&amp;$C$2,数据录入!$B$4:$B$9999,"&lt;="&amp;$C$3))</f>
        <v>60000</v>
      </c>
      <c r="D7" s="59">
        <f t="shared" si="0"/>
        <v>0.930405656866394</v>
      </c>
      <c r="E7" s="60">
        <v>3</v>
      </c>
      <c r="F7" s="35" t="s">
        <v>50</v>
      </c>
      <c r="G7" s="58">
        <f>IF($F7="","",SUMIFS(数据录入!$G$4:$G$9999,数据录入!$D$4:$D$9999,$F7,数据录入!$B$4:$B$9999,"&gt;="&amp;$C$2,数据录入!$B$4:$B$9999,"&lt;="&amp;$C$3))</f>
        <v>0.05</v>
      </c>
      <c r="H7" s="59">
        <f>IF(OR($F7="",$F$3=0),"",G7/$F$3)</f>
        <v>2.67352552153345e-8</v>
      </c>
    </row>
    <row r="8" s="44" customFormat="1" ht="43" customHeight="1" spans="1:13">
      <c r="A8" s="45"/>
      <c r="B8" s="57" t="s">
        <v>54</v>
      </c>
      <c r="C8" s="58">
        <f>IF($B8="","",SUMIFS(数据录入!$F$4:$F$9999,数据录入!$I$4:$I$9999,$B8,数据录入!$B$4:$B$9999,"&gt;="&amp;$C$2,数据录入!$B$4:$B$9999,"&lt;="&amp;$C$3))</f>
        <v>0</v>
      </c>
      <c r="D8" s="59">
        <f t="shared" si="0"/>
        <v>0</v>
      </c>
      <c r="E8" s="60">
        <v>4</v>
      </c>
      <c r="F8" s="35" t="s">
        <v>53</v>
      </c>
      <c r="G8" s="58">
        <f>IF($F8="","",SUMIFS(数据录入!$G$4:$G$9999,数据录入!$D$4:$D$9999,$F8,数据录入!$B$4:$B$9999,"&gt;="&amp;$C$2,数据录入!$B$4:$B$9999,"&lt;="&amp;$C$3))</f>
        <v>0</v>
      </c>
      <c r="H8" s="59">
        <f t="shared" ref="H8:H39" si="1">IF(OR($F8="",$F$3=0),"",G8/$F$3)</f>
        <v>0</v>
      </c>
    </row>
    <row r="9" s="44" customFormat="1" ht="20" customHeight="1" spans="1:13">
      <c r="A9" s="45"/>
      <c r="B9" s="61" t="s">
        <v>57</v>
      </c>
      <c r="C9" s="58">
        <f>IF($B9="","",SUMIFS(数据录入!$F$4:$F$9999,数据录入!$I$4:$I$9999,$B9,数据录入!$B$4:$B$9999,"&gt;="&amp;$C$2,数据录入!$B$4:$B$9999,"&lt;="&amp;$C$3))</f>
        <v>0</v>
      </c>
      <c r="D9" s="59">
        <f t="shared" si="0"/>
        <v>0</v>
      </c>
      <c r="E9" s="60">
        <v>5</v>
      </c>
      <c r="F9" s="35" t="s">
        <v>56</v>
      </c>
      <c r="G9" s="58">
        <f>IF($F9="","",SUMIFS(数据录入!$G$4:$G$9999,数据录入!$D$4:$D$9999,$F9,数据录入!$B$4:$B$9999,"&gt;="&amp;$C$2,数据录入!$B$4:$B$9999,"&lt;="&amp;$C$3))</f>
        <v>0</v>
      </c>
      <c r="H9" s="59">
        <f t="shared" si="1"/>
        <v>0</v>
      </c>
    </row>
    <row r="10" s="44" customFormat="1" ht="20" customHeight="1" spans="1:13">
      <c r="A10" s="45"/>
      <c r="B10" s="61" t="s">
        <v>60</v>
      </c>
      <c r="C10" s="58">
        <f>IF($B10="","",SUMIFS(数据录入!$F$4:$F$9999,数据录入!$I$4:$I$9999,$B10,数据录入!$B$4:$B$9999,"&gt;="&amp;$C$2,数据录入!$B$4:$B$9999,"&lt;="&amp;$C$3))</f>
        <v>0</v>
      </c>
      <c r="D10" s="59">
        <f t="shared" si="0"/>
        <v>0</v>
      </c>
      <c r="E10" s="60">
        <v>6</v>
      </c>
      <c r="F10" s="35" t="s">
        <v>59</v>
      </c>
      <c r="G10" s="58">
        <f>IF($F10="","",SUMIFS(数据录入!$G$4:$G$9999,数据录入!$D$4:$D$9999,$F10,数据录入!$B$4:$B$9999,"&gt;="&amp;$C$2,数据录入!$B$4:$B$9999,"&lt;="&amp;$C$3))</f>
        <v>0</v>
      </c>
      <c r="H10" s="59">
        <f t="shared" si="1"/>
        <v>0</v>
      </c>
    </row>
    <row r="11" s="44" customFormat="1" ht="20" customHeight="1" spans="1:13">
      <c r="A11" s="45"/>
      <c r="B11" s="61" t="s">
        <v>63</v>
      </c>
      <c r="C11" s="58">
        <f>IF($B11="","",SUMIFS(数据录入!$F$4:$F$9999,数据录入!$I$4:$I$9999,$B11,数据录入!$B$4:$B$9999,"&gt;="&amp;$C$2,数据录入!$B$4:$B$9999,"&lt;="&amp;$C$3))</f>
        <v>0</v>
      </c>
      <c r="D11" s="59">
        <f t="shared" si="0"/>
        <v>0</v>
      </c>
      <c r="E11" s="60">
        <v>7</v>
      </c>
      <c r="F11" s="35" t="s">
        <v>62</v>
      </c>
      <c r="G11" s="58">
        <f>IF($F11="","",SUMIFS(数据录入!$G$4:$G$9999,数据录入!$D$4:$D$9999,$F11,数据录入!$B$4:$B$9999,"&gt;="&amp;$C$2,数据录入!$B$4:$B$9999,"&lt;="&amp;$C$3))</f>
        <v>297952</v>
      </c>
      <c r="H11" s="59">
        <f t="shared" si="1"/>
        <v>0.159316455238387</v>
      </c>
    </row>
    <row r="12" s="44" customFormat="1" ht="20" customHeight="1" spans="1:13">
      <c r="A12" s="45"/>
      <c r="B12" s="61" t="s">
        <v>66</v>
      </c>
      <c r="C12" s="58">
        <f>IF($B12="","",SUMIFS(数据录入!$F$4:$F$9999,数据录入!$I$4:$I$9999,$B12,数据录入!$B$4:$B$9999,"&gt;="&amp;$C$2,数据录入!$B$4:$B$9999,"&lt;="&amp;$C$3))</f>
        <v>0</v>
      </c>
      <c r="D12" s="59">
        <f t="shared" si="0"/>
        <v>0</v>
      </c>
      <c r="E12" s="60">
        <v>8</v>
      </c>
      <c r="F12" s="35" t="s">
        <v>65</v>
      </c>
      <c r="G12" s="58">
        <f>IF($F12="","",SUMIFS(数据录入!$G$4:$G$9999,数据录入!$D$4:$D$9999,$F12,数据录入!$B$4:$B$9999,"&gt;="&amp;$C$2,数据录入!$B$4:$B$9999,"&lt;="&amp;$C$3))</f>
        <v>0</v>
      </c>
      <c r="H12" s="59">
        <f t="shared" si="1"/>
        <v>0</v>
      </c>
    </row>
    <row r="13" s="44" customFormat="1" ht="20" customHeight="1" spans="1:13">
      <c r="A13" s="45"/>
      <c r="B13" s="61" t="s">
        <v>69</v>
      </c>
      <c r="C13" s="58">
        <f>IF($B13="","",SUMIFS(数据录入!$F$4:$F$9999,数据录入!$I$4:$I$9999,$B13,数据录入!$B$4:$B$9999,"&gt;="&amp;$C$2,数据录入!$B$4:$B$9999,"&lt;="&amp;$C$3))</f>
        <v>0</v>
      </c>
      <c r="D13" s="59">
        <f t="shared" si="0"/>
        <v>0</v>
      </c>
      <c r="E13" s="60">
        <v>9</v>
      </c>
      <c r="F13" s="35" t="s">
        <v>68</v>
      </c>
      <c r="G13" s="58">
        <f>IF($F13="","",SUMIFS(数据录入!$G$4:$G$9999,数据录入!$D$4:$D$9999,$F13,数据录入!$B$4:$B$9999,"&gt;="&amp;$C$2,数据录入!$B$4:$B$9999,"&lt;="&amp;$C$3))</f>
        <v>0</v>
      </c>
      <c r="H13" s="59">
        <f t="shared" si="1"/>
        <v>0</v>
      </c>
    </row>
    <row r="14" s="44" customFormat="1" ht="20" customHeight="1" spans="1:13">
      <c r="A14" s="45"/>
      <c r="B14" s="61" t="s">
        <v>72</v>
      </c>
      <c r="C14" s="58">
        <f>IF($B14="","",SUMIFS(数据录入!$F$4:$F$9999,数据录入!$I$4:$I$9999,$B14,数据录入!$B$4:$B$9999,"&gt;="&amp;$C$2,数据录入!$B$4:$B$9999,"&lt;="&amp;$C$3))</f>
        <v>0</v>
      </c>
      <c r="D14" s="59">
        <f t="shared" si="0"/>
        <v>0</v>
      </c>
      <c r="E14" s="60">
        <v>10</v>
      </c>
      <c r="F14" s="35" t="s">
        <v>71</v>
      </c>
      <c r="G14" s="58">
        <f>IF($F14="","",SUMIFS(数据录入!$G$4:$G$9999,数据录入!$D$4:$D$9999,$F14,数据录入!$B$4:$B$9999,"&gt;="&amp;$C$2,数据录入!$B$4:$B$9999,"&lt;="&amp;$C$3))</f>
        <v>0</v>
      </c>
      <c r="H14" s="59">
        <f t="shared" si="1"/>
        <v>0</v>
      </c>
    </row>
    <row r="15" s="44" customFormat="1" ht="20" customHeight="1" spans="1:13">
      <c r="A15" s="45"/>
      <c r="B15" s="61" t="s">
        <v>75</v>
      </c>
      <c r="C15" s="58">
        <f>IF($B15="","",SUMIFS(数据录入!$F$4:$F$9999,数据录入!$I$4:$I$9999,$B15,数据录入!$B$4:$B$9999,"&gt;="&amp;$C$2,数据录入!$B$4:$B$9999,"&lt;="&amp;$C$3))</f>
        <v>0</v>
      </c>
      <c r="D15" s="59">
        <f t="shared" si="0"/>
        <v>0</v>
      </c>
      <c r="E15" s="60">
        <v>11</v>
      </c>
      <c r="F15" s="35" t="s">
        <v>74</v>
      </c>
      <c r="G15" s="58">
        <f>IF($F15="","",SUMIFS(数据录入!$G$4:$G$9999,数据录入!$D$4:$D$9999,$F15,数据录入!$B$4:$B$9999,"&gt;="&amp;$C$2,数据录入!$B$4:$B$9999,"&lt;="&amp;$C$3))</f>
        <v>2276</v>
      </c>
      <c r="H15" s="59">
        <f t="shared" si="1"/>
        <v>0.00121698881740202</v>
      </c>
    </row>
    <row r="16" s="44" customFormat="1" ht="20" customHeight="1" spans="1:13">
      <c r="A16" s="45"/>
      <c r="B16" s="61" t="s">
        <v>78</v>
      </c>
      <c r="C16" s="58">
        <f>IF($B16="","",SUMIFS(数据录入!$F$4:$F$9999,数据录入!$I$4:$I$9999,$B16,数据录入!$B$4:$B$9999,"&gt;="&amp;$C$2,数据录入!$B$4:$B$9999,"&lt;="&amp;$C$3))</f>
        <v>0</v>
      </c>
      <c r="D16" s="59">
        <f t="shared" si="0"/>
        <v>0</v>
      </c>
      <c r="E16" s="60">
        <v>12</v>
      </c>
      <c r="F16" s="35" t="s">
        <v>77</v>
      </c>
      <c r="G16" s="58">
        <f>IF($F16="","",SUMIFS(数据录入!$G$4:$G$9999,数据录入!$D$4:$D$9999,$F16,数据录入!$B$4:$B$9999,"&gt;="&amp;$C$2,数据录入!$B$4:$B$9999,"&lt;="&amp;$C$3))</f>
        <v>708.7</v>
      </c>
      <c r="H16" s="59">
        <f t="shared" si="1"/>
        <v>0.000378945507422151</v>
      </c>
    </row>
    <row r="17" s="44" customFormat="1" ht="20" customHeight="1" spans="1:8">
      <c r="A17" s="45"/>
      <c r="B17" s="61" t="s">
        <v>81</v>
      </c>
      <c r="C17" s="58">
        <f>IF($B17="","",SUMIFS(数据录入!$F$4:$F$9999,数据录入!$I$4:$I$9999,$B17,数据录入!$B$4:$B$9999,"&gt;="&amp;$C$2,数据录入!$B$4:$B$9999,"&lt;="&amp;$C$3))</f>
        <v>0</v>
      </c>
      <c r="D17" s="59">
        <f t="shared" si="0"/>
        <v>0</v>
      </c>
      <c r="E17" s="60">
        <v>13</v>
      </c>
      <c r="F17" s="35" t="s">
        <v>80</v>
      </c>
      <c r="G17" s="58">
        <f>IF($F17="","",SUMIFS(数据录入!$G$4:$G$9999,数据录入!$D$4:$D$9999,$F17,数据录入!$B$4:$B$9999,"&gt;="&amp;$C$2,数据录入!$B$4:$B$9999,"&lt;="&amp;$C$3))</f>
        <v>54070.14</v>
      </c>
      <c r="H17" s="59">
        <f t="shared" si="1"/>
        <v>0.0289115798485773</v>
      </c>
    </row>
    <row r="18" s="44" customFormat="1" ht="20" customHeight="1" spans="1:8">
      <c r="A18" s="62"/>
      <c r="B18" s="63"/>
      <c r="C18" s="63" t="str">
        <f>IF($B18="","",SUMIFS(数据录入!$F$4:$F$9999,数据录入!$I$4:$I$9999,$B18,数据录入!$B$4:$B$9999,"&gt;="&amp;$C$2,数据录入!$B$4:$B$9999,"&lt;="&amp;$C$3))</f>
        <v/>
      </c>
      <c r="D18" s="59" t="str">
        <f t="shared" si="0"/>
        <v/>
      </c>
      <c r="E18" s="60">
        <v>14</v>
      </c>
      <c r="F18" s="35" t="s">
        <v>83</v>
      </c>
      <c r="G18" s="58">
        <f>IF($F18="","",SUMIFS(数据录入!$G$4:$G$9999,数据录入!$D$4:$D$9999,$F18,数据录入!$B$4:$B$9999,"&gt;="&amp;$C$2,数据录入!$B$4:$B$9999,"&lt;="&amp;$C$3))</f>
        <v>54900</v>
      </c>
      <c r="H18" s="59">
        <f t="shared" si="1"/>
        <v>0.0293553102264372</v>
      </c>
    </row>
    <row r="19" s="44" customFormat="1" ht="20" customHeight="1" spans="1:8">
      <c r="A19" s="62"/>
      <c r="B19" s="63"/>
      <c r="C19" s="63" t="str">
        <f>IF($B19="","",SUMIFS(数据录入!$F$4:$F$9999,数据录入!$I$4:$I$9999,$B19,数据录入!$B$4:$B$9999,"&gt;="&amp;$C$2,数据录入!$B$4:$B$9999,"&lt;="&amp;$C$3))</f>
        <v/>
      </c>
      <c r="D19" s="59" t="str">
        <f t="shared" si="0"/>
        <v/>
      </c>
      <c r="E19" s="60">
        <v>15</v>
      </c>
      <c r="F19" s="35" t="s">
        <v>84</v>
      </c>
      <c r="G19" s="58">
        <f>IF($F19="","",SUMIFS(数据录入!$G$4:$G$9999,数据录入!$D$4:$D$9999,$F19,数据录入!$B$4:$B$9999,"&gt;="&amp;$C$2,数据录入!$B$4:$B$9999,"&lt;="&amp;$C$3))</f>
        <v>206171</v>
      </c>
      <c r="H19" s="59">
        <f t="shared" si="1"/>
        <v>0.110240686060014</v>
      </c>
    </row>
    <row r="20" s="44" customFormat="1" ht="20" customHeight="1" spans="1:8">
      <c r="A20" s="45"/>
      <c r="B20" s="61"/>
      <c r="C20" s="61" t="str">
        <f>IF($B20="","",SUMIFS(数据录入!$F$4:$F$9999,数据录入!$I$4:$I$9999,$B20,数据录入!$B$4:$B$9999,"&gt;="&amp;$C$2,数据录入!$B$4:$B$9999,"&lt;="&amp;$C$3))</f>
        <v/>
      </c>
      <c r="D20" s="59" t="str">
        <f t="shared" si="0"/>
        <v/>
      </c>
      <c r="E20" s="60">
        <v>16</v>
      </c>
      <c r="F20" s="35" t="s">
        <v>85</v>
      </c>
      <c r="G20" s="58">
        <f>IF($F20="","",SUMIFS(数据录入!$G$4:$G$9999,数据录入!$D$4:$D$9999,$F20,数据录入!$B$4:$B$9999,"&gt;="&amp;$C$2,数据录入!$B$4:$B$9999,"&lt;="&amp;$C$3))</f>
        <v>526879</v>
      </c>
      <c r="H20" s="59">
        <f t="shared" si="1"/>
        <v>0.281724890652004</v>
      </c>
    </row>
    <row r="21" s="44" customFormat="1" ht="20" customHeight="1" spans="1:8">
      <c r="A21" s="45"/>
      <c r="B21" s="61"/>
      <c r="C21" s="61" t="str">
        <f>IF($B21="","",SUMIFS(数据录入!$F$4:$F$9999,数据录入!$I$4:$I$9999,$B21,数据录入!$B$4:$B$9999,"&gt;="&amp;$C$2,数据录入!$B$4:$B$9999,"&lt;="&amp;$C$3))</f>
        <v/>
      </c>
      <c r="D21" s="59" t="str">
        <f t="shared" si="0"/>
        <v/>
      </c>
      <c r="E21" s="60">
        <v>17</v>
      </c>
      <c r="F21" s="35" t="s">
        <v>86</v>
      </c>
      <c r="G21" s="58">
        <f>IF($F21="","",SUMIFS(数据录入!$G$4:$G$9999,数据录入!$D$4:$D$9999,$F21,数据录入!$B$4:$B$9999,"&gt;="&amp;$C$2,数据录入!$B$4:$B$9999,"&lt;="&amp;$C$3))</f>
        <v>0</v>
      </c>
      <c r="H21" s="59">
        <f t="shared" si="1"/>
        <v>0</v>
      </c>
    </row>
    <row r="22" s="44" customFormat="1" ht="20" customHeight="1" spans="1:8">
      <c r="A22" s="45"/>
      <c r="B22" s="61"/>
      <c r="C22" s="61" t="str">
        <f>IF($B22="","",SUMIFS(数据录入!$F$4:$F$9999,数据录入!$I$4:$I$9999,$B22,数据录入!$B$4:$B$9999,"&gt;="&amp;$C$2,数据录入!$B$4:$B$9999,"&lt;="&amp;$C$3))</f>
        <v/>
      </c>
      <c r="D22" s="59" t="str">
        <f t="shared" si="0"/>
        <v/>
      </c>
      <c r="E22" s="60">
        <v>18</v>
      </c>
      <c r="F22" s="35" t="s">
        <v>87</v>
      </c>
      <c r="G22" s="58">
        <f>IF($F22="","",SUMIFS(数据录入!$G$4:$G$9999,数据录入!$D$4:$D$9999,$F22,数据录入!$B$4:$B$9999,"&gt;="&amp;$C$2,数据录入!$B$4:$B$9999,"&lt;="&amp;$C$3))</f>
        <v>333856</v>
      </c>
      <c r="H22" s="59">
        <f t="shared" si="1"/>
        <v>0.178514507303414</v>
      </c>
    </row>
    <row r="23" s="44" customFormat="1" ht="20" customHeight="1" spans="1:8">
      <c r="A23" s="45"/>
      <c r="B23" s="61"/>
      <c r="C23" s="61" t="str">
        <f>IF($B23="","",SUMIFS(数据录入!$F$4:$F$9999,数据录入!$I$4:$I$9999,$B23,数据录入!$B$4:$B$9999,"&gt;="&amp;$C$2,数据录入!$B$4:$B$9999,"&lt;="&amp;$C$3))</f>
        <v/>
      </c>
      <c r="D23" s="59" t="str">
        <f t="shared" si="0"/>
        <v/>
      </c>
      <c r="E23" s="60"/>
      <c r="F23" s="35"/>
      <c r="G23" s="58" t="str">
        <f>IF($F23="","",SUMIFS(数据录入!$G$4:$G$9999,数据录入!$D$4:$D$9999,$F23,数据录入!$B$4:$B$9999,"&gt;="&amp;$C$2,数据录入!$B$4:$B$9999,"&lt;="&amp;$C$3))</f>
        <v/>
      </c>
      <c r="H23" s="59" t="str">
        <f t="shared" si="1"/>
        <v/>
      </c>
    </row>
    <row r="24" s="44" customFormat="1" ht="20" customHeight="1" spans="1:8">
      <c r="A24" s="45"/>
      <c r="B24" s="61"/>
      <c r="C24" s="61" t="str">
        <f>IF($B24="","",SUMIFS(数据录入!$F$4:$F$9999,数据录入!$I$4:$I$9999,$B24,数据录入!$B$4:$B$9999,"&gt;="&amp;$C$2,数据录入!$B$4:$B$9999,"&lt;="&amp;$C$3))</f>
        <v/>
      </c>
      <c r="D24" s="59" t="str">
        <f t="shared" si="0"/>
        <v/>
      </c>
      <c r="E24" s="63"/>
      <c r="F24" s="63"/>
      <c r="G24" s="58" t="str">
        <f>IF($F24="","",SUMIFS(数据录入!$G$4:$G$9999,数据录入!$D$4:$D$9999,$F24,数据录入!$B$4:$B$9999,"&gt;="&amp;$C$2,数据录入!$B$4:$B$9999,"&lt;="&amp;$C$3))</f>
        <v/>
      </c>
      <c r="H24" s="59" t="str">
        <f t="shared" si="1"/>
        <v/>
      </c>
    </row>
    <row r="25" s="44" customFormat="1" ht="20" customHeight="1" spans="1:8">
      <c r="A25" s="45"/>
      <c r="B25" s="61"/>
      <c r="C25" s="61" t="str">
        <f>IF($B25="","",SUMIFS(数据录入!$F$4:$F$9999,数据录入!$I$4:$I$9999,$B25,数据录入!$B$4:$B$9999,"&gt;="&amp;$C$2,数据录入!$B$4:$B$9999,"&lt;="&amp;$C$3))</f>
        <v/>
      </c>
      <c r="D25" s="59" t="str">
        <f t="shared" si="0"/>
        <v/>
      </c>
      <c r="E25" s="63"/>
      <c r="F25" s="63"/>
      <c r="G25" s="58" t="str">
        <f>IF($F25="","",SUMIFS(数据录入!$G$4:$G$9999,数据录入!$D$4:$D$9999,$F25,数据录入!$B$4:$B$9999,"&gt;="&amp;$C$2,数据录入!$B$4:$B$9999,"&lt;="&amp;$C$3))</f>
        <v/>
      </c>
      <c r="H25" s="59" t="str">
        <f t="shared" si="1"/>
        <v/>
      </c>
    </row>
    <row r="26" s="44" customFormat="1" ht="20" customHeight="1" spans="1:8">
      <c r="A26" s="45"/>
      <c r="B26" s="61"/>
      <c r="C26" s="61" t="str">
        <f>IF($B26="","",SUMIFS(数据录入!$F$4:$F$9999,数据录入!$I$4:$I$9999,$B26,数据录入!$B$4:$B$9999,"&gt;="&amp;$C$2,数据录入!$B$4:$B$9999,"&lt;="&amp;$C$3))</f>
        <v/>
      </c>
      <c r="D26" s="59" t="str">
        <f t="shared" si="0"/>
        <v/>
      </c>
      <c r="E26" s="63"/>
      <c r="F26" s="63"/>
      <c r="G26" s="58" t="str">
        <f>IF($F26="","",SUMIFS(数据录入!$G$4:$G$9999,数据录入!$D$4:$D$9999,$F26,数据录入!$B$4:$B$9999,"&gt;="&amp;$C$2,数据录入!$B$4:$B$9999,"&lt;="&amp;$C$3))</f>
        <v/>
      </c>
      <c r="H26" s="59" t="str">
        <f t="shared" si="1"/>
        <v/>
      </c>
    </row>
    <row r="27" s="44" customFormat="1" ht="20" customHeight="1" spans="1:8">
      <c r="A27" s="45"/>
      <c r="B27" s="61"/>
      <c r="C27" s="61" t="str">
        <f>IF($B27="","",SUMIFS(数据录入!$F$4:$F$9999,数据录入!$I$4:$I$9999,$B27,数据录入!$B$4:$B$9999,"&gt;="&amp;$C$2,数据录入!$B$4:$B$9999,"&lt;="&amp;$C$3))</f>
        <v/>
      </c>
      <c r="D27" s="59" t="str">
        <f t="shared" si="0"/>
        <v/>
      </c>
      <c r="E27" s="63"/>
      <c r="F27" s="63"/>
      <c r="G27" s="58" t="str">
        <f>IF($F27="","",SUMIFS(数据录入!$G$4:$G$9999,数据录入!$D$4:$D$9999,$F27,数据录入!$B$4:$B$9999,"&gt;="&amp;$C$2,数据录入!$B$4:$B$9999,"&lt;="&amp;$C$3))</f>
        <v/>
      </c>
      <c r="H27" s="59" t="str">
        <f t="shared" si="1"/>
        <v/>
      </c>
    </row>
    <row r="28" s="44" customFormat="1" ht="20" customHeight="1" spans="1:8">
      <c r="A28" s="45"/>
      <c r="B28" s="61"/>
      <c r="C28" s="61" t="str">
        <f>IF($B28="","",SUMIFS(数据录入!$F$4:$F$9999,数据录入!$I$4:$I$9999,$B28,数据录入!$B$4:$B$9999,"&gt;="&amp;$C$2,数据录入!$B$4:$B$9999,"&lt;="&amp;$C$3))</f>
        <v/>
      </c>
      <c r="D28" s="59" t="str">
        <f t="shared" si="0"/>
        <v/>
      </c>
      <c r="E28" s="63"/>
      <c r="F28" s="63"/>
      <c r="G28" s="58" t="str">
        <f>IF($F28="","",SUMIFS(数据录入!$G$4:$G$9999,数据录入!$D$4:$D$9999,$F28,数据录入!$B$4:$B$9999,"&gt;="&amp;$C$2,数据录入!$B$4:$B$9999,"&lt;="&amp;$C$3))</f>
        <v/>
      </c>
      <c r="H28" s="59" t="str">
        <f t="shared" si="1"/>
        <v/>
      </c>
    </row>
    <row r="29" s="44" customFormat="1" ht="20" customHeight="1" spans="1:8">
      <c r="A29" s="45"/>
      <c r="B29" s="61"/>
      <c r="C29" s="61" t="str">
        <f>IF($B29="","",SUMIFS(数据录入!$F$4:$F$9999,数据录入!$I$4:$I$9999,$B29,数据录入!$B$4:$B$9999,"&gt;="&amp;$C$2,数据录入!$B$4:$B$9999,"&lt;="&amp;$C$3))</f>
        <v/>
      </c>
      <c r="D29" s="59" t="str">
        <f t="shared" si="0"/>
        <v/>
      </c>
      <c r="E29" s="63"/>
      <c r="F29" s="63"/>
      <c r="G29" s="58" t="str">
        <f>IF($F29="","",SUMIFS(数据录入!$G$4:$G$9999,数据录入!$D$4:$D$9999,$F29,数据录入!$B$4:$B$9999,"&gt;="&amp;$C$2,数据录入!$B$4:$B$9999,"&lt;="&amp;$C$3))</f>
        <v/>
      </c>
      <c r="H29" s="59" t="str">
        <f t="shared" si="1"/>
        <v/>
      </c>
    </row>
    <row r="30" s="44" customFormat="1" ht="20" customHeight="1" spans="1:8">
      <c r="A30" s="45"/>
      <c r="B30" s="61"/>
      <c r="C30" s="61" t="str">
        <f>IF($B30="","",SUMIFS(数据录入!$F$4:$F$9999,数据录入!$I$4:$I$9999,$B30,数据录入!$B$4:$B$9999,"&gt;="&amp;$C$2,数据录入!$B$4:$B$9999,"&lt;="&amp;$C$3))</f>
        <v/>
      </c>
      <c r="D30" s="59" t="str">
        <f t="shared" si="0"/>
        <v/>
      </c>
      <c r="E30" s="63"/>
      <c r="F30" s="63"/>
      <c r="G30" s="58" t="str">
        <f>IF($F30="","",SUMIFS(数据录入!$G$4:$G$9999,数据录入!$D$4:$D$9999,$F30,数据录入!$B$4:$B$9999,"&gt;="&amp;$C$2,数据录入!$B$4:$B$9999,"&lt;="&amp;$C$3))</f>
        <v/>
      </c>
      <c r="H30" s="59" t="str">
        <f t="shared" si="1"/>
        <v/>
      </c>
    </row>
    <row r="31" s="44" customFormat="1" ht="20" customHeight="1" spans="1:8">
      <c r="A31" s="45"/>
      <c r="B31" s="61"/>
      <c r="C31" s="61" t="str">
        <f>IF($B31="","",SUMIFS(数据录入!$F$4:$F$9999,数据录入!$I$4:$I$9999,$B31,数据录入!$B$4:$B$9999,"&gt;="&amp;$C$2,数据录入!$B$4:$B$9999,"&lt;="&amp;$C$3))</f>
        <v/>
      </c>
      <c r="D31" s="59" t="str">
        <f t="shared" si="0"/>
        <v/>
      </c>
      <c r="E31" s="63"/>
      <c r="F31" s="63"/>
      <c r="G31" s="58" t="str">
        <f>IF($F31="","",SUMIFS(数据录入!$G$4:$G$9999,数据录入!$D$4:$D$9999,$F31,数据录入!$B$4:$B$9999,"&gt;="&amp;$C$2,数据录入!$B$4:$B$9999,"&lt;="&amp;$C$3))</f>
        <v/>
      </c>
      <c r="H31" s="59" t="str">
        <f t="shared" si="1"/>
        <v/>
      </c>
    </row>
    <row r="32" s="44" customFormat="1" ht="20" customHeight="1" spans="1:8">
      <c r="A32" s="45"/>
      <c r="B32" s="61"/>
      <c r="C32" s="61" t="str">
        <f>IF($B32="","",SUMIFS(数据录入!$F$4:$F$9999,数据录入!$I$4:$I$9999,$B32,数据录入!$B$4:$B$9999,"&gt;="&amp;$C$2,数据录入!$B$4:$B$9999,"&lt;="&amp;$C$3))</f>
        <v/>
      </c>
      <c r="D32" s="59" t="str">
        <f t="shared" si="0"/>
        <v/>
      </c>
      <c r="E32" s="63"/>
      <c r="F32" s="63"/>
      <c r="G32" s="58" t="str">
        <f>IF($F32="","",SUMIFS(数据录入!$G$4:$G$9999,数据录入!$D$4:$D$9999,$F32,数据录入!$B$4:$B$9999,"&gt;="&amp;$C$2,数据录入!$B$4:$B$9999,"&lt;="&amp;$C$3))</f>
        <v/>
      </c>
      <c r="H32" s="59" t="str">
        <f t="shared" si="1"/>
        <v/>
      </c>
    </row>
    <row r="33" s="44" customFormat="1" ht="20" customHeight="1" spans="1:8">
      <c r="A33" s="45"/>
      <c r="B33" s="61"/>
      <c r="C33" s="61" t="str">
        <f>IF($B33="","",SUMIFS(数据录入!$F$4:$F$9999,数据录入!$I$4:$I$9999,$B33,数据录入!$B$4:$B$9999,"&gt;="&amp;$C$2,数据录入!$B$4:$B$9999,"&lt;="&amp;$C$3))</f>
        <v/>
      </c>
      <c r="D33" s="59" t="str">
        <f t="shared" si="0"/>
        <v/>
      </c>
      <c r="E33" s="63"/>
      <c r="F33" s="63"/>
      <c r="G33" s="58" t="str">
        <f>IF($F33="","",SUMIFS(数据录入!$G$4:$G$9999,数据录入!$D$4:$D$9999,$F33,数据录入!$B$4:$B$9999,"&gt;="&amp;$C$2,数据录入!$B$4:$B$9999,"&lt;="&amp;$C$3))</f>
        <v/>
      </c>
      <c r="H33" s="59" t="str">
        <f t="shared" si="1"/>
        <v/>
      </c>
    </row>
    <row r="34" s="44" customFormat="1" ht="20" customHeight="1" spans="1:8">
      <c r="A34" s="45"/>
      <c r="B34" s="61"/>
      <c r="C34" s="61" t="str">
        <f>IF($B34="","",SUMIFS(数据录入!$F$4:$F$9999,数据录入!$I$4:$I$9999,$B34,数据录入!$B$4:$B$9999,"&gt;="&amp;$C$2,数据录入!$B$4:$B$9999,"&lt;="&amp;$C$3))</f>
        <v/>
      </c>
      <c r="D34" s="59" t="str">
        <f t="shared" si="0"/>
        <v/>
      </c>
      <c r="E34" s="63"/>
      <c r="F34" s="63"/>
      <c r="G34" s="58" t="str">
        <f>IF($F34="","",SUMIFS(数据录入!$G$4:$G$9999,数据录入!$D$4:$D$9999,$F34,数据录入!$B$4:$B$9999,"&gt;="&amp;$C$2,数据录入!$B$4:$B$9999,"&lt;="&amp;$C$3))</f>
        <v/>
      </c>
      <c r="H34" s="59" t="str">
        <f t="shared" si="1"/>
        <v/>
      </c>
    </row>
    <row r="35" s="44" customFormat="1" ht="20" customHeight="1" spans="1:8">
      <c r="A35" s="45"/>
      <c r="B35" s="61"/>
      <c r="C35" s="61" t="str">
        <f>IF($B35="","",SUMIFS(数据录入!$F$4:$F$9999,数据录入!$I$4:$I$9999,$B35,数据录入!$B$4:$B$9999,"&gt;="&amp;$C$2,数据录入!$B$4:$B$9999,"&lt;="&amp;$C$3))</f>
        <v/>
      </c>
      <c r="D35" s="59" t="str">
        <f t="shared" si="0"/>
        <v/>
      </c>
      <c r="E35" s="63"/>
      <c r="F35" s="63"/>
      <c r="G35" s="58" t="str">
        <f>IF($F35="","",SUMIFS(数据录入!$G$4:$G$9999,数据录入!$D$4:$D$9999,$F35,数据录入!$B$4:$B$9999,"&gt;="&amp;$C$2,数据录入!$B$4:$B$9999,"&lt;="&amp;$C$3))</f>
        <v/>
      </c>
      <c r="H35" s="59" t="str">
        <f t="shared" si="1"/>
        <v/>
      </c>
    </row>
    <row r="36" s="44" customFormat="1" ht="20" customHeight="1" spans="1:8">
      <c r="A36" s="45"/>
      <c r="B36" s="61"/>
      <c r="C36" s="61" t="str">
        <f>IF($B36="","",SUMIFS(数据录入!$F$4:$F$9999,数据录入!$I$4:$I$9999,$B36,数据录入!$B$4:$B$9999,"&gt;="&amp;$C$2,数据录入!$B$4:$B$9999,"&lt;="&amp;$C$3))</f>
        <v/>
      </c>
      <c r="D36" s="59" t="str">
        <f t="shared" si="0"/>
        <v/>
      </c>
      <c r="E36" s="63"/>
      <c r="F36" s="63"/>
      <c r="G36" s="58" t="str">
        <f>IF($F36="","",SUMIFS(数据录入!$G$4:$G$9999,数据录入!$D$4:$D$9999,$F36,数据录入!$B$4:$B$9999,"&gt;="&amp;$C$2,数据录入!$B$4:$B$9999,"&lt;="&amp;$C$3))</f>
        <v/>
      </c>
      <c r="H36" s="59" t="str">
        <f t="shared" si="1"/>
        <v/>
      </c>
    </row>
    <row r="37" s="44" customFormat="1" ht="20" customHeight="1" spans="1:8">
      <c r="A37" s="45"/>
      <c r="B37" s="61"/>
      <c r="C37" s="61" t="str">
        <f>IF($B37="","",SUMIFS(数据录入!$F$4:$F$9999,数据录入!$I$4:$I$9999,$B37,数据录入!$B$4:$B$9999,"&gt;="&amp;$C$2,数据录入!$B$4:$B$9999,"&lt;="&amp;$C$3))</f>
        <v/>
      </c>
      <c r="D37" s="59" t="str">
        <f t="shared" si="0"/>
        <v/>
      </c>
      <c r="E37" s="63"/>
      <c r="F37" s="63"/>
      <c r="G37" s="58" t="str">
        <f>IF($F37="","",SUMIFS(数据录入!$G$4:$G$9999,数据录入!$D$4:$D$9999,$F37,数据录入!$B$4:$B$9999,"&gt;="&amp;$C$2,数据录入!$B$4:$B$9999,"&lt;="&amp;$C$3))</f>
        <v/>
      </c>
      <c r="H37" s="59" t="str">
        <f t="shared" si="1"/>
        <v/>
      </c>
    </row>
    <row r="38" s="44" customFormat="1" ht="20" customHeight="1" spans="1:8">
      <c r="A38" s="45"/>
      <c r="B38" s="61"/>
      <c r="C38" s="61" t="str">
        <f>IF($B38="","",SUMIFS(数据录入!$F$4:$F$9999,数据录入!$I$4:$I$9999,$B38,数据录入!$B$4:$B$9999,"&gt;="&amp;$C$2,数据录入!$B$4:$B$9999,"&lt;="&amp;$C$3))</f>
        <v/>
      </c>
      <c r="D38" s="59" t="str">
        <f t="shared" si="0"/>
        <v/>
      </c>
      <c r="E38" s="63"/>
      <c r="F38" s="63"/>
      <c r="G38" s="58" t="str">
        <f>IF($F38="","",SUMIFS(数据录入!$G$4:$G$9999,数据录入!$D$4:$D$9999,$F38,数据录入!$B$4:$B$9999,"&gt;="&amp;$C$2,数据录入!$B$4:$B$9999,"&lt;="&amp;$C$3))</f>
        <v/>
      </c>
      <c r="H38" s="59" t="str">
        <f t="shared" si="1"/>
        <v/>
      </c>
    </row>
    <row r="39" s="44" customFormat="1" ht="20" customHeight="1" spans="1:8">
      <c r="A39" s="45"/>
      <c r="B39" s="61"/>
      <c r="C39" s="61" t="str">
        <f>IF($B39="","",SUMIFS(数据录入!$F$4:$F$9999,数据录入!$I$4:$I$9999,$B39,数据录入!$B$4:$B$9999,"&gt;="&amp;$C$2,数据录入!$B$4:$B$9999,"&lt;="&amp;$C$3))</f>
        <v/>
      </c>
      <c r="D39" s="59" t="str">
        <f t="shared" si="0"/>
        <v/>
      </c>
      <c r="E39" s="63"/>
      <c r="F39" s="63"/>
      <c r="G39" s="58" t="str">
        <f>IF($F39="","",SUMIFS(数据录入!$G$4:$G$9999,数据录入!$D$4:$D$9999,$F39,数据录入!$B$4:$B$9999,"&gt;="&amp;$C$2,数据录入!$B$4:$B$9999,"&lt;="&amp;$C$3))</f>
        <v/>
      </c>
      <c r="H39" s="59" t="str">
        <f t="shared" si="1"/>
        <v/>
      </c>
    </row>
    <row r="40" ht="20" customHeight="1"/>
    <row r="41" s="44" customFormat="1" ht="20" customHeight="1" spans="1:8">
      <c r="A41" s="45"/>
      <c r="E41" s="62"/>
    </row>
    <row r="42" s="44" customFormat="1" ht="20" customHeight="1" spans="1:8">
      <c r="A42" s="45"/>
      <c r="E42" s="62"/>
    </row>
    <row r="43" s="44" customFormat="1" ht="20" customHeight="1" spans="1:8">
      <c r="A43" s="45"/>
      <c r="E43" s="62"/>
    </row>
    <row r="44" s="44" customFormat="1" ht="20" customHeight="1" spans="1:8">
      <c r="A44" s="45"/>
      <c r="E44" s="62"/>
    </row>
    <row r="45" s="44" customFormat="1" ht="20" customHeight="1" spans="1:8">
      <c r="A45" s="45"/>
      <c r="E45" s="62"/>
    </row>
    <row r="46" s="44" customFormat="1" ht="20" customHeight="1" spans="1:8">
      <c r="A46" s="45"/>
      <c r="E46" s="62"/>
    </row>
    <row r="47" s="44" customFormat="1" ht="20" customHeight="1" spans="1:8">
      <c r="A47" s="45"/>
      <c r="E47" s="62"/>
    </row>
    <row r="48" s="44" customFormat="1" ht="20" customHeight="1" spans="1:8">
      <c r="A48" s="45"/>
      <c r="E48" s="62"/>
    </row>
    <row r="49" s="44" customFormat="1" ht="20" customHeight="1" spans="1:5">
      <c r="A49" s="45"/>
      <c r="E49" s="62"/>
    </row>
    <row r="50" s="44" customFormat="1" ht="20" customHeight="1" spans="1:5">
      <c r="A50" s="45"/>
      <c r="E50" s="62"/>
    </row>
    <row r="51" s="44" customFormat="1" ht="20" customHeight="1" spans="1:5">
      <c r="A51" s="45"/>
      <c r="E51" s="62"/>
    </row>
    <row r="52" s="44" customFormat="1" ht="20" customHeight="1" spans="1:5">
      <c r="A52" s="45"/>
      <c r="E52" s="62"/>
    </row>
    <row r="53" s="44" customFormat="1" ht="20" customHeight="1" spans="1:5">
      <c r="A53" s="45"/>
      <c r="E53" s="62"/>
    </row>
    <row r="54" s="44" customFormat="1" ht="20" customHeight="1" spans="1:5">
      <c r="A54" s="45"/>
      <c r="E54" s="62"/>
    </row>
    <row r="55" s="44" customFormat="1" ht="20" customHeight="1" spans="1:5">
      <c r="A55" s="45"/>
      <c r="E55" s="62"/>
    </row>
    <row r="56" s="44" customFormat="1" ht="20" customHeight="1" spans="1:5">
      <c r="A56" s="45"/>
      <c r="E56" s="62"/>
    </row>
  </sheetData>
  <mergeCells count="5">
    <mergeCell ref="B1:H1"/>
    <mergeCell ref="D2:E2"/>
    <mergeCell ref="D3:E3"/>
    <mergeCell ref="G2:G3"/>
    <mergeCell ref="H2:H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3"/>
  <sheetViews>
    <sheetView showGridLines="0" workbookViewId="0">
      <pane ySplit="5" topLeftCell="A6" activePane="bottomLeft" state="frozen"/>
      <selection/>
      <selection pane="bottomLeft" activeCell="A1" sqref="$A1:$XFD1048576"/>
    </sheetView>
  </sheetViews>
  <sheetFormatPr defaultColWidth="9" defaultRowHeight="13.5"/>
  <cols>
    <col min="1" max="1" width="3.375" style="26" customWidth="1"/>
    <col min="2" max="2" width="14.0833333333333" style="27" customWidth="1"/>
    <col min="3" max="14" width="12.3666666666667" style="27" customWidth="1"/>
    <col min="15" max="15" width="15.275" style="27" customWidth="1"/>
    <col min="16" max="16" width="9.50833333333333" style="28" customWidth="1"/>
    <col min="17" max="17" width="12.625"/>
  </cols>
  <sheetData>
    <row r="1" ht="28" customHeight="1" spans="1:16">
      <c r="A1" s="10" t="s">
        <v>254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ht="16.5" spans="1:16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ht="20" customHeight="1" spans="1:16">
      <c r="A3" s="30"/>
      <c r="B3" s="30" t="s">
        <v>292</v>
      </c>
      <c r="C3" s="31">
        <f t="shared" ref="C3:H3" si="0">C4-C21</f>
        <v>0</v>
      </c>
      <c r="D3" s="31">
        <f t="shared" si="0"/>
        <v>0</v>
      </c>
      <c r="E3" s="31">
        <f t="shared" si="0"/>
        <v>0</v>
      </c>
      <c r="F3" s="31">
        <f t="shared" si="0"/>
        <v>-338.67</v>
      </c>
      <c r="G3" s="31">
        <f t="shared" si="0"/>
        <v>-257206.59</v>
      </c>
      <c r="H3" s="31">
        <f t="shared" si="0"/>
        <v>-950592.74</v>
      </c>
      <c r="I3" s="31">
        <f t="shared" ref="I3:O3" si="1">I4-I21</f>
        <v>-168831.9</v>
      </c>
      <c r="J3" s="31">
        <f t="shared" si="1"/>
        <v>-204988.29</v>
      </c>
      <c r="K3" s="31">
        <f t="shared" si="1"/>
        <v>-223743.55</v>
      </c>
      <c r="L3" s="31">
        <f t="shared" si="1"/>
        <v>0</v>
      </c>
      <c r="M3" s="31">
        <f t="shared" si="1"/>
        <v>0</v>
      </c>
      <c r="N3" s="31">
        <f t="shared" si="1"/>
        <v>0</v>
      </c>
      <c r="O3" s="31">
        <f t="shared" si="1"/>
        <v>-1805701.74</v>
      </c>
      <c r="P3" s="29"/>
    </row>
    <row r="4" ht="20" customHeight="1" spans="1:16">
      <c r="A4" s="29"/>
      <c r="B4" s="29" t="s">
        <v>89</v>
      </c>
      <c r="C4" s="32">
        <f t="shared" ref="C4:H4" si="2">SUM(C6:C18)</f>
        <v>0</v>
      </c>
      <c r="D4" s="32">
        <f t="shared" si="2"/>
        <v>0</v>
      </c>
      <c r="E4" s="32">
        <f t="shared" si="2"/>
        <v>0</v>
      </c>
      <c r="F4" s="32">
        <f t="shared" si="2"/>
        <v>0</v>
      </c>
      <c r="G4" s="32">
        <f t="shared" si="2"/>
        <v>0</v>
      </c>
      <c r="H4" s="32">
        <f t="shared" si="2"/>
        <v>20000</v>
      </c>
      <c r="I4" s="32">
        <f t="shared" ref="I4:N4" si="3">SUM(I6:I18)</f>
        <v>0</v>
      </c>
      <c r="J4" s="32">
        <f t="shared" si="3"/>
        <v>40000</v>
      </c>
      <c r="K4" s="32">
        <f t="shared" si="3"/>
        <v>4488</v>
      </c>
      <c r="L4" s="32">
        <f t="shared" si="3"/>
        <v>0</v>
      </c>
      <c r="M4" s="32">
        <f t="shared" si="3"/>
        <v>0</v>
      </c>
      <c r="N4" s="32">
        <f t="shared" si="3"/>
        <v>0</v>
      </c>
      <c r="O4" s="32">
        <f>SUM(C4:N4)</f>
        <v>64488</v>
      </c>
      <c r="P4" s="29"/>
    </row>
    <row r="5" ht="24" customHeight="1" spans="1:16">
      <c r="A5" s="33" t="s">
        <v>255</v>
      </c>
      <c r="B5" s="33" t="s">
        <v>287</v>
      </c>
      <c r="C5" s="33">
        <v>202601</v>
      </c>
      <c r="D5" s="33">
        <v>202602</v>
      </c>
      <c r="E5" s="33">
        <v>202603</v>
      </c>
      <c r="F5" s="33">
        <v>202604</v>
      </c>
      <c r="G5" s="33">
        <v>202605</v>
      </c>
      <c r="H5" s="33">
        <v>202606</v>
      </c>
      <c r="I5" s="33">
        <v>202607</v>
      </c>
      <c r="J5" s="33">
        <v>202608</v>
      </c>
      <c r="K5" s="33">
        <v>202609</v>
      </c>
      <c r="L5" s="33">
        <v>202610</v>
      </c>
      <c r="M5" s="33">
        <v>202611</v>
      </c>
      <c r="N5" s="33">
        <v>202612</v>
      </c>
      <c r="O5" s="33" t="s">
        <v>256</v>
      </c>
      <c r="P5" s="33" t="s">
        <v>293</v>
      </c>
    </row>
    <row r="6" ht="28" customHeight="1" spans="1:16">
      <c r="A6" s="34">
        <v>1</v>
      </c>
      <c r="B6" s="35" t="s">
        <v>44</v>
      </c>
      <c r="C6" s="36">
        <f>IF($B6="","",SUMIFS(数据录入!$F$5:$F$4999,数据录入!$I$5:$I$4999,$B6,数据录入!$K$5:$K$4999,C$5))</f>
        <v>0</v>
      </c>
      <c r="D6" s="36">
        <f>IF($B6="","",SUMIFS(数据录入!$F$5:$F$4999,数据录入!$I$5:$I$4999,$B6,数据录入!$K$5:$K$4999,D$5))</f>
        <v>0</v>
      </c>
      <c r="E6" s="36">
        <f>IF($B6="","",SUMIFS(数据录入!$F$5:$F$4999,数据录入!$I$5:$I$4999,$B6,数据录入!$K$5:$K$4999,E$5))</f>
        <v>0</v>
      </c>
      <c r="F6" s="36">
        <f>IF($B6="","",SUMIFS(数据录入!$F$5:$F$4999,数据录入!$I$5:$I$4999,$B6,数据录入!$K$5:$K$4999,F$5))</f>
        <v>0</v>
      </c>
      <c r="G6" s="36">
        <f>IF($B6="","",SUMIFS(数据录入!$F$5:$F$4999,数据录入!$I$5:$I$4999,$B6,数据录入!$K$5:$K$4999,G$5))</f>
        <v>0</v>
      </c>
      <c r="H6" s="36">
        <f>IF($B6="","",SUMIFS(数据录入!$F$5:$F$4999,数据录入!$I$5:$I$4999,$B6,数据录入!$K$5:$K$4999,H$5))</f>
        <v>0</v>
      </c>
      <c r="I6" s="36">
        <f>IF($B6="","",SUMIFS(数据录入!$F$5:$F$4999,数据录入!$I$5:$I$4999,$B6,数据录入!$K$5:$K$4999,I$5))</f>
        <v>0</v>
      </c>
      <c r="J6" s="36">
        <f>IF($B6="","",SUMIFS(数据录入!$F$5:$F$4999,数据录入!$I$5:$I$4999,$B6,数据录入!$K$5:$K$4999,J$5))</f>
        <v>0</v>
      </c>
      <c r="K6" s="36">
        <f>IF($B6="","",SUMIFS(数据录入!$F$5:$F$4999,数据录入!$I$5:$I$4999,$B6,数据录入!$K$5:$K$4999,K$5))</f>
        <v>0</v>
      </c>
      <c r="L6" s="36">
        <f>IF($B6="","",SUMIFS(数据录入!$F$5:$F$4999,数据录入!$I$5:$I$4999,$B6,数据录入!$K$5:$K$4999,L$5))</f>
        <v>0</v>
      </c>
      <c r="M6" s="36">
        <f>IF($B6="","",SUMIFS(数据录入!$F$5:$F$4999,数据录入!$I$5:$I$4999,$B6,数据录入!$K$5:$K$4999,M$5))</f>
        <v>0</v>
      </c>
      <c r="N6" s="36">
        <f>IF($B6="","",SUMIFS(数据录入!$F$5:$F$4999,数据录入!$I$5:$I$4999,$B6,数据录入!$K$5:$K$4999,N$5))</f>
        <v>0</v>
      </c>
      <c r="O6" s="36">
        <f t="shared" ref="O6:O18" si="4">SUM(C6:N6)</f>
        <v>0</v>
      </c>
      <c r="P6" s="37">
        <f>IF($O$21=0,"",O6/$O$4)</f>
        <v>0</v>
      </c>
    </row>
    <row r="7" ht="43" customHeight="1" spans="1:16">
      <c r="A7" s="34">
        <v>2</v>
      </c>
      <c r="B7" s="35" t="s">
        <v>47</v>
      </c>
      <c r="C7" s="36">
        <f>IF($B7="","",SUMIFS(数据录入!$F$5:$F$4999,数据录入!$I$5:$I$4999,$B7,数据录入!$K$5:$K$4999,C$5))</f>
        <v>0</v>
      </c>
      <c r="D7" s="36">
        <f>IF($B7="","",SUMIFS(数据录入!$F$5:$F$4999,数据录入!$I$5:$I$4999,$B7,数据录入!$K$5:$K$4999,D$5))</f>
        <v>0</v>
      </c>
      <c r="E7" s="36">
        <f>IF($B7="","",SUMIFS(数据录入!$F$5:$F$4999,数据录入!$I$5:$I$4999,$B7,数据录入!$K$5:$K$4999,E$5))</f>
        <v>0</v>
      </c>
      <c r="F7" s="36">
        <f>IF($B7="","",SUMIFS(数据录入!$F$5:$F$4999,数据录入!$I$5:$I$4999,$B7,数据录入!$K$5:$K$4999,F$5))</f>
        <v>0</v>
      </c>
      <c r="G7" s="36">
        <f>IF($B7="","",SUMIFS(数据录入!$F$5:$F$4999,数据录入!$I$5:$I$4999,$B7,数据录入!$K$5:$K$4999,G$5))</f>
        <v>0</v>
      </c>
      <c r="H7" s="36">
        <f>IF($B7="","",SUMIFS(数据录入!$F$5:$F$4999,数据录入!$I$5:$I$4999,$B7,数据录入!$K$5:$K$4999,H$5))</f>
        <v>0</v>
      </c>
      <c r="I7" s="36">
        <f>IF($B7="","",SUMIFS(数据录入!$F$5:$F$4999,数据录入!$I$5:$I$4999,$B7,数据录入!$K$5:$K$4999,I$5))</f>
        <v>0</v>
      </c>
      <c r="J7" s="36">
        <f>IF($B7="","",SUMIFS(数据录入!$F$5:$F$4999,数据录入!$I$5:$I$4999,$B7,数据录入!$K$5:$K$4999,J$5))</f>
        <v>0</v>
      </c>
      <c r="K7" s="36">
        <f>IF($B7="","",SUMIFS(数据录入!$F$5:$F$4999,数据录入!$I$5:$I$4999,$B7,数据录入!$K$5:$K$4999,K$5))</f>
        <v>4488</v>
      </c>
      <c r="L7" s="36">
        <f>IF($B7="","",SUMIFS(数据录入!$F$5:$F$4999,数据录入!$I$5:$I$4999,$B7,数据录入!$K$5:$K$4999,L$5))</f>
        <v>0</v>
      </c>
      <c r="M7" s="36">
        <f>IF($B7="","",SUMIFS(数据录入!$F$5:$F$4999,数据录入!$I$5:$I$4999,$B7,数据录入!$K$5:$K$4999,M$5))</f>
        <v>0</v>
      </c>
      <c r="N7" s="36">
        <f>IF($B7="","",SUMIFS(数据录入!$F$5:$F$4999,数据录入!$I$5:$I$4999,$B7,数据录入!$K$5:$K$4999,N$5))</f>
        <v>0</v>
      </c>
      <c r="O7" s="36">
        <f t="shared" si="4"/>
        <v>4488</v>
      </c>
      <c r="P7" s="37">
        <f t="shared" ref="P7:P18" si="5">IF($O$21=0,"",O7/$O$4)</f>
        <v>0.0695943431336063</v>
      </c>
    </row>
    <row r="8" ht="20" customHeight="1" spans="1:16">
      <c r="A8" s="34">
        <v>3</v>
      </c>
      <c r="B8" s="35" t="s">
        <v>51</v>
      </c>
      <c r="C8" s="36">
        <f>IF($B8="","",SUMIFS(数据录入!$F$5:$F$4999,数据录入!$I$5:$I$4999,$B8,数据录入!$K$5:$K$4999,C$5))</f>
        <v>0</v>
      </c>
      <c r="D8" s="36">
        <f>IF($B8="","",SUMIFS(数据录入!$F$5:$F$4999,数据录入!$I$5:$I$4999,$B8,数据录入!$K$5:$K$4999,D$5))</f>
        <v>0</v>
      </c>
      <c r="E8" s="36">
        <f>IF($B8="","",SUMIFS(数据录入!$F$5:$F$4999,数据录入!$I$5:$I$4999,$B8,数据录入!$K$5:$K$4999,E$5))</f>
        <v>0</v>
      </c>
      <c r="F8" s="36">
        <f>IF($B8="","",SUMIFS(数据录入!$F$5:$F$4999,数据录入!$I$5:$I$4999,$B8,数据录入!$K$5:$K$4999,F$5))</f>
        <v>0</v>
      </c>
      <c r="G8" s="36">
        <f>IF($B8="","",SUMIFS(数据录入!$F$5:$F$4999,数据录入!$I$5:$I$4999,$B8,数据录入!$K$5:$K$4999,G$5))</f>
        <v>0</v>
      </c>
      <c r="H8" s="36">
        <f>IF($B8="","",SUMIFS(数据录入!$F$5:$F$4999,数据录入!$I$5:$I$4999,$B8,数据录入!$K$5:$K$4999,H$5))</f>
        <v>20000</v>
      </c>
      <c r="I8" s="36">
        <f>IF($B8="","",SUMIFS(数据录入!$F$5:$F$4999,数据录入!$I$5:$I$4999,$B8,数据录入!$K$5:$K$4999,I$5))</f>
        <v>0</v>
      </c>
      <c r="J8" s="36">
        <f>IF($B8="","",SUMIFS(数据录入!$F$5:$F$4999,数据录入!$I$5:$I$4999,$B8,数据录入!$K$5:$K$4999,J$5))</f>
        <v>40000</v>
      </c>
      <c r="K8" s="36">
        <f>IF($B8="","",SUMIFS(数据录入!$F$5:$F$4999,数据录入!$I$5:$I$4999,$B8,数据录入!$K$5:$K$4999,K$5))</f>
        <v>0</v>
      </c>
      <c r="L8" s="36">
        <f>IF($B8="","",SUMIFS(数据录入!$F$5:$F$4999,数据录入!$I$5:$I$4999,$B8,数据录入!$K$5:$K$4999,L$5))</f>
        <v>0</v>
      </c>
      <c r="M8" s="36">
        <f>IF($B8="","",SUMIFS(数据录入!$F$5:$F$4999,数据录入!$I$5:$I$4999,$B8,数据录入!$K$5:$K$4999,M$5))</f>
        <v>0</v>
      </c>
      <c r="N8" s="36">
        <f>IF($B8="","",SUMIFS(数据录入!$F$5:$F$4999,数据录入!$I$5:$I$4999,$B8,数据录入!$K$5:$K$4999,N$5))</f>
        <v>0</v>
      </c>
      <c r="O8" s="36">
        <f t="shared" si="4"/>
        <v>60000</v>
      </c>
      <c r="P8" s="37">
        <f t="shared" si="5"/>
        <v>0.930405656866394</v>
      </c>
    </row>
    <row r="9" ht="43" customHeight="1" spans="1:16">
      <c r="A9" s="34">
        <v>4</v>
      </c>
      <c r="B9" s="35" t="s">
        <v>54</v>
      </c>
      <c r="C9" s="36">
        <f>IF($B9="","",SUMIFS(数据录入!$F$5:$F$4999,数据录入!$I$5:$I$4999,$B9,数据录入!$K$5:$K$4999,C$5))</f>
        <v>0</v>
      </c>
      <c r="D9" s="36">
        <f>IF($B9="","",SUMIFS(数据录入!$F$5:$F$4999,数据录入!$I$5:$I$4999,$B9,数据录入!$K$5:$K$4999,D$5))</f>
        <v>0</v>
      </c>
      <c r="E9" s="36">
        <f>IF($B9="","",SUMIFS(数据录入!$F$5:$F$4999,数据录入!$I$5:$I$4999,$B9,数据录入!$K$5:$K$4999,E$5))</f>
        <v>0</v>
      </c>
      <c r="F9" s="36">
        <f>IF($B9="","",SUMIFS(数据录入!$F$5:$F$4999,数据录入!$I$5:$I$4999,$B9,数据录入!$K$5:$K$4999,F$5))</f>
        <v>0</v>
      </c>
      <c r="G9" s="36">
        <f>IF($B9="","",SUMIFS(数据录入!$F$5:$F$4999,数据录入!$I$5:$I$4999,$B9,数据录入!$K$5:$K$4999,G$5))</f>
        <v>0</v>
      </c>
      <c r="H9" s="36">
        <f>IF($B9="","",SUMIFS(数据录入!$F$5:$F$4999,数据录入!$I$5:$I$4999,$B9,数据录入!$K$5:$K$4999,H$5))</f>
        <v>0</v>
      </c>
      <c r="I9" s="36">
        <f>IF($B9="","",SUMIFS(数据录入!$F$5:$F$4999,数据录入!$I$5:$I$4999,$B9,数据录入!$K$5:$K$4999,I$5))</f>
        <v>0</v>
      </c>
      <c r="J9" s="36">
        <f>IF($B9="","",SUMIFS(数据录入!$F$5:$F$4999,数据录入!$I$5:$I$4999,$B9,数据录入!$K$5:$K$4999,J$5))</f>
        <v>0</v>
      </c>
      <c r="K9" s="36">
        <f>IF($B9="","",SUMIFS(数据录入!$F$5:$F$4999,数据录入!$I$5:$I$4999,$B9,数据录入!$K$5:$K$4999,K$5))</f>
        <v>0</v>
      </c>
      <c r="L9" s="36">
        <f>IF($B9="","",SUMIFS(数据录入!$F$5:$F$4999,数据录入!$I$5:$I$4999,$B9,数据录入!$K$5:$K$4999,L$5))</f>
        <v>0</v>
      </c>
      <c r="M9" s="36">
        <f>IF($B9="","",SUMIFS(数据录入!$F$5:$F$4999,数据录入!$I$5:$I$4999,$B9,数据录入!$K$5:$K$4999,M$5))</f>
        <v>0</v>
      </c>
      <c r="N9" s="36">
        <f>IF($B9="","",SUMIFS(数据录入!$F$5:$F$4999,数据录入!$I$5:$I$4999,$B9,数据录入!$K$5:$K$4999,N$5))</f>
        <v>0</v>
      </c>
      <c r="O9" s="36">
        <f t="shared" si="4"/>
        <v>0</v>
      </c>
      <c r="P9" s="37">
        <f t="shared" si="5"/>
        <v>0</v>
      </c>
    </row>
    <row r="10" ht="20" customHeight="1" spans="1:16">
      <c r="A10" s="34">
        <v>5</v>
      </c>
      <c r="B10" s="35" t="s">
        <v>57</v>
      </c>
      <c r="C10" s="36">
        <f>IF($B10="","",SUMIFS(数据录入!$F$5:$F$4999,数据录入!$I$5:$I$4999,$B10,数据录入!$K$5:$K$4999,C$5))</f>
        <v>0</v>
      </c>
      <c r="D10" s="36">
        <f>IF($B10="","",SUMIFS(数据录入!$F$5:$F$4999,数据录入!$I$5:$I$4999,$B10,数据录入!$K$5:$K$4999,D$5))</f>
        <v>0</v>
      </c>
      <c r="E10" s="36">
        <f>IF($B10="","",SUMIFS(数据录入!$F$5:$F$4999,数据录入!$I$5:$I$4999,$B10,数据录入!$K$5:$K$4999,E$5))</f>
        <v>0</v>
      </c>
      <c r="F10" s="36">
        <f>IF($B10="","",SUMIFS(数据录入!$F$5:$F$4999,数据录入!$I$5:$I$4999,$B10,数据录入!$K$5:$K$4999,F$5))</f>
        <v>0</v>
      </c>
      <c r="G10" s="36">
        <f>IF($B10="","",SUMIFS(数据录入!$F$5:$F$4999,数据录入!$I$5:$I$4999,$B10,数据录入!$K$5:$K$4999,G$5))</f>
        <v>0</v>
      </c>
      <c r="H10" s="36">
        <f>IF($B10="","",SUMIFS(数据录入!$F$5:$F$4999,数据录入!$I$5:$I$4999,$B10,数据录入!$K$5:$K$4999,H$5))</f>
        <v>0</v>
      </c>
      <c r="I10" s="36">
        <f>IF($B10="","",SUMIFS(数据录入!$F$5:$F$4999,数据录入!$I$5:$I$4999,$B10,数据录入!$K$5:$K$4999,I$5))</f>
        <v>0</v>
      </c>
      <c r="J10" s="36">
        <f>IF($B10="","",SUMIFS(数据录入!$F$5:$F$4999,数据录入!$I$5:$I$4999,$B10,数据录入!$K$5:$K$4999,J$5))</f>
        <v>0</v>
      </c>
      <c r="K10" s="36">
        <f>IF($B10="","",SUMIFS(数据录入!$F$5:$F$4999,数据录入!$I$5:$I$4999,$B10,数据录入!$K$5:$K$4999,K$5))</f>
        <v>0</v>
      </c>
      <c r="L10" s="36">
        <f>IF($B10="","",SUMIFS(数据录入!$F$5:$F$4999,数据录入!$I$5:$I$4999,$B10,数据录入!$K$5:$K$4999,L$5))</f>
        <v>0</v>
      </c>
      <c r="M10" s="36">
        <f>IF($B10="","",SUMIFS(数据录入!$F$5:$F$4999,数据录入!$I$5:$I$4999,$B10,数据录入!$K$5:$K$4999,M$5))</f>
        <v>0</v>
      </c>
      <c r="N10" s="36">
        <f>IF($B10="","",SUMIFS(数据录入!$F$5:$F$4999,数据录入!$I$5:$I$4999,$B10,数据录入!$K$5:$K$4999,N$5))</f>
        <v>0</v>
      </c>
      <c r="O10" s="36">
        <f t="shared" si="4"/>
        <v>0</v>
      </c>
      <c r="P10" s="37">
        <f t="shared" si="5"/>
        <v>0</v>
      </c>
    </row>
    <row r="11" ht="20" customHeight="1" spans="1:16">
      <c r="A11" s="34">
        <v>6</v>
      </c>
      <c r="B11" s="35" t="s">
        <v>60</v>
      </c>
      <c r="C11" s="36">
        <f>IF($B11="","",SUMIFS(数据录入!$F$5:$F$4999,数据录入!$I$5:$I$4999,$B11,数据录入!$K$5:$K$4999,C$5))</f>
        <v>0</v>
      </c>
      <c r="D11" s="36">
        <f>IF($B11="","",SUMIFS(数据录入!$F$5:$F$4999,数据录入!$I$5:$I$4999,$B11,数据录入!$K$5:$K$4999,D$5))</f>
        <v>0</v>
      </c>
      <c r="E11" s="36">
        <f>IF($B11="","",SUMIFS(数据录入!$F$5:$F$4999,数据录入!$I$5:$I$4999,$B11,数据录入!$K$5:$K$4999,E$5))</f>
        <v>0</v>
      </c>
      <c r="F11" s="36">
        <f>IF($B11="","",SUMIFS(数据录入!$F$5:$F$4999,数据录入!$I$5:$I$4999,$B11,数据录入!$K$5:$K$4999,F$5))</f>
        <v>0</v>
      </c>
      <c r="G11" s="36">
        <f>IF($B11="","",SUMIFS(数据录入!$F$5:$F$4999,数据录入!$I$5:$I$4999,$B11,数据录入!$K$5:$K$4999,G$5))</f>
        <v>0</v>
      </c>
      <c r="H11" s="36">
        <f>IF($B11="","",SUMIFS(数据录入!$F$5:$F$4999,数据录入!$I$5:$I$4999,$B11,数据录入!$K$5:$K$4999,H$5))</f>
        <v>0</v>
      </c>
      <c r="I11" s="36">
        <f>IF($B11="","",SUMIFS(数据录入!$F$5:$F$4999,数据录入!$I$5:$I$4999,$B11,数据录入!$K$5:$K$4999,I$5))</f>
        <v>0</v>
      </c>
      <c r="J11" s="36">
        <f>IF($B11="","",SUMIFS(数据录入!$F$5:$F$4999,数据录入!$I$5:$I$4999,$B11,数据录入!$K$5:$K$4999,J$5))</f>
        <v>0</v>
      </c>
      <c r="K11" s="36">
        <f>IF($B11="","",SUMIFS(数据录入!$F$5:$F$4999,数据录入!$I$5:$I$4999,$B11,数据录入!$K$5:$K$4999,K$5))</f>
        <v>0</v>
      </c>
      <c r="L11" s="36">
        <f>IF($B11="","",SUMIFS(数据录入!$F$5:$F$4999,数据录入!$I$5:$I$4999,$B11,数据录入!$K$5:$K$4999,L$5))</f>
        <v>0</v>
      </c>
      <c r="M11" s="36">
        <f>IF($B11="","",SUMIFS(数据录入!$F$5:$F$4999,数据录入!$I$5:$I$4999,$B11,数据录入!$K$5:$K$4999,M$5))</f>
        <v>0</v>
      </c>
      <c r="N11" s="36">
        <f>IF($B11="","",SUMIFS(数据录入!$F$5:$F$4999,数据录入!$I$5:$I$4999,$B11,数据录入!$K$5:$K$4999,N$5))</f>
        <v>0</v>
      </c>
      <c r="O11" s="36">
        <f t="shared" si="4"/>
        <v>0</v>
      </c>
      <c r="P11" s="37">
        <f t="shared" si="5"/>
        <v>0</v>
      </c>
    </row>
    <row r="12" ht="20" customHeight="1" spans="1:16">
      <c r="A12" s="34">
        <v>7</v>
      </c>
      <c r="B12" s="35" t="s">
        <v>63</v>
      </c>
      <c r="C12" s="36">
        <f>IF($B12="","",SUMIFS(数据录入!$F$5:$F$4999,数据录入!$I$5:$I$4999,$B12,数据录入!$K$5:$K$4999,C$5))</f>
        <v>0</v>
      </c>
      <c r="D12" s="36">
        <f>IF($B12="","",SUMIFS(数据录入!$F$5:$F$4999,数据录入!$I$5:$I$4999,$B12,数据录入!$K$5:$K$4999,D$5))</f>
        <v>0</v>
      </c>
      <c r="E12" s="36">
        <f>IF($B12="","",SUMIFS(数据录入!$F$5:$F$4999,数据录入!$I$5:$I$4999,$B12,数据录入!$K$5:$K$4999,E$5))</f>
        <v>0</v>
      </c>
      <c r="F12" s="36">
        <f>IF($B12="","",SUMIFS(数据录入!$F$5:$F$4999,数据录入!$I$5:$I$4999,$B12,数据录入!$K$5:$K$4999,F$5))</f>
        <v>0</v>
      </c>
      <c r="G12" s="36">
        <f>IF($B12="","",SUMIFS(数据录入!$F$5:$F$4999,数据录入!$I$5:$I$4999,$B12,数据录入!$K$5:$K$4999,G$5))</f>
        <v>0</v>
      </c>
      <c r="H12" s="36">
        <f>IF($B12="","",SUMIFS(数据录入!$F$5:$F$4999,数据录入!$I$5:$I$4999,$B12,数据录入!$K$5:$K$4999,H$5))</f>
        <v>0</v>
      </c>
      <c r="I12" s="36">
        <f>IF($B12="","",SUMIFS(数据录入!$F$5:$F$4999,数据录入!$I$5:$I$4999,$B12,数据录入!$K$5:$K$4999,I$5))</f>
        <v>0</v>
      </c>
      <c r="J12" s="36">
        <f>IF($B12="","",SUMIFS(数据录入!$F$5:$F$4999,数据录入!$I$5:$I$4999,$B12,数据录入!$K$5:$K$4999,J$5))</f>
        <v>0</v>
      </c>
      <c r="K12" s="36">
        <f>IF($B12="","",SUMIFS(数据录入!$F$5:$F$4999,数据录入!$I$5:$I$4999,$B12,数据录入!$K$5:$K$4999,K$5))</f>
        <v>0</v>
      </c>
      <c r="L12" s="36">
        <f>IF($B12="","",SUMIFS(数据录入!$F$5:$F$4999,数据录入!$I$5:$I$4999,$B12,数据录入!$K$5:$K$4999,L$5))</f>
        <v>0</v>
      </c>
      <c r="M12" s="36">
        <f>IF($B12="","",SUMIFS(数据录入!$F$5:$F$4999,数据录入!$I$5:$I$4999,$B12,数据录入!$K$5:$K$4999,M$5))</f>
        <v>0</v>
      </c>
      <c r="N12" s="36">
        <f>IF($B12="","",SUMIFS(数据录入!$F$5:$F$4999,数据录入!$I$5:$I$4999,$B12,数据录入!$K$5:$K$4999,N$5))</f>
        <v>0</v>
      </c>
      <c r="O12" s="36">
        <f t="shared" si="4"/>
        <v>0</v>
      </c>
      <c r="P12" s="37">
        <f t="shared" si="5"/>
        <v>0</v>
      </c>
    </row>
    <row r="13" ht="20" customHeight="1" spans="1:16">
      <c r="A13" s="34">
        <v>8</v>
      </c>
      <c r="B13" s="35" t="s">
        <v>66</v>
      </c>
      <c r="C13" s="36">
        <f>IF($B13="","",SUMIFS(数据录入!$F$5:$F$4999,数据录入!$I$5:$I$4999,$B13,数据录入!$K$5:$K$4999,C$5))</f>
        <v>0</v>
      </c>
      <c r="D13" s="36">
        <f>IF($B13="","",SUMIFS(数据录入!$F$5:$F$4999,数据录入!$I$5:$I$4999,$B13,数据录入!$K$5:$K$4999,D$5))</f>
        <v>0</v>
      </c>
      <c r="E13" s="36">
        <f>IF($B13="","",SUMIFS(数据录入!$F$5:$F$4999,数据录入!$I$5:$I$4999,$B13,数据录入!$K$5:$K$4999,E$5))</f>
        <v>0</v>
      </c>
      <c r="F13" s="36">
        <f>IF($B13="","",SUMIFS(数据录入!$F$5:$F$4999,数据录入!$I$5:$I$4999,$B13,数据录入!$K$5:$K$4999,F$5))</f>
        <v>0</v>
      </c>
      <c r="G13" s="36">
        <f>IF($B13="","",SUMIFS(数据录入!$F$5:$F$4999,数据录入!$I$5:$I$4999,$B13,数据录入!$K$5:$K$4999,G$5))</f>
        <v>0</v>
      </c>
      <c r="H13" s="36">
        <f>IF($B13="","",SUMIFS(数据录入!$F$5:$F$4999,数据录入!$I$5:$I$4999,$B13,数据录入!$K$5:$K$4999,H$5))</f>
        <v>0</v>
      </c>
      <c r="I13" s="36">
        <f>IF($B13="","",SUMIFS(数据录入!$F$5:$F$4999,数据录入!$I$5:$I$4999,$B13,数据录入!$K$5:$K$4999,I$5))</f>
        <v>0</v>
      </c>
      <c r="J13" s="36">
        <f>IF($B13="","",SUMIFS(数据录入!$F$5:$F$4999,数据录入!$I$5:$I$4999,$B13,数据录入!$K$5:$K$4999,J$5))</f>
        <v>0</v>
      </c>
      <c r="K13" s="36">
        <f>IF($B13="","",SUMIFS(数据录入!$F$5:$F$4999,数据录入!$I$5:$I$4999,$B13,数据录入!$K$5:$K$4999,K$5))</f>
        <v>0</v>
      </c>
      <c r="L13" s="36">
        <f>IF($B13="","",SUMIFS(数据录入!$F$5:$F$4999,数据录入!$I$5:$I$4999,$B13,数据录入!$K$5:$K$4999,L$5))</f>
        <v>0</v>
      </c>
      <c r="M13" s="36">
        <f>IF($B13="","",SUMIFS(数据录入!$F$5:$F$4999,数据录入!$I$5:$I$4999,$B13,数据录入!$K$5:$K$4999,M$5))</f>
        <v>0</v>
      </c>
      <c r="N13" s="36">
        <f>IF($B13="","",SUMIFS(数据录入!$F$5:$F$4999,数据录入!$I$5:$I$4999,$B13,数据录入!$K$5:$K$4999,N$5))</f>
        <v>0</v>
      </c>
      <c r="O13" s="36">
        <f t="shared" si="4"/>
        <v>0</v>
      </c>
      <c r="P13" s="37">
        <f t="shared" si="5"/>
        <v>0</v>
      </c>
    </row>
    <row r="14" ht="20" customHeight="1" spans="1:16">
      <c r="A14" s="34">
        <v>9</v>
      </c>
      <c r="B14" s="35" t="s">
        <v>69</v>
      </c>
      <c r="C14" s="36">
        <f>IF($B14="","",SUMIFS(数据录入!$F$5:$F$4999,数据录入!$I$5:$I$4999,$B14,数据录入!$K$5:$K$4999,C$5))</f>
        <v>0</v>
      </c>
      <c r="D14" s="36">
        <f>IF($B14="","",SUMIFS(数据录入!$F$5:$F$4999,数据录入!$I$5:$I$4999,$B14,数据录入!$K$5:$K$4999,D$5))</f>
        <v>0</v>
      </c>
      <c r="E14" s="36">
        <f>IF($B14="","",SUMIFS(数据录入!$F$5:$F$4999,数据录入!$I$5:$I$4999,$B14,数据录入!$K$5:$K$4999,E$5))</f>
        <v>0</v>
      </c>
      <c r="F14" s="36">
        <f>IF($B14="","",SUMIFS(数据录入!$F$5:$F$4999,数据录入!$I$5:$I$4999,$B14,数据录入!$K$5:$K$4999,F$5))</f>
        <v>0</v>
      </c>
      <c r="G14" s="36">
        <f>IF($B14="","",SUMIFS(数据录入!$F$5:$F$4999,数据录入!$I$5:$I$4999,$B14,数据录入!$K$5:$K$4999,G$5))</f>
        <v>0</v>
      </c>
      <c r="H14" s="36">
        <f>IF($B14="","",SUMIFS(数据录入!$F$5:$F$4999,数据录入!$I$5:$I$4999,$B14,数据录入!$K$5:$K$4999,H$5))</f>
        <v>0</v>
      </c>
      <c r="I14" s="36">
        <f>IF($B14="","",SUMIFS(数据录入!$F$5:$F$4999,数据录入!$I$5:$I$4999,$B14,数据录入!$K$5:$K$4999,I$5))</f>
        <v>0</v>
      </c>
      <c r="J14" s="36">
        <f>IF($B14="","",SUMIFS(数据录入!$F$5:$F$4999,数据录入!$I$5:$I$4999,$B14,数据录入!$K$5:$K$4999,J$5))</f>
        <v>0</v>
      </c>
      <c r="K14" s="36">
        <f>IF($B14="","",SUMIFS(数据录入!$F$5:$F$4999,数据录入!$I$5:$I$4999,$B14,数据录入!$K$5:$K$4999,K$5))</f>
        <v>0</v>
      </c>
      <c r="L14" s="36">
        <f>IF($B14="","",SUMIFS(数据录入!$F$5:$F$4999,数据录入!$I$5:$I$4999,$B14,数据录入!$K$5:$K$4999,L$5))</f>
        <v>0</v>
      </c>
      <c r="M14" s="36">
        <f>IF($B14="","",SUMIFS(数据录入!$F$5:$F$4999,数据录入!$I$5:$I$4999,$B14,数据录入!$K$5:$K$4999,M$5))</f>
        <v>0</v>
      </c>
      <c r="N14" s="36">
        <f>IF($B14="","",SUMIFS(数据录入!$F$5:$F$4999,数据录入!$I$5:$I$4999,$B14,数据录入!$K$5:$K$4999,N$5))</f>
        <v>0</v>
      </c>
      <c r="O14" s="36">
        <f t="shared" si="4"/>
        <v>0</v>
      </c>
      <c r="P14" s="37">
        <f t="shared" si="5"/>
        <v>0</v>
      </c>
    </row>
    <row r="15" ht="20" customHeight="1" spans="1:16">
      <c r="A15" s="34">
        <v>10</v>
      </c>
      <c r="B15" s="35" t="s">
        <v>72</v>
      </c>
      <c r="C15" s="36">
        <f>IF($B15="","",SUMIFS(数据录入!$F$5:$F$4999,数据录入!$I$5:$I$4999,$B15,数据录入!$K$5:$K$4999,C$5))</f>
        <v>0</v>
      </c>
      <c r="D15" s="36">
        <f>IF($B15="","",SUMIFS(数据录入!$F$5:$F$4999,数据录入!$I$5:$I$4999,$B15,数据录入!$K$5:$K$4999,D$5))</f>
        <v>0</v>
      </c>
      <c r="E15" s="36">
        <f>IF($B15="","",SUMIFS(数据录入!$F$5:$F$4999,数据录入!$I$5:$I$4999,$B15,数据录入!$K$5:$K$4999,E$5))</f>
        <v>0</v>
      </c>
      <c r="F15" s="36">
        <f>IF($B15="","",SUMIFS(数据录入!$F$5:$F$4999,数据录入!$I$5:$I$4999,$B15,数据录入!$K$5:$K$4999,F$5))</f>
        <v>0</v>
      </c>
      <c r="G15" s="36">
        <f>IF($B15="","",SUMIFS(数据录入!$F$5:$F$4999,数据录入!$I$5:$I$4999,$B15,数据录入!$K$5:$K$4999,G$5))</f>
        <v>0</v>
      </c>
      <c r="H15" s="36">
        <f>IF($B15="","",SUMIFS(数据录入!$F$5:$F$4999,数据录入!$I$5:$I$4999,$B15,数据录入!$K$5:$K$4999,H$5))</f>
        <v>0</v>
      </c>
      <c r="I15" s="36">
        <f>IF($B15="","",SUMIFS(数据录入!$F$5:$F$4999,数据录入!$I$5:$I$4999,$B15,数据录入!$K$5:$K$4999,I$5))</f>
        <v>0</v>
      </c>
      <c r="J15" s="36">
        <f>IF($B15="","",SUMIFS(数据录入!$F$5:$F$4999,数据录入!$I$5:$I$4999,$B15,数据录入!$K$5:$K$4999,J$5))</f>
        <v>0</v>
      </c>
      <c r="K15" s="36">
        <f>IF($B15="","",SUMIFS(数据录入!$F$5:$F$4999,数据录入!$I$5:$I$4999,$B15,数据录入!$K$5:$K$4999,K$5))</f>
        <v>0</v>
      </c>
      <c r="L15" s="36">
        <f>IF($B15="","",SUMIFS(数据录入!$F$5:$F$4999,数据录入!$I$5:$I$4999,$B15,数据录入!$K$5:$K$4999,L$5))</f>
        <v>0</v>
      </c>
      <c r="M15" s="36">
        <f>IF($B15="","",SUMIFS(数据录入!$F$5:$F$4999,数据录入!$I$5:$I$4999,$B15,数据录入!$K$5:$K$4999,M$5))</f>
        <v>0</v>
      </c>
      <c r="N15" s="36">
        <f>IF($B15="","",SUMIFS(数据录入!$F$5:$F$4999,数据录入!$I$5:$I$4999,$B15,数据录入!$K$5:$K$4999,N$5))</f>
        <v>0</v>
      </c>
      <c r="O15" s="36">
        <f t="shared" si="4"/>
        <v>0</v>
      </c>
      <c r="P15" s="37">
        <f t="shared" si="5"/>
        <v>0</v>
      </c>
    </row>
    <row r="16" ht="20" customHeight="1" spans="1:16">
      <c r="A16" s="34">
        <v>11</v>
      </c>
      <c r="B16" s="35" t="s">
        <v>75</v>
      </c>
      <c r="C16" s="36">
        <f>IF($B16="","",SUMIFS(数据录入!$F$5:$F$4999,数据录入!$I$5:$I$4999,$B16,数据录入!$K$5:$K$4999,C$5))</f>
        <v>0</v>
      </c>
      <c r="D16" s="36">
        <f>IF($B16="","",SUMIFS(数据录入!$F$5:$F$4999,数据录入!$I$5:$I$4999,$B16,数据录入!$K$5:$K$4999,D$5))</f>
        <v>0</v>
      </c>
      <c r="E16" s="36">
        <f>IF($B16="","",SUMIFS(数据录入!$F$5:$F$4999,数据录入!$I$5:$I$4999,$B16,数据录入!$K$5:$K$4999,E$5))</f>
        <v>0</v>
      </c>
      <c r="F16" s="36">
        <f>IF($B16="","",SUMIFS(数据录入!$F$5:$F$4999,数据录入!$I$5:$I$4999,$B16,数据录入!$K$5:$K$4999,F$5))</f>
        <v>0</v>
      </c>
      <c r="G16" s="36">
        <f>IF($B16="","",SUMIFS(数据录入!$F$5:$F$4999,数据录入!$I$5:$I$4999,$B16,数据录入!$K$5:$K$4999,G$5))</f>
        <v>0</v>
      </c>
      <c r="H16" s="36">
        <f>IF($B16="","",SUMIFS(数据录入!$F$5:$F$4999,数据录入!$I$5:$I$4999,$B16,数据录入!$K$5:$K$4999,H$5))</f>
        <v>0</v>
      </c>
      <c r="I16" s="36">
        <f>IF($B16="","",SUMIFS(数据录入!$F$5:$F$4999,数据录入!$I$5:$I$4999,$B16,数据录入!$K$5:$K$4999,I$5))</f>
        <v>0</v>
      </c>
      <c r="J16" s="36">
        <f>IF($B16="","",SUMIFS(数据录入!$F$5:$F$4999,数据录入!$I$5:$I$4999,$B16,数据录入!$K$5:$K$4999,J$5))</f>
        <v>0</v>
      </c>
      <c r="K16" s="36">
        <f>IF($B16="","",SUMIFS(数据录入!$F$5:$F$4999,数据录入!$I$5:$I$4999,$B16,数据录入!$K$5:$K$4999,K$5))</f>
        <v>0</v>
      </c>
      <c r="L16" s="36">
        <f>IF($B16="","",SUMIFS(数据录入!$F$5:$F$4999,数据录入!$I$5:$I$4999,$B16,数据录入!$K$5:$K$4999,L$5))</f>
        <v>0</v>
      </c>
      <c r="M16" s="36">
        <f>IF($B16="","",SUMIFS(数据录入!$F$5:$F$4999,数据录入!$I$5:$I$4999,$B16,数据录入!$K$5:$K$4999,M$5))</f>
        <v>0</v>
      </c>
      <c r="N16" s="36">
        <f>IF($B16="","",SUMIFS(数据录入!$F$5:$F$4999,数据录入!$I$5:$I$4999,$B16,数据录入!$K$5:$K$4999,N$5))</f>
        <v>0</v>
      </c>
      <c r="O16" s="36">
        <f t="shared" si="4"/>
        <v>0</v>
      </c>
      <c r="P16" s="37">
        <f t="shared" si="5"/>
        <v>0</v>
      </c>
    </row>
    <row r="17" ht="20" customHeight="1" spans="1:16">
      <c r="A17" s="34">
        <v>12</v>
      </c>
      <c r="B17" s="35" t="s">
        <v>78</v>
      </c>
      <c r="C17" s="36">
        <f>IF($B17="","",SUMIFS(数据录入!$F$5:$F$4999,数据录入!$I$5:$I$4999,$B17,数据录入!$K$5:$K$4999,C$5))</f>
        <v>0</v>
      </c>
      <c r="D17" s="36">
        <f>IF($B17="","",SUMIFS(数据录入!$F$5:$F$4999,数据录入!$I$5:$I$4999,$B17,数据录入!$K$5:$K$4999,D$5))</f>
        <v>0</v>
      </c>
      <c r="E17" s="36">
        <f>IF($B17="","",SUMIFS(数据录入!$F$5:$F$4999,数据录入!$I$5:$I$4999,$B17,数据录入!$K$5:$K$4999,E$5))</f>
        <v>0</v>
      </c>
      <c r="F17" s="36">
        <f>IF($B17="","",SUMIFS(数据录入!$F$5:$F$4999,数据录入!$I$5:$I$4999,$B17,数据录入!$K$5:$K$4999,F$5))</f>
        <v>0</v>
      </c>
      <c r="G17" s="36">
        <f>IF($B17="","",SUMIFS(数据录入!$F$5:$F$4999,数据录入!$I$5:$I$4999,$B17,数据录入!$K$5:$K$4999,G$5))</f>
        <v>0</v>
      </c>
      <c r="H17" s="36">
        <f>IF($B17="","",SUMIFS(数据录入!$F$5:$F$4999,数据录入!$I$5:$I$4999,$B17,数据录入!$K$5:$K$4999,H$5))</f>
        <v>0</v>
      </c>
      <c r="I17" s="36">
        <f>IF($B17="","",SUMIFS(数据录入!$F$5:$F$4999,数据录入!$I$5:$I$4999,$B17,数据录入!$K$5:$K$4999,I$5))</f>
        <v>0</v>
      </c>
      <c r="J17" s="36">
        <f>IF($B17="","",SUMIFS(数据录入!$F$5:$F$4999,数据录入!$I$5:$I$4999,$B17,数据录入!$K$5:$K$4999,J$5))</f>
        <v>0</v>
      </c>
      <c r="K17" s="36">
        <f>IF($B17="","",SUMIFS(数据录入!$F$5:$F$4999,数据录入!$I$5:$I$4999,$B17,数据录入!$K$5:$K$4999,K$5))</f>
        <v>0</v>
      </c>
      <c r="L17" s="36">
        <f>IF($B17="","",SUMIFS(数据录入!$F$5:$F$4999,数据录入!$I$5:$I$4999,$B17,数据录入!$K$5:$K$4999,L$5))</f>
        <v>0</v>
      </c>
      <c r="M17" s="36">
        <f>IF($B17="","",SUMIFS(数据录入!$F$5:$F$4999,数据录入!$I$5:$I$4999,$B17,数据录入!$K$5:$K$4999,M$5))</f>
        <v>0</v>
      </c>
      <c r="N17" s="36">
        <f>IF($B17="","",SUMIFS(数据录入!$F$5:$F$4999,数据录入!$I$5:$I$4999,$B17,数据录入!$K$5:$K$4999,N$5))</f>
        <v>0</v>
      </c>
      <c r="O17" s="36">
        <f t="shared" si="4"/>
        <v>0</v>
      </c>
      <c r="P17" s="37">
        <f t="shared" si="5"/>
        <v>0</v>
      </c>
    </row>
    <row r="18" ht="20" customHeight="1" spans="1:16">
      <c r="A18" s="34">
        <v>13</v>
      </c>
      <c r="B18" s="35" t="s">
        <v>81</v>
      </c>
      <c r="C18" s="36">
        <f>IF($B18="","",SUMIFS(数据录入!$F$5:$F$4999,数据录入!$I$5:$I$4999,$B18,数据录入!$K$5:$K$4999,C$5))</f>
        <v>0</v>
      </c>
      <c r="D18" s="36">
        <f>IF($B18="","",SUMIFS(数据录入!$F$5:$F$4999,数据录入!$I$5:$I$4999,$B18,数据录入!$K$5:$K$4999,D$5))</f>
        <v>0</v>
      </c>
      <c r="E18" s="36">
        <f>IF($B18="","",SUMIFS(数据录入!$F$5:$F$4999,数据录入!$I$5:$I$4999,$B18,数据录入!$K$5:$K$4999,E$5))</f>
        <v>0</v>
      </c>
      <c r="F18" s="36">
        <f>IF($B18="","",SUMIFS(数据录入!$F$5:$F$4999,数据录入!$I$5:$I$4999,$B18,数据录入!$K$5:$K$4999,F$5))</f>
        <v>0</v>
      </c>
      <c r="G18" s="36">
        <f>IF($B18="","",SUMIFS(数据录入!$F$5:$F$4999,数据录入!$I$5:$I$4999,$B18,数据录入!$K$5:$K$4999,G$5))</f>
        <v>0</v>
      </c>
      <c r="H18" s="36">
        <f>IF($B18="","",SUMIFS(数据录入!$F$5:$F$4999,数据录入!$I$5:$I$4999,$B18,数据录入!$K$5:$K$4999,H$5))</f>
        <v>0</v>
      </c>
      <c r="I18" s="36">
        <f>IF($B18="","",SUMIFS(数据录入!$F$5:$F$4999,数据录入!$I$5:$I$4999,$B18,数据录入!$K$5:$K$4999,I$5))</f>
        <v>0</v>
      </c>
      <c r="J18" s="36">
        <f>IF($B18="","",SUMIFS(数据录入!$F$5:$F$4999,数据录入!$I$5:$I$4999,$B18,数据录入!$K$5:$K$4999,J$5))</f>
        <v>0</v>
      </c>
      <c r="K18" s="36">
        <f>IF($B18="","",SUMIFS(数据录入!$F$5:$F$4999,数据录入!$I$5:$I$4999,$B18,数据录入!$K$5:$K$4999,K$5))</f>
        <v>0</v>
      </c>
      <c r="L18" s="36">
        <f>IF($B18="","",SUMIFS(数据录入!$F$5:$F$4999,数据录入!$I$5:$I$4999,$B18,数据录入!$K$5:$K$4999,L$5))</f>
        <v>0</v>
      </c>
      <c r="M18" s="36">
        <f>IF($B18="","",SUMIFS(数据录入!$F$5:$F$4999,数据录入!$I$5:$I$4999,$B18,数据录入!$K$5:$K$4999,M$5))</f>
        <v>0</v>
      </c>
      <c r="N18" s="36">
        <f>IF($B18="","",SUMIFS(数据录入!$F$5:$F$4999,数据录入!$I$5:$I$4999,$B18,数据录入!$K$5:$K$4999,N$5))</f>
        <v>0</v>
      </c>
      <c r="O18" s="36">
        <f t="shared" si="4"/>
        <v>0</v>
      </c>
      <c r="P18" s="37">
        <f t="shared" si="5"/>
        <v>0</v>
      </c>
    </row>
    <row r="19" ht="16.5" spans="1:16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ht="16.5" spans="1:16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ht="20" customHeight="1" spans="1:16">
      <c r="A21" s="34"/>
      <c r="B21" s="34" t="s">
        <v>90</v>
      </c>
      <c r="C21" s="36">
        <f t="shared" ref="C21:H21" si="6">SUM(C23:C57)</f>
        <v>0</v>
      </c>
      <c r="D21" s="36">
        <f t="shared" si="6"/>
        <v>0</v>
      </c>
      <c r="E21" s="36">
        <f t="shared" si="6"/>
        <v>0</v>
      </c>
      <c r="F21" s="36">
        <f t="shared" si="6"/>
        <v>338.67</v>
      </c>
      <c r="G21" s="36">
        <f t="shared" si="6"/>
        <v>257206.59</v>
      </c>
      <c r="H21" s="36">
        <f t="shared" si="6"/>
        <v>970592.74</v>
      </c>
      <c r="I21" s="36">
        <f t="shared" ref="I21:N21" si="7">SUM(I23:I57)</f>
        <v>168831.9</v>
      </c>
      <c r="J21" s="36">
        <f t="shared" si="7"/>
        <v>244988.29</v>
      </c>
      <c r="K21" s="36">
        <f t="shared" si="7"/>
        <v>228231.55</v>
      </c>
      <c r="L21" s="36">
        <f t="shared" si="7"/>
        <v>0</v>
      </c>
      <c r="M21" s="36">
        <f t="shared" si="7"/>
        <v>0</v>
      </c>
      <c r="N21" s="36">
        <f t="shared" si="7"/>
        <v>0</v>
      </c>
      <c r="O21" s="36">
        <f>SUM(C21:N21)</f>
        <v>1870189.74</v>
      </c>
      <c r="P21" s="37">
        <f>IF($O$21=0,"",1)</f>
        <v>1</v>
      </c>
    </row>
    <row r="22" ht="24" customHeight="1" spans="1:16">
      <c r="A22" s="33" t="s">
        <v>255</v>
      </c>
      <c r="B22" s="33" t="s">
        <v>290</v>
      </c>
      <c r="C22" s="33">
        <v>202601</v>
      </c>
      <c r="D22" s="33">
        <v>202602</v>
      </c>
      <c r="E22" s="33">
        <v>202603</v>
      </c>
      <c r="F22" s="33">
        <v>202604</v>
      </c>
      <c r="G22" s="33">
        <v>202605</v>
      </c>
      <c r="H22" s="33">
        <v>202606</v>
      </c>
      <c r="I22" s="33">
        <v>202607</v>
      </c>
      <c r="J22" s="33">
        <v>202608</v>
      </c>
      <c r="K22" s="33">
        <v>202609</v>
      </c>
      <c r="L22" s="33">
        <v>202610</v>
      </c>
      <c r="M22" s="33">
        <v>202611</v>
      </c>
      <c r="N22" s="33">
        <v>202612</v>
      </c>
      <c r="O22" s="33" t="s">
        <v>256</v>
      </c>
      <c r="P22" s="33" t="s">
        <v>257</v>
      </c>
    </row>
    <row r="23" ht="20" customHeight="1" spans="1:16">
      <c r="A23" s="34">
        <v>1</v>
      </c>
      <c r="B23" s="38" t="s">
        <v>41</v>
      </c>
      <c r="C23" s="36">
        <f>IF($B23="","",SUMIFS(数据录入!$G$5:$G$4999,数据录入!$D$5:$D$4999,$B23,数据录入!$K$5:$K$4999,C$22))</f>
        <v>0</v>
      </c>
      <c r="D23" s="36">
        <f>IF($B23="","",SUMIFS(数据录入!$G$5:$G$4999,数据录入!$D$5:$D$4999,$B23,数据录入!$K$5:$K$4999,D$22))</f>
        <v>0</v>
      </c>
      <c r="E23" s="36">
        <f>IF($B23="","",SUMIFS(数据录入!$G$5:$G$4999,数据录入!$D$5:$D$4999,$B23,数据录入!$K$5:$K$4999,E$22))</f>
        <v>0</v>
      </c>
      <c r="F23" s="36">
        <f>IF($B23="","",SUMIFS(数据录入!$G$5:$G$4999,数据录入!$D$5:$D$4999,$B23,数据录入!$K$5:$K$4999,F$22))</f>
        <v>0</v>
      </c>
      <c r="G23" s="36">
        <f>IF($B23="","",SUMIFS(数据录入!$G$5:$G$4999,数据录入!$D$5:$D$4999,$B23,数据录入!$K$5:$K$4999,G$22))</f>
        <v>0</v>
      </c>
      <c r="H23" s="36">
        <f>IF($B23="","",SUMIFS(数据录入!$G$5:$G$4999,数据录入!$D$5:$D$4999,$B23,数据录入!$K$5:$K$4999,H$22))</f>
        <v>103315</v>
      </c>
      <c r="I23" s="36">
        <f>IF($B23="","",SUMIFS(数据录入!$G$5:$G$4999,数据录入!$D$5:$D$4999,$B23,数据录入!$K$5:$K$4999,I$22))</f>
        <v>58596.85</v>
      </c>
      <c r="J23" s="36">
        <f>IF($B23="","",SUMIFS(数据录入!$G$5:$G$4999,数据录入!$D$5:$D$4999,$B23,数据录入!$K$5:$K$4999,J$22))</f>
        <v>138505</v>
      </c>
      <c r="K23" s="36">
        <f>IF($B23="","",SUMIFS(数据录入!$G$5:$G$4999,数据录入!$D$5:$D$4999,$B23,数据录入!$K$5:$K$4999,K$22))</f>
        <v>92960</v>
      </c>
      <c r="L23" s="36">
        <f>IF($B23="","",SUMIFS(数据录入!$G$5:$G$4999,数据录入!$D$5:$D$4999,$B23,数据录入!$K$5:$K$4999,L$22))</f>
        <v>0</v>
      </c>
      <c r="M23" s="36">
        <f>IF($B23="","",SUMIFS(数据录入!$G$5:$G$4999,数据录入!$D$5:$D$4999,$B23,数据录入!$K$5:$K$4999,M$22))</f>
        <v>0</v>
      </c>
      <c r="N23" s="36">
        <f>IF($B23="","",SUMIFS(数据录入!$G$5:$G$4999,数据录入!$D$5:$D$4999,$B23,数据录入!$K$5:$K$4999,N$22))</f>
        <v>0</v>
      </c>
      <c r="O23" s="36">
        <f t="shared" ref="O23:O57" si="8">SUM(C23:N23)</f>
        <v>393376.85</v>
      </c>
      <c r="P23" s="37">
        <f>IF($O$21=0,"",O23/$O$21)</f>
        <v>0.210340609611087</v>
      </c>
    </row>
    <row r="24" ht="20" customHeight="1" spans="1:16">
      <c r="A24" s="34">
        <v>2</v>
      </c>
      <c r="B24" s="34"/>
      <c r="C24" s="36" t="str">
        <f>IF($B24="","",SUMIFS(数据录入!$G$5:$G$4999,数据录入!$D$5:$D$4999,$B24,数据录入!$K$5:$K$4999,C$22))</f>
        <v/>
      </c>
      <c r="D24" s="36" t="str">
        <f>IF($B24="","",SUMIFS(数据录入!$G$5:$G$4999,数据录入!$D$5:$D$4999,$B24,数据录入!$K$5:$K$4999,D$22))</f>
        <v/>
      </c>
      <c r="E24" s="36" t="str">
        <f>IF($B24="","",SUMIFS(数据录入!$G$5:$G$4999,数据录入!$D$5:$D$4999,$B24,数据录入!$K$5:$K$4999,E$22))</f>
        <v/>
      </c>
      <c r="F24" s="36" t="str">
        <f>IF($B24="","",SUMIFS(数据录入!$G$5:$G$4999,数据录入!$D$5:$D$4999,$B24,数据录入!$K$5:$K$4999,F$22))</f>
        <v/>
      </c>
      <c r="G24" s="36" t="str">
        <f>IF($B24="","",SUMIFS(数据录入!$G$5:$G$4999,数据录入!$D$5:$D$4999,$B24,数据录入!$K$5:$K$4999,G$22))</f>
        <v/>
      </c>
      <c r="H24" s="36" t="str">
        <f>IF($B24="","",SUMIFS(数据录入!$G$5:$G$4999,数据录入!$D$5:$D$4999,$B24,数据录入!$K$5:$K$4999,H$22))</f>
        <v/>
      </c>
      <c r="I24" s="36" t="str">
        <f>IF($B24="","",SUMIFS(数据录入!$G$5:$G$4999,数据录入!$D$5:$D$4999,$B24,数据录入!$K$5:$K$4999,I$22))</f>
        <v/>
      </c>
      <c r="J24" s="36" t="str">
        <f>IF($B24="","",SUMIFS(数据录入!$G$5:$G$4999,数据录入!$D$5:$D$4999,$B24,数据录入!$K$5:$K$4999,J$22))</f>
        <v/>
      </c>
      <c r="K24" s="36" t="str">
        <f>IF($B24="","",SUMIFS(数据录入!$G$5:$G$4999,数据录入!$D$5:$D$4999,$B24,数据录入!$K$5:$K$4999,K$22))</f>
        <v/>
      </c>
      <c r="L24" s="36" t="str">
        <f>IF($B24="","",SUMIFS(数据录入!$G$5:$G$4999,数据录入!$D$5:$D$4999,$B24,数据录入!$K$5:$K$4999,L$22))</f>
        <v/>
      </c>
      <c r="M24" s="36" t="str">
        <f>IF($B24="","",SUMIFS(数据录入!$G$5:$G$4999,数据录入!$D$5:$D$4999,$B24,数据录入!$K$5:$K$4999,M$22))</f>
        <v/>
      </c>
      <c r="N24" s="36" t="str">
        <f>IF($B24="","",SUMIFS(数据录入!$G$5:$G$4999,数据录入!$D$5:$D$4999,$B24,数据录入!$K$5:$K$4999,N$22))</f>
        <v/>
      </c>
      <c r="O24" s="36">
        <f t="shared" si="8"/>
        <v>0</v>
      </c>
      <c r="P24" s="37">
        <f t="shared" ref="P24:P57" si="9">IF($O$21=0,"",O24/$O$21)</f>
        <v>0</v>
      </c>
    </row>
    <row r="25" ht="20" customHeight="1" spans="1:16">
      <c r="A25" s="34">
        <v>3</v>
      </c>
      <c r="B25" s="34" t="s">
        <v>50</v>
      </c>
      <c r="C25" s="36">
        <f>IF($B25="","",SUMIFS(数据录入!$G$5:$G$4999,数据录入!$D$5:$D$4999,$B25,数据录入!$K$5:$K$4999,C$22))</f>
        <v>0</v>
      </c>
      <c r="D25" s="36">
        <f>IF($B25="","",SUMIFS(数据录入!$G$5:$G$4999,数据录入!$D$5:$D$4999,$B25,数据录入!$K$5:$K$4999,D$22))</f>
        <v>0</v>
      </c>
      <c r="E25" s="36">
        <f>IF($B25="","",SUMIFS(数据录入!$G$5:$G$4999,数据录入!$D$5:$D$4999,$B25,数据录入!$K$5:$K$4999,E$22))</f>
        <v>0</v>
      </c>
      <c r="F25" s="36">
        <f>IF($B25="","",SUMIFS(数据录入!$G$5:$G$4999,数据录入!$D$5:$D$4999,$B25,数据录入!$K$5:$K$4999,F$22))</f>
        <v>0.05</v>
      </c>
      <c r="G25" s="36">
        <f>IF($B25="","",SUMIFS(数据录入!$G$5:$G$4999,数据录入!$D$5:$D$4999,$B25,数据录入!$K$5:$K$4999,G$22))</f>
        <v>0</v>
      </c>
      <c r="H25" s="36">
        <f>IF($B25="","",SUMIFS(数据录入!$G$5:$G$4999,数据录入!$D$5:$D$4999,$B25,数据录入!$K$5:$K$4999,H$22))</f>
        <v>0</v>
      </c>
      <c r="I25" s="36">
        <f>IF($B25="","",SUMIFS(数据录入!$G$5:$G$4999,数据录入!$D$5:$D$4999,$B25,数据录入!$K$5:$K$4999,I$22))</f>
        <v>0</v>
      </c>
      <c r="J25" s="36">
        <f>IF($B25="","",SUMIFS(数据录入!$G$5:$G$4999,数据录入!$D$5:$D$4999,$B25,数据录入!$K$5:$K$4999,J$22))</f>
        <v>0</v>
      </c>
      <c r="K25" s="36">
        <f>IF($B25="","",SUMIFS(数据录入!$G$5:$G$4999,数据录入!$D$5:$D$4999,$B25,数据录入!$K$5:$K$4999,K$22))</f>
        <v>0</v>
      </c>
      <c r="L25" s="36">
        <f>IF($B25="","",SUMIFS(数据录入!$G$5:$G$4999,数据录入!$D$5:$D$4999,$B25,数据录入!$K$5:$K$4999,L$22))</f>
        <v>0</v>
      </c>
      <c r="M25" s="36">
        <f>IF($B25="","",SUMIFS(数据录入!$G$5:$G$4999,数据录入!$D$5:$D$4999,$B25,数据录入!$K$5:$K$4999,M$22))</f>
        <v>0</v>
      </c>
      <c r="N25" s="36">
        <f>IF($B25="","",SUMIFS(数据录入!$G$5:$G$4999,数据录入!$D$5:$D$4999,$B25,数据录入!$K$5:$K$4999,N$22))</f>
        <v>0</v>
      </c>
      <c r="O25" s="36">
        <f t="shared" si="8"/>
        <v>0.05</v>
      </c>
      <c r="P25" s="37">
        <f t="shared" si="9"/>
        <v>2.67352552153345e-8</v>
      </c>
    </row>
    <row r="26" ht="20" customHeight="1" spans="1:16">
      <c r="A26" s="34">
        <v>4</v>
      </c>
      <c r="B26" s="34" t="s">
        <v>53</v>
      </c>
      <c r="C26" s="36">
        <f>IF($B26="","",SUMIFS(数据录入!$G$5:$G$4999,数据录入!$D$5:$D$4999,$B26,数据录入!$K$5:$K$4999,C$22))</f>
        <v>0</v>
      </c>
      <c r="D26" s="36">
        <f>IF($B26="","",SUMIFS(数据录入!$G$5:$G$4999,数据录入!$D$5:$D$4999,$B26,数据录入!$K$5:$K$4999,D$22))</f>
        <v>0</v>
      </c>
      <c r="E26" s="36">
        <f>IF($B26="","",SUMIFS(数据录入!$G$5:$G$4999,数据录入!$D$5:$D$4999,$B26,数据录入!$K$5:$K$4999,E$22))</f>
        <v>0</v>
      </c>
      <c r="F26" s="36">
        <f>IF($B26="","",SUMIFS(数据录入!$G$5:$G$4999,数据录入!$D$5:$D$4999,$B26,数据录入!$K$5:$K$4999,F$22))</f>
        <v>0</v>
      </c>
      <c r="G26" s="36">
        <f>IF($B26="","",SUMIFS(数据录入!$G$5:$G$4999,数据录入!$D$5:$D$4999,$B26,数据录入!$K$5:$K$4999,G$22))</f>
        <v>0</v>
      </c>
      <c r="H26" s="36">
        <f>IF($B26="","",SUMIFS(数据录入!$G$5:$G$4999,数据录入!$D$5:$D$4999,$B26,数据录入!$K$5:$K$4999,H$22))</f>
        <v>0</v>
      </c>
      <c r="I26" s="36">
        <f>IF($B26="","",SUMIFS(数据录入!$G$5:$G$4999,数据录入!$D$5:$D$4999,$B26,数据录入!$K$5:$K$4999,I$22))</f>
        <v>0</v>
      </c>
      <c r="J26" s="36">
        <f>IF($B26="","",SUMIFS(数据录入!$G$5:$G$4999,数据录入!$D$5:$D$4999,$B26,数据录入!$K$5:$K$4999,J$22))</f>
        <v>0</v>
      </c>
      <c r="K26" s="36">
        <f>IF($B26="","",SUMIFS(数据录入!$G$5:$G$4999,数据录入!$D$5:$D$4999,$B26,数据录入!$K$5:$K$4999,K$22))</f>
        <v>0</v>
      </c>
      <c r="L26" s="36">
        <f>IF($B26="","",SUMIFS(数据录入!$G$5:$G$4999,数据录入!$D$5:$D$4999,$B26,数据录入!$K$5:$K$4999,L$22))</f>
        <v>0</v>
      </c>
      <c r="M26" s="36">
        <f>IF($B26="","",SUMIFS(数据录入!$G$5:$G$4999,数据录入!$D$5:$D$4999,$B26,数据录入!$K$5:$K$4999,M$22))</f>
        <v>0</v>
      </c>
      <c r="N26" s="36">
        <f>IF($B26="","",SUMIFS(数据录入!$G$5:$G$4999,数据录入!$D$5:$D$4999,$B26,数据录入!$K$5:$K$4999,N$22))</f>
        <v>0</v>
      </c>
      <c r="O26" s="36">
        <f t="shared" si="8"/>
        <v>0</v>
      </c>
      <c r="P26" s="37">
        <f t="shared" si="9"/>
        <v>0</v>
      </c>
    </row>
    <row r="27" ht="20" customHeight="1" spans="1:16">
      <c r="A27" s="34">
        <v>5</v>
      </c>
      <c r="B27" s="34" t="s">
        <v>56</v>
      </c>
      <c r="C27" s="36">
        <f>IF($B27="","",SUMIFS(数据录入!$G$5:$G$4999,数据录入!$D$5:$D$4999,$B27,数据录入!$K$5:$K$4999,C$22))</f>
        <v>0</v>
      </c>
      <c r="D27" s="36">
        <f>IF($B27="","",SUMIFS(数据录入!$G$5:$G$4999,数据录入!$D$5:$D$4999,$B27,数据录入!$K$5:$K$4999,D$22))</f>
        <v>0</v>
      </c>
      <c r="E27" s="36">
        <f>IF($B27="","",SUMIFS(数据录入!$G$5:$G$4999,数据录入!$D$5:$D$4999,$B27,数据录入!$K$5:$K$4999,E$22))</f>
        <v>0</v>
      </c>
      <c r="F27" s="36">
        <f>IF($B27="","",SUMIFS(数据录入!$G$5:$G$4999,数据录入!$D$5:$D$4999,$B27,数据录入!$K$5:$K$4999,F$22))</f>
        <v>0</v>
      </c>
      <c r="G27" s="36">
        <f>IF($B27="","",SUMIFS(数据录入!$G$5:$G$4999,数据录入!$D$5:$D$4999,$B27,数据录入!$K$5:$K$4999,G$22))</f>
        <v>0</v>
      </c>
      <c r="H27" s="36">
        <f>IF($B27="","",SUMIFS(数据录入!$G$5:$G$4999,数据录入!$D$5:$D$4999,$B27,数据录入!$K$5:$K$4999,H$22))</f>
        <v>0</v>
      </c>
      <c r="I27" s="36">
        <f>IF($B27="","",SUMIFS(数据录入!$G$5:$G$4999,数据录入!$D$5:$D$4999,$B27,数据录入!$K$5:$K$4999,I$22))</f>
        <v>0</v>
      </c>
      <c r="J27" s="36">
        <f>IF($B27="","",SUMIFS(数据录入!$G$5:$G$4999,数据录入!$D$5:$D$4999,$B27,数据录入!$K$5:$K$4999,J$22))</f>
        <v>0</v>
      </c>
      <c r="K27" s="36">
        <f>IF($B27="","",SUMIFS(数据录入!$G$5:$G$4999,数据录入!$D$5:$D$4999,$B27,数据录入!$K$5:$K$4999,K$22))</f>
        <v>0</v>
      </c>
      <c r="L27" s="36">
        <f>IF($B27="","",SUMIFS(数据录入!$G$5:$G$4999,数据录入!$D$5:$D$4999,$B27,数据录入!$K$5:$K$4999,L$22))</f>
        <v>0</v>
      </c>
      <c r="M27" s="36">
        <f>IF($B27="","",SUMIFS(数据录入!$G$5:$G$4999,数据录入!$D$5:$D$4999,$B27,数据录入!$K$5:$K$4999,M$22))</f>
        <v>0</v>
      </c>
      <c r="N27" s="36">
        <f>IF($B27="","",SUMIFS(数据录入!$G$5:$G$4999,数据录入!$D$5:$D$4999,$B27,数据录入!$K$5:$K$4999,N$22))</f>
        <v>0</v>
      </c>
      <c r="O27" s="36">
        <f t="shared" si="8"/>
        <v>0</v>
      </c>
      <c r="P27" s="37">
        <f t="shared" si="9"/>
        <v>0</v>
      </c>
    </row>
    <row r="28" ht="20" customHeight="1" spans="1:16">
      <c r="A28" s="34">
        <v>6</v>
      </c>
      <c r="B28" s="34" t="s">
        <v>59</v>
      </c>
      <c r="C28" s="36">
        <f>IF($B28="","",SUMIFS(数据录入!$G$5:$G$4999,数据录入!$D$5:$D$4999,$B28,数据录入!$K$5:$K$4999,C$22))</f>
        <v>0</v>
      </c>
      <c r="D28" s="36">
        <f>IF($B28="","",SUMIFS(数据录入!$G$5:$G$4999,数据录入!$D$5:$D$4999,$B28,数据录入!$K$5:$K$4999,D$22))</f>
        <v>0</v>
      </c>
      <c r="E28" s="36">
        <f>IF($B28="","",SUMIFS(数据录入!$G$5:$G$4999,数据录入!$D$5:$D$4999,$B28,数据录入!$K$5:$K$4999,E$22))</f>
        <v>0</v>
      </c>
      <c r="F28" s="36">
        <f>IF($B28="","",SUMIFS(数据录入!$G$5:$G$4999,数据录入!$D$5:$D$4999,$B28,数据录入!$K$5:$K$4999,F$22))</f>
        <v>0</v>
      </c>
      <c r="G28" s="36">
        <f>IF($B28="","",SUMIFS(数据录入!$G$5:$G$4999,数据录入!$D$5:$D$4999,$B28,数据录入!$K$5:$K$4999,G$22))</f>
        <v>0</v>
      </c>
      <c r="H28" s="36">
        <f>IF($B28="","",SUMIFS(数据录入!$G$5:$G$4999,数据录入!$D$5:$D$4999,$B28,数据录入!$K$5:$K$4999,H$22))</f>
        <v>0</v>
      </c>
      <c r="I28" s="36">
        <f>IF($B28="","",SUMIFS(数据录入!$G$5:$G$4999,数据录入!$D$5:$D$4999,$B28,数据录入!$K$5:$K$4999,I$22))</f>
        <v>0</v>
      </c>
      <c r="J28" s="36">
        <f>IF($B28="","",SUMIFS(数据录入!$G$5:$G$4999,数据录入!$D$5:$D$4999,$B28,数据录入!$K$5:$K$4999,J$22))</f>
        <v>0</v>
      </c>
      <c r="K28" s="36">
        <f>IF($B28="","",SUMIFS(数据录入!$G$5:$G$4999,数据录入!$D$5:$D$4999,$B28,数据录入!$K$5:$K$4999,K$22))</f>
        <v>0</v>
      </c>
      <c r="L28" s="36">
        <f>IF($B28="","",SUMIFS(数据录入!$G$5:$G$4999,数据录入!$D$5:$D$4999,$B28,数据录入!$K$5:$K$4999,L$22))</f>
        <v>0</v>
      </c>
      <c r="M28" s="36">
        <f>IF($B28="","",SUMIFS(数据录入!$G$5:$G$4999,数据录入!$D$5:$D$4999,$B28,数据录入!$K$5:$K$4999,M$22))</f>
        <v>0</v>
      </c>
      <c r="N28" s="36">
        <f>IF($B28="","",SUMIFS(数据录入!$G$5:$G$4999,数据录入!$D$5:$D$4999,$B28,数据录入!$K$5:$K$4999,N$22))</f>
        <v>0</v>
      </c>
      <c r="O28" s="36">
        <f t="shared" si="8"/>
        <v>0</v>
      </c>
      <c r="P28" s="37">
        <f t="shared" si="9"/>
        <v>0</v>
      </c>
    </row>
    <row r="29" ht="20" customHeight="1" spans="1:16">
      <c r="A29" s="34">
        <v>7</v>
      </c>
      <c r="B29" s="34" t="s">
        <v>62</v>
      </c>
      <c r="C29" s="36">
        <f>IF($B29="","",SUMIFS(数据录入!$G$5:$G$4999,数据录入!$D$5:$D$4999,$B29,数据录入!$K$5:$K$4999,C$22))</f>
        <v>0</v>
      </c>
      <c r="D29" s="36">
        <f>IF($B29="","",SUMIFS(数据录入!$G$5:$G$4999,数据录入!$D$5:$D$4999,$B29,数据录入!$K$5:$K$4999,D$22))</f>
        <v>0</v>
      </c>
      <c r="E29" s="36">
        <f>IF($B29="","",SUMIFS(数据录入!$G$5:$G$4999,数据录入!$D$5:$D$4999,$B29,数据录入!$K$5:$K$4999,E$22))</f>
        <v>0</v>
      </c>
      <c r="F29" s="36">
        <f>IF($B29="","",SUMIFS(数据录入!$G$5:$G$4999,数据录入!$D$5:$D$4999,$B29,数据录入!$K$5:$K$4999,F$22))</f>
        <v>0</v>
      </c>
      <c r="G29" s="36">
        <f>IF($B29="","",SUMIFS(数据录入!$G$5:$G$4999,数据录入!$D$5:$D$4999,$B29,数据录入!$K$5:$K$4999,G$22))</f>
        <v>4500</v>
      </c>
      <c r="H29" s="36">
        <f>IF($B29="","",SUMIFS(数据录入!$G$5:$G$4999,数据录入!$D$5:$D$4999,$B29,数据录入!$K$5:$K$4999,H$22))</f>
        <v>24000</v>
      </c>
      <c r="I29" s="36">
        <f>IF($B29="","",SUMIFS(数据录入!$G$5:$G$4999,数据录入!$D$5:$D$4999,$B29,数据录入!$K$5:$K$4999,I$22))</f>
        <v>82697</v>
      </c>
      <c r="J29" s="36">
        <f>IF($B29="","",SUMIFS(数据录入!$G$5:$G$4999,数据录入!$D$5:$D$4999,$B29,数据录入!$K$5:$K$4999,J$22))</f>
        <v>75184</v>
      </c>
      <c r="K29" s="36">
        <f>IF($B29="","",SUMIFS(数据录入!$G$5:$G$4999,数据录入!$D$5:$D$4999,$B29,数据录入!$K$5:$K$4999,K$22))</f>
        <v>111571</v>
      </c>
      <c r="L29" s="36">
        <f>IF($B29="","",SUMIFS(数据录入!$G$5:$G$4999,数据录入!$D$5:$D$4999,$B29,数据录入!$K$5:$K$4999,L$22))</f>
        <v>0</v>
      </c>
      <c r="M29" s="36">
        <f>IF($B29="","",SUMIFS(数据录入!$G$5:$G$4999,数据录入!$D$5:$D$4999,$B29,数据录入!$K$5:$K$4999,M$22))</f>
        <v>0</v>
      </c>
      <c r="N29" s="36">
        <f>IF($B29="","",SUMIFS(数据录入!$G$5:$G$4999,数据录入!$D$5:$D$4999,$B29,数据录入!$K$5:$K$4999,N$22))</f>
        <v>0</v>
      </c>
      <c r="O29" s="36">
        <f t="shared" si="8"/>
        <v>297952</v>
      </c>
      <c r="P29" s="37">
        <f t="shared" si="9"/>
        <v>0.159316455238387</v>
      </c>
    </row>
    <row r="30" ht="20" customHeight="1" spans="1:16">
      <c r="A30" s="34">
        <v>8</v>
      </c>
      <c r="B30" s="34" t="s">
        <v>65</v>
      </c>
      <c r="C30" s="36">
        <f>IF($B30="","",SUMIFS(数据录入!$G$5:$G$4999,数据录入!$D$5:$D$4999,$B30,数据录入!$K$5:$K$4999,C$22))</f>
        <v>0</v>
      </c>
      <c r="D30" s="36">
        <f>IF($B30="","",SUMIFS(数据录入!$G$5:$G$4999,数据录入!$D$5:$D$4999,$B30,数据录入!$K$5:$K$4999,D$22))</f>
        <v>0</v>
      </c>
      <c r="E30" s="36">
        <f>IF($B30="","",SUMIFS(数据录入!$G$5:$G$4999,数据录入!$D$5:$D$4999,$B30,数据录入!$K$5:$K$4999,E$22))</f>
        <v>0</v>
      </c>
      <c r="F30" s="36">
        <f>IF($B30="","",SUMIFS(数据录入!$G$5:$G$4999,数据录入!$D$5:$D$4999,$B30,数据录入!$K$5:$K$4999,F$22))</f>
        <v>0</v>
      </c>
      <c r="G30" s="36">
        <f>IF($B30="","",SUMIFS(数据录入!$G$5:$G$4999,数据录入!$D$5:$D$4999,$B30,数据录入!$K$5:$K$4999,G$22))</f>
        <v>0</v>
      </c>
      <c r="H30" s="36">
        <f>IF($B30="","",SUMIFS(数据录入!$G$5:$G$4999,数据录入!$D$5:$D$4999,$B30,数据录入!$K$5:$K$4999,H$22))</f>
        <v>0</v>
      </c>
      <c r="I30" s="36">
        <f>IF($B30="","",SUMIFS(数据录入!$G$5:$G$4999,数据录入!$D$5:$D$4999,$B30,数据录入!$K$5:$K$4999,I$22))</f>
        <v>0</v>
      </c>
      <c r="J30" s="36">
        <f>IF($B30="","",SUMIFS(数据录入!$G$5:$G$4999,数据录入!$D$5:$D$4999,$B30,数据录入!$K$5:$K$4999,J$22))</f>
        <v>0</v>
      </c>
      <c r="K30" s="36">
        <f>IF($B30="","",SUMIFS(数据录入!$G$5:$G$4999,数据录入!$D$5:$D$4999,$B30,数据录入!$K$5:$K$4999,K$22))</f>
        <v>0</v>
      </c>
      <c r="L30" s="36">
        <f>IF($B30="","",SUMIFS(数据录入!$G$5:$G$4999,数据录入!$D$5:$D$4999,$B30,数据录入!$K$5:$K$4999,L$22))</f>
        <v>0</v>
      </c>
      <c r="M30" s="36">
        <f>IF($B30="","",SUMIFS(数据录入!$G$5:$G$4999,数据录入!$D$5:$D$4999,$B30,数据录入!$K$5:$K$4999,M$22))</f>
        <v>0</v>
      </c>
      <c r="N30" s="36">
        <f>IF($B30="","",SUMIFS(数据录入!$G$5:$G$4999,数据录入!$D$5:$D$4999,$B30,数据录入!$K$5:$K$4999,N$22))</f>
        <v>0</v>
      </c>
      <c r="O30" s="36">
        <f t="shared" si="8"/>
        <v>0</v>
      </c>
      <c r="P30" s="37">
        <f t="shared" si="9"/>
        <v>0</v>
      </c>
    </row>
    <row r="31" ht="20" customHeight="1" spans="1:16">
      <c r="A31" s="34">
        <v>9</v>
      </c>
      <c r="B31" s="34" t="s">
        <v>68</v>
      </c>
      <c r="C31" s="36">
        <f>IF($B31="","",SUMIFS(数据录入!$G$5:$G$4999,数据录入!$D$5:$D$4999,$B31,数据录入!$K$5:$K$4999,C$22))</f>
        <v>0</v>
      </c>
      <c r="D31" s="36">
        <f>IF($B31="","",SUMIFS(数据录入!$G$5:$G$4999,数据录入!$D$5:$D$4999,$B31,数据录入!$K$5:$K$4999,D$22))</f>
        <v>0</v>
      </c>
      <c r="E31" s="36">
        <f>IF($B31="","",SUMIFS(数据录入!$G$5:$G$4999,数据录入!$D$5:$D$4999,$B31,数据录入!$K$5:$K$4999,E$22))</f>
        <v>0</v>
      </c>
      <c r="F31" s="36">
        <f>IF($B31="","",SUMIFS(数据录入!$G$5:$G$4999,数据录入!$D$5:$D$4999,$B31,数据录入!$K$5:$K$4999,F$22))</f>
        <v>0</v>
      </c>
      <c r="G31" s="36">
        <f>IF($B31="","",SUMIFS(数据录入!$G$5:$G$4999,数据录入!$D$5:$D$4999,$B31,数据录入!$K$5:$K$4999,G$22))</f>
        <v>0</v>
      </c>
      <c r="H31" s="36">
        <f>IF($B31="","",SUMIFS(数据录入!$G$5:$G$4999,数据录入!$D$5:$D$4999,$B31,数据录入!$K$5:$K$4999,H$22))</f>
        <v>0</v>
      </c>
      <c r="I31" s="36">
        <f>IF($B31="","",SUMIFS(数据录入!$G$5:$G$4999,数据录入!$D$5:$D$4999,$B31,数据录入!$K$5:$K$4999,I$22))</f>
        <v>0</v>
      </c>
      <c r="J31" s="36">
        <f>IF($B31="","",SUMIFS(数据录入!$G$5:$G$4999,数据录入!$D$5:$D$4999,$B31,数据录入!$K$5:$K$4999,J$22))</f>
        <v>0</v>
      </c>
      <c r="K31" s="36">
        <f>IF($B31="","",SUMIFS(数据录入!$G$5:$G$4999,数据录入!$D$5:$D$4999,$B31,数据录入!$K$5:$K$4999,K$22))</f>
        <v>0</v>
      </c>
      <c r="L31" s="36">
        <f>IF($B31="","",SUMIFS(数据录入!$G$5:$G$4999,数据录入!$D$5:$D$4999,$B31,数据录入!$K$5:$K$4999,L$22))</f>
        <v>0</v>
      </c>
      <c r="M31" s="36">
        <f>IF($B31="","",SUMIFS(数据录入!$G$5:$G$4999,数据录入!$D$5:$D$4999,$B31,数据录入!$K$5:$K$4999,M$22))</f>
        <v>0</v>
      </c>
      <c r="N31" s="36">
        <f>IF($B31="","",SUMIFS(数据录入!$G$5:$G$4999,数据录入!$D$5:$D$4999,$B31,数据录入!$K$5:$K$4999,N$22))</f>
        <v>0</v>
      </c>
      <c r="O31" s="36">
        <f t="shared" si="8"/>
        <v>0</v>
      </c>
      <c r="P31" s="37">
        <f t="shared" si="9"/>
        <v>0</v>
      </c>
    </row>
    <row r="32" ht="20" customHeight="1" spans="1:16">
      <c r="A32" s="34">
        <v>10</v>
      </c>
      <c r="B32" s="34" t="s">
        <v>71</v>
      </c>
      <c r="C32" s="36">
        <f>IF($B32="","",SUMIFS(数据录入!$G$5:$G$4999,数据录入!$D$5:$D$4999,$B32,数据录入!$K$5:$K$4999,C$22))</f>
        <v>0</v>
      </c>
      <c r="D32" s="36">
        <f>IF($B32="","",SUMIFS(数据录入!$G$5:$G$4999,数据录入!$D$5:$D$4999,$B32,数据录入!$K$5:$K$4999,D$22))</f>
        <v>0</v>
      </c>
      <c r="E32" s="36">
        <f>IF($B32="","",SUMIFS(数据录入!$G$5:$G$4999,数据录入!$D$5:$D$4999,$B32,数据录入!$K$5:$K$4999,E$22))</f>
        <v>0</v>
      </c>
      <c r="F32" s="36">
        <f>IF($B32="","",SUMIFS(数据录入!$G$5:$G$4999,数据录入!$D$5:$D$4999,$B32,数据录入!$K$5:$K$4999,F$22))</f>
        <v>0</v>
      </c>
      <c r="G32" s="36">
        <f>IF($B32="","",SUMIFS(数据录入!$G$5:$G$4999,数据录入!$D$5:$D$4999,$B32,数据录入!$K$5:$K$4999,G$22))</f>
        <v>0</v>
      </c>
      <c r="H32" s="36">
        <f>IF($B32="","",SUMIFS(数据录入!$G$5:$G$4999,数据录入!$D$5:$D$4999,$B32,数据录入!$K$5:$K$4999,H$22))</f>
        <v>0</v>
      </c>
      <c r="I32" s="36">
        <f>IF($B32="","",SUMIFS(数据录入!$G$5:$G$4999,数据录入!$D$5:$D$4999,$B32,数据录入!$K$5:$K$4999,I$22))</f>
        <v>0</v>
      </c>
      <c r="J32" s="36">
        <f>IF($B32="","",SUMIFS(数据录入!$G$5:$G$4999,数据录入!$D$5:$D$4999,$B32,数据录入!$K$5:$K$4999,J$22))</f>
        <v>0</v>
      </c>
      <c r="K32" s="36">
        <f>IF($B32="","",SUMIFS(数据录入!$G$5:$G$4999,数据录入!$D$5:$D$4999,$B32,数据录入!$K$5:$K$4999,K$22))</f>
        <v>0</v>
      </c>
      <c r="L32" s="36">
        <f>IF($B32="","",SUMIFS(数据录入!$G$5:$G$4999,数据录入!$D$5:$D$4999,$B32,数据录入!$K$5:$K$4999,L$22))</f>
        <v>0</v>
      </c>
      <c r="M32" s="36">
        <f>IF($B32="","",SUMIFS(数据录入!$G$5:$G$4999,数据录入!$D$5:$D$4999,$B32,数据录入!$K$5:$K$4999,M$22))</f>
        <v>0</v>
      </c>
      <c r="N32" s="36">
        <f>IF($B32="","",SUMIFS(数据录入!$G$5:$G$4999,数据录入!$D$5:$D$4999,$B32,数据录入!$K$5:$K$4999,N$22))</f>
        <v>0</v>
      </c>
      <c r="O32" s="36">
        <f t="shared" si="8"/>
        <v>0</v>
      </c>
      <c r="P32" s="37">
        <f t="shared" si="9"/>
        <v>0</v>
      </c>
    </row>
    <row r="33" ht="20" customHeight="1" spans="1:16">
      <c r="A33" s="34">
        <v>11</v>
      </c>
      <c r="B33" s="34" t="s">
        <v>74</v>
      </c>
      <c r="C33" s="36">
        <f>IF($B33="","",SUMIFS(数据录入!$G$5:$G$4999,数据录入!$D$5:$D$4999,$B33,数据录入!$K$5:$K$4999,C$22))</f>
        <v>0</v>
      </c>
      <c r="D33" s="36">
        <f>IF($B33="","",SUMIFS(数据录入!$G$5:$G$4999,数据录入!$D$5:$D$4999,$B33,数据录入!$K$5:$K$4999,D$22))</f>
        <v>0</v>
      </c>
      <c r="E33" s="36">
        <f>IF($B33="","",SUMIFS(数据录入!$G$5:$G$4999,数据录入!$D$5:$D$4999,$B33,数据录入!$K$5:$K$4999,E$22))</f>
        <v>0</v>
      </c>
      <c r="F33" s="36">
        <f>IF($B33="","",SUMIFS(数据录入!$G$5:$G$4999,数据录入!$D$5:$D$4999,$B33,数据录入!$K$5:$K$4999,F$22))</f>
        <v>0</v>
      </c>
      <c r="G33" s="36">
        <f>IF($B33="","",SUMIFS(数据录入!$G$5:$G$4999,数据录入!$D$5:$D$4999,$B33,数据录入!$K$5:$K$4999,G$22))</f>
        <v>2276</v>
      </c>
      <c r="H33" s="36">
        <f>IF($B33="","",SUMIFS(数据录入!$G$5:$G$4999,数据录入!$D$5:$D$4999,$B33,数据录入!$K$5:$K$4999,H$22))</f>
        <v>0</v>
      </c>
      <c r="I33" s="36">
        <f>IF($B33="","",SUMIFS(数据录入!$G$5:$G$4999,数据录入!$D$5:$D$4999,$B33,数据录入!$K$5:$K$4999,I$22))</f>
        <v>0</v>
      </c>
      <c r="J33" s="36">
        <f>IF($B33="","",SUMIFS(数据录入!$G$5:$G$4999,数据录入!$D$5:$D$4999,$B33,数据录入!$K$5:$K$4999,J$22))</f>
        <v>0</v>
      </c>
      <c r="K33" s="36">
        <f>IF($B33="","",SUMIFS(数据录入!$G$5:$G$4999,数据录入!$D$5:$D$4999,$B33,数据录入!$K$5:$K$4999,K$22))</f>
        <v>0</v>
      </c>
      <c r="L33" s="36">
        <f>IF($B33="","",SUMIFS(数据录入!$G$5:$G$4999,数据录入!$D$5:$D$4999,$B33,数据录入!$K$5:$K$4999,L$22))</f>
        <v>0</v>
      </c>
      <c r="M33" s="36">
        <f>IF($B33="","",SUMIFS(数据录入!$G$5:$G$4999,数据录入!$D$5:$D$4999,$B33,数据录入!$K$5:$K$4999,M$22))</f>
        <v>0</v>
      </c>
      <c r="N33" s="36">
        <f>IF($B33="","",SUMIFS(数据录入!$G$5:$G$4999,数据录入!$D$5:$D$4999,$B33,数据录入!$K$5:$K$4999,N$22))</f>
        <v>0</v>
      </c>
      <c r="O33" s="36">
        <f t="shared" si="8"/>
        <v>2276</v>
      </c>
      <c r="P33" s="37">
        <f t="shared" si="9"/>
        <v>0.00121698881740202</v>
      </c>
    </row>
    <row r="34" ht="20" customHeight="1" spans="1:16">
      <c r="A34" s="34">
        <v>12</v>
      </c>
      <c r="B34" s="34" t="s">
        <v>77</v>
      </c>
      <c r="C34" s="36">
        <f>IF($B34="","",SUMIFS(数据录入!$G$5:$G$4999,数据录入!$D$5:$D$4999,$B34,数据录入!$K$5:$K$4999,C$22))</f>
        <v>0</v>
      </c>
      <c r="D34" s="36">
        <f>IF($B34="","",SUMIFS(数据录入!$G$5:$G$4999,数据录入!$D$5:$D$4999,$B34,数据录入!$K$5:$K$4999,D$22))</f>
        <v>0</v>
      </c>
      <c r="E34" s="36">
        <f>IF($B34="","",SUMIFS(数据录入!$G$5:$G$4999,数据录入!$D$5:$D$4999,$B34,数据录入!$K$5:$K$4999,E$22))</f>
        <v>0</v>
      </c>
      <c r="F34" s="36">
        <f>IF($B34="","",SUMIFS(数据录入!$G$5:$G$4999,数据录入!$D$5:$D$4999,$B34,数据录入!$K$5:$K$4999,F$22))</f>
        <v>338.62</v>
      </c>
      <c r="G34" s="36">
        <f>IF($B34="","",SUMIFS(数据录入!$G$5:$G$4999,数据录入!$D$5:$D$4999,$B34,数据录入!$K$5:$K$4999,G$22))</f>
        <v>30.6</v>
      </c>
      <c r="H34" s="36">
        <f>IF($B34="","",SUMIFS(数据录入!$G$5:$G$4999,数据录入!$D$5:$D$4999,$B34,数据录入!$K$5:$K$4999,H$22))</f>
        <v>35</v>
      </c>
      <c r="I34" s="36">
        <f>IF($B34="","",SUMIFS(数据录入!$G$5:$G$4999,数据录入!$D$5:$D$4999,$B34,数据录入!$K$5:$K$4999,I$22))</f>
        <v>72</v>
      </c>
      <c r="J34" s="36">
        <f>IF($B34="","",SUMIFS(数据录入!$G$5:$G$4999,数据录入!$D$5:$D$4999,$B34,数据录入!$K$5:$K$4999,J$22))</f>
        <v>101.98</v>
      </c>
      <c r="K34" s="36">
        <f>IF($B34="","",SUMIFS(数据录入!$G$5:$G$4999,数据录入!$D$5:$D$4999,$B34,数据录入!$K$5:$K$4999,K$22))</f>
        <v>130.5</v>
      </c>
      <c r="L34" s="36">
        <f>IF($B34="","",SUMIFS(数据录入!$G$5:$G$4999,数据录入!$D$5:$D$4999,$B34,数据录入!$K$5:$K$4999,L$22))</f>
        <v>0</v>
      </c>
      <c r="M34" s="36">
        <f>IF($B34="","",SUMIFS(数据录入!$G$5:$G$4999,数据录入!$D$5:$D$4999,$B34,数据录入!$K$5:$K$4999,M$22))</f>
        <v>0</v>
      </c>
      <c r="N34" s="36">
        <f>IF($B34="","",SUMIFS(数据录入!$G$5:$G$4999,数据录入!$D$5:$D$4999,$B34,数据录入!$K$5:$K$4999,N$22))</f>
        <v>0</v>
      </c>
      <c r="O34" s="36">
        <f t="shared" si="8"/>
        <v>708.7</v>
      </c>
      <c r="P34" s="37">
        <f t="shared" si="9"/>
        <v>0.000378945507422151</v>
      </c>
    </row>
    <row r="35" ht="20" customHeight="1" spans="1:16">
      <c r="A35" s="34">
        <v>13</v>
      </c>
      <c r="B35" s="34" t="s">
        <v>80</v>
      </c>
      <c r="C35" s="36">
        <f>IF($B35="","",SUMIFS(数据录入!$G$5:$G$4999,数据录入!$D$5:$D$4999,$B35,数据录入!$K$5:$K$4999,C$22))</f>
        <v>0</v>
      </c>
      <c r="D35" s="36">
        <f>IF($B35="","",SUMIFS(数据录入!$G$5:$G$4999,数据录入!$D$5:$D$4999,$B35,数据录入!$K$5:$K$4999,D$22))</f>
        <v>0</v>
      </c>
      <c r="E35" s="36">
        <f>IF($B35="","",SUMIFS(数据录入!$G$5:$G$4999,数据录入!$D$5:$D$4999,$B35,数据录入!$K$5:$K$4999,E$22))</f>
        <v>0</v>
      </c>
      <c r="F35" s="36">
        <f>IF($B35="","",SUMIFS(数据录入!$G$5:$G$4999,数据录入!$D$5:$D$4999,$B35,数据录入!$K$5:$K$4999,F$22))</f>
        <v>0</v>
      </c>
      <c r="G35" s="36">
        <f>IF($B35="","",SUMIFS(数据录入!$G$5:$G$4999,数据录入!$D$5:$D$4999,$B35,数据录入!$K$5:$K$4999,G$22))</f>
        <v>5999.99</v>
      </c>
      <c r="H35" s="36">
        <f>IF($B35="","",SUMIFS(数据录入!$G$5:$G$4999,数据录入!$D$5:$D$4999,$B35,数据录入!$K$5:$K$4999,H$22))</f>
        <v>6023.74</v>
      </c>
      <c r="I35" s="36">
        <f>IF($B35="","",SUMIFS(数据录入!$G$5:$G$4999,数据录入!$D$5:$D$4999,$B35,数据录入!$K$5:$K$4999,I$22))</f>
        <v>21295.05</v>
      </c>
      <c r="J35" s="36">
        <f>IF($B35="","",SUMIFS(数据录入!$G$5:$G$4999,数据录入!$D$5:$D$4999,$B35,数据录入!$K$5:$K$4999,J$22))</f>
        <v>20697.31</v>
      </c>
      <c r="K35" s="36">
        <f>IF($B35="","",SUMIFS(数据录入!$G$5:$G$4999,数据录入!$D$5:$D$4999,$B35,数据录入!$K$5:$K$4999,K$22))</f>
        <v>54.05</v>
      </c>
      <c r="L35" s="36">
        <f>IF($B35="","",SUMIFS(数据录入!$G$5:$G$4999,数据录入!$D$5:$D$4999,$B35,数据录入!$K$5:$K$4999,L$22))</f>
        <v>0</v>
      </c>
      <c r="M35" s="36">
        <f>IF($B35="","",SUMIFS(数据录入!$G$5:$G$4999,数据录入!$D$5:$D$4999,$B35,数据录入!$K$5:$K$4999,M$22))</f>
        <v>0</v>
      </c>
      <c r="N35" s="36">
        <f>IF($B35="","",SUMIFS(数据录入!$G$5:$G$4999,数据录入!$D$5:$D$4999,$B35,数据录入!$K$5:$K$4999,N$22))</f>
        <v>0</v>
      </c>
      <c r="O35" s="36">
        <f t="shared" si="8"/>
        <v>54070.14</v>
      </c>
      <c r="P35" s="37">
        <f t="shared" si="9"/>
        <v>0.0289115798485773</v>
      </c>
    </row>
    <row r="36" ht="20" customHeight="1" spans="1:16">
      <c r="A36" s="34">
        <v>14</v>
      </c>
      <c r="B36" s="34" t="s">
        <v>83</v>
      </c>
      <c r="C36" s="36">
        <f>IF($B36="","",SUMIFS(数据录入!$G$5:$G$4999,数据录入!$D$5:$D$4999,$B36,数据录入!$K$5:$K$4999,C$22))</f>
        <v>0</v>
      </c>
      <c r="D36" s="36">
        <f>IF($B36="","",SUMIFS(数据录入!$G$5:$G$4999,数据录入!$D$5:$D$4999,$B36,数据录入!$K$5:$K$4999,D$22))</f>
        <v>0</v>
      </c>
      <c r="E36" s="36">
        <f>IF($B36="","",SUMIFS(数据录入!$G$5:$G$4999,数据录入!$D$5:$D$4999,$B36,数据录入!$K$5:$K$4999,E$22))</f>
        <v>0</v>
      </c>
      <c r="F36" s="36">
        <f>IF($B36="","",SUMIFS(数据录入!$G$5:$G$4999,数据录入!$D$5:$D$4999,$B36,数据录入!$K$5:$K$4999,F$22))</f>
        <v>0</v>
      </c>
      <c r="G36" s="36">
        <f>IF($B36="","",SUMIFS(数据录入!$G$5:$G$4999,数据录入!$D$5:$D$4999,$B36,数据录入!$K$5:$K$4999,G$22))</f>
        <v>44400</v>
      </c>
      <c r="H36" s="36">
        <f>IF($B36="","",SUMIFS(数据录入!$G$5:$G$4999,数据录入!$D$5:$D$4999,$B36,数据录入!$K$5:$K$4999,H$22))</f>
        <v>0</v>
      </c>
      <c r="I36" s="36">
        <f>IF($B36="","",SUMIFS(数据录入!$G$5:$G$4999,数据录入!$D$5:$D$4999,$B36,数据录入!$K$5:$K$4999,I$22))</f>
        <v>0</v>
      </c>
      <c r="J36" s="36">
        <f>IF($B36="","",SUMIFS(数据录入!$G$5:$G$4999,数据录入!$D$5:$D$4999,$B36,数据录入!$K$5:$K$4999,J$22))</f>
        <v>10500</v>
      </c>
      <c r="K36" s="36">
        <f>IF($B36="","",SUMIFS(数据录入!$G$5:$G$4999,数据录入!$D$5:$D$4999,$B36,数据录入!$K$5:$K$4999,K$22))</f>
        <v>0</v>
      </c>
      <c r="L36" s="36">
        <f>IF($B36="","",SUMIFS(数据录入!$G$5:$G$4999,数据录入!$D$5:$D$4999,$B36,数据录入!$K$5:$K$4999,L$22))</f>
        <v>0</v>
      </c>
      <c r="M36" s="36">
        <f>IF($B36="","",SUMIFS(数据录入!$G$5:$G$4999,数据录入!$D$5:$D$4999,$B36,数据录入!$K$5:$K$4999,M$22))</f>
        <v>0</v>
      </c>
      <c r="N36" s="36">
        <f>IF($B36="","",SUMIFS(数据录入!$G$5:$G$4999,数据录入!$D$5:$D$4999,$B36,数据录入!$K$5:$K$4999,N$22))</f>
        <v>0</v>
      </c>
      <c r="O36" s="36">
        <f t="shared" si="8"/>
        <v>54900</v>
      </c>
      <c r="P36" s="37">
        <f t="shared" si="9"/>
        <v>0.0293553102264372</v>
      </c>
    </row>
    <row r="37" ht="20" customHeight="1" spans="1:16">
      <c r="A37" s="34">
        <v>15</v>
      </c>
      <c r="B37" s="34" t="s">
        <v>84</v>
      </c>
      <c r="C37" s="36">
        <f>IF($B37="","",SUMIFS(数据录入!$G$5:$G$4999,数据录入!$D$5:$D$4999,$B37,数据录入!$K$5:$K$4999,C$22))</f>
        <v>0</v>
      </c>
      <c r="D37" s="36">
        <f>IF($B37="","",SUMIFS(数据录入!$G$5:$G$4999,数据录入!$D$5:$D$4999,$B37,数据录入!$K$5:$K$4999,D$22))</f>
        <v>0</v>
      </c>
      <c r="E37" s="36">
        <f>IF($B37="","",SUMIFS(数据录入!$G$5:$G$4999,数据录入!$D$5:$D$4999,$B37,数据录入!$K$5:$K$4999,E$22))</f>
        <v>0</v>
      </c>
      <c r="F37" s="36">
        <f>IF($B37="","",SUMIFS(数据录入!$G$5:$G$4999,数据录入!$D$5:$D$4999,$B37,数据录入!$K$5:$K$4999,F$22))</f>
        <v>0</v>
      </c>
      <c r="G37" s="36">
        <f>IF($B37="","",SUMIFS(数据录入!$G$5:$G$4999,数据录入!$D$5:$D$4999,$B37,数据录入!$K$5:$K$4999,G$22))</f>
        <v>200000</v>
      </c>
      <c r="H37" s="36">
        <f>IF($B37="","",SUMIFS(数据录入!$G$5:$G$4999,数据录入!$D$5:$D$4999,$B37,数据录入!$K$5:$K$4999,H$22))</f>
        <v>0</v>
      </c>
      <c r="I37" s="36">
        <f>IF($B37="","",SUMIFS(数据录入!$G$5:$G$4999,数据录入!$D$5:$D$4999,$B37,数据录入!$K$5:$K$4999,I$22))</f>
        <v>6171</v>
      </c>
      <c r="J37" s="36">
        <f>IF($B37="","",SUMIFS(数据录入!$G$5:$G$4999,数据录入!$D$5:$D$4999,$B37,数据录入!$K$5:$K$4999,J$22))</f>
        <v>0</v>
      </c>
      <c r="K37" s="36">
        <f>IF($B37="","",SUMIFS(数据录入!$G$5:$G$4999,数据录入!$D$5:$D$4999,$B37,数据录入!$K$5:$K$4999,K$22))</f>
        <v>0</v>
      </c>
      <c r="L37" s="36">
        <f>IF($B37="","",SUMIFS(数据录入!$G$5:$G$4999,数据录入!$D$5:$D$4999,$B37,数据录入!$K$5:$K$4999,L$22))</f>
        <v>0</v>
      </c>
      <c r="M37" s="36">
        <f>IF($B37="","",SUMIFS(数据录入!$G$5:$G$4999,数据录入!$D$5:$D$4999,$B37,数据录入!$K$5:$K$4999,M$22))</f>
        <v>0</v>
      </c>
      <c r="N37" s="36">
        <f>IF($B37="","",SUMIFS(数据录入!$G$5:$G$4999,数据录入!$D$5:$D$4999,$B37,数据录入!$K$5:$K$4999,N$22))</f>
        <v>0</v>
      </c>
      <c r="O37" s="36">
        <f t="shared" si="8"/>
        <v>206171</v>
      </c>
      <c r="P37" s="37">
        <f t="shared" si="9"/>
        <v>0.110240686060014</v>
      </c>
    </row>
    <row r="38" ht="20" customHeight="1" spans="1:16">
      <c r="A38" s="34">
        <v>16</v>
      </c>
      <c r="B38" s="34" t="s">
        <v>85</v>
      </c>
      <c r="C38" s="36">
        <f>IF($B38="","",SUMIFS(数据录入!$G$5:$G$4999,数据录入!$D$5:$D$4999,$B38,数据录入!$K$5:$K$4999,C$22))</f>
        <v>0</v>
      </c>
      <c r="D38" s="36">
        <f>IF($B38="","",SUMIFS(数据录入!$G$5:$G$4999,数据录入!$D$5:$D$4999,$B38,数据录入!$K$5:$K$4999,D$22))</f>
        <v>0</v>
      </c>
      <c r="E38" s="36">
        <f>IF($B38="","",SUMIFS(数据录入!$G$5:$G$4999,数据录入!$D$5:$D$4999,$B38,数据录入!$K$5:$K$4999,E$22))</f>
        <v>0</v>
      </c>
      <c r="F38" s="36">
        <f>IF($B38="","",SUMIFS(数据录入!$G$5:$G$4999,数据录入!$D$5:$D$4999,$B38,数据录入!$K$5:$K$4999,F$22))</f>
        <v>0</v>
      </c>
      <c r="G38" s="36">
        <f>IF($B38="","",SUMIFS(数据录入!$G$5:$G$4999,数据录入!$D$5:$D$4999,$B38,数据录入!$K$5:$K$4999,G$22))</f>
        <v>0</v>
      </c>
      <c r="H38" s="36">
        <f>IF($B38="","",SUMIFS(数据录入!$G$5:$G$4999,数据录入!$D$5:$D$4999,$B38,数据录入!$K$5:$K$4999,H$22))</f>
        <v>521000</v>
      </c>
      <c r="I38" s="36">
        <f>IF($B38="","",SUMIFS(数据录入!$G$5:$G$4999,数据录入!$D$5:$D$4999,$B38,数据录入!$K$5:$K$4999,I$22))</f>
        <v>0</v>
      </c>
      <c r="J38" s="36">
        <f>IF($B38="","",SUMIFS(数据录入!$G$5:$G$4999,数据录入!$D$5:$D$4999,$B38,数据录入!$K$5:$K$4999,J$22))</f>
        <v>0</v>
      </c>
      <c r="K38" s="36">
        <f>IF($B38="","",SUMIFS(数据录入!$G$5:$G$4999,数据录入!$D$5:$D$4999,$B38,数据录入!$K$5:$K$4999,K$22))</f>
        <v>5879</v>
      </c>
      <c r="L38" s="36">
        <f>IF($B38="","",SUMIFS(数据录入!$G$5:$G$4999,数据录入!$D$5:$D$4999,$B38,数据录入!$K$5:$K$4999,L$22))</f>
        <v>0</v>
      </c>
      <c r="M38" s="36">
        <f>IF($B38="","",SUMIFS(数据录入!$G$5:$G$4999,数据录入!$D$5:$D$4999,$B38,数据录入!$K$5:$K$4999,M$22))</f>
        <v>0</v>
      </c>
      <c r="N38" s="36">
        <f>IF($B38="","",SUMIFS(数据录入!$G$5:$G$4999,数据录入!$D$5:$D$4999,$B38,数据录入!$K$5:$K$4999,N$22))</f>
        <v>0</v>
      </c>
      <c r="O38" s="36">
        <f t="shared" si="8"/>
        <v>526879</v>
      </c>
      <c r="P38" s="37">
        <f t="shared" si="9"/>
        <v>0.281724890652004</v>
      </c>
    </row>
    <row r="39" ht="28" customHeight="1" spans="1:16">
      <c r="A39" s="34">
        <v>17</v>
      </c>
      <c r="B39" s="34" t="s">
        <v>86</v>
      </c>
      <c r="C39" s="36">
        <f>IF($B39="","",SUMIFS(数据录入!$G$5:$G$4999,数据录入!$D$5:$D$4999,$B39,数据录入!$K$5:$K$4999,C$22))</f>
        <v>0</v>
      </c>
      <c r="D39" s="36">
        <f>IF($B39="","",SUMIFS(数据录入!$G$5:$G$4999,数据录入!$D$5:$D$4999,$B39,数据录入!$K$5:$K$4999,D$22))</f>
        <v>0</v>
      </c>
      <c r="E39" s="36">
        <f>IF($B39="","",SUMIFS(数据录入!$G$5:$G$4999,数据录入!$D$5:$D$4999,$B39,数据录入!$K$5:$K$4999,E$22))</f>
        <v>0</v>
      </c>
      <c r="F39" s="36">
        <f>IF($B39="","",SUMIFS(数据录入!$G$5:$G$4999,数据录入!$D$5:$D$4999,$B39,数据录入!$K$5:$K$4999,F$22))</f>
        <v>0</v>
      </c>
      <c r="G39" s="36">
        <f>IF($B39="","",SUMIFS(数据录入!$G$5:$G$4999,数据录入!$D$5:$D$4999,$B39,数据录入!$K$5:$K$4999,G$22))</f>
        <v>0</v>
      </c>
      <c r="H39" s="36">
        <f>IF($B39="","",SUMIFS(数据录入!$G$5:$G$4999,数据录入!$D$5:$D$4999,$B39,数据录入!$K$5:$K$4999,H$22))</f>
        <v>0</v>
      </c>
      <c r="I39" s="36">
        <f>IF($B39="","",SUMIFS(数据录入!$G$5:$G$4999,数据录入!$D$5:$D$4999,$B39,数据录入!$K$5:$K$4999,I$22))</f>
        <v>0</v>
      </c>
      <c r="J39" s="36">
        <f>IF($B39="","",SUMIFS(数据录入!$G$5:$G$4999,数据录入!$D$5:$D$4999,$B39,数据录入!$K$5:$K$4999,J$22))</f>
        <v>0</v>
      </c>
      <c r="K39" s="36">
        <f>IF($B39="","",SUMIFS(数据录入!$G$5:$G$4999,数据录入!$D$5:$D$4999,$B39,数据录入!$K$5:$K$4999,K$22))</f>
        <v>0</v>
      </c>
      <c r="L39" s="36">
        <f>IF($B39="","",SUMIFS(数据录入!$G$5:$G$4999,数据录入!$D$5:$D$4999,$B39,数据录入!$K$5:$K$4999,L$22))</f>
        <v>0</v>
      </c>
      <c r="M39" s="36">
        <f>IF($B39="","",SUMIFS(数据录入!$G$5:$G$4999,数据录入!$D$5:$D$4999,$B39,数据录入!$K$5:$K$4999,M$22))</f>
        <v>0</v>
      </c>
      <c r="N39" s="36">
        <f>IF($B39="","",SUMIFS(数据录入!$G$5:$G$4999,数据录入!$D$5:$D$4999,$B39,数据录入!$K$5:$K$4999,N$22))</f>
        <v>0</v>
      </c>
      <c r="O39" s="36">
        <f t="shared" si="8"/>
        <v>0</v>
      </c>
      <c r="P39" s="37">
        <f t="shared" si="9"/>
        <v>0</v>
      </c>
    </row>
    <row r="40" ht="20" customHeight="1" spans="1:16">
      <c r="A40" s="34">
        <v>18</v>
      </c>
      <c r="B40" s="34" t="s">
        <v>87</v>
      </c>
      <c r="C40" s="36">
        <f>IF($B40="","",SUMIFS(数据录入!$G$5:$G$4999,数据录入!$D$5:$D$4999,$B40,数据录入!$K$5:$K$4999,C$22))</f>
        <v>0</v>
      </c>
      <c r="D40" s="36">
        <f>IF($B40="","",SUMIFS(数据录入!$G$5:$G$4999,数据录入!$D$5:$D$4999,$B40,数据录入!$K$5:$K$4999,D$22))</f>
        <v>0</v>
      </c>
      <c r="E40" s="36">
        <f>IF($B40="","",SUMIFS(数据录入!$G$5:$G$4999,数据录入!$D$5:$D$4999,$B40,数据录入!$K$5:$K$4999,E$22))</f>
        <v>0</v>
      </c>
      <c r="F40" s="36">
        <f>IF($B40="","",SUMIFS(数据录入!$G$5:$G$4999,数据录入!$D$5:$D$4999,$B40,数据录入!$K$5:$K$4999,F$22))</f>
        <v>0</v>
      </c>
      <c r="G40" s="36">
        <f>IF($B40="","",SUMIFS(数据录入!$G$5:$G$4999,数据录入!$D$5:$D$4999,$B40,数据录入!$K$5:$K$4999,G$22))</f>
        <v>0</v>
      </c>
      <c r="H40" s="36">
        <f>IF($B40="","",SUMIFS(数据录入!$G$5:$G$4999,数据录入!$D$5:$D$4999,$B40,数据录入!$K$5:$K$4999,H$22))</f>
        <v>316219</v>
      </c>
      <c r="I40" s="36">
        <f>IF($B40="","",SUMIFS(数据录入!$G$5:$G$4999,数据录入!$D$5:$D$4999,$B40,数据录入!$K$5:$K$4999,I$22))</f>
        <v>0</v>
      </c>
      <c r="J40" s="36">
        <f>IF($B40="","",SUMIFS(数据录入!$G$5:$G$4999,数据录入!$D$5:$D$4999,$B40,数据录入!$K$5:$K$4999,J$22))</f>
        <v>0</v>
      </c>
      <c r="K40" s="36">
        <f>IF($B40="","",SUMIFS(数据录入!$G$5:$G$4999,数据录入!$D$5:$D$4999,$B40,数据录入!$K$5:$K$4999,K$22))</f>
        <v>17637</v>
      </c>
      <c r="L40" s="36">
        <f>IF($B40="","",SUMIFS(数据录入!$G$5:$G$4999,数据录入!$D$5:$D$4999,$B40,数据录入!$K$5:$K$4999,L$22))</f>
        <v>0</v>
      </c>
      <c r="M40" s="36">
        <f>IF($B40="","",SUMIFS(数据录入!$G$5:$G$4999,数据录入!$D$5:$D$4999,$B40,数据录入!$K$5:$K$4999,M$22))</f>
        <v>0</v>
      </c>
      <c r="N40" s="36">
        <f>IF($B40="","",SUMIFS(数据录入!$G$5:$G$4999,数据录入!$D$5:$D$4999,$B40,数据录入!$K$5:$K$4999,N$22))</f>
        <v>0</v>
      </c>
      <c r="O40" s="36">
        <f t="shared" si="8"/>
        <v>333856</v>
      </c>
      <c r="P40" s="37">
        <f t="shared" si="9"/>
        <v>0.178514507303414</v>
      </c>
    </row>
    <row r="41" ht="20" customHeight="1" spans="1:16">
      <c r="A41" s="34">
        <v>19</v>
      </c>
      <c r="B41" s="34"/>
      <c r="C41" s="36" t="str">
        <f>IF($B41="","",SUMIFS(数据录入!$G$5:$G$4999,数据录入!$D$5:$D$4999,$B41,数据录入!$K$5:$K$4999,C$22))</f>
        <v/>
      </c>
      <c r="D41" s="36" t="str">
        <f>IF($B41="","",SUMIFS(数据录入!$G$5:$G$4999,数据录入!$D$5:$D$4999,$B41,数据录入!$K$5:$K$4999,D$22))</f>
        <v/>
      </c>
      <c r="E41" s="36" t="str">
        <f>IF($B41="","",SUMIFS(数据录入!$G$5:$G$4999,数据录入!$D$5:$D$4999,$B41,数据录入!$K$5:$K$4999,E$22))</f>
        <v/>
      </c>
      <c r="F41" s="36" t="str">
        <f>IF($B41="","",SUMIFS(数据录入!$G$5:$G$4999,数据录入!$D$5:$D$4999,$B41,数据录入!$K$5:$K$4999,F$22))</f>
        <v/>
      </c>
      <c r="G41" s="36" t="str">
        <f>IF($B41="","",SUMIFS(数据录入!$G$5:$G$4999,数据录入!$D$5:$D$4999,$B41,数据录入!$K$5:$K$4999,G$22))</f>
        <v/>
      </c>
      <c r="H41" s="36" t="str">
        <f>IF($B41="","",SUMIFS(数据录入!$G$5:$G$4999,数据录入!$D$5:$D$4999,$B41,数据录入!$K$5:$K$4999,H$22))</f>
        <v/>
      </c>
      <c r="I41" s="36" t="str">
        <f>IF($B41="","",SUMIFS(数据录入!$G$5:$G$4999,数据录入!$D$5:$D$4999,$B41,数据录入!$K$5:$K$4999,I$22))</f>
        <v/>
      </c>
      <c r="J41" s="36" t="str">
        <f>IF($B41="","",SUMIFS(数据录入!$G$5:$G$4999,数据录入!$D$5:$D$4999,$B41,数据录入!$K$5:$K$4999,J$22))</f>
        <v/>
      </c>
      <c r="K41" s="36" t="str">
        <f>IF($B41="","",SUMIFS(数据录入!$G$5:$G$4999,数据录入!$D$5:$D$4999,$B41,数据录入!$K$5:$K$4999,K$22))</f>
        <v/>
      </c>
      <c r="L41" s="36" t="str">
        <f>IF($B41="","",SUMIFS(数据录入!$G$5:$G$4999,数据录入!$D$5:$D$4999,$B41,数据录入!$K$5:$K$4999,L$22))</f>
        <v/>
      </c>
      <c r="M41" s="36" t="str">
        <f>IF($B41="","",SUMIFS(数据录入!$G$5:$G$4999,数据录入!$D$5:$D$4999,$B41,数据录入!$K$5:$K$4999,M$22))</f>
        <v/>
      </c>
      <c r="N41" s="36" t="str">
        <f>IF($B41="","",SUMIFS(数据录入!$G$5:$G$4999,数据录入!$D$5:$D$4999,$B41,数据录入!$K$5:$K$4999,N$22))</f>
        <v/>
      </c>
      <c r="O41" s="36">
        <f t="shared" si="8"/>
        <v>0</v>
      </c>
      <c r="P41" s="37">
        <f t="shared" si="9"/>
        <v>0</v>
      </c>
    </row>
    <row r="42" ht="20" customHeight="1" spans="1:16">
      <c r="A42" s="34">
        <v>20</v>
      </c>
      <c r="B42" s="34"/>
      <c r="C42" s="36" t="str">
        <f>IF($B42="","",SUMIFS(数据录入!$G$5:$G$4999,数据录入!$D$5:$D$4999,$B42,数据录入!$K$5:$K$4999,C$22))</f>
        <v/>
      </c>
      <c r="D42" s="36" t="str">
        <f>IF($B42="","",SUMIFS(数据录入!$G$5:$G$4999,数据录入!$D$5:$D$4999,$B42,数据录入!$K$5:$K$4999,D$22))</f>
        <v/>
      </c>
      <c r="E42" s="36" t="str">
        <f>IF($B42="","",SUMIFS(数据录入!$G$5:$G$4999,数据录入!$D$5:$D$4999,$B42,数据录入!$K$5:$K$4999,E$22))</f>
        <v/>
      </c>
      <c r="F42" s="36" t="str">
        <f>IF($B42="","",SUMIFS(数据录入!$G$5:$G$4999,数据录入!$D$5:$D$4999,$B42,数据录入!$K$5:$K$4999,F$22))</f>
        <v/>
      </c>
      <c r="G42" s="36" t="str">
        <f>IF($B42="","",SUMIFS(数据录入!$G$5:$G$4999,数据录入!$D$5:$D$4999,$B42,数据录入!$K$5:$K$4999,G$22))</f>
        <v/>
      </c>
      <c r="H42" s="36" t="str">
        <f>IF($B42="","",SUMIFS(数据录入!$G$5:$G$4999,数据录入!$D$5:$D$4999,$B42,数据录入!$K$5:$K$4999,H$22))</f>
        <v/>
      </c>
      <c r="I42" s="36" t="str">
        <f>IF($B42="","",SUMIFS(数据录入!$G$5:$G$4999,数据录入!$D$5:$D$4999,$B42,数据录入!$K$5:$K$4999,I$22))</f>
        <v/>
      </c>
      <c r="J42" s="36" t="str">
        <f>IF($B42="","",SUMIFS(数据录入!$G$5:$G$4999,数据录入!$D$5:$D$4999,$B42,数据录入!$K$5:$K$4999,J$22))</f>
        <v/>
      </c>
      <c r="K42" s="36" t="str">
        <f>IF($B42="","",SUMIFS(数据录入!$G$5:$G$4999,数据录入!$D$5:$D$4999,$B42,数据录入!$K$5:$K$4999,K$22))</f>
        <v/>
      </c>
      <c r="L42" s="36" t="str">
        <f>IF($B42="","",SUMIFS(数据录入!$G$5:$G$4999,数据录入!$D$5:$D$4999,$B42,数据录入!$K$5:$K$4999,L$22))</f>
        <v/>
      </c>
      <c r="M42" s="36" t="str">
        <f>IF($B42="","",SUMIFS(数据录入!$G$5:$G$4999,数据录入!$D$5:$D$4999,$B42,数据录入!$K$5:$K$4999,M$22))</f>
        <v/>
      </c>
      <c r="N42" s="36" t="str">
        <f>IF($B42="","",SUMIFS(数据录入!$G$5:$G$4999,数据录入!$D$5:$D$4999,$B42,数据录入!$K$5:$K$4999,N$22))</f>
        <v/>
      </c>
      <c r="O42" s="36">
        <f t="shared" si="8"/>
        <v>0</v>
      </c>
      <c r="P42" s="37">
        <f t="shared" si="9"/>
        <v>0</v>
      </c>
    </row>
    <row r="43" ht="20" customHeight="1" spans="1:16">
      <c r="A43" s="34">
        <v>21</v>
      </c>
      <c r="B43" s="34"/>
      <c r="C43" s="36" t="str">
        <f>IF($B43="","",SUMIFS(数据录入!$G$5:$G$4999,数据录入!$D$5:$D$4999,$B43,数据录入!$K$5:$K$4999,C$22))</f>
        <v/>
      </c>
      <c r="D43" s="36" t="str">
        <f>IF($B43="","",SUMIFS(数据录入!$G$5:$G$4999,数据录入!$D$5:$D$4999,$B43,数据录入!$K$5:$K$4999,D$22))</f>
        <v/>
      </c>
      <c r="E43" s="36" t="str">
        <f>IF($B43="","",SUMIFS(数据录入!$G$5:$G$4999,数据录入!$D$5:$D$4999,$B43,数据录入!$K$5:$K$4999,E$22))</f>
        <v/>
      </c>
      <c r="F43" s="36" t="str">
        <f>IF($B43="","",SUMIFS(数据录入!$G$5:$G$4999,数据录入!$D$5:$D$4999,$B43,数据录入!$K$5:$K$4999,F$22))</f>
        <v/>
      </c>
      <c r="G43" s="36" t="str">
        <f>IF($B43="","",SUMIFS(数据录入!$G$5:$G$4999,数据录入!$D$5:$D$4999,$B43,数据录入!$K$5:$K$4999,G$22))</f>
        <v/>
      </c>
      <c r="H43" s="36" t="str">
        <f>IF($B43="","",SUMIFS(数据录入!$G$5:$G$4999,数据录入!$D$5:$D$4999,$B43,数据录入!$K$5:$K$4999,H$22))</f>
        <v/>
      </c>
      <c r="I43" s="36" t="str">
        <f>IF($B43="","",SUMIFS(数据录入!$G$5:$G$4999,数据录入!$D$5:$D$4999,$B43,数据录入!$K$5:$K$4999,I$22))</f>
        <v/>
      </c>
      <c r="J43" s="36" t="str">
        <f>IF($B43="","",SUMIFS(数据录入!$G$5:$G$4999,数据录入!$D$5:$D$4999,$B43,数据录入!$K$5:$K$4999,J$22))</f>
        <v/>
      </c>
      <c r="K43" s="36" t="str">
        <f>IF($B43="","",SUMIFS(数据录入!$G$5:$G$4999,数据录入!$D$5:$D$4999,$B43,数据录入!$K$5:$K$4999,K$22))</f>
        <v/>
      </c>
      <c r="L43" s="36" t="str">
        <f>IF($B43="","",SUMIFS(数据录入!$G$5:$G$4999,数据录入!$D$5:$D$4999,$B43,数据录入!$K$5:$K$4999,L$22))</f>
        <v/>
      </c>
      <c r="M43" s="36" t="str">
        <f>IF($B43="","",SUMIFS(数据录入!$G$5:$G$4999,数据录入!$D$5:$D$4999,$B43,数据录入!$K$5:$K$4999,M$22))</f>
        <v/>
      </c>
      <c r="N43" s="36" t="str">
        <f>IF($B43="","",SUMIFS(数据录入!$G$5:$G$4999,数据录入!$D$5:$D$4999,$B43,数据录入!$K$5:$K$4999,N$22))</f>
        <v/>
      </c>
      <c r="O43" s="36">
        <f t="shared" si="8"/>
        <v>0</v>
      </c>
      <c r="P43" s="37">
        <f t="shared" si="9"/>
        <v>0</v>
      </c>
    </row>
    <row r="44" ht="20" customHeight="1" spans="1:16">
      <c r="A44" s="34">
        <v>22</v>
      </c>
      <c r="B44" s="34"/>
      <c r="C44" s="36" t="str">
        <f>IF($B44="","",SUMIFS(数据录入!$G$5:$G$4999,数据录入!$D$5:$D$4999,$B44,数据录入!$K$5:$K$4999,C$22))</f>
        <v/>
      </c>
      <c r="D44" s="36" t="str">
        <f>IF($B44="","",SUMIFS(数据录入!$G$5:$G$4999,数据录入!$D$5:$D$4999,$B44,数据录入!$K$5:$K$4999,D$22))</f>
        <v/>
      </c>
      <c r="E44" s="36" t="str">
        <f>IF($B44="","",SUMIFS(数据录入!$G$5:$G$4999,数据录入!$D$5:$D$4999,$B44,数据录入!$K$5:$K$4999,E$22))</f>
        <v/>
      </c>
      <c r="F44" s="36" t="str">
        <f>IF($B44="","",SUMIFS(数据录入!$G$5:$G$4999,数据录入!$D$5:$D$4999,$B44,数据录入!$K$5:$K$4999,F$22))</f>
        <v/>
      </c>
      <c r="G44" s="36" t="str">
        <f>IF($B44="","",SUMIFS(数据录入!$G$5:$G$4999,数据录入!$D$5:$D$4999,$B44,数据录入!$K$5:$K$4999,G$22))</f>
        <v/>
      </c>
      <c r="H44" s="36" t="str">
        <f>IF($B44="","",SUMIFS(数据录入!$G$5:$G$4999,数据录入!$D$5:$D$4999,$B44,数据录入!$K$5:$K$4999,H$22))</f>
        <v/>
      </c>
      <c r="I44" s="36" t="str">
        <f>IF($B44="","",SUMIFS(数据录入!$G$5:$G$4999,数据录入!$D$5:$D$4999,$B44,数据录入!$K$5:$K$4999,I$22))</f>
        <v/>
      </c>
      <c r="J44" s="36" t="str">
        <f>IF($B44="","",SUMIFS(数据录入!$G$5:$G$4999,数据录入!$D$5:$D$4999,$B44,数据录入!$K$5:$K$4999,J$22))</f>
        <v/>
      </c>
      <c r="K44" s="36" t="str">
        <f>IF($B44="","",SUMIFS(数据录入!$G$5:$G$4999,数据录入!$D$5:$D$4999,$B44,数据录入!$K$5:$K$4999,K$22))</f>
        <v/>
      </c>
      <c r="L44" s="36" t="str">
        <f>IF($B44="","",SUMIFS(数据录入!$G$5:$G$4999,数据录入!$D$5:$D$4999,$B44,数据录入!$K$5:$K$4999,L$22))</f>
        <v/>
      </c>
      <c r="M44" s="36" t="str">
        <f>IF($B44="","",SUMIFS(数据录入!$G$5:$G$4999,数据录入!$D$5:$D$4999,$B44,数据录入!$K$5:$K$4999,M$22))</f>
        <v/>
      </c>
      <c r="N44" s="36" t="str">
        <f>IF($B44="","",SUMIFS(数据录入!$G$5:$G$4999,数据录入!$D$5:$D$4999,$B44,数据录入!$K$5:$K$4999,N$22))</f>
        <v/>
      </c>
      <c r="O44" s="36">
        <f t="shared" si="8"/>
        <v>0</v>
      </c>
      <c r="P44" s="37">
        <f t="shared" si="9"/>
        <v>0</v>
      </c>
    </row>
    <row r="45" ht="20" customHeight="1" spans="1:16">
      <c r="A45" s="34">
        <v>23</v>
      </c>
      <c r="B45" s="34"/>
      <c r="C45" s="36" t="str">
        <f>IF($B45="","",SUMIFS(数据录入!$G$5:$G$4999,数据录入!$D$5:$D$4999,$B45,数据录入!$K$5:$K$4999,C$22))</f>
        <v/>
      </c>
      <c r="D45" s="36" t="str">
        <f>IF($B45="","",SUMIFS(数据录入!$G$5:$G$4999,数据录入!$D$5:$D$4999,$B45,数据录入!$K$5:$K$4999,D$22))</f>
        <v/>
      </c>
      <c r="E45" s="36" t="str">
        <f>IF($B45="","",SUMIFS(数据录入!$G$5:$G$4999,数据录入!$D$5:$D$4999,$B45,数据录入!$K$5:$K$4999,E$22))</f>
        <v/>
      </c>
      <c r="F45" s="36" t="str">
        <f>IF($B45="","",SUMIFS(数据录入!$G$5:$G$4999,数据录入!$D$5:$D$4999,$B45,数据录入!$K$5:$K$4999,F$22))</f>
        <v/>
      </c>
      <c r="G45" s="36" t="str">
        <f>IF($B45="","",SUMIFS(数据录入!$G$5:$G$4999,数据录入!$D$5:$D$4999,$B45,数据录入!$K$5:$K$4999,G$22))</f>
        <v/>
      </c>
      <c r="H45" s="36" t="str">
        <f>IF($B45="","",SUMIFS(数据录入!$G$5:$G$4999,数据录入!$D$5:$D$4999,$B45,数据录入!$K$5:$K$4999,H$22))</f>
        <v/>
      </c>
      <c r="I45" s="36" t="str">
        <f>IF($B45="","",SUMIFS(数据录入!$G$5:$G$4999,数据录入!$D$5:$D$4999,$B45,数据录入!$K$5:$K$4999,I$22))</f>
        <v/>
      </c>
      <c r="J45" s="36" t="str">
        <f>IF($B45="","",SUMIFS(数据录入!$G$5:$G$4999,数据录入!$D$5:$D$4999,$B45,数据录入!$K$5:$K$4999,J$22))</f>
        <v/>
      </c>
      <c r="K45" s="36" t="str">
        <f>IF($B45="","",SUMIFS(数据录入!$G$5:$G$4999,数据录入!$D$5:$D$4999,$B45,数据录入!$K$5:$K$4999,K$22))</f>
        <v/>
      </c>
      <c r="L45" s="36" t="str">
        <f>IF($B45="","",SUMIFS(数据录入!$G$5:$G$4999,数据录入!$D$5:$D$4999,$B45,数据录入!$K$5:$K$4999,L$22))</f>
        <v/>
      </c>
      <c r="M45" s="36" t="str">
        <f>IF($B45="","",SUMIFS(数据录入!$G$5:$G$4999,数据录入!$D$5:$D$4999,$B45,数据录入!$K$5:$K$4999,M$22))</f>
        <v/>
      </c>
      <c r="N45" s="36" t="str">
        <f>IF($B45="","",SUMIFS(数据录入!$G$5:$G$4999,数据录入!$D$5:$D$4999,$B45,数据录入!$K$5:$K$4999,N$22))</f>
        <v/>
      </c>
      <c r="O45" s="36">
        <f t="shared" si="8"/>
        <v>0</v>
      </c>
      <c r="P45" s="37">
        <f t="shared" si="9"/>
        <v>0</v>
      </c>
    </row>
    <row r="46" ht="20" customHeight="1" spans="1:16">
      <c r="A46" s="34">
        <v>24</v>
      </c>
      <c r="B46" s="34"/>
      <c r="C46" s="36" t="str">
        <f>IF($B46="","",SUMIFS(数据录入!$G$5:$G$4999,数据录入!$D$5:$D$4999,$B46,数据录入!$K$5:$K$4999,C$22))</f>
        <v/>
      </c>
      <c r="D46" s="36" t="str">
        <f>IF($B46="","",SUMIFS(数据录入!$G$5:$G$4999,数据录入!$D$5:$D$4999,$B46,数据录入!$K$5:$K$4999,D$22))</f>
        <v/>
      </c>
      <c r="E46" s="36" t="str">
        <f>IF($B46="","",SUMIFS(数据录入!$G$5:$G$4999,数据录入!$D$5:$D$4999,$B46,数据录入!$K$5:$K$4999,E$22))</f>
        <v/>
      </c>
      <c r="F46" s="36" t="str">
        <f>IF($B46="","",SUMIFS(数据录入!$G$5:$G$4999,数据录入!$D$5:$D$4999,$B46,数据录入!$K$5:$K$4999,F$22))</f>
        <v/>
      </c>
      <c r="G46" s="36" t="str">
        <f>IF($B46="","",SUMIFS(数据录入!$G$5:$G$4999,数据录入!$D$5:$D$4999,$B46,数据录入!$K$5:$K$4999,G$22))</f>
        <v/>
      </c>
      <c r="H46" s="36" t="str">
        <f>IF($B46="","",SUMIFS(数据录入!$G$5:$G$4999,数据录入!$D$5:$D$4999,$B46,数据录入!$K$5:$K$4999,H$22))</f>
        <v/>
      </c>
      <c r="I46" s="36" t="str">
        <f>IF($B46="","",SUMIFS(数据录入!$G$5:$G$4999,数据录入!$D$5:$D$4999,$B46,数据录入!$K$5:$K$4999,I$22))</f>
        <v/>
      </c>
      <c r="J46" s="36" t="str">
        <f>IF($B46="","",SUMIFS(数据录入!$G$5:$G$4999,数据录入!$D$5:$D$4999,$B46,数据录入!$K$5:$K$4999,J$22))</f>
        <v/>
      </c>
      <c r="K46" s="36" t="str">
        <f>IF($B46="","",SUMIFS(数据录入!$G$5:$G$4999,数据录入!$D$5:$D$4999,$B46,数据录入!$K$5:$K$4999,K$22))</f>
        <v/>
      </c>
      <c r="L46" s="36" t="str">
        <f>IF($B46="","",SUMIFS(数据录入!$G$5:$G$4999,数据录入!$D$5:$D$4999,$B46,数据录入!$K$5:$K$4999,L$22))</f>
        <v/>
      </c>
      <c r="M46" s="36" t="str">
        <f>IF($B46="","",SUMIFS(数据录入!$G$5:$G$4999,数据录入!$D$5:$D$4999,$B46,数据录入!$K$5:$K$4999,M$22))</f>
        <v/>
      </c>
      <c r="N46" s="36" t="str">
        <f>IF($B46="","",SUMIFS(数据录入!$G$5:$G$4999,数据录入!$D$5:$D$4999,$B46,数据录入!$K$5:$K$4999,N$22))</f>
        <v/>
      </c>
      <c r="O46" s="36">
        <f t="shared" si="8"/>
        <v>0</v>
      </c>
      <c r="P46" s="37">
        <f t="shared" si="9"/>
        <v>0</v>
      </c>
    </row>
    <row r="47" ht="20" customHeight="1" spans="1:16">
      <c r="A47" s="34">
        <v>25</v>
      </c>
      <c r="B47" s="34"/>
      <c r="C47" s="36" t="str">
        <f>IF($B47="","",SUMIFS(数据录入!$G$5:$G$4999,数据录入!$D$5:$D$4999,$B47,数据录入!$K$5:$K$4999,C$22))</f>
        <v/>
      </c>
      <c r="D47" s="36" t="str">
        <f>IF($B47="","",SUMIFS(数据录入!$G$5:$G$4999,数据录入!$D$5:$D$4999,$B47,数据录入!$K$5:$K$4999,D$22))</f>
        <v/>
      </c>
      <c r="E47" s="36" t="str">
        <f>IF($B47="","",SUMIFS(数据录入!$G$5:$G$4999,数据录入!$D$5:$D$4999,$B47,数据录入!$K$5:$K$4999,E$22))</f>
        <v/>
      </c>
      <c r="F47" s="36" t="str">
        <f>IF($B47="","",SUMIFS(数据录入!$G$5:$G$4999,数据录入!$D$5:$D$4999,$B47,数据录入!$K$5:$K$4999,F$22))</f>
        <v/>
      </c>
      <c r="G47" s="36" t="str">
        <f>IF($B47="","",SUMIFS(数据录入!$G$5:$G$4999,数据录入!$D$5:$D$4999,$B47,数据录入!$K$5:$K$4999,G$22))</f>
        <v/>
      </c>
      <c r="H47" s="36" t="str">
        <f>IF($B47="","",SUMIFS(数据录入!$G$5:$G$4999,数据录入!$D$5:$D$4999,$B47,数据录入!$K$5:$K$4999,H$22))</f>
        <v/>
      </c>
      <c r="I47" s="36" t="str">
        <f>IF($B47="","",SUMIFS(数据录入!$G$5:$G$4999,数据录入!$D$5:$D$4999,$B47,数据录入!$K$5:$K$4999,I$22))</f>
        <v/>
      </c>
      <c r="J47" s="36" t="str">
        <f>IF($B47="","",SUMIFS(数据录入!$G$5:$G$4999,数据录入!$D$5:$D$4999,$B47,数据录入!$K$5:$K$4999,J$22))</f>
        <v/>
      </c>
      <c r="K47" s="36" t="str">
        <f>IF($B47="","",SUMIFS(数据录入!$G$5:$G$4999,数据录入!$D$5:$D$4999,$B47,数据录入!$K$5:$K$4999,K$22))</f>
        <v/>
      </c>
      <c r="L47" s="36" t="str">
        <f>IF($B47="","",SUMIFS(数据录入!$G$5:$G$4999,数据录入!$D$5:$D$4999,$B47,数据录入!$K$5:$K$4999,L$22))</f>
        <v/>
      </c>
      <c r="M47" s="36" t="str">
        <f>IF($B47="","",SUMIFS(数据录入!$G$5:$G$4999,数据录入!$D$5:$D$4999,$B47,数据录入!$K$5:$K$4999,M$22))</f>
        <v/>
      </c>
      <c r="N47" s="36" t="str">
        <f>IF($B47="","",SUMIFS(数据录入!$G$5:$G$4999,数据录入!$D$5:$D$4999,$B47,数据录入!$K$5:$K$4999,N$22))</f>
        <v/>
      </c>
      <c r="O47" s="36">
        <f t="shared" si="8"/>
        <v>0</v>
      </c>
      <c r="P47" s="37">
        <f t="shared" si="9"/>
        <v>0</v>
      </c>
    </row>
    <row r="48" ht="20" customHeight="1" spans="1:16">
      <c r="A48" s="34">
        <v>26</v>
      </c>
      <c r="B48" s="34"/>
      <c r="C48" s="36" t="str">
        <f>IF($B48="","",SUMIFS(数据录入!$G$5:$G$4999,数据录入!$D$5:$D$4999,$B48,数据录入!$K$5:$K$4999,C$22))</f>
        <v/>
      </c>
      <c r="D48" s="36" t="str">
        <f>IF($B48="","",SUMIFS(数据录入!$G$5:$G$4999,数据录入!$D$5:$D$4999,$B48,数据录入!$K$5:$K$4999,D$22))</f>
        <v/>
      </c>
      <c r="E48" s="36" t="str">
        <f>IF($B48="","",SUMIFS(数据录入!$G$5:$G$4999,数据录入!$D$5:$D$4999,$B48,数据录入!$K$5:$K$4999,E$22))</f>
        <v/>
      </c>
      <c r="F48" s="36" t="str">
        <f>IF($B48="","",SUMIFS(数据录入!$G$5:$G$4999,数据录入!$D$5:$D$4999,$B48,数据录入!$K$5:$K$4999,F$22))</f>
        <v/>
      </c>
      <c r="G48" s="36" t="str">
        <f>IF($B48="","",SUMIFS(数据录入!$G$5:$G$4999,数据录入!$D$5:$D$4999,$B48,数据录入!$K$5:$K$4999,G$22))</f>
        <v/>
      </c>
      <c r="H48" s="36" t="str">
        <f>IF($B48="","",SUMIFS(数据录入!$G$5:$G$4999,数据录入!$D$5:$D$4999,$B48,数据录入!$K$5:$K$4999,H$22))</f>
        <v/>
      </c>
      <c r="I48" s="36" t="str">
        <f>IF($B48="","",SUMIFS(数据录入!$G$5:$G$4999,数据录入!$D$5:$D$4999,$B48,数据录入!$K$5:$K$4999,I$22))</f>
        <v/>
      </c>
      <c r="J48" s="36" t="str">
        <f>IF($B48="","",SUMIFS(数据录入!$G$5:$G$4999,数据录入!$D$5:$D$4999,$B48,数据录入!$K$5:$K$4999,J$22))</f>
        <v/>
      </c>
      <c r="K48" s="36" t="str">
        <f>IF($B48="","",SUMIFS(数据录入!$G$5:$G$4999,数据录入!$D$5:$D$4999,$B48,数据录入!$K$5:$K$4999,K$22))</f>
        <v/>
      </c>
      <c r="L48" s="36" t="str">
        <f>IF($B48="","",SUMIFS(数据录入!$G$5:$G$4999,数据录入!$D$5:$D$4999,$B48,数据录入!$K$5:$K$4999,L$22))</f>
        <v/>
      </c>
      <c r="M48" s="36" t="str">
        <f>IF($B48="","",SUMIFS(数据录入!$G$5:$G$4999,数据录入!$D$5:$D$4999,$B48,数据录入!$K$5:$K$4999,M$22))</f>
        <v/>
      </c>
      <c r="N48" s="36" t="str">
        <f>IF($B48="","",SUMIFS(数据录入!$G$5:$G$4999,数据录入!$D$5:$D$4999,$B48,数据录入!$K$5:$K$4999,N$22))</f>
        <v/>
      </c>
      <c r="O48" s="36">
        <f t="shared" si="8"/>
        <v>0</v>
      </c>
      <c r="P48" s="37">
        <f t="shared" si="9"/>
        <v>0</v>
      </c>
    </row>
    <row r="49" ht="20" customHeight="1" spans="1:16">
      <c r="A49" s="34">
        <v>27</v>
      </c>
      <c r="B49" s="34"/>
      <c r="C49" s="36" t="str">
        <f>IF($B49="","",SUMIFS(数据录入!$G$5:$G$4999,数据录入!$D$5:$D$4999,$B49,数据录入!$K$5:$K$4999,C$22))</f>
        <v/>
      </c>
      <c r="D49" s="36" t="str">
        <f>IF($B49="","",SUMIFS(数据录入!$G$5:$G$4999,数据录入!$D$5:$D$4999,$B49,数据录入!$K$5:$K$4999,D$22))</f>
        <v/>
      </c>
      <c r="E49" s="36" t="str">
        <f>IF($B49="","",SUMIFS(数据录入!$G$5:$G$4999,数据录入!$D$5:$D$4999,$B49,数据录入!$K$5:$K$4999,E$22))</f>
        <v/>
      </c>
      <c r="F49" s="36" t="str">
        <f>IF($B49="","",SUMIFS(数据录入!$G$5:$G$4999,数据录入!$D$5:$D$4999,$B49,数据录入!$K$5:$K$4999,F$22))</f>
        <v/>
      </c>
      <c r="G49" s="36" t="str">
        <f>IF($B49="","",SUMIFS(数据录入!$G$5:$G$4999,数据录入!$D$5:$D$4999,$B49,数据录入!$K$5:$K$4999,G$22))</f>
        <v/>
      </c>
      <c r="H49" s="36" t="str">
        <f>IF($B49="","",SUMIFS(数据录入!$G$5:$G$4999,数据录入!$D$5:$D$4999,$B49,数据录入!$K$5:$K$4999,H$22))</f>
        <v/>
      </c>
      <c r="I49" s="36" t="str">
        <f>IF($B49="","",SUMIFS(数据录入!$G$5:$G$4999,数据录入!$D$5:$D$4999,$B49,数据录入!$K$5:$K$4999,I$22))</f>
        <v/>
      </c>
      <c r="J49" s="36" t="str">
        <f>IF($B49="","",SUMIFS(数据录入!$G$5:$G$4999,数据录入!$D$5:$D$4999,$B49,数据录入!$K$5:$K$4999,J$22))</f>
        <v/>
      </c>
      <c r="K49" s="36" t="str">
        <f>IF($B49="","",SUMIFS(数据录入!$G$5:$G$4999,数据录入!$D$5:$D$4999,$B49,数据录入!$K$5:$K$4999,K$22))</f>
        <v/>
      </c>
      <c r="L49" s="36" t="str">
        <f>IF($B49="","",SUMIFS(数据录入!$G$5:$G$4999,数据录入!$D$5:$D$4999,$B49,数据录入!$K$5:$K$4999,L$22))</f>
        <v/>
      </c>
      <c r="M49" s="36" t="str">
        <f>IF($B49="","",SUMIFS(数据录入!$G$5:$G$4999,数据录入!$D$5:$D$4999,$B49,数据录入!$K$5:$K$4999,M$22))</f>
        <v/>
      </c>
      <c r="N49" s="36" t="str">
        <f>IF($B49="","",SUMIFS(数据录入!$G$5:$G$4999,数据录入!$D$5:$D$4999,$B49,数据录入!$K$5:$K$4999,N$22))</f>
        <v/>
      </c>
      <c r="O49" s="36">
        <f t="shared" si="8"/>
        <v>0</v>
      </c>
      <c r="P49" s="37">
        <f t="shared" si="9"/>
        <v>0</v>
      </c>
    </row>
    <row r="50" ht="20" customHeight="1" spans="1:16">
      <c r="A50" s="34">
        <v>28</v>
      </c>
      <c r="B50" s="34"/>
      <c r="C50" s="36" t="str">
        <f>IF($B50="","",SUMIFS(数据录入!$G$5:$G$4999,数据录入!$D$5:$D$4999,$B50,数据录入!$K$5:$K$4999,C$22))</f>
        <v/>
      </c>
      <c r="D50" s="36" t="str">
        <f>IF($B50="","",SUMIFS(数据录入!$G$5:$G$4999,数据录入!$D$5:$D$4999,$B50,数据录入!$K$5:$K$4999,D$22))</f>
        <v/>
      </c>
      <c r="E50" s="36" t="str">
        <f>IF($B50="","",SUMIFS(数据录入!$G$5:$G$4999,数据录入!$D$5:$D$4999,$B50,数据录入!$K$5:$K$4999,E$22))</f>
        <v/>
      </c>
      <c r="F50" s="36" t="str">
        <f>IF($B50="","",SUMIFS(数据录入!$G$5:$G$4999,数据录入!$D$5:$D$4999,$B50,数据录入!$K$5:$K$4999,F$22))</f>
        <v/>
      </c>
      <c r="G50" s="36" t="str">
        <f>IF($B50="","",SUMIFS(数据录入!$G$5:$G$4999,数据录入!$D$5:$D$4999,$B50,数据录入!$K$5:$K$4999,G$22))</f>
        <v/>
      </c>
      <c r="H50" s="36" t="str">
        <f>IF($B50="","",SUMIFS(数据录入!$G$5:$G$4999,数据录入!$D$5:$D$4999,$B50,数据录入!$K$5:$K$4999,H$22))</f>
        <v/>
      </c>
      <c r="I50" s="36" t="str">
        <f>IF($B50="","",SUMIFS(数据录入!$G$5:$G$4999,数据录入!$D$5:$D$4999,$B50,数据录入!$K$5:$K$4999,I$22))</f>
        <v/>
      </c>
      <c r="J50" s="36" t="str">
        <f>IF($B50="","",SUMIFS(数据录入!$G$5:$G$4999,数据录入!$D$5:$D$4999,$B50,数据录入!$K$5:$K$4999,J$22))</f>
        <v/>
      </c>
      <c r="K50" s="36" t="str">
        <f>IF($B50="","",SUMIFS(数据录入!$G$5:$G$4999,数据录入!$D$5:$D$4999,$B50,数据录入!$K$5:$K$4999,K$22))</f>
        <v/>
      </c>
      <c r="L50" s="36" t="str">
        <f>IF($B50="","",SUMIFS(数据录入!$G$5:$G$4999,数据录入!$D$5:$D$4999,$B50,数据录入!$K$5:$K$4999,L$22))</f>
        <v/>
      </c>
      <c r="M50" s="36" t="str">
        <f>IF($B50="","",SUMIFS(数据录入!$G$5:$G$4999,数据录入!$D$5:$D$4999,$B50,数据录入!$K$5:$K$4999,M$22))</f>
        <v/>
      </c>
      <c r="N50" s="36" t="str">
        <f>IF($B50="","",SUMIFS(数据录入!$G$5:$G$4999,数据录入!$D$5:$D$4999,$B50,数据录入!$K$5:$K$4999,N$22))</f>
        <v/>
      </c>
      <c r="O50" s="36">
        <f t="shared" si="8"/>
        <v>0</v>
      </c>
      <c r="P50" s="37">
        <f t="shared" si="9"/>
        <v>0</v>
      </c>
    </row>
    <row r="51" ht="20" customHeight="1" spans="1:16">
      <c r="A51" s="34">
        <v>29</v>
      </c>
      <c r="B51" s="34"/>
      <c r="C51" s="36" t="str">
        <f>IF($B51="","",SUMIFS(数据录入!$G$5:$G$4999,数据录入!$D$5:$D$4999,$B51,数据录入!$K$5:$K$4999,C$22))</f>
        <v/>
      </c>
      <c r="D51" s="36" t="str">
        <f>IF($B51="","",SUMIFS(数据录入!$G$5:$G$4999,数据录入!$D$5:$D$4999,$B51,数据录入!$K$5:$K$4999,D$22))</f>
        <v/>
      </c>
      <c r="E51" s="36" t="str">
        <f>IF($B51="","",SUMIFS(数据录入!$G$5:$G$4999,数据录入!$D$5:$D$4999,$B51,数据录入!$K$5:$K$4999,E$22))</f>
        <v/>
      </c>
      <c r="F51" s="36" t="str">
        <f>IF($B51="","",SUMIFS(数据录入!$G$5:$G$4999,数据录入!$D$5:$D$4999,$B51,数据录入!$K$5:$K$4999,F$22))</f>
        <v/>
      </c>
      <c r="G51" s="36" t="str">
        <f>IF($B51="","",SUMIFS(数据录入!$G$5:$G$4999,数据录入!$D$5:$D$4999,$B51,数据录入!$K$5:$K$4999,G$22))</f>
        <v/>
      </c>
      <c r="H51" s="36" t="str">
        <f>IF($B51="","",SUMIFS(数据录入!$G$5:$G$4999,数据录入!$D$5:$D$4999,$B51,数据录入!$K$5:$K$4999,H$22))</f>
        <v/>
      </c>
      <c r="I51" s="36" t="str">
        <f>IF($B51="","",SUMIFS(数据录入!$G$5:$G$4999,数据录入!$D$5:$D$4999,$B51,数据录入!$K$5:$K$4999,I$22))</f>
        <v/>
      </c>
      <c r="J51" s="36" t="str">
        <f>IF($B51="","",SUMIFS(数据录入!$G$5:$G$4999,数据录入!$D$5:$D$4999,$B51,数据录入!$K$5:$K$4999,J$22))</f>
        <v/>
      </c>
      <c r="K51" s="36" t="str">
        <f>IF($B51="","",SUMIFS(数据录入!$G$5:$G$4999,数据录入!$D$5:$D$4999,$B51,数据录入!$K$5:$K$4999,K$22))</f>
        <v/>
      </c>
      <c r="L51" s="36" t="str">
        <f>IF($B51="","",SUMIFS(数据录入!$G$5:$G$4999,数据录入!$D$5:$D$4999,$B51,数据录入!$K$5:$K$4999,L$22))</f>
        <v/>
      </c>
      <c r="M51" s="36" t="str">
        <f>IF($B51="","",SUMIFS(数据录入!$G$5:$G$4999,数据录入!$D$5:$D$4999,$B51,数据录入!$K$5:$K$4999,M$22))</f>
        <v/>
      </c>
      <c r="N51" s="36" t="str">
        <f>IF($B51="","",SUMIFS(数据录入!$G$5:$G$4999,数据录入!$D$5:$D$4999,$B51,数据录入!$K$5:$K$4999,N$22))</f>
        <v/>
      </c>
      <c r="O51" s="36">
        <f t="shared" si="8"/>
        <v>0</v>
      </c>
      <c r="P51" s="37">
        <f t="shared" si="9"/>
        <v>0</v>
      </c>
    </row>
    <row r="52" ht="20" customHeight="1" spans="1:16">
      <c r="A52" s="34">
        <v>30</v>
      </c>
      <c r="B52" s="34"/>
      <c r="C52" s="36" t="str">
        <f>IF($B52="","",SUMIFS(数据录入!$G$5:$G$4999,数据录入!$D$5:$D$4999,$B52,数据录入!$K$5:$K$4999,C$22))</f>
        <v/>
      </c>
      <c r="D52" s="36" t="str">
        <f>IF($B52="","",SUMIFS(数据录入!$G$5:$G$4999,数据录入!$D$5:$D$4999,$B52,数据录入!$K$5:$K$4999,D$22))</f>
        <v/>
      </c>
      <c r="E52" s="36" t="str">
        <f>IF($B52="","",SUMIFS(数据录入!$G$5:$G$4999,数据录入!$D$5:$D$4999,$B52,数据录入!$K$5:$K$4999,E$22))</f>
        <v/>
      </c>
      <c r="F52" s="36" t="str">
        <f>IF($B52="","",SUMIFS(数据录入!$G$5:$G$4999,数据录入!$D$5:$D$4999,$B52,数据录入!$K$5:$K$4999,F$22))</f>
        <v/>
      </c>
      <c r="G52" s="36" t="str">
        <f>IF($B52="","",SUMIFS(数据录入!$G$5:$G$4999,数据录入!$D$5:$D$4999,$B52,数据录入!$K$5:$K$4999,G$22))</f>
        <v/>
      </c>
      <c r="H52" s="36" t="str">
        <f>IF($B52="","",SUMIFS(数据录入!$G$5:$G$4999,数据录入!$D$5:$D$4999,$B52,数据录入!$K$5:$K$4999,H$22))</f>
        <v/>
      </c>
      <c r="I52" s="36" t="str">
        <f>IF($B52="","",SUMIFS(数据录入!$G$5:$G$4999,数据录入!$D$5:$D$4999,$B52,数据录入!$K$5:$K$4999,I$22))</f>
        <v/>
      </c>
      <c r="J52" s="36" t="str">
        <f>IF($B52="","",SUMIFS(数据录入!$G$5:$G$4999,数据录入!$D$5:$D$4999,$B52,数据录入!$K$5:$K$4999,J$22))</f>
        <v/>
      </c>
      <c r="K52" s="36" t="str">
        <f>IF($B52="","",SUMIFS(数据录入!$G$5:$G$4999,数据录入!$D$5:$D$4999,$B52,数据录入!$K$5:$K$4999,K$22))</f>
        <v/>
      </c>
      <c r="L52" s="36" t="str">
        <f>IF($B52="","",SUMIFS(数据录入!$G$5:$G$4999,数据录入!$D$5:$D$4999,$B52,数据录入!$K$5:$K$4999,L$22))</f>
        <v/>
      </c>
      <c r="M52" s="36" t="str">
        <f>IF($B52="","",SUMIFS(数据录入!$G$5:$G$4999,数据录入!$D$5:$D$4999,$B52,数据录入!$K$5:$K$4999,M$22))</f>
        <v/>
      </c>
      <c r="N52" s="36" t="str">
        <f>IF($B52="","",SUMIFS(数据录入!$G$5:$G$4999,数据录入!$D$5:$D$4999,$B52,数据录入!$K$5:$K$4999,N$22))</f>
        <v/>
      </c>
      <c r="O52" s="36">
        <f t="shared" si="8"/>
        <v>0</v>
      </c>
      <c r="P52" s="37">
        <f t="shared" si="9"/>
        <v>0</v>
      </c>
    </row>
    <row r="53" ht="20" customHeight="1" spans="1:16">
      <c r="A53" s="34">
        <v>31</v>
      </c>
      <c r="B53" s="34"/>
      <c r="C53" s="36" t="str">
        <f>IF($B53="","",SUMIFS(数据录入!$G$5:$G$4999,数据录入!$D$5:$D$4999,$B53,数据录入!$K$5:$K$4999,C$22))</f>
        <v/>
      </c>
      <c r="D53" s="36" t="str">
        <f>IF($B53="","",SUMIFS(数据录入!$G$5:$G$4999,数据录入!$D$5:$D$4999,$B53,数据录入!$K$5:$K$4999,D$22))</f>
        <v/>
      </c>
      <c r="E53" s="36" t="str">
        <f>IF($B53="","",SUMIFS(数据录入!$G$5:$G$4999,数据录入!$D$5:$D$4999,$B53,数据录入!$K$5:$K$4999,E$22))</f>
        <v/>
      </c>
      <c r="F53" s="36" t="str">
        <f>IF($B53="","",SUMIFS(数据录入!$G$5:$G$4999,数据录入!$D$5:$D$4999,$B53,数据录入!$K$5:$K$4999,F$22))</f>
        <v/>
      </c>
      <c r="G53" s="36" t="str">
        <f>IF($B53="","",SUMIFS(数据录入!$G$5:$G$4999,数据录入!$D$5:$D$4999,$B53,数据录入!$K$5:$K$4999,G$22))</f>
        <v/>
      </c>
      <c r="H53" s="36" t="str">
        <f>IF($B53="","",SUMIFS(数据录入!$G$5:$G$4999,数据录入!$D$5:$D$4999,$B53,数据录入!$K$5:$K$4999,H$22))</f>
        <v/>
      </c>
      <c r="I53" s="36" t="str">
        <f>IF($B53="","",SUMIFS(数据录入!$G$5:$G$4999,数据录入!$D$5:$D$4999,$B53,数据录入!$K$5:$K$4999,I$22))</f>
        <v/>
      </c>
      <c r="J53" s="36" t="str">
        <f>IF($B53="","",SUMIFS(数据录入!$G$5:$G$4999,数据录入!$D$5:$D$4999,$B53,数据录入!$K$5:$K$4999,J$22))</f>
        <v/>
      </c>
      <c r="K53" s="36" t="str">
        <f>IF($B53="","",SUMIFS(数据录入!$G$5:$G$4999,数据录入!$D$5:$D$4999,$B53,数据录入!$K$5:$K$4999,K$22))</f>
        <v/>
      </c>
      <c r="L53" s="36" t="str">
        <f>IF($B53="","",SUMIFS(数据录入!$G$5:$G$4999,数据录入!$D$5:$D$4999,$B53,数据录入!$K$5:$K$4999,L$22))</f>
        <v/>
      </c>
      <c r="M53" s="36" t="str">
        <f>IF($B53="","",SUMIFS(数据录入!$G$5:$G$4999,数据录入!$D$5:$D$4999,$B53,数据录入!$K$5:$K$4999,M$22))</f>
        <v/>
      </c>
      <c r="N53" s="36" t="str">
        <f>IF($B53="","",SUMIFS(数据录入!$G$5:$G$4999,数据录入!$D$5:$D$4999,$B53,数据录入!$K$5:$K$4999,N$22))</f>
        <v/>
      </c>
      <c r="O53" s="36">
        <f t="shared" si="8"/>
        <v>0</v>
      </c>
      <c r="P53" s="37">
        <f t="shared" si="9"/>
        <v>0</v>
      </c>
    </row>
    <row r="54" ht="20" customHeight="1" spans="1:16">
      <c r="A54" s="34">
        <v>32</v>
      </c>
      <c r="B54" s="34"/>
      <c r="C54" s="36" t="str">
        <f>IF($B54="","",SUMIFS(数据录入!$G$5:$G$4999,数据录入!$D$5:$D$4999,$B54,数据录入!$K$5:$K$4999,C$22))</f>
        <v/>
      </c>
      <c r="D54" s="36" t="str">
        <f>IF($B54="","",SUMIFS(数据录入!$G$5:$G$4999,数据录入!$D$5:$D$4999,$B54,数据录入!$K$5:$K$4999,D$22))</f>
        <v/>
      </c>
      <c r="E54" s="36" t="str">
        <f>IF($B54="","",SUMIFS(数据录入!$G$5:$G$4999,数据录入!$D$5:$D$4999,$B54,数据录入!$K$5:$K$4999,E$22))</f>
        <v/>
      </c>
      <c r="F54" s="36" t="str">
        <f>IF($B54="","",SUMIFS(数据录入!$G$5:$G$4999,数据录入!$D$5:$D$4999,$B54,数据录入!$K$5:$K$4999,F$22))</f>
        <v/>
      </c>
      <c r="G54" s="36" t="str">
        <f>IF($B54="","",SUMIFS(数据录入!$G$5:$G$4999,数据录入!$D$5:$D$4999,$B54,数据录入!$K$5:$K$4999,G$22))</f>
        <v/>
      </c>
      <c r="H54" s="36" t="str">
        <f>IF($B54="","",SUMIFS(数据录入!$G$5:$G$4999,数据录入!$D$5:$D$4999,$B54,数据录入!$K$5:$K$4999,H$22))</f>
        <v/>
      </c>
      <c r="I54" s="36" t="str">
        <f>IF($B54="","",SUMIFS(数据录入!$G$5:$G$4999,数据录入!$D$5:$D$4999,$B54,数据录入!$K$5:$K$4999,I$22))</f>
        <v/>
      </c>
      <c r="J54" s="36" t="str">
        <f>IF($B54="","",SUMIFS(数据录入!$G$5:$G$4999,数据录入!$D$5:$D$4999,$B54,数据录入!$K$5:$K$4999,J$22))</f>
        <v/>
      </c>
      <c r="K54" s="36" t="str">
        <f>IF($B54="","",SUMIFS(数据录入!$G$5:$G$4999,数据录入!$D$5:$D$4999,$B54,数据录入!$K$5:$K$4999,K$22))</f>
        <v/>
      </c>
      <c r="L54" s="36" t="str">
        <f>IF($B54="","",SUMIFS(数据录入!$G$5:$G$4999,数据录入!$D$5:$D$4999,$B54,数据录入!$K$5:$K$4999,L$22))</f>
        <v/>
      </c>
      <c r="M54" s="36" t="str">
        <f>IF($B54="","",SUMIFS(数据录入!$G$5:$G$4999,数据录入!$D$5:$D$4999,$B54,数据录入!$K$5:$K$4999,M$22))</f>
        <v/>
      </c>
      <c r="N54" s="36" t="str">
        <f>IF($B54="","",SUMIFS(数据录入!$G$5:$G$4999,数据录入!$D$5:$D$4999,$B54,数据录入!$K$5:$K$4999,N$22))</f>
        <v/>
      </c>
      <c r="O54" s="36">
        <f t="shared" si="8"/>
        <v>0</v>
      </c>
      <c r="P54" s="37">
        <f t="shared" si="9"/>
        <v>0</v>
      </c>
    </row>
    <row r="55" ht="20" customHeight="1" spans="1:16">
      <c r="A55" s="34">
        <v>33</v>
      </c>
      <c r="B55" s="34"/>
      <c r="C55" s="36" t="str">
        <f>IF($B55="","",SUMIFS(数据录入!$G$5:$G$4999,数据录入!$D$5:$D$4999,$B55,数据录入!$K$5:$K$4999,C$22))</f>
        <v/>
      </c>
      <c r="D55" s="36" t="str">
        <f>IF($B55="","",SUMIFS(数据录入!$G$5:$G$4999,数据录入!$D$5:$D$4999,$B55,数据录入!$K$5:$K$4999,D$22))</f>
        <v/>
      </c>
      <c r="E55" s="36" t="str">
        <f>IF($B55="","",SUMIFS(数据录入!$G$5:$G$4999,数据录入!$D$5:$D$4999,$B55,数据录入!$K$5:$K$4999,E$22))</f>
        <v/>
      </c>
      <c r="F55" s="36" t="str">
        <f>IF($B55="","",SUMIFS(数据录入!$G$5:$G$4999,数据录入!$D$5:$D$4999,$B55,数据录入!$K$5:$K$4999,F$22))</f>
        <v/>
      </c>
      <c r="G55" s="36" t="str">
        <f>IF($B55="","",SUMIFS(数据录入!$G$5:$G$4999,数据录入!$D$5:$D$4999,$B55,数据录入!$K$5:$K$4999,G$22))</f>
        <v/>
      </c>
      <c r="H55" s="36" t="str">
        <f>IF($B55="","",SUMIFS(数据录入!$G$5:$G$4999,数据录入!$D$5:$D$4999,$B55,数据录入!$K$5:$K$4999,H$22))</f>
        <v/>
      </c>
      <c r="I55" s="36" t="str">
        <f>IF($B55="","",SUMIFS(数据录入!$G$5:$G$4999,数据录入!$D$5:$D$4999,$B55,数据录入!$K$5:$K$4999,I$22))</f>
        <v/>
      </c>
      <c r="J55" s="36" t="str">
        <f>IF($B55="","",SUMIFS(数据录入!$G$5:$G$4999,数据录入!$D$5:$D$4999,$B55,数据录入!$K$5:$K$4999,J$22))</f>
        <v/>
      </c>
      <c r="K55" s="36" t="str">
        <f>IF($B55="","",SUMIFS(数据录入!$G$5:$G$4999,数据录入!$D$5:$D$4999,$B55,数据录入!$K$5:$K$4999,K$22))</f>
        <v/>
      </c>
      <c r="L55" s="36" t="str">
        <f>IF($B55="","",SUMIFS(数据录入!$G$5:$G$4999,数据录入!$D$5:$D$4999,$B55,数据录入!$K$5:$K$4999,L$22))</f>
        <v/>
      </c>
      <c r="M55" s="36" t="str">
        <f>IF($B55="","",SUMIFS(数据录入!$G$5:$G$4999,数据录入!$D$5:$D$4999,$B55,数据录入!$K$5:$K$4999,M$22))</f>
        <v/>
      </c>
      <c r="N55" s="36" t="str">
        <f>IF($B55="","",SUMIFS(数据录入!$G$5:$G$4999,数据录入!$D$5:$D$4999,$B55,数据录入!$K$5:$K$4999,N$22))</f>
        <v/>
      </c>
      <c r="O55" s="36">
        <f t="shared" si="8"/>
        <v>0</v>
      </c>
      <c r="P55" s="37">
        <f t="shared" si="9"/>
        <v>0</v>
      </c>
    </row>
    <row r="56" ht="20" customHeight="1" spans="1:16">
      <c r="A56" s="34">
        <v>34</v>
      </c>
      <c r="B56" s="34"/>
      <c r="C56" s="36" t="str">
        <f>IF($B56="","",SUMIFS(数据录入!$G$5:$G$4999,数据录入!$D$5:$D$4999,$B56,数据录入!$K$5:$K$4999,C$22))</f>
        <v/>
      </c>
      <c r="D56" s="36" t="str">
        <f>IF($B56="","",SUMIFS(数据录入!$G$5:$G$4999,数据录入!$D$5:$D$4999,$B56,数据录入!$K$5:$K$4999,D$22))</f>
        <v/>
      </c>
      <c r="E56" s="36" t="str">
        <f>IF($B56="","",SUMIFS(数据录入!$G$5:$G$4999,数据录入!$D$5:$D$4999,$B56,数据录入!$K$5:$K$4999,E$22))</f>
        <v/>
      </c>
      <c r="F56" s="36" t="str">
        <f>IF($B56="","",SUMIFS(数据录入!$G$5:$G$4999,数据录入!$D$5:$D$4999,$B56,数据录入!$K$5:$K$4999,F$22))</f>
        <v/>
      </c>
      <c r="G56" s="36" t="str">
        <f>IF($B56="","",SUMIFS(数据录入!$G$5:$G$4999,数据录入!$D$5:$D$4999,$B56,数据录入!$K$5:$K$4999,G$22))</f>
        <v/>
      </c>
      <c r="H56" s="36" t="str">
        <f>IF($B56="","",SUMIFS(数据录入!$G$5:$G$4999,数据录入!$D$5:$D$4999,$B56,数据录入!$K$5:$K$4999,H$22))</f>
        <v/>
      </c>
      <c r="I56" s="36" t="str">
        <f>IF($B56="","",SUMIFS(数据录入!$G$5:$G$4999,数据录入!$D$5:$D$4999,$B56,数据录入!$K$5:$K$4999,I$22))</f>
        <v/>
      </c>
      <c r="J56" s="36" t="str">
        <f>IF($B56="","",SUMIFS(数据录入!$G$5:$G$4999,数据录入!$D$5:$D$4999,$B56,数据录入!$K$5:$K$4999,J$22))</f>
        <v/>
      </c>
      <c r="K56" s="36" t="str">
        <f>IF($B56="","",SUMIFS(数据录入!$G$5:$G$4999,数据录入!$D$5:$D$4999,$B56,数据录入!$K$5:$K$4999,K$22))</f>
        <v/>
      </c>
      <c r="L56" s="36" t="str">
        <f>IF($B56="","",SUMIFS(数据录入!$G$5:$G$4999,数据录入!$D$5:$D$4999,$B56,数据录入!$K$5:$K$4999,L$22))</f>
        <v/>
      </c>
      <c r="M56" s="36" t="str">
        <f>IF($B56="","",SUMIFS(数据录入!$G$5:$G$4999,数据录入!$D$5:$D$4999,$B56,数据录入!$K$5:$K$4999,M$22))</f>
        <v/>
      </c>
      <c r="N56" s="36" t="str">
        <f>IF($B56="","",SUMIFS(数据录入!$G$5:$G$4999,数据录入!$D$5:$D$4999,$B56,数据录入!$K$5:$K$4999,N$22))</f>
        <v/>
      </c>
      <c r="O56" s="36">
        <f t="shared" si="8"/>
        <v>0</v>
      </c>
      <c r="P56" s="37">
        <f t="shared" si="9"/>
        <v>0</v>
      </c>
    </row>
    <row r="57" ht="20" customHeight="1" spans="1:16">
      <c r="A57" s="34">
        <v>35</v>
      </c>
      <c r="B57" s="34"/>
      <c r="C57" s="36" t="str">
        <f>IF($B57="","",SUMIFS(数据录入!$G$5:$G$4999,数据录入!$D$5:$D$4999,$B57,数据录入!$K$5:$K$4999,C$22))</f>
        <v/>
      </c>
      <c r="D57" s="36" t="str">
        <f>IF($B57="","",SUMIFS(数据录入!$G$5:$G$4999,数据录入!$D$5:$D$4999,$B57,数据录入!$K$5:$K$4999,D$22))</f>
        <v/>
      </c>
      <c r="E57" s="36" t="str">
        <f>IF($B57="","",SUMIFS(数据录入!$G$5:$G$4999,数据录入!$D$5:$D$4999,$B57,数据录入!$K$5:$K$4999,E$22))</f>
        <v/>
      </c>
      <c r="F57" s="36" t="str">
        <f>IF($B57="","",SUMIFS(数据录入!$G$5:$G$4999,数据录入!$D$5:$D$4999,$B57,数据录入!$K$5:$K$4999,F$22))</f>
        <v/>
      </c>
      <c r="G57" s="36" t="str">
        <f>IF($B57="","",SUMIFS(数据录入!$G$5:$G$4999,数据录入!$D$5:$D$4999,$B57,数据录入!$K$5:$K$4999,G$22))</f>
        <v/>
      </c>
      <c r="H57" s="36" t="str">
        <f>IF($B57="","",SUMIFS(数据录入!$G$5:$G$4999,数据录入!$D$5:$D$4999,$B57,数据录入!$K$5:$K$4999,H$22))</f>
        <v/>
      </c>
      <c r="I57" s="36" t="str">
        <f>IF($B57="","",SUMIFS(数据录入!$G$5:$G$4999,数据录入!$D$5:$D$4999,$B57,数据录入!$K$5:$K$4999,I$22))</f>
        <v/>
      </c>
      <c r="J57" s="36" t="str">
        <f>IF($B57="","",SUMIFS(数据录入!$G$5:$G$4999,数据录入!$D$5:$D$4999,$B57,数据录入!$K$5:$K$4999,J$22))</f>
        <v/>
      </c>
      <c r="K57" s="36" t="str">
        <f>IF($B57="","",SUMIFS(数据录入!$G$5:$G$4999,数据录入!$D$5:$D$4999,$B57,数据录入!$K$5:$K$4999,K$22))</f>
        <v/>
      </c>
      <c r="L57" s="36" t="str">
        <f>IF($B57="","",SUMIFS(数据录入!$G$5:$G$4999,数据录入!$D$5:$D$4999,$B57,数据录入!$K$5:$K$4999,L$22))</f>
        <v/>
      </c>
      <c r="M57" s="36" t="str">
        <f>IF($B57="","",SUMIFS(数据录入!$G$5:$G$4999,数据录入!$D$5:$D$4999,$B57,数据录入!$K$5:$K$4999,M$22))</f>
        <v/>
      </c>
      <c r="N57" s="36" t="str">
        <f>IF($B57="","",SUMIFS(数据录入!$G$5:$G$4999,数据录入!$D$5:$D$4999,$B57,数据录入!$K$5:$K$4999,N$22))</f>
        <v/>
      </c>
      <c r="O57" s="36">
        <f t="shared" si="8"/>
        <v>0</v>
      </c>
      <c r="P57" s="37">
        <f t="shared" si="9"/>
        <v>0</v>
      </c>
    </row>
    <row r="58" ht="16.5" spans="1:16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</row>
    <row r="59" ht="16.5" spans="1:16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</row>
    <row r="60" ht="16.5" spans="1:16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</row>
    <row r="61" ht="16.5" spans="1:16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</row>
    <row r="62" ht="16.5" spans="1:16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</row>
    <row r="63" ht="16.5" spans="1:16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</row>
    <row r="64" ht="16.5" spans="1:16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ht="16.5" spans="1:16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</row>
    <row r="66" ht="16.5" spans="1:1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  <row r="67" ht="16.5" spans="1:16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ht="16.5" spans="1:16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</row>
    <row r="69" ht="16.5" spans="1:16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  <row r="70" ht="16.5" spans="1:16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ht="16.5" spans="1:16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</row>
    <row r="72" ht="16.5" spans="1:16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ht="16.5" spans="1:16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</row>
    <row r="74" ht="16.5" spans="1:16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</row>
    <row r="75" ht="16.5" spans="1:16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</row>
    <row r="76" ht="16.5" spans="1:1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</row>
    <row r="77" ht="16.5" spans="1:16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</row>
    <row r="78" ht="16.5" spans="1:16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</row>
    <row r="79" ht="16.5" spans="1:16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</row>
    <row r="80" ht="16.5" spans="1:16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</row>
    <row r="81" ht="16.5" spans="1:16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</row>
    <row r="82" ht="16.5" spans="1:16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</row>
    <row r="83" ht="16.5" spans="1:16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</row>
    <row r="84" ht="16.5" spans="1:16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</row>
    <row r="85" ht="16.5" spans="1:16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</row>
    <row r="86" ht="16.5" spans="1:1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</row>
    <row r="87" ht="16.5" spans="1:16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</row>
    <row r="88" ht="16.5" spans="1:16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</row>
    <row r="89" ht="16.5" spans="1:16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</row>
    <row r="90" ht="16.5" spans="1:16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</row>
    <row r="91" ht="16.5" spans="1:16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</row>
    <row r="92" ht="16.5" spans="1:16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</row>
    <row r="93" ht="16.5" spans="1:16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</row>
    <row r="94" ht="16.5" spans="1:16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</row>
    <row r="95" ht="16.5" spans="1:16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</row>
    <row r="96" ht="16.5" spans="1:1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</row>
    <row r="97" ht="16.5" spans="1:16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</row>
    <row r="98" ht="16.5" spans="1:16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</row>
    <row r="99" ht="16.5" spans="1:16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</row>
    <row r="100" ht="16.5" spans="1:16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</row>
    <row r="101" ht="16.5" spans="1:16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</row>
    <row r="102" ht="16.5" spans="1:16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</row>
    <row r="103" ht="16.5" spans="1:16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</row>
    <row r="104" ht="16.5" spans="1:16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</row>
    <row r="105" ht="16.5" spans="1:16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</row>
    <row r="106" ht="16.5" spans="1:1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</row>
    <row r="107" ht="16.5" spans="1:16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</row>
    <row r="108" ht="16.5" spans="1:16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</row>
    <row r="109" ht="16.5" spans="1:16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</row>
    <row r="110" ht="16.5" spans="1:16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</row>
    <row r="111" ht="16.5" spans="1:16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</row>
    <row r="112" ht="16.5" spans="1:16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</row>
    <row r="113" ht="16.5" spans="1:16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</row>
    <row r="114" ht="16.5" spans="1:16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</row>
    <row r="115" ht="16.5" spans="1:16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</row>
    <row r="116" ht="16.5" spans="1: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</row>
    <row r="117" ht="16.5" spans="1:16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</row>
    <row r="118" ht="16.5" spans="1:16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</row>
    <row r="119" ht="16.5" spans="1:16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</row>
    <row r="120" ht="16.5" spans="1:16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</row>
    <row r="121" spans="1:16">
      <c r="A121" s="39"/>
      <c r="B121" s="40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</row>
    <row r="122" spans="1:16">
      <c r="A122" s="39"/>
      <c r="B122" s="40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</row>
    <row r="123" spans="1:16">
      <c r="A123" s="39"/>
      <c r="B123" s="40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</row>
    <row r="124" spans="1:16">
      <c r="A124" s="39"/>
      <c r="B124" s="40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</row>
    <row r="125" spans="1:16">
      <c r="A125" s="39"/>
      <c r="B125" s="40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</row>
    <row r="126" spans="1:16">
      <c r="A126" s="39"/>
      <c r="B126" s="40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</row>
    <row r="127" spans="1:16">
      <c r="A127" s="39"/>
      <c r="B127" s="40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</row>
    <row r="128" spans="1:16">
      <c r="A128" s="39"/>
      <c r="B128" s="40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</row>
    <row r="129" spans="1:15">
      <c r="A129" s="39"/>
      <c r="B129" s="40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</row>
    <row r="130" spans="1:15">
      <c r="A130" s="39"/>
      <c r="B130" s="40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</row>
    <row r="131" spans="1:15">
      <c r="A131" s="39"/>
      <c r="B131" s="40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</row>
    <row r="132" spans="1:15">
      <c r="A132" s="39"/>
      <c r="B132" s="40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</row>
    <row r="133" spans="1:15">
      <c r="A133" s="39"/>
      <c r="B133" s="40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</row>
    <row r="134" spans="1:15">
      <c r="A134" s="39"/>
      <c r="B134" s="40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</row>
    <row r="135" spans="1:15">
      <c r="A135" s="39"/>
      <c r="B135" s="40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</row>
    <row r="136" spans="1:15">
      <c r="A136" s="39"/>
      <c r="B136" s="40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</row>
    <row r="137" spans="1:15">
      <c r="A137" s="39"/>
      <c r="B137" s="40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</row>
    <row r="138" spans="1:15">
      <c r="A138" s="39"/>
      <c r="B138" s="40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</row>
    <row r="139" spans="1:15">
      <c r="A139" s="39"/>
      <c r="B139" s="40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</row>
    <row r="140" spans="1:15">
      <c r="A140" s="39"/>
      <c r="B140" s="40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</row>
    <row r="141" spans="1:15">
      <c r="A141" s="39"/>
      <c r="B141" s="40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</row>
    <row r="142" spans="1:15">
      <c r="A142" s="39"/>
      <c r="B142" s="40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</row>
    <row r="143" spans="1:15">
      <c r="A143" s="39"/>
      <c r="B143" s="40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</row>
    <row r="144" spans="1:15">
      <c r="A144" s="39"/>
      <c r="B144" s="40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</row>
    <row r="145" spans="1:15">
      <c r="A145" s="39"/>
      <c r="B145" s="40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</row>
    <row r="146" spans="1:15">
      <c r="A146" s="39"/>
      <c r="B146" s="40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</row>
    <row r="147" spans="1:15">
      <c r="A147" s="39"/>
      <c r="B147" s="40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</row>
    <row r="148" spans="1:15">
      <c r="A148" s="39"/>
      <c r="B148" s="40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</row>
    <row r="149" spans="1:15">
      <c r="A149" s="39"/>
      <c r="B149" s="40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</row>
    <row r="150" spans="1:15">
      <c r="A150" s="39"/>
      <c r="B150" s="40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</row>
    <row r="151" spans="1:15">
      <c r="A151" s="39"/>
      <c r="B151" s="40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</row>
    <row r="152" spans="1:15">
      <c r="A152" s="39"/>
      <c r="B152" s="40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</row>
    <row r="153" spans="1:15">
      <c r="A153" s="39"/>
      <c r="B153" s="40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</row>
    <row r="154" spans="1:15">
      <c r="A154" s="39"/>
      <c r="B154" s="40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</row>
    <row r="155" spans="1:15">
      <c r="A155" s="39"/>
      <c r="B155" s="40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</row>
    <row r="156" spans="1:15">
      <c r="A156" s="39"/>
      <c r="B156" s="40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</row>
    <row r="157" spans="1:15">
      <c r="A157" s="39"/>
      <c r="B157" s="40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</row>
    <row r="158" spans="1:15">
      <c r="A158" s="39"/>
      <c r="B158" s="40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</row>
    <row r="159" spans="1:15">
      <c r="A159" s="39"/>
      <c r="B159" s="40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</row>
    <row r="160" spans="1:15">
      <c r="A160" s="39"/>
      <c r="B160" s="40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</row>
    <row r="161" spans="1:15">
      <c r="A161" s="39"/>
      <c r="B161" s="40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</row>
    <row r="162" spans="1:15">
      <c r="A162" s="39"/>
      <c r="B162" s="40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</row>
    <row r="163" spans="1:15">
      <c r="A163" s="39"/>
      <c r="B163" s="40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</row>
    <row r="164" spans="1:15">
      <c r="A164" s="39"/>
      <c r="B164" s="40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</row>
    <row r="165" spans="1:15">
      <c r="A165" s="39"/>
      <c r="B165" s="40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</row>
    <row r="166" spans="1:15">
      <c r="A166" s="39"/>
      <c r="B166" s="40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</row>
    <row r="167" spans="1:15">
      <c r="A167" s="39"/>
      <c r="B167" s="40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</row>
    <row r="168" spans="1:15">
      <c r="A168" s="39"/>
      <c r="B168" s="40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</row>
    <row r="169" spans="1:15">
      <c r="A169" s="39"/>
      <c r="B169" s="40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</row>
    <row r="170" spans="1:15">
      <c r="A170" s="39"/>
      <c r="B170" s="40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</row>
    <row r="171" spans="1:15">
      <c r="A171" s="39"/>
      <c r="B171" s="40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</row>
    <row r="172" spans="1:15">
      <c r="A172" s="39"/>
      <c r="B172" s="40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</row>
    <row r="173" spans="1:15">
      <c r="A173" s="39"/>
      <c r="B173" s="40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</row>
    <row r="174" spans="1:15">
      <c r="A174" s="39"/>
      <c r="B174" s="40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</row>
    <row r="175" spans="1:15">
      <c r="A175" s="39"/>
      <c r="B175" s="40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</row>
    <row r="176" spans="1:15">
      <c r="A176" s="39"/>
      <c r="B176" s="40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</row>
    <row r="177" spans="1:15">
      <c r="A177" s="39"/>
      <c r="B177" s="40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</row>
    <row r="178" spans="1:15">
      <c r="A178" s="39"/>
      <c r="B178" s="40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</row>
    <row r="179" spans="1:15">
      <c r="A179" s="39"/>
      <c r="B179" s="40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</row>
    <row r="180" spans="1:15">
      <c r="A180" s="39"/>
      <c r="B180" s="40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</row>
    <row r="181" spans="1:15">
      <c r="A181" s="39"/>
      <c r="B181" s="40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</row>
    <row r="182" spans="1:15">
      <c r="A182" s="39"/>
      <c r="B182" s="40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</row>
    <row r="183" spans="1:15">
      <c r="A183" s="39"/>
      <c r="B183" s="40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</row>
    <row r="184" spans="1:15">
      <c r="A184" s="39"/>
      <c r="B184" s="40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</row>
    <row r="185" spans="1:15">
      <c r="A185" s="39"/>
      <c r="B185" s="40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</row>
    <row r="186" spans="1:15">
      <c r="A186" s="39"/>
      <c r="B186" s="40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</row>
    <row r="187" spans="1:15">
      <c r="A187" s="39"/>
      <c r="B187" s="40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</row>
    <row r="188" spans="1:15">
      <c r="A188" s="39"/>
      <c r="B188" s="40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</row>
    <row r="189" spans="1:15">
      <c r="A189" s="39"/>
      <c r="B189" s="40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</row>
    <row r="190" spans="1:15">
      <c r="A190" s="39"/>
      <c r="B190" s="40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</row>
    <row r="191" spans="1:15">
      <c r="A191" s="39"/>
      <c r="B191" s="40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</row>
    <row r="192" spans="1:15">
      <c r="A192" s="39"/>
      <c r="B192" s="40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</row>
    <row r="193" spans="1:15">
      <c r="A193" s="39"/>
      <c r="B193" s="40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</row>
    <row r="194" spans="1:15">
      <c r="A194" s="39"/>
      <c r="B194" s="4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</row>
    <row r="195" spans="1:15">
      <c r="A195" s="39"/>
      <c r="B195" s="40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</row>
    <row r="196" spans="1:15">
      <c r="A196" s="39"/>
      <c r="B196" s="40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</row>
    <row r="197" spans="1:15">
      <c r="A197" s="39"/>
      <c r="B197" s="40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</row>
    <row r="198" spans="1:15">
      <c r="A198" s="39"/>
      <c r="B198" s="40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</row>
    <row r="199" spans="1:15">
      <c r="A199" s="39"/>
      <c r="B199" s="40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</row>
    <row r="200" spans="1:15">
      <c r="A200" s="39"/>
      <c r="B200" s="40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</row>
    <row r="201" spans="1:15">
      <c r="A201" s="39"/>
      <c r="B201" s="4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</row>
    <row r="202" spans="1:15">
      <c r="A202" s="39"/>
      <c r="B202" s="4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</row>
    <row r="203" spans="1:15">
      <c r="A203" s="39"/>
      <c r="B203" s="40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</row>
    <row r="204" spans="1:15">
      <c r="A204" s="39"/>
      <c r="B204" s="40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</row>
    <row r="205" spans="1:15">
      <c r="A205" s="39"/>
      <c r="B205" s="40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</row>
    <row r="206" spans="1:15">
      <c r="A206" s="39"/>
      <c r="B206" s="40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</row>
    <row r="207" spans="1:15">
      <c r="A207" s="39"/>
      <c r="B207" s="40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</row>
    <row r="208" spans="1:15">
      <c r="A208" s="39"/>
      <c r="B208" s="40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</row>
    <row r="209" spans="1:15">
      <c r="A209" s="39"/>
      <c r="B209" s="40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</row>
    <row r="210" spans="1:15">
      <c r="A210" s="39"/>
      <c r="B210" s="40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</row>
    <row r="211" spans="1:15">
      <c r="A211" s="39"/>
      <c r="B211" s="40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</row>
    <row r="212" spans="1:15">
      <c r="A212" s="39"/>
      <c r="B212" s="40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</row>
    <row r="213" spans="1:15">
      <c r="A213" s="39"/>
      <c r="B213" s="40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</row>
    <row r="214" spans="1:15">
      <c r="A214" s="39"/>
      <c r="B214" s="40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</row>
    <row r="215" spans="1:15">
      <c r="A215" s="39"/>
      <c r="B215" s="40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</row>
    <row r="216" spans="1:15">
      <c r="A216" s="39"/>
      <c r="B216" s="40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</row>
    <row r="217" spans="1:15">
      <c r="A217" s="39"/>
      <c r="B217" s="40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</row>
    <row r="218" spans="1:15">
      <c r="A218" s="39"/>
      <c r="B218" s="40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</row>
    <row r="219" spans="1:15">
      <c r="A219" s="39"/>
      <c r="B219" s="40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</row>
    <row r="220" spans="1:15">
      <c r="A220" s="39"/>
      <c r="B220" s="40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</row>
    <row r="221" spans="1:15">
      <c r="A221" s="39"/>
      <c r="B221" s="40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</row>
    <row r="222" spans="1:15">
      <c r="A222" s="39"/>
      <c r="B222" s="40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</row>
    <row r="223" spans="1:15">
      <c r="A223" s="39"/>
      <c r="B223" s="40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</row>
    <row r="224" spans="1:15">
      <c r="A224" s="39"/>
      <c r="B224" s="40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</row>
    <row r="225" spans="1:15">
      <c r="A225" s="39"/>
      <c r="B225" s="40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</row>
    <row r="226" spans="1:15">
      <c r="A226" s="39"/>
      <c r="B226" s="40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</row>
    <row r="227" spans="1:15">
      <c r="A227" s="39"/>
      <c r="B227" s="40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</row>
    <row r="228" spans="1:15">
      <c r="A228" s="39"/>
      <c r="B228" s="40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</row>
    <row r="229" spans="1:15">
      <c r="A229" s="39"/>
      <c r="B229" s="40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</row>
    <row r="230" spans="1:15">
      <c r="A230" s="39"/>
      <c r="B230" s="40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</row>
    <row r="231" spans="1:15">
      <c r="A231" s="39"/>
      <c r="B231" s="40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</row>
    <row r="232" spans="1:15">
      <c r="A232" s="39"/>
      <c r="B232" s="40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</row>
    <row r="233" spans="1:15">
      <c r="A233" s="39"/>
      <c r="B233" s="40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</row>
    <row r="234" spans="1:15">
      <c r="A234" s="39"/>
      <c r="B234" s="40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</row>
    <row r="235" spans="1:15">
      <c r="A235" s="39"/>
      <c r="B235" s="40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</row>
    <row r="236" spans="1:15">
      <c r="A236" s="39"/>
      <c r="B236" s="40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</row>
    <row r="237" spans="1:15">
      <c r="A237" s="39"/>
      <c r="B237" s="40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</row>
    <row r="238" spans="1:15">
      <c r="A238" s="39"/>
      <c r="B238" s="40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</row>
    <row r="239" spans="1:15">
      <c r="A239" s="39"/>
      <c r="B239" s="40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</row>
    <row r="240" spans="1:15">
      <c r="A240" s="39"/>
      <c r="B240" s="40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</row>
    <row r="241" spans="1:15">
      <c r="A241" s="39"/>
      <c r="B241" s="40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</row>
    <row r="242" spans="1:15">
      <c r="A242" s="39"/>
      <c r="B242" s="40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</row>
    <row r="243" spans="1:15">
      <c r="A243" s="39"/>
      <c r="B243" s="40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</row>
    <row r="244" spans="1:15">
      <c r="A244" s="39"/>
      <c r="B244" s="40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</row>
    <row r="245" spans="1:15">
      <c r="A245" s="39"/>
      <c r="B245" s="40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</row>
    <row r="246" spans="1:15">
      <c r="A246" s="39"/>
      <c r="B246" s="40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</row>
    <row r="247" spans="1:15">
      <c r="A247" s="39"/>
      <c r="B247" s="40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</row>
    <row r="248" spans="1:15">
      <c r="A248" s="39"/>
      <c r="B248" s="40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</row>
    <row r="249" spans="1:15">
      <c r="A249" s="39"/>
      <c r="B249" s="40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</row>
    <row r="250" spans="1:15">
      <c r="A250" s="39"/>
      <c r="B250" s="40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</row>
    <row r="251" spans="1:15">
      <c r="A251" s="39"/>
      <c r="B251" s="40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</row>
    <row r="252" spans="1:15">
      <c r="A252" s="39"/>
      <c r="B252" s="40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</row>
    <row r="253" spans="1:15">
      <c r="A253" s="39"/>
      <c r="B253" s="40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</row>
    <row r="254" spans="1:15">
      <c r="A254" s="39"/>
      <c r="B254" s="40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</row>
    <row r="255" spans="1:15">
      <c r="A255" s="39"/>
      <c r="B255" s="40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</row>
    <row r="256" spans="1:15">
      <c r="A256" s="39"/>
      <c r="B256" s="40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</row>
    <row r="257" spans="1:15">
      <c r="A257" s="39"/>
      <c r="B257" s="40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</row>
    <row r="258" spans="1:15">
      <c r="A258" s="39"/>
      <c r="B258" s="40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</row>
    <row r="259" spans="1:15">
      <c r="A259" s="39"/>
      <c r="B259" s="40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</row>
    <row r="260" spans="1:15">
      <c r="A260" s="39"/>
      <c r="B260" s="40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</row>
    <row r="261" spans="1:15">
      <c r="A261" s="39"/>
      <c r="B261" s="40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</row>
    <row r="262" spans="1:15">
      <c r="A262" s="39"/>
      <c r="B262" s="40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</row>
    <row r="263" spans="1:15">
      <c r="A263" s="39"/>
      <c r="B263" s="40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</row>
    <row r="264" spans="1:15">
      <c r="A264" s="39"/>
      <c r="B264" s="40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</row>
    <row r="265" spans="1:15">
      <c r="A265" s="39"/>
      <c r="B265" s="40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</row>
    <row r="266" spans="1:15">
      <c r="A266" s="39"/>
      <c r="B266" s="40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</row>
    <row r="267" spans="1:15">
      <c r="A267" s="39"/>
      <c r="B267" s="40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</row>
    <row r="268" spans="1:15">
      <c r="A268" s="39"/>
      <c r="B268" s="40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</row>
    <row r="269" spans="1:15">
      <c r="A269" s="39"/>
      <c r="B269" s="40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</row>
    <row r="270" spans="1:15">
      <c r="A270" s="39"/>
      <c r="B270" s="40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</row>
    <row r="271" spans="1:15">
      <c r="A271" s="39"/>
      <c r="B271" s="40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</row>
    <row r="272" spans="1:15">
      <c r="A272" s="39"/>
      <c r="B272" s="40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</row>
    <row r="273" spans="1:15">
      <c r="A273" s="39"/>
      <c r="B273" s="40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</row>
    <row r="274" spans="1:15">
      <c r="A274" s="39"/>
      <c r="B274" s="40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</row>
    <row r="275" spans="1:15">
      <c r="A275" s="39"/>
      <c r="B275" s="40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</row>
    <row r="276" spans="1:15">
      <c r="A276" s="39"/>
      <c r="B276" s="40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</row>
    <row r="277" spans="1:15">
      <c r="A277" s="39"/>
      <c r="B277" s="40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</row>
    <row r="278" spans="1:15">
      <c r="A278" s="39"/>
      <c r="B278" s="40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</row>
    <row r="279" spans="1:15">
      <c r="A279" s="39"/>
      <c r="B279" s="40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</row>
    <row r="280" spans="1:15">
      <c r="A280" s="39"/>
      <c r="B280" s="40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</row>
    <row r="281" spans="1:15">
      <c r="A281" s="39"/>
      <c r="B281" s="40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</row>
    <row r="282" spans="1:15">
      <c r="A282" s="39"/>
      <c r="B282" s="40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</row>
    <row r="283" spans="1:15">
      <c r="A283" s="39"/>
      <c r="B283" s="40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</row>
    <row r="284" spans="1:15">
      <c r="A284" s="39"/>
      <c r="B284" s="40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</row>
    <row r="285" spans="1:15">
      <c r="A285" s="39"/>
      <c r="B285" s="40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</row>
    <row r="286" spans="1:15">
      <c r="A286" s="39"/>
      <c r="B286" s="40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</row>
    <row r="287" spans="1:15">
      <c r="A287" s="39"/>
      <c r="B287" s="40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</row>
    <row r="288" spans="1:15">
      <c r="A288" s="39"/>
      <c r="B288" s="40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</row>
    <row r="289" spans="1:15">
      <c r="A289" s="39"/>
      <c r="B289" s="40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</row>
    <row r="290" spans="1:15">
      <c r="A290" s="39"/>
      <c r="B290" s="40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</row>
    <row r="291" spans="1:15">
      <c r="A291" s="39"/>
      <c r="B291" s="40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</row>
    <row r="292" spans="1:15">
      <c r="A292" s="39"/>
      <c r="B292" s="40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</row>
    <row r="293" spans="1:15">
      <c r="A293" s="39"/>
      <c r="B293" s="40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</row>
    <row r="294" spans="1:15">
      <c r="A294" s="39"/>
      <c r="B294" s="40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</row>
    <row r="295" spans="1:15">
      <c r="A295" s="39"/>
      <c r="B295" s="40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</row>
    <row r="296" spans="1:15">
      <c r="A296" s="39"/>
      <c r="B296" s="40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</row>
    <row r="297" spans="1:15">
      <c r="A297" s="39"/>
      <c r="B297" s="40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</row>
    <row r="298" spans="1:15">
      <c r="A298" s="39"/>
      <c r="B298" s="40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</row>
    <row r="299" spans="1:15">
      <c r="A299" s="39"/>
      <c r="B299" s="40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</row>
    <row r="300" spans="1:15">
      <c r="A300" s="39"/>
      <c r="B300" s="40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</row>
    <row r="301" spans="1:15">
      <c r="A301" s="39"/>
      <c r="B301" s="40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</row>
    <row r="302" spans="1:15">
      <c r="A302" s="39"/>
      <c r="B302" s="40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</row>
    <row r="303" spans="1:15">
      <c r="A303" s="39"/>
      <c r="B303" s="40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</row>
    <row r="304" spans="1:15">
      <c r="A304" s="39"/>
      <c r="B304" s="40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</row>
    <row r="305" spans="1:15">
      <c r="A305" s="39"/>
      <c r="B305" s="40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</row>
    <row r="306" spans="1:15">
      <c r="A306" s="39"/>
      <c r="B306" s="40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</row>
    <row r="307" spans="1:15">
      <c r="A307" s="39"/>
      <c r="B307" s="40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</row>
    <row r="308" spans="1:15">
      <c r="A308" s="39"/>
      <c r="B308" s="40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</row>
    <row r="309" spans="1:15">
      <c r="A309" s="39"/>
      <c r="B309" s="40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</row>
    <row r="310" spans="1:15">
      <c r="A310" s="39"/>
      <c r="B310" s="40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</row>
    <row r="311" spans="1:15">
      <c r="A311" s="39"/>
      <c r="B311" s="40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</row>
    <row r="312" spans="1:15">
      <c r="A312" s="39"/>
      <c r="B312" s="40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</row>
    <row r="313" spans="1:15">
      <c r="A313" s="39"/>
      <c r="B313" s="40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</row>
    <row r="314" spans="1:15">
      <c r="A314" s="39"/>
      <c r="B314" s="40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</row>
    <row r="315" spans="1:15">
      <c r="A315" s="39"/>
      <c r="B315" s="40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</row>
    <row r="316" spans="1:15">
      <c r="A316" s="39"/>
      <c r="B316" s="40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</row>
    <row r="317" spans="1:15">
      <c r="A317" s="39"/>
      <c r="B317" s="40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</row>
    <row r="318" spans="1:15">
      <c r="A318" s="39"/>
      <c r="B318" s="40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</row>
    <row r="319" spans="1:15">
      <c r="A319" s="39"/>
      <c r="B319" s="40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</row>
    <row r="320" spans="1:15">
      <c r="A320" s="39"/>
      <c r="B320" s="40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</row>
    <row r="321" spans="1:15">
      <c r="A321" s="39"/>
      <c r="B321" s="40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</row>
    <row r="322" spans="1:15">
      <c r="A322" s="39"/>
      <c r="B322" s="40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</row>
    <row r="323" spans="1:15">
      <c r="A323" s="39"/>
      <c r="B323" s="40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</row>
    <row r="324" spans="1:15">
      <c r="A324" s="39"/>
      <c r="B324" s="40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</row>
    <row r="325" spans="1:15">
      <c r="A325" s="39"/>
      <c r="B325" s="40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</row>
    <row r="326" spans="1:15">
      <c r="A326" s="39"/>
      <c r="B326" s="40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</row>
    <row r="327" spans="1:15">
      <c r="A327" s="39"/>
      <c r="B327" s="40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</row>
    <row r="328" spans="1:15">
      <c r="A328" s="39"/>
      <c r="B328" s="40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</row>
    <row r="329" spans="1:15">
      <c r="A329" s="39"/>
      <c r="B329" s="40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</row>
    <row r="330" spans="1:15">
      <c r="A330" s="39"/>
      <c r="B330" s="40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</row>
    <row r="331" spans="1:15">
      <c r="A331" s="39"/>
      <c r="B331" s="40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</row>
    <row r="332" spans="1:15">
      <c r="A332" s="39"/>
      <c r="B332" s="40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</row>
    <row r="333" spans="1:15">
      <c r="A333" s="39"/>
      <c r="B333" s="40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</row>
    <row r="334" spans="1:15">
      <c r="A334" s="39"/>
      <c r="B334" s="40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</row>
    <row r="335" spans="1:15">
      <c r="A335" s="39"/>
      <c r="B335" s="40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</row>
    <row r="336" spans="1:15">
      <c r="A336" s="39"/>
      <c r="B336" s="40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</row>
    <row r="337" spans="1:15">
      <c r="A337" s="39"/>
      <c r="B337" s="40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</row>
    <row r="338" spans="1:15">
      <c r="A338" s="39"/>
      <c r="B338" s="40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</row>
    <row r="339" spans="1:15">
      <c r="A339" s="39"/>
      <c r="B339" s="40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</row>
    <row r="340" spans="1:15">
      <c r="A340" s="39"/>
      <c r="B340" s="40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</row>
    <row r="341" spans="1:15">
      <c r="A341" s="39"/>
      <c r="B341" s="40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</row>
    <row r="342" spans="1:15">
      <c r="A342" s="39"/>
      <c r="B342" s="40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</row>
    <row r="343" spans="1:15">
      <c r="A343" s="39"/>
      <c r="B343" s="40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</row>
    <row r="344" spans="1:15">
      <c r="A344" s="39"/>
      <c r="B344" s="40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</row>
    <row r="345" spans="1:15">
      <c r="A345" s="39"/>
      <c r="B345" s="40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</row>
    <row r="346" spans="1:15">
      <c r="A346" s="39"/>
      <c r="B346" s="40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</row>
    <row r="347" spans="1:15">
      <c r="A347" s="39"/>
      <c r="B347" s="40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</row>
    <row r="348" spans="1:15">
      <c r="A348" s="39"/>
      <c r="B348" s="40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</row>
    <row r="349" spans="1:15">
      <c r="A349" s="39"/>
      <c r="B349" s="40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</row>
    <row r="350" spans="1:15">
      <c r="A350" s="39"/>
      <c r="B350" s="40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</row>
    <row r="351" spans="1:15">
      <c r="A351" s="39"/>
      <c r="B351" s="40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</row>
    <row r="352" spans="1:15">
      <c r="A352" s="39"/>
      <c r="B352" s="40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</row>
    <row r="353" spans="1:15">
      <c r="A353" s="39"/>
      <c r="B353" s="40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</row>
    <row r="354" spans="1:15">
      <c r="A354" s="39"/>
      <c r="B354" s="40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</row>
    <row r="355" spans="1:15">
      <c r="A355" s="39"/>
      <c r="B355" s="40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</row>
    <row r="356" spans="1:15">
      <c r="A356" s="39"/>
      <c r="B356" s="40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</row>
    <row r="357" spans="1:15">
      <c r="A357" s="39"/>
      <c r="B357" s="40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</row>
    <row r="358" spans="1:15">
      <c r="A358" s="39"/>
      <c r="B358" s="40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</row>
    <row r="359" spans="1:15">
      <c r="A359" s="39"/>
      <c r="B359" s="40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</row>
    <row r="360" spans="1:15">
      <c r="A360" s="39"/>
      <c r="B360" s="40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</row>
    <row r="361" spans="1:15">
      <c r="A361" s="39"/>
      <c r="B361" s="40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</row>
    <row r="362" spans="1:15">
      <c r="A362" s="39"/>
      <c r="B362" s="40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</row>
    <row r="363" spans="1:15">
      <c r="A363" s="39"/>
      <c r="B363" s="40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</row>
    <row r="364" spans="1:15">
      <c r="A364" s="39"/>
      <c r="B364" s="40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</row>
    <row r="365" spans="1:15">
      <c r="A365" s="39"/>
      <c r="B365" s="40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</row>
    <row r="366" spans="1:15">
      <c r="A366" s="39"/>
      <c r="B366" s="40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</row>
    <row r="367" spans="1:15">
      <c r="A367" s="39"/>
      <c r="B367" s="40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</row>
    <row r="368" spans="1:15">
      <c r="A368" s="39"/>
      <c r="B368" s="40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</row>
    <row r="369" spans="1:15">
      <c r="A369" s="39"/>
      <c r="B369" s="40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</row>
    <row r="370" spans="1:15">
      <c r="A370" s="39"/>
      <c r="B370" s="40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</row>
    <row r="371" spans="1:15">
      <c r="A371" s="39"/>
      <c r="B371" s="40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</row>
    <row r="372" spans="1:15">
      <c r="A372" s="39"/>
      <c r="B372" s="40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</row>
    <row r="373" spans="1:15">
      <c r="A373" s="39"/>
      <c r="B373" s="40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</row>
    <row r="374" spans="1:15">
      <c r="A374" s="39"/>
      <c r="B374" s="40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</row>
    <row r="375" spans="1:15">
      <c r="A375" s="39"/>
      <c r="B375" s="40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</row>
    <row r="376" spans="1:15">
      <c r="A376" s="39"/>
      <c r="B376" s="40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</row>
    <row r="377" spans="1:15">
      <c r="A377" s="39"/>
      <c r="B377" s="40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</row>
    <row r="378" spans="1:15">
      <c r="A378" s="39"/>
      <c r="B378" s="40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</row>
    <row r="379" spans="1:15">
      <c r="A379" s="39"/>
      <c r="B379" s="40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</row>
    <row r="380" spans="1:15">
      <c r="A380" s="39"/>
      <c r="B380" s="40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</row>
    <row r="381" spans="1:15">
      <c r="A381" s="39"/>
      <c r="B381" s="40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</row>
    <row r="382" spans="1:15">
      <c r="A382" s="39"/>
      <c r="B382" s="40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</row>
    <row r="383" spans="1:15">
      <c r="A383" s="39"/>
      <c r="B383" s="40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</row>
    <row r="384" spans="1:15">
      <c r="A384" s="39"/>
      <c r="B384" s="40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</row>
    <row r="385" spans="1:15">
      <c r="A385" s="39"/>
      <c r="B385" s="40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</row>
    <row r="386" spans="1:15">
      <c r="A386" s="39"/>
      <c r="B386" s="40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</row>
    <row r="387" spans="1:15">
      <c r="A387" s="39"/>
      <c r="B387" s="40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</row>
    <row r="388" spans="1:15">
      <c r="A388" s="39"/>
      <c r="B388" s="40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</row>
    <row r="389" spans="1:15">
      <c r="A389" s="39"/>
      <c r="B389" s="40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</row>
    <row r="390" spans="1:15">
      <c r="A390" s="39"/>
      <c r="B390" s="40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</row>
    <row r="391" spans="1:15">
      <c r="A391" s="39"/>
      <c r="B391" s="40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</row>
    <row r="392" spans="1:15">
      <c r="A392" s="39"/>
      <c r="B392" s="40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</row>
    <row r="393" spans="1:15">
      <c r="A393" s="39"/>
      <c r="B393" s="40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</row>
    <row r="394" spans="1:15">
      <c r="A394" s="39"/>
      <c r="B394" s="40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</row>
    <row r="395" spans="1:15">
      <c r="A395" s="39"/>
      <c r="B395" s="40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</row>
    <row r="396" spans="1:15">
      <c r="A396" s="39"/>
      <c r="B396" s="40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</row>
    <row r="397" spans="1:15">
      <c r="A397" s="39"/>
      <c r="B397" s="40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</row>
    <row r="398" spans="1:15">
      <c r="A398" s="39"/>
      <c r="B398" s="40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</row>
    <row r="399" spans="1:15">
      <c r="A399" s="39"/>
      <c r="B399" s="40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</row>
    <row r="400" spans="1:15">
      <c r="A400" s="39"/>
      <c r="B400" s="40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</row>
    <row r="401" spans="1:15">
      <c r="A401" s="39"/>
      <c r="B401" s="40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</row>
    <row r="402" spans="1:15">
      <c r="A402" s="39"/>
      <c r="B402" s="40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</row>
    <row r="403" spans="1:15">
      <c r="A403" s="39"/>
      <c r="B403" s="40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</row>
    <row r="404" spans="1:15">
      <c r="A404" s="39"/>
      <c r="B404" s="40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</row>
    <row r="405" spans="1:15">
      <c r="A405" s="39"/>
      <c r="B405" s="40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</row>
    <row r="406" spans="1:15">
      <c r="A406" s="39"/>
      <c r="B406" s="40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</row>
    <row r="407" spans="1:15">
      <c r="A407" s="39"/>
      <c r="B407" s="40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</row>
    <row r="408" spans="1:15">
      <c r="A408" s="39"/>
      <c r="B408" s="40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</row>
    <row r="409" spans="1:15">
      <c r="A409" s="39"/>
      <c r="B409" s="40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</row>
    <row r="410" spans="1:15">
      <c r="A410" s="39"/>
      <c r="B410" s="40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</row>
    <row r="411" spans="1:15">
      <c r="A411" s="39"/>
      <c r="B411" s="40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</row>
    <row r="412" spans="1:15">
      <c r="A412" s="39"/>
      <c r="B412" s="40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</row>
    <row r="413" spans="1:15">
      <c r="A413" s="39"/>
      <c r="B413" s="40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</row>
    <row r="414" spans="1:15">
      <c r="A414" s="39"/>
      <c r="B414" s="40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</row>
    <row r="415" spans="1:15">
      <c r="A415" s="39"/>
      <c r="B415" s="40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</row>
    <row r="416" spans="1:15">
      <c r="A416" s="39"/>
      <c r="B416" s="40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</row>
    <row r="417" spans="1:15">
      <c r="A417" s="39"/>
      <c r="B417" s="40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</row>
    <row r="418" spans="1:15">
      <c r="A418" s="39"/>
      <c r="B418" s="40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</row>
    <row r="419" spans="1:15">
      <c r="A419" s="39"/>
      <c r="B419" s="40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</row>
    <row r="420" spans="1:15">
      <c r="A420" s="39"/>
      <c r="B420" s="40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</row>
    <row r="421" spans="1:15">
      <c r="A421" s="39"/>
      <c r="B421" s="40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</row>
    <row r="422" spans="1:15">
      <c r="A422" s="39"/>
      <c r="B422" s="40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</row>
    <row r="423" spans="1:15">
      <c r="A423" s="39"/>
      <c r="B423" s="40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</row>
    <row r="424" spans="1:15">
      <c r="A424" s="39"/>
      <c r="B424" s="40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</row>
    <row r="425" spans="1:15">
      <c r="A425" s="39"/>
      <c r="B425" s="40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</row>
    <row r="426" spans="1:15">
      <c r="A426" s="39"/>
      <c r="B426" s="40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</row>
    <row r="427" spans="1:15">
      <c r="A427" s="39"/>
      <c r="B427" s="40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</row>
    <row r="428" spans="1:15">
      <c r="A428" s="39"/>
      <c r="B428" s="40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</row>
    <row r="429" spans="1:15">
      <c r="A429" s="39"/>
      <c r="B429" s="40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</row>
    <row r="430" spans="1:15">
      <c r="A430" s="39"/>
      <c r="B430" s="40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</row>
    <row r="431" spans="1:15">
      <c r="A431" s="39"/>
      <c r="B431" s="40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</row>
    <row r="432" spans="1:15">
      <c r="A432" s="39"/>
      <c r="B432" s="40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</row>
    <row r="433" spans="1:15">
      <c r="A433" s="39"/>
      <c r="B433" s="40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</row>
    <row r="434" spans="1:15">
      <c r="A434" s="39"/>
      <c r="B434" s="40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</row>
    <row r="435" spans="1:15">
      <c r="A435" s="39"/>
      <c r="B435" s="40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</row>
    <row r="436" spans="1:15">
      <c r="A436" s="39"/>
      <c r="B436" s="40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</row>
    <row r="437" spans="1:15">
      <c r="A437" s="39"/>
      <c r="B437" s="40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</row>
    <row r="438" spans="1:15">
      <c r="A438" s="39"/>
      <c r="B438" s="40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</row>
    <row r="439" spans="1:15">
      <c r="A439" s="39"/>
      <c r="B439" s="40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</row>
    <row r="440" spans="1:15">
      <c r="A440" s="39"/>
      <c r="B440" s="40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</row>
    <row r="441" spans="1:15">
      <c r="A441" s="39"/>
      <c r="B441" s="40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</row>
    <row r="442" spans="1:15">
      <c r="A442" s="39"/>
      <c r="B442" s="40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</row>
    <row r="443" spans="1:15">
      <c r="A443" s="39"/>
      <c r="B443" s="40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</row>
    <row r="444" spans="1:15">
      <c r="A444" s="39"/>
      <c r="B444" s="40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</row>
    <row r="445" spans="1:15">
      <c r="A445" s="39"/>
      <c r="B445" s="40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</row>
    <row r="446" spans="1:15">
      <c r="A446" s="39"/>
      <c r="B446" s="40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</row>
    <row r="447" spans="1:15">
      <c r="A447" s="39"/>
      <c r="B447" s="40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</row>
    <row r="448" spans="1:15">
      <c r="A448" s="39"/>
      <c r="B448" s="40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</row>
    <row r="449" spans="1:15">
      <c r="A449" s="39"/>
      <c r="B449" s="40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</row>
    <row r="450" spans="1:15">
      <c r="A450" s="39"/>
      <c r="B450" s="40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</row>
    <row r="451" spans="1:15">
      <c r="A451" s="39"/>
      <c r="B451" s="40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</row>
    <row r="452" spans="1:15">
      <c r="A452" s="39"/>
      <c r="B452" s="40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</row>
    <row r="453" spans="1:15">
      <c r="A453" s="39"/>
      <c r="B453" s="40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</row>
    <row r="454" spans="1:15">
      <c r="A454" s="39"/>
      <c r="B454" s="40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</row>
    <row r="455" spans="1:15">
      <c r="A455" s="39"/>
      <c r="B455" s="40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</row>
    <row r="456" spans="1:15">
      <c r="A456" s="39"/>
      <c r="B456" s="40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</row>
    <row r="457" spans="1:15">
      <c r="A457" s="39"/>
      <c r="B457" s="40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</row>
    <row r="458" spans="1:15">
      <c r="A458" s="39"/>
      <c r="B458" s="40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</row>
    <row r="459" spans="1:15">
      <c r="A459" s="39"/>
      <c r="B459" s="40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</row>
    <row r="460" spans="1:15">
      <c r="A460" s="39"/>
      <c r="B460" s="40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</row>
    <row r="461" spans="1:15">
      <c r="A461" s="39"/>
      <c r="B461" s="40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</row>
    <row r="462" spans="1:15">
      <c r="A462" s="39"/>
      <c r="B462" s="40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</row>
    <row r="463" spans="1:15">
      <c r="A463" s="39"/>
      <c r="B463" s="40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</row>
    <row r="464" spans="1:15">
      <c r="A464" s="39"/>
      <c r="B464" s="40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</row>
    <row r="465" spans="1:15">
      <c r="A465" s="39"/>
      <c r="B465" s="40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</row>
    <row r="466" spans="1:15">
      <c r="A466" s="39"/>
      <c r="B466" s="40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</row>
    <row r="467" spans="1:15">
      <c r="A467" s="39"/>
      <c r="B467" s="40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</row>
    <row r="468" spans="1:15">
      <c r="A468" s="39"/>
      <c r="B468" s="40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</row>
    <row r="469" spans="1:15">
      <c r="A469" s="39"/>
      <c r="B469" s="40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</row>
    <row r="470" spans="1:15">
      <c r="A470" s="39"/>
      <c r="B470" s="40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</row>
    <row r="471" spans="1:15">
      <c r="A471" s="39"/>
      <c r="B471" s="40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</row>
    <row r="472" spans="1:15">
      <c r="A472" s="39"/>
      <c r="B472" s="40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</row>
    <row r="473" spans="1:15">
      <c r="A473" s="39"/>
      <c r="B473" s="40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</row>
    <row r="474" spans="1:15">
      <c r="A474" s="39"/>
      <c r="B474" s="40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</row>
    <row r="475" spans="1:15">
      <c r="A475" s="39"/>
      <c r="B475" s="40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</row>
    <row r="476" spans="1:15">
      <c r="A476" s="39"/>
      <c r="B476" s="40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</row>
    <row r="477" spans="1:15">
      <c r="A477" s="39"/>
      <c r="B477" s="40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</row>
    <row r="478" spans="1:15">
      <c r="A478" s="39"/>
      <c r="B478" s="40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</row>
    <row r="479" spans="1:15">
      <c r="A479" s="39"/>
      <c r="B479" s="40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</row>
    <row r="480" spans="1:15">
      <c r="A480" s="39"/>
      <c r="B480" s="40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</row>
    <row r="481" spans="1:15">
      <c r="A481" s="39"/>
      <c r="B481" s="40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</row>
    <row r="482" spans="1:15">
      <c r="A482" s="39"/>
      <c r="B482" s="40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</row>
    <row r="483" spans="1:15">
      <c r="A483" s="39"/>
      <c r="B483" s="40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</row>
    <row r="484" spans="1:15">
      <c r="A484" s="39"/>
      <c r="B484" s="40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</row>
    <row r="485" spans="1:15">
      <c r="A485" s="39"/>
      <c r="B485" s="40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</row>
    <row r="486" spans="1:15">
      <c r="A486" s="39"/>
      <c r="B486" s="40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</row>
    <row r="487" spans="1:15">
      <c r="A487" s="39"/>
      <c r="B487" s="40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</row>
    <row r="488" spans="1:15">
      <c r="A488" s="39"/>
      <c r="B488" s="40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</row>
    <row r="489" spans="1:15">
      <c r="A489" s="39"/>
      <c r="B489" s="40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</row>
    <row r="490" spans="1:15">
      <c r="A490" s="39"/>
      <c r="B490" s="40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</row>
    <row r="491" spans="1:15">
      <c r="A491" s="39"/>
      <c r="B491" s="40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</row>
    <row r="492" spans="1:15">
      <c r="A492" s="39"/>
      <c r="B492" s="40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</row>
    <row r="493" spans="1:15">
      <c r="A493" s="39"/>
      <c r="B493" s="40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</row>
    <row r="494" spans="1:15">
      <c r="A494" s="39"/>
      <c r="B494" s="40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</row>
    <row r="495" spans="1:15">
      <c r="A495" s="39"/>
      <c r="B495" s="40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</row>
    <row r="496" spans="1:15">
      <c r="A496" s="39"/>
      <c r="B496" s="40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</row>
    <row r="497" spans="1:15">
      <c r="A497" s="39"/>
      <c r="B497" s="40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</row>
    <row r="498" spans="1:15">
      <c r="A498" s="39"/>
      <c r="B498" s="40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</row>
    <row r="499" spans="1:15">
      <c r="A499" s="39"/>
      <c r="B499" s="40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</row>
    <row r="500" spans="1:15">
      <c r="A500" s="39"/>
      <c r="B500" s="40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</row>
    <row r="501" spans="1:15">
      <c r="A501" s="39"/>
      <c r="B501" s="40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</row>
    <row r="502" spans="1:15">
      <c r="A502" s="39"/>
      <c r="B502" s="40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</row>
    <row r="503" spans="1:15">
      <c r="A503" s="39"/>
      <c r="B503" s="40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</row>
    <row r="504" spans="1:15">
      <c r="A504" s="39"/>
      <c r="B504" s="40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</row>
    <row r="505" spans="1:15">
      <c r="A505" s="39"/>
      <c r="B505" s="40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</row>
    <row r="506" spans="1:15">
      <c r="A506" s="39"/>
      <c r="B506" s="40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</row>
    <row r="507" spans="1:15">
      <c r="A507" s="39"/>
      <c r="B507" s="40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</row>
    <row r="508" spans="1:15">
      <c r="A508" s="39"/>
      <c r="B508" s="40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</row>
    <row r="509" spans="1:15">
      <c r="A509" s="39"/>
      <c r="B509" s="40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</row>
    <row r="510" spans="1:15">
      <c r="A510" s="39"/>
      <c r="B510" s="40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</row>
    <row r="511" spans="1:15">
      <c r="A511" s="39"/>
      <c r="B511" s="40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</row>
    <row r="512" spans="1:15">
      <c r="A512" s="39"/>
      <c r="B512" s="40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</row>
    <row r="513" spans="1:15">
      <c r="A513" s="39"/>
      <c r="B513" s="40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</row>
    <row r="514" spans="1:15">
      <c r="A514" s="39"/>
      <c r="B514" s="40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</row>
    <row r="515" spans="1:15">
      <c r="A515" s="39"/>
      <c r="B515" s="40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</row>
    <row r="516" spans="1:15">
      <c r="A516" s="39"/>
      <c r="B516" s="40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</row>
    <row r="517" spans="1:15">
      <c r="A517" s="39"/>
      <c r="B517" s="40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</row>
    <row r="518" spans="1:15">
      <c r="A518" s="39"/>
      <c r="B518" s="40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</row>
    <row r="519" spans="1:15">
      <c r="A519" s="39"/>
      <c r="B519" s="40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</row>
    <row r="520" spans="1:15">
      <c r="A520" s="39"/>
      <c r="B520" s="40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</row>
    <row r="521" spans="1:15">
      <c r="A521" s="39"/>
      <c r="B521" s="40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</row>
    <row r="522" spans="1:15">
      <c r="A522" s="39"/>
      <c r="B522" s="40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</row>
    <row r="523" spans="1:15">
      <c r="A523" s="39"/>
      <c r="B523" s="40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</row>
    <row r="524" spans="1:15">
      <c r="A524" s="39"/>
      <c r="B524" s="40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</row>
    <row r="525" spans="1:15">
      <c r="A525" s="39"/>
      <c r="B525" s="40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</row>
    <row r="526" spans="1:15">
      <c r="A526" s="39"/>
      <c r="B526" s="40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</row>
    <row r="527" spans="1:15">
      <c r="A527" s="39"/>
      <c r="B527" s="40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</row>
    <row r="528" spans="1:15">
      <c r="A528" s="39"/>
      <c r="B528" s="40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</row>
    <row r="529" spans="1:15">
      <c r="A529" s="39"/>
      <c r="B529" s="40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</row>
    <row r="530" spans="1:15">
      <c r="A530" s="39"/>
      <c r="B530" s="40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</row>
    <row r="531" spans="1:15">
      <c r="A531" s="39"/>
      <c r="B531" s="40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</row>
    <row r="532" spans="1:15">
      <c r="A532" s="39"/>
      <c r="B532" s="40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</row>
    <row r="533" spans="1:15">
      <c r="A533" s="39"/>
      <c r="B533" s="40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</row>
    <row r="534" spans="1:15">
      <c r="A534" s="39"/>
      <c r="B534" s="40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</row>
    <row r="535" spans="1:15">
      <c r="A535" s="39"/>
      <c r="B535" s="40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</row>
    <row r="536" spans="1:15">
      <c r="A536" s="39"/>
      <c r="B536" s="40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</row>
    <row r="537" spans="1:15">
      <c r="A537" s="39"/>
      <c r="B537" s="40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</row>
    <row r="538" spans="1:15">
      <c r="A538" s="39"/>
      <c r="B538" s="40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</row>
    <row r="539" spans="1:15">
      <c r="A539" s="39"/>
      <c r="B539" s="40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</row>
    <row r="540" spans="1:15">
      <c r="A540" s="39"/>
      <c r="B540" s="40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</row>
    <row r="541" spans="1:15">
      <c r="A541" s="39"/>
      <c r="B541" s="40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</row>
    <row r="542" spans="1:15">
      <c r="A542" s="39"/>
      <c r="B542" s="40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</row>
    <row r="543" spans="1:15">
      <c r="A543" s="39"/>
      <c r="B543" s="40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</row>
    <row r="544" spans="1:15">
      <c r="A544" s="39"/>
      <c r="B544" s="40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</row>
    <row r="545" spans="1:15">
      <c r="A545" s="39"/>
      <c r="B545" s="40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</row>
    <row r="546" spans="1:15">
      <c r="A546" s="39"/>
      <c r="B546" s="40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</row>
    <row r="547" spans="1:15">
      <c r="A547" s="39"/>
      <c r="B547" s="40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</row>
    <row r="548" spans="1:15">
      <c r="A548" s="39"/>
      <c r="B548" s="40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</row>
    <row r="549" spans="1:15">
      <c r="A549" s="39"/>
      <c r="B549" s="40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</row>
    <row r="550" spans="1:15">
      <c r="A550" s="39"/>
      <c r="B550" s="40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</row>
    <row r="551" spans="1:15">
      <c r="A551" s="39"/>
      <c r="B551" s="40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</row>
    <row r="552" spans="1:15">
      <c r="A552" s="39"/>
      <c r="B552" s="40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</row>
    <row r="553" spans="1:15">
      <c r="A553" s="39"/>
      <c r="B553" s="40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</row>
    <row r="554" spans="1:15">
      <c r="A554" s="39"/>
      <c r="B554" s="40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</row>
    <row r="555" spans="1:15">
      <c r="A555" s="39"/>
      <c r="B555" s="40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</row>
    <row r="556" spans="1:15">
      <c r="A556" s="39"/>
      <c r="B556" s="40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</row>
    <row r="557" spans="1:15">
      <c r="A557" s="39"/>
      <c r="B557" s="40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</row>
    <row r="558" spans="1:15">
      <c r="A558" s="39"/>
      <c r="B558" s="40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</row>
    <row r="559" spans="1:15">
      <c r="A559" s="39"/>
      <c r="B559" s="40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</row>
    <row r="560" spans="1:15">
      <c r="A560" s="39"/>
      <c r="B560" s="40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</row>
    <row r="561" spans="1:15">
      <c r="A561" s="39"/>
      <c r="B561" s="40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</row>
    <row r="562" spans="1:15">
      <c r="A562" s="39"/>
      <c r="B562" s="40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</row>
    <row r="563" spans="1:15">
      <c r="A563" s="39"/>
      <c r="B563" s="40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</row>
    <row r="564" spans="1:15">
      <c r="A564" s="39"/>
      <c r="B564" s="40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</row>
    <row r="565" spans="1:15">
      <c r="A565" s="39"/>
      <c r="B565" s="40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</row>
    <row r="566" spans="1:15">
      <c r="A566" s="39"/>
      <c r="B566" s="40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</row>
    <row r="567" spans="1:15">
      <c r="A567" s="39"/>
      <c r="B567" s="40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</row>
    <row r="568" spans="1:15">
      <c r="A568" s="39"/>
      <c r="B568" s="40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</row>
    <row r="569" spans="1:15">
      <c r="A569" s="39"/>
      <c r="B569" s="40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</row>
    <row r="570" spans="1:15">
      <c r="A570" s="39"/>
      <c r="B570" s="40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</row>
    <row r="571" spans="1:15">
      <c r="A571" s="39"/>
      <c r="B571" s="40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</row>
    <row r="572" spans="1:15">
      <c r="A572" s="39"/>
      <c r="B572" s="40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</row>
    <row r="573" spans="1:15">
      <c r="A573" s="39"/>
      <c r="B573" s="40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</row>
    <row r="574" spans="1:15">
      <c r="A574" s="39"/>
      <c r="B574" s="40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</row>
    <row r="575" spans="1:15">
      <c r="A575" s="39"/>
      <c r="B575" s="40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</row>
    <row r="576" spans="1:15">
      <c r="A576" s="39"/>
      <c r="B576" s="40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</row>
    <row r="577" spans="1:15">
      <c r="A577" s="39"/>
      <c r="B577" s="40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</row>
    <row r="578" spans="1:15">
      <c r="A578" s="39"/>
      <c r="B578" s="40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</row>
    <row r="579" spans="1:15">
      <c r="A579" s="39"/>
      <c r="B579" s="40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</row>
    <row r="580" spans="1:15">
      <c r="A580" s="39"/>
      <c r="B580" s="40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</row>
    <row r="581" spans="1:15">
      <c r="A581" s="39"/>
      <c r="B581" s="40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</row>
    <row r="582" spans="1:15">
      <c r="A582" s="39"/>
      <c r="B582" s="40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</row>
    <row r="583" spans="1:15">
      <c r="A583" s="39"/>
      <c r="B583" s="40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</row>
    <row r="584" spans="1:15">
      <c r="A584" s="39"/>
      <c r="B584" s="40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</row>
    <row r="585" spans="1:15">
      <c r="A585" s="39"/>
      <c r="B585" s="40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</row>
    <row r="586" spans="1:15">
      <c r="A586" s="39"/>
      <c r="B586" s="40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</row>
    <row r="587" spans="1:15">
      <c r="A587" s="39"/>
      <c r="B587" s="40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</row>
    <row r="588" spans="1:15">
      <c r="A588" s="39"/>
      <c r="B588" s="40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</row>
    <row r="589" spans="1:15">
      <c r="A589" s="39"/>
      <c r="B589" s="40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</row>
    <row r="590" spans="1:15">
      <c r="A590" s="39"/>
      <c r="B590" s="40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</row>
    <row r="591" spans="1:15">
      <c r="A591" s="39"/>
      <c r="B591" s="40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</row>
    <row r="592" spans="1:15">
      <c r="A592" s="39"/>
      <c r="B592" s="40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</row>
    <row r="593" spans="1:15">
      <c r="A593" s="39"/>
      <c r="B593" s="40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</row>
    <row r="594" spans="1:15">
      <c r="A594" s="39"/>
      <c r="B594" s="40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</row>
    <row r="595" spans="1:15">
      <c r="A595" s="39"/>
      <c r="B595" s="40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</row>
    <row r="596" spans="1:15">
      <c r="A596" s="39"/>
      <c r="B596" s="40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</row>
    <row r="597" spans="1:15">
      <c r="A597" s="39"/>
      <c r="B597" s="40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</row>
    <row r="598" spans="1:15">
      <c r="A598" s="39"/>
      <c r="B598" s="40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</row>
    <row r="599" spans="1:15">
      <c r="A599" s="39"/>
      <c r="B599" s="40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</row>
    <row r="600" spans="1:15">
      <c r="A600" s="39"/>
      <c r="B600" s="40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</row>
    <row r="601" spans="1:15">
      <c r="A601" s="39"/>
      <c r="B601" s="40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</row>
    <row r="602" spans="1:15">
      <c r="A602" s="39"/>
      <c r="B602" s="40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</row>
    <row r="603" spans="1:15">
      <c r="A603" s="39"/>
      <c r="B603" s="40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</row>
    <row r="604" spans="1:15">
      <c r="A604" s="39"/>
      <c r="B604" s="40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</row>
    <row r="605" spans="1:15">
      <c r="A605" s="39"/>
      <c r="B605" s="40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</row>
    <row r="606" spans="1:15">
      <c r="A606" s="39"/>
      <c r="B606" s="40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</row>
    <row r="607" spans="1:15">
      <c r="A607" s="39"/>
      <c r="B607" s="40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</row>
    <row r="608" spans="1:15">
      <c r="A608" s="39"/>
      <c r="B608" s="40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</row>
    <row r="609" spans="1:15">
      <c r="A609" s="39"/>
      <c r="B609" s="40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</row>
    <row r="610" spans="1:15">
      <c r="A610" s="39"/>
      <c r="B610" s="40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</row>
    <row r="611" spans="1:15">
      <c r="A611" s="39"/>
      <c r="B611" s="40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</row>
    <row r="612" spans="1:15">
      <c r="A612" s="39"/>
      <c r="B612" s="40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</row>
    <row r="613" spans="1:15">
      <c r="A613" s="39"/>
      <c r="B613" s="40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</row>
    <row r="614" spans="1:15">
      <c r="A614" s="39"/>
      <c r="B614" s="40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</row>
    <row r="615" spans="1:15">
      <c r="A615" s="39"/>
      <c r="B615" s="40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</row>
    <row r="616" spans="1:15">
      <c r="A616" s="39"/>
      <c r="B616" s="40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</row>
    <row r="617" spans="1:15">
      <c r="A617" s="39"/>
      <c r="B617" s="40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</row>
    <row r="618" spans="1:15">
      <c r="A618" s="39"/>
      <c r="B618" s="40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</row>
    <row r="619" spans="1:15">
      <c r="A619" s="39"/>
      <c r="B619" s="40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</row>
    <row r="620" spans="1:15">
      <c r="A620" s="39"/>
      <c r="B620" s="40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</row>
    <row r="621" spans="1:15">
      <c r="A621" s="39"/>
      <c r="B621" s="40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</row>
    <row r="622" spans="1:15">
      <c r="A622" s="39"/>
      <c r="B622" s="40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</row>
    <row r="623" spans="1:15">
      <c r="A623" s="39"/>
      <c r="B623" s="40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</row>
    <row r="624" spans="1:15">
      <c r="A624" s="39"/>
      <c r="B624" s="40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</row>
    <row r="625" spans="1:15">
      <c r="A625" s="39"/>
      <c r="B625" s="40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</row>
    <row r="626" spans="1:15">
      <c r="A626" s="39"/>
      <c r="B626" s="40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</row>
    <row r="627" spans="1:15">
      <c r="A627" s="39"/>
      <c r="B627" s="40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</row>
    <row r="628" spans="1:15">
      <c r="A628" s="39"/>
      <c r="B628" s="40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</row>
    <row r="629" spans="1:15">
      <c r="A629" s="39"/>
      <c r="B629" s="40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</row>
    <row r="630" spans="1:15">
      <c r="A630" s="39"/>
      <c r="B630" s="40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</row>
    <row r="631" spans="1:15">
      <c r="A631" s="39"/>
      <c r="B631" s="40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</row>
    <row r="632" spans="1:15">
      <c r="A632" s="39"/>
      <c r="B632" s="40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</row>
    <row r="633" spans="1:15">
      <c r="A633" s="39"/>
      <c r="B633" s="40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</row>
    <row r="634" spans="1:15">
      <c r="A634" s="39"/>
      <c r="B634" s="40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</row>
    <row r="635" spans="1:15">
      <c r="A635" s="39"/>
      <c r="B635" s="40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</row>
    <row r="636" spans="1:15">
      <c r="A636" s="39"/>
      <c r="B636" s="40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</row>
    <row r="637" spans="1:15">
      <c r="A637" s="39"/>
      <c r="B637" s="40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</row>
    <row r="638" spans="1:15">
      <c r="A638" s="39"/>
      <c r="B638" s="40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</row>
    <row r="639" spans="1:15">
      <c r="A639" s="39"/>
      <c r="B639" s="40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</row>
    <row r="640" spans="1:15">
      <c r="A640" s="39"/>
      <c r="B640" s="40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</row>
    <row r="641" spans="1:15">
      <c r="A641" s="39"/>
      <c r="B641" s="40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</row>
    <row r="642" spans="1:15">
      <c r="A642" s="39"/>
      <c r="B642" s="40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</row>
    <row r="643" spans="1:15">
      <c r="A643" s="39"/>
      <c r="B643" s="40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</row>
    <row r="644" spans="1:15">
      <c r="A644" s="39"/>
      <c r="B644" s="40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</row>
    <row r="645" spans="1:15">
      <c r="A645" s="39"/>
      <c r="B645" s="40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</row>
    <row r="646" spans="1:15">
      <c r="A646" s="39"/>
      <c r="B646" s="40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</row>
    <row r="647" spans="1:15">
      <c r="A647" s="39"/>
      <c r="B647" s="40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</row>
    <row r="648" spans="1:15">
      <c r="A648" s="39"/>
      <c r="B648" s="40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</row>
    <row r="649" spans="1:15">
      <c r="A649" s="39"/>
      <c r="B649" s="40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</row>
    <row r="650" spans="1:15">
      <c r="A650" s="39"/>
      <c r="B650" s="40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</row>
    <row r="651" spans="1:15">
      <c r="A651" s="39"/>
      <c r="B651" s="40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</row>
    <row r="652" spans="1:15">
      <c r="A652" s="39"/>
      <c r="B652" s="40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</row>
    <row r="653" spans="1:15">
      <c r="A653" s="39"/>
      <c r="B653" s="40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</row>
    <row r="654" spans="1:15">
      <c r="A654" s="39"/>
      <c r="B654" s="40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</row>
    <row r="655" spans="1:15">
      <c r="A655" s="39"/>
      <c r="B655" s="40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</row>
    <row r="656" spans="1:15">
      <c r="A656" s="39"/>
      <c r="B656" s="40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</row>
    <row r="657" spans="1:15">
      <c r="A657" s="39"/>
      <c r="B657" s="40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</row>
    <row r="658" spans="1:15">
      <c r="A658" s="39"/>
      <c r="B658" s="40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</row>
    <row r="659" spans="1:15">
      <c r="A659" s="39"/>
      <c r="B659" s="40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</row>
    <row r="660" spans="1:15">
      <c r="A660" s="39"/>
      <c r="B660" s="40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</row>
    <row r="661" spans="1:15">
      <c r="A661" s="39"/>
      <c r="B661" s="40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</row>
    <row r="662" spans="1:15">
      <c r="A662" s="39"/>
      <c r="B662" s="40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</row>
    <row r="663" spans="1:15">
      <c r="A663" s="39"/>
      <c r="B663" s="40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</row>
    <row r="664" spans="1:15">
      <c r="A664" s="39"/>
      <c r="B664" s="40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</row>
    <row r="665" spans="1:15">
      <c r="A665" s="39"/>
      <c r="B665" s="40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</row>
    <row r="666" spans="1:15">
      <c r="A666" s="39"/>
      <c r="B666" s="40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</row>
    <row r="667" spans="1:15">
      <c r="A667" s="39"/>
      <c r="B667" s="40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</row>
    <row r="668" spans="1:15">
      <c r="A668" s="39"/>
      <c r="B668" s="40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</row>
    <row r="669" spans="1:15">
      <c r="A669" s="39"/>
      <c r="B669" s="40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</row>
    <row r="670" spans="1:15">
      <c r="A670" s="39"/>
      <c r="B670" s="40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</row>
    <row r="671" spans="1:15">
      <c r="A671" s="39"/>
      <c r="B671" s="40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</row>
    <row r="672" spans="1:15">
      <c r="A672" s="39"/>
      <c r="B672" s="40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</row>
    <row r="673" spans="1:15">
      <c r="A673" s="39"/>
      <c r="B673" s="40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</row>
    <row r="674" spans="1:15">
      <c r="A674" s="39"/>
      <c r="B674" s="40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</row>
    <row r="675" spans="1:15">
      <c r="A675" s="39"/>
      <c r="B675" s="40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</row>
    <row r="676" spans="1:15">
      <c r="A676" s="39"/>
      <c r="B676" s="40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</row>
    <row r="677" spans="1:15">
      <c r="A677" s="39"/>
      <c r="B677" s="40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</row>
    <row r="678" spans="1:15">
      <c r="A678" s="39"/>
      <c r="B678" s="40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</row>
    <row r="679" spans="1:15">
      <c r="A679" s="39"/>
      <c r="B679" s="40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</row>
    <row r="680" spans="1:15">
      <c r="A680" s="39"/>
      <c r="B680" s="40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</row>
    <row r="681" spans="1:15">
      <c r="A681" s="39"/>
      <c r="B681" s="40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</row>
    <row r="682" spans="1:15">
      <c r="A682" s="39"/>
      <c r="B682" s="40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</row>
    <row r="683" spans="1:15">
      <c r="A683" s="39"/>
      <c r="B683" s="40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</row>
    <row r="684" spans="1:15">
      <c r="A684" s="39"/>
      <c r="B684" s="40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</row>
    <row r="685" spans="1:15">
      <c r="A685" s="39"/>
      <c r="B685" s="40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</row>
    <row r="686" spans="1:15">
      <c r="A686" s="39"/>
      <c r="B686" s="40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</row>
    <row r="687" spans="1:15">
      <c r="A687" s="39"/>
      <c r="B687" s="40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</row>
    <row r="688" spans="1:15">
      <c r="A688" s="39"/>
      <c r="B688" s="40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</row>
    <row r="689" spans="1:15">
      <c r="A689" s="39"/>
      <c r="B689" s="40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</row>
    <row r="690" spans="1:15">
      <c r="A690" s="39"/>
      <c r="B690" s="40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</row>
    <row r="691" spans="1:15">
      <c r="A691" s="39"/>
      <c r="B691" s="40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</row>
    <row r="692" spans="1:15">
      <c r="A692" s="39"/>
      <c r="B692" s="40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</row>
    <row r="693" spans="1:15">
      <c r="A693" s="39"/>
      <c r="B693" s="40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</row>
    <row r="694" spans="1:15">
      <c r="A694" s="39"/>
      <c r="B694" s="40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</row>
    <row r="695" spans="1:15">
      <c r="A695" s="39"/>
      <c r="B695" s="40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</row>
    <row r="696" spans="1:15">
      <c r="A696" s="39"/>
      <c r="B696" s="40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</row>
    <row r="697" spans="1:15">
      <c r="A697" s="39"/>
      <c r="B697" s="40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</row>
    <row r="698" spans="1:15">
      <c r="A698" s="39"/>
      <c r="B698" s="40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</row>
    <row r="699" spans="1:15">
      <c r="A699" s="39"/>
      <c r="B699" s="40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</row>
    <row r="700" spans="1:15">
      <c r="A700" s="39"/>
      <c r="B700" s="40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</row>
    <row r="701" spans="1:15">
      <c r="A701" s="39"/>
      <c r="B701" s="40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</row>
    <row r="702" spans="1:15">
      <c r="A702" s="39"/>
      <c r="B702" s="40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</row>
    <row r="703" spans="1:15">
      <c r="A703" s="39"/>
      <c r="B703" s="40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</row>
    <row r="704" spans="1:15">
      <c r="A704" s="39"/>
      <c r="B704" s="40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</row>
    <row r="705" spans="1:15">
      <c r="A705" s="39"/>
      <c r="B705" s="40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</row>
    <row r="706" spans="1:15">
      <c r="A706" s="39"/>
      <c r="B706" s="40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</row>
    <row r="707" spans="1:15">
      <c r="A707" s="39"/>
      <c r="B707" s="40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</row>
    <row r="708" spans="1:15">
      <c r="A708" s="39"/>
      <c r="B708" s="40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</row>
    <row r="709" spans="1:15">
      <c r="A709" s="39"/>
      <c r="B709" s="40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</row>
    <row r="710" spans="1:15">
      <c r="A710" s="39"/>
      <c r="B710" s="40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</row>
    <row r="711" spans="1:15">
      <c r="A711" s="39"/>
      <c r="B711" s="40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</row>
    <row r="712" spans="1:15">
      <c r="A712" s="39"/>
      <c r="B712" s="40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</row>
    <row r="713" spans="1:15">
      <c r="A713" s="39"/>
      <c r="B713" s="40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</row>
    <row r="714" spans="1:15">
      <c r="A714" s="39"/>
      <c r="B714" s="40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</row>
    <row r="715" spans="1:15">
      <c r="A715" s="39"/>
      <c r="B715" s="40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</row>
    <row r="716" spans="1:15">
      <c r="A716" s="39"/>
      <c r="B716" s="40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</row>
    <row r="717" spans="1:15">
      <c r="A717" s="39"/>
      <c r="B717" s="40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</row>
    <row r="718" spans="1:15">
      <c r="A718" s="39"/>
      <c r="B718" s="40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</row>
    <row r="719" spans="1:15">
      <c r="A719" s="39"/>
      <c r="B719" s="40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</row>
    <row r="720" spans="1:15">
      <c r="A720" s="39"/>
      <c r="B720" s="40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</row>
    <row r="721" spans="1:15">
      <c r="A721" s="39"/>
      <c r="B721" s="40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</row>
    <row r="722" spans="1:15">
      <c r="A722" s="39"/>
      <c r="B722" s="40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</row>
    <row r="723" spans="1:15">
      <c r="A723" s="39"/>
      <c r="B723" s="40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</row>
    <row r="724" spans="1:15">
      <c r="A724" s="39"/>
      <c r="B724" s="40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</row>
    <row r="725" spans="1:15">
      <c r="A725" s="39"/>
      <c r="B725" s="40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</row>
    <row r="726" spans="1:15">
      <c r="A726" s="39"/>
      <c r="B726" s="40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</row>
    <row r="727" spans="1:15">
      <c r="A727" s="39"/>
      <c r="B727" s="40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</row>
    <row r="728" spans="1:15">
      <c r="A728" s="39"/>
      <c r="B728" s="40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</row>
    <row r="729" spans="1:15">
      <c r="A729" s="39"/>
      <c r="B729" s="40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</row>
    <row r="730" spans="1:15">
      <c r="A730" s="39"/>
      <c r="B730" s="40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</row>
    <row r="731" spans="1:15">
      <c r="A731" s="39"/>
      <c r="B731" s="40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</row>
    <row r="732" spans="1:15">
      <c r="A732" s="39"/>
      <c r="B732" s="40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</row>
    <row r="733" spans="1:15">
      <c r="A733" s="39"/>
      <c r="B733" s="40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</row>
    <row r="734" spans="1:15">
      <c r="A734" s="39"/>
      <c r="B734" s="40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</row>
    <row r="735" spans="1:15">
      <c r="A735" s="39"/>
      <c r="B735" s="40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</row>
    <row r="736" spans="1:15">
      <c r="A736" s="39"/>
      <c r="B736" s="40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</row>
    <row r="737" spans="1:15">
      <c r="A737" s="39"/>
      <c r="B737" s="40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</row>
    <row r="738" spans="1:15">
      <c r="A738" s="39"/>
      <c r="B738" s="40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</row>
    <row r="739" spans="1:15">
      <c r="A739" s="39"/>
      <c r="B739" s="40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</row>
    <row r="740" spans="1:15">
      <c r="A740" s="39"/>
      <c r="B740" s="40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</row>
    <row r="741" spans="1:15">
      <c r="A741" s="39"/>
      <c r="B741" s="40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</row>
    <row r="742" spans="1:15">
      <c r="A742" s="39"/>
      <c r="B742" s="40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</row>
    <row r="743" spans="1:15">
      <c r="A743" s="39"/>
      <c r="B743" s="40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</row>
    <row r="744" spans="1:15">
      <c r="A744" s="39"/>
      <c r="B744" s="40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</row>
    <row r="745" spans="1:15">
      <c r="A745" s="39"/>
      <c r="B745" s="40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</row>
    <row r="746" spans="1:15">
      <c r="A746" s="39"/>
      <c r="B746" s="40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</row>
    <row r="747" spans="1:15">
      <c r="A747" s="39"/>
      <c r="B747" s="40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</row>
    <row r="748" spans="1:15">
      <c r="A748" s="39"/>
      <c r="B748" s="40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</row>
    <row r="749" spans="1:15">
      <c r="A749" s="39"/>
      <c r="B749" s="40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</row>
    <row r="750" spans="1:15">
      <c r="A750" s="39"/>
      <c r="B750" s="40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</row>
    <row r="751" spans="1:15">
      <c r="A751" s="39"/>
      <c r="B751" s="40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</row>
    <row r="752" spans="1:15">
      <c r="A752" s="39"/>
      <c r="B752" s="40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</row>
    <row r="753" spans="1:15">
      <c r="A753" s="39"/>
      <c r="B753" s="40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</row>
    <row r="754" spans="1:15">
      <c r="A754" s="39"/>
      <c r="B754" s="40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</row>
    <row r="755" spans="1:15">
      <c r="A755" s="39"/>
      <c r="B755" s="40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</row>
    <row r="756" spans="1:15">
      <c r="A756" s="39"/>
      <c r="B756" s="40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</row>
    <row r="757" spans="1:15">
      <c r="A757" s="39"/>
      <c r="B757" s="40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</row>
    <row r="758" spans="1:15">
      <c r="A758" s="39"/>
      <c r="B758" s="40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</row>
    <row r="759" spans="1:15">
      <c r="A759" s="39"/>
      <c r="B759" s="40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</row>
    <row r="760" spans="1:15">
      <c r="A760" s="39"/>
      <c r="B760" s="40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</row>
    <row r="761" spans="1:15">
      <c r="A761" s="39"/>
      <c r="B761" s="40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</row>
    <row r="762" spans="1:15">
      <c r="A762" s="39"/>
      <c r="B762" s="40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</row>
    <row r="763" spans="1:15">
      <c r="A763" s="39"/>
      <c r="B763" s="40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</row>
    <row r="764" spans="1:15">
      <c r="A764" s="39"/>
      <c r="B764" s="40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</row>
    <row r="765" spans="1:15">
      <c r="A765" s="39"/>
      <c r="B765" s="40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</row>
    <row r="766" spans="1:15">
      <c r="A766" s="39"/>
      <c r="B766" s="40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</row>
    <row r="767" spans="1:15">
      <c r="A767" s="39"/>
      <c r="B767" s="40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</row>
    <row r="768" spans="1:15">
      <c r="A768" s="39"/>
      <c r="B768" s="40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</row>
    <row r="769" spans="1:15">
      <c r="A769" s="39"/>
      <c r="B769" s="40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</row>
    <row r="770" spans="1:15">
      <c r="A770" s="39"/>
      <c r="B770" s="40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</row>
    <row r="771" spans="1:15">
      <c r="A771" s="39"/>
      <c r="B771" s="40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</row>
    <row r="772" spans="1:15">
      <c r="A772" s="39"/>
      <c r="B772" s="40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</row>
    <row r="773" spans="1:15">
      <c r="A773" s="39"/>
      <c r="B773" s="40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</row>
    <row r="774" spans="1:15">
      <c r="A774" s="39"/>
      <c r="B774" s="40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</row>
    <row r="775" spans="1:15">
      <c r="A775" s="39"/>
      <c r="B775" s="40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</row>
    <row r="776" spans="1:15">
      <c r="A776" s="39"/>
      <c r="B776" s="40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</row>
    <row r="777" spans="1:15">
      <c r="A777" s="39"/>
      <c r="B777" s="40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</row>
    <row r="778" spans="1:15">
      <c r="A778" s="39"/>
      <c r="B778" s="40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</row>
    <row r="779" spans="1:15">
      <c r="A779" s="39"/>
      <c r="B779" s="40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</row>
    <row r="780" spans="1:15">
      <c r="A780" s="39"/>
      <c r="B780" s="40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</row>
    <row r="781" spans="1:15">
      <c r="A781" s="39"/>
      <c r="B781" s="40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</row>
    <row r="782" spans="1:15">
      <c r="A782" s="39"/>
      <c r="B782" s="40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</row>
    <row r="783" spans="1:15">
      <c r="A783" s="39"/>
      <c r="B783" s="40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</row>
    <row r="784" spans="1:15">
      <c r="A784" s="39"/>
      <c r="B784" s="40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</row>
    <row r="785" spans="1:15">
      <c r="A785" s="39"/>
      <c r="B785" s="40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</row>
    <row r="786" spans="1:15">
      <c r="A786" s="39"/>
      <c r="B786" s="40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</row>
    <row r="787" spans="1:15">
      <c r="A787" s="39"/>
      <c r="B787" s="40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</row>
    <row r="788" spans="1:15">
      <c r="A788" s="39"/>
      <c r="B788" s="40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</row>
    <row r="789" spans="1:15">
      <c r="A789" s="39"/>
      <c r="B789" s="40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</row>
    <row r="790" spans="1:15">
      <c r="A790" s="39"/>
      <c r="B790" s="40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</row>
    <row r="791" spans="1:15">
      <c r="A791" s="39"/>
      <c r="B791" s="40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</row>
    <row r="792" spans="1:15">
      <c r="A792" s="39"/>
      <c r="B792" s="40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</row>
    <row r="793" spans="1:15">
      <c r="A793" s="39"/>
      <c r="B793" s="40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</row>
    <row r="794" spans="1:15">
      <c r="A794" s="39"/>
      <c r="B794" s="40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</row>
    <row r="795" spans="1:15">
      <c r="A795" s="39"/>
      <c r="B795" s="40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</row>
    <row r="796" spans="1:15">
      <c r="A796" s="39"/>
      <c r="B796" s="40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</row>
    <row r="797" spans="1:15">
      <c r="A797" s="39"/>
      <c r="B797" s="40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</row>
    <row r="798" spans="1:15">
      <c r="A798" s="39"/>
      <c r="B798" s="40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</row>
    <row r="799" spans="1:15">
      <c r="A799" s="39"/>
      <c r="B799" s="40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</row>
    <row r="800" spans="1:15">
      <c r="A800" s="39"/>
      <c r="B800" s="40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</row>
    <row r="801" spans="1:15">
      <c r="A801" s="39"/>
      <c r="B801" s="40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</row>
    <row r="802" spans="1:15">
      <c r="A802" s="39"/>
      <c r="B802" s="40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</row>
    <row r="803" spans="1:15">
      <c r="A803" s="39"/>
      <c r="B803" s="40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</row>
    <row r="804" spans="1:15">
      <c r="A804" s="39"/>
      <c r="B804" s="40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</row>
    <row r="805" spans="1:15">
      <c r="A805" s="39"/>
      <c r="B805" s="40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</row>
    <row r="806" spans="1:15">
      <c r="A806" s="39"/>
      <c r="B806" s="40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</row>
    <row r="807" spans="1:15">
      <c r="A807" s="39"/>
      <c r="B807" s="40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</row>
    <row r="808" spans="1:15">
      <c r="A808" s="39"/>
      <c r="B808" s="40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</row>
    <row r="809" spans="1:15">
      <c r="A809" s="39"/>
      <c r="B809" s="40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</row>
    <row r="810" spans="1:15">
      <c r="A810" s="39"/>
      <c r="B810" s="40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</row>
    <row r="811" spans="1:15">
      <c r="A811" s="39"/>
      <c r="B811" s="40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</row>
    <row r="812" spans="1:15">
      <c r="A812" s="39"/>
      <c r="B812" s="40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</row>
    <row r="813" spans="1:15">
      <c r="A813" s="39"/>
      <c r="B813" s="40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</row>
    <row r="814" spans="1:15">
      <c r="A814" s="39"/>
      <c r="B814" s="40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</row>
    <row r="815" spans="1:15">
      <c r="A815" s="39"/>
      <c r="B815" s="40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</row>
    <row r="816" spans="1:15">
      <c r="A816" s="39"/>
      <c r="B816" s="40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</row>
    <row r="817" spans="1:15">
      <c r="A817" s="39"/>
      <c r="B817" s="40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</row>
    <row r="818" spans="1:15">
      <c r="A818" s="39"/>
      <c r="B818" s="40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</row>
    <row r="819" spans="1:15">
      <c r="A819" s="39"/>
      <c r="B819" s="40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</row>
    <row r="820" spans="1:15">
      <c r="A820" s="39"/>
      <c r="B820" s="40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</row>
    <row r="821" spans="1:15">
      <c r="A821" s="39"/>
      <c r="B821" s="40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</row>
    <row r="822" spans="1:15">
      <c r="A822" s="39"/>
      <c r="B822" s="40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</row>
    <row r="823" spans="1:15">
      <c r="A823" s="39"/>
      <c r="B823" s="40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</row>
    <row r="824" spans="1:15">
      <c r="A824" s="39"/>
      <c r="B824" s="40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</row>
    <row r="825" spans="1:15">
      <c r="A825" s="39"/>
      <c r="B825" s="40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</row>
    <row r="826" spans="1:15">
      <c r="A826" s="39"/>
      <c r="B826" s="40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</row>
    <row r="827" spans="1:15">
      <c r="A827" s="39"/>
      <c r="B827" s="40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</row>
    <row r="828" spans="1:15">
      <c r="A828" s="39"/>
      <c r="B828" s="40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</row>
    <row r="829" spans="1:15">
      <c r="A829" s="39"/>
      <c r="B829" s="40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</row>
    <row r="830" spans="1:15">
      <c r="A830" s="39"/>
      <c r="B830" s="40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</row>
    <row r="831" spans="1:15">
      <c r="A831" s="39"/>
      <c r="B831" s="40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</row>
    <row r="832" spans="1:15">
      <c r="A832" s="39"/>
      <c r="B832" s="40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</row>
    <row r="833" spans="1:15">
      <c r="A833" s="39"/>
      <c r="B833" s="40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</row>
    <row r="834" spans="1:15">
      <c r="A834" s="39"/>
      <c r="B834" s="40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</row>
    <row r="835" spans="1:15">
      <c r="A835" s="39"/>
      <c r="B835" s="40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</row>
    <row r="836" spans="1:15">
      <c r="A836" s="39"/>
      <c r="B836" s="40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</row>
    <row r="837" spans="1:15">
      <c r="A837" s="39"/>
      <c r="B837" s="40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</row>
    <row r="838" spans="1:15">
      <c r="A838" s="39"/>
      <c r="B838" s="40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</row>
    <row r="839" spans="1:15">
      <c r="A839" s="39"/>
      <c r="B839" s="40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</row>
    <row r="840" spans="1:15">
      <c r="A840" s="39"/>
      <c r="B840" s="40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</row>
    <row r="841" spans="1:15">
      <c r="A841" s="39"/>
      <c r="B841" s="40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</row>
    <row r="842" spans="1:15">
      <c r="A842" s="39"/>
      <c r="B842" s="40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</row>
    <row r="843" spans="1:15">
      <c r="A843" s="39"/>
      <c r="B843" s="40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</row>
    <row r="844" spans="1:15">
      <c r="A844" s="39"/>
      <c r="B844" s="40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</row>
    <row r="845" spans="1:15">
      <c r="A845" s="39"/>
      <c r="B845" s="40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</row>
    <row r="846" spans="1:15">
      <c r="A846" s="39"/>
      <c r="B846" s="40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</row>
    <row r="847" spans="1:15">
      <c r="A847" s="39"/>
      <c r="B847" s="40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</row>
    <row r="848" spans="1:15">
      <c r="A848" s="39"/>
      <c r="B848" s="40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</row>
    <row r="849" spans="1:15">
      <c r="A849" s="39"/>
      <c r="B849" s="40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</row>
    <row r="850" spans="1:15">
      <c r="A850" s="39"/>
      <c r="B850" s="40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</row>
    <row r="851" spans="1:15">
      <c r="A851" s="39"/>
      <c r="B851" s="40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</row>
    <row r="852" spans="1:15">
      <c r="A852" s="39"/>
      <c r="B852" s="40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</row>
    <row r="853" spans="1:15">
      <c r="A853" s="39"/>
      <c r="B853" s="40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</row>
    <row r="854" spans="1:15">
      <c r="A854" s="39"/>
      <c r="B854" s="40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</row>
    <row r="855" spans="1:15">
      <c r="A855" s="39"/>
      <c r="B855" s="40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</row>
    <row r="856" spans="1:15">
      <c r="A856" s="39"/>
      <c r="B856" s="40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</row>
    <row r="857" spans="1:15">
      <c r="A857" s="39"/>
      <c r="B857" s="40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</row>
    <row r="858" spans="1:15">
      <c r="A858" s="39"/>
      <c r="B858" s="40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</row>
    <row r="859" spans="1:15">
      <c r="A859" s="39"/>
      <c r="B859" s="40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</row>
    <row r="860" spans="1:15">
      <c r="A860" s="39"/>
      <c r="B860" s="40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</row>
    <row r="861" spans="1:15">
      <c r="A861" s="39"/>
      <c r="B861" s="40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</row>
    <row r="862" spans="1:15">
      <c r="A862" s="39"/>
      <c r="B862" s="40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</row>
    <row r="863" spans="1:15">
      <c r="A863" s="39"/>
      <c r="B863" s="40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</row>
    <row r="864" spans="1:15">
      <c r="A864" s="39"/>
      <c r="B864" s="40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</row>
    <row r="865" spans="1:15">
      <c r="A865" s="39"/>
      <c r="B865" s="40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</row>
    <row r="866" spans="1:15">
      <c r="A866" s="39"/>
      <c r="B866" s="40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</row>
    <row r="867" spans="1:15">
      <c r="A867" s="39"/>
      <c r="B867" s="40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</row>
    <row r="868" spans="1:15">
      <c r="A868" s="39"/>
      <c r="B868" s="40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</row>
    <row r="869" spans="1:15">
      <c r="A869" s="39"/>
      <c r="B869" s="40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</row>
    <row r="870" spans="1:15">
      <c r="A870" s="39"/>
      <c r="B870" s="40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</row>
    <row r="871" spans="1:15">
      <c r="A871" s="39"/>
      <c r="B871" s="40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</row>
    <row r="872" spans="1:15">
      <c r="A872" s="39"/>
      <c r="B872" s="40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</row>
    <row r="873" spans="1:15">
      <c r="A873" s="39"/>
      <c r="B873" s="40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</row>
    <row r="874" spans="1:15">
      <c r="A874" s="39"/>
      <c r="B874" s="40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</row>
    <row r="875" spans="1:15">
      <c r="A875" s="39"/>
      <c r="B875" s="40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</row>
    <row r="876" spans="1:15">
      <c r="A876" s="39"/>
      <c r="B876" s="40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</row>
    <row r="877" spans="1:15">
      <c r="A877" s="39"/>
      <c r="B877" s="40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</row>
    <row r="878" spans="1:15">
      <c r="A878" s="39"/>
      <c r="B878" s="40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</row>
    <row r="879" spans="1:15">
      <c r="A879" s="39"/>
      <c r="B879" s="40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</row>
    <row r="880" spans="1:15">
      <c r="A880" s="39"/>
      <c r="B880" s="40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</row>
    <row r="881" spans="1:15">
      <c r="A881" s="39"/>
      <c r="B881" s="40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</row>
    <row r="882" spans="1:15">
      <c r="A882" s="39"/>
      <c r="B882" s="40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</row>
    <row r="883" spans="1:15">
      <c r="A883" s="39"/>
      <c r="B883" s="40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</row>
    <row r="884" spans="1:15">
      <c r="A884" s="39"/>
      <c r="B884" s="40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</row>
    <row r="885" spans="1:15">
      <c r="A885" s="39"/>
      <c r="B885" s="40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</row>
    <row r="886" spans="1:15">
      <c r="A886" s="39"/>
      <c r="B886" s="40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</row>
    <row r="887" spans="1:15">
      <c r="A887" s="39"/>
      <c r="B887" s="40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</row>
    <row r="888" spans="1:15">
      <c r="A888" s="39"/>
      <c r="B888" s="40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</row>
    <row r="889" spans="1:15">
      <c r="A889" s="39"/>
      <c r="B889" s="40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</row>
    <row r="890" spans="1:15">
      <c r="A890" s="39"/>
      <c r="B890" s="40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</row>
    <row r="891" spans="1:15">
      <c r="A891" s="39"/>
      <c r="B891" s="40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</row>
    <row r="892" spans="1:15">
      <c r="A892" s="39"/>
      <c r="B892" s="40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</row>
    <row r="893" spans="1:15">
      <c r="A893" s="39"/>
      <c r="B893" s="40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</row>
    <row r="894" spans="1:15">
      <c r="A894" s="39"/>
      <c r="B894" s="40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</row>
    <row r="895" spans="1:15">
      <c r="A895" s="39"/>
      <c r="B895" s="40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</row>
    <row r="896" spans="1:15">
      <c r="A896" s="39"/>
      <c r="B896" s="40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</row>
    <row r="897" spans="1:15">
      <c r="A897" s="39"/>
      <c r="B897" s="40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</row>
    <row r="898" spans="1:15">
      <c r="A898" s="39"/>
      <c r="B898" s="40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</row>
    <row r="899" spans="1:15">
      <c r="A899" s="39"/>
      <c r="B899" s="40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</row>
    <row r="900" spans="1:15">
      <c r="A900" s="39"/>
      <c r="B900" s="40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</row>
    <row r="901" spans="1:15">
      <c r="A901" s="39"/>
      <c r="B901" s="40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</row>
    <row r="902" spans="1:15">
      <c r="A902" s="39"/>
      <c r="B902" s="40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</row>
    <row r="903" spans="1:15">
      <c r="A903" s="39"/>
      <c r="B903" s="40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</row>
    <row r="904" spans="1:15">
      <c r="A904" s="39"/>
      <c r="B904" s="40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</row>
    <row r="905" spans="1:15">
      <c r="A905" s="39"/>
      <c r="B905" s="40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</row>
    <row r="906" spans="1:15">
      <c r="A906" s="39"/>
      <c r="B906" s="40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</row>
    <row r="907" spans="1:15">
      <c r="A907" s="39"/>
      <c r="B907" s="40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</row>
    <row r="908" spans="1:15">
      <c r="A908" s="39"/>
      <c r="B908" s="40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</row>
    <row r="909" spans="1:15">
      <c r="A909" s="39"/>
      <c r="B909" s="40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</row>
    <row r="910" spans="1:15">
      <c r="A910" s="39"/>
      <c r="B910" s="40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</row>
    <row r="911" spans="1:15">
      <c r="A911" s="39"/>
      <c r="B911" s="40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</row>
    <row r="912" spans="1:15">
      <c r="A912" s="39"/>
      <c r="B912" s="40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</row>
    <row r="913" spans="1:15">
      <c r="A913" s="39"/>
      <c r="B913" s="40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</row>
    <row r="914" spans="1:15">
      <c r="A914" s="39"/>
      <c r="B914" s="40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</row>
    <row r="915" spans="1:15">
      <c r="A915" s="39"/>
      <c r="B915" s="40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</row>
    <row r="916" spans="1:15">
      <c r="A916" s="39"/>
      <c r="B916" s="40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</row>
    <row r="917" spans="1:15">
      <c r="A917" s="39"/>
      <c r="B917" s="40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</row>
    <row r="918" spans="1:15">
      <c r="A918" s="39"/>
      <c r="B918" s="40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</row>
    <row r="919" spans="1:15">
      <c r="A919" s="39"/>
      <c r="B919" s="40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</row>
    <row r="920" spans="1:15">
      <c r="A920" s="39"/>
      <c r="B920" s="40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</row>
    <row r="921" spans="1:15">
      <c r="A921" s="39"/>
      <c r="B921" s="40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</row>
    <row r="922" spans="1:15">
      <c r="A922" s="39"/>
      <c r="B922" s="40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</row>
    <row r="923" spans="1:15">
      <c r="A923" s="39"/>
      <c r="B923" s="40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</row>
    <row r="924" spans="1:15">
      <c r="A924" s="39"/>
      <c r="B924" s="40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</row>
    <row r="925" spans="1:15">
      <c r="A925" s="39"/>
      <c r="B925" s="40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</row>
    <row r="926" spans="1:15">
      <c r="A926" s="39"/>
      <c r="B926" s="40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</row>
    <row r="927" spans="1:15">
      <c r="A927" s="39"/>
      <c r="B927" s="40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</row>
    <row r="928" spans="1:15">
      <c r="A928" s="39"/>
      <c r="B928" s="40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</row>
    <row r="929" spans="1:15">
      <c r="A929" s="39"/>
      <c r="B929" s="40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</row>
    <row r="930" spans="1:15">
      <c r="A930" s="39"/>
      <c r="B930" s="40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</row>
    <row r="931" spans="1:15">
      <c r="A931" s="39"/>
      <c r="B931" s="40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</row>
    <row r="932" spans="1:15">
      <c r="A932" s="39"/>
      <c r="B932" s="40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</row>
    <row r="933" spans="1:15">
      <c r="A933" s="39"/>
      <c r="B933" s="40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</row>
    <row r="934" spans="1:15">
      <c r="A934" s="39"/>
      <c r="B934" s="40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</row>
    <row r="935" spans="1:15">
      <c r="A935" s="39"/>
      <c r="B935" s="40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</row>
    <row r="936" spans="1:15">
      <c r="A936" s="39"/>
      <c r="B936" s="40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</row>
    <row r="937" spans="1:15">
      <c r="A937" s="39"/>
      <c r="B937" s="40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</row>
    <row r="938" spans="1:15">
      <c r="A938" s="39"/>
      <c r="B938" s="40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</row>
    <row r="939" spans="1:15">
      <c r="A939" s="39"/>
      <c r="B939" s="40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</row>
    <row r="940" spans="1:15">
      <c r="A940" s="39"/>
      <c r="B940" s="40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</row>
    <row r="941" spans="1:15">
      <c r="A941" s="39"/>
      <c r="B941" s="40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</row>
    <row r="942" spans="1:15">
      <c r="A942" s="39"/>
      <c r="B942" s="40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</row>
    <row r="943" spans="1:15">
      <c r="A943" s="39"/>
      <c r="B943" s="40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</row>
    <row r="944" spans="1:15">
      <c r="A944" s="39"/>
      <c r="B944" s="40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</row>
    <row r="945" spans="1:15">
      <c r="A945" s="39"/>
      <c r="B945" s="40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</row>
    <row r="946" spans="1:15">
      <c r="A946" s="39"/>
      <c r="B946" s="40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</row>
    <row r="947" spans="1:15">
      <c r="A947" s="39"/>
      <c r="B947" s="40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</row>
    <row r="948" spans="1:15">
      <c r="A948" s="39"/>
      <c r="B948" s="40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</row>
    <row r="949" spans="1:15">
      <c r="A949" s="39"/>
      <c r="B949" s="40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</row>
    <row r="950" spans="1:15">
      <c r="A950" s="39"/>
      <c r="B950" s="40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</row>
    <row r="951" spans="1:15">
      <c r="A951" s="39"/>
      <c r="B951" s="40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</row>
    <row r="952" spans="1:15">
      <c r="A952" s="39"/>
      <c r="B952" s="40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</row>
    <row r="953" spans="1:15">
      <c r="A953" s="39"/>
      <c r="B953" s="40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</row>
    <row r="954" spans="1:15">
      <c r="A954" s="39"/>
      <c r="B954" s="40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</row>
    <row r="955" spans="1:15">
      <c r="A955" s="39"/>
      <c r="B955" s="40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</row>
    <row r="956" spans="1:15">
      <c r="A956" s="39"/>
      <c r="B956" s="40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</row>
    <row r="957" spans="1:15">
      <c r="A957" s="39"/>
      <c r="B957" s="40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</row>
    <row r="958" spans="1:15">
      <c r="A958" s="39"/>
      <c r="B958" s="40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</row>
    <row r="959" spans="1:15">
      <c r="A959" s="39"/>
      <c r="B959" s="40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</row>
    <row r="960" spans="1:15">
      <c r="A960" s="39"/>
      <c r="B960" s="40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</row>
    <row r="961" spans="1:15">
      <c r="A961" s="39"/>
      <c r="B961" s="40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</row>
    <row r="962" spans="1:15">
      <c r="A962" s="39"/>
      <c r="B962" s="40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</row>
    <row r="963" spans="1:15">
      <c r="A963" s="39"/>
      <c r="B963" s="40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</row>
    <row r="964" spans="1:15">
      <c r="A964" s="39"/>
      <c r="B964" s="40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</row>
    <row r="965" spans="1:15">
      <c r="A965" s="39"/>
      <c r="B965" s="40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</row>
    <row r="966" spans="1:15">
      <c r="A966" s="39"/>
      <c r="B966" s="40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</row>
    <row r="967" spans="1:15">
      <c r="A967" s="39"/>
      <c r="B967" s="40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</row>
    <row r="968" spans="1:15">
      <c r="A968" s="39"/>
      <c r="B968" s="40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</row>
    <row r="969" spans="1:15">
      <c r="A969" s="39"/>
      <c r="B969" s="40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</row>
    <row r="970" spans="1:15">
      <c r="A970" s="39"/>
      <c r="B970" s="40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</row>
    <row r="971" spans="1:15">
      <c r="A971" s="39"/>
      <c r="B971" s="40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</row>
    <row r="972" spans="1:15">
      <c r="A972" s="39"/>
      <c r="B972" s="40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</row>
    <row r="973" spans="1:15">
      <c r="A973" s="39"/>
      <c r="B973" s="40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</row>
    <row r="974" spans="1:15">
      <c r="A974" s="39"/>
      <c r="B974" s="40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</row>
    <row r="975" spans="1:15">
      <c r="A975" s="39"/>
      <c r="B975" s="40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</row>
    <row r="976" spans="1:15">
      <c r="A976" s="39"/>
      <c r="B976" s="40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</row>
    <row r="977" spans="1:15">
      <c r="A977" s="39"/>
      <c r="B977" s="40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</row>
    <row r="978" spans="1:15">
      <c r="A978" s="39"/>
      <c r="B978" s="40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</row>
    <row r="979" spans="1:15">
      <c r="A979" s="39"/>
      <c r="B979" s="40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</row>
    <row r="980" spans="1:15">
      <c r="A980" s="39"/>
      <c r="B980" s="40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</row>
    <row r="981" spans="1:15">
      <c r="A981" s="39"/>
      <c r="B981" s="40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</row>
    <row r="982" spans="1:15">
      <c r="A982" s="39"/>
      <c r="B982" s="40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</row>
    <row r="983" spans="1:15">
      <c r="A983" s="39"/>
      <c r="B983" s="40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</row>
    <row r="984" spans="1:15">
      <c r="A984" s="39"/>
      <c r="B984" s="40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</row>
    <row r="985" spans="1:15">
      <c r="A985" s="39"/>
      <c r="B985" s="40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</row>
    <row r="986" spans="1:15">
      <c r="A986" s="39"/>
      <c r="B986" s="40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</row>
    <row r="987" spans="1:15">
      <c r="A987" s="39"/>
      <c r="B987" s="40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</row>
    <row r="988" spans="1:15">
      <c r="A988" s="39"/>
      <c r="B988" s="40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</row>
    <row r="989" spans="1:15">
      <c r="A989" s="39"/>
      <c r="B989" s="40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</row>
    <row r="990" spans="1:15">
      <c r="A990" s="39"/>
      <c r="B990" s="40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</row>
    <row r="991" spans="1:15">
      <c r="A991" s="39"/>
      <c r="B991" s="40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</row>
    <row r="992" spans="1:15">
      <c r="A992" s="39"/>
      <c r="B992" s="40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</row>
    <row r="993" spans="1:15">
      <c r="A993" s="39"/>
      <c r="B993" s="40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</row>
    <row r="994" spans="1:15">
      <c r="A994" s="39"/>
      <c r="B994" s="40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</row>
    <row r="995" spans="1:15">
      <c r="A995" s="39"/>
      <c r="B995" s="40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</row>
    <row r="996" spans="1:15">
      <c r="A996" s="39"/>
      <c r="B996" s="40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</row>
    <row r="997" spans="1:15">
      <c r="A997" s="39"/>
      <c r="B997" s="40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</row>
    <row r="998" spans="1:15">
      <c r="A998" s="39"/>
      <c r="B998" s="40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</row>
    <row r="999" spans="1:15">
      <c r="A999" s="39"/>
      <c r="B999" s="40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</row>
    <row r="1000" spans="1:15">
      <c r="A1000" s="39"/>
      <c r="B1000" s="40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</row>
    <row r="1001" spans="1:15">
      <c r="A1001" s="39"/>
      <c r="B1001" s="40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</row>
    <row r="1002" spans="1:15">
      <c r="A1002" s="39"/>
      <c r="B1002" s="40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</row>
    <row r="1003" spans="1:15">
      <c r="A1003" s="39"/>
      <c r="B1003" s="40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</row>
    <row r="1004" spans="1:15">
      <c r="A1004" s="39"/>
      <c r="B1004" s="40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</row>
    <row r="1005" spans="1:15">
      <c r="A1005" s="39"/>
      <c r="B1005" s="40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</row>
    <row r="1006" spans="1:15">
      <c r="A1006" s="39"/>
      <c r="B1006" s="40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</row>
    <row r="1007" spans="1:15">
      <c r="A1007" s="39"/>
      <c r="B1007" s="40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</row>
    <row r="1008" spans="1:15">
      <c r="A1008" s="39"/>
      <c r="B1008" s="40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</row>
    <row r="1009" spans="1:15">
      <c r="A1009" s="39"/>
      <c r="B1009" s="40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</row>
    <row r="1010" spans="1:15">
      <c r="A1010" s="39"/>
      <c r="B1010" s="40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</row>
    <row r="1011" spans="1:15">
      <c r="A1011" s="39"/>
      <c r="B1011" s="40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</row>
    <row r="1012" spans="1:15">
      <c r="A1012" s="39"/>
      <c r="B1012" s="40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</row>
    <row r="1013" spans="1:15">
      <c r="A1013" s="39"/>
      <c r="B1013" s="40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</row>
    <row r="1014" spans="1:15">
      <c r="A1014" s="39"/>
      <c r="B1014" s="40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</row>
    <row r="1015" spans="1:15">
      <c r="A1015" s="39"/>
      <c r="B1015" s="40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</row>
    <row r="1016" spans="1:15">
      <c r="A1016" s="39"/>
      <c r="B1016" s="40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</row>
    <row r="1017" spans="1:15">
      <c r="A1017" s="39"/>
      <c r="B1017" s="40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</row>
    <row r="1018" spans="1:15">
      <c r="A1018" s="39"/>
      <c r="B1018" s="40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</row>
    <row r="1019" spans="1:15">
      <c r="A1019" s="39"/>
      <c r="B1019" s="40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</row>
    <row r="1020" spans="1:15">
      <c r="A1020" s="39"/>
      <c r="B1020" s="40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</row>
    <row r="1021" spans="1:15">
      <c r="A1021" s="39"/>
      <c r="B1021" s="40"/>
      <c r="C1021" s="41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</row>
    <row r="1022" spans="1:15">
      <c r="A1022" s="39"/>
      <c r="B1022" s="40"/>
      <c r="C1022" s="41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</row>
    <row r="1023" spans="1:15">
      <c r="A1023" s="39"/>
      <c r="B1023" s="40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</row>
    <row r="1024" spans="1:15">
      <c r="A1024" s="39"/>
      <c r="B1024" s="40"/>
      <c r="C1024" s="41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</row>
    <row r="1025" spans="1:15">
      <c r="A1025" s="39"/>
      <c r="B1025" s="40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</row>
    <row r="1026" spans="1:15">
      <c r="A1026" s="39"/>
      <c r="B1026" s="40"/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</row>
    <row r="1027" spans="1:15">
      <c r="A1027" s="39"/>
      <c r="B1027" s="40"/>
      <c r="C1027" s="41"/>
      <c r="D1027" s="41"/>
      <c r="E1027" s="41"/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</row>
    <row r="1028" spans="1:15">
      <c r="A1028" s="39"/>
      <c r="B1028" s="40"/>
      <c r="C1028" s="41"/>
      <c r="D1028" s="41"/>
      <c r="E1028" s="41"/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</row>
    <row r="1029" spans="1:15">
      <c r="A1029" s="39"/>
      <c r="B1029" s="40"/>
      <c r="C1029" s="41"/>
      <c r="D1029" s="41"/>
      <c r="E1029" s="41"/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</row>
    <row r="1030" spans="1:15">
      <c r="A1030" s="39"/>
      <c r="B1030" s="40"/>
      <c r="C1030" s="41"/>
      <c r="D1030" s="41"/>
      <c r="E1030" s="41"/>
      <c r="F1030" s="41"/>
      <c r="G1030" s="41"/>
      <c r="H1030" s="41"/>
      <c r="I1030" s="41"/>
      <c r="J1030" s="41"/>
      <c r="K1030" s="41"/>
      <c r="L1030" s="41"/>
      <c r="M1030" s="41"/>
      <c r="N1030" s="41"/>
      <c r="O1030" s="41"/>
    </row>
    <row r="1031" spans="1:15">
      <c r="A1031" s="39"/>
      <c r="B1031" s="40"/>
      <c r="C1031" s="41"/>
      <c r="D1031" s="41"/>
      <c r="E1031" s="41"/>
      <c r="F1031" s="41"/>
      <c r="G1031" s="41"/>
      <c r="H1031" s="41"/>
      <c r="I1031" s="41"/>
      <c r="J1031" s="41"/>
      <c r="K1031" s="41"/>
      <c r="L1031" s="41"/>
      <c r="M1031" s="41"/>
      <c r="N1031" s="41"/>
      <c r="O1031" s="41"/>
    </row>
    <row r="1032" spans="1:15">
      <c r="A1032" s="39"/>
      <c r="B1032" s="40"/>
      <c r="C1032" s="41"/>
      <c r="D1032" s="41"/>
      <c r="E1032" s="41"/>
      <c r="F1032" s="41"/>
      <c r="G1032" s="41"/>
      <c r="H1032" s="41"/>
      <c r="I1032" s="41"/>
      <c r="J1032" s="41"/>
      <c r="K1032" s="41"/>
      <c r="L1032" s="41"/>
      <c r="M1032" s="41"/>
      <c r="N1032" s="41"/>
      <c r="O1032" s="41"/>
    </row>
    <row r="1033" spans="1:15">
      <c r="A1033" s="39"/>
      <c r="B1033" s="40"/>
      <c r="C1033" s="41"/>
      <c r="D1033" s="41"/>
      <c r="E1033" s="41"/>
      <c r="F1033" s="41"/>
      <c r="G1033" s="41"/>
      <c r="H1033" s="41"/>
      <c r="I1033" s="41"/>
      <c r="J1033" s="41"/>
      <c r="K1033" s="41"/>
      <c r="L1033" s="41"/>
      <c r="M1033" s="41"/>
      <c r="N1033" s="41"/>
      <c r="O1033" s="41"/>
    </row>
    <row r="1034" spans="1:15">
      <c r="A1034" s="39"/>
      <c r="B1034" s="40"/>
      <c r="C1034" s="41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</row>
    <row r="1035" spans="1:15">
      <c r="A1035" s="39"/>
      <c r="B1035" s="40"/>
      <c r="C1035" s="41"/>
      <c r="D1035" s="41"/>
      <c r="E1035" s="41"/>
      <c r="F1035" s="41"/>
      <c r="G1035" s="41"/>
      <c r="H1035" s="41"/>
      <c r="I1035" s="41"/>
      <c r="J1035" s="41"/>
      <c r="K1035" s="41"/>
      <c r="L1035" s="41"/>
      <c r="M1035" s="41"/>
      <c r="N1035" s="41"/>
      <c r="O1035" s="41"/>
    </row>
    <row r="1036" spans="1:15">
      <c r="A1036" s="39"/>
      <c r="B1036" s="40"/>
      <c r="C1036" s="41"/>
      <c r="D1036" s="41"/>
      <c r="E1036" s="41"/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</row>
    <row r="1037" spans="1:15">
      <c r="A1037" s="39"/>
      <c r="B1037" s="40"/>
      <c r="C1037" s="41"/>
      <c r="D1037" s="41"/>
      <c r="E1037" s="41"/>
      <c r="F1037" s="41"/>
      <c r="G1037" s="41"/>
      <c r="H1037" s="41"/>
      <c r="I1037" s="41"/>
      <c r="J1037" s="41"/>
      <c r="K1037" s="41"/>
      <c r="L1037" s="41"/>
      <c r="M1037" s="41"/>
      <c r="N1037" s="41"/>
      <c r="O1037" s="41"/>
    </row>
    <row r="1038" spans="1:15">
      <c r="A1038" s="39"/>
      <c r="B1038" s="40"/>
      <c r="C1038" s="41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</row>
    <row r="1039" spans="1:15">
      <c r="A1039" s="39"/>
      <c r="B1039" s="40"/>
      <c r="C1039" s="41"/>
      <c r="D1039" s="41"/>
      <c r="E1039" s="41"/>
      <c r="F1039" s="41"/>
      <c r="G1039" s="41"/>
      <c r="H1039" s="41"/>
      <c r="I1039" s="41"/>
      <c r="J1039" s="41"/>
      <c r="K1039" s="41"/>
      <c r="L1039" s="41"/>
      <c r="M1039" s="41"/>
      <c r="N1039" s="41"/>
      <c r="O1039" s="41"/>
    </row>
    <row r="1040" spans="1:15">
      <c r="A1040" s="39"/>
      <c r="B1040" s="40"/>
      <c r="C1040" s="41"/>
      <c r="D1040" s="41"/>
      <c r="E1040" s="41"/>
      <c r="F1040" s="41"/>
      <c r="G1040" s="41"/>
      <c r="H1040" s="41"/>
      <c r="I1040" s="41"/>
      <c r="J1040" s="41"/>
      <c r="K1040" s="41"/>
      <c r="L1040" s="41"/>
      <c r="M1040" s="41"/>
      <c r="N1040" s="41"/>
      <c r="O1040" s="41"/>
    </row>
    <row r="1041" spans="1:15">
      <c r="A1041" s="39"/>
      <c r="B1041" s="40"/>
      <c r="C1041" s="41"/>
      <c r="D1041" s="41"/>
      <c r="E1041" s="41"/>
      <c r="F1041" s="41"/>
      <c r="G1041" s="41"/>
      <c r="H1041" s="41"/>
      <c r="I1041" s="41"/>
      <c r="J1041" s="41"/>
      <c r="K1041" s="41"/>
      <c r="L1041" s="41"/>
      <c r="M1041" s="41"/>
      <c r="N1041" s="41"/>
      <c r="O1041" s="41"/>
    </row>
    <row r="1042" spans="1:15">
      <c r="A1042" s="39"/>
      <c r="B1042" s="40"/>
      <c r="C1042" s="41"/>
      <c r="D1042" s="41"/>
      <c r="E1042" s="41"/>
      <c r="F1042" s="41"/>
      <c r="G1042" s="41"/>
      <c r="H1042" s="41"/>
      <c r="I1042" s="41"/>
      <c r="J1042" s="41"/>
      <c r="K1042" s="41"/>
      <c r="L1042" s="41"/>
      <c r="M1042" s="41"/>
      <c r="N1042" s="41"/>
      <c r="O1042" s="41"/>
    </row>
    <row r="1043" spans="1:15">
      <c r="A1043" s="39"/>
      <c r="B1043" s="40"/>
      <c r="C1043" s="41"/>
      <c r="D1043" s="41"/>
      <c r="E1043" s="41"/>
      <c r="F1043" s="41"/>
      <c r="G1043" s="41"/>
      <c r="H1043" s="41"/>
      <c r="I1043" s="41"/>
      <c r="J1043" s="41"/>
      <c r="K1043" s="41"/>
      <c r="L1043" s="41"/>
      <c r="M1043" s="41"/>
      <c r="N1043" s="41"/>
      <c r="O1043" s="41"/>
    </row>
    <row r="1044" spans="1:15">
      <c r="A1044" s="39"/>
      <c r="B1044" s="40"/>
      <c r="C1044" s="41"/>
      <c r="D1044" s="41"/>
      <c r="E1044" s="41"/>
      <c r="F1044" s="41"/>
      <c r="G1044" s="41"/>
      <c r="H1044" s="41"/>
      <c r="I1044" s="41"/>
      <c r="J1044" s="41"/>
      <c r="K1044" s="41"/>
      <c r="L1044" s="41"/>
      <c r="M1044" s="41"/>
      <c r="N1044" s="41"/>
      <c r="O1044" s="41"/>
    </row>
    <row r="1045" spans="1:15">
      <c r="A1045" s="39"/>
      <c r="B1045" s="40"/>
      <c r="C1045" s="41"/>
      <c r="D1045" s="41"/>
      <c r="E1045" s="41"/>
      <c r="F1045" s="41"/>
      <c r="G1045" s="41"/>
      <c r="H1045" s="41"/>
      <c r="I1045" s="41"/>
      <c r="J1045" s="41"/>
      <c r="K1045" s="41"/>
      <c r="L1045" s="41"/>
      <c r="M1045" s="41"/>
      <c r="N1045" s="41"/>
      <c r="O1045" s="41"/>
    </row>
    <row r="1046" spans="1:15">
      <c r="A1046" s="39"/>
      <c r="B1046" s="40"/>
      <c r="C1046" s="41"/>
      <c r="D1046" s="41"/>
      <c r="E1046" s="41"/>
      <c r="F1046" s="41"/>
      <c r="G1046" s="41"/>
      <c r="H1046" s="41"/>
      <c r="I1046" s="41"/>
      <c r="J1046" s="41"/>
      <c r="K1046" s="41"/>
      <c r="L1046" s="41"/>
      <c r="M1046" s="41"/>
      <c r="N1046" s="41"/>
      <c r="O1046" s="41"/>
    </row>
    <row r="1047" spans="1:15">
      <c r="A1047" s="39"/>
      <c r="B1047" s="40"/>
      <c r="C1047" s="41"/>
      <c r="D1047" s="41"/>
      <c r="E1047" s="41"/>
      <c r="F1047" s="41"/>
      <c r="G1047" s="41"/>
      <c r="H1047" s="41"/>
      <c r="I1047" s="41"/>
      <c r="J1047" s="41"/>
      <c r="K1047" s="41"/>
      <c r="L1047" s="41"/>
      <c r="M1047" s="41"/>
      <c r="N1047" s="41"/>
      <c r="O1047" s="41"/>
    </row>
    <row r="1048" spans="1:15">
      <c r="A1048" s="39"/>
      <c r="B1048" s="40"/>
      <c r="C1048" s="41"/>
      <c r="D1048" s="41"/>
      <c r="E1048" s="41"/>
      <c r="F1048" s="41"/>
      <c r="G1048" s="41"/>
      <c r="H1048" s="41"/>
      <c r="I1048" s="41"/>
      <c r="J1048" s="41"/>
      <c r="K1048" s="41"/>
      <c r="L1048" s="41"/>
      <c r="M1048" s="41"/>
      <c r="N1048" s="41"/>
      <c r="O1048" s="41"/>
    </row>
    <row r="1049" spans="1:15">
      <c r="A1049" s="39"/>
      <c r="B1049" s="40"/>
      <c r="C1049" s="41"/>
      <c r="D1049" s="41"/>
      <c r="E1049" s="41"/>
      <c r="F1049" s="41"/>
      <c r="G1049" s="41"/>
      <c r="H1049" s="41"/>
      <c r="I1049" s="41"/>
      <c r="J1049" s="41"/>
      <c r="K1049" s="41"/>
      <c r="L1049" s="41"/>
      <c r="M1049" s="41"/>
      <c r="N1049" s="41"/>
      <c r="O1049" s="41"/>
    </row>
    <row r="1050" spans="1:15">
      <c r="A1050" s="39"/>
      <c r="B1050" s="40"/>
      <c r="C1050" s="41"/>
      <c r="D1050" s="41"/>
      <c r="E1050" s="41"/>
      <c r="F1050" s="41"/>
      <c r="G1050" s="41"/>
      <c r="H1050" s="41"/>
      <c r="I1050" s="41"/>
      <c r="J1050" s="41"/>
      <c r="K1050" s="41"/>
      <c r="L1050" s="41"/>
      <c r="M1050" s="41"/>
      <c r="N1050" s="41"/>
      <c r="O1050" s="41"/>
    </row>
    <row r="1051" spans="1:15">
      <c r="A1051" s="39"/>
      <c r="B1051" s="40"/>
      <c r="C1051" s="41"/>
      <c r="D1051" s="41"/>
      <c r="E1051" s="41"/>
      <c r="F1051" s="41"/>
      <c r="G1051" s="41"/>
      <c r="H1051" s="41"/>
      <c r="I1051" s="41"/>
      <c r="J1051" s="41"/>
      <c r="K1051" s="41"/>
      <c r="L1051" s="41"/>
      <c r="M1051" s="41"/>
      <c r="N1051" s="41"/>
      <c r="O1051" s="41"/>
    </row>
    <row r="1052" spans="1:15">
      <c r="A1052" s="39"/>
      <c r="B1052" s="40"/>
      <c r="C1052" s="41"/>
      <c r="D1052" s="41"/>
      <c r="E1052" s="41"/>
      <c r="F1052" s="41"/>
      <c r="G1052" s="41"/>
      <c r="H1052" s="41"/>
      <c r="I1052" s="41"/>
      <c r="J1052" s="41"/>
      <c r="K1052" s="41"/>
      <c r="L1052" s="41"/>
      <c r="M1052" s="41"/>
      <c r="N1052" s="41"/>
      <c r="O1052" s="41"/>
    </row>
    <row r="1053" spans="1:15">
      <c r="A1053" s="39"/>
      <c r="B1053" s="40"/>
      <c r="C1053" s="41"/>
      <c r="D1053" s="41"/>
      <c r="E1053" s="41"/>
      <c r="F1053" s="41"/>
      <c r="G1053" s="41"/>
      <c r="H1053" s="41"/>
      <c r="I1053" s="41"/>
      <c r="J1053" s="41"/>
      <c r="K1053" s="41"/>
      <c r="L1053" s="41"/>
      <c r="M1053" s="41"/>
      <c r="N1053" s="41"/>
      <c r="O1053" s="41"/>
    </row>
    <row r="1054" spans="1:15">
      <c r="A1054" s="39"/>
      <c r="B1054" s="40"/>
      <c r="C1054" s="41"/>
      <c r="D1054" s="41"/>
      <c r="E1054" s="41"/>
      <c r="F1054" s="41"/>
      <c r="G1054" s="41"/>
      <c r="H1054" s="41"/>
      <c r="I1054" s="41"/>
      <c r="J1054" s="41"/>
      <c r="K1054" s="41"/>
      <c r="L1054" s="41"/>
      <c r="M1054" s="41"/>
      <c r="N1054" s="41"/>
      <c r="O1054" s="41"/>
    </row>
    <row r="1055" spans="1:15">
      <c r="A1055" s="39"/>
      <c r="B1055" s="40"/>
      <c r="C1055" s="41"/>
      <c r="D1055" s="41"/>
      <c r="E1055" s="41"/>
      <c r="F1055" s="41"/>
      <c r="G1055" s="41"/>
      <c r="H1055" s="41"/>
      <c r="I1055" s="41"/>
      <c r="J1055" s="41"/>
      <c r="K1055" s="41"/>
      <c r="L1055" s="41"/>
      <c r="M1055" s="41"/>
      <c r="N1055" s="41"/>
      <c r="O1055" s="41"/>
    </row>
    <row r="1056" spans="1:15">
      <c r="A1056" s="39"/>
      <c r="B1056" s="40"/>
      <c r="C1056" s="41"/>
      <c r="D1056" s="41"/>
      <c r="E1056" s="41"/>
      <c r="F1056" s="41"/>
      <c r="G1056" s="41"/>
      <c r="H1056" s="41"/>
      <c r="I1056" s="41"/>
      <c r="J1056" s="41"/>
      <c r="K1056" s="41"/>
      <c r="L1056" s="41"/>
      <c r="M1056" s="41"/>
      <c r="N1056" s="41"/>
      <c r="O1056" s="41"/>
    </row>
    <row r="1057" spans="1:15">
      <c r="A1057" s="39"/>
      <c r="B1057" s="40"/>
      <c r="C1057" s="41"/>
      <c r="D1057" s="41"/>
      <c r="E1057" s="41"/>
      <c r="F1057" s="41"/>
      <c r="G1057" s="41"/>
      <c r="H1057" s="41"/>
      <c r="I1057" s="41"/>
      <c r="J1057" s="41"/>
      <c r="K1057" s="41"/>
      <c r="L1057" s="41"/>
      <c r="M1057" s="41"/>
      <c r="N1057" s="41"/>
      <c r="O1057" s="41"/>
    </row>
    <row r="1058" spans="1:15">
      <c r="A1058" s="39"/>
      <c r="B1058" s="40"/>
      <c r="C1058" s="41"/>
      <c r="D1058" s="41"/>
      <c r="E1058" s="41"/>
      <c r="F1058" s="41"/>
      <c r="G1058" s="41"/>
      <c r="H1058" s="41"/>
      <c r="I1058" s="41"/>
      <c r="J1058" s="41"/>
      <c r="K1058" s="41"/>
      <c r="L1058" s="41"/>
      <c r="M1058" s="41"/>
      <c r="N1058" s="41"/>
      <c r="O1058" s="41"/>
    </row>
    <row r="1059" spans="1:15">
      <c r="A1059" s="39"/>
      <c r="B1059" s="40"/>
      <c r="C1059" s="41"/>
      <c r="D1059" s="41"/>
      <c r="E1059" s="41"/>
      <c r="F1059" s="41"/>
      <c r="G1059" s="41"/>
      <c r="H1059" s="41"/>
      <c r="I1059" s="41"/>
      <c r="J1059" s="41"/>
      <c r="K1059" s="41"/>
      <c r="L1059" s="41"/>
      <c r="M1059" s="41"/>
      <c r="N1059" s="41"/>
      <c r="O1059" s="41"/>
    </row>
    <row r="1060" spans="1:15">
      <c r="A1060" s="39"/>
      <c r="B1060" s="40"/>
      <c r="C1060" s="41"/>
      <c r="D1060" s="41"/>
      <c r="E1060" s="41"/>
      <c r="F1060" s="41"/>
      <c r="G1060" s="41"/>
      <c r="H1060" s="41"/>
      <c r="I1060" s="41"/>
      <c r="J1060" s="41"/>
      <c r="K1060" s="41"/>
      <c r="L1060" s="41"/>
      <c r="M1060" s="41"/>
      <c r="N1060" s="41"/>
      <c r="O1060" s="41"/>
    </row>
    <row r="1061" spans="1:15">
      <c r="A1061" s="39"/>
      <c r="B1061" s="40"/>
      <c r="C1061" s="41"/>
      <c r="D1061" s="41"/>
      <c r="E1061" s="41"/>
      <c r="F1061" s="41"/>
      <c r="G1061" s="41"/>
      <c r="H1061" s="41"/>
      <c r="I1061" s="41"/>
      <c r="J1061" s="41"/>
      <c r="K1061" s="41"/>
      <c r="L1061" s="41"/>
      <c r="M1061" s="41"/>
      <c r="N1061" s="41"/>
      <c r="O1061" s="41"/>
    </row>
    <row r="1062" spans="1:15">
      <c r="A1062" s="39"/>
      <c r="B1062" s="40"/>
      <c r="C1062" s="41"/>
      <c r="D1062" s="41"/>
      <c r="E1062" s="41"/>
      <c r="F1062" s="41"/>
      <c r="G1062" s="41"/>
      <c r="H1062" s="41"/>
      <c r="I1062" s="41"/>
      <c r="J1062" s="41"/>
      <c r="K1062" s="41"/>
      <c r="L1062" s="41"/>
      <c r="M1062" s="41"/>
      <c r="N1062" s="41"/>
      <c r="O1062" s="41"/>
    </row>
    <row r="1063" spans="1:15">
      <c r="A1063" s="39"/>
      <c r="B1063" s="40"/>
      <c r="C1063" s="41"/>
      <c r="D1063" s="41"/>
      <c r="E1063" s="41"/>
      <c r="F1063" s="41"/>
      <c r="G1063" s="41"/>
      <c r="H1063" s="41"/>
      <c r="I1063" s="41"/>
      <c r="J1063" s="41"/>
      <c r="K1063" s="41"/>
      <c r="L1063" s="41"/>
      <c r="M1063" s="41"/>
      <c r="N1063" s="41"/>
      <c r="O1063" s="41"/>
    </row>
    <row r="1064" spans="1:15">
      <c r="A1064" s="39"/>
      <c r="B1064" s="40"/>
      <c r="C1064" s="41"/>
      <c r="D1064" s="41"/>
      <c r="E1064" s="41"/>
      <c r="F1064" s="41"/>
      <c r="G1064" s="41"/>
      <c r="H1064" s="41"/>
      <c r="I1064" s="41"/>
      <c r="J1064" s="41"/>
      <c r="K1064" s="41"/>
      <c r="L1064" s="41"/>
      <c r="M1064" s="41"/>
      <c r="N1064" s="41"/>
      <c r="O1064" s="41"/>
    </row>
    <row r="1065" spans="1:15">
      <c r="A1065" s="39"/>
      <c r="B1065" s="40"/>
      <c r="C1065" s="41"/>
      <c r="D1065" s="41"/>
      <c r="E1065" s="41"/>
      <c r="F1065" s="41"/>
      <c r="G1065" s="41"/>
      <c r="H1065" s="41"/>
      <c r="I1065" s="41"/>
      <c r="J1065" s="41"/>
      <c r="K1065" s="41"/>
      <c r="L1065" s="41"/>
      <c r="M1065" s="41"/>
      <c r="N1065" s="41"/>
      <c r="O1065" s="41"/>
    </row>
    <row r="1066" spans="1:15">
      <c r="A1066" s="39"/>
      <c r="B1066" s="40"/>
      <c r="C1066" s="41"/>
      <c r="D1066" s="41"/>
      <c r="E1066" s="41"/>
      <c r="F1066" s="41"/>
      <c r="G1066" s="41"/>
      <c r="H1066" s="41"/>
      <c r="I1066" s="41"/>
      <c r="J1066" s="41"/>
      <c r="K1066" s="41"/>
      <c r="L1066" s="41"/>
      <c r="M1066" s="41"/>
      <c r="N1066" s="41"/>
      <c r="O1066" s="41"/>
    </row>
    <row r="1067" spans="1:15">
      <c r="A1067" s="39"/>
      <c r="B1067" s="40"/>
      <c r="C1067" s="41"/>
      <c r="D1067" s="41"/>
      <c r="E1067" s="41"/>
      <c r="F1067" s="41"/>
      <c r="G1067" s="41"/>
      <c r="H1067" s="41"/>
      <c r="I1067" s="41"/>
      <c r="J1067" s="41"/>
      <c r="K1067" s="41"/>
      <c r="L1067" s="41"/>
      <c r="M1067" s="41"/>
      <c r="N1067" s="41"/>
      <c r="O1067" s="41"/>
    </row>
    <row r="1068" spans="1:15">
      <c r="A1068" s="39"/>
      <c r="B1068" s="40"/>
      <c r="C1068" s="41"/>
      <c r="D1068" s="41"/>
      <c r="E1068" s="41"/>
      <c r="F1068" s="41"/>
      <c r="G1068" s="41"/>
      <c r="H1068" s="41"/>
      <c r="I1068" s="41"/>
      <c r="J1068" s="41"/>
      <c r="K1068" s="41"/>
      <c r="L1068" s="41"/>
      <c r="M1068" s="41"/>
      <c r="N1068" s="41"/>
      <c r="O1068" s="41"/>
    </row>
    <row r="1069" spans="1:15">
      <c r="A1069" s="39"/>
      <c r="B1069" s="40"/>
      <c r="C1069" s="41"/>
      <c r="D1069" s="41"/>
      <c r="E1069" s="41"/>
      <c r="F1069" s="41"/>
      <c r="G1069" s="41"/>
      <c r="H1069" s="41"/>
      <c r="I1069" s="41"/>
      <c r="J1069" s="41"/>
      <c r="K1069" s="41"/>
      <c r="L1069" s="41"/>
      <c r="M1069" s="41"/>
      <c r="N1069" s="41"/>
      <c r="O1069" s="41"/>
    </row>
    <row r="1070" spans="1:15">
      <c r="A1070" s="39"/>
      <c r="B1070" s="40"/>
      <c r="C1070" s="41"/>
      <c r="D1070" s="41"/>
      <c r="E1070" s="41"/>
      <c r="F1070" s="41"/>
      <c r="G1070" s="41"/>
      <c r="H1070" s="41"/>
      <c r="I1070" s="41"/>
      <c r="J1070" s="41"/>
      <c r="K1070" s="41"/>
      <c r="L1070" s="41"/>
      <c r="M1070" s="41"/>
      <c r="N1070" s="41"/>
      <c r="O1070" s="41"/>
    </row>
    <row r="1071" spans="1:15">
      <c r="A1071" s="39"/>
      <c r="B1071" s="40"/>
      <c r="C1071" s="41"/>
      <c r="D1071" s="41"/>
      <c r="E1071" s="41"/>
      <c r="F1071" s="41"/>
      <c r="G1071" s="41"/>
      <c r="H1071" s="41"/>
      <c r="I1071" s="41"/>
      <c r="J1071" s="41"/>
      <c r="K1071" s="41"/>
      <c r="L1071" s="41"/>
      <c r="M1071" s="41"/>
      <c r="N1071" s="41"/>
      <c r="O1071" s="41"/>
    </row>
    <row r="1072" spans="1:15">
      <c r="A1072" s="39"/>
      <c r="B1072" s="40"/>
      <c r="C1072" s="41"/>
      <c r="D1072" s="41"/>
      <c r="E1072" s="41"/>
      <c r="F1072" s="41"/>
      <c r="G1072" s="41"/>
      <c r="H1072" s="41"/>
      <c r="I1072" s="41"/>
      <c r="J1072" s="41"/>
      <c r="K1072" s="41"/>
      <c r="L1072" s="41"/>
      <c r="M1072" s="41"/>
      <c r="N1072" s="41"/>
      <c r="O1072" s="41"/>
    </row>
    <row r="1073" spans="1:15">
      <c r="A1073" s="39"/>
      <c r="B1073" s="40"/>
      <c r="C1073" s="41"/>
      <c r="D1073" s="41"/>
      <c r="E1073" s="41"/>
      <c r="F1073" s="41"/>
      <c r="G1073" s="41"/>
      <c r="H1073" s="41"/>
      <c r="I1073" s="41"/>
      <c r="J1073" s="41"/>
      <c r="K1073" s="41"/>
      <c r="L1073" s="41"/>
      <c r="M1073" s="41"/>
      <c r="N1073" s="41"/>
      <c r="O1073" s="41"/>
    </row>
    <row r="1074" spans="1:15">
      <c r="A1074" s="39"/>
      <c r="B1074" s="40"/>
      <c r="C1074" s="41"/>
      <c r="D1074" s="41"/>
      <c r="E1074" s="41"/>
      <c r="F1074" s="41"/>
      <c r="G1074" s="41"/>
      <c r="H1074" s="41"/>
      <c r="I1074" s="41"/>
      <c r="J1074" s="41"/>
      <c r="K1074" s="41"/>
      <c r="L1074" s="41"/>
      <c r="M1074" s="41"/>
      <c r="N1074" s="41"/>
      <c r="O1074" s="41"/>
    </row>
    <row r="1075" spans="1:15">
      <c r="A1075" s="39"/>
      <c r="B1075" s="40"/>
      <c r="C1075" s="41"/>
      <c r="D1075" s="41"/>
      <c r="E1075" s="41"/>
      <c r="F1075" s="41"/>
      <c r="G1075" s="41"/>
      <c r="H1075" s="41"/>
      <c r="I1075" s="41"/>
      <c r="J1075" s="41"/>
      <c r="K1075" s="41"/>
      <c r="L1075" s="41"/>
      <c r="M1075" s="41"/>
      <c r="N1075" s="41"/>
      <c r="O1075" s="41"/>
    </row>
    <row r="1076" spans="1:15">
      <c r="A1076" s="39"/>
      <c r="B1076" s="40"/>
      <c r="C1076" s="41"/>
      <c r="D1076" s="41"/>
      <c r="E1076" s="41"/>
      <c r="F1076" s="41"/>
      <c r="G1076" s="41"/>
      <c r="H1076" s="41"/>
      <c r="I1076" s="41"/>
      <c r="J1076" s="41"/>
      <c r="K1076" s="41"/>
      <c r="L1076" s="41"/>
      <c r="M1076" s="41"/>
      <c r="N1076" s="41"/>
      <c r="O1076" s="41"/>
    </row>
    <row r="1077" spans="1:15">
      <c r="A1077" s="39"/>
      <c r="B1077" s="40"/>
      <c r="C1077" s="41"/>
      <c r="D1077" s="41"/>
      <c r="E1077" s="41"/>
      <c r="F1077" s="41"/>
      <c r="G1077" s="41"/>
      <c r="H1077" s="41"/>
      <c r="I1077" s="41"/>
      <c r="J1077" s="41"/>
      <c r="K1077" s="41"/>
      <c r="L1077" s="41"/>
      <c r="M1077" s="41"/>
      <c r="N1077" s="41"/>
      <c r="O1077" s="41"/>
    </row>
    <row r="1078" spans="1:15">
      <c r="A1078" s="39"/>
      <c r="B1078" s="40"/>
      <c r="C1078" s="41"/>
      <c r="D1078" s="41"/>
      <c r="E1078" s="41"/>
      <c r="F1078" s="41"/>
      <c r="G1078" s="41"/>
      <c r="H1078" s="41"/>
      <c r="I1078" s="41"/>
      <c r="J1078" s="41"/>
      <c r="K1078" s="41"/>
      <c r="L1078" s="41"/>
      <c r="M1078" s="41"/>
      <c r="N1078" s="41"/>
      <c r="O1078" s="41"/>
    </row>
    <row r="1079" spans="1:15">
      <c r="A1079" s="39"/>
      <c r="B1079" s="40"/>
      <c r="C1079" s="41"/>
      <c r="D1079" s="41"/>
      <c r="E1079" s="41"/>
      <c r="F1079" s="41"/>
      <c r="G1079" s="41"/>
      <c r="H1079" s="41"/>
      <c r="I1079" s="41"/>
      <c r="J1079" s="41"/>
      <c r="K1079" s="41"/>
      <c r="L1079" s="41"/>
      <c r="M1079" s="41"/>
      <c r="N1079" s="41"/>
      <c r="O1079" s="41"/>
    </row>
    <row r="1080" spans="1:15">
      <c r="A1080" s="39"/>
      <c r="B1080" s="40"/>
      <c r="C1080" s="41"/>
      <c r="D1080" s="41"/>
      <c r="E1080" s="41"/>
      <c r="F1080" s="41"/>
      <c r="G1080" s="41"/>
      <c r="H1080" s="41"/>
      <c r="I1080" s="41"/>
      <c r="J1080" s="41"/>
      <c r="K1080" s="41"/>
      <c r="L1080" s="41"/>
      <c r="M1080" s="41"/>
      <c r="N1080" s="41"/>
      <c r="O1080" s="41"/>
    </row>
    <row r="1081" spans="1:15">
      <c r="A1081" s="39"/>
      <c r="B1081" s="40"/>
      <c r="C1081" s="41"/>
      <c r="D1081" s="41"/>
      <c r="E1081" s="41"/>
      <c r="F1081" s="41"/>
      <c r="G1081" s="41"/>
      <c r="H1081" s="41"/>
      <c r="I1081" s="41"/>
      <c r="J1081" s="41"/>
      <c r="K1081" s="41"/>
      <c r="L1081" s="41"/>
      <c r="M1081" s="41"/>
      <c r="N1081" s="41"/>
      <c r="O1081" s="41"/>
    </row>
    <row r="1082" spans="1:15">
      <c r="A1082" s="39"/>
      <c r="B1082" s="40"/>
      <c r="C1082" s="41"/>
      <c r="D1082" s="41"/>
      <c r="E1082" s="41"/>
      <c r="F1082" s="41"/>
      <c r="G1082" s="41"/>
      <c r="H1082" s="41"/>
      <c r="I1082" s="41"/>
      <c r="J1082" s="41"/>
      <c r="K1082" s="41"/>
      <c r="L1082" s="41"/>
      <c r="M1082" s="41"/>
      <c r="N1082" s="41"/>
      <c r="O1082" s="41"/>
    </row>
    <row r="1083" spans="1:15">
      <c r="A1083" s="39"/>
      <c r="B1083" s="40"/>
      <c r="C1083" s="41"/>
      <c r="D1083" s="41"/>
      <c r="E1083" s="41"/>
      <c r="F1083" s="41"/>
      <c r="G1083" s="41"/>
      <c r="H1083" s="41"/>
      <c r="I1083" s="41"/>
      <c r="J1083" s="41"/>
      <c r="K1083" s="41"/>
      <c r="L1083" s="41"/>
      <c r="M1083" s="41"/>
      <c r="N1083" s="41"/>
      <c r="O1083" s="41"/>
    </row>
    <row r="1084" spans="1:15">
      <c r="A1084" s="39"/>
      <c r="B1084" s="40"/>
      <c r="C1084" s="41"/>
      <c r="D1084" s="41"/>
      <c r="E1084" s="41"/>
      <c r="F1084" s="41"/>
      <c r="G1084" s="41"/>
      <c r="H1084" s="41"/>
      <c r="I1084" s="41"/>
      <c r="J1084" s="41"/>
      <c r="K1084" s="41"/>
      <c r="L1084" s="41"/>
      <c r="M1084" s="41"/>
      <c r="N1084" s="41"/>
      <c r="O1084" s="41"/>
    </row>
    <row r="1085" spans="1:15">
      <c r="A1085" s="39"/>
      <c r="B1085" s="40"/>
      <c r="C1085" s="41"/>
      <c r="D1085" s="41"/>
      <c r="E1085" s="41"/>
      <c r="F1085" s="41"/>
      <c r="G1085" s="41"/>
      <c r="H1085" s="41"/>
      <c r="I1085" s="41"/>
      <c r="J1085" s="41"/>
      <c r="K1085" s="41"/>
      <c r="L1085" s="41"/>
      <c r="M1085" s="41"/>
      <c r="N1085" s="41"/>
      <c r="O1085" s="41"/>
    </row>
    <row r="1086" spans="1:15">
      <c r="A1086" s="39"/>
      <c r="B1086" s="40"/>
      <c r="C1086" s="41"/>
      <c r="D1086" s="41"/>
      <c r="E1086" s="41"/>
      <c r="F1086" s="41"/>
      <c r="G1086" s="41"/>
      <c r="H1086" s="41"/>
      <c r="I1086" s="41"/>
      <c r="J1086" s="41"/>
      <c r="K1086" s="41"/>
      <c r="L1086" s="41"/>
      <c r="M1086" s="41"/>
      <c r="N1086" s="41"/>
      <c r="O1086" s="41"/>
    </row>
    <row r="1087" spans="1:15">
      <c r="A1087" s="39"/>
      <c r="B1087" s="40"/>
      <c r="C1087" s="41"/>
      <c r="D1087" s="41"/>
      <c r="E1087" s="41"/>
      <c r="F1087" s="41"/>
      <c r="G1087" s="41"/>
      <c r="H1087" s="41"/>
      <c r="I1087" s="41"/>
      <c r="J1087" s="41"/>
      <c r="K1087" s="41"/>
      <c r="L1087" s="41"/>
      <c r="M1087" s="41"/>
      <c r="N1087" s="41"/>
      <c r="O1087" s="41"/>
    </row>
    <row r="1088" spans="1:15">
      <c r="A1088" s="39"/>
      <c r="B1088" s="40"/>
      <c r="C1088" s="41"/>
      <c r="D1088" s="41"/>
      <c r="E1088" s="41"/>
      <c r="F1088" s="41"/>
      <c r="G1088" s="41"/>
      <c r="H1088" s="41"/>
      <c r="I1088" s="41"/>
      <c r="J1088" s="41"/>
      <c r="K1088" s="41"/>
      <c r="L1088" s="41"/>
      <c r="M1088" s="41"/>
      <c r="N1088" s="41"/>
      <c r="O1088" s="41"/>
    </row>
    <row r="1089" spans="1:15">
      <c r="A1089" s="39"/>
      <c r="B1089" s="40"/>
      <c r="C1089" s="41"/>
      <c r="D1089" s="41"/>
      <c r="E1089" s="41"/>
      <c r="F1089" s="41"/>
      <c r="G1089" s="41"/>
      <c r="H1089" s="41"/>
      <c r="I1089" s="41"/>
      <c r="J1089" s="41"/>
      <c r="K1089" s="41"/>
      <c r="L1089" s="41"/>
      <c r="M1089" s="41"/>
      <c r="N1089" s="41"/>
      <c r="O1089" s="41"/>
    </row>
    <row r="1090" spans="1:15">
      <c r="A1090" s="39"/>
      <c r="B1090" s="40"/>
      <c r="C1090" s="41"/>
      <c r="D1090" s="41"/>
      <c r="E1090" s="41"/>
      <c r="F1090" s="41"/>
      <c r="G1090" s="41"/>
      <c r="H1090" s="41"/>
      <c r="I1090" s="41"/>
      <c r="J1090" s="41"/>
      <c r="K1090" s="41"/>
      <c r="L1090" s="41"/>
      <c r="M1090" s="41"/>
      <c r="N1090" s="41"/>
      <c r="O1090" s="41"/>
    </row>
    <row r="1091" spans="1:15">
      <c r="A1091" s="39"/>
      <c r="B1091" s="40"/>
      <c r="C1091" s="41"/>
      <c r="D1091" s="41"/>
      <c r="E1091" s="41"/>
      <c r="F1091" s="41"/>
      <c r="G1091" s="41"/>
      <c r="H1091" s="41"/>
      <c r="I1091" s="41"/>
      <c r="J1091" s="41"/>
      <c r="K1091" s="41"/>
      <c r="L1091" s="41"/>
      <c r="M1091" s="41"/>
      <c r="N1091" s="41"/>
      <c r="O1091" s="41"/>
    </row>
    <row r="1092" spans="1:15">
      <c r="A1092" s="39"/>
      <c r="B1092" s="40"/>
      <c r="C1092" s="41"/>
      <c r="D1092" s="41"/>
      <c r="E1092" s="41"/>
      <c r="F1092" s="41"/>
      <c r="G1092" s="41"/>
      <c r="H1092" s="41"/>
      <c r="I1092" s="41"/>
      <c r="J1092" s="41"/>
      <c r="K1092" s="41"/>
      <c r="L1092" s="41"/>
      <c r="M1092" s="41"/>
      <c r="N1092" s="41"/>
      <c r="O1092" s="41"/>
    </row>
    <row r="1093" spans="1:15">
      <c r="A1093" s="39"/>
      <c r="B1093" s="40"/>
      <c r="C1093" s="41"/>
      <c r="D1093" s="41"/>
      <c r="E1093" s="41"/>
      <c r="F1093" s="41"/>
      <c r="G1093" s="41"/>
      <c r="H1093" s="41"/>
      <c r="I1093" s="41"/>
      <c r="J1093" s="41"/>
      <c r="K1093" s="41"/>
      <c r="L1093" s="41"/>
      <c r="M1093" s="41"/>
      <c r="N1093" s="41"/>
      <c r="O1093" s="41"/>
    </row>
    <row r="1094" spans="1:15">
      <c r="A1094" s="39"/>
      <c r="B1094" s="40"/>
      <c r="C1094" s="41"/>
      <c r="D1094" s="41"/>
      <c r="E1094" s="41"/>
      <c r="F1094" s="41"/>
      <c r="G1094" s="41"/>
      <c r="H1094" s="41"/>
      <c r="I1094" s="41"/>
      <c r="J1094" s="41"/>
      <c r="K1094" s="41"/>
      <c r="L1094" s="41"/>
      <c r="M1094" s="41"/>
      <c r="N1094" s="41"/>
      <c r="O1094" s="41"/>
    </row>
    <row r="1095" spans="1:15">
      <c r="A1095" s="39"/>
      <c r="B1095" s="40"/>
      <c r="C1095" s="41"/>
      <c r="D1095" s="41"/>
      <c r="E1095" s="41"/>
      <c r="F1095" s="41"/>
      <c r="G1095" s="41"/>
      <c r="H1095" s="41"/>
      <c r="I1095" s="41"/>
      <c r="J1095" s="41"/>
      <c r="K1095" s="41"/>
      <c r="L1095" s="41"/>
      <c r="M1095" s="41"/>
      <c r="N1095" s="41"/>
      <c r="O1095" s="41"/>
    </row>
    <row r="1096" spans="1:15">
      <c r="A1096" s="39"/>
      <c r="B1096" s="40"/>
      <c r="C1096" s="41"/>
      <c r="D1096" s="41"/>
      <c r="E1096" s="41"/>
      <c r="F1096" s="41"/>
      <c r="G1096" s="41"/>
      <c r="H1096" s="41"/>
      <c r="I1096" s="41"/>
      <c r="J1096" s="41"/>
      <c r="K1096" s="41"/>
      <c r="L1096" s="41"/>
      <c r="M1096" s="41"/>
      <c r="N1096" s="41"/>
      <c r="O1096" s="41"/>
    </row>
    <row r="1097" spans="1:15">
      <c r="A1097" s="39"/>
      <c r="B1097" s="40"/>
      <c r="C1097" s="41"/>
      <c r="D1097" s="41"/>
      <c r="E1097" s="41"/>
      <c r="F1097" s="41"/>
      <c r="G1097" s="41"/>
      <c r="H1097" s="41"/>
      <c r="I1097" s="41"/>
      <c r="J1097" s="41"/>
      <c r="K1097" s="41"/>
      <c r="L1097" s="41"/>
      <c r="M1097" s="41"/>
      <c r="N1097" s="41"/>
      <c r="O1097" s="41"/>
    </row>
    <row r="1098" spans="1:15">
      <c r="A1098" s="39"/>
      <c r="B1098" s="40"/>
      <c r="C1098" s="41"/>
      <c r="D1098" s="41"/>
      <c r="E1098" s="41"/>
      <c r="F1098" s="41"/>
      <c r="G1098" s="41"/>
      <c r="H1098" s="41"/>
      <c r="I1098" s="41"/>
      <c r="J1098" s="41"/>
      <c r="K1098" s="41"/>
      <c r="L1098" s="41"/>
      <c r="M1098" s="41"/>
      <c r="N1098" s="41"/>
      <c r="O1098" s="41"/>
    </row>
    <row r="1099" spans="1:15">
      <c r="A1099" s="39"/>
      <c r="B1099" s="40"/>
      <c r="C1099" s="41"/>
      <c r="D1099" s="41"/>
      <c r="E1099" s="41"/>
      <c r="F1099" s="41"/>
      <c r="G1099" s="41"/>
      <c r="H1099" s="41"/>
      <c r="I1099" s="41"/>
      <c r="J1099" s="41"/>
      <c r="K1099" s="41"/>
      <c r="L1099" s="41"/>
      <c r="M1099" s="41"/>
      <c r="N1099" s="41"/>
      <c r="O1099" s="41"/>
    </row>
    <row r="1100" spans="1:15">
      <c r="A1100" s="39"/>
      <c r="B1100" s="40"/>
      <c r="C1100" s="41"/>
      <c r="D1100" s="41"/>
      <c r="E1100" s="41"/>
      <c r="F1100" s="41"/>
      <c r="G1100" s="41"/>
      <c r="H1100" s="41"/>
      <c r="I1100" s="41"/>
      <c r="J1100" s="41"/>
      <c r="K1100" s="41"/>
      <c r="L1100" s="41"/>
      <c r="M1100" s="41"/>
      <c r="N1100" s="41"/>
      <c r="O1100" s="41"/>
    </row>
    <row r="1101" spans="1:15">
      <c r="A1101" s="39"/>
      <c r="B1101" s="40"/>
      <c r="C1101" s="41"/>
      <c r="D1101" s="41"/>
      <c r="E1101" s="41"/>
      <c r="F1101" s="41"/>
      <c r="G1101" s="41"/>
      <c r="H1101" s="41"/>
      <c r="I1101" s="41"/>
      <c r="J1101" s="41"/>
      <c r="K1101" s="41"/>
      <c r="L1101" s="41"/>
      <c r="M1101" s="41"/>
      <c r="N1101" s="41"/>
      <c r="O1101" s="41"/>
    </row>
    <row r="1102" spans="1:15">
      <c r="A1102" s="39"/>
      <c r="B1102" s="40"/>
      <c r="C1102" s="41"/>
      <c r="D1102" s="41"/>
      <c r="E1102" s="41"/>
      <c r="F1102" s="41"/>
      <c r="G1102" s="41"/>
      <c r="H1102" s="41"/>
      <c r="I1102" s="41"/>
      <c r="J1102" s="41"/>
      <c r="K1102" s="41"/>
      <c r="L1102" s="41"/>
      <c r="M1102" s="41"/>
      <c r="N1102" s="41"/>
      <c r="O1102" s="41"/>
    </row>
    <row r="1103" spans="1:15">
      <c r="A1103" s="39"/>
      <c r="B1103" s="40"/>
      <c r="C1103" s="41"/>
      <c r="D1103" s="41"/>
      <c r="E1103" s="41"/>
      <c r="F1103" s="41"/>
      <c r="G1103" s="41"/>
      <c r="H1103" s="41"/>
      <c r="I1103" s="41"/>
      <c r="J1103" s="41"/>
      <c r="K1103" s="41"/>
      <c r="L1103" s="41"/>
      <c r="M1103" s="41"/>
      <c r="N1103" s="41"/>
      <c r="O1103" s="41"/>
    </row>
    <row r="1104" spans="1:15">
      <c r="A1104" s="39"/>
      <c r="B1104" s="40"/>
      <c r="C1104" s="41"/>
      <c r="D1104" s="41"/>
      <c r="E1104" s="41"/>
      <c r="F1104" s="41"/>
      <c r="G1104" s="41"/>
      <c r="H1104" s="41"/>
      <c r="I1104" s="41"/>
      <c r="J1104" s="41"/>
      <c r="K1104" s="41"/>
      <c r="L1104" s="41"/>
      <c r="M1104" s="41"/>
      <c r="N1104" s="41"/>
      <c r="O1104" s="41"/>
    </row>
    <row r="1105" spans="1:15">
      <c r="A1105" s="39"/>
      <c r="B1105" s="40"/>
      <c r="C1105" s="41"/>
      <c r="D1105" s="41"/>
      <c r="E1105" s="41"/>
      <c r="F1105" s="41"/>
      <c r="G1105" s="41"/>
      <c r="H1105" s="41"/>
      <c r="I1105" s="41"/>
      <c r="J1105" s="41"/>
      <c r="K1105" s="41"/>
      <c r="L1105" s="41"/>
      <c r="M1105" s="41"/>
      <c r="N1105" s="41"/>
      <c r="O1105" s="41"/>
    </row>
    <row r="1106" spans="1:15">
      <c r="A1106" s="39"/>
      <c r="B1106" s="40"/>
      <c r="C1106" s="41"/>
      <c r="D1106" s="41"/>
      <c r="E1106" s="41"/>
      <c r="F1106" s="41"/>
      <c r="G1106" s="41"/>
      <c r="H1106" s="41"/>
      <c r="I1106" s="41"/>
      <c r="J1106" s="41"/>
      <c r="K1106" s="41"/>
      <c r="L1106" s="41"/>
      <c r="M1106" s="41"/>
      <c r="N1106" s="41"/>
      <c r="O1106" s="41"/>
    </row>
    <row r="1107" spans="1:15">
      <c r="A1107" s="39"/>
      <c r="B1107" s="40"/>
      <c r="C1107" s="41"/>
      <c r="D1107" s="41"/>
      <c r="E1107" s="41"/>
      <c r="F1107" s="41"/>
      <c r="G1107" s="41"/>
      <c r="H1107" s="41"/>
      <c r="I1107" s="41"/>
      <c r="J1107" s="41"/>
      <c r="K1107" s="41"/>
      <c r="L1107" s="41"/>
      <c r="M1107" s="41"/>
      <c r="N1107" s="41"/>
      <c r="O1107" s="41"/>
    </row>
    <row r="1108" spans="1:15">
      <c r="A1108" s="39"/>
      <c r="B1108" s="40"/>
      <c r="C1108" s="41"/>
      <c r="D1108" s="41"/>
      <c r="E1108" s="41"/>
      <c r="F1108" s="41"/>
      <c r="G1108" s="41"/>
      <c r="H1108" s="41"/>
      <c r="I1108" s="41"/>
      <c r="J1108" s="41"/>
      <c r="K1108" s="41"/>
      <c r="L1108" s="41"/>
      <c r="M1108" s="41"/>
      <c r="N1108" s="41"/>
      <c r="O1108" s="41"/>
    </row>
    <row r="1109" spans="1:15">
      <c r="A1109" s="39"/>
      <c r="B1109" s="40"/>
      <c r="C1109" s="41"/>
      <c r="D1109" s="41"/>
      <c r="E1109" s="41"/>
      <c r="F1109" s="41"/>
      <c r="G1109" s="41"/>
      <c r="H1109" s="41"/>
      <c r="I1109" s="41"/>
      <c r="J1109" s="41"/>
      <c r="K1109" s="41"/>
      <c r="L1109" s="41"/>
      <c r="M1109" s="41"/>
      <c r="N1109" s="41"/>
      <c r="O1109" s="41"/>
    </row>
    <row r="1110" spans="1:15">
      <c r="A1110" s="39"/>
      <c r="B1110" s="40"/>
      <c r="C1110" s="41"/>
      <c r="D1110" s="41"/>
      <c r="E1110" s="41"/>
      <c r="F1110" s="41"/>
      <c r="G1110" s="41"/>
      <c r="H1110" s="41"/>
      <c r="I1110" s="41"/>
      <c r="J1110" s="41"/>
      <c r="K1110" s="41"/>
      <c r="L1110" s="41"/>
      <c r="M1110" s="41"/>
      <c r="N1110" s="41"/>
      <c r="O1110" s="41"/>
    </row>
    <row r="1111" spans="1:15">
      <c r="A1111" s="39"/>
      <c r="B1111" s="40"/>
      <c r="C1111" s="41"/>
      <c r="D1111" s="41"/>
      <c r="E1111" s="41"/>
      <c r="F1111" s="41"/>
      <c r="G1111" s="41"/>
      <c r="H1111" s="41"/>
      <c r="I1111" s="41"/>
      <c r="J1111" s="41"/>
      <c r="K1111" s="41"/>
      <c r="L1111" s="41"/>
      <c r="M1111" s="41"/>
      <c r="N1111" s="41"/>
      <c r="O1111" s="41"/>
    </row>
    <row r="1112" spans="1:15">
      <c r="A1112" s="39"/>
      <c r="B1112" s="40"/>
      <c r="C1112" s="41"/>
      <c r="D1112" s="41"/>
      <c r="E1112" s="41"/>
      <c r="F1112" s="41"/>
      <c r="G1112" s="41"/>
      <c r="H1112" s="41"/>
      <c r="I1112" s="41"/>
      <c r="J1112" s="41"/>
      <c r="K1112" s="41"/>
      <c r="L1112" s="41"/>
      <c r="M1112" s="41"/>
      <c r="N1112" s="41"/>
      <c r="O1112" s="41"/>
    </row>
    <row r="1113" spans="1:15">
      <c r="A1113" s="39"/>
      <c r="B1113" s="40"/>
      <c r="C1113" s="41"/>
      <c r="D1113" s="41"/>
      <c r="E1113" s="41"/>
      <c r="F1113" s="41"/>
      <c r="G1113" s="41"/>
      <c r="H1113" s="41"/>
      <c r="I1113" s="41"/>
      <c r="J1113" s="41"/>
      <c r="K1113" s="41"/>
      <c r="L1113" s="41"/>
      <c r="M1113" s="41"/>
      <c r="N1113" s="41"/>
      <c r="O1113" s="41"/>
    </row>
    <row r="1114" spans="1:15">
      <c r="A1114" s="39"/>
      <c r="B1114" s="40"/>
      <c r="C1114" s="41"/>
      <c r="D1114" s="41"/>
      <c r="E1114" s="41"/>
      <c r="F1114" s="41"/>
      <c r="G1114" s="41"/>
      <c r="H1114" s="41"/>
      <c r="I1114" s="41"/>
      <c r="J1114" s="41"/>
      <c r="K1114" s="41"/>
      <c r="L1114" s="41"/>
      <c r="M1114" s="41"/>
      <c r="N1114" s="41"/>
      <c r="O1114" s="41"/>
    </row>
    <row r="1115" spans="1:15">
      <c r="A1115" s="39"/>
      <c r="B1115" s="40"/>
      <c r="C1115" s="41"/>
      <c r="D1115" s="41"/>
      <c r="E1115" s="41"/>
      <c r="F1115" s="41"/>
      <c r="G1115" s="41"/>
      <c r="H1115" s="41"/>
      <c r="I1115" s="41"/>
      <c r="J1115" s="41"/>
      <c r="K1115" s="41"/>
      <c r="L1115" s="41"/>
      <c r="M1115" s="41"/>
      <c r="N1115" s="41"/>
      <c r="O1115" s="41"/>
    </row>
    <row r="1116" spans="1:15">
      <c r="A1116" s="39"/>
      <c r="B1116" s="40"/>
      <c r="C1116" s="41"/>
      <c r="D1116" s="41"/>
      <c r="E1116" s="41"/>
      <c r="F1116" s="41"/>
      <c r="G1116" s="41"/>
      <c r="H1116" s="41"/>
      <c r="I1116" s="41"/>
      <c r="J1116" s="41"/>
      <c r="K1116" s="41"/>
      <c r="L1116" s="41"/>
      <c r="M1116" s="41"/>
      <c r="N1116" s="41"/>
      <c r="O1116" s="41"/>
    </row>
    <row r="1117" spans="1:15">
      <c r="A1117" s="39"/>
      <c r="B1117" s="40"/>
      <c r="C1117" s="41"/>
      <c r="D1117" s="41"/>
      <c r="E1117" s="41"/>
      <c r="F1117" s="41"/>
      <c r="G1117" s="41"/>
      <c r="H1117" s="41"/>
      <c r="I1117" s="41"/>
      <c r="J1117" s="41"/>
      <c r="K1117" s="41"/>
      <c r="L1117" s="41"/>
      <c r="M1117" s="41"/>
      <c r="N1117" s="41"/>
      <c r="O1117" s="41"/>
    </row>
    <row r="1118" spans="1:15">
      <c r="A1118" s="39"/>
      <c r="B1118" s="40"/>
      <c r="C1118" s="41"/>
      <c r="D1118" s="41"/>
      <c r="E1118" s="41"/>
      <c r="F1118" s="41"/>
      <c r="G1118" s="41"/>
      <c r="H1118" s="41"/>
      <c r="I1118" s="41"/>
      <c r="J1118" s="41"/>
      <c r="K1118" s="41"/>
      <c r="L1118" s="41"/>
      <c r="M1118" s="41"/>
      <c r="N1118" s="41"/>
      <c r="O1118" s="41"/>
    </row>
    <row r="1119" spans="1:15">
      <c r="A1119" s="39"/>
      <c r="B1119" s="40"/>
      <c r="C1119" s="41"/>
      <c r="D1119" s="41"/>
      <c r="E1119" s="41"/>
      <c r="F1119" s="41"/>
      <c r="G1119" s="41"/>
      <c r="H1119" s="41"/>
      <c r="I1119" s="41"/>
      <c r="J1119" s="41"/>
      <c r="K1119" s="41"/>
      <c r="L1119" s="41"/>
      <c r="M1119" s="41"/>
      <c r="N1119" s="41"/>
      <c r="O1119" s="41"/>
    </row>
    <row r="1120" spans="1:15">
      <c r="A1120" s="39"/>
      <c r="B1120" s="40"/>
      <c r="C1120" s="41"/>
      <c r="D1120" s="41"/>
      <c r="E1120" s="41"/>
      <c r="F1120" s="41"/>
      <c r="G1120" s="41"/>
      <c r="H1120" s="41"/>
      <c r="I1120" s="41"/>
      <c r="J1120" s="41"/>
      <c r="K1120" s="41"/>
      <c r="L1120" s="41"/>
      <c r="M1120" s="41"/>
      <c r="N1120" s="41"/>
      <c r="O1120" s="41"/>
    </row>
    <row r="1121" spans="1:15">
      <c r="A1121" s="39"/>
      <c r="B1121" s="40"/>
      <c r="C1121" s="41"/>
      <c r="D1121" s="41"/>
      <c r="E1121" s="41"/>
      <c r="F1121" s="41"/>
      <c r="G1121" s="41"/>
      <c r="H1121" s="41"/>
      <c r="I1121" s="41"/>
      <c r="J1121" s="41"/>
      <c r="K1121" s="41"/>
      <c r="L1121" s="41"/>
      <c r="M1121" s="41"/>
      <c r="N1121" s="41"/>
      <c r="O1121" s="41"/>
    </row>
    <row r="1122" spans="1:15">
      <c r="A1122" s="39"/>
      <c r="B1122" s="40"/>
      <c r="C1122" s="41"/>
      <c r="D1122" s="41"/>
      <c r="E1122" s="41"/>
      <c r="F1122" s="41"/>
      <c r="G1122" s="41"/>
      <c r="H1122" s="41"/>
      <c r="I1122" s="41"/>
      <c r="J1122" s="41"/>
      <c r="K1122" s="41"/>
      <c r="L1122" s="41"/>
      <c r="M1122" s="41"/>
      <c r="N1122" s="41"/>
      <c r="O1122" s="41"/>
    </row>
    <row r="1123" spans="1:15">
      <c r="A1123" s="39"/>
      <c r="B1123" s="40"/>
      <c r="C1123" s="41"/>
      <c r="D1123" s="41"/>
      <c r="E1123" s="41"/>
      <c r="F1123" s="41"/>
      <c r="G1123" s="41"/>
      <c r="H1123" s="41"/>
      <c r="I1123" s="41"/>
      <c r="J1123" s="41"/>
      <c r="K1123" s="41"/>
      <c r="L1123" s="41"/>
      <c r="M1123" s="41"/>
      <c r="N1123" s="41"/>
      <c r="O1123" s="41"/>
    </row>
    <row r="1124" spans="1:15">
      <c r="A1124" s="39"/>
      <c r="B1124" s="40"/>
      <c r="C1124" s="41"/>
      <c r="D1124" s="41"/>
      <c r="E1124" s="41"/>
      <c r="F1124" s="41"/>
      <c r="G1124" s="41"/>
      <c r="H1124" s="41"/>
      <c r="I1124" s="41"/>
      <c r="J1124" s="41"/>
      <c r="K1124" s="41"/>
      <c r="L1124" s="41"/>
      <c r="M1124" s="41"/>
      <c r="N1124" s="41"/>
      <c r="O1124" s="41"/>
    </row>
    <row r="1125" spans="1:15">
      <c r="A1125" s="39"/>
      <c r="B1125" s="40"/>
      <c r="C1125" s="41"/>
      <c r="D1125" s="41"/>
      <c r="E1125" s="41"/>
      <c r="F1125" s="41"/>
      <c r="G1125" s="41"/>
      <c r="H1125" s="41"/>
      <c r="I1125" s="41"/>
      <c r="J1125" s="41"/>
      <c r="K1125" s="41"/>
      <c r="L1125" s="41"/>
      <c r="M1125" s="41"/>
      <c r="N1125" s="41"/>
      <c r="O1125" s="41"/>
    </row>
    <row r="1126" spans="1:15">
      <c r="A1126" s="39"/>
      <c r="B1126" s="40"/>
      <c r="C1126" s="41"/>
      <c r="D1126" s="41"/>
      <c r="E1126" s="41"/>
      <c r="F1126" s="41"/>
      <c r="G1126" s="41"/>
      <c r="H1126" s="41"/>
      <c r="I1126" s="41"/>
      <c r="J1126" s="41"/>
      <c r="K1126" s="41"/>
      <c r="L1126" s="41"/>
      <c r="M1126" s="41"/>
      <c r="N1126" s="41"/>
      <c r="O1126" s="41"/>
    </row>
    <row r="1127" spans="1:15">
      <c r="A1127" s="39"/>
      <c r="B1127" s="40"/>
      <c r="C1127" s="41"/>
      <c r="D1127" s="41"/>
      <c r="E1127" s="41"/>
      <c r="F1127" s="41"/>
      <c r="G1127" s="41"/>
      <c r="H1127" s="41"/>
      <c r="I1127" s="41"/>
      <c r="J1127" s="41"/>
      <c r="K1127" s="41"/>
      <c r="L1127" s="41"/>
      <c r="M1127" s="41"/>
      <c r="N1127" s="41"/>
      <c r="O1127" s="41"/>
    </row>
    <row r="1128" spans="1:15">
      <c r="A1128" s="39"/>
      <c r="B1128" s="40"/>
      <c r="C1128" s="41"/>
      <c r="D1128" s="41"/>
      <c r="E1128" s="41"/>
      <c r="F1128" s="41"/>
      <c r="G1128" s="41"/>
      <c r="H1128" s="41"/>
      <c r="I1128" s="41"/>
      <c r="J1128" s="41"/>
      <c r="K1128" s="41"/>
      <c r="L1128" s="41"/>
      <c r="M1128" s="41"/>
      <c r="N1128" s="41"/>
      <c r="O1128" s="41"/>
    </row>
    <row r="1129" spans="1:15">
      <c r="A1129" s="39"/>
      <c r="B1129" s="40"/>
      <c r="C1129" s="41"/>
      <c r="D1129" s="41"/>
      <c r="E1129" s="41"/>
      <c r="F1129" s="41"/>
      <c r="G1129" s="41"/>
      <c r="H1129" s="41"/>
      <c r="I1129" s="41"/>
      <c r="J1129" s="41"/>
      <c r="K1129" s="41"/>
      <c r="L1129" s="41"/>
      <c r="M1129" s="41"/>
      <c r="N1129" s="41"/>
      <c r="O1129" s="41"/>
    </row>
    <row r="1130" spans="1:15">
      <c r="A1130" s="39"/>
      <c r="B1130" s="40"/>
      <c r="C1130" s="41"/>
      <c r="D1130" s="41"/>
      <c r="E1130" s="41"/>
      <c r="F1130" s="41"/>
      <c r="G1130" s="41"/>
      <c r="H1130" s="41"/>
      <c r="I1130" s="41"/>
      <c r="J1130" s="41"/>
      <c r="K1130" s="41"/>
      <c r="L1130" s="41"/>
      <c r="M1130" s="41"/>
      <c r="N1130" s="41"/>
      <c r="O1130" s="41"/>
    </row>
    <row r="1131" spans="1:15">
      <c r="A1131" s="39"/>
      <c r="B1131" s="40"/>
      <c r="C1131" s="41"/>
      <c r="D1131" s="41"/>
      <c r="E1131" s="41"/>
      <c r="F1131" s="41"/>
      <c r="G1131" s="41"/>
      <c r="H1131" s="41"/>
      <c r="I1131" s="41"/>
      <c r="J1131" s="41"/>
      <c r="K1131" s="41"/>
      <c r="L1131" s="41"/>
      <c r="M1131" s="41"/>
      <c r="N1131" s="41"/>
      <c r="O1131" s="41"/>
    </row>
    <row r="1132" spans="1:15">
      <c r="A1132" s="39"/>
      <c r="B1132" s="40"/>
      <c r="C1132" s="41"/>
      <c r="D1132" s="41"/>
      <c r="E1132" s="41"/>
      <c r="F1132" s="41"/>
      <c r="G1132" s="41"/>
      <c r="H1132" s="41"/>
      <c r="I1132" s="41"/>
      <c r="J1132" s="41"/>
      <c r="K1132" s="41"/>
      <c r="L1132" s="41"/>
      <c r="M1132" s="41"/>
      <c r="N1132" s="41"/>
      <c r="O1132" s="41"/>
    </row>
    <row r="1133" spans="1:15">
      <c r="A1133" s="39"/>
      <c r="B1133" s="40"/>
      <c r="C1133" s="41"/>
      <c r="D1133" s="41"/>
      <c r="E1133" s="41"/>
      <c r="F1133" s="41"/>
      <c r="G1133" s="41"/>
      <c r="H1133" s="41"/>
      <c r="I1133" s="41"/>
      <c r="J1133" s="41"/>
      <c r="K1133" s="41"/>
      <c r="L1133" s="41"/>
      <c r="M1133" s="41"/>
      <c r="N1133" s="41"/>
      <c r="O1133" s="41"/>
    </row>
    <row r="1134" spans="1:15">
      <c r="A1134" s="39"/>
      <c r="B1134" s="40"/>
      <c r="C1134" s="41"/>
      <c r="D1134" s="41"/>
      <c r="E1134" s="41"/>
      <c r="F1134" s="41"/>
      <c r="G1134" s="41"/>
      <c r="H1134" s="41"/>
      <c r="I1134" s="41"/>
      <c r="J1134" s="41"/>
      <c r="K1134" s="41"/>
      <c r="L1134" s="41"/>
      <c r="M1134" s="41"/>
      <c r="N1134" s="41"/>
      <c r="O1134" s="41"/>
    </row>
    <row r="1135" spans="1:15">
      <c r="A1135" s="39"/>
      <c r="B1135" s="40"/>
      <c r="C1135" s="41"/>
      <c r="D1135" s="41"/>
      <c r="E1135" s="41"/>
      <c r="F1135" s="41"/>
      <c r="G1135" s="41"/>
      <c r="H1135" s="41"/>
      <c r="I1135" s="41"/>
      <c r="J1135" s="41"/>
      <c r="K1135" s="41"/>
      <c r="L1135" s="41"/>
      <c r="M1135" s="41"/>
      <c r="N1135" s="41"/>
      <c r="O1135" s="41"/>
    </row>
    <row r="1136" spans="1:15">
      <c r="A1136" s="39"/>
      <c r="B1136" s="40"/>
      <c r="C1136" s="41"/>
      <c r="D1136" s="41"/>
      <c r="E1136" s="41"/>
      <c r="F1136" s="41"/>
      <c r="G1136" s="41"/>
      <c r="H1136" s="41"/>
      <c r="I1136" s="41"/>
      <c r="J1136" s="41"/>
      <c r="K1136" s="41"/>
      <c r="L1136" s="41"/>
      <c r="M1136" s="41"/>
      <c r="N1136" s="41"/>
      <c r="O1136" s="41"/>
    </row>
    <row r="1137" spans="1:15">
      <c r="A1137" s="39"/>
      <c r="B1137" s="40"/>
      <c r="C1137" s="41"/>
      <c r="D1137" s="41"/>
      <c r="E1137" s="41"/>
      <c r="F1137" s="41"/>
      <c r="G1137" s="41"/>
      <c r="H1137" s="41"/>
      <c r="I1137" s="41"/>
      <c r="J1137" s="41"/>
      <c r="K1137" s="41"/>
      <c r="L1137" s="41"/>
      <c r="M1137" s="41"/>
      <c r="N1137" s="41"/>
      <c r="O1137" s="41"/>
    </row>
    <row r="1138" spans="1:15">
      <c r="A1138" s="39"/>
      <c r="B1138" s="40"/>
      <c r="C1138" s="41"/>
      <c r="D1138" s="41"/>
      <c r="E1138" s="41"/>
      <c r="F1138" s="41"/>
      <c r="G1138" s="41"/>
      <c r="H1138" s="41"/>
      <c r="I1138" s="41"/>
      <c r="J1138" s="41"/>
      <c r="K1138" s="41"/>
      <c r="L1138" s="41"/>
      <c r="M1138" s="41"/>
      <c r="N1138" s="41"/>
      <c r="O1138" s="41"/>
    </row>
    <row r="1139" spans="1:15">
      <c r="A1139" s="39"/>
      <c r="B1139" s="40"/>
      <c r="C1139" s="41"/>
      <c r="D1139" s="41"/>
      <c r="E1139" s="41"/>
      <c r="F1139" s="41"/>
      <c r="G1139" s="41"/>
      <c r="H1139" s="41"/>
      <c r="I1139" s="41"/>
      <c r="J1139" s="41"/>
      <c r="K1139" s="41"/>
      <c r="L1139" s="41"/>
      <c r="M1139" s="41"/>
      <c r="N1139" s="41"/>
      <c r="O1139" s="41"/>
    </row>
    <row r="1140" spans="1:15">
      <c r="A1140" s="39"/>
      <c r="B1140" s="40"/>
      <c r="C1140" s="41"/>
      <c r="D1140" s="41"/>
      <c r="E1140" s="41"/>
      <c r="F1140" s="41"/>
      <c r="G1140" s="41"/>
      <c r="H1140" s="41"/>
      <c r="I1140" s="41"/>
      <c r="J1140" s="41"/>
      <c r="K1140" s="41"/>
      <c r="L1140" s="41"/>
      <c r="M1140" s="41"/>
      <c r="N1140" s="41"/>
      <c r="O1140" s="41"/>
    </row>
    <row r="1141" spans="1:15">
      <c r="A1141" s="39"/>
      <c r="B1141" s="40"/>
      <c r="C1141" s="41"/>
      <c r="D1141" s="41"/>
      <c r="E1141" s="41"/>
      <c r="F1141" s="41"/>
      <c r="G1141" s="41"/>
      <c r="H1141" s="41"/>
      <c r="I1141" s="41"/>
      <c r="J1141" s="41"/>
      <c r="K1141" s="41"/>
      <c r="L1141" s="41"/>
      <c r="M1141" s="41"/>
      <c r="N1141" s="41"/>
      <c r="O1141" s="41"/>
    </row>
    <row r="1142" spans="1:15">
      <c r="A1142" s="39"/>
      <c r="B1142" s="40"/>
      <c r="C1142" s="41"/>
      <c r="D1142" s="41"/>
      <c r="E1142" s="41"/>
      <c r="F1142" s="41"/>
      <c r="G1142" s="41"/>
      <c r="H1142" s="41"/>
      <c r="I1142" s="41"/>
      <c r="J1142" s="41"/>
      <c r="K1142" s="41"/>
      <c r="L1142" s="41"/>
      <c r="M1142" s="41"/>
      <c r="N1142" s="41"/>
      <c r="O1142" s="41"/>
    </row>
    <row r="1143" spans="1:15">
      <c r="A1143" s="39"/>
      <c r="B1143" s="40"/>
      <c r="C1143" s="41"/>
      <c r="D1143" s="41"/>
      <c r="E1143" s="41"/>
      <c r="F1143" s="41"/>
      <c r="G1143" s="41"/>
      <c r="H1143" s="41"/>
      <c r="I1143" s="41"/>
      <c r="J1143" s="41"/>
      <c r="K1143" s="41"/>
      <c r="L1143" s="41"/>
      <c r="M1143" s="41"/>
      <c r="N1143" s="41"/>
      <c r="O1143" s="41"/>
    </row>
    <row r="1144" spans="1:15">
      <c r="A1144" s="39"/>
      <c r="B1144" s="40"/>
      <c r="C1144" s="41"/>
      <c r="D1144" s="41"/>
      <c r="E1144" s="41"/>
      <c r="F1144" s="41"/>
      <c r="G1144" s="41"/>
      <c r="H1144" s="41"/>
      <c r="I1144" s="41"/>
      <c r="J1144" s="41"/>
      <c r="K1144" s="41"/>
      <c r="L1144" s="41"/>
      <c r="M1144" s="41"/>
      <c r="N1144" s="41"/>
      <c r="O1144" s="41"/>
    </row>
    <row r="1145" spans="1:15">
      <c r="A1145" s="39"/>
      <c r="B1145" s="40"/>
      <c r="C1145" s="41"/>
      <c r="D1145" s="41"/>
      <c r="E1145" s="41"/>
      <c r="F1145" s="41"/>
      <c r="G1145" s="41"/>
      <c r="H1145" s="41"/>
      <c r="I1145" s="41"/>
      <c r="J1145" s="41"/>
      <c r="K1145" s="41"/>
      <c r="L1145" s="41"/>
      <c r="M1145" s="41"/>
      <c r="N1145" s="41"/>
      <c r="O1145" s="41"/>
    </row>
    <row r="1146" spans="1:15">
      <c r="A1146" s="39"/>
      <c r="B1146" s="40"/>
      <c r="C1146" s="41"/>
      <c r="D1146" s="41"/>
      <c r="E1146" s="41"/>
      <c r="F1146" s="41"/>
      <c r="G1146" s="41"/>
      <c r="H1146" s="41"/>
      <c r="I1146" s="41"/>
      <c r="J1146" s="41"/>
      <c r="K1146" s="41"/>
      <c r="L1146" s="41"/>
      <c r="M1146" s="41"/>
      <c r="N1146" s="41"/>
      <c r="O1146" s="41"/>
    </row>
    <row r="1147" spans="1:15">
      <c r="A1147" s="39"/>
      <c r="B1147" s="40"/>
      <c r="C1147" s="41"/>
      <c r="D1147" s="41"/>
      <c r="E1147" s="41"/>
      <c r="F1147" s="41"/>
      <c r="G1147" s="41"/>
      <c r="H1147" s="41"/>
      <c r="I1147" s="41"/>
      <c r="J1147" s="41"/>
      <c r="K1147" s="41"/>
      <c r="L1147" s="41"/>
      <c r="M1147" s="41"/>
      <c r="N1147" s="41"/>
      <c r="O1147" s="41"/>
    </row>
    <row r="1148" spans="1:15">
      <c r="A1148" s="39"/>
      <c r="B1148" s="40"/>
      <c r="C1148" s="41"/>
      <c r="D1148" s="41"/>
      <c r="E1148" s="41"/>
      <c r="F1148" s="41"/>
      <c r="G1148" s="41"/>
      <c r="H1148" s="41"/>
      <c r="I1148" s="41"/>
      <c r="J1148" s="41"/>
      <c r="K1148" s="41"/>
      <c r="L1148" s="41"/>
      <c r="M1148" s="41"/>
      <c r="N1148" s="41"/>
      <c r="O1148" s="41"/>
    </row>
    <row r="1149" spans="1:15">
      <c r="A1149" s="39"/>
      <c r="B1149" s="40"/>
      <c r="C1149" s="41"/>
      <c r="D1149" s="41"/>
      <c r="E1149" s="41"/>
      <c r="F1149" s="41"/>
      <c r="G1149" s="41"/>
      <c r="H1149" s="41"/>
      <c r="I1149" s="41"/>
      <c r="J1149" s="41"/>
      <c r="K1149" s="41"/>
      <c r="L1149" s="41"/>
      <c r="M1149" s="41"/>
      <c r="N1149" s="41"/>
      <c r="O1149" s="41"/>
    </row>
    <row r="1150" spans="1:15">
      <c r="A1150" s="39"/>
      <c r="B1150" s="40"/>
      <c r="C1150" s="41"/>
      <c r="D1150" s="41"/>
      <c r="E1150" s="41"/>
      <c r="F1150" s="41"/>
      <c r="G1150" s="41"/>
      <c r="H1150" s="41"/>
      <c r="I1150" s="41"/>
      <c r="J1150" s="41"/>
      <c r="K1150" s="41"/>
      <c r="L1150" s="41"/>
      <c r="M1150" s="41"/>
      <c r="N1150" s="41"/>
      <c r="O1150" s="41"/>
    </row>
    <row r="1151" spans="1:15">
      <c r="A1151" s="39"/>
      <c r="B1151" s="40"/>
      <c r="C1151" s="41"/>
      <c r="D1151" s="41"/>
      <c r="E1151" s="41"/>
      <c r="F1151" s="41"/>
      <c r="G1151" s="41"/>
      <c r="H1151" s="41"/>
      <c r="I1151" s="41"/>
      <c r="J1151" s="41"/>
      <c r="K1151" s="41"/>
      <c r="L1151" s="41"/>
      <c r="M1151" s="41"/>
      <c r="N1151" s="41"/>
      <c r="O1151" s="41"/>
    </row>
    <row r="1152" spans="1:15">
      <c r="A1152" s="39"/>
      <c r="B1152" s="40"/>
      <c r="C1152" s="41"/>
      <c r="D1152" s="41"/>
      <c r="E1152" s="41"/>
      <c r="F1152" s="41"/>
      <c r="G1152" s="41"/>
      <c r="H1152" s="41"/>
      <c r="I1152" s="41"/>
      <c r="J1152" s="41"/>
      <c r="K1152" s="41"/>
      <c r="L1152" s="41"/>
      <c r="M1152" s="41"/>
      <c r="N1152" s="41"/>
      <c r="O1152" s="41"/>
    </row>
    <row r="1153" spans="1:15">
      <c r="A1153" s="39"/>
      <c r="B1153" s="40"/>
      <c r="C1153" s="41"/>
      <c r="D1153" s="41"/>
      <c r="E1153" s="41"/>
      <c r="F1153" s="41"/>
      <c r="G1153" s="41"/>
      <c r="H1153" s="41"/>
      <c r="I1153" s="41"/>
      <c r="J1153" s="41"/>
      <c r="K1153" s="41"/>
      <c r="L1153" s="41"/>
      <c r="M1153" s="41"/>
      <c r="N1153" s="41"/>
      <c r="O1153" s="41"/>
    </row>
    <row r="1154" spans="1:15">
      <c r="A1154" s="39"/>
      <c r="B1154" s="40"/>
      <c r="C1154" s="41"/>
      <c r="D1154" s="41"/>
      <c r="E1154" s="41"/>
      <c r="F1154" s="41"/>
      <c r="G1154" s="41"/>
      <c r="H1154" s="41"/>
      <c r="I1154" s="41"/>
      <c r="J1154" s="41"/>
      <c r="K1154" s="41"/>
      <c r="L1154" s="41"/>
      <c r="M1154" s="41"/>
      <c r="N1154" s="41"/>
      <c r="O1154" s="41"/>
    </row>
    <row r="1155" spans="1:15">
      <c r="A1155" s="39"/>
      <c r="B1155" s="40"/>
      <c r="C1155" s="41"/>
      <c r="D1155" s="41"/>
      <c r="E1155" s="41"/>
      <c r="F1155" s="41"/>
      <c r="G1155" s="41"/>
      <c r="H1155" s="41"/>
      <c r="I1155" s="41"/>
      <c r="J1155" s="41"/>
      <c r="K1155" s="41"/>
      <c r="L1155" s="41"/>
      <c r="M1155" s="41"/>
      <c r="N1155" s="41"/>
      <c r="O1155" s="41"/>
    </row>
    <row r="1156" spans="1:15">
      <c r="A1156" s="39"/>
      <c r="B1156" s="40"/>
      <c r="C1156" s="41"/>
      <c r="D1156" s="41"/>
      <c r="E1156" s="41"/>
      <c r="F1156" s="41"/>
      <c r="G1156" s="41"/>
      <c r="H1156" s="41"/>
      <c r="I1156" s="41"/>
      <c r="J1156" s="41"/>
      <c r="K1156" s="41"/>
      <c r="L1156" s="41"/>
      <c r="M1156" s="41"/>
      <c r="N1156" s="41"/>
      <c r="O1156" s="41"/>
    </row>
    <row r="1157" spans="1:15">
      <c r="A1157" s="39"/>
      <c r="B1157" s="40"/>
      <c r="C1157" s="41"/>
      <c r="D1157" s="41"/>
      <c r="E1157" s="41"/>
      <c r="F1157" s="41"/>
      <c r="G1157" s="41"/>
      <c r="H1157" s="41"/>
      <c r="I1157" s="41"/>
      <c r="J1157" s="41"/>
      <c r="K1157" s="41"/>
      <c r="L1157" s="41"/>
      <c r="M1157" s="41"/>
      <c r="N1157" s="41"/>
      <c r="O1157" s="41"/>
    </row>
    <row r="1158" spans="1:15">
      <c r="A1158" s="39"/>
      <c r="B1158" s="40"/>
      <c r="C1158" s="41"/>
      <c r="D1158" s="41"/>
      <c r="E1158" s="41"/>
      <c r="F1158" s="41"/>
      <c r="G1158" s="41"/>
      <c r="H1158" s="41"/>
      <c r="I1158" s="41"/>
      <c r="J1158" s="41"/>
      <c r="K1158" s="41"/>
      <c r="L1158" s="41"/>
      <c r="M1158" s="41"/>
      <c r="N1158" s="41"/>
      <c r="O1158" s="41"/>
    </row>
    <row r="1159" spans="1:15">
      <c r="A1159" s="39"/>
      <c r="B1159" s="40"/>
      <c r="C1159" s="41"/>
      <c r="D1159" s="41"/>
      <c r="E1159" s="41"/>
      <c r="F1159" s="41"/>
      <c r="G1159" s="41"/>
      <c r="H1159" s="41"/>
      <c r="I1159" s="41"/>
      <c r="J1159" s="41"/>
      <c r="K1159" s="41"/>
      <c r="L1159" s="41"/>
      <c r="M1159" s="41"/>
      <c r="N1159" s="41"/>
      <c r="O1159" s="41"/>
    </row>
    <row r="1160" spans="1:15">
      <c r="A1160" s="39"/>
      <c r="B1160" s="40"/>
      <c r="C1160" s="41"/>
      <c r="D1160" s="41"/>
      <c r="E1160" s="41"/>
      <c r="F1160" s="41"/>
      <c r="G1160" s="41"/>
      <c r="H1160" s="41"/>
      <c r="I1160" s="41"/>
      <c r="J1160" s="41"/>
      <c r="K1160" s="41"/>
      <c r="L1160" s="41"/>
      <c r="M1160" s="41"/>
      <c r="N1160" s="41"/>
      <c r="O1160" s="41"/>
    </row>
    <row r="1161" spans="1:15">
      <c r="A1161" s="39"/>
      <c r="B1161" s="40"/>
      <c r="C1161" s="41"/>
      <c r="D1161" s="41"/>
      <c r="E1161" s="41"/>
      <c r="F1161" s="41"/>
      <c r="G1161" s="41"/>
      <c r="H1161" s="41"/>
      <c r="I1161" s="41"/>
      <c r="J1161" s="41"/>
      <c r="K1161" s="41"/>
      <c r="L1161" s="41"/>
      <c r="M1161" s="41"/>
      <c r="N1161" s="41"/>
      <c r="O1161" s="41"/>
    </row>
    <row r="1162" spans="1:15">
      <c r="A1162" s="39"/>
      <c r="B1162" s="40"/>
      <c r="C1162" s="41"/>
      <c r="D1162" s="41"/>
      <c r="E1162" s="41"/>
      <c r="F1162" s="41"/>
      <c r="G1162" s="41"/>
      <c r="H1162" s="41"/>
      <c r="I1162" s="41"/>
      <c r="J1162" s="41"/>
      <c r="K1162" s="41"/>
      <c r="L1162" s="41"/>
      <c r="M1162" s="41"/>
      <c r="N1162" s="41"/>
      <c r="O1162" s="41"/>
    </row>
    <row r="1163" spans="1:15">
      <c r="A1163" s="39"/>
      <c r="B1163" s="40"/>
      <c r="C1163" s="41"/>
      <c r="D1163" s="41"/>
      <c r="E1163" s="41"/>
      <c r="F1163" s="41"/>
      <c r="G1163" s="41"/>
      <c r="H1163" s="41"/>
      <c r="I1163" s="41"/>
      <c r="J1163" s="41"/>
      <c r="K1163" s="41"/>
      <c r="L1163" s="41"/>
      <c r="M1163" s="41"/>
      <c r="N1163" s="41"/>
      <c r="O1163" s="41"/>
    </row>
    <row r="1164" spans="1:15">
      <c r="A1164" s="39"/>
      <c r="B1164" s="40"/>
      <c r="C1164" s="41"/>
      <c r="D1164" s="41"/>
      <c r="E1164" s="41"/>
      <c r="F1164" s="41"/>
      <c r="G1164" s="41"/>
      <c r="H1164" s="41"/>
      <c r="I1164" s="41"/>
      <c r="J1164" s="41"/>
      <c r="K1164" s="41"/>
      <c r="L1164" s="41"/>
      <c r="M1164" s="41"/>
      <c r="N1164" s="41"/>
      <c r="O1164" s="41"/>
    </row>
    <row r="1165" spans="1:15">
      <c r="A1165" s="39"/>
      <c r="B1165" s="40"/>
      <c r="C1165" s="41"/>
      <c r="D1165" s="41"/>
      <c r="E1165" s="41"/>
      <c r="F1165" s="41"/>
      <c r="G1165" s="41"/>
      <c r="H1165" s="41"/>
      <c r="I1165" s="41"/>
      <c r="J1165" s="41"/>
      <c r="K1165" s="41"/>
      <c r="L1165" s="41"/>
      <c r="M1165" s="41"/>
      <c r="N1165" s="41"/>
      <c r="O1165" s="41"/>
    </row>
    <row r="1166" spans="1:15">
      <c r="A1166" s="39"/>
      <c r="B1166" s="40"/>
      <c r="C1166" s="41"/>
      <c r="D1166" s="41"/>
      <c r="E1166" s="41"/>
      <c r="F1166" s="41"/>
      <c r="G1166" s="41"/>
      <c r="H1166" s="41"/>
      <c r="I1166" s="41"/>
      <c r="J1166" s="41"/>
      <c r="K1166" s="41"/>
      <c r="L1166" s="41"/>
      <c r="M1166" s="41"/>
      <c r="N1166" s="41"/>
      <c r="O1166" s="41"/>
    </row>
    <row r="1167" spans="1:15">
      <c r="A1167" s="39"/>
      <c r="B1167" s="40"/>
      <c r="C1167" s="41"/>
      <c r="D1167" s="41"/>
      <c r="E1167" s="41"/>
      <c r="F1167" s="41"/>
      <c r="G1167" s="41"/>
      <c r="H1167" s="41"/>
      <c r="I1167" s="41"/>
      <c r="J1167" s="41"/>
      <c r="K1167" s="41"/>
      <c r="L1167" s="41"/>
      <c r="M1167" s="41"/>
      <c r="N1167" s="41"/>
      <c r="O1167" s="41"/>
    </row>
    <row r="1168" spans="1:15">
      <c r="A1168" s="39"/>
      <c r="B1168" s="40"/>
      <c r="C1168" s="41"/>
      <c r="D1168" s="41"/>
      <c r="E1168" s="41"/>
      <c r="F1168" s="41"/>
      <c r="G1168" s="41"/>
      <c r="H1168" s="41"/>
      <c r="I1168" s="41"/>
      <c r="J1168" s="41"/>
      <c r="K1168" s="41"/>
      <c r="L1168" s="41"/>
      <c r="M1168" s="41"/>
      <c r="N1168" s="41"/>
      <c r="O1168" s="41"/>
    </row>
    <row r="1169" spans="1:15">
      <c r="A1169" s="39"/>
      <c r="B1169" s="40"/>
      <c r="C1169" s="41"/>
      <c r="D1169" s="41"/>
      <c r="E1169" s="41"/>
      <c r="F1169" s="41"/>
      <c r="G1169" s="41"/>
      <c r="H1169" s="41"/>
      <c r="I1169" s="41"/>
      <c r="J1169" s="41"/>
      <c r="K1169" s="41"/>
      <c r="L1169" s="41"/>
      <c r="M1169" s="41"/>
      <c r="N1169" s="41"/>
      <c r="O1169" s="41"/>
    </row>
    <row r="1170" spans="1:15">
      <c r="A1170" s="39"/>
      <c r="B1170" s="40"/>
      <c r="C1170" s="41"/>
      <c r="D1170" s="41"/>
      <c r="E1170" s="41"/>
      <c r="F1170" s="41"/>
      <c r="G1170" s="41"/>
      <c r="H1170" s="41"/>
      <c r="I1170" s="41"/>
      <c r="J1170" s="41"/>
      <c r="K1170" s="41"/>
      <c r="L1170" s="41"/>
      <c r="M1170" s="41"/>
      <c r="N1170" s="41"/>
      <c r="O1170" s="41"/>
    </row>
    <row r="1171" spans="1:15">
      <c r="A1171" s="39"/>
      <c r="B1171" s="40"/>
      <c r="C1171" s="41"/>
      <c r="D1171" s="41"/>
      <c r="E1171" s="41"/>
      <c r="F1171" s="41"/>
      <c r="G1171" s="41"/>
      <c r="H1171" s="41"/>
      <c r="I1171" s="41"/>
      <c r="J1171" s="41"/>
      <c r="K1171" s="41"/>
      <c r="L1171" s="41"/>
      <c r="M1171" s="41"/>
      <c r="N1171" s="41"/>
      <c r="O1171" s="41"/>
    </row>
    <row r="1172" spans="1:15">
      <c r="A1172" s="39"/>
      <c r="B1172" s="40"/>
      <c r="C1172" s="41"/>
      <c r="D1172" s="41"/>
      <c r="E1172" s="41"/>
      <c r="F1172" s="41"/>
      <c r="G1172" s="41"/>
      <c r="H1172" s="41"/>
      <c r="I1172" s="41"/>
      <c r="J1172" s="41"/>
      <c r="K1172" s="41"/>
      <c r="L1172" s="41"/>
      <c r="M1172" s="41"/>
      <c r="N1172" s="41"/>
      <c r="O1172" s="41"/>
    </row>
    <row r="1173" spans="1:15">
      <c r="A1173" s="39"/>
      <c r="B1173" s="40"/>
      <c r="C1173" s="41"/>
      <c r="D1173" s="41"/>
      <c r="E1173" s="41"/>
      <c r="F1173" s="41"/>
      <c r="G1173" s="41"/>
      <c r="H1173" s="41"/>
      <c r="I1173" s="41"/>
      <c r="J1173" s="41"/>
      <c r="K1173" s="41"/>
      <c r="L1173" s="41"/>
      <c r="M1173" s="41"/>
      <c r="N1173" s="41"/>
      <c r="O1173" s="41"/>
    </row>
    <row r="1174" spans="1:15">
      <c r="A1174" s="39"/>
      <c r="B1174" s="40"/>
      <c r="C1174" s="41"/>
      <c r="D1174" s="41"/>
      <c r="E1174" s="41"/>
      <c r="F1174" s="41"/>
      <c r="G1174" s="41"/>
      <c r="H1174" s="41"/>
      <c r="I1174" s="41"/>
      <c r="J1174" s="41"/>
      <c r="K1174" s="41"/>
      <c r="L1174" s="41"/>
      <c r="M1174" s="41"/>
      <c r="N1174" s="41"/>
      <c r="O1174" s="41"/>
    </row>
    <row r="1175" spans="1:15">
      <c r="A1175" s="39"/>
      <c r="B1175" s="40"/>
      <c r="C1175" s="41"/>
      <c r="D1175" s="41"/>
      <c r="E1175" s="41"/>
      <c r="F1175" s="41"/>
      <c r="G1175" s="41"/>
      <c r="H1175" s="41"/>
      <c r="I1175" s="41"/>
      <c r="J1175" s="41"/>
      <c r="K1175" s="41"/>
      <c r="L1175" s="41"/>
      <c r="M1175" s="41"/>
      <c r="N1175" s="41"/>
      <c r="O1175" s="41"/>
    </row>
    <row r="1176" spans="1:15">
      <c r="A1176" s="39"/>
      <c r="B1176" s="40"/>
      <c r="C1176" s="41"/>
      <c r="D1176" s="41"/>
      <c r="E1176" s="41"/>
      <c r="F1176" s="41"/>
      <c r="G1176" s="41"/>
      <c r="H1176" s="41"/>
      <c r="I1176" s="41"/>
      <c r="J1176" s="41"/>
      <c r="K1176" s="41"/>
      <c r="L1176" s="41"/>
      <c r="M1176" s="41"/>
      <c r="N1176" s="41"/>
      <c r="O1176" s="41"/>
    </row>
    <row r="1177" spans="1:15">
      <c r="A1177" s="39"/>
      <c r="B1177" s="40"/>
      <c r="C1177" s="41"/>
      <c r="D1177" s="41"/>
      <c r="E1177" s="41"/>
      <c r="F1177" s="41"/>
      <c r="G1177" s="41"/>
      <c r="H1177" s="41"/>
      <c r="I1177" s="41"/>
      <c r="J1177" s="41"/>
      <c r="K1177" s="41"/>
      <c r="L1177" s="41"/>
      <c r="M1177" s="41"/>
      <c r="N1177" s="41"/>
      <c r="O1177" s="41"/>
    </row>
    <row r="1178" spans="1:15">
      <c r="A1178" s="39"/>
      <c r="B1178" s="40"/>
      <c r="C1178" s="41"/>
      <c r="D1178" s="41"/>
      <c r="E1178" s="41"/>
      <c r="F1178" s="41"/>
      <c r="G1178" s="41"/>
      <c r="H1178" s="41"/>
      <c r="I1178" s="41"/>
      <c r="J1178" s="41"/>
      <c r="K1178" s="41"/>
      <c r="L1178" s="41"/>
      <c r="M1178" s="41"/>
      <c r="N1178" s="41"/>
      <c r="O1178" s="41"/>
    </row>
    <row r="1179" spans="1:15">
      <c r="A1179" s="39"/>
      <c r="B1179" s="40"/>
      <c r="C1179" s="41"/>
      <c r="D1179" s="41"/>
      <c r="E1179" s="41"/>
      <c r="F1179" s="41"/>
      <c r="G1179" s="41"/>
      <c r="H1179" s="41"/>
      <c r="I1179" s="41"/>
      <c r="J1179" s="41"/>
      <c r="K1179" s="41"/>
      <c r="L1179" s="41"/>
      <c r="M1179" s="41"/>
      <c r="N1179" s="41"/>
      <c r="O1179" s="41"/>
    </row>
    <row r="1180" spans="1:15">
      <c r="A1180" s="39"/>
      <c r="B1180" s="40"/>
      <c r="C1180" s="41"/>
      <c r="D1180" s="41"/>
      <c r="E1180" s="41"/>
      <c r="F1180" s="41"/>
      <c r="G1180" s="41"/>
      <c r="H1180" s="41"/>
      <c r="I1180" s="41"/>
      <c r="J1180" s="41"/>
      <c r="K1180" s="41"/>
      <c r="L1180" s="41"/>
      <c r="M1180" s="41"/>
      <c r="N1180" s="41"/>
      <c r="O1180" s="41"/>
    </row>
    <row r="1181" spans="1:15">
      <c r="A1181" s="39"/>
      <c r="B1181" s="40"/>
      <c r="C1181" s="41"/>
      <c r="D1181" s="41"/>
      <c r="E1181" s="41"/>
      <c r="F1181" s="41"/>
      <c r="G1181" s="41"/>
      <c r="H1181" s="41"/>
      <c r="I1181" s="41"/>
      <c r="J1181" s="41"/>
      <c r="K1181" s="41"/>
      <c r="L1181" s="41"/>
      <c r="M1181" s="41"/>
      <c r="N1181" s="41"/>
      <c r="O1181" s="41"/>
    </row>
    <row r="1182" spans="1:15">
      <c r="A1182" s="39"/>
      <c r="B1182" s="40"/>
      <c r="C1182" s="41"/>
      <c r="D1182" s="41"/>
      <c r="E1182" s="41"/>
      <c r="F1182" s="41"/>
      <c r="G1182" s="41"/>
      <c r="H1182" s="41"/>
      <c r="I1182" s="41"/>
      <c r="J1182" s="41"/>
      <c r="K1182" s="41"/>
      <c r="L1182" s="41"/>
      <c r="M1182" s="41"/>
      <c r="N1182" s="41"/>
      <c r="O1182" s="41"/>
    </row>
    <row r="1183" spans="1:15">
      <c r="A1183" s="39"/>
      <c r="B1183" s="40"/>
      <c r="C1183" s="41"/>
      <c r="D1183" s="41"/>
      <c r="E1183" s="41"/>
      <c r="F1183" s="41"/>
      <c r="G1183" s="41"/>
      <c r="H1183" s="41"/>
      <c r="I1183" s="41"/>
      <c r="J1183" s="41"/>
      <c r="K1183" s="41"/>
      <c r="L1183" s="41"/>
      <c r="M1183" s="41"/>
      <c r="N1183" s="41"/>
      <c r="O1183" s="41"/>
    </row>
    <row r="1184" spans="1:15">
      <c r="A1184" s="39"/>
      <c r="B1184" s="40"/>
      <c r="C1184" s="41"/>
      <c r="D1184" s="41"/>
      <c r="E1184" s="41"/>
      <c r="F1184" s="41"/>
      <c r="G1184" s="41"/>
      <c r="H1184" s="41"/>
      <c r="I1184" s="41"/>
      <c r="J1184" s="41"/>
      <c r="K1184" s="41"/>
      <c r="L1184" s="41"/>
      <c r="M1184" s="41"/>
      <c r="N1184" s="41"/>
      <c r="O1184" s="41"/>
    </row>
    <row r="1185" spans="1:15">
      <c r="A1185" s="39"/>
      <c r="B1185" s="40"/>
      <c r="C1185" s="41"/>
      <c r="D1185" s="41"/>
      <c r="E1185" s="41"/>
      <c r="F1185" s="41"/>
      <c r="G1185" s="41"/>
      <c r="H1185" s="41"/>
      <c r="I1185" s="41"/>
      <c r="J1185" s="41"/>
      <c r="K1185" s="41"/>
      <c r="L1185" s="41"/>
      <c r="M1185" s="41"/>
      <c r="N1185" s="41"/>
      <c r="O1185" s="41"/>
    </row>
    <row r="1186" spans="1:15">
      <c r="A1186" s="39"/>
      <c r="B1186" s="40"/>
      <c r="C1186" s="41"/>
      <c r="D1186" s="41"/>
      <c r="E1186" s="41"/>
      <c r="F1186" s="41"/>
      <c r="G1186" s="41"/>
      <c r="H1186" s="41"/>
      <c r="I1186" s="41"/>
      <c r="J1186" s="41"/>
      <c r="K1186" s="41"/>
      <c r="L1186" s="41"/>
      <c r="M1186" s="41"/>
      <c r="N1186" s="41"/>
      <c r="O1186" s="41"/>
    </row>
    <row r="1187" spans="1:15">
      <c r="A1187" s="39"/>
      <c r="B1187" s="40"/>
      <c r="C1187" s="41"/>
      <c r="D1187" s="41"/>
      <c r="E1187" s="41"/>
      <c r="F1187" s="41"/>
      <c r="G1187" s="41"/>
      <c r="H1187" s="41"/>
      <c r="I1187" s="41"/>
      <c r="J1187" s="41"/>
      <c r="K1187" s="41"/>
      <c r="L1187" s="41"/>
      <c r="M1187" s="41"/>
      <c r="N1187" s="41"/>
      <c r="O1187" s="41"/>
    </row>
    <row r="1188" spans="1:15">
      <c r="A1188" s="39"/>
      <c r="B1188" s="40"/>
      <c r="C1188" s="41"/>
      <c r="D1188" s="41"/>
      <c r="E1188" s="41"/>
      <c r="F1188" s="41"/>
      <c r="G1188" s="41"/>
      <c r="H1188" s="41"/>
      <c r="I1188" s="41"/>
      <c r="J1188" s="41"/>
      <c r="K1188" s="41"/>
      <c r="L1188" s="41"/>
      <c r="M1188" s="41"/>
      <c r="N1188" s="41"/>
      <c r="O1188" s="41"/>
    </row>
    <row r="1189" spans="1:15">
      <c r="A1189" s="39"/>
      <c r="B1189" s="40"/>
      <c r="C1189" s="41"/>
      <c r="D1189" s="41"/>
      <c r="E1189" s="41"/>
      <c r="F1189" s="41"/>
      <c r="G1189" s="41"/>
      <c r="H1189" s="41"/>
      <c r="I1189" s="41"/>
      <c r="J1189" s="41"/>
      <c r="K1189" s="41"/>
      <c r="L1189" s="41"/>
      <c r="M1189" s="41"/>
      <c r="N1189" s="41"/>
      <c r="O1189" s="41"/>
    </row>
    <row r="1190" spans="1:15">
      <c r="A1190" s="39"/>
      <c r="B1190" s="40"/>
      <c r="C1190" s="41"/>
      <c r="D1190" s="41"/>
      <c r="E1190" s="41"/>
      <c r="F1190" s="41"/>
      <c r="G1190" s="41"/>
      <c r="H1190" s="41"/>
      <c r="I1190" s="41"/>
      <c r="J1190" s="41"/>
      <c r="K1190" s="41"/>
      <c r="L1190" s="41"/>
      <c r="M1190" s="41"/>
      <c r="N1190" s="41"/>
      <c r="O1190" s="41"/>
    </row>
    <row r="1191" spans="1:15">
      <c r="A1191" s="39"/>
      <c r="B1191" s="40"/>
      <c r="C1191" s="41"/>
      <c r="D1191" s="41"/>
      <c r="E1191" s="41"/>
      <c r="F1191" s="41"/>
      <c r="G1191" s="41"/>
      <c r="H1191" s="41"/>
      <c r="I1191" s="41"/>
      <c r="J1191" s="41"/>
      <c r="K1191" s="41"/>
      <c r="L1191" s="41"/>
      <c r="M1191" s="41"/>
      <c r="N1191" s="41"/>
      <c r="O1191" s="41"/>
    </row>
    <row r="1192" spans="1:15">
      <c r="A1192" s="39"/>
      <c r="B1192" s="40"/>
      <c r="C1192" s="41"/>
      <c r="D1192" s="41"/>
      <c r="E1192" s="41"/>
      <c r="F1192" s="41"/>
      <c r="G1192" s="41"/>
      <c r="H1192" s="41"/>
      <c r="I1192" s="41"/>
      <c r="J1192" s="41"/>
      <c r="K1192" s="41"/>
      <c r="L1192" s="41"/>
      <c r="M1192" s="41"/>
      <c r="N1192" s="41"/>
      <c r="O1192" s="41"/>
    </row>
    <row r="1193" spans="1:15">
      <c r="A1193" s="39"/>
      <c r="B1193" s="40"/>
      <c r="C1193" s="41"/>
      <c r="D1193" s="41"/>
      <c r="E1193" s="41"/>
      <c r="F1193" s="41"/>
      <c r="G1193" s="41"/>
      <c r="H1193" s="41"/>
      <c r="I1193" s="41"/>
      <c r="J1193" s="41"/>
      <c r="K1193" s="41"/>
      <c r="L1193" s="41"/>
      <c r="M1193" s="41"/>
      <c r="N1193" s="41"/>
      <c r="O1193" s="41"/>
    </row>
    <row r="1194" spans="1:15">
      <c r="A1194" s="39"/>
      <c r="B1194" s="40"/>
      <c r="C1194" s="41"/>
      <c r="D1194" s="41"/>
      <c r="E1194" s="41"/>
      <c r="F1194" s="41"/>
      <c r="G1194" s="41"/>
      <c r="H1194" s="41"/>
      <c r="I1194" s="41"/>
      <c r="J1194" s="41"/>
      <c r="K1194" s="41"/>
      <c r="L1194" s="41"/>
      <c r="M1194" s="41"/>
      <c r="N1194" s="41"/>
      <c r="O1194" s="41"/>
    </row>
    <row r="1195" spans="1:15">
      <c r="A1195" s="39"/>
      <c r="B1195" s="40"/>
      <c r="C1195" s="41"/>
      <c r="D1195" s="41"/>
      <c r="E1195" s="41"/>
      <c r="F1195" s="41"/>
      <c r="G1195" s="41"/>
      <c r="H1195" s="41"/>
      <c r="I1195" s="41"/>
      <c r="J1195" s="41"/>
      <c r="K1195" s="41"/>
      <c r="L1195" s="41"/>
      <c r="M1195" s="41"/>
      <c r="N1195" s="41"/>
      <c r="O1195" s="41"/>
    </row>
    <row r="1196" spans="1:15">
      <c r="A1196" s="39"/>
      <c r="B1196" s="40"/>
      <c r="C1196" s="41"/>
      <c r="D1196" s="41"/>
      <c r="E1196" s="41"/>
      <c r="F1196" s="41"/>
      <c r="G1196" s="41"/>
      <c r="H1196" s="41"/>
      <c r="I1196" s="41"/>
      <c r="J1196" s="41"/>
      <c r="K1196" s="41"/>
      <c r="L1196" s="41"/>
      <c r="M1196" s="41"/>
      <c r="N1196" s="41"/>
      <c r="O1196" s="41"/>
    </row>
    <row r="1197" spans="1:15">
      <c r="A1197" s="39"/>
      <c r="B1197" s="40"/>
      <c r="C1197" s="41"/>
      <c r="D1197" s="41"/>
      <c r="E1197" s="41"/>
      <c r="F1197" s="41"/>
      <c r="G1197" s="41"/>
      <c r="H1197" s="41"/>
      <c r="I1197" s="41"/>
      <c r="J1197" s="41"/>
      <c r="K1197" s="41"/>
      <c r="L1197" s="41"/>
      <c r="M1197" s="41"/>
      <c r="N1197" s="41"/>
      <c r="O1197" s="41"/>
    </row>
    <row r="1198" spans="1:15">
      <c r="A1198" s="39"/>
      <c r="B1198" s="40"/>
      <c r="C1198" s="41"/>
      <c r="D1198" s="41"/>
      <c r="E1198" s="41"/>
      <c r="F1198" s="41"/>
      <c r="G1198" s="41"/>
      <c r="H1198" s="41"/>
      <c r="I1198" s="41"/>
      <c r="J1198" s="41"/>
      <c r="K1198" s="41"/>
      <c r="L1198" s="41"/>
      <c r="M1198" s="41"/>
      <c r="N1198" s="41"/>
      <c r="O1198" s="41"/>
    </row>
    <row r="1199" spans="1:15">
      <c r="A1199" s="39"/>
      <c r="B1199" s="40"/>
      <c r="C1199" s="41"/>
      <c r="D1199" s="41"/>
      <c r="E1199" s="41"/>
      <c r="F1199" s="41"/>
      <c r="G1199" s="41"/>
      <c r="H1199" s="41"/>
      <c r="I1199" s="41"/>
      <c r="J1199" s="41"/>
      <c r="K1199" s="41"/>
      <c r="L1199" s="41"/>
      <c r="M1199" s="41"/>
      <c r="N1199" s="41"/>
      <c r="O1199" s="41"/>
    </row>
    <row r="1200" spans="1:15">
      <c r="A1200" s="39"/>
      <c r="B1200" s="40"/>
      <c r="C1200" s="41"/>
      <c r="D1200" s="41"/>
      <c r="E1200" s="41"/>
      <c r="F1200" s="41"/>
      <c r="G1200" s="41"/>
      <c r="H1200" s="41"/>
      <c r="I1200" s="41"/>
      <c r="J1200" s="41"/>
      <c r="K1200" s="41"/>
      <c r="L1200" s="41"/>
      <c r="M1200" s="41"/>
      <c r="N1200" s="41"/>
      <c r="O1200" s="41"/>
    </row>
    <row r="1201" spans="1:15">
      <c r="A1201" s="39"/>
      <c r="B1201" s="40"/>
      <c r="C1201" s="41"/>
      <c r="D1201" s="41"/>
      <c r="E1201" s="41"/>
      <c r="F1201" s="41"/>
      <c r="G1201" s="41"/>
      <c r="H1201" s="41"/>
      <c r="I1201" s="41"/>
      <c r="J1201" s="41"/>
      <c r="K1201" s="41"/>
      <c r="L1201" s="41"/>
      <c r="M1201" s="41"/>
      <c r="N1201" s="41"/>
      <c r="O1201" s="41"/>
    </row>
    <row r="1202" spans="1:15">
      <c r="A1202" s="39"/>
      <c r="B1202" s="40"/>
      <c r="C1202" s="41"/>
      <c r="D1202" s="41"/>
      <c r="E1202" s="41"/>
      <c r="F1202" s="41"/>
      <c r="G1202" s="41"/>
      <c r="H1202" s="41"/>
      <c r="I1202" s="41"/>
      <c r="J1202" s="41"/>
      <c r="K1202" s="41"/>
      <c r="L1202" s="41"/>
      <c r="M1202" s="41"/>
      <c r="N1202" s="41"/>
      <c r="O1202" s="41"/>
    </row>
    <row r="1203" spans="1:15">
      <c r="A1203" s="39"/>
      <c r="B1203" s="40"/>
      <c r="C1203" s="41"/>
      <c r="D1203" s="41"/>
      <c r="E1203" s="41"/>
      <c r="F1203" s="41"/>
      <c r="G1203" s="41"/>
      <c r="H1203" s="41"/>
      <c r="I1203" s="41"/>
      <c r="J1203" s="41"/>
      <c r="K1203" s="41"/>
      <c r="L1203" s="41"/>
      <c r="M1203" s="41"/>
      <c r="N1203" s="41"/>
      <c r="O1203" s="41"/>
    </row>
    <row r="1204" spans="1:15">
      <c r="A1204" s="39"/>
      <c r="B1204" s="40"/>
      <c r="C1204" s="41"/>
      <c r="D1204" s="41"/>
      <c r="E1204" s="41"/>
      <c r="F1204" s="41"/>
      <c r="G1204" s="41"/>
      <c r="H1204" s="41"/>
      <c r="I1204" s="41"/>
      <c r="J1204" s="41"/>
      <c r="K1204" s="41"/>
      <c r="L1204" s="41"/>
      <c r="M1204" s="41"/>
      <c r="N1204" s="41"/>
      <c r="O1204" s="41"/>
    </row>
    <row r="1205" spans="1:15">
      <c r="A1205" s="39"/>
      <c r="B1205" s="40"/>
      <c r="C1205" s="41"/>
      <c r="D1205" s="41"/>
      <c r="E1205" s="41"/>
      <c r="F1205" s="41"/>
      <c r="G1205" s="41"/>
      <c r="H1205" s="41"/>
      <c r="I1205" s="41"/>
      <c r="J1205" s="41"/>
      <c r="K1205" s="41"/>
      <c r="L1205" s="41"/>
      <c r="M1205" s="41"/>
      <c r="N1205" s="41"/>
      <c r="O1205" s="41"/>
    </row>
    <row r="1206" spans="1:15">
      <c r="A1206" s="39"/>
      <c r="B1206" s="40"/>
      <c r="C1206" s="41"/>
      <c r="D1206" s="41"/>
      <c r="E1206" s="41"/>
      <c r="F1206" s="41"/>
      <c r="G1206" s="41"/>
      <c r="H1206" s="41"/>
      <c r="I1206" s="41"/>
      <c r="J1206" s="41"/>
      <c r="K1206" s="41"/>
      <c r="L1206" s="41"/>
      <c r="M1206" s="41"/>
      <c r="N1206" s="41"/>
      <c r="O1206" s="41"/>
    </row>
    <row r="1207" spans="1:15">
      <c r="A1207" s="39"/>
      <c r="B1207" s="40"/>
      <c r="C1207" s="41"/>
      <c r="D1207" s="41"/>
      <c r="E1207" s="41"/>
      <c r="F1207" s="41"/>
      <c r="G1207" s="41"/>
      <c r="H1207" s="41"/>
      <c r="I1207" s="41"/>
      <c r="J1207" s="41"/>
      <c r="K1207" s="41"/>
      <c r="L1207" s="41"/>
      <c r="M1207" s="41"/>
      <c r="N1207" s="41"/>
      <c r="O1207" s="41"/>
    </row>
    <row r="1208" spans="1:15">
      <c r="A1208" s="39"/>
      <c r="B1208" s="40"/>
      <c r="C1208" s="41"/>
      <c r="D1208" s="41"/>
      <c r="E1208" s="41"/>
      <c r="F1208" s="41"/>
      <c r="G1208" s="41"/>
      <c r="H1208" s="41"/>
      <c r="I1208" s="41"/>
      <c r="J1208" s="41"/>
      <c r="K1208" s="41"/>
      <c r="L1208" s="41"/>
      <c r="M1208" s="41"/>
      <c r="N1208" s="41"/>
      <c r="O1208" s="41"/>
    </row>
    <row r="1209" spans="1:15">
      <c r="A1209" s="39"/>
      <c r="B1209" s="40"/>
      <c r="C1209" s="41"/>
      <c r="D1209" s="41"/>
      <c r="E1209" s="41"/>
      <c r="F1209" s="41"/>
      <c r="G1209" s="41"/>
      <c r="H1209" s="41"/>
      <c r="I1209" s="41"/>
      <c r="J1209" s="41"/>
      <c r="K1209" s="41"/>
      <c r="L1209" s="41"/>
      <c r="M1209" s="41"/>
      <c r="N1209" s="41"/>
      <c r="O1209" s="41"/>
    </row>
    <row r="1210" spans="1:15">
      <c r="A1210" s="39"/>
      <c r="B1210" s="40"/>
      <c r="C1210" s="41"/>
      <c r="D1210" s="41"/>
      <c r="E1210" s="41"/>
      <c r="F1210" s="41"/>
      <c r="G1210" s="41"/>
      <c r="H1210" s="41"/>
      <c r="I1210" s="41"/>
      <c r="J1210" s="41"/>
      <c r="K1210" s="41"/>
      <c r="L1210" s="41"/>
      <c r="M1210" s="41"/>
      <c r="N1210" s="41"/>
      <c r="O1210" s="41"/>
    </row>
    <row r="1211" spans="1:15">
      <c r="A1211" s="39"/>
      <c r="B1211" s="40"/>
      <c r="C1211" s="41"/>
      <c r="D1211" s="41"/>
      <c r="E1211" s="41"/>
      <c r="F1211" s="41"/>
      <c r="G1211" s="41"/>
      <c r="H1211" s="41"/>
      <c r="I1211" s="41"/>
      <c r="J1211" s="41"/>
      <c r="K1211" s="41"/>
      <c r="L1211" s="41"/>
      <c r="M1211" s="41"/>
      <c r="N1211" s="41"/>
      <c r="O1211" s="41"/>
    </row>
    <row r="1212" spans="1:15">
      <c r="A1212" s="39"/>
      <c r="B1212" s="40"/>
      <c r="C1212" s="41"/>
      <c r="D1212" s="41"/>
      <c r="E1212" s="41"/>
      <c r="F1212" s="41"/>
      <c r="G1212" s="41"/>
      <c r="H1212" s="41"/>
      <c r="I1212" s="41"/>
      <c r="J1212" s="41"/>
      <c r="K1212" s="41"/>
      <c r="L1212" s="41"/>
      <c r="M1212" s="41"/>
      <c r="N1212" s="41"/>
      <c r="O1212" s="41"/>
    </row>
    <row r="1213" spans="1:15">
      <c r="A1213" s="39"/>
      <c r="B1213" s="40"/>
      <c r="C1213" s="41"/>
      <c r="D1213" s="41"/>
      <c r="E1213" s="41"/>
      <c r="F1213" s="41"/>
      <c r="G1213" s="41"/>
      <c r="H1213" s="41"/>
      <c r="I1213" s="41"/>
      <c r="J1213" s="41"/>
      <c r="K1213" s="41"/>
      <c r="L1213" s="41"/>
      <c r="M1213" s="41"/>
      <c r="N1213" s="41"/>
      <c r="O1213" s="41"/>
    </row>
    <row r="1214" spans="1:15">
      <c r="A1214" s="39"/>
      <c r="B1214" s="40"/>
      <c r="C1214" s="41"/>
      <c r="D1214" s="41"/>
      <c r="E1214" s="41"/>
      <c r="F1214" s="41"/>
      <c r="G1214" s="41"/>
      <c r="H1214" s="41"/>
      <c r="I1214" s="41"/>
      <c r="J1214" s="41"/>
      <c r="K1214" s="41"/>
      <c r="L1214" s="41"/>
      <c r="M1214" s="41"/>
      <c r="N1214" s="41"/>
      <c r="O1214" s="41"/>
    </row>
    <row r="1215" spans="1:15">
      <c r="A1215" s="39"/>
      <c r="B1215" s="40"/>
      <c r="C1215" s="41"/>
      <c r="D1215" s="41"/>
      <c r="E1215" s="41"/>
      <c r="F1215" s="41"/>
      <c r="G1215" s="41"/>
      <c r="H1215" s="41"/>
      <c r="I1215" s="41"/>
      <c r="J1215" s="41"/>
      <c r="K1215" s="41"/>
      <c r="L1215" s="41"/>
      <c r="M1215" s="41"/>
      <c r="N1215" s="41"/>
      <c r="O1215" s="41"/>
    </row>
    <row r="1216" spans="1:15">
      <c r="A1216" s="39"/>
      <c r="B1216" s="40"/>
      <c r="C1216" s="41"/>
      <c r="D1216" s="41"/>
      <c r="E1216" s="41"/>
      <c r="F1216" s="41"/>
      <c r="G1216" s="41"/>
      <c r="H1216" s="41"/>
      <c r="I1216" s="41"/>
      <c r="J1216" s="41"/>
      <c r="K1216" s="41"/>
      <c r="L1216" s="41"/>
      <c r="M1216" s="41"/>
      <c r="N1216" s="41"/>
      <c r="O1216" s="41"/>
    </row>
    <row r="1217" spans="1:15">
      <c r="A1217" s="39"/>
      <c r="B1217" s="40"/>
      <c r="C1217" s="41"/>
      <c r="D1217" s="41"/>
      <c r="E1217" s="41"/>
      <c r="F1217" s="41"/>
      <c r="G1217" s="41"/>
      <c r="H1217" s="41"/>
      <c r="I1217" s="41"/>
      <c r="J1217" s="41"/>
      <c r="K1217" s="41"/>
      <c r="L1217" s="41"/>
      <c r="M1217" s="41"/>
      <c r="N1217" s="41"/>
      <c r="O1217" s="41"/>
    </row>
    <row r="1218" spans="1:15">
      <c r="A1218" s="39"/>
      <c r="B1218" s="40"/>
      <c r="C1218" s="41"/>
      <c r="D1218" s="41"/>
      <c r="E1218" s="41"/>
      <c r="F1218" s="41"/>
      <c r="G1218" s="41"/>
      <c r="H1218" s="41"/>
      <c r="I1218" s="41"/>
      <c r="J1218" s="41"/>
      <c r="K1218" s="41"/>
      <c r="L1218" s="41"/>
      <c r="M1218" s="41"/>
      <c r="N1218" s="41"/>
      <c r="O1218" s="41"/>
    </row>
    <row r="1219" spans="1:15">
      <c r="A1219" s="39"/>
      <c r="B1219" s="40"/>
      <c r="C1219" s="41"/>
      <c r="D1219" s="41"/>
      <c r="E1219" s="41"/>
      <c r="F1219" s="41"/>
      <c r="G1219" s="41"/>
      <c r="H1219" s="41"/>
      <c r="I1219" s="41"/>
      <c r="J1219" s="41"/>
      <c r="K1219" s="41"/>
      <c r="L1219" s="41"/>
      <c r="M1219" s="41"/>
      <c r="N1219" s="41"/>
      <c r="O1219" s="41"/>
    </row>
    <row r="1220" spans="1:15">
      <c r="A1220" s="39"/>
      <c r="B1220" s="40"/>
      <c r="C1220" s="41"/>
      <c r="D1220" s="41"/>
      <c r="E1220" s="41"/>
      <c r="F1220" s="41"/>
      <c r="G1220" s="41"/>
      <c r="H1220" s="41"/>
      <c r="I1220" s="41"/>
      <c r="J1220" s="41"/>
      <c r="K1220" s="41"/>
      <c r="L1220" s="41"/>
      <c r="M1220" s="41"/>
      <c r="N1220" s="41"/>
      <c r="O1220" s="41"/>
    </row>
    <row r="1221" spans="1:15">
      <c r="A1221" s="39"/>
      <c r="B1221" s="40"/>
      <c r="C1221" s="41"/>
      <c r="D1221" s="41"/>
      <c r="E1221" s="41"/>
      <c r="F1221" s="41"/>
      <c r="G1221" s="41"/>
      <c r="H1221" s="41"/>
      <c r="I1221" s="41"/>
      <c r="J1221" s="41"/>
      <c r="K1221" s="41"/>
      <c r="L1221" s="41"/>
      <c r="M1221" s="41"/>
      <c r="N1221" s="41"/>
      <c r="O1221" s="41"/>
    </row>
    <row r="1222" spans="1:15">
      <c r="A1222" s="39"/>
      <c r="B1222" s="40"/>
      <c r="C1222" s="41"/>
      <c r="D1222" s="41"/>
      <c r="E1222" s="41"/>
      <c r="F1222" s="41"/>
      <c r="G1222" s="41"/>
      <c r="H1222" s="41"/>
      <c r="I1222" s="41"/>
      <c r="J1222" s="41"/>
      <c r="K1222" s="41"/>
      <c r="L1222" s="41"/>
      <c r="M1222" s="41"/>
      <c r="N1222" s="41"/>
      <c r="O1222" s="41"/>
    </row>
    <row r="1223" spans="1:15">
      <c r="A1223" s="39"/>
      <c r="B1223" s="40"/>
      <c r="C1223" s="41"/>
      <c r="D1223" s="41"/>
      <c r="E1223" s="41"/>
      <c r="F1223" s="41"/>
      <c r="G1223" s="41"/>
      <c r="H1223" s="41"/>
      <c r="I1223" s="41"/>
      <c r="J1223" s="41"/>
      <c r="K1223" s="41"/>
      <c r="L1223" s="41"/>
      <c r="M1223" s="41"/>
      <c r="N1223" s="41"/>
      <c r="O1223" s="41"/>
    </row>
    <row r="1224" spans="1:15">
      <c r="A1224" s="39"/>
      <c r="B1224" s="40"/>
      <c r="C1224" s="41"/>
      <c r="D1224" s="41"/>
      <c r="E1224" s="41"/>
      <c r="F1224" s="41"/>
      <c r="G1224" s="41"/>
      <c r="H1224" s="41"/>
      <c r="I1224" s="41"/>
      <c r="J1224" s="41"/>
      <c r="K1224" s="41"/>
      <c r="L1224" s="41"/>
      <c r="M1224" s="41"/>
      <c r="N1224" s="41"/>
      <c r="O1224" s="41"/>
    </row>
    <row r="1225" spans="1:15">
      <c r="A1225" s="39"/>
      <c r="B1225" s="40"/>
      <c r="C1225" s="41"/>
      <c r="D1225" s="41"/>
      <c r="E1225" s="41"/>
      <c r="F1225" s="41"/>
      <c r="G1225" s="41"/>
      <c r="H1225" s="41"/>
      <c r="I1225" s="41"/>
      <c r="J1225" s="41"/>
      <c r="K1225" s="41"/>
      <c r="L1225" s="41"/>
      <c r="M1225" s="41"/>
      <c r="N1225" s="41"/>
      <c r="O1225" s="41"/>
    </row>
    <row r="1226" spans="1:15">
      <c r="A1226" s="39"/>
      <c r="B1226" s="40"/>
      <c r="C1226" s="41"/>
      <c r="D1226" s="41"/>
      <c r="E1226" s="41"/>
      <c r="F1226" s="41"/>
      <c r="G1226" s="41"/>
      <c r="H1226" s="41"/>
      <c r="I1226" s="41"/>
      <c r="J1226" s="41"/>
      <c r="K1226" s="41"/>
      <c r="L1226" s="41"/>
      <c r="M1226" s="41"/>
      <c r="N1226" s="41"/>
      <c r="O1226" s="41"/>
    </row>
    <row r="1227" spans="1:15">
      <c r="A1227" s="39"/>
      <c r="B1227" s="40"/>
      <c r="C1227" s="41"/>
      <c r="D1227" s="41"/>
      <c r="E1227" s="41"/>
      <c r="F1227" s="41"/>
      <c r="G1227" s="41"/>
      <c r="H1227" s="41"/>
      <c r="I1227" s="41"/>
      <c r="J1227" s="41"/>
      <c r="K1227" s="41"/>
      <c r="L1227" s="41"/>
      <c r="M1227" s="41"/>
      <c r="N1227" s="41"/>
      <c r="O1227" s="41"/>
    </row>
    <row r="1228" spans="1:15">
      <c r="A1228" s="39"/>
      <c r="B1228" s="40"/>
      <c r="C1228" s="41"/>
      <c r="D1228" s="41"/>
      <c r="E1228" s="41"/>
      <c r="F1228" s="41"/>
      <c r="G1228" s="41"/>
      <c r="H1228" s="41"/>
      <c r="I1228" s="41"/>
      <c r="J1228" s="41"/>
      <c r="K1228" s="41"/>
      <c r="L1228" s="41"/>
      <c r="M1228" s="41"/>
      <c r="N1228" s="41"/>
      <c r="O1228" s="41"/>
    </row>
    <row r="1229" spans="1:15">
      <c r="A1229" s="39"/>
      <c r="B1229" s="40"/>
      <c r="C1229" s="41"/>
      <c r="D1229" s="41"/>
      <c r="E1229" s="41"/>
      <c r="F1229" s="41"/>
      <c r="G1229" s="41"/>
      <c r="H1229" s="41"/>
      <c r="I1229" s="41"/>
      <c r="J1229" s="41"/>
      <c r="K1229" s="41"/>
      <c r="L1229" s="41"/>
      <c r="M1229" s="41"/>
      <c r="N1229" s="41"/>
      <c r="O1229" s="41"/>
    </row>
    <row r="1230" spans="1:15">
      <c r="A1230" s="39"/>
      <c r="B1230" s="40"/>
      <c r="C1230" s="41"/>
      <c r="D1230" s="41"/>
      <c r="E1230" s="41"/>
      <c r="F1230" s="41"/>
      <c r="G1230" s="41"/>
      <c r="H1230" s="41"/>
      <c r="I1230" s="41"/>
      <c r="J1230" s="41"/>
      <c r="K1230" s="41"/>
      <c r="L1230" s="41"/>
      <c r="M1230" s="41"/>
      <c r="N1230" s="41"/>
      <c r="O1230" s="41"/>
    </row>
    <row r="1231" spans="1:15">
      <c r="A1231" s="39"/>
      <c r="B1231" s="40"/>
      <c r="C1231" s="41"/>
      <c r="D1231" s="41"/>
      <c r="E1231" s="41"/>
      <c r="F1231" s="41"/>
      <c r="G1231" s="41"/>
      <c r="H1231" s="41"/>
      <c r="I1231" s="41"/>
      <c r="J1231" s="41"/>
      <c r="K1231" s="41"/>
      <c r="L1231" s="41"/>
      <c r="M1231" s="41"/>
      <c r="N1231" s="41"/>
      <c r="O1231" s="41"/>
    </row>
    <row r="1232" spans="1:15">
      <c r="A1232" s="39"/>
      <c r="B1232" s="40"/>
      <c r="C1232" s="41"/>
      <c r="D1232" s="41"/>
      <c r="E1232" s="41"/>
      <c r="F1232" s="41"/>
      <c r="G1232" s="41"/>
      <c r="H1232" s="41"/>
      <c r="I1232" s="41"/>
      <c r="J1232" s="41"/>
      <c r="K1232" s="41"/>
      <c r="L1232" s="41"/>
      <c r="M1232" s="41"/>
      <c r="N1232" s="41"/>
      <c r="O1232" s="41"/>
    </row>
    <row r="1233" spans="1:15">
      <c r="A1233" s="39"/>
      <c r="B1233" s="40"/>
      <c r="C1233" s="41"/>
      <c r="D1233" s="41"/>
      <c r="E1233" s="41"/>
      <c r="F1233" s="41"/>
      <c r="G1233" s="41"/>
      <c r="H1233" s="41"/>
      <c r="I1233" s="41"/>
      <c r="J1233" s="41"/>
      <c r="K1233" s="41"/>
      <c r="L1233" s="41"/>
      <c r="M1233" s="41"/>
      <c r="N1233" s="41"/>
      <c r="O1233" s="41"/>
    </row>
    <row r="1234" spans="1:15">
      <c r="A1234" s="39"/>
      <c r="B1234" s="40"/>
      <c r="C1234" s="41"/>
      <c r="D1234" s="41"/>
      <c r="E1234" s="41"/>
      <c r="F1234" s="41"/>
      <c r="G1234" s="41"/>
      <c r="H1234" s="41"/>
      <c r="I1234" s="41"/>
      <c r="J1234" s="41"/>
      <c r="K1234" s="41"/>
      <c r="L1234" s="41"/>
      <c r="M1234" s="41"/>
      <c r="N1234" s="41"/>
      <c r="O1234" s="41"/>
    </row>
    <row r="1235" spans="1:15">
      <c r="A1235" s="39"/>
      <c r="B1235" s="40"/>
      <c r="C1235" s="41"/>
      <c r="D1235" s="41"/>
      <c r="E1235" s="41"/>
      <c r="F1235" s="41"/>
      <c r="G1235" s="41"/>
      <c r="H1235" s="41"/>
      <c r="I1235" s="41"/>
      <c r="J1235" s="41"/>
      <c r="K1235" s="41"/>
      <c r="L1235" s="41"/>
      <c r="M1235" s="41"/>
      <c r="N1235" s="41"/>
      <c r="O1235" s="41"/>
    </row>
    <row r="1236" spans="1:15">
      <c r="A1236" s="39"/>
      <c r="B1236" s="40"/>
      <c r="C1236" s="41"/>
      <c r="D1236" s="41"/>
      <c r="E1236" s="41"/>
      <c r="F1236" s="41"/>
      <c r="G1236" s="41"/>
      <c r="H1236" s="41"/>
      <c r="I1236" s="41"/>
      <c r="J1236" s="41"/>
      <c r="K1236" s="41"/>
      <c r="L1236" s="41"/>
      <c r="M1236" s="41"/>
      <c r="N1236" s="41"/>
      <c r="O1236" s="41"/>
    </row>
    <row r="1237" spans="1:15">
      <c r="A1237" s="39"/>
      <c r="B1237" s="40"/>
      <c r="C1237" s="41"/>
      <c r="D1237" s="41"/>
      <c r="E1237" s="41"/>
      <c r="F1237" s="41"/>
      <c r="G1237" s="41"/>
      <c r="H1237" s="41"/>
      <c r="I1237" s="41"/>
      <c r="J1237" s="41"/>
      <c r="K1237" s="41"/>
      <c r="L1237" s="41"/>
      <c r="M1237" s="41"/>
      <c r="N1237" s="41"/>
      <c r="O1237" s="41"/>
    </row>
    <row r="1238" spans="1:15">
      <c r="A1238" s="39"/>
      <c r="B1238" s="40"/>
      <c r="C1238" s="41"/>
      <c r="D1238" s="41"/>
      <c r="E1238" s="41"/>
      <c r="F1238" s="41"/>
      <c r="G1238" s="41"/>
      <c r="H1238" s="41"/>
      <c r="I1238" s="41"/>
      <c r="J1238" s="41"/>
      <c r="K1238" s="41"/>
      <c r="L1238" s="41"/>
      <c r="M1238" s="41"/>
      <c r="N1238" s="41"/>
      <c r="O1238" s="41"/>
    </row>
    <row r="1239" spans="1:15">
      <c r="A1239" s="39"/>
      <c r="B1239" s="40"/>
      <c r="C1239" s="41"/>
      <c r="D1239" s="41"/>
      <c r="E1239" s="41"/>
      <c r="F1239" s="41"/>
      <c r="G1239" s="41"/>
      <c r="H1239" s="41"/>
      <c r="I1239" s="41"/>
      <c r="J1239" s="41"/>
      <c r="K1239" s="41"/>
      <c r="L1239" s="41"/>
      <c r="M1239" s="41"/>
      <c r="N1239" s="41"/>
      <c r="O1239" s="41"/>
    </row>
    <row r="1240" spans="1:15">
      <c r="A1240" s="39"/>
      <c r="B1240" s="40"/>
      <c r="C1240" s="41"/>
      <c r="D1240" s="41"/>
      <c r="E1240" s="41"/>
      <c r="F1240" s="41"/>
      <c r="G1240" s="41"/>
      <c r="H1240" s="41"/>
      <c r="I1240" s="41"/>
      <c r="J1240" s="41"/>
      <c r="K1240" s="41"/>
      <c r="L1240" s="41"/>
      <c r="M1240" s="41"/>
      <c r="N1240" s="41"/>
      <c r="O1240" s="41"/>
    </row>
    <row r="1241" spans="1:15">
      <c r="A1241" s="39"/>
      <c r="B1241" s="40"/>
      <c r="C1241" s="41"/>
      <c r="D1241" s="41"/>
      <c r="E1241" s="41"/>
      <c r="F1241" s="41"/>
      <c r="G1241" s="41"/>
      <c r="H1241" s="41"/>
      <c r="I1241" s="41"/>
      <c r="J1241" s="41"/>
      <c r="K1241" s="41"/>
      <c r="L1241" s="41"/>
      <c r="M1241" s="41"/>
      <c r="N1241" s="41"/>
      <c r="O1241" s="41"/>
    </row>
    <row r="1242" spans="1:15">
      <c r="A1242" s="39"/>
      <c r="B1242" s="40"/>
      <c r="C1242" s="41"/>
      <c r="D1242" s="41"/>
      <c r="E1242" s="41"/>
      <c r="F1242" s="41"/>
      <c r="G1242" s="41"/>
      <c r="H1242" s="41"/>
      <c r="I1242" s="41"/>
      <c r="J1242" s="41"/>
      <c r="K1242" s="41"/>
      <c r="L1242" s="41"/>
      <c r="M1242" s="41"/>
      <c r="N1242" s="41"/>
      <c r="O1242" s="41"/>
    </row>
    <row r="1243" spans="1:15">
      <c r="A1243" s="39"/>
      <c r="B1243" s="40"/>
      <c r="C1243" s="41"/>
      <c r="D1243" s="41"/>
      <c r="E1243" s="41"/>
      <c r="F1243" s="41"/>
      <c r="G1243" s="41"/>
      <c r="H1243" s="41"/>
      <c r="I1243" s="41"/>
      <c r="J1243" s="41"/>
      <c r="K1243" s="41"/>
      <c r="L1243" s="41"/>
      <c r="M1243" s="41"/>
      <c r="N1243" s="41"/>
      <c r="O1243" s="41"/>
    </row>
    <row r="1244" spans="1:15">
      <c r="A1244" s="39"/>
      <c r="B1244" s="40"/>
      <c r="C1244" s="41"/>
      <c r="D1244" s="41"/>
      <c r="E1244" s="41"/>
      <c r="F1244" s="41"/>
      <c r="G1244" s="41"/>
      <c r="H1244" s="41"/>
      <c r="I1244" s="41"/>
      <c r="J1244" s="41"/>
      <c r="K1244" s="41"/>
      <c r="L1244" s="41"/>
      <c r="M1244" s="41"/>
      <c r="N1244" s="41"/>
      <c r="O1244" s="41"/>
    </row>
    <row r="1245" spans="1:15">
      <c r="A1245" s="39"/>
      <c r="B1245" s="40"/>
      <c r="C1245" s="41"/>
      <c r="D1245" s="41"/>
      <c r="E1245" s="41"/>
      <c r="F1245" s="41"/>
      <c r="G1245" s="41"/>
      <c r="H1245" s="41"/>
      <c r="I1245" s="41"/>
      <c r="J1245" s="41"/>
      <c r="K1245" s="41"/>
      <c r="L1245" s="41"/>
      <c r="M1245" s="41"/>
      <c r="N1245" s="41"/>
      <c r="O1245" s="41"/>
    </row>
    <row r="1246" spans="1:15">
      <c r="A1246" s="39"/>
      <c r="B1246" s="40"/>
      <c r="C1246" s="41"/>
      <c r="D1246" s="41"/>
      <c r="E1246" s="41"/>
      <c r="F1246" s="41"/>
      <c r="G1246" s="41"/>
      <c r="H1246" s="41"/>
      <c r="I1246" s="41"/>
      <c r="J1246" s="41"/>
      <c r="K1246" s="41"/>
      <c r="L1246" s="41"/>
      <c r="M1246" s="41"/>
      <c r="N1246" s="41"/>
      <c r="O1246" s="41"/>
    </row>
    <row r="1247" spans="1:15">
      <c r="A1247" s="39"/>
      <c r="B1247" s="40"/>
      <c r="C1247" s="41"/>
      <c r="D1247" s="41"/>
      <c r="E1247" s="41"/>
      <c r="F1247" s="41"/>
      <c r="G1247" s="41"/>
      <c r="H1247" s="41"/>
      <c r="I1247" s="41"/>
      <c r="J1247" s="41"/>
      <c r="K1247" s="41"/>
      <c r="L1247" s="41"/>
      <c r="M1247" s="41"/>
      <c r="N1247" s="41"/>
      <c r="O1247" s="41"/>
    </row>
    <row r="1248" spans="1:15">
      <c r="A1248" s="39"/>
      <c r="B1248" s="40"/>
      <c r="C1248" s="41"/>
      <c r="D1248" s="41"/>
      <c r="E1248" s="41"/>
      <c r="F1248" s="41"/>
      <c r="G1248" s="41"/>
      <c r="H1248" s="41"/>
      <c r="I1248" s="41"/>
      <c r="J1248" s="41"/>
      <c r="K1248" s="41"/>
      <c r="L1248" s="41"/>
      <c r="M1248" s="41"/>
      <c r="N1248" s="41"/>
      <c r="O1248" s="41"/>
    </row>
    <row r="1249" spans="1:15">
      <c r="A1249" s="39"/>
      <c r="B1249" s="40"/>
      <c r="C1249" s="41"/>
      <c r="D1249" s="41"/>
      <c r="E1249" s="41"/>
      <c r="F1249" s="41"/>
      <c r="G1249" s="41"/>
      <c r="H1249" s="41"/>
      <c r="I1249" s="41"/>
      <c r="J1249" s="41"/>
      <c r="K1249" s="41"/>
      <c r="L1249" s="41"/>
      <c r="M1249" s="41"/>
      <c r="N1249" s="41"/>
      <c r="O1249" s="41"/>
    </row>
    <row r="1250" spans="1:15">
      <c r="A1250" s="39"/>
      <c r="B1250" s="40"/>
      <c r="C1250" s="41"/>
      <c r="D1250" s="41"/>
      <c r="E1250" s="41"/>
      <c r="F1250" s="41"/>
      <c r="G1250" s="41"/>
      <c r="H1250" s="41"/>
      <c r="I1250" s="41"/>
      <c r="J1250" s="41"/>
      <c r="K1250" s="41"/>
      <c r="L1250" s="41"/>
      <c r="M1250" s="41"/>
      <c r="N1250" s="41"/>
      <c r="O1250" s="41"/>
    </row>
    <row r="1251" spans="1:15">
      <c r="A1251" s="39"/>
      <c r="B1251" s="40"/>
      <c r="C1251" s="41"/>
      <c r="D1251" s="41"/>
      <c r="E1251" s="41"/>
      <c r="F1251" s="41"/>
      <c r="G1251" s="41"/>
      <c r="H1251" s="41"/>
      <c r="I1251" s="41"/>
      <c r="J1251" s="41"/>
      <c r="K1251" s="41"/>
      <c r="L1251" s="41"/>
      <c r="M1251" s="41"/>
      <c r="N1251" s="41"/>
      <c r="O1251" s="41"/>
    </row>
    <row r="1252" spans="1:15">
      <c r="A1252" s="39"/>
      <c r="B1252" s="40"/>
      <c r="C1252" s="41"/>
      <c r="D1252" s="41"/>
      <c r="E1252" s="41"/>
      <c r="F1252" s="41"/>
      <c r="G1252" s="41"/>
      <c r="H1252" s="41"/>
      <c r="I1252" s="41"/>
      <c r="J1252" s="41"/>
      <c r="K1252" s="41"/>
      <c r="L1252" s="41"/>
      <c r="M1252" s="41"/>
      <c r="N1252" s="41"/>
      <c r="O1252" s="41"/>
    </row>
    <row r="1253" spans="1:15">
      <c r="A1253" s="39"/>
      <c r="B1253" s="40"/>
      <c r="C1253" s="41"/>
      <c r="D1253" s="41"/>
      <c r="E1253" s="41"/>
      <c r="F1253" s="41"/>
      <c r="G1253" s="41"/>
      <c r="H1253" s="41"/>
      <c r="I1253" s="41"/>
      <c r="J1253" s="41"/>
      <c r="K1253" s="41"/>
      <c r="L1253" s="41"/>
      <c r="M1253" s="41"/>
      <c r="N1253" s="41"/>
      <c r="O1253" s="41"/>
    </row>
    <row r="1254" spans="1:15">
      <c r="A1254" s="39"/>
      <c r="B1254" s="40"/>
      <c r="C1254" s="41"/>
      <c r="D1254" s="41"/>
      <c r="E1254" s="41"/>
      <c r="F1254" s="41"/>
      <c r="G1254" s="41"/>
      <c r="H1254" s="41"/>
      <c r="I1254" s="41"/>
      <c r="J1254" s="41"/>
      <c r="K1254" s="41"/>
      <c r="L1254" s="41"/>
      <c r="M1254" s="41"/>
      <c r="N1254" s="41"/>
      <c r="O1254" s="41"/>
    </row>
    <row r="1255" spans="1:15">
      <c r="A1255" s="39"/>
      <c r="B1255" s="40"/>
      <c r="C1255" s="41"/>
      <c r="D1255" s="41"/>
      <c r="E1255" s="41"/>
      <c r="F1255" s="41"/>
      <c r="G1255" s="41"/>
      <c r="H1255" s="41"/>
      <c r="I1255" s="41"/>
      <c r="J1255" s="41"/>
      <c r="K1255" s="41"/>
      <c r="L1255" s="41"/>
      <c r="M1255" s="41"/>
      <c r="N1255" s="41"/>
      <c r="O1255" s="41"/>
    </row>
    <row r="1256" spans="1:15">
      <c r="A1256" s="39"/>
      <c r="B1256" s="40"/>
      <c r="C1256" s="41"/>
      <c r="D1256" s="41"/>
      <c r="E1256" s="41"/>
      <c r="F1256" s="41"/>
      <c r="G1256" s="41"/>
      <c r="H1256" s="41"/>
      <c r="I1256" s="41"/>
      <c r="J1256" s="41"/>
      <c r="K1256" s="41"/>
      <c r="L1256" s="41"/>
      <c r="M1256" s="41"/>
      <c r="N1256" s="41"/>
      <c r="O1256" s="41"/>
    </row>
    <row r="1257" spans="1:15">
      <c r="A1257" s="39"/>
      <c r="B1257" s="40"/>
      <c r="C1257" s="41"/>
      <c r="D1257" s="41"/>
      <c r="E1257" s="41"/>
      <c r="F1257" s="41"/>
      <c r="G1257" s="41"/>
      <c r="H1257" s="41"/>
      <c r="I1257" s="41"/>
      <c r="J1257" s="41"/>
      <c r="K1257" s="41"/>
      <c r="L1257" s="41"/>
      <c r="M1257" s="41"/>
      <c r="N1257" s="41"/>
      <c r="O1257" s="41"/>
    </row>
    <row r="1258" spans="1:15">
      <c r="A1258" s="39"/>
      <c r="B1258" s="40"/>
      <c r="C1258" s="41"/>
      <c r="D1258" s="41"/>
      <c r="E1258" s="41"/>
      <c r="F1258" s="41"/>
      <c r="G1258" s="41"/>
      <c r="H1258" s="41"/>
      <c r="I1258" s="41"/>
      <c r="J1258" s="41"/>
      <c r="K1258" s="41"/>
      <c r="L1258" s="41"/>
      <c r="M1258" s="41"/>
      <c r="N1258" s="41"/>
      <c r="O1258" s="41"/>
    </row>
    <row r="1259" spans="1:15">
      <c r="A1259" s="39"/>
      <c r="B1259" s="40"/>
      <c r="C1259" s="41"/>
      <c r="D1259" s="41"/>
      <c r="E1259" s="41"/>
      <c r="F1259" s="41"/>
      <c r="G1259" s="41"/>
      <c r="H1259" s="41"/>
      <c r="I1259" s="41"/>
      <c r="J1259" s="41"/>
      <c r="K1259" s="41"/>
      <c r="L1259" s="41"/>
      <c r="M1259" s="41"/>
      <c r="N1259" s="41"/>
      <c r="O1259" s="41"/>
    </row>
    <row r="1260" spans="1:15">
      <c r="A1260" s="39"/>
      <c r="B1260" s="40"/>
      <c r="C1260" s="41"/>
      <c r="D1260" s="41"/>
      <c r="E1260" s="41"/>
      <c r="F1260" s="41"/>
      <c r="G1260" s="41"/>
      <c r="H1260" s="41"/>
      <c r="I1260" s="41"/>
      <c r="J1260" s="41"/>
      <c r="K1260" s="41"/>
      <c r="L1260" s="41"/>
      <c r="M1260" s="41"/>
      <c r="N1260" s="41"/>
      <c r="O1260" s="41"/>
    </row>
    <row r="1261" spans="1:15">
      <c r="A1261" s="39"/>
      <c r="B1261" s="40"/>
      <c r="C1261" s="41"/>
      <c r="D1261" s="41"/>
      <c r="E1261" s="41"/>
      <c r="F1261" s="41"/>
      <c r="G1261" s="41"/>
      <c r="H1261" s="41"/>
      <c r="I1261" s="41"/>
      <c r="J1261" s="41"/>
      <c r="K1261" s="41"/>
      <c r="L1261" s="41"/>
      <c r="M1261" s="41"/>
      <c r="N1261" s="41"/>
      <c r="O1261" s="41"/>
    </row>
    <row r="1262" spans="1:15">
      <c r="A1262" s="39"/>
      <c r="B1262" s="40"/>
      <c r="C1262" s="41"/>
      <c r="D1262" s="41"/>
      <c r="E1262" s="41"/>
      <c r="F1262" s="41"/>
      <c r="G1262" s="41"/>
      <c r="H1262" s="41"/>
      <c r="I1262" s="41"/>
      <c r="J1262" s="41"/>
      <c r="K1262" s="41"/>
      <c r="L1262" s="41"/>
      <c r="M1262" s="41"/>
      <c r="N1262" s="41"/>
      <c r="O1262" s="41"/>
    </row>
    <row r="1263" spans="1:15">
      <c r="A1263" s="39"/>
      <c r="B1263" s="40"/>
      <c r="C1263" s="41"/>
      <c r="D1263" s="41"/>
      <c r="E1263" s="41"/>
      <c r="F1263" s="41"/>
      <c r="G1263" s="41"/>
      <c r="H1263" s="41"/>
      <c r="I1263" s="41"/>
      <c r="J1263" s="41"/>
      <c r="K1263" s="41"/>
      <c r="L1263" s="41"/>
      <c r="M1263" s="41"/>
      <c r="N1263" s="41"/>
      <c r="O1263" s="41"/>
    </row>
    <row r="1264" spans="1:15">
      <c r="A1264" s="39"/>
      <c r="B1264" s="40"/>
      <c r="C1264" s="41"/>
      <c r="D1264" s="41"/>
      <c r="E1264" s="41"/>
      <c r="F1264" s="41"/>
      <c r="G1264" s="41"/>
      <c r="H1264" s="41"/>
      <c r="I1264" s="41"/>
      <c r="J1264" s="41"/>
      <c r="K1264" s="41"/>
      <c r="L1264" s="41"/>
      <c r="M1264" s="41"/>
      <c r="N1264" s="41"/>
      <c r="O1264" s="41"/>
    </row>
    <row r="1265" spans="1:15">
      <c r="A1265" s="39"/>
      <c r="B1265" s="40"/>
      <c r="C1265" s="41"/>
      <c r="D1265" s="41"/>
      <c r="E1265" s="41"/>
      <c r="F1265" s="41"/>
      <c r="G1265" s="41"/>
      <c r="H1265" s="41"/>
      <c r="I1265" s="41"/>
      <c r="J1265" s="41"/>
      <c r="K1265" s="41"/>
      <c r="L1265" s="41"/>
      <c r="M1265" s="41"/>
      <c r="N1265" s="41"/>
      <c r="O1265" s="41"/>
    </row>
    <row r="1266" spans="1:15">
      <c r="A1266" s="39"/>
      <c r="B1266" s="40"/>
      <c r="C1266" s="41"/>
      <c r="D1266" s="41"/>
      <c r="E1266" s="41"/>
      <c r="F1266" s="41"/>
      <c r="G1266" s="41"/>
      <c r="H1266" s="41"/>
      <c r="I1266" s="41"/>
      <c r="J1266" s="41"/>
      <c r="K1266" s="41"/>
      <c r="L1266" s="41"/>
      <c r="M1266" s="41"/>
      <c r="N1266" s="41"/>
      <c r="O1266" s="41"/>
    </row>
    <row r="1267" spans="1:15">
      <c r="A1267" s="39"/>
      <c r="B1267" s="40"/>
      <c r="C1267" s="41"/>
      <c r="D1267" s="41"/>
      <c r="E1267" s="41"/>
      <c r="F1267" s="41"/>
      <c r="G1267" s="41"/>
      <c r="H1267" s="41"/>
      <c r="I1267" s="41"/>
      <c r="J1267" s="41"/>
      <c r="K1267" s="41"/>
      <c r="L1267" s="41"/>
      <c r="M1267" s="41"/>
      <c r="N1267" s="41"/>
      <c r="O1267" s="41"/>
    </row>
    <row r="1268" spans="1:15">
      <c r="A1268" s="39"/>
      <c r="B1268" s="40"/>
      <c r="C1268" s="41"/>
      <c r="D1268" s="41"/>
      <c r="E1268" s="41"/>
      <c r="F1268" s="41"/>
      <c r="G1268" s="41"/>
      <c r="H1268" s="41"/>
      <c r="I1268" s="41"/>
      <c r="J1268" s="41"/>
      <c r="K1268" s="41"/>
      <c r="L1268" s="41"/>
      <c r="M1268" s="41"/>
      <c r="N1268" s="41"/>
      <c r="O1268" s="41"/>
    </row>
    <row r="1269" spans="1:15">
      <c r="A1269" s="39"/>
      <c r="B1269" s="40"/>
      <c r="C1269" s="41"/>
      <c r="D1269" s="41"/>
      <c r="E1269" s="41"/>
      <c r="F1269" s="41"/>
      <c r="G1269" s="41"/>
      <c r="H1269" s="41"/>
      <c r="I1269" s="41"/>
      <c r="J1269" s="41"/>
      <c r="K1269" s="41"/>
      <c r="L1269" s="41"/>
      <c r="M1269" s="41"/>
      <c r="N1269" s="41"/>
      <c r="O1269" s="41"/>
    </row>
    <row r="1270" spans="1:15">
      <c r="A1270" s="39"/>
      <c r="B1270" s="40"/>
      <c r="C1270" s="41"/>
      <c r="D1270" s="41"/>
      <c r="E1270" s="41"/>
      <c r="F1270" s="41"/>
      <c r="G1270" s="41"/>
      <c r="H1270" s="41"/>
      <c r="I1270" s="41"/>
      <c r="J1270" s="41"/>
      <c r="K1270" s="41"/>
      <c r="L1270" s="41"/>
      <c r="M1270" s="41"/>
      <c r="N1270" s="41"/>
      <c r="O1270" s="41"/>
    </row>
    <row r="1271" spans="1:15">
      <c r="A1271" s="39"/>
      <c r="B1271" s="40"/>
      <c r="C1271" s="41"/>
      <c r="D1271" s="41"/>
      <c r="E1271" s="41"/>
      <c r="F1271" s="41"/>
      <c r="G1271" s="41"/>
      <c r="H1271" s="41"/>
      <c r="I1271" s="41"/>
      <c r="J1271" s="41"/>
      <c r="K1271" s="41"/>
      <c r="L1271" s="41"/>
      <c r="M1271" s="41"/>
      <c r="N1271" s="41"/>
      <c r="O1271" s="41"/>
    </row>
    <row r="1272" spans="1:15">
      <c r="A1272" s="39"/>
      <c r="B1272" s="40"/>
      <c r="C1272" s="41"/>
      <c r="D1272" s="41"/>
      <c r="E1272" s="41"/>
      <c r="F1272" s="41"/>
      <c r="G1272" s="41"/>
      <c r="H1272" s="41"/>
      <c r="I1272" s="41"/>
      <c r="J1272" s="41"/>
      <c r="K1272" s="41"/>
      <c r="L1272" s="41"/>
      <c r="M1272" s="41"/>
      <c r="N1272" s="41"/>
      <c r="O1272" s="41"/>
    </row>
    <row r="1273" spans="1:15">
      <c r="A1273" s="39"/>
      <c r="B1273" s="40"/>
      <c r="C1273" s="41"/>
      <c r="D1273" s="41"/>
      <c r="E1273" s="41"/>
      <c r="F1273" s="41"/>
      <c r="G1273" s="41"/>
      <c r="H1273" s="41"/>
      <c r="I1273" s="41"/>
      <c r="J1273" s="41"/>
      <c r="K1273" s="41"/>
      <c r="L1273" s="41"/>
      <c r="M1273" s="41"/>
      <c r="N1273" s="41"/>
      <c r="O1273" s="41"/>
    </row>
    <row r="1274" spans="1:15">
      <c r="A1274" s="39"/>
      <c r="B1274" s="40"/>
      <c r="C1274" s="41"/>
      <c r="D1274" s="41"/>
      <c r="E1274" s="41"/>
      <c r="F1274" s="41"/>
      <c r="G1274" s="41"/>
      <c r="H1274" s="41"/>
      <c r="I1274" s="41"/>
      <c r="J1274" s="41"/>
      <c r="K1274" s="41"/>
      <c r="L1274" s="41"/>
      <c r="M1274" s="41"/>
      <c r="N1274" s="41"/>
      <c r="O1274" s="41"/>
    </row>
    <row r="1275" spans="1:15">
      <c r="A1275" s="39"/>
      <c r="B1275" s="40"/>
      <c r="C1275" s="41"/>
      <c r="D1275" s="41"/>
      <c r="E1275" s="41"/>
      <c r="F1275" s="41"/>
      <c r="G1275" s="41"/>
      <c r="H1275" s="41"/>
      <c r="I1275" s="41"/>
      <c r="J1275" s="41"/>
      <c r="K1275" s="41"/>
      <c r="L1275" s="41"/>
      <c r="M1275" s="41"/>
      <c r="N1275" s="41"/>
      <c r="O1275" s="41"/>
    </row>
    <row r="1276" spans="1:15">
      <c r="A1276" s="39"/>
      <c r="B1276" s="40"/>
      <c r="C1276" s="41"/>
      <c r="D1276" s="41"/>
      <c r="E1276" s="41"/>
      <c r="F1276" s="41"/>
      <c r="G1276" s="41"/>
      <c r="H1276" s="41"/>
      <c r="I1276" s="41"/>
      <c r="J1276" s="41"/>
      <c r="K1276" s="41"/>
      <c r="L1276" s="41"/>
      <c r="M1276" s="41"/>
      <c r="N1276" s="41"/>
      <c r="O1276" s="41"/>
    </row>
    <row r="1277" spans="1:15">
      <c r="A1277" s="39"/>
      <c r="B1277" s="40"/>
      <c r="C1277" s="41"/>
      <c r="D1277" s="41"/>
      <c r="E1277" s="41"/>
      <c r="F1277" s="41"/>
      <c r="G1277" s="41"/>
      <c r="H1277" s="41"/>
      <c r="I1277" s="41"/>
      <c r="J1277" s="41"/>
      <c r="K1277" s="41"/>
      <c r="L1277" s="41"/>
      <c r="M1277" s="41"/>
      <c r="N1277" s="41"/>
      <c r="O1277" s="41"/>
    </row>
    <row r="1278" spans="1:15">
      <c r="A1278" s="39"/>
      <c r="B1278" s="40"/>
      <c r="C1278" s="41"/>
      <c r="D1278" s="41"/>
      <c r="E1278" s="41"/>
      <c r="F1278" s="41"/>
      <c r="G1278" s="41"/>
      <c r="H1278" s="41"/>
      <c r="I1278" s="41"/>
      <c r="J1278" s="41"/>
      <c r="K1278" s="41"/>
      <c r="L1278" s="41"/>
      <c r="M1278" s="41"/>
      <c r="N1278" s="41"/>
      <c r="O1278" s="41"/>
    </row>
    <row r="1279" spans="1:15">
      <c r="A1279" s="39"/>
      <c r="B1279" s="40"/>
      <c r="C1279" s="41"/>
      <c r="D1279" s="41"/>
      <c r="E1279" s="41"/>
      <c r="F1279" s="41"/>
      <c r="G1279" s="41"/>
      <c r="H1279" s="41"/>
      <c r="I1279" s="41"/>
      <c r="J1279" s="41"/>
      <c r="K1279" s="41"/>
      <c r="L1279" s="41"/>
      <c r="M1279" s="41"/>
      <c r="N1279" s="41"/>
      <c r="O1279" s="41"/>
    </row>
    <row r="1280" spans="1:15">
      <c r="A1280" s="39"/>
      <c r="B1280" s="40"/>
      <c r="C1280" s="41"/>
      <c r="D1280" s="41"/>
      <c r="E1280" s="41"/>
      <c r="F1280" s="41"/>
      <c r="G1280" s="41"/>
      <c r="H1280" s="41"/>
      <c r="I1280" s="41"/>
      <c r="J1280" s="41"/>
      <c r="K1280" s="41"/>
      <c r="L1280" s="41"/>
      <c r="M1280" s="41"/>
      <c r="N1280" s="41"/>
      <c r="O1280" s="41"/>
    </row>
    <row r="1281" spans="1:15">
      <c r="A1281" s="39"/>
      <c r="B1281" s="40"/>
      <c r="C1281" s="41"/>
      <c r="D1281" s="41"/>
      <c r="E1281" s="41"/>
      <c r="F1281" s="41"/>
      <c r="G1281" s="41"/>
      <c r="H1281" s="41"/>
      <c r="I1281" s="41"/>
      <c r="J1281" s="41"/>
      <c r="K1281" s="41"/>
      <c r="L1281" s="41"/>
      <c r="M1281" s="41"/>
      <c r="N1281" s="41"/>
      <c r="O1281" s="41"/>
    </row>
    <row r="1282" spans="1:15">
      <c r="A1282" s="39"/>
      <c r="B1282" s="40"/>
      <c r="C1282" s="41"/>
      <c r="D1282" s="41"/>
      <c r="E1282" s="41"/>
      <c r="F1282" s="41"/>
      <c r="G1282" s="41"/>
      <c r="H1282" s="41"/>
      <c r="I1282" s="41"/>
      <c r="J1282" s="41"/>
      <c r="K1282" s="41"/>
      <c r="L1282" s="41"/>
      <c r="M1282" s="41"/>
      <c r="N1282" s="41"/>
      <c r="O1282" s="41"/>
    </row>
    <row r="1283" spans="1:15">
      <c r="A1283" s="39"/>
      <c r="B1283" s="40"/>
      <c r="C1283" s="41"/>
      <c r="D1283" s="41"/>
      <c r="E1283" s="41"/>
      <c r="F1283" s="41"/>
      <c r="G1283" s="41"/>
      <c r="H1283" s="41"/>
      <c r="I1283" s="41"/>
      <c r="J1283" s="41"/>
      <c r="K1283" s="41"/>
      <c r="L1283" s="41"/>
      <c r="M1283" s="41"/>
      <c r="N1283" s="41"/>
      <c r="O1283" s="41"/>
    </row>
    <row r="1284" spans="1:15">
      <c r="A1284" s="39"/>
      <c r="B1284" s="40"/>
      <c r="C1284" s="41"/>
      <c r="D1284" s="41"/>
      <c r="E1284" s="41"/>
      <c r="F1284" s="41"/>
      <c r="G1284" s="41"/>
      <c r="H1284" s="41"/>
      <c r="I1284" s="41"/>
      <c r="J1284" s="41"/>
      <c r="K1284" s="41"/>
      <c r="L1284" s="41"/>
      <c r="M1284" s="41"/>
      <c r="N1284" s="41"/>
      <c r="O1284" s="41"/>
    </row>
    <row r="1285" spans="1:15">
      <c r="A1285" s="39"/>
      <c r="B1285" s="40"/>
      <c r="C1285" s="41"/>
      <c r="D1285" s="41"/>
      <c r="E1285" s="41"/>
      <c r="F1285" s="41"/>
      <c r="G1285" s="41"/>
      <c r="H1285" s="41"/>
      <c r="I1285" s="41"/>
      <c r="J1285" s="41"/>
      <c r="K1285" s="41"/>
      <c r="L1285" s="41"/>
      <c r="M1285" s="41"/>
      <c r="N1285" s="41"/>
      <c r="O1285" s="41"/>
    </row>
    <row r="1286" spans="1:15">
      <c r="A1286" s="39"/>
      <c r="B1286" s="40"/>
      <c r="C1286" s="41"/>
      <c r="D1286" s="41"/>
      <c r="E1286" s="41"/>
      <c r="F1286" s="41"/>
      <c r="G1286" s="41"/>
      <c r="H1286" s="41"/>
      <c r="I1286" s="41"/>
      <c r="J1286" s="41"/>
      <c r="K1286" s="41"/>
      <c r="L1286" s="41"/>
      <c r="M1286" s="41"/>
      <c r="N1286" s="41"/>
      <c r="O1286" s="41"/>
    </row>
    <row r="1287" spans="1:15">
      <c r="A1287" s="39"/>
      <c r="B1287" s="40"/>
      <c r="C1287" s="41"/>
      <c r="D1287" s="41"/>
      <c r="E1287" s="41"/>
      <c r="F1287" s="41"/>
      <c r="G1287" s="41"/>
      <c r="H1287" s="41"/>
      <c r="I1287" s="41"/>
      <c r="J1287" s="41"/>
      <c r="K1287" s="41"/>
      <c r="L1287" s="41"/>
      <c r="M1287" s="41"/>
      <c r="N1287" s="41"/>
      <c r="O1287" s="41"/>
    </row>
    <row r="1288" spans="1:15">
      <c r="A1288" s="39"/>
      <c r="B1288" s="40"/>
      <c r="C1288" s="41"/>
      <c r="D1288" s="41"/>
      <c r="E1288" s="41"/>
      <c r="F1288" s="41"/>
      <c r="G1288" s="41"/>
      <c r="H1288" s="41"/>
      <c r="I1288" s="41"/>
      <c r="J1288" s="41"/>
      <c r="K1288" s="41"/>
      <c r="L1288" s="41"/>
      <c r="M1288" s="41"/>
      <c r="N1288" s="41"/>
      <c r="O1288" s="41"/>
    </row>
    <row r="1289" spans="1:15">
      <c r="A1289" s="39"/>
      <c r="B1289" s="40"/>
      <c r="C1289" s="41"/>
      <c r="D1289" s="41"/>
      <c r="E1289" s="41"/>
      <c r="F1289" s="41"/>
      <c r="G1289" s="41"/>
      <c r="H1289" s="41"/>
      <c r="I1289" s="41"/>
      <c r="J1289" s="41"/>
      <c r="K1289" s="41"/>
      <c r="L1289" s="41"/>
      <c r="M1289" s="41"/>
      <c r="N1289" s="41"/>
      <c r="O1289" s="41"/>
    </row>
    <row r="1290" spans="1:15">
      <c r="A1290" s="39"/>
      <c r="B1290" s="40"/>
      <c r="C1290" s="41"/>
      <c r="D1290" s="41"/>
      <c r="E1290" s="41"/>
      <c r="F1290" s="41"/>
      <c r="G1290" s="41"/>
      <c r="H1290" s="41"/>
      <c r="I1290" s="41"/>
      <c r="J1290" s="41"/>
      <c r="K1290" s="41"/>
      <c r="L1290" s="41"/>
      <c r="M1290" s="41"/>
      <c r="N1290" s="41"/>
      <c r="O1290" s="41"/>
    </row>
    <row r="1291" spans="1:15">
      <c r="A1291" s="39"/>
      <c r="B1291" s="40"/>
      <c r="C1291" s="41"/>
      <c r="D1291" s="41"/>
      <c r="E1291" s="41"/>
      <c r="F1291" s="41"/>
      <c r="G1291" s="41"/>
      <c r="H1291" s="41"/>
      <c r="I1291" s="41"/>
      <c r="J1291" s="41"/>
      <c r="K1291" s="41"/>
      <c r="L1291" s="41"/>
      <c r="M1291" s="41"/>
      <c r="N1291" s="41"/>
      <c r="O1291" s="41"/>
    </row>
    <row r="1292" spans="1:15">
      <c r="A1292" s="39"/>
      <c r="B1292" s="40"/>
      <c r="C1292" s="41"/>
      <c r="D1292" s="41"/>
      <c r="E1292" s="41"/>
      <c r="F1292" s="41"/>
      <c r="G1292" s="41"/>
      <c r="H1292" s="41"/>
      <c r="I1292" s="41"/>
      <c r="J1292" s="41"/>
      <c r="K1292" s="41"/>
      <c r="L1292" s="41"/>
      <c r="M1292" s="41"/>
      <c r="N1292" s="41"/>
      <c r="O1292" s="41"/>
    </row>
    <row r="1293" spans="1:15">
      <c r="A1293" s="39"/>
      <c r="B1293" s="40"/>
      <c r="C1293" s="41"/>
      <c r="D1293" s="41"/>
      <c r="E1293" s="41"/>
      <c r="F1293" s="41"/>
      <c r="G1293" s="41"/>
      <c r="H1293" s="41"/>
      <c r="I1293" s="41"/>
      <c r="J1293" s="41"/>
      <c r="K1293" s="41"/>
      <c r="L1293" s="41"/>
      <c r="M1293" s="41"/>
      <c r="N1293" s="41"/>
      <c r="O1293" s="41"/>
    </row>
    <row r="1294" spans="1:15">
      <c r="A1294" s="39"/>
      <c r="B1294" s="40"/>
      <c r="C1294" s="41"/>
      <c r="D1294" s="41"/>
      <c r="E1294" s="41"/>
      <c r="F1294" s="41"/>
      <c r="G1294" s="41"/>
      <c r="H1294" s="41"/>
      <c r="I1294" s="41"/>
      <c r="J1294" s="41"/>
      <c r="K1294" s="41"/>
      <c r="L1294" s="41"/>
      <c r="M1294" s="41"/>
      <c r="N1294" s="41"/>
      <c r="O1294" s="41"/>
    </row>
    <row r="1295" spans="1:15">
      <c r="A1295" s="39"/>
      <c r="B1295" s="40"/>
      <c r="C1295" s="41"/>
      <c r="D1295" s="41"/>
      <c r="E1295" s="41"/>
      <c r="F1295" s="41"/>
      <c r="G1295" s="41"/>
      <c r="H1295" s="41"/>
      <c r="I1295" s="41"/>
      <c r="J1295" s="41"/>
      <c r="K1295" s="41"/>
      <c r="L1295" s="41"/>
      <c r="M1295" s="41"/>
      <c r="N1295" s="41"/>
      <c r="O1295" s="41"/>
    </row>
    <row r="1296" spans="1:15">
      <c r="A1296" s="39"/>
      <c r="B1296" s="40"/>
      <c r="C1296" s="41"/>
      <c r="D1296" s="41"/>
      <c r="E1296" s="41"/>
      <c r="F1296" s="41"/>
      <c r="G1296" s="41"/>
      <c r="H1296" s="41"/>
      <c r="I1296" s="41"/>
      <c r="J1296" s="41"/>
      <c r="K1296" s="41"/>
      <c r="L1296" s="41"/>
      <c r="M1296" s="41"/>
      <c r="N1296" s="41"/>
      <c r="O1296" s="41"/>
    </row>
    <row r="1297" spans="1:15">
      <c r="A1297" s="39"/>
      <c r="B1297" s="40"/>
      <c r="C1297" s="41"/>
      <c r="D1297" s="41"/>
      <c r="E1297" s="41"/>
      <c r="F1297" s="41"/>
      <c r="G1297" s="41"/>
      <c r="H1297" s="41"/>
      <c r="I1297" s="41"/>
      <c r="J1297" s="41"/>
      <c r="K1297" s="41"/>
      <c r="L1297" s="41"/>
      <c r="M1297" s="41"/>
      <c r="N1297" s="41"/>
      <c r="O1297" s="41"/>
    </row>
    <row r="1298" spans="1:15">
      <c r="A1298" s="39"/>
      <c r="B1298" s="40"/>
      <c r="C1298" s="41"/>
      <c r="D1298" s="41"/>
      <c r="E1298" s="41"/>
      <c r="F1298" s="41"/>
      <c r="G1298" s="41"/>
      <c r="H1298" s="41"/>
      <c r="I1298" s="41"/>
      <c r="J1298" s="41"/>
      <c r="K1298" s="41"/>
      <c r="L1298" s="41"/>
      <c r="M1298" s="41"/>
      <c r="N1298" s="41"/>
      <c r="O1298" s="41"/>
    </row>
    <row r="1299" spans="1:15">
      <c r="A1299" s="39"/>
      <c r="B1299" s="40"/>
      <c r="C1299" s="41"/>
      <c r="D1299" s="41"/>
      <c r="E1299" s="41"/>
      <c r="F1299" s="41"/>
      <c r="G1299" s="41"/>
      <c r="H1299" s="41"/>
      <c r="I1299" s="41"/>
      <c r="J1299" s="41"/>
      <c r="K1299" s="41"/>
      <c r="L1299" s="41"/>
      <c r="M1299" s="41"/>
      <c r="N1299" s="41"/>
      <c r="O1299" s="41"/>
    </row>
    <row r="1300" spans="1:15">
      <c r="A1300" s="39"/>
      <c r="B1300" s="40"/>
      <c r="C1300" s="41"/>
      <c r="D1300" s="41"/>
      <c r="E1300" s="41"/>
      <c r="F1300" s="41"/>
      <c r="G1300" s="41"/>
      <c r="H1300" s="41"/>
      <c r="I1300" s="41"/>
      <c r="J1300" s="41"/>
      <c r="K1300" s="41"/>
      <c r="L1300" s="41"/>
      <c r="M1300" s="41"/>
      <c r="N1300" s="41"/>
      <c r="O1300" s="41"/>
    </row>
    <row r="1301" spans="1:15">
      <c r="A1301" s="39"/>
      <c r="B1301" s="40"/>
      <c r="C1301" s="41"/>
      <c r="D1301" s="41"/>
      <c r="E1301" s="41"/>
      <c r="F1301" s="41"/>
      <c r="G1301" s="41"/>
      <c r="H1301" s="41"/>
      <c r="I1301" s="41"/>
      <c r="J1301" s="41"/>
      <c r="K1301" s="41"/>
      <c r="L1301" s="41"/>
      <c r="M1301" s="41"/>
      <c r="N1301" s="41"/>
      <c r="O1301" s="41"/>
    </row>
    <row r="1302" spans="1:15">
      <c r="A1302" s="39"/>
      <c r="B1302" s="40"/>
      <c r="C1302" s="41"/>
      <c r="D1302" s="41"/>
      <c r="E1302" s="41"/>
      <c r="F1302" s="41"/>
      <c r="G1302" s="41"/>
      <c r="H1302" s="41"/>
      <c r="I1302" s="41"/>
      <c r="J1302" s="41"/>
      <c r="K1302" s="41"/>
      <c r="L1302" s="41"/>
      <c r="M1302" s="41"/>
      <c r="N1302" s="41"/>
      <c r="O1302" s="41"/>
    </row>
    <row r="1303" spans="1:15">
      <c r="A1303" s="39"/>
      <c r="B1303" s="40"/>
      <c r="C1303" s="41"/>
      <c r="D1303" s="41"/>
      <c r="E1303" s="41"/>
      <c r="F1303" s="41"/>
      <c r="G1303" s="41"/>
      <c r="H1303" s="41"/>
      <c r="I1303" s="41"/>
      <c r="J1303" s="41"/>
      <c r="K1303" s="41"/>
      <c r="L1303" s="41"/>
      <c r="M1303" s="41"/>
      <c r="N1303" s="41"/>
      <c r="O1303" s="41"/>
    </row>
    <row r="1304" spans="1:15">
      <c r="A1304" s="39"/>
      <c r="B1304" s="40"/>
      <c r="C1304" s="41"/>
      <c r="D1304" s="41"/>
      <c r="E1304" s="41"/>
      <c r="F1304" s="41"/>
      <c r="G1304" s="41"/>
      <c r="H1304" s="41"/>
      <c r="I1304" s="41"/>
      <c r="J1304" s="41"/>
      <c r="K1304" s="41"/>
      <c r="L1304" s="41"/>
      <c r="M1304" s="41"/>
      <c r="N1304" s="41"/>
      <c r="O1304" s="41"/>
    </row>
    <row r="1305" spans="1:15">
      <c r="A1305" s="39"/>
      <c r="B1305" s="40"/>
      <c r="C1305" s="41"/>
      <c r="D1305" s="41"/>
      <c r="E1305" s="41"/>
      <c r="F1305" s="41"/>
      <c r="G1305" s="41"/>
      <c r="H1305" s="41"/>
      <c r="I1305" s="41"/>
      <c r="J1305" s="41"/>
      <c r="K1305" s="41"/>
      <c r="L1305" s="41"/>
      <c r="M1305" s="41"/>
      <c r="N1305" s="41"/>
      <c r="O1305" s="41"/>
    </row>
    <row r="1306" spans="1:15">
      <c r="A1306" s="39"/>
      <c r="B1306" s="40"/>
      <c r="C1306" s="41"/>
      <c r="D1306" s="41"/>
      <c r="E1306" s="41"/>
      <c r="F1306" s="41"/>
      <c r="G1306" s="41"/>
      <c r="H1306" s="41"/>
      <c r="I1306" s="41"/>
      <c r="J1306" s="41"/>
      <c r="K1306" s="41"/>
      <c r="L1306" s="41"/>
      <c r="M1306" s="41"/>
      <c r="N1306" s="41"/>
      <c r="O1306" s="41"/>
    </row>
    <row r="1307" spans="1:15">
      <c r="A1307" s="39"/>
      <c r="B1307" s="40"/>
      <c r="C1307" s="41"/>
      <c r="D1307" s="41"/>
      <c r="E1307" s="41"/>
      <c r="F1307" s="41"/>
      <c r="G1307" s="41"/>
      <c r="H1307" s="41"/>
      <c r="I1307" s="41"/>
      <c r="J1307" s="41"/>
      <c r="K1307" s="41"/>
      <c r="L1307" s="41"/>
      <c r="M1307" s="41"/>
      <c r="N1307" s="41"/>
      <c r="O1307" s="41"/>
    </row>
    <row r="1308" spans="1:15">
      <c r="A1308" s="39"/>
      <c r="B1308" s="40"/>
      <c r="C1308" s="41"/>
      <c r="D1308" s="41"/>
      <c r="E1308" s="41"/>
      <c r="F1308" s="41"/>
      <c r="G1308" s="41"/>
      <c r="H1308" s="41"/>
      <c r="I1308" s="41"/>
      <c r="J1308" s="41"/>
      <c r="K1308" s="41"/>
      <c r="L1308" s="41"/>
      <c r="M1308" s="41"/>
      <c r="N1308" s="41"/>
      <c r="O1308" s="41"/>
    </row>
    <row r="1309" spans="1:15">
      <c r="A1309" s="39"/>
      <c r="B1309" s="40"/>
      <c r="C1309" s="41"/>
      <c r="D1309" s="41"/>
      <c r="E1309" s="41"/>
      <c r="F1309" s="41"/>
      <c r="G1309" s="41"/>
      <c r="H1309" s="41"/>
      <c r="I1309" s="41"/>
      <c r="J1309" s="41"/>
      <c r="K1309" s="41"/>
      <c r="L1309" s="41"/>
      <c r="M1309" s="41"/>
      <c r="N1309" s="41"/>
      <c r="O1309" s="41"/>
    </row>
    <row r="1310" spans="1:15">
      <c r="A1310" s="39"/>
      <c r="B1310" s="40"/>
      <c r="C1310" s="41"/>
      <c r="D1310" s="41"/>
      <c r="E1310" s="41"/>
      <c r="F1310" s="41"/>
      <c r="G1310" s="41"/>
      <c r="H1310" s="41"/>
      <c r="I1310" s="41"/>
      <c r="J1310" s="41"/>
      <c r="K1310" s="41"/>
      <c r="L1310" s="41"/>
      <c r="M1310" s="41"/>
      <c r="N1310" s="41"/>
      <c r="O1310" s="41"/>
    </row>
    <row r="1311" spans="1:15">
      <c r="A1311" s="39"/>
      <c r="B1311" s="40"/>
      <c r="C1311" s="41"/>
      <c r="D1311" s="41"/>
      <c r="E1311" s="41"/>
      <c r="F1311" s="41"/>
      <c r="G1311" s="41"/>
      <c r="H1311" s="41"/>
      <c r="I1311" s="41"/>
      <c r="J1311" s="41"/>
      <c r="K1311" s="41"/>
      <c r="L1311" s="41"/>
      <c r="M1311" s="41"/>
      <c r="N1311" s="41"/>
      <c r="O1311" s="41"/>
    </row>
    <row r="1312" spans="1:15">
      <c r="A1312" s="39"/>
      <c r="B1312" s="40"/>
      <c r="C1312" s="41"/>
      <c r="D1312" s="41"/>
      <c r="E1312" s="41"/>
      <c r="F1312" s="41"/>
      <c r="G1312" s="41"/>
      <c r="H1312" s="41"/>
      <c r="I1312" s="41"/>
      <c r="J1312" s="41"/>
      <c r="K1312" s="41"/>
      <c r="L1312" s="41"/>
      <c r="M1312" s="41"/>
      <c r="N1312" s="41"/>
      <c r="O1312" s="41"/>
    </row>
    <row r="1313" spans="1:15">
      <c r="A1313" s="39"/>
      <c r="B1313" s="40"/>
      <c r="C1313" s="41"/>
      <c r="D1313" s="41"/>
      <c r="E1313" s="41"/>
      <c r="F1313" s="41"/>
      <c r="G1313" s="41"/>
      <c r="H1313" s="41"/>
      <c r="I1313" s="41"/>
      <c r="J1313" s="41"/>
      <c r="K1313" s="41"/>
      <c r="L1313" s="41"/>
      <c r="M1313" s="41"/>
      <c r="N1313" s="41"/>
      <c r="O1313" s="41"/>
    </row>
    <row r="1314" spans="1:15">
      <c r="A1314" s="39"/>
      <c r="B1314" s="40"/>
      <c r="C1314" s="41"/>
      <c r="D1314" s="41"/>
      <c r="E1314" s="41"/>
      <c r="F1314" s="41"/>
      <c r="G1314" s="41"/>
      <c r="H1314" s="41"/>
      <c r="I1314" s="41"/>
      <c r="J1314" s="41"/>
      <c r="K1314" s="41"/>
      <c r="L1314" s="41"/>
      <c r="M1314" s="41"/>
      <c r="N1314" s="41"/>
      <c r="O1314" s="41"/>
    </row>
    <row r="1315" spans="1:15">
      <c r="A1315" s="39"/>
      <c r="B1315" s="40"/>
      <c r="C1315" s="41"/>
      <c r="D1315" s="41"/>
      <c r="E1315" s="41"/>
      <c r="F1315" s="41"/>
      <c r="G1315" s="41"/>
      <c r="H1315" s="41"/>
      <c r="I1315" s="41"/>
      <c r="J1315" s="41"/>
      <c r="K1315" s="41"/>
      <c r="L1315" s="41"/>
      <c r="M1315" s="41"/>
      <c r="N1315" s="41"/>
      <c r="O1315" s="41"/>
    </row>
    <row r="1316" spans="1:15">
      <c r="A1316" s="39"/>
      <c r="B1316" s="40"/>
      <c r="C1316" s="41"/>
      <c r="D1316" s="41"/>
      <c r="E1316" s="41"/>
      <c r="F1316" s="41"/>
      <c r="G1316" s="41"/>
      <c r="H1316" s="41"/>
      <c r="I1316" s="41"/>
      <c r="J1316" s="41"/>
      <c r="K1316" s="41"/>
      <c r="L1316" s="41"/>
      <c r="M1316" s="41"/>
      <c r="N1316" s="41"/>
      <c r="O1316" s="41"/>
    </row>
    <row r="1317" spans="1:15">
      <c r="A1317" s="39"/>
      <c r="B1317" s="40"/>
      <c r="C1317" s="41"/>
      <c r="D1317" s="41"/>
      <c r="E1317" s="41"/>
      <c r="F1317" s="41"/>
      <c r="G1317" s="41"/>
      <c r="H1317" s="41"/>
      <c r="I1317" s="41"/>
      <c r="J1317" s="41"/>
      <c r="K1317" s="41"/>
      <c r="L1317" s="41"/>
      <c r="M1317" s="41"/>
      <c r="N1317" s="41"/>
      <c r="O1317" s="41"/>
    </row>
    <row r="1318" spans="1:15">
      <c r="A1318" s="39"/>
      <c r="B1318" s="40"/>
      <c r="C1318" s="41"/>
      <c r="D1318" s="41"/>
      <c r="E1318" s="41"/>
      <c r="F1318" s="41"/>
      <c r="G1318" s="41"/>
      <c r="H1318" s="41"/>
      <c r="I1318" s="41"/>
      <c r="J1318" s="41"/>
      <c r="K1318" s="41"/>
      <c r="L1318" s="41"/>
      <c r="M1318" s="41"/>
      <c r="N1318" s="41"/>
      <c r="O1318" s="41"/>
    </row>
    <row r="1319" spans="1:15">
      <c r="A1319" s="39"/>
      <c r="B1319" s="40"/>
      <c r="C1319" s="41"/>
      <c r="D1319" s="41"/>
      <c r="E1319" s="41"/>
      <c r="F1319" s="41"/>
      <c r="G1319" s="41"/>
      <c r="H1319" s="41"/>
      <c r="I1319" s="41"/>
      <c r="J1319" s="41"/>
      <c r="K1319" s="41"/>
      <c r="L1319" s="41"/>
      <c r="M1319" s="41"/>
      <c r="N1319" s="41"/>
      <c r="O1319" s="41"/>
    </row>
    <row r="1320" spans="1:15">
      <c r="A1320" s="39"/>
      <c r="B1320" s="40"/>
      <c r="C1320" s="41"/>
      <c r="D1320" s="41"/>
      <c r="E1320" s="41"/>
      <c r="F1320" s="41"/>
      <c r="G1320" s="41"/>
      <c r="H1320" s="41"/>
      <c r="I1320" s="41"/>
      <c r="J1320" s="41"/>
      <c r="K1320" s="41"/>
      <c r="L1320" s="41"/>
      <c r="M1320" s="41"/>
      <c r="N1320" s="41"/>
      <c r="O1320" s="41"/>
    </row>
    <row r="1321" spans="1:15">
      <c r="A1321" s="39"/>
      <c r="B1321" s="40"/>
      <c r="C1321" s="41"/>
      <c r="D1321" s="41"/>
      <c r="E1321" s="41"/>
      <c r="F1321" s="41"/>
      <c r="G1321" s="41"/>
      <c r="H1321" s="41"/>
      <c r="I1321" s="41"/>
      <c r="J1321" s="41"/>
      <c r="K1321" s="41"/>
      <c r="L1321" s="41"/>
      <c r="M1321" s="41"/>
      <c r="N1321" s="41"/>
      <c r="O1321" s="41"/>
    </row>
    <row r="1322" spans="1:15">
      <c r="A1322" s="39"/>
      <c r="B1322" s="40"/>
      <c r="C1322" s="41"/>
      <c r="D1322" s="41"/>
      <c r="E1322" s="41"/>
      <c r="F1322" s="41"/>
      <c r="G1322" s="41"/>
      <c r="H1322" s="41"/>
      <c r="I1322" s="41"/>
      <c r="J1322" s="41"/>
      <c r="K1322" s="41"/>
      <c r="L1322" s="41"/>
      <c r="M1322" s="41"/>
      <c r="N1322" s="41"/>
      <c r="O1322" s="41"/>
    </row>
    <row r="1323" spans="1:15">
      <c r="A1323" s="39"/>
      <c r="B1323" s="40"/>
      <c r="C1323" s="41"/>
      <c r="D1323" s="41"/>
      <c r="E1323" s="41"/>
      <c r="F1323" s="41"/>
      <c r="G1323" s="41"/>
      <c r="H1323" s="41"/>
      <c r="I1323" s="41"/>
      <c r="J1323" s="41"/>
      <c r="K1323" s="41"/>
      <c r="L1323" s="41"/>
      <c r="M1323" s="41"/>
      <c r="N1323" s="41"/>
      <c r="O1323" s="41"/>
    </row>
    <row r="1324" spans="1:15">
      <c r="A1324" s="39"/>
      <c r="B1324" s="40"/>
      <c r="C1324" s="41"/>
      <c r="D1324" s="41"/>
      <c r="E1324" s="41"/>
      <c r="F1324" s="41"/>
      <c r="G1324" s="41"/>
      <c r="H1324" s="41"/>
      <c r="I1324" s="41"/>
      <c r="J1324" s="41"/>
      <c r="K1324" s="41"/>
      <c r="L1324" s="41"/>
      <c r="M1324" s="41"/>
      <c r="N1324" s="41"/>
      <c r="O1324" s="41"/>
    </row>
    <row r="1325" spans="1:15">
      <c r="A1325" s="39"/>
      <c r="B1325" s="40"/>
      <c r="C1325" s="41"/>
      <c r="D1325" s="41"/>
      <c r="E1325" s="41"/>
      <c r="F1325" s="41"/>
      <c r="G1325" s="41"/>
      <c r="H1325" s="41"/>
      <c r="I1325" s="41"/>
      <c r="J1325" s="41"/>
      <c r="K1325" s="41"/>
      <c r="L1325" s="41"/>
      <c r="M1325" s="41"/>
      <c r="N1325" s="41"/>
      <c r="O1325" s="41"/>
    </row>
    <row r="1326" spans="1:15">
      <c r="A1326" s="39"/>
      <c r="B1326" s="40"/>
      <c r="C1326" s="41"/>
      <c r="D1326" s="41"/>
      <c r="E1326" s="41"/>
      <c r="F1326" s="41"/>
      <c r="G1326" s="41"/>
      <c r="H1326" s="41"/>
      <c r="I1326" s="41"/>
      <c r="J1326" s="41"/>
      <c r="K1326" s="41"/>
      <c r="L1326" s="41"/>
      <c r="M1326" s="41"/>
      <c r="N1326" s="41"/>
      <c r="O1326" s="41"/>
    </row>
    <row r="1327" spans="1:15">
      <c r="A1327" s="39"/>
      <c r="B1327" s="40"/>
      <c r="C1327" s="41"/>
      <c r="D1327" s="41"/>
      <c r="E1327" s="41"/>
      <c r="F1327" s="41"/>
      <c r="G1327" s="41"/>
      <c r="H1327" s="41"/>
      <c r="I1327" s="41"/>
      <c r="J1327" s="41"/>
      <c r="K1327" s="41"/>
      <c r="L1327" s="41"/>
      <c r="M1327" s="41"/>
      <c r="N1327" s="41"/>
      <c r="O1327" s="41"/>
    </row>
    <row r="1328" spans="1:15">
      <c r="A1328" s="39"/>
      <c r="B1328" s="40"/>
      <c r="C1328" s="41"/>
      <c r="D1328" s="41"/>
      <c r="E1328" s="41"/>
      <c r="F1328" s="41"/>
      <c r="G1328" s="41"/>
      <c r="H1328" s="41"/>
      <c r="I1328" s="41"/>
      <c r="J1328" s="41"/>
      <c r="K1328" s="41"/>
      <c r="L1328" s="41"/>
      <c r="M1328" s="41"/>
      <c r="N1328" s="41"/>
      <c r="O1328" s="41"/>
    </row>
    <row r="1329" spans="1:15">
      <c r="A1329" s="39"/>
      <c r="B1329" s="40"/>
      <c r="C1329" s="41"/>
      <c r="D1329" s="41"/>
      <c r="E1329" s="41"/>
      <c r="F1329" s="41"/>
      <c r="G1329" s="41"/>
      <c r="H1329" s="41"/>
      <c r="I1329" s="41"/>
      <c r="J1329" s="41"/>
      <c r="K1329" s="41"/>
      <c r="L1329" s="41"/>
      <c r="M1329" s="41"/>
      <c r="N1329" s="41"/>
      <c r="O1329" s="41"/>
    </row>
    <row r="1330" spans="1:15">
      <c r="A1330" s="39"/>
      <c r="B1330" s="40"/>
      <c r="C1330" s="41"/>
      <c r="D1330" s="41"/>
      <c r="E1330" s="41"/>
      <c r="F1330" s="41"/>
      <c r="G1330" s="41"/>
      <c r="H1330" s="41"/>
      <c r="I1330" s="41"/>
      <c r="J1330" s="41"/>
      <c r="K1330" s="41"/>
      <c r="L1330" s="41"/>
      <c r="M1330" s="41"/>
      <c r="N1330" s="41"/>
      <c r="O1330" s="41"/>
    </row>
    <row r="1331" spans="1:15">
      <c r="A1331" s="39"/>
      <c r="B1331" s="40"/>
      <c r="C1331" s="41"/>
      <c r="D1331" s="41"/>
      <c r="E1331" s="41"/>
      <c r="F1331" s="41"/>
      <c r="G1331" s="41"/>
      <c r="H1331" s="41"/>
      <c r="I1331" s="41"/>
      <c r="J1331" s="41"/>
      <c r="K1331" s="41"/>
      <c r="L1331" s="41"/>
      <c r="M1331" s="41"/>
      <c r="N1331" s="41"/>
      <c r="O1331" s="41"/>
    </row>
    <row r="1332" spans="1:15">
      <c r="A1332" s="39"/>
      <c r="B1332" s="40"/>
      <c r="C1332" s="41"/>
      <c r="D1332" s="41"/>
      <c r="E1332" s="41"/>
      <c r="F1332" s="41"/>
      <c r="G1332" s="41"/>
      <c r="H1332" s="41"/>
      <c r="I1332" s="41"/>
      <c r="J1332" s="41"/>
      <c r="K1332" s="41"/>
      <c r="L1332" s="41"/>
      <c r="M1332" s="41"/>
      <c r="N1332" s="41"/>
      <c r="O1332" s="41"/>
    </row>
    <row r="1333" spans="1:15">
      <c r="A1333" s="39"/>
      <c r="B1333" s="40"/>
      <c r="C1333" s="41"/>
      <c r="D1333" s="41"/>
      <c r="E1333" s="41"/>
      <c r="F1333" s="41"/>
      <c r="G1333" s="41"/>
      <c r="H1333" s="41"/>
      <c r="I1333" s="41"/>
      <c r="J1333" s="41"/>
      <c r="K1333" s="41"/>
      <c r="L1333" s="41"/>
      <c r="M1333" s="41"/>
      <c r="N1333" s="41"/>
      <c r="O1333" s="41"/>
    </row>
    <row r="1334" spans="1:15">
      <c r="A1334" s="39"/>
      <c r="B1334" s="40"/>
      <c r="C1334" s="41"/>
      <c r="D1334" s="41"/>
      <c r="E1334" s="41"/>
      <c r="F1334" s="41"/>
      <c r="G1334" s="41"/>
      <c r="H1334" s="41"/>
      <c r="I1334" s="41"/>
      <c r="J1334" s="41"/>
      <c r="K1334" s="41"/>
      <c r="L1334" s="41"/>
      <c r="M1334" s="41"/>
      <c r="N1334" s="41"/>
      <c r="O1334" s="41"/>
    </row>
    <row r="1335" spans="1:15">
      <c r="A1335" s="39"/>
      <c r="B1335" s="40"/>
      <c r="C1335" s="41"/>
      <c r="D1335" s="41"/>
      <c r="E1335" s="41"/>
      <c r="F1335" s="41"/>
      <c r="G1335" s="41"/>
      <c r="H1335" s="41"/>
      <c r="I1335" s="41"/>
      <c r="J1335" s="41"/>
      <c r="K1335" s="41"/>
      <c r="L1335" s="41"/>
      <c r="M1335" s="41"/>
      <c r="N1335" s="41"/>
      <c r="O1335" s="41"/>
    </row>
    <row r="1336" spans="1:15">
      <c r="A1336" s="39"/>
      <c r="B1336" s="40"/>
      <c r="C1336" s="41"/>
      <c r="D1336" s="41"/>
      <c r="E1336" s="41"/>
      <c r="F1336" s="41"/>
      <c r="G1336" s="41"/>
      <c r="H1336" s="41"/>
      <c r="I1336" s="41"/>
      <c r="J1336" s="41"/>
      <c r="K1336" s="41"/>
      <c r="L1336" s="41"/>
      <c r="M1336" s="41"/>
      <c r="N1336" s="41"/>
      <c r="O1336" s="41"/>
    </row>
    <row r="1337" spans="1:15">
      <c r="A1337" s="39"/>
      <c r="B1337" s="40"/>
      <c r="C1337" s="41"/>
      <c r="D1337" s="41"/>
      <c r="E1337" s="41"/>
      <c r="F1337" s="41"/>
      <c r="G1337" s="41"/>
      <c r="H1337" s="41"/>
      <c r="I1337" s="41"/>
      <c r="J1337" s="41"/>
      <c r="K1337" s="41"/>
      <c r="L1337" s="41"/>
      <c r="M1337" s="41"/>
      <c r="N1337" s="41"/>
      <c r="O1337" s="41"/>
    </row>
    <row r="1338" spans="1:15">
      <c r="A1338" s="39"/>
      <c r="B1338" s="40"/>
      <c r="C1338" s="41"/>
      <c r="D1338" s="41"/>
      <c r="E1338" s="41"/>
      <c r="F1338" s="41"/>
      <c r="G1338" s="41"/>
      <c r="H1338" s="41"/>
      <c r="I1338" s="41"/>
      <c r="J1338" s="41"/>
      <c r="K1338" s="41"/>
      <c r="L1338" s="41"/>
      <c r="M1338" s="41"/>
      <c r="N1338" s="41"/>
      <c r="O1338" s="41"/>
    </row>
    <row r="1339" spans="1:15">
      <c r="A1339" s="39"/>
      <c r="B1339" s="40"/>
      <c r="C1339" s="41"/>
      <c r="D1339" s="41"/>
      <c r="E1339" s="41"/>
      <c r="F1339" s="41"/>
      <c r="G1339" s="41"/>
      <c r="H1339" s="41"/>
      <c r="I1339" s="41"/>
      <c r="J1339" s="41"/>
      <c r="K1339" s="41"/>
      <c r="L1339" s="41"/>
      <c r="M1339" s="41"/>
      <c r="N1339" s="41"/>
      <c r="O1339" s="41"/>
    </row>
    <row r="1340" spans="1:15">
      <c r="A1340" s="39"/>
      <c r="B1340" s="40"/>
      <c r="C1340" s="41"/>
      <c r="D1340" s="41"/>
      <c r="E1340" s="41"/>
      <c r="F1340" s="41"/>
      <c r="G1340" s="41"/>
      <c r="H1340" s="41"/>
      <c r="I1340" s="41"/>
      <c r="J1340" s="41"/>
      <c r="K1340" s="41"/>
      <c r="L1340" s="41"/>
      <c r="M1340" s="41"/>
      <c r="N1340" s="41"/>
      <c r="O1340" s="41"/>
    </row>
    <row r="1341" spans="1:15">
      <c r="A1341" s="39"/>
      <c r="B1341" s="40"/>
      <c r="C1341" s="41"/>
      <c r="D1341" s="41"/>
      <c r="E1341" s="41"/>
      <c r="F1341" s="41"/>
      <c r="G1341" s="41"/>
      <c r="H1341" s="41"/>
      <c r="I1341" s="41"/>
      <c r="J1341" s="41"/>
      <c r="K1341" s="41"/>
      <c r="L1341" s="41"/>
      <c r="M1341" s="41"/>
      <c r="N1341" s="41"/>
      <c r="O1341" s="41"/>
    </row>
    <row r="1342" spans="1:15">
      <c r="A1342" s="39"/>
      <c r="B1342" s="40"/>
      <c r="C1342" s="41"/>
      <c r="D1342" s="41"/>
      <c r="E1342" s="41"/>
      <c r="F1342" s="41"/>
      <c r="G1342" s="41"/>
      <c r="H1342" s="41"/>
      <c r="I1342" s="41"/>
      <c r="J1342" s="41"/>
      <c r="K1342" s="41"/>
      <c r="L1342" s="41"/>
      <c r="M1342" s="41"/>
      <c r="N1342" s="41"/>
      <c r="O1342" s="41"/>
    </row>
    <row r="1343" spans="1:15">
      <c r="A1343" s="39"/>
      <c r="B1343" s="40"/>
      <c r="C1343" s="41"/>
      <c r="D1343" s="41"/>
      <c r="E1343" s="41"/>
      <c r="F1343" s="41"/>
      <c r="G1343" s="41"/>
      <c r="H1343" s="41"/>
      <c r="I1343" s="41"/>
      <c r="J1343" s="41"/>
      <c r="K1343" s="41"/>
      <c r="L1343" s="41"/>
      <c r="M1343" s="41"/>
      <c r="N1343" s="41"/>
      <c r="O1343" s="41"/>
    </row>
    <row r="1344" spans="1:15">
      <c r="A1344" s="39"/>
      <c r="B1344" s="40"/>
      <c r="C1344" s="41"/>
      <c r="D1344" s="41"/>
      <c r="E1344" s="41"/>
      <c r="F1344" s="41"/>
      <c r="G1344" s="41"/>
      <c r="H1344" s="41"/>
      <c r="I1344" s="41"/>
      <c r="J1344" s="41"/>
      <c r="K1344" s="41"/>
      <c r="L1344" s="41"/>
      <c r="M1344" s="41"/>
      <c r="N1344" s="41"/>
      <c r="O1344" s="41"/>
    </row>
    <row r="1345" spans="1:15">
      <c r="A1345" s="39"/>
      <c r="B1345" s="40"/>
      <c r="C1345" s="41"/>
      <c r="D1345" s="41"/>
      <c r="E1345" s="41"/>
      <c r="F1345" s="41"/>
      <c r="G1345" s="41"/>
      <c r="H1345" s="41"/>
      <c r="I1345" s="41"/>
      <c r="J1345" s="41"/>
      <c r="K1345" s="41"/>
      <c r="L1345" s="41"/>
      <c r="M1345" s="41"/>
      <c r="N1345" s="41"/>
      <c r="O1345" s="41"/>
    </row>
    <row r="1346" spans="1:15">
      <c r="A1346" s="39"/>
      <c r="B1346" s="40"/>
      <c r="C1346" s="41"/>
      <c r="D1346" s="41"/>
      <c r="E1346" s="41"/>
      <c r="F1346" s="41"/>
      <c r="G1346" s="41"/>
      <c r="H1346" s="41"/>
      <c r="I1346" s="41"/>
      <c r="J1346" s="41"/>
      <c r="K1346" s="41"/>
      <c r="L1346" s="41"/>
      <c r="M1346" s="41"/>
      <c r="N1346" s="41"/>
      <c r="O1346" s="41"/>
    </row>
    <row r="1347" spans="1:15">
      <c r="A1347" s="39"/>
      <c r="B1347" s="40"/>
      <c r="C1347" s="41"/>
      <c r="D1347" s="41"/>
      <c r="E1347" s="41"/>
      <c r="F1347" s="41"/>
      <c r="G1347" s="41"/>
      <c r="H1347" s="41"/>
      <c r="I1347" s="41"/>
      <c r="J1347" s="41"/>
      <c r="K1347" s="41"/>
      <c r="L1347" s="41"/>
      <c r="M1347" s="41"/>
      <c r="N1347" s="41"/>
      <c r="O1347" s="41"/>
    </row>
    <row r="1348" spans="1:15">
      <c r="A1348" s="39"/>
      <c r="B1348" s="40"/>
      <c r="C1348" s="41"/>
      <c r="D1348" s="41"/>
      <c r="E1348" s="41"/>
      <c r="F1348" s="41"/>
      <c r="G1348" s="41"/>
      <c r="H1348" s="41"/>
      <c r="I1348" s="41"/>
      <c r="J1348" s="41"/>
      <c r="K1348" s="41"/>
      <c r="L1348" s="41"/>
      <c r="M1348" s="41"/>
      <c r="N1348" s="41"/>
      <c r="O1348" s="41"/>
    </row>
    <row r="1349" spans="1:15">
      <c r="A1349" s="39"/>
      <c r="B1349" s="40"/>
      <c r="C1349" s="41"/>
      <c r="D1349" s="41"/>
      <c r="E1349" s="41"/>
      <c r="F1349" s="41"/>
      <c r="G1349" s="41"/>
      <c r="H1349" s="41"/>
      <c r="I1349" s="41"/>
      <c r="J1349" s="41"/>
      <c r="K1349" s="41"/>
      <c r="L1349" s="41"/>
      <c r="M1349" s="41"/>
      <c r="N1349" s="41"/>
      <c r="O1349" s="41"/>
    </row>
    <row r="1350" spans="1:15">
      <c r="A1350" s="39"/>
      <c r="B1350" s="40"/>
      <c r="C1350" s="41"/>
      <c r="D1350" s="41"/>
      <c r="E1350" s="41"/>
      <c r="F1350" s="41"/>
      <c r="G1350" s="41"/>
      <c r="H1350" s="41"/>
      <c r="I1350" s="41"/>
      <c r="J1350" s="41"/>
      <c r="K1350" s="41"/>
      <c r="L1350" s="41"/>
      <c r="M1350" s="41"/>
      <c r="N1350" s="41"/>
      <c r="O1350" s="41"/>
    </row>
    <row r="1351" spans="1:15">
      <c r="A1351" s="39"/>
      <c r="B1351" s="40"/>
      <c r="C1351" s="41"/>
      <c r="D1351" s="41"/>
      <c r="E1351" s="41"/>
      <c r="F1351" s="41"/>
      <c r="G1351" s="41"/>
      <c r="H1351" s="41"/>
      <c r="I1351" s="41"/>
      <c r="J1351" s="41"/>
      <c r="K1351" s="41"/>
      <c r="L1351" s="41"/>
      <c r="M1351" s="41"/>
      <c r="N1351" s="41"/>
      <c r="O1351" s="41"/>
    </row>
    <row r="1352" spans="1:15">
      <c r="A1352" s="39"/>
      <c r="B1352" s="40"/>
      <c r="C1352" s="41"/>
      <c r="D1352" s="41"/>
      <c r="E1352" s="41"/>
      <c r="F1352" s="41"/>
      <c r="G1352" s="41"/>
      <c r="H1352" s="41"/>
      <c r="I1352" s="41"/>
      <c r="J1352" s="41"/>
      <c r="K1352" s="41"/>
      <c r="L1352" s="41"/>
      <c r="M1352" s="41"/>
      <c r="N1352" s="41"/>
      <c r="O1352" s="41"/>
    </row>
    <row r="1353" spans="1:15">
      <c r="A1353" s="39"/>
      <c r="B1353" s="40"/>
      <c r="C1353" s="41"/>
      <c r="D1353" s="41"/>
      <c r="E1353" s="41"/>
      <c r="F1353" s="41"/>
      <c r="G1353" s="41"/>
      <c r="H1353" s="41"/>
      <c r="I1353" s="41"/>
      <c r="J1353" s="41"/>
      <c r="K1353" s="41"/>
      <c r="L1353" s="41"/>
      <c r="M1353" s="41"/>
      <c r="N1353" s="41"/>
      <c r="O1353" s="41"/>
    </row>
    <row r="1354" spans="1:15">
      <c r="A1354" s="39"/>
      <c r="B1354" s="40"/>
      <c r="C1354" s="41"/>
      <c r="D1354" s="41"/>
      <c r="E1354" s="41"/>
      <c r="F1354" s="41"/>
      <c r="G1354" s="41"/>
      <c r="H1354" s="41"/>
      <c r="I1354" s="41"/>
      <c r="J1354" s="41"/>
      <c r="K1354" s="41"/>
      <c r="L1354" s="41"/>
      <c r="M1354" s="41"/>
      <c r="N1354" s="41"/>
      <c r="O1354" s="41"/>
    </row>
    <row r="1355" spans="1:15">
      <c r="A1355" s="39"/>
      <c r="B1355" s="40"/>
      <c r="C1355" s="41"/>
      <c r="D1355" s="41"/>
      <c r="E1355" s="41"/>
      <c r="F1355" s="41"/>
      <c r="G1355" s="41"/>
      <c r="H1355" s="41"/>
      <c r="I1355" s="41"/>
      <c r="J1355" s="41"/>
      <c r="K1355" s="41"/>
      <c r="L1355" s="41"/>
      <c r="M1355" s="41"/>
      <c r="N1355" s="41"/>
      <c r="O1355" s="41"/>
    </row>
    <row r="1356" spans="1:15">
      <c r="A1356" s="39"/>
      <c r="B1356" s="40"/>
      <c r="C1356" s="41"/>
      <c r="D1356" s="41"/>
      <c r="E1356" s="41"/>
      <c r="F1356" s="41"/>
      <c r="G1356" s="41"/>
      <c r="H1356" s="41"/>
      <c r="I1356" s="41"/>
      <c r="J1356" s="41"/>
      <c r="K1356" s="41"/>
      <c r="L1356" s="41"/>
      <c r="M1356" s="41"/>
      <c r="N1356" s="41"/>
      <c r="O1356" s="41"/>
    </row>
    <row r="1357" spans="1:15">
      <c r="A1357" s="39"/>
      <c r="B1357" s="40"/>
      <c r="C1357" s="41"/>
      <c r="D1357" s="41"/>
      <c r="E1357" s="41"/>
      <c r="F1357" s="41"/>
      <c r="G1357" s="41"/>
      <c r="H1357" s="41"/>
      <c r="I1357" s="41"/>
      <c r="J1357" s="41"/>
      <c r="K1357" s="41"/>
      <c r="L1357" s="41"/>
      <c r="M1357" s="41"/>
      <c r="N1357" s="41"/>
      <c r="O1357" s="41"/>
    </row>
    <row r="1358" spans="1:15">
      <c r="A1358" s="39"/>
      <c r="B1358" s="40"/>
      <c r="C1358" s="41"/>
      <c r="D1358" s="41"/>
      <c r="E1358" s="41"/>
      <c r="F1358" s="41"/>
      <c r="G1358" s="41"/>
      <c r="H1358" s="41"/>
      <c r="I1358" s="41"/>
      <c r="J1358" s="41"/>
      <c r="K1358" s="41"/>
      <c r="L1358" s="41"/>
      <c r="M1358" s="41"/>
      <c r="N1358" s="41"/>
      <c r="O1358" s="41"/>
    </row>
    <row r="1359" spans="1:15">
      <c r="A1359" s="39"/>
      <c r="B1359" s="40"/>
      <c r="C1359" s="41"/>
      <c r="D1359" s="41"/>
      <c r="E1359" s="41"/>
      <c r="F1359" s="41"/>
      <c r="G1359" s="41"/>
      <c r="H1359" s="41"/>
      <c r="I1359" s="41"/>
      <c r="J1359" s="41"/>
      <c r="K1359" s="41"/>
      <c r="L1359" s="41"/>
      <c r="M1359" s="41"/>
      <c r="N1359" s="41"/>
      <c r="O1359" s="41"/>
    </row>
    <row r="1360" spans="1:15">
      <c r="A1360" s="39"/>
      <c r="B1360" s="40"/>
      <c r="C1360" s="41"/>
      <c r="D1360" s="41"/>
      <c r="E1360" s="41"/>
      <c r="F1360" s="41"/>
      <c r="G1360" s="41"/>
      <c r="H1360" s="41"/>
      <c r="I1360" s="41"/>
      <c r="J1360" s="41"/>
      <c r="K1360" s="41"/>
      <c r="L1360" s="41"/>
      <c r="M1360" s="41"/>
      <c r="N1360" s="41"/>
      <c r="O1360" s="41"/>
    </row>
    <row r="1361" spans="1:15">
      <c r="A1361" s="39"/>
      <c r="B1361" s="40"/>
      <c r="C1361" s="41"/>
      <c r="D1361" s="41"/>
      <c r="E1361" s="41"/>
      <c r="F1361" s="41"/>
      <c r="G1361" s="41"/>
      <c r="H1361" s="41"/>
      <c r="I1361" s="41"/>
      <c r="J1361" s="41"/>
      <c r="K1361" s="41"/>
      <c r="L1361" s="41"/>
      <c r="M1361" s="41"/>
      <c r="N1361" s="41"/>
      <c r="O1361" s="41"/>
    </row>
    <row r="1362" spans="1:15">
      <c r="A1362" s="39"/>
      <c r="B1362" s="40"/>
      <c r="C1362" s="41"/>
      <c r="D1362" s="41"/>
      <c r="E1362" s="41"/>
      <c r="F1362" s="41"/>
      <c r="G1362" s="41"/>
      <c r="H1362" s="41"/>
      <c r="I1362" s="41"/>
      <c r="J1362" s="41"/>
      <c r="K1362" s="41"/>
      <c r="L1362" s="41"/>
      <c r="M1362" s="41"/>
      <c r="N1362" s="41"/>
      <c r="O1362" s="41"/>
    </row>
    <row r="1363" spans="1:15">
      <c r="A1363" s="39"/>
      <c r="B1363" s="40"/>
      <c r="C1363" s="41"/>
      <c r="D1363" s="41"/>
      <c r="E1363" s="41"/>
      <c r="F1363" s="41"/>
      <c r="G1363" s="41"/>
      <c r="H1363" s="41"/>
      <c r="I1363" s="41"/>
      <c r="J1363" s="41"/>
      <c r="K1363" s="41"/>
      <c r="L1363" s="41"/>
      <c r="M1363" s="41"/>
      <c r="N1363" s="41"/>
      <c r="O1363" s="41"/>
    </row>
    <row r="1364" spans="1:15">
      <c r="A1364" s="39"/>
      <c r="B1364" s="40"/>
      <c r="C1364" s="41"/>
      <c r="D1364" s="41"/>
      <c r="E1364" s="41"/>
      <c r="F1364" s="41"/>
      <c r="G1364" s="41"/>
      <c r="H1364" s="41"/>
      <c r="I1364" s="41"/>
      <c r="J1364" s="41"/>
      <c r="K1364" s="41"/>
      <c r="L1364" s="41"/>
      <c r="M1364" s="41"/>
      <c r="N1364" s="41"/>
      <c r="O1364" s="41"/>
    </row>
    <row r="1365" spans="1:15">
      <c r="A1365" s="39"/>
      <c r="B1365" s="40"/>
      <c r="C1365" s="41"/>
      <c r="D1365" s="41"/>
      <c r="E1365" s="41"/>
      <c r="F1365" s="41"/>
      <c r="G1365" s="41"/>
      <c r="H1365" s="41"/>
      <c r="I1365" s="41"/>
      <c r="J1365" s="41"/>
      <c r="K1365" s="41"/>
      <c r="L1365" s="41"/>
      <c r="M1365" s="41"/>
      <c r="N1365" s="41"/>
      <c r="O1365" s="41"/>
    </row>
    <row r="1366" spans="1:15">
      <c r="A1366" s="39"/>
      <c r="B1366" s="40"/>
      <c r="C1366" s="41"/>
      <c r="D1366" s="41"/>
      <c r="E1366" s="41"/>
      <c r="F1366" s="41"/>
      <c r="G1366" s="41"/>
      <c r="H1366" s="41"/>
      <c r="I1366" s="41"/>
      <c r="J1366" s="41"/>
      <c r="K1366" s="41"/>
      <c r="L1366" s="41"/>
      <c r="M1366" s="41"/>
      <c r="N1366" s="41"/>
      <c r="O1366" s="41"/>
    </row>
    <row r="1367" spans="1:15">
      <c r="A1367" s="39"/>
      <c r="B1367" s="40"/>
      <c r="C1367" s="41"/>
      <c r="D1367" s="41"/>
      <c r="E1367" s="41"/>
      <c r="F1367" s="41"/>
      <c r="G1367" s="41"/>
      <c r="H1367" s="41"/>
      <c r="I1367" s="41"/>
      <c r="J1367" s="41"/>
      <c r="K1367" s="41"/>
      <c r="L1367" s="41"/>
      <c r="M1367" s="41"/>
      <c r="N1367" s="41"/>
      <c r="O1367" s="41"/>
    </row>
    <row r="1368" spans="1:15">
      <c r="A1368" s="39"/>
      <c r="B1368" s="40"/>
      <c r="C1368" s="41"/>
      <c r="D1368" s="41"/>
      <c r="E1368" s="41"/>
      <c r="F1368" s="41"/>
      <c r="G1368" s="41"/>
      <c r="H1368" s="41"/>
      <c r="I1368" s="41"/>
      <c r="J1368" s="41"/>
      <c r="K1368" s="41"/>
      <c r="L1368" s="41"/>
      <c r="M1368" s="41"/>
      <c r="N1368" s="41"/>
      <c r="O1368" s="41"/>
    </row>
    <row r="1369" spans="1:15">
      <c r="A1369" s="39"/>
      <c r="B1369" s="40"/>
      <c r="C1369" s="41"/>
      <c r="D1369" s="41"/>
      <c r="E1369" s="41"/>
      <c r="F1369" s="41"/>
      <c r="G1369" s="41"/>
      <c r="H1369" s="41"/>
      <c r="I1369" s="41"/>
      <c r="J1369" s="41"/>
      <c r="K1369" s="41"/>
      <c r="L1369" s="41"/>
      <c r="M1369" s="41"/>
      <c r="N1369" s="41"/>
      <c r="O1369" s="41"/>
    </row>
    <row r="1370" spans="1:15">
      <c r="A1370" s="39"/>
      <c r="B1370" s="40"/>
      <c r="C1370" s="41"/>
      <c r="D1370" s="41"/>
      <c r="E1370" s="41"/>
      <c r="F1370" s="41"/>
      <c r="G1370" s="41"/>
      <c r="H1370" s="41"/>
      <c r="I1370" s="41"/>
      <c r="J1370" s="41"/>
      <c r="K1370" s="41"/>
      <c r="L1370" s="41"/>
      <c r="M1370" s="41"/>
      <c r="N1370" s="41"/>
      <c r="O1370" s="41"/>
    </row>
    <row r="1371" spans="1:15">
      <c r="A1371" s="39"/>
      <c r="B1371" s="40"/>
      <c r="C1371" s="41"/>
      <c r="D1371" s="41"/>
      <c r="E1371" s="41"/>
      <c r="F1371" s="41"/>
      <c r="G1371" s="41"/>
      <c r="H1371" s="41"/>
      <c r="I1371" s="41"/>
      <c r="J1371" s="41"/>
      <c r="K1371" s="41"/>
      <c r="L1371" s="41"/>
      <c r="M1371" s="41"/>
      <c r="N1371" s="41"/>
      <c r="O1371" s="41"/>
    </row>
    <row r="1372" spans="1:15">
      <c r="A1372" s="39"/>
      <c r="B1372" s="40"/>
      <c r="C1372" s="41"/>
      <c r="D1372" s="41"/>
      <c r="E1372" s="41"/>
      <c r="F1372" s="41"/>
      <c r="G1372" s="41"/>
      <c r="H1372" s="41"/>
      <c r="I1372" s="41"/>
      <c r="J1372" s="41"/>
      <c r="K1372" s="41"/>
      <c r="L1372" s="41"/>
      <c r="M1372" s="41"/>
      <c r="N1372" s="41"/>
      <c r="O1372" s="41"/>
    </row>
    <row r="1373" spans="1:15">
      <c r="A1373" s="39"/>
      <c r="B1373" s="40"/>
      <c r="C1373" s="41"/>
      <c r="D1373" s="41"/>
      <c r="E1373" s="41"/>
      <c r="F1373" s="41"/>
      <c r="G1373" s="41"/>
      <c r="H1373" s="41"/>
      <c r="I1373" s="41"/>
      <c r="J1373" s="41"/>
      <c r="K1373" s="41"/>
      <c r="L1373" s="41"/>
      <c r="M1373" s="41"/>
      <c r="N1373" s="41"/>
      <c r="O1373" s="41"/>
    </row>
    <row r="1374" spans="1:15">
      <c r="A1374" s="39"/>
      <c r="B1374" s="40"/>
      <c r="C1374" s="41"/>
      <c r="D1374" s="41"/>
      <c r="E1374" s="41"/>
      <c r="F1374" s="41"/>
      <c r="G1374" s="41"/>
      <c r="H1374" s="41"/>
      <c r="I1374" s="41"/>
      <c r="J1374" s="41"/>
      <c r="K1374" s="41"/>
      <c r="L1374" s="41"/>
      <c r="M1374" s="41"/>
      <c r="N1374" s="41"/>
      <c r="O1374" s="41"/>
    </row>
    <row r="1375" spans="1:15">
      <c r="A1375" s="39"/>
      <c r="B1375" s="40"/>
      <c r="C1375" s="41"/>
      <c r="D1375" s="41"/>
      <c r="E1375" s="41"/>
      <c r="F1375" s="41"/>
      <c r="G1375" s="41"/>
      <c r="H1375" s="41"/>
      <c r="I1375" s="41"/>
      <c r="J1375" s="41"/>
      <c r="K1375" s="41"/>
      <c r="L1375" s="41"/>
      <c r="M1375" s="41"/>
      <c r="N1375" s="41"/>
      <c r="O1375" s="41"/>
    </row>
    <row r="1376" spans="1:15">
      <c r="A1376" s="39"/>
      <c r="B1376" s="40"/>
      <c r="C1376" s="41"/>
      <c r="D1376" s="41"/>
      <c r="E1376" s="41"/>
      <c r="F1376" s="41"/>
      <c r="G1376" s="41"/>
      <c r="H1376" s="41"/>
      <c r="I1376" s="41"/>
      <c r="J1376" s="41"/>
      <c r="K1376" s="41"/>
      <c r="L1376" s="41"/>
      <c r="M1376" s="41"/>
      <c r="N1376" s="41"/>
      <c r="O1376" s="41"/>
    </row>
    <row r="1377" spans="1:15">
      <c r="A1377" s="39"/>
      <c r="B1377" s="40"/>
      <c r="C1377" s="41"/>
      <c r="D1377" s="41"/>
      <c r="E1377" s="41"/>
      <c r="F1377" s="41"/>
      <c r="G1377" s="41"/>
      <c r="H1377" s="41"/>
      <c r="I1377" s="41"/>
      <c r="J1377" s="41"/>
      <c r="K1377" s="41"/>
      <c r="L1377" s="41"/>
      <c r="M1377" s="41"/>
      <c r="N1377" s="41"/>
      <c r="O1377" s="41"/>
    </row>
    <row r="1378" spans="1:15">
      <c r="A1378" s="39"/>
      <c r="B1378" s="40"/>
      <c r="C1378" s="41"/>
      <c r="D1378" s="41"/>
      <c r="E1378" s="41"/>
      <c r="F1378" s="41"/>
      <c r="G1378" s="41"/>
      <c r="H1378" s="41"/>
      <c r="I1378" s="41"/>
      <c r="J1378" s="41"/>
      <c r="K1378" s="41"/>
      <c r="L1378" s="41"/>
      <c r="M1378" s="41"/>
      <c r="N1378" s="41"/>
      <c r="O1378" s="41"/>
    </row>
    <row r="1379" spans="1:15">
      <c r="A1379" s="39"/>
      <c r="B1379" s="40"/>
      <c r="C1379" s="41"/>
      <c r="D1379" s="41"/>
      <c r="E1379" s="41"/>
      <c r="F1379" s="41"/>
      <c r="G1379" s="41"/>
      <c r="H1379" s="41"/>
      <c r="I1379" s="41"/>
      <c r="J1379" s="41"/>
      <c r="K1379" s="41"/>
      <c r="L1379" s="41"/>
      <c r="M1379" s="41"/>
      <c r="N1379" s="41"/>
      <c r="O1379" s="41"/>
    </row>
    <row r="1380" spans="1:15">
      <c r="A1380" s="39"/>
      <c r="B1380" s="40"/>
      <c r="C1380" s="41"/>
      <c r="D1380" s="41"/>
      <c r="E1380" s="41"/>
      <c r="F1380" s="41"/>
      <c r="G1380" s="41"/>
      <c r="H1380" s="41"/>
      <c r="I1380" s="41"/>
      <c r="J1380" s="41"/>
      <c r="K1380" s="41"/>
      <c r="L1380" s="41"/>
      <c r="M1380" s="41"/>
      <c r="N1380" s="41"/>
      <c r="O1380" s="41"/>
    </row>
    <row r="1381" spans="1:15">
      <c r="A1381" s="39"/>
      <c r="B1381" s="40"/>
      <c r="C1381" s="41"/>
      <c r="D1381" s="41"/>
      <c r="E1381" s="41"/>
      <c r="F1381" s="41"/>
      <c r="G1381" s="41"/>
      <c r="H1381" s="41"/>
      <c r="I1381" s="41"/>
      <c r="J1381" s="41"/>
      <c r="K1381" s="41"/>
      <c r="L1381" s="41"/>
      <c r="M1381" s="41"/>
      <c r="N1381" s="41"/>
      <c r="O1381" s="41"/>
    </row>
    <row r="1382" spans="1:15">
      <c r="A1382" s="39"/>
      <c r="B1382" s="40"/>
      <c r="C1382" s="41"/>
      <c r="D1382" s="41"/>
      <c r="E1382" s="41"/>
      <c r="F1382" s="41"/>
      <c r="G1382" s="41"/>
      <c r="H1382" s="41"/>
      <c r="I1382" s="41"/>
      <c r="J1382" s="41"/>
      <c r="K1382" s="41"/>
      <c r="L1382" s="41"/>
      <c r="M1382" s="41"/>
      <c r="N1382" s="41"/>
      <c r="O1382" s="41"/>
    </row>
    <row r="1383" spans="1:15">
      <c r="A1383" s="39"/>
      <c r="B1383" s="40"/>
      <c r="C1383" s="41"/>
      <c r="D1383" s="41"/>
      <c r="E1383" s="41"/>
      <c r="F1383" s="41"/>
      <c r="G1383" s="41"/>
      <c r="H1383" s="41"/>
      <c r="I1383" s="41"/>
      <c r="J1383" s="41"/>
      <c r="K1383" s="41"/>
      <c r="L1383" s="41"/>
      <c r="M1383" s="41"/>
      <c r="N1383" s="41"/>
      <c r="O1383" s="41"/>
    </row>
    <row r="1384" spans="1:15">
      <c r="A1384" s="39"/>
      <c r="B1384" s="40"/>
      <c r="C1384" s="41"/>
      <c r="D1384" s="41"/>
      <c r="E1384" s="41"/>
      <c r="F1384" s="41"/>
      <c r="G1384" s="41"/>
      <c r="H1384" s="41"/>
      <c r="I1384" s="41"/>
      <c r="J1384" s="41"/>
      <c r="K1384" s="41"/>
      <c r="L1384" s="41"/>
      <c r="M1384" s="41"/>
      <c r="N1384" s="41"/>
      <c r="O1384" s="41"/>
    </row>
    <row r="1385" spans="1:15">
      <c r="A1385" s="39"/>
      <c r="B1385" s="40"/>
      <c r="C1385" s="41"/>
      <c r="D1385" s="41"/>
      <c r="E1385" s="41"/>
      <c r="F1385" s="41"/>
      <c r="G1385" s="41"/>
      <c r="H1385" s="41"/>
      <c r="I1385" s="41"/>
      <c r="J1385" s="41"/>
      <c r="K1385" s="41"/>
      <c r="L1385" s="41"/>
      <c r="M1385" s="41"/>
      <c r="N1385" s="41"/>
      <c r="O1385" s="41"/>
    </row>
    <row r="1386" spans="1:15">
      <c r="A1386" s="39"/>
      <c r="B1386" s="40"/>
      <c r="C1386" s="41"/>
      <c r="D1386" s="41"/>
      <c r="E1386" s="41"/>
      <c r="F1386" s="41"/>
      <c r="G1386" s="41"/>
      <c r="H1386" s="41"/>
      <c r="I1386" s="41"/>
      <c r="J1386" s="41"/>
      <c r="K1386" s="41"/>
      <c r="L1386" s="41"/>
      <c r="M1386" s="41"/>
      <c r="N1386" s="41"/>
      <c r="O1386" s="41"/>
    </row>
    <row r="1387" spans="1:15">
      <c r="A1387" s="39"/>
      <c r="B1387" s="40"/>
      <c r="C1387" s="41"/>
      <c r="D1387" s="41"/>
      <c r="E1387" s="41"/>
      <c r="F1387" s="41"/>
      <c r="G1387" s="41"/>
      <c r="H1387" s="41"/>
      <c r="I1387" s="41"/>
      <c r="J1387" s="41"/>
      <c r="K1387" s="41"/>
      <c r="L1387" s="41"/>
      <c r="M1387" s="41"/>
      <c r="N1387" s="41"/>
      <c r="O1387" s="41"/>
    </row>
    <row r="1388" spans="1:15">
      <c r="A1388" s="39"/>
      <c r="B1388" s="40"/>
      <c r="C1388" s="41"/>
      <c r="D1388" s="41"/>
      <c r="E1388" s="41"/>
      <c r="F1388" s="41"/>
      <c r="G1388" s="41"/>
      <c r="H1388" s="41"/>
      <c r="I1388" s="41"/>
      <c r="J1388" s="41"/>
      <c r="K1388" s="41"/>
      <c r="L1388" s="41"/>
      <c r="M1388" s="41"/>
      <c r="N1388" s="41"/>
      <c r="O1388" s="41"/>
    </row>
    <row r="1389" spans="1:15">
      <c r="A1389" s="39"/>
      <c r="B1389" s="40"/>
      <c r="C1389" s="41"/>
      <c r="D1389" s="41"/>
      <c r="E1389" s="41"/>
      <c r="F1389" s="41"/>
      <c r="G1389" s="41"/>
      <c r="H1389" s="41"/>
      <c r="I1389" s="41"/>
      <c r="J1389" s="41"/>
      <c r="K1389" s="41"/>
      <c r="L1389" s="41"/>
      <c r="M1389" s="41"/>
      <c r="N1389" s="41"/>
      <c r="O1389" s="41"/>
    </row>
    <row r="1390" spans="1:15">
      <c r="A1390" s="39"/>
      <c r="B1390" s="40"/>
      <c r="C1390" s="41"/>
      <c r="D1390" s="41"/>
      <c r="E1390" s="41"/>
      <c r="F1390" s="41"/>
      <c r="G1390" s="41"/>
      <c r="H1390" s="41"/>
      <c r="I1390" s="41"/>
      <c r="J1390" s="41"/>
      <c r="K1390" s="41"/>
      <c r="L1390" s="41"/>
      <c r="M1390" s="41"/>
      <c r="N1390" s="41"/>
      <c r="O1390" s="41"/>
    </row>
    <row r="1391" spans="1:15">
      <c r="A1391" s="39"/>
      <c r="B1391" s="40"/>
      <c r="C1391" s="41"/>
      <c r="D1391" s="41"/>
      <c r="E1391" s="41"/>
      <c r="F1391" s="41"/>
      <c r="G1391" s="41"/>
      <c r="H1391" s="41"/>
      <c r="I1391" s="41"/>
      <c r="J1391" s="41"/>
      <c r="K1391" s="41"/>
      <c r="L1391" s="41"/>
      <c r="M1391" s="41"/>
      <c r="N1391" s="41"/>
      <c r="O1391" s="41"/>
    </row>
    <row r="1392" spans="1:15">
      <c r="A1392" s="39"/>
      <c r="B1392" s="40"/>
      <c r="C1392" s="41"/>
      <c r="D1392" s="41"/>
      <c r="E1392" s="41"/>
      <c r="F1392" s="41"/>
      <c r="G1392" s="41"/>
      <c r="H1392" s="41"/>
      <c r="I1392" s="41"/>
      <c r="J1392" s="41"/>
      <c r="K1392" s="41"/>
      <c r="L1392" s="41"/>
      <c r="M1392" s="41"/>
      <c r="N1392" s="41"/>
      <c r="O1392" s="41"/>
    </row>
    <row r="1393" spans="1:15">
      <c r="A1393" s="39"/>
      <c r="B1393" s="40"/>
      <c r="C1393" s="41"/>
      <c r="D1393" s="41"/>
      <c r="E1393" s="41"/>
      <c r="F1393" s="41"/>
      <c r="G1393" s="41"/>
      <c r="H1393" s="41"/>
      <c r="I1393" s="41"/>
      <c r="J1393" s="41"/>
      <c r="K1393" s="41"/>
      <c r="L1393" s="41"/>
      <c r="M1393" s="41"/>
      <c r="N1393" s="41"/>
      <c r="O1393" s="41"/>
    </row>
    <row r="1394" spans="1:15">
      <c r="A1394" s="39"/>
      <c r="B1394" s="40"/>
      <c r="C1394" s="41"/>
      <c r="D1394" s="41"/>
      <c r="E1394" s="41"/>
      <c r="F1394" s="41"/>
      <c r="G1394" s="41"/>
      <c r="H1394" s="41"/>
      <c r="I1394" s="41"/>
      <c r="J1394" s="41"/>
      <c r="K1394" s="41"/>
      <c r="L1394" s="41"/>
      <c r="M1394" s="41"/>
      <c r="N1394" s="41"/>
      <c r="O1394" s="41"/>
    </row>
    <row r="1395" spans="1:15">
      <c r="A1395" s="39"/>
      <c r="B1395" s="40"/>
      <c r="C1395" s="41"/>
      <c r="D1395" s="41"/>
      <c r="E1395" s="41"/>
      <c r="F1395" s="41"/>
      <c r="G1395" s="41"/>
      <c r="H1395" s="41"/>
      <c r="I1395" s="41"/>
      <c r="J1395" s="41"/>
      <c r="K1395" s="41"/>
      <c r="L1395" s="41"/>
      <c r="M1395" s="41"/>
      <c r="N1395" s="41"/>
      <c r="O1395" s="41"/>
    </row>
    <row r="1396" spans="1:15">
      <c r="A1396" s="39"/>
      <c r="B1396" s="40"/>
      <c r="C1396" s="41"/>
      <c r="D1396" s="41"/>
      <c r="E1396" s="41"/>
      <c r="F1396" s="41"/>
      <c r="G1396" s="41"/>
      <c r="H1396" s="41"/>
      <c r="I1396" s="41"/>
      <c r="J1396" s="41"/>
      <c r="K1396" s="41"/>
      <c r="L1396" s="41"/>
      <c r="M1396" s="41"/>
      <c r="N1396" s="41"/>
      <c r="O1396" s="41"/>
    </row>
    <row r="1397" spans="1:15">
      <c r="A1397" s="39"/>
      <c r="B1397" s="40"/>
      <c r="C1397" s="41"/>
      <c r="D1397" s="41"/>
      <c r="E1397" s="41"/>
      <c r="F1397" s="41"/>
      <c r="G1397" s="41"/>
      <c r="H1397" s="41"/>
      <c r="I1397" s="41"/>
      <c r="J1397" s="41"/>
      <c r="K1397" s="41"/>
      <c r="L1397" s="41"/>
      <c r="M1397" s="41"/>
      <c r="N1397" s="41"/>
      <c r="O1397" s="41"/>
    </row>
    <row r="1398" spans="1:15">
      <c r="A1398" s="39"/>
      <c r="B1398" s="40"/>
      <c r="C1398" s="41"/>
      <c r="D1398" s="41"/>
      <c r="E1398" s="41"/>
      <c r="F1398" s="41"/>
      <c r="G1398" s="41"/>
      <c r="H1398" s="41"/>
      <c r="I1398" s="41"/>
      <c r="J1398" s="41"/>
      <c r="K1398" s="41"/>
      <c r="L1398" s="41"/>
      <c r="M1398" s="41"/>
      <c r="N1398" s="41"/>
      <c r="O1398" s="41"/>
    </row>
    <row r="1399" spans="1:15">
      <c r="A1399" s="39"/>
      <c r="B1399" s="40"/>
      <c r="C1399" s="41"/>
      <c r="D1399" s="41"/>
      <c r="E1399" s="41"/>
      <c r="F1399" s="41"/>
      <c r="G1399" s="41"/>
      <c r="H1399" s="41"/>
      <c r="I1399" s="41"/>
      <c r="J1399" s="41"/>
      <c r="K1399" s="41"/>
      <c r="L1399" s="41"/>
      <c r="M1399" s="41"/>
      <c r="N1399" s="41"/>
      <c r="O1399" s="41"/>
    </row>
    <row r="1400" spans="1:15">
      <c r="A1400" s="39"/>
      <c r="B1400" s="40"/>
      <c r="C1400" s="41"/>
      <c r="D1400" s="41"/>
      <c r="E1400" s="41"/>
      <c r="F1400" s="41"/>
      <c r="G1400" s="41"/>
      <c r="H1400" s="41"/>
      <c r="I1400" s="41"/>
      <c r="J1400" s="41"/>
      <c r="K1400" s="41"/>
      <c r="L1400" s="41"/>
      <c r="M1400" s="41"/>
      <c r="N1400" s="41"/>
      <c r="O1400" s="41"/>
    </row>
    <row r="1401" spans="1:15">
      <c r="A1401" s="39"/>
      <c r="B1401" s="40"/>
      <c r="C1401" s="41"/>
      <c r="D1401" s="41"/>
      <c r="E1401" s="41"/>
      <c r="F1401" s="41"/>
      <c r="G1401" s="41"/>
      <c r="H1401" s="41"/>
      <c r="I1401" s="41"/>
      <c r="J1401" s="41"/>
      <c r="K1401" s="41"/>
      <c r="L1401" s="41"/>
      <c r="M1401" s="41"/>
      <c r="N1401" s="41"/>
      <c r="O1401" s="41"/>
    </row>
    <row r="1402" spans="1:15">
      <c r="A1402" s="39"/>
      <c r="B1402" s="40"/>
      <c r="C1402" s="41"/>
      <c r="D1402" s="41"/>
      <c r="E1402" s="41"/>
      <c r="F1402" s="41"/>
      <c r="G1402" s="41"/>
      <c r="H1402" s="41"/>
      <c r="I1402" s="41"/>
      <c r="J1402" s="41"/>
      <c r="K1402" s="41"/>
      <c r="L1402" s="41"/>
      <c r="M1402" s="41"/>
      <c r="N1402" s="41"/>
      <c r="O1402" s="41"/>
    </row>
    <row r="1403" spans="1:15">
      <c r="A1403" s="39"/>
      <c r="B1403" s="40"/>
      <c r="C1403" s="41"/>
      <c r="D1403" s="41"/>
      <c r="E1403" s="41"/>
      <c r="F1403" s="41"/>
      <c r="G1403" s="41"/>
      <c r="H1403" s="41"/>
      <c r="I1403" s="41"/>
      <c r="J1403" s="41"/>
      <c r="K1403" s="41"/>
      <c r="L1403" s="41"/>
      <c r="M1403" s="41"/>
      <c r="N1403" s="41"/>
      <c r="O1403" s="41"/>
    </row>
    <row r="1404" spans="1:15">
      <c r="A1404" s="39"/>
      <c r="B1404" s="40"/>
      <c r="C1404" s="41"/>
      <c r="D1404" s="41"/>
      <c r="E1404" s="41"/>
      <c r="F1404" s="41"/>
      <c r="G1404" s="41"/>
      <c r="H1404" s="41"/>
      <c r="I1404" s="41"/>
      <c r="J1404" s="41"/>
      <c r="K1404" s="41"/>
      <c r="L1404" s="41"/>
      <c r="M1404" s="41"/>
      <c r="N1404" s="41"/>
      <c r="O1404" s="41"/>
    </row>
    <row r="1405" spans="1:15">
      <c r="A1405" s="39"/>
      <c r="B1405" s="40"/>
      <c r="C1405" s="41"/>
      <c r="D1405" s="41"/>
      <c r="E1405" s="41"/>
      <c r="F1405" s="41"/>
      <c r="G1405" s="41"/>
      <c r="H1405" s="41"/>
      <c r="I1405" s="41"/>
      <c r="J1405" s="41"/>
      <c r="K1405" s="41"/>
      <c r="L1405" s="41"/>
      <c r="M1405" s="41"/>
      <c r="N1405" s="41"/>
      <c r="O1405" s="41"/>
    </row>
    <row r="1406" spans="1:15">
      <c r="A1406" s="39"/>
      <c r="B1406" s="40"/>
      <c r="C1406" s="41"/>
      <c r="D1406" s="41"/>
      <c r="E1406" s="41"/>
      <c r="F1406" s="41"/>
      <c r="G1406" s="41"/>
      <c r="H1406" s="41"/>
      <c r="I1406" s="41"/>
      <c r="J1406" s="41"/>
      <c r="K1406" s="41"/>
      <c r="L1406" s="41"/>
      <c r="M1406" s="41"/>
      <c r="N1406" s="41"/>
      <c r="O1406" s="41"/>
    </row>
    <row r="1407" spans="1:15">
      <c r="A1407" s="39"/>
      <c r="B1407" s="40"/>
      <c r="C1407" s="41"/>
      <c r="D1407" s="41"/>
      <c r="E1407" s="41"/>
      <c r="F1407" s="41"/>
      <c r="G1407" s="41"/>
      <c r="H1407" s="41"/>
      <c r="I1407" s="41"/>
      <c r="J1407" s="41"/>
      <c r="K1407" s="41"/>
      <c r="L1407" s="41"/>
      <c r="M1407" s="41"/>
      <c r="N1407" s="41"/>
      <c r="O1407" s="41"/>
    </row>
    <row r="1408" spans="1:15">
      <c r="A1408" s="39"/>
      <c r="B1408" s="40"/>
      <c r="C1408" s="41"/>
      <c r="D1408" s="41"/>
      <c r="E1408" s="41"/>
      <c r="F1408" s="41"/>
      <c r="G1408" s="41"/>
      <c r="H1408" s="41"/>
      <c r="I1408" s="41"/>
      <c r="J1408" s="41"/>
      <c r="K1408" s="41"/>
      <c r="L1408" s="41"/>
      <c r="M1408" s="41"/>
      <c r="N1408" s="41"/>
      <c r="O1408" s="41"/>
    </row>
    <row r="1409" spans="1:15">
      <c r="A1409" s="39"/>
      <c r="B1409" s="40"/>
      <c r="C1409" s="41"/>
      <c r="D1409" s="41"/>
      <c r="E1409" s="41"/>
      <c r="F1409" s="41"/>
      <c r="G1409" s="41"/>
      <c r="H1409" s="41"/>
      <c r="I1409" s="41"/>
      <c r="J1409" s="41"/>
      <c r="K1409" s="41"/>
      <c r="L1409" s="41"/>
      <c r="M1409" s="41"/>
      <c r="N1409" s="41"/>
      <c r="O1409" s="41"/>
    </row>
    <row r="1410" spans="1:15">
      <c r="A1410" s="39"/>
      <c r="B1410" s="40"/>
      <c r="C1410" s="41"/>
      <c r="D1410" s="41"/>
      <c r="E1410" s="41"/>
      <c r="F1410" s="41"/>
      <c r="G1410" s="41"/>
      <c r="H1410" s="41"/>
      <c r="I1410" s="41"/>
      <c r="J1410" s="41"/>
      <c r="K1410" s="41"/>
      <c r="L1410" s="41"/>
      <c r="M1410" s="41"/>
      <c r="N1410" s="41"/>
      <c r="O1410" s="41"/>
    </row>
    <row r="1411" spans="1:15">
      <c r="A1411" s="39"/>
      <c r="B1411" s="40"/>
      <c r="C1411" s="41"/>
      <c r="D1411" s="41"/>
      <c r="E1411" s="41"/>
      <c r="F1411" s="41"/>
      <c r="G1411" s="41"/>
      <c r="H1411" s="41"/>
      <c r="I1411" s="41"/>
      <c r="J1411" s="41"/>
      <c r="K1411" s="41"/>
      <c r="L1411" s="41"/>
      <c r="M1411" s="41"/>
      <c r="N1411" s="41"/>
      <c r="O1411" s="41"/>
    </row>
    <row r="1412" spans="1:15">
      <c r="A1412" s="39"/>
      <c r="B1412" s="40"/>
      <c r="C1412" s="41"/>
      <c r="D1412" s="41"/>
      <c r="E1412" s="41"/>
      <c r="F1412" s="41"/>
      <c r="G1412" s="41"/>
      <c r="H1412" s="41"/>
      <c r="I1412" s="41"/>
      <c r="J1412" s="41"/>
      <c r="K1412" s="41"/>
      <c r="L1412" s="41"/>
      <c r="M1412" s="41"/>
      <c r="N1412" s="41"/>
      <c r="O1412" s="41"/>
    </row>
    <row r="1413" spans="1:15">
      <c r="A1413" s="39"/>
      <c r="B1413" s="40"/>
      <c r="C1413" s="41"/>
      <c r="D1413" s="41"/>
      <c r="E1413" s="41"/>
      <c r="F1413" s="41"/>
      <c r="G1413" s="41"/>
      <c r="H1413" s="41"/>
      <c r="I1413" s="41"/>
      <c r="J1413" s="41"/>
      <c r="K1413" s="41"/>
      <c r="L1413" s="41"/>
      <c r="M1413" s="41"/>
      <c r="N1413" s="41"/>
      <c r="O1413" s="41"/>
    </row>
    <row r="1414" spans="1:15">
      <c r="A1414" s="39"/>
      <c r="B1414" s="40"/>
      <c r="C1414" s="41"/>
      <c r="D1414" s="41"/>
      <c r="E1414" s="41"/>
      <c r="F1414" s="41"/>
      <c r="G1414" s="41"/>
      <c r="H1414" s="41"/>
      <c r="I1414" s="41"/>
      <c r="J1414" s="41"/>
      <c r="K1414" s="41"/>
      <c r="L1414" s="41"/>
      <c r="M1414" s="41"/>
      <c r="N1414" s="41"/>
      <c r="O1414" s="41"/>
    </row>
    <row r="1415" spans="1:15">
      <c r="A1415" s="39"/>
      <c r="B1415" s="40"/>
      <c r="C1415" s="41"/>
      <c r="D1415" s="41"/>
      <c r="E1415" s="41"/>
      <c r="F1415" s="41"/>
      <c r="G1415" s="41"/>
      <c r="H1415" s="41"/>
      <c r="I1415" s="41"/>
      <c r="J1415" s="41"/>
      <c r="K1415" s="41"/>
      <c r="L1415" s="41"/>
      <c r="M1415" s="41"/>
      <c r="N1415" s="41"/>
      <c r="O1415" s="41"/>
    </row>
    <row r="1416" spans="1:15">
      <c r="A1416" s="39"/>
      <c r="B1416" s="40"/>
      <c r="C1416" s="41"/>
      <c r="D1416" s="41"/>
      <c r="E1416" s="41"/>
      <c r="F1416" s="41"/>
      <c r="G1416" s="41"/>
      <c r="H1416" s="41"/>
      <c r="I1416" s="41"/>
      <c r="J1416" s="41"/>
      <c r="K1416" s="41"/>
      <c r="L1416" s="41"/>
      <c r="M1416" s="41"/>
      <c r="N1416" s="41"/>
      <c r="O1416" s="41"/>
    </row>
    <row r="1417" spans="1:15">
      <c r="A1417" s="39"/>
      <c r="B1417" s="40"/>
      <c r="C1417" s="41"/>
      <c r="D1417" s="41"/>
      <c r="E1417" s="41"/>
      <c r="F1417" s="41"/>
      <c r="G1417" s="41"/>
      <c r="H1417" s="41"/>
      <c r="I1417" s="41"/>
      <c r="J1417" s="41"/>
      <c r="K1417" s="41"/>
      <c r="L1417" s="41"/>
      <c r="M1417" s="41"/>
      <c r="N1417" s="41"/>
      <c r="O1417" s="41"/>
    </row>
    <row r="1418" spans="1:15">
      <c r="A1418" s="39"/>
      <c r="B1418" s="40"/>
      <c r="C1418" s="41"/>
      <c r="D1418" s="41"/>
      <c r="E1418" s="41"/>
      <c r="F1418" s="41"/>
      <c r="G1418" s="41"/>
      <c r="H1418" s="41"/>
      <c r="I1418" s="41"/>
      <c r="J1418" s="41"/>
      <c r="K1418" s="41"/>
      <c r="L1418" s="41"/>
      <c r="M1418" s="41"/>
      <c r="N1418" s="41"/>
      <c r="O1418" s="41"/>
    </row>
    <row r="1419" spans="1:15">
      <c r="A1419" s="39"/>
      <c r="B1419" s="40"/>
      <c r="C1419" s="41"/>
      <c r="D1419" s="41"/>
      <c r="E1419" s="41"/>
      <c r="F1419" s="41"/>
      <c r="G1419" s="41"/>
      <c r="H1419" s="41"/>
      <c r="I1419" s="41"/>
      <c r="J1419" s="41"/>
      <c r="K1419" s="41"/>
      <c r="L1419" s="41"/>
      <c r="M1419" s="41"/>
      <c r="N1419" s="41"/>
      <c r="O1419" s="41"/>
    </row>
    <row r="1420" spans="1:15">
      <c r="A1420" s="39"/>
      <c r="B1420" s="40"/>
      <c r="C1420" s="41"/>
      <c r="D1420" s="41"/>
      <c r="E1420" s="41"/>
      <c r="F1420" s="41"/>
      <c r="G1420" s="41"/>
      <c r="H1420" s="41"/>
      <c r="I1420" s="41"/>
      <c r="J1420" s="41"/>
      <c r="K1420" s="41"/>
      <c r="L1420" s="41"/>
      <c r="M1420" s="41"/>
      <c r="N1420" s="41"/>
      <c r="O1420" s="41"/>
    </row>
    <row r="1421" spans="1:15">
      <c r="A1421" s="39"/>
      <c r="B1421" s="40"/>
      <c r="C1421" s="41"/>
      <c r="D1421" s="41"/>
      <c r="E1421" s="41"/>
      <c r="F1421" s="41"/>
      <c r="G1421" s="41"/>
      <c r="H1421" s="41"/>
      <c r="I1421" s="41"/>
      <c r="J1421" s="41"/>
      <c r="K1421" s="41"/>
      <c r="L1421" s="41"/>
      <c r="M1421" s="41"/>
      <c r="N1421" s="41"/>
      <c r="O1421" s="41"/>
    </row>
    <row r="1422" spans="1:15">
      <c r="A1422" s="39"/>
      <c r="B1422" s="40"/>
      <c r="C1422" s="41"/>
      <c r="D1422" s="41"/>
      <c r="E1422" s="41"/>
      <c r="F1422" s="41"/>
      <c r="G1422" s="41"/>
      <c r="H1422" s="41"/>
      <c r="I1422" s="41"/>
      <c r="J1422" s="41"/>
      <c r="K1422" s="41"/>
      <c r="L1422" s="41"/>
      <c r="M1422" s="41"/>
      <c r="N1422" s="41"/>
      <c r="O1422" s="41"/>
    </row>
    <row r="1423" spans="1:15">
      <c r="A1423" s="39"/>
      <c r="B1423" s="40"/>
      <c r="C1423" s="41"/>
      <c r="D1423" s="41"/>
      <c r="E1423" s="41"/>
      <c r="F1423" s="41"/>
      <c r="G1423" s="41"/>
      <c r="H1423" s="41"/>
      <c r="I1423" s="41"/>
      <c r="J1423" s="41"/>
      <c r="K1423" s="41"/>
      <c r="L1423" s="41"/>
      <c r="M1423" s="41"/>
      <c r="N1423" s="41"/>
      <c r="O1423" s="41"/>
    </row>
    <row r="1424" spans="1:15">
      <c r="A1424" s="39"/>
      <c r="B1424" s="40"/>
      <c r="C1424" s="41"/>
      <c r="D1424" s="41"/>
      <c r="E1424" s="41"/>
      <c r="F1424" s="41"/>
      <c r="G1424" s="41"/>
      <c r="H1424" s="41"/>
      <c r="I1424" s="41"/>
      <c r="J1424" s="41"/>
      <c r="K1424" s="41"/>
      <c r="L1424" s="41"/>
      <c r="M1424" s="41"/>
      <c r="N1424" s="41"/>
      <c r="O1424" s="41"/>
    </row>
    <row r="1425" spans="1:15">
      <c r="A1425" s="39"/>
      <c r="B1425" s="40"/>
      <c r="C1425" s="41"/>
      <c r="D1425" s="41"/>
      <c r="E1425" s="41"/>
      <c r="F1425" s="41"/>
      <c r="G1425" s="41"/>
      <c r="H1425" s="41"/>
      <c r="I1425" s="41"/>
      <c r="J1425" s="41"/>
      <c r="K1425" s="41"/>
      <c r="L1425" s="41"/>
      <c r="M1425" s="41"/>
      <c r="N1425" s="41"/>
      <c r="O1425" s="41"/>
    </row>
    <row r="1426" spans="1:15">
      <c r="A1426" s="39"/>
      <c r="B1426" s="40"/>
      <c r="C1426" s="41"/>
      <c r="D1426" s="41"/>
      <c r="E1426" s="41"/>
      <c r="F1426" s="41"/>
      <c r="G1426" s="41"/>
      <c r="H1426" s="41"/>
      <c r="I1426" s="41"/>
      <c r="J1426" s="41"/>
      <c r="K1426" s="41"/>
      <c r="L1426" s="41"/>
      <c r="M1426" s="41"/>
      <c r="N1426" s="41"/>
      <c r="O1426" s="41"/>
    </row>
    <row r="1427" spans="1:15">
      <c r="A1427" s="39"/>
      <c r="B1427" s="40"/>
      <c r="C1427" s="41"/>
      <c r="D1427" s="41"/>
      <c r="E1427" s="41"/>
      <c r="F1427" s="41"/>
      <c r="G1427" s="41"/>
      <c r="H1427" s="41"/>
      <c r="I1427" s="41"/>
      <c r="J1427" s="41"/>
      <c r="K1427" s="41"/>
      <c r="L1427" s="41"/>
      <c r="M1427" s="41"/>
      <c r="N1427" s="41"/>
      <c r="O1427" s="41"/>
    </row>
    <row r="1428" spans="1:15">
      <c r="A1428" s="39"/>
      <c r="B1428" s="40"/>
      <c r="C1428" s="41"/>
      <c r="D1428" s="41"/>
      <c r="E1428" s="41"/>
      <c r="F1428" s="41"/>
      <c r="G1428" s="41"/>
      <c r="H1428" s="41"/>
      <c r="I1428" s="41"/>
      <c r="J1428" s="41"/>
      <c r="K1428" s="41"/>
      <c r="L1428" s="41"/>
      <c r="M1428" s="41"/>
      <c r="N1428" s="41"/>
      <c r="O1428" s="41"/>
    </row>
    <row r="1429" spans="1:15">
      <c r="A1429" s="39"/>
      <c r="B1429" s="40"/>
      <c r="C1429" s="41"/>
      <c r="D1429" s="41"/>
      <c r="E1429" s="41"/>
      <c r="F1429" s="41"/>
      <c r="G1429" s="41"/>
      <c r="H1429" s="41"/>
      <c r="I1429" s="41"/>
      <c r="J1429" s="41"/>
      <c r="K1429" s="41"/>
      <c r="L1429" s="41"/>
      <c r="M1429" s="41"/>
      <c r="N1429" s="41"/>
      <c r="O1429" s="41"/>
    </row>
    <row r="1430" spans="1:15">
      <c r="A1430" s="39"/>
      <c r="B1430" s="40"/>
      <c r="C1430" s="41"/>
      <c r="D1430" s="41"/>
      <c r="E1430" s="41"/>
      <c r="F1430" s="41"/>
      <c r="G1430" s="41"/>
      <c r="H1430" s="41"/>
      <c r="I1430" s="41"/>
      <c r="J1430" s="41"/>
      <c r="K1430" s="41"/>
      <c r="L1430" s="41"/>
      <c r="M1430" s="41"/>
      <c r="N1430" s="41"/>
      <c r="O1430" s="41"/>
    </row>
    <row r="1431" spans="1:15">
      <c r="A1431" s="39"/>
      <c r="B1431" s="40"/>
      <c r="C1431" s="41"/>
      <c r="D1431" s="41"/>
      <c r="E1431" s="41"/>
      <c r="F1431" s="41"/>
      <c r="G1431" s="41"/>
      <c r="H1431" s="41"/>
      <c r="I1431" s="41"/>
      <c r="J1431" s="41"/>
      <c r="K1431" s="41"/>
      <c r="L1431" s="41"/>
      <c r="M1431" s="41"/>
      <c r="N1431" s="41"/>
      <c r="O1431" s="41"/>
    </row>
    <row r="1432" spans="1:15">
      <c r="A1432" s="39"/>
      <c r="B1432" s="40"/>
      <c r="C1432" s="41"/>
      <c r="D1432" s="41"/>
      <c r="E1432" s="41"/>
      <c r="F1432" s="41"/>
      <c r="G1432" s="41"/>
      <c r="H1432" s="41"/>
      <c r="I1432" s="41"/>
      <c r="J1432" s="41"/>
      <c r="K1432" s="41"/>
      <c r="L1432" s="41"/>
      <c r="M1432" s="41"/>
      <c r="N1432" s="41"/>
      <c r="O1432" s="41"/>
    </row>
    <row r="1433" spans="1:15">
      <c r="A1433" s="39"/>
      <c r="B1433" s="40"/>
      <c r="C1433" s="41"/>
      <c r="D1433" s="41"/>
      <c r="E1433" s="41"/>
      <c r="F1433" s="41"/>
      <c r="G1433" s="41"/>
      <c r="H1433" s="41"/>
      <c r="I1433" s="41"/>
      <c r="J1433" s="41"/>
      <c r="K1433" s="41"/>
      <c r="L1433" s="41"/>
      <c r="M1433" s="41"/>
      <c r="N1433" s="41"/>
      <c r="O1433" s="41"/>
    </row>
    <row r="1434" spans="1:15">
      <c r="A1434" s="39"/>
      <c r="B1434" s="40"/>
      <c r="C1434" s="41"/>
      <c r="D1434" s="41"/>
      <c r="E1434" s="41"/>
      <c r="F1434" s="41"/>
      <c r="G1434" s="41"/>
      <c r="H1434" s="41"/>
      <c r="I1434" s="41"/>
      <c r="J1434" s="41"/>
      <c r="K1434" s="41"/>
      <c r="L1434" s="41"/>
      <c r="M1434" s="41"/>
      <c r="N1434" s="41"/>
      <c r="O1434" s="41"/>
    </row>
    <row r="1435" spans="1:15">
      <c r="A1435" s="39"/>
      <c r="B1435" s="40"/>
      <c r="C1435" s="41"/>
      <c r="D1435" s="41"/>
      <c r="E1435" s="41"/>
      <c r="F1435" s="41"/>
      <c r="G1435" s="41"/>
      <c r="H1435" s="41"/>
      <c r="I1435" s="41"/>
      <c r="J1435" s="41"/>
      <c r="K1435" s="41"/>
      <c r="L1435" s="41"/>
      <c r="M1435" s="41"/>
      <c r="N1435" s="41"/>
      <c r="O1435" s="41"/>
    </row>
    <row r="1436" spans="1:15">
      <c r="A1436" s="39"/>
      <c r="B1436" s="40"/>
      <c r="C1436" s="41"/>
      <c r="D1436" s="41"/>
      <c r="E1436" s="41"/>
      <c r="F1436" s="41"/>
      <c r="G1436" s="41"/>
      <c r="H1436" s="41"/>
      <c r="I1436" s="41"/>
      <c r="J1436" s="41"/>
      <c r="K1436" s="41"/>
      <c r="L1436" s="41"/>
      <c r="M1436" s="41"/>
      <c r="N1436" s="41"/>
      <c r="O1436" s="41"/>
    </row>
    <row r="1437" spans="1:15">
      <c r="A1437" s="39"/>
      <c r="B1437" s="40"/>
      <c r="C1437" s="41"/>
      <c r="D1437" s="41"/>
      <c r="E1437" s="41"/>
      <c r="F1437" s="41"/>
      <c r="G1437" s="41"/>
      <c r="H1437" s="41"/>
      <c r="I1437" s="41"/>
      <c r="J1437" s="41"/>
      <c r="K1437" s="41"/>
      <c r="L1437" s="41"/>
      <c r="M1437" s="41"/>
      <c r="N1437" s="41"/>
      <c r="O1437" s="41"/>
    </row>
    <row r="1438" spans="1:15">
      <c r="A1438" s="39"/>
      <c r="B1438" s="40"/>
      <c r="C1438" s="41"/>
      <c r="D1438" s="41"/>
      <c r="E1438" s="41"/>
      <c r="F1438" s="41"/>
      <c r="G1438" s="41"/>
      <c r="H1438" s="41"/>
      <c r="I1438" s="41"/>
      <c r="J1438" s="41"/>
      <c r="K1438" s="41"/>
      <c r="L1438" s="41"/>
      <c r="M1438" s="41"/>
      <c r="N1438" s="41"/>
      <c r="O1438" s="41"/>
    </row>
    <row r="1439" spans="1:15">
      <c r="A1439" s="39"/>
      <c r="B1439" s="40"/>
      <c r="C1439" s="41"/>
      <c r="D1439" s="41"/>
      <c r="E1439" s="41"/>
      <c r="F1439" s="41"/>
      <c r="G1439" s="41"/>
      <c r="H1439" s="41"/>
      <c r="I1439" s="41"/>
      <c r="J1439" s="41"/>
      <c r="K1439" s="41"/>
      <c r="L1439" s="41"/>
      <c r="M1439" s="41"/>
      <c r="N1439" s="41"/>
      <c r="O1439" s="41"/>
    </row>
    <row r="1440" spans="1:15">
      <c r="A1440" s="39"/>
      <c r="B1440" s="40"/>
      <c r="C1440" s="41"/>
      <c r="D1440" s="41"/>
      <c r="E1440" s="41"/>
      <c r="F1440" s="41"/>
      <c r="G1440" s="41"/>
      <c r="H1440" s="41"/>
      <c r="I1440" s="41"/>
      <c r="J1440" s="41"/>
      <c r="K1440" s="41"/>
      <c r="L1440" s="41"/>
      <c r="M1440" s="41"/>
      <c r="N1440" s="41"/>
      <c r="O1440" s="41"/>
    </row>
    <row r="1441" spans="1:15">
      <c r="A1441" s="39"/>
      <c r="B1441" s="40"/>
      <c r="C1441" s="41"/>
      <c r="D1441" s="41"/>
      <c r="E1441" s="41"/>
      <c r="F1441" s="41"/>
      <c r="G1441" s="41"/>
      <c r="H1441" s="41"/>
      <c r="I1441" s="41"/>
      <c r="J1441" s="41"/>
      <c r="K1441" s="41"/>
      <c r="L1441" s="41"/>
      <c r="M1441" s="41"/>
      <c r="N1441" s="41"/>
      <c r="O1441" s="41"/>
    </row>
    <row r="1442" spans="1:15">
      <c r="A1442" s="39"/>
      <c r="B1442" s="40"/>
      <c r="C1442" s="41"/>
      <c r="D1442" s="41"/>
      <c r="E1442" s="41"/>
      <c r="F1442" s="41"/>
      <c r="G1442" s="41"/>
      <c r="H1442" s="41"/>
      <c r="I1442" s="41"/>
      <c r="J1442" s="41"/>
      <c r="K1442" s="41"/>
      <c r="L1442" s="41"/>
      <c r="M1442" s="41"/>
      <c r="N1442" s="41"/>
      <c r="O1442" s="41"/>
    </row>
    <row r="1443" spans="1:15">
      <c r="A1443" s="39"/>
      <c r="B1443" s="40"/>
      <c r="C1443" s="41"/>
      <c r="D1443" s="41"/>
      <c r="E1443" s="41"/>
      <c r="F1443" s="41"/>
      <c r="G1443" s="41"/>
      <c r="H1443" s="41"/>
      <c r="I1443" s="41"/>
      <c r="J1443" s="41"/>
      <c r="K1443" s="41"/>
      <c r="L1443" s="41"/>
      <c r="M1443" s="41"/>
      <c r="N1443" s="41"/>
      <c r="O1443" s="41"/>
    </row>
    <row r="1444" spans="1:15">
      <c r="A1444" s="39"/>
      <c r="B1444" s="40"/>
      <c r="C1444" s="41"/>
      <c r="D1444" s="41"/>
      <c r="E1444" s="41"/>
      <c r="F1444" s="41"/>
      <c r="G1444" s="41"/>
      <c r="H1444" s="41"/>
      <c r="I1444" s="41"/>
      <c r="J1444" s="41"/>
      <c r="K1444" s="41"/>
      <c r="L1444" s="41"/>
      <c r="M1444" s="41"/>
      <c r="N1444" s="41"/>
      <c r="O1444" s="41"/>
    </row>
    <row r="1445" spans="1:15">
      <c r="A1445" s="39"/>
      <c r="B1445" s="40"/>
      <c r="C1445" s="41"/>
      <c r="D1445" s="41"/>
      <c r="E1445" s="41"/>
      <c r="F1445" s="41"/>
      <c r="G1445" s="41"/>
      <c r="H1445" s="41"/>
      <c r="I1445" s="41"/>
      <c r="J1445" s="41"/>
      <c r="K1445" s="41"/>
      <c r="L1445" s="41"/>
      <c r="M1445" s="41"/>
      <c r="N1445" s="41"/>
      <c r="O1445" s="41"/>
    </row>
    <row r="1446" spans="1:15">
      <c r="A1446" s="39"/>
      <c r="B1446" s="40"/>
      <c r="C1446" s="41"/>
      <c r="D1446" s="41"/>
      <c r="E1446" s="41"/>
      <c r="F1446" s="41"/>
      <c r="G1446" s="41"/>
      <c r="H1446" s="41"/>
      <c r="I1446" s="41"/>
      <c r="J1446" s="41"/>
      <c r="K1446" s="41"/>
      <c r="L1446" s="41"/>
      <c r="M1446" s="41"/>
      <c r="N1446" s="41"/>
      <c r="O1446" s="41"/>
    </row>
    <row r="1447" spans="1:15">
      <c r="A1447" s="39"/>
      <c r="B1447" s="40"/>
      <c r="C1447" s="41"/>
      <c r="D1447" s="41"/>
      <c r="E1447" s="41"/>
      <c r="F1447" s="41"/>
      <c r="G1447" s="41"/>
      <c r="H1447" s="41"/>
      <c r="I1447" s="41"/>
      <c r="J1447" s="41"/>
      <c r="K1447" s="41"/>
      <c r="L1447" s="41"/>
      <c r="M1447" s="41"/>
      <c r="N1447" s="41"/>
      <c r="O1447" s="41"/>
    </row>
    <row r="1448" spans="1:15">
      <c r="A1448" s="39"/>
      <c r="B1448" s="40"/>
      <c r="C1448" s="41"/>
      <c r="D1448" s="41"/>
      <c r="E1448" s="41"/>
      <c r="F1448" s="41"/>
      <c r="G1448" s="41"/>
      <c r="H1448" s="41"/>
      <c r="I1448" s="41"/>
      <c r="J1448" s="41"/>
      <c r="K1448" s="41"/>
      <c r="L1448" s="41"/>
      <c r="M1448" s="41"/>
      <c r="N1448" s="41"/>
      <c r="O1448" s="41"/>
    </row>
    <row r="1449" spans="1:15">
      <c r="A1449" s="39"/>
      <c r="B1449" s="40"/>
      <c r="C1449" s="41"/>
      <c r="D1449" s="41"/>
      <c r="E1449" s="41"/>
      <c r="F1449" s="41"/>
      <c r="G1449" s="41"/>
      <c r="H1449" s="41"/>
      <c r="I1449" s="41"/>
      <c r="J1449" s="41"/>
      <c r="K1449" s="41"/>
      <c r="L1449" s="41"/>
      <c r="M1449" s="41"/>
      <c r="N1449" s="41"/>
      <c r="O1449" s="41"/>
    </row>
    <row r="1450" spans="1:15">
      <c r="A1450" s="39"/>
      <c r="B1450" s="40"/>
      <c r="C1450" s="41"/>
      <c r="D1450" s="41"/>
      <c r="E1450" s="41"/>
      <c r="F1450" s="41"/>
      <c r="G1450" s="41"/>
      <c r="H1450" s="41"/>
      <c r="I1450" s="41"/>
      <c r="J1450" s="41"/>
      <c r="K1450" s="41"/>
      <c r="L1450" s="41"/>
      <c r="M1450" s="41"/>
      <c r="N1450" s="41"/>
      <c r="O1450" s="41"/>
    </row>
    <row r="1451" spans="1:15">
      <c r="A1451" s="39"/>
      <c r="B1451" s="40"/>
      <c r="C1451" s="41"/>
      <c r="D1451" s="41"/>
      <c r="E1451" s="41"/>
      <c r="F1451" s="41"/>
      <c r="G1451" s="41"/>
      <c r="H1451" s="41"/>
      <c r="I1451" s="41"/>
      <c r="J1451" s="41"/>
      <c r="K1451" s="41"/>
      <c r="L1451" s="41"/>
      <c r="M1451" s="41"/>
      <c r="N1451" s="41"/>
      <c r="O1451" s="41"/>
    </row>
    <row r="1452" spans="1:15">
      <c r="A1452" s="39"/>
      <c r="B1452" s="40"/>
      <c r="C1452" s="41"/>
      <c r="D1452" s="41"/>
      <c r="E1452" s="41"/>
      <c r="F1452" s="41"/>
      <c r="G1452" s="41"/>
      <c r="H1452" s="41"/>
      <c r="I1452" s="41"/>
      <c r="J1452" s="41"/>
      <c r="K1452" s="41"/>
      <c r="L1452" s="41"/>
      <c r="M1452" s="41"/>
      <c r="N1452" s="41"/>
      <c r="O1452" s="41"/>
    </row>
    <row r="1453" spans="1:15">
      <c r="A1453" s="39"/>
      <c r="B1453" s="40"/>
      <c r="C1453" s="41"/>
      <c r="D1453" s="41"/>
      <c r="E1453" s="41"/>
      <c r="F1453" s="41"/>
      <c r="G1453" s="41"/>
      <c r="H1453" s="41"/>
      <c r="I1453" s="41"/>
      <c r="J1453" s="41"/>
      <c r="K1453" s="41"/>
      <c r="L1453" s="41"/>
      <c r="M1453" s="41"/>
      <c r="N1453" s="41"/>
      <c r="O1453" s="41"/>
    </row>
    <row r="1454" spans="1:15">
      <c r="A1454" s="39"/>
      <c r="B1454" s="40"/>
      <c r="C1454" s="41"/>
      <c r="D1454" s="41"/>
      <c r="E1454" s="41"/>
      <c r="F1454" s="41"/>
      <c r="G1454" s="41"/>
      <c r="H1454" s="41"/>
      <c r="I1454" s="41"/>
      <c r="J1454" s="41"/>
      <c r="K1454" s="41"/>
      <c r="L1454" s="41"/>
      <c r="M1454" s="41"/>
      <c r="N1454" s="41"/>
      <c r="O1454" s="41"/>
    </row>
    <row r="1455" spans="1:15">
      <c r="A1455" s="39"/>
      <c r="B1455" s="40"/>
      <c r="C1455" s="41"/>
      <c r="D1455" s="41"/>
      <c r="E1455" s="41"/>
      <c r="F1455" s="41"/>
      <c r="G1455" s="41"/>
      <c r="H1455" s="41"/>
      <c r="I1455" s="41"/>
      <c r="J1455" s="41"/>
      <c r="K1455" s="41"/>
      <c r="L1455" s="41"/>
      <c r="M1455" s="41"/>
      <c r="N1455" s="41"/>
      <c r="O1455" s="41"/>
    </row>
    <row r="1456" spans="1:15">
      <c r="A1456" s="39"/>
      <c r="B1456" s="40"/>
      <c r="C1456" s="41"/>
      <c r="D1456" s="41"/>
      <c r="E1456" s="41"/>
      <c r="F1456" s="41"/>
      <c r="G1456" s="41"/>
      <c r="H1456" s="41"/>
      <c r="I1456" s="41"/>
      <c r="J1456" s="41"/>
      <c r="K1456" s="41"/>
      <c r="L1456" s="41"/>
      <c r="M1456" s="41"/>
      <c r="N1456" s="41"/>
      <c r="O1456" s="41"/>
    </row>
    <row r="1457" spans="1:15">
      <c r="A1457" s="39"/>
      <c r="B1457" s="40"/>
      <c r="C1457" s="41"/>
      <c r="D1457" s="41"/>
      <c r="E1457" s="41"/>
      <c r="F1457" s="41"/>
      <c r="G1457" s="41"/>
      <c r="H1457" s="41"/>
      <c r="I1457" s="41"/>
      <c r="J1457" s="41"/>
      <c r="K1457" s="41"/>
      <c r="L1457" s="41"/>
      <c r="M1457" s="41"/>
      <c r="N1457" s="41"/>
      <c r="O1457" s="41"/>
    </row>
    <row r="1458" spans="1:15">
      <c r="A1458" s="39"/>
      <c r="B1458" s="40"/>
      <c r="C1458" s="41"/>
      <c r="D1458" s="41"/>
      <c r="E1458" s="41"/>
      <c r="F1458" s="41"/>
      <c r="G1458" s="41"/>
      <c r="H1458" s="41"/>
      <c r="I1458" s="41"/>
      <c r="J1458" s="41"/>
      <c r="K1458" s="41"/>
      <c r="L1458" s="41"/>
      <c r="M1458" s="41"/>
      <c r="N1458" s="41"/>
      <c r="O1458" s="41"/>
    </row>
    <row r="1459" spans="1:15">
      <c r="A1459" s="39"/>
      <c r="B1459" s="40"/>
      <c r="C1459" s="41"/>
      <c r="D1459" s="41"/>
      <c r="E1459" s="41"/>
      <c r="F1459" s="41"/>
      <c r="G1459" s="41"/>
      <c r="H1459" s="41"/>
      <c r="I1459" s="41"/>
      <c r="J1459" s="41"/>
      <c r="K1459" s="41"/>
      <c r="L1459" s="41"/>
      <c r="M1459" s="41"/>
      <c r="N1459" s="41"/>
      <c r="O1459" s="41"/>
    </row>
    <row r="1460" spans="1:15">
      <c r="A1460" s="39"/>
      <c r="B1460" s="40"/>
      <c r="C1460" s="41"/>
      <c r="D1460" s="41"/>
      <c r="E1460" s="41"/>
      <c r="F1460" s="41"/>
      <c r="G1460" s="41"/>
      <c r="H1460" s="41"/>
      <c r="I1460" s="41"/>
      <c r="J1460" s="41"/>
      <c r="K1460" s="41"/>
      <c r="L1460" s="41"/>
      <c r="M1460" s="41"/>
      <c r="N1460" s="41"/>
      <c r="O1460" s="41"/>
    </row>
    <row r="1461" spans="1:15">
      <c r="A1461" s="39"/>
      <c r="B1461" s="40"/>
      <c r="C1461" s="41"/>
      <c r="D1461" s="41"/>
      <c r="E1461" s="41"/>
      <c r="F1461" s="41"/>
      <c r="G1461" s="41"/>
      <c r="H1461" s="41"/>
      <c r="I1461" s="41"/>
      <c r="J1461" s="41"/>
      <c r="K1461" s="41"/>
      <c r="L1461" s="41"/>
      <c r="M1461" s="41"/>
      <c r="N1461" s="41"/>
      <c r="O1461" s="41"/>
    </row>
    <row r="1462" spans="1:15">
      <c r="A1462" s="39"/>
      <c r="B1462" s="40"/>
      <c r="C1462" s="41"/>
      <c r="D1462" s="41"/>
      <c r="E1462" s="41"/>
      <c r="F1462" s="41"/>
      <c r="G1462" s="41"/>
      <c r="H1462" s="41"/>
      <c r="I1462" s="41"/>
      <c r="J1462" s="41"/>
      <c r="K1462" s="41"/>
      <c r="L1462" s="41"/>
      <c r="M1462" s="41"/>
      <c r="N1462" s="41"/>
      <c r="O1462" s="41"/>
    </row>
    <row r="1463" spans="1:15">
      <c r="A1463" s="39"/>
      <c r="B1463" s="40"/>
      <c r="C1463" s="41"/>
      <c r="D1463" s="41"/>
      <c r="E1463" s="41"/>
      <c r="F1463" s="41"/>
      <c r="G1463" s="41"/>
      <c r="H1463" s="41"/>
      <c r="I1463" s="41"/>
      <c r="J1463" s="41"/>
      <c r="K1463" s="41"/>
      <c r="L1463" s="41"/>
      <c r="M1463" s="41"/>
      <c r="N1463" s="41"/>
      <c r="O1463" s="41"/>
    </row>
    <row r="1464" spans="1:15">
      <c r="A1464" s="39"/>
      <c r="B1464" s="40"/>
      <c r="C1464" s="41"/>
      <c r="D1464" s="41"/>
      <c r="E1464" s="41"/>
      <c r="F1464" s="41"/>
      <c r="G1464" s="41"/>
      <c r="H1464" s="41"/>
      <c r="I1464" s="41"/>
      <c r="J1464" s="41"/>
      <c r="K1464" s="41"/>
      <c r="L1464" s="41"/>
      <c r="M1464" s="41"/>
      <c r="N1464" s="41"/>
      <c r="O1464" s="41"/>
    </row>
    <row r="1465" spans="1:15">
      <c r="A1465" s="39"/>
      <c r="B1465" s="40"/>
      <c r="C1465" s="41"/>
      <c r="D1465" s="41"/>
      <c r="E1465" s="41"/>
      <c r="F1465" s="41"/>
      <c r="G1465" s="41"/>
      <c r="H1465" s="41"/>
      <c r="I1465" s="41"/>
      <c r="J1465" s="41"/>
      <c r="K1465" s="41"/>
      <c r="L1465" s="41"/>
      <c r="M1465" s="41"/>
      <c r="N1465" s="41"/>
      <c r="O1465" s="41"/>
    </row>
    <row r="1466" spans="1:15">
      <c r="A1466" s="39"/>
      <c r="B1466" s="40"/>
      <c r="C1466" s="41"/>
      <c r="D1466" s="41"/>
      <c r="E1466" s="41"/>
      <c r="F1466" s="41"/>
      <c r="G1466" s="41"/>
      <c r="H1466" s="41"/>
      <c r="I1466" s="41"/>
      <c r="J1466" s="41"/>
      <c r="K1466" s="41"/>
      <c r="L1466" s="41"/>
      <c r="M1466" s="41"/>
      <c r="N1466" s="41"/>
      <c r="O1466" s="41"/>
    </row>
    <row r="1467" spans="1:15">
      <c r="A1467" s="39"/>
      <c r="B1467" s="40"/>
      <c r="C1467" s="41"/>
      <c r="D1467" s="41"/>
      <c r="E1467" s="41"/>
      <c r="F1467" s="41"/>
      <c r="G1467" s="41"/>
      <c r="H1467" s="41"/>
      <c r="I1467" s="41"/>
      <c r="J1467" s="41"/>
      <c r="K1467" s="41"/>
      <c r="L1467" s="41"/>
      <c r="M1467" s="41"/>
      <c r="N1467" s="41"/>
      <c r="O1467" s="41"/>
    </row>
    <row r="1468" spans="1:15">
      <c r="A1468" s="39"/>
      <c r="B1468" s="40"/>
      <c r="C1468" s="41"/>
      <c r="D1468" s="41"/>
      <c r="E1468" s="41"/>
      <c r="F1468" s="41"/>
      <c r="G1468" s="41"/>
      <c r="H1468" s="41"/>
      <c r="I1468" s="41"/>
      <c r="J1468" s="41"/>
      <c r="K1468" s="41"/>
      <c r="L1468" s="41"/>
      <c r="M1468" s="41"/>
      <c r="N1468" s="41"/>
      <c r="O1468" s="41"/>
    </row>
    <row r="1469" spans="1:15">
      <c r="A1469" s="39"/>
      <c r="B1469" s="40"/>
      <c r="C1469" s="41"/>
      <c r="D1469" s="41"/>
      <c r="E1469" s="41"/>
      <c r="F1469" s="41"/>
      <c r="G1469" s="41"/>
      <c r="H1469" s="41"/>
      <c r="I1469" s="41"/>
      <c r="J1469" s="41"/>
      <c r="K1469" s="41"/>
      <c r="L1469" s="41"/>
      <c r="M1469" s="41"/>
      <c r="N1469" s="41"/>
      <c r="O1469" s="41"/>
    </row>
    <row r="1470" spans="1:15">
      <c r="A1470" s="39"/>
      <c r="B1470" s="40"/>
      <c r="C1470" s="41"/>
      <c r="D1470" s="41"/>
      <c r="E1470" s="41"/>
      <c r="F1470" s="41"/>
      <c r="G1470" s="41"/>
      <c r="H1470" s="41"/>
      <c r="I1470" s="41"/>
      <c r="J1470" s="41"/>
      <c r="K1470" s="41"/>
      <c r="L1470" s="41"/>
      <c r="M1470" s="41"/>
      <c r="N1470" s="41"/>
      <c r="O1470" s="41"/>
    </row>
    <row r="1471" spans="1:15">
      <c r="A1471" s="39"/>
      <c r="B1471" s="40"/>
      <c r="C1471" s="41"/>
      <c r="D1471" s="41"/>
      <c r="E1471" s="41"/>
      <c r="F1471" s="41"/>
      <c r="G1471" s="41"/>
      <c r="H1471" s="41"/>
      <c r="I1471" s="41"/>
      <c r="J1471" s="41"/>
      <c r="K1471" s="41"/>
      <c r="L1471" s="41"/>
      <c r="M1471" s="41"/>
      <c r="N1471" s="41"/>
      <c r="O1471" s="41"/>
    </row>
    <row r="1472" spans="1:15">
      <c r="A1472" s="39"/>
      <c r="B1472" s="40"/>
      <c r="C1472" s="41"/>
      <c r="D1472" s="41"/>
      <c r="E1472" s="41"/>
      <c r="F1472" s="41"/>
      <c r="G1472" s="41"/>
      <c r="H1472" s="41"/>
      <c r="I1472" s="41"/>
      <c r="J1472" s="41"/>
      <c r="K1472" s="41"/>
      <c r="L1472" s="41"/>
      <c r="M1472" s="41"/>
      <c r="N1472" s="41"/>
      <c r="O1472" s="41"/>
    </row>
    <row r="1473" spans="1:15">
      <c r="A1473" s="39"/>
      <c r="B1473" s="40"/>
      <c r="C1473" s="41"/>
      <c r="D1473" s="41"/>
      <c r="E1473" s="41"/>
      <c r="F1473" s="41"/>
      <c r="G1473" s="41"/>
      <c r="H1473" s="41"/>
      <c r="I1473" s="41"/>
      <c r="J1473" s="41"/>
      <c r="K1473" s="41"/>
      <c r="L1473" s="41"/>
      <c r="M1473" s="41"/>
      <c r="N1473" s="41"/>
      <c r="O1473" s="41"/>
    </row>
    <row r="1474" spans="1:15">
      <c r="A1474" s="39"/>
      <c r="B1474" s="40"/>
      <c r="C1474" s="41"/>
      <c r="D1474" s="41"/>
      <c r="E1474" s="41"/>
      <c r="F1474" s="41"/>
      <c r="G1474" s="41"/>
      <c r="H1474" s="41"/>
      <c r="I1474" s="41"/>
      <c r="J1474" s="41"/>
      <c r="K1474" s="41"/>
      <c r="L1474" s="41"/>
      <c r="M1474" s="41"/>
      <c r="N1474" s="41"/>
      <c r="O1474" s="41"/>
    </row>
    <row r="1475" spans="1:15">
      <c r="A1475" s="39"/>
      <c r="B1475" s="40"/>
      <c r="C1475" s="41"/>
      <c r="D1475" s="41"/>
      <c r="E1475" s="41"/>
      <c r="F1475" s="41"/>
      <c r="G1475" s="41"/>
      <c r="H1475" s="41"/>
      <c r="I1475" s="41"/>
      <c r="J1475" s="41"/>
      <c r="K1475" s="41"/>
      <c r="L1475" s="41"/>
      <c r="M1475" s="41"/>
      <c r="N1475" s="41"/>
      <c r="O1475" s="41"/>
    </row>
    <row r="1476" spans="1:15">
      <c r="A1476" s="39"/>
      <c r="B1476" s="40"/>
      <c r="C1476" s="41"/>
      <c r="D1476" s="41"/>
      <c r="E1476" s="41"/>
      <c r="F1476" s="41"/>
      <c r="G1476" s="41"/>
      <c r="H1476" s="41"/>
      <c r="I1476" s="41"/>
      <c r="J1476" s="41"/>
      <c r="K1476" s="41"/>
      <c r="L1476" s="41"/>
      <c r="M1476" s="41"/>
      <c r="N1476" s="41"/>
      <c r="O1476" s="41"/>
    </row>
    <row r="1477" spans="1:15">
      <c r="A1477" s="39"/>
      <c r="B1477" s="40"/>
      <c r="C1477" s="41"/>
      <c r="D1477" s="41"/>
      <c r="E1477" s="41"/>
      <c r="F1477" s="41"/>
      <c r="G1477" s="41"/>
      <c r="H1477" s="41"/>
      <c r="I1477" s="41"/>
      <c r="J1477" s="41"/>
      <c r="K1477" s="41"/>
      <c r="L1477" s="41"/>
      <c r="M1477" s="41"/>
      <c r="N1477" s="41"/>
      <c r="O1477" s="41"/>
    </row>
    <row r="1478" spans="1:15">
      <c r="A1478" s="39"/>
      <c r="B1478" s="40"/>
      <c r="C1478" s="41"/>
      <c r="D1478" s="41"/>
      <c r="E1478" s="41"/>
      <c r="F1478" s="41"/>
      <c r="G1478" s="41"/>
      <c r="H1478" s="41"/>
      <c r="I1478" s="41"/>
      <c r="J1478" s="41"/>
      <c r="K1478" s="41"/>
      <c r="L1478" s="41"/>
      <c r="M1478" s="41"/>
      <c r="N1478" s="41"/>
      <c r="O1478" s="41"/>
    </row>
    <row r="1479" spans="1:15">
      <c r="A1479" s="39"/>
      <c r="B1479" s="40"/>
      <c r="C1479" s="41"/>
      <c r="D1479" s="41"/>
      <c r="E1479" s="41"/>
      <c r="F1479" s="41"/>
      <c r="G1479" s="41"/>
      <c r="H1479" s="41"/>
      <c r="I1479" s="41"/>
      <c r="J1479" s="41"/>
      <c r="K1479" s="41"/>
      <c r="L1479" s="41"/>
      <c r="M1479" s="41"/>
      <c r="N1479" s="41"/>
      <c r="O1479" s="41"/>
    </row>
    <row r="1480" spans="1:15">
      <c r="A1480" s="39"/>
      <c r="B1480" s="40"/>
      <c r="C1480" s="41"/>
      <c r="D1480" s="41"/>
      <c r="E1480" s="41"/>
      <c r="F1480" s="41"/>
      <c r="G1480" s="41"/>
      <c r="H1480" s="41"/>
      <c r="I1480" s="41"/>
      <c r="J1480" s="41"/>
      <c r="K1480" s="41"/>
      <c r="L1480" s="41"/>
      <c r="M1480" s="41"/>
      <c r="N1480" s="41"/>
      <c r="O1480" s="41"/>
    </row>
    <row r="1481" spans="1:15">
      <c r="A1481" s="39"/>
      <c r="B1481" s="40"/>
      <c r="C1481" s="41"/>
      <c r="D1481" s="41"/>
      <c r="E1481" s="41"/>
      <c r="F1481" s="41"/>
      <c r="G1481" s="41"/>
      <c r="H1481" s="41"/>
      <c r="I1481" s="41"/>
      <c r="J1481" s="41"/>
      <c r="K1481" s="41"/>
      <c r="L1481" s="41"/>
      <c r="M1481" s="41"/>
      <c r="N1481" s="41"/>
      <c r="O1481" s="41"/>
    </row>
    <row r="1482" spans="1:15">
      <c r="A1482" s="39"/>
      <c r="B1482" s="40"/>
      <c r="C1482" s="41"/>
      <c r="D1482" s="41"/>
      <c r="E1482" s="41"/>
      <c r="F1482" s="41"/>
      <c r="G1482" s="41"/>
      <c r="H1482" s="41"/>
      <c r="I1482" s="41"/>
      <c r="J1482" s="41"/>
      <c r="K1482" s="41"/>
      <c r="L1482" s="41"/>
      <c r="M1482" s="41"/>
      <c r="N1482" s="41"/>
      <c r="O1482" s="41"/>
    </row>
    <row r="1483" spans="1:15">
      <c r="A1483" s="39"/>
      <c r="B1483" s="40"/>
      <c r="C1483" s="41"/>
      <c r="D1483" s="41"/>
      <c r="E1483" s="41"/>
      <c r="F1483" s="41"/>
      <c r="G1483" s="41"/>
      <c r="H1483" s="41"/>
      <c r="I1483" s="41"/>
      <c r="J1483" s="41"/>
      <c r="K1483" s="41"/>
      <c r="L1483" s="41"/>
      <c r="M1483" s="41"/>
      <c r="N1483" s="41"/>
      <c r="O1483" s="41"/>
    </row>
    <row r="1484" spans="1:15">
      <c r="A1484" s="39"/>
      <c r="B1484" s="40"/>
      <c r="C1484" s="41"/>
      <c r="D1484" s="41"/>
      <c r="E1484" s="41"/>
      <c r="F1484" s="41"/>
      <c r="G1484" s="41"/>
      <c r="H1484" s="41"/>
      <c r="I1484" s="41"/>
      <c r="J1484" s="41"/>
      <c r="K1484" s="41"/>
      <c r="L1484" s="41"/>
      <c r="M1484" s="41"/>
      <c r="N1484" s="41"/>
      <c r="O1484" s="41"/>
    </row>
    <row r="1485" spans="1:15">
      <c r="A1485" s="39"/>
      <c r="B1485" s="40"/>
      <c r="C1485" s="41"/>
      <c r="D1485" s="41"/>
      <c r="E1485" s="41"/>
      <c r="F1485" s="41"/>
      <c r="G1485" s="41"/>
      <c r="H1485" s="41"/>
      <c r="I1485" s="41"/>
      <c r="J1485" s="41"/>
      <c r="K1485" s="41"/>
      <c r="L1485" s="41"/>
      <c r="M1485" s="41"/>
      <c r="N1485" s="41"/>
      <c r="O1485" s="41"/>
    </row>
    <row r="1486" spans="1:15">
      <c r="A1486" s="39"/>
      <c r="B1486" s="40"/>
      <c r="C1486" s="41"/>
      <c r="D1486" s="41"/>
      <c r="E1486" s="41"/>
      <c r="F1486" s="41"/>
      <c r="G1486" s="41"/>
      <c r="H1486" s="41"/>
      <c r="I1486" s="41"/>
      <c r="J1486" s="41"/>
      <c r="K1486" s="41"/>
      <c r="L1486" s="41"/>
      <c r="M1486" s="41"/>
      <c r="N1486" s="41"/>
      <c r="O1486" s="41"/>
    </row>
    <row r="1487" spans="1:15">
      <c r="A1487" s="39"/>
      <c r="B1487" s="40"/>
      <c r="C1487" s="41"/>
      <c r="D1487" s="41"/>
      <c r="E1487" s="41"/>
      <c r="F1487" s="41"/>
      <c r="G1487" s="41"/>
      <c r="H1487" s="41"/>
      <c r="I1487" s="41"/>
      <c r="J1487" s="41"/>
      <c r="K1487" s="41"/>
      <c r="L1487" s="41"/>
      <c r="M1487" s="41"/>
      <c r="N1487" s="41"/>
      <c r="O1487" s="41"/>
    </row>
    <row r="1488" spans="1:15">
      <c r="A1488" s="39"/>
      <c r="B1488" s="40"/>
      <c r="C1488" s="41"/>
      <c r="D1488" s="41"/>
      <c r="E1488" s="41"/>
      <c r="F1488" s="41"/>
      <c r="G1488" s="41"/>
      <c r="H1488" s="41"/>
      <c r="I1488" s="41"/>
      <c r="J1488" s="41"/>
      <c r="K1488" s="41"/>
      <c r="L1488" s="41"/>
      <c r="M1488" s="41"/>
      <c r="N1488" s="41"/>
      <c r="O1488" s="41"/>
    </row>
    <row r="1489" spans="1:15">
      <c r="A1489" s="39"/>
      <c r="B1489" s="40"/>
      <c r="C1489" s="41"/>
      <c r="D1489" s="41"/>
      <c r="E1489" s="41"/>
      <c r="F1489" s="41"/>
      <c r="G1489" s="41"/>
      <c r="H1489" s="41"/>
      <c r="I1489" s="41"/>
      <c r="J1489" s="41"/>
      <c r="K1489" s="41"/>
      <c r="L1489" s="41"/>
      <c r="M1489" s="41"/>
      <c r="N1489" s="41"/>
      <c r="O1489" s="41"/>
    </row>
    <row r="1490" spans="1:15">
      <c r="A1490" s="39"/>
      <c r="B1490" s="40"/>
      <c r="C1490" s="41"/>
      <c r="D1490" s="41"/>
      <c r="E1490" s="41"/>
      <c r="F1490" s="41"/>
      <c r="G1490" s="41"/>
      <c r="H1490" s="41"/>
      <c r="I1490" s="41"/>
      <c r="J1490" s="41"/>
      <c r="K1490" s="41"/>
      <c r="L1490" s="41"/>
      <c r="M1490" s="41"/>
      <c r="N1490" s="41"/>
      <c r="O1490" s="41"/>
    </row>
    <row r="1491" spans="1:15">
      <c r="A1491" s="39"/>
      <c r="B1491" s="40"/>
      <c r="C1491" s="41"/>
      <c r="D1491" s="41"/>
      <c r="E1491" s="41"/>
      <c r="F1491" s="41"/>
      <c r="G1491" s="41"/>
      <c r="H1491" s="41"/>
      <c r="I1491" s="41"/>
      <c r="J1491" s="41"/>
      <c r="K1491" s="41"/>
      <c r="L1491" s="41"/>
      <c r="M1491" s="41"/>
      <c r="N1491" s="41"/>
      <c r="O1491" s="41"/>
    </row>
    <row r="1492" spans="1:15">
      <c r="A1492" s="39"/>
      <c r="B1492" s="40"/>
      <c r="C1492" s="41"/>
      <c r="D1492" s="41"/>
      <c r="E1492" s="41"/>
      <c r="F1492" s="41"/>
      <c r="G1492" s="41"/>
      <c r="H1492" s="41"/>
      <c r="I1492" s="41"/>
      <c r="J1492" s="41"/>
      <c r="K1492" s="41"/>
      <c r="L1492" s="41"/>
      <c r="M1492" s="41"/>
      <c r="N1492" s="41"/>
      <c r="O1492" s="41"/>
    </row>
    <row r="1493" spans="1:15">
      <c r="A1493" s="39"/>
      <c r="B1493" s="40"/>
      <c r="C1493" s="41"/>
      <c r="D1493" s="41"/>
      <c r="E1493" s="41"/>
      <c r="F1493" s="41"/>
      <c r="G1493" s="41"/>
      <c r="H1493" s="41"/>
      <c r="I1493" s="41"/>
      <c r="J1493" s="41"/>
      <c r="K1493" s="41"/>
      <c r="L1493" s="41"/>
      <c r="M1493" s="41"/>
      <c r="N1493" s="41"/>
      <c r="O1493" s="41"/>
    </row>
    <row r="1494" spans="1:15">
      <c r="A1494" s="39"/>
      <c r="B1494" s="40"/>
      <c r="C1494" s="41"/>
      <c r="D1494" s="41"/>
      <c r="E1494" s="41"/>
      <c r="F1494" s="41"/>
      <c r="G1494" s="41"/>
      <c r="H1494" s="41"/>
      <c r="I1494" s="41"/>
      <c r="J1494" s="41"/>
      <c r="K1494" s="41"/>
      <c r="L1494" s="41"/>
      <c r="M1494" s="41"/>
      <c r="N1494" s="41"/>
      <c r="O1494" s="41"/>
    </row>
    <row r="1495" spans="1:15">
      <c r="A1495" s="39"/>
      <c r="B1495" s="40"/>
      <c r="C1495" s="41"/>
      <c r="D1495" s="41"/>
      <c r="E1495" s="41"/>
      <c r="F1495" s="41"/>
      <c r="G1495" s="41"/>
      <c r="H1495" s="41"/>
      <c r="I1495" s="41"/>
      <c r="J1495" s="41"/>
      <c r="K1495" s="41"/>
      <c r="L1495" s="41"/>
      <c r="M1495" s="41"/>
      <c r="N1495" s="41"/>
      <c r="O1495" s="41"/>
    </row>
    <row r="1496" spans="1:15">
      <c r="A1496" s="39"/>
      <c r="B1496" s="40"/>
      <c r="C1496" s="41"/>
      <c r="D1496" s="41"/>
      <c r="E1496" s="41"/>
      <c r="F1496" s="41"/>
      <c r="G1496" s="41"/>
      <c r="H1496" s="41"/>
      <c r="I1496" s="41"/>
      <c r="J1496" s="41"/>
      <c r="K1496" s="41"/>
      <c r="L1496" s="41"/>
      <c r="M1496" s="41"/>
      <c r="N1496" s="41"/>
      <c r="O1496" s="41"/>
    </row>
    <row r="1497" spans="1:15">
      <c r="A1497" s="39"/>
      <c r="B1497" s="40"/>
      <c r="C1497" s="41"/>
      <c r="D1497" s="41"/>
      <c r="E1497" s="41"/>
      <c r="F1497" s="41"/>
      <c r="G1497" s="41"/>
      <c r="H1497" s="41"/>
      <c r="I1497" s="41"/>
      <c r="J1497" s="41"/>
      <c r="K1497" s="41"/>
      <c r="L1497" s="41"/>
      <c r="M1497" s="41"/>
      <c r="N1497" s="41"/>
      <c r="O1497" s="41"/>
    </row>
    <row r="1498" spans="1:15">
      <c r="A1498" s="39"/>
      <c r="B1498" s="40"/>
      <c r="C1498" s="41"/>
      <c r="D1498" s="41"/>
      <c r="E1498" s="41"/>
      <c r="F1498" s="41"/>
      <c r="G1498" s="41"/>
      <c r="H1498" s="41"/>
      <c r="I1498" s="41"/>
      <c r="J1498" s="41"/>
      <c r="K1498" s="41"/>
      <c r="L1498" s="41"/>
      <c r="M1498" s="41"/>
      <c r="N1498" s="41"/>
      <c r="O1498" s="41"/>
    </row>
    <row r="1499" spans="1:15">
      <c r="A1499" s="39"/>
      <c r="B1499" s="40"/>
      <c r="C1499" s="41"/>
      <c r="D1499" s="41"/>
      <c r="E1499" s="41"/>
      <c r="F1499" s="41"/>
      <c r="G1499" s="41"/>
      <c r="H1499" s="41"/>
      <c r="I1499" s="41"/>
      <c r="J1499" s="41"/>
      <c r="K1499" s="41"/>
      <c r="L1499" s="41"/>
      <c r="M1499" s="41"/>
      <c r="N1499" s="41"/>
      <c r="O1499" s="41"/>
    </row>
    <row r="1500" spans="1:15">
      <c r="A1500" s="39"/>
      <c r="B1500" s="40"/>
      <c r="C1500" s="41"/>
      <c r="D1500" s="41"/>
      <c r="E1500" s="41"/>
      <c r="F1500" s="41"/>
      <c r="G1500" s="41"/>
      <c r="H1500" s="41"/>
      <c r="I1500" s="41"/>
      <c r="J1500" s="41"/>
      <c r="K1500" s="41"/>
      <c r="L1500" s="41"/>
      <c r="M1500" s="41"/>
      <c r="N1500" s="41"/>
      <c r="O1500" s="41"/>
    </row>
    <row r="1501" spans="1:15">
      <c r="A1501" s="39"/>
      <c r="B1501" s="40"/>
      <c r="C1501" s="41"/>
      <c r="D1501" s="41"/>
      <c r="E1501" s="41"/>
      <c r="F1501" s="41"/>
      <c r="G1501" s="41"/>
      <c r="H1501" s="41"/>
      <c r="I1501" s="41"/>
      <c r="J1501" s="41"/>
      <c r="K1501" s="41"/>
      <c r="L1501" s="41"/>
      <c r="M1501" s="41"/>
      <c r="N1501" s="41"/>
      <c r="O1501" s="41"/>
    </row>
    <row r="1502" spans="1:15">
      <c r="A1502" s="39"/>
      <c r="B1502" s="40"/>
      <c r="C1502" s="41"/>
      <c r="D1502" s="41"/>
      <c r="E1502" s="41"/>
      <c r="F1502" s="41"/>
      <c r="G1502" s="41"/>
      <c r="H1502" s="41"/>
      <c r="I1502" s="41"/>
      <c r="J1502" s="41"/>
      <c r="K1502" s="41"/>
      <c r="L1502" s="41"/>
      <c r="M1502" s="41"/>
      <c r="N1502" s="41"/>
      <c r="O1502" s="41"/>
    </row>
    <row r="1503" spans="1:15">
      <c r="A1503" s="39"/>
      <c r="B1503" s="40"/>
      <c r="C1503" s="41"/>
      <c r="D1503" s="41"/>
      <c r="E1503" s="41"/>
      <c r="F1503" s="41"/>
      <c r="G1503" s="41"/>
      <c r="H1503" s="41"/>
      <c r="I1503" s="41"/>
      <c r="J1503" s="41"/>
      <c r="K1503" s="41"/>
      <c r="L1503" s="41"/>
      <c r="M1503" s="41"/>
      <c r="N1503" s="41"/>
      <c r="O1503" s="41"/>
    </row>
    <row r="1504" spans="1:15">
      <c r="A1504" s="39"/>
      <c r="B1504" s="40"/>
      <c r="C1504" s="41"/>
      <c r="D1504" s="41"/>
      <c r="E1504" s="41"/>
      <c r="F1504" s="41"/>
      <c r="G1504" s="41"/>
      <c r="H1504" s="41"/>
      <c r="I1504" s="41"/>
      <c r="J1504" s="41"/>
      <c r="K1504" s="41"/>
      <c r="L1504" s="41"/>
      <c r="M1504" s="41"/>
      <c r="N1504" s="41"/>
      <c r="O1504" s="41"/>
    </row>
    <row r="1505" spans="1:15">
      <c r="A1505" s="39"/>
      <c r="B1505" s="40"/>
      <c r="C1505" s="41"/>
      <c r="D1505" s="41"/>
      <c r="E1505" s="41"/>
      <c r="F1505" s="41"/>
      <c r="G1505" s="41"/>
      <c r="H1505" s="41"/>
      <c r="I1505" s="41"/>
      <c r="J1505" s="41"/>
      <c r="K1505" s="41"/>
      <c r="L1505" s="41"/>
      <c r="M1505" s="41"/>
      <c r="N1505" s="41"/>
      <c r="O1505" s="41"/>
    </row>
    <row r="1506" spans="1:15">
      <c r="A1506" s="39"/>
      <c r="B1506" s="40"/>
      <c r="C1506" s="41"/>
      <c r="D1506" s="41"/>
      <c r="E1506" s="41"/>
      <c r="F1506" s="41"/>
      <c r="G1506" s="41"/>
      <c r="H1506" s="41"/>
      <c r="I1506" s="41"/>
      <c r="J1506" s="41"/>
      <c r="K1506" s="41"/>
      <c r="L1506" s="41"/>
      <c r="M1506" s="41"/>
      <c r="N1506" s="41"/>
      <c r="O1506" s="41"/>
    </row>
    <row r="1507" spans="1:15">
      <c r="A1507" s="39"/>
      <c r="B1507" s="40"/>
      <c r="C1507" s="41"/>
      <c r="D1507" s="41"/>
      <c r="E1507" s="41"/>
      <c r="F1507" s="41"/>
      <c r="G1507" s="41"/>
      <c r="H1507" s="41"/>
      <c r="I1507" s="41"/>
      <c r="J1507" s="41"/>
      <c r="K1507" s="41"/>
      <c r="L1507" s="41"/>
      <c r="M1507" s="41"/>
      <c r="N1507" s="41"/>
      <c r="O1507" s="41"/>
    </row>
    <row r="1508" spans="1:15">
      <c r="A1508" s="39"/>
      <c r="B1508" s="40"/>
      <c r="C1508" s="41"/>
      <c r="D1508" s="41"/>
      <c r="E1508" s="41"/>
      <c r="F1508" s="41"/>
      <c r="G1508" s="41"/>
      <c r="H1508" s="41"/>
      <c r="I1508" s="41"/>
      <c r="J1508" s="41"/>
      <c r="K1508" s="41"/>
      <c r="L1508" s="41"/>
      <c r="M1508" s="41"/>
      <c r="N1508" s="41"/>
      <c r="O1508" s="41"/>
    </row>
    <row r="1509" spans="1:15">
      <c r="A1509" s="39"/>
      <c r="B1509" s="40"/>
      <c r="C1509" s="41"/>
      <c r="D1509" s="41"/>
      <c r="E1509" s="41"/>
      <c r="F1509" s="41"/>
      <c r="G1509" s="41"/>
      <c r="H1509" s="41"/>
      <c r="I1509" s="41"/>
      <c r="J1509" s="41"/>
      <c r="K1509" s="41"/>
      <c r="L1509" s="41"/>
      <c r="M1509" s="41"/>
      <c r="N1509" s="41"/>
      <c r="O1509" s="41"/>
    </row>
    <row r="1510" spans="1:15">
      <c r="A1510" s="39"/>
      <c r="B1510" s="40"/>
      <c r="C1510" s="41"/>
      <c r="D1510" s="41"/>
      <c r="E1510" s="41"/>
      <c r="F1510" s="41"/>
      <c r="G1510" s="41"/>
      <c r="H1510" s="41"/>
      <c r="I1510" s="41"/>
      <c r="J1510" s="41"/>
      <c r="K1510" s="41"/>
      <c r="L1510" s="41"/>
      <c r="M1510" s="41"/>
      <c r="N1510" s="41"/>
      <c r="O1510" s="41"/>
    </row>
    <row r="1511" spans="1:15">
      <c r="A1511" s="39"/>
      <c r="B1511" s="40"/>
      <c r="C1511" s="41"/>
      <c r="D1511" s="41"/>
      <c r="E1511" s="41"/>
      <c r="F1511" s="41"/>
      <c r="G1511" s="41"/>
      <c r="H1511" s="41"/>
      <c r="I1511" s="41"/>
      <c r="J1511" s="41"/>
      <c r="K1511" s="41"/>
      <c r="L1511" s="41"/>
      <c r="M1511" s="41"/>
      <c r="N1511" s="41"/>
      <c r="O1511" s="41"/>
    </row>
    <row r="1512" spans="1:15">
      <c r="A1512" s="39"/>
      <c r="B1512" s="40"/>
      <c r="C1512" s="41"/>
      <c r="D1512" s="41"/>
      <c r="E1512" s="41"/>
      <c r="F1512" s="41"/>
      <c r="G1512" s="41"/>
      <c r="H1512" s="41"/>
      <c r="I1512" s="41"/>
      <c r="J1512" s="41"/>
      <c r="K1512" s="41"/>
      <c r="L1512" s="41"/>
      <c r="M1512" s="41"/>
      <c r="N1512" s="41"/>
      <c r="O1512" s="41"/>
    </row>
    <row r="1513" spans="1:15">
      <c r="A1513" s="39"/>
      <c r="B1513" s="40"/>
      <c r="C1513" s="41"/>
      <c r="D1513" s="41"/>
      <c r="E1513" s="41"/>
      <c r="F1513" s="41"/>
      <c r="G1513" s="41"/>
      <c r="H1513" s="41"/>
      <c r="I1513" s="41"/>
      <c r="J1513" s="41"/>
      <c r="K1513" s="41"/>
      <c r="L1513" s="41"/>
      <c r="M1513" s="41"/>
      <c r="N1513" s="41"/>
      <c r="O1513" s="41"/>
    </row>
    <row r="1514" spans="1:15">
      <c r="A1514" s="39"/>
      <c r="B1514" s="40"/>
      <c r="C1514" s="41"/>
      <c r="D1514" s="41"/>
      <c r="E1514" s="41"/>
      <c r="F1514" s="41"/>
      <c r="G1514" s="41"/>
      <c r="H1514" s="41"/>
      <c r="I1514" s="41"/>
      <c r="J1514" s="41"/>
      <c r="K1514" s="41"/>
      <c r="L1514" s="41"/>
      <c r="M1514" s="41"/>
      <c r="N1514" s="41"/>
      <c r="O1514" s="41"/>
    </row>
    <row r="1515" spans="1:15">
      <c r="A1515" s="39"/>
      <c r="B1515" s="40"/>
      <c r="C1515" s="41"/>
      <c r="D1515" s="41"/>
      <c r="E1515" s="41"/>
      <c r="F1515" s="41"/>
      <c r="G1515" s="41"/>
      <c r="H1515" s="41"/>
      <c r="I1515" s="41"/>
      <c r="J1515" s="41"/>
      <c r="K1515" s="41"/>
      <c r="L1515" s="41"/>
      <c r="M1515" s="41"/>
      <c r="N1515" s="41"/>
      <c r="O1515" s="41"/>
    </row>
    <row r="1516" spans="1:15">
      <c r="A1516" s="39"/>
      <c r="B1516" s="40"/>
      <c r="C1516" s="41"/>
      <c r="D1516" s="41"/>
      <c r="E1516" s="41"/>
      <c r="F1516" s="41"/>
      <c r="G1516" s="41"/>
      <c r="H1516" s="41"/>
      <c r="I1516" s="41"/>
      <c r="J1516" s="41"/>
      <c r="K1516" s="41"/>
      <c r="L1516" s="41"/>
      <c r="M1516" s="41"/>
      <c r="N1516" s="41"/>
      <c r="O1516" s="41"/>
    </row>
    <row r="1517" spans="1:15">
      <c r="A1517" s="39"/>
      <c r="B1517" s="40"/>
      <c r="C1517" s="41"/>
      <c r="D1517" s="41"/>
      <c r="E1517" s="41"/>
      <c r="F1517" s="41"/>
      <c r="G1517" s="41"/>
      <c r="H1517" s="41"/>
      <c r="I1517" s="41"/>
      <c r="J1517" s="41"/>
      <c r="K1517" s="41"/>
      <c r="L1517" s="41"/>
      <c r="M1517" s="41"/>
      <c r="N1517" s="41"/>
      <c r="O1517" s="41"/>
    </row>
    <row r="1518" spans="1:15">
      <c r="A1518" s="39"/>
      <c r="B1518" s="40"/>
      <c r="C1518" s="41"/>
      <c r="D1518" s="41"/>
      <c r="E1518" s="41"/>
      <c r="F1518" s="41"/>
      <c r="G1518" s="41"/>
      <c r="H1518" s="41"/>
      <c r="I1518" s="41"/>
      <c r="J1518" s="41"/>
      <c r="K1518" s="41"/>
      <c r="L1518" s="41"/>
      <c r="M1518" s="41"/>
      <c r="N1518" s="41"/>
      <c r="O1518" s="41"/>
    </row>
    <row r="1519" spans="1:15">
      <c r="A1519" s="39"/>
      <c r="B1519" s="40"/>
      <c r="C1519" s="41"/>
      <c r="D1519" s="41"/>
      <c r="E1519" s="41"/>
      <c r="F1519" s="41"/>
      <c r="G1519" s="41"/>
      <c r="H1519" s="41"/>
      <c r="I1519" s="41"/>
      <c r="J1519" s="41"/>
      <c r="K1519" s="41"/>
      <c r="L1519" s="41"/>
      <c r="M1519" s="41"/>
      <c r="N1519" s="41"/>
      <c r="O1519" s="41"/>
    </row>
    <row r="1520" spans="1:15">
      <c r="A1520" s="39"/>
      <c r="B1520" s="40"/>
      <c r="C1520" s="41"/>
      <c r="D1520" s="41"/>
      <c r="E1520" s="41"/>
      <c r="F1520" s="41"/>
      <c r="G1520" s="41"/>
      <c r="H1520" s="41"/>
      <c r="I1520" s="41"/>
      <c r="J1520" s="41"/>
      <c r="K1520" s="41"/>
      <c r="L1520" s="41"/>
      <c r="M1520" s="41"/>
      <c r="N1520" s="41"/>
      <c r="O1520" s="41"/>
    </row>
    <row r="1521" spans="1:15">
      <c r="A1521" s="39"/>
      <c r="B1521" s="40"/>
      <c r="C1521" s="41"/>
      <c r="D1521" s="41"/>
      <c r="E1521" s="41"/>
      <c r="F1521" s="41"/>
      <c r="G1521" s="41"/>
      <c r="H1521" s="41"/>
      <c r="I1521" s="41"/>
      <c r="J1521" s="41"/>
      <c r="K1521" s="41"/>
      <c r="L1521" s="41"/>
      <c r="M1521" s="41"/>
      <c r="N1521" s="41"/>
      <c r="O1521" s="41"/>
    </row>
    <row r="1522" spans="1:15">
      <c r="A1522" s="39"/>
      <c r="B1522" s="40"/>
      <c r="C1522" s="41"/>
      <c r="D1522" s="41"/>
      <c r="E1522" s="41"/>
      <c r="F1522" s="41"/>
      <c r="G1522" s="41"/>
      <c r="H1522" s="41"/>
      <c r="I1522" s="41"/>
      <c r="J1522" s="41"/>
      <c r="K1522" s="41"/>
      <c r="L1522" s="41"/>
      <c r="M1522" s="41"/>
      <c r="N1522" s="41"/>
      <c r="O1522" s="41"/>
    </row>
    <row r="1523" spans="1:15">
      <c r="A1523" s="39"/>
      <c r="B1523" s="40"/>
      <c r="C1523" s="41"/>
      <c r="D1523" s="41"/>
      <c r="E1523" s="41"/>
      <c r="F1523" s="41"/>
      <c r="G1523" s="41"/>
      <c r="H1523" s="41"/>
      <c r="I1523" s="41"/>
      <c r="J1523" s="41"/>
      <c r="K1523" s="41"/>
      <c r="L1523" s="41"/>
      <c r="M1523" s="41"/>
      <c r="N1523" s="41"/>
      <c r="O1523" s="41"/>
    </row>
    <row r="1524" spans="1:15">
      <c r="A1524" s="39"/>
      <c r="B1524" s="40"/>
      <c r="C1524" s="41"/>
      <c r="D1524" s="41"/>
      <c r="E1524" s="41"/>
      <c r="F1524" s="41"/>
      <c r="G1524" s="41"/>
      <c r="H1524" s="41"/>
      <c r="I1524" s="41"/>
      <c r="J1524" s="41"/>
      <c r="K1524" s="41"/>
      <c r="L1524" s="41"/>
      <c r="M1524" s="41"/>
      <c r="N1524" s="41"/>
      <c r="O1524" s="41"/>
    </row>
    <row r="1525" spans="1:15">
      <c r="A1525" s="39"/>
      <c r="B1525" s="40"/>
      <c r="C1525" s="41"/>
      <c r="D1525" s="41"/>
      <c r="E1525" s="41"/>
      <c r="F1525" s="41"/>
      <c r="G1525" s="41"/>
      <c r="H1525" s="41"/>
      <c r="I1525" s="41"/>
      <c r="J1525" s="41"/>
      <c r="K1525" s="41"/>
      <c r="L1525" s="41"/>
      <c r="M1525" s="41"/>
      <c r="N1525" s="41"/>
      <c r="O1525" s="41"/>
    </row>
    <row r="1526" spans="1:15">
      <c r="A1526" s="39"/>
      <c r="B1526" s="40"/>
      <c r="C1526" s="41"/>
      <c r="D1526" s="41"/>
      <c r="E1526" s="41"/>
      <c r="F1526" s="41"/>
      <c r="G1526" s="41"/>
      <c r="H1526" s="41"/>
      <c r="I1526" s="41"/>
      <c r="J1526" s="41"/>
      <c r="K1526" s="41"/>
      <c r="L1526" s="41"/>
      <c r="M1526" s="41"/>
      <c r="N1526" s="41"/>
      <c r="O1526" s="41"/>
    </row>
    <row r="1527" spans="1:15">
      <c r="A1527" s="39"/>
      <c r="B1527" s="40"/>
      <c r="C1527" s="41"/>
      <c r="D1527" s="41"/>
      <c r="E1527" s="41"/>
      <c r="F1527" s="41"/>
      <c r="G1527" s="41"/>
      <c r="H1527" s="41"/>
      <c r="I1527" s="41"/>
      <c r="J1527" s="41"/>
      <c r="K1527" s="41"/>
      <c r="L1527" s="41"/>
      <c r="M1527" s="41"/>
      <c r="N1527" s="41"/>
      <c r="O1527" s="41"/>
    </row>
    <row r="1528" spans="1:15">
      <c r="A1528" s="39"/>
      <c r="B1528" s="40"/>
      <c r="C1528" s="41"/>
      <c r="D1528" s="41"/>
      <c r="E1528" s="41"/>
      <c r="F1528" s="41"/>
      <c r="G1528" s="41"/>
      <c r="H1528" s="41"/>
      <c r="I1528" s="41"/>
      <c r="J1528" s="41"/>
      <c r="K1528" s="41"/>
      <c r="L1528" s="41"/>
      <c r="M1528" s="41"/>
      <c r="N1528" s="41"/>
      <c r="O1528" s="41"/>
    </row>
    <row r="1529" spans="1:15">
      <c r="A1529" s="39"/>
      <c r="B1529" s="40"/>
      <c r="C1529" s="41"/>
      <c r="D1529" s="41"/>
      <c r="E1529" s="41"/>
      <c r="F1529" s="41"/>
      <c r="G1529" s="41"/>
      <c r="H1529" s="41"/>
      <c r="I1529" s="41"/>
      <c r="J1529" s="41"/>
      <c r="K1529" s="41"/>
      <c r="L1529" s="41"/>
      <c r="M1529" s="41"/>
      <c r="N1529" s="41"/>
      <c r="O1529" s="41"/>
    </row>
    <row r="1530" spans="1:15">
      <c r="A1530" s="39"/>
      <c r="B1530" s="40"/>
      <c r="C1530" s="41"/>
      <c r="D1530" s="41"/>
      <c r="E1530" s="41"/>
      <c r="F1530" s="41"/>
      <c r="G1530" s="41"/>
      <c r="H1530" s="41"/>
      <c r="I1530" s="41"/>
      <c r="J1530" s="41"/>
      <c r="K1530" s="41"/>
      <c r="L1530" s="41"/>
      <c r="M1530" s="41"/>
      <c r="N1530" s="41"/>
      <c r="O1530" s="41"/>
    </row>
    <row r="1531" spans="1:15">
      <c r="A1531" s="39"/>
      <c r="B1531" s="40"/>
      <c r="C1531" s="41"/>
      <c r="D1531" s="41"/>
      <c r="E1531" s="41"/>
      <c r="F1531" s="41"/>
      <c r="G1531" s="41"/>
      <c r="H1531" s="41"/>
      <c r="I1531" s="41"/>
      <c r="J1531" s="41"/>
      <c r="K1531" s="41"/>
      <c r="L1531" s="41"/>
      <c r="M1531" s="41"/>
      <c r="N1531" s="41"/>
      <c r="O1531" s="41"/>
    </row>
    <row r="1532" spans="1:15">
      <c r="A1532" s="39"/>
      <c r="B1532" s="40"/>
      <c r="C1532" s="41"/>
      <c r="D1532" s="41"/>
      <c r="E1532" s="41"/>
      <c r="F1532" s="41"/>
      <c r="G1532" s="41"/>
      <c r="H1532" s="41"/>
      <c r="I1532" s="41"/>
      <c r="J1532" s="41"/>
      <c r="K1532" s="41"/>
      <c r="L1532" s="41"/>
      <c r="M1532" s="41"/>
      <c r="N1532" s="41"/>
      <c r="O1532" s="41"/>
    </row>
    <row r="1533" spans="1:15">
      <c r="A1533" s="39"/>
      <c r="B1533" s="40"/>
      <c r="C1533" s="41"/>
      <c r="D1533" s="41"/>
      <c r="E1533" s="41"/>
      <c r="F1533" s="41"/>
      <c r="G1533" s="41"/>
      <c r="H1533" s="41"/>
      <c r="I1533" s="41"/>
      <c r="J1533" s="41"/>
      <c r="K1533" s="41"/>
      <c r="L1533" s="41"/>
      <c r="M1533" s="41"/>
      <c r="N1533" s="41"/>
      <c r="O1533" s="41"/>
    </row>
    <row r="1534" spans="1:15">
      <c r="A1534" s="39"/>
      <c r="B1534" s="40"/>
      <c r="C1534" s="41"/>
      <c r="D1534" s="41"/>
      <c r="E1534" s="41"/>
      <c r="F1534" s="41"/>
      <c r="G1534" s="41"/>
      <c r="H1534" s="41"/>
      <c r="I1534" s="41"/>
      <c r="J1534" s="41"/>
      <c r="K1534" s="41"/>
      <c r="L1534" s="41"/>
      <c r="M1534" s="41"/>
      <c r="N1534" s="41"/>
      <c r="O1534" s="41"/>
    </row>
    <row r="1535" spans="1:15">
      <c r="A1535" s="39"/>
      <c r="B1535" s="40"/>
      <c r="C1535" s="41"/>
      <c r="D1535" s="41"/>
      <c r="E1535" s="41"/>
      <c r="F1535" s="41"/>
      <c r="G1535" s="41"/>
      <c r="H1535" s="41"/>
      <c r="I1535" s="41"/>
      <c r="J1535" s="41"/>
      <c r="K1535" s="41"/>
      <c r="L1535" s="41"/>
      <c r="M1535" s="41"/>
      <c r="N1535" s="41"/>
      <c r="O1535" s="41"/>
    </row>
    <row r="1536" spans="1:15">
      <c r="A1536" s="39"/>
      <c r="B1536" s="40"/>
      <c r="C1536" s="41"/>
      <c r="D1536" s="41"/>
      <c r="E1536" s="41"/>
      <c r="F1536" s="41"/>
      <c r="G1536" s="41"/>
      <c r="H1536" s="41"/>
      <c r="I1536" s="41"/>
      <c r="J1536" s="41"/>
      <c r="K1536" s="41"/>
      <c r="L1536" s="41"/>
      <c r="M1536" s="41"/>
      <c r="N1536" s="41"/>
      <c r="O1536" s="41"/>
    </row>
    <row r="1537" spans="1:15">
      <c r="A1537" s="39"/>
      <c r="B1537" s="40"/>
      <c r="C1537" s="41"/>
      <c r="D1537" s="41"/>
      <c r="E1537" s="41"/>
      <c r="F1537" s="41"/>
      <c r="G1537" s="41"/>
      <c r="H1537" s="41"/>
      <c r="I1537" s="41"/>
      <c r="J1537" s="41"/>
      <c r="K1537" s="41"/>
      <c r="L1537" s="41"/>
      <c r="M1537" s="41"/>
      <c r="N1537" s="41"/>
      <c r="O1537" s="41"/>
    </row>
    <row r="1538" spans="1:15">
      <c r="A1538" s="39"/>
      <c r="B1538" s="40"/>
      <c r="C1538" s="41"/>
      <c r="D1538" s="41"/>
      <c r="E1538" s="41"/>
      <c r="F1538" s="41"/>
      <c r="G1538" s="41"/>
      <c r="H1538" s="41"/>
      <c r="I1538" s="41"/>
      <c r="J1538" s="41"/>
      <c r="K1538" s="41"/>
      <c r="L1538" s="41"/>
      <c r="M1538" s="41"/>
      <c r="N1538" s="41"/>
      <c r="O1538" s="41"/>
    </row>
    <row r="1539" spans="1:15">
      <c r="A1539" s="39"/>
      <c r="B1539" s="40"/>
      <c r="C1539" s="41"/>
      <c r="D1539" s="41"/>
      <c r="E1539" s="41"/>
      <c r="F1539" s="41"/>
      <c r="G1539" s="41"/>
      <c r="H1539" s="41"/>
      <c r="I1539" s="41"/>
      <c r="J1539" s="41"/>
      <c r="K1539" s="41"/>
      <c r="L1539" s="41"/>
      <c r="M1539" s="41"/>
      <c r="N1539" s="41"/>
      <c r="O1539" s="41"/>
    </row>
    <row r="1540" spans="1:15">
      <c r="A1540" s="39"/>
      <c r="B1540" s="40"/>
      <c r="C1540" s="41"/>
      <c r="D1540" s="41"/>
      <c r="E1540" s="41"/>
      <c r="F1540" s="41"/>
      <c r="G1540" s="41"/>
      <c r="H1540" s="41"/>
      <c r="I1540" s="41"/>
      <c r="J1540" s="41"/>
      <c r="K1540" s="41"/>
      <c r="L1540" s="41"/>
      <c r="M1540" s="41"/>
      <c r="N1540" s="41"/>
      <c r="O1540" s="41"/>
    </row>
    <row r="1541" spans="1:15">
      <c r="A1541" s="39"/>
      <c r="B1541" s="40"/>
      <c r="C1541" s="41"/>
      <c r="D1541" s="41"/>
      <c r="E1541" s="41"/>
      <c r="F1541" s="41"/>
      <c r="G1541" s="41"/>
      <c r="H1541" s="41"/>
      <c r="I1541" s="41"/>
      <c r="J1541" s="41"/>
      <c r="K1541" s="41"/>
      <c r="L1541" s="41"/>
      <c r="M1541" s="41"/>
      <c r="N1541" s="41"/>
      <c r="O1541" s="41"/>
    </row>
    <row r="1542" spans="1:15">
      <c r="A1542" s="39"/>
      <c r="B1542" s="40"/>
      <c r="C1542" s="41"/>
      <c r="D1542" s="41"/>
      <c r="E1542" s="41"/>
      <c r="F1542" s="41"/>
      <c r="G1542" s="41"/>
      <c r="H1542" s="41"/>
      <c r="I1542" s="41"/>
      <c r="J1542" s="41"/>
      <c r="K1542" s="41"/>
      <c r="L1542" s="41"/>
      <c r="M1542" s="41"/>
      <c r="N1542" s="41"/>
      <c r="O1542" s="41"/>
    </row>
    <row r="1543" spans="1:15">
      <c r="A1543" s="39"/>
      <c r="B1543" s="40"/>
      <c r="C1543" s="41"/>
      <c r="D1543" s="41"/>
      <c r="E1543" s="41"/>
      <c r="F1543" s="41"/>
      <c r="G1543" s="41"/>
      <c r="H1543" s="41"/>
      <c r="I1543" s="41"/>
      <c r="J1543" s="41"/>
      <c r="K1543" s="41"/>
      <c r="L1543" s="41"/>
      <c r="M1543" s="41"/>
      <c r="N1543" s="41"/>
      <c r="O1543" s="41"/>
    </row>
    <row r="1544" spans="1:15">
      <c r="A1544" s="39"/>
      <c r="B1544" s="40"/>
      <c r="C1544" s="41"/>
      <c r="D1544" s="41"/>
      <c r="E1544" s="41"/>
      <c r="F1544" s="41"/>
      <c r="G1544" s="41"/>
      <c r="H1544" s="41"/>
      <c r="I1544" s="41"/>
      <c r="J1544" s="41"/>
      <c r="K1544" s="41"/>
      <c r="L1544" s="41"/>
      <c r="M1544" s="41"/>
      <c r="N1544" s="41"/>
      <c r="O1544" s="41"/>
    </row>
    <row r="1545" spans="1:15">
      <c r="A1545" s="39"/>
      <c r="B1545" s="40"/>
      <c r="C1545" s="41"/>
      <c r="D1545" s="41"/>
      <c r="E1545" s="41"/>
      <c r="F1545" s="41"/>
      <c r="G1545" s="41"/>
      <c r="H1545" s="41"/>
      <c r="I1545" s="41"/>
      <c r="J1545" s="41"/>
      <c r="K1545" s="41"/>
      <c r="L1545" s="41"/>
      <c r="M1545" s="41"/>
      <c r="N1545" s="41"/>
      <c r="O1545" s="41"/>
    </row>
    <row r="1546" spans="1:15">
      <c r="A1546" s="39"/>
      <c r="B1546" s="40"/>
      <c r="C1546" s="41"/>
      <c r="D1546" s="41"/>
      <c r="E1546" s="41"/>
      <c r="F1546" s="41"/>
      <c r="G1546" s="41"/>
      <c r="H1546" s="41"/>
      <c r="I1546" s="41"/>
      <c r="J1546" s="41"/>
      <c r="K1546" s="41"/>
      <c r="L1546" s="41"/>
      <c r="M1546" s="41"/>
      <c r="N1546" s="41"/>
      <c r="O1546" s="41"/>
    </row>
    <row r="1547" spans="1:15">
      <c r="A1547" s="39"/>
      <c r="B1547" s="40"/>
      <c r="C1547" s="41"/>
      <c r="D1547" s="41"/>
      <c r="E1547" s="41"/>
      <c r="F1547" s="41"/>
      <c r="G1547" s="41"/>
      <c r="H1547" s="41"/>
      <c r="I1547" s="41"/>
      <c r="J1547" s="41"/>
      <c r="K1547" s="41"/>
      <c r="L1547" s="41"/>
      <c r="M1547" s="41"/>
      <c r="N1547" s="41"/>
      <c r="O1547" s="41"/>
    </row>
    <row r="1548" spans="1:15">
      <c r="A1548" s="39"/>
      <c r="B1548" s="40"/>
      <c r="C1548" s="41"/>
      <c r="D1548" s="41"/>
      <c r="E1548" s="41"/>
      <c r="F1548" s="41"/>
      <c r="G1548" s="41"/>
      <c r="H1548" s="41"/>
      <c r="I1548" s="41"/>
      <c r="J1548" s="41"/>
      <c r="K1548" s="41"/>
      <c r="L1548" s="41"/>
      <c r="M1548" s="41"/>
      <c r="N1548" s="41"/>
      <c r="O1548" s="41"/>
    </row>
    <row r="1549" spans="1:15">
      <c r="A1549" s="39"/>
      <c r="B1549" s="40"/>
      <c r="C1549" s="41"/>
      <c r="D1549" s="41"/>
      <c r="E1549" s="41"/>
      <c r="F1549" s="41"/>
      <c r="G1549" s="41"/>
      <c r="H1549" s="41"/>
      <c r="I1549" s="41"/>
      <c r="J1549" s="41"/>
      <c r="K1549" s="41"/>
      <c r="L1549" s="41"/>
      <c r="M1549" s="41"/>
      <c r="N1549" s="41"/>
      <c r="O1549" s="41"/>
    </row>
    <row r="1550" spans="1:15">
      <c r="A1550" s="39"/>
      <c r="B1550" s="40"/>
      <c r="C1550" s="41"/>
      <c r="D1550" s="41"/>
      <c r="E1550" s="41"/>
      <c r="F1550" s="41"/>
      <c r="G1550" s="41"/>
      <c r="H1550" s="41"/>
      <c r="I1550" s="41"/>
      <c r="J1550" s="41"/>
      <c r="K1550" s="41"/>
      <c r="L1550" s="41"/>
      <c r="M1550" s="41"/>
      <c r="N1550" s="41"/>
      <c r="O1550" s="41"/>
    </row>
    <row r="1551" spans="1:15">
      <c r="A1551" s="39"/>
      <c r="B1551" s="40"/>
      <c r="C1551" s="41"/>
      <c r="D1551" s="41"/>
      <c r="E1551" s="41"/>
      <c r="F1551" s="41"/>
      <c r="G1551" s="41"/>
      <c r="H1551" s="41"/>
      <c r="I1551" s="41"/>
      <c r="J1551" s="41"/>
      <c r="K1551" s="41"/>
      <c r="L1551" s="41"/>
      <c r="M1551" s="41"/>
      <c r="N1551" s="41"/>
      <c r="O1551" s="41"/>
    </row>
    <row r="1552" spans="1:15">
      <c r="A1552" s="39"/>
      <c r="B1552" s="40"/>
      <c r="C1552" s="41"/>
      <c r="D1552" s="41"/>
      <c r="E1552" s="41"/>
      <c r="F1552" s="41"/>
      <c r="G1552" s="41"/>
      <c r="H1552" s="41"/>
      <c r="I1552" s="41"/>
      <c r="J1552" s="41"/>
      <c r="K1552" s="41"/>
      <c r="L1552" s="41"/>
      <c r="M1552" s="41"/>
      <c r="N1552" s="41"/>
      <c r="O1552" s="41"/>
    </row>
    <row r="1553" spans="1:15">
      <c r="A1553" s="39"/>
      <c r="B1553" s="40"/>
      <c r="C1553" s="41"/>
      <c r="D1553" s="41"/>
      <c r="E1553" s="41"/>
      <c r="F1553" s="41"/>
      <c r="G1553" s="41"/>
      <c r="H1553" s="41"/>
      <c r="I1553" s="41"/>
      <c r="J1553" s="41"/>
      <c r="K1553" s="41"/>
      <c r="L1553" s="41"/>
      <c r="M1553" s="41"/>
      <c r="N1553" s="41"/>
      <c r="O1553" s="41"/>
    </row>
    <row r="1554" spans="1:15">
      <c r="A1554" s="39"/>
      <c r="B1554" s="40"/>
      <c r="C1554" s="41"/>
      <c r="D1554" s="41"/>
      <c r="E1554" s="41"/>
      <c r="F1554" s="41"/>
      <c r="G1554" s="41"/>
      <c r="H1554" s="41"/>
      <c r="I1554" s="41"/>
      <c r="J1554" s="41"/>
      <c r="K1554" s="41"/>
      <c r="L1554" s="41"/>
      <c r="M1554" s="41"/>
      <c r="N1554" s="41"/>
      <c r="O1554" s="41"/>
    </row>
    <row r="1555" spans="1:15">
      <c r="A1555" s="39"/>
      <c r="B1555" s="40"/>
      <c r="C1555" s="41"/>
      <c r="D1555" s="41"/>
      <c r="E1555" s="41"/>
      <c r="F1555" s="41"/>
      <c r="G1555" s="41"/>
      <c r="H1555" s="41"/>
      <c r="I1555" s="41"/>
      <c r="J1555" s="41"/>
      <c r="K1555" s="41"/>
      <c r="L1555" s="41"/>
      <c r="M1555" s="41"/>
      <c r="N1555" s="41"/>
      <c r="O1555" s="41"/>
    </row>
    <row r="1556" spans="1:15">
      <c r="A1556" s="39"/>
      <c r="B1556" s="40"/>
      <c r="C1556" s="41"/>
      <c r="D1556" s="41"/>
      <c r="E1556" s="41"/>
      <c r="F1556" s="41"/>
      <c r="G1556" s="41"/>
      <c r="H1556" s="41"/>
      <c r="I1556" s="41"/>
      <c r="J1556" s="41"/>
      <c r="K1556" s="41"/>
      <c r="L1556" s="41"/>
      <c r="M1556" s="41"/>
      <c r="N1556" s="41"/>
      <c r="O1556" s="41"/>
    </row>
    <row r="1557" spans="1:15">
      <c r="A1557" s="39"/>
      <c r="B1557" s="40"/>
      <c r="C1557" s="41"/>
      <c r="D1557" s="41"/>
      <c r="E1557" s="41"/>
      <c r="F1557" s="41"/>
      <c r="G1557" s="41"/>
      <c r="H1557" s="41"/>
      <c r="I1557" s="41"/>
      <c r="J1557" s="41"/>
      <c r="K1557" s="41"/>
      <c r="L1557" s="41"/>
      <c r="M1557" s="41"/>
      <c r="N1557" s="41"/>
      <c r="O1557" s="41"/>
    </row>
    <row r="1558" spans="1:15">
      <c r="A1558" s="39"/>
      <c r="B1558" s="40"/>
      <c r="C1558" s="41"/>
      <c r="D1558" s="41"/>
      <c r="E1558" s="41"/>
      <c r="F1558" s="41"/>
      <c r="G1558" s="41"/>
      <c r="H1558" s="41"/>
      <c r="I1558" s="41"/>
      <c r="J1558" s="41"/>
      <c r="K1558" s="41"/>
      <c r="L1558" s="41"/>
      <c r="M1558" s="41"/>
      <c r="N1558" s="41"/>
      <c r="O1558" s="41"/>
    </row>
    <row r="1559" spans="1:15">
      <c r="A1559" s="39"/>
      <c r="B1559" s="40"/>
      <c r="C1559" s="41"/>
      <c r="D1559" s="41"/>
      <c r="E1559" s="41"/>
      <c r="F1559" s="41"/>
      <c r="G1559" s="41"/>
      <c r="H1559" s="41"/>
      <c r="I1559" s="41"/>
      <c r="J1559" s="41"/>
      <c r="K1559" s="41"/>
      <c r="L1559" s="41"/>
      <c r="M1559" s="41"/>
      <c r="N1559" s="41"/>
      <c r="O1559" s="41"/>
    </row>
    <row r="1560" spans="1:15">
      <c r="A1560" s="39"/>
      <c r="B1560" s="40"/>
      <c r="C1560" s="41"/>
      <c r="D1560" s="41"/>
      <c r="E1560" s="41"/>
      <c r="F1560" s="41"/>
      <c r="G1560" s="41"/>
      <c r="H1560" s="41"/>
      <c r="I1560" s="41"/>
      <c r="J1560" s="41"/>
      <c r="K1560" s="41"/>
      <c r="L1560" s="41"/>
      <c r="M1560" s="41"/>
      <c r="N1560" s="41"/>
      <c r="O1560" s="41"/>
    </row>
    <row r="1561" spans="1:15">
      <c r="A1561" s="39"/>
      <c r="B1561" s="40"/>
      <c r="C1561" s="41"/>
      <c r="D1561" s="41"/>
      <c r="E1561" s="41"/>
      <c r="F1561" s="41"/>
      <c r="G1561" s="41"/>
      <c r="H1561" s="41"/>
      <c r="I1561" s="41"/>
      <c r="J1561" s="41"/>
      <c r="K1561" s="41"/>
      <c r="L1561" s="41"/>
      <c r="M1561" s="41"/>
      <c r="N1561" s="41"/>
      <c r="O1561" s="41"/>
    </row>
    <row r="1562" spans="1:15">
      <c r="A1562" s="39"/>
      <c r="B1562" s="40"/>
      <c r="C1562" s="41"/>
      <c r="D1562" s="41"/>
      <c r="E1562" s="41"/>
      <c r="F1562" s="41"/>
      <c r="G1562" s="41"/>
      <c r="H1562" s="41"/>
      <c r="I1562" s="41"/>
      <c r="J1562" s="41"/>
      <c r="K1562" s="41"/>
      <c r="L1562" s="41"/>
      <c r="M1562" s="41"/>
      <c r="N1562" s="41"/>
      <c r="O1562" s="41"/>
    </row>
    <row r="1563" spans="1:15">
      <c r="A1563" s="39"/>
      <c r="B1563" s="40"/>
      <c r="C1563" s="41"/>
      <c r="D1563" s="41"/>
      <c r="E1563" s="41"/>
      <c r="F1563" s="41"/>
      <c r="G1563" s="41"/>
      <c r="H1563" s="41"/>
      <c r="I1563" s="41"/>
      <c r="J1563" s="41"/>
      <c r="K1563" s="41"/>
      <c r="L1563" s="41"/>
      <c r="M1563" s="41"/>
      <c r="N1563" s="41"/>
      <c r="O1563" s="41"/>
    </row>
    <row r="1564" spans="1:15">
      <c r="A1564" s="39"/>
      <c r="B1564" s="40"/>
      <c r="C1564" s="41"/>
      <c r="D1564" s="41"/>
      <c r="E1564" s="41"/>
      <c r="F1564" s="41"/>
      <c r="G1564" s="41"/>
      <c r="H1564" s="41"/>
      <c r="I1564" s="41"/>
      <c r="J1564" s="41"/>
      <c r="K1564" s="41"/>
      <c r="L1564" s="41"/>
      <c r="M1564" s="41"/>
      <c r="N1564" s="41"/>
      <c r="O1564" s="41"/>
    </row>
    <row r="1565" spans="1:15">
      <c r="A1565" s="39"/>
      <c r="B1565" s="40"/>
      <c r="C1565" s="41"/>
      <c r="D1565" s="41"/>
      <c r="E1565" s="41"/>
      <c r="F1565" s="41"/>
      <c r="G1565" s="41"/>
      <c r="H1565" s="41"/>
      <c r="I1565" s="41"/>
      <c r="J1565" s="41"/>
      <c r="K1565" s="41"/>
      <c r="L1565" s="41"/>
      <c r="M1565" s="41"/>
      <c r="N1565" s="41"/>
      <c r="O1565" s="41"/>
    </row>
    <row r="1566" spans="1:15">
      <c r="A1566" s="39"/>
      <c r="B1566" s="40"/>
      <c r="C1566" s="41"/>
      <c r="D1566" s="41"/>
      <c r="E1566" s="41"/>
      <c r="F1566" s="41"/>
      <c r="G1566" s="41"/>
      <c r="H1566" s="41"/>
      <c r="I1566" s="41"/>
      <c r="J1566" s="41"/>
      <c r="K1566" s="41"/>
      <c r="L1566" s="41"/>
      <c r="M1566" s="41"/>
      <c r="N1566" s="41"/>
      <c r="O1566" s="41"/>
    </row>
    <row r="1567" spans="1:15">
      <c r="A1567" s="39"/>
      <c r="B1567" s="40"/>
      <c r="C1567" s="41"/>
      <c r="D1567" s="41"/>
      <c r="E1567" s="41"/>
      <c r="F1567" s="41"/>
      <c r="G1567" s="41"/>
      <c r="H1567" s="41"/>
      <c r="I1567" s="41"/>
      <c r="J1567" s="41"/>
      <c r="K1567" s="41"/>
      <c r="L1567" s="41"/>
      <c r="M1567" s="41"/>
      <c r="N1567" s="41"/>
      <c r="O1567" s="41"/>
    </row>
    <row r="1568" spans="1:15">
      <c r="A1568" s="39"/>
      <c r="B1568" s="40"/>
      <c r="C1568" s="41"/>
      <c r="D1568" s="41"/>
      <c r="E1568" s="41"/>
      <c r="F1568" s="41"/>
      <c r="G1568" s="41"/>
      <c r="H1568" s="41"/>
      <c r="I1568" s="41"/>
      <c r="J1568" s="41"/>
      <c r="K1568" s="41"/>
      <c r="L1568" s="41"/>
      <c r="M1568" s="41"/>
      <c r="N1568" s="41"/>
      <c r="O1568" s="41"/>
    </row>
    <row r="1569" spans="1:15">
      <c r="A1569" s="39"/>
      <c r="B1569" s="40"/>
      <c r="C1569" s="41"/>
      <c r="D1569" s="41"/>
      <c r="E1569" s="41"/>
      <c r="F1569" s="41"/>
      <c r="G1569" s="41"/>
      <c r="H1569" s="41"/>
      <c r="I1569" s="41"/>
      <c r="J1569" s="41"/>
      <c r="K1569" s="41"/>
      <c r="L1569" s="41"/>
      <c r="M1569" s="41"/>
      <c r="N1569" s="41"/>
      <c r="O1569" s="41"/>
    </row>
    <row r="1570" spans="1:15">
      <c r="A1570" s="39"/>
      <c r="B1570" s="40"/>
      <c r="C1570" s="41"/>
      <c r="D1570" s="41"/>
      <c r="E1570" s="41"/>
      <c r="F1570" s="41"/>
      <c r="G1570" s="41"/>
      <c r="H1570" s="41"/>
      <c r="I1570" s="41"/>
      <c r="J1570" s="41"/>
      <c r="K1570" s="41"/>
      <c r="L1570" s="41"/>
      <c r="M1570" s="41"/>
      <c r="N1570" s="41"/>
      <c r="O1570" s="41"/>
    </row>
    <row r="1571" spans="1:15">
      <c r="A1571" s="39"/>
      <c r="B1571" s="40"/>
      <c r="C1571" s="41"/>
      <c r="D1571" s="41"/>
      <c r="E1571" s="41"/>
      <c r="F1571" s="41"/>
      <c r="G1571" s="41"/>
      <c r="H1571" s="41"/>
      <c r="I1571" s="41"/>
      <c r="J1571" s="41"/>
      <c r="K1571" s="41"/>
      <c r="L1571" s="41"/>
      <c r="M1571" s="41"/>
      <c r="N1571" s="41"/>
      <c r="O1571" s="41"/>
    </row>
    <row r="1572" spans="1:15">
      <c r="A1572" s="39"/>
      <c r="B1572" s="40"/>
      <c r="C1572" s="41"/>
      <c r="D1572" s="41"/>
      <c r="E1572" s="41"/>
      <c r="F1572" s="41"/>
      <c r="G1572" s="41"/>
      <c r="H1572" s="41"/>
      <c r="I1572" s="41"/>
      <c r="J1572" s="41"/>
      <c r="K1572" s="41"/>
      <c r="L1572" s="41"/>
      <c r="M1572" s="41"/>
      <c r="N1572" s="41"/>
      <c r="O1572" s="41"/>
    </row>
    <row r="1573" spans="1:15">
      <c r="A1573" s="39"/>
      <c r="B1573" s="40"/>
      <c r="C1573" s="41"/>
      <c r="D1573" s="41"/>
      <c r="E1573" s="41"/>
      <c r="F1573" s="41"/>
      <c r="G1573" s="41"/>
      <c r="H1573" s="41"/>
      <c r="I1573" s="41"/>
      <c r="J1573" s="41"/>
      <c r="K1573" s="41"/>
      <c r="L1573" s="41"/>
      <c r="M1573" s="41"/>
      <c r="N1573" s="41"/>
      <c r="O1573" s="41"/>
    </row>
    <row r="1574" spans="1:15">
      <c r="A1574" s="39"/>
      <c r="B1574" s="40"/>
      <c r="C1574" s="41"/>
      <c r="D1574" s="41"/>
      <c r="E1574" s="41"/>
      <c r="F1574" s="41"/>
      <c r="G1574" s="41"/>
      <c r="H1574" s="41"/>
      <c r="I1574" s="41"/>
      <c r="J1574" s="41"/>
      <c r="K1574" s="41"/>
      <c r="L1574" s="41"/>
      <c r="M1574" s="41"/>
      <c r="N1574" s="41"/>
      <c r="O1574" s="41"/>
    </row>
    <row r="1575" spans="1:15">
      <c r="A1575" s="39"/>
      <c r="B1575" s="40"/>
      <c r="C1575" s="41"/>
      <c r="D1575" s="41"/>
      <c r="E1575" s="41"/>
      <c r="F1575" s="41"/>
      <c r="G1575" s="41"/>
      <c r="H1575" s="41"/>
      <c r="I1575" s="41"/>
      <c r="J1575" s="41"/>
      <c r="K1575" s="41"/>
      <c r="L1575" s="41"/>
      <c r="M1575" s="41"/>
      <c r="N1575" s="41"/>
      <c r="O1575" s="41"/>
    </row>
    <row r="1576" spans="1:15">
      <c r="A1576" s="39"/>
      <c r="B1576" s="40"/>
      <c r="C1576" s="41"/>
      <c r="D1576" s="41"/>
      <c r="E1576" s="41"/>
      <c r="F1576" s="41"/>
      <c r="G1576" s="41"/>
      <c r="H1576" s="41"/>
      <c r="I1576" s="41"/>
      <c r="J1576" s="41"/>
      <c r="K1576" s="41"/>
      <c r="L1576" s="41"/>
      <c r="M1576" s="41"/>
      <c r="N1576" s="41"/>
      <c r="O1576" s="41"/>
    </row>
    <row r="1577" spans="1:15">
      <c r="A1577" s="39"/>
      <c r="B1577" s="40"/>
      <c r="C1577" s="41"/>
      <c r="D1577" s="41"/>
      <c r="E1577" s="41"/>
      <c r="F1577" s="41"/>
      <c r="G1577" s="41"/>
      <c r="H1577" s="41"/>
      <c r="I1577" s="41"/>
      <c r="J1577" s="41"/>
      <c r="K1577" s="41"/>
      <c r="L1577" s="41"/>
      <c r="M1577" s="41"/>
      <c r="N1577" s="41"/>
      <c r="O1577" s="41"/>
    </row>
    <row r="1578" spans="1:15">
      <c r="A1578" s="39"/>
      <c r="B1578" s="40"/>
      <c r="C1578" s="41"/>
      <c r="D1578" s="41"/>
      <c r="E1578" s="41"/>
      <c r="F1578" s="41"/>
      <c r="G1578" s="41"/>
      <c r="H1578" s="41"/>
      <c r="I1578" s="41"/>
      <c r="J1578" s="41"/>
      <c r="K1578" s="41"/>
      <c r="L1578" s="41"/>
      <c r="M1578" s="41"/>
      <c r="N1578" s="41"/>
      <c r="O1578" s="41"/>
    </row>
    <row r="1579" spans="1:15">
      <c r="A1579" s="39"/>
      <c r="B1579" s="40"/>
      <c r="C1579" s="41"/>
      <c r="D1579" s="41"/>
      <c r="E1579" s="41"/>
      <c r="F1579" s="41"/>
      <c r="G1579" s="41"/>
      <c r="H1579" s="41"/>
      <c r="I1579" s="41"/>
      <c r="J1579" s="41"/>
      <c r="K1579" s="41"/>
      <c r="L1579" s="41"/>
      <c r="M1579" s="41"/>
      <c r="N1579" s="41"/>
      <c r="O1579" s="41"/>
    </row>
    <row r="1580" spans="1:15">
      <c r="A1580" s="39"/>
      <c r="B1580" s="40"/>
      <c r="C1580" s="41"/>
      <c r="D1580" s="41"/>
      <c r="E1580" s="41"/>
      <c r="F1580" s="41"/>
      <c r="G1580" s="41"/>
      <c r="H1580" s="41"/>
      <c r="I1580" s="41"/>
      <c r="J1580" s="41"/>
      <c r="K1580" s="41"/>
      <c r="L1580" s="41"/>
      <c r="M1580" s="41"/>
      <c r="N1580" s="41"/>
      <c r="O1580" s="41"/>
    </row>
    <row r="1581" spans="1:15">
      <c r="A1581" s="39"/>
      <c r="B1581" s="40"/>
      <c r="C1581" s="41"/>
      <c r="D1581" s="41"/>
      <c r="E1581" s="41"/>
      <c r="F1581" s="41"/>
      <c r="G1581" s="41"/>
      <c r="H1581" s="41"/>
      <c r="I1581" s="41"/>
      <c r="J1581" s="41"/>
      <c r="K1581" s="41"/>
      <c r="L1581" s="41"/>
      <c r="M1581" s="41"/>
      <c r="N1581" s="41"/>
      <c r="O1581" s="41"/>
    </row>
    <row r="1582" spans="1:15">
      <c r="A1582" s="39"/>
      <c r="B1582" s="40"/>
      <c r="C1582" s="41"/>
      <c r="D1582" s="41"/>
      <c r="E1582" s="41"/>
      <c r="F1582" s="41"/>
      <c r="G1582" s="41"/>
      <c r="H1582" s="41"/>
      <c r="I1582" s="41"/>
      <c r="J1582" s="41"/>
      <c r="K1582" s="41"/>
      <c r="L1582" s="41"/>
      <c r="M1582" s="41"/>
      <c r="N1582" s="41"/>
      <c r="O1582" s="41"/>
    </row>
    <row r="1583" spans="1:15">
      <c r="A1583" s="39"/>
      <c r="B1583" s="40"/>
      <c r="C1583" s="41"/>
      <c r="D1583" s="41"/>
      <c r="E1583" s="41"/>
      <c r="F1583" s="41"/>
      <c r="G1583" s="41"/>
      <c r="H1583" s="41"/>
      <c r="I1583" s="41"/>
      <c r="J1583" s="41"/>
      <c r="K1583" s="41"/>
      <c r="L1583" s="41"/>
      <c r="M1583" s="41"/>
      <c r="N1583" s="41"/>
      <c r="O1583" s="41"/>
    </row>
    <row r="1584" spans="1:15">
      <c r="A1584" s="39"/>
      <c r="B1584" s="40"/>
      <c r="C1584" s="41"/>
      <c r="D1584" s="41"/>
      <c r="E1584" s="41"/>
      <c r="F1584" s="41"/>
      <c r="G1584" s="41"/>
      <c r="H1584" s="41"/>
      <c r="I1584" s="41"/>
      <c r="J1584" s="41"/>
      <c r="K1584" s="41"/>
      <c r="L1584" s="41"/>
      <c r="M1584" s="41"/>
      <c r="N1584" s="41"/>
      <c r="O1584" s="41"/>
    </row>
    <row r="1585" spans="1:15">
      <c r="A1585" s="39"/>
      <c r="B1585" s="40"/>
      <c r="C1585" s="41"/>
      <c r="D1585" s="41"/>
      <c r="E1585" s="41"/>
      <c r="F1585" s="41"/>
      <c r="G1585" s="41"/>
      <c r="H1585" s="41"/>
      <c r="I1585" s="41"/>
      <c r="J1585" s="41"/>
      <c r="K1585" s="41"/>
      <c r="L1585" s="41"/>
      <c r="M1585" s="41"/>
      <c r="N1585" s="41"/>
      <c r="O1585" s="41"/>
    </row>
    <row r="1586" spans="1:15">
      <c r="A1586" s="39"/>
      <c r="B1586" s="40"/>
      <c r="C1586" s="41"/>
      <c r="D1586" s="41"/>
      <c r="E1586" s="41"/>
      <c r="F1586" s="41"/>
      <c r="G1586" s="41"/>
      <c r="H1586" s="41"/>
      <c r="I1586" s="41"/>
      <c r="J1586" s="41"/>
      <c r="K1586" s="41"/>
      <c r="L1586" s="41"/>
      <c r="M1586" s="41"/>
      <c r="N1586" s="41"/>
      <c r="O1586" s="41"/>
    </row>
    <row r="1587" spans="1:15">
      <c r="A1587" s="39"/>
      <c r="B1587" s="40"/>
      <c r="C1587" s="41"/>
      <c r="D1587" s="41"/>
      <c r="E1587" s="41"/>
      <c r="F1587" s="41"/>
      <c r="G1587" s="41"/>
      <c r="H1587" s="41"/>
      <c r="I1587" s="41"/>
      <c r="J1587" s="41"/>
      <c r="K1587" s="41"/>
      <c r="L1587" s="41"/>
      <c r="M1587" s="41"/>
      <c r="N1587" s="41"/>
      <c r="O1587" s="41"/>
    </row>
    <row r="1588" spans="1:15">
      <c r="A1588" s="39"/>
      <c r="B1588" s="40"/>
      <c r="C1588" s="41"/>
      <c r="D1588" s="41"/>
      <c r="E1588" s="41"/>
      <c r="F1588" s="41"/>
      <c r="G1588" s="41"/>
      <c r="H1588" s="41"/>
      <c r="I1588" s="41"/>
      <c r="J1588" s="41"/>
      <c r="K1588" s="41"/>
      <c r="L1588" s="41"/>
      <c r="M1588" s="41"/>
      <c r="N1588" s="41"/>
      <c r="O1588" s="41"/>
    </row>
    <row r="1589" spans="1:15">
      <c r="A1589" s="39"/>
      <c r="B1589" s="40"/>
      <c r="C1589" s="41"/>
      <c r="D1589" s="41"/>
      <c r="E1589" s="41"/>
      <c r="F1589" s="41"/>
      <c r="G1589" s="41"/>
      <c r="H1589" s="41"/>
      <c r="I1589" s="41"/>
      <c r="J1589" s="41"/>
      <c r="K1589" s="41"/>
      <c r="L1589" s="41"/>
      <c r="M1589" s="41"/>
      <c r="N1589" s="41"/>
      <c r="O1589" s="41"/>
    </row>
    <row r="1590" spans="1:15">
      <c r="A1590" s="39"/>
      <c r="B1590" s="40"/>
      <c r="C1590" s="41"/>
      <c r="D1590" s="41"/>
      <c r="E1590" s="41"/>
      <c r="F1590" s="41"/>
      <c r="G1590" s="41"/>
      <c r="H1590" s="41"/>
      <c r="I1590" s="41"/>
      <c r="J1590" s="41"/>
      <c r="K1590" s="41"/>
      <c r="L1590" s="41"/>
      <c r="M1590" s="41"/>
      <c r="N1590" s="41"/>
      <c r="O1590" s="41"/>
    </row>
    <row r="1591" spans="1:15">
      <c r="A1591" s="39"/>
      <c r="B1591" s="40"/>
      <c r="C1591" s="41"/>
      <c r="D1591" s="41"/>
      <c r="E1591" s="41"/>
      <c r="F1591" s="41"/>
      <c r="G1591" s="41"/>
      <c r="H1591" s="41"/>
      <c r="I1591" s="41"/>
      <c r="J1591" s="41"/>
      <c r="K1591" s="41"/>
      <c r="L1591" s="41"/>
      <c r="M1591" s="41"/>
      <c r="N1591" s="41"/>
      <c r="O1591" s="41"/>
    </row>
    <row r="1592" spans="1:15">
      <c r="A1592" s="39"/>
      <c r="B1592" s="40"/>
      <c r="C1592" s="41"/>
      <c r="D1592" s="41"/>
      <c r="E1592" s="41"/>
      <c r="F1592" s="41"/>
      <c r="G1592" s="41"/>
      <c r="H1592" s="41"/>
      <c r="I1592" s="41"/>
      <c r="J1592" s="41"/>
      <c r="K1592" s="41"/>
      <c r="L1592" s="41"/>
      <c r="M1592" s="41"/>
      <c r="N1592" s="41"/>
      <c r="O1592" s="41"/>
    </row>
    <row r="1593" spans="1:15">
      <c r="A1593" s="39"/>
      <c r="B1593" s="40"/>
      <c r="C1593" s="41"/>
      <c r="D1593" s="41"/>
      <c r="E1593" s="41"/>
      <c r="F1593" s="41"/>
      <c r="G1593" s="41"/>
      <c r="H1593" s="41"/>
      <c r="I1593" s="41"/>
      <c r="J1593" s="41"/>
      <c r="K1593" s="41"/>
      <c r="L1593" s="41"/>
      <c r="M1593" s="41"/>
      <c r="N1593" s="41"/>
      <c r="O1593" s="41"/>
    </row>
    <row r="1594" spans="1:15">
      <c r="A1594" s="39"/>
      <c r="B1594" s="40"/>
      <c r="C1594" s="41"/>
      <c r="D1594" s="41"/>
      <c r="E1594" s="41"/>
      <c r="F1594" s="41"/>
      <c r="G1594" s="41"/>
      <c r="H1594" s="41"/>
      <c r="I1594" s="41"/>
      <c r="J1594" s="41"/>
      <c r="K1594" s="41"/>
      <c r="L1594" s="41"/>
      <c r="M1594" s="41"/>
      <c r="N1594" s="41"/>
      <c r="O1594" s="41"/>
    </row>
    <row r="1595" spans="1:15">
      <c r="A1595" s="39"/>
      <c r="B1595" s="40"/>
      <c r="C1595" s="41"/>
      <c r="D1595" s="41"/>
      <c r="E1595" s="41"/>
      <c r="F1595" s="41"/>
      <c r="G1595" s="41"/>
      <c r="H1595" s="41"/>
      <c r="I1595" s="41"/>
      <c r="J1595" s="41"/>
      <c r="K1595" s="41"/>
      <c r="L1595" s="41"/>
      <c r="M1595" s="41"/>
      <c r="N1595" s="41"/>
      <c r="O1595" s="41"/>
    </row>
    <row r="1596" spans="1:15">
      <c r="A1596" s="39"/>
      <c r="B1596" s="40"/>
      <c r="C1596" s="41"/>
      <c r="D1596" s="41"/>
      <c r="E1596" s="41"/>
      <c r="F1596" s="41"/>
      <c r="G1596" s="41"/>
      <c r="H1596" s="41"/>
      <c r="I1596" s="41"/>
      <c r="J1596" s="41"/>
      <c r="K1596" s="41"/>
      <c r="L1596" s="41"/>
      <c r="M1596" s="41"/>
      <c r="N1596" s="41"/>
      <c r="O1596" s="41"/>
    </row>
    <row r="1597" spans="1:15">
      <c r="A1597" s="39"/>
      <c r="B1597" s="40"/>
      <c r="C1597" s="41"/>
      <c r="D1597" s="41"/>
      <c r="E1597" s="41"/>
      <c r="F1597" s="41"/>
      <c r="G1597" s="41"/>
      <c r="H1597" s="41"/>
      <c r="I1597" s="41"/>
      <c r="J1597" s="41"/>
      <c r="K1597" s="41"/>
      <c r="L1597" s="41"/>
      <c r="M1597" s="41"/>
      <c r="N1597" s="41"/>
      <c r="O1597" s="41"/>
    </row>
    <row r="1598" spans="1:15">
      <c r="A1598" s="39"/>
      <c r="B1598" s="40"/>
      <c r="C1598" s="41"/>
      <c r="D1598" s="41"/>
      <c r="E1598" s="41"/>
      <c r="F1598" s="41"/>
      <c r="G1598" s="41"/>
      <c r="H1598" s="41"/>
      <c r="I1598" s="41"/>
      <c r="J1598" s="41"/>
      <c r="K1598" s="41"/>
      <c r="L1598" s="41"/>
      <c r="M1598" s="41"/>
      <c r="N1598" s="41"/>
      <c r="O1598" s="41"/>
    </row>
    <row r="1599" spans="1:15">
      <c r="A1599" s="39"/>
      <c r="B1599" s="40"/>
      <c r="C1599" s="41"/>
      <c r="D1599" s="41"/>
      <c r="E1599" s="41"/>
      <c r="F1599" s="41"/>
      <c r="G1599" s="41"/>
      <c r="H1599" s="41"/>
      <c r="I1599" s="41"/>
      <c r="J1599" s="41"/>
      <c r="K1599" s="41"/>
      <c r="L1599" s="41"/>
      <c r="M1599" s="41"/>
      <c r="N1599" s="41"/>
      <c r="O1599" s="41"/>
    </row>
    <row r="1600" spans="1:15">
      <c r="A1600" s="39"/>
      <c r="B1600" s="40"/>
      <c r="C1600" s="41"/>
      <c r="D1600" s="41"/>
      <c r="E1600" s="41"/>
      <c r="F1600" s="41"/>
      <c r="G1600" s="41"/>
      <c r="H1600" s="41"/>
      <c r="I1600" s="41"/>
      <c r="J1600" s="41"/>
      <c r="K1600" s="41"/>
      <c r="L1600" s="41"/>
      <c r="M1600" s="41"/>
      <c r="N1600" s="41"/>
      <c r="O1600" s="41"/>
    </row>
    <row r="1601" spans="1:15">
      <c r="A1601" s="39"/>
      <c r="B1601" s="40"/>
      <c r="C1601" s="41"/>
      <c r="D1601" s="41"/>
      <c r="E1601" s="41"/>
      <c r="F1601" s="41"/>
      <c r="G1601" s="41"/>
      <c r="H1601" s="41"/>
      <c r="I1601" s="41"/>
      <c r="J1601" s="41"/>
      <c r="K1601" s="41"/>
      <c r="L1601" s="41"/>
      <c r="M1601" s="41"/>
      <c r="N1601" s="41"/>
      <c r="O1601" s="41"/>
    </row>
    <row r="1602" spans="1:15">
      <c r="A1602" s="39"/>
      <c r="B1602" s="40"/>
      <c r="C1602" s="41"/>
      <c r="D1602" s="41"/>
      <c r="E1602" s="41"/>
      <c r="F1602" s="41"/>
      <c r="G1602" s="41"/>
      <c r="H1602" s="41"/>
      <c r="I1602" s="41"/>
      <c r="J1602" s="41"/>
      <c r="K1602" s="41"/>
      <c r="L1602" s="41"/>
      <c r="M1602" s="41"/>
      <c r="N1602" s="41"/>
      <c r="O1602" s="41"/>
    </row>
    <row r="1603" spans="1:15">
      <c r="A1603" s="39"/>
      <c r="B1603" s="40"/>
      <c r="C1603" s="41"/>
      <c r="D1603" s="41"/>
      <c r="E1603" s="41"/>
      <c r="F1603" s="41"/>
      <c r="G1603" s="41"/>
      <c r="H1603" s="41"/>
      <c r="I1603" s="41"/>
      <c r="J1603" s="41"/>
      <c r="K1603" s="41"/>
      <c r="L1603" s="41"/>
      <c r="M1603" s="41"/>
      <c r="N1603" s="41"/>
      <c r="O1603" s="41"/>
    </row>
    <row r="1604" spans="1:15">
      <c r="A1604" s="39"/>
      <c r="B1604" s="40"/>
      <c r="C1604" s="41"/>
      <c r="D1604" s="41"/>
      <c r="E1604" s="41"/>
      <c r="F1604" s="41"/>
      <c r="G1604" s="41"/>
      <c r="H1604" s="41"/>
      <c r="I1604" s="41"/>
      <c r="J1604" s="41"/>
      <c r="K1604" s="41"/>
      <c r="L1604" s="41"/>
      <c r="M1604" s="41"/>
      <c r="N1604" s="41"/>
      <c r="O1604" s="41"/>
    </row>
    <row r="1605" spans="1:15">
      <c r="A1605" s="39"/>
      <c r="B1605" s="40"/>
      <c r="C1605" s="41"/>
      <c r="D1605" s="41"/>
      <c r="E1605" s="41"/>
      <c r="F1605" s="41"/>
      <c r="G1605" s="41"/>
      <c r="H1605" s="41"/>
      <c r="I1605" s="41"/>
      <c r="J1605" s="41"/>
      <c r="K1605" s="41"/>
      <c r="L1605" s="41"/>
      <c r="M1605" s="41"/>
      <c r="N1605" s="41"/>
      <c r="O1605" s="41"/>
    </row>
    <row r="1606" spans="1:15">
      <c r="A1606" s="39"/>
      <c r="B1606" s="40"/>
      <c r="C1606" s="41"/>
      <c r="D1606" s="41"/>
      <c r="E1606" s="41"/>
      <c r="F1606" s="41"/>
      <c r="G1606" s="41"/>
      <c r="H1606" s="41"/>
      <c r="I1606" s="41"/>
      <c r="J1606" s="41"/>
      <c r="K1606" s="41"/>
      <c r="L1606" s="41"/>
      <c r="M1606" s="41"/>
      <c r="N1606" s="41"/>
      <c r="O1606" s="41"/>
    </row>
    <row r="1607" spans="1:15">
      <c r="A1607" s="39"/>
      <c r="B1607" s="40"/>
      <c r="C1607" s="41"/>
      <c r="D1607" s="41"/>
      <c r="E1607" s="41"/>
      <c r="F1607" s="41"/>
      <c r="G1607" s="41"/>
      <c r="H1607" s="41"/>
      <c r="I1607" s="41"/>
      <c r="J1607" s="41"/>
      <c r="K1607" s="41"/>
      <c r="L1607" s="41"/>
      <c r="M1607" s="41"/>
      <c r="N1607" s="41"/>
      <c r="O1607" s="41"/>
    </row>
    <row r="1608" spans="1:15">
      <c r="A1608" s="39"/>
      <c r="B1608" s="40"/>
      <c r="C1608" s="41"/>
      <c r="D1608" s="41"/>
      <c r="E1608" s="41"/>
      <c r="F1608" s="41"/>
      <c r="G1608" s="41"/>
      <c r="H1608" s="41"/>
      <c r="I1608" s="41"/>
      <c r="J1608" s="41"/>
      <c r="K1608" s="41"/>
      <c r="L1608" s="41"/>
      <c r="M1608" s="41"/>
      <c r="N1608" s="41"/>
      <c r="O1608" s="41"/>
    </row>
    <row r="1609" spans="1:15">
      <c r="A1609" s="39"/>
      <c r="B1609" s="40"/>
      <c r="C1609" s="41"/>
      <c r="D1609" s="41"/>
      <c r="E1609" s="41"/>
      <c r="F1609" s="41"/>
      <c r="G1609" s="41"/>
      <c r="H1609" s="41"/>
      <c r="I1609" s="41"/>
      <c r="J1609" s="41"/>
      <c r="K1609" s="41"/>
      <c r="L1609" s="41"/>
      <c r="M1609" s="41"/>
      <c r="N1609" s="41"/>
      <c r="O1609" s="41"/>
    </row>
    <row r="1610" spans="1:15">
      <c r="A1610" s="39"/>
      <c r="B1610" s="40"/>
      <c r="C1610" s="41"/>
      <c r="D1610" s="41"/>
      <c r="E1610" s="41"/>
      <c r="F1610" s="41"/>
      <c r="G1610" s="41"/>
      <c r="H1610" s="41"/>
      <c r="I1610" s="41"/>
      <c r="J1610" s="41"/>
      <c r="K1610" s="41"/>
      <c r="L1610" s="41"/>
      <c r="M1610" s="41"/>
      <c r="N1610" s="41"/>
      <c r="O1610" s="41"/>
    </row>
    <row r="1611" spans="1:15">
      <c r="A1611" s="39"/>
      <c r="B1611" s="40"/>
      <c r="C1611" s="41"/>
      <c r="D1611" s="41"/>
      <c r="E1611" s="41"/>
      <c r="F1611" s="41"/>
      <c r="G1611" s="41"/>
      <c r="H1611" s="41"/>
      <c r="I1611" s="41"/>
      <c r="J1611" s="41"/>
      <c r="K1611" s="41"/>
      <c r="L1611" s="41"/>
      <c r="M1611" s="41"/>
      <c r="N1611" s="41"/>
      <c r="O1611" s="41"/>
    </row>
    <row r="1612" spans="1:15">
      <c r="A1612" s="39"/>
      <c r="B1612" s="40"/>
      <c r="C1612" s="41"/>
      <c r="D1612" s="41"/>
      <c r="E1612" s="41"/>
      <c r="F1612" s="41"/>
      <c r="G1612" s="41"/>
      <c r="H1612" s="41"/>
      <c r="I1612" s="41"/>
      <c r="J1612" s="41"/>
      <c r="K1612" s="41"/>
      <c r="L1612" s="41"/>
      <c r="M1612" s="41"/>
      <c r="N1612" s="41"/>
      <c r="O1612" s="41"/>
    </row>
    <row r="1613" spans="1:15">
      <c r="A1613" s="39"/>
      <c r="B1613" s="40"/>
      <c r="C1613" s="41"/>
      <c r="D1613" s="41"/>
      <c r="E1613" s="41"/>
      <c r="F1613" s="41"/>
      <c r="G1613" s="41"/>
      <c r="H1613" s="41"/>
      <c r="I1613" s="41"/>
      <c r="J1613" s="41"/>
      <c r="K1613" s="41"/>
      <c r="L1613" s="41"/>
      <c r="M1613" s="41"/>
      <c r="N1613" s="41"/>
      <c r="O1613" s="41"/>
    </row>
    <row r="1614" spans="1:15">
      <c r="A1614" s="39"/>
      <c r="B1614" s="40"/>
      <c r="C1614" s="41"/>
      <c r="D1614" s="41"/>
      <c r="E1614" s="41"/>
      <c r="F1614" s="41"/>
      <c r="G1614" s="41"/>
      <c r="H1614" s="41"/>
      <c r="I1614" s="41"/>
      <c r="J1614" s="41"/>
      <c r="K1614" s="41"/>
      <c r="L1614" s="41"/>
      <c r="M1614" s="41"/>
      <c r="N1614" s="41"/>
      <c r="O1614" s="41"/>
    </row>
    <row r="1615" spans="1:15">
      <c r="A1615" s="39"/>
      <c r="B1615" s="40"/>
      <c r="C1615" s="41"/>
      <c r="D1615" s="41"/>
      <c r="E1615" s="41"/>
      <c r="F1615" s="41"/>
      <c r="G1615" s="41"/>
      <c r="H1615" s="41"/>
      <c r="I1615" s="41"/>
      <c r="J1615" s="41"/>
      <c r="K1615" s="41"/>
      <c r="L1615" s="41"/>
      <c r="M1615" s="41"/>
      <c r="N1615" s="41"/>
      <c r="O1615" s="41"/>
    </row>
    <row r="1616" spans="1:15">
      <c r="A1616" s="39"/>
      <c r="B1616" s="40"/>
      <c r="C1616" s="41"/>
      <c r="D1616" s="41"/>
      <c r="E1616" s="41"/>
      <c r="F1616" s="41"/>
      <c r="G1616" s="41"/>
      <c r="H1616" s="41"/>
      <c r="I1616" s="41"/>
      <c r="J1616" s="41"/>
      <c r="K1616" s="41"/>
      <c r="L1616" s="41"/>
      <c r="M1616" s="41"/>
      <c r="N1616" s="41"/>
      <c r="O1616" s="41"/>
    </row>
    <row r="1617" spans="1:15">
      <c r="A1617" s="39"/>
      <c r="B1617" s="40"/>
      <c r="C1617" s="41"/>
      <c r="D1617" s="41"/>
      <c r="E1617" s="41"/>
      <c r="F1617" s="41"/>
      <c r="G1617" s="41"/>
      <c r="H1617" s="41"/>
      <c r="I1617" s="41"/>
      <c r="J1617" s="41"/>
      <c r="K1617" s="41"/>
      <c r="L1617" s="41"/>
      <c r="M1617" s="41"/>
      <c r="N1617" s="41"/>
      <c r="O1617" s="41"/>
    </row>
    <row r="1618" spans="1:15">
      <c r="A1618" s="39"/>
      <c r="B1618" s="40"/>
      <c r="C1618" s="41"/>
      <c r="D1618" s="41"/>
      <c r="E1618" s="41"/>
      <c r="F1618" s="41"/>
      <c r="G1618" s="41"/>
      <c r="H1618" s="41"/>
      <c r="I1618" s="41"/>
      <c r="J1618" s="41"/>
      <c r="K1618" s="41"/>
      <c r="L1618" s="41"/>
      <c r="M1618" s="41"/>
      <c r="N1618" s="41"/>
      <c r="O1618" s="41"/>
    </row>
    <row r="1619" spans="1:15">
      <c r="A1619" s="39"/>
      <c r="B1619" s="40"/>
      <c r="C1619" s="41"/>
      <c r="D1619" s="41"/>
      <c r="E1619" s="41"/>
      <c r="F1619" s="41"/>
      <c r="G1619" s="41"/>
      <c r="H1619" s="41"/>
      <c r="I1619" s="41"/>
      <c r="J1619" s="41"/>
      <c r="K1619" s="41"/>
      <c r="L1619" s="41"/>
      <c r="M1619" s="41"/>
      <c r="N1619" s="41"/>
      <c r="O1619" s="41"/>
    </row>
    <row r="1620" spans="1:15">
      <c r="A1620" s="39"/>
      <c r="B1620" s="40"/>
      <c r="C1620" s="41"/>
      <c r="D1620" s="41"/>
      <c r="E1620" s="41"/>
      <c r="F1620" s="41"/>
      <c r="G1620" s="41"/>
      <c r="H1620" s="41"/>
      <c r="I1620" s="41"/>
      <c r="J1620" s="41"/>
      <c r="K1620" s="41"/>
      <c r="L1620" s="41"/>
      <c r="M1620" s="41"/>
      <c r="N1620" s="41"/>
      <c r="O1620" s="41"/>
    </row>
    <row r="1621" spans="1:15">
      <c r="A1621" s="39"/>
      <c r="B1621" s="40"/>
      <c r="C1621" s="41"/>
      <c r="D1621" s="41"/>
      <c r="E1621" s="41"/>
      <c r="F1621" s="41"/>
      <c r="G1621" s="41"/>
      <c r="H1621" s="41"/>
      <c r="I1621" s="41"/>
      <c r="J1621" s="41"/>
      <c r="K1621" s="41"/>
      <c r="L1621" s="41"/>
      <c r="M1621" s="41"/>
      <c r="N1621" s="41"/>
      <c r="O1621" s="41"/>
    </row>
    <row r="1622" spans="1:15">
      <c r="A1622" s="39"/>
      <c r="B1622" s="40"/>
      <c r="C1622" s="41"/>
      <c r="D1622" s="41"/>
      <c r="E1622" s="41"/>
      <c r="F1622" s="41"/>
      <c r="G1622" s="41"/>
      <c r="H1622" s="41"/>
      <c r="I1622" s="41"/>
      <c r="J1622" s="41"/>
      <c r="K1622" s="41"/>
      <c r="L1622" s="41"/>
      <c r="M1622" s="41"/>
      <c r="N1622" s="41"/>
      <c r="O1622" s="41"/>
    </row>
    <row r="1623" spans="1:15">
      <c r="A1623" s="39"/>
      <c r="B1623" s="40"/>
      <c r="C1623" s="41"/>
      <c r="D1623" s="41"/>
      <c r="E1623" s="41"/>
      <c r="F1623" s="41"/>
      <c r="G1623" s="41"/>
      <c r="H1623" s="41"/>
      <c r="I1623" s="41"/>
      <c r="J1623" s="41"/>
      <c r="K1623" s="41"/>
      <c r="L1623" s="41"/>
      <c r="M1623" s="41"/>
      <c r="N1623" s="41"/>
      <c r="O1623" s="41"/>
    </row>
    <row r="1624" spans="1:15">
      <c r="A1624" s="39"/>
      <c r="B1624" s="40"/>
      <c r="C1624" s="41"/>
      <c r="D1624" s="41"/>
      <c r="E1624" s="41"/>
      <c r="F1624" s="41"/>
      <c r="G1624" s="41"/>
      <c r="H1624" s="41"/>
      <c r="I1624" s="41"/>
      <c r="J1624" s="41"/>
      <c r="K1624" s="41"/>
      <c r="L1624" s="41"/>
      <c r="M1624" s="41"/>
      <c r="N1624" s="41"/>
      <c r="O1624" s="41"/>
    </row>
    <row r="1625" spans="1:15">
      <c r="A1625" s="39"/>
      <c r="B1625" s="40"/>
      <c r="C1625" s="41"/>
      <c r="D1625" s="41"/>
      <c r="E1625" s="41"/>
      <c r="F1625" s="41"/>
      <c r="G1625" s="41"/>
      <c r="H1625" s="41"/>
      <c r="I1625" s="41"/>
      <c r="J1625" s="41"/>
      <c r="K1625" s="41"/>
      <c r="L1625" s="41"/>
      <c r="M1625" s="41"/>
      <c r="N1625" s="41"/>
      <c r="O1625" s="41"/>
    </row>
    <row r="1626" spans="1:15">
      <c r="A1626" s="39"/>
      <c r="B1626" s="40"/>
      <c r="C1626" s="41"/>
      <c r="D1626" s="41"/>
      <c r="E1626" s="41"/>
      <c r="F1626" s="41"/>
      <c r="G1626" s="41"/>
      <c r="H1626" s="41"/>
      <c r="I1626" s="41"/>
      <c r="J1626" s="41"/>
      <c r="K1626" s="41"/>
      <c r="L1626" s="41"/>
      <c r="M1626" s="41"/>
      <c r="N1626" s="41"/>
      <c r="O1626" s="41"/>
    </row>
    <row r="1627" spans="1:15">
      <c r="A1627" s="39"/>
      <c r="B1627" s="40"/>
      <c r="C1627" s="41"/>
      <c r="D1627" s="41"/>
      <c r="E1627" s="41"/>
      <c r="F1627" s="41"/>
      <c r="G1627" s="41"/>
      <c r="H1627" s="41"/>
      <c r="I1627" s="41"/>
      <c r="J1627" s="41"/>
      <c r="K1627" s="41"/>
      <c r="L1627" s="41"/>
      <c r="M1627" s="41"/>
      <c r="N1627" s="41"/>
      <c r="O1627" s="41"/>
    </row>
    <row r="1628" spans="1:15">
      <c r="A1628" s="39"/>
      <c r="B1628" s="40"/>
      <c r="C1628" s="41"/>
      <c r="D1628" s="41"/>
      <c r="E1628" s="41"/>
      <c r="F1628" s="41"/>
      <c r="G1628" s="41"/>
      <c r="H1628" s="41"/>
      <c r="I1628" s="41"/>
      <c r="J1628" s="41"/>
      <c r="K1628" s="41"/>
      <c r="L1628" s="41"/>
      <c r="M1628" s="41"/>
      <c r="N1628" s="41"/>
      <c r="O1628" s="41"/>
    </row>
    <row r="1629" spans="1:15">
      <c r="A1629" s="39"/>
      <c r="B1629" s="40"/>
      <c r="C1629" s="41"/>
      <c r="D1629" s="41"/>
      <c r="E1629" s="41"/>
      <c r="F1629" s="41"/>
      <c r="G1629" s="41"/>
      <c r="H1629" s="41"/>
      <c r="I1629" s="41"/>
      <c r="J1629" s="41"/>
      <c r="K1629" s="41"/>
      <c r="L1629" s="41"/>
      <c r="M1629" s="41"/>
      <c r="N1629" s="41"/>
      <c r="O1629" s="41"/>
    </row>
    <row r="1630" spans="1:15">
      <c r="A1630" s="39"/>
      <c r="B1630" s="40"/>
      <c r="C1630" s="41"/>
      <c r="D1630" s="41"/>
      <c r="E1630" s="41"/>
      <c r="F1630" s="41"/>
      <c r="G1630" s="41"/>
      <c r="H1630" s="41"/>
      <c r="I1630" s="41"/>
      <c r="J1630" s="41"/>
      <c r="K1630" s="41"/>
      <c r="L1630" s="41"/>
      <c r="M1630" s="41"/>
      <c r="N1630" s="41"/>
      <c r="O1630" s="41"/>
    </row>
    <row r="1631" spans="1:15">
      <c r="A1631" s="39"/>
      <c r="B1631" s="40"/>
      <c r="C1631" s="41"/>
      <c r="D1631" s="41"/>
      <c r="E1631" s="41"/>
      <c r="F1631" s="41"/>
      <c r="G1631" s="41"/>
      <c r="H1631" s="41"/>
      <c r="I1631" s="41"/>
      <c r="J1631" s="41"/>
      <c r="K1631" s="41"/>
      <c r="L1631" s="41"/>
      <c r="M1631" s="41"/>
      <c r="N1631" s="41"/>
      <c r="O1631" s="41"/>
    </row>
    <row r="1632" spans="1:15">
      <c r="A1632" s="39"/>
      <c r="B1632" s="40"/>
      <c r="C1632" s="41"/>
      <c r="D1632" s="41"/>
      <c r="E1632" s="41"/>
      <c r="F1632" s="41"/>
      <c r="G1632" s="41"/>
      <c r="H1632" s="41"/>
      <c r="I1632" s="41"/>
      <c r="J1632" s="41"/>
      <c r="K1632" s="41"/>
      <c r="L1632" s="41"/>
      <c r="M1632" s="41"/>
      <c r="N1632" s="41"/>
      <c r="O1632" s="41"/>
    </row>
    <row r="1633" spans="1:15">
      <c r="A1633" s="39"/>
      <c r="B1633" s="40"/>
      <c r="C1633" s="41"/>
      <c r="D1633" s="41"/>
      <c r="E1633" s="41"/>
      <c r="F1633" s="41"/>
      <c r="G1633" s="41"/>
      <c r="H1633" s="41"/>
      <c r="I1633" s="41"/>
      <c r="J1633" s="41"/>
      <c r="K1633" s="41"/>
      <c r="L1633" s="41"/>
      <c r="M1633" s="41"/>
      <c r="N1633" s="41"/>
      <c r="O1633" s="41"/>
    </row>
    <row r="1634" spans="1:15">
      <c r="A1634" s="39"/>
      <c r="B1634" s="40"/>
      <c r="C1634" s="41"/>
      <c r="D1634" s="41"/>
      <c r="E1634" s="41"/>
      <c r="F1634" s="41"/>
      <c r="G1634" s="41"/>
      <c r="H1634" s="41"/>
      <c r="I1634" s="41"/>
      <c r="J1634" s="41"/>
      <c r="K1634" s="41"/>
      <c r="L1634" s="41"/>
      <c r="M1634" s="41"/>
      <c r="N1634" s="41"/>
      <c r="O1634" s="41"/>
    </row>
    <row r="1635" spans="1:15">
      <c r="A1635" s="39"/>
      <c r="B1635" s="40"/>
      <c r="C1635" s="41"/>
      <c r="D1635" s="41"/>
      <c r="E1635" s="41"/>
      <c r="F1635" s="41"/>
      <c r="G1635" s="41"/>
      <c r="H1635" s="41"/>
      <c r="I1635" s="41"/>
      <c r="J1635" s="41"/>
      <c r="K1635" s="41"/>
      <c r="L1635" s="41"/>
      <c r="M1635" s="41"/>
      <c r="N1635" s="41"/>
      <c r="O1635" s="41"/>
    </row>
    <row r="1636" spans="1:15">
      <c r="A1636" s="39"/>
      <c r="B1636" s="40"/>
      <c r="C1636" s="41"/>
      <c r="D1636" s="41"/>
      <c r="E1636" s="41"/>
      <c r="F1636" s="41"/>
      <c r="G1636" s="41"/>
      <c r="H1636" s="41"/>
      <c r="I1636" s="41"/>
      <c r="J1636" s="41"/>
      <c r="K1636" s="41"/>
      <c r="L1636" s="41"/>
      <c r="M1636" s="41"/>
      <c r="N1636" s="41"/>
      <c r="O1636" s="41"/>
    </row>
    <row r="1637" spans="1:15">
      <c r="A1637" s="39"/>
      <c r="B1637" s="40"/>
      <c r="C1637" s="41"/>
      <c r="D1637" s="41"/>
      <c r="E1637" s="41"/>
      <c r="F1637" s="41"/>
      <c r="G1637" s="41"/>
      <c r="H1637" s="41"/>
      <c r="I1637" s="41"/>
      <c r="J1637" s="41"/>
      <c r="K1637" s="41"/>
      <c r="L1637" s="41"/>
      <c r="M1637" s="41"/>
      <c r="N1637" s="41"/>
      <c r="O1637" s="41"/>
    </row>
    <row r="1638" spans="1:15">
      <c r="A1638" s="39"/>
      <c r="B1638" s="40"/>
      <c r="C1638" s="41"/>
      <c r="D1638" s="41"/>
      <c r="E1638" s="41"/>
      <c r="F1638" s="41"/>
      <c r="G1638" s="41"/>
      <c r="H1638" s="41"/>
      <c r="I1638" s="41"/>
      <c r="J1638" s="41"/>
      <c r="K1638" s="41"/>
      <c r="L1638" s="41"/>
      <c r="M1638" s="41"/>
      <c r="N1638" s="41"/>
      <c r="O1638" s="41"/>
    </row>
    <row r="1639" spans="1:15">
      <c r="A1639" s="39"/>
      <c r="B1639" s="40"/>
      <c r="C1639" s="41"/>
      <c r="D1639" s="41"/>
      <c r="E1639" s="41"/>
      <c r="F1639" s="41"/>
      <c r="G1639" s="41"/>
      <c r="H1639" s="41"/>
      <c r="I1639" s="41"/>
      <c r="J1639" s="41"/>
      <c r="K1639" s="41"/>
      <c r="L1639" s="41"/>
      <c r="M1639" s="41"/>
      <c r="N1639" s="41"/>
      <c r="O1639" s="41"/>
    </row>
    <row r="1640" spans="1:15">
      <c r="A1640" s="39"/>
      <c r="B1640" s="40"/>
      <c r="C1640" s="41"/>
      <c r="D1640" s="41"/>
      <c r="E1640" s="41"/>
      <c r="F1640" s="41"/>
      <c r="G1640" s="41"/>
      <c r="H1640" s="41"/>
      <c r="I1640" s="41"/>
      <c r="J1640" s="41"/>
      <c r="K1640" s="41"/>
      <c r="L1640" s="41"/>
      <c r="M1640" s="41"/>
      <c r="N1640" s="41"/>
      <c r="O1640" s="41"/>
    </row>
    <row r="1641" spans="1:15">
      <c r="A1641" s="39"/>
      <c r="B1641" s="40"/>
      <c r="C1641" s="41"/>
      <c r="D1641" s="41"/>
      <c r="E1641" s="41"/>
      <c r="F1641" s="41"/>
      <c r="G1641" s="41"/>
      <c r="H1641" s="41"/>
      <c r="I1641" s="41"/>
      <c r="J1641" s="41"/>
      <c r="K1641" s="41"/>
      <c r="L1641" s="41"/>
      <c r="M1641" s="41"/>
      <c r="N1641" s="41"/>
      <c r="O1641" s="41"/>
    </row>
    <row r="1642" spans="1:15">
      <c r="A1642" s="39"/>
      <c r="B1642" s="40"/>
      <c r="C1642" s="41"/>
      <c r="D1642" s="41"/>
      <c r="E1642" s="41"/>
      <c r="F1642" s="41"/>
      <c r="G1642" s="41"/>
      <c r="H1642" s="41"/>
      <c r="I1642" s="41"/>
      <c r="J1642" s="41"/>
      <c r="K1642" s="41"/>
      <c r="L1642" s="41"/>
      <c r="M1642" s="41"/>
      <c r="N1642" s="41"/>
      <c r="O1642" s="41"/>
    </row>
    <row r="1643" spans="1:15">
      <c r="A1643" s="39"/>
      <c r="B1643" s="40"/>
      <c r="C1643" s="41"/>
      <c r="D1643" s="41"/>
      <c r="E1643" s="41"/>
      <c r="F1643" s="41"/>
      <c r="G1643" s="41"/>
      <c r="H1643" s="41"/>
      <c r="I1643" s="41"/>
      <c r="J1643" s="41"/>
      <c r="K1643" s="41"/>
      <c r="L1643" s="41"/>
      <c r="M1643" s="41"/>
      <c r="N1643" s="41"/>
      <c r="O1643" s="41"/>
    </row>
    <row r="1644" spans="1:15">
      <c r="A1644" s="39"/>
      <c r="B1644" s="40"/>
      <c r="C1644" s="41"/>
      <c r="D1644" s="41"/>
      <c r="E1644" s="41"/>
      <c r="F1644" s="41"/>
      <c r="G1644" s="41"/>
      <c r="H1644" s="41"/>
      <c r="I1644" s="41"/>
      <c r="J1644" s="41"/>
      <c r="K1644" s="41"/>
      <c r="L1644" s="41"/>
      <c r="M1644" s="41"/>
      <c r="N1644" s="41"/>
      <c r="O1644" s="41"/>
    </row>
    <row r="1645" spans="1:15">
      <c r="A1645" s="39"/>
      <c r="B1645" s="40"/>
      <c r="C1645" s="41"/>
      <c r="D1645" s="41"/>
      <c r="E1645" s="41"/>
      <c r="F1645" s="41"/>
      <c r="G1645" s="41"/>
      <c r="H1645" s="41"/>
      <c r="I1645" s="41"/>
      <c r="J1645" s="41"/>
      <c r="K1645" s="41"/>
      <c r="L1645" s="41"/>
      <c r="M1645" s="41"/>
      <c r="N1645" s="41"/>
      <c r="O1645" s="41"/>
    </row>
    <row r="1646" spans="1:15">
      <c r="A1646" s="39"/>
      <c r="B1646" s="40"/>
      <c r="C1646" s="41"/>
      <c r="D1646" s="41"/>
      <c r="E1646" s="41"/>
      <c r="F1646" s="41"/>
      <c r="G1646" s="41"/>
      <c r="H1646" s="41"/>
      <c r="I1646" s="41"/>
      <c r="J1646" s="41"/>
      <c r="K1646" s="41"/>
      <c r="L1646" s="41"/>
      <c r="M1646" s="41"/>
      <c r="N1646" s="41"/>
      <c r="O1646" s="41"/>
    </row>
    <row r="1647" spans="1:15">
      <c r="A1647" s="39"/>
      <c r="B1647" s="40"/>
      <c r="C1647" s="41"/>
      <c r="D1647" s="41"/>
      <c r="E1647" s="41"/>
      <c r="F1647" s="41"/>
      <c r="G1647" s="41"/>
      <c r="H1647" s="41"/>
      <c r="I1647" s="41"/>
      <c r="J1647" s="41"/>
      <c r="K1647" s="41"/>
      <c r="L1647" s="41"/>
      <c r="M1647" s="41"/>
      <c r="N1647" s="41"/>
      <c r="O1647" s="41"/>
    </row>
    <row r="1648" spans="1:15">
      <c r="A1648" s="39"/>
      <c r="B1648" s="40"/>
      <c r="C1648" s="41"/>
      <c r="D1648" s="41"/>
      <c r="E1648" s="41"/>
      <c r="F1648" s="41"/>
      <c r="G1648" s="41"/>
      <c r="H1648" s="41"/>
      <c r="I1648" s="41"/>
      <c r="J1648" s="41"/>
      <c r="K1648" s="41"/>
      <c r="L1648" s="41"/>
      <c r="M1648" s="41"/>
      <c r="N1648" s="41"/>
      <c r="O1648" s="41"/>
    </row>
    <row r="1649" spans="1:15">
      <c r="A1649" s="39"/>
      <c r="B1649" s="40"/>
      <c r="C1649" s="41"/>
      <c r="D1649" s="41"/>
      <c r="E1649" s="41"/>
      <c r="F1649" s="41"/>
      <c r="G1649" s="41"/>
      <c r="H1649" s="41"/>
      <c r="I1649" s="41"/>
      <c r="J1649" s="41"/>
      <c r="K1649" s="41"/>
      <c r="L1649" s="41"/>
      <c r="M1649" s="41"/>
      <c r="N1649" s="41"/>
      <c r="O1649" s="41"/>
    </row>
    <row r="1650" spans="1:15">
      <c r="A1650" s="39"/>
      <c r="B1650" s="40"/>
      <c r="C1650" s="41"/>
      <c r="D1650" s="41"/>
      <c r="E1650" s="41"/>
      <c r="F1650" s="41"/>
      <c r="G1650" s="41"/>
      <c r="H1650" s="41"/>
      <c r="I1650" s="41"/>
      <c r="J1650" s="41"/>
      <c r="K1650" s="41"/>
      <c r="L1650" s="41"/>
      <c r="M1650" s="41"/>
      <c r="N1650" s="41"/>
      <c r="O1650" s="41"/>
    </row>
    <row r="1651" spans="1:15">
      <c r="A1651" s="39"/>
      <c r="B1651" s="40"/>
      <c r="C1651" s="41"/>
      <c r="D1651" s="41"/>
      <c r="E1651" s="41"/>
      <c r="F1651" s="41"/>
      <c r="G1651" s="41"/>
      <c r="H1651" s="41"/>
      <c r="I1651" s="41"/>
      <c r="J1651" s="41"/>
      <c r="K1651" s="41"/>
      <c r="L1651" s="41"/>
      <c r="M1651" s="41"/>
      <c r="N1651" s="41"/>
      <c r="O1651" s="41"/>
    </row>
    <row r="1652" spans="1:15">
      <c r="A1652" s="39"/>
      <c r="B1652" s="40"/>
      <c r="C1652" s="41"/>
      <c r="D1652" s="41"/>
      <c r="E1652" s="41"/>
      <c r="F1652" s="41"/>
      <c r="G1652" s="41"/>
      <c r="H1652" s="41"/>
      <c r="I1652" s="41"/>
      <c r="J1652" s="41"/>
      <c r="K1652" s="41"/>
      <c r="L1652" s="41"/>
      <c r="M1652" s="41"/>
      <c r="N1652" s="41"/>
      <c r="O1652" s="41"/>
    </row>
    <row r="1653" spans="1:15">
      <c r="A1653" s="39"/>
      <c r="B1653" s="40"/>
      <c r="C1653" s="41"/>
      <c r="D1653" s="41"/>
      <c r="E1653" s="41"/>
      <c r="F1653" s="41"/>
      <c r="G1653" s="41"/>
      <c r="H1653" s="41"/>
      <c r="I1653" s="41"/>
      <c r="J1653" s="41"/>
      <c r="K1653" s="41"/>
      <c r="L1653" s="41"/>
      <c r="M1653" s="41"/>
      <c r="N1653" s="41"/>
      <c r="O1653" s="41"/>
    </row>
    <row r="1654" spans="1:15">
      <c r="A1654" s="39"/>
      <c r="B1654" s="40"/>
      <c r="C1654" s="41"/>
      <c r="D1654" s="41"/>
      <c r="E1654" s="41"/>
      <c r="F1654" s="41"/>
      <c r="G1654" s="41"/>
      <c r="H1654" s="41"/>
      <c r="I1654" s="41"/>
      <c r="J1654" s="41"/>
      <c r="K1654" s="41"/>
      <c r="L1654" s="41"/>
      <c r="M1654" s="41"/>
      <c r="N1654" s="41"/>
      <c r="O1654" s="41"/>
    </row>
    <row r="1655" spans="1:15">
      <c r="A1655" s="39"/>
      <c r="B1655" s="40"/>
      <c r="C1655" s="41"/>
      <c r="D1655" s="41"/>
      <c r="E1655" s="41"/>
      <c r="F1655" s="41"/>
      <c r="G1655" s="41"/>
      <c r="H1655" s="41"/>
      <c r="I1655" s="41"/>
      <c r="J1655" s="41"/>
      <c r="K1655" s="41"/>
      <c r="L1655" s="41"/>
      <c r="M1655" s="41"/>
      <c r="N1655" s="41"/>
      <c r="O1655" s="41"/>
    </row>
    <row r="1656" spans="1:15">
      <c r="A1656" s="39"/>
      <c r="B1656" s="40"/>
      <c r="C1656" s="41"/>
      <c r="D1656" s="41"/>
      <c r="E1656" s="41"/>
      <c r="F1656" s="41"/>
      <c r="G1656" s="41"/>
      <c r="H1656" s="41"/>
      <c r="I1656" s="41"/>
      <c r="J1656" s="41"/>
      <c r="K1656" s="41"/>
      <c r="L1656" s="41"/>
      <c r="M1656" s="41"/>
      <c r="N1656" s="41"/>
      <c r="O1656" s="41"/>
    </row>
    <row r="1657" spans="1:15">
      <c r="A1657" s="39"/>
      <c r="B1657" s="40"/>
      <c r="C1657" s="41"/>
      <c r="D1657" s="41"/>
      <c r="E1657" s="41"/>
      <c r="F1657" s="41"/>
      <c r="G1657" s="41"/>
      <c r="H1657" s="41"/>
      <c r="I1657" s="41"/>
      <c r="J1657" s="41"/>
      <c r="K1657" s="41"/>
      <c r="L1657" s="41"/>
      <c r="M1657" s="41"/>
      <c r="N1657" s="41"/>
      <c r="O1657" s="41"/>
    </row>
    <row r="1658" spans="1:15">
      <c r="A1658" s="39"/>
      <c r="B1658" s="40"/>
      <c r="C1658" s="41"/>
      <c r="D1658" s="41"/>
      <c r="E1658" s="41"/>
      <c r="F1658" s="41"/>
      <c r="G1658" s="41"/>
      <c r="H1658" s="41"/>
      <c r="I1658" s="41"/>
      <c r="J1658" s="41"/>
      <c r="K1658" s="41"/>
      <c r="L1658" s="41"/>
      <c r="M1658" s="41"/>
      <c r="N1658" s="41"/>
      <c r="O1658" s="41"/>
    </row>
    <row r="1659" spans="1:15">
      <c r="A1659" s="39"/>
      <c r="B1659" s="40"/>
      <c r="C1659" s="41"/>
      <c r="D1659" s="41"/>
      <c r="E1659" s="41"/>
      <c r="F1659" s="41"/>
      <c r="G1659" s="41"/>
      <c r="H1659" s="41"/>
      <c r="I1659" s="41"/>
      <c r="J1659" s="41"/>
      <c r="K1659" s="41"/>
      <c r="L1659" s="41"/>
      <c r="M1659" s="41"/>
      <c r="N1659" s="41"/>
      <c r="O1659" s="41"/>
    </row>
    <row r="1660" spans="1:15">
      <c r="A1660" s="39"/>
      <c r="B1660" s="40"/>
      <c r="C1660" s="41"/>
      <c r="D1660" s="41"/>
      <c r="E1660" s="41"/>
      <c r="F1660" s="41"/>
      <c r="G1660" s="41"/>
      <c r="H1660" s="41"/>
      <c r="I1660" s="41"/>
      <c r="J1660" s="41"/>
      <c r="K1660" s="41"/>
      <c r="L1660" s="41"/>
      <c r="M1660" s="41"/>
      <c r="N1660" s="41"/>
      <c r="O1660" s="41"/>
    </row>
    <row r="1661" spans="1:15">
      <c r="A1661" s="39"/>
      <c r="B1661" s="40"/>
      <c r="C1661" s="41"/>
      <c r="D1661" s="41"/>
      <c r="E1661" s="41"/>
      <c r="F1661" s="41"/>
      <c r="G1661" s="41"/>
      <c r="H1661" s="41"/>
      <c r="I1661" s="41"/>
      <c r="J1661" s="41"/>
      <c r="K1661" s="41"/>
      <c r="L1661" s="41"/>
      <c r="M1661" s="41"/>
      <c r="N1661" s="41"/>
      <c r="O1661" s="41"/>
    </row>
    <row r="1662" spans="1:15">
      <c r="A1662" s="39"/>
      <c r="B1662" s="40"/>
      <c r="C1662" s="41"/>
      <c r="D1662" s="41"/>
      <c r="E1662" s="41"/>
      <c r="F1662" s="41"/>
      <c r="G1662" s="41"/>
      <c r="H1662" s="41"/>
      <c r="I1662" s="41"/>
      <c r="J1662" s="41"/>
      <c r="K1662" s="41"/>
      <c r="L1662" s="41"/>
      <c r="M1662" s="41"/>
      <c r="N1662" s="41"/>
      <c r="O1662" s="41"/>
    </row>
    <row r="1663" spans="1:15">
      <c r="A1663" s="39"/>
      <c r="B1663" s="40"/>
      <c r="C1663" s="41"/>
      <c r="D1663" s="41"/>
      <c r="E1663" s="41"/>
      <c r="F1663" s="41"/>
      <c r="G1663" s="41"/>
      <c r="H1663" s="41"/>
      <c r="I1663" s="41"/>
      <c r="J1663" s="41"/>
      <c r="K1663" s="41"/>
      <c r="L1663" s="41"/>
      <c r="M1663" s="41"/>
      <c r="N1663" s="41"/>
      <c r="O1663" s="41"/>
    </row>
    <row r="1664" spans="1:15">
      <c r="A1664" s="39"/>
      <c r="B1664" s="40"/>
      <c r="C1664" s="41"/>
      <c r="D1664" s="41"/>
      <c r="E1664" s="41"/>
      <c r="F1664" s="41"/>
      <c r="G1664" s="41"/>
      <c r="H1664" s="41"/>
      <c r="I1664" s="41"/>
      <c r="J1664" s="41"/>
      <c r="K1664" s="41"/>
      <c r="L1664" s="41"/>
      <c r="M1664" s="41"/>
      <c r="N1664" s="41"/>
      <c r="O1664" s="41"/>
    </row>
    <row r="1665" spans="1:15">
      <c r="A1665" s="39"/>
      <c r="B1665" s="40"/>
      <c r="C1665" s="41"/>
      <c r="D1665" s="41"/>
      <c r="E1665" s="41"/>
      <c r="F1665" s="41"/>
      <c r="G1665" s="41"/>
      <c r="H1665" s="41"/>
      <c r="I1665" s="41"/>
      <c r="J1665" s="41"/>
      <c r="K1665" s="41"/>
      <c r="L1665" s="41"/>
      <c r="M1665" s="41"/>
      <c r="N1665" s="41"/>
      <c r="O1665" s="41"/>
    </row>
    <row r="1666" spans="1:15">
      <c r="A1666" s="39"/>
      <c r="B1666" s="40"/>
      <c r="C1666" s="41"/>
      <c r="D1666" s="41"/>
      <c r="E1666" s="41"/>
      <c r="F1666" s="41"/>
      <c r="G1666" s="41"/>
      <c r="H1666" s="41"/>
      <c r="I1666" s="41"/>
      <c r="J1666" s="41"/>
      <c r="K1666" s="41"/>
      <c r="L1666" s="41"/>
      <c r="M1666" s="41"/>
      <c r="N1666" s="41"/>
      <c r="O1666" s="41"/>
    </row>
    <row r="1667" spans="1:15">
      <c r="A1667" s="39"/>
      <c r="B1667" s="40"/>
      <c r="C1667" s="41"/>
      <c r="D1667" s="41"/>
      <c r="E1667" s="41"/>
      <c r="F1667" s="41"/>
      <c r="G1667" s="41"/>
      <c r="H1667" s="41"/>
      <c r="I1667" s="41"/>
      <c r="J1667" s="41"/>
      <c r="K1667" s="41"/>
      <c r="L1667" s="41"/>
      <c r="M1667" s="41"/>
      <c r="N1667" s="41"/>
      <c r="O1667" s="41"/>
    </row>
    <row r="1668" spans="1:15">
      <c r="A1668" s="39"/>
      <c r="B1668" s="40"/>
      <c r="C1668" s="41"/>
      <c r="D1668" s="41"/>
      <c r="E1668" s="41"/>
      <c r="F1668" s="41"/>
      <c r="G1668" s="41"/>
      <c r="H1668" s="41"/>
      <c r="I1668" s="41"/>
      <c r="J1668" s="41"/>
      <c r="K1668" s="41"/>
      <c r="L1668" s="41"/>
      <c r="M1668" s="41"/>
      <c r="N1668" s="41"/>
      <c r="O1668" s="41"/>
    </row>
    <row r="1669" spans="1:15">
      <c r="A1669" s="39"/>
      <c r="B1669" s="40"/>
      <c r="C1669" s="41"/>
      <c r="D1669" s="41"/>
      <c r="E1669" s="41"/>
      <c r="F1669" s="41"/>
      <c r="G1669" s="41"/>
      <c r="H1669" s="41"/>
      <c r="I1669" s="41"/>
      <c r="J1669" s="41"/>
      <c r="K1669" s="41"/>
      <c r="L1669" s="41"/>
      <c r="M1669" s="41"/>
      <c r="N1669" s="41"/>
      <c r="O1669" s="41"/>
    </row>
    <row r="1670" spans="1:15">
      <c r="A1670" s="39"/>
      <c r="B1670" s="40"/>
      <c r="C1670" s="41"/>
      <c r="D1670" s="41"/>
      <c r="E1670" s="41"/>
      <c r="F1670" s="41"/>
      <c r="G1670" s="41"/>
      <c r="H1670" s="41"/>
      <c r="I1670" s="41"/>
      <c r="J1670" s="41"/>
      <c r="K1670" s="41"/>
      <c r="L1670" s="41"/>
      <c r="M1670" s="41"/>
      <c r="N1670" s="41"/>
      <c r="O1670" s="41"/>
    </row>
    <row r="1671" spans="1:15">
      <c r="A1671" s="39"/>
      <c r="B1671" s="40"/>
      <c r="C1671" s="41"/>
      <c r="D1671" s="41"/>
      <c r="E1671" s="41"/>
      <c r="F1671" s="41"/>
      <c r="G1671" s="41"/>
      <c r="H1671" s="41"/>
      <c r="I1671" s="41"/>
      <c r="J1671" s="41"/>
      <c r="K1671" s="41"/>
      <c r="L1671" s="41"/>
      <c r="M1671" s="41"/>
      <c r="N1671" s="41"/>
      <c r="O1671" s="41"/>
    </row>
    <row r="1672" spans="1:15">
      <c r="A1672" s="39"/>
      <c r="B1672" s="40"/>
      <c r="C1672" s="41"/>
      <c r="D1672" s="41"/>
      <c r="E1672" s="41"/>
      <c r="F1672" s="41"/>
      <c r="G1672" s="41"/>
      <c r="H1672" s="41"/>
      <c r="I1672" s="41"/>
      <c r="J1672" s="41"/>
      <c r="K1672" s="41"/>
      <c r="L1672" s="41"/>
      <c r="M1672" s="41"/>
      <c r="N1672" s="41"/>
      <c r="O1672" s="41"/>
    </row>
    <row r="1673" spans="1:15">
      <c r="A1673" s="39"/>
      <c r="B1673" s="40"/>
      <c r="C1673" s="41"/>
      <c r="D1673" s="41"/>
      <c r="E1673" s="41"/>
      <c r="F1673" s="41"/>
      <c r="G1673" s="41"/>
      <c r="H1673" s="41"/>
      <c r="I1673" s="41"/>
      <c r="J1673" s="41"/>
      <c r="K1673" s="41"/>
      <c r="L1673" s="41"/>
      <c r="M1673" s="41"/>
      <c r="N1673" s="41"/>
      <c r="O1673" s="41"/>
    </row>
    <row r="1674" spans="1:15">
      <c r="A1674" s="39"/>
      <c r="B1674" s="40"/>
      <c r="C1674" s="41"/>
      <c r="D1674" s="41"/>
      <c r="E1674" s="41"/>
      <c r="F1674" s="41"/>
      <c r="G1674" s="41"/>
      <c r="H1674" s="41"/>
      <c r="I1674" s="41"/>
      <c r="J1674" s="41"/>
      <c r="K1674" s="41"/>
      <c r="L1674" s="41"/>
      <c r="M1674" s="41"/>
      <c r="N1674" s="41"/>
      <c r="O1674" s="41"/>
    </row>
    <row r="1675" spans="1:15">
      <c r="A1675" s="39"/>
      <c r="B1675" s="40"/>
      <c r="C1675" s="41"/>
      <c r="D1675" s="41"/>
      <c r="E1675" s="41"/>
      <c r="F1675" s="41"/>
      <c r="G1675" s="41"/>
      <c r="H1675" s="41"/>
      <c r="I1675" s="41"/>
      <c r="J1675" s="41"/>
      <c r="K1675" s="41"/>
      <c r="L1675" s="41"/>
      <c r="M1675" s="41"/>
      <c r="N1675" s="41"/>
      <c r="O1675" s="41"/>
    </row>
    <row r="1676" spans="1:15">
      <c r="A1676" s="39"/>
      <c r="B1676" s="40"/>
      <c r="C1676" s="41"/>
      <c r="D1676" s="41"/>
      <c r="E1676" s="41"/>
      <c r="F1676" s="41"/>
      <c r="G1676" s="41"/>
      <c r="H1676" s="41"/>
      <c r="I1676" s="41"/>
      <c r="J1676" s="41"/>
      <c r="K1676" s="41"/>
      <c r="L1676" s="41"/>
      <c r="M1676" s="41"/>
      <c r="N1676" s="41"/>
      <c r="O1676" s="41"/>
    </row>
    <row r="1677" spans="1:15">
      <c r="A1677" s="39"/>
      <c r="B1677" s="40"/>
      <c r="C1677" s="41"/>
      <c r="D1677" s="41"/>
      <c r="E1677" s="41"/>
      <c r="F1677" s="41"/>
      <c r="G1677" s="41"/>
      <c r="H1677" s="41"/>
      <c r="I1677" s="41"/>
      <c r="J1677" s="41"/>
      <c r="K1677" s="41"/>
      <c r="L1677" s="41"/>
      <c r="M1677" s="41"/>
      <c r="N1677" s="41"/>
      <c r="O1677" s="41"/>
    </row>
    <row r="1678" spans="1:15">
      <c r="A1678" s="39"/>
      <c r="B1678" s="40"/>
      <c r="C1678" s="41"/>
      <c r="D1678" s="41"/>
      <c r="E1678" s="41"/>
      <c r="F1678" s="41"/>
      <c r="G1678" s="41"/>
      <c r="H1678" s="41"/>
      <c r="I1678" s="41"/>
      <c r="J1678" s="41"/>
      <c r="K1678" s="41"/>
      <c r="L1678" s="41"/>
      <c r="M1678" s="41"/>
      <c r="N1678" s="41"/>
      <c r="O1678" s="41"/>
    </row>
    <row r="1679" spans="1:15">
      <c r="A1679" s="39"/>
      <c r="B1679" s="40"/>
      <c r="C1679" s="41"/>
      <c r="D1679" s="41"/>
      <c r="E1679" s="41"/>
      <c r="F1679" s="41"/>
      <c r="G1679" s="41"/>
      <c r="H1679" s="41"/>
      <c r="I1679" s="41"/>
      <c r="J1679" s="41"/>
      <c r="K1679" s="41"/>
      <c r="L1679" s="41"/>
      <c r="M1679" s="41"/>
      <c r="N1679" s="41"/>
      <c r="O1679" s="41"/>
    </row>
    <row r="1680" spans="1:15">
      <c r="A1680" s="39"/>
      <c r="B1680" s="40"/>
      <c r="C1680" s="41"/>
      <c r="D1680" s="41"/>
      <c r="E1680" s="41"/>
      <c r="F1680" s="41"/>
      <c r="G1680" s="41"/>
      <c r="H1680" s="41"/>
      <c r="I1680" s="41"/>
      <c r="J1680" s="41"/>
      <c r="K1680" s="41"/>
      <c r="L1680" s="41"/>
      <c r="M1680" s="41"/>
      <c r="N1680" s="41"/>
      <c r="O1680" s="41"/>
    </row>
    <row r="1681" spans="1:15">
      <c r="A1681" s="39"/>
      <c r="B1681" s="40"/>
      <c r="C1681" s="41"/>
      <c r="D1681" s="41"/>
      <c r="E1681" s="41"/>
      <c r="F1681" s="41"/>
      <c r="G1681" s="41"/>
      <c r="H1681" s="41"/>
      <c r="I1681" s="41"/>
      <c r="J1681" s="41"/>
      <c r="K1681" s="41"/>
      <c r="L1681" s="41"/>
      <c r="M1681" s="41"/>
      <c r="N1681" s="41"/>
      <c r="O1681" s="41"/>
    </row>
    <row r="1682" spans="1:15">
      <c r="A1682" s="39"/>
      <c r="B1682" s="40"/>
      <c r="C1682" s="41"/>
      <c r="D1682" s="41"/>
      <c r="E1682" s="41"/>
      <c r="F1682" s="41"/>
      <c r="G1682" s="41"/>
      <c r="H1682" s="41"/>
      <c r="I1682" s="41"/>
      <c r="J1682" s="41"/>
      <c r="K1682" s="41"/>
      <c r="L1682" s="41"/>
      <c r="M1682" s="41"/>
      <c r="N1682" s="41"/>
      <c r="O1682" s="41"/>
    </row>
    <row r="1683" spans="1:15">
      <c r="A1683" s="39"/>
      <c r="B1683" s="40"/>
      <c r="C1683" s="41"/>
      <c r="D1683" s="41"/>
      <c r="E1683" s="41"/>
      <c r="F1683" s="41"/>
      <c r="G1683" s="41"/>
      <c r="H1683" s="41"/>
      <c r="I1683" s="41"/>
      <c r="J1683" s="41"/>
      <c r="K1683" s="41"/>
      <c r="L1683" s="41"/>
      <c r="M1683" s="41"/>
      <c r="N1683" s="41"/>
      <c r="O1683" s="41"/>
    </row>
    <row r="1684" spans="1:15">
      <c r="A1684" s="39"/>
      <c r="B1684" s="40"/>
      <c r="C1684" s="41"/>
      <c r="D1684" s="41"/>
      <c r="E1684" s="41"/>
      <c r="F1684" s="41"/>
      <c r="G1684" s="41"/>
      <c r="H1684" s="41"/>
      <c r="I1684" s="41"/>
      <c r="J1684" s="41"/>
      <c r="K1684" s="41"/>
      <c r="L1684" s="41"/>
      <c r="M1684" s="41"/>
      <c r="N1684" s="41"/>
      <c r="O1684" s="41"/>
    </row>
    <row r="1685" spans="1:15">
      <c r="A1685" s="39"/>
      <c r="B1685" s="40"/>
      <c r="C1685" s="41"/>
      <c r="D1685" s="41"/>
      <c r="E1685" s="41"/>
      <c r="F1685" s="41"/>
      <c r="G1685" s="41"/>
      <c r="H1685" s="41"/>
      <c r="I1685" s="41"/>
      <c r="J1685" s="41"/>
      <c r="K1685" s="41"/>
      <c r="L1685" s="41"/>
      <c r="M1685" s="41"/>
      <c r="N1685" s="41"/>
      <c r="O1685" s="41"/>
    </row>
    <row r="1686" spans="1:15">
      <c r="A1686" s="39"/>
      <c r="B1686" s="40"/>
      <c r="C1686" s="41"/>
      <c r="D1686" s="41"/>
      <c r="E1686" s="41"/>
      <c r="F1686" s="41"/>
      <c r="G1686" s="41"/>
      <c r="H1686" s="41"/>
      <c r="I1686" s="41"/>
      <c r="J1686" s="41"/>
      <c r="K1686" s="41"/>
      <c r="L1686" s="41"/>
      <c r="M1686" s="41"/>
      <c r="N1686" s="41"/>
      <c r="O1686" s="41"/>
    </row>
    <row r="1687" spans="1:15">
      <c r="A1687" s="39"/>
      <c r="B1687" s="40"/>
      <c r="C1687" s="41"/>
      <c r="D1687" s="41"/>
      <c r="E1687" s="41"/>
      <c r="F1687" s="41"/>
      <c r="G1687" s="41"/>
      <c r="H1687" s="41"/>
      <c r="I1687" s="41"/>
      <c r="J1687" s="41"/>
      <c r="K1687" s="41"/>
      <c r="L1687" s="41"/>
      <c r="M1687" s="41"/>
      <c r="N1687" s="41"/>
      <c r="O1687" s="41"/>
    </row>
    <row r="1688" spans="1:15">
      <c r="A1688" s="39"/>
      <c r="B1688" s="40"/>
      <c r="C1688" s="41"/>
      <c r="D1688" s="41"/>
      <c r="E1688" s="41"/>
      <c r="F1688" s="41"/>
      <c r="G1688" s="41"/>
      <c r="H1688" s="41"/>
      <c r="I1688" s="41"/>
      <c r="J1688" s="41"/>
      <c r="K1688" s="41"/>
      <c r="L1688" s="41"/>
      <c r="M1688" s="41"/>
      <c r="N1688" s="41"/>
      <c r="O1688" s="41"/>
    </row>
    <row r="1689" spans="1:15">
      <c r="A1689" s="39"/>
      <c r="B1689" s="40"/>
      <c r="C1689" s="41"/>
      <c r="D1689" s="41"/>
      <c r="E1689" s="41"/>
      <c r="F1689" s="41"/>
      <c r="G1689" s="41"/>
      <c r="H1689" s="41"/>
      <c r="I1689" s="41"/>
      <c r="J1689" s="41"/>
      <c r="K1689" s="41"/>
      <c r="L1689" s="41"/>
      <c r="M1689" s="41"/>
      <c r="N1689" s="41"/>
      <c r="O1689" s="41"/>
    </row>
    <row r="1690" spans="1:15">
      <c r="A1690" s="39"/>
      <c r="B1690" s="40"/>
      <c r="C1690" s="41"/>
      <c r="D1690" s="41"/>
      <c r="E1690" s="41"/>
      <c r="F1690" s="41"/>
      <c r="G1690" s="41"/>
      <c r="H1690" s="41"/>
      <c r="I1690" s="41"/>
      <c r="J1690" s="41"/>
      <c r="K1690" s="41"/>
      <c r="L1690" s="41"/>
      <c r="M1690" s="41"/>
      <c r="N1690" s="41"/>
      <c r="O1690" s="41"/>
    </row>
    <row r="1691" spans="1:15">
      <c r="A1691" s="39"/>
      <c r="B1691" s="40"/>
      <c r="C1691" s="41"/>
      <c r="D1691" s="41"/>
      <c r="E1691" s="41"/>
      <c r="F1691" s="41"/>
      <c r="G1691" s="41"/>
      <c r="H1691" s="41"/>
      <c r="I1691" s="41"/>
      <c r="J1691" s="41"/>
      <c r="K1691" s="41"/>
      <c r="L1691" s="41"/>
      <c r="M1691" s="41"/>
      <c r="N1691" s="41"/>
      <c r="O1691" s="41"/>
    </row>
    <row r="1692" spans="1:15">
      <c r="A1692" s="39"/>
      <c r="B1692" s="40"/>
      <c r="C1692" s="41"/>
      <c r="D1692" s="41"/>
      <c r="E1692" s="41"/>
      <c r="F1692" s="41"/>
      <c r="G1692" s="41"/>
      <c r="H1692" s="41"/>
      <c r="I1692" s="41"/>
      <c r="J1692" s="41"/>
      <c r="K1692" s="41"/>
      <c r="L1692" s="41"/>
      <c r="M1692" s="41"/>
      <c r="N1692" s="41"/>
      <c r="O1692" s="41"/>
    </row>
    <row r="1693" spans="1:15">
      <c r="A1693" s="39"/>
      <c r="B1693" s="40"/>
      <c r="C1693" s="41"/>
      <c r="D1693" s="41"/>
      <c r="E1693" s="41"/>
      <c r="F1693" s="41"/>
      <c r="G1693" s="41"/>
      <c r="H1693" s="41"/>
      <c r="I1693" s="41"/>
      <c r="J1693" s="41"/>
      <c r="K1693" s="41"/>
      <c r="L1693" s="41"/>
      <c r="M1693" s="41"/>
      <c r="N1693" s="41"/>
      <c r="O1693" s="41"/>
    </row>
    <row r="1694" spans="1:15">
      <c r="A1694" s="39"/>
      <c r="B1694" s="40"/>
      <c r="C1694" s="41"/>
      <c r="D1694" s="41"/>
      <c r="E1694" s="41"/>
      <c r="F1694" s="41"/>
      <c r="G1694" s="41"/>
      <c r="H1694" s="41"/>
      <c r="I1694" s="41"/>
      <c r="J1694" s="41"/>
      <c r="K1694" s="41"/>
      <c r="L1694" s="41"/>
      <c r="M1694" s="41"/>
      <c r="N1694" s="41"/>
      <c r="O1694" s="41"/>
    </row>
    <row r="1695" spans="1:15">
      <c r="A1695" s="39"/>
      <c r="B1695" s="40"/>
      <c r="C1695" s="41"/>
      <c r="D1695" s="41"/>
      <c r="E1695" s="41"/>
      <c r="F1695" s="41"/>
      <c r="G1695" s="41"/>
      <c r="H1695" s="41"/>
      <c r="I1695" s="41"/>
      <c r="J1695" s="41"/>
      <c r="K1695" s="41"/>
      <c r="L1695" s="41"/>
      <c r="M1695" s="41"/>
      <c r="N1695" s="41"/>
      <c r="O1695" s="41"/>
    </row>
    <row r="1696" spans="1:15">
      <c r="A1696" s="39"/>
      <c r="B1696" s="40"/>
      <c r="C1696" s="41"/>
      <c r="D1696" s="41"/>
      <c r="E1696" s="41"/>
      <c r="F1696" s="41"/>
      <c r="G1696" s="41"/>
      <c r="H1696" s="41"/>
      <c r="I1696" s="41"/>
      <c r="J1696" s="41"/>
      <c r="K1696" s="41"/>
      <c r="L1696" s="41"/>
      <c r="M1696" s="41"/>
      <c r="N1696" s="41"/>
      <c r="O1696" s="41"/>
    </row>
    <row r="1697" spans="1:15">
      <c r="A1697" s="39"/>
      <c r="B1697" s="40"/>
      <c r="C1697" s="41"/>
      <c r="D1697" s="41"/>
      <c r="E1697" s="41"/>
      <c r="F1697" s="41"/>
      <c r="G1697" s="41"/>
      <c r="H1697" s="41"/>
      <c r="I1697" s="41"/>
      <c r="J1697" s="41"/>
      <c r="K1697" s="41"/>
      <c r="L1697" s="41"/>
      <c r="M1697" s="41"/>
      <c r="N1697" s="41"/>
      <c r="O1697" s="41"/>
    </row>
    <row r="1698" spans="1:15">
      <c r="A1698" s="39"/>
      <c r="B1698" s="40"/>
      <c r="C1698" s="41"/>
      <c r="D1698" s="41"/>
      <c r="E1698" s="41"/>
      <c r="F1698" s="41"/>
      <c r="G1698" s="41"/>
      <c r="H1698" s="41"/>
      <c r="I1698" s="41"/>
      <c r="J1698" s="41"/>
      <c r="K1698" s="41"/>
      <c r="L1698" s="41"/>
      <c r="M1698" s="41"/>
      <c r="N1698" s="41"/>
      <c r="O1698" s="41"/>
    </row>
    <row r="1699" spans="1:15">
      <c r="A1699" s="39"/>
      <c r="B1699" s="40"/>
      <c r="C1699" s="41"/>
      <c r="D1699" s="41"/>
      <c r="E1699" s="41"/>
      <c r="F1699" s="41"/>
      <c r="G1699" s="41"/>
      <c r="H1699" s="41"/>
      <c r="I1699" s="41"/>
      <c r="J1699" s="41"/>
      <c r="K1699" s="41"/>
      <c r="L1699" s="41"/>
      <c r="M1699" s="41"/>
      <c r="N1699" s="41"/>
      <c r="O1699" s="41"/>
    </row>
    <row r="1700" spans="1:15">
      <c r="A1700" s="39"/>
      <c r="B1700" s="40"/>
      <c r="C1700" s="41"/>
      <c r="D1700" s="41"/>
      <c r="E1700" s="41"/>
      <c r="F1700" s="41"/>
      <c r="G1700" s="41"/>
      <c r="H1700" s="41"/>
      <c r="I1700" s="41"/>
      <c r="J1700" s="41"/>
      <c r="K1700" s="41"/>
      <c r="L1700" s="41"/>
      <c r="M1700" s="41"/>
      <c r="N1700" s="41"/>
      <c r="O1700" s="41"/>
    </row>
    <row r="1701" spans="1:15">
      <c r="A1701" s="39"/>
      <c r="B1701" s="40"/>
      <c r="C1701" s="41"/>
      <c r="D1701" s="41"/>
      <c r="E1701" s="41"/>
      <c r="F1701" s="41"/>
      <c r="G1701" s="41"/>
      <c r="H1701" s="41"/>
      <c r="I1701" s="41"/>
      <c r="J1701" s="41"/>
      <c r="K1701" s="41"/>
      <c r="L1701" s="41"/>
      <c r="M1701" s="41"/>
      <c r="N1701" s="41"/>
      <c r="O1701" s="41"/>
    </row>
    <row r="1702" spans="1:15">
      <c r="A1702" s="39"/>
      <c r="B1702" s="40"/>
      <c r="C1702" s="41"/>
      <c r="D1702" s="41"/>
      <c r="E1702" s="41"/>
      <c r="F1702" s="41"/>
      <c r="G1702" s="41"/>
      <c r="H1702" s="41"/>
      <c r="I1702" s="41"/>
      <c r="J1702" s="41"/>
      <c r="K1702" s="41"/>
      <c r="L1702" s="41"/>
      <c r="M1702" s="41"/>
      <c r="N1702" s="41"/>
      <c r="O1702" s="41"/>
    </row>
    <row r="1703" spans="1:15">
      <c r="A1703" s="39"/>
      <c r="B1703" s="40"/>
      <c r="C1703" s="41"/>
      <c r="D1703" s="41"/>
      <c r="E1703" s="41"/>
      <c r="F1703" s="41"/>
      <c r="G1703" s="41"/>
      <c r="H1703" s="41"/>
      <c r="I1703" s="41"/>
      <c r="J1703" s="41"/>
      <c r="K1703" s="41"/>
      <c r="L1703" s="41"/>
      <c r="M1703" s="41"/>
      <c r="N1703" s="41"/>
      <c r="O1703" s="41"/>
    </row>
    <row r="1704" spans="1:15">
      <c r="A1704" s="39"/>
      <c r="B1704" s="40"/>
      <c r="C1704" s="41"/>
      <c r="D1704" s="41"/>
      <c r="E1704" s="41"/>
      <c r="F1704" s="41"/>
      <c r="G1704" s="41"/>
      <c r="H1704" s="41"/>
      <c r="I1704" s="41"/>
      <c r="J1704" s="41"/>
      <c r="K1704" s="41"/>
      <c r="L1704" s="41"/>
      <c r="M1704" s="41"/>
      <c r="N1704" s="41"/>
      <c r="O1704" s="41"/>
    </row>
    <row r="1705" spans="1:15">
      <c r="A1705" s="39"/>
      <c r="B1705" s="40"/>
      <c r="C1705" s="41"/>
      <c r="D1705" s="41"/>
      <c r="E1705" s="41"/>
      <c r="F1705" s="41"/>
      <c r="G1705" s="41"/>
      <c r="H1705" s="41"/>
      <c r="I1705" s="41"/>
      <c r="J1705" s="41"/>
      <c r="K1705" s="41"/>
      <c r="L1705" s="41"/>
      <c r="M1705" s="41"/>
      <c r="N1705" s="41"/>
      <c r="O1705" s="41"/>
    </row>
    <row r="1706" spans="1:15">
      <c r="A1706" s="39"/>
      <c r="B1706" s="40"/>
      <c r="C1706" s="41"/>
      <c r="D1706" s="41"/>
      <c r="E1706" s="41"/>
      <c r="F1706" s="41"/>
      <c r="G1706" s="41"/>
      <c r="H1706" s="41"/>
      <c r="I1706" s="41"/>
      <c r="J1706" s="41"/>
      <c r="K1706" s="41"/>
      <c r="L1706" s="41"/>
      <c r="M1706" s="41"/>
      <c r="N1706" s="41"/>
      <c r="O1706" s="41"/>
    </row>
    <row r="1707" spans="1:15">
      <c r="A1707" s="39"/>
      <c r="B1707" s="40"/>
      <c r="C1707" s="41"/>
      <c r="D1707" s="41"/>
      <c r="E1707" s="41"/>
      <c r="F1707" s="41"/>
      <c r="G1707" s="41"/>
      <c r="H1707" s="41"/>
      <c r="I1707" s="41"/>
      <c r="J1707" s="41"/>
      <c r="K1707" s="41"/>
      <c r="L1707" s="41"/>
      <c r="M1707" s="41"/>
      <c r="N1707" s="41"/>
      <c r="O1707" s="41"/>
    </row>
    <row r="1708" spans="1:15">
      <c r="A1708" s="39"/>
      <c r="B1708" s="40"/>
      <c r="C1708" s="41"/>
      <c r="D1708" s="41"/>
      <c r="E1708" s="41"/>
      <c r="F1708" s="41"/>
      <c r="G1708" s="41"/>
      <c r="H1708" s="41"/>
      <c r="I1708" s="41"/>
      <c r="J1708" s="41"/>
      <c r="K1708" s="41"/>
      <c r="L1708" s="41"/>
      <c r="M1708" s="41"/>
      <c r="N1708" s="41"/>
      <c r="O1708" s="41"/>
    </row>
    <row r="1709" spans="1:15">
      <c r="A1709" s="39"/>
      <c r="B1709" s="40"/>
      <c r="C1709" s="41"/>
      <c r="D1709" s="41"/>
      <c r="E1709" s="41"/>
      <c r="F1709" s="41"/>
      <c r="G1709" s="41"/>
      <c r="H1709" s="41"/>
      <c r="I1709" s="41"/>
      <c r="J1709" s="41"/>
      <c r="K1709" s="41"/>
      <c r="L1709" s="41"/>
      <c r="M1709" s="41"/>
      <c r="N1709" s="41"/>
      <c r="O1709" s="41"/>
    </row>
    <row r="1710" spans="1:15">
      <c r="A1710" s="39"/>
      <c r="B1710" s="40"/>
      <c r="C1710" s="41"/>
      <c r="D1710" s="41"/>
      <c r="E1710" s="41"/>
      <c r="F1710" s="41"/>
      <c r="G1710" s="41"/>
      <c r="H1710" s="41"/>
      <c r="I1710" s="41"/>
      <c r="J1710" s="41"/>
      <c r="K1710" s="41"/>
      <c r="L1710" s="41"/>
      <c r="M1710" s="41"/>
      <c r="N1710" s="41"/>
      <c r="O1710" s="41"/>
    </row>
    <row r="1711" spans="1:15">
      <c r="A1711" s="39"/>
      <c r="B1711" s="40"/>
      <c r="C1711" s="41"/>
      <c r="D1711" s="41"/>
      <c r="E1711" s="41"/>
      <c r="F1711" s="41"/>
      <c r="G1711" s="41"/>
      <c r="H1711" s="41"/>
      <c r="I1711" s="41"/>
      <c r="J1711" s="41"/>
      <c r="K1711" s="41"/>
      <c r="L1711" s="41"/>
      <c r="M1711" s="41"/>
      <c r="N1711" s="41"/>
      <c r="O1711" s="41"/>
    </row>
    <row r="1712" spans="1:15">
      <c r="A1712" s="39"/>
      <c r="B1712" s="40"/>
      <c r="C1712" s="41"/>
      <c r="D1712" s="41"/>
      <c r="E1712" s="41"/>
      <c r="F1712" s="41"/>
      <c r="G1712" s="41"/>
      <c r="H1712" s="41"/>
      <c r="I1712" s="41"/>
      <c r="J1712" s="41"/>
      <c r="K1712" s="41"/>
      <c r="L1712" s="41"/>
      <c r="M1712" s="41"/>
      <c r="N1712" s="41"/>
      <c r="O1712" s="41"/>
    </row>
    <row r="1713" spans="1:15">
      <c r="A1713" s="39"/>
      <c r="B1713" s="40"/>
      <c r="C1713" s="41"/>
      <c r="D1713" s="41"/>
      <c r="E1713" s="41"/>
      <c r="F1713" s="41"/>
      <c r="G1713" s="41"/>
      <c r="H1713" s="41"/>
      <c r="I1713" s="41"/>
      <c r="J1713" s="41"/>
      <c r="K1713" s="41"/>
      <c r="L1713" s="41"/>
      <c r="M1713" s="41"/>
      <c r="N1713" s="41"/>
      <c r="O1713" s="41"/>
    </row>
    <row r="1714" spans="1:15">
      <c r="A1714" s="39"/>
      <c r="B1714" s="40"/>
      <c r="C1714" s="41"/>
      <c r="D1714" s="41"/>
      <c r="E1714" s="41"/>
      <c r="F1714" s="41"/>
      <c r="G1714" s="41"/>
      <c r="H1714" s="41"/>
      <c r="I1714" s="41"/>
      <c r="J1714" s="41"/>
      <c r="K1714" s="41"/>
      <c r="L1714" s="41"/>
      <c r="M1714" s="41"/>
      <c r="N1714" s="41"/>
      <c r="O1714" s="41"/>
    </row>
    <row r="1715" spans="1:15">
      <c r="A1715" s="39"/>
      <c r="B1715" s="40"/>
      <c r="C1715" s="41"/>
      <c r="D1715" s="41"/>
      <c r="E1715" s="41"/>
      <c r="F1715" s="41"/>
      <c r="G1715" s="41"/>
      <c r="H1715" s="41"/>
      <c r="I1715" s="41"/>
      <c r="J1715" s="41"/>
      <c r="K1715" s="41"/>
      <c r="L1715" s="41"/>
      <c r="M1715" s="41"/>
      <c r="N1715" s="41"/>
      <c r="O1715" s="41"/>
    </row>
    <row r="1716" spans="1:15">
      <c r="A1716" s="39"/>
      <c r="B1716" s="40"/>
      <c r="C1716" s="41"/>
      <c r="D1716" s="41"/>
      <c r="E1716" s="41"/>
      <c r="F1716" s="41"/>
      <c r="G1716" s="41"/>
      <c r="H1716" s="41"/>
      <c r="I1716" s="41"/>
      <c r="J1716" s="41"/>
      <c r="K1716" s="41"/>
      <c r="L1716" s="41"/>
      <c r="M1716" s="41"/>
      <c r="N1716" s="41"/>
      <c r="O1716" s="41"/>
    </row>
    <row r="1717" spans="1:15">
      <c r="A1717" s="39"/>
      <c r="B1717" s="40"/>
      <c r="C1717" s="41"/>
      <c r="D1717" s="41"/>
      <c r="E1717" s="41"/>
      <c r="F1717" s="41"/>
      <c r="G1717" s="41"/>
      <c r="H1717" s="41"/>
      <c r="I1717" s="41"/>
      <c r="J1717" s="41"/>
      <c r="K1717" s="41"/>
      <c r="L1717" s="41"/>
      <c r="M1717" s="41"/>
      <c r="N1717" s="41"/>
      <c r="O1717" s="41"/>
    </row>
    <row r="1718" spans="1:15">
      <c r="A1718" s="39"/>
      <c r="B1718" s="40"/>
      <c r="C1718" s="41"/>
      <c r="D1718" s="41"/>
      <c r="E1718" s="41"/>
      <c r="F1718" s="41"/>
      <c r="G1718" s="41"/>
      <c r="H1718" s="41"/>
      <c r="I1718" s="41"/>
      <c r="J1718" s="41"/>
      <c r="K1718" s="41"/>
      <c r="L1718" s="41"/>
      <c r="M1718" s="41"/>
      <c r="N1718" s="41"/>
      <c r="O1718" s="41"/>
    </row>
    <row r="1719" spans="1:15">
      <c r="A1719" s="39"/>
      <c r="B1719" s="40"/>
      <c r="C1719" s="41"/>
      <c r="D1719" s="41"/>
      <c r="E1719" s="41"/>
      <c r="F1719" s="41"/>
      <c r="G1719" s="41"/>
      <c r="H1719" s="41"/>
      <c r="I1719" s="41"/>
      <c r="J1719" s="41"/>
      <c r="K1719" s="41"/>
      <c r="L1719" s="41"/>
      <c r="M1719" s="41"/>
      <c r="N1719" s="41"/>
      <c r="O1719" s="41"/>
    </row>
    <row r="1720" spans="1:15">
      <c r="A1720" s="39"/>
      <c r="B1720" s="40"/>
      <c r="C1720" s="41"/>
      <c r="D1720" s="41"/>
      <c r="E1720" s="41"/>
      <c r="F1720" s="41"/>
      <c r="G1720" s="41"/>
      <c r="H1720" s="41"/>
      <c r="I1720" s="41"/>
      <c r="J1720" s="41"/>
      <c r="K1720" s="41"/>
      <c r="L1720" s="41"/>
      <c r="M1720" s="41"/>
      <c r="N1720" s="41"/>
      <c r="O1720" s="41"/>
    </row>
    <row r="1721" spans="1:15">
      <c r="A1721" s="39"/>
      <c r="B1721" s="40"/>
      <c r="C1721" s="41"/>
      <c r="D1721" s="41"/>
      <c r="E1721" s="41"/>
      <c r="F1721" s="41"/>
      <c r="G1721" s="41"/>
      <c r="H1721" s="41"/>
      <c r="I1721" s="41"/>
      <c r="J1721" s="41"/>
      <c r="K1721" s="41"/>
      <c r="L1721" s="41"/>
      <c r="M1721" s="41"/>
      <c r="N1721" s="41"/>
      <c r="O1721" s="41"/>
    </row>
    <row r="1722" spans="1:15">
      <c r="A1722" s="39"/>
      <c r="B1722" s="40"/>
      <c r="C1722" s="41"/>
      <c r="D1722" s="41"/>
      <c r="E1722" s="41"/>
      <c r="F1722" s="41"/>
      <c r="G1722" s="41"/>
      <c r="H1722" s="41"/>
      <c r="I1722" s="41"/>
      <c r="J1722" s="41"/>
      <c r="K1722" s="41"/>
      <c r="L1722" s="41"/>
      <c r="M1722" s="41"/>
      <c r="N1722" s="41"/>
      <c r="O1722" s="41"/>
    </row>
    <row r="1723" spans="1:15">
      <c r="A1723" s="39"/>
      <c r="B1723" s="40"/>
      <c r="C1723" s="41"/>
      <c r="D1723" s="41"/>
      <c r="E1723" s="41"/>
      <c r="F1723" s="41"/>
      <c r="G1723" s="41"/>
      <c r="H1723" s="41"/>
      <c r="I1723" s="41"/>
      <c r="J1723" s="41"/>
      <c r="K1723" s="41"/>
      <c r="L1723" s="41"/>
      <c r="M1723" s="41"/>
      <c r="N1723" s="41"/>
      <c r="O1723" s="41"/>
    </row>
    <row r="1724" spans="1:15">
      <c r="A1724" s="39"/>
      <c r="B1724" s="40"/>
      <c r="C1724" s="41"/>
      <c r="D1724" s="41"/>
      <c r="E1724" s="41"/>
      <c r="F1724" s="41"/>
      <c r="G1724" s="41"/>
      <c r="H1724" s="41"/>
      <c r="I1724" s="41"/>
      <c r="J1724" s="41"/>
      <c r="K1724" s="41"/>
      <c r="L1724" s="41"/>
      <c r="M1724" s="41"/>
      <c r="N1724" s="41"/>
      <c r="O1724" s="41"/>
    </row>
    <row r="1725" spans="1:15">
      <c r="A1725" s="39"/>
      <c r="B1725" s="40"/>
      <c r="C1725" s="41"/>
      <c r="D1725" s="41"/>
      <c r="E1725" s="41"/>
      <c r="F1725" s="41"/>
      <c r="G1725" s="41"/>
      <c r="H1725" s="41"/>
      <c r="I1725" s="41"/>
      <c r="J1725" s="41"/>
      <c r="K1725" s="41"/>
      <c r="L1725" s="41"/>
      <c r="M1725" s="41"/>
      <c r="N1725" s="41"/>
      <c r="O1725" s="41"/>
    </row>
    <row r="1726" spans="1:15">
      <c r="A1726" s="39"/>
      <c r="B1726" s="40"/>
      <c r="C1726" s="41"/>
      <c r="D1726" s="41"/>
      <c r="E1726" s="41"/>
      <c r="F1726" s="41"/>
      <c r="G1726" s="41"/>
      <c r="H1726" s="41"/>
      <c r="I1726" s="41"/>
      <c r="J1726" s="41"/>
      <c r="K1726" s="41"/>
      <c r="L1726" s="41"/>
      <c r="M1726" s="41"/>
      <c r="N1726" s="41"/>
      <c r="O1726" s="41"/>
    </row>
    <row r="1727" spans="1:15">
      <c r="A1727" s="39"/>
      <c r="B1727" s="40"/>
      <c r="C1727" s="41"/>
      <c r="D1727" s="41"/>
      <c r="E1727" s="41"/>
      <c r="F1727" s="41"/>
      <c r="G1727" s="41"/>
      <c r="H1727" s="41"/>
      <c r="I1727" s="41"/>
      <c r="J1727" s="41"/>
      <c r="K1727" s="41"/>
      <c r="L1727" s="41"/>
      <c r="M1727" s="41"/>
      <c r="N1727" s="41"/>
      <c r="O1727" s="41"/>
    </row>
    <row r="1728" spans="1:15">
      <c r="A1728" s="39"/>
      <c r="B1728" s="40"/>
      <c r="C1728" s="41"/>
      <c r="D1728" s="41"/>
      <c r="E1728" s="41"/>
      <c r="F1728" s="41"/>
      <c r="G1728" s="41"/>
      <c r="H1728" s="41"/>
      <c r="I1728" s="41"/>
      <c r="J1728" s="41"/>
      <c r="K1728" s="41"/>
      <c r="L1728" s="41"/>
      <c r="M1728" s="41"/>
      <c r="N1728" s="41"/>
      <c r="O1728" s="41"/>
    </row>
    <row r="1729" spans="1:15">
      <c r="A1729" s="39"/>
      <c r="B1729" s="40"/>
      <c r="C1729" s="41"/>
      <c r="D1729" s="41"/>
      <c r="E1729" s="41"/>
      <c r="F1729" s="41"/>
      <c r="G1729" s="41"/>
      <c r="H1729" s="41"/>
      <c r="I1729" s="41"/>
      <c r="J1729" s="41"/>
      <c r="K1729" s="41"/>
      <c r="L1729" s="41"/>
      <c r="M1729" s="41"/>
      <c r="N1729" s="41"/>
      <c r="O1729" s="41"/>
    </row>
    <row r="1730" spans="1:15">
      <c r="A1730" s="39"/>
      <c r="B1730" s="40"/>
      <c r="C1730" s="41"/>
      <c r="D1730" s="41"/>
      <c r="E1730" s="41"/>
      <c r="F1730" s="41"/>
      <c r="G1730" s="41"/>
      <c r="H1730" s="41"/>
      <c r="I1730" s="41"/>
      <c r="J1730" s="41"/>
      <c r="K1730" s="41"/>
      <c r="L1730" s="41"/>
      <c r="M1730" s="41"/>
      <c r="N1730" s="41"/>
      <c r="O1730" s="41"/>
    </row>
    <row r="1731" spans="1:15">
      <c r="A1731" s="39"/>
      <c r="B1731" s="40"/>
      <c r="C1731" s="41"/>
      <c r="D1731" s="41"/>
      <c r="E1731" s="41"/>
      <c r="F1731" s="41"/>
      <c r="G1731" s="41"/>
      <c r="H1731" s="41"/>
      <c r="I1731" s="41"/>
      <c r="J1731" s="41"/>
      <c r="K1731" s="41"/>
      <c r="L1731" s="41"/>
      <c r="M1731" s="41"/>
      <c r="N1731" s="41"/>
      <c r="O1731" s="41"/>
    </row>
    <row r="1732" spans="1:15">
      <c r="A1732" s="39"/>
      <c r="B1732" s="40"/>
      <c r="C1732" s="41"/>
      <c r="D1732" s="41"/>
      <c r="E1732" s="41"/>
      <c r="F1732" s="41"/>
      <c r="G1732" s="41"/>
      <c r="H1732" s="41"/>
      <c r="I1732" s="41"/>
      <c r="J1732" s="41"/>
      <c r="K1732" s="41"/>
      <c r="L1732" s="41"/>
      <c r="M1732" s="41"/>
      <c r="N1732" s="41"/>
      <c r="O1732" s="41"/>
    </row>
    <row r="1733" spans="1:15">
      <c r="A1733" s="39"/>
      <c r="B1733" s="40"/>
      <c r="C1733" s="41"/>
      <c r="D1733" s="41"/>
      <c r="E1733" s="41"/>
      <c r="F1733" s="41"/>
      <c r="G1733" s="41"/>
      <c r="H1733" s="41"/>
      <c r="I1733" s="41"/>
      <c r="J1733" s="41"/>
      <c r="K1733" s="41"/>
      <c r="L1733" s="41"/>
      <c r="M1733" s="41"/>
      <c r="N1733" s="41"/>
      <c r="O1733" s="41"/>
    </row>
    <row r="1734" spans="1:15">
      <c r="A1734" s="39"/>
      <c r="B1734" s="40"/>
      <c r="C1734" s="41"/>
      <c r="D1734" s="41"/>
      <c r="E1734" s="41"/>
      <c r="F1734" s="41"/>
      <c r="G1734" s="41"/>
      <c r="H1734" s="41"/>
      <c r="I1734" s="41"/>
      <c r="J1734" s="41"/>
      <c r="K1734" s="41"/>
      <c r="L1734" s="41"/>
      <c r="M1734" s="41"/>
      <c r="N1734" s="41"/>
      <c r="O1734" s="41"/>
    </row>
    <row r="1735" spans="1:15">
      <c r="A1735" s="39"/>
      <c r="B1735" s="40"/>
      <c r="C1735" s="41"/>
      <c r="D1735" s="41"/>
      <c r="E1735" s="41"/>
      <c r="F1735" s="41"/>
      <c r="G1735" s="41"/>
      <c r="H1735" s="41"/>
      <c r="I1735" s="41"/>
      <c r="J1735" s="41"/>
      <c r="K1735" s="41"/>
      <c r="L1735" s="41"/>
      <c r="M1735" s="41"/>
      <c r="N1735" s="41"/>
      <c r="O1735" s="41"/>
    </row>
    <row r="1736" spans="1:15">
      <c r="A1736" s="39"/>
      <c r="B1736" s="40"/>
      <c r="C1736" s="41"/>
      <c r="D1736" s="41"/>
      <c r="E1736" s="41"/>
      <c r="F1736" s="41"/>
      <c r="G1736" s="41"/>
      <c r="H1736" s="41"/>
      <c r="I1736" s="41"/>
      <c r="J1736" s="41"/>
      <c r="K1736" s="41"/>
      <c r="L1736" s="41"/>
      <c r="M1736" s="41"/>
      <c r="N1736" s="41"/>
      <c r="O1736" s="41"/>
    </row>
    <row r="1737" spans="1:15">
      <c r="A1737" s="39"/>
      <c r="B1737" s="40"/>
      <c r="C1737" s="41"/>
      <c r="D1737" s="41"/>
      <c r="E1737" s="41"/>
      <c r="F1737" s="41"/>
      <c r="G1737" s="41"/>
      <c r="H1737" s="41"/>
      <c r="I1737" s="41"/>
      <c r="J1737" s="41"/>
      <c r="K1737" s="41"/>
      <c r="L1737" s="41"/>
      <c r="M1737" s="41"/>
      <c r="N1737" s="41"/>
      <c r="O1737" s="41"/>
    </row>
    <row r="1738" spans="1:15">
      <c r="A1738" s="39"/>
      <c r="B1738" s="40"/>
      <c r="C1738" s="41"/>
      <c r="D1738" s="41"/>
      <c r="E1738" s="41"/>
      <c r="F1738" s="41"/>
      <c r="G1738" s="41"/>
      <c r="H1738" s="41"/>
      <c r="I1738" s="41"/>
      <c r="J1738" s="41"/>
      <c r="K1738" s="41"/>
      <c r="L1738" s="41"/>
      <c r="M1738" s="41"/>
      <c r="N1738" s="41"/>
      <c r="O1738" s="41"/>
    </row>
    <row r="1739" spans="1:15">
      <c r="A1739" s="39"/>
      <c r="B1739" s="40"/>
      <c r="C1739" s="41"/>
      <c r="D1739" s="41"/>
      <c r="E1739" s="41"/>
      <c r="F1739" s="41"/>
      <c r="G1739" s="41"/>
      <c r="H1739" s="41"/>
      <c r="I1739" s="41"/>
      <c r="J1739" s="41"/>
      <c r="K1739" s="41"/>
      <c r="L1739" s="41"/>
      <c r="M1739" s="41"/>
      <c r="N1739" s="41"/>
      <c r="O1739" s="41"/>
    </row>
    <row r="1740" spans="1:15">
      <c r="A1740" s="39"/>
      <c r="B1740" s="40"/>
      <c r="C1740" s="41"/>
      <c r="D1740" s="41"/>
      <c r="E1740" s="41"/>
      <c r="F1740" s="41"/>
      <c r="G1740" s="41"/>
      <c r="H1740" s="41"/>
      <c r="I1740" s="41"/>
      <c r="J1740" s="41"/>
      <c r="K1740" s="41"/>
      <c r="L1740" s="41"/>
      <c r="M1740" s="41"/>
      <c r="N1740" s="41"/>
      <c r="O1740" s="41"/>
    </row>
    <row r="1741" spans="1:15">
      <c r="A1741" s="39"/>
      <c r="B1741" s="40"/>
      <c r="C1741" s="41"/>
      <c r="D1741" s="41"/>
      <c r="E1741" s="41"/>
      <c r="F1741" s="41"/>
      <c r="G1741" s="41"/>
      <c r="H1741" s="41"/>
      <c r="I1741" s="41"/>
      <c r="J1741" s="41"/>
      <c r="K1741" s="41"/>
      <c r="L1741" s="41"/>
      <c r="M1741" s="41"/>
      <c r="N1741" s="41"/>
      <c r="O1741" s="41"/>
    </row>
    <row r="1742" spans="1:15">
      <c r="A1742" s="39"/>
      <c r="B1742" s="40"/>
      <c r="C1742" s="41"/>
      <c r="D1742" s="41"/>
      <c r="E1742" s="41"/>
      <c r="F1742" s="41"/>
      <c r="G1742" s="41"/>
      <c r="H1742" s="41"/>
      <c r="I1742" s="41"/>
      <c r="J1742" s="41"/>
      <c r="K1742" s="41"/>
      <c r="L1742" s="41"/>
      <c r="M1742" s="41"/>
      <c r="N1742" s="41"/>
      <c r="O1742" s="41"/>
    </row>
    <row r="1743" spans="1:15">
      <c r="A1743" s="39"/>
      <c r="B1743" s="40"/>
      <c r="C1743" s="41"/>
      <c r="D1743" s="41"/>
      <c r="E1743" s="41"/>
      <c r="F1743" s="41"/>
      <c r="G1743" s="41"/>
      <c r="H1743" s="41"/>
      <c r="I1743" s="41"/>
      <c r="J1743" s="41"/>
      <c r="K1743" s="41"/>
      <c r="L1743" s="41"/>
      <c r="M1743" s="41"/>
      <c r="N1743" s="41"/>
      <c r="O1743" s="41"/>
    </row>
    <row r="1744" spans="1:15">
      <c r="A1744" s="39"/>
      <c r="B1744" s="40"/>
      <c r="C1744" s="41"/>
      <c r="D1744" s="41"/>
      <c r="E1744" s="41"/>
      <c r="F1744" s="41"/>
      <c r="G1744" s="41"/>
      <c r="H1744" s="41"/>
      <c r="I1744" s="41"/>
      <c r="J1744" s="41"/>
      <c r="K1744" s="41"/>
      <c r="L1744" s="41"/>
      <c r="M1744" s="41"/>
      <c r="N1744" s="41"/>
      <c r="O1744" s="41"/>
    </row>
    <row r="1745" spans="1:15">
      <c r="A1745" s="39"/>
      <c r="B1745" s="40"/>
      <c r="C1745" s="41"/>
      <c r="D1745" s="41"/>
      <c r="E1745" s="41"/>
      <c r="F1745" s="41"/>
      <c r="G1745" s="41"/>
      <c r="H1745" s="41"/>
      <c r="I1745" s="41"/>
      <c r="J1745" s="41"/>
      <c r="K1745" s="41"/>
      <c r="L1745" s="41"/>
      <c r="M1745" s="41"/>
      <c r="N1745" s="41"/>
      <c r="O1745" s="41"/>
    </row>
    <row r="1746" spans="1:15">
      <c r="A1746" s="39"/>
      <c r="B1746" s="40"/>
      <c r="C1746" s="41"/>
      <c r="D1746" s="41"/>
      <c r="E1746" s="41"/>
      <c r="F1746" s="41"/>
      <c r="G1746" s="41"/>
      <c r="H1746" s="41"/>
      <c r="I1746" s="41"/>
      <c r="J1746" s="41"/>
      <c r="K1746" s="41"/>
      <c r="L1746" s="41"/>
      <c r="M1746" s="41"/>
      <c r="N1746" s="41"/>
      <c r="O1746" s="41"/>
    </row>
    <row r="1747" spans="1:15">
      <c r="A1747" s="39"/>
      <c r="B1747" s="40"/>
      <c r="C1747" s="41"/>
      <c r="D1747" s="41"/>
      <c r="E1747" s="41"/>
      <c r="F1747" s="41"/>
      <c r="G1747" s="41"/>
      <c r="H1747" s="41"/>
      <c r="I1747" s="41"/>
      <c r="J1747" s="41"/>
      <c r="K1747" s="41"/>
      <c r="L1747" s="41"/>
      <c r="M1747" s="41"/>
      <c r="N1747" s="41"/>
      <c r="O1747" s="41"/>
    </row>
    <row r="1748" spans="1:15">
      <c r="A1748" s="39"/>
      <c r="B1748" s="40"/>
      <c r="C1748" s="41"/>
      <c r="D1748" s="41"/>
      <c r="E1748" s="41"/>
      <c r="F1748" s="41"/>
      <c r="G1748" s="41"/>
      <c r="H1748" s="41"/>
      <c r="I1748" s="41"/>
      <c r="J1748" s="41"/>
      <c r="K1748" s="41"/>
      <c r="L1748" s="41"/>
      <c r="M1748" s="41"/>
      <c r="N1748" s="41"/>
      <c r="O1748" s="41"/>
    </row>
    <row r="1749" spans="1:15">
      <c r="A1749" s="39"/>
      <c r="B1749" s="40"/>
      <c r="C1749" s="41"/>
      <c r="D1749" s="41"/>
      <c r="E1749" s="41"/>
      <c r="F1749" s="41"/>
      <c r="G1749" s="41"/>
      <c r="H1749" s="41"/>
      <c r="I1749" s="41"/>
      <c r="J1749" s="41"/>
      <c r="K1749" s="41"/>
      <c r="L1749" s="41"/>
      <c r="M1749" s="41"/>
      <c r="N1749" s="41"/>
      <c r="O1749" s="41"/>
    </row>
    <row r="1750" spans="1:15">
      <c r="A1750" s="39"/>
      <c r="B1750" s="40"/>
      <c r="C1750" s="41"/>
      <c r="D1750" s="41"/>
      <c r="E1750" s="41"/>
      <c r="F1750" s="41"/>
      <c r="G1750" s="41"/>
      <c r="H1750" s="41"/>
      <c r="I1750" s="41"/>
      <c r="J1750" s="41"/>
      <c r="K1750" s="41"/>
      <c r="L1750" s="41"/>
      <c r="M1750" s="41"/>
      <c r="N1750" s="41"/>
      <c r="O1750" s="41"/>
    </row>
    <row r="1751" spans="1:15">
      <c r="A1751" s="39"/>
      <c r="B1751" s="40"/>
      <c r="C1751" s="41"/>
      <c r="D1751" s="41"/>
      <c r="E1751" s="41"/>
      <c r="F1751" s="41"/>
      <c r="G1751" s="41"/>
      <c r="H1751" s="41"/>
      <c r="I1751" s="41"/>
      <c r="J1751" s="41"/>
      <c r="K1751" s="41"/>
      <c r="L1751" s="41"/>
      <c r="M1751" s="41"/>
      <c r="N1751" s="41"/>
      <c r="O1751" s="41"/>
    </row>
    <row r="1752" spans="1:15">
      <c r="A1752" s="39"/>
      <c r="B1752" s="40"/>
      <c r="C1752" s="41"/>
      <c r="D1752" s="41"/>
      <c r="E1752" s="41"/>
      <c r="F1752" s="41"/>
      <c r="G1752" s="41"/>
      <c r="H1752" s="41"/>
      <c r="I1752" s="41"/>
      <c r="J1752" s="41"/>
      <c r="K1752" s="41"/>
      <c r="L1752" s="41"/>
      <c r="M1752" s="41"/>
      <c r="N1752" s="41"/>
      <c r="O1752" s="41"/>
    </row>
    <row r="1753" spans="1:15">
      <c r="A1753" s="39"/>
      <c r="B1753" s="40"/>
      <c r="C1753" s="41"/>
      <c r="D1753" s="41"/>
      <c r="E1753" s="41"/>
      <c r="F1753" s="41"/>
      <c r="G1753" s="41"/>
      <c r="H1753" s="41"/>
      <c r="I1753" s="41"/>
      <c r="J1753" s="41"/>
      <c r="K1753" s="41"/>
      <c r="L1753" s="41"/>
      <c r="M1753" s="41"/>
      <c r="N1753" s="41"/>
      <c r="O1753" s="41"/>
    </row>
    <row r="1754" spans="1:15">
      <c r="A1754" s="39"/>
      <c r="B1754" s="40"/>
      <c r="C1754" s="41"/>
      <c r="D1754" s="41"/>
      <c r="E1754" s="41"/>
      <c r="F1754" s="41"/>
      <c r="G1754" s="41"/>
      <c r="H1754" s="41"/>
      <c r="I1754" s="41"/>
      <c r="J1754" s="41"/>
      <c r="K1754" s="41"/>
      <c r="L1754" s="41"/>
      <c r="M1754" s="41"/>
      <c r="N1754" s="41"/>
      <c r="O1754" s="41"/>
    </row>
    <row r="1755" spans="1:15">
      <c r="A1755" s="39"/>
      <c r="B1755" s="40"/>
      <c r="C1755" s="41"/>
      <c r="D1755" s="41"/>
      <c r="E1755" s="41"/>
      <c r="F1755" s="41"/>
      <c r="G1755" s="41"/>
      <c r="H1755" s="41"/>
      <c r="I1755" s="41"/>
      <c r="J1755" s="41"/>
      <c r="K1755" s="41"/>
      <c r="L1755" s="41"/>
      <c r="M1755" s="41"/>
      <c r="N1755" s="41"/>
      <c r="O1755" s="41"/>
    </row>
    <row r="1756" spans="1:15">
      <c r="A1756" s="39"/>
      <c r="B1756" s="40"/>
      <c r="C1756" s="41"/>
      <c r="D1756" s="41"/>
      <c r="E1756" s="41"/>
      <c r="F1756" s="41"/>
      <c r="G1756" s="41"/>
      <c r="H1756" s="41"/>
      <c r="I1756" s="41"/>
      <c r="J1756" s="41"/>
      <c r="K1756" s="41"/>
      <c r="L1756" s="41"/>
      <c r="M1756" s="41"/>
      <c r="N1756" s="41"/>
      <c r="O1756" s="41"/>
    </row>
    <row r="1757" spans="1:15">
      <c r="A1757" s="39"/>
      <c r="B1757" s="40"/>
      <c r="C1757" s="41"/>
      <c r="D1757" s="41"/>
      <c r="E1757" s="41"/>
      <c r="F1757" s="41"/>
      <c r="G1757" s="41"/>
      <c r="H1757" s="41"/>
      <c r="I1757" s="41"/>
      <c r="J1757" s="41"/>
      <c r="K1757" s="41"/>
      <c r="L1757" s="41"/>
      <c r="M1757" s="41"/>
      <c r="N1757" s="41"/>
      <c r="O1757" s="41"/>
    </row>
    <row r="1758" spans="1:15">
      <c r="A1758" s="39"/>
      <c r="B1758" s="40"/>
      <c r="C1758" s="41"/>
      <c r="D1758" s="41"/>
      <c r="E1758" s="41"/>
      <c r="F1758" s="41"/>
      <c r="G1758" s="41"/>
      <c r="H1758" s="41"/>
      <c r="I1758" s="41"/>
      <c r="J1758" s="41"/>
      <c r="K1758" s="41"/>
      <c r="L1758" s="41"/>
      <c r="M1758" s="41"/>
      <c r="N1758" s="41"/>
      <c r="O1758" s="41"/>
    </row>
    <row r="1759" spans="1:15">
      <c r="A1759" s="39"/>
      <c r="B1759" s="40"/>
      <c r="C1759" s="41"/>
      <c r="D1759" s="41"/>
      <c r="E1759" s="41"/>
      <c r="F1759" s="41"/>
      <c r="G1759" s="41"/>
      <c r="H1759" s="41"/>
      <c r="I1759" s="41"/>
      <c r="J1759" s="41"/>
      <c r="K1759" s="41"/>
      <c r="L1759" s="41"/>
      <c r="M1759" s="41"/>
      <c r="N1759" s="41"/>
      <c r="O1759" s="41"/>
    </row>
    <row r="1760" spans="1:15">
      <c r="A1760" s="39"/>
      <c r="B1760" s="40"/>
      <c r="C1760" s="41"/>
      <c r="D1760" s="41"/>
      <c r="E1760" s="41"/>
      <c r="F1760" s="41"/>
      <c r="G1760" s="41"/>
      <c r="H1760" s="41"/>
      <c r="I1760" s="41"/>
      <c r="J1760" s="41"/>
      <c r="K1760" s="41"/>
      <c r="L1760" s="41"/>
      <c r="M1760" s="41"/>
      <c r="N1760" s="41"/>
      <c r="O1760" s="41"/>
    </row>
    <row r="1761" spans="1:15">
      <c r="A1761" s="39"/>
      <c r="B1761" s="40"/>
      <c r="C1761" s="41"/>
      <c r="D1761" s="41"/>
      <c r="E1761" s="41"/>
      <c r="F1761" s="41"/>
      <c r="G1761" s="41"/>
      <c r="H1761" s="41"/>
      <c r="I1761" s="41"/>
      <c r="J1761" s="41"/>
      <c r="K1761" s="41"/>
      <c r="L1761" s="41"/>
      <c r="M1761" s="41"/>
      <c r="N1761" s="41"/>
      <c r="O1761" s="41"/>
    </row>
    <row r="1762" spans="1:15">
      <c r="A1762" s="39"/>
      <c r="B1762" s="40"/>
      <c r="C1762" s="41"/>
      <c r="D1762" s="41"/>
      <c r="E1762" s="41"/>
      <c r="F1762" s="41"/>
      <c r="G1762" s="41"/>
      <c r="H1762" s="41"/>
      <c r="I1762" s="41"/>
      <c r="J1762" s="41"/>
      <c r="K1762" s="41"/>
      <c r="L1762" s="41"/>
      <c r="M1762" s="41"/>
      <c r="N1762" s="41"/>
      <c r="O1762" s="41"/>
    </row>
    <row r="1763" spans="1:15">
      <c r="A1763" s="39"/>
      <c r="B1763" s="40"/>
      <c r="C1763" s="41"/>
      <c r="D1763" s="41"/>
      <c r="E1763" s="41"/>
      <c r="F1763" s="41"/>
      <c r="G1763" s="41"/>
      <c r="H1763" s="41"/>
      <c r="I1763" s="41"/>
      <c r="J1763" s="41"/>
      <c r="K1763" s="41"/>
      <c r="L1763" s="41"/>
      <c r="M1763" s="41"/>
      <c r="N1763" s="41"/>
      <c r="O1763" s="41"/>
    </row>
    <row r="1764" spans="1:15">
      <c r="A1764" s="39"/>
      <c r="B1764" s="40"/>
      <c r="C1764" s="41"/>
      <c r="D1764" s="41"/>
      <c r="E1764" s="41"/>
      <c r="F1764" s="41"/>
      <c r="G1764" s="41"/>
      <c r="H1764" s="41"/>
      <c r="I1764" s="41"/>
      <c r="J1764" s="41"/>
      <c r="K1764" s="41"/>
      <c r="L1764" s="41"/>
      <c r="M1764" s="41"/>
      <c r="N1764" s="41"/>
      <c r="O1764" s="41"/>
    </row>
    <row r="1765" spans="1:15">
      <c r="A1765" s="39"/>
      <c r="B1765" s="40"/>
      <c r="C1765" s="41"/>
      <c r="D1765" s="41"/>
      <c r="E1765" s="41"/>
      <c r="F1765" s="41"/>
      <c r="G1765" s="41"/>
      <c r="H1765" s="41"/>
      <c r="I1765" s="41"/>
      <c r="J1765" s="41"/>
      <c r="K1765" s="41"/>
      <c r="L1765" s="41"/>
      <c r="M1765" s="41"/>
      <c r="N1765" s="41"/>
      <c r="O1765" s="41"/>
    </row>
    <row r="1766" spans="1:15">
      <c r="A1766" s="39"/>
      <c r="B1766" s="40"/>
      <c r="C1766" s="41"/>
      <c r="D1766" s="41"/>
      <c r="E1766" s="41"/>
      <c r="F1766" s="41"/>
      <c r="G1766" s="41"/>
      <c r="H1766" s="41"/>
      <c r="I1766" s="41"/>
      <c r="J1766" s="41"/>
      <c r="K1766" s="41"/>
      <c r="L1766" s="41"/>
      <c r="M1766" s="41"/>
      <c r="N1766" s="41"/>
      <c r="O1766" s="41"/>
    </row>
    <row r="1767" spans="1:15">
      <c r="A1767" s="39"/>
      <c r="B1767" s="40"/>
      <c r="C1767" s="41"/>
      <c r="D1767" s="41"/>
      <c r="E1767" s="41"/>
      <c r="F1767" s="41"/>
      <c r="G1767" s="41"/>
      <c r="H1767" s="41"/>
      <c r="I1767" s="41"/>
      <c r="J1767" s="41"/>
      <c r="K1767" s="41"/>
      <c r="L1767" s="41"/>
      <c r="M1767" s="41"/>
      <c r="N1767" s="41"/>
      <c r="O1767" s="41"/>
    </row>
    <row r="1768" spans="1:15">
      <c r="A1768" s="39"/>
      <c r="B1768" s="40"/>
      <c r="C1768" s="41"/>
      <c r="D1768" s="41"/>
      <c r="E1768" s="41"/>
      <c r="F1768" s="41"/>
      <c r="G1768" s="41"/>
      <c r="H1768" s="41"/>
      <c r="I1768" s="41"/>
      <c r="J1768" s="41"/>
      <c r="K1768" s="41"/>
      <c r="L1768" s="41"/>
      <c r="M1768" s="41"/>
      <c r="N1768" s="41"/>
      <c r="O1768" s="41"/>
    </row>
    <row r="1769" spans="1:15">
      <c r="A1769" s="39"/>
      <c r="B1769" s="40"/>
      <c r="C1769" s="41"/>
      <c r="D1769" s="41"/>
      <c r="E1769" s="41"/>
      <c r="F1769" s="41"/>
      <c r="G1769" s="41"/>
      <c r="H1769" s="41"/>
      <c r="I1769" s="41"/>
      <c r="J1769" s="41"/>
      <c r="K1769" s="41"/>
      <c r="L1769" s="41"/>
      <c r="M1769" s="41"/>
      <c r="N1769" s="41"/>
      <c r="O1769" s="41"/>
    </row>
    <row r="1770" spans="1:15">
      <c r="A1770" s="39"/>
      <c r="B1770" s="40"/>
      <c r="C1770" s="41"/>
      <c r="D1770" s="41"/>
      <c r="E1770" s="41"/>
      <c r="F1770" s="41"/>
      <c r="G1770" s="41"/>
      <c r="H1770" s="41"/>
      <c r="I1770" s="41"/>
      <c r="J1770" s="41"/>
      <c r="K1770" s="41"/>
      <c r="L1770" s="41"/>
      <c r="M1770" s="41"/>
      <c r="N1770" s="41"/>
      <c r="O1770" s="41"/>
    </row>
    <row r="1771" spans="1:15">
      <c r="A1771" s="39"/>
      <c r="B1771" s="40"/>
      <c r="C1771" s="41"/>
      <c r="D1771" s="41"/>
      <c r="E1771" s="41"/>
      <c r="F1771" s="41"/>
      <c r="G1771" s="41"/>
      <c r="H1771" s="41"/>
      <c r="I1771" s="41"/>
      <c r="J1771" s="41"/>
      <c r="K1771" s="41"/>
      <c r="L1771" s="41"/>
      <c r="M1771" s="41"/>
      <c r="N1771" s="41"/>
      <c r="O1771" s="41"/>
    </row>
    <row r="1772" spans="1:15">
      <c r="A1772" s="39"/>
      <c r="B1772" s="40"/>
      <c r="C1772" s="41"/>
      <c r="D1772" s="41"/>
      <c r="E1772" s="41"/>
      <c r="F1772" s="41"/>
      <c r="G1772" s="41"/>
      <c r="H1772" s="41"/>
      <c r="I1772" s="41"/>
      <c r="J1772" s="41"/>
      <c r="K1772" s="41"/>
      <c r="L1772" s="41"/>
      <c r="M1772" s="41"/>
      <c r="N1772" s="41"/>
      <c r="O1772" s="41"/>
    </row>
    <row r="1773" spans="1:15">
      <c r="A1773" s="39"/>
      <c r="B1773" s="40"/>
      <c r="C1773" s="41"/>
      <c r="D1773" s="41"/>
      <c r="E1773" s="41"/>
      <c r="F1773" s="41"/>
      <c r="G1773" s="41"/>
      <c r="H1773" s="41"/>
      <c r="I1773" s="41"/>
      <c r="J1773" s="41"/>
      <c r="K1773" s="41"/>
      <c r="L1773" s="41"/>
      <c r="M1773" s="41"/>
      <c r="N1773" s="41"/>
      <c r="O1773" s="41"/>
    </row>
    <row r="1774" spans="1:15">
      <c r="A1774" s="39"/>
      <c r="B1774" s="40"/>
      <c r="C1774" s="41"/>
      <c r="D1774" s="41"/>
      <c r="E1774" s="41"/>
      <c r="F1774" s="41"/>
      <c r="G1774" s="41"/>
      <c r="H1774" s="41"/>
      <c r="I1774" s="41"/>
      <c r="J1774" s="41"/>
      <c r="K1774" s="41"/>
      <c r="L1774" s="41"/>
      <c r="M1774" s="41"/>
      <c r="N1774" s="41"/>
      <c r="O1774" s="41"/>
    </row>
    <row r="1775" spans="1:15">
      <c r="A1775" s="39"/>
      <c r="B1775" s="40"/>
      <c r="C1775" s="41"/>
      <c r="D1775" s="41"/>
      <c r="E1775" s="41"/>
      <c r="F1775" s="41"/>
      <c r="G1775" s="41"/>
      <c r="H1775" s="41"/>
      <c r="I1775" s="41"/>
      <c r="J1775" s="41"/>
      <c r="K1775" s="41"/>
      <c r="L1775" s="41"/>
      <c r="M1775" s="41"/>
      <c r="N1775" s="41"/>
      <c r="O1775" s="41"/>
    </row>
    <row r="1776" spans="1:15">
      <c r="A1776" s="39"/>
      <c r="B1776" s="40"/>
      <c r="C1776" s="41"/>
      <c r="D1776" s="41"/>
      <c r="E1776" s="41"/>
      <c r="F1776" s="41"/>
      <c r="G1776" s="41"/>
      <c r="H1776" s="41"/>
      <c r="I1776" s="41"/>
      <c r="J1776" s="41"/>
      <c r="K1776" s="41"/>
      <c r="L1776" s="41"/>
      <c r="M1776" s="41"/>
      <c r="N1776" s="41"/>
      <c r="O1776" s="41"/>
    </row>
    <row r="1777" spans="1:15">
      <c r="A1777" s="39"/>
      <c r="B1777" s="40"/>
      <c r="C1777" s="41"/>
      <c r="D1777" s="41"/>
      <c r="E1777" s="41"/>
      <c r="F1777" s="41"/>
      <c r="G1777" s="41"/>
      <c r="H1777" s="41"/>
      <c r="I1777" s="41"/>
      <c r="J1777" s="41"/>
      <c r="K1777" s="41"/>
      <c r="L1777" s="41"/>
      <c r="M1777" s="41"/>
      <c r="N1777" s="41"/>
      <c r="O1777" s="41"/>
    </row>
    <row r="1778" spans="1:15">
      <c r="A1778" s="39"/>
      <c r="B1778" s="40"/>
      <c r="C1778" s="41"/>
      <c r="D1778" s="41"/>
      <c r="E1778" s="41"/>
      <c r="F1778" s="41"/>
      <c r="G1778" s="41"/>
      <c r="H1778" s="41"/>
      <c r="I1778" s="41"/>
      <c r="J1778" s="41"/>
      <c r="K1778" s="41"/>
      <c r="L1778" s="41"/>
      <c r="M1778" s="41"/>
      <c r="N1778" s="41"/>
      <c r="O1778" s="41"/>
    </row>
    <row r="1779" spans="1:15">
      <c r="A1779" s="39"/>
      <c r="B1779" s="40"/>
      <c r="C1779" s="41"/>
      <c r="D1779" s="41"/>
      <c r="E1779" s="41"/>
      <c r="F1779" s="41"/>
      <c r="G1779" s="41"/>
      <c r="H1779" s="41"/>
      <c r="I1779" s="41"/>
      <c r="J1779" s="41"/>
      <c r="K1779" s="41"/>
      <c r="L1779" s="41"/>
      <c r="M1779" s="41"/>
      <c r="N1779" s="41"/>
      <c r="O1779" s="41"/>
    </row>
    <row r="1780" spans="1:15">
      <c r="A1780" s="39"/>
      <c r="B1780" s="40"/>
      <c r="C1780" s="41"/>
      <c r="D1780" s="41"/>
      <c r="E1780" s="41"/>
      <c r="F1780" s="41"/>
      <c r="G1780" s="41"/>
      <c r="H1780" s="41"/>
      <c r="I1780" s="41"/>
      <c r="J1780" s="41"/>
      <c r="K1780" s="41"/>
      <c r="L1780" s="41"/>
      <c r="M1780" s="41"/>
      <c r="N1780" s="41"/>
      <c r="O1780" s="41"/>
    </row>
    <row r="1781" spans="1:15">
      <c r="A1781" s="39"/>
      <c r="B1781" s="40"/>
      <c r="C1781" s="41"/>
      <c r="D1781" s="41"/>
      <c r="E1781" s="41"/>
      <c r="F1781" s="41"/>
      <c r="G1781" s="41"/>
      <c r="H1781" s="41"/>
      <c r="I1781" s="41"/>
      <c r="J1781" s="41"/>
      <c r="K1781" s="41"/>
      <c r="L1781" s="41"/>
      <c r="M1781" s="41"/>
      <c r="N1781" s="41"/>
      <c r="O1781" s="41"/>
    </row>
    <row r="1782" spans="1:15">
      <c r="A1782" s="39"/>
      <c r="B1782" s="40"/>
      <c r="C1782" s="41"/>
      <c r="D1782" s="41"/>
      <c r="E1782" s="41"/>
      <c r="F1782" s="41"/>
      <c r="G1782" s="41"/>
      <c r="H1782" s="41"/>
      <c r="I1782" s="41"/>
      <c r="J1782" s="41"/>
      <c r="K1782" s="41"/>
      <c r="L1782" s="41"/>
      <c r="M1782" s="41"/>
      <c r="N1782" s="41"/>
      <c r="O1782" s="41"/>
    </row>
    <row r="1783" spans="1:15">
      <c r="A1783" s="39"/>
      <c r="B1783" s="40"/>
      <c r="C1783" s="41"/>
      <c r="D1783" s="41"/>
      <c r="E1783" s="41"/>
      <c r="F1783" s="41"/>
      <c r="G1783" s="41"/>
      <c r="H1783" s="41"/>
      <c r="I1783" s="41"/>
      <c r="J1783" s="41"/>
      <c r="K1783" s="41"/>
      <c r="L1783" s="41"/>
      <c r="M1783" s="41"/>
      <c r="N1783" s="41"/>
      <c r="O1783" s="41"/>
    </row>
    <row r="1784" spans="1:15">
      <c r="A1784" s="39"/>
      <c r="B1784" s="40"/>
      <c r="C1784" s="41"/>
      <c r="D1784" s="41"/>
      <c r="E1784" s="41"/>
      <c r="F1784" s="41"/>
      <c r="G1784" s="41"/>
      <c r="H1784" s="41"/>
      <c r="I1784" s="41"/>
      <c r="J1784" s="41"/>
      <c r="K1784" s="41"/>
      <c r="L1784" s="41"/>
      <c r="M1784" s="41"/>
      <c r="N1784" s="41"/>
      <c r="O1784" s="41"/>
    </row>
    <row r="1785" spans="1:15">
      <c r="A1785" s="39"/>
      <c r="B1785" s="40"/>
      <c r="C1785" s="41"/>
      <c r="D1785" s="41"/>
      <c r="E1785" s="41"/>
      <c r="F1785" s="41"/>
      <c r="G1785" s="41"/>
      <c r="H1785" s="41"/>
      <c r="I1785" s="41"/>
      <c r="J1785" s="41"/>
      <c r="K1785" s="41"/>
      <c r="L1785" s="41"/>
      <c r="M1785" s="41"/>
      <c r="N1785" s="41"/>
      <c r="O1785" s="41"/>
    </row>
    <row r="1786" spans="1:15">
      <c r="A1786" s="39"/>
      <c r="B1786" s="40"/>
      <c r="C1786" s="41"/>
      <c r="D1786" s="41"/>
      <c r="E1786" s="41"/>
      <c r="F1786" s="41"/>
      <c r="G1786" s="41"/>
      <c r="H1786" s="41"/>
      <c r="I1786" s="41"/>
      <c r="J1786" s="41"/>
      <c r="K1786" s="41"/>
      <c r="L1786" s="41"/>
      <c r="M1786" s="41"/>
      <c r="N1786" s="41"/>
      <c r="O1786" s="41"/>
    </row>
    <row r="1787" spans="1:15">
      <c r="A1787" s="39"/>
      <c r="B1787" s="40"/>
      <c r="C1787" s="41"/>
      <c r="D1787" s="41"/>
      <c r="E1787" s="41"/>
      <c r="F1787" s="41"/>
      <c r="G1787" s="41"/>
      <c r="H1787" s="41"/>
      <c r="I1787" s="41"/>
      <c r="J1787" s="41"/>
      <c r="K1787" s="41"/>
      <c r="L1787" s="41"/>
      <c r="M1787" s="41"/>
      <c r="N1787" s="41"/>
      <c r="O1787" s="41"/>
    </row>
    <row r="1788" spans="1:15">
      <c r="A1788" s="39"/>
      <c r="B1788" s="40"/>
      <c r="C1788" s="41"/>
      <c r="D1788" s="41"/>
      <c r="E1788" s="41"/>
      <c r="F1788" s="41"/>
      <c r="G1788" s="41"/>
      <c r="H1788" s="41"/>
      <c r="I1788" s="41"/>
      <c r="J1788" s="41"/>
      <c r="K1788" s="41"/>
      <c r="L1788" s="41"/>
      <c r="M1788" s="41"/>
      <c r="N1788" s="41"/>
      <c r="O1788" s="41"/>
    </row>
    <row r="1789" spans="1:15">
      <c r="A1789" s="39"/>
      <c r="B1789" s="40"/>
      <c r="C1789" s="41"/>
      <c r="D1789" s="41"/>
      <c r="E1789" s="41"/>
      <c r="F1789" s="41"/>
      <c r="G1789" s="41"/>
      <c r="H1789" s="41"/>
      <c r="I1789" s="41"/>
      <c r="J1789" s="41"/>
      <c r="K1789" s="41"/>
      <c r="L1789" s="41"/>
      <c r="M1789" s="41"/>
      <c r="N1789" s="41"/>
      <c r="O1789" s="41"/>
    </row>
    <row r="1790" spans="1:15">
      <c r="A1790" s="39"/>
      <c r="B1790" s="40"/>
      <c r="C1790" s="41"/>
      <c r="D1790" s="41"/>
      <c r="E1790" s="41"/>
      <c r="F1790" s="41"/>
      <c r="G1790" s="41"/>
      <c r="H1790" s="41"/>
      <c r="I1790" s="41"/>
      <c r="J1790" s="41"/>
      <c r="K1790" s="41"/>
      <c r="L1790" s="41"/>
      <c r="M1790" s="41"/>
      <c r="N1790" s="41"/>
      <c r="O1790" s="41"/>
    </row>
    <row r="1791" spans="1:15">
      <c r="A1791" s="39"/>
      <c r="B1791" s="40"/>
      <c r="C1791" s="41"/>
      <c r="D1791" s="41"/>
      <c r="E1791" s="41"/>
      <c r="F1791" s="41"/>
      <c r="G1791" s="41"/>
      <c r="H1791" s="41"/>
      <c r="I1791" s="41"/>
      <c r="J1791" s="41"/>
      <c r="K1791" s="41"/>
      <c r="L1791" s="41"/>
      <c r="M1791" s="41"/>
      <c r="N1791" s="41"/>
      <c r="O1791" s="41"/>
    </row>
    <row r="1792" spans="1:15">
      <c r="A1792" s="39"/>
      <c r="B1792" s="40"/>
      <c r="C1792" s="41"/>
      <c r="D1792" s="41"/>
      <c r="E1792" s="41"/>
      <c r="F1792" s="41"/>
      <c r="G1792" s="41"/>
      <c r="H1792" s="41"/>
      <c r="I1792" s="41"/>
      <c r="J1792" s="41"/>
      <c r="K1792" s="41"/>
      <c r="L1792" s="41"/>
      <c r="M1792" s="41"/>
      <c r="N1792" s="41"/>
      <c r="O1792" s="41"/>
    </row>
    <row r="1793" spans="1:15">
      <c r="A1793" s="39"/>
      <c r="B1793" s="40"/>
      <c r="C1793" s="41"/>
      <c r="D1793" s="41"/>
      <c r="E1793" s="41"/>
      <c r="F1793" s="41"/>
      <c r="G1793" s="41"/>
      <c r="H1793" s="41"/>
      <c r="I1793" s="41"/>
      <c r="J1793" s="41"/>
      <c r="K1793" s="41"/>
      <c r="L1793" s="41"/>
      <c r="M1793" s="41"/>
      <c r="N1793" s="41"/>
      <c r="O1793" s="41"/>
    </row>
    <row r="1794" spans="1:15">
      <c r="A1794" s="39"/>
      <c r="B1794" s="40"/>
      <c r="C1794" s="41"/>
      <c r="D1794" s="41"/>
      <c r="E1794" s="41"/>
      <c r="F1794" s="41"/>
      <c r="G1794" s="41"/>
      <c r="H1794" s="41"/>
      <c r="I1794" s="41"/>
      <c r="J1794" s="41"/>
      <c r="K1794" s="41"/>
      <c r="L1794" s="41"/>
      <c r="M1794" s="41"/>
      <c r="N1794" s="41"/>
      <c r="O1794" s="41"/>
    </row>
    <row r="1795" spans="1:15">
      <c r="A1795" s="39"/>
      <c r="B1795" s="40"/>
      <c r="C1795" s="41"/>
      <c r="D1795" s="41"/>
      <c r="E1795" s="41"/>
      <c r="F1795" s="41"/>
      <c r="G1795" s="41"/>
      <c r="H1795" s="41"/>
      <c r="I1795" s="41"/>
      <c r="J1795" s="41"/>
      <c r="K1795" s="41"/>
      <c r="L1795" s="41"/>
      <c r="M1795" s="41"/>
      <c r="N1795" s="41"/>
      <c r="O1795" s="41"/>
    </row>
    <row r="1796" spans="1:15">
      <c r="A1796" s="39"/>
      <c r="B1796" s="40"/>
      <c r="C1796" s="41"/>
      <c r="D1796" s="41"/>
      <c r="E1796" s="41"/>
      <c r="F1796" s="41"/>
      <c r="G1796" s="41"/>
      <c r="H1796" s="41"/>
      <c r="I1796" s="41"/>
      <c r="J1796" s="41"/>
      <c r="K1796" s="41"/>
      <c r="L1796" s="41"/>
      <c r="M1796" s="41"/>
      <c r="N1796" s="41"/>
      <c r="O1796" s="41"/>
    </row>
    <row r="1797" spans="1:15">
      <c r="A1797" s="39"/>
      <c r="B1797" s="40"/>
      <c r="C1797" s="41"/>
      <c r="D1797" s="41"/>
      <c r="E1797" s="41"/>
      <c r="F1797" s="41"/>
      <c r="G1797" s="41"/>
      <c r="H1797" s="41"/>
      <c r="I1797" s="41"/>
      <c r="J1797" s="41"/>
      <c r="K1797" s="41"/>
      <c r="L1797" s="41"/>
      <c r="M1797" s="41"/>
      <c r="N1797" s="41"/>
      <c r="O1797" s="41"/>
    </row>
    <row r="1798" spans="1:15">
      <c r="A1798" s="39"/>
      <c r="B1798" s="40"/>
      <c r="C1798" s="41"/>
      <c r="D1798" s="41"/>
      <c r="E1798" s="41"/>
      <c r="F1798" s="41"/>
      <c r="G1798" s="41"/>
      <c r="H1798" s="41"/>
      <c r="I1798" s="41"/>
      <c r="J1798" s="41"/>
      <c r="K1798" s="41"/>
      <c r="L1798" s="41"/>
      <c r="M1798" s="41"/>
      <c r="N1798" s="41"/>
      <c r="O1798" s="41"/>
    </row>
    <row r="1799" spans="1:15">
      <c r="A1799" s="39"/>
      <c r="B1799" s="40"/>
      <c r="C1799" s="41"/>
      <c r="D1799" s="41"/>
      <c r="E1799" s="41"/>
      <c r="F1799" s="41"/>
      <c r="G1799" s="41"/>
      <c r="H1799" s="41"/>
      <c r="I1799" s="41"/>
      <c r="J1799" s="41"/>
      <c r="K1799" s="41"/>
      <c r="L1799" s="41"/>
      <c r="M1799" s="41"/>
      <c r="N1799" s="41"/>
      <c r="O1799" s="41"/>
    </row>
    <row r="1800" spans="1:15">
      <c r="A1800" s="39"/>
      <c r="B1800" s="40"/>
      <c r="C1800" s="41"/>
      <c r="D1800" s="41"/>
      <c r="E1800" s="41"/>
      <c r="F1800" s="41"/>
      <c r="G1800" s="41"/>
      <c r="H1800" s="41"/>
      <c r="I1800" s="41"/>
      <c r="J1800" s="41"/>
      <c r="K1800" s="41"/>
      <c r="L1800" s="41"/>
      <c r="M1800" s="41"/>
      <c r="N1800" s="41"/>
      <c r="O1800" s="41"/>
    </row>
    <row r="1801" spans="1:15">
      <c r="A1801" s="39"/>
      <c r="B1801" s="40"/>
      <c r="C1801" s="41"/>
      <c r="D1801" s="41"/>
      <c r="E1801" s="41"/>
      <c r="F1801" s="41"/>
      <c r="G1801" s="41"/>
      <c r="H1801" s="41"/>
      <c r="I1801" s="41"/>
      <c r="J1801" s="41"/>
      <c r="K1801" s="41"/>
      <c r="L1801" s="41"/>
      <c r="M1801" s="41"/>
      <c r="N1801" s="41"/>
      <c r="O1801" s="41"/>
    </row>
    <row r="1802" spans="1:15">
      <c r="A1802" s="39"/>
      <c r="B1802" s="40"/>
      <c r="C1802" s="41"/>
      <c r="D1802" s="41"/>
      <c r="E1802" s="41"/>
      <c r="F1802" s="41"/>
      <c r="G1802" s="41"/>
      <c r="H1802" s="41"/>
      <c r="I1802" s="41"/>
      <c r="J1802" s="41"/>
      <c r="K1802" s="41"/>
      <c r="L1802" s="41"/>
      <c r="M1802" s="41"/>
      <c r="N1802" s="41"/>
      <c r="O1802" s="41"/>
    </row>
    <row r="1803" spans="1:15">
      <c r="A1803" s="39"/>
      <c r="B1803" s="40"/>
      <c r="C1803" s="41"/>
      <c r="D1803" s="41"/>
      <c r="E1803" s="41"/>
      <c r="F1803" s="41"/>
      <c r="G1803" s="41"/>
      <c r="H1803" s="41"/>
      <c r="I1803" s="41"/>
      <c r="J1803" s="41"/>
      <c r="K1803" s="41"/>
      <c r="L1803" s="41"/>
      <c r="M1803" s="41"/>
      <c r="N1803" s="41"/>
      <c r="O1803" s="41"/>
    </row>
    <row r="1804" spans="1:15">
      <c r="A1804" s="39"/>
      <c r="B1804" s="40"/>
      <c r="C1804" s="41"/>
      <c r="D1804" s="41"/>
      <c r="E1804" s="41"/>
      <c r="F1804" s="41"/>
      <c r="G1804" s="41"/>
      <c r="H1804" s="41"/>
      <c r="I1804" s="41"/>
      <c r="J1804" s="41"/>
      <c r="K1804" s="41"/>
      <c r="L1804" s="41"/>
      <c r="M1804" s="41"/>
      <c r="N1804" s="41"/>
      <c r="O1804" s="41"/>
    </row>
    <row r="1805" spans="1:15">
      <c r="A1805" s="39"/>
      <c r="B1805" s="40"/>
      <c r="C1805" s="41"/>
      <c r="D1805" s="41"/>
      <c r="E1805" s="41"/>
      <c r="F1805" s="41"/>
      <c r="G1805" s="41"/>
      <c r="H1805" s="41"/>
      <c r="I1805" s="41"/>
      <c r="J1805" s="41"/>
      <c r="K1805" s="41"/>
      <c r="L1805" s="41"/>
      <c r="M1805" s="41"/>
      <c r="N1805" s="41"/>
      <c r="O1805" s="41"/>
    </row>
    <row r="1806" spans="1:15">
      <c r="A1806" s="39"/>
      <c r="B1806" s="40"/>
      <c r="C1806" s="41"/>
      <c r="D1806" s="41"/>
      <c r="E1806" s="41"/>
      <c r="F1806" s="41"/>
      <c r="G1806" s="41"/>
      <c r="H1806" s="41"/>
      <c r="I1806" s="41"/>
      <c r="J1806" s="41"/>
      <c r="K1806" s="41"/>
      <c r="L1806" s="41"/>
      <c r="M1806" s="41"/>
      <c r="N1806" s="41"/>
      <c r="O1806" s="41"/>
    </row>
    <row r="1807" spans="1:15">
      <c r="A1807" s="39"/>
      <c r="B1807" s="40"/>
      <c r="C1807" s="41"/>
      <c r="D1807" s="41"/>
      <c r="E1807" s="41"/>
      <c r="F1807" s="41"/>
      <c r="G1807" s="41"/>
      <c r="H1807" s="41"/>
      <c r="I1807" s="41"/>
      <c r="J1807" s="41"/>
      <c r="K1807" s="41"/>
      <c r="L1807" s="41"/>
      <c r="M1807" s="41"/>
      <c r="N1807" s="41"/>
      <c r="O1807" s="41"/>
    </row>
    <row r="1808" spans="1:15">
      <c r="A1808" s="39"/>
      <c r="B1808" s="40"/>
      <c r="C1808" s="41"/>
      <c r="D1808" s="41"/>
      <c r="E1808" s="41"/>
      <c r="F1808" s="41"/>
      <c r="G1808" s="41"/>
      <c r="H1808" s="41"/>
      <c r="I1808" s="41"/>
      <c r="J1808" s="41"/>
      <c r="K1808" s="41"/>
      <c r="L1808" s="41"/>
      <c r="M1808" s="41"/>
      <c r="N1808" s="41"/>
      <c r="O1808" s="41"/>
    </row>
    <row r="1809" spans="1:15">
      <c r="A1809" s="39"/>
      <c r="B1809" s="40"/>
      <c r="C1809" s="41"/>
      <c r="D1809" s="41"/>
      <c r="E1809" s="41"/>
      <c r="F1809" s="41"/>
      <c r="G1809" s="41"/>
      <c r="H1809" s="41"/>
      <c r="I1809" s="41"/>
      <c r="J1809" s="41"/>
      <c r="K1809" s="41"/>
      <c r="L1809" s="41"/>
      <c r="M1809" s="41"/>
      <c r="N1809" s="41"/>
      <c r="O1809" s="41"/>
    </row>
    <row r="1810" spans="1:15">
      <c r="A1810" s="39"/>
      <c r="B1810" s="40"/>
      <c r="C1810" s="41"/>
      <c r="D1810" s="41"/>
      <c r="E1810" s="41"/>
      <c r="F1810" s="41"/>
      <c r="G1810" s="41"/>
      <c r="H1810" s="41"/>
      <c r="I1810" s="41"/>
      <c r="J1810" s="41"/>
      <c r="K1810" s="41"/>
      <c r="L1810" s="41"/>
      <c r="M1810" s="41"/>
      <c r="N1810" s="41"/>
      <c r="O1810" s="41"/>
    </row>
    <row r="1811" spans="1:15">
      <c r="A1811" s="39"/>
      <c r="B1811" s="40"/>
      <c r="C1811" s="41"/>
      <c r="D1811" s="41"/>
      <c r="E1811" s="41"/>
      <c r="F1811" s="41"/>
      <c r="G1811" s="41"/>
      <c r="H1811" s="41"/>
      <c r="I1811" s="41"/>
      <c r="J1811" s="41"/>
      <c r="K1811" s="41"/>
      <c r="L1811" s="41"/>
      <c r="M1811" s="41"/>
      <c r="N1811" s="41"/>
      <c r="O1811" s="41"/>
    </row>
    <row r="1812" spans="1:15">
      <c r="A1812" s="39"/>
      <c r="B1812" s="40"/>
      <c r="C1812" s="41"/>
      <c r="D1812" s="41"/>
      <c r="E1812" s="41"/>
      <c r="F1812" s="41"/>
      <c r="G1812" s="41"/>
      <c r="H1812" s="41"/>
      <c r="I1812" s="41"/>
      <c r="J1812" s="41"/>
      <c r="K1812" s="41"/>
      <c r="L1812" s="41"/>
      <c r="M1812" s="41"/>
      <c r="N1812" s="41"/>
      <c r="O1812" s="41"/>
    </row>
    <row r="1813" spans="1:15">
      <c r="A1813" s="39"/>
      <c r="B1813" s="40"/>
      <c r="C1813" s="41"/>
      <c r="D1813" s="41"/>
      <c r="E1813" s="41"/>
      <c r="F1813" s="41"/>
      <c r="G1813" s="41"/>
      <c r="H1813" s="41"/>
      <c r="I1813" s="41"/>
      <c r="J1813" s="41"/>
      <c r="K1813" s="41"/>
      <c r="L1813" s="41"/>
      <c r="M1813" s="41"/>
      <c r="N1813" s="41"/>
      <c r="O1813" s="41"/>
    </row>
    <row r="1814" spans="1:15">
      <c r="A1814" s="39"/>
      <c r="B1814" s="40"/>
      <c r="C1814" s="41"/>
      <c r="D1814" s="41"/>
      <c r="E1814" s="41"/>
      <c r="F1814" s="41"/>
      <c r="G1814" s="41"/>
      <c r="H1814" s="41"/>
      <c r="I1814" s="41"/>
      <c r="J1814" s="41"/>
      <c r="K1814" s="41"/>
      <c r="L1814" s="41"/>
      <c r="M1814" s="41"/>
      <c r="N1814" s="41"/>
      <c r="O1814" s="41"/>
    </row>
    <row r="1815" spans="1:15">
      <c r="A1815" s="39"/>
      <c r="B1815" s="40"/>
      <c r="C1815" s="41"/>
      <c r="D1815" s="41"/>
      <c r="E1815" s="41"/>
      <c r="F1815" s="41"/>
      <c r="G1815" s="41"/>
      <c r="H1815" s="41"/>
      <c r="I1815" s="41"/>
      <c r="J1815" s="41"/>
      <c r="K1815" s="41"/>
      <c r="L1815" s="41"/>
      <c r="M1815" s="41"/>
      <c r="N1815" s="41"/>
      <c r="O1815" s="41"/>
    </row>
    <row r="1816" spans="1:15">
      <c r="A1816" s="39"/>
      <c r="B1816" s="40"/>
      <c r="C1816" s="41"/>
      <c r="D1816" s="41"/>
      <c r="E1816" s="41"/>
      <c r="F1816" s="41"/>
      <c r="G1816" s="41"/>
      <c r="H1816" s="41"/>
      <c r="I1816" s="41"/>
      <c r="J1816" s="41"/>
      <c r="K1816" s="41"/>
      <c r="L1816" s="41"/>
      <c r="M1816" s="41"/>
      <c r="N1816" s="41"/>
      <c r="O1816" s="41"/>
    </row>
    <row r="1817" spans="1:15">
      <c r="A1817" s="39"/>
      <c r="B1817" s="40"/>
      <c r="C1817" s="41"/>
      <c r="D1817" s="41"/>
      <c r="E1817" s="41"/>
      <c r="F1817" s="41"/>
      <c r="G1817" s="41"/>
      <c r="H1817" s="41"/>
      <c r="I1817" s="41"/>
      <c r="J1817" s="41"/>
      <c r="K1817" s="41"/>
      <c r="L1817" s="41"/>
      <c r="M1817" s="41"/>
      <c r="N1817" s="41"/>
      <c r="O1817" s="41"/>
    </row>
    <row r="1818" spans="1:15">
      <c r="A1818" s="39"/>
      <c r="B1818" s="40"/>
      <c r="C1818" s="41"/>
      <c r="D1818" s="41"/>
      <c r="E1818" s="41"/>
      <c r="F1818" s="41"/>
      <c r="G1818" s="41"/>
      <c r="H1818" s="41"/>
      <c r="I1818" s="41"/>
      <c r="J1818" s="41"/>
      <c r="K1818" s="41"/>
      <c r="L1818" s="41"/>
      <c r="M1818" s="41"/>
      <c r="N1818" s="41"/>
      <c r="O1818" s="41"/>
    </row>
    <row r="1819" spans="1:15">
      <c r="A1819" s="39"/>
      <c r="B1819" s="40"/>
      <c r="C1819" s="41"/>
      <c r="D1819" s="41"/>
      <c r="E1819" s="41"/>
      <c r="F1819" s="41"/>
      <c r="G1819" s="41"/>
      <c r="H1819" s="41"/>
      <c r="I1819" s="41"/>
      <c r="J1819" s="41"/>
      <c r="K1819" s="41"/>
      <c r="L1819" s="41"/>
      <c r="M1819" s="41"/>
      <c r="N1819" s="41"/>
      <c r="O1819" s="41"/>
    </row>
    <row r="1820" spans="1:15">
      <c r="A1820" s="39"/>
      <c r="B1820" s="40"/>
      <c r="C1820" s="41"/>
      <c r="D1820" s="41"/>
      <c r="E1820" s="41"/>
      <c r="F1820" s="41"/>
      <c r="G1820" s="41"/>
      <c r="H1820" s="41"/>
      <c r="I1820" s="41"/>
      <c r="J1820" s="41"/>
      <c r="K1820" s="41"/>
      <c r="L1820" s="41"/>
      <c r="M1820" s="41"/>
      <c r="N1820" s="41"/>
      <c r="O1820" s="41"/>
    </row>
    <row r="1821" spans="1:15">
      <c r="A1821" s="39"/>
      <c r="B1821" s="40"/>
      <c r="C1821" s="41"/>
      <c r="D1821" s="41"/>
      <c r="E1821" s="41"/>
      <c r="F1821" s="41"/>
      <c r="G1821" s="41"/>
      <c r="H1821" s="41"/>
      <c r="I1821" s="41"/>
      <c r="J1821" s="41"/>
      <c r="K1821" s="41"/>
      <c r="L1821" s="41"/>
      <c r="M1821" s="41"/>
      <c r="N1821" s="41"/>
      <c r="O1821" s="41"/>
    </row>
    <row r="1822" spans="1:15">
      <c r="A1822" s="39"/>
      <c r="B1822" s="40"/>
      <c r="C1822" s="41"/>
      <c r="D1822" s="41"/>
      <c r="E1822" s="41"/>
      <c r="F1822" s="41"/>
      <c r="G1822" s="41"/>
      <c r="H1822" s="41"/>
      <c r="I1822" s="41"/>
      <c r="J1822" s="41"/>
      <c r="K1822" s="41"/>
      <c r="L1822" s="41"/>
      <c r="M1822" s="41"/>
      <c r="N1822" s="41"/>
      <c r="O1822" s="41"/>
    </row>
    <row r="1823" spans="1:15">
      <c r="A1823" s="39"/>
      <c r="B1823" s="40"/>
      <c r="C1823" s="41"/>
      <c r="D1823" s="41"/>
      <c r="E1823" s="41"/>
      <c r="F1823" s="41"/>
      <c r="G1823" s="41"/>
      <c r="H1823" s="41"/>
      <c r="I1823" s="41"/>
      <c r="J1823" s="41"/>
      <c r="K1823" s="41"/>
      <c r="L1823" s="41"/>
      <c r="M1823" s="41"/>
      <c r="N1823" s="41"/>
      <c r="O1823" s="41"/>
    </row>
    <row r="1824" spans="1:15">
      <c r="A1824" s="39"/>
      <c r="B1824" s="40"/>
      <c r="C1824" s="41"/>
      <c r="D1824" s="41"/>
      <c r="E1824" s="41"/>
      <c r="F1824" s="41"/>
      <c r="G1824" s="41"/>
      <c r="H1824" s="41"/>
      <c r="I1824" s="41"/>
      <c r="J1824" s="41"/>
      <c r="K1824" s="41"/>
      <c r="L1824" s="41"/>
      <c r="M1824" s="41"/>
      <c r="N1824" s="41"/>
      <c r="O1824" s="41"/>
    </row>
    <row r="1825" spans="1:15">
      <c r="A1825" s="39"/>
      <c r="B1825" s="40"/>
      <c r="C1825" s="41"/>
      <c r="D1825" s="41"/>
      <c r="E1825" s="41"/>
      <c r="F1825" s="41"/>
      <c r="G1825" s="41"/>
      <c r="H1825" s="41"/>
      <c r="I1825" s="41"/>
      <c r="J1825" s="41"/>
      <c r="K1825" s="41"/>
      <c r="L1825" s="41"/>
      <c r="M1825" s="41"/>
      <c r="N1825" s="41"/>
      <c r="O1825" s="41"/>
    </row>
    <row r="1826" spans="1:15">
      <c r="A1826" s="39"/>
      <c r="B1826" s="40"/>
      <c r="C1826" s="41"/>
      <c r="D1826" s="41"/>
      <c r="E1826" s="41"/>
      <c r="F1826" s="41"/>
      <c r="G1826" s="41"/>
      <c r="H1826" s="41"/>
      <c r="I1826" s="41"/>
      <c r="J1826" s="41"/>
      <c r="K1826" s="41"/>
      <c r="L1826" s="41"/>
      <c r="M1826" s="41"/>
      <c r="N1826" s="41"/>
      <c r="O1826" s="41"/>
    </row>
    <row r="1827" spans="1:15">
      <c r="A1827" s="39"/>
      <c r="B1827" s="40"/>
      <c r="C1827" s="41"/>
      <c r="D1827" s="41"/>
      <c r="E1827" s="41"/>
      <c r="F1827" s="41"/>
      <c r="G1827" s="41"/>
      <c r="H1827" s="41"/>
      <c r="I1827" s="41"/>
      <c r="J1827" s="41"/>
      <c r="K1827" s="41"/>
      <c r="L1827" s="41"/>
      <c r="M1827" s="41"/>
      <c r="N1827" s="41"/>
      <c r="O1827" s="41"/>
    </row>
    <row r="1828" spans="1:15">
      <c r="A1828" s="39"/>
      <c r="B1828" s="40"/>
      <c r="C1828" s="41"/>
      <c r="D1828" s="41"/>
      <c r="E1828" s="41"/>
      <c r="F1828" s="41"/>
      <c r="G1828" s="41"/>
      <c r="H1828" s="41"/>
      <c r="I1828" s="41"/>
      <c r="J1828" s="41"/>
      <c r="K1828" s="41"/>
      <c r="L1828" s="41"/>
      <c r="M1828" s="41"/>
      <c r="N1828" s="41"/>
      <c r="O1828" s="41"/>
    </row>
    <row r="1829" spans="1:15">
      <c r="A1829" s="39"/>
      <c r="B1829" s="40"/>
      <c r="C1829" s="41"/>
      <c r="D1829" s="41"/>
      <c r="E1829" s="41"/>
      <c r="F1829" s="41"/>
      <c r="G1829" s="41"/>
      <c r="H1829" s="41"/>
      <c r="I1829" s="41"/>
      <c r="J1829" s="41"/>
      <c r="K1829" s="41"/>
      <c r="L1829" s="41"/>
      <c r="M1829" s="41"/>
      <c r="N1829" s="41"/>
      <c r="O1829" s="41"/>
    </row>
    <row r="1830" spans="1:15">
      <c r="A1830" s="39"/>
      <c r="B1830" s="40"/>
      <c r="C1830" s="41"/>
      <c r="D1830" s="41"/>
      <c r="E1830" s="41"/>
      <c r="F1830" s="41"/>
      <c r="G1830" s="41"/>
      <c r="H1830" s="41"/>
      <c r="I1830" s="41"/>
      <c r="J1830" s="41"/>
      <c r="K1830" s="41"/>
      <c r="L1830" s="41"/>
      <c r="M1830" s="41"/>
      <c r="N1830" s="41"/>
      <c r="O1830" s="41"/>
    </row>
    <row r="1831" spans="1:15">
      <c r="A1831" s="39"/>
      <c r="B1831" s="40"/>
      <c r="C1831" s="41"/>
      <c r="D1831" s="41"/>
      <c r="E1831" s="41"/>
      <c r="F1831" s="41"/>
      <c r="G1831" s="41"/>
      <c r="H1831" s="41"/>
      <c r="I1831" s="41"/>
      <c r="J1831" s="41"/>
      <c r="K1831" s="41"/>
      <c r="L1831" s="41"/>
      <c r="M1831" s="41"/>
      <c r="N1831" s="41"/>
      <c r="O1831" s="41"/>
    </row>
    <row r="1832" spans="1:15">
      <c r="A1832" s="39"/>
      <c r="B1832" s="40"/>
      <c r="C1832" s="41"/>
      <c r="D1832" s="41"/>
      <c r="E1832" s="41"/>
      <c r="F1832" s="41"/>
      <c r="G1832" s="41"/>
      <c r="H1832" s="41"/>
      <c r="I1832" s="41"/>
      <c r="J1832" s="41"/>
      <c r="K1832" s="41"/>
      <c r="L1832" s="41"/>
      <c r="M1832" s="41"/>
      <c r="N1832" s="41"/>
      <c r="O1832" s="41"/>
    </row>
    <row r="1833" spans="1:15">
      <c r="A1833" s="39"/>
      <c r="B1833" s="40"/>
      <c r="C1833" s="41"/>
      <c r="D1833" s="41"/>
      <c r="E1833" s="41"/>
      <c r="F1833" s="41"/>
      <c r="G1833" s="41"/>
      <c r="H1833" s="41"/>
      <c r="I1833" s="41"/>
      <c r="J1833" s="41"/>
      <c r="K1833" s="41"/>
      <c r="L1833" s="41"/>
      <c r="M1833" s="41"/>
      <c r="N1833" s="41"/>
      <c r="O1833" s="41"/>
    </row>
    <row r="1834" spans="1:15">
      <c r="A1834" s="39"/>
      <c r="B1834" s="40"/>
      <c r="C1834" s="41"/>
      <c r="D1834" s="41"/>
      <c r="E1834" s="41"/>
      <c r="F1834" s="41"/>
      <c r="G1834" s="41"/>
      <c r="H1834" s="41"/>
      <c r="I1834" s="41"/>
      <c r="J1834" s="41"/>
      <c r="K1834" s="41"/>
      <c r="L1834" s="41"/>
      <c r="M1834" s="41"/>
      <c r="N1834" s="41"/>
      <c r="O1834" s="41"/>
    </row>
    <row r="1835" spans="1:15">
      <c r="A1835" s="39"/>
      <c r="B1835" s="40"/>
      <c r="C1835" s="41"/>
      <c r="D1835" s="41"/>
      <c r="E1835" s="41"/>
      <c r="F1835" s="41"/>
      <c r="G1835" s="41"/>
      <c r="H1835" s="41"/>
      <c r="I1835" s="41"/>
      <c r="J1835" s="41"/>
      <c r="K1835" s="41"/>
      <c r="L1835" s="41"/>
      <c r="M1835" s="41"/>
      <c r="N1835" s="41"/>
      <c r="O1835" s="41"/>
    </row>
    <row r="1836" spans="1:15">
      <c r="A1836" s="39"/>
      <c r="B1836" s="40"/>
      <c r="C1836" s="41"/>
      <c r="D1836" s="41"/>
      <c r="E1836" s="41"/>
      <c r="F1836" s="41"/>
      <c r="G1836" s="41"/>
      <c r="H1836" s="41"/>
      <c r="I1836" s="41"/>
      <c r="J1836" s="41"/>
      <c r="K1836" s="41"/>
      <c r="L1836" s="41"/>
      <c r="M1836" s="41"/>
      <c r="N1836" s="41"/>
      <c r="O1836" s="41"/>
    </row>
    <row r="1837" spans="1:15">
      <c r="A1837" s="39"/>
      <c r="B1837" s="40"/>
      <c r="C1837" s="41"/>
      <c r="D1837" s="41"/>
      <c r="E1837" s="41"/>
      <c r="F1837" s="41"/>
      <c r="G1837" s="41"/>
      <c r="H1837" s="41"/>
      <c r="I1837" s="41"/>
      <c r="J1837" s="41"/>
      <c r="K1837" s="41"/>
      <c r="L1837" s="41"/>
      <c r="M1837" s="41"/>
      <c r="N1837" s="41"/>
      <c r="O1837" s="41"/>
    </row>
    <row r="1838" spans="1:15">
      <c r="A1838" s="39"/>
      <c r="B1838" s="40"/>
      <c r="C1838" s="41"/>
      <c r="D1838" s="41"/>
      <c r="E1838" s="41"/>
      <c r="F1838" s="41"/>
      <c r="G1838" s="41"/>
      <c r="H1838" s="41"/>
      <c r="I1838" s="41"/>
      <c r="J1838" s="41"/>
      <c r="K1838" s="41"/>
      <c r="L1838" s="41"/>
      <c r="M1838" s="41"/>
      <c r="N1838" s="41"/>
      <c r="O1838" s="41"/>
    </row>
    <row r="1839" spans="1:15">
      <c r="A1839" s="39"/>
      <c r="B1839" s="40"/>
      <c r="C1839" s="41"/>
      <c r="D1839" s="41"/>
      <c r="E1839" s="41"/>
      <c r="F1839" s="41"/>
      <c r="G1839" s="41"/>
      <c r="H1839" s="41"/>
      <c r="I1839" s="41"/>
      <c r="J1839" s="41"/>
      <c r="K1839" s="41"/>
      <c r="L1839" s="41"/>
      <c r="M1839" s="41"/>
      <c r="N1839" s="41"/>
      <c r="O1839" s="41"/>
    </row>
    <row r="1840" spans="1:15">
      <c r="A1840" s="39"/>
      <c r="B1840" s="40"/>
      <c r="C1840" s="41"/>
      <c r="D1840" s="41"/>
      <c r="E1840" s="41"/>
      <c r="F1840" s="41"/>
      <c r="G1840" s="41"/>
      <c r="H1840" s="41"/>
      <c r="I1840" s="41"/>
      <c r="J1840" s="41"/>
      <c r="K1840" s="41"/>
      <c r="L1840" s="41"/>
      <c r="M1840" s="41"/>
      <c r="N1840" s="41"/>
      <c r="O1840" s="41"/>
    </row>
    <row r="1841" spans="1:15">
      <c r="A1841" s="39"/>
      <c r="B1841" s="40"/>
      <c r="C1841" s="41"/>
      <c r="D1841" s="41"/>
      <c r="E1841" s="41"/>
      <c r="F1841" s="41"/>
      <c r="G1841" s="41"/>
      <c r="H1841" s="41"/>
      <c r="I1841" s="41"/>
      <c r="J1841" s="41"/>
      <c r="K1841" s="41"/>
      <c r="L1841" s="41"/>
      <c r="M1841" s="41"/>
      <c r="N1841" s="41"/>
      <c r="O1841" s="41"/>
    </row>
    <row r="1842" spans="1:15">
      <c r="A1842" s="39"/>
      <c r="B1842" s="40"/>
      <c r="C1842" s="41"/>
      <c r="D1842" s="41"/>
      <c r="E1842" s="41"/>
      <c r="F1842" s="41"/>
      <c r="G1842" s="41"/>
      <c r="H1842" s="41"/>
      <c r="I1842" s="41"/>
      <c r="J1842" s="41"/>
      <c r="K1842" s="41"/>
      <c r="L1842" s="41"/>
      <c r="M1842" s="41"/>
      <c r="N1842" s="41"/>
      <c r="O1842" s="41"/>
    </row>
    <row r="1843" spans="1:15">
      <c r="A1843" s="39"/>
      <c r="B1843" s="40"/>
      <c r="C1843" s="41"/>
      <c r="D1843" s="41"/>
      <c r="E1843" s="41"/>
      <c r="F1843" s="41"/>
      <c r="G1843" s="41"/>
      <c r="H1843" s="41"/>
      <c r="I1843" s="41"/>
      <c r="J1843" s="41"/>
      <c r="K1843" s="41"/>
      <c r="L1843" s="41"/>
      <c r="M1843" s="41"/>
      <c r="N1843" s="41"/>
      <c r="O1843" s="41"/>
    </row>
    <row r="1844" spans="1:15">
      <c r="A1844" s="39"/>
      <c r="B1844" s="40"/>
      <c r="C1844" s="41"/>
      <c r="D1844" s="41"/>
      <c r="E1844" s="41"/>
      <c r="F1844" s="41"/>
      <c r="G1844" s="41"/>
      <c r="H1844" s="41"/>
      <c r="I1844" s="41"/>
      <c r="J1844" s="41"/>
      <c r="K1844" s="41"/>
      <c r="L1844" s="41"/>
      <c r="M1844" s="41"/>
      <c r="N1844" s="41"/>
      <c r="O1844" s="41"/>
    </row>
    <row r="1845" spans="1:15">
      <c r="A1845" s="39"/>
      <c r="B1845" s="40"/>
      <c r="C1845" s="41"/>
      <c r="D1845" s="41"/>
      <c r="E1845" s="41"/>
      <c r="F1845" s="41"/>
      <c r="G1845" s="41"/>
      <c r="H1845" s="41"/>
      <c r="I1845" s="41"/>
      <c r="J1845" s="41"/>
      <c r="K1845" s="41"/>
      <c r="L1845" s="41"/>
      <c r="M1845" s="41"/>
      <c r="N1845" s="41"/>
      <c r="O1845" s="41"/>
    </row>
    <row r="1846" spans="1:15">
      <c r="A1846" s="39"/>
      <c r="B1846" s="40"/>
      <c r="C1846" s="41"/>
      <c r="D1846" s="41"/>
      <c r="E1846" s="41"/>
      <c r="F1846" s="41"/>
      <c r="G1846" s="41"/>
      <c r="H1846" s="41"/>
      <c r="I1846" s="41"/>
      <c r="J1846" s="41"/>
      <c r="K1846" s="41"/>
      <c r="L1846" s="41"/>
      <c r="M1846" s="41"/>
      <c r="N1846" s="41"/>
      <c r="O1846" s="41"/>
    </row>
    <row r="1847" spans="1:15">
      <c r="A1847" s="39"/>
      <c r="B1847" s="40"/>
      <c r="C1847" s="41"/>
      <c r="D1847" s="41"/>
      <c r="E1847" s="41"/>
      <c r="F1847" s="41"/>
      <c r="G1847" s="41"/>
      <c r="H1847" s="41"/>
      <c r="I1847" s="41"/>
      <c r="J1847" s="41"/>
      <c r="K1847" s="41"/>
      <c r="L1847" s="41"/>
      <c r="M1847" s="41"/>
      <c r="N1847" s="41"/>
      <c r="O1847" s="41"/>
    </row>
    <row r="1848" spans="1:15">
      <c r="A1848" s="39"/>
      <c r="B1848" s="40"/>
      <c r="C1848" s="41"/>
      <c r="D1848" s="41"/>
      <c r="E1848" s="41"/>
      <c r="F1848" s="41"/>
      <c r="G1848" s="41"/>
      <c r="H1848" s="41"/>
      <c r="I1848" s="41"/>
      <c r="J1848" s="41"/>
      <c r="K1848" s="41"/>
      <c r="L1848" s="41"/>
      <c r="M1848" s="41"/>
      <c r="N1848" s="41"/>
      <c r="O1848" s="41"/>
    </row>
    <row r="1849" spans="1:15">
      <c r="A1849" s="39"/>
      <c r="B1849" s="40"/>
      <c r="C1849" s="41"/>
      <c r="D1849" s="41"/>
      <c r="E1849" s="41"/>
      <c r="F1849" s="41"/>
      <c r="G1849" s="41"/>
      <c r="H1849" s="41"/>
      <c r="I1849" s="41"/>
      <c r="J1849" s="41"/>
      <c r="K1849" s="41"/>
      <c r="L1849" s="41"/>
      <c r="M1849" s="41"/>
      <c r="N1849" s="41"/>
      <c r="O1849" s="41"/>
    </row>
    <row r="1850" spans="1:15">
      <c r="A1850" s="39"/>
      <c r="B1850" s="40"/>
      <c r="C1850" s="41"/>
      <c r="D1850" s="41"/>
      <c r="E1850" s="41"/>
      <c r="F1850" s="41"/>
      <c r="G1850" s="41"/>
      <c r="H1850" s="41"/>
      <c r="I1850" s="41"/>
      <c r="J1850" s="41"/>
      <c r="K1850" s="41"/>
      <c r="L1850" s="41"/>
      <c r="M1850" s="41"/>
      <c r="N1850" s="41"/>
      <c r="O1850" s="41"/>
    </row>
    <row r="1851" spans="1:15">
      <c r="A1851" s="39"/>
      <c r="B1851" s="40"/>
      <c r="C1851" s="41"/>
      <c r="D1851" s="41"/>
      <c r="E1851" s="41"/>
      <c r="F1851" s="41"/>
      <c r="G1851" s="41"/>
      <c r="H1851" s="41"/>
      <c r="I1851" s="41"/>
      <c r="J1851" s="41"/>
      <c r="K1851" s="41"/>
      <c r="L1851" s="41"/>
      <c r="M1851" s="41"/>
      <c r="N1851" s="41"/>
      <c r="O1851" s="41"/>
    </row>
    <row r="1852" spans="1:15">
      <c r="A1852" s="39"/>
      <c r="B1852" s="40"/>
      <c r="C1852" s="41"/>
      <c r="D1852" s="41"/>
      <c r="E1852" s="41"/>
      <c r="F1852" s="41"/>
      <c r="G1852" s="41"/>
      <c r="H1852" s="41"/>
      <c r="I1852" s="41"/>
      <c r="J1852" s="41"/>
      <c r="K1852" s="41"/>
      <c r="L1852" s="41"/>
      <c r="M1852" s="41"/>
      <c r="N1852" s="41"/>
      <c r="O1852" s="41"/>
    </row>
    <row r="1853" spans="1:15">
      <c r="A1853" s="39"/>
      <c r="B1853" s="40"/>
      <c r="C1853" s="41"/>
      <c r="D1853" s="41"/>
      <c r="E1853" s="41"/>
      <c r="F1853" s="41"/>
      <c r="G1853" s="41"/>
      <c r="H1853" s="41"/>
      <c r="I1853" s="41"/>
      <c r="J1853" s="41"/>
      <c r="K1853" s="41"/>
      <c r="L1853" s="41"/>
      <c r="M1853" s="41"/>
      <c r="N1853" s="41"/>
      <c r="O1853" s="41"/>
    </row>
    <row r="1854" spans="1:15">
      <c r="A1854" s="39"/>
      <c r="B1854" s="40"/>
      <c r="C1854" s="41"/>
      <c r="D1854" s="41"/>
      <c r="E1854" s="41"/>
      <c r="F1854" s="41"/>
      <c r="G1854" s="41"/>
      <c r="H1854" s="41"/>
      <c r="I1854" s="41"/>
      <c r="J1854" s="41"/>
      <c r="K1854" s="41"/>
      <c r="L1854" s="41"/>
      <c r="M1854" s="41"/>
      <c r="N1854" s="41"/>
      <c r="O1854" s="41"/>
    </row>
    <row r="1855" spans="1:15">
      <c r="A1855" s="39"/>
      <c r="B1855" s="40"/>
      <c r="C1855" s="41"/>
      <c r="D1855" s="41"/>
      <c r="E1855" s="41"/>
      <c r="F1855" s="41"/>
      <c r="G1855" s="41"/>
      <c r="H1855" s="41"/>
      <c r="I1855" s="41"/>
      <c r="J1855" s="41"/>
      <c r="K1855" s="41"/>
      <c r="L1855" s="41"/>
      <c r="M1855" s="41"/>
      <c r="N1855" s="41"/>
      <c r="O1855" s="41"/>
    </row>
    <row r="1856" spans="1:15">
      <c r="A1856" s="39"/>
      <c r="B1856" s="40"/>
      <c r="C1856" s="41"/>
      <c r="D1856" s="41"/>
      <c r="E1856" s="41"/>
      <c r="F1856" s="41"/>
      <c r="G1856" s="41"/>
      <c r="H1856" s="41"/>
      <c r="I1856" s="41"/>
      <c r="J1856" s="41"/>
      <c r="K1856" s="41"/>
      <c r="L1856" s="41"/>
      <c r="M1856" s="41"/>
      <c r="N1856" s="41"/>
      <c r="O1856" s="41"/>
    </row>
    <row r="1857" spans="1:15">
      <c r="A1857" s="39"/>
      <c r="B1857" s="40"/>
      <c r="C1857" s="41"/>
      <c r="D1857" s="41"/>
      <c r="E1857" s="41"/>
      <c r="F1857" s="41"/>
      <c r="G1857" s="41"/>
      <c r="H1857" s="41"/>
      <c r="I1857" s="41"/>
      <c r="J1857" s="41"/>
      <c r="K1857" s="41"/>
      <c r="L1857" s="41"/>
      <c r="M1857" s="41"/>
      <c r="N1857" s="41"/>
      <c r="O1857" s="41"/>
    </row>
    <row r="1858" spans="1:15">
      <c r="A1858" s="39"/>
      <c r="B1858" s="40"/>
      <c r="C1858" s="41"/>
      <c r="D1858" s="41"/>
      <c r="E1858" s="41"/>
      <c r="F1858" s="41"/>
      <c r="G1858" s="41"/>
      <c r="H1858" s="41"/>
      <c r="I1858" s="41"/>
      <c r="J1858" s="41"/>
      <c r="K1858" s="41"/>
      <c r="L1858" s="41"/>
      <c r="M1858" s="41"/>
      <c r="N1858" s="41"/>
      <c r="O1858" s="41"/>
    </row>
    <row r="1859" spans="1:15">
      <c r="A1859" s="39"/>
      <c r="B1859" s="40"/>
      <c r="C1859" s="41"/>
      <c r="D1859" s="41"/>
      <c r="E1859" s="41"/>
      <c r="F1859" s="41"/>
      <c r="G1859" s="41"/>
      <c r="H1859" s="41"/>
      <c r="I1859" s="41"/>
      <c r="J1859" s="41"/>
      <c r="K1859" s="41"/>
      <c r="L1859" s="41"/>
      <c r="M1859" s="41"/>
      <c r="N1859" s="41"/>
      <c r="O1859" s="41"/>
    </row>
    <row r="1860" spans="1:15">
      <c r="A1860" s="39"/>
      <c r="B1860" s="40"/>
      <c r="C1860" s="41"/>
      <c r="D1860" s="41"/>
      <c r="E1860" s="41"/>
      <c r="F1860" s="41"/>
      <c r="G1860" s="41"/>
      <c r="H1860" s="41"/>
      <c r="I1860" s="41"/>
      <c r="J1860" s="41"/>
      <c r="K1860" s="41"/>
      <c r="L1860" s="41"/>
      <c r="M1860" s="41"/>
      <c r="N1860" s="41"/>
      <c r="O1860" s="41"/>
    </row>
    <row r="1861" spans="1:15">
      <c r="A1861" s="39"/>
      <c r="B1861" s="40"/>
      <c r="C1861" s="41"/>
      <c r="D1861" s="41"/>
      <c r="E1861" s="41"/>
      <c r="F1861" s="41"/>
      <c r="G1861" s="41"/>
      <c r="H1861" s="41"/>
      <c r="I1861" s="41"/>
      <c r="J1861" s="41"/>
      <c r="K1861" s="41"/>
      <c r="L1861" s="41"/>
      <c r="M1861" s="41"/>
      <c r="N1861" s="41"/>
      <c r="O1861" s="41"/>
    </row>
    <row r="1862" spans="1:15">
      <c r="A1862" s="39"/>
      <c r="B1862" s="40"/>
      <c r="C1862" s="41"/>
      <c r="D1862" s="41"/>
      <c r="E1862" s="41"/>
      <c r="F1862" s="41"/>
      <c r="G1862" s="41"/>
      <c r="H1862" s="41"/>
      <c r="I1862" s="41"/>
      <c r="J1862" s="41"/>
      <c r="K1862" s="41"/>
      <c r="L1862" s="41"/>
      <c r="M1862" s="41"/>
      <c r="N1862" s="41"/>
      <c r="O1862" s="41"/>
    </row>
    <row r="1863" spans="1:15">
      <c r="A1863" s="39"/>
      <c r="B1863" s="40"/>
      <c r="C1863" s="41"/>
      <c r="D1863" s="41"/>
      <c r="E1863" s="41"/>
      <c r="F1863" s="41"/>
      <c r="G1863" s="41"/>
      <c r="H1863" s="41"/>
      <c r="I1863" s="41"/>
      <c r="J1863" s="41"/>
      <c r="K1863" s="41"/>
      <c r="L1863" s="41"/>
      <c r="M1863" s="41"/>
      <c r="N1863" s="41"/>
      <c r="O1863" s="41"/>
    </row>
    <row r="1864" spans="1:15">
      <c r="A1864" s="39"/>
      <c r="B1864" s="40"/>
      <c r="C1864" s="41"/>
      <c r="D1864" s="41"/>
      <c r="E1864" s="41"/>
      <c r="F1864" s="41"/>
      <c r="G1864" s="41"/>
      <c r="H1864" s="41"/>
      <c r="I1864" s="41"/>
      <c r="J1864" s="41"/>
      <c r="K1864" s="41"/>
      <c r="L1864" s="41"/>
      <c r="M1864" s="41"/>
      <c r="N1864" s="41"/>
      <c r="O1864" s="41"/>
    </row>
    <row r="1865" spans="1:15">
      <c r="A1865" s="39"/>
      <c r="B1865" s="40"/>
      <c r="C1865" s="41"/>
      <c r="D1865" s="41"/>
      <c r="E1865" s="41"/>
      <c r="F1865" s="41"/>
      <c r="G1865" s="41"/>
      <c r="H1865" s="41"/>
      <c r="I1865" s="41"/>
      <c r="J1865" s="41"/>
      <c r="K1865" s="41"/>
      <c r="L1865" s="41"/>
      <c r="M1865" s="41"/>
      <c r="N1865" s="41"/>
      <c r="O1865" s="41"/>
    </row>
    <row r="1866" spans="1:15">
      <c r="A1866" s="39"/>
      <c r="B1866" s="40"/>
      <c r="C1866" s="41"/>
      <c r="D1866" s="41"/>
      <c r="E1866" s="41"/>
      <c r="F1866" s="41"/>
      <c r="G1866" s="41"/>
      <c r="H1866" s="41"/>
      <c r="I1866" s="41"/>
      <c r="J1866" s="41"/>
      <c r="K1866" s="41"/>
      <c r="L1866" s="41"/>
      <c r="M1866" s="41"/>
      <c r="N1866" s="41"/>
      <c r="O1866" s="41"/>
    </row>
    <row r="1867" spans="1:15">
      <c r="A1867" s="39"/>
      <c r="B1867" s="40"/>
      <c r="C1867" s="41"/>
      <c r="D1867" s="41"/>
      <c r="E1867" s="41"/>
      <c r="F1867" s="41"/>
      <c r="G1867" s="41"/>
      <c r="H1867" s="41"/>
      <c r="I1867" s="41"/>
      <c r="J1867" s="41"/>
      <c r="K1867" s="41"/>
      <c r="L1867" s="41"/>
      <c r="M1867" s="41"/>
      <c r="N1867" s="41"/>
      <c r="O1867" s="41"/>
    </row>
    <row r="1868" spans="1:15">
      <c r="A1868" s="39"/>
      <c r="B1868" s="40"/>
      <c r="C1868" s="41"/>
      <c r="D1868" s="41"/>
      <c r="E1868" s="41"/>
      <c r="F1868" s="41"/>
      <c r="G1868" s="41"/>
      <c r="H1868" s="41"/>
      <c r="I1868" s="41"/>
      <c r="J1868" s="41"/>
      <c r="K1868" s="41"/>
      <c r="L1868" s="41"/>
      <c r="M1868" s="41"/>
      <c r="N1868" s="41"/>
      <c r="O1868" s="41"/>
    </row>
    <row r="1869" spans="1:15">
      <c r="A1869" s="39"/>
      <c r="B1869" s="40"/>
      <c r="C1869" s="41"/>
      <c r="D1869" s="41"/>
      <c r="E1869" s="41"/>
      <c r="F1869" s="41"/>
      <c r="G1869" s="41"/>
      <c r="H1869" s="41"/>
      <c r="I1869" s="41"/>
      <c r="J1869" s="41"/>
      <c r="K1869" s="41"/>
      <c r="L1869" s="41"/>
      <c r="M1869" s="41"/>
      <c r="N1869" s="41"/>
      <c r="O1869" s="41"/>
    </row>
    <row r="1870" spans="1:15">
      <c r="A1870" s="39"/>
      <c r="B1870" s="40"/>
      <c r="C1870" s="41"/>
      <c r="D1870" s="41"/>
      <c r="E1870" s="41"/>
      <c r="F1870" s="41"/>
      <c r="G1870" s="41"/>
      <c r="H1870" s="41"/>
      <c r="I1870" s="41"/>
      <c r="J1870" s="41"/>
      <c r="K1870" s="41"/>
      <c r="L1870" s="41"/>
      <c r="M1870" s="41"/>
      <c r="N1870" s="41"/>
      <c r="O1870" s="41"/>
    </row>
    <row r="1871" spans="1:15">
      <c r="A1871" s="39"/>
      <c r="B1871" s="40"/>
      <c r="C1871" s="41"/>
      <c r="D1871" s="41"/>
      <c r="E1871" s="41"/>
      <c r="F1871" s="41"/>
      <c r="G1871" s="41"/>
      <c r="H1871" s="41"/>
      <c r="I1871" s="41"/>
      <c r="J1871" s="41"/>
      <c r="K1871" s="41"/>
      <c r="L1871" s="41"/>
      <c r="M1871" s="41"/>
      <c r="N1871" s="41"/>
      <c r="O1871" s="41"/>
    </row>
    <row r="1872" spans="1:15">
      <c r="A1872" s="39"/>
      <c r="B1872" s="40"/>
      <c r="C1872" s="41"/>
      <c r="D1872" s="41"/>
      <c r="E1872" s="41"/>
      <c r="F1872" s="41"/>
      <c r="G1872" s="41"/>
      <c r="H1872" s="41"/>
      <c r="I1872" s="41"/>
      <c r="J1872" s="41"/>
      <c r="K1872" s="41"/>
      <c r="L1872" s="41"/>
      <c r="M1872" s="41"/>
      <c r="N1872" s="41"/>
      <c r="O1872" s="41"/>
    </row>
    <row r="1873" spans="1:15">
      <c r="A1873" s="39"/>
      <c r="B1873" s="40"/>
      <c r="C1873" s="41"/>
      <c r="D1873" s="41"/>
      <c r="E1873" s="41"/>
      <c r="F1873" s="41"/>
      <c r="G1873" s="41"/>
      <c r="H1873" s="41"/>
      <c r="I1873" s="41"/>
      <c r="J1873" s="41"/>
      <c r="K1873" s="41"/>
      <c r="L1873" s="41"/>
      <c r="M1873" s="41"/>
      <c r="N1873" s="41"/>
      <c r="O1873" s="41"/>
    </row>
    <row r="1874" spans="1:15">
      <c r="A1874" s="39"/>
      <c r="B1874" s="40"/>
      <c r="C1874" s="41"/>
      <c r="D1874" s="41"/>
      <c r="E1874" s="41"/>
      <c r="F1874" s="41"/>
      <c r="G1874" s="41"/>
      <c r="H1874" s="41"/>
      <c r="I1874" s="41"/>
      <c r="J1874" s="41"/>
      <c r="K1874" s="41"/>
      <c r="L1874" s="41"/>
      <c r="M1874" s="41"/>
      <c r="N1874" s="41"/>
      <c r="O1874" s="41"/>
    </row>
    <row r="1875" spans="1:15">
      <c r="A1875" s="39"/>
      <c r="B1875" s="40"/>
      <c r="C1875" s="41"/>
      <c r="D1875" s="41"/>
      <c r="E1875" s="41"/>
      <c r="F1875" s="41"/>
      <c r="G1875" s="41"/>
      <c r="H1875" s="41"/>
      <c r="I1875" s="41"/>
      <c r="J1875" s="41"/>
      <c r="K1875" s="41"/>
      <c r="L1875" s="41"/>
      <c r="M1875" s="41"/>
      <c r="N1875" s="41"/>
      <c r="O1875" s="41"/>
    </row>
    <row r="1876" spans="1:15">
      <c r="A1876" s="39"/>
      <c r="B1876" s="40"/>
      <c r="C1876" s="41"/>
      <c r="D1876" s="41"/>
      <c r="E1876" s="41"/>
      <c r="F1876" s="41"/>
      <c r="G1876" s="41"/>
      <c r="H1876" s="41"/>
      <c r="I1876" s="41"/>
      <c r="J1876" s="41"/>
      <c r="K1876" s="41"/>
      <c r="L1876" s="41"/>
      <c r="M1876" s="41"/>
      <c r="N1876" s="41"/>
      <c r="O1876" s="41"/>
    </row>
    <row r="1877" spans="1:15">
      <c r="A1877" s="39"/>
      <c r="B1877" s="40"/>
      <c r="C1877" s="41"/>
      <c r="D1877" s="41"/>
      <c r="E1877" s="41"/>
      <c r="F1877" s="41"/>
      <c r="G1877" s="41"/>
      <c r="H1877" s="41"/>
      <c r="I1877" s="41"/>
      <c r="J1877" s="41"/>
      <c r="K1877" s="41"/>
      <c r="L1877" s="41"/>
      <c r="M1877" s="41"/>
      <c r="N1877" s="41"/>
      <c r="O1877" s="41"/>
    </row>
    <row r="1878" spans="1:15">
      <c r="A1878" s="39"/>
      <c r="B1878" s="40"/>
      <c r="C1878" s="41"/>
      <c r="D1878" s="41"/>
      <c r="E1878" s="41"/>
      <c r="F1878" s="41"/>
      <c r="G1878" s="41"/>
      <c r="H1878" s="41"/>
      <c r="I1878" s="41"/>
      <c r="J1878" s="41"/>
      <c r="K1878" s="41"/>
      <c r="L1878" s="41"/>
      <c r="M1878" s="41"/>
      <c r="N1878" s="41"/>
      <c r="O1878" s="41"/>
    </row>
    <row r="1879" spans="1:15">
      <c r="A1879" s="39"/>
      <c r="B1879" s="40"/>
      <c r="C1879" s="41"/>
      <c r="D1879" s="41"/>
      <c r="E1879" s="41"/>
      <c r="F1879" s="41"/>
      <c r="G1879" s="41"/>
      <c r="H1879" s="41"/>
      <c r="I1879" s="41"/>
      <c r="J1879" s="41"/>
      <c r="K1879" s="41"/>
      <c r="L1879" s="41"/>
      <c r="M1879" s="41"/>
      <c r="N1879" s="41"/>
      <c r="O1879" s="41"/>
    </row>
    <row r="1880" spans="1:15">
      <c r="A1880" s="39"/>
      <c r="B1880" s="40"/>
      <c r="C1880" s="41"/>
      <c r="D1880" s="41"/>
      <c r="E1880" s="41"/>
      <c r="F1880" s="41"/>
      <c r="G1880" s="41"/>
      <c r="H1880" s="41"/>
      <c r="I1880" s="41"/>
      <c r="J1880" s="41"/>
      <c r="K1880" s="41"/>
      <c r="L1880" s="41"/>
      <c r="M1880" s="41"/>
      <c r="N1880" s="41"/>
      <c r="O1880" s="41"/>
    </row>
    <row r="1881" spans="1:15">
      <c r="A1881" s="39"/>
      <c r="B1881" s="40"/>
      <c r="C1881" s="41"/>
      <c r="D1881" s="41"/>
      <c r="E1881" s="41"/>
      <c r="F1881" s="41"/>
      <c r="G1881" s="41"/>
      <c r="H1881" s="41"/>
      <c r="I1881" s="41"/>
      <c r="J1881" s="41"/>
      <c r="K1881" s="41"/>
      <c r="L1881" s="41"/>
      <c r="M1881" s="41"/>
      <c r="N1881" s="41"/>
      <c r="O1881" s="41"/>
    </row>
    <row r="1882" spans="1:15">
      <c r="A1882" s="39"/>
      <c r="B1882" s="40"/>
      <c r="C1882" s="41"/>
      <c r="D1882" s="41"/>
      <c r="E1882" s="41"/>
      <c r="F1882" s="41"/>
      <c r="G1882" s="41"/>
      <c r="H1882" s="41"/>
      <c r="I1882" s="41"/>
      <c r="J1882" s="41"/>
      <c r="K1882" s="41"/>
      <c r="L1882" s="41"/>
      <c r="M1882" s="41"/>
      <c r="N1882" s="41"/>
      <c r="O1882" s="41"/>
    </row>
    <row r="1883" spans="1:15">
      <c r="A1883" s="39"/>
      <c r="B1883" s="40"/>
      <c r="C1883" s="41"/>
      <c r="D1883" s="41"/>
      <c r="E1883" s="41"/>
      <c r="F1883" s="41"/>
      <c r="G1883" s="41"/>
      <c r="H1883" s="41"/>
      <c r="I1883" s="41"/>
      <c r="J1883" s="41"/>
      <c r="K1883" s="41"/>
      <c r="L1883" s="41"/>
      <c r="M1883" s="41"/>
      <c r="N1883" s="41"/>
      <c r="O1883" s="41"/>
    </row>
    <row r="1884" spans="1:15">
      <c r="A1884" s="39"/>
      <c r="B1884" s="40"/>
      <c r="C1884" s="41"/>
      <c r="D1884" s="41"/>
      <c r="E1884" s="41"/>
      <c r="F1884" s="41"/>
      <c r="G1884" s="41"/>
      <c r="H1884" s="41"/>
      <c r="I1884" s="41"/>
      <c r="J1884" s="41"/>
      <c r="K1884" s="41"/>
      <c r="L1884" s="41"/>
      <c r="M1884" s="41"/>
      <c r="N1884" s="41"/>
      <c r="O1884" s="41"/>
    </row>
    <row r="1885" spans="1:15">
      <c r="A1885" s="39"/>
      <c r="B1885" s="40"/>
      <c r="C1885" s="41"/>
      <c r="D1885" s="41"/>
      <c r="E1885" s="41"/>
      <c r="F1885" s="41"/>
      <c r="G1885" s="41"/>
      <c r="H1885" s="41"/>
      <c r="I1885" s="41"/>
      <c r="J1885" s="41"/>
      <c r="K1885" s="41"/>
      <c r="L1885" s="41"/>
      <c r="M1885" s="41"/>
      <c r="N1885" s="41"/>
      <c r="O1885" s="41"/>
    </row>
    <row r="1886" spans="1:15">
      <c r="A1886" s="39"/>
      <c r="B1886" s="40"/>
      <c r="C1886" s="41"/>
      <c r="D1886" s="41"/>
      <c r="E1886" s="41"/>
      <c r="F1886" s="41"/>
      <c r="G1886" s="41"/>
      <c r="H1886" s="41"/>
      <c r="I1886" s="41"/>
      <c r="J1886" s="41"/>
      <c r="K1886" s="41"/>
      <c r="L1886" s="41"/>
      <c r="M1886" s="41"/>
      <c r="N1886" s="41"/>
      <c r="O1886" s="41"/>
    </row>
    <row r="1887" spans="1:15">
      <c r="A1887" s="39"/>
      <c r="B1887" s="40"/>
      <c r="C1887" s="41"/>
      <c r="D1887" s="41"/>
      <c r="E1887" s="41"/>
      <c r="F1887" s="41"/>
      <c r="G1887" s="41"/>
      <c r="H1887" s="41"/>
      <c r="I1887" s="41"/>
      <c r="J1887" s="41"/>
      <c r="K1887" s="41"/>
      <c r="L1887" s="41"/>
      <c r="M1887" s="41"/>
      <c r="N1887" s="41"/>
      <c r="O1887" s="41"/>
    </row>
    <row r="1888" spans="1:15">
      <c r="A1888" s="39"/>
      <c r="B1888" s="40"/>
      <c r="C1888" s="41"/>
      <c r="D1888" s="41"/>
      <c r="E1888" s="41"/>
      <c r="F1888" s="41"/>
      <c r="G1888" s="41"/>
      <c r="H1888" s="41"/>
      <c r="I1888" s="41"/>
      <c r="J1888" s="41"/>
      <c r="K1888" s="41"/>
      <c r="L1888" s="41"/>
      <c r="M1888" s="41"/>
      <c r="N1888" s="41"/>
      <c r="O1888" s="41"/>
    </row>
    <row r="1889" spans="1:15">
      <c r="A1889" s="39"/>
      <c r="B1889" s="40"/>
      <c r="C1889" s="41"/>
      <c r="D1889" s="41"/>
      <c r="E1889" s="41"/>
      <c r="F1889" s="41"/>
      <c r="G1889" s="41"/>
      <c r="H1889" s="41"/>
      <c r="I1889" s="41"/>
      <c r="J1889" s="41"/>
      <c r="K1889" s="41"/>
      <c r="L1889" s="41"/>
      <c r="M1889" s="41"/>
      <c r="N1889" s="41"/>
      <c r="O1889" s="41"/>
    </row>
    <row r="1890" spans="1:15">
      <c r="A1890" s="39"/>
      <c r="B1890" s="40"/>
      <c r="C1890" s="41"/>
      <c r="D1890" s="41"/>
      <c r="E1890" s="41"/>
      <c r="F1890" s="41"/>
      <c r="G1890" s="41"/>
      <c r="H1890" s="41"/>
      <c r="I1890" s="41"/>
      <c r="J1890" s="41"/>
      <c r="K1890" s="41"/>
      <c r="L1890" s="41"/>
      <c r="M1890" s="41"/>
      <c r="N1890" s="41"/>
      <c r="O1890" s="41"/>
    </row>
    <row r="1891" spans="1:15">
      <c r="A1891" s="39"/>
      <c r="B1891" s="40"/>
      <c r="C1891" s="41"/>
      <c r="D1891" s="41"/>
      <c r="E1891" s="41"/>
      <c r="F1891" s="41"/>
      <c r="G1891" s="41"/>
      <c r="H1891" s="41"/>
      <c r="I1891" s="41"/>
      <c r="J1891" s="41"/>
      <c r="K1891" s="41"/>
      <c r="L1891" s="41"/>
      <c r="M1891" s="41"/>
      <c r="N1891" s="41"/>
      <c r="O1891" s="41"/>
    </row>
    <row r="1892" spans="1:15">
      <c r="A1892" s="39"/>
      <c r="B1892" s="40"/>
      <c r="C1892" s="41"/>
      <c r="D1892" s="41"/>
      <c r="E1892" s="41"/>
      <c r="F1892" s="41"/>
      <c r="G1892" s="41"/>
      <c r="H1892" s="41"/>
      <c r="I1892" s="41"/>
      <c r="J1892" s="41"/>
      <c r="K1892" s="41"/>
      <c r="L1892" s="41"/>
      <c r="M1892" s="41"/>
      <c r="N1892" s="41"/>
      <c r="O1892" s="41"/>
    </row>
    <row r="1893" spans="1:15">
      <c r="A1893" s="39"/>
      <c r="B1893" s="40"/>
      <c r="C1893" s="41"/>
      <c r="D1893" s="41"/>
      <c r="E1893" s="41"/>
      <c r="F1893" s="41"/>
      <c r="G1893" s="41"/>
      <c r="H1893" s="41"/>
      <c r="I1893" s="41"/>
      <c r="J1893" s="41"/>
      <c r="K1893" s="41"/>
      <c r="L1893" s="41"/>
      <c r="M1893" s="41"/>
      <c r="N1893" s="41"/>
      <c r="O1893" s="41"/>
    </row>
    <row r="1894" spans="1:15">
      <c r="A1894" s="39"/>
      <c r="B1894" s="40"/>
      <c r="C1894" s="41"/>
      <c r="D1894" s="41"/>
      <c r="E1894" s="41"/>
      <c r="F1894" s="41"/>
      <c r="G1894" s="41"/>
      <c r="H1894" s="41"/>
      <c r="I1894" s="41"/>
      <c r="J1894" s="41"/>
      <c r="K1894" s="41"/>
      <c r="L1894" s="41"/>
      <c r="M1894" s="41"/>
      <c r="N1894" s="41"/>
      <c r="O1894" s="41"/>
    </row>
    <row r="1895" spans="1:15">
      <c r="A1895" s="39"/>
      <c r="B1895" s="40"/>
      <c r="C1895" s="41"/>
      <c r="D1895" s="41"/>
      <c r="E1895" s="41"/>
      <c r="F1895" s="41"/>
      <c r="G1895" s="41"/>
      <c r="H1895" s="41"/>
      <c r="I1895" s="41"/>
      <c r="J1895" s="41"/>
      <c r="K1895" s="41"/>
      <c r="L1895" s="41"/>
      <c r="M1895" s="41"/>
      <c r="N1895" s="41"/>
      <c r="O1895" s="41"/>
    </row>
    <row r="1896" spans="1:15">
      <c r="A1896" s="39"/>
      <c r="B1896" s="40"/>
      <c r="C1896" s="41"/>
      <c r="D1896" s="41"/>
      <c r="E1896" s="41"/>
      <c r="F1896" s="41"/>
      <c r="G1896" s="41"/>
      <c r="H1896" s="41"/>
      <c r="I1896" s="41"/>
      <c r="J1896" s="41"/>
      <c r="K1896" s="41"/>
      <c r="L1896" s="41"/>
      <c r="M1896" s="41"/>
      <c r="N1896" s="41"/>
      <c r="O1896" s="41"/>
    </row>
    <row r="1897" spans="1:15">
      <c r="A1897" s="39"/>
      <c r="B1897" s="40"/>
      <c r="C1897" s="41"/>
      <c r="D1897" s="41"/>
      <c r="E1897" s="41"/>
      <c r="F1897" s="41"/>
      <c r="G1897" s="41"/>
      <c r="H1897" s="41"/>
      <c r="I1897" s="41"/>
      <c r="J1897" s="41"/>
      <c r="K1897" s="41"/>
      <c r="L1897" s="41"/>
      <c r="M1897" s="41"/>
      <c r="N1897" s="41"/>
      <c r="O1897" s="41"/>
    </row>
    <row r="1898" spans="1:15">
      <c r="A1898" s="39"/>
      <c r="B1898" s="40"/>
      <c r="C1898" s="41"/>
      <c r="D1898" s="41"/>
      <c r="E1898" s="41"/>
      <c r="F1898" s="41"/>
      <c r="G1898" s="41"/>
      <c r="H1898" s="41"/>
      <c r="I1898" s="41"/>
      <c r="J1898" s="41"/>
      <c r="K1898" s="41"/>
      <c r="L1898" s="41"/>
      <c r="M1898" s="41"/>
      <c r="N1898" s="41"/>
      <c r="O1898" s="41"/>
    </row>
    <row r="1899" spans="1:15">
      <c r="A1899" s="39"/>
      <c r="B1899" s="40"/>
      <c r="C1899" s="41"/>
      <c r="D1899" s="41"/>
      <c r="E1899" s="41"/>
      <c r="F1899" s="41"/>
      <c r="G1899" s="41"/>
      <c r="H1899" s="41"/>
      <c r="I1899" s="41"/>
      <c r="J1899" s="41"/>
      <c r="K1899" s="41"/>
      <c r="L1899" s="41"/>
      <c r="M1899" s="41"/>
      <c r="N1899" s="41"/>
      <c r="O1899" s="41"/>
    </row>
    <row r="1900" spans="1:15">
      <c r="A1900" s="39"/>
      <c r="B1900" s="40"/>
      <c r="C1900" s="41"/>
      <c r="D1900" s="41"/>
      <c r="E1900" s="41"/>
      <c r="F1900" s="41"/>
      <c r="G1900" s="41"/>
      <c r="H1900" s="41"/>
      <c r="I1900" s="41"/>
      <c r="J1900" s="41"/>
      <c r="K1900" s="41"/>
      <c r="L1900" s="41"/>
      <c r="M1900" s="41"/>
      <c r="N1900" s="41"/>
      <c r="O1900" s="41"/>
    </row>
    <row r="1901" spans="1:15">
      <c r="A1901" s="39"/>
      <c r="B1901" s="40"/>
      <c r="C1901" s="41"/>
      <c r="D1901" s="41"/>
      <c r="E1901" s="41"/>
      <c r="F1901" s="41"/>
      <c r="G1901" s="41"/>
      <c r="H1901" s="41"/>
      <c r="I1901" s="41"/>
      <c r="J1901" s="41"/>
      <c r="K1901" s="41"/>
      <c r="L1901" s="41"/>
      <c r="M1901" s="41"/>
      <c r="N1901" s="41"/>
      <c r="O1901" s="41"/>
    </row>
    <row r="1902" spans="1:15">
      <c r="A1902" s="39"/>
      <c r="B1902" s="40"/>
      <c r="C1902" s="41"/>
      <c r="D1902" s="41"/>
      <c r="E1902" s="41"/>
      <c r="F1902" s="41"/>
      <c r="G1902" s="41"/>
      <c r="H1902" s="41"/>
      <c r="I1902" s="41"/>
      <c r="J1902" s="41"/>
      <c r="K1902" s="41"/>
      <c r="L1902" s="41"/>
      <c r="M1902" s="41"/>
      <c r="N1902" s="41"/>
      <c r="O1902" s="41"/>
    </row>
    <row r="1903" spans="1:15">
      <c r="A1903" s="39"/>
      <c r="B1903" s="40"/>
      <c r="C1903" s="41"/>
      <c r="D1903" s="41"/>
      <c r="E1903" s="41"/>
      <c r="F1903" s="41"/>
      <c r="G1903" s="41"/>
      <c r="H1903" s="41"/>
      <c r="I1903" s="41"/>
      <c r="J1903" s="41"/>
      <c r="K1903" s="41"/>
      <c r="L1903" s="41"/>
      <c r="M1903" s="41"/>
      <c r="N1903" s="41"/>
      <c r="O1903" s="41"/>
    </row>
    <row r="1904" spans="1:15">
      <c r="A1904" s="39"/>
      <c r="B1904" s="40"/>
      <c r="C1904" s="41"/>
      <c r="D1904" s="41"/>
      <c r="E1904" s="41"/>
      <c r="F1904" s="41"/>
      <c r="G1904" s="41"/>
      <c r="H1904" s="41"/>
      <c r="I1904" s="41"/>
      <c r="J1904" s="41"/>
      <c r="K1904" s="41"/>
      <c r="L1904" s="41"/>
      <c r="M1904" s="41"/>
      <c r="N1904" s="41"/>
      <c r="O1904" s="41"/>
    </row>
    <row r="1905" spans="1:15">
      <c r="A1905" s="39"/>
      <c r="B1905" s="40"/>
      <c r="C1905" s="41"/>
      <c r="D1905" s="41"/>
      <c r="E1905" s="41"/>
      <c r="F1905" s="41"/>
      <c r="G1905" s="41"/>
      <c r="H1905" s="41"/>
      <c r="I1905" s="41"/>
      <c r="J1905" s="41"/>
      <c r="K1905" s="41"/>
      <c r="L1905" s="41"/>
      <c r="M1905" s="41"/>
      <c r="N1905" s="41"/>
      <c r="O1905" s="41"/>
    </row>
    <row r="1906" spans="1:15">
      <c r="A1906" s="39"/>
      <c r="B1906" s="40"/>
      <c r="C1906" s="41"/>
      <c r="D1906" s="41"/>
      <c r="E1906" s="41"/>
      <c r="F1906" s="41"/>
      <c r="G1906" s="41"/>
      <c r="H1906" s="41"/>
      <c r="I1906" s="41"/>
      <c r="J1906" s="41"/>
      <c r="K1906" s="41"/>
      <c r="L1906" s="41"/>
      <c r="M1906" s="41"/>
      <c r="N1906" s="41"/>
      <c r="O1906" s="41"/>
    </row>
    <row r="1907" spans="1:15">
      <c r="A1907" s="39"/>
      <c r="B1907" s="40"/>
      <c r="C1907" s="41"/>
      <c r="D1907" s="41"/>
      <c r="E1907" s="41"/>
      <c r="F1907" s="41"/>
      <c r="G1907" s="41"/>
      <c r="H1907" s="41"/>
      <c r="I1907" s="41"/>
      <c r="J1907" s="41"/>
      <c r="K1907" s="41"/>
      <c r="L1907" s="41"/>
      <c r="M1907" s="41"/>
      <c r="N1907" s="41"/>
      <c r="O1907" s="41"/>
    </row>
    <row r="1908" spans="1:15">
      <c r="A1908" s="39"/>
      <c r="B1908" s="40"/>
      <c r="C1908" s="41"/>
      <c r="D1908" s="41"/>
      <c r="E1908" s="41"/>
      <c r="F1908" s="41"/>
      <c r="G1908" s="41"/>
      <c r="H1908" s="41"/>
      <c r="I1908" s="41"/>
      <c r="J1908" s="41"/>
      <c r="K1908" s="41"/>
      <c r="L1908" s="41"/>
      <c r="M1908" s="41"/>
      <c r="N1908" s="41"/>
      <c r="O1908" s="41"/>
    </row>
    <row r="1909" spans="1:15">
      <c r="A1909" s="39"/>
      <c r="B1909" s="40"/>
      <c r="C1909" s="41"/>
      <c r="D1909" s="41"/>
      <c r="E1909" s="41"/>
      <c r="F1909" s="41"/>
      <c r="G1909" s="41"/>
      <c r="H1909" s="41"/>
      <c r="I1909" s="41"/>
      <c r="J1909" s="41"/>
      <c r="K1909" s="41"/>
      <c r="L1909" s="41"/>
      <c r="M1909" s="41"/>
      <c r="N1909" s="41"/>
      <c r="O1909" s="41"/>
    </row>
    <row r="1910" spans="1:15">
      <c r="A1910" s="39"/>
      <c r="B1910" s="40"/>
      <c r="C1910" s="41"/>
      <c r="D1910" s="41"/>
      <c r="E1910" s="41"/>
      <c r="F1910" s="41"/>
      <c r="G1910" s="41"/>
      <c r="H1910" s="41"/>
      <c r="I1910" s="41"/>
      <c r="J1910" s="41"/>
      <c r="K1910" s="41"/>
      <c r="L1910" s="41"/>
      <c r="M1910" s="41"/>
      <c r="N1910" s="41"/>
      <c r="O1910" s="41"/>
    </row>
    <row r="1911" spans="1:15">
      <c r="A1911" s="39"/>
      <c r="B1911" s="40"/>
      <c r="C1911" s="41"/>
      <c r="D1911" s="41"/>
      <c r="E1911" s="41"/>
      <c r="F1911" s="41"/>
      <c r="G1911" s="41"/>
      <c r="H1911" s="41"/>
      <c r="I1911" s="41"/>
      <c r="J1911" s="41"/>
      <c r="K1911" s="41"/>
      <c r="L1911" s="41"/>
      <c r="M1911" s="41"/>
      <c r="N1911" s="41"/>
      <c r="O1911" s="41"/>
    </row>
    <row r="1912" spans="1:15">
      <c r="A1912" s="39"/>
      <c r="B1912" s="40"/>
      <c r="C1912" s="41"/>
      <c r="D1912" s="41"/>
      <c r="E1912" s="41"/>
      <c r="F1912" s="41"/>
      <c r="G1912" s="41"/>
      <c r="H1912" s="41"/>
      <c r="I1912" s="41"/>
      <c r="J1912" s="41"/>
      <c r="K1912" s="41"/>
      <c r="L1912" s="41"/>
      <c r="M1912" s="41"/>
      <c r="N1912" s="41"/>
      <c r="O1912" s="41"/>
    </row>
    <row r="1913" spans="1:15">
      <c r="A1913" s="39"/>
      <c r="B1913" s="40"/>
      <c r="C1913" s="41"/>
      <c r="D1913" s="41"/>
      <c r="E1913" s="41"/>
      <c r="F1913" s="41"/>
      <c r="G1913" s="41"/>
      <c r="H1913" s="41"/>
      <c r="I1913" s="41"/>
      <c r="J1913" s="41"/>
      <c r="K1913" s="41"/>
      <c r="L1913" s="41"/>
      <c r="M1913" s="41"/>
      <c r="N1913" s="41"/>
      <c r="O1913" s="41"/>
    </row>
    <row r="1914" spans="1:15">
      <c r="A1914" s="39"/>
      <c r="B1914" s="40"/>
      <c r="C1914" s="41"/>
      <c r="D1914" s="41"/>
      <c r="E1914" s="41"/>
      <c r="F1914" s="41"/>
      <c r="G1914" s="41"/>
      <c r="H1914" s="41"/>
      <c r="I1914" s="41"/>
      <c r="J1914" s="41"/>
      <c r="K1914" s="41"/>
      <c r="L1914" s="41"/>
      <c r="M1914" s="41"/>
      <c r="N1914" s="41"/>
      <c r="O1914" s="41"/>
    </row>
    <row r="1915" spans="1:15">
      <c r="A1915" s="39"/>
      <c r="B1915" s="40"/>
      <c r="C1915" s="41"/>
      <c r="D1915" s="41"/>
      <c r="E1915" s="41"/>
      <c r="F1915" s="41"/>
      <c r="G1915" s="41"/>
      <c r="H1915" s="41"/>
      <c r="I1915" s="41"/>
      <c r="J1915" s="41"/>
      <c r="K1915" s="41"/>
      <c r="L1915" s="41"/>
      <c r="M1915" s="41"/>
      <c r="N1915" s="41"/>
      <c r="O1915" s="41"/>
    </row>
    <row r="1916" spans="1:15">
      <c r="A1916" s="39"/>
      <c r="B1916" s="40"/>
      <c r="C1916" s="41"/>
      <c r="D1916" s="41"/>
      <c r="E1916" s="41"/>
      <c r="F1916" s="41"/>
      <c r="G1916" s="41"/>
      <c r="H1916" s="41"/>
      <c r="I1916" s="41"/>
      <c r="J1916" s="41"/>
      <c r="K1916" s="41"/>
      <c r="L1916" s="41"/>
      <c r="M1916" s="41"/>
      <c r="N1916" s="41"/>
      <c r="O1916" s="41"/>
    </row>
    <row r="1917" spans="1:15">
      <c r="A1917" s="39"/>
      <c r="B1917" s="40"/>
      <c r="C1917" s="41"/>
      <c r="D1917" s="41"/>
      <c r="E1917" s="41"/>
      <c r="F1917" s="41"/>
      <c r="G1917" s="41"/>
      <c r="H1917" s="41"/>
      <c r="I1917" s="41"/>
      <c r="J1917" s="41"/>
      <c r="K1917" s="41"/>
      <c r="L1917" s="41"/>
      <c r="M1917" s="41"/>
      <c r="N1917" s="41"/>
      <c r="O1917" s="41"/>
    </row>
    <row r="1918" spans="1:15">
      <c r="A1918" s="39"/>
      <c r="B1918" s="40"/>
      <c r="C1918" s="41"/>
      <c r="D1918" s="41"/>
      <c r="E1918" s="41"/>
      <c r="F1918" s="41"/>
      <c r="G1918" s="41"/>
      <c r="H1918" s="41"/>
      <c r="I1918" s="41"/>
      <c r="J1918" s="41"/>
      <c r="K1918" s="41"/>
      <c r="L1918" s="41"/>
      <c r="M1918" s="41"/>
      <c r="N1918" s="41"/>
      <c r="O1918" s="41"/>
    </row>
    <row r="1919" spans="1:15">
      <c r="A1919" s="39"/>
      <c r="B1919" s="40"/>
      <c r="C1919" s="41"/>
      <c r="D1919" s="41"/>
      <c r="E1919" s="41"/>
      <c r="F1919" s="41"/>
      <c r="G1919" s="41"/>
      <c r="H1919" s="41"/>
      <c r="I1919" s="41"/>
      <c r="J1919" s="41"/>
      <c r="K1919" s="41"/>
      <c r="L1919" s="41"/>
      <c r="M1919" s="41"/>
      <c r="N1919" s="41"/>
      <c r="O1919" s="41"/>
    </row>
    <row r="1920" spans="1:15">
      <c r="A1920" s="39"/>
      <c r="B1920" s="40"/>
      <c r="C1920" s="41"/>
      <c r="D1920" s="41"/>
      <c r="E1920" s="41"/>
      <c r="F1920" s="41"/>
      <c r="G1920" s="41"/>
      <c r="H1920" s="41"/>
      <c r="I1920" s="41"/>
      <c r="J1920" s="41"/>
      <c r="K1920" s="41"/>
      <c r="L1920" s="41"/>
      <c r="M1920" s="41"/>
      <c r="N1920" s="41"/>
      <c r="O1920" s="41"/>
    </row>
    <row r="1921" spans="1:15">
      <c r="A1921" s="39"/>
      <c r="B1921" s="40"/>
      <c r="C1921" s="41"/>
      <c r="D1921" s="41"/>
      <c r="E1921" s="41"/>
      <c r="F1921" s="41"/>
      <c r="G1921" s="41"/>
      <c r="H1921" s="41"/>
      <c r="I1921" s="41"/>
      <c r="J1921" s="41"/>
      <c r="K1921" s="41"/>
      <c r="L1921" s="41"/>
      <c r="M1921" s="41"/>
      <c r="N1921" s="41"/>
      <c r="O1921" s="41"/>
    </row>
    <row r="1922" spans="1:15">
      <c r="A1922" s="39"/>
      <c r="B1922" s="40"/>
      <c r="C1922" s="41"/>
      <c r="D1922" s="41"/>
      <c r="E1922" s="41"/>
      <c r="F1922" s="41"/>
      <c r="G1922" s="41"/>
      <c r="H1922" s="41"/>
      <c r="I1922" s="41"/>
      <c r="J1922" s="41"/>
      <c r="K1922" s="41"/>
      <c r="L1922" s="41"/>
      <c r="M1922" s="41"/>
      <c r="N1922" s="41"/>
      <c r="O1922" s="41"/>
    </row>
    <row r="1923" spans="1:15">
      <c r="A1923" s="39"/>
      <c r="B1923" s="40"/>
      <c r="C1923" s="41"/>
      <c r="D1923" s="41"/>
      <c r="E1923" s="41"/>
      <c r="F1923" s="41"/>
      <c r="G1923" s="41"/>
      <c r="H1923" s="41"/>
      <c r="I1923" s="41"/>
      <c r="J1923" s="41"/>
      <c r="K1923" s="41"/>
      <c r="L1923" s="41"/>
      <c r="M1923" s="41"/>
      <c r="N1923" s="41"/>
      <c r="O1923" s="41"/>
    </row>
    <row r="1924" spans="1:15">
      <c r="A1924" s="39"/>
      <c r="B1924" s="40"/>
      <c r="C1924" s="41"/>
      <c r="D1924" s="41"/>
      <c r="E1924" s="41"/>
      <c r="F1924" s="41"/>
      <c r="G1924" s="41"/>
      <c r="H1924" s="41"/>
      <c r="I1924" s="41"/>
      <c r="J1924" s="41"/>
      <c r="K1924" s="41"/>
      <c r="L1924" s="41"/>
      <c r="M1924" s="41"/>
      <c r="N1924" s="41"/>
      <c r="O1924" s="41"/>
    </row>
    <row r="1925" spans="1:15">
      <c r="A1925" s="39"/>
      <c r="B1925" s="40"/>
      <c r="C1925" s="41"/>
      <c r="D1925" s="41"/>
      <c r="E1925" s="41"/>
      <c r="F1925" s="41"/>
      <c r="G1925" s="41"/>
      <c r="H1925" s="41"/>
      <c r="I1925" s="41"/>
      <c r="J1925" s="41"/>
      <c r="K1925" s="41"/>
      <c r="L1925" s="41"/>
      <c r="M1925" s="41"/>
      <c r="N1925" s="41"/>
      <c r="O1925" s="41"/>
    </row>
    <row r="1926" spans="1:15">
      <c r="A1926" s="39"/>
      <c r="B1926" s="40"/>
      <c r="C1926" s="41"/>
      <c r="D1926" s="41"/>
      <c r="E1926" s="41"/>
      <c r="F1926" s="41"/>
      <c r="G1926" s="41"/>
      <c r="H1926" s="41"/>
      <c r="I1926" s="41"/>
      <c r="J1926" s="41"/>
      <c r="K1926" s="41"/>
      <c r="L1926" s="41"/>
      <c r="M1926" s="41"/>
      <c r="N1926" s="41"/>
      <c r="O1926" s="41"/>
    </row>
    <row r="1927" spans="1:15">
      <c r="A1927" s="39"/>
      <c r="B1927" s="40"/>
      <c r="C1927" s="41"/>
      <c r="D1927" s="41"/>
      <c r="E1927" s="41"/>
      <c r="F1927" s="41"/>
      <c r="G1927" s="41"/>
      <c r="H1927" s="41"/>
      <c r="I1927" s="41"/>
      <c r="J1927" s="41"/>
      <c r="K1927" s="41"/>
      <c r="L1927" s="41"/>
      <c r="M1927" s="41"/>
      <c r="N1927" s="41"/>
      <c r="O1927" s="41"/>
    </row>
    <row r="1928" spans="1:15">
      <c r="A1928" s="39"/>
      <c r="B1928" s="40"/>
      <c r="C1928" s="41"/>
      <c r="D1928" s="41"/>
      <c r="E1928" s="41"/>
      <c r="F1928" s="41"/>
      <c r="G1928" s="41"/>
      <c r="H1928" s="41"/>
      <c r="I1928" s="41"/>
      <c r="J1928" s="41"/>
      <c r="K1928" s="41"/>
      <c r="L1928" s="41"/>
      <c r="M1928" s="41"/>
      <c r="N1928" s="41"/>
      <c r="O1928" s="41"/>
    </row>
    <row r="1929" spans="1:15">
      <c r="A1929" s="39"/>
      <c r="B1929" s="40"/>
      <c r="C1929" s="41"/>
      <c r="D1929" s="41"/>
      <c r="E1929" s="41"/>
      <c r="F1929" s="41"/>
      <c r="G1929" s="41"/>
      <c r="H1929" s="41"/>
      <c r="I1929" s="41"/>
      <c r="J1929" s="41"/>
      <c r="K1929" s="41"/>
      <c r="L1929" s="41"/>
      <c r="M1929" s="41"/>
      <c r="N1929" s="41"/>
      <c r="O1929" s="41"/>
    </row>
    <row r="1930" spans="1:15">
      <c r="A1930" s="39"/>
      <c r="B1930" s="40"/>
      <c r="C1930" s="41"/>
      <c r="D1930" s="41"/>
      <c r="E1930" s="41"/>
      <c r="F1930" s="41"/>
      <c r="G1930" s="41"/>
      <c r="H1930" s="41"/>
      <c r="I1930" s="41"/>
      <c r="J1930" s="41"/>
      <c r="K1930" s="41"/>
      <c r="L1930" s="41"/>
      <c r="M1930" s="41"/>
      <c r="N1930" s="41"/>
      <c r="O1930" s="41"/>
    </row>
    <row r="1931" spans="1:15">
      <c r="A1931" s="39"/>
      <c r="B1931" s="40"/>
      <c r="C1931" s="41"/>
      <c r="D1931" s="41"/>
      <c r="E1931" s="41"/>
      <c r="F1931" s="41"/>
      <c r="G1931" s="41"/>
      <c r="H1931" s="41"/>
      <c r="I1931" s="41"/>
      <c r="J1931" s="41"/>
      <c r="K1931" s="41"/>
      <c r="L1931" s="41"/>
      <c r="M1931" s="41"/>
      <c r="N1931" s="41"/>
      <c r="O1931" s="41"/>
    </row>
    <row r="1932" spans="1:15">
      <c r="A1932" s="39"/>
      <c r="B1932" s="40"/>
      <c r="C1932" s="41"/>
      <c r="D1932" s="41"/>
      <c r="E1932" s="41"/>
      <c r="F1932" s="41"/>
      <c r="G1932" s="41"/>
      <c r="H1932" s="41"/>
      <c r="I1932" s="41"/>
      <c r="J1932" s="41"/>
      <c r="K1932" s="41"/>
      <c r="L1932" s="41"/>
      <c r="M1932" s="41"/>
      <c r="N1932" s="41"/>
      <c r="O1932" s="41"/>
    </row>
    <row r="1933" spans="1:15">
      <c r="A1933" s="39"/>
      <c r="B1933" s="40"/>
      <c r="C1933" s="41"/>
      <c r="D1933" s="41"/>
      <c r="E1933" s="41"/>
      <c r="F1933" s="41"/>
      <c r="G1933" s="41"/>
      <c r="H1933" s="41"/>
      <c r="I1933" s="41"/>
      <c r="J1933" s="41"/>
      <c r="K1933" s="41"/>
      <c r="L1933" s="41"/>
      <c r="M1933" s="41"/>
      <c r="N1933" s="41"/>
      <c r="O1933" s="41"/>
    </row>
    <row r="1934" spans="1:15">
      <c r="A1934" s="39"/>
      <c r="B1934" s="40"/>
      <c r="C1934" s="41"/>
      <c r="D1934" s="41"/>
      <c r="E1934" s="41"/>
      <c r="F1934" s="41"/>
      <c r="G1934" s="41"/>
      <c r="H1934" s="41"/>
      <c r="I1934" s="41"/>
      <c r="J1934" s="41"/>
      <c r="K1934" s="41"/>
      <c r="L1934" s="41"/>
      <c r="M1934" s="41"/>
      <c r="N1934" s="41"/>
      <c r="O1934" s="41"/>
    </row>
    <row r="1935" spans="1:15">
      <c r="A1935" s="39"/>
      <c r="B1935" s="40"/>
      <c r="C1935" s="41"/>
      <c r="D1935" s="41"/>
      <c r="E1935" s="41"/>
      <c r="F1935" s="41"/>
      <c r="G1935" s="41"/>
      <c r="H1935" s="41"/>
      <c r="I1935" s="41"/>
      <c r="J1935" s="41"/>
      <c r="K1935" s="41"/>
      <c r="L1935" s="41"/>
      <c r="M1935" s="41"/>
      <c r="N1935" s="41"/>
      <c r="O1935" s="41"/>
    </row>
    <row r="1936" spans="1:15">
      <c r="A1936" s="39"/>
      <c r="B1936" s="40"/>
      <c r="C1936" s="41"/>
      <c r="D1936" s="41"/>
      <c r="E1936" s="41"/>
      <c r="F1936" s="41"/>
      <c r="G1936" s="41"/>
      <c r="H1936" s="41"/>
      <c r="I1936" s="41"/>
      <c r="J1936" s="41"/>
      <c r="K1936" s="41"/>
      <c r="L1936" s="41"/>
      <c r="M1936" s="41"/>
      <c r="N1936" s="41"/>
      <c r="O1936" s="41"/>
    </row>
    <row r="1937" spans="1:15">
      <c r="A1937" s="39"/>
      <c r="B1937" s="40"/>
      <c r="C1937" s="41"/>
      <c r="D1937" s="41"/>
      <c r="E1937" s="41"/>
      <c r="F1937" s="41"/>
      <c r="G1937" s="41"/>
      <c r="H1937" s="41"/>
      <c r="I1937" s="41"/>
      <c r="J1937" s="41"/>
      <c r="K1937" s="41"/>
      <c r="L1937" s="41"/>
      <c r="M1937" s="41"/>
      <c r="N1937" s="41"/>
      <c r="O1937" s="41"/>
    </row>
    <row r="1938" spans="1:15">
      <c r="A1938" s="39"/>
      <c r="B1938" s="40"/>
      <c r="C1938" s="41"/>
      <c r="D1938" s="41"/>
      <c r="E1938" s="41"/>
      <c r="F1938" s="41"/>
      <c r="G1938" s="41"/>
      <c r="H1938" s="41"/>
      <c r="I1938" s="41"/>
      <c r="J1938" s="41"/>
      <c r="K1938" s="41"/>
      <c r="L1938" s="41"/>
      <c r="M1938" s="41"/>
      <c r="N1938" s="41"/>
      <c r="O1938" s="41"/>
    </row>
    <row r="1939" spans="1:15">
      <c r="A1939" s="39"/>
      <c r="B1939" s="40"/>
      <c r="C1939" s="41"/>
      <c r="D1939" s="41"/>
      <c r="E1939" s="41"/>
      <c r="F1939" s="41"/>
      <c r="G1939" s="41"/>
      <c r="H1939" s="41"/>
      <c r="I1939" s="41"/>
      <c r="J1939" s="41"/>
      <c r="K1939" s="41"/>
      <c r="L1939" s="41"/>
      <c r="M1939" s="41"/>
      <c r="N1939" s="41"/>
      <c r="O1939" s="41"/>
    </row>
    <row r="1940" spans="1:15">
      <c r="A1940" s="39"/>
      <c r="B1940" s="40"/>
      <c r="C1940" s="41"/>
      <c r="D1940" s="41"/>
      <c r="E1940" s="41"/>
      <c r="F1940" s="41"/>
      <c r="G1940" s="41"/>
      <c r="H1940" s="41"/>
      <c r="I1940" s="41"/>
      <c r="J1940" s="41"/>
      <c r="K1940" s="41"/>
      <c r="L1940" s="41"/>
      <c r="M1940" s="41"/>
      <c r="N1940" s="41"/>
      <c r="O1940" s="41"/>
    </row>
    <row r="1941" spans="1:15">
      <c r="A1941" s="39"/>
      <c r="B1941" s="40"/>
      <c r="C1941" s="41"/>
      <c r="D1941" s="41"/>
      <c r="E1941" s="41"/>
      <c r="F1941" s="41"/>
      <c r="G1941" s="41"/>
      <c r="H1941" s="41"/>
      <c r="I1941" s="41"/>
      <c r="J1941" s="41"/>
      <c r="K1941" s="41"/>
      <c r="L1941" s="41"/>
      <c r="M1941" s="41"/>
      <c r="N1941" s="41"/>
      <c r="O1941" s="41"/>
    </row>
    <row r="1942" spans="1:15">
      <c r="A1942" s="39"/>
      <c r="B1942" s="40"/>
      <c r="C1942" s="41"/>
      <c r="D1942" s="41"/>
      <c r="E1942" s="41"/>
      <c r="F1942" s="41"/>
      <c r="G1942" s="41"/>
      <c r="H1942" s="41"/>
      <c r="I1942" s="41"/>
      <c r="J1942" s="41"/>
      <c r="K1942" s="41"/>
      <c r="L1942" s="41"/>
      <c r="M1942" s="41"/>
      <c r="N1942" s="41"/>
      <c r="O1942" s="41"/>
    </row>
    <row r="1943" spans="1:15">
      <c r="A1943" s="39"/>
      <c r="B1943" s="40"/>
      <c r="C1943" s="41"/>
      <c r="D1943" s="41"/>
      <c r="E1943" s="41"/>
      <c r="F1943" s="41"/>
      <c r="G1943" s="41"/>
      <c r="H1943" s="41"/>
      <c r="I1943" s="41"/>
      <c r="J1943" s="41"/>
      <c r="K1943" s="41"/>
      <c r="L1943" s="41"/>
      <c r="M1943" s="41"/>
      <c r="N1943" s="41"/>
      <c r="O1943" s="41"/>
    </row>
    <row r="1944" spans="1:15">
      <c r="A1944" s="39"/>
      <c r="B1944" s="40"/>
      <c r="C1944" s="41"/>
      <c r="D1944" s="41"/>
      <c r="E1944" s="41"/>
      <c r="F1944" s="41"/>
      <c r="G1944" s="41"/>
      <c r="H1944" s="41"/>
      <c r="I1944" s="41"/>
      <c r="J1944" s="41"/>
      <c r="K1944" s="41"/>
      <c r="L1944" s="41"/>
      <c r="M1944" s="41"/>
      <c r="N1944" s="41"/>
      <c r="O1944" s="41"/>
    </row>
    <row r="1945" spans="1:15">
      <c r="A1945" s="39"/>
      <c r="B1945" s="40"/>
      <c r="C1945" s="41"/>
      <c r="D1945" s="41"/>
      <c r="E1945" s="41"/>
      <c r="F1945" s="41"/>
      <c r="G1945" s="41"/>
      <c r="H1945" s="41"/>
      <c r="I1945" s="41"/>
      <c r="J1945" s="41"/>
      <c r="K1945" s="41"/>
      <c r="L1945" s="41"/>
      <c r="M1945" s="41"/>
      <c r="N1945" s="41"/>
      <c r="O1945" s="41"/>
    </row>
    <row r="1946" spans="1:15">
      <c r="A1946" s="39"/>
      <c r="B1946" s="40"/>
      <c r="C1946" s="41"/>
      <c r="D1946" s="41"/>
      <c r="E1946" s="41"/>
      <c r="F1946" s="41"/>
      <c r="G1946" s="41"/>
      <c r="H1946" s="41"/>
      <c r="I1946" s="41"/>
      <c r="J1946" s="41"/>
      <c r="K1946" s="41"/>
      <c r="L1946" s="41"/>
      <c r="M1946" s="41"/>
      <c r="N1946" s="41"/>
      <c r="O1946" s="41"/>
    </row>
    <row r="1947" spans="1:15">
      <c r="A1947" s="39"/>
      <c r="B1947" s="40"/>
      <c r="C1947" s="41"/>
      <c r="D1947" s="41"/>
      <c r="E1947" s="41"/>
      <c r="F1947" s="41"/>
      <c r="G1947" s="41"/>
      <c r="H1947" s="41"/>
      <c r="I1947" s="41"/>
      <c r="J1947" s="41"/>
      <c r="K1947" s="41"/>
      <c r="L1947" s="41"/>
      <c r="M1947" s="41"/>
      <c r="N1947" s="41"/>
      <c r="O1947" s="41"/>
    </row>
    <row r="1948" spans="1:15">
      <c r="A1948" s="39"/>
      <c r="B1948" s="40"/>
      <c r="C1948" s="41"/>
      <c r="D1948" s="41"/>
      <c r="E1948" s="41"/>
      <c r="F1948" s="41"/>
      <c r="G1948" s="41"/>
      <c r="H1948" s="41"/>
      <c r="I1948" s="41"/>
      <c r="J1948" s="41"/>
      <c r="K1948" s="41"/>
      <c r="L1948" s="41"/>
      <c r="M1948" s="41"/>
      <c r="N1948" s="41"/>
      <c r="O1948" s="41"/>
    </row>
    <row r="1949" spans="1:15">
      <c r="A1949" s="39"/>
      <c r="B1949" s="40"/>
      <c r="C1949" s="41"/>
      <c r="D1949" s="41"/>
      <c r="E1949" s="41"/>
      <c r="F1949" s="41"/>
      <c r="G1949" s="41"/>
      <c r="H1949" s="41"/>
      <c r="I1949" s="41"/>
      <c r="J1949" s="41"/>
      <c r="K1949" s="41"/>
      <c r="L1949" s="41"/>
      <c r="M1949" s="41"/>
      <c r="N1949" s="41"/>
      <c r="O1949" s="41"/>
    </row>
    <row r="1950" spans="1:15">
      <c r="A1950" s="39"/>
      <c r="B1950" s="40"/>
      <c r="C1950" s="41"/>
      <c r="D1950" s="41"/>
      <c r="E1950" s="41"/>
      <c r="F1950" s="41"/>
      <c r="G1950" s="41"/>
      <c r="H1950" s="41"/>
      <c r="I1950" s="41"/>
      <c r="J1950" s="41"/>
      <c r="K1950" s="41"/>
      <c r="L1950" s="41"/>
      <c r="M1950" s="41"/>
      <c r="N1950" s="41"/>
      <c r="O1950" s="41"/>
    </row>
    <row r="1951" spans="1:15">
      <c r="A1951" s="39"/>
      <c r="B1951" s="40"/>
      <c r="C1951" s="41"/>
      <c r="D1951" s="41"/>
      <c r="E1951" s="41"/>
      <c r="F1951" s="41"/>
      <c r="G1951" s="41"/>
      <c r="H1951" s="41"/>
      <c r="I1951" s="41"/>
      <c r="J1951" s="41"/>
      <c r="K1951" s="41"/>
      <c r="L1951" s="41"/>
      <c r="M1951" s="41"/>
      <c r="N1951" s="41"/>
      <c r="O1951" s="41"/>
    </row>
    <row r="1952" spans="1:15">
      <c r="A1952" s="39"/>
      <c r="B1952" s="40"/>
      <c r="C1952" s="41"/>
      <c r="D1952" s="41"/>
      <c r="E1952" s="41"/>
      <c r="F1952" s="41"/>
      <c r="G1952" s="41"/>
      <c r="H1952" s="41"/>
      <c r="I1952" s="41"/>
      <c r="J1952" s="41"/>
      <c r="K1952" s="41"/>
      <c r="L1952" s="41"/>
      <c r="M1952" s="41"/>
      <c r="N1952" s="41"/>
      <c r="O1952" s="41"/>
    </row>
    <row r="1953" spans="1:15">
      <c r="A1953" s="39"/>
      <c r="B1953" s="40"/>
      <c r="C1953" s="41"/>
      <c r="D1953" s="41"/>
      <c r="E1953" s="41"/>
      <c r="F1953" s="41"/>
      <c r="G1953" s="41"/>
      <c r="H1953" s="41"/>
      <c r="I1953" s="41"/>
      <c r="J1953" s="41"/>
      <c r="K1953" s="41"/>
      <c r="L1953" s="41"/>
      <c r="M1953" s="41"/>
      <c r="N1953" s="41"/>
      <c r="O1953" s="41"/>
    </row>
    <row r="1954" spans="1:15">
      <c r="A1954" s="39"/>
      <c r="B1954" s="40"/>
      <c r="C1954" s="41"/>
      <c r="D1954" s="41"/>
      <c r="E1954" s="41"/>
      <c r="F1954" s="41"/>
      <c r="G1954" s="41"/>
      <c r="H1954" s="41"/>
      <c r="I1954" s="41"/>
      <c r="J1954" s="41"/>
      <c r="K1954" s="41"/>
      <c r="L1954" s="41"/>
      <c r="M1954" s="41"/>
      <c r="N1954" s="41"/>
      <c r="O1954" s="41"/>
    </row>
    <row r="1955" spans="1:15">
      <c r="A1955" s="39"/>
      <c r="B1955" s="40"/>
      <c r="C1955" s="41"/>
      <c r="D1955" s="41"/>
      <c r="E1955" s="41"/>
      <c r="F1955" s="41"/>
      <c r="G1955" s="41"/>
      <c r="H1955" s="41"/>
      <c r="I1955" s="41"/>
      <c r="J1955" s="41"/>
      <c r="K1955" s="41"/>
      <c r="L1955" s="41"/>
      <c r="M1955" s="41"/>
      <c r="N1955" s="41"/>
      <c r="O1955" s="41"/>
    </row>
    <row r="1956" spans="1:15">
      <c r="A1956" s="39"/>
      <c r="B1956" s="40"/>
      <c r="C1956" s="41"/>
      <c r="D1956" s="41"/>
      <c r="E1956" s="41"/>
      <c r="F1956" s="41"/>
      <c r="G1956" s="41"/>
      <c r="H1956" s="41"/>
      <c r="I1956" s="41"/>
      <c r="J1956" s="41"/>
      <c r="K1956" s="41"/>
      <c r="L1956" s="41"/>
      <c r="M1956" s="41"/>
      <c r="N1956" s="41"/>
      <c r="O1956" s="41"/>
    </row>
    <row r="1957" spans="1:15">
      <c r="A1957" s="39"/>
      <c r="B1957" s="40"/>
      <c r="C1957" s="41"/>
      <c r="D1957" s="41"/>
      <c r="E1957" s="41"/>
      <c r="F1957" s="41"/>
      <c r="G1957" s="41"/>
      <c r="H1957" s="41"/>
      <c r="I1957" s="41"/>
      <c r="J1957" s="41"/>
      <c r="K1957" s="41"/>
      <c r="L1957" s="41"/>
      <c r="M1957" s="41"/>
      <c r="N1957" s="41"/>
      <c r="O1957" s="41"/>
    </row>
    <row r="1958" spans="1:15">
      <c r="A1958" s="39"/>
      <c r="B1958" s="40"/>
      <c r="C1958" s="41"/>
      <c r="D1958" s="41"/>
      <c r="E1958" s="41"/>
      <c r="F1958" s="41"/>
      <c r="G1958" s="41"/>
      <c r="H1958" s="41"/>
      <c r="I1958" s="41"/>
      <c r="J1958" s="41"/>
      <c r="K1958" s="41"/>
      <c r="L1958" s="41"/>
      <c r="M1958" s="41"/>
      <c r="N1958" s="41"/>
      <c r="O1958" s="41"/>
    </row>
    <row r="1959" spans="1:15">
      <c r="A1959" s="39"/>
      <c r="B1959" s="40"/>
      <c r="C1959" s="41"/>
      <c r="D1959" s="41"/>
      <c r="E1959" s="41"/>
      <c r="F1959" s="41"/>
      <c r="G1959" s="41"/>
      <c r="H1959" s="41"/>
      <c r="I1959" s="41"/>
      <c r="J1959" s="41"/>
      <c r="K1959" s="41"/>
      <c r="L1959" s="41"/>
      <c r="M1959" s="41"/>
      <c r="N1959" s="41"/>
      <c r="O1959" s="41"/>
    </row>
    <row r="1960" spans="1:15">
      <c r="A1960" s="39"/>
      <c r="B1960" s="40"/>
      <c r="C1960" s="41"/>
      <c r="D1960" s="41"/>
      <c r="E1960" s="41"/>
      <c r="F1960" s="41"/>
      <c r="G1960" s="41"/>
      <c r="H1960" s="41"/>
      <c r="I1960" s="41"/>
      <c r="J1960" s="41"/>
      <c r="K1960" s="41"/>
      <c r="L1960" s="41"/>
      <c r="M1960" s="41"/>
      <c r="N1960" s="41"/>
      <c r="O1960" s="41"/>
    </row>
    <row r="1961" spans="1:15">
      <c r="A1961" s="39"/>
      <c r="B1961" s="40"/>
      <c r="C1961" s="41"/>
      <c r="D1961" s="41"/>
      <c r="E1961" s="41"/>
      <c r="F1961" s="41"/>
      <c r="G1961" s="41"/>
      <c r="H1961" s="41"/>
      <c r="I1961" s="41"/>
      <c r="J1961" s="41"/>
      <c r="K1961" s="41"/>
      <c r="L1961" s="41"/>
      <c r="M1961" s="41"/>
      <c r="N1961" s="41"/>
      <c r="O1961" s="41"/>
    </row>
    <row r="1962" spans="1:15">
      <c r="A1962" s="39"/>
      <c r="B1962" s="40"/>
      <c r="C1962" s="41"/>
      <c r="D1962" s="41"/>
      <c r="E1962" s="41"/>
      <c r="F1962" s="41"/>
      <c r="G1962" s="41"/>
      <c r="H1962" s="41"/>
      <c r="I1962" s="41"/>
      <c r="J1962" s="41"/>
      <c r="K1962" s="41"/>
      <c r="L1962" s="41"/>
      <c r="M1962" s="41"/>
      <c r="N1962" s="41"/>
      <c r="O1962" s="41"/>
    </row>
    <row r="1963" spans="1:15">
      <c r="A1963" s="39"/>
      <c r="B1963" s="40"/>
      <c r="C1963" s="41"/>
      <c r="D1963" s="41"/>
      <c r="E1963" s="41"/>
      <c r="F1963" s="41"/>
      <c r="G1963" s="41"/>
      <c r="H1963" s="41"/>
      <c r="I1963" s="41"/>
      <c r="J1963" s="41"/>
      <c r="K1963" s="41"/>
      <c r="L1963" s="41"/>
      <c r="M1963" s="41"/>
      <c r="N1963" s="41"/>
      <c r="O1963" s="41"/>
    </row>
    <row r="1964" spans="1:15">
      <c r="A1964" s="39"/>
      <c r="B1964" s="40"/>
      <c r="C1964" s="41"/>
      <c r="D1964" s="41"/>
      <c r="E1964" s="41"/>
      <c r="F1964" s="41"/>
      <c r="G1964" s="41"/>
      <c r="H1964" s="41"/>
      <c r="I1964" s="41"/>
      <c r="J1964" s="41"/>
      <c r="K1964" s="41"/>
      <c r="L1964" s="41"/>
      <c r="M1964" s="41"/>
      <c r="N1964" s="41"/>
      <c r="O1964" s="41"/>
    </row>
    <row r="1965" spans="1:15">
      <c r="A1965" s="39"/>
      <c r="B1965" s="40"/>
      <c r="C1965" s="41"/>
      <c r="D1965" s="41"/>
      <c r="E1965" s="41"/>
      <c r="F1965" s="41"/>
      <c r="G1965" s="41"/>
      <c r="H1965" s="41"/>
      <c r="I1965" s="41"/>
      <c r="J1965" s="41"/>
      <c r="K1965" s="41"/>
      <c r="L1965" s="41"/>
      <c r="M1965" s="41"/>
      <c r="N1965" s="41"/>
      <c r="O1965" s="41"/>
    </row>
    <row r="1966" spans="1:15">
      <c r="A1966" s="39"/>
      <c r="B1966" s="40"/>
      <c r="C1966" s="41"/>
      <c r="D1966" s="41"/>
      <c r="E1966" s="41"/>
      <c r="F1966" s="41"/>
      <c r="G1966" s="41"/>
      <c r="H1966" s="41"/>
      <c r="I1966" s="41"/>
      <c r="J1966" s="41"/>
      <c r="K1966" s="41"/>
      <c r="L1966" s="41"/>
      <c r="M1966" s="41"/>
      <c r="N1966" s="41"/>
      <c r="O1966" s="41"/>
    </row>
    <row r="1967" spans="1:15">
      <c r="A1967" s="39"/>
      <c r="B1967" s="40"/>
      <c r="C1967" s="41"/>
      <c r="D1967" s="41"/>
      <c r="E1967" s="41"/>
      <c r="F1967" s="41"/>
      <c r="G1967" s="41"/>
      <c r="H1967" s="41"/>
      <c r="I1967" s="41"/>
      <c r="J1967" s="41"/>
      <c r="K1967" s="41"/>
      <c r="L1967" s="41"/>
      <c r="M1967" s="41"/>
      <c r="N1967" s="41"/>
      <c r="O1967" s="41"/>
    </row>
    <row r="1968" spans="1:15">
      <c r="A1968" s="39"/>
      <c r="B1968" s="40"/>
      <c r="C1968" s="41"/>
      <c r="D1968" s="41"/>
      <c r="E1968" s="41"/>
      <c r="F1968" s="41"/>
      <c r="G1968" s="41"/>
      <c r="H1968" s="41"/>
      <c r="I1968" s="41"/>
      <c r="J1968" s="41"/>
      <c r="K1968" s="41"/>
      <c r="L1968" s="41"/>
      <c r="M1968" s="41"/>
      <c r="N1968" s="41"/>
      <c r="O1968" s="41"/>
    </row>
    <row r="1969" spans="1:15">
      <c r="A1969" s="39"/>
      <c r="B1969" s="40"/>
      <c r="C1969" s="41"/>
      <c r="D1969" s="41"/>
      <c r="E1969" s="41"/>
      <c r="F1969" s="41"/>
      <c r="G1969" s="41"/>
      <c r="H1969" s="41"/>
      <c r="I1969" s="41"/>
      <c r="J1969" s="41"/>
      <c r="K1969" s="41"/>
      <c r="L1969" s="41"/>
      <c r="M1969" s="41"/>
      <c r="N1969" s="41"/>
      <c r="O1969" s="41"/>
    </row>
    <row r="1970" spans="1:15">
      <c r="A1970" s="39"/>
      <c r="B1970" s="40"/>
      <c r="C1970" s="41"/>
      <c r="D1970" s="41"/>
      <c r="E1970" s="41"/>
      <c r="F1970" s="41"/>
      <c r="G1970" s="41"/>
      <c r="H1970" s="41"/>
      <c r="I1970" s="41"/>
      <c r="J1970" s="41"/>
      <c r="K1970" s="41"/>
      <c r="L1970" s="41"/>
      <c r="M1970" s="41"/>
      <c r="N1970" s="41"/>
      <c r="O1970" s="41"/>
    </row>
    <row r="1971" spans="1:15">
      <c r="A1971" s="39"/>
      <c r="B1971" s="40"/>
      <c r="C1971" s="41"/>
      <c r="D1971" s="41"/>
      <c r="E1971" s="41"/>
      <c r="F1971" s="41"/>
      <c r="G1971" s="41"/>
      <c r="H1971" s="41"/>
      <c r="I1971" s="41"/>
      <c r="J1971" s="41"/>
      <c r="K1971" s="41"/>
      <c r="L1971" s="41"/>
      <c r="M1971" s="41"/>
      <c r="N1971" s="41"/>
      <c r="O1971" s="41"/>
    </row>
    <row r="1972" spans="1:15">
      <c r="A1972" s="39"/>
      <c r="B1972" s="40"/>
      <c r="C1972" s="41"/>
      <c r="D1972" s="41"/>
      <c r="E1972" s="41"/>
      <c r="F1972" s="41"/>
      <c r="G1972" s="41"/>
      <c r="H1972" s="41"/>
      <c r="I1972" s="41"/>
      <c r="J1972" s="41"/>
      <c r="K1972" s="41"/>
      <c r="L1972" s="41"/>
      <c r="M1972" s="41"/>
      <c r="N1972" s="41"/>
      <c r="O1972" s="41"/>
    </row>
    <row r="1973" spans="1:15">
      <c r="A1973" s="39"/>
      <c r="B1973" s="40"/>
      <c r="C1973" s="41"/>
      <c r="D1973" s="41"/>
      <c r="E1973" s="41"/>
      <c r="F1973" s="41"/>
      <c r="G1973" s="41"/>
      <c r="H1973" s="41"/>
      <c r="I1973" s="41"/>
      <c r="J1973" s="41"/>
      <c r="K1973" s="41"/>
      <c r="L1973" s="41"/>
      <c r="M1973" s="41"/>
      <c r="N1973" s="41"/>
      <c r="O1973" s="41"/>
    </row>
    <row r="1974" spans="1:15">
      <c r="A1974" s="39"/>
      <c r="B1974" s="40"/>
      <c r="C1974" s="41"/>
      <c r="D1974" s="41"/>
      <c r="E1974" s="41"/>
      <c r="F1974" s="41"/>
      <c r="G1974" s="41"/>
      <c r="H1974" s="41"/>
      <c r="I1974" s="41"/>
      <c r="J1974" s="41"/>
      <c r="K1974" s="41"/>
      <c r="L1974" s="41"/>
      <c r="M1974" s="41"/>
      <c r="N1974" s="41"/>
      <c r="O1974" s="41"/>
    </row>
    <row r="1975" spans="1:15">
      <c r="A1975" s="39"/>
      <c r="B1975" s="40"/>
      <c r="C1975" s="41"/>
      <c r="D1975" s="41"/>
      <c r="E1975" s="41"/>
      <c r="F1975" s="41"/>
      <c r="G1975" s="41"/>
      <c r="H1975" s="41"/>
      <c r="I1975" s="41"/>
      <c r="J1975" s="41"/>
      <c r="K1975" s="41"/>
      <c r="L1975" s="41"/>
      <c r="M1975" s="41"/>
      <c r="N1975" s="41"/>
      <c r="O1975" s="41"/>
    </row>
    <row r="1976" spans="1:15">
      <c r="A1976" s="39"/>
      <c r="B1976" s="40"/>
      <c r="C1976" s="41"/>
      <c r="D1976" s="41"/>
      <c r="E1976" s="41"/>
      <c r="F1976" s="41"/>
      <c r="G1976" s="41"/>
      <c r="H1976" s="41"/>
      <c r="I1976" s="41"/>
      <c r="J1976" s="41"/>
      <c r="K1976" s="41"/>
      <c r="L1976" s="41"/>
      <c r="M1976" s="41"/>
      <c r="N1976" s="41"/>
      <c r="O1976" s="41"/>
    </row>
    <row r="1977" spans="1:15">
      <c r="A1977" s="39"/>
      <c r="B1977" s="40"/>
      <c r="C1977" s="41"/>
      <c r="D1977" s="41"/>
      <c r="E1977" s="41"/>
      <c r="F1977" s="41"/>
      <c r="G1977" s="41"/>
      <c r="H1977" s="41"/>
      <c r="I1977" s="41"/>
      <c r="J1977" s="41"/>
      <c r="K1977" s="41"/>
      <c r="L1977" s="41"/>
      <c r="M1977" s="41"/>
      <c r="N1977" s="41"/>
      <c r="O1977" s="41"/>
    </row>
    <row r="1978" spans="1:15">
      <c r="A1978" s="39"/>
      <c r="B1978" s="40"/>
      <c r="C1978" s="41"/>
      <c r="D1978" s="41"/>
      <c r="E1978" s="41"/>
      <c r="F1978" s="41"/>
      <c r="G1978" s="41"/>
      <c r="H1978" s="41"/>
      <c r="I1978" s="41"/>
      <c r="J1978" s="41"/>
      <c r="K1978" s="41"/>
      <c r="L1978" s="41"/>
      <c r="M1978" s="41"/>
      <c r="N1978" s="41"/>
      <c r="O1978" s="41"/>
    </row>
    <row r="1979" spans="1:15">
      <c r="A1979" s="39"/>
      <c r="B1979" s="40"/>
      <c r="C1979" s="41"/>
      <c r="D1979" s="41"/>
      <c r="E1979" s="41"/>
      <c r="F1979" s="41"/>
      <c r="G1979" s="41"/>
      <c r="H1979" s="41"/>
      <c r="I1979" s="41"/>
      <c r="J1979" s="41"/>
      <c r="K1979" s="41"/>
      <c r="L1979" s="41"/>
      <c r="M1979" s="41"/>
      <c r="N1979" s="41"/>
      <c r="O1979" s="41"/>
    </row>
    <row r="1980" spans="1:15">
      <c r="A1980" s="39"/>
      <c r="B1980" s="40"/>
      <c r="C1980" s="41"/>
      <c r="D1980" s="41"/>
      <c r="E1980" s="41"/>
      <c r="F1980" s="41"/>
      <c r="G1980" s="41"/>
      <c r="H1980" s="41"/>
      <c r="I1980" s="41"/>
      <c r="J1980" s="41"/>
      <c r="K1980" s="41"/>
      <c r="L1980" s="41"/>
      <c r="M1980" s="41"/>
      <c r="N1980" s="41"/>
      <c r="O1980" s="41"/>
    </row>
    <row r="1981" spans="1:15">
      <c r="A1981" s="39"/>
      <c r="B1981" s="40"/>
      <c r="C1981" s="41"/>
      <c r="D1981" s="41"/>
      <c r="E1981" s="41"/>
      <c r="F1981" s="41"/>
      <c r="G1981" s="41"/>
      <c r="H1981" s="41"/>
      <c r="I1981" s="41"/>
      <c r="J1981" s="41"/>
      <c r="K1981" s="41"/>
      <c r="L1981" s="41"/>
      <c r="M1981" s="41"/>
      <c r="N1981" s="41"/>
      <c r="O1981" s="41"/>
    </row>
    <row r="1982" spans="1:15">
      <c r="A1982" s="39"/>
      <c r="B1982" s="40"/>
      <c r="C1982" s="41"/>
      <c r="D1982" s="41"/>
      <c r="E1982" s="41"/>
      <c r="F1982" s="41"/>
      <c r="G1982" s="41"/>
      <c r="H1982" s="41"/>
      <c r="I1982" s="41"/>
      <c r="J1982" s="41"/>
      <c r="K1982" s="41"/>
      <c r="L1982" s="41"/>
      <c r="M1982" s="41"/>
      <c r="N1982" s="41"/>
      <c r="O1982" s="41"/>
    </row>
    <row r="1983" spans="1:15">
      <c r="A1983" s="39"/>
      <c r="B1983" s="40"/>
      <c r="C1983" s="41"/>
      <c r="D1983" s="41"/>
      <c r="E1983" s="41"/>
      <c r="F1983" s="41"/>
      <c r="G1983" s="41"/>
      <c r="H1983" s="41"/>
      <c r="I1983" s="41"/>
      <c r="J1983" s="41"/>
      <c r="K1983" s="41"/>
      <c r="L1983" s="41"/>
      <c r="M1983" s="41"/>
      <c r="N1983" s="41"/>
      <c r="O1983" s="41"/>
    </row>
    <row r="1984" spans="1:15">
      <c r="A1984" s="39"/>
      <c r="B1984" s="40"/>
      <c r="C1984" s="41"/>
      <c r="D1984" s="41"/>
      <c r="E1984" s="41"/>
      <c r="F1984" s="41"/>
      <c r="G1984" s="41"/>
      <c r="H1984" s="41"/>
      <c r="I1984" s="41"/>
      <c r="J1984" s="41"/>
      <c r="K1984" s="41"/>
      <c r="L1984" s="41"/>
      <c r="M1984" s="41"/>
      <c r="N1984" s="41"/>
      <c r="O1984" s="41"/>
    </row>
    <row r="1985" spans="1:15">
      <c r="A1985" s="39"/>
      <c r="B1985" s="40"/>
      <c r="C1985" s="41"/>
      <c r="D1985" s="41"/>
      <c r="E1985" s="41"/>
      <c r="F1985" s="41"/>
      <c r="G1985" s="41"/>
      <c r="H1985" s="41"/>
      <c r="I1985" s="41"/>
      <c r="J1985" s="41"/>
      <c r="K1985" s="41"/>
      <c r="L1985" s="41"/>
      <c r="M1985" s="41"/>
      <c r="N1985" s="41"/>
      <c r="O1985" s="41"/>
    </row>
    <row r="1986" spans="1:15">
      <c r="A1986" s="39"/>
      <c r="B1986" s="40"/>
      <c r="C1986" s="41"/>
      <c r="D1986" s="41"/>
      <c r="E1986" s="41"/>
      <c r="F1986" s="41"/>
      <c r="G1986" s="41"/>
      <c r="H1986" s="41"/>
      <c r="I1986" s="41"/>
      <c r="J1986" s="41"/>
      <c r="K1986" s="41"/>
      <c r="L1986" s="41"/>
      <c r="M1986" s="41"/>
      <c r="N1986" s="41"/>
      <c r="O1986" s="41"/>
    </row>
    <row r="1987" spans="1:15">
      <c r="A1987" s="39"/>
      <c r="B1987" s="40"/>
      <c r="C1987" s="41"/>
      <c r="D1987" s="41"/>
      <c r="E1987" s="41"/>
      <c r="F1987" s="41"/>
      <c r="G1987" s="41"/>
      <c r="H1987" s="41"/>
      <c r="I1987" s="41"/>
      <c r="J1987" s="41"/>
      <c r="K1987" s="41"/>
      <c r="L1987" s="41"/>
      <c r="M1987" s="41"/>
      <c r="N1987" s="41"/>
      <c r="O1987" s="41"/>
    </row>
    <row r="1988" spans="1:15">
      <c r="A1988" s="39"/>
      <c r="B1988" s="40"/>
      <c r="C1988" s="41"/>
      <c r="D1988" s="41"/>
      <c r="E1988" s="41"/>
      <c r="F1988" s="41"/>
      <c r="G1988" s="41"/>
      <c r="H1988" s="41"/>
      <c r="I1988" s="41"/>
      <c r="J1988" s="41"/>
      <c r="K1988" s="41"/>
      <c r="L1988" s="41"/>
      <c r="M1988" s="41"/>
      <c r="N1988" s="41"/>
      <c r="O1988" s="41"/>
    </row>
    <row r="1989" spans="1:15">
      <c r="A1989" s="39"/>
      <c r="B1989" s="40"/>
      <c r="C1989" s="41"/>
      <c r="D1989" s="41"/>
      <c r="E1989" s="41"/>
      <c r="F1989" s="41"/>
      <c r="G1989" s="41"/>
      <c r="H1989" s="41"/>
      <c r="I1989" s="41"/>
      <c r="J1989" s="41"/>
      <c r="K1989" s="41"/>
      <c r="L1989" s="41"/>
      <c r="M1989" s="41"/>
      <c r="N1989" s="41"/>
      <c r="O1989" s="41"/>
    </row>
    <row r="1990" spans="1:15">
      <c r="A1990" s="39"/>
      <c r="B1990" s="40"/>
      <c r="C1990" s="41"/>
      <c r="D1990" s="41"/>
      <c r="E1990" s="41"/>
      <c r="F1990" s="41"/>
      <c r="G1990" s="41"/>
      <c r="H1990" s="41"/>
      <c r="I1990" s="41"/>
      <c r="J1990" s="41"/>
      <c r="K1990" s="41"/>
      <c r="L1990" s="41"/>
      <c r="M1990" s="41"/>
      <c r="N1990" s="41"/>
      <c r="O1990" s="41"/>
    </row>
    <row r="1991" spans="1:15">
      <c r="A1991" s="39"/>
      <c r="B1991" s="40"/>
      <c r="C1991" s="41"/>
      <c r="D1991" s="41"/>
      <c r="E1991" s="41"/>
      <c r="F1991" s="41"/>
      <c r="G1991" s="41"/>
      <c r="H1991" s="41"/>
      <c r="I1991" s="41"/>
      <c r="J1991" s="41"/>
      <c r="K1991" s="41"/>
      <c r="L1991" s="41"/>
      <c r="M1991" s="41"/>
      <c r="N1991" s="41"/>
      <c r="O1991" s="41"/>
    </row>
    <row r="1992" spans="1:15">
      <c r="A1992" s="39"/>
      <c r="B1992" s="40"/>
      <c r="C1992" s="41"/>
      <c r="D1992" s="41"/>
      <c r="E1992" s="41"/>
      <c r="F1992" s="41"/>
      <c r="G1992" s="41"/>
      <c r="H1992" s="41"/>
      <c r="I1992" s="41"/>
      <c r="J1992" s="41"/>
      <c r="K1992" s="41"/>
      <c r="L1992" s="41"/>
      <c r="M1992" s="41"/>
      <c r="N1992" s="41"/>
      <c r="O1992" s="41"/>
    </row>
    <row r="1993" spans="1:15">
      <c r="A1993" s="39"/>
      <c r="B1993" s="40"/>
      <c r="C1993" s="41"/>
      <c r="D1993" s="41"/>
      <c r="E1993" s="41"/>
      <c r="F1993" s="41"/>
      <c r="G1993" s="41"/>
      <c r="H1993" s="41"/>
      <c r="I1993" s="41"/>
      <c r="J1993" s="41"/>
      <c r="K1993" s="41"/>
      <c r="L1993" s="41"/>
      <c r="M1993" s="41"/>
      <c r="N1993" s="41"/>
      <c r="O1993" s="41"/>
    </row>
    <row r="1994" spans="1:15">
      <c r="A1994" s="39"/>
      <c r="B1994" s="40"/>
      <c r="C1994" s="41"/>
      <c r="D1994" s="41"/>
      <c r="E1994" s="41"/>
      <c r="F1994" s="41"/>
      <c r="G1994" s="41"/>
      <c r="H1994" s="41"/>
      <c r="I1994" s="41"/>
      <c r="J1994" s="41"/>
      <c r="K1994" s="41"/>
      <c r="L1994" s="41"/>
      <c r="M1994" s="41"/>
      <c r="N1994" s="41"/>
      <c r="O1994" s="41"/>
    </row>
    <row r="1995" spans="1:15">
      <c r="A1995" s="39"/>
      <c r="B1995" s="40"/>
      <c r="C1995" s="41"/>
      <c r="D1995" s="41"/>
      <c r="E1995" s="41"/>
      <c r="F1995" s="41"/>
      <c r="G1995" s="41"/>
      <c r="H1995" s="41"/>
      <c r="I1995" s="41"/>
      <c r="J1995" s="41"/>
      <c r="K1995" s="41"/>
      <c r="L1995" s="41"/>
      <c r="M1995" s="41"/>
      <c r="N1995" s="41"/>
      <c r="O1995" s="41"/>
    </row>
    <row r="1996" spans="1:15">
      <c r="A1996" s="39"/>
      <c r="B1996" s="40"/>
      <c r="C1996" s="41"/>
      <c r="D1996" s="41"/>
      <c r="E1996" s="41"/>
      <c r="F1996" s="41"/>
      <c r="G1996" s="41"/>
      <c r="H1996" s="41"/>
      <c r="I1996" s="41"/>
      <c r="J1996" s="41"/>
      <c r="K1996" s="41"/>
      <c r="L1996" s="41"/>
      <c r="M1996" s="41"/>
      <c r="N1996" s="41"/>
      <c r="O1996" s="41"/>
    </row>
    <row r="1997" spans="1:15">
      <c r="A1997" s="39"/>
      <c r="B1997" s="40"/>
      <c r="C1997" s="41"/>
      <c r="D1997" s="41"/>
      <c r="E1997" s="41"/>
      <c r="F1997" s="41"/>
      <c r="G1997" s="41"/>
      <c r="H1997" s="41"/>
      <c r="I1997" s="41"/>
      <c r="J1997" s="41"/>
      <c r="K1997" s="41"/>
      <c r="L1997" s="41"/>
      <c r="M1997" s="41"/>
      <c r="N1997" s="41"/>
      <c r="O1997" s="41"/>
    </row>
    <row r="1998" spans="1:15">
      <c r="A1998" s="39"/>
      <c r="B1998" s="40"/>
      <c r="C1998" s="41"/>
      <c r="D1998" s="41"/>
      <c r="E1998" s="41"/>
      <c r="F1998" s="41"/>
      <c r="G1998" s="41"/>
      <c r="H1998" s="41"/>
      <c r="I1998" s="41"/>
      <c r="J1998" s="41"/>
      <c r="K1998" s="41"/>
      <c r="L1998" s="41"/>
      <c r="M1998" s="41"/>
      <c r="N1998" s="41"/>
      <c r="O1998" s="41"/>
    </row>
    <row r="1999" spans="1:15">
      <c r="A1999" s="39"/>
      <c r="B1999" s="40"/>
      <c r="C1999" s="41"/>
      <c r="D1999" s="41"/>
      <c r="E1999" s="41"/>
      <c r="F1999" s="41"/>
      <c r="G1999" s="41"/>
      <c r="H1999" s="41"/>
      <c r="I1999" s="41"/>
      <c r="J1999" s="41"/>
      <c r="K1999" s="41"/>
      <c r="L1999" s="41"/>
      <c r="M1999" s="41"/>
      <c r="N1999" s="41"/>
      <c r="O1999" s="41"/>
    </row>
    <row r="2000" spans="1:15">
      <c r="A2000" s="39"/>
      <c r="B2000" s="40"/>
      <c r="C2000" s="41"/>
      <c r="D2000" s="41"/>
      <c r="E2000" s="41"/>
      <c r="F2000" s="41"/>
      <c r="G2000" s="41"/>
      <c r="H2000" s="41"/>
      <c r="I2000" s="41"/>
      <c r="J2000" s="41"/>
      <c r="K2000" s="41"/>
      <c r="L2000" s="41"/>
      <c r="M2000" s="41"/>
      <c r="N2000" s="41"/>
      <c r="O2000" s="41"/>
    </row>
    <row r="2001" spans="1:15">
      <c r="A2001" s="39"/>
      <c r="B2001" s="40"/>
      <c r="C2001" s="41"/>
      <c r="D2001" s="41"/>
      <c r="E2001" s="41"/>
      <c r="F2001" s="41"/>
      <c r="G2001" s="41"/>
      <c r="H2001" s="41"/>
      <c r="I2001" s="41"/>
      <c r="J2001" s="41"/>
      <c r="K2001" s="41"/>
      <c r="L2001" s="41"/>
      <c r="M2001" s="41"/>
      <c r="N2001" s="41"/>
      <c r="O2001" s="41"/>
    </row>
    <row r="2002" spans="1:15">
      <c r="A2002" s="39"/>
      <c r="B2002" s="40"/>
      <c r="C2002" s="41"/>
      <c r="D2002" s="41"/>
      <c r="E2002" s="41"/>
      <c r="F2002" s="41"/>
      <c r="G2002" s="41"/>
      <c r="H2002" s="41"/>
      <c r="I2002" s="41"/>
      <c r="J2002" s="41"/>
      <c r="K2002" s="41"/>
      <c r="L2002" s="41"/>
      <c r="M2002" s="41"/>
      <c r="N2002" s="41"/>
      <c r="O2002" s="41"/>
    </row>
    <row r="2003" spans="1:15">
      <c r="A2003" s="39"/>
      <c r="B2003" s="40"/>
      <c r="C2003" s="41"/>
      <c r="D2003" s="41"/>
      <c r="E2003" s="41"/>
      <c r="F2003" s="41"/>
      <c r="G2003" s="41"/>
      <c r="H2003" s="41"/>
      <c r="I2003" s="41"/>
      <c r="J2003" s="41"/>
      <c r="K2003" s="41"/>
      <c r="L2003" s="41"/>
      <c r="M2003" s="41"/>
      <c r="N2003" s="41"/>
      <c r="O2003" s="41"/>
    </row>
    <row r="2004" spans="1:15">
      <c r="A2004" s="39"/>
      <c r="B2004" s="40"/>
      <c r="C2004" s="41"/>
      <c r="D2004" s="41"/>
      <c r="E2004" s="41"/>
      <c r="F2004" s="41"/>
      <c r="G2004" s="41"/>
      <c r="H2004" s="41"/>
      <c r="I2004" s="41"/>
      <c r="J2004" s="41"/>
      <c r="K2004" s="41"/>
      <c r="L2004" s="41"/>
      <c r="M2004" s="41"/>
      <c r="N2004" s="41"/>
      <c r="O2004" s="41"/>
    </row>
    <row r="2005" spans="1:15">
      <c r="A2005" s="39"/>
      <c r="B2005" s="40"/>
      <c r="C2005" s="41"/>
      <c r="D2005" s="41"/>
      <c r="E2005" s="41"/>
      <c r="F2005" s="41"/>
      <c r="G2005" s="41"/>
      <c r="H2005" s="41"/>
      <c r="I2005" s="41"/>
      <c r="J2005" s="41"/>
      <c r="K2005" s="41"/>
      <c r="L2005" s="41"/>
      <c r="M2005" s="41"/>
      <c r="N2005" s="41"/>
      <c r="O2005" s="41"/>
    </row>
    <row r="2006" spans="1:15">
      <c r="A2006" s="39"/>
      <c r="B2006" s="40"/>
      <c r="C2006" s="41"/>
      <c r="D2006" s="41"/>
      <c r="E2006" s="41"/>
      <c r="F2006" s="41"/>
      <c r="G2006" s="41"/>
      <c r="H2006" s="41"/>
      <c r="I2006" s="41"/>
      <c r="J2006" s="41"/>
      <c r="K2006" s="41"/>
      <c r="L2006" s="41"/>
      <c r="M2006" s="41"/>
      <c r="N2006" s="41"/>
      <c r="O2006" s="41"/>
    </row>
    <row r="2007" spans="1:15">
      <c r="A2007" s="39"/>
      <c r="B2007" s="40"/>
      <c r="C2007" s="41"/>
      <c r="D2007" s="41"/>
      <c r="E2007" s="41"/>
      <c r="F2007" s="41"/>
      <c r="G2007" s="41"/>
      <c r="H2007" s="41"/>
      <c r="I2007" s="41"/>
      <c r="J2007" s="41"/>
      <c r="K2007" s="41"/>
      <c r="L2007" s="41"/>
      <c r="M2007" s="41"/>
      <c r="N2007" s="41"/>
      <c r="O2007" s="41"/>
    </row>
    <row r="2008" spans="1:15">
      <c r="A2008" s="39"/>
      <c r="B2008" s="40"/>
      <c r="C2008" s="41"/>
      <c r="D2008" s="41"/>
      <c r="E2008" s="41"/>
      <c r="F2008" s="41"/>
      <c r="G2008" s="41"/>
      <c r="H2008" s="41"/>
      <c r="I2008" s="41"/>
      <c r="J2008" s="41"/>
      <c r="K2008" s="41"/>
      <c r="L2008" s="41"/>
      <c r="M2008" s="41"/>
      <c r="N2008" s="41"/>
      <c r="O2008" s="41"/>
    </row>
    <row r="2009" spans="1:15">
      <c r="A2009" s="39"/>
      <c r="B2009" s="40"/>
      <c r="C2009" s="41"/>
      <c r="D2009" s="41"/>
      <c r="E2009" s="41"/>
      <c r="F2009" s="41"/>
      <c r="G2009" s="41"/>
      <c r="H2009" s="41"/>
      <c r="I2009" s="41"/>
      <c r="J2009" s="41"/>
      <c r="K2009" s="41"/>
      <c r="L2009" s="41"/>
      <c r="M2009" s="41"/>
      <c r="N2009" s="41"/>
      <c r="O2009" s="41"/>
    </row>
    <row r="2010" spans="1:15">
      <c r="A2010" s="39"/>
      <c r="B2010" s="40"/>
      <c r="C2010" s="41"/>
      <c r="D2010" s="41"/>
      <c r="E2010" s="41"/>
      <c r="F2010" s="41"/>
      <c r="G2010" s="41"/>
      <c r="H2010" s="41"/>
      <c r="I2010" s="41"/>
      <c r="J2010" s="41"/>
      <c r="K2010" s="41"/>
      <c r="L2010" s="41"/>
      <c r="M2010" s="41"/>
      <c r="N2010" s="41"/>
      <c r="O2010" s="41"/>
    </row>
    <row r="2011" spans="1:15">
      <c r="A2011" s="39"/>
      <c r="B2011" s="40"/>
      <c r="C2011" s="41"/>
      <c r="D2011" s="41"/>
      <c r="E2011" s="41"/>
      <c r="F2011" s="41"/>
      <c r="G2011" s="41"/>
      <c r="H2011" s="41"/>
      <c r="I2011" s="41"/>
      <c r="J2011" s="41"/>
      <c r="K2011" s="41"/>
      <c r="L2011" s="41"/>
      <c r="M2011" s="41"/>
      <c r="N2011" s="41"/>
      <c r="O2011" s="41"/>
    </row>
    <row r="2012" spans="1:15">
      <c r="A2012" s="39"/>
      <c r="B2012" s="40"/>
      <c r="C2012" s="41"/>
      <c r="D2012" s="41"/>
      <c r="E2012" s="41"/>
      <c r="F2012" s="41"/>
      <c r="G2012" s="41"/>
      <c r="H2012" s="41"/>
      <c r="I2012" s="41"/>
      <c r="J2012" s="41"/>
      <c r="K2012" s="41"/>
      <c r="L2012" s="41"/>
      <c r="M2012" s="41"/>
      <c r="N2012" s="41"/>
      <c r="O2012" s="41"/>
    </row>
    <row r="2013" spans="1:15">
      <c r="A2013" s="39"/>
      <c r="B2013" s="40"/>
      <c r="C2013" s="41"/>
      <c r="D2013" s="41"/>
      <c r="E2013" s="41"/>
      <c r="F2013" s="41"/>
      <c r="G2013" s="41"/>
      <c r="H2013" s="41"/>
      <c r="I2013" s="41"/>
      <c r="J2013" s="41"/>
      <c r="K2013" s="41"/>
      <c r="L2013" s="41"/>
      <c r="M2013" s="41"/>
      <c r="N2013" s="41"/>
      <c r="O2013" s="41"/>
    </row>
    <row r="2014" spans="1:15">
      <c r="A2014" s="39"/>
      <c r="B2014" s="40"/>
      <c r="C2014" s="41"/>
      <c r="D2014" s="41"/>
      <c r="E2014" s="41"/>
      <c r="F2014" s="41"/>
      <c r="G2014" s="41"/>
      <c r="H2014" s="41"/>
      <c r="I2014" s="41"/>
      <c r="J2014" s="41"/>
      <c r="K2014" s="41"/>
      <c r="L2014" s="41"/>
      <c r="M2014" s="41"/>
      <c r="N2014" s="41"/>
      <c r="O2014" s="41"/>
    </row>
    <row r="2015" spans="1:15">
      <c r="A2015" s="39"/>
      <c r="B2015" s="40"/>
      <c r="C2015" s="41"/>
      <c r="D2015" s="41"/>
      <c r="E2015" s="41"/>
      <c r="F2015" s="41"/>
      <c r="G2015" s="41"/>
      <c r="H2015" s="41"/>
      <c r="I2015" s="41"/>
      <c r="J2015" s="41"/>
      <c r="K2015" s="41"/>
      <c r="L2015" s="41"/>
      <c r="M2015" s="41"/>
      <c r="N2015" s="41"/>
      <c r="O2015" s="41"/>
    </row>
    <row r="2016" spans="1:15">
      <c r="A2016" s="39"/>
      <c r="B2016" s="40"/>
      <c r="C2016" s="41"/>
      <c r="D2016" s="41"/>
      <c r="E2016" s="41"/>
      <c r="F2016" s="41"/>
      <c r="G2016" s="41"/>
      <c r="H2016" s="41"/>
      <c r="I2016" s="41"/>
      <c r="J2016" s="41"/>
      <c r="K2016" s="41"/>
      <c r="L2016" s="41"/>
      <c r="M2016" s="41"/>
      <c r="N2016" s="41"/>
      <c r="O2016" s="41"/>
    </row>
    <row r="2017" spans="1:15">
      <c r="A2017" s="39"/>
      <c r="B2017" s="40"/>
      <c r="C2017" s="41"/>
      <c r="D2017" s="41"/>
      <c r="E2017" s="41"/>
      <c r="F2017" s="41"/>
      <c r="G2017" s="41"/>
      <c r="H2017" s="41"/>
      <c r="I2017" s="41"/>
      <c r="J2017" s="41"/>
      <c r="K2017" s="41"/>
      <c r="L2017" s="41"/>
      <c r="M2017" s="41"/>
      <c r="N2017" s="41"/>
      <c r="O2017" s="41"/>
    </row>
    <row r="2018" spans="1:15">
      <c r="A2018" s="39"/>
      <c r="B2018" s="40"/>
      <c r="C2018" s="41"/>
      <c r="D2018" s="41"/>
      <c r="E2018" s="41"/>
      <c r="F2018" s="41"/>
      <c r="G2018" s="41"/>
      <c r="H2018" s="41"/>
      <c r="I2018" s="41"/>
      <c r="J2018" s="41"/>
      <c r="K2018" s="41"/>
      <c r="L2018" s="41"/>
      <c r="M2018" s="41"/>
      <c r="N2018" s="41"/>
      <c r="O2018" s="41"/>
    </row>
    <row r="2019" spans="1:15">
      <c r="A2019" s="39"/>
      <c r="B2019" s="40"/>
      <c r="C2019" s="41"/>
      <c r="D2019" s="41"/>
      <c r="E2019" s="41"/>
      <c r="F2019" s="41"/>
      <c r="G2019" s="41"/>
      <c r="H2019" s="41"/>
      <c r="I2019" s="41"/>
      <c r="J2019" s="41"/>
      <c r="K2019" s="41"/>
      <c r="L2019" s="41"/>
      <c r="M2019" s="41"/>
      <c r="N2019" s="41"/>
      <c r="O2019" s="41"/>
    </row>
    <row r="2020" spans="1:15">
      <c r="A2020" s="39"/>
      <c r="B2020" s="40"/>
      <c r="C2020" s="41"/>
      <c r="D2020" s="41"/>
      <c r="E2020" s="41"/>
      <c r="F2020" s="41"/>
      <c r="G2020" s="41"/>
      <c r="H2020" s="41"/>
      <c r="I2020" s="41"/>
      <c r="J2020" s="41"/>
      <c r="K2020" s="41"/>
      <c r="L2020" s="41"/>
      <c r="M2020" s="41"/>
      <c r="N2020" s="41"/>
      <c r="O2020" s="41"/>
    </row>
    <row r="2021" spans="1:15">
      <c r="A2021" s="39"/>
      <c r="B2021" s="40"/>
      <c r="C2021" s="41"/>
      <c r="D2021" s="41"/>
      <c r="E2021" s="41"/>
      <c r="F2021" s="41"/>
      <c r="G2021" s="41"/>
      <c r="H2021" s="41"/>
      <c r="I2021" s="41"/>
      <c r="J2021" s="41"/>
      <c r="K2021" s="41"/>
      <c r="L2021" s="41"/>
      <c r="M2021" s="41"/>
      <c r="N2021" s="41"/>
      <c r="O2021" s="41"/>
    </row>
    <row r="2022" spans="1:15">
      <c r="A2022" s="39"/>
      <c r="B2022" s="40"/>
      <c r="C2022" s="41"/>
      <c r="D2022" s="41"/>
      <c r="E2022" s="41"/>
      <c r="F2022" s="41"/>
      <c r="G2022" s="41"/>
      <c r="H2022" s="41"/>
      <c r="I2022" s="41"/>
      <c r="J2022" s="41"/>
      <c r="K2022" s="41"/>
      <c r="L2022" s="41"/>
      <c r="M2022" s="41"/>
      <c r="N2022" s="41"/>
      <c r="O2022" s="41"/>
    </row>
    <row r="2023" spans="1:15">
      <c r="A2023" s="39"/>
      <c r="B2023" s="40"/>
      <c r="C2023" s="41"/>
      <c r="D2023" s="41"/>
      <c r="E2023" s="41"/>
      <c r="F2023" s="41"/>
      <c r="G2023" s="41"/>
      <c r="H2023" s="41"/>
      <c r="I2023" s="41"/>
      <c r="J2023" s="41"/>
      <c r="K2023" s="41"/>
      <c r="L2023" s="41"/>
      <c r="M2023" s="41"/>
      <c r="N2023" s="41"/>
      <c r="O2023" s="41"/>
    </row>
    <row r="2024" spans="1:15">
      <c r="A2024" s="39"/>
      <c r="B2024" s="40"/>
      <c r="C2024" s="41"/>
      <c r="D2024" s="41"/>
      <c r="E2024" s="41"/>
      <c r="F2024" s="41"/>
      <c r="G2024" s="41"/>
      <c r="H2024" s="41"/>
      <c r="I2024" s="41"/>
      <c r="J2024" s="41"/>
      <c r="K2024" s="41"/>
      <c r="L2024" s="41"/>
      <c r="M2024" s="41"/>
      <c r="N2024" s="41"/>
      <c r="O2024" s="41"/>
    </row>
    <row r="2025" spans="1:15">
      <c r="A2025" s="39"/>
      <c r="B2025" s="40"/>
      <c r="C2025" s="41"/>
      <c r="D2025" s="41"/>
      <c r="E2025" s="41"/>
      <c r="F2025" s="41"/>
      <c r="G2025" s="41"/>
      <c r="H2025" s="41"/>
      <c r="I2025" s="41"/>
      <c r="J2025" s="41"/>
      <c r="K2025" s="41"/>
      <c r="L2025" s="41"/>
      <c r="M2025" s="41"/>
      <c r="N2025" s="41"/>
      <c r="O2025" s="41"/>
    </row>
    <row r="2026" spans="1:15">
      <c r="A2026" s="39"/>
      <c r="B2026" s="40"/>
      <c r="C2026" s="41"/>
      <c r="D2026" s="41"/>
      <c r="E2026" s="41"/>
      <c r="F2026" s="41"/>
      <c r="G2026" s="41"/>
      <c r="H2026" s="41"/>
      <c r="I2026" s="41"/>
      <c r="J2026" s="41"/>
      <c r="K2026" s="41"/>
      <c r="L2026" s="41"/>
      <c r="M2026" s="41"/>
      <c r="N2026" s="41"/>
      <c r="O2026" s="41"/>
    </row>
    <row r="2027" spans="1:15">
      <c r="A2027" s="39"/>
      <c r="B2027" s="40"/>
      <c r="C2027" s="41"/>
      <c r="D2027" s="41"/>
      <c r="E2027" s="41"/>
      <c r="F2027" s="41"/>
      <c r="G2027" s="41"/>
      <c r="H2027" s="41"/>
      <c r="I2027" s="41"/>
      <c r="J2027" s="41"/>
      <c r="K2027" s="41"/>
      <c r="L2027" s="41"/>
      <c r="M2027" s="41"/>
      <c r="N2027" s="41"/>
      <c r="O2027" s="41"/>
    </row>
    <row r="2028" spans="1:15">
      <c r="A2028" s="39"/>
      <c r="B2028" s="40"/>
      <c r="C2028" s="41"/>
      <c r="D2028" s="41"/>
      <c r="E2028" s="41"/>
      <c r="F2028" s="41"/>
      <c r="G2028" s="41"/>
      <c r="H2028" s="41"/>
      <c r="I2028" s="41"/>
      <c r="J2028" s="41"/>
      <c r="K2028" s="41"/>
      <c r="L2028" s="41"/>
      <c r="M2028" s="41"/>
      <c r="N2028" s="41"/>
      <c r="O2028" s="41"/>
    </row>
    <row r="2029" spans="1:15">
      <c r="A2029" s="39"/>
      <c r="B2029" s="40"/>
      <c r="C2029" s="41"/>
      <c r="D2029" s="41"/>
      <c r="E2029" s="41"/>
      <c r="F2029" s="41"/>
      <c r="G2029" s="41"/>
      <c r="H2029" s="41"/>
      <c r="I2029" s="41"/>
      <c r="J2029" s="41"/>
      <c r="K2029" s="41"/>
      <c r="L2029" s="41"/>
      <c r="M2029" s="41"/>
      <c r="N2029" s="41"/>
      <c r="O2029" s="41"/>
    </row>
    <row r="2030" spans="1:15">
      <c r="A2030" s="39"/>
      <c r="B2030" s="40"/>
      <c r="C2030" s="41"/>
      <c r="D2030" s="41"/>
      <c r="E2030" s="41"/>
      <c r="F2030" s="41"/>
      <c r="G2030" s="41"/>
      <c r="H2030" s="41"/>
      <c r="I2030" s="41"/>
      <c r="J2030" s="41"/>
      <c r="K2030" s="41"/>
      <c r="L2030" s="41"/>
      <c r="M2030" s="41"/>
      <c r="N2030" s="41"/>
      <c r="O2030" s="41"/>
    </row>
    <row r="2031" spans="1:15">
      <c r="A2031" s="39"/>
      <c r="B2031" s="40"/>
      <c r="C2031" s="41"/>
      <c r="D2031" s="41"/>
      <c r="E2031" s="41"/>
      <c r="F2031" s="41"/>
      <c r="G2031" s="41"/>
      <c r="H2031" s="41"/>
      <c r="I2031" s="41"/>
      <c r="J2031" s="41"/>
      <c r="K2031" s="41"/>
      <c r="L2031" s="41"/>
      <c r="M2031" s="41"/>
      <c r="N2031" s="41"/>
      <c r="O2031" s="41"/>
    </row>
    <row r="2032" spans="1:15">
      <c r="A2032" s="39"/>
      <c r="B2032" s="40"/>
      <c r="C2032" s="41"/>
      <c r="D2032" s="41"/>
      <c r="E2032" s="41"/>
      <c r="F2032" s="41"/>
      <c r="G2032" s="41"/>
      <c r="H2032" s="41"/>
      <c r="I2032" s="41"/>
      <c r="J2032" s="41"/>
      <c r="K2032" s="41"/>
      <c r="L2032" s="41"/>
      <c r="M2032" s="41"/>
      <c r="N2032" s="41"/>
      <c r="O2032" s="41"/>
    </row>
    <row r="2033" spans="1:15">
      <c r="A2033" s="39"/>
      <c r="B2033" s="40"/>
      <c r="C2033" s="41"/>
      <c r="D2033" s="41"/>
      <c r="E2033" s="41"/>
      <c r="F2033" s="41"/>
      <c r="G2033" s="41"/>
      <c r="H2033" s="41"/>
      <c r="I2033" s="41"/>
      <c r="J2033" s="41"/>
      <c r="K2033" s="41"/>
      <c r="L2033" s="41"/>
      <c r="M2033" s="41"/>
      <c r="N2033" s="41"/>
      <c r="O2033" s="41"/>
    </row>
    <row r="2034" spans="1:15">
      <c r="A2034" s="39"/>
      <c r="B2034" s="40"/>
      <c r="C2034" s="41"/>
      <c r="D2034" s="41"/>
      <c r="E2034" s="41"/>
      <c r="F2034" s="41"/>
      <c r="G2034" s="41"/>
      <c r="H2034" s="41"/>
      <c r="I2034" s="41"/>
      <c r="J2034" s="41"/>
      <c r="K2034" s="41"/>
      <c r="L2034" s="41"/>
      <c r="M2034" s="41"/>
      <c r="N2034" s="41"/>
      <c r="O2034" s="41"/>
    </row>
    <row r="2035" spans="1:15">
      <c r="A2035" s="39"/>
      <c r="B2035" s="40"/>
      <c r="C2035" s="41"/>
      <c r="D2035" s="41"/>
      <c r="E2035" s="41"/>
      <c r="F2035" s="41"/>
      <c r="G2035" s="41"/>
      <c r="H2035" s="41"/>
      <c r="I2035" s="41"/>
      <c r="J2035" s="41"/>
      <c r="K2035" s="41"/>
      <c r="L2035" s="41"/>
      <c r="M2035" s="41"/>
      <c r="N2035" s="41"/>
      <c r="O2035" s="41"/>
    </row>
    <row r="2036" spans="1:15">
      <c r="A2036" s="39"/>
      <c r="B2036" s="40"/>
      <c r="C2036" s="41"/>
      <c r="D2036" s="41"/>
      <c r="E2036" s="41"/>
      <c r="F2036" s="41"/>
      <c r="G2036" s="41"/>
      <c r="H2036" s="41"/>
      <c r="I2036" s="41"/>
      <c r="J2036" s="41"/>
      <c r="K2036" s="41"/>
      <c r="L2036" s="41"/>
      <c r="M2036" s="41"/>
      <c r="N2036" s="41"/>
      <c r="O2036" s="41"/>
    </row>
    <row r="2037" spans="1:15">
      <c r="A2037" s="39"/>
      <c r="B2037" s="40"/>
      <c r="C2037" s="41"/>
      <c r="D2037" s="41"/>
      <c r="E2037" s="41"/>
      <c r="F2037" s="41"/>
      <c r="G2037" s="41"/>
      <c r="H2037" s="41"/>
      <c r="I2037" s="41"/>
      <c r="J2037" s="41"/>
      <c r="K2037" s="41"/>
      <c r="L2037" s="41"/>
      <c r="M2037" s="41"/>
      <c r="N2037" s="41"/>
      <c r="O2037" s="41"/>
    </row>
    <row r="2038" spans="1:15">
      <c r="A2038" s="39"/>
      <c r="B2038" s="40"/>
      <c r="C2038" s="41"/>
      <c r="D2038" s="41"/>
      <c r="E2038" s="41"/>
      <c r="F2038" s="41"/>
      <c r="G2038" s="41"/>
      <c r="H2038" s="41"/>
      <c r="I2038" s="41"/>
      <c r="J2038" s="41"/>
      <c r="K2038" s="41"/>
      <c r="L2038" s="41"/>
      <c r="M2038" s="41"/>
      <c r="N2038" s="41"/>
      <c r="O2038" s="41"/>
    </row>
    <row r="2039" spans="1:15">
      <c r="A2039" s="39"/>
      <c r="B2039" s="40"/>
      <c r="C2039" s="41"/>
      <c r="D2039" s="41"/>
      <c r="E2039" s="41"/>
      <c r="F2039" s="41"/>
      <c r="G2039" s="41"/>
      <c r="H2039" s="41"/>
      <c r="I2039" s="41"/>
      <c r="J2039" s="41"/>
      <c r="K2039" s="41"/>
      <c r="L2039" s="41"/>
      <c r="M2039" s="41"/>
      <c r="N2039" s="41"/>
      <c r="O2039" s="41"/>
    </row>
    <row r="2040" spans="1:15">
      <c r="A2040" s="39"/>
      <c r="B2040" s="40"/>
      <c r="C2040" s="41"/>
      <c r="D2040" s="41"/>
      <c r="E2040" s="41"/>
      <c r="F2040" s="41"/>
      <c r="G2040" s="41"/>
      <c r="H2040" s="41"/>
      <c r="I2040" s="41"/>
      <c r="J2040" s="41"/>
      <c r="K2040" s="41"/>
      <c r="L2040" s="41"/>
      <c r="M2040" s="41"/>
      <c r="N2040" s="41"/>
      <c r="O2040" s="41"/>
    </row>
    <row r="2041" spans="1:15">
      <c r="A2041" s="39"/>
      <c r="B2041" s="40"/>
      <c r="C2041" s="41"/>
      <c r="D2041" s="41"/>
      <c r="E2041" s="41"/>
      <c r="F2041" s="41"/>
      <c r="G2041" s="41"/>
      <c r="H2041" s="41"/>
      <c r="I2041" s="41"/>
      <c r="J2041" s="41"/>
      <c r="K2041" s="41"/>
      <c r="L2041" s="41"/>
      <c r="M2041" s="41"/>
      <c r="N2041" s="41"/>
      <c r="O2041" s="41"/>
    </row>
    <row r="2042" spans="1:15">
      <c r="A2042" s="39"/>
      <c r="B2042" s="40"/>
      <c r="C2042" s="41"/>
      <c r="D2042" s="41"/>
      <c r="E2042" s="41"/>
      <c r="F2042" s="41"/>
      <c r="G2042" s="41"/>
      <c r="H2042" s="41"/>
      <c r="I2042" s="41"/>
      <c r="J2042" s="41"/>
      <c r="K2042" s="41"/>
      <c r="L2042" s="41"/>
      <c r="M2042" s="41"/>
      <c r="N2042" s="41"/>
      <c r="O2042" s="41"/>
    </row>
    <row r="2043" spans="1:15">
      <c r="A2043" s="39"/>
      <c r="B2043" s="40"/>
      <c r="C2043" s="41"/>
      <c r="D2043" s="41"/>
      <c r="E2043" s="41"/>
      <c r="F2043" s="41"/>
      <c r="G2043" s="41"/>
      <c r="H2043" s="41"/>
      <c r="I2043" s="41"/>
      <c r="J2043" s="41"/>
      <c r="K2043" s="41"/>
      <c r="L2043" s="41"/>
      <c r="M2043" s="41"/>
      <c r="N2043" s="41"/>
      <c r="O2043" s="41"/>
    </row>
    <row r="2044" spans="1:15">
      <c r="A2044" s="39"/>
      <c r="B2044" s="40"/>
      <c r="C2044" s="41"/>
      <c r="D2044" s="41"/>
      <c r="E2044" s="41"/>
      <c r="F2044" s="41"/>
      <c r="G2044" s="41"/>
      <c r="H2044" s="41"/>
      <c r="I2044" s="41"/>
      <c r="J2044" s="41"/>
      <c r="K2044" s="41"/>
      <c r="L2044" s="41"/>
      <c r="M2044" s="41"/>
      <c r="N2044" s="41"/>
      <c r="O2044" s="41"/>
    </row>
    <row r="2045" spans="1:15">
      <c r="A2045" s="39"/>
      <c r="B2045" s="40"/>
      <c r="C2045" s="41"/>
      <c r="D2045" s="41"/>
      <c r="E2045" s="41"/>
      <c r="F2045" s="41"/>
      <c r="G2045" s="41"/>
      <c r="H2045" s="41"/>
      <c r="I2045" s="41"/>
      <c r="J2045" s="41"/>
      <c r="K2045" s="41"/>
      <c r="L2045" s="41"/>
      <c r="M2045" s="41"/>
      <c r="N2045" s="41"/>
      <c r="O2045" s="41"/>
    </row>
    <row r="2046" spans="1:15">
      <c r="A2046" s="39"/>
      <c r="B2046" s="40"/>
      <c r="C2046" s="41"/>
      <c r="D2046" s="41"/>
      <c r="E2046" s="41"/>
      <c r="F2046" s="41"/>
      <c r="G2046" s="41"/>
      <c r="H2046" s="41"/>
      <c r="I2046" s="41"/>
      <c r="J2046" s="41"/>
      <c r="K2046" s="41"/>
      <c r="L2046" s="41"/>
      <c r="M2046" s="41"/>
      <c r="N2046" s="41"/>
      <c r="O2046" s="41"/>
    </row>
    <row r="2047" spans="1:15">
      <c r="A2047" s="39"/>
      <c r="B2047" s="40"/>
      <c r="C2047" s="41"/>
      <c r="D2047" s="41"/>
      <c r="E2047" s="41"/>
      <c r="F2047" s="41"/>
      <c r="G2047" s="41"/>
      <c r="H2047" s="41"/>
      <c r="I2047" s="41"/>
      <c r="J2047" s="41"/>
      <c r="K2047" s="41"/>
      <c r="L2047" s="41"/>
      <c r="M2047" s="41"/>
      <c r="N2047" s="41"/>
      <c r="O2047" s="41"/>
    </row>
    <row r="2048" spans="1:15">
      <c r="A2048" s="39"/>
      <c r="B2048" s="40"/>
      <c r="C2048" s="41"/>
      <c r="D2048" s="41"/>
      <c r="E2048" s="41"/>
      <c r="F2048" s="41"/>
      <c r="G2048" s="41"/>
      <c r="H2048" s="41"/>
      <c r="I2048" s="41"/>
      <c r="J2048" s="41"/>
      <c r="K2048" s="41"/>
      <c r="L2048" s="41"/>
      <c r="M2048" s="41"/>
      <c r="N2048" s="41"/>
      <c r="O2048" s="41"/>
    </row>
    <row r="2049" spans="1:15">
      <c r="A2049" s="39"/>
      <c r="B2049" s="40"/>
      <c r="C2049" s="41"/>
      <c r="D2049" s="41"/>
      <c r="E2049" s="41"/>
      <c r="F2049" s="41"/>
      <c r="G2049" s="41"/>
      <c r="H2049" s="41"/>
      <c r="I2049" s="41"/>
      <c r="J2049" s="41"/>
      <c r="K2049" s="41"/>
      <c r="L2049" s="41"/>
      <c r="M2049" s="41"/>
      <c r="N2049" s="41"/>
      <c r="O2049" s="41"/>
    </row>
    <row r="2050" spans="1:15">
      <c r="A2050" s="39"/>
      <c r="B2050" s="40"/>
      <c r="C2050" s="41"/>
      <c r="D2050" s="41"/>
      <c r="E2050" s="41"/>
      <c r="F2050" s="41"/>
      <c r="G2050" s="41"/>
      <c r="H2050" s="41"/>
      <c r="I2050" s="41"/>
      <c r="J2050" s="41"/>
      <c r="K2050" s="41"/>
      <c r="L2050" s="41"/>
      <c r="M2050" s="41"/>
      <c r="N2050" s="41"/>
      <c r="O2050" s="41"/>
    </row>
    <row r="2051" spans="1:15">
      <c r="A2051" s="39"/>
      <c r="B2051" s="40"/>
      <c r="C2051" s="41"/>
      <c r="D2051" s="41"/>
      <c r="E2051" s="41"/>
      <c r="F2051" s="41"/>
      <c r="G2051" s="41"/>
      <c r="H2051" s="41"/>
      <c r="I2051" s="41"/>
      <c r="J2051" s="41"/>
      <c r="K2051" s="41"/>
      <c r="L2051" s="41"/>
      <c r="M2051" s="41"/>
      <c r="N2051" s="41"/>
      <c r="O2051" s="41"/>
    </row>
    <row r="2052" spans="1:15">
      <c r="A2052" s="39"/>
      <c r="B2052" s="40"/>
      <c r="C2052" s="41"/>
      <c r="D2052" s="41"/>
      <c r="E2052" s="41"/>
      <c r="F2052" s="41"/>
      <c r="G2052" s="41"/>
      <c r="H2052" s="41"/>
      <c r="I2052" s="41"/>
      <c r="J2052" s="41"/>
      <c r="K2052" s="41"/>
      <c r="L2052" s="41"/>
      <c r="M2052" s="41"/>
      <c r="N2052" s="41"/>
      <c r="O2052" s="41"/>
    </row>
    <row r="2053" spans="1:15">
      <c r="A2053" s="39"/>
      <c r="B2053" s="40"/>
      <c r="C2053" s="41"/>
      <c r="D2053" s="41"/>
      <c r="E2053" s="41"/>
      <c r="F2053" s="41"/>
      <c r="G2053" s="41"/>
      <c r="H2053" s="41"/>
      <c r="I2053" s="41"/>
      <c r="J2053" s="41"/>
      <c r="K2053" s="41"/>
      <c r="L2053" s="41"/>
      <c r="M2053" s="41"/>
      <c r="N2053" s="41"/>
      <c r="O2053" s="41"/>
    </row>
    <row r="2054" spans="1:15">
      <c r="A2054" s="39"/>
      <c r="B2054" s="40"/>
      <c r="C2054" s="41"/>
      <c r="D2054" s="41"/>
      <c r="E2054" s="41"/>
      <c r="F2054" s="41"/>
      <c r="G2054" s="41"/>
      <c r="H2054" s="41"/>
      <c r="I2054" s="41"/>
      <c r="J2054" s="41"/>
      <c r="K2054" s="41"/>
      <c r="L2054" s="41"/>
      <c r="M2054" s="41"/>
      <c r="N2054" s="41"/>
      <c r="O2054" s="41"/>
    </row>
    <row r="2055" spans="1:15">
      <c r="A2055" s="39"/>
      <c r="B2055" s="40"/>
      <c r="C2055" s="41"/>
      <c r="D2055" s="41"/>
      <c r="E2055" s="41"/>
      <c r="F2055" s="41"/>
      <c r="G2055" s="41"/>
      <c r="H2055" s="41"/>
      <c r="I2055" s="41"/>
      <c r="J2055" s="41"/>
      <c r="K2055" s="41"/>
      <c r="L2055" s="41"/>
      <c r="M2055" s="41"/>
      <c r="N2055" s="41"/>
      <c r="O2055" s="41"/>
    </row>
    <row r="2056" spans="1:15">
      <c r="A2056" s="39"/>
      <c r="B2056" s="40"/>
      <c r="C2056" s="41"/>
      <c r="D2056" s="41"/>
      <c r="E2056" s="41"/>
      <c r="F2056" s="41"/>
      <c r="G2056" s="41"/>
      <c r="H2056" s="41"/>
      <c r="I2056" s="41"/>
      <c r="J2056" s="41"/>
      <c r="K2056" s="41"/>
      <c r="L2056" s="41"/>
      <c r="M2056" s="41"/>
      <c r="N2056" s="41"/>
      <c r="O2056" s="41"/>
    </row>
    <row r="2057" spans="1:15">
      <c r="A2057" s="39"/>
      <c r="B2057" s="40"/>
      <c r="C2057" s="41"/>
      <c r="D2057" s="41"/>
      <c r="E2057" s="41"/>
      <c r="F2057" s="41"/>
      <c r="G2057" s="41"/>
      <c r="H2057" s="41"/>
      <c r="I2057" s="41"/>
      <c r="J2057" s="41"/>
      <c r="K2057" s="41"/>
      <c r="L2057" s="41"/>
      <c r="M2057" s="41"/>
      <c r="N2057" s="41"/>
      <c r="O2057" s="41"/>
    </row>
    <row r="2058" spans="1:15">
      <c r="A2058" s="39"/>
      <c r="B2058" s="40"/>
      <c r="C2058" s="41"/>
      <c r="D2058" s="41"/>
      <c r="E2058" s="41"/>
      <c r="F2058" s="41"/>
      <c r="G2058" s="41"/>
      <c r="H2058" s="41"/>
      <c r="I2058" s="41"/>
      <c r="J2058" s="41"/>
      <c r="K2058" s="41"/>
      <c r="L2058" s="41"/>
      <c r="M2058" s="41"/>
      <c r="N2058" s="41"/>
      <c r="O2058" s="41"/>
    </row>
    <row r="2059" spans="1:15">
      <c r="A2059" s="39"/>
      <c r="B2059" s="40"/>
      <c r="C2059" s="41"/>
      <c r="D2059" s="41"/>
      <c r="E2059" s="41"/>
      <c r="F2059" s="41"/>
      <c r="G2059" s="41"/>
      <c r="H2059" s="41"/>
      <c r="I2059" s="41"/>
      <c r="J2059" s="41"/>
      <c r="K2059" s="41"/>
      <c r="L2059" s="41"/>
      <c r="M2059" s="41"/>
      <c r="N2059" s="41"/>
      <c r="O2059" s="41"/>
    </row>
    <row r="2060" spans="1:15">
      <c r="A2060" s="39"/>
      <c r="B2060" s="40"/>
      <c r="C2060" s="41"/>
      <c r="D2060" s="41"/>
      <c r="E2060" s="41"/>
      <c r="F2060" s="41"/>
      <c r="G2060" s="41"/>
      <c r="H2060" s="41"/>
      <c r="I2060" s="41"/>
      <c r="J2060" s="41"/>
      <c r="K2060" s="41"/>
      <c r="L2060" s="41"/>
      <c r="M2060" s="41"/>
      <c r="N2060" s="41"/>
      <c r="O2060" s="41"/>
    </row>
    <row r="2061" spans="1:15">
      <c r="A2061" s="39"/>
      <c r="B2061" s="40"/>
      <c r="C2061" s="41"/>
      <c r="D2061" s="41"/>
      <c r="E2061" s="41"/>
      <c r="F2061" s="41"/>
      <c r="G2061" s="41"/>
      <c r="H2061" s="41"/>
      <c r="I2061" s="41"/>
      <c r="J2061" s="41"/>
      <c r="K2061" s="41"/>
      <c r="L2061" s="41"/>
      <c r="M2061" s="41"/>
      <c r="N2061" s="41"/>
      <c r="O2061" s="41"/>
    </row>
    <row r="2062" spans="1:15">
      <c r="A2062" s="39"/>
      <c r="B2062" s="40"/>
      <c r="C2062" s="41"/>
      <c r="D2062" s="41"/>
      <c r="E2062" s="41"/>
      <c r="F2062" s="41"/>
      <c r="G2062" s="41"/>
      <c r="H2062" s="41"/>
      <c r="I2062" s="41"/>
      <c r="J2062" s="41"/>
      <c r="K2062" s="41"/>
      <c r="L2062" s="41"/>
      <c r="M2062" s="41"/>
      <c r="N2062" s="41"/>
      <c r="O2062" s="41"/>
    </row>
    <row r="2063" spans="1:15">
      <c r="A2063" s="39"/>
      <c r="B2063" s="40"/>
      <c r="C2063" s="41"/>
      <c r="D2063" s="41"/>
      <c r="E2063" s="41"/>
      <c r="F2063" s="41"/>
      <c r="G2063" s="41"/>
      <c r="H2063" s="41"/>
      <c r="I2063" s="41"/>
      <c r="J2063" s="41"/>
      <c r="K2063" s="41"/>
      <c r="L2063" s="41"/>
      <c r="M2063" s="41"/>
      <c r="N2063" s="41"/>
      <c r="O2063" s="41"/>
    </row>
    <row r="2064" spans="1:15">
      <c r="A2064" s="39"/>
      <c r="B2064" s="40"/>
      <c r="C2064" s="41"/>
      <c r="D2064" s="41"/>
      <c r="E2064" s="41"/>
      <c r="F2064" s="41"/>
      <c r="G2064" s="41"/>
      <c r="H2064" s="41"/>
      <c r="I2064" s="41"/>
      <c r="J2064" s="41"/>
      <c r="K2064" s="41"/>
      <c r="L2064" s="41"/>
      <c r="M2064" s="41"/>
      <c r="N2064" s="41"/>
      <c r="O2064" s="41"/>
    </row>
    <row r="2065" spans="1:15">
      <c r="A2065" s="39"/>
      <c r="B2065" s="40"/>
      <c r="C2065" s="41"/>
      <c r="D2065" s="41"/>
      <c r="E2065" s="41"/>
      <c r="F2065" s="41"/>
      <c r="G2065" s="41"/>
      <c r="H2065" s="41"/>
      <c r="I2065" s="41"/>
      <c r="J2065" s="41"/>
      <c r="K2065" s="41"/>
      <c r="L2065" s="41"/>
      <c r="M2065" s="41"/>
      <c r="N2065" s="41"/>
      <c r="O2065" s="41"/>
    </row>
    <row r="2066" spans="1:15">
      <c r="A2066" s="39"/>
      <c r="B2066" s="40"/>
      <c r="C2066" s="41"/>
      <c r="D2066" s="41"/>
      <c r="E2066" s="41"/>
      <c r="F2066" s="41"/>
      <c r="G2066" s="41"/>
      <c r="H2066" s="41"/>
      <c r="I2066" s="41"/>
      <c r="J2066" s="41"/>
      <c r="K2066" s="41"/>
      <c r="L2066" s="41"/>
      <c r="M2066" s="41"/>
      <c r="N2066" s="41"/>
      <c r="O2066" s="41"/>
    </row>
    <row r="2067" spans="1:15">
      <c r="A2067" s="39"/>
      <c r="B2067" s="40"/>
      <c r="C2067" s="41"/>
      <c r="D2067" s="41"/>
      <c r="E2067" s="41"/>
      <c r="F2067" s="41"/>
      <c r="G2067" s="41"/>
      <c r="H2067" s="41"/>
      <c r="I2067" s="41"/>
      <c r="J2067" s="41"/>
      <c r="K2067" s="41"/>
      <c r="L2067" s="41"/>
      <c r="M2067" s="41"/>
      <c r="N2067" s="41"/>
      <c r="O2067" s="41"/>
    </row>
    <row r="2068" spans="1:15">
      <c r="A2068" s="39"/>
      <c r="B2068" s="40"/>
      <c r="C2068" s="41"/>
      <c r="D2068" s="41"/>
      <c r="E2068" s="41"/>
      <c r="F2068" s="41"/>
      <c r="G2068" s="41"/>
      <c r="H2068" s="41"/>
      <c r="I2068" s="41"/>
      <c r="J2068" s="41"/>
      <c r="K2068" s="41"/>
      <c r="L2068" s="41"/>
      <c r="M2068" s="41"/>
      <c r="N2068" s="41"/>
      <c r="O2068" s="41"/>
    </row>
    <row r="2069" spans="1:15">
      <c r="A2069" s="39"/>
      <c r="B2069" s="40"/>
      <c r="C2069" s="41"/>
      <c r="D2069" s="41"/>
      <c r="E2069" s="41"/>
      <c r="F2069" s="41"/>
      <c r="G2069" s="41"/>
      <c r="H2069" s="41"/>
      <c r="I2069" s="41"/>
      <c r="J2069" s="41"/>
      <c r="K2069" s="41"/>
      <c r="L2069" s="41"/>
      <c r="M2069" s="41"/>
      <c r="N2069" s="41"/>
      <c r="O2069" s="41"/>
    </row>
    <row r="2070" spans="1:15">
      <c r="A2070" s="39"/>
      <c r="B2070" s="40"/>
      <c r="C2070" s="41"/>
      <c r="D2070" s="41"/>
      <c r="E2070" s="41"/>
      <c r="F2070" s="41"/>
      <c r="G2070" s="41"/>
      <c r="H2070" s="41"/>
      <c r="I2070" s="41"/>
      <c r="J2070" s="41"/>
      <c r="K2070" s="41"/>
      <c r="L2070" s="41"/>
      <c r="M2070" s="41"/>
      <c r="N2070" s="41"/>
      <c r="O2070" s="41"/>
    </row>
    <row r="2071" spans="1:15">
      <c r="A2071" s="39"/>
      <c r="B2071" s="40"/>
      <c r="C2071" s="41"/>
      <c r="D2071" s="41"/>
      <c r="E2071" s="41"/>
      <c r="F2071" s="41"/>
      <c r="G2071" s="41"/>
      <c r="H2071" s="41"/>
      <c r="I2071" s="41"/>
      <c r="J2071" s="41"/>
      <c r="K2071" s="41"/>
      <c r="L2071" s="41"/>
      <c r="M2071" s="41"/>
      <c r="N2071" s="41"/>
      <c r="O2071" s="41"/>
    </row>
    <row r="2072" spans="1:15">
      <c r="A2072" s="39"/>
      <c r="B2072" s="40"/>
      <c r="C2072" s="41"/>
      <c r="D2072" s="41"/>
      <c r="E2072" s="41"/>
      <c r="F2072" s="41"/>
      <c r="G2072" s="41"/>
      <c r="H2072" s="41"/>
      <c r="I2072" s="41"/>
      <c r="J2072" s="41"/>
      <c r="K2072" s="41"/>
      <c r="L2072" s="41"/>
      <c r="M2072" s="41"/>
      <c r="N2072" s="41"/>
      <c r="O2072" s="41"/>
    </row>
    <row r="2073" spans="1:15">
      <c r="A2073" s="39"/>
      <c r="B2073" s="40"/>
      <c r="C2073" s="41"/>
      <c r="D2073" s="41"/>
      <c r="E2073" s="41"/>
      <c r="F2073" s="41"/>
      <c r="G2073" s="41"/>
      <c r="H2073" s="41"/>
      <c r="I2073" s="41"/>
      <c r="J2073" s="41"/>
      <c r="K2073" s="41"/>
      <c r="L2073" s="41"/>
      <c r="M2073" s="41"/>
      <c r="N2073" s="41"/>
      <c r="O2073" s="41"/>
    </row>
    <row r="2074" spans="1:15">
      <c r="A2074" s="39"/>
      <c r="B2074" s="40"/>
      <c r="C2074" s="41"/>
      <c r="D2074" s="41"/>
      <c r="E2074" s="41"/>
      <c r="F2074" s="41"/>
      <c r="G2074" s="41"/>
      <c r="H2074" s="41"/>
      <c r="I2074" s="41"/>
      <c r="J2074" s="41"/>
      <c r="K2074" s="41"/>
      <c r="L2074" s="41"/>
      <c r="M2074" s="41"/>
      <c r="N2074" s="41"/>
      <c r="O2074" s="41"/>
    </row>
    <row r="2075" spans="1:15">
      <c r="A2075" s="39"/>
      <c r="B2075" s="40"/>
      <c r="C2075" s="41"/>
      <c r="D2075" s="41"/>
      <c r="E2075" s="41"/>
      <c r="F2075" s="41"/>
      <c r="G2075" s="41"/>
      <c r="H2075" s="41"/>
      <c r="I2075" s="41"/>
      <c r="J2075" s="41"/>
      <c r="K2075" s="41"/>
      <c r="L2075" s="41"/>
      <c r="M2075" s="41"/>
      <c r="N2075" s="41"/>
      <c r="O2075" s="41"/>
    </row>
    <row r="2076" spans="1:15">
      <c r="A2076" s="39"/>
      <c r="B2076" s="40"/>
      <c r="C2076" s="41"/>
      <c r="D2076" s="41"/>
      <c r="E2076" s="41"/>
      <c r="F2076" s="41"/>
      <c r="G2076" s="41"/>
      <c r="H2076" s="41"/>
      <c r="I2076" s="41"/>
      <c r="J2076" s="41"/>
      <c r="K2076" s="41"/>
      <c r="L2076" s="41"/>
      <c r="M2076" s="41"/>
      <c r="N2076" s="41"/>
      <c r="O2076" s="41"/>
    </row>
    <row r="2077" spans="1:15">
      <c r="A2077" s="39"/>
      <c r="B2077" s="40"/>
      <c r="C2077" s="41"/>
      <c r="D2077" s="41"/>
      <c r="E2077" s="41"/>
      <c r="F2077" s="41"/>
      <c r="G2077" s="41"/>
      <c r="H2077" s="41"/>
      <c r="I2077" s="41"/>
      <c r="J2077" s="41"/>
      <c r="K2077" s="41"/>
      <c r="L2077" s="41"/>
      <c r="M2077" s="41"/>
      <c r="N2077" s="41"/>
      <c r="O2077" s="41"/>
    </row>
    <row r="2078" spans="1:15">
      <c r="A2078" s="39"/>
      <c r="B2078" s="40"/>
      <c r="C2078" s="41"/>
      <c r="D2078" s="41"/>
      <c r="E2078" s="41"/>
      <c r="F2078" s="41"/>
      <c r="G2078" s="41"/>
      <c r="H2078" s="41"/>
      <c r="I2078" s="41"/>
      <c r="J2078" s="41"/>
      <c r="K2078" s="41"/>
      <c r="L2078" s="41"/>
      <c r="M2078" s="41"/>
      <c r="N2078" s="41"/>
      <c r="O2078" s="41"/>
    </row>
    <row r="2079" spans="1:15">
      <c r="A2079" s="39"/>
      <c r="B2079" s="40"/>
      <c r="C2079" s="41"/>
      <c r="D2079" s="41"/>
      <c r="E2079" s="41"/>
      <c r="F2079" s="41"/>
      <c r="G2079" s="41"/>
      <c r="H2079" s="41"/>
      <c r="I2079" s="41"/>
      <c r="J2079" s="41"/>
      <c r="K2079" s="41"/>
      <c r="L2079" s="41"/>
      <c r="M2079" s="41"/>
      <c r="N2079" s="41"/>
      <c r="O2079" s="41"/>
    </row>
    <row r="2080" spans="1:15">
      <c r="A2080" s="39"/>
      <c r="B2080" s="40"/>
      <c r="C2080" s="41"/>
      <c r="D2080" s="41"/>
      <c r="E2080" s="41"/>
      <c r="F2080" s="41"/>
      <c r="G2080" s="41"/>
      <c r="H2080" s="41"/>
      <c r="I2080" s="41"/>
      <c r="J2080" s="41"/>
      <c r="K2080" s="41"/>
      <c r="L2080" s="41"/>
      <c r="M2080" s="41"/>
      <c r="N2080" s="41"/>
      <c r="O2080" s="41"/>
    </row>
    <row r="2081" spans="1:15">
      <c r="A2081" s="39"/>
      <c r="B2081" s="40"/>
      <c r="C2081" s="41"/>
      <c r="D2081" s="41"/>
      <c r="E2081" s="41"/>
      <c r="F2081" s="41"/>
      <c r="G2081" s="41"/>
      <c r="H2081" s="41"/>
      <c r="I2081" s="41"/>
      <c r="J2081" s="41"/>
      <c r="K2081" s="41"/>
      <c r="L2081" s="41"/>
      <c r="M2081" s="41"/>
      <c r="N2081" s="41"/>
      <c r="O2081" s="41"/>
    </row>
    <row r="2082" spans="1:15">
      <c r="A2082" s="39"/>
      <c r="B2082" s="40"/>
      <c r="C2082" s="41"/>
      <c r="D2082" s="41"/>
      <c r="E2082" s="41"/>
      <c r="F2082" s="41"/>
      <c r="G2082" s="41"/>
      <c r="H2082" s="41"/>
      <c r="I2082" s="41"/>
      <c r="J2082" s="41"/>
      <c r="K2082" s="41"/>
      <c r="L2082" s="41"/>
      <c r="M2082" s="41"/>
      <c r="N2082" s="41"/>
      <c r="O2082" s="41"/>
    </row>
    <row r="2083" spans="1:15">
      <c r="A2083" s="39"/>
      <c r="B2083" s="40"/>
      <c r="C2083" s="41"/>
      <c r="D2083" s="41"/>
      <c r="E2083" s="41"/>
      <c r="F2083" s="41"/>
      <c r="G2083" s="41"/>
      <c r="H2083" s="41"/>
      <c r="I2083" s="41"/>
      <c r="J2083" s="41"/>
      <c r="K2083" s="41"/>
      <c r="L2083" s="41"/>
      <c r="M2083" s="41"/>
      <c r="N2083" s="41"/>
      <c r="O2083" s="41"/>
    </row>
    <row r="2084" spans="1:15">
      <c r="A2084" s="39"/>
      <c r="B2084" s="40"/>
      <c r="C2084" s="41"/>
      <c r="D2084" s="41"/>
      <c r="E2084" s="41"/>
      <c r="F2084" s="41"/>
      <c r="G2084" s="41"/>
      <c r="H2084" s="41"/>
      <c r="I2084" s="41"/>
      <c r="J2084" s="41"/>
      <c r="K2084" s="41"/>
      <c r="L2084" s="41"/>
      <c r="M2084" s="41"/>
      <c r="N2084" s="41"/>
      <c r="O2084" s="41"/>
    </row>
    <row r="2085" spans="1:15">
      <c r="A2085" s="39"/>
      <c r="B2085" s="40"/>
      <c r="C2085" s="41"/>
      <c r="D2085" s="41"/>
      <c r="E2085" s="41"/>
      <c r="F2085" s="41"/>
      <c r="G2085" s="41"/>
      <c r="H2085" s="41"/>
      <c r="I2085" s="41"/>
      <c r="J2085" s="41"/>
      <c r="K2085" s="41"/>
      <c r="L2085" s="41"/>
      <c r="M2085" s="41"/>
      <c r="N2085" s="41"/>
      <c r="O2085" s="41"/>
    </row>
    <row r="2086" spans="1:15">
      <c r="A2086" s="39"/>
      <c r="B2086" s="40"/>
      <c r="C2086" s="41"/>
      <c r="D2086" s="41"/>
      <c r="E2086" s="41"/>
      <c r="F2086" s="41"/>
      <c r="G2086" s="41"/>
      <c r="H2086" s="41"/>
      <c r="I2086" s="41"/>
      <c r="J2086" s="41"/>
      <c r="K2086" s="41"/>
      <c r="L2086" s="41"/>
      <c r="M2086" s="41"/>
      <c r="N2086" s="41"/>
      <c r="O2086" s="41"/>
    </row>
    <row r="2087" spans="1:15">
      <c r="A2087" s="39"/>
      <c r="B2087" s="40"/>
      <c r="C2087" s="41"/>
      <c r="D2087" s="41"/>
      <c r="E2087" s="41"/>
      <c r="F2087" s="41"/>
      <c r="G2087" s="41"/>
      <c r="H2087" s="41"/>
      <c r="I2087" s="41"/>
      <c r="J2087" s="41"/>
      <c r="K2087" s="41"/>
      <c r="L2087" s="41"/>
      <c r="M2087" s="41"/>
      <c r="N2087" s="41"/>
      <c r="O2087" s="41"/>
    </row>
    <row r="2088" spans="1:15">
      <c r="A2088" s="39"/>
      <c r="B2088" s="40"/>
      <c r="C2088" s="41"/>
      <c r="D2088" s="41"/>
      <c r="E2088" s="41"/>
      <c r="F2088" s="41"/>
      <c r="G2088" s="41"/>
      <c r="H2088" s="41"/>
      <c r="I2088" s="41"/>
      <c r="J2088" s="41"/>
      <c r="K2088" s="41"/>
      <c r="L2088" s="41"/>
      <c r="M2088" s="41"/>
      <c r="N2088" s="41"/>
      <c r="O2088" s="41"/>
    </row>
    <row r="2089" spans="1:15">
      <c r="A2089" s="39"/>
      <c r="B2089" s="40"/>
      <c r="C2089" s="41"/>
      <c r="D2089" s="41"/>
      <c r="E2089" s="41"/>
      <c r="F2089" s="41"/>
      <c r="G2089" s="41"/>
      <c r="H2089" s="41"/>
      <c r="I2089" s="41"/>
      <c r="J2089" s="41"/>
      <c r="K2089" s="41"/>
      <c r="L2089" s="41"/>
      <c r="M2089" s="41"/>
      <c r="N2089" s="41"/>
      <c r="O2089" s="41"/>
    </row>
    <row r="2090" spans="1:15">
      <c r="A2090" s="39"/>
      <c r="B2090" s="40"/>
      <c r="C2090" s="41"/>
      <c r="D2090" s="41"/>
      <c r="E2090" s="41"/>
      <c r="F2090" s="41"/>
      <c r="G2090" s="41"/>
      <c r="H2090" s="41"/>
      <c r="I2090" s="41"/>
      <c r="J2090" s="41"/>
      <c r="K2090" s="41"/>
      <c r="L2090" s="41"/>
      <c r="M2090" s="41"/>
      <c r="N2090" s="41"/>
      <c r="O2090" s="41"/>
    </row>
    <row r="2091" spans="1:15">
      <c r="A2091" s="39"/>
      <c r="B2091" s="40"/>
      <c r="C2091" s="41"/>
      <c r="D2091" s="41"/>
      <c r="E2091" s="41"/>
      <c r="F2091" s="41"/>
      <c r="G2091" s="41"/>
      <c r="H2091" s="41"/>
      <c r="I2091" s="41"/>
      <c r="J2091" s="41"/>
      <c r="K2091" s="41"/>
      <c r="L2091" s="41"/>
      <c r="M2091" s="41"/>
      <c r="N2091" s="41"/>
      <c r="O2091" s="41"/>
    </row>
    <row r="2092" spans="1:15">
      <c r="A2092" s="39"/>
      <c r="B2092" s="40"/>
      <c r="C2092" s="41"/>
      <c r="D2092" s="41"/>
      <c r="E2092" s="41"/>
      <c r="F2092" s="41"/>
      <c r="G2092" s="41"/>
      <c r="H2092" s="41"/>
      <c r="I2092" s="41"/>
      <c r="J2092" s="41"/>
      <c r="K2092" s="41"/>
      <c r="L2092" s="41"/>
      <c r="M2092" s="41"/>
      <c r="N2092" s="41"/>
      <c r="O2092" s="41"/>
    </row>
    <row r="2093" spans="1:15">
      <c r="A2093" s="39"/>
      <c r="B2093" s="40"/>
      <c r="C2093" s="41"/>
      <c r="D2093" s="41"/>
      <c r="E2093" s="41"/>
      <c r="F2093" s="41"/>
      <c r="G2093" s="41"/>
      <c r="H2093" s="41"/>
      <c r="I2093" s="41"/>
      <c r="J2093" s="41"/>
      <c r="K2093" s="41"/>
      <c r="L2093" s="41"/>
      <c r="M2093" s="41"/>
      <c r="N2093" s="41"/>
      <c r="O2093" s="41"/>
    </row>
    <row r="2094" spans="1:15">
      <c r="A2094" s="39"/>
      <c r="B2094" s="40"/>
      <c r="C2094" s="41"/>
      <c r="D2094" s="41"/>
      <c r="E2094" s="41"/>
      <c r="F2094" s="41"/>
      <c r="G2094" s="41"/>
      <c r="H2094" s="41"/>
      <c r="I2094" s="41"/>
      <c r="J2094" s="41"/>
      <c r="K2094" s="41"/>
      <c r="L2094" s="41"/>
      <c r="M2094" s="41"/>
      <c r="N2094" s="41"/>
      <c r="O2094" s="41"/>
    </row>
    <row r="2095" spans="1:15">
      <c r="A2095" s="39"/>
      <c r="B2095" s="40"/>
      <c r="C2095" s="41"/>
      <c r="D2095" s="41"/>
      <c r="E2095" s="41"/>
      <c r="F2095" s="41"/>
      <c r="G2095" s="41"/>
      <c r="H2095" s="41"/>
      <c r="I2095" s="41"/>
      <c r="J2095" s="41"/>
      <c r="K2095" s="41"/>
      <c r="L2095" s="41"/>
      <c r="M2095" s="41"/>
      <c r="N2095" s="41"/>
      <c r="O2095" s="41"/>
    </row>
    <row r="2096" spans="1:15">
      <c r="A2096" s="39"/>
      <c r="B2096" s="40"/>
      <c r="C2096" s="41"/>
      <c r="D2096" s="41"/>
      <c r="E2096" s="41"/>
      <c r="F2096" s="41"/>
      <c r="G2096" s="41"/>
      <c r="H2096" s="41"/>
      <c r="I2096" s="41"/>
      <c r="J2096" s="41"/>
      <c r="K2096" s="41"/>
      <c r="L2096" s="41"/>
      <c r="M2096" s="41"/>
      <c r="N2096" s="41"/>
      <c r="O2096" s="41"/>
    </row>
    <row r="2097" spans="1:15">
      <c r="A2097" s="39"/>
      <c r="B2097" s="40"/>
      <c r="C2097" s="41"/>
      <c r="D2097" s="41"/>
      <c r="E2097" s="41"/>
      <c r="F2097" s="41"/>
      <c r="G2097" s="41"/>
      <c r="H2097" s="41"/>
      <c r="I2097" s="41"/>
      <c r="J2097" s="41"/>
      <c r="K2097" s="41"/>
      <c r="L2097" s="41"/>
      <c r="M2097" s="41"/>
      <c r="N2097" s="41"/>
      <c r="O2097" s="41"/>
    </row>
    <row r="2098" spans="1:15">
      <c r="A2098" s="39"/>
      <c r="B2098" s="40"/>
      <c r="C2098" s="41"/>
      <c r="D2098" s="41"/>
      <c r="E2098" s="41"/>
      <c r="F2098" s="41"/>
      <c r="G2098" s="41"/>
      <c r="H2098" s="41"/>
      <c r="I2098" s="41"/>
      <c r="J2098" s="41"/>
      <c r="K2098" s="41"/>
      <c r="L2098" s="41"/>
      <c r="M2098" s="41"/>
      <c r="N2098" s="41"/>
      <c r="O2098" s="41"/>
    </row>
    <row r="2099" spans="1:15">
      <c r="A2099" s="39"/>
      <c r="B2099" s="40"/>
      <c r="C2099" s="41"/>
      <c r="D2099" s="41"/>
      <c r="E2099" s="41"/>
      <c r="F2099" s="41"/>
      <c r="G2099" s="41"/>
      <c r="H2099" s="41"/>
      <c r="I2099" s="41"/>
      <c r="J2099" s="41"/>
      <c r="K2099" s="41"/>
      <c r="L2099" s="41"/>
      <c r="M2099" s="41"/>
      <c r="N2099" s="41"/>
      <c r="O2099" s="41"/>
    </row>
    <row r="2100" spans="1:15">
      <c r="A2100" s="39"/>
      <c r="B2100" s="40"/>
      <c r="C2100" s="41"/>
      <c r="D2100" s="41"/>
      <c r="E2100" s="41"/>
      <c r="F2100" s="41"/>
      <c r="G2100" s="41"/>
      <c r="H2100" s="41"/>
      <c r="I2100" s="41"/>
      <c r="J2100" s="41"/>
      <c r="K2100" s="41"/>
      <c r="L2100" s="41"/>
      <c r="M2100" s="41"/>
      <c r="N2100" s="41"/>
      <c r="O2100" s="41"/>
    </row>
    <row r="2101" spans="1:15">
      <c r="A2101" s="39"/>
      <c r="B2101" s="40"/>
      <c r="C2101" s="41"/>
      <c r="D2101" s="41"/>
      <c r="E2101" s="41"/>
      <c r="F2101" s="41"/>
      <c r="G2101" s="41"/>
      <c r="H2101" s="41"/>
      <c r="I2101" s="41"/>
      <c r="J2101" s="41"/>
      <c r="K2101" s="41"/>
      <c r="L2101" s="41"/>
      <c r="M2101" s="41"/>
      <c r="N2101" s="41"/>
      <c r="O2101" s="41"/>
    </row>
    <row r="2102" spans="1:15">
      <c r="A2102" s="39"/>
      <c r="B2102" s="40"/>
      <c r="C2102" s="41"/>
      <c r="D2102" s="41"/>
      <c r="E2102" s="41"/>
      <c r="F2102" s="41"/>
      <c r="G2102" s="41"/>
      <c r="H2102" s="41"/>
      <c r="I2102" s="41"/>
      <c r="J2102" s="41"/>
      <c r="K2102" s="41"/>
      <c r="L2102" s="41"/>
      <c r="M2102" s="41"/>
      <c r="N2102" s="41"/>
      <c r="O2102" s="41"/>
    </row>
    <row r="2103" spans="1:15">
      <c r="A2103" s="39"/>
      <c r="B2103" s="40"/>
      <c r="C2103" s="41"/>
      <c r="D2103" s="41"/>
      <c r="E2103" s="41"/>
      <c r="F2103" s="41"/>
      <c r="G2103" s="41"/>
      <c r="H2103" s="41"/>
      <c r="I2103" s="41"/>
      <c r="J2103" s="41"/>
      <c r="K2103" s="41"/>
      <c r="L2103" s="41"/>
      <c r="M2103" s="41"/>
      <c r="N2103" s="41"/>
      <c r="O2103" s="41"/>
    </row>
    <row r="2104" spans="1:15">
      <c r="A2104" s="39"/>
      <c r="B2104" s="40"/>
      <c r="C2104" s="41"/>
      <c r="D2104" s="41"/>
      <c r="E2104" s="41"/>
      <c r="F2104" s="41"/>
      <c r="G2104" s="41"/>
      <c r="H2104" s="41"/>
      <c r="I2104" s="41"/>
      <c r="J2104" s="41"/>
      <c r="K2104" s="41"/>
      <c r="L2104" s="41"/>
      <c r="M2104" s="41"/>
      <c r="N2104" s="41"/>
      <c r="O2104" s="41"/>
    </row>
    <row r="2105" spans="1:15">
      <c r="A2105" s="39"/>
      <c r="B2105" s="40"/>
      <c r="C2105" s="41"/>
      <c r="D2105" s="41"/>
      <c r="E2105" s="41"/>
      <c r="F2105" s="41"/>
      <c r="G2105" s="41"/>
      <c r="H2105" s="41"/>
      <c r="I2105" s="41"/>
      <c r="J2105" s="41"/>
      <c r="K2105" s="41"/>
      <c r="L2105" s="41"/>
      <c r="M2105" s="41"/>
      <c r="N2105" s="41"/>
      <c r="O2105" s="41"/>
    </row>
    <row r="2106" spans="1:15">
      <c r="A2106" s="39"/>
      <c r="B2106" s="40"/>
      <c r="C2106" s="41"/>
      <c r="D2106" s="41"/>
      <c r="E2106" s="41"/>
      <c r="F2106" s="41"/>
      <c r="G2106" s="41"/>
      <c r="H2106" s="41"/>
      <c r="I2106" s="41"/>
      <c r="J2106" s="41"/>
      <c r="K2106" s="41"/>
      <c r="L2106" s="41"/>
      <c r="M2106" s="41"/>
      <c r="N2106" s="41"/>
      <c r="O2106" s="41"/>
    </row>
    <row r="2107" spans="1:15">
      <c r="A2107" s="39"/>
      <c r="B2107" s="40"/>
      <c r="C2107" s="41"/>
      <c r="D2107" s="41"/>
      <c r="E2107" s="41"/>
      <c r="F2107" s="41"/>
      <c r="G2107" s="41"/>
      <c r="H2107" s="41"/>
      <c r="I2107" s="41"/>
      <c r="J2107" s="41"/>
      <c r="K2107" s="41"/>
      <c r="L2107" s="41"/>
      <c r="M2107" s="41"/>
      <c r="N2107" s="41"/>
      <c r="O2107" s="41"/>
    </row>
    <row r="2108" spans="1:15">
      <c r="A2108" s="39"/>
      <c r="B2108" s="40"/>
      <c r="C2108" s="41"/>
      <c r="D2108" s="41"/>
      <c r="E2108" s="41"/>
      <c r="F2108" s="41"/>
      <c r="G2108" s="41"/>
      <c r="H2108" s="41"/>
      <c r="I2108" s="41"/>
      <c r="J2108" s="41"/>
      <c r="K2108" s="41"/>
      <c r="L2108" s="41"/>
      <c r="M2108" s="41"/>
      <c r="N2108" s="41"/>
      <c r="O2108" s="41"/>
    </row>
    <row r="2109" spans="1:15">
      <c r="A2109" s="39"/>
      <c r="B2109" s="40"/>
      <c r="C2109" s="41"/>
      <c r="D2109" s="41"/>
      <c r="E2109" s="41"/>
      <c r="F2109" s="41"/>
      <c r="G2109" s="41"/>
      <c r="H2109" s="41"/>
      <c r="I2109" s="41"/>
      <c r="J2109" s="41"/>
      <c r="K2109" s="41"/>
      <c r="L2109" s="41"/>
      <c r="M2109" s="41"/>
      <c r="N2109" s="41"/>
      <c r="O2109" s="41"/>
    </row>
    <row r="2110" spans="1:15">
      <c r="A2110" s="39"/>
      <c r="B2110" s="40"/>
      <c r="C2110" s="41"/>
      <c r="D2110" s="41"/>
      <c r="E2110" s="41"/>
      <c r="F2110" s="41"/>
      <c r="G2110" s="41"/>
      <c r="H2110" s="41"/>
      <c r="I2110" s="41"/>
      <c r="J2110" s="41"/>
      <c r="K2110" s="41"/>
      <c r="L2110" s="41"/>
      <c r="M2110" s="41"/>
      <c r="N2110" s="41"/>
      <c r="O2110" s="41"/>
    </row>
    <row r="2111" spans="1:15">
      <c r="A2111" s="39"/>
      <c r="B2111" s="40"/>
      <c r="C2111" s="41"/>
      <c r="D2111" s="41"/>
      <c r="E2111" s="41"/>
      <c r="F2111" s="41"/>
      <c r="G2111" s="41"/>
      <c r="H2111" s="41"/>
      <c r="I2111" s="41"/>
      <c r="J2111" s="41"/>
      <c r="K2111" s="41"/>
      <c r="L2111" s="41"/>
      <c r="M2111" s="41"/>
      <c r="N2111" s="41"/>
      <c r="O2111" s="41"/>
    </row>
    <row r="2112" spans="1:15">
      <c r="A2112" s="39"/>
      <c r="B2112" s="40"/>
      <c r="C2112" s="41"/>
      <c r="D2112" s="41"/>
      <c r="E2112" s="41"/>
      <c r="F2112" s="41"/>
      <c r="G2112" s="41"/>
      <c r="H2112" s="41"/>
      <c r="I2112" s="41"/>
      <c r="J2112" s="41"/>
      <c r="K2112" s="41"/>
      <c r="L2112" s="41"/>
      <c r="M2112" s="41"/>
      <c r="N2112" s="41"/>
      <c r="O2112" s="41"/>
    </row>
    <row r="2113" spans="1:15">
      <c r="A2113" s="39"/>
      <c r="B2113" s="40"/>
      <c r="C2113" s="41"/>
      <c r="D2113" s="41"/>
      <c r="E2113" s="41"/>
      <c r="F2113" s="41"/>
      <c r="G2113" s="41"/>
      <c r="H2113" s="41"/>
      <c r="I2113" s="41"/>
      <c r="J2113" s="41"/>
      <c r="K2113" s="41"/>
      <c r="L2113" s="41"/>
      <c r="M2113" s="41"/>
      <c r="N2113" s="41"/>
      <c r="O2113" s="41"/>
    </row>
    <row r="2114" spans="1:15">
      <c r="A2114" s="39"/>
      <c r="B2114" s="40"/>
      <c r="C2114" s="41"/>
      <c r="D2114" s="41"/>
      <c r="E2114" s="41"/>
      <c r="F2114" s="41"/>
      <c r="G2114" s="41"/>
      <c r="H2114" s="41"/>
      <c r="I2114" s="41"/>
      <c r="J2114" s="41"/>
      <c r="K2114" s="41"/>
      <c r="L2114" s="41"/>
      <c r="M2114" s="41"/>
      <c r="N2114" s="41"/>
      <c r="O2114" s="41"/>
    </row>
    <row r="2115" spans="1:15">
      <c r="A2115" s="39"/>
      <c r="B2115" s="40"/>
      <c r="C2115" s="41"/>
      <c r="D2115" s="41"/>
      <c r="E2115" s="41"/>
      <c r="F2115" s="41"/>
      <c r="G2115" s="41"/>
      <c r="H2115" s="41"/>
      <c r="I2115" s="41"/>
      <c r="J2115" s="41"/>
      <c r="K2115" s="41"/>
      <c r="L2115" s="41"/>
      <c r="M2115" s="41"/>
      <c r="N2115" s="41"/>
      <c r="O2115" s="41"/>
    </row>
    <row r="2116" spans="1:15">
      <c r="A2116" s="39"/>
      <c r="B2116" s="40"/>
      <c r="C2116" s="41"/>
      <c r="D2116" s="41"/>
      <c r="E2116" s="41"/>
      <c r="F2116" s="41"/>
      <c r="G2116" s="41"/>
      <c r="H2116" s="41"/>
      <c r="I2116" s="41"/>
      <c r="J2116" s="41"/>
      <c r="K2116" s="41"/>
      <c r="L2116" s="41"/>
      <c r="M2116" s="41"/>
      <c r="N2116" s="41"/>
      <c r="O2116" s="41"/>
    </row>
    <row r="2117" spans="1:15">
      <c r="A2117" s="39"/>
      <c r="B2117" s="40"/>
      <c r="C2117" s="41"/>
      <c r="D2117" s="41"/>
      <c r="E2117" s="41"/>
      <c r="F2117" s="41"/>
      <c r="G2117" s="41"/>
      <c r="H2117" s="41"/>
      <c r="I2117" s="41"/>
      <c r="J2117" s="41"/>
      <c r="K2117" s="41"/>
      <c r="L2117" s="41"/>
      <c r="M2117" s="41"/>
      <c r="N2117" s="41"/>
      <c r="O2117" s="41"/>
    </row>
    <row r="2118" spans="1:15">
      <c r="A2118" s="39"/>
      <c r="B2118" s="40"/>
      <c r="C2118" s="41"/>
      <c r="D2118" s="41"/>
      <c r="E2118" s="41"/>
      <c r="F2118" s="41"/>
      <c r="G2118" s="41"/>
      <c r="H2118" s="41"/>
      <c r="I2118" s="41"/>
      <c r="J2118" s="41"/>
      <c r="K2118" s="41"/>
      <c r="L2118" s="41"/>
      <c r="M2118" s="41"/>
      <c r="N2118" s="41"/>
      <c r="O2118" s="41"/>
    </row>
    <row r="2119" spans="1:15">
      <c r="A2119" s="39"/>
      <c r="B2119" s="40"/>
      <c r="C2119" s="41"/>
      <c r="D2119" s="41"/>
      <c r="E2119" s="41"/>
      <c r="F2119" s="41"/>
      <c r="G2119" s="41"/>
      <c r="H2119" s="41"/>
      <c r="I2119" s="41"/>
      <c r="J2119" s="41"/>
      <c r="K2119" s="41"/>
      <c r="L2119" s="41"/>
      <c r="M2119" s="41"/>
      <c r="N2119" s="41"/>
      <c r="O2119" s="41"/>
    </row>
    <row r="2120" spans="1:15">
      <c r="A2120" s="39"/>
      <c r="B2120" s="40"/>
      <c r="C2120" s="41"/>
      <c r="D2120" s="41"/>
      <c r="E2120" s="41"/>
      <c r="F2120" s="41"/>
      <c r="G2120" s="41"/>
      <c r="H2120" s="41"/>
      <c r="I2120" s="41"/>
      <c r="J2120" s="41"/>
      <c r="K2120" s="41"/>
      <c r="L2120" s="41"/>
      <c r="M2120" s="41"/>
      <c r="N2120" s="41"/>
      <c r="O2120" s="41"/>
    </row>
    <row r="2121" spans="1:15">
      <c r="A2121" s="39"/>
      <c r="B2121" s="40"/>
      <c r="C2121" s="41"/>
      <c r="D2121" s="41"/>
      <c r="E2121" s="41"/>
      <c r="F2121" s="41"/>
      <c r="G2121" s="41"/>
      <c r="H2121" s="41"/>
      <c r="I2121" s="41"/>
      <c r="J2121" s="41"/>
      <c r="K2121" s="41"/>
      <c r="L2121" s="41"/>
      <c r="M2121" s="41"/>
      <c r="N2121" s="41"/>
      <c r="O2121" s="41"/>
    </row>
    <row r="2122" spans="1:15">
      <c r="A2122" s="39"/>
      <c r="B2122" s="40"/>
      <c r="C2122" s="41"/>
      <c r="D2122" s="41"/>
      <c r="E2122" s="41"/>
      <c r="F2122" s="41"/>
      <c r="G2122" s="41"/>
      <c r="H2122" s="41"/>
      <c r="I2122" s="41"/>
      <c r="J2122" s="41"/>
      <c r="K2122" s="41"/>
      <c r="L2122" s="41"/>
      <c r="M2122" s="41"/>
      <c r="N2122" s="41"/>
      <c r="O2122" s="41"/>
    </row>
    <row r="2123" spans="1:15">
      <c r="A2123" s="39"/>
      <c r="B2123" s="40"/>
      <c r="C2123" s="41"/>
      <c r="D2123" s="41"/>
      <c r="E2123" s="41"/>
      <c r="F2123" s="41"/>
      <c r="G2123" s="41"/>
      <c r="H2123" s="41"/>
      <c r="I2123" s="41"/>
      <c r="J2123" s="41"/>
      <c r="K2123" s="41"/>
      <c r="L2123" s="41"/>
      <c r="M2123" s="41"/>
      <c r="N2123" s="41"/>
      <c r="O2123" s="41"/>
    </row>
    <row r="2124" spans="1:15">
      <c r="A2124" s="39"/>
      <c r="B2124" s="40"/>
      <c r="C2124" s="41"/>
      <c r="D2124" s="41"/>
      <c r="E2124" s="41"/>
      <c r="F2124" s="41"/>
      <c r="G2124" s="41"/>
      <c r="H2124" s="41"/>
      <c r="I2124" s="41"/>
      <c r="J2124" s="41"/>
      <c r="K2124" s="41"/>
      <c r="L2124" s="41"/>
      <c r="M2124" s="41"/>
      <c r="N2124" s="41"/>
      <c r="O2124" s="41"/>
    </row>
    <row r="2125" spans="1:15">
      <c r="A2125" s="39"/>
      <c r="B2125" s="40"/>
      <c r="C2125" s="41"/>
      <c r="D2125" s="41"/>
      <c r="E2125" s="41"/>
      <c r="F2125" s="41"/>
      <c r="G2125" s="41"/>
      <c r="H2125" s="41"/>
      <c r="I2125" s="41"/>
      <c r="J2125" s="41"/>
      <c r="K2125" s="41"/>
      <c r="L2125" s="41"/>
      <c r="M2125" s="41"/>
      <c r="N2125" s="41"/>
      <c r="O2125" s="41"/>
    </row>
    <row r="2126" spans="1:15">
      <c r="A2126" s="39"/>
      <c r="B2126" s="40"/>
      <c r="C2126" s="41"/>
      <c r="D2126" s="41"/>
      <c r="E2126" s="41"/>
      <c r="F2126" s="41"/>
      <c r="G2126" s="41"/>
      <c r="H2126" s="41"/>
      <c r="I2126" s="41"/>
      <c r="J2126" s="41"/>
      <c r="K2126" s="41"/>
      <c r="L2126" s="41"/>
      <c r="M2126" s="41"/>
      <c r="N2126" s="41"/>
      <c r="O2126" s="41"/>
    </row>
    <row r="2127" spans="1:15">
      <c r="A2127" s="39"/>
      <c r="B2127" s="40"/>
      <c r="C2127" s="41"/>
      <c r="D2127" s="41"/>
      <c r="E2127" s="41"/>
      <c r="F2127" s="41"/>
      <c r="G2127" s="41"/>
      <c r="H2127" s="41"/>
      <c r="I2127" s="41"/>
      <c r="J2127" s="41"/>
      <c r="K2127" s="41"/>
      <c r="L2127" s="41"/>
      <c r="M2127" s="41"/>
      <c r="N2127" s="41"/>
      <c r="O2127" s="41"/>
    </row>
    <row r="2128" spans="1:15">
      <c r="A2128" s="39"/>
      <c r="B2128" s="40"/>
      <c r="C2128" s="41"/>
      <c r="D2128" s="41"/>
      <c r="E2128" s="41"/>
      <c r="F2128" s="41"/>
      <c r="G2128" s="41"/>
      <c r="H2128" s="41"/>
      <c r="I2128" s="41"/>
      <c r="J2128" s="41"/>
      <c r="K2128" s="41"/>
      <c r="L2128" s="41"/>
      <c r="M2128" s="41"/>
      <c r="N2128" s="41"/>
      <c r="O2128" s="41"/>
    </row>
    <row r="2129" spans="1:15">
      <c r="A2129" s="39"/>
      <c r="B2129" s="40"/>
      <c r="C2129" s="41"/>
      <c r="D2129" s="41"/>
      <c r="E2129" s="41"/>
      <c r="F2129" s="41"/>
      <c r="G2129" s="41"/>
      <c r="H2129" s="41"/>
      <c r="I2129" s="41"/>
      <c r="J2129" s="41"/>
      <c r="K2129" s="41"/>
      <c r="L2129" s="41"/>
      <c r="M2129" s="41"/>
      <c r="N2129" s="41"/>
      <c r="O2129" s="41"/>
    </row>
    <row r="2130" spans="1:15">
      <c r="A2130" s="39"/>
      <c r="B2130" s="40"/>
      <c r="C2130" s="41"/>
      <c r="D2130" s="41"/>
      <c r="E2130" s="41"/>
      <c r="F2130" s="41"/>
      <c r="G2130" s="41"/>
      <c r="H2130" s="41"/>
      <c r="I2130" s="41"/>
      <c r="J2130" s="41"/>
      <c r="K2130" s="41"/>
      <c r="L2130" s="41"/>
      <c r="M2130" s="41"/>
      <c r="N2130" s="41"/>
      <c r="O2130" s="41"/>
    </row>
    <row r="2131" spans="1:15">
      <c r="A2131" s="39"/>
      <c r="B2131" s="40"/>
      <c r="C2131" s="41"/>
      <c r="D2131" s="41"/>
      <c r="E2131" s="41"/>
      <c r="F2131" s="41"/>
      <c r="G2131" s="41"/>
      <c r="H2131" s="41"/>
      <c r="I2131" s="41"/>
      <c r="J2131" s="41"/>
      <c r="K2131" s="41"/>
      <c r="L2131" s="41"/>
      <c r="M2131" s="41"/>
      <c r="N2131" s="41"/>
      <c r="O2131" s="41"/>
    </row>
    <row r="2132" spans="1:15">
      <c r="A2132" s="39"/>
      <c r="B2132" s="40"/>
      <c r="C2132" s="41"/>
      <c r="D2132" s="41"/>
      <c r="E2132" s="41"/>
      <c r="F2132" s="41"/>
      <c r="G2132" s="41"/>
      <c r="H2132" s="41"/>
      <c r="I2132" s="41"/>
      <c r="J2132" s="41"/>
      <c r="K2132" s="41"/>
      <c r="L2132" s="41"/>
      <c r="M2132" s="41"/>
      <c r="N2132" s="41"/>
      <c r="O2132" s="41"/>
    </row>
    <row r="2133" spans="1:15">
      <c r="A2133" s="39"/>
      <c r="B2133" s="40"/>
      <c r="C2133" s="41"/>
      <c r="D2133" s="41"/>
      <c r="E2133" s="41"/>
      <c r="F2133" s="41"/>
      <c r="G2133" s="41"/>
      <c r="H2133" s="41"/>
      <c r="I2133" s="41"/>
      <c r="J2133" s="41"/>
      <c r="K2133" s="41"/>
      <c r="L2133" s="41"/>
      <c r="M2133" s="41"/>
      <c r="N2133" s="41"/>
      <c r="O2133" s="41"/>
    </row>
    <row r="2134" spans="1:15">
      <c r="A2134" s="39"/>
      <c r="B2134" s="40"/>
      <c r="C2134" s="41"/>
      <c r="D2134" s="41"/>
      <c r="E2134" s="41"/>
      <c r="F2134" s="41"/>
      <c r="G2134" s="41"/>
      <c r="H2134" s="41"/>
      <c r="I2134" s="41"/>
      <c r="J2134" s="41"/>
      <c r="K2134" s="41"/>
      <c r="L2134" s="41"/>
      <c r="M2134" s="41"/>
      <c r="N2134" s="41"/>
      <c r="O2134" s="41"/>
    </row>
    <row r="2135" spans="1:15">
      <c r="A2135" s="39"/>
      <c r="B2135" s="40"/>
      <c r="C2135" s="41"/>
      <c r="D2135" s="41"/>
      <c r="E2135" s="41"/>
      <c r="F2135" s="41"/>
      <c r="G2135" s="41"/>
      <c r="H2135" s="41"/>
      <c r="I2135" s="41"/>
      <c r="J2135" s="41"/>
      <c r="K2135" s="41"/>
      <c r="L2135" s="41"/>
      <c r="M2135" s="41"/>
      <c r="N2135" s="41"/>
      <c r="O2135" s="41"/>
    </row>
    <row r="2136" spans="1:15">
      <c r="A2136" s="39"/>
      <c r="B2136" s="40"/>
      <c r="C2136" s="41"/>
      <c r="D2136" s="41"/>
      <c r="E2136" s="41"/>
      <c r="F2136" s="41"/>
      <c r="G2136" s="41"/>
      <c r="H2136" s="41"/>
      <c r="I2136" s="41"/>
      <c r="J2136" s="41"/>
      <c r="K2136" s="41"/>
      <c r="L2136" s="41"/>
      <c r="M2136" s="41"/>
      <c r="N2136" s="41"/>
      <c r="O2136" s="41"/>
    </row>
    <row r="2137" spans="1:15">
      <c r="A2137" s="39"/>
      <c r="B2137" s="40"/>
      <c r="C2137" s="41"/>
      <c r="D2137" s="41"/>
      <c r="E2137" s="41"/>
      <c r="F2137" s="41"/>
      <c r="G2137" s="41"/>
      <c r="H2137" s="41"/>
      <c r="I2137" s="41"/>
      <c r="J2137" s="41"/>
      <c r="K2137" s="41"/>
      <c r="L2137" s="41"/>
      <c r="M2137" s="41"/>
      <c r="N2137" s="41"/>
      <c r="O2137" s="41"/>
    </row>
    <row r="2138" spans="1:15">
      <c r="A2138" s="39"/>
      <c r="B2138" s="40"/>
      <c r="C2138" s="41"/>
      <c r="D2138" s="41"/>
      <c r="E2138" s="41"/>
      <c r="F2138" s="41"/>
      <c r="G2138" s="41"/>
      <c r="H2138" s="41"/>
      <c r="I2138" s="41"/>
      <c r="J2138" s="41"/>
      <c r="K2138" s="41"/>
      <c r="L2138" s="41"/>
      <c r="M2138" s="41"/>
      <c r="N2138" s="41"/>
      <c r="O2138" s="41"/>
    </row>
    <row r="2139" spans="1:15">
      <c r="A2139" s="39"/>
      <c r="B2139" s="40"/>
      <c r="C2139" s="41"/>
      <c r="D2139" s="41"/>
      <c r="E2139" s="41"/>
      <c r="F2139" s="41"/>
      <c r="G2139" s="41"/>
      <c r="H2139" s="41"/>
      <c r="I2139" s="41"/>
      <c r="J2139" s="41"/>
      <c r="K2139" s="41"/>
      <c r="L2139" s="41"/>
      <c r="M2139" s="41"/>
      <c r="N2139" s="41"/>
      <c r="O2139" s="41"/>
    </row>
    <row r="2140" spans="1:15">
      <c r="A2140" s="39"/>
      <c r="B2140" s="40"/>
      <c r="C2140" s="41"/>
      <c r="D2140" s="41"/>
      <c r="E2140" s="41"/>
      <c r="F2140" s="41"/>
      <c r="G2140" s="41"/>
      <c r="H2140" s="41"/>
      <c r="I2140" s="41"/>
      <c r="J2140" s="41"/>
      <c r="K2140" s="41"/>
      <c r="L2140" s="41"/>
      <c r="M2140" s="41"/>
      <c r="N2140" s="41"/>
      <c r="O2140" s="41"/>
    </row>
    <row r="2141" spans="1:15">
      <c r="A2141" s="39"/>
      <c r="B2141" s="40"/>
      <c r="C2141" s="41"/>
      <c r="D2141" s="41"/>
      <c r="E2141" s="41"/>
      <c r="F2141" s="41"/>
      <c r="G2141" s="41"/>
      <c r="H2141" s="41"/>
      <c r="I2141" s="41"/>
      <c r="J2141" s="41"/>
      <c r="K2141" s="41"/>
      <c r="L2141" s="41"/>
      <c r="M2141" s="41"/>
      <c r="N2141" s="41"/>
      <c r="O2141" s="41"/>
    </row>
    <row r="2142" spans="1:15">
      <c r="A2142" s="39"/>
      <c r="B2142" s="40"/>
      <c r="C2142" s="41"/>
      <c r="D2142" s="41"/>
      <c r="E2142" s="41"/>
      <c r="F2142" s="41"/>
      <c r="G2142" s="41"/>
      <c r="H2142" s="41"/>
      <c r="I2142" s="41"/>
      <c r="J2142" s="41"/>
      <c r="K2142" s="41"/>
      <c r="L2142" s="41"/>
      <c r="M2142" s="41"/>
      <c r="N2142" s="41"/>
      <c r="O2142" s="41"/>
    </row>
    <row r="2143" spans="1:15">
      <c r="A2143" s="39"/>
      <c r="B2143" s="40"/>
      <c r="C2143" s="41"/>
      <c r="D2143" s="41"/>
      <c r="E2143" s="41"/>
      <c r="F2143" s="41"/>
      <c r="G2143" s="41"/>
      <c r="H2143" s="41"/>
      <c r="I2143" s="41"/>
      <c r="J2143" s="41"/>
      <c r="K2143" s="41"/>
      <c r="L2143" s="41"/>
      <c r="M2143" s="41"/>
      <c r="N2143" s="41"/>
      <c r="O2143" s="41"/>
    </row>
    <row r="2144" spans="1:15">
      <c r="A2144" s="39"/>
      <c r="B2144" s="40"/>
      <c r="C2144" s="41"/>
      <c r="D2144" s="41"/>
      <c r="E2144" s="41"/>
      <c r="F2144" s="41"/>
      <c r="G2144" s="41"/>
      <c r="H2144" s="41"/>
      <c r="I2144" s="41"/>
      <c r="J2144" s="41"/>
      <c r="K2144" s="41"/>
      <c r="L2144" s="41"/>
      <c r="M2144" s="41"/>
      <c r="N2144" s="41"/>
      <c r="O2144" s="41"/>
    </row>
    <row r="2145" spans="1:15">
      <c r="A2145" s="39"/>
      <c r="B2145" s="40"/>
      <c r="C2145" s="41"/>
      <c r="D2145" s="41"/>
      <c r="E2145" s="41"/>
      <c r="F2145" s="41"/>
      <c r="G2145" s="41"/>
      <c r="H2145" s="41"/>
      <c r="I2145" s="41"/>
      <c r="J2145" s="41"/>
      <c r="K2145" s="41"/>
      <c r="L2145" s="41"/>
      <c r="M2145" s="41"/>
      <c r="N2145" s="41"/>
      <c r="O2145" s="41"/>
    </row>
    <row r="2146" spans="1:15">
      <c r="A2146" s="39"/>
      <c r="B2146" s="40"/>
      <c r="C2146" s="41"/>
      <c r="D2146" s="41"/>
      <c r="E2146" s="41"/>
      <c r="F2146" s="41"/>
      <c r="G2146" s="41"/>
      <c r="H2146" s="41"/>
      <c r="I2146" s="41"/>
      <c r="J2146" s="41"/>
      <c r="K2146" s="41"/>
      <c r="L2146" s="41"/>
      <c r="M2146" s="41"/>
      <c r="N2146" s="41"/>
      <c r="O2146" s="41"/>
    </row>
    <row r="2147" spans="1:15">
      <c r="A2147" s="39"/>
      <c r="B2147" s="40"/>
      <c r="C2147" s="41"/>
      <c r="D2147" s="41"/>
      <c r="E2147" s="41"/>
      <c r="F2147" s="41"/>
      <c r="G2147" s="41"/>
      <c r="H2147" s="41"/>
      <c r="I2147" s="41"/>
      <c r="J2147" s="41"/>
      <c r="K2147" s="41"/>
      <c r="L2147" s="41"/>
      <c r="M2147" s="41"/>
      <c r="N2147" s="41"/>
      <c r="O2147" s="41"/>
    </row>
    <row r="2148" spans="1:15">
      <c r="A2148" s="39"/>
      <c r="B2148" s="40"/>
      <c r="C2148" s="41"/>
      <c r="D2148" s="41"/>
      <c r="E2148" s="41"/>
      <c r="F2148" s="41"/>
      <c r="G2148" s="41"/>
      <c r="H2148" s="41"/>
      <c r="I2148" s="41"/>
      <c r="J2148" s="41"/>
      <c r="K2148" s="41"/>
      <c r="L2148" s="41"/>
      <c r="M2148" s="41"/>
      <c r="N2148" s="41"/>
      <c r="O2148" s="41"/>
    </row>
    <row r="2149" spans="1:15">
      <c r="A2149" s="39"/>
      <c r="B2149" s="40"/>
      <c r="C2149" s="41"/>
      <c r="D2149" s="41"/>
      <c r="E2149" s="41"/>
      <c r="F2149" s="41"/>
      <c r="G2149" s="41"/>
      <c r="H2149" s="41"/>
      <c r="I2149" s="41"/>
      <c r="J2149" s="41"/>
      <c r="K2149" s="41"/>
      <c r="L2149" s="41"/>
      <c r="M2149" s="41"/>
      <c r="N2149" s="41"/>
      <c r="O2149" s="41"/>
    </row>
    <row r="2150" spans="1:15">
      <c r="A2150" s="39"/>
      <c r="B2150" s="40"/>
      <c r="C2150" s="41"/>
      <c r="D2150" s="41"/>
      <c r="E2150" s="41"/>
      <c r="F2150" s="41"/>
      <c r="G2150" s="41"/>
      <c r="H2150" s="41"/>
      <c r="I2150" s="41"/>
      <c r="J2150" s="41"/>
      <c r="K2150" s="41"/>
      <c r="L2150" s="41"/>
      <c r="M2150" s="41"/>
      <c r="N2150" s="41"/>
      <c r="O2150" s="41"/>
    </row>
    <row r="2151" spans="1:15">
      <c r="A2151" s="39"/>
      <c r="B2151" s="40"/>
      <c r="C2151" s="41"/>
      <c r="D2151" s="41"/>
      <c r="E2151" s="41"/>
      <c r="F2151" s="41"/>
      <c r="G2151" s="41"/>
      <c r="H2151" s="41"/>
      <c r="I2151" s="41"/>
      <c r="J2151" s="41"/>
      <c r="K2151" s="41"/>
      <c r="L2151" s="41"/>
      <c r="M2151" s="41"/>
      <c r="N2151" s="41"/>
      <c r="O2151" s="41"/>
    </row>
    <row r="2152" spans="1:15">
      <c r="A2152" s="39"/>
      <c r="B2152" s="40"/>
      <c r="C2152" s="41"/>
      <c r="D2152" s="41"/>
      <c r="E2152" s="41"/>
      <c r="F2152" s="41"/>
      <c r="G2152" s="41"/>
      <c r="H2152" s="41"/>
      <c r="I2152" s="41"/>
      <c r="J2152" s="41"/>
      <c r="K2152" s="41"/>
      <c r="L2152" s="41"/>
      <c r="M2152" s="41"/>
      <c r="N2152" s="41"/>
      <c r="O2152" s="41"/>
    </row>
    <row r="2153" spans="1:15">
      <c r="A2153" s="39"/>
      <c r="B2153" s="40"/>
      <c r="C2153" s="41"/>
      <c r="D2153" s="41"/>
      <c r="E2153" s="41"/>
      <c r="F2153" s="41"/>
      <c r="G2153" s="41"/>
      <c r="H2153" s="41"/>
      <c r="I2153" s="41"/>
      <c r="J2153" s="41"/>
      <c r="K2153" s="41"/>
      <c r="L2153" s="41"/>
      <c r="M2153" s="41"/>
      <c r="N2153" s="41"/>
      <c r="O2153" s="41"/>
    </row>
    <row r="2154" spans="1:15">
      <c r="A2154" s="39"/>
      <c r="B2154" s="40"/>
      <c r="C2154" s="41"/>
      <c r="D2154" s="41"/>
      <c r="E2154" s="41"/>
      <c r="F2154" s="41"/>
      <c r="G2154" s="41"/>
      <c r="H2154" s="41"/>
      <c r="I2154" s="41"/>
      <c r="J2154" s="41"/>
      <c r="K2154" s="41"/>
      <c r="L2154" s="41"/>
      <c r="M2154" s="41"/>
      <c r="N2154" s="41"/>
      <c r="O2154" s="41"/>
    </row>
    <row r="2155" spans="1:15">
      <c r="A2155" s="39"/>
      <c r="B2155" s="40"/>
      <c r="C2155" s="41"/>
      <c r="D2155" s="41"/>
      <c r="E2155" s="41"/>
      <c r="F2155" s="41"/>
      <c r="G2155" s="41"/>
      <c r="H2155" s="41"/>
      <c r="I2155" s="41"/>
      <c r="J2155" s="41"/>
      <c r="K2155" s="41"/>
      <c r="L2155" s="41"/>
      <c r="M2155" s="41"/>
      <c r="N2155" s="41"/>
      <c r="O2155" s="41"/>
    </row>
    <row r="2156" spans="1:15">
      <c r="A2156" s="39"/>
      <c r="B2156" s="40"/>
      <c r="C2156" s="41"/>
      <c r="D2156" s="41"/>
      <c r="E2156" s="41"/>
      <c r="F2156" s="41"/>
      <c r="G2156" s="41"/>
      <c r="H2156" s="41"/>
      <c r="I2156" s="41"/>
      <c r="J2156" s="41"/>
      <c r="K2156" s="41"/>
      <c r="L2156" s="41"/>
      <c r="M2156" s="41"/>
      <c r="N2156" s="41"/>
      <c r="O2156" s="41"/>
    </row>
    <row r="2157" spans="1:15">
      <c r="A2157" s="39"/>
      <c r="B2157" s="40"/>
      <c r="C2157" s="41"/>
      <c r="D2157" s="41"/>
      <c r="E2157" s="41"/>
      <c r="F2157" s="41"/>
      <c r="G2157" s="41"/>
      <c r="H2157" s="41"/>
      <c r="I2157" s="41"/>
      <c r="J2157" s="41"/>
      <c r="K2157" s="41"/>
      <c r="L2157" s="41"/>
      <c r="M2157" s="41"/>
      <c r="N2157" s="41"/>
      <c r="O2157" s="41"/>
    </row>
    <row r="2158" spans="1:15">
      <c r="A2158" s="39"/>
      <c r="B2158" s="40"/>
      <c r="C2158" s="41"/>
      <c r="D2158" s="41"/>
      <c r="E2158" s="41"/>
      <c r="F2158" s="41"/>
      <c r="G2158" s="41"/>
      <c r="H2158" s="41"/>
      <c r="I2158" s="41"/>
      <c r="J2158" s="41"/>
      <c r="K2158" s="41"/>
      <c r="L2158" s="41"/>
      <c r="M2158" s="41"/>
      <c r="N2158" s="41"/>
      <c r="O2158" s="41"/>
    </row>
    <row r="2159" spans="1:15">
      <c r="A2159" s="39"/>
      <c r="B2159" s="40"/>
      <c r="C2159" s="41"/>
      <c r="D2159" s="41"/>
      <c r="E2159" s="41"/>
      <c r="F2159" s="41"/>
      <c r="G2159" s="41"/>
      <c r="H2159" s="41"/>
      <c r="I2159" s="41"/>
      <c r="J2159" s="41"/>
      <c r="K2159" s="41"/>
      <c r="L2159" s="41"/>
      <c r="M2159" s="41"/>
      <c r="N2159" s="41"/>
      <c r="O2159" s="41"/>
    </row>
    <row r="2160" spans="1:15">
      <c r="A2160" s="39"/>
      <c r="B2160" s="40"/>
      <c r="C2160" s="41"/>
      <c r="D2160" s="41"/>
      <c r="E2160" s="41"/>
      <c r="F2160" s="41"/>
      <c r="G2160" s="41"/>
      <c r="H2160" s="41"/>
      <c r="I2160" s="41"/>
      <c r="J2160" s="41"/>
      <c r="K2160" s="41"/>
      <c r="L2160" s="41"/>
      <c r="M2160" s="41"/>
      <c r="N2160" s="41"/>
      <c r="O2160" s="41"/>
    </row>
    <row r="2161" spans="1:15">
      <c r="A2161" s="39"/>
      <c r="B2161" s="40"/>
      <c r="C2161" s="41"/>
      <c r="D2161" s="41"/>
      <c r="E2161" s="41"/>
      <c r="F2161" s="41"/>
      <c r="G2161" s="41"/>
      <c r="H2161" s="41"/>
      <c r="I2161" s="41"/>
      <c r="J2161" s="41"/>
      <c r="K2161" s="41"/>
      <c r="L2161" s="41"/>
      <c r="M2161" s="41"/>
      <c r="N2161" s="41"/>
      <c r="O2161" s="41"/>
    </row>
    <row r="2162" spans="1:15">
      <c r="A2162" s="39"/>
      <c r="B2162" s="40"/>
      <c r="C2162" s="41"/>
      <c r="D2162" s="41"/>
      <c r="E2162" s="41"/>
      <c r="F2162" s="41"/>
      <c r="G2162" s="41"/>
      <c r="H2162" s="41"/>
      <c r="I2162" s="41"/>
      <c r="J2162" s="41"/>
      <c r="K2162" s="41"/>
      <c r="L2162" s="41"/>
      <c r="M2162" s="41"/>
      <c r="N2162" s="41"/>
      <c r="O2162" s="41"/>
    </row>
    <row r="2163" spans="1:15">
      <c r="A2163" s="39"/>
      <c r="B2163" s="40"/>
      <c r="C2163" s="41"/>
      <c r="D2163" s="41"/>
      <c r="E2163" s="41"/>
      <c r="F2163" s="41"/>
      <c r="G2163" s="41"/>
      <c r="H2163" s="41"/>
      <c r="I2163" s="41"/>
      <c r="J2163" s="41"/>
      <c r="K2163" s="41"/>
      <c r="L2163" s="41"/>
      <c r="M2163" s="41"/>
      <c r="N2163" s="41"/>
      <c r="O2163" s="41"/>
    </row>
    <row r="2164" spans="1:15">
      <c r="A2164" s="39"/>
      <c r="B2164" s="40"/>
      <c r="C2164" s="41"/>
      <c r="D2164" s="41"/>
      <c r="E2164" s="41"/>
      <c r="F2164" s="41"/>
      <c r="G2164" s="41"/>
      <c r="H2164" s="41"/>
      <c r="I2164" s="41"/>
      <c r="J2164" s="41"/>
      <c r="K2164" s="41"/>
      <c r="L2164" s="41"/>
      <c r="M2164" s="41"/>
      <c r="N2164" s="41"/>
      <c r="O2164" s="41"/>
    </row>
    <row r="2165" spans="1:15">
      <c r="A2165" s="39"/>
      <c r="B2165" s="40"/>
      <c r="C2165" s="41"/>
      <c r="D2165" s="41"/>
      <c r="E2165" s="41"/>
      <c r="F2165" s="41"/>
      <c r="G2165" s="41"/>
      <c r="H2165" s="41"/>
      <c r="I2165" s="41"/>
      <c r="J2165" s="41"/>
      <c r="K2165" s="41"/>
      <c r="L2165" s="41"/>
      <c r="M2165" s="41"/>
      <c r="N2165" s="41"/>
      <c r="O2165" s="41"/>
    </row>
    <row r="2166" spans="1:15">
      <c r="A2166" s="39"/>
      <c r="B2166" s="40"/>
      <c r="C2166" s="41"/>
      <c r="D2166" s="41"/>
      <c r="E2166" s="41"/>
      <c r="F2166" s="41"/>
      <c r="G2166" s="41"/>
      <c r="H2166" s="41"/>
      <c r="I2166" s="41"/>
      <c r="J2166" s="41"/>
      <c r="K2166" s="41"/>
      <c r="L2166" s="41"/>
      <c r="M2166" s="41"/>
      <c r="N2166" s="41"/>
      <c r="O2166" s="41"/>
    </row>
    <row r="2167" spans="1:15">
      <c r="A2167" s="39"/>
      <c r="B2167" s="40"/>
      <c r="C2167" s="41"/>
      <c r="D2167" s="41"/>
      <c r="E2167" s="41"/>
      <c r="F2167" s="41"/>
      <c r="G2167" s="41"/>
      <c r="H2167" s="41"/>
      <c r="I2167" s="41"/>
      <c r="J2167" s="41"/>
      <c r="K2167" s="41"/>
      <c r="L2167" s="41"/>
      <c r="M2167" s="41"/>
      <c r="N2167" s="41"/>
      <c r="O2167" s="41"/>
    </row>
    <row r="2168" spans="1:15">
      <c r="A2168" s="39"/>
      <c r="B2168" s="40"/>
      <c r="C2168" s="41"/>
      <c r="D2168" s="41"/>
      <c r="E2168" s="41"/>
      <c r="F2168" s="41"/>
      <c r="G2168" s="41"/>
      <c r="H2168" s="41"/>
      <c r="I2168" s="41"/>
      <c r="J2168" s="41"/>
      <c r="K2168" s="41"/>
      <c r="L2168" s="41"/>
      <c r="M2168" s="41"/>
      <c r="N2168" s="41"/>
      <c r="O2168" s="41"/>
    </row>
    <row r="2169" spans="1:15">
      <c r="A2169" s="39"/>
      <c r="B2169" s="40"/>
      <c r="C2169" s="41"/>
      <c r="D2169" s="41"/>
      <c r="E2169" s="41"/>
      <c r="F2169" s="41"/>
      <c r="G2169" s="41"/>
      <c r="H2169" s="41"/>
      <c r="I2169" s="41"/>
      <c r="J2169" s="41"/>
      <c r="K2169" s="41"/>
      <c r="L2169" s="41"/>
      <c r="M2169" s="41"/>
      <c r="N2169" s="41"/>
      <c r="O2169" s="41"/>
    </row>
    <row r="2170" spans="1:15">
      <c r="A2170" s="39"/>
      <c r="B2170" s="40"/>
      <c r="C2170" s="41"/>
      <c r="D2170" s="41"/>
      <c r="E2170" s="41"/>
      <c r="F2170" s="41"/>
      <c r="G2170" s="41"/>
      <c r="H2170" s="41"/>
      <c r="I2170" s="41"/>
      <c r="J2170" s="41"/>
      <c r="K2170" s="41"/>
      <c r="L2170" s="41"/>
      <c r="M2170" s="41"/>
      <c r="N2170" s="41"/>
      <c r="O2170" s="41"/>
    </row>
    <row r="2171" spans="1:15">
      <c r="A2171" s="39"/>
      <c r="B2171" s="40"/>
      <c r="C2171" s="41"/>
      <c r="D2171" s="41"/>
      <c r="E2171" s="41"/>
      <c r="F2171" s="41"/>
      <c r="G2171" s="41"/>
      <c r="H2171" s="41"/>
      <c r="I2171" s="41"/>
      <c r="J2171" s="41"/>
      <c r="K2171" s="41"/>
      <c r="L2171" s="41"/>
      <c r="M2171" s="41"/>
      <c r="N2171" s="41"/>
      <c r="O2171" s="41"/>
    </row>
    <row r="2172" spans="1:15">
      <c r="A2172" s="39"/>
      <c r="B2172" s="40"/>
      <c r="C2172" s="41"/>
      <c r="D2172" s="41"/>
      <c r="E2172" s="41"/>
      <c r="F2172" s="41"/>
      <c r="G2172" s="41"/>
      <c r="H2172" s="41"/>
      <c r="I2172" s="41"/>
      <c r="J2172" s="41"/>
      <c r="K2172" s="41"/>
      <c r="L2172" s="41"/>
      <c r="M2172" s="41"/>
      <c r="N2172" s="41"/>
      <c r="O2172" s="41"/>
    </row>
    <row r="2173" spans="1:15">
      <c r="A2173" s="39"/>
      <c r="B2173" s="40"/>
      <c r="C2173" s="41"/>
      <c r="D2173" s="41"/>
      <c r="E2173" s="41"/>
      <c r="F2173" s="41"/>
      <c r="G2173" s="41"/>
      <c r="H2173" s="41"/>
      <c r="I2173" s="41"/>
      <c r="J2173" s="41"/>
      <c r="K2173" s="41"/>
      <c r="L2173" s="41"/>
      <c r="M2173" s="41"/>
      <c r="N2173" s="41"/>
      <c r="O2173" s="41"/>
    </row>
    <row r="2174" spans="1:15">
      <c r="A2174" s="39"/>
      <c r="B2174" s="40"/>
      <c r="C2174" s="41"/>
      <c r="D2174" s="41"/>
      <c r="E2174" s="41"/>
      <c r="F2174" s="41"/>
      <c r="G2174" s="41"/>
      <c r="H2174" s="41"/>
      <c r="I2174" s="41"/>
      <c r="J2174" s="41"/>
      <c r="K2174" s="41"/>
      <c r="L2174" s="41"/>
      <c r="M2174" s="41"/>
      <c r="N2174" s="41"/>
      <c r="O2174" s="41"/>
    </row>
    <row r="2175" spans="1:15">
      <c r="A2175" s="39"/>
      <c r="B2175" s="40"/>
      <c r="C2175" s="41"/>
      <c r="D2175" s="41"/>
      <c r="E2175" s="41"/>
      <c r="F2175" s="41"/>
      <c r="G2175" s="41"/>
      <c r="H2175" s="41"/>
      <c r="I2175" s="41"/>
      <c r="J2175" s="41"/>
      <c r="K2175" s="41"/>
      <c r="L2175" s="41"/>
      <c r="M2175" s="41"/>
      <c r="N2175" s="41"/>
      <c r="O2175" s="41"/>
    </row>
    <row r="2176" spans="1:15">
      <c r="A2176" s="39"/>
      <c r="B2176" s="40"/>
      <c r="C2176" s="41"/>
      <c r="D2176" s="41"/>
      <c r="E2176" s="41"/>
      <c r="F2176" s="41"/>
      <c r="G2176" s="41"/>
      <c r="H2176" s="41"/>
      <c r="I2176" s="41"/>
      <c r="J2176" s="41"/>
      <c r="K2176" s="41"/>
      <c r="L2176" s="41"/>
      <c r="M2176" s="41"/>
      <c r="N2176" s="41"/>
      <c r="O2176" s="41"/>
    </row>
    <row r="2177" spans="1:15">
      <c r="A2177" s="39"/>
      <c r="B2177" s="40"/>
      <c r="C2177" s="41"/>
      <c r="D2177" s="41"/>
      <c r="E2177" s="41"/>
      <c r="F2177" s="41"/>
      <c r="G2177" s="41"/>
      <c r="H2177" s="41"/>
      <c r="I2177" s="41"/>
      <c r="J2177" s="41"/>
      <c r="K2177" s="41"/>
      <c r="L2177" s="41"/>
      <c r="M2177" s="41"/>
      <c r="N2177" s="41"/>
      <c r="O2177" s="41"/>
    </row>
    <row r="2178" spans="1:15">
      <c r="A2178" s="39"/>
      <c r="B2178" s="40"/>
      <c r="C2178" s="41"/>
      <c r="D2178" s="41"/>
      <c r="E2178" s="41"/>
      <c r="F2178" s="41"/>
      <c r="G2178" s="41"/>
      <c r="H2178" s="41"/>
      <c r="I2178" s="41"/>
      <c r="J2178" s="41"/>
      <c r="K2178" s="41"/>
      <c r="L2178" s="41"/>
      <c r="M2178" s="41"/>
      <c r="N2178" s="41"/>
      <c r="O2178" s="41"/>
    </row>
    <row r="2179" spans="1:15">
      <c r="A2179" s="39"/>
      <c r="B2179" s="40"/>
      <c r="C2179" s="41"/>
      <c r="D2179" s="41"/>
      <c r="E2179" s="41"/>
      <c r="F2179" s="41"/>
      <c r="G2179" s="41"/>
      <c r="H2179" s="41"/>
      <c r="I2179" s="41"/>
      <c r="J2179" s="41"/>
      <c r="K2179" s="41"/>
      <c r="L2179" s="41"/>
      <c r="M2179" s="41"/>
      <c r="N2179" s="41"/>
      <c r="O2179" s="41"/>
    </row>
    <row r="2180" spans="1:15">
      <c r="A2180" s="39"/>
      <c r="B2180" s="40"/>
      <c r="C2180" s="41"/>
      <c r="D2180" s="41"/>
      <c r="E2180" s="41"/>
      <c r="F2180" s="41"/>
      <c r="G2180" s="41"/>
      <c r="H2180" s="41"/>
      <c r="I2180" s="41"/>
      <c r="J2180" s="41"/>
      <c r="K2180" s="41"/>
      <c r="L2180" s="41"/>
      <c r="M2180" s="41"/>
      <c r="N2180" s="41"/>
      <c r="O2180" s="41"/>
    </row>
    <row r="2181" spans="1:15">
      <c r="A2181" s="39"/>
      <c r="B2181" s="40"/>
      <c r="C2181" s="41"/>
      <c r="D2181" s="41"/>
      <c r="E2181" s="41"/>
      <c r="F2181" s="41"/>
      <c r="G2181" s="41"/>
      <c r="H2181" s="41"/>
      <c r="I2181" s="41"/>
      <c r="J2181" s="41"/>
      <c r="K2181" s="41"/>
      <c r="L2181" s="41"/>
      <c r="M2181" s="41"/>
      <c r="N2181" s="41"/>
      <c r="O2181" s="41"/>
    </row>
    <row r="2182" spans="1:15">
      <c r="A2182" s="39"/>
      <c r="B2182" s="40"/>
      <c r="C2182" s="41"/>
      <c r="D2182" s="41"/>
      <c r="E2182" s="41"/>
      <c r="F2182" s="41"/>
      <c r="G2182" s="41"/>
      <c r="H2182" s="41"/>
      <c r="I2182" s="41"/>
      <c r="J2182" s="41"/>
      <c r="K2182" s="41"/>
      <c r="L2182" s="41"/>
      <c r="M2182" s="41"/>
      <c r="N2182" s="41"/>
      <c r="O2182" s="41"/>
    </row>
    <row r="2183" spans="1:15">
      <c r="A2183" s="39"/>
      <c r="B2183" s="40"/>
      <c r="C2183" s="41"/>
      <c r="D2183" s="41"/>
      <c r="E2183" s="41"/>
      <c r="F2183" s="41"/>
      <c r="G2183" s="41"/>
      <c r="H2183" s="41"/>
      <c r="I2183" s="41"/>
      <c r="J2183" s="41"/>
      <c r="K2183" s="41"/>
      <c r="L2183" s="41"/>
      <c r="M2183" s="41"/>
      <c r="N2183" s="41"/>
      <c r="O2183" s="41"/>
    </row>
    <row r="2184" spans="1:15">
      <c r="A2184" s="39"/>
      <c r="B2184" s="40"/>
      <c r="C2184" s="41"/>
      <c r="D2184" s="41"/>
      <c r="E2184" s="41"/>
      <c r="F2184" s="41"/>
      <c r="G2184" s="41"/>
      <c r="H2184" s="41"/>
      <c r="I2184" s="41"/>
      <c r="J2184" s="41"/>
      <c r="K2184" s="41"/>
      <c r="L2184" s="41"/>
      <c r="M2184" s="41"/>
      <c r="N2184" s="41"/>
      <c r="O2184" s="41"/>
    </row>
    <row r="2185" spans="1:15">
      <c r="A2185" s="39"/>
      <c r="B2185" s="40"/>
      <c r="C2185" s="41"/>
      <c r="D2185" s="41"/>
      <c r="E2185" s="41"/>
      <c r="F2185" s="41"/>
      <c r="G2185" s="41"/>
      <c r="H2185" s="41"/>
      <c r="I2185" s="41"/>
      <c r="J2185" s="41"/>
      <c r="K2185" s="41"/>
      <c r="L2185" s="41"/>
      <c r="M2185" s="41"/>
      <c r="N2185" s="41"/>
      <c r="O2185" s="41"/>
    </row>
    <row r="2186" spans="1:15">
      <c r="A2186" s="39"/>
      <c r="B2186" s="40"/>
      <c r="C2186" s="41"/>
      <c r="D2186" s="41"/>
      <c r="E2186" s="41"/>
      <c r="F2186" s="41"/>
      <c r="G2186" s="41"/>
      <c r="H2186" s="41"/>
      <c r="I2186" s="41"/>
      <c r="J2186" s="41"/>
      <c r="K2186" s="41"/>
      <c r="L2186" s="41"/>
      <c r="M2186" s="41"/>
      <c r="N2186" s="41"/>
      <c r="O2186" s="41"/>
    </row>
    <row r="2187" spans="1:15">
      <c r="A2187" s="39"/>
      <c r="B2187" s="40"/>
      <c r="C2187" s="41"/>
      <c r="D2187" s="41"/>
      <c r="E2187" s="41"/>
      <c r="F2187" s="41"/>
      <c r="G2187" s="41"/>
      <c r="H2187" s="41"/>
      <c r="I2187" s="41"/>
      <c r="J2187" s="41"/>
      <c r="K2187" s="41"/>
      <c r="L2187" s="41"/>
      <c r="M2187" s="41"/>
      <c r="N2187" s="41"/>
      <c r="O2187" s="41"/>
    </row>
    <row r="2188" spans="1:15">
      <c r="A2188" s="39"/>
      <c r="B2188" s="40"/>
      <c r="C2188" s="41"/>
      <c r="D2188" s="41"/>
      <c r="E2188" s="41"/>
      <c r="F2188" s="41"/>
      <c r="G2188" s="41"/>
      <c r="H2188" s="41"/>
      <c r="I2188" s="41"/>
      <c r="J2188" s="41"/>
      <c r="K2188" s="41"/>
      <c r="L2188" s="41"/>
      <c r="M2188" s="41"/>
      <c r="N2188" s="41"/>
      <c r="O2188" s="41"/>
    </row>
    <row r="2189" spans="1:15">
      <c r="A2189" s="39"/>
      <c r="B2189" s="40"/>
      <c r="C2189" s="41"/>
      <c r="D2189" s="41"/>
      <c r="E2189" s="41"/>
      <c r="F2189" s="41"/>
      <c r="G2189" s="41"/>
      <c r="H2189" s="41"/>
      <c r="I2189" s="41"/>
      <c r="J2189" s="41"/>
      <c r="K2189" s="41"/>
      <c r="L2189" s="41"/>
      <c r="M2189" s="41"/>
      <c r="N2189" s="41"/>
      <c r="O2189" s="41"/>
    </row>
    <row r="2190" spans="1:15">
      <c r="A2190" s="39"/>
      <c r="B2190" s="40"/>
      <c r="C2190" s="41"/>
      <c r="D2190" s="41"/>
      <c r="E2190" s="41"/>
      <c r="F2190" s="41"/>
      <c r="G2190" s="41"/>
      <c r="H2190" s="41"/>
      <c r="I2190" s="41"/>
      <c r="J2190" s="41"/>
      <c r="K2190" s="41"/>
      <c r="L2190" s="41"/>
      <c r="M2190" s="41"/>
      <c r="N2190" s="41"/>
      <c r="O2190" s="41"/>
    </row>
    <row r="2191" spans="1:15">
      <c r="A2191" s="39"/>
      <c r="B2191" s="40"/>
      <c r="C2191" s="41"/>
      <c r="D2191" s="41"/>
      <c r="E2191" s="41"/>
      <c r="F2191" s="41"/>
      <c r="G2191" s="41"/>
      <c r="H2191" s="41"/>
      <c r="I2191" s="41"/>
      <c r="J2191" s="41"/>
      <c r="K2191" s="41"/>
      <c r="L2191" s="41"/>
      <c r="M2191" s="41"/>
      <c r="N2191" s="41"/>
      <c r="O2191" s="41"/>
    </row>
    <row r="2192" spans="1:15">
      <c r="A2192" s="39"/>
      <c r="B2192" s="40"/>
      <c r="C2192" s="41"/>
      <c r="D2192" s="41"/>
      <c r="E2192" s="41"/>
      <c r="F2192" s="41"/>
      <c r="G2192" s="41"/>
      <c r="H2192" s="41"/>
      <c r="I2192" s="41"/>
      <c r="J2192" s="41"/>
      <c r="K2192" s="41"/>
      <c r="L2192" s="41"/>
      <c r="M2192" s="41"/>
      <c r="N2192" s="41"/>
      <c r="O2192" s="41"/>
    </row>
    <row r="2193" spans="1:15">
      <c r="A2193" s="39"/>
      <c r="B2193" s="40"/>
      <c r="C2193" s="41"/>
      <c r="D2193" s="41"/>
      <c r="E2193" s="41"/>
      <c r="F2193" s="41"/>
      <c r="G2193" s="41"/>
      <c r="H2193" s="41"/>
      <c r="I2193" s="41"/>
      <c r="J2193" s="41"/>
      <c r="K2193" s="41"/>
      <c r="L2193" s="41"/>
      <c r="M2193" s="41"/>
      <c r="N2193" s="41"/>
      <c r="O2193" s="41"/>
    </row>
    <row r="2194" spans="1:15">
      <c r="A2194" s="39"/>
      <c r="B2194" s="40"/>
      <c r="C2194" s="41"/>
      <c r="D2194" s="41"/>
      <c r="E2194" s="41"/>
      <c r="F2194" s="41"/>
      <c r="G2194" s="41"/>
      <c r="H2194" s="41"/>
      <c r="I2194" s="41"/>
      <c r="J2194" s="41"/>
      <c r="K2194" s="41"/>
      <c r="L2194" s="41"/>
      <c r="M2194" s="41"/>
      <c r="N2194" s="41"/>
      <c r="O2194" s="41"/>
    </row>
    <row r="2195" spans="1:15">
      <c r="A2195" s="39"/>
      <c r="B2195" s="40"/>
      <c r="C2195" s="41"/>
      <c r="D2195" s="41"/>
      <c r="E2195" s="41"/>
      <c r="F2195" s="41"/>
      <c r="G2195" s="41"/>
      <c r="H2195" s="41"/>
      <c r="I2195" s="41"/>
      <c r="J2195" s="41"/>
      <c r="K2195" s="41"/>
      <c r="L2195" s="41"/>
      <c r="M2195" s="41"/>
      <c r="N2195" s="41"/>
      <c r="O2195" s="41"/>
    </row>
    <row r="2196" spans="1:15">
      <c r="A2196" s="39"/>
      <c r="B2196" s="40"/>
      <c r="C2196" s="41"/>
      <c r="D2196" s="41"/>
      <c r="E2196" s="41"/>
      <c r="F2196" s="41"/>
      <c r="G2196" s="41"/>
      <c r="H2196" s="41"/>
      <c r="I2196" s="41"/>
      <c r="J2196" s="41"/>
      <c r="K2196" s="41"/>
      <c r="L2196" s="41"/>
      <c r="M2196" s="41"/>
      <c r="N2196" s="41"/>
      <c r="O2196" s="41"/>
    </row>
    <row r="2197" spans="1:15">
      <c r="A2197" s="39"/>
      <c r="B2197" s="40"/>
      <c r="C2197" s="41"/>
      <c r="D2197" s="41"/>
      <c r="E2197" s="41"/>
      <c r="F2197" s="41"/>
      <c r="G2197" s="41"/>
      <c r="H2197" s="41"/>
      <c r="I2197" s="41"/>
      <c r="J2197" s="41"/>
      <c r="K2197" s="41"/>
      <c r="L2197" s="41"/>
      <c r="M2197" s="41"/>
      <c r="N2197" s="41"/>
      <c r="O2197" s="41"/>
    </row>
    <row r="2198" spans="1:15">
      <c r="A2198" s="39"/>
      <c r="B2198" s="40"/>
      <c r="C2198" s="41"/>
      <c r="D2198" s="41"/>
      <c r="E2198" s="41"/>
      <c r="F2198" s="41"/>
      <c r="G2198" s="41"/>
      <c r="H2198" s="41"/>
      <c r="I2198" s="41"/>
      <c r="J2198" s="41"/>
      <c r="K2198" s="41"/>
      <c r="L2198" s="41"/>
      <c r="M2198" s="41"/>
      <c r="N2198" s="41"/>
      <c r="O2198" s="41"/>
    </row>
    <row r="2199" spans="1:15">
      <c r="A2199" s="39"/>
      <c r="B2199" s="40"/>
      <c r="C2199" s="41"/>
      <c r="D2199" s="41"/>
      <c r="E2199" s="41"/>
      <c r="F2199" s="41"/>
      <c r="G2199" s="41"/>
      <c r="H2199" s="41"/>
      <c r="I2199" s="41"/>
      <c r="J2199" s="41"/>
      <c r="K2199" s="41"/>
      <c r="L2199" s="41"/>
      <c r="M2199" s="41"/>
      <c r="N2199" s="41"/>
      <c r="O2199" s="41"/>
    </row>
    <row r="2200" spans="1:15">
      <c r="A2200" s="39"/>
      <c r="B2200" s="40"/>
      <c r="C2200" s="41"/>
      <c r="D2200" s="41"/>
      <c r="E2200" s="41"/>
      <c r="F2200" s="41"/>
      <c r="G2200" s="41"/>
      <c r="H2200" s="41"/>
      <c r="I2200" s="41"/>
      <c r="J2200" s="41"/>
      <c r="K2200" s="41"/>
      <c r="L2200" s="41"/>
      <c r="M2200" s="41"/>
      <c r="N2200" s="41"/>
      <c r="O2200" s="41"/>
    </row>
    <row r="2201" spans="1:15">
      <c r="A2201" s="39"/>
      <c r="B2201" s="40"/>
      <c r="C2201" s="41"/>
      <c r="D2201" s="41"/>
      <c r="E2201" s="41"/>
      <c r="F2201" s="41"/>
      <c r="G2201" s="41"/>
      <c r="H2201" s="41"/>
      <c r="I2201" s="41"/>
      <c r="J2201" s="41"/>
      <c r="K2201" s="41"/>
      <c r="L2201" s="41"/>
      <c r="M2201" s="41"/>
      <c r="N2201" s="41"/>
      <c r="O2201" s="41"/>
    </row>
    <row r="2202" spans="1:15">
      <c r="A2202" s="39"/>
      <c r="B2202" s="40"/>
      <c r="C2202" s="41"/>
      <c r="D2202" s="41"/>
      <c r="E2202" s="41"/>
      <c r="F2202" s="41"/>
      <c r="G2202" s="41"/>
      <c r="H2202" s="41"/>
      <c r="I2202" s="41"/>
      <c r="J2202" s="41"/>
      <c r="K2202" s="41"/>
      <c r="L2202" s="41"/>
      <c r="M2202" s="41"/>
      <c r="N2202" s="41"/>
      <c r="O2202" s="41"/>
    </row>
    <row r="2203" spans="1:15">
      <c r="A2203" s="39"/>
      <c r="B2203" s="40"/>
      <c r="C2203" s="41"/>
      <c r="D2203" s="41"/>
      <c r="E2203" s="41"/>
      <c r="F2203" s="41"/>
      <c r="G2203" s="41"/>
      <c r="H2203" s="41"/>
      <c r="I2203" s="41"/>
      <c r="J2203" s="41"/>
      <c r="K2203" s="41"/>
      <c r="L2203" s="41"/>
      <c r="M2203" s="41"/>
      <c r="N2203" s="41"/>
      <c r="O2203" s="41"/>
    </row>
    <row r="2204" spans="1:15">
      <c r="A2204" s="39"/>
      <c r="B2204" s="40"/>
      <c r="C2204" s="41"/>
      <c r="D2204" s="41"/>
      <c r="E2204" s="41"/>
      <c r="F2204" s="41"/>
      <c r="G2204" s="41"/>
      <c r="H2204" s="41"/>
      <c r="I2204" s="41"/>
      <c r="J2204" s="41"/>
      <c r="K2204" s="41"/>
      <c r="L2204" s="41"/>
      <c r="M2204" s="41"/>
      <c r="N2204" s="41"/>
      <c r="O2204" s="41"/>
    </row>
    <row r="2205" spans="1:15">
      <c r="A2205" s="39"/>
      <c r="B2205" s="40"/>
      <c r="C2205" s="41"/>
      <c r="D2205" s="41"/>
      <c r="E2205" s="41"/>
      <c r="F2205" s="41"/>
      <c r="G2205" s="41"/>
      <c r="H2205" s="41"/>
      <c r="I2205" s="41"/>
      <c r="J2205" s="41"/>
      <c r="K2205" s="41"/>
      <c r="L2205" s="41"/>
      <c r="M2205" s="41"/>
      <c r="N2205" s="41"/>
      <c r="O2205" s="41"/>
    </row>
    <row r="2206" spans="1:15">
      <c r="A2206" s="39"/>
      <c r="B2206" s="40"/>
      <c r="C2206" s="41"/>
      <c r="D2206" s="41"/>
      <c r="E2206" s="41"/>
      <c r="F2206" s="41"/>
      <c r="G2206" s="41"/>
      <c r="H2206" s="41"/>
      <c r="I2206" s="41"/>
      <c r="J2206" s="41"/>
      <c r="K2206" s="41"/>
      <c r="L2206" s="41"/>
      <c r="M2206" s="41"/>
      <c r="N2206" s="41"/>
      <c r="O2206" s="41"/>
    </row>
    <row r="2207" spans="1:15">
      <c r="A2207" s="39"/>
      <c r="B2207" s="40"/>
      <c r="C2207" s="41"/>
      <c r="D2207" s="41"/>
      <c r="E2207" s="41"/>
      <c r="F2207" s="41"/>
      <c r="G2207" s="41"/>
      <c r="H2207" s="41"/>
      <c r="I2207" s="41"/>
      <c r="J2207" s="41"/>
      <c r="K2207" s="41"/>
      <c r="L2207" s="41"/>
      <c r="M2207" s="41"/>
      <c r="N2207" s="41"/>
      <c r="O2207" s="41"/>
    </row>
    <row r="2208" spans="1:15">
      <c r="A2208" s="39"/>
      <c r="B2208" s="40"/>
      <c r="C2208" s="41"/>
      <c r="D2208" s="41"/>
      <c r="E2208" s="41"/>
      <c r="F2208" s="41"/>
      <c r="G2208" s="41"/>
      <c r="H2208" s="41"/>
      <c r="I2208" s="41"/>
      <c r="J2208" s="41"/>
      <c r="K2208" s="41"/>
      <c r="L2208" s="41"/>
      <c r="M2208" s="41"/>
      <c r="N2208" s="41"/>
      <c r="O2208" s="41"/>
    </row>
    <row r="2209" spans="1:15">
      <c r="A2209" s="39"/>
      <c r="B2209" s="40"/>
      <c r="C2209" s="41"/>
      <c r="D2209" s="41"/>
      <c r="E2209" s="41"/>
      <c r="F2209" s="41"/>
      <c r="G2209" s="41"/>
      <c r="H2209" s="41"/>
      <c r="I2209" s="41"/>
      <c r="J2209" s="41"/>
      <c r="K2209" s="41"/>
      <c r="L2209" s="41"/>
      <c r="M2209" s="41"/>
      <c r="N2209" s="41"/>
      <c r="O2209" s="41"/>
    </row>
    <row r="2210" spans="1:15">
      <c r="A2210" s="39"/>
      <c r="B2210" s="40"/>
      <c r="C2210" s="41"/>
      <c r="D2210" s="41"/>
      <c r="E2210" s="41"/>
      <c r="F2210" s="41"/>
      <c r="G2210" s="41"/>
      <c r="H2210" s="41"/>
      <c r="I2210" s="41"/>
      <c r="J2210" s="41"/>
      <c r="K2210" s="41"/>
      <c r="L2210" s="41"/>
      <c r="M2210" s="41"/>
      <c r="N2210" s="41"/>
      <c r="O2210" s="41"/>
    </row>
    <row r="2211" spans="1:15">
      <c r="A2211" s="39"/>
      <c r="B2211" s="40"/>
      <c r="C2211" s="41"/>
      <c r="D2211" s="41"/>
      <c r="E2211" s="41"/>
      <c r="F2211" s="41"/>
      <c r="G2211" s="41"/>
      <c r="H2211" s="41"/>
      <c r="I2211" s="41"/>
      <c r="J2211" s="41"/>
      <c r="K2211" s="41"/>
      <c r="L2211" s="41"/>
      <c r="M2211" s="41"/>
      <c r="N2211" s="41"/>
      <c r="O2211" s="41"/>
    </row>
    <row r="2212" spans="1:15">
      <c r="A2212" s="39"/>
      <c r="B2212" s="40"/>
      <c r="C2212" s="41"/>
      <c r="D2212" s="41"/>
      <c r="E2212" s="41"/>
      <c r="F2212" s="41"/>
      <c r="G2212" s="41"/>
      <c r="H2212" s="41"/>
      <c r="I2212" s="41"/>
      <c r="J2212" s="41"/>
      <c r="K2212" s="41"/>
      <c r="L2212" s="41"/>
      <c r="M2212" s="41"/>
      <c r="N2212" s="41"/>
      <c r="O2212" s="41"/>
    </row>
    <row r="2213" spans="1:15">
      <c r="A2213" s="39"/>
      <c r="B2213" s="40"/>
      <c r="C2213" s="41"/>
      <c r="D2213" s="41"/>
      <c r="E2213" s="41"/>
      <c r="F2213" s="41"/>
      <c r="G2213" s="41"/>
      <c r="H2213" s="41"/>
      <c r="I2213" s="41"/>
      <c r="J2213" s="41"/>
      <c r="K2213" s="41"/>
      <c r="L2213" s="41"/>
      <c r="M2213" s="41"/>
      <c r="N2213" s="41"/>
      <c r="O2213" s="41"/>
    </row>
    <row r="2214" spans="1:15">
      <c r="A2214" s="39"/>
      <c r="B2214" s="40"/>
      <c r="C2214" s="41"/>
      <c r="D2214" s="41"/>
      <c r="E2214" s="41"/>
      <c r="F2214" s="41"/>
      <c r="G2214" s="41"/>
      <c r="H2214" s="41"/>
      <c r="I2214" s="41"/>
      <c r="J2214" s="41"/>
      <c r="K2214" s="41"/>
      <c r="L2214" s="41"/>
      <c r="M2214" s="41"/>
      <c r="N2214" s="41"/>
      <c r="O2214" s="41"/>
    </row>
    <row r="2215" spans="1:15">
      <c r="A2215" s="39"/>
      <c r="B2215" s="40"/>
      <c r="C2215" s="41"/>
      <c r="D2215" s="41"/>
      <c r="E2215" s="41"/>
      <c r="F2215" s="41"/>
      <c r="G2215" s="41"/>
      <c r="H2215" s="41"/>
      <c r="I2215" s="41"/>
      <c r="J2215" s="41"/>
      <c r="K2215" s="41"/>
      <c r="L2215" s="41"/>
      <c r="M2215" s="41"/>
      <c r="N2215" s="41"/>
      <c r="O2215" s="41"/>
    </row>
    <row r="2216" spans="1:15">
      <c r="A2216" s="39"/>
      <c r="B2216" s="40"/>
      <c r="C2216" s="41"/>
      <c r="D2216" s="41"/>
      <c r="E2216" s="41"/>
      <c r="F2216" s="41"/>
      <c r="G2216" s="41"/>
      <c r="H2216" s="41"/>
      <c r="I2216" s="41"/>
      <c r="J2216" s="41"/>
      <c r="K2216" s="41"/>
      <c r="L2216" s="41"/>
      <c r="M2216" s="41"/>
      <c r="N2216" s="41"/>
      <c r="O2216" s="41"/>
    </row>
    <row r="2217" spans="1:15">
      <c r="A2217" s="39"/>
      <c r="B2217" s="40"/>
      <c r="C2217" s="41"/>
      <c r="D2217" s="41"/>
      <c r="E2217" s="41"/>
      <c r="F2217" s="41"/>
      <c r="G2217" s="41"/>
      <c r="H2217" s="41"/>
      <c r="I2217" s="41"/>
      <c r="J2217" s="41"/>
      <c r="K2217" s="41"/>
      <c r="L2217" s="41"/>
      <c r="M2217" s="41"/>
      <c r="N2217" s="41"/>
      <c r="O2217" s="41"/>
    </row>
    <row r="2218" spans="1:15">
      <c r="A2218" s="39"/>
      <c r="B2218" s="40"/>
      <c r="C2218" s="41"/>
      <c r="D2218" s="41"/>
      <c r="E2218" s="41"/>
      <c r="F2218" s="41"/>
      <c r="G2218" s="41"/>
      <c r="H2218" s="41"/>
      <c r="I2218" s="41"/>
      <c r="J2218" s="41"/>
      <c r="K2218" s="41"/>
      <c r="L2218" s="41"/>
      <c r="M2218" s="41"/>
      <c r="N2218" s="41"/>
      <c r="O2218" s="41"/>
    </row>
    <row r="2219" spans="1:15">
      <c r="A2219" s="39"/>
      <c r="B2219" s="40"/>
      <c r="C2219" s="41"/>
      <c r="D2219" s="41"/>
      <c r="E2219" s="41"/>
      <c r="F2219" s="41"/>
      <c r="G2219" s="41"/>
      <c r="H2219" s="41"/>
      <c r="I2219" s="41"/>
      <c r="J2219" s="41"/>
      <c r="K2219" s="41"/>
      <c r="L2219" s="41"/>
      <c r="M2219" s="41"/>
      <c r="N2219" s="41"/>
      <c r="O2219" s="41"/>
    </row>
    <row r="2220" spans="1:15">
      <c r="A2220" s="39"/>
      <c r="B2220" s="40"/>
      <c r="C2220" s="41"/>
      <c r="D2220" s="41"/>
      <c r="E2220" s="41"/>
      <c r="F2220" s="41"/>
      <c r="G2220" s="41"/>
      <c r="H2220" s="41"/>
      <c r="I2220" s="41"/>
      <c r="J2220" s="41"/>
      <c r="K2220" s="41"/>
      <c r="L2220" s="41"/>
      <c r="M2220" s="41"/>
      <c r="N2220" s="41"/>
      <c r="O2220" s="41"/>
    </row>
    <row r="2221" spans="1:15">
      <c r="A2221" s="39"/>
      <c r="B2221" s="40"/>
      <c r="C2221" s="41"/>
      <c r="D2221" s="41"/>
      <c r="E2221" s="41"/>
      <c r="F2221" s="41"/>
      <c r="G2221" s="41"/>
      <c r="H2221" s="41"/>
      <c r="I2221" s="41"/>
      <c r="J2221" s="41"/>
      <c r="K2221" s="41"/>
      <c r="L2221" s="41"/>
      <c r="M2221" s="41"/>
      <c r="N2221" s="41"/>
      <c r="O2221" s="41"/>
    </row>
    <row r="2222" spans="1:15">
      <c r="A2222" s="39"/>
      <c r="B2222" s="40"/>
      <c r="C2222" s="41"/>
      <c r="D2222" s="41"/>
      <c r="E2222" s="41"/>
      <c r="F2222" s="41"/>
      <c r="G2222" s="41"/>
      <c r="H2222" s="41"/>
      <c r="I2222" s="41"/>
      <c r="J2222" s="41"/>
      <c r="K2222" s="41"/>
      <c r="L2222" s="41"/>
      <c r="M2222" s="41"/>
      <c r="N2222" s="41"/>
      <c r="O2222" s="41"/>
    </row>
    <row r="2223" spans="1:15">
      <c r="A2223" s="39"/>
      <c r="B2223" s="40"/>
      <c r="C2223" s="41"/>
      <c r="D2223" s="41"/>
      <c r="E2223" s="41"/>
      <c r="F2223" s="41"/>
      <c r="G2223" s="41"/>
      <c r="H2223" s="41"/>
      <c r="I2223" s="41"/>
      <c r="J2223" s="41"/>
      <c r="K2223" s="41"/>
      <c r="L2223" s="41"/>
      <c r="M2223" s="41"/>
      <c r="N2223" s="41"/>
      <c r="O2223" s="41"/>
    </row>
    <row r="2224" spans="1:15">
      <c r="A2224" s="39"/>
      <c r="B2224" s="40"/>
      <c r="C2224" s="41"/>
      <c r="D2224" s="41"/>
      <c r="E2224" s="41"/>
      <c r="F2224" s="41"/>
      <c r="G2224" s="41"/>
      <c r="H2224" s="41"/>
      <c r="I2224" s="41"/>
      <c r="J2224" s="41"/>
      <c r="K2224" s="41"/>
      <c r="L2224" s="41"/>
      <c r="M2224" s="41"/>
      <c r="N2224" s="41"/>
      <c r="O2224" s="41"/>
    </row>
    <row r="2225" spans="1:15">
      <c r="A2225" s="39"/>
      <c r="B2225" s="40"/>
      <c r="C2225" s="41"/>
      <c r="D2225" s="41"/>
      <c r="E2225" s="41"/>
      <c r="F2225" s="41"/>
      <c r="G2225" s="41"/>
      <c r="H2225" s="41"/>
      <c r="I2225" s="41"/>
      <c r="J2225" s="41"/>
      <c r="K2225" s="41"/>
      <c r="L2225" s="41"/>
      <c r="M2225" s="41"/>
      <c r="N2225" s="41"/>
      <c r="O2225" s="41"/>
    </row>
    <row r="2226" spans="1:15">
      <c r="A2226" s="39"/>
      <c r="B2226" s="40"/>
      <c r="C2226" s="41"/>
      <c r="D2226" s="41"/>
      <c r="E2226" s="41"/>
      <c r="F2226" s="41"/>
      <c r="G2226" s="41"/>
      <c r="H2226" s="41"/>
      <c r="I2226" s="41"/>
      <c r="J2226" s="41"/>
      <c r="K2226" s="41"/>
      <c r="L2226" s="41"/>
      <c r="M2226" s="41"/>
      <c r="N2226" s="41"/>
      <c r="O2226" s="41"/>
    </row>
    <row r="2227" spans="1:15">
      <c r="A2227" s="39"/>
      <c r="B2227" s="40"/>
      <c r="C2227" s="41"/>
      <c r="D2227" s="41"/>
      <c r="E2227" s="41"/>
      <c r="F2227" s="41"/>
      <c r="G2227" s="41"/>
      <c r="H2227" s="41"/>
      <c r="I2227" s="41"/>
      <c r="J2227" s="41"/>
      <c r="K2227" s="41"/>
      <c r="L2227" s="41"/>
      <c r="M2227" s="41"/>
      <c r="N2227" s="41"/>
      <c r="O2227" s="41"/>
    </row>
    <row r="2228" spans="1:15">
      <c r="A2228" s="39"/>
      <c r="B2228" s="40"/>
      <c r="C2228" s="41"/>
      <c r="D2228" s="41"/>
      <c r="E2228" s="41"/>
      <c r="F2228" s="41"/>
      <c r="G2228" s="41"/>
      <c r="H2228" s="41"/>
      <c r="I2228" s="41"/>
      <c r="J2228" s="41"/>
      <c r="K2228" s="41"/>
      <c r="L2228" s="41"/>
      <c r="M2228" s="41"/>
      <c r="N2228" s="41"/>
      <c r="O2228" s="41"/>
    </row>
    <row r="2229" spans="1:15">
      <c r="A2229" s="39"/>
      <c r="B2229" s="40"/>
      <c r="C2229" s="41"/>
      <c r="D2229" s="41"/>
      <c r="E2229" s="41"/>
      <c r="F2229" s="41"/>
      <c r="G2229" s="41"/>
      <c r="H2229" s="41"/>
      <c r="I2229" s="41"/>
      <c r="J2229" s="41"/>
      <c r="K2229" s="41"/>
      <c r="L2229" s="41"/>
      <c r="M2229" s="41"/>
      <c r="N2229" s="41"/>
      <c r="O2229" s="41"/>
    </row>
    <row r="2230" spans="1:15">
      <c r="A2230" s="39"/>
      <c r="B2230" s="40"/>
      <c r="C2230" s="41"/>
      <c r="D2230" s="41"/>
      <c r="E2230" s="41"/>
      <c r="F2230" s="41"/>
      <c r="G2230" s="41"/>
      <c r="H2230" s="41"/>
      <c r="I2230" s="41"/>
      <c r="J2230" s="41"/>
      <c r="K2230" s="41"/>
      <c r="L2230" s="41"/>
      <c r="M2230" s="41"/>
      <c r="N2230" s="41"/>
      <c r="O2230" s="41"/>
    </row>
    <row r="2231" spans="1:15">
      <c r="A2231" s="39"/>
      <c r="B2231" s="40"/>
      <c r="C2231" s="41"/>
      <c r="D2231" s="41"/>
      <c r="E2231" s="41"/>
      <c r="F2231" s="41"/>
      <c r="G2231" s="41"/>
      <c r="H2231" s="41"/>
      <c r="I2231" s="41"/>
      <c r="J2231" s="41"/>
      <c r="K2231" s="41"/>
      <c r="L2231" s="41"/>
      <c r="M2231" s="41"/>
      <c r="N2231" s="41"/>
      <c r="O2231" s="41"/>
    </row>
    <row r="2232" spans="1:15">
      <c r="A2232" s="39"/>
      <c r="B2232" s="40"/>
      <c r="C2232" s="41"/>
      <c r="D2232" s="41"/>
      <c r="E2232" s="41"/>
      <c r="F2232" s="41"/>
      <c r="G2232" s="41"/>
      <c r="H2232" s="41"/>
      <c r="I2232" s="41"/>
      <c r="J2232" s="41"/>
      <c r="K2232" s="41"/>
      <c r="L2232" s="41"/>
      <c r="M2232" s="41"/>
      <c r="N2232" s="41"/>
      <c r="O2232" s="41"/>
    </row>
    <row r="2233" spans="1:15">
      <c r="A2233" s="39"/>
      <c r="B2233" s="40"/>
      <c r="C2233" s="41"/>
      <c r="D2233" s="41"/>
      <c r="E2233" s="41"/>
      <c r="F2233" s="41"/>
      <c r="G2233" s="41"/>
      <c r="H2233" s="41"/>
      <c r="I2233" s="41"/>
      <c r="J2233" s="41"/>
      <c r="K2233" s="41"/>
      <c r="L2233" s="41"/>
      <c r="M2233" s="41"/>
      <c r="N2233" s="41"/>
      <c r="O2233" s="41"/>
    </row>
    <row r="2234" spans="1:15">
      <c r="A2234" s="39"/>
      <c r="B2234" s="40"/>
      <c r="C2234" s="41"/>
      <c r="D2234" s="41"/>
      <c r="E2234" s="41"/>
      <c r="F2234" s="41"/>
      <c r="G2234" s="41"/>
      <c r="H2234" s="41"/>
      <c r="I2234" s="41"/>
      <c r="J2234" s="41"/>
      <c r="K2234" s="41"/>
      <c r="L2234" s="41"/>
      <c r="M2234" s="41"/>
      <c r="N2234" s="41"/>
      <c r="O2234" s="41"/>
    </row>
    <row r="2235" spans="1:15">
      <c r="A2235" s="39"/>
      <c r="B2235" s="40"/>
      <c r="C2235" s="41"/>
      <c r="D2235" s="41"/>
      <c r="E2235" s="41"/>
      <c r="F2235" s="41"/>
      <c r="G2235" s="41"/>
      <c r="H2235" s="41"/>
      <c r="I2235" s="41"/>
      <c r="J2235" s="41"/>
      <c r="K2235" s="41"/>
      <c r="L2235" s="41"/>
      <c r="M2235" s="41"/>
      <c r="N2235" s="41"/>
      <c r="O2235" s="41"/>
    </row>
    <row r="2236" spans="1:15">
      <c r="A2236" s="39"/>
      <c r="B2236" s="40"/>
      <c r="C2236" s="41"/>
      <c r="D2236" s="41"/>
      <c r="E2236" s="41"/>
      <c r="F2236" s="41"/>
      <c r="G2236" s="41"/>
      <c r="H2236" s="41"/>
      <c r="I2236" s="41"/>
      <c r="J2236" s="41"/>
      <c r="K2236" s="41"/>
      <c r="L2236" s="41"/>
      <c r="M2236" s="41"/>
      <c r="N2236" s="41"/>
      <c r="O2236" s="41"/>
    </row>
    <row r="2237" spans="1:15">
      <c r="A2237" s="39"/>
      <c r="B2237" s="40"/>
      <c r="C2237" s="41"/>
      <c r="D2237" s="41"/>
      <c r="E2237" s="41"/>
      <c r="F2237" s="41"/>
      <c r="G2237" s="41"/>
      <c r="H2237" s="41"/>
      <c r="I2237" s="41"/>
      <c r="J2237" s="41"/>
      <c r="K2237" s="41"/>
      <c r="L2237" s="41"/>
      <c r="M2237" s="41"/>
      <c r="N2237" s="41"/>
      <c r="O2237" s="41"/>
    </row>
    <row r="2238" spans="1:15">
      <c r="A2238" s="39"/>
      <c r="B2238" s="40"/>
      <c r="C2238" s="41"/>
      <c r="D2238" s="41"/>
      <c r="E2238" s="41"/>
      <c r="F2238" s="41"/>
      <c r="G2238" s="41"/>
      <c r="H2238" s="41"/>
      <c r="I2238" s="41"/>
      <c r="J2238" s="41"/>
      <c r="K2238" s="41"/>
      <c r="L2238" s="41"/>
      <c r="M2238" s="41"/>
      <c r="N2238" s="41"/>
      <c r="O2238" s="41"/>
    </row>
    <row r="2239" spans="1:15">
      <c r="A2239" s="39"/>
      <c r="B2239" s="40"/>
      <c r="C2239" s="41"/>
      <c r="D2239" s="41"/>
      <c r="E2239" s="41"/>
      <c r="F2239" s="41"/>
      <c r="G2239" s="41"/>
      <c r="H2239" s="41"/>
      <c r="I2239" s="41"/>
      <c r="J2239" s="41"/>
      <c r="K2239" s="41"/>
      <c r="L2239" s="41"/>
      <c r="M2239" s="41"/>
      <c r="N2239" s="41"/>
      <c r="O2239" s="41"/>
    </row>
    <row r="2240" spans="1:15">
      <c r="A2240" s="39"/>
      <c r="B2240" s="40"/>
      <c r="C2240" s="41"/>
      <c r="D2240" s="41"/>
      <c r="E2240" s="41"/>
      <c r="F2240" s="41"/>
      <c r="G2240" s="41"/>
      <c r="H2240" s="41"/>
      <c r="I2240" s="41"/>
      <c r="J2240" s="41"/>
      <c r="K2240" s="41"/>
      <c r="L2240" s="41"/>
      <c r="M2240" s="41"/>
      <c r="N2240" s="41"/>
      <c r="O2240" s="41"/>
    </row>
    <row r="2241" spans="1:15">
      <c r="A2241" s="39"/>
      <c r="B2241" s="40"/>
      <c r="C2241" s="41"/>
      <c r="D2241" s="41"/>
      <c r="E2241" s="41"/>
      <c r="F2241" s="41"/>
      <c r="G2241" s="41"/>
      <c r="H2241" s="41"/>
      <c r="I2241" s="41"/>
      <c r="J2241" s="41"/>
      <c r="K2241" s="41"/>
      <c r="L2241" s="41"/>
      <c r="M2241" s="41"/>
      <c r="N2241" s="41"/>
      <c r="O2241" s="41"/>
    </row>
    <row r="2242" spans="1:15">
      <c r="A2242" s="39"/>
      <c r="B2242" s="40"/>
      <c r="C2242" s="41"/>
      <c r="D2242" s="41"/>
      <c r="E2242" s="41"/>
      <c r="F2242" s="41"/>
      <c r="G2242" s="41"/>
      <c r="H2242" s="41"/>
      <c r="I2242" s="41"/>
      <c r="J2242" s="41"/>
      <c r="K2242" s="41"/>
      <c r="L2242" s="41"/>
      <c r="M2242" s="41"/>
      <c r="N2242" s="41"/>
      <c r="O2242" s="41"/>
    </row>
    <row r="2243" spans="1:15">
      <c r="A2243" s="39"/>
      <c r="B2243" s="40"/>
      <c r="C2243" s="41"/>
      <c r="D2243" s="41"/>
      <c r="E2243" s="41"/>
      <c r="F2243" s="41"/>
      <c r="G2243" s="41"/>
      <c r="H2243" s="41"/>
      <c r="I2243" s="41"/>
      <c r="J2243" s="41"/>
      <c r="K2243" s="41"/>
      <c r="L2243" s="41"/>
      <c r="M2243" s="41"/>
      <c r="N2243" s="41"/>
      <c r="O2243" s="41"/>
    </row>
    <row r="2244" spans="1:15">
      <c r="A2244" s="39"/>
      <c r="B2244" s="40"/>
      <c r="C2244" s="41"/>
      <c r="D2244" s="41"/>
      <c r="E2244" s="41"/>
      <c r="F2244" s="41"/>
      <c r="G2244" s="41"/>
      <c r="H2244" s="41"/>
      <c r="I2244" s="41"/>
      <c r="J2244" s="41"/>
      <c r="K2244" s="41"/>
      <c r="L2244" s="41"/>
      <c r="M2244" s="41"/>
      <c r="N2244" s="41"/>
      <c r="O2244" s="41"/>
    </row>
    <row r="2245" spans="1:15">
      <c r="A2245" s="39"/>
      <c r="B2245" s="40"/>
      <c r="C2245" s="41"/>
      <c r="D2245" s="41"/>
      <c r="E2245" s="41"/>
      <c r="F2245" s="41"/>
      <c r="G2245" s="41"/>
      <c r="H2245" s="41"/>
      <c r="I2245" s="41"/>
      <c r="J2245" s="41"/>
      <c r="K2245" s="41"/>
      <c r="L2245" s="41"/>
      <c r="M2245" s="41"/>
      <c r="N2245" s="41"/>
      <c r="O2245" s="41"/>
    </row>
    <row r="2246" spans="1:15">
      <c r="A2246" s="39"/>
      <c r="B2246" s="40"/>
      <c r="C2246" s="41"/>
      <c r="D2246" s="41"/>
      <c r="E2246" s="41"/>
      <c r="F2246" s="41"/>
      <c r="G2246" s="41"/>
      <c r="H2246" s="41"/>
      <c r="I2246" s="41"/>
      <c r="J2246" s="41"/>
      <c r="K2246" s="41"/>
      <c r="L2246" s="41"/>
      <c r="M2246" s="41"/>
      <c r="N2246" s="41"/>
      <c r="O2246" s="41"/>
    </row>
    <row r="2247" spans="1:15">
      <c r="A2247" s="39"/>
      <c r="B2247" s="40"/>
      <c r="C2247" s="41"/>
      <c r="D2247" s="41"/>
      <c r="E2247" s="41"/>
      <c r="F2247" s="41"/>
      <c r="G2247" s="41"/>
      <c r="H2247" s="41"/>
      <c r="I2247" s="41"/>
      <c r="J2247" s="41"/>
      <c r="K2247" s="41"/>
      <c r="L2247" s="41"/>
      <c r="M2247" s="41"/>
      <c r="N2247" s="41"/>
      <c r="O2247" s="41"/>
    </row>
    <row r="2248" spans="1:15">
      <c r="A2248" s="39"/>
      <c r="B2248" s="40"/>
      <c r="C2248" s="41"/>
      <c r="D2248" s="41"/>
      <c r="E2248" s="41"/>
      <c r="F2248" s="41"/>
      <c r="G2248" s="41"/>
      <c r="H2248" s="41"/>
      <c r="I2248" s="41"/>
      <c r="J2248" s="41"/>
      <c r="K2248" s="41"/>
      <c r="L2248" s="41"/>
      <c r="M2248" s="41"/>
      <c r="N2248" s="41"/>
      <c r="O2248" s="41"/>
    </row>
    <row r="2249" spans="1:15">
      <c r="A2249" s="39"/>
      <c r="B2249" s="40"/>
      <c r="C2249" s="41"/>
      <c r="D2249" s="41"/>
      <c r="E2249" s="41"/>
      <c r="F2249" s="41"/>
      <c r="G2249" s="41"/>
      <c r="H2249" s="41"/>
      <c r="I2249" s="41"/>
      <c r="J2249" s="41"/>
      <c r="K2249" s="41"/>
      <c r="L2249" s="41"/>
      <c r="M2249" s="41"/>
      <c r="N2249" s="41"/>
      <c r="O2249" s="41"/>
    </row>
    <row r="2250" spans="1:15">
      <c r="A2250" s="39"/>
      <c r="B2250" s="40"/>
      <c r="C2250" s="41"/>
      <c r="D2250" s="41"/>
      <c r="E2250" s="41"/>
      <c r="F2250" s="41"/>
      <c r="G2250" s="41"/>
      <c r="H2250" s="41"/>
      <c r="I2250" s="41"/>
      <c r="J2250" s="41"/>
      <c r="K2250" s="41"/>
      <c r="L2250" s="41"/>
      <c r="M2250" s="41"/>
      <c r="N2250" s="41"/>
      <c r="O2250" s="41"/>
    </row>
    <row r="2251" spans="1:15">
      <c r="A2251" s="39"/>
      <c r="B2251" s="40"/>
      <c r="C2251" s="41"/>
      <c r="D2251" s="41"/>
      <c r="E2251" s="41"/>
      <c r="F2251" s="41"/>
      <c r="G2251" s="41"/>
      <c r="H2251" s="41"/>
      <c r="I2251" s="41"/>
      <c r="J2251" s="41"/>
      <c r="K2251" s="41"/>
      <c r="L2251" s="41"/>
      <c r="M2251" s="41"/>
      <c r="N2251" s="41"/>
      <c r="O2251" s="41"/>
    </row>
    <row r="2252" spans="1:15">
      <c r="A2252" s="39"/>
      <c r="B2252" s="40"/>
      <c r="C2252" s="41"/>
      <c r="D2252" s="41"/>
      <c r="E2252" s="41"/>
      <c r="F2252" s="41"/>
      <c r="G2252" s="41"/>
      <c r="H2252" s="41"/>
      <c r="I2252" s="41"/>
      <c r="J2252" s="41"/>
      <c r="K2252" s="41"/>
      <c r="L2252" s="41"/>
      <c r="M2252" s="41"/>
      <c r="N2252" s="41"/>
      <c r="O2252" s="41"/>
    </row>
    <row r="2253" spans="1:15">
      <c r="A2253" s="39"/>
      <c r="B2253" s="40"/>
      <c r="C2253" s="41"/>
      <c r="D2253" s="41"/>
      <c r="E2253" s="41"/>
      <c r="F2253" s="41"/>
      <c r="G2253" s="41"/>
      <c r="H2253" s="41"/>
      <c r="I2253" s="41"/>
      <c r="J2253" s="41"/>
      <c r="K2253" s="41"/>
      <c r="L2253" s="41"/>
      <c r="M2253" s="41"/>
      <c r="N2253" s="41"/>
      <c r="O2253" s="41"/>
    </row>
    <row r="2254" spans="1:15">
      <c r="A2254" s="39"/>
      <c r="B2254" s="40"/>
      <c r="C2254" s="41"/>
      <c r="D2254" s="41"/>
      <c r="E2254" s="41"/>
      <c r="F2254" s="41"/>
      <c r="G2254" s="41"/>
      <c r="H2254" s="41"/>
      <c r="I2254" s="41"/>
      <c r="J2254" s="41"/>
      <c r="K2254" s="41"/>
      <c r="L2254" s="41"/>
      <c r="M2254" s="41"/>
      <c r="N2254" s="41"/>
      <c r="O2254" s="41"/>
    </row>
    <row r="2255" spans="1:15">
      <c r="A2255" s="39"/>
      <c r="B2255" s="40"/>
      <c r="C2255" s="41"/>
      <c r="D2255" s="41"/>
      <c r="E2255" s="41"/>
      <c r="F2255" s="41"/>
      <c r="G2255" s="41"/>
      <c r="H2255" s="41"/>
      <c r="I2255" s="41"/>
      <c r="J2255" s="41"/>
      <c r="K2255" s="41"/>
      <c r="L2255" s="41"/>
      <c r="M2255" s="41"/>
      <c r="N2255" s="41"/>
      <c r="O2255" s="41"/>
    </row>
    <row r="2256" spans="1:15">
      <c r="A2256" s="39"/>
      <c r="B2256" s="40"/>
      <c r="C2256" s="41"/>
      <c r="D2256" s="41"/>
      <c r="E2256" s="41"/>
      <c r="F2256" s="41"/>
      <c r="G2256" s="41"/>
      <c r="H2256" s="41"/>
      <c r="I2256" s="41"/>
      <c r="J2256" s="41"/>
      <c r="K2256" s="41"/>
      <c r="L2256" s="41"/>
      <c r="M2256" s="41"/>
      <c r="N2256" s="41"/>
      <c r="O2256" s="41"/>
    </row>
    <row r="2257" spans="1:15">
      <c r="A2257" s="39"/>
      <c r="B2257" s="40"/>
      <c r="C2257" s="41"/>
      <c r="D2257" s="41"/>
      <c r="E2257" s="41"/>
      <c r="F2257" s="41"/>
      <c r="G2257" s="41"/>
      <c r="H2257" s="41"/>
      <c r="I2257" s="41"/>
      <c r="J2257" s="41"/>
      <c r="K2257" s="41"/>
      <c r="L2257" s="41"/>
      <c r="M2257" s="41"/>
      <c r="N2257" s="41"/>
      <c r="O2257" s="41"/>
    </row>
    <row r="2258" spans="1:15">
      <c r="A2258" s="39"/>
      <c r="B2258" s="40"/>
      <c r="C2258" s="41"/>
      <c r="D2258" s="41"/>
      <c r="E2258" s="41"/>
      <c r="F2258" s="41"/>
      <c r="G2258" s="41"/>
      <c r="H2258" s="41"/>
      <c r="I2258" s="41"/>
      <c r="J2258" s="41"/>
      <c r="K2258" s="41"/>
      <c r="L2258" s="41"/>
      <c r="M2258" s="41"/>
      <c r="N2258" s="41"/>
      <c r="O2258" s="41"/>
    </row>
    <row r="2259" spans="1:15">
      <c r="A2259" s="39"/>
      <c r="B2259" s="40"/>
      <c r="C2259" s="41"/>
      <c r="D2259" s="41"/>
      <c r="E2259" s="41"/>
      <c r="F2259" s="41"/>
      <c r="G2259" s="41"/>
      <c r="H2259" s="41"/>
      <c r="I2259" s="41"/>
      <c r="J2259" s="41"/>
      <c r="K2259" s="41"/>
      <c r="L2259" s="41"/>
      <c r="M2259" s="41"/>
      <c r="N2259" s="41"/>
      <c r="O2259" s="41"/>
    </row>
    <row r="2260" spans="1:15">
      <c r="A2260" s="39"/>
      <c r="B2260" s="40"/>
      <c r="C2260" s="41"/>
      <c r="D2260" s="41"/>
      <c r="E2260" s="41"/>
      <c r="F2260" s="41"/>
      <c r="G2260" s="41"/>
      <c r="H2260" s="41"/>
      <c r="I2260" s="41"/>
      <c r="J2260" s="41"/>
      <c r="K2260" s="41"/>
      <c r="L2260" s="41"/>
      <c r="M2260" s="41"/>
      <c r="N2260" s="41"/>
      <c r="O2260" s="41"/>
    </row>
    <row r="2261" spans="1:15">
      <c r="A2261" s="39"/>
      <c r="B2261" s="40"/>
      <c r="C2261" s="41"/>
      <c r="D2261" s="41"/>
      <c r="E2261" s="41"/>
      <c r="F2261" s="41"/>
      <c r="G2261" s="41"/>
      <c r="H2261" s="41"/>
      <c r="I2261" s="41"/>
      <c r="J2261" s="41"/>
      <c r="K2261" s="41"/>
      <c r="L2261" s="41"/>
      <c r="M2261" s="41"/>
      <c r="N2261" s="41"/>
      <c r="O2261" s="41"/>
    </row>
    <row r="2262" spans="1:15">
      <c r="A2262" s="39"/>
      <c r="B2262" s="40"/>
      <c r="C2262" s="41"/>
      <c r="D2262" s="41"/>
      <c r="E2262" s="41"/>
      <c r="F2262" s="41"/>
      <c r="G2262" s="41"/>
      <c r="H2262" s="41"/>
      <c r="I2262" s="41"/>
      <c r="J2262" s="41"/>
      <c r="K2262" s="41"/>
      <c r="L2262" s="41"/>
      <c r="M2262" s="41"/>
      <c r="N2262" s="41"/>
      <c r="O2262" s="41"/>
    </row>
    <row r="2263" spans="1:15">
      <c r="A2263" s="39"/>
      <c r="B2263" s="40"/>
      <c r="C2263" s="41"/>
      <c r="D2263" s="41"/>
      <c r="E2263" s="41"/>
      <c r="F2263" s="41"/>
      <c r="G2263" s="41"/>
      <c r="H2263" s="41"/>
      <c r="I2263" s="41"/>
      <c r="J2263" s="41"/>
      <c r="K2263" s="41"/>
      <c r="L2263" s="41"/>
      <c r="M2263" s="41"/>
      <c r="N2263" s="41"/>
      <c r="O2263" s="41"/>
    </row>
    <row r="2264" spans="1:15">
      <c r="A2264" s="39"/>
      <c r="B2264" s="40"/>
      <c r="C2264" s="41"/>
      <c r="D2264" s="41"/>
      <c r="E2264" s="41"/>
      <c r="F2264" s="41"/>
      <c r="G2264" s="41"/>
      <c r="H2264" s="41"/>
      <c r="I2264" s="41"/>
      <c r="J2264" s="41"/>
      <c r="K2264" s="41"/>
      <c r="L2264" s="41"/>
      <c r="M2264" s="41"/>
      <c r="N2264" s="41"/>
      <c r="O2264" s="41"/>
    </row>
    <row r="2265" spans="1:15">
      <c r="A2265" s="39"/>
      <c r="B2265" s="40"/>
      <c r="C2265" s="41"/>
      <c r="D2265" s="41"/>
      <c r="E2265" s="41"/>
      <c r="F2265" s="41"/>
      <c r="G2265" s="41"/>
      <c r="H2265" s="41"/>
      <c r="I2265" s="41"/>
      <c r="J2265" s="41"/>
      <c r="K2265" s="41"/>
      <c r="L2265" s="41"/>
      <c r="M2265" s="41"/>
      <c r="N2265" s="41"/>
      <c r="O2265" s="41"/>
    </row>
    <row r="2266" spans="1:15">
      <c r="A2266" s="39"/>
      <c r="B2266" s="40"/>
      <c r="C2266" s="41"/>
      <c r="D2266" s="41"/>
      <c r="E2266" s="41"/>
      <c r="F2266" s="41"/>
      <c r="G2266" s="41"/>
      <c r="H2266" s="41"/>
      <c r="I2266" s="41"/>
      <c r="J2266" s="41"/>
      <c r="K2266" s="41"/>
      <c r="L2266" s="41"/>
      <c r="M2266" s="41"/>
      <c r="N2266" s="41"/>
      <c r="O2266" s="41"/>
    </row>
    <row r="2267" spans="1:15">
      <c r="A2267" s="39"/>
      <c r="B2267" s="40"/>
      <c r="C2267" s="41"/>
      <c r="D2267" s="41"/>
      <c r="E2267" s="41"/>
      <c r="F2267" s="41"/>
      <c r="G2267" s="41"/>
      <c r="H2267" s="41"/>
      <c r="I2267" s="41"/>
      <c r="J2267" s="41"/>
      <c r="K2267" s="41"/>
      <c r="L2267" s="41"/>
      <c r="M2267" s="41"/>
      <c r="N2267" s="41"/>
      <c r="O2267" s="41"/>
    </row>
    <row r="2268" spans="1:15">
      <c r="A2268" s="39"/>
      <c r="B2268" s="40"/>
      <c r="C2268" s="41"/>
      <c r="D2268" s="41"/>
      <c r="E2268" s="41"/>
      <c r="F2268" s="41"/>
      <c r="G2268" s="41"/>
      <c r="H2268" s="41"/>
      <c r="I2268" s="41"/>
      <c r="J2268" s="41"/>
      <c r="K2268" s="41"/>
      <c r="L2268" s="41"/>
      <c r="M2268" s="41"/>
      <c r="N2268" s="41"/>
      <c r="O2268" s="41"/>
    </row>
    <row r="2269" spans="1:15">
      <c r="A2269" s="39"/>
      <c r="B2269" s="40"/>
      <c r="C2269" s="41"/>
      <c r="D2269" s="41"/>
      <c r="E2269" s="41"/>
      <c r="F2269" s="41"/>
      <c r="G2269" s="41"/>
      <c r="H2269" s="41"/>
      <c r="I2269" s="41"/>
      <c r="J2269" s="41"/>
      <c r="K2269" s="41"/>
      <c r="L2269" s="41"/>
      <c r="M2269" s="41"/>
      <c r="N2269" s="41"/>
      <c r="O2269" s="41"/>
    </row>
    <row r="2270" spans="1:15">
      <c r="A2270" s="39"/>
      <c r="B2270" s="40"/>
      <c r="C2270" s="41"/>
      <c r="D2270" s="41"/>
      <c r="E2270" s="41"/>
      <c r="F2270" s="41"/>
      <c r="G2270" s="41"/>
      <c r="H2270" s="41"/>
      <c r="I2270" s="41"/>
      <c r="J2270" s="41"/>
      <c r="K2270" s="41"/>
      <c r="L2270" s="41"/>
      <c r="M2270" s="41"/>
      <c r="N2270" s="41"/>
      <c r="O2270" s="41"/>
    </row>
    <row r="2271" spans="1:15">
      <c r="A2271" s="39"/>
      <c r="B2271" s="40"/>
      <c r="C2271" s="41"/>
      <c r="D2271" s="41"/>
      <c r="E2271" s="41"/>
      <c r="F2271" s="41"/>
      <c r="G2271" s="41"/>
      <c r="H2271" s="41"/>
      <c r="I2271" s="41"/>
      <c r="J2271" s="41"/>
      <c r="K2271" s="41"/>
      <c r="L2271" s="41"/>
      <c r="M2271" s="41"/>
      <c r="N2271" s="41"/>
      <c r="O2271" s="41"/>
    </row>
    <row r="2272" spans="1:15">
      <c r="A2272" s="39"/>
      <c r="B2272" s="40"/>
      <c r="C2272" s="41"/>
      <c r="D2272" s="41"/>
      <c r="E2272" s="41"/>
      <c r="F2272" s="41"/>
      <c r="G2272" s="41"/>
      <c r="H2272" s="41"/>
      <c r="I2272" s="41"/>
      <c r="J2272" s="41"/>
      <c r="K2272" s="41"/>
      <c r="L2272" s="41"/>
      <c r="M2272" s="41"/>
      <c r="N2272" s="41"/>
      <c r="O2272" s="41"/>
    </row>
    <row r="2273" spans="1:15">
      <c r="A2273" s="39"/>
      <c r="B2273" s="40"/>
      <c r="C2273" s="41"/>
      <c r="D2273" s="41"/>
      <c r="E2273" s="41"/>
      <c r="F2273" s="41"/>
      <c r="G2273" s="41"/>
      <c r="H2273" s="41"/>
      <c r="I2273" s="41"/>
      <c r="J2273" s="41"/>
      <c r="K2273" s="41"/>
      <c r="L2273" s="41"/>
      <c r="M2273" s="41"/>
      <c r="N2273" s="41"/>
      <c r="O2273" s="41"/>
    </row>
    <row r="2274" spans="1:15">
      <c r="A2274" s="39"/>
      <c r="B2274" s="40"/>
      <c r="C2274" s="41"/>
      <c r="D2274" s="41"/>
      <c r="E2274" s="41"/>
      <c r="F2274" s="41"/>
      <c r="G2274" s="41"/>
      <c r="H2274" s="41"/>
      <c r="I2274" s="41"/>
      <c r="J2274" s="41"/>
      <c r="K2274" s="41"/>
      <c r="L2274" s="41"/>
      <c r="M2274" s="41"/>
      <c r="N2274" s="41"/>
      <c r="O2274" s="41"/>
    </row>
    <row r="2275" spans="1:15">
      <c r="A2275" s="39"/>
      <c r="B2275" s="40"/>
      <c r="C2275" s="41"/>
      <c r="D2275" s="41"/>
      <c r="E2275" s="41"/>
      <c r="F2275" s="41"/>
      <c r="G2275" s="41"/>
      <c r="H2275" s="41"/>
      <c r="I2275" s="41"/>
      <c r="J2275" s="41"/>
      <c r="K2275" s="41"/>
      <c r="L2275" s="41"/>
      <c r="M2275" s="41"/>
      <c r="N2275" s="41"/>
      <c r="O2275" s="41"/>
    </row>
    <row r="2276" spans="1:15">
      <c r="A2276" s="39"/>
      <c r="B2276" s="40"/>
      <c r="C2276" s="41"/>
      <c r="D2276" s="41"/>
      <c r="E2276" s="41"/>
      <c r="F2276" s="41"/>
      <c r="G2276" s="41"/>
      <c r="H2276" s="41"/>
      <c r="I2276" s="41"/>
      <c r="J2276" s="41"/>
      <c r="K2276" s="41"/>
      <c r="L2276" s="41"/>
      <c r="M2276" s="41"/>
      <c r="N2276" s="41"/>
      <c r="O2276" s="41"/>
    </row>
    <row r="2277" spans="1:15">
      <c r="A2277" s="39"/>
      <c r="B2277" s="40"/>
      <c r="C2277" s="41"/>
      <c r="D2277" s="41"/>
      <c r="E2277" s="41"/>
      <c r="F2277" s="41"/>
      <c r="G2277" s="41"/>
      <c r="H2277" s="41"/>
      <c r="I2277" s="41"/>
      <c r="J2277" s="41"/>
      <c r="K2277" s="41"/>
      <c r="L2277" s="41"/>
      <c r="M2277" s="41"/>
      <c r="N2277" s="41"/>
      <c r="O2277" s="41"/>
    </row>
    <row r="2278" spans="1:15">
      <c r="A2278" s="39"/>
      <c r="B2278" s="40"/>
      <c r="C2278" s="41"/>
      <c r="D2278" s="41"/>
      <c r="E2278" s="41"/>
      <c r="F2278" s="41"/>
      <c r="G2278" s="41"/>
      <c r="H2278" s="41"/>
      <c r="I2278" s="41"/>
      <c r="J2278" s="41"/>
      <c r="K2278" s="41"/>
      <c r="L2278" s="41"/>
      <c r="M2278" s="41"/>
      <c r="N2278" s="41"/>
      <c r="O2278" s="41"/>
    </row>
    <row r="2279" spans="1:15">
      <c r="A2279" s="39"/>
      <c r="B2279" s="40"/>
      <c r="C2279" s="41"/>
      <c r="D2279" s="41"/>
      <c r="E2279" s="41"/>
      <c r="F2279" s="41"/>
      <c r="G2279" s="41"/>
      <c r="H2279" s="41"/>
      <c r="I2279" s="41"/>
      <c r="J2279" s="41"/>
      <c r="K2279" s="41"/>
      <c r="L2279" s="41"/>
      <c r="M2279" s="41"/>
      <c r="N2279" s="41"/>
      <c r="O2279" s="41"/>
    </row>
    <row r="2280" spans="1:15">
      <c r="A2280" s="39"/>
      <c r="B2280" s="40"/>
      <c r="C2280" s="41"/>
      <c r="D2280" s="41"/>
      <c r="E2280" s="41"/>
      <c r="F2280" s="41"/>
      <c r="G2280" s="41"/>
      <c r="H2280" s="41"/>
      <c r="I2280" s="41"/>
      <c r="J2280" s="41"/>
      <c r="K2280" s="41"/>
      <c r="L2280" s="41"/>
      <c r="M2280" s="41"/>
      <c r="N2280" s="41"/>
      <c r="O2280" s="41"/>
    </row>
    <row r="2281" spans="1:15">
      <c r="A2281" s="39"/>
      <c r="B2281" s="40"/>
      <c r="C2281" s="41"/>
      <c r="D2281" s="41"/>
      <c r="E2281" s="41"/>
      <c r="F2281" s="41"/>
      <c r="G2281" s="41"/>
      <c r="H2281" s="41"/>
      <c r="I2281" s="41"/>
      <c r="J2281" s="41"/>
      <c r="K2281" s="41"/>
      <c r="L2281" s="41"/>
      <c r="M2281" s="41"/>
      <c r="N2281" s="41"/>
      <c r="O2281" s="41"/>
    </row>
    <row r="2282" spans="1:15">
      <c r="A2282" s="39"/>
      <c r="B2282" s="40"/>
      <c r="C2282" s="41"/>
      <c r="D2282" s="41"/>
      <c r="E2282" s="41"/>
      <c r="F2282" s="41"/>
      <c r="G2282" s="41"/>
      <c r="H2282" s="41"/>
      <c r="I2282" s="41"/>
      <c r="J2282" s="41"/>
      <c r="K2282" s="41"/>
      <c r="L2282" s="41"/>
      <c r="M2282" s="41"/>
      <c r="N2282" s="41"/>
      <c r="O2282" s="41"/>
    </row>
    <row r="2283" spans="1:15">
      <c r="A2283" s="39"/>
      <c r="B2283" s="40"/>
      <c r="C2283" s="41"/>
      <c r="D2283" s="41"/>
      <c r="E2283" s="41"/>
      <c r="F2283" s="41"/>
      <c r="G2283" s="41"/>
      <c r="H2283" s="41"/>
      <c r="I2283" s="41"/>
      <c r="J2283" s="41"/>
      <c r="K2283" s="41"/>
      <c r="L2283" s="41"/>
      <c r="M2283" s="41"/>
      <c r="N2283" s="41"/>
      <c r="O2283" s="41"/>
    </row>
    <row r="2284" spans="1:15">
      <c r="A2284" s="39"/>
      <c r="B2284" s="40"/>
      <c r="C2284" s="41"/>
      <c r="D2284" s="41"/>
      <c r="E2284" s="41"/>
      <c r="F2284" s="41"/>
      <c r="G2284" s="41"/>
      <c r="H2284" s="41"/>
      <c r="I2284" s="41"/>
      <c r="J2284" s="41"/>
      <c r="K2284" s="41"/>
      <c r="L2284" s="41"/>
      <c r="M2284" s="41"/>
      <c r="N2284" s="41"/>
      <c r="O2284" s="41"/>
    </row>
    <row r="2285" spans="1:15">
      <c r="A2285" s="39"/>
      <c r="B2285" s="40"/>
      <c r="C2285" s="41"/>
      <c r="D2285" s="41"/>
      <c r="E2285" s="41"/>
      <c r="F2285" s="41"/>
      <c r="G2285" s="41"/>
      <c r="H2285" s="41"/>
      <c r="I2285" s="41"/>
      <c r="J2285" s="41"/>
      <c r="K2285" s="41"/>
      <c r="L2285" s="41"/>
      <c r="M2285" s="41"/>
      <c r="N2285" s="41"/>
      <c r="O2285" s="41"/>
    </row>
    <row r="2286" spans="1:15">
      <c r="A2286" s="39"/>
      <c r="B2286" s="40"/>
      <c r="C2286" s="41"/>
      <c r="D2286" s="41"/>
      <c r="E2286" s="41"/>
      <c r="F2286" s="41"/>
      <c r="G2286" s="41"/>
      <c r="H2286" s="41"/>
      <c r="I2286" s="41"/>
      <c r="J2286" s="41"/>
      <c r="K2286" s="41"/>
      <c r="L2286" s="41"/>
      <c r="M2286" s="41"/>
      <c r="N2286" s="41"/>
      <c r="O2286" s="41"/>
    </row>
    <row r="2287" spans="1:15">
      <c r="A2287" s="39"/>
      <c r="B2287" s="40"/>
      <c r="C2287" s="41"/>
      <c r="D2287" s="41"/>
      <c r="E2287" s="41"/>
      <c r="F2287" s="41"/>
      <c r="G2287" s="41"/>
      <c r="H2287" s="41"/>
      <c r="I2287" s="41"/>
      <c r="J2287" s="41"/>
      <c r="K2287" s="41"/>
      <c r="L2287" s="41"/>
      <c r="M2287" s="41"/>
      <c r="N2287" s="41"/>
      <c r="O2287" s="41"/>
    </row>
    <row r="2288" spans="1:15">
      <c r="A2288" s="39"/>
      <c r="B2288" s="40"/>
      <c r="C2288" s="41"/>
      <c r="D2288" s="41"/>
      <c r="E2288" s="41"/>
      <c r="F2288" s="41"/>
      <c r="G2288" s="41"/>
      <c r="H2288" s="41"/>
      <c r="I2288" s="41"/>
      <c r="J2288" s="41"/>
      <c r="K2288" s="41"/>
      <c r="L2288" s="41"/>
      <c r="M2288" s="41"/>
      <c r="N2288" s="41"/>
      <c r="O2288" s="41"/>
    </row>
    <row r="2289" spans="1:15">
      <c r="A2289" s="39"/>
      <c r="B2289" s="40"/>
      <c r="C2289" s="41"/>
      <c r="D2289" s="41"/>
      <c r="E2289" s="41"/>
      <c r="F2289" s="41"/>
      <c r="G2289" s="41"/>
      <c r="H2289" s="41"/>
      <c r="I2289" s="41"/>
      <c r="J2289" s="41"/>
      <c r="K2289" s="41"/>
      <c r="L2289" s="41"/>
      <c r="M2289" s="41"/>
      <c r="N2289" s="41"/>
      <c r="O2289" s="41"/>
    </row>
    <row r="2290" spans="1:15">
      <c r="A2290" s="39"/>
      <c r="B2290" s="40"/>
      <c r="C2290" s="41"/>
      <c r="D2290" s="41"/>
      <c r="E2290" s="41"/>
      <c r="F2290" s="41"/>
      <c r="G2290" s="41"/>
      <c r="H2290" s="41"/>
      <c r="I2290" s="41"/>
      <c r="J2290" s="41"/>
      <c r="K2290" s="41"/>
      <c r="L2290" s="41"/>
      <c r="M2290" s="41"/>
      <c r="N2290" s="41"/>
      <c r="O2290" s="41"/>
    </row>
    <row r="2291" spans="1:15">
      <c r="A2291" s="39"/>
      <c r="B2291" s="40"/>
      <c r="C2291" s="41"/>
      <c r="D2291" s="41"/>
      <c r="E2291" s="41"/>
      <c r="F2291" s="41"/>
      <c r="G2291" s="41"/>
      <c r="H2291" s="41"/>
      <c r="I2291" s="41"/>
      <c r="J2291" s="41"/>
      <c r="K2291" s="41"/>
      <c r="L2291" s="41"/>
      <c r="M2291" s="41"/>
      <c r="N2291" s="41"/>
      <c r="O2291" s="41"/>
    </row>
    <row r="2292" spans="1:15">
      <c r="A2292" s="39"/>
      <c r="B2292" s="40"/>
      <c r="C2292" s="41"/>
      <c r="D2292" s="41"/>
      <c r="E2292" s="41"/>
      <c r="F2292" s="41"/>
      <c r="G2292" s="41"/>
      <c r="H2292" s="41"/>
      <c r="I2292" s="41"/>
      <c r="J2292" s="41"/>
      <c r="K2292" s="41"/>
      <c r="L2292" s="41"/>
      <c r="M2292" s="41"/>
      <c r="N2292" s="41"/>
      <c r="O2292" s="41"/>
    </row>
    <row r="2293" spans="1:15">
      <c r="A2293" s="39"/>
      <c r="B2293" s="40"/>
      <c r="C2293" s="41"/>
      <c r="D2293" s="41"/>
      <c r="E2293" s="41"/>
      <c r="F2293" s="41"/>
      <c r="G2293" s="41"/>
      <c r="H2293" s="41"/>
      <c r="I2293" s="41"/>
      <c r="J2293" s="41"/>
      <c r="K2293" s="41"/>
      <c r="L2293" s="41"/>
      <c r="M2293" s="41"/>
      <c r="N2293" s="41"/>
      <c r="O2293" s="41"/>
    </row>
    <row r="2294" spans="1:15">
      <c r="A2294" s="39"/>
      <c r="B2294" s="40"/>
      <c r="C2294" s="41"/>
      <c r="D2294" s="41"/>
      <c r="E2294" s="41"/>
      <c r="F2294" s="41"/>
      <c r="G2294" s="41"/>
      <c r="H2294" s="41"/>
      <c r="I2294" s="41"/>
      <c r="J2294" s="41"/>
      <c r="K2294" s="41"/>
      <c r="L2294" s="41"/>
      <c r="M2294" s="41"/>
      <c r="N2294" s="41"/>
      <c r="O2294" s="41"/>
    </row>
    <row r="2295" spans="1:15">
      <c r="A2295" s="39"/>
      <c r="B2295" s="40"/>
      <c r="C2295" s="41"/>
      <c r="D2295" s="41"/>
      <c r="E2295" s="41"/>
      <c r="F2295" s="41"/>
      <c r="G2295" s="41"/>
      <c r="H2295" s="41"/>
      <c r="I2295" s="41"/>
      <c r="J2295" s="41"/>
      <c r="K2295" s="41"/>
      <c r="L2295" s="41"/>
      <c r="M2295" s="41"/>
      <c r="N2295" s="41"/>
      <c r="O2295" s="41"/>
    </row>
    <row r="2296" spans="1:15">
      <c r="A2296" s="39"/>
      <c r="B2296" s="40"/>
      <c r="C2296" s="41"/>
      <c r="D2296" s="41"/>
      <c r="E2296" s="41"/>
      <c r="F2296" s="41"/>
      <c r="G2296" s="41"/>
      <c r="H2296" s="41"/>
      <c r="I2296" s="41"/>
      <c r="J2296" s="41"/>
      <c r="K2296" s="41"/>
      <c r="L2296" s="41"/>
      <c r="M2296" s="41"/>
      <c r="N2296" s="41"/>
      <c r="O2296" s="41"/>
    </row>
    <row r="2297" spans="1:15">
      <c r="A2297" s="39"/>
      <c r="B2297" s="40"/>
      <c r="C2297" s="41"/>
      <c r="D2297" s="41"/>
      <c r="E2297" s="41"/>
      <c r="F2297" s="41"/>
      <c r="G2297" s="41"/>
      <c r="H2297" s="41"/>
      <c r="I2297" s="41"/>
      <c r="J2297" s="41"/>
      <c r="K2297" s="41"/>
      <c r="L2297" s="41"/>
      <c r="M2297" s="41"/>
      <c r="N2297" s="41"/>
      <c r="O2297" s="41"/>
    </row>
    <row r="2298" spans="1:15">
      <c r="A2298" s="39"/>
      <c r="B2298" s="40"/>
      <c r="C2298" s="41"/>
      <c r="D2298" s="41"/>
      <c r="E2298" s="41"/>
      <c r="F2298" s="41"/>
      <c r="G2298" s="41"/>
      <c r="H2298" s="41"/>
      <c r="I2298" s="41"/>
      <c r="J2298" s="41"/>
      <c r="K2298" s="41"/>
      <c r="L2298" s="41"/>
      <c r="M2298" s="41"/>
      <c r="N2298" s="41"/>
      <c r="O2298" s="41"/>
    </row>
    <row r="2299" spans="1:15">
      <c r="A2299" s="39"/>
      <c r="B2299" s="40"/>
      <c r="C2299" s="41"/>
      <c r="D2299" s="41"/>
      <c r="E2299" s="41"/>
      <c r="F2299" s="41"/>
      <c r="G2299" s="41"/>
      <c r="H2299" s="41"/>
      <c r="I2299" s="41"/>
      <c r="J2299" s="41"/>
      <c r="K2299" s="41"/>
      <c r="L2299" s="41"/>
      <c r="M2299" s="41"/>
      <c r="N2299" s="41"/>
      <c r="O2299" s="41"/>
    </row>
    <row r="2300" spans="1:15">
      <c r="A2300" s="39"/>
      <c r="B2300" s="40"/>
      <c r="C2300" s="41"/>
      <c r="D2300" s="41"/>
      <c r="E2300" s="41"/>
      <c r="F2300" s="41"/>
      <c r="G2300" s="41"/>
      <c r="H2300" s="41"/>
      <c r="I2300" s="41"/>
      <c r="J2300" s="41"/>
      <c r="K2300" s="41"/>
      <c r="L2300" s="41"/>
      <c r="M2300" s="41"/>
      <c r="N2300" s="41"/>
      <c r="O2300" s="41"/>
    </row>
    <row r="2301" spans="1:15">
      <c r="A2301" s="39"/>
      <c r="B2301" s="40"/>
      <c r="C2301" s="41"/>
      <c r="D2301" s="41"/>
      <c r="E2301" s="41"/>
      <c r="F2301" s="41"/>
      <c r="G2301" s="41"/>
      <c r="H2301" s="41"/>
      <c r="I2301" s="41"/>
      <c r="J2301" s="41"/>
      <c r="K2301" s="41"/>
      <c r="L2301" s="41"/>
      <c r="M2301" s="41"/>
      <c r="N2301" s="41"/>
      <c r="O2301" s="41"/>
    </row>
    <row r="2302" spans="1:15">
      <c r="A2302" s="39"/>
      <c r="B2302" s="40"/>
      <c r="C2302" s="41"/>
      <c r="D2302" s="41"/>
      <c r="E2302" s="41"/>
      <c r="F2302" s="41"/>
      <c r="G2302" s="41"/>
      <c r="H2302" s="41"/>
      <c r="I2302" s="41"/>
      <c r="J2302" s="41"/>
      <c r="K2302" s="41"/>
      <c r="L2302" s="41"/>
      <c r="M2302" s="41"/>
      <c r="N2302" s="41"/>
      <c r="O2302" s="41"/>
    </row>
    <row r="2303" spans="1:15">
      <c r="A2303" s="39"/>
      <c r="B2303" s="40"/>
      <c r="C2303" s="41"/>
      <c r="D2303" s="41"/>
      <c r="E2303" s="41"/>
      <c r="F2303" s="41"/>
      <c r="G2303" s="41"/>
      <c r="H2303" s="41"/>
      <c r="I2303" s="41"/>
      <c r="J2303" s="41"/>
      <c r="K2303" s="41"/>
      <c r="L2303" s="41"/>
      <c r="M2303" s="41"/>
      <c r="N2303" s="41"/>
      <c r="O2303" s="41"/>
    </row>
    <row r="2304" spans="1:15">
      <c r="A2304" s="39"/>
      <c r="B2304" s="40"/>
      <c r="C2304" s="41"/>
      <c r="D2304" s="41"/>
      <c r="E2304" s="41"/>
      <c r="F2304" s="41"/>
      <c r="G2304" s="41"/>
      <c r="H2304" s="41"/>
      <c r="I2304" s="41"/>
      <c r="J2304" s="41"/>
      <c r="K2304" s="41"/>
      <c r="L2304" s="41"/>
      <c r="M2304" s="41"/>
      <c r="N2304" s="41"/>
      <c r="O2304" s="41"/>
    </row>
    <row r="2305" spans="1:15">
      <c r="A2305" s="39"/>
      <c r="B2305" s="40"/>
      <c r="C2305" s="41"/>
      <c r="D2305" s="41"/>
      <c r="E2305" s="41"/>
      <c r="F2305" s="41"/>
      <c r="G2305" s="41"/>
      <c r="H2305" s="41"/>
      <c r="I2305" s="41"/>
      <c r="J2305" s="41"/>
      <c r="K2305" s="41"/>
      <c r="L2305" s="41"/>
      <c r="M2305" s="41"/>
      <c r="N2305" s="41"/>
      <c r="O2305" s="41"/>
    </row>
    <row r="2306" spans="1:15">
      <c r="A2306" s="39"/>
      <c r="B2306" s="40"/>
      <c r="C2306" s="41"/>
      <c r="D2306" s="41"/>
      <c r="E2306" s="41"/>
      <c r="F2306" s="41"/>
      <c r="G2306" s="41"/>
      <c r="H2306" s="41"/>
      <c r="I2306" s="41"/>
      <c r="J2306" s="41"/>
      <c r="K2306" s="41"/>
      <c r="L2306" s="41"/>
      <c r="M2306" s="41"/>
      <c r="N2306" s="41"/>
      <c r="O2306" s="41"/>
    </row>
    <row r="2307" spans="1:15">
      <c r="A2307" s="39"/>
      <c r="B2307" s="40"/>
      <c r="C2307" s="41"/>
      <c r="D2307" s="41"/>
      <c r="E2307" s="41"/>
      <c r="F2307" s="41"/>
      <c r="G2307" s="41"/>
      <c r="H2307" s="41"/>
      <c r="I2307" s="41"/>
      <c r="J2307" s="41"/>
      <c r="K2307" s="41"/>
      <c r="L2307" s="41"/>
      <c r="M2307" s="41"/>
      <c r="N2307" s="41"/>
      <c r="O2307" s="41"/>
    </row>
    <row r="2308" spans="1:15">
      <c r="A2308" s="39"/>
      <c r="B2308" s="40"/>
      <c r="C2308" s="41"/>
      <c r="D2308" s="41"/>
      <c r="E2308" s="41"/>
      <c r="F2308" s="41"/>
      <c r="G2308" s="41"/>
      <c r="H2308" s="41"/>
      <c r="I2308" s="41"/>
      <c r="J2308" s="41"/>
      <c r="K2308" s="41"/>
      <c r="L2308" s="41"/>
      <c r="M2308" s="41"/>
      <c r="N2308" s="41"/>
      <c r="O2308" s="41"/>
    </row>
    <row r="2309" spans="1:15">
      <c r="A2309" s="39"/>
      <c r="B2309" s="40"/>
      <c r="C2309" s="41"/>
      <c r="D2309" s="41"/>
      <c r="E2309" s="41"/>
      <c r="F2309" s="41"/>
      <c r="G2309" s="41"/>
      <c r="H2309" s="41"/>
      <c r="I2309" s="41"/>
      <c r="J2309" s="41"/>
      <c r="K2309" s="41"/>
      <c r="L2309" s="41"/>
      <c r="M2309" s="41"/>
      <c r="N2309" s="41"/>
      <c r="O2309" s="41"/>
    </row>
    <row r="2310" spans="1:15">
      <c r="A2310" s="39"/>
      <c r="B2310" s="40"/>
      <c r="C2310" s="41"/>
      <c r="D2310" s="41"/>
      <c r="E2310" s="41"/>
      <c r="F2310" s="41"/>
      <c r="G2310" s="41"/>
      <c r="H2310" s="41"/>
      <c r="I2310" s="41"/>
      <c r="J2310" s="41"/>
      <c r="K2310" s="41"/>
      <c r="L2310" s="41"/>
      <c r="M2310" s="41"/>
      <c r="N2310" s="41"/>
      <c r="O2310" s="41"/>
    </row>
    <row r="2311" spans="1:15">
      <c r="A2311" s="39"/>
      <c r="B2311" s="40"/>
      <c r="C2311" s="41"/>
      <c r="D2311" s="41"/>
      <c r="E2311" s="41"/>
      <c r="F2311" s="41"/>
      <c r="G2311" s="41"/>
      <c r="H2311" s="41"/>
      <c r="I2311" s="41"/>
      <c r="J2311" s="41"/>
      <c r="K2311" s="41"/>
      <c r="L2311" s="41"/>
      <c r="M2311" s="41"/>
      <c r="N2311" s="41"/>
      <c r="O2311" s="41"/>
    </row>
    <row r="2312" spans="1:15">
      <c r="A2312" s="39"/>
      <c r="B2312" s="40"/>
      <c r="C2312" s="41"/>
      <c r="D2312" s="41"/>
      <c r="E2312" s="41"/>
      <c r="F2312" s="41"/>
      <c r="G2312" s="41"/>
      <c r="H2312" s="41"/>
      <c r="I2312" s="41"/>
      <c r="J2312" s="41"/>
      <c r="K2312" s="41"/>
      <c r="L2312" s="41"/>
      <c r="M2312" s="41"/>
      <c r="N2312" s="41"/>
      <c r="O2312" s="41"/>
    </row>
    <row r="2313" spans="1:15">
      <c r="A2313" s="39"/>
      <c r="B2313" s="40"/>
      <c r="C2313" s="41"/>
      <c r="D2313" s="41"/>
      <c r="E2313" s="41"/>
      <c r="F2313" s="41"/>
      <c r="G2313" s="41"/>
      <c r="H2313" s="41"/>
      <c r="I2313" s="41"/>
      <c r="J2313" s="41"/>
      <c r="K2313" s="41"/>
      <c r="L2313" s="41"/>
      <c r="M2313" s="41"/>
      <c r="N2313" s="41"/>
      <c r="O2313" s="41"/>
    </row>
    <row r="2314" spans="1:15">
      <c r="A2314" s="39"/>
      <c r="B2314" s="40"/>
      <c r="C2314" s="41"/>
      <c r="D2314" s="41"/>
      <c r="E2314" s="41"/>
      <c r="F2314" s="41"/>
      <c r="G2314" s="41"/>
      <c r="H2314" s="41"/>
      <c r="I2314" s="41"/>
      <c r="J2314" s="41"/>
      <c r="K2314" s="41"/>
      <c r="L2314" s="41"/>
      <c r="M2314" s="41"/>
      <c r="N2314" s="41"/>
      <c r="O2314" s="41"/>
    </row>
    <row r="2315" spans="1:15">
      <c r="A2315" s="39"/>
      <c r="B2315" s="40"/>
      <c r="C2315" s="41"/>
      <c r="D2315" s="41"/>
      <c r="E2315" s="41"/>
      <c r="F2315" s="41"/>
      <c r="G2315" s="41"/>
      <c r="H2315" s="41"/>
      <c r="I2315" s="41"/>
      <c r="J2315" s="41"/>
      <c r="K2315" s="41"/>
      <c r="L2315" s="41"/>
      <c r="M2315" s="41"/>
      <c r="N2315" s="41"/>
      <c r="O2315" s="41"/>
    </row>
    <row r="2316" spans="1:15">
      <c r="A2316" s="39"/>
      <c r="B2316" s="40"/>
      <c r="C2316" s="41"/>
      <c r="D2316" s="41"/>
      <c r="E2316" s="41"/>
      <c r="F2316" s="41"/>
      <c r="G2316" s="41"/>
      <c r="H2316" s="41"/>
      <c r="I2316" s="41"/>
      <c r="J2316" s="41"/>
      <c r="K2316" s="41"/>
      <c r="L2316" s="41"/>
      <c r="M2316" s="41"/>
      <c r="N2316" s="41"/>
      <c r="O2316" s="41"/>
    </row>
    <row r="2317" spans="1:15">
      <c r="A2317" s="39"/>
      <c r="B2317" s="40"/>
      <c r="C2317" s="41"/>
      <c r="D2317" s="41"/>
      <c r="E2317" s="41"/>
      <c r="F2317" s="41"/>
      <c r="G2317" s="41"/>
      <c r="H2317" s="41"/>
      <c r="I2317" s="41"/>
      <c r="J2317" s="41"/>
      <c r="K2317" s="41"/>
      <c r="L2317" s="41"/>
      <c r="M2317" s="41"/>
      <c r="N2317" s="41"/>
      <c r="O2317" s="41"/>
    </row>
    <row r="2318" spans="1:15">
      <c r="A2318" s="39"/>
      <c r="B2318" s="40"/>
      <c r="C2318" s="41"/>
      <c r="D2318" s="41"/>
      <c r="E2318" s="41"/>
      <c r="F2318" s="41"/>
      <c r="G2318" s="41"/>
      <c r="H2318" s="41"/>
      <c r="I2318" s="41"/>
      <c r="J2318" s="41"/>
      <c r="K2318" s="41"/>
      <c r="L2318" s="41"/>
      <c r="M2318" s="41"/>
      <c r="N2318" s="41"/>
      <c r="O2318" s="41"/>
    </row>
    <row r="2319" spans="1:15">
      <c r="A2319" s="39"/>
      <c r="B2319" s="40"/>
      <c r="C2319" s="41"/>
      <c r="D2319" s="41"/>
      <c r="E2319" s="41"/>
      <c r="F2319" s="41"/>
      <c r="G2319" s="41"/>
      <c r="H2319" s="41"/>
      <c r="I2319" s="41"/>
      <c r="J2319" s="41"/>
      <c r="K2319" s="41"/>
      <c r="L2319" s="41"/>
      <c r="M2319" s="41"/>
      <c r="N2319" s="41"/>
      <c r="O2319" s="41"/>
    </row>
    <row r="2320" spans="1:15">
      <c r="A2320" s="39"/>
      <c r="B2320" s="40"/>
      <c r="C2320" s="41"/>
      <c r="D2320" s="41"/>
      <c r="E2320" s="41"/>
      <c r="F2320" s="41"/>
      <c r="G2320" s="41"/>
      <c r="H2320" s="41"/>
      <c r="I2320" s="41"/>
      <c r="J2320" s="41"/>
      <c r="K2320" s="41"/>
      <c r="L2320" s="41"/>
      <c r="M2320" s="41"/>
      <c r="N2320" s="41"/>
      <c r="O2320" s="41"/>
    </row>
    <row r="2321" spans="1:15">
      <c r="A2321" s="39"/>
      <c r="B2321" s="40"/>
      <c r="C2321" s="41"/>
      <c r="D2321" s="41"/>
      <c r="E2321" s="41"/>
      <c r="F2321" s="41"/>
      <c r="G2321" s="41"/>
      <c r="H2321" s="41"/>
      <c r="I2321" s="41"/>
      <c r="J2321" s="41"/>
      <c r="K2321" s="41"/>
      <c r="L2321" s="41"/>
      <c r="M2321" s="41"/>
      <c r="N2321" s="41"/>
      <c r="O2321" s="41"/>
    </row>
    <row r="2322" spans="1:15">
      <c r="A2322" s="39"/>
      <c r="B2322" s="40"/>
      <c r="C2322" s="41"/>
      <c r="D2322" s="41"/>
      <c r="E2322" s="41"/>
      <c r="F2322" s="41"/>
      <c r="G2322" s="41"/>
      <c r="H2322" s="41"/>
      <c r="I2322" s="41"/>
      <c r="J2322" s="41"/>
      <c r="K2322" s="41"/>
      <c r="L2322" s="41"/>
      <c r="M2322" s="41"/>
      <c r="N2322" s="41"/>
      <c r="O2322" s="41"/>
    </row>
    <row r="2323" spans="1:15">
      <c r="A2323" s="39"/>
      <c r="B2323" s="40"/>
      <c r="C2323" s="41"/>
      <c r="D2323" s="41"/>
      <c r="E2323" s="41"/>
      <c r="F2323" s="41"/>
      <c r="G2323" s="41"/>
      <c r="H2323" s="41"/>
      <c r="I2323" s="41"/>
      <c r="J2323" s="41"/>
      <c r="K2323" s="41"/>
      <c r="L2323" s="41"/>
      <c r="M2323" s="41"/>
      <c r="N2323" s="41"/>
      <c r="O2323" s="41"/>
    </row>
    <row r="2324" spans="1:15">
      <c r="A2324" s="39"/>
      <c r="B2324" s="40"/>
      <c r="C2324" s="41"/>
      <c r="D2324" s="41"/>
      <c r="E2324" s="41"/>
      <c r="F2324" s="41"/>
      <c r="G2324" s="41"/>
      <c r="H2324" s="41"/>
      <c r="I2324" s="41"/>
      <c r="J2324" s="41"/>
      <c r="K2324" s="41"/>
      <c r="L2324" s="41"/>
      <c r="M2324" s="41"/>
      <c r="N2324" s="41"/>
      <c r="O2324" s="41"/>
    </row>
    <row r="2325" spans="1:15">
      <c r="A2325" s="39"/>
      <c r="B2325" s="40"/>
      <c r="C2325" s="41"/>
      <c r="D2325" s="41"/>
      <c r="E2325" s="41"/>
      <c r="F2325" s="41"/>
      <c r="G2325" s="41"/>
      <c r="H2325" s="41"/>
      <c r="I2325" s="41"/>
      <c r="J2325" s="41"/>
      <c r="K2325" s="41"/>
      <c r="L2325" s="41"/>
      <c r="M2325" s="41"/>
      <c r="N2325" s="41"/>
      <c r="O2325" s="41"/>
    </row>
    <row r="2326" spans="1:15">
      <c r="A2326" s="39"/>
      <c r="B2326" s="40"/>
      <c r="C2326" s="41"/>
      <c r="D2326" s="41"/>
      <c r="E2326" s="41"/>
      <c r="F2326" s="41"/>
      <c r="G2326" s="41"/>
      <c r="H2326" s="41"/>
      <c r="I2326" s="41"/>
      <c r="J2326" s="41"/>
      <c r="K2326" s="41"/>
      <c r="L2326" s="41"/>
      <c r="M2326" s="41"/>
      <c r="N2326" s="41"/>
      <c r="O2326" s="41"/>
    </row>
    <row r="2327" spans="1:15">
      <c r="A2327" s="39"/>
      <c r="B2327" s="40"/>
      <c r="C2327" s="41"/>
      <c r="D2327" s="41"/>
      <c r="E2327" s="41"/>
      <c r="F2327" s="41"/>
      <c r="G2327" s="41"/>
      <c r="H2327" s="41"/>
      <c r="I2327" s="41"/>
      <c r="J2327" s="41"/>
      <c r="K2327" s="41"/>
      <c r="L2327" s="41"/>
      <c r="M2327" s="41"/>
      <c r="N2327" s="41"/>
      <c r="O2327" s="41"/>
    </row>
    <row r="2328" spans="1:15">
      <c r="A2328" s="39"/>
      <c r="B2328" s="40"/>
      <c r="C2328" s="41"/>
      <c r="D2328" s="41"/>
      <c r="E2328" s="41"/>
      <c r="F2328" s="41"/>
      <c r="G2328" s="41"/>
      <c r="H2328" s="41"/>
      <c r="I2328" s="41"/>
      <c r="J2328" s="41"/>
      <c r="K2328" s="41"/>
      <c r="L2328" s="41"/>
      <c r="M2328" s="41"/>
      <c r="N2328" s="41"/>
      <c r="O2328" s="41"/>
    </row>
    <row r="2329" spans="1:15">
      <c r="A2329" s="39"/>
      <c r="B2329" s="40"/>
      <c r="C2329" s="41"/>
      <c r="D2329" s="41"/>
      <c r="E2329" s="41"/>
      <c r="F2329" s="41"/>
      <c r="G2329" s="41"/>
      <c r="H2329" s="41"/>
      <c r="I2329" s="41"/>
      <c r="J2329" s="41"/>
      <c r="K2329" s="41"/>
      <c r="L2329" s="41"/>
      <c r="M2329" s="41"/>
      <c r="N2329" s="41"/>
      <c r="O2329" s="41"/>
    </row>
    <row r="2330" spans="1:15">
      <c r="A2330" s="39"/>
      <c r="B2330" s="40"/>
      <c r="C2330" s="41"/>
      <c r="D2330" s="41"/>
      <c r="E2330" s="41"/>
      <c r="F2330" s="41"/>
      <c r="G2330" s="41"/>
      <c r="H2330" s="41"/>
      <c r="I2330" s="41"/>
      <c r="J2330" s="41"/>
      <c r="K2330" s="41"/>
      <c r="L2330" s="41"/>
      <c r="M2330" s="41"/>
      <c r="N2330" s="41"/>
      <c r="O2330" s="41"/>
    </row>
    <row r="2331" spans="1:15">
      <c r="A2331" s="39"/>
      <c r="B2331" s="40"/>
      <c r="C2331" s="41"/>
      <c r="D2331" s="41"/>
      <c r="E2331" s="41"/>
      <c r="F2331" s="41"/>
      <c r="G2331" s="41"/>
      <c r="H2331" s="41"/>
      <c r="I2331" s="41"/>
      <c r="J2331" s="41"/>
      <c r="K2331" s="41"/>
      <c r="L2331" s="41"/>
      <c r="M2331" s="41"/>
      <c r="N2331" s="41"/>
      <c r="O2331" s="41"/>
    </row>
    <row r="2332" spans="1:15">
      <c r="A2332" s="39"/>
      <c r="B2332" s="40"/>
      <c r="C2332" s="41"/>
      <c r="D2332" s="41"/>
      <c r="E2332" s="41"/>
      <c r="F2332" s="41"/>
      <c r="G2332" s="41"/>
      <c r="H2332" s="41"/>
      <c r="I2332" s="41"/>
      <c r="J2332" s="41"/>
      <c r="K2332" s="41"/>
      <c r="L2332" s="41"/>
      <c r="M2332" s="41"/>
      <c r="N2332" s="41"/>
      <c r="O2332" s="41"/>
    </row>
    <row r="2333" spans="1:15">
      <c r="A2333" s="39"/>
      <c r="B2333" s="40"/>
      <c r="C2333" s="41"/>
      <c r="D2333" s="41"/>
      <c r="E2333" s="41"/>
      <c r="F2333" s="41"/>
      <c r="G2333" s="41"/>
      <c r="H2333" s="41"/>
      <c r="I2333" s="41"/>
      <c r="J2333" s="41"/>
      <c r="K2333" s="41"/>
      <c r="L2333" s="41"/>
      <c r="M2333" s="41"/>
      <c r="N2333" s="41"/>
      <c r="O2333" s="41"/>
    </row>
    <row r="2334" spans="1:15">
      <c r="A2334" s="39"/>
      <c r="B2334" s="40"/>
      <c r="C2334" s="41"/>
      <c r="D2334" s="41"/>
      <c r="E2334" s="41"/>
      <c r="F2334" s="41"/>
      <c r="G2334" s="41"/>
      <c r="H2334" s="41"/>
      <c r="I2334" s="41"/>
      <c r="J2334" s="41"/>
      <c r="K2334" s="41"/>
      <c r="L2334" s="41"/>
      <c r="M2334" s="41"/>
      <c r="N2334" s="41"/>
      <c r="O2334" s="41"/>
    </row>
    <row r="2335" spans="1:15">
      <c r="A2335" s="39"/>
      <c r="B2335" s="40"/>
      <c r="C2335" s="41"/>
      <c r="D2335" s="41"/>
      <c r="E2335" s="41"/>
      <c r="F2335" s="41"/>
      <c r="G2335" s="41"/>
      <c r="H2335" s="41"/>
      <c r="I2335" s="41"/>
      <c r="J2335" s="41"/>
      <c r="K2335" s="41"/>
      <c r="L2335" s="41"/>
      <c r="M2335" s="41"/>
      <c r="N2335" s="41"/>
      <c r="O2335" s="41"/>
    </row>
    <row r="2336" spans="1:15">
      <c r="A2336" s="39"/>
      <c r="B2336" s="40"/>
      <c r="C2336" s="41"/>
      <c r="D2336" s="41"/>
      <c r="E2336" s="41"/>
      <c r="F2336" s="41"/>
      <c r="G2336" s="41"/>
      <c r="H2336" s="41"/>
      <c r="I2336" s="41"/>
      <c r="J2336" s="41"/>
      <c r="K2336" s="41"/>
      <c r="L2336" s="41"/>
      <c r="M2336" s="41"/>
      <c r="N2336" s="41"/>
      <c r="O2336" s="41"/>
    </row>
    <row r="2337" spans="1:15">
      <c r="A2337" s="39"/>
      <c r="B2337" s="40"/>
      <c r="C2337" s="41"/>
      <c r="D2337" s="41"/>
      <c r="E2337" s="41"/>
      <c r="F2337" s="41"/>
      <c r="G2337" s="41"/>
      <c r="H2337" s="41"/>
      <c r="I2337" s="41"/>
      <c r="J2337" s="41"/>
      <c r="K2337" s="41"/>
      <c r="L2337" s="41"/>
      <c r="M2337" s="41"/>
      <c r="N2337" s="41"/>
      <c r="O2337" s="41"/>
    </row>
    <row r="2338" spans="1:15">
      <c r="A2338" s="39"/>
      <c r="B2338" s="40"/>
      <c r="C2338" s="41"/>
      <c r="D2338" s="41"/>
      <c r="E2338" s="41"/>
      <c r="F2338" s="41"/>
      <c r="G2338" s="41"/>
      <c r="H2338" s="41"/>
      <c r="I2338" s="41"/>
      <c r="J2338" s="41"/>
      <c r="K2338" s="41"/>
      <c r="L2338" s="41"/>
      <c r="M2338" s="41"/>
      <c r="N2338" s="41"/>
      <c r="O2338" s="41"/>
    </row>
    <row r="2339" spans="1:15">
      <c r="A2339" s="39"/>
      <c r="B2339" s="40"/>
      <c r="C2339" s="41"/>
      <c r="D2339" s="41"/>
      <c r="E2339" s="41"/>
      <c r="F2339" s="41"/>
      <c r="G2339" s="41"/>
      <c r="H2339" s="41"/>
      <c r="I2339" s="41"/>
      <c r="J2339" s="41"/>
      <c r="K2339" s="41"/>
      <c r="L2339" s="41"/>
      <c r="M2339" s="41"/>
      <c r="N2339" s="41"/>
      <c r="O2339" s="41"/>
    </row>
    <row r="2340" spans="1:15">
      <c r="A2340" s="39"/>
      <c r="B2340" s="40"/>
      <c r="C2340" s="41"/>
      <c r="D2340" s="41"/>
      <c r="E2340" s="41"/>
      <c r="F2340" s="41"/>
      <c r="G2340" s="41"/>
      <c r="H2340" s="41"/>
      <c r="I2340" s="41"/>
      <c r="J2340" s="41"/>
      <c r="K2340" s="41"/>
      <c r="L2340" s="41"/>
      <c r="M2340" s="41"/>
      <c r="N2340" s="41"/>
      <c r="O2340" s="41"/>
    </row>
    <row r="2341" spans="1:15">
      <c r="A2341" s="39"/>
      <c r="B2341" s="40"/>
      <c r="C2341" s="41"/>
      <c r="D2341" s="41"/>
      <c r="E2341" s="41"/>
      <c r="F2341" s="41"/>
      <c r="G2341" s="41"/>
      <c r="H2341" s="41"/>
      <c r="I2341" s="41"/>
      <c r="J2341" s="41"/>
      <c r="K2341" s="41"/>
      <c r="L2341" s="41"/>
      <c r="M2341" s="41"/>
      <c r="N2341" s="41"/>
      <c r="O2341" s="41"/>
    </row>
    <row r="2342" spans="1:15">
      <c r="A2342" s="39"/>
      <c r="B2342" s="40"/>
      <c r="C2342" s="41"/>
      <c r="D2342" s="41"/>
      <c r="E2342" s="41"/>
      <c r="F2342" s="41"/>
      <c r="G2342" s="41"/>
      <c r="H2342" s="41"/>
      <c r="I2342" s="41"/>
      <c r="J2342" s="41"/>
      <c r="K2342" s="41"/>
      <c r="L2342" s="41"/>
      <c r="M2342" s="41"/>
      <c r="N2342" s="41"/>
      <c r="O2342" s="41"/>
    </row>
    <row r="2343" spans="1:15">
      <c r="A2343" s="39"/>
      <c r="B2343" s="40"/>
      <c r="C2343" s="41"/>
      <c r="D2343" s="41"/>
      <c r="E2343" s="41"/>
      <c r="F2343" s="41"/>
      <c r="G2343" s="41"/>
      <c r="H2343" s="41"/>
      <c r="I2343" s="41"/>
      <c r="J2343" s="41"/>
      <c r="K2343" s="41"/>
      <c r="L2343" s="41"/>
      <c r="M2343" s="41"/>
      <c r="N2343" s="41"/>
      <c r="O2343" s="41"/>
    </row>
    <row r="2344" spans="1:15">
      <c r="A2344" s="39"/>
      <c r="B2344" s="40"/>
      <c r="C2344" s="41"/>
      <c r="D2344" s="41"/>
      <c r="E2344" s="41"/>
      <c r="F2344" s="41"/>
      <c r="G2344" s="41"/>
      <c r="H2344" s="41"/>
      <c r="I2344" s="41"/>
      <c r="J2344" s="41"/>
      <c r="K2344" s="41"/>
      <c r="L2344" s="41"/>
      <c r="M2344" s="41"/>
      <c r="N2344" s="41"/>
      <c r="O2344" s="41"/>
    </row>
    <row r="2345" spans="1:15">
      <c r="A2345" s="39"/>
      <c r="B2345" s="40"/>
      <c r="C2345" s="41"/>
      <c r="D2345" s="41"/>
      <c r="E2345" s="41"/>
      <c r="F2345" s="41"/>
      <c r="G2345" s="41"/>
      <c r="H2345" s="41"/>
      <c r="I2345" s="41"/>
      <c r="J2345" s="41"/>
      <c r="K2345" s="41"/>
      <c r="L2345" s="41"/>
      <c r="M2345" s="41"/>
      <c r="N2345" s="41"/>
      <c r="O2345" s="41"/>
    </row>
    <row r="2346" spans="1:15">
      <c r="A2346" s="39"/>
      <c r="B2346" s="40"/>
      <c r="C2346" s="41"/>
      <c r="D2346" s="41"/>
      <c r="E2346" s="41"/>
      <c r="F2346" s="41"/>
      <c r="G2346" s="41"/>
      <c r="H2346" s="41"/>
      <c r="I2346" s="41"/>
      <c r="J2346" s="41"/>
      <c r="K2346" s="41"/>
      <c r="L2346" s="41"/>
      <c r="M2346" s="41"/>
      <c r="N2346" s="41"/>
      <c r="O2346" s="41"/>
    </row>
    <row r="2347" spans="1:15">
      <c r="A2347" s="39"/>
      <c r="B2347" s="40"/>
      <c r="C2347" s="41"/>
      <c r="D2347" s="41"/>
      <c r="E2347" s="41"/>
      <c r="F2347" s="41"/>
      <c r="G2347" s="41"/>
      <c r="H2347" s="41"/>
      <c r="I2347" s="41"/>
      <c r="J2347" s="41"/>
      <c r="K2347" s="41"/>
      <c r="L2347" s="41"/>
      <c r="M2347" s="41"/>
      <c r="N2347" s="41"/>
      <c r="O2347" s="41"/>
    </row>
    <row r="2348" spans="1:15">
      <c r="A2348" s="39"/>
      <c r="B2348" s="40"/>
      <c r="C2348" s="41"/>
      <c r="D2348" s="41"/>
      <c r="E2348" s="41"/>
      <c r="F2348" s="41"/>
      <c r="G2348" s="41"/>
      <c r="H2348" s="41"/>
      <c r="I2348" s="41"/>
      <c r="J2348" s="41"/>
      <c r="K2348" s="41"/>
      <c r="L2348" s="41"/>
      <c r="M2348" s="41"/>
      <c r="N2348" s="41"/>
      <c r="O2348" s="41"/>
    </row>
    <row r="2349" spans="1:15">
      <c r="A2349" s="39"/>
      <c r="B2349" s="40"/>
      <c r="C2349" s="41"/>
      <c r="D2349" s="41"/>
      <c r="E2349" s="41"/>
      <c r="F2349" s="41"/>
      <c r="G2349" s="41"/>
      <c r="H2349" s="41"/>
      <c r="I2349" s="41"/>
      <c r="J2349" s="41"/>
      <c r="K2349" s="41"/>
      <c r="L2349" s="41"/>
      <c r="M2349" s="41"/>
      <c r="N2349" s="41"/>
      <c r="O2349" s="41"/>
    </row>
    <row r="2350" spans="1:15">
      <c r="A2350" s="39"/>
      <c r="B2350" s="40"/>
      <c r="C2350" s="41"/>
      <c r="D2350" s="41"/>
      <c r="E2350" s="41"/>
      <c r="F2350" s="41"/>
      <c r="G2350" s="41"/>
      <c r="H2350" s="41"/>
      <c r="I2350" s="41"/>
      <c r="J2350" s="41"/>
      <c r="K2350" s="41"/>
      <c r="L2350" s="41"/>
      <c r="M2350" s="41"/>
      <c r="N2350" s="41"/>
      <c r="O2350" s="41"/>
    </row>
    <row r="2351" spans="1:15">
      <c r="A2351" s="39"/>
      <c r="B2351" s="40"/>
      <c r="C2351" s="41"/>
      <c r="D2351" s="41"/>
      <c r="E2351" s="41"/>
      <c r="F2351" s="41"/>
      <c r="G2351" s="41"/>
      <c r="H2351" s="41"/>
      <c r="I2351" s="41"/>
      <c r="J2351" s="41"/>
      <c r="K2351" s="41"/>
      <c r="L2351" s="41"/>
      <c r="M2351" s="41"/>
      <c r="N2351" s="41"/>
      <c r="O2351" s="41"/>
    </row>
    <row r="2352" spans="1:15">
      <c r="A2352" s="39"/>
      <c r="B2352" s="40"/>
      <c r="C2352" s="41"/>
      <c r="D2352" s="41"/>
      <c r="E2352" s="41"/>
      <c r="F2352" s="41"/>
      <c r="G2352" s="41"/>
      <c r="H2352" s="41"/>
      <c r="I2352" s="41"/>
      <c r="J2352" s="41"/>
      <c r="K2352" s="41"/>
      <c r="L2352" s="41"/>
      <c r="M2352" s="41"/>
      <c r="N2352" s="41"/>
      <c r="O2352" s="41"/>
    </row>
    <row r="2353" spans="1:15">
      <c r="A2353" s="39"/>
      <c r="B2353" s="40"/>
      <c r="C2353" s="41"/>
      <c r="D2353" s="41"/>
      <c r="E2353" s="41"/>
      <c r="F2353" s="41"/>
      <c r="G2353" s="41"/>
      <c r="H2353" s="41"/>
      <c r="I2353" s="41"/>
      <c r="J2353" s="41"/>
      <c r="K2353" s="41"/>
      <c r="L2353" s="41"/>
      <c r="M2353" s="41"/>
      <c r="N2353" s="41"/>
      <c r="O2353" s="41"/>
    </row>
    <row r="2354" spans="1:15">
      <c r="A2354" s="39"/>
      <c r="B2354" s="40"/>
      <c r="C2354" s="41"/>
      <c r="D2354" s="41"/>
      <c r="E2354" s="41"/>
      <c r="F2354" s="41"/>
      <c r="G2354" s="41"/>
      <c r="H2354" s="41"/>
      <c r="I2354" s="41"/>
      <c r="J2354" s="41"/>
      <c r="K2354" s="41"/>
      <c r="L2354" s="41"/>
      <c r="M2354" s="41"/>
      <c r="N2354" s="41"/>
      <c r="O2354" s="41"/>
    </row>
    <row r="2355" spans="1:15">
      <c r="A2355" s="39"/>
      <c r="B2355" s="40"/>
      <c r="C2355" s="41"/>
      <c r="D2355" s="41"/>
      <c r="E2355" s="41"/>
      <c r="F2355" s="41"/>
      <c r="G2355" s="41"/>
      <c r="H2355" s="41"/>
      <c r="I2355" s="41"/>
      <c r="J2355" s="41"/>
      <c r="K2355" s="41"/>
      <c r="L2355" s="41"/>
      <c r="M2355" s="41"/>
      <c r="N2355" s="41"/>
      <c r="O2355" s="41"/>
    </row>
    <row r="2356" spans="1:15">
      <c r="A2356" s="39"/>
      <c r="B2356" s="40"/>
      <c r="C2356" s="41"/>
      <c r="D2356" s="41"/>
      <c r="E2356" s="41"/>
      <c r="F2356" s="41"/>
      <c r="G2356" s="41"/>
      <c r="H2356" s="41"/>
      <c r="I2356" s="41"/>
      <c r="J2356" s="41"/>
      <c r="K2356" s="41"/>
      <c r="L2356" s="41"/>
      <c r="M2356" s="41"/>
      <c r="N2356" s="41"/>
      <c r="O2356" s="41"/>
    </row>
    <row r="2357" spans="1:15">
      <c r="A2357" s="39"/>
      <c r="B2357" s="40"/>
      <c r="C2357" s="41"/>
      <c r="D2357" s="41"/>
      <c r="E2357" s="41"/>
      <c r="F2357" s="41"/>
      <c r="G2357" s="41"/>
      <c r="H2357" s="41"/>
      <c r="I2357" s="41"/>
      <c r="J2357" s="41"/>
      <c r="K2357" s="41"/>
      <c r="L2357" s="41"/>
      <c r="M2357" s="41"/>
      <c r="N2357" s="41"/>
      <c r="O2357" s="41"/>
    </row>
    <row r="2358" spans="1:15">
      <c r="A2358" s="39"/>
      <c r="B2358" s="40"/>
      <c r="C2358" s="41"/>
      <c r="D2358" s="41"/>
      <c r="E2358" s="41"/>
      <c r="F2358" s="41"/>
      <c r="G2358" s="41"/>
      <c r="H2358" s="41"/>
      <c r="I2358" s="41"/>
      <c r="J2358" s="41"/>
      <c r="K2358" s="41"/>
      <c r="L2358" s="41"/>
      <c r="M2358" s="41"/>
      <c r="N2358" s="41"/>
      <c r="O2358" s="41"/>
    </row>
    <row r="2359" spans="1:15">
      <c r="A2359" s="39"/>
      <c r="B2359" s="40"/>
      <c r="C2359" s="41"/>
      <c r="D2359" s="41"/>
      <c r="E2359" s="41"/>
      <c r="F2359" s="41"/>
      <c r="G2359" s="41"/>
      <c r="H2359" s="41"/>
      <c r="I2359" s="41"/>
      <c r="J2359" s="41"/>
      <c r="K2359" s="41"/>
      <c r="L2359" s="41"/>
      <c r="M2359" s="41"/>
      <c r="N2359" s="41"/>
      <c r="O2359" s="41"/>
    </row>
    <row r="2360" spans="1:15">
      <c r="A2360" s="39"/>
      <c r="B2360" s="40"/>
      <c r="C2360" s="41"/>
      <c r="D2360" s="41"/>
      <c r="E2360" s="41"/>
      <c r="F2360" s="41"/>
      <c r="G2360" s="41"/>
      <c r="H2360" s="41"/>
      <c r="I2360" s="41"/>
      <c r="J2360" s="41"/>
      <c r="K2360" s="41"/>
      <c r="L2360" s="41"/>
      <c r="M2360" s="41"/>
      <c r="N2360" s="41"/>
      <c r="O2360" s="41"/>
    </row>
    <row r="2361" spans="1:15">
      <c r="A2361" s="39"/>
      <c r="B2361" s="40"/>
      <c r="C2361" s="41"/>
      <c r="D2361" s="41"/>
      <c r="E2361" s="41"/>
      <c r="F2361" s="41"/>
      <c r="G2361" s="41"/>
      <c r="H2361" s="41"/>
      <c r="I2361" s="41"/>
      <c r="J2361" s="41"/>
      <c r="K2361" s="41"/>
      <c r="L2361" s="41"/>
      <c r="M2361" s="41"/>
      <c r="N2361" s="41"/>
      <c r="O2361" s="41"/>
    </row>
    <row r="2362" spans="1:15">
      <c r="A2362" s="39"/>
      <c r="B2362" s="40"/>
      <c r="C2362" s="41"/>
      <c r="D2362" s="41"/>
      <c r="E2362" s="41"/>
      <c r="F2362" s="41"/>
      <c r="G2362" s="41"/>
      <c r="H2362" s="41"/>
      <c r="I2362" s="41"/>
      <c r="J2362" s="41"/>
      <c r="K2362" s="41"/>
      <c r="L2362" s="41"/>
      <c r="M2362" s="41"/>
      <c r="N2362" s="41"/>
      <c r="O2362" s="41"/>
    </row>
    <row r="2363" spans="1:15">
      <c r="A2363" s="39"/>
      <c r="B2363" s="40"/>
      <c r="C2363" s="41"/>
      <c r="D2363" s="41"/>
      <c r="E2363" s="41"/>
      <c r="F2363" s="41"/>
      <c r="G2363" s="41"/>
      <c r="H2363" s="41"/>
      <c r="I2363" s="41"/>
      <c r="J2363" s="41"/>
      <c r="K2363" s="41"/>
      <c r="L2363" s="41"/>
      <c r="M2363" s="41"/>
      <c r="N2363" s="41"/>
      <c r="O2363" s="41"/>
    </row>
    <row r="2364" spans="1:15">
      <c r="A2364" s="39"/>
      <c r="B2364" s="40"/>
      <c r="C2364" s="41"/>
      <c r="D2364" s="41"/>
      <c r="E2364" s="41"/>
      <c r="F2364" s="41"/>
      <c r="G2364" s="41"/>
      <c r="H2364" s="41"/>
      <c r="I2364" s="41"/>
      <c r="J2364" s="41"/>
      <c r="K2364" s="41"/>
      <c r="L2364" s="41"/>
      <c r="M2364" s="41"/>
      <c r="N2364" s="41"/>
      <c r="O2364" s="41"/>
    </row>
    <row r="2365" spans="1:15">
      <c r="A2365" s="39"/>
      <c r="B2365" s="40"/>
      <c r="C2365" s="41"/>
      <c r="D2365" s="41"/>
      <c r="E2365" s="41"/>
      <c r="F2365" s="41"/>
      <c r="G2365" s="41"/>
      <c r="H2365" s="41"/>
      <c r="I2365" s="41"/>
      <c r="J2365" s="41"/>
      <c r="K2365" s="41"/>
      <c r="L2365" s="41"/>
      <c r="M2365" s="41"/>
      <c r="N2365" s="41"/>
      <c r="O2365" s="41"/>
    </row>
    <row r="2366" spans="1:15">
      <c r="A2366" s="39"/>
      <c r="B2366" s="40"/>
      <c r="C2366" s="41"/>
      <c r="D2366" s="41"/>
      <c r="E2366" s="41"/>
      <c r="F2366" s="41"/>
      <c r="G2366" s="41"/>
      <c r="H2366" s="41"/>
      <c r="I2366" s="41"/>
      <c r="J2366" s="41"/>
      <c r="K2366" s="41"/>
      <c r="L2366" s="41"/>
      <c r="M2366" s="41"/>
      <c r="N2366" s="41"/>
      <c r="O2366" s="41"/>
    </row>
    <row r="2367" spans="1:15">
      <c r="A2367" s="39"/>
      <c r="B2367" s="40"/>
      <c r="C2367" s="41"/>
      <c r="D2367" s="41"/>
      <c r="E2367" s="41"/>
      <c r="F2367" s="41"/>
      <c r="G2367" s="41"/>
      <c r="H2367" s="41"/>
      <c r="I2367" s="41"/>
      <c r="J2367" s="41"/>
      <c r="K2367" s="41"/>
      <c r="L2367" s="41"/>
      <c r="M2367" s="41"/>
      <c r="N2367" s="41"/>
      <c r="O2367" s="41"/>
    </row>
    <row r="2368" spans="1:15">
      <c r="A2368" s="39"/>
      <c r="B2368" s="40"/>
      <c r="C2368" s="41"/>
      <c r="D2368" s="41"/>
      <c r="E2368" s="41"/>
      <c r="F2368" s="41"/>
      <c r="G2368" s="41"/>
      <c r="H2368" s="41"/>
      <c r="I2368" s="41"/>
      <c r="J2368" s="41"/>
      <c r="K2368" s="41"/>
      <c r="L2368" s="41"/>
      <c r="M2368" s="41"/>
      <c r="N2368" s="41"/>
      <c r="O2368" s="41"/>
    </row>
    <row r="2369" spans="1:15">
      <c r="A2369" s="39"/>
      <c r="B2369" s="40"/>
      <c r="C2369" s="41"/>
      <c r="D2369" s="41"/>
      <c r="E2369" s="41"/>
      <c r="F2369" s="41"/>
      <c r="G2369" s="41"/>
      <c r="H2369" s="41"/>
      <c r="I2369" s="41"/>
      <c r="J2369" s="41"/>
      <c r="K2369" s="41"/>
      <c r="L2369" s="41"/>
      <c r="M2369" s="41"/>
      <c r="N2369" s="41"/>
      <c r="O2369" s="41"/>
    </row>
    <row r="2370" spans="1:15">
      <c r="A2370" s="39"/>
      <c r="B2370" s="40"/>
      <c r="C2370" s="41"/>
      <c r="D2370" s="41"/>
      <c r="E2370" s="41"/>
      <c r="F2370" s="41"/>
      <c r="G2370" s="41"/>
      <c r="H2370" s="41"/>
      <c r="I2370" s="41"/>
      <c r="J2370" s="41"/>
      <c r="K2370" s="41"/>
      <c r="L2370" s="41"/>
      <c r="M2370" s="41"/>
      <c r="N2370" s="41"/>
      <c r="O2370" s="41"/>
    </row>
    <row r="2371" spans="1:15">
      <c r="A2371" s="39"/>
      <c r="B2371" s="40"/>
      <c r="C2371" s="41"/>
      <c r="D2371" s="41"/>
      <c r="E2371" s="41"/>
      <c r="F2371" s="41"/>
      <c r="G2371" s="41"/>
      <c r="H2371" s="41"/>
      <c r="I2371" s="41"/>
      <c r="J2371" s="41"/>
      <c r="K2371" s="41"/>
      <c r="L2371" s="41"/>
      <c r="M2371" s="41"/>
      <c r="N2371" s="41"/>
      <c r="O2371" s="41"/>
    </row>
    <row r="2372" spans="1:15">
      <c r="A2372" s="39"/>
      <c r="B2372" s="40"/>
      <c r="C2372" s="41"/>
      <c r="D2372" s="41"/>
      <c r="E2372" s="41"/>
      <c r="F2372" s="41"/>
      <c r="G2372" s="41"/>
      <c r="H2372" s="41"/>
      <c r="I2372" s="41"/>
      <c r="J2372" s="41"/>
      <c r="K2372" s="41"/>
      <c r="L2372" s="41"/>
      <c r="M2372" s="41"/>
      <c r="N2372" s="41"/>
      <c r="O2372" s="41"/>
    </row>
    <row r="2373" spans="1:15">
      <c r="A2373" s="39"/>
      <c r="B2373" s="40"/>
      <c r="C2373" s="41"/>
      <c r="D2373" s="41"/>
      <c r="E2373" s="41"/>
      <c r="F2373" s="41"/>
      <c r="G2373" s="41"/>
      <c r="H2373" s="41"/>
      <c r="I2373" s="41"/>
      <c r="J2373" s="41"/>
      <c r="K2373" s="41"/>
      <c r="L2373" s="41"/>
      <c r="M2373" s="41"/>
      <c r="N2373" s="41"/>
      <c r="O2373" s="41"/>
    </row>
    <row r="2374" spans="1:15">
      <c r="A2374" s="39"/>
      <c r="B2374" s="40"/>
      <c r="C2374" s="41"/>
      <c r="D2374" s="41"/>
      <c r="E2374" s="41"/>
      <c r="F2374" s="41"/>
      <c r="G2374" s="41"/>
      <c r="H2374" s="41"/>
      <c r="I2374" s="41"/>
      <c r="J2374" s="41"/>
      <c r="K2374" s="41"/>
      <c r="L2374" s="41"/>
      <c r="M2374" s="41"/>
      <c r="N2374" s="41"/>
      <c r="O2374" s="41"/>
    </row>
    <row r="2375" spans="1:15">
      <c r="A2375" s="39"/>
      <c r="B2375" s="40"/>
      <c r="C2375" s="41"/>
      <c r="D2375" s="41"/>
      <c r="E2375" s="41"/>
      <c r="F2375" s="41"/>
      <c r="G2375" s="41"/>
      <c r="H2375" s="41"/>
      <c r="I2375" s="41"/>
      <c r="J2375" s="41"/>
      <c r="K2375" s="41"/>
      <c r="L2375" s="41"/>
      <c r="M2375" s="41"/>
      <c r="N2375" s="41"/>
      <c r="O2375" s="41"/>
    </row>
    <row r="2376" spans="1:15">
      <c r="A2376" s="39"/>
      <c r="B2376" s="40"/>
      <c r="C2376" s="41"/>
      <c r="D2376" s="41"/>
      <c r="E2376" s="41"/>
      <c r="F2376" s="41"/>
      <c r="G2376" s="41"/>
      <c r="H2376" s="41"/>
      <c r="I2376" s="41"/>
      <c r="J2376" s="41"/>
      <c r="K2376" s="41"/>
      <c r="L2376" s="41"/>
      <c r="M2376" s="41"/>
      <c r="N2376" s="41"/>
      <c r="O2376" s="41"/>
    </row>
    <row r="2377" spans="1:15">
      <c r="A2377" s="39"/>
      <c r="B2377" s="40"/>
      <c r="C2377" s="41"/>
      <c r="D2377" s="41"/>
      <c r="E2377" s="41"/>
      <c r="F2377" s="41"/>
      <c r="G2377" s="41"/>
      <c r="H2377" s="41"/>
      <c r="I2377" s="41"/>
      <c r="J2377" s="41"/>
      <c r="K2377" s="41"/>
      <c r="L2377" s="41"/>
      <c r="M2377" s="41"/>
      <c r="N2377" s="41"/>
      <c r="O2377" s="41"/>
    </row>
    <row r="2378" spans="1:15">
      <c r="A2378" s="39"/>
      <c r="B2378" s="40"/>
      <c r="C2378" s="41"/>
      <c r="D2378" s="41"/>
      <c r="E2378" s="41"/>
      <c r="F2378" s="41"/>
      <c r="G2378" s="41"/>
      <c r="H2378" s="41"/>
      <c r="I2378" s="41"/>
      <c r="J2378" s="41"/>
      <c r="K2378" s="41"/>
      <c r="L2378" s="41"/>
      <c r="M2378" s="41"/>
      <c r="N2378" s="41"/>
      <c r="O2378" s="41"/>
    </row>
    <row r="2379" spans="1:15">
      <c r="A2379" s="39"/>
      <c r="B2379" s="40"/>
      <c r="C2379" s="41"/>
      <c r="D2379" s="41"/>
      <c r="E2379" s="41"/>
      <c r="F2379" s="41"/>
      <c r="G2379" s="41"/>
      <c r="H2379" s="41"/>
      <c r="I2379" s="41"/>
      <c r="J2379" s="41"/>
      <c r="K2379" s="41"/>
      <c r="L2379" s="41"/>
      <c r="M2379" s="41"/>
      <c r="N2379" s="41"/>
      <c r="O2379" s="41"/>
    </row>
    <row r="2380" spans="1:15">
      <c r="A2380" s="39"/>
      <c r="B2380" s="40"/>
      <c r="C2380" s="41"/>
      <c r="D2380" s="41"/>
      <c r="E2380" s="41"/>
      <c r="F2380" s="41"/>
      <c r="G2380" s="41"/>
      <c r="H2380" s="41"/>
      <c r="I2380" s="41"/>
      <c r="J2380" s="41"/>
      <c r="K2380" s="41"/>
      <c r="L2380" s="41"/>
      <c r="M2380" s="41"/>
      <c r="N2380" s="41"/>
      <c r="O2380" s="41"/>
    </row>
    <row r="2381" spans="1:15">
      <c r="A2381" s="39"/>
      <c r="B2381" s="40"/>
      <c r="C2381" s="41"/>
      <c r="D2381" s="41"/>
      <c r="E2381" s="41"/>
      <c r="F2381" s="41"/>
      <c r="G2381" s="41"/>
      <c r="H2381" s="41"/>
      <c r="I2381" s="41"/>
      <c r="J2381" s="41"/>
      <c r="K2381" s="41"/>
      <c r="L2381" s="41"/>
      <c r="M2381" s="41"/>
      <c r="N2381" s="41"/>
      <c r="O2381" s="41"/>
    </row>
    <row r="2382" spans="1:15">
      <c r="A2382" s="39"/>
      <c r="B2382" s="40"/>
      <c r="C2382" s="41"/>
      <c r="D2382" s="41"/>
      <c r="E2382" s="41"/>
      <c r="F2382" s="41"/>
      <c r="G2382" s="41"/>
      <c r="H2382" s="41"/>
      <c r="I2382" s="41"/>
      <c r="J2382" s="41"/>
      <c r="K2382" s="41"/>
      <c r="L2382" s="41"/>
      <c r="M2382" s="41"/>
      <c r="N2382" s="41"/>
      <c r="O2382" s="41"/>
    </row>
    <row r="2383" spans="1:15">
      <c r="A2383" s="39"/>
      <c r="B2383" s="40"/>
      <c r="C2383" s="41"/>
      <c r="D2383" s="41"/>
      <c r="E2383" s="41"/>
      <c r="F2383" s="41"/>
      <c r="G2383" s="41"/>
      <c r="H2383" s="41"/>
      <c r="I2383" s="41"/>
      <c r="J2383" s="41"/>
      <c r="K2383" s="41"/>
      <c r="L2383" s="41"/>
      <c r="M2383" s="41"/>
      <c r="N2383" s="41"/>
      <c r="O2383" s="41"/>
    </row>
    <row r="2384" spans="1:15">
      <c r="A2384" s="39"/>
      <c r="B2384" s="40"/>
      <c r="C2384" s="41"/>
      <c r="D2384" s="41"/>
      <c r="E2384" s="41"/>
      <c r="F2384" s="41"/>
      <c r="G2384" s="41"/>
      <c r="H2384" s="41"/>
      <c r="I2384" s="41"/>
      <c r="J2384" s="41"/>
      <c r="K2384" s="41"/>
      <c r="L2384" s="41"/>
      <c r="M2384" s="41"/>
      <c r="N2384" s="41"/>
      <c r="O2384" s="41"/>
    </row>
    <row r="2385" spans="1:15">
      <c r="A2385" s="39"/>
      <c r="B2385" s="40"/>
      <c r="C2385" s="41"/>
      <c r="D2385" s="41"/>
      <c r="E2385" s="41"/>
      <c r="F2385" s="41"/>
      <c r="G2385" s="41"/>
      <c r="H2385" s="41"/>
      <c r="I2385" s="41"/>
      <c r="J2385" s="41"/>
      <c r="K2385" s="41"/>
      <c r="L2385" s="41"/>
      <c r="M2385" s="41"/>
      <c r="N2385" s="41"/>
      <c r="O2385" s="41"/>
    </row>
    <row r="2386" spans="1:15">
      <c r="A2386" s="39"/>
      <c r="B2386" s="40"/>
      <c r="C2386" s="41"/>
      <c r="D2386" s="41"/>
      <c r="E2386" s="41"/>
      <c r="F2386" s="41"/>
      <c r="G2386" s="41"/>
      <c r="H2386" s="41"/>
      <c r="I2386" s="41"/>
      <c r="J2386" s="41"/>
      <c r="K2386" s="41"/>
      <c r="L2386" s="41"/>
      <c r="M2386" s="41"/>
      <c r="N2386" s="41"/>
      <c r="O2386" s="41"/>
    </row>
    <row r="2387" spans="1:15">
      <c r="A2387" s="39"/>
      <c r="B2387" s="40"/>
      <c r="C2387" s="41"/>
      <c r="D2387" s="41"/>
      <c r="E2387" s="41"/>
      <c r="F2387" s="41"/>
      <c r="G2387" s="41"/>
      <c r="H2387" s="41"/>
      <c r="I2387" s="41"/>
      <c r="J2387" s="41"/>
      <c r="K2387" s="41"/>
      <c r="L2387" s="41"/>
      <c r="M2387" s="41"/>
      <c r="N2387" s="41"/>
      <c r="O2387" s="41"/>
    </row>
    <row r="2388" spans="1:15">
      <c r="A2388" s="39"/>
      <c r="B2388" s="40"/>
      <c r="C2388" s="41"/>
      <c r="D2388" s="41"/>
      <c r="E2388" s="41"/>
      <c r="F2388" s="41"/>
      <c r="G2388" s="41"/>
      <c r="H2388" s="41"/>
      <c r="I2388" s="41"/>
      <c r="J2388" s="41"/>
      <c r="K2388" s="41"/>
      <c r="L2388" s="41"/>
      <c r="M2388" s="41"/>
      <c r="N2388" s="41"/>
      <c r="O2388" s="41"/>
    </row>
    <row r="2389" spans="1:15">
      <c r="A2389" s="39"/>
      <c r="B2389" s="40"/>
      <c r="C2389" s="41"/>
      <c r="D2389" s="41"/>
      <c r="E2389" s="41"/>
      <c r="F2389" s="41"/>
      <c r="G2389" s="41"/>
      <c r="H2389" s="41"/>
      <c r="I2389" s="41"/>
      <c r="J2389" s="41"/>
      <c r="K2389" s="41"/>
      <c r="L2389" s="41"/>
      <c r="M2389" s="41"/>
      <c r="N2389" s="41"/>
      <c r="O2389" s="41"/>
    </row>
    <row r="2390" spans="1:15">
      <c r="A2390" s="39"/>
      <c r="B2390" s="40"/>
      <c r="C2390" s="41"/>
      <c r="D2390" s="41"/>
      <c r="E2390" s="41"/>
      <c r="F2390" s="41"/>
      <c r="G2390" s="41"/>
      <c r="H2390" s="41"/>
      <c r="I2390" s="41"/>
      <c r="J2390" s="41"/>
      <c r="K2390" s="41"/>
      <c r="L2390" s="41"/>
      <c r="M2390" s="41"/>
      <c r="N2390" s="41"/>
      <c r="O2390" s="41"/>
    </row>
    <row r="2391" spans="1:15">
      <c r="A2391" s="39"/>
      <c r="B2391" s="40"/>
      <c r="C2391" s="41"/>
      <c r="D2391" s="41"/>
      <c r="E2391" s="41"/>
      <c r="F2391" s="41"/>
      <c r="G2391" s="41"/>
      <c r="H2391" s="41"/>
      <c r="I2391" s="41"/>
      <c r="J2391" s="41"/>
      <c r="K2391" s="41"/>
      <c r="L2391" s="41"/>
      <c r="M2391" s="41"/>
      <c r="N2391" s="41"/>
      <c r="O2391" s="41"/>
    </row>
    <row r="2392" spans="1:15">
      <c r="A2392" s="39"/>
      <c r="B2392" s="40"/>
      <c r="C2392" s="41"/>
      <c r="D2392" s="41"/>
      <c r="E2392" s="41"/>
      <c r="F2392" s="41"/>
      <c r="G2392" s="41"/>
      <c r="H2392" s="41"/>
      <c r="I2392" s="41"/>
      <c r="J2392" s="41"/>
      <c r="K2392" s="41"/>
      <c r="L2392" s="41"/>
      <c r="M2392" s="41"/>
      <c r="N2392" s="41"/>
      <c r="O2392" s="41"/>
    </row>
    <row r="2393" spans="1:15">
      <c r="A2393" s="39"/>
      <c r="B2393" s="40"/>
      <c r="C2393" s="41"/>
      <c r="D2393" s="41"/>
      <c r="E2393" s="41"/>
      <c r="F2393" s="41"/>
      <c r="G2393" s="41"/>
      <c r="H2393" s="41"/>
      <c r="I2393" s="41"/>
      <c r="J2393" s="41"/>
      <c r="K2393" s="41"/>
      <c r="L2393" s="41"/>
      <c r="M2393" s="41"/>
      <c r="N2393" s="41"/>
      <c r="O2393" s="41"/>
    </row>
    <row r="2394" spans="1:15">
      <c r="A2394" s="39"/>
      <c r="B2394" s="40"/>
      <c r="C2394" s="41"/>
      <c r="D2394" s="41"/>
      <c r="E2394" s="41"/>
      <c r="F2394" s="41"/>
      <c r="G2394" s="41"/>
      <c r="H2394" s="41"/>
      <c r="I2394" s="41"/>
      <c r="J2394" s="41"/>
      <c r="K2394" s="41"/>
      <c r="L2394" s="41"/>
      <c r="M2394" s="41"/>
      <c r="N2394" s="41"/>
      <c r="O2394" s="41"/>
    </row>
    <row r="2395" spans="1:15">
      <c r="A2395" s="39"/>
      <c r="B2395" s="40"/>
      <c r="C2395" s="41"/>
      <c r="D2395" s="41"/>
      <c r="E2395" s="41"/>
      <c r="F2395" s="41"/>
      <c r="G2395" s="41"/>
      <c r="H2395" s="41"/>
      <c r="I2395" s="41"/>
      <c r="J2395" s="41"/>
      <c r="K2395" s="41"/>
      <c r="L2395" s="41"/>
      <c r="M2395" s="41"/>
      <c r="N2395" s="41"/>
      <c r="O2395" s="41"/>
    </row>
    <row r="2396" spans="1:15">
      <c r="A2396" s="39"/>
      <c r="B2396" s="40"/>
      <c r="C2396" s="41"/>
      <c r="D2396" s="41"/>
      <c r="E2396" s="41"/>
      <c r="F2396" s="41"/>
      <c r="G2396" s="41"/>
      <c r="H2396" s="41"/>
      <c r="I2396" s="41"/>
      <c r="J2396" s="41"/>
      <c r="K2396" s="41"/>
      <c r="L2396" s="41"/>
      <c r="M2396" s="41"/>
      <c r="N2396" s="41"/>
      <c r="O2396" s="41"/>
    </row>
    <row r="2397" spans="1:15">
      <c r="A2397" s="39"/>
      <c r="B2397" s="40"/>
      <c r="C2397" s="41"/>
      <c r="D2397" s="41"/>
      <c r="E2397" s="41"/>
      <c r="F2397" s="41"/>
      <c r="G2397" s="41"/>
      <c r="H2397" s="41"/>
      <c r="I2397" s="41"/>
      <c r="J2397" s="41"/>
      <c r="K2397" s="41"/>
      <c r="L2397" s="41"/>
      <c r="M2397" s="41"/>
      <c r="N2397" s="41"/>
      <c r="O2397" s="41"/>
    </row>
    <row r="2398" spans="1:15">
      <c r="A2398" s="39"/>
      <c r="B2398" s="40"/>
      <c r="C2398" s="41"/>
      <c r="D2398" s="41"/>
      <c r="E2398" s="41"/>
      <c r="F2398" s="41"/>
      <c r="G2398" s="41"/>
      <c r="H2398" s="41"/>
      <c r="I2398" s="41"/>
      <c r="J2398" s="41"/>
      <c r="K2398" s="41"/>
      <c r="L2398" s="41"/>
      <c r="M2398" s="41"/>
      <c r="N2398" s="41"/>
      <c r="O2398" s="41"/>
    </row>
    <row r="2399" spans="1:15">
      <c r="A2399" s="39"/>
      <c r="B2399" s="40"/>
      <c r="C2399" s="41"/>
      <c r="D2399" s="41"/>
      <c r="E2399" s="41"/>
      <c r="F2399" s="41"/>
      <c r="G2399" s="41"/>
      <c r="H2399" s="41"/>
      <c r="I2399" s="41"/>
      <c r="J2399" s="41"/>
      <c r="K2399" s="41"/>
      <c r="L2399" s="41"/>
      <c r="M2399" s="41"/>
      <c r="N2399" s="41"/>
      <c r="O2399" s="41"/>
    </row>
    <row r="2400" spans="1:15">
      <c r="A2400" s="39"/>
      <c r="B2400" s="40"/>
      <c r="C2400" s="41"/>
      <c r="D2400" s="41"/>
      <c r="E2400" s="41"/>
      <c r="F2400" s="41"/>
      <c r="G2400" s="41"/>
      <c r="H2400" s="41"/>
      <c r="I2400" s="41"/>
      <c r="J2400" s="41"/>
      <c r="K2400" s="41"/>
      <c r="L2400" s="41"/>
      <c r="M2400" s="41"/>
      <c r="N2400" s="41"/>
      <c r="O2400" s="41"/>
    </row>
    <row r="2401" spans="1:15">
      <c r="A2401" s="39"/>
      <c r="B2401" s="40"/>
      <c r="C2401" s="41"/>
      <c r="D2401" s="41"/>
      <c r="E2401" s="41"/>
      <c r="F2401" s="41"/>
      <c r="G2401" s="41"/>
      <c r="H2401" s="41"/>
      <c r="I2401" s="41"/>
      <c r="J2401" s="41"/>
      <c r="K2401" s="41"/>
      <c r="L2401" s="41"/>
      <c r="M2401" s="41"/>
      <c r="N2401" s="41"/>
      <c r="O2401" s="41"/>
    </row>
    <row r="2402" spans="1:15">
      <c r="A2402" s="39"/>
      <c r="B2402" s="40"/>
      <c r="C2402" s="41"/>
      <c r="D2402" s="41"/>
      <c r="E2402" s="41"/>
      <c r="F2402" s="41"/>
      <c r="G2402" s="41"/>
      <c r="H2402" s="41"/>
      <c r="I2402" s="41"/>
      <c r="J2402" s="41"/>
      <c r="K2402" s="41"/>
      <c r="L2402" s="41"/>
      <c r="M2402" s="41"/>
      <c r="N2402" s="41"/>
      <c r="O2402" s="41"/>
    </row>
    <row r="2403" spans="1:15">
      <c r="A2403" s="39"/>
      <c r="B2403" s="40"/>
      <c r="C2403" s="41"/>
      <c r="D2403" s="41"/>
      <c r="E2403" s="41"/>
      <c r="F2403" s="41"/>
      <c r="G2403" s="41"/>
      <c r="H2403" s="41"/>
      <c r="I2403" s="41"/>
      <c r="J2403" s="41"/>
      <c r="K2403" s="41"/>
      <c r="L2403" s="41"/>
      <c r="M2403" s="41"/>
      <c r="N2403" s="41"/>
      <c r="O2403" s="41"/>
    </row>
    <row r="2404" spans="1:15">
      <c r="A2404" s="39"/>
      <c r="B2404" s="40"/>
      <c r="C2404" s="41"/>
      <c r="D2404" s="41"/>
      <c r="E2404" s="41"/>
      <c r="F2404" s="41"/>
      <c r="G2404" s="41"/>
      <c r="H2404" s="41"/>
      <c r="I2404" s="41"/>
      <c r="J2404" s="41"/>
      <c r="K2404" s="41"/>
      <c r="L2404" s="41"/>
      <c r="M2404" s="41"/>
      <c r="N2404" s="41"/>
      <c r="O2404" s="41"/>
    </row>
    <row r="2405" spans="1:15">
      <c r="A2405" s="39"/>
      <c r="B2405" s="40"/>
      <c r="C2405" s="41"/>
      <c r="D2405" s="41"/>
      <c r="E2405" s="41"/>
      <c r="F2405" s="41"/>
      <c r="G2405" s="41"/>
      <c r="H2405" s="41"/>
      <c r="I2405" s="41"/>
      <c r="J2405" s="41"/>
      <c r="K2405" s="41"/>
      <c r="L2405" s="41"/>
      <c r="M2405" s="41"/>
      <c r="N2405" s="41"/>
      <c r="O2405" s="41"/>
    </row>
    <row r="2406" spans="1:15">
      <c r="A2406" s="39"/>
      <c r="B2406" s="40"/>
      <c r="C2406" s="41"/>
      <c r="D2406" s="41"/>
      <c r="E2406" s="41"/>
      <c r="F2406" s="41"/>
      <c r="G2406" s="41"/>
      <c r="H2406" s="41"/>
      <c r="I2406" s="41"/>
      <c r="J2406" s="41"/>
      <c r="K2406" s="41"/>
      <c r="L2406" s="41"/>
      <c r="M2406" s="41"/>
      <c r="N2406" s="41"/>
      <c r="O2406" s="41"/>
    </row>
    <row r="2407" spans="1:15">
      <c r="A2407" s="39"/>
      <c r="B2407" s="40"/>
      <c r="C2407" s="41"/>
      <c r="D2407" s="41"/>
      <c r="E2407" s="41"/>
      <c r="F2407" s="41"/>
      <c r="G2407" s="41"/>
      <c r="H2407" s="41"/>
      <c r="I2407" s="41"/>
      <c r="J2407" s="41"/>
      <c r="K2407" s="41"/>
      <c r="L2407" s="41"/>
      <c r="M2407" s="41"/>
      <c r="N2407" s="41"/>
      <c r="O2407" s="41"/>
    </row>
    <row r="2408" spans="1:15">
      <c r="A2408" s="39"/>
      <c r="B2408" s="40"/>
      <c r="C2408" s="41"/>
      <c r="D2408" s="41"/>
      <c r="E2408" s="41"/>
      <c r="F2408" s="41"/>
      <c r="G2408" s="41"/>
      <c r="H2408" s="41"/>
      <c r="I2408" s="41"/>
      <c r="J2408" s="41"/>
      <c r="K2408" s="41"/>
      <c r="L2408" s="41"/>
      <c r="M2408" s="41"/>
      <c r="N2408" s="41"/>
      <c r="O2408" s="41"/>
    </row>
    <row r="2409" spans="1:15">
      <c r="A2409" s="39"/>
      <c r="B2409" s="40"/>
      <c r="C2409" s="41"/>
      <c r="D2409" s="41"/>
      <c r="E2409" s="41"/>
      <c r="F2409" s="41"/>
      <c r="G2409" s="41"/>
      <c r="H2409" s="41"/>
      <c r="I2409" s="41"/>
      <c r="J2409" s="41"/>
      <c r="K2409" s="41"/>
      <c r="L2409" s="41"/>
      <c r="M2409" s="41"/>
      <c r="N2409" s="41"/>
      <c r="O2409" s="41"/>
    </row>
    <row r="2410" spans="1:15">
      <c r="A2410" s="39"/>
      <c r="B2410" s="40"/>
      <c r="C2410" s="41"/>
      <c r="D2410" s="41"/>
      <c r="E2410" s="41"/>
      <c r="F2410" s="41"/>
      <c r="G2410" s="41"/>
      <c r="H2410" s="41"/>
      <c r="I2410" s="41"/>
      <c r="J2410" s="41"/>
      <c r="K2410" s="41"/>
      <c r="L2410" s="41"/>
      <c r="M2410" s="41"/>
      <c r="N2410" s="41"/>
      <c r="O2410" s="41"/>
    </row>
    <row r="2411" spans="1:15">
      <c r="A2411" s="39"/>
      <c r="B2411" s="40"/>
      <c r="C2411" s="41"/>
      <c r="D2411" s="41"/>
      <c r="E2411" s="41"/>
      <c r="F2411" s="41"/>
      <c r="G2411" s="41"/>
      <c r="H2411" s="41"/>
      <c r="I2411" s="41"/>
      <c r="J2411" s="41"/>
      <c r="K2411" s="41"/>
      <c r="L2411" s="41"/>
      <c r="M2411" s="41"/>
      <c r="N2411" s="41"/>
      <c r="O2411" s="41"/>
    </row>
    <row r="2412" spans="1:15">
      <c r="A2412" s="39"/>
      <c r="B2412" s="40"/>
      <c r="C2412" s="41"/>
      <c r="D2412" s="41"/>
      <c r="E2412" s="41"/>
      <c r="F2412" s="41"/>
      <c r="G2412" s="41"/>
      <c r="H2412" s="41"/>
      <c r="I2412" s="41"/>
      <c r="J2412" s="41"/>
      <c r="K2412" s="41"/>
      <c r="L2412" s="41"/>
      <c r="M2412" s="41"/>
      <c r="N2412" s="41"/>
      <c r="O2412" s="41"/>
    </row>
    <row r="2413" spans="1:15">
      <c r="A2413" s="39"/>
      <c r="B2413" s="40"/>
      <c r="C2413" s="41"/>
      <c r="D2413" s="41"/>
      <c r="E2413" s="41"/>
      <c r="F2413" s="41"/>
      <c r="G2413" s="41"/>
      <c r="H2413" s="41"/>
      <c r="I2413" s="41"/>
      <c r="J2413" s="41"/>
      <c r="K2413" s="41"/>
      <c r="L2413" s="41"/>
      <c r="M2413" s="41"/>
      <c r="N2413" s="41"/>
      <c r="O2413" s="41"/>
    </row>
    <row r="2414" spans="1:15">
      <c r="A2414" s="39"/>
      <c r="B2414" s="40"/>
      <c r="C2414" s="41"/>
      <c r="D2414" s="41"/>
      <c r="E2414" s="41"/>
      <c r="F2414" s="41"/>
      <c r="G2414" s="41"/>
      <c r="H2414" s="41"/>
      <c r="I2414" s="41"/>
      <c r="J2414" s="41"/>
      <c r="K2414" s="41"/>
      <c r="L2414" s="41"/>
      <c r="M2414" s="41"/>
      <c r="N2414" s="41"/>
      <c r="O2414" s="41"/>
    </row>
    <row r="2415" spans="1:15">
      <c r="A2415" s="39"/>
      <c r="B2415" s="40"/>
      <c r="C2415" s="41"/>
      <c r="D2415" s="41"/>
      <c r="E2415" s="41"/>
      <c r="F2415" s="41"/>
      <c r="G2415" s="41"/>
      <c r="H2415" s="41"/>
      <c r="I2415" s="41"/>
      <c r="J2415" s="41"/>
      <c r="K2415" s="41"/>
      <c r="L2415" s="41"/>
      <c r="M2415" s="41"/>
      <c r="N2415" s="41"/>
      <c r="O2415" s="41"/>
    </row>
    <row r="2416" spans="1:15">
      <c r="A2416" s="39"/>
      <c r="B2416" s="40"/>
      <c r="C2416" s="41"/>
      <c r="D2416" s="41"/>
      <c r="E2416" s="41"/>
      <c r="F2416" s="41"/>
      <c r="G2416" s="41"/>
      <c r="H2416" s="41"/>
      <c r="I2416" s="41"/>
      <c r="J2416" s="41"/>
      <c r="K2416" s="41"/>
      <c r="L2416" s="41"/>
      <c r="M2416" s="41"/>
      <c r="N2416" s="41"/>
      <c r="O2416" s="41"/>
    </row>
    <row r="2417" spans="1:15">
      <c r="A2417" s="39"/>
      <c r="B2417" s="40"/>
      <c r="C2417" s="41"/>
      <c r="D2417" s="41"/>
      <c r="E2417" s="41"/>
      <c r="F2417" s="41"/>
      <c r="G2417" s="41"/>
      <c r="H2417" s="41"/>
      <c r="I2417" s="41"/>
      <c r="J2417" s="41"/>
      <c r="K2417" s="41"/>
      <c r="L2417" s="41"/>
      <c r="M2417" s="41"/>
      <c r="N2417" s="41"/>
      <c r="O2417" s="41"/>
    </row>
    <row r="2418" spans="1:15">
      <c r="A2418" s="39"/>
      <c r="B2418" s="40"/>
      <c r="C2418" s="41"/>
      <c r="D2418" s="41"/>
      <c r="E2418" s="41"/>
      <c r="F2418" s="41"/>
      <c r="G2418" s="41"/>
      <c r="H2418" s="41"/>
      <c r="I2418" s="41"/>
      <c r="J2418" s="41"/>
      <c r="K2418" s="41"/>
      <c r="L2418" s="41"/>
      <c r="M2418" s="41"/>
      <c r="N2418" s="41"/>
      <c r="O2418" s="41"/>
    </row>
    <row r="2419" spans="1:15">
      <c r="A2419" s="39"/>
      <c r="B2419" s="40"/>
      <c r="C2419" s="41"/>
      <c r="D2419" s="41"/>
      <c r="E2419" s="41"/>
      <c r="F2419" s="41"/>
      <c r="G2419" s="41"/>
      <c r="H2419" s="41"/>
      <c r="I2419" s="41"/>
      <c r="J2419" s="41"/>
      <c r="K2419" s="41"/>
      <c r="L2419" s="41"/>
      <c r="M2419" s="41"/>
      <c r="N2419" s="41"/>
      <c r="O2419" s="41"/>
    </row>
    <row r="2420" spans="1:15">
      <c r="A2420" s="39"/>
      <c r="B2420" s="40"/>
      <c r="C2420" s="41"/>
      <c r="D2420" s="41"/>
      <c r="E2420" s="41"/>
      <c r="F2420" s="41"/>
      <c r="G2420" s="41"/>
      <c r="H2420" s="41"/>
      <c r="I2420" s="41"/>
      <c r="J2420" s="41"/>
      <c r="K2420" s="41"/>
      <c r="L2420" s="41"/>
      <c r="M2420" s="41"/>
      <c r="N2420" s="41"/>
      <c r="O2420" s="41"/>
    </row>
    <row r="2421" spans="1:15">
      <c r="A2421" s="39"/>
      <c r="B2421" s="40"/>
      <c r="C2421" s="41"/>
      <c r="D2421" s="41"/>
      <c r="E2421" s="41"/>
      <c r="F2421" s="41"/>
      <c r="G2421" s="41"/>
      <c r="H2421" s="41"/>
      <c r="I2421" s="41"/>
      <c r="J2421" s="41"/>
      <c r="K2421" s="41"/>
      <c r="L2421" s="41"/>
      <c r="M2421" s="41"/>
      <c r="N2421" s="41"/>
      <c r="O2421" s="41"/>
    </row>
    <row r="2422" spans="1:15">
      <c r="A2422" s="39"/>
      <c r="B2422" s="40"/>
      <c r="C2422" s="41"/>
      <c r="D2422" s="41"/>
      <c r="E2422" s="41"/>
      <c r="F2422" s="41"/>
      <c r="G2422" s="41"/>
      <c r="H2422" s="41"/>
      <c r="I2422" s="41"/>
      <c r="J2422" s="41"/>
      <c r="K2422" s="41"/>
      <c r="L2422" s="41"/>
      <c r="M2422" s="41"/>
      <c r="N2422" s="41"/>
      <c r="O2422" s="41"/>
    </row>
    <row r="2423" spans="1:15">
      <c r="A2423" s="39"/>
      <c r="B2423" s="40"/>
      <c r="C2423" s="41"/>
      <c r="D2423" s="41"/>
      <c r="E2423" s="41"/>
      <c r="F2423" s="41"/>
      <c r="G2423" s="41"/>
      <c r="H2423" s="41"/>
      <c r="I2423" s="41"/>
      <c r="J2423" s="41"/>
      <c r="K2423" s="41"/>
      <c r="L2423" s="41"/>
      <c r="M2423" s="41"/>
      <c r="N2423" s="41"/>
      <c r="O2423" s="41"/>
    </row>
    <row r="2424" spans="1:15">
      <c r="A2424" s="39"/>
      <c r="B2424" s="40"/>
      <c r="C2424" s="41"/>
      <c r="D2424" s="41"/>
      <c r="E2424" s="41"/>
      <c r="F2424" s="41"/>
      <c r="G2424" s="41"/>
      <c r="H2424" s="41"/>
      <c r="I2424" s="41"/>
      <c r="J2424" s="41"/>
      <c r="K2424" s="41"/>
      <c r="L2424" s="41"/>
      <c r="M2424" s="41"/>
      <c r="N2424" s="41"/>
      <c r="O2424" s="41"/>
    </row>
    <row r="2425" spans="1:15">
      <c r="A2425" s="39"/>
      <c r="B2425" s="40"/>
      <c r="C2425" s="41"/>
      <c r="D2425" s="41"/>
      <c r="E2425" s="41"/>
      <c r="F2425" s="41"/>
      <c r="G2425" s="41"/>
      <c r="H2425" s="41"/>
      <c r="I2425" s="41"/>
      <c r="J2425" s="41"/>
      <c r="K2425" s="41"/>
      <c r="L2425" s="41"/>
      <c r="M2425" s="41"/>
      <c r="N2425" s="41"/>
      <c r="O2425" s="41"/>
    </row>
    <row r="2426" spans="1:15">
      <c r="A2426" s="39"/>
      <c r="B2426" s="40"/>
      <c r="C2426" s="41"/>
      <c r="D2426" s="41"/>
      <c r="E2426" s="41"/>
      <c r="F2426" s="41"/>
      <c r="G2426" s="41"/>
      <c r="H2426" s="41"/>
      <c r="I2426" s="41"/>
      <c r="J2426" s="41"/>
      <c r="K2426" s="41"/>
      <c r="L2426" s="41"/>
      <c r="M2426" s="41"/>
      <c r="N2426" s="41"/>
      <c r="O2426" s="41"/>
    </row>
    <row r="2427" spans="1:15">
      <c r="A2427" s="39"/>
      <c r="B2427" s="40"/>
      <c r="C2427" s="41"/>
      <c r="D2427" s="41"/>
      <c r="E2427" s="41"/>
      <c r="F2427" s="41"/>
      <c r="G2427" s="41"/>
      <c r="H2427" s="41"/>
      <c r="I2427" s="41"/>
      <c r="J2427" s="41"/>
      <c r="K2427" s="41"/>
      <c r="L2427" s="41"/>
      <c r="M2427" s="41"/>
      <c r="N2427" s="41"/>
      <c r="O2427" s="41"/>
    </row>
    <row r="2428" spans="1:15">
      <c r="A2428" s="39"/>
      <c r="B2428" s="40"/>
      <c r="C2428" s="41"/>
      <c r="D2428" s="41"/>
      <c r="E2428" s="41"/>
      <c r="F2428" s="41"/>
      <c r="G2428" s="41"/>
      <c r="H2428" s="41"/>
      <c r="I2428" s="41"/>
      <c r="J2428" s="41"/>
      <c r="K2428" s="41"/>
      <c r="L2428" s="41"/>
      <c r="M2428" s="41"/>
      <c r="N2428" s="41"/>
      <c r="O2428" s="41"/>
    </row>
    <row r="2429" spans="1:15">
      <c r="A2429" s="39"/>
      <c r="B2429" s="40"/>
      <c r="C2429" s="41"/>
      <c r="D2429" s="41"/>
      <c r="E2429" s="41"/>
      <c r="F2429" s="41"/>
      <c r="G2429" s="41"/>
      <c r="H2429" s="41"/>
      <c r="I2429" s="41"/>
      <c r="J2429" s="41"/>
      <c r="K2429" s="41"/>
      <c r="L2429" s="41"/>
      <c r="M2429" s="41"/>
      <c r="N2429" s="41"/>
      <c r="O2429" s="41"/>
    </row>
    <row r="2430" spans="1:15">
      <c r="A2430" s="39"/>
      <c r="B2430" s="40"/>
      <c r="C2430" s="41"/>
      <c r="D2430" s="41"/>
      <c r="E2430" s="41"/>
      <c r="F2430" s="41"/>
      <c r="G2430" s="41"/>
      <c r="H2430" s="41"/>
      <c r="I2430" s="41"/>
      <c r="J2430" s="41"/>
      <c r="K2430" s="41"/>
      <c r="L2430" s="41"/>
      <c r="M2430" s="41"/>
      <c r="N2430" s="41"/>
      <c r="O2430" s="41"/>
    </row>
    <row r="2431" spans="1:15">
      <c r="A2431" s="39"/>
      <c r="B2431" s="40"/>
      <c r="C2431" s="41"/>
      <c r="D2431" s="41"/>
      <c r="E2431" s="41"/>
      <c r="F2431" s="41"/>
      <c r="G2431" s="41"/>
      <c r="H2431" s="41"/>
      <c r="I2431" s="41"/>
      <c r="J2431" s="41"/>
      <c r="K2431" s="41"/>
      <c r="L2431" s="41"/>
      <c r="M2431" s="41"/>
      <c r="N2431" s="41"/>
      <c r="O2431" s="41"/>
    </row>
    <row r="2432" spans="1:15">
      <c r="A2432" s="39"/>
      <c r="B2432" s="40"/>
      <c r="C2432" s="41"/>
      <c r="D2432" s="41"/>
      <c r="E2432" s="41"/>
      <c r="F2432" s="41"/>
      <c r="G2432" s="41"/>
      <c r="H2432" s="41"/>
      <c r="I2432" s="41"/>
      <c r="J2432" s="41"/>
      <c r="K2432" s="41"/>
      <c r="L2432" s="41"/>
      <c r="M2432" s="41"/>
      <c r="N2432" s="41"/>
      <c r="O2432" s="41"/>
    </row>
    <row r="2433" spans="1:15">
      <c r="A2433" s="39"/>
      <c r="B2433" s="40"/>
      <c r="C2433" s="41"/>
      <c r="D2433" s="41"/>
      <c r="E2433" s="41"/>
      <c r="F2433" s="41"/>
      <c r="G2433" s="41"/>
      <c r="H2433" s="41"/>
      <c r="I2433" s="41"/>
      <c r="J2433" s="41"/>
      <c r="K2433" s="41"/>
      <c r="L2433" s="41"/>
      <c r="M2433" s="41"/>
      <c r="N2433" s="41"/>
      <c r="O2433" s="41"/>
    </row>
    <row r="2434" spans="1:15">
      <c r="A2434" s="39"/>
      <c r="B2434" s="40"/>
      <c r="C2434" s="41"/>
      <c r="D2434" s="41"/>
      <c r="E2434" s="41"/>
      <c r="F2434" s="41"/>
      <c r="G2434" s="41"/>
      <c r="H2434" s="41"/>
      <c r="I2434" s="41"/>
      <c r="J2434" s="41"/>
      <c r="K2434" s="41"/>
      <c r="L2434" s="41"/>
      <c r="M2434" s="41"/>
      <c r="N2434" s="41"/>
      <c r="O2434" s="41"/>
    </row>
    <row r="2435" spans="1:15">
      <c r="A2435" s="39"/>
      <c r="B2435" s="40"/>
      <c r="C2435" s="41"/>
      <c r="D2435" s="41"/>
      <c r="E2435" s="41"/>
      <c r="F2435" s="41"/>
      <c r="G2435" s="41"/>
      <c r="H2435" s="41"/>
      <c r="I2435" s="41"/>
      <c r="J2435" s="41"/>
      <c r="K2435" s="41"/>
      <c r="L2435" s="41"/>
      <c r="M2435" s="41"/>
      <c r="N2435" s="41"/>
      <c r="O2435" s="41"/>
    </row>
    <row r="2436" spans="1:15">
      <c r="A2436" s="39"/>
      <c r="B2436" s="40"/>
      <c r="C2436" s="41"/>
      <c r="D2436" s="41"/>
      <c r="E2436" s="41"/>
      <c r="F2436" s="41"/>
      <c r="G2436" s="41"/>
      <c r="H2436" s="41"/>
      <c r="I2436" s="41"/>
      <c r="J2436" s="41"/>
      <c r="K2436" s="41"/>
      <c r="L2436" s="41"/>
      <c r="M2436" s="41"/>
      <c r="N2436" s="41"/>
      <c r="O2436" s="41"/>
    </row>
    <row r="2437" spans="1:15">
      <c r="A2437" s="39"/>
      <c r="B2437" s="40"/>
      <c r="C2437" s="41"/>
      <c r="D2437" s="41"/>
      <c r="E2437" s="41"/>
      <c r="F2437" s="41"/>
      <c r="G2437" s="41"/>
      <c r="H2437" s="41"/>
      <c r="I2437" s="41"/>
      <c r="J2437" s="41"/>
      <c r="K2437" s="41"/>
      <c r="L2437" s="41"/>
      <c r="M2437" s="41"/>
      <c r="N2437" s="41"/>
      <c r="O2437" s="41"/>
    </row>
    <row r="2438" spans="1:15">
      <c r="A2438" s="39"/>
      <c r="B2438" s="40"/>
      <c r="C2438" s="41"/>
      <c r="D2438" s="41"/>
      <c r="E2438" s="41"/>
      <c r="F2438" s="41"/>
      <c r="G2438" s="41"/>
      <c r="H2438" s="41"/>
      <c r="I2438" s="41"/>
      <c r="J2438" s="41"/>
      <c r="K2438" s="41"/>
      <c r="L2438" s="41"/>
      <c r="M2438" s="41"/>
      <c r="N2438" s="41"/>
      <c r="O2438" s="41"/>
    </row>
    <row r="2439" spans="1:15">
      <c r="A2439" s="39"/>
      <c r="B2439" s="40"/>
      <c r="C2439" s="41"/>
      <c r="D2439" s="41"/>
      <c r="E2439" s="41"/>
      <c r="F2439" s="41"/>
      <c r="G2439" s="41"/>
      <c r="H2439" s="41"/>
      <c r="I2439" s="41"/>
      <c r="J2439" s="41"/>
      <c r="K2439" s="41"/>
      <c r="L2439" s="41"/>
      <c r="M2439" s="41"/>
      <c r="N2439" s="41"/>
      <c r="O2439" s="41"/>
    </row>
    <row r="2440" spans="1:15">
      <c r="A2440" s="39"/>
      <c r="B2440" s="40"/>
      <c r="C2440" s="41"/>
      <c r="D2440" s="41"/>
      <c r="E2440" s="41"/>
      <c r="F2440" s="41"/>
      <c r="G2440" s="41"/>
      <c r="H2440" s="41"/>
      <c r="I2440" s="41"/>
      <c r="J2440" s="41"/>
      <c r="K2440" s="41"/>
      <c r="L2440" s="41"/>
      <c r="M2440" s="41"/>
      <c r="N2440" s="41"/>
      <c r="O2440" s="41"/>
    </row>
    <row r="2441" spans="1:15">
      <c r="A2441" s="39"/>
      <c r="B2441" s="40"/>
      <c r="C2441" s="41"/>
      <c r="D2441" s="41"/>
      <c r="E2441" s="41"/>
      <c r="F2441" s="41"/>
      <c r="G2441" s="41"/>
      <c r="H2441" s="41"/>
      <c r="I2441" s="41"/>
      <c r="J2441" s="41"/>
      <c r="K2441" s="41"/>
      <c r="L2441" s="41"/>
      <c r="M2441" s="41"/>
      <c r="N2441" s="41"/>
      <c r="O2441" s="41"/>
    </row>
    <row r="2442" spans="1:15">
      <c r="A2442" s="39"/>
      <c r="B2442" s="40"/>
      <c r="C2442" s="41"/>
      <c r="D2442" s="41"/>
      <c r="E2442" s="41"/>
      <c r="F2442" s="41"/>
      <c r="G2442" s="41"/>
      <c r="H2442" s="41"/>
      <c r="I2442" s="41"/>
      <c r="J2442" s="41"/>
      <c r="K2442" s="41"/>
      <c r="L2442" s="41"/>
      <c r="M2442" s="41"/>
      <c r="N2442" s="41"/>
      <c r="O2442" s="41"/>
    </row>
    <row r="2443" spans="1:15">
      <c r="A2443" s="39"/>
      <c r="B2443" s="40"/>
      <c r="C2443" s="41"/>
      <c r="D2443" s="41"/>
      <c r="E2443" s="41"/>
      <c r="F2443" s="41"/>
      <c r="G2443" s="41"/>
      <c r="H2443" s="41"/>
      <c r="I2443" s="41"/>
      <c r="J2443" s="41"/>
      <c r="K2443" s="41"/>
      <c r="L2443" s="41"/>
      <c r="M2443" s="41"/>
      <c r="N2443" s="41"/>
      <c r="O2443" s="41"/>
    </row>
    <row r="2444" spans="1:15">
      <c r="A2444" s="39"/>
      <c r="B2444" s="40"/>
      <c r="C2444" s="41"/>
      <c r="D2444" s="41"/>
      <c r="E2444" s="41"/>
      <c r="F2444" s="41"/>
      <c r="G2444" s="41"/>
      <c r="H2444" s="41"/>
      <c r="I2444" s="41"/>
      <c r="J2444" s="41"/>
      <c r="K2444" s="41"/>
      <c r="L2444" s="41"/>
      <c r="M2444" s="41"/>
      <c r="N2444" s="41"/>
      <c r="O2444" s="41"/>
    </row>
    <row r="2445" spans="1:15">
      <c r="A2445" s="39"/>
      <c r="B2445" s="40"/>
      <c r="C2445" s="41"/>
      <c r="D2445" s="41"/>
      <c r="E2445" s="41"/>
      <c r="F2445" s="41"/>
      <c r="G2445" s="41"/>
      <c r="H2445" s="41"/>
      <c r="I2445" s="41"/>
      <c r="J2445" s="41"/>
      <c r="K2445" s="41"/>
      <c r="L2445" s="41"/>
      <c r="M2445" s="41"/>
      <c r="N2445" s="41"/>
      <c r="O2445" s="41"/>
    </row>
    <row r="2446" spans="1:15">
      <c r="A2446" s="39"/>
      <c r="B2446" s="40"/>
      <c r="C2446" s="41"/>
      <c r="D2446" s="41"/>
      <c r="E2446" s="41"/>
      <c r="F2446" s="41"/>
      <c r="G2446" s="41"/>
      <c r="H2446" s="41"/>
      <c r="I2446" s="41"/>
      <c r="J2446" s="41"/>
      <c r="K2446" s="41"/>
      <c r="L2446" s="41"/>
      <c r="M2446" s="41"/>
      <c r="N2446" s="41"/>
      <c r="O2446" s="41"/>
    </row>
    <row r="2447" spans="1:15">
      <c r="A2447" s="39"/>
      <c r="B2447" s="40"/>
      <c r="C2447" s="41"/>
      <c r="D2447" s="41"/>
      <c r="E2447" s="41"/>
      <c r="F2447" s="41"/>
      <c r="G2447" s="41"/>
      <c r="H2447" s="41"/>
      <c r="I2447" s="41"/>
      <c r="J2447" s="41"/>
      <c r="K2447" s="41"/>
      <c r="L2447" s="41"/>
      <c r="M2447" s="41"/>
      <c r="N2447" s="41"/>
      <c r="O2447" s="41"/>
    </row>
    <row r="2448" spans="1:15">
      <c r="A2448" s="39"/>
      <c r="B2448" s="40"/>
      <c r="C2448" s="41"/>
      <c r="D2448" s="41"/>
      <c r="E2448" s="41"/>
      <c r="F2448" s="41"/>
      <c r="G2448" s="41"/>
      <c r="H2448" s="41"/>
      <c r="I2448" s="41"/>
      <c r="J2448" s="41"/>
      <c r="K2448" s="41"/>
      <c r="L2448" s="41"/>
      <c r="M2448" s="41"/>
      <c r="N2448" s="41"/>
      <c r="O2448" s="41"/>
    </row>
    <row r="2449" spans="1:15">
      <c r="A2449" s="39"/>
      <c r="B2449" s="40"/>
      <c r="C2449" s="41"/>
      <c r="D2449" s="41"/>
      <c r="E2449" s="41"/>
      <c r="F2449" s="41"/>
      <c r="G2449" s="41"/>
      <c r="H2449" s="41"/>
      <c r="I2449" s="41"/>
      <c r="J2449" s="41"/>
      <c r="K2449" s="41"/>
      <c r="L2449" s="41"/>
      <c r="M2449" s="41"/>
      <c r="N2449" s="41"/>
      <c r="O2449" s="41"/>
    </row>
    <row r="2450" spans="1:15">
      <c r="A2450" s="39"/>
      <c r="B2450" s="40"/>
      <c r="C2450" s="41"/>
      <c r="D2450" s="41"/>
      <c r="E2450" s="41"/>
      <c r="F2450" s="41"/>
      <c r="G2450" s="41"/>
      <c r="H2450" s="41"/>
      <c r="I2450" s="41"/>
      <c r="J2450" s="41"/>
      <c r="K2450" s="41"/>
      <c r="L2450" s="41"/>
      <c r="M2450" s="41"/>
      <c r="N2450" s="41"/>
      <c r="O2450" s="41"/>
    </row>
    <row r="2451" spans="1:15">
      <c r="A2451" s="39"/>
      <c r="B2451" s="40"/>
      <c r="C2451" s="41"/>
      <c r="D2451" s="41"/>
      <c r="E2451" s="41"/>
      <c r="F2451" s="41"/>
      <c r="G2451" s="41"/>
      <c r="H2451" s="41"/>
      <c r="I2451" s="41"/>
      <c r="J2451" s="41"/>
      <c r="K2451" s="41"/>
      <c r="L2451" s="41"/>
      <c r="M2451" s="41"/>
      <c r="N2451" s="41"/>
      <c r="O2451" s="41"/>
    </row>
    <row r="2452" spans="1:15">
      <c r="A2452" s="39"/>
      <c r="B2452" s="40"/>
      <c r="C2452" s="41"/>
      <c r="D2452" s="41"/>
      <c r="E2452" s="41"/>
      <c r="F2452" s="41"/>
      <c r="G2452" s="41"/>
      <c r="H2452" s="41"/>
      <c r="I2452" s="41"/>
      <c r="J2452" s="41"/>
      <c r="K2452" s="41"/>
      <c r="L2452" s="41"/>
      <c r="M2452" s="41"/>
      <c r="N2452" s="41"/>
      <c r="O2452" s="41"/>
    </row>
    <row r="2453" spans="1:15">
      <c r="A2453" s="39"/>
      <c r="B2453" s="40"/>
      <c r="C2453" s="41"/>
      <c r="D2453" s="41"/>
      <c r="E2453" s="41"/>
      <c r="F2453" s="41"/>
      <c r="G2453" s="41"/>
      <c r="H2453" s="41"/>
      <c r="I2453" s="41"/>
      <c r="J2453" s="41"/>
      <c r="K2453" s="41"/>
      <c r="L2453" s="41"/>
      <c r="M2453" s="41"/>
      <c r="N2453" s="41"/>
      <c r="O2453" s="41"/>
    </row>
    <row r="2454" spans="1:15">
      <c r="A2454" s="39"/>
      <c r="B2454" s="40"/>
      <c r="C2454" s="41"/>
      <c r="D2454" s="41"/>
      <c r="E2454" s="41"/>
      <c r="F2454" s="41"/>
      <c r="G2454" s="41"/>
      <c r="H2454" s="41"/>
      <c r="I2454" s="41"/>
      <c r="J2454" s="41"/>
      <c r="K2454" s="41"/>
      <c r="L2454" s="41"/>
      <c r="M2454" s="41"/>
      <c r="N2454" s="41"/>
      <c r="O2454" s="41"/>
    </row>
    <row r="2455" spans="1:15">
      <c r="A2455" s="39"/>
      <c r="B2455" s="40"/>
      <c r="C2455" s="41"/>
      <c r="D2455" s="41"/>
      <c r="E2455" s="41"/>
      <c r="F2455" s="41"/>
      <c r="G2455" s="41"/>
      <c r="H2455" s="41"/>
      <c r="I2455" s="41"/>
      <c r="J2455" s="41"/>
      <c r="K2455" s="41"/>
      <c r="L2455" s="41"/>
      <c r="M2455" s="41"/>
      <c r="N2455" s="41"/>
      <c r="O2455" s="41"/>
    </row>
    <row r="2456" spans="1:15">
      <c r="A2456" s="39"/>
      <c r="B2456" s="40"/>
      <c r="C2456" s="41"/>
      <c r="D2456" s="41"/>
      <c r="E2456" s="41"/>
      <c r="F2456" s="41"/>
      <c r="G2456" s="41"/>
      <c r="H2456" s="41"/>
      <c r="I2456" s="41"/>
      <c r="J2456" s="41"/>
      <c r="K2456" s="41"/>
      <c r="L2456" s="41"/>
      <c r="M2456" s="41"/>
      <c r="N2456" s="41"/>
      <c r="O2456" s="41"/>
    </row>
    <row r="2457" spans="1:15">
      <c r="A2457" s="39"/>
      <c r="B2457" s="40"/>
      <c r="C2457" s="41"/>
      <c r="D2457" s="41"/>
      <c r="E2457" s="41"/>
      <c r="F2457" s="41"/>
      <c r="G2457" s="41"/>
      <c r="H2457" s="41"/>
      <c r="I2457" s="41"/>
      <c r="J2457" s="41"/>
      <c r="K2457" s="41"/>
      <c r="L2457" s="41"/>
      <c r="M2457" s="41"/>
      <c r="N2457" s="41"/>
      <c r="O2457" s="41"/>
    </row>
    <row r="2458" spans="1:15">
      <c r="A2458" s="39"/>
      <c r="B2458" s="40"/>
      <c r="C2458" s="41"/>
      <c r="D2458" s="41"/>
      <c r="E2458" s="41"/>
      <c r="F2458" s="41"/>
      <c r="G2458" s="41"/>
      <c r="H2458" s="41"/>
      <c r="I2458" s="41"/>
      <c r="J2458" s="41"/>
      <c r="K2458" s="41"/>
      <c r="L2458" s="41"/>
      <c r="M2458" s="41"/>
      <c r="N2458" s="41"/>
      <c r="O2458" s="41"/>
    </row>
    <row r="2459" spans="1:15">
      <c r="A2459" s="39"/>
      <c r="B2459" s="40"/>
      <c r="C2459" s="41"/>
      <c r="D2459" s="41"/>
      <c r="E2459" s="41"/>
      <c r="F2459" s="41"/>
      <c r="G2459" s="41"/>
      <c r="H2459" s="41"/>
      <c r="I2459" s="41"/>
      <c r="J2459" s="41"/>
      <c r="K2459" s="41"/>
      <c r="L2459" s="41"/>
      <c r="M2459" s="41"/>
      <c r="N2459" s="41"/>
      <c r="O2459" s="41"/>
    </row>
    <row r="2460" spans="1:15">
      <c r="A2460" s="39"/>
      <c r="B2460" s="40"/>
      <c r="C2460" s="41"/>
      <c r="D2460" s="41"/>
      <c r="E2460" s="41"/>
      <c r="F2460" s="41"/>
      <c r="G2460" s="41"/>
      <c r="H2460" s="41"/>
      <c r="I2460" s="41"/>
      <c r="J2460" s="41"/>
      <c r="K2460" s="41"/>
      <c r="L2460" s="41"/>
      <c r="M2460" s="41"/>
      <c r="N2460" s="41"/>
      <c r="O2460" s="41"/>
    </row>
    <row r="2461" spans="1:15">
      <c r="A2461" s="39"/>
      <c r="B2461" s="40"/>
      <c r="C2461" s="41"/>
      <c r="D2461" s="41"/>
      <c r="E2461" s="41"/>
      <c r="F2461" s="41"/>
      <c r="G2461" s="41"/>
      <c r="H2461" s="41"/>
      <c r="I2461" s="41"/>
      <c r="J2461" s="41"/>
      <c r="K2461" s="41"/>
      <c r="L2461" s="41"/>
      <c r="M2461" s="41"/>
      <c r="N2461" s="41"/>
      <c r="O2461" s="41"/>
    </row>
    <row r="2462" spans="1:15">
      <c r="A2462" s="39"/>
      <c r="B2462" s="40"/>
      <c r="C2462" s="41"/>
      <c r="D2462" s="41"/>
      <c r="E2462" s="41"/>
      <c r="F2462" s="41"/>
      <c r="G2462" s="41"/>
      <c r="H2462" s="41"/>
      <c r="I2462" s="41"/>
      <c r="J2462" s="41"/>
      <c r="K2462" s="41"/>
      <c r="L2462" s="41"/>
      <c r="M2462" s="41"/>
      <c r="N2462" s="41"/>
      <c r="O2462" s="41"/>
    </row>
    <row r="2463" spans="1:15">
      <c r="A2463" s="39"/>
      <c r="B2463" s="40"/>
      <c r="C2463" s="41"/>
      <c r="D2463" s="41"/>
      <c r="E2463" s="41"/>
      <c r="F2463" s="41"/>
      <c r="G2463" s="41"/>
      <c r="H2463" s="41"/>
      <c r="I2463" s="41"/>
      <c r="J2463" s="41"/>
      <c r="K2463" s="41"/>
      <c r="L2463" s="41"/>
      <c r="M2463" s="41"/>
      <c r="N2463" s="41"/>
      <c r="O2463" s="41"/>
    </row>
    <row r="2464" spans="1:15">
      <c r="A2464" s="39"/>
      <c r="B2464" s="40"/>
      <c r="C2464" s="41"/>
      <c r="D2464" s="41"/>
      <c r="E2464" s="41"/>
      <c r="F2464" s="41"/>
      <c r="G2464" s="41"/>
      <c r="H2464" s="41"/>
      <c r="I2464" s="41"/>
      <c r="J2464" s="41"/>
      <c r="K2464" s="41"/>
      <c r="L2464" s="41"/>
      <c r="M2464" s="41"/>
      <c r="N2464" s="41"/>
      <c r="O2464" s="41"/>
    </row>
    <row r="2465" spans="1:15">
      <c r="A2465" s="39"/>
      <c r="B2465" s="40"/>
      <c r="C2465" s="41"/>
      <c r="D2465" s="41"/>
      <c r="E2465" s="41"/>
      <c r="F2465" s="41"/>
      <c r="G2465" s="41"/>
      <c r="H2465" s="41"/>
      <c r="I2465" s="41"/>
      <c r="J2465" s="41"/>
      <c r="K2465" s="41"/>
      <c r="L2465" s="41"/>
      <c r="M2465" s="41"/>
      <c r="N2465" s="41"/>
      <c r="O2465" s="41"/>
    </row>
    <row r="2466" spans="1:15">
      <c r="A2466" s="39"/>
      <c r="B2466" s="40"/>
      <c r="C2466" s="41"/>
      <c r="D2466" s="41"/>
      <c r="E2466" s="41"/>
      <c r="F2466" s="41"/>
      <c r="G2466" s="41"/>
      <c r="H2466" s="41"/>
      <c r="I2466" s="41"/>
      <c r="J2466" s="41"/>
      <c r="K2466" s="41"/>
      <c r="L2466" s="41"/>
      <c r="M2466" s="41"/>
      <c r="N2466" s="41"/>
      <c r="O2466" s="41"/>
    </row>
    <row r="2467" spans="1:15">
      <c r="A2467" s="39"/>
      <c r="B2467" s="40"/>
      <c r="C2467" s="41"/>
      <c r="D2467" s="41"/>
      <c r="E2467" s="41"/>
      <c r="F2467" s="41"/>
      <c r="G2467" s="41"/>
      <c r="H2467" s="41"/>
      <c r="I2467" s="41"/>
      <c r="J2467" s="41"/>
      <c r="K2467" s="41"/>
      <c r="L2467" s="41"/>
      <c r="M2467" s="41"/>
      <c r="N2467" s="41"/>
      <c r="O2467" s="41"/>
    </row>
    <row r="2468" spans="1:15">
      <c r="A2468" s="39"/>
      <c r="B2468" s="40"/>
      <c r="C2468" s="41"/>
      <c r="D2468" s="41"/>
      <c r="E2468" s="41"/>
      <c r="F2468" s="41"/>
      <c r="G2468" s="41"/>
      <c r="H2468" s="41"/>
      <c r="I2468" s="41"/>
      <c r="J2468" s="41"/>
      <c r="K2468" s="41"/>
      <c r="L2468" s="41"/>
      <c r="M2468" s="41"/>
      <c r="N2468" s="41"/>
      <c r="O2468" s="41"/>
    </row>
    <row r="2469" spans="1:15">
      <c r="A2469" s="39"/>
      <c r="B2469" s="40"/>
      <c r="C2469" s="41"/>
      <c r="D2469" s="41"/>
      <c r="E2469" s="41"/>
      <c r="F2469" s="41"/>
      <c r="G2469" s="41"/>
      <c r="H2469" s="41"/>
      <c r="I2469" s="41"/>
      <c r="J2469" s="41"/>
      <c r="K2469" s="41"/>
      <c r="L2469" s="41"/>
      <c r="M2469" s="41"/>
      <c r="N2469" s="41"/>
      <c r="O2469" s="41"/>
    </row>
    <row r="2470" spans="1:15">
      <c r="A2470" s="39"/>
      <c r="B2470" s="40"/>
      <c r="C2470" s="41"/>
      <c r="D2470" s="41"/>
      <c r="E2470" s="41"/>
      <c r="F2470" s="41"/>
      <c r="G2470" s="41"/>
      <c r="H2470" s="41"/>
      <c r="I2470" s="41"/>
      <c r="J2470" s="41"/>
      <c r="K2470" s="41"/>
      <c r="L2470" s="41"/>
      <c r="M2470" s="41"/>
      <c r="N2470" s="41"/>
      <c r="O2470" s="41"/>
    </row>
    <row r="2471" spans="1:15">
      <c r="A2471" s="39"/>
      <c r="B2471" s="40"/>
      <c r="C2471" s="41"/>
      <c r="D2471" s="41"/>
      <c r="E2471" s="41"/>
      <c r="F2471" s="41"/>
      <c r="G2471" s="41"/>
      <c r="H2471" s="41"/>
      <c r="I2471" s="41"/>
      <c r="J2471" s="41"/>
      <c r="K2471" s="41"/>
      <c r="L2471" s="41"/>
      <c r="M2471" s="41"/>
      <c r="N2471" s="41"/>
      <c r="O2471" s="41"/>
    </row>
    <row r="2472" spans="1:15">
      <c r="A2472" s="39"/>
      <c r="B2472" s="40"/>
      <c r="C2472" s="41"/>
      <c r="D2472" s="41"/>
      <c r="E2472" s="41"/>
      <c r="F2472" s="41"/>
      <c r="G2472" s="41"/>
      <c r="H2472" s="41"/>
      <c r="I2472" s="41"/>
      <c r="J2472" s="41"/>
      <c r="K2472" s="41"/>
      <c r="L2472" s="41"/>
      <c r="M2472" s="41"/>
      <c r="N2472" s="41"/>
      <c r="O2472" s="41"/>
    </row>
    <row r="2473" spans="1:15">
      <c r="A2473" s="39"/>
      <c r="B2473" s="40"/>
      <c r="C2473" s="41"/>
      <c r="D2473" s="41"/>
      <c r="E2473" s="41"/>
      <c r="F2473" s="41"/>
      <c r="G2473" s="41"/>
      <c r="H2473" s="41"/>
      <c r="I2473" s="41"/>
      <c r="J2473" s="41"/>
      <c r="K2473" s="41"/>
      <c r="L2473" s="41"/>
      <c r="M2473" s="41"/>
      <c r="N2473" s="41"/>
      <c r="O2473" s="41"/>
    </row>
    <row r="2474" spans="1:15">
      <c r="A2474" s="39"/>
      <c r="B2474" s="40"/>
      <c r="C2474" s="41"/>
      <c r="D2474" s="41"/>
      <c r="E2474" s="41"/>
      <c r="F2474" s="41"/>
      <c r="G2474" s="41"/>
      <c r="H2474" s="41"/>
      <c r="I2474" s="41"/>
      <c r="J2474" s="41"/>
      <c r="K2474" s="41"/>
      <c r="L2474" s="41"/>
      <c r="M2474" s="41"/>
      <c r="N2474" s="41"/>
      <c r="O2474" s="41"/>
    </row>
    <row r="2475" spans="1:15">
      <c r="A2475" s="39"/>
      <c r="B2475" s="40"/>
      <c r="C2475" s="41"/>
      <c r="D2475" s="41"/>
      <c r="E2475" s="41"/>
      <c r="F2475" s="41"/>
      <c r="G2475" s="41"/>
      <c r="H2475" s="41"/>
      <c r="I2475" s="41"/>
      <c r="J2475" s="41"/>
      <c r="K2475" s="41"/>
      <c r="L2475" s="41"/>
      <c r="M2475" s="41"/>
      <c r="N2475" s="41"/>
      <c r="O2475" s="41"/>
    </row>
    <row r="2476" spans="1:15">
      <c r="A2476" s="39"/>
      <c r="B2476" s="40"/>
      <c r="C2476" s="41"/>
      <c r="D2476" s="41"/>
      <c r="E2476" s="41"/>
      <c r="F2476" s="41"/>
      <c r="G2476" s="41"/>
      <c r="H2476" s="41"/>
      <c r="I2476" s="41"/>
      <c r="J2476" s="41"/>
      <c r="K2476" s="41"/>
      <c r="L2476" s="41"/>
      <c r="M2476" s="41"/>
      <c r="N2476" s="41"/>
      <c r="O2476" s="41"/>
    </row>
    <row r="2477" spans="1:15">
      <c r="A2477" s="39"/>
      <c r="B2477" s="40"/>
      <c r="C2477" s="41"/>
      <c r="D2477" s="41"/>
      <c r="E2477" s="41"/>
      <c r="F2477" s="41"/>
      <c r="G2477" s="41"/>
      <c r="H2477" s="41"/>
      <c r="I2477" s="41"/>
      <c r="J2477" s="41"/>
      <c r="K2477" s="41"/>
      <c r="L2477" s="41"/>
      <c r="M2477" s="41"/>
      <c r="N2477" s="41"/>
      <c r="O2477" s="41"/>
    </row>
    <row r="2478" spans="1:15">
      <c r="A2478" s="39"/>
      <c r="B2478" s="40"/>
      <c r="C2478" s="41"/>
      <c r="D2478" s="41"/>
      <c r="E2478" s="41"/>
      <c r="F2478" s="41"/>
      <c r="G2478" s="41"/>
      <c r="H2478" s="41"/>
      <c r="I2478" s="41"/>
      <c r="J2478" s="41"/>
      <c r="K2478" s="41"/>
      <c r="L2478" s="41"/>
      <c r="M2478" s="41"/>
      <c r="N2478" s="41"/>
      <c r="O2478" s="41"/>
    </row>
    <row r="2479" spans="1:15">
      <c r="A2479" s="39"/>
      <c r="B2479" s="40"/>
      <c r="C2479" s="41"/>
      <c r="D2479" s="41"/>
      <c r="E2479" s="41"/>
      <c r="F2479" s="41"/>
      <c r="G2479" s="41"/>
      <c r="H2479" s="41"/>
      <c r="I2479" s="41"/>
      <c r="J2479" s="41"/>
      <c r="K2479" s="41"/>
      <c r="L2479" s="41"/>
      <c r="M2479" s="41"/>
      <c r="N2479" s="41"/>
      <c r="O2479" s="41"/>
    </row>
    <row r="2480" spans="1:15">
      <c r="A2480" s="39"/>
      <c r="B2480" s="40"/>
      <c r="C2480" s="41"/>
      <c r="D2480" s="41"/>
      <c r="E2480" s="41"/>
      <c r="F2480" s="41"/>
      <c r="G2480" s="41"/>
      <c r="H2480" s="41"/>
      <c r="I2480" s="41"/>
      <c r="J2480" s="41"/>
      <c r="K2480" s="41"/>
      <c r="L2480" s="41"/>
      <c r="M2480" s="41"/>
      <c r="N2480" s="41"/>
      <c r="O2480" s="41"/>
    </row>
    <row r="2481" spans="1:15">
      <c r="A2481" s="39"/>
      <c r="B2481" s="40"/>
      <c r="C2481" s="41"/>
      <c r="D2481" s="41"/>
      <c r="E2481" s="41"/>
      <c r="F2481" s="41"/>
      <c r="G2481" s="41"/>
      <c r="H2481" s="41"/>
      <c r="I2481" s="41"/>
      <c r="J2481" s="41"/>
      <c r="K2481" s="41"/>
      <c r="L2481" s="41"/>
      <c r="M2481" s="41"/>
      <c r="N2481" s="41"/>
      <c r="O2481" s="41"/>
    </row>
    <row r="2482" spans="1:15">
      <c r="A2482" s="39"/>
      <c r="B2482" s="40"/>
      <c r="C2482" s="41"/>
      <c r="D2482" s="41"/>
      <c r="E2482" s="41"/>
      <c r="F2482" s="41"/>
      <c r="G2482" s="41"/>
      <c r="H2482" s="41"/>
      <c r="I2482" s="41"/>
      <c r="J2482" s="41"/>
      <c r="K2482" s="41"/>
      <c r="L2482" s="41"/>
      <c r="M2482" s="41"/>
      <c r="N2482" s="41"/>
      <c r="O2482" s="41"/>
    </row>
    <row r="2483" spans="1:15">
      <c r="A2483" s="39"/>
      <c r="B2483" s="40"/>
      <c r="C2483" s="41"/>
      <c r="D2483" s="41"/>
      <c r="E2483" s="41"/>
      <c r="F2483" s="41"/>
      <c r="G2483" s="41"/>
      <c r="H2483" s="41"/>
      <c r="I2483" s="41"/>
      <c r="J2483" s="41"/>
      <c r="K2483" s="41"/>
      <c r="L2483" s="41"/>
      <c r="M2483" s="41"/>
      <c r="N2483" s="41"/>
      <c r="O2483" s="41"/>
    </row>
    <row r="2484" spans="1:15">
      <c r="A2484" s="39"/>
      <c r="B2484" s="40"/>
      <c r="C2484" s="41"/>
      <c r="D2484" s="41"/>
      <c r="E2484" s="41"/>
      <c r="F2484" s="41"/>
      <c r="G2484" s="41"/>
      <c r="H2484" s="41"/>
      <c r="I2484" s="41"/>
      <c r="J2484" s="41"/>
      <c r="K2484" s="41"/>
      <c r="L2484" s="41"/>
      <c r="M2484" s="41"/>
      <c r="N2484" s="41"/>
      <c r="O2484" s="41"/>
    </row>
    <row r="2485" spans="1:15">
      <c r="A2485" s="39"/>
      <c r="B2485" s="40"/>
      <c r="C2485" s="41"/>
      <c r="D2485" s="41"/>
      <c r="E2485" s="41"/>
      <c r="F2485" s="41"/>
      <c r="G2485" s="41"/>
      <c r="H2485" s="41"/>
      <c r="I2485" s="41"/>
      <c r="J2485" s="41"/>
      <c r="K2485" s="41"/>
      <c r="L2485" s="41"/>
      <c r="M2485" s="41"/>
      <c r="N2485" s="41"/>
      <c r="O2485" s="41"/>
    </row>
    <row r="2486" spans="1:15">
      <c r="A2486" s="39"/>
      <c r="B2486" s="40"/>
      <c r="C2486" s="41"/>
      <c r="D2486" s="41"/>
      <c r="E2486" s="41"/>
      <c r="F2486" s="41"/>
      <c r="G2486" s="41"/>
      <c r="H2486" s="41"/>
      <c r="I2486" s="41"/>
      <c r="J2486" s="41"/>
      <c r="K2486" s="41"/>
      <c r="L2486" s="41"/>
      <c r="M2486" s="41"/>
      <c r="N2486" s="41"/>
      <c r="O2486" s="41"/>
    </row>
    <row r="2487" spans="1:15">
      <c r="A2487" s="39"/>
      <c r="B2487" s="40"/>
      <c r="C2487" s="41"/>
      <c r="D2487" s="41"/>
      <c r="E2487" s="41"/>
      <c r="F2487" s="41"/>
      <c r="G2487" s="41"/>
      <c r="H2487" s="41"/>
      <c r="I2487" s="41"/>
      <c r="J2487" s="41"/>
      <c r="K2487" s="41"/>
      <c r="L2487" s="41"/>
      <c r="M2487" s="41"/>
      <c r="N2487" s="41"/>
      <c r="O2487" s="41"/>
    </row>
    <row r="2488" spans="1:15">
      <c r="A2488" s="39"/>
      <c r="B2488" s="40"/>
      <c r="C2488" s="41"/>
      <c r="D2488" s="41"/>
      <c r="E2488" s="41"/>
      <c r="F2488" s="41"/>
      <c r="G2488" s="41"/>
      <c r="H2488" s="41"/>
      <c r="I2488" s="41"/>
      <c r="J2488" s="41"/>
      <c r="K2488" s="41"/>
      <c r="L2488" s="41"/>
      <c r="M2488" s="41"/>
      <c r="N2488" s="41"/>
      <c r="O2488" s="41"/>
    </row>
    <row r="2489" spans="1:15">
      <c r="A2489" s="39"/>
      <c r="B2489" s="40"/>
      <c r="C2489" s="41"/>
      <c r="D2489" s="41"/>
      <c r="E2489" s="41"/>
      <c r="F2489" s="41"/>
      <c r="G2489" s="41"/>
      <c r="H2489" s="41"/>
      <c r="I2489" s="41"/>
      <c r="J2489" s="41"/>
      <c r="K2489" s="41"/>
      <c r="L2489" s="41"/>
      <c r="M2489" s="41"/>
      <c r="N2489" s="41"/>
      <c r="O2489" s="41"/>
    </row>
    <row r="2490" spans="1:15">
      <c r="A2490" s="39"/>
      <c r="B2490" s="40"/>
      <c r="C2490" s="41"/>
      <c r="D2490" s="41"/>
      <c r="E2490" s="41"/>
      <c r="F2490" s="41"/>
      <c r="G2490" s="41"/>
      <c r="H2490" s="41"/>
      <c r="I2490" s="41"/>
      <c r="J2490" s="41"/>
      <c r="K2490" s="41"/>
      <c r="L2490" s="41"/>
      <c r="M2490" s="41"/>
      <c r="N2490" s="41"/>
      <c r="O2490" s="41"/>
    </row>
    <row r="2491" spans="1:15">
      <c r="A2491" s="39"/>
      <c r="B2491" s="40"/>
      <c r="C2491" s="41"/>
      <c r="D2491" s="41"/>
      <c r="E2491" s="41"/>
      <c r="F2491" s="41"/>
      <c r="G2491" s="41"/>
      <c r="H2491" s="41"/>
      <c r="I2491" s="41"/>
      <c r="J2491" s="41"/>
      <c r="K2491" s="41"/>
      <c r="L2491" s="41"/>
      <c r="M2491" s="41"/>
      <c r="N2491" s="41"/>
      <c r="O2491" s="41"/>
    </row>
    <row r="2492" spans="1:15">
      <c r="A2492" s="39"/>
      <c r="B2492" s="40"/>
      <c r="C2492" s="41"/>
      <c r="D2492" s="41"/>
      <c r="E2492" s="41"/>
      <c r="F2492" s="41"/>
      <c r="G2492" s="41"/>
      <c r="H2492" s="41"/>
      <c r="I2492" s="41"/>
      <c r="J2492" s="41"/>
      <c r="K2492" s="41"/>
      <c r="L2492" s="41"/>
      <c r="M2492" s="41"/>
      <c r="N2492" s="41"/>
      <c r="O2492" s="41"/>
    </row>
    <row r="2493" spans="1:15">
      <c r="A2493" s="39"/>
      <c r="B2493" s="40"/>
      <c r="C2493" s="41"/>
      <c r="D2493" s="41"/>
      <c r="E2493" s="41"/>
      <c r="F2493" s="41"/>
      <c r="G2493" s="41"/>
      <c r="H2493" s="41"/>
      <c r="I2493" s="41"/>
      <c r="J2493" s="41"/>
      <c r="K2493" s="41"/>
      <c r="L2493" s="41"/>
      <c r="M2493" s="41"/>
      <c r="N2493" s="41"/>
      <c r="O2493" s="41"/>
    </row>
    <row r="2494" spans="1:15">
      <c r="A2494" s="39"/>
      <c r="B2494" s="40"/>
      <c r="C2494" s="41"/>
      <c r="D2494" s="41"/>
      <c r="E2494" s="41"/>
      <c r="F2494" s="41"/>
      <c r="G2494" s="41"/>
      <c r="H2494" s="41"/>
      <c r="I2494" s="41"/>
      <c r="J2494" s="41"/>
      <c r="K2494" s="41"/>
      <c r="L2494" s="41"/>
      <c r="M2494" s="41"/>
      <c r="N2494" s="41"/>
      <c r="O2494" s="41"/>
    </row>
    <row r="2495" spans="1:15">
      <c r="A2495" s="39"/>
      <c r="B2495" s="40"/>
      <c r="C2495" s="41"/>
      <c r="D2495" s="41"/>
      <c r="E2495" s="41"/>
      <c r="F2495" s="41"/>
      <c r="G2495" s="41"/>
      <c r="H2495" s="41"/>
      <c r="I2495" s="41"/>
      <c r="J2495" s="41"/>
      <c r="K2495" s="41"/>
      <c r="L2495" s="41"/>
      <c r="M2495" s="41"/>
      <c r="N2495" s="41"/>
      <c r="O2495" s="41"/>
    </row>
    <row r="2496" spans="1:15">
      <c r="A2496" s="39"/>
      <c r="B2496" s="40"/>
      <c r="C2496" s="41"/>
      <c r="D2496" s="41"/>
      <c r="E2496" s="41"/>
      <c r="F2496" s="41"/>
      <c r="G2496" s="41"/>
      <c r="H2496" s="41"/>
      <c r="I2496" s="41"/>
      <c r="J2496" s="41"/>
      <c r="K2496" s="41"/>
      <c r="L2496" s="41"/>
      <c r="M2496" s="41"/>
      <c r="N2496" s="41"/>
      <c r="O2496" s="41"/>
    </row>
    <row r="2497" spans="1:15">
      <c r="A2497" s="39"/>
      <c r="B2497" s="40"/>
      <c r="C2497" s="41"/>
      <c r="D2497" s="41"/>
      <c r="E2497" s="41"/>
      <c r="F2497" s="41"/>
      <c r="G2497" s="41"/>
      <c r="H2497" s="41"/>
      <c r="I2497" s="41"/>
      <c r="J2497" s="41"/>
      <c r="K2497" s="41"/>
      <c r="L2497" s="41"/>
      <c r="M2497" s="41"/>
      <c r="N2497" s="41"/>
      <c r="O2497" s="41"/>
    </row>
    <row r="2498" spans="1:15">
      <c r="A2498" s="39"/>
      <c r="B2498" s="40"/>
      <c r="C2498" s="41"/>
      <c r="D2498" s="41"/>
      <c r="E2498" s="41"/>
      <c r="F2498" s="41"/>
      <c r="G2498" s="41"/>
      <c r="H2498" s="41"/>
      <c r="I2498" s="41"/>
      <c r="J2498" s="41"/>
      <c r="K2498" s="41"/>
      <c r="L2498" s="41"/>
      <c r="M2498" s="41"/>
      <c r="N2498" s="41"/>
      <c r="O2498" s="41"/>
    </row>
    <row r="2499" spans="1:15">
      <c r="A2499" s="39"/>
      <c r="B2499" s="40"/>
      <c r="C2499" s="41"/>
      <c r="D2499" s="41"/>
      <c r="E2499" s="41"/>
      <c r="F2499" s="41"/>
      <c r="G2499" s="41"/>
      <c r="H2499" s="41"/>
      <c r="I2499" s="41"/>
      <c r="J2499" s="41"/>
      <c r="K2499" s="41"/>
      <c r="L2499" s="41"/>
      <c r="M2499" s="41"/>
      <c r="N2499" s="41"/>
      <c r="O2499" s="41"/>
    </row>
    <row r="2500" spans="1:15">
      <c r="A2500" s="39"/>
      <c r="B2500" s="40"/>
      <c r="C2500" s="41"/>
      <c r="D2500" s="41"/>
      <c r="E2500" s="41"/>
      <c r="F2500" s="41"/>
      <c r="G2500" s="41"/>
      <c r="H2500" s="41"/>
      <c r="I2500" s="41"/>
      <c r="J2500" s="41"/>
      <c r="K2500" s="41"/>
      <c r="L2500" s="41"/>
      <c r="M2500" s="41"/>
      <c r="N2500" s="41"/>
      <c r="O2500" s="41"/>
    </row>
    <row r="2501" spans="1:15">
      <c r="A2501" s="39"/>
      <c r="B2501" s="40"/>
      <c r="C2501" s="41"/>
      <c r="D2501" s="41"/>
      <c r="E2501" s="41"/>
      <c r="F2501" s="41"/>
      <c r="G2501" s="41"/>
      <c r="H2501" s="41"/>
      <c r="I2501" s="41"/>
      <c r="J2501" s="41"/>
      <c r="K2501" s="41"/>
      <c r="L2501" s="41"/>
      <c r="M2501" s="41"/>
      <c r="N2501" s="41"/>
      <c r="O2501" s="41"/>
    </row>
    <row r="2502" spans="1:15">
      <c r="A2502" s="39"/>
      <c r="B2502" s="40"/>
      <c r="C2502" s="41"/>
      <c r="D2502" s="41"/>
      <c r="E2502" s="41"/>
      <c r="F2502" s="41"/>
      <c r="G2502" s="41"/>
      <c r="H2502" s="41"/>
      <c r="I2502" s="41"/>
      <c r="J2502" s="41"/>
      <c r="K2502" s="41"/>
      <c r="L2502" s="41"/>
      <c r="M2502" s="41"/>
      <c r="N2502" s="41"/>
      <c r="O2502" s="41"/>
    </row>
    <row r="2503" spans="1:15">
      <c r="A2503" s="39"/>
      <c r="B2503" s="40"/>
      <c r="C2503" s="41"/>
      <c r="D2503" s="41"/>
      <c r="E2503" s="41"/>
      <c r="F2503" s="41"/>
      <c r="G2503" s="41"/>
      <c r="H2503" s="41"/>
      <c r="I2503" s="41"/>
      <c r="J2503" s="41"/>
      <c r="K2503" s="41"/>
      <c r="L2503" s="41"/>
      <c r="M2503" s="41"/>
      <c r="N2503" s="41"/>
      <c r="O2503" s="41"/>
    </row>
    <row r="2504" spans="1:15">
      <c r="A2504" s="39"/>
      <c r="B2504" s="40"/>
      <c r="C2504" s="41"/>
      <c r="D2504" s="41"/>
      <c r="E2504" s="41"/>
      <c r="F2504" s="41"/>
      <c r="G2504" s="41"/>
      <c r="H2504" s="41"/>
      <c r="I2504" s="41"/>
      <c r="J2504" s="41"/>
      <c r="K2504" s="41"/>
      <c r="L2504" s="41"/>
      <c r="M2504" s="41"/>
      <c r="N2504" s="41"/>
      <c r="O2504" s="41"/>
    </row>
    <row r="2505" spans="1:15">
      <c r="A2505" s="39"/>
      <c r="B2505" s="40"/>
      <c r="C2505" s="41"/>
      <c r="D2505" s="41"/>
      <c r="E2505" s="41"/>
      <c r="F2505" s="41"/>
      <c r="G2505" s="41"/>
      <c r="H2505" s="41"/>
      <c r="I2505" s="41"/>
      <c r="J2505" s="41"/>
      <c r="K2505" s="41"/>
      <c r="L2505" s="41"/>
      <c r="M2505" s="41"/>
      <c r="N2505" s="41"/>
      <c r="O2505" s="41"/>
    </row>
    <row r="2506" spans="1:15">
      <c r="A2506" s="39"/>
      <c r="B2506" s="40"/>
      <c r="C2506" s="41"/>
      <c r="D2506" s="41"/>
      <c r="E2506" s="41"/>
      <c r="F2506" s="41"/>
      <c r="G2506" s="41"/>
      <c r="H2506" s="41"/>
      <c r="I2506" s="41"/>
      <c r="J2506" s="41"/>
      <c r="K2506" s="41"/>
      <c r="L2506" s="41"/>
      <c r="M2506" s="41"/>
      <c r="N2506" s="41"/>
      <c r="O2506" s="41"/>
    </row>
    <row r="2507" spans="1:15">
      <c r="A2507" s="39"/>
      <c r="B2507" s="40"/>
      <c r="C2507" s="41"/>
      <c r="D2507" s="41"/>
      <c r="E2507" s="41"/>
      <c r="F2507" s="41"/>
      <c r="G2507" s="41"/>
      <c r="H2507" s="41"/>
      <c r="I2507" s="41"/>
      <c r="J2507" s="41"/>
      <c r="K2507" s="41"/>
      <c r="L2507" s="41"/>
      <c r="M2507" s="41"/>
      <c r="N2507" s="41"/>
      <c r="O2507" s="41"/>
    </row>
    <row r="2508" spans="1:15">
      <c r="A2508" s="39"/>
      <c r="B2508" s="40"/>
      <c r="C2508" s="41"/>
      <c r="D2508" s="41"/>
      <c r="E2508" s="41"/>
      <c r="F2508" s="41"/>
      <c r="G2508" s="41"/>
      <c r="H2508" s="41"/>
      <c r="I2508" s="41"/>
      <c r="J2508" s="41"/>
      <c r="K2508" s="41"/>
      <c r="L2508" s="41"/>
      <c r="M2508" s="41"/>
      <c r="N2508" s="41"/>
      <c r="O2508" s="41"/>
    </row>
    <row r="2509" spans="1:15">
      <c r="A2509" s="39"/>
      <c r="B2509" s="40"/>
      <c r="C2509" s="41"/>
      <c r="D2509" s="41"/>
      <c r="E2509" s="41"/>
      <c r="F2509" s="41"/>
      <c r="G2509" s="41"/>
      <c r="H2509" s="41"/>
      <c r="I2509" s="41"/>
      <c r="J2509" s="41"/>
      <c r="K2509" s="41"/>
      <c r="L2509" s="41"/>
      <c r="M2509" s="41"/>
      <c r="N2509" s="41"/>
      <c r="O2509" s="41"/>
    </row>
    <row r="2510" spans="1:15">
      <c r="A2510" s="39"/>
      <c r="B2510" s="40"/>
      <c r="C2510" s="41"/>
      <c r="D2510" s="41"/>
      <c r="E2510" s="41"/>
      <c r="F2510" s="41"/>
      <c r="G2510" s="41"/>
      <c r="H2510" s="41"/>
      <c r="I2510" s="41"/>
      <c r="J2510" s="41"/>
      <c r="K2510" s="41"/>
      <c r="L2510" s="41"/>
      <c r="M2510" s="41"/>
      <c r="N2510" s="41"/>
      <c r="O2510" s="41"/>
    </row>
    <row r="2511" spans="1:15">
      <c r="A2511" s="39"/>
      <c r="B2511" s="40"/>
      <c r="C2511" s="41"/>
      <c r="D2511" s="41"/>
      <c r="E2511" s="41"/>
      <c r="F2511" s="41"/>
      <c r="G2511" s="41"/>
      <c r="H2511" s="41"/>
      <c r="I2511" s="41"/>
      <c r="J2511" s="41"/>
      <c r="K2511" s="41"/>
      <c r="L2511" s="41"/>
      <c r="M2511" s="41"/>
      <c r="N2511" s="41"/>
      <c r="O2511" s="41"/>
    </row>
    <row r="2512" spans="1:15">
      <c r="A2512" s="39"/>
      <c r="B2512" s="40"/>
      <c r="C2512" s="41"/>
      <c r="D2512" s="41"/>
      <c r="E2512" s="41"/>
      <c r="F2512" s="41"/>
      <c r="G2512" s="41"/>
      <c r="H2512" s="41"/>
      <c r="I2512" s="41"/>
      <c r="J2512" s="41"/>
      <c r="K2512" s="41"/>
      <c r="L2512" s="41"/>
      <c r="M2512" s="41"/>
      <c r="N2512" s="41"/>
      <c r="O2512" s="41"/>
    </row>
    <row r="2513" spans="1:15">
      <c r="A2513" s="39"/>
      <c r="B2513" s="40"/>
      <c r="C2513" s="41"/>
      <c r="D2513" s="41"/>
      <c r="E2513" s="41"/>
      <c r="F2513" s="41"/>
      <c r="G2513" s="41"/>
      <c r="H2513" s="41"/>
      <c r="I2513" s="41"/>
      <c r="J2513" s="41"/>
      <c r="K2513" s="41"/>
      <c r="L2513" s="41"/>
      <c r="M2513" s="41"/>
      <c r="N2513" s="41"/>
      <c r="O2513" s="41"/>
    </row>
    <row r="2514" spans="1:15">
      <c r="A2514" s="39"/>
      <c r="B2514" s="40"/>
      <c r="C2514" s="41"/>
      <c r="D2514" s="41"/>
      <c r="E2514" s="41"/>
      <c r="F2514" s="41"/>
      <c r="G2514" s="41"/>
      <c r="H2514" s="41"/>
      <c r="I2514" s="41"/>
      <c r="J2514" s="41"/>
      <c r="K2514" s="41"/>
      <c r="L2514" s="41"/>
      <c r="M2514" s="41"/>
      <c r="N2514" s="41"/>
      <c r="O2514" s="41"/>
    </row>
    <row r="2515" spans="1:15">
      <c r="A2515" s="39"/>
      <c r="B2515" s="40"/>
      <c r="C2515" s="41"/>
      <c r="D2515" s="41"/>
      <c r="E2515" s="41"/>
      <c r="F2515" s="41"/>
      <c r="G2515" s="41"/>
      <c r="H2515" s="41"/>
      <c r="I2515" s="41"/>
      <c r="J2515" s="41"/>
      <c r="K2515" s="41"/>
      <c r="L2515" s="41"/>
      <c r="M2515" s="41"/>
      <c r="N2515" s="41"/>
      <c r="O2515" s="41"/>
    </row>
    <row r="2516" spans="1:15">
      <c r="A2516" s="39"/>
      <c r="B2516" s="40"/>
      <c r="C2516" s="41"/>
      <c r="D2516" s="41"/>
      <c r="E2516" s="41"/>
      <c r="F2516" s="41"/>
      <c r="G2516" s="41"/>
      <c r="H2516" s="41"/>
      <c r="I2516" s="41"/>
      <c r="J2516" s="41"/>
      <c r="K2516" s="41"/>
      <c r="L2516" s="41"/>
      <c r="M2516" s="41"/>
      <c r="N2516" s="41"/>
      <c r="O2516" s="41"/>
    </row>
    <row r="2517" spans="1:15">
      <c r="A2517" s="39"/>
      <c r="B2517" s="40"/>
      <c r="C2517" s="41"/>
      <c r="D2517" s="41"/>
      <c r="E2517" s="41"/>
      <c r="F2517" s="41"/>
      <c r="G2517" s="41"/>
      <c r="H2517" s="41"/>
      <c r="I2517" s="41"/>
      <c r="J2517" s="41"/>
      <c r="K2517" s="41"/>
      <c r="L2517" s="41"/>
      <c r="M2517" s="41"/>
      <c r="N2517" s="41"/>
      <c r="O2517" s="41"/>
    </row>
    <row r="2518" spans="1:15">
      <c r="A2518" s="39"/>
      <c r="B2518" s="40"/>
      <c r="C2518" s="41"/>
      <c r="D2518" s="41"/>
      <c r="E2518" s="41"/>
      <c r="F2518" s="41"/>
      <c r="G2518" s="41"/>
      <c r="H2518" s="41"/>
      <c r="I2518" s="41"/>
      <c r="J2518" s="41"/>
      <c r="K2518" s="41"/>
      <c r="L2518" s="41"/>
      <c r="M2518" s="41"/>
      <c r="N2518" s="41"/>
      <c r="O2518" s="41"/>
    </row>
    <row r="2519" spans="1:15">
      <c r="A2519" s="39"/>
      <c r="B2519" s="40"/>
      <c r="C2519" s="41"/>
      <c r="D2519" s="41"/>
      <c r="E2519" s="41"/>
      <c r="F2519" s="41"/>
      <c r="G2519" s="41"/>
      <c r="H2519" s="41"/>
      <c r="I2519" s="41"/>
      <c r="J2519" s="41"/>
      <c r="K2519" s="41"/>
      <c r="L2519" s="41"/>
      <c r="M2519" s="41"/>
      <c r="N2519" s="41"/>
      <c r="O2519" s="41"/>
    </row>
    <row r="2520" spans="1:15">
      <c r="A2520" s="39"/>
      <c r="B2520" s="40"/>
      <c r="C2520" s="41"/>
      <c r="D2520" s="41"/>
      <c r="E2520" s="41"/>
      <c r="F2520" s="41"/>
      <c r="G2520" s="41"/>
      <c r="H2520" s="41"/>
      <c r="I2520" s="41"/>
      <c r="J2520" s="41"/>
      <c r="K2520" s="41"/>
      <c r="L2520" s="41"/>
      <c r="M2520" s="41"/>
      <c r="N2520" s="41"/>
      <c r="O2520" s="41"/>
    </row>
    <row r="2521" spans="1:15">
      <c r="A2521" s="39"/>
      <c r="B2521" s="40"/>
      <c r="C2521" s="41"/>
      <c r="D2521" s="41"/>
      <c r="E2521" s="41"/>
      <c r="F2521" s="41"/>
      <c r="G2521" s="41"/>
      <c r="H2521" s="41"/>
      <c r="I2521" s="41"/>
      <c r="J2521" s="41"/>
      <c r="K2521" s="41"/>
      <c r="L2521" s="41"/>
      <c r="M2521" s="41"/>
      <c r="N2521" s="41"/>
      <c r="O2521" s="41"/>
    </row>
    <row r="2522" spans="1:15">
      <c r="A2522" s="39"/>
      <c r="B2522" s="40"/>
      <c r="C2522" s="41"/>
      <c r="D2522" s="41"/>
      <c r="E2522" s="41"/>
      <c r="F2522" s="41"/>
      <c r="G2522" s="41"/>
      <c r="H2522" s="41"/>
      <c r="I2522" s="41"/>
      <c r="J2522" s="41"/>
      <c r="K2522" s="41"/>
      <c r="L2522" s="41"/>
      <c r="M2522" s="41"/>
      <c r="N2522" s="41"/>
      <c r="O2522" s="41"/>
    </row>
    <row r="2523" spans="1:15">
      <c r="A2523" s="39"/>
      <c r="B2523" s="40"/>
      <c r="C2523" s="41"/>
      <c r="D2523" s="41"/>
      <c r="E2523" s="41"/>
      <c r="F2523" s="41"/>
      <c r="G2523" s="41"/>
      <c r="H2523" s="41"/>
      <c r="I2523" s="41"/>
      <c r="J2523" s="41"/>
      <c r="K2523" s="41"/>
      <c r="L2523" s="41"/>
      <c r="M2523" s="41"/>
      <c r="N2523" s="41"/>
      <c r="O2523" s="41"/>
    </row>
    <row r="2524" spans="1:15">
      <c r="A2524" s="39"/>
      <c r="B2524" s="40"/>
      <c r="C2524" s="41"/>
      <c r="D2524" s="41"/>
      <c r="E2524" s="41"/>
      <c r="F2524" s="41"/>
      <c r="G2524" s="41"/>
      <c r="H2524" s="41"/>
      <c r="I2524" s="41"/>
      <c r="J2524" s="41"/>
      <c r="K2524" s="41"/>
      <c r="L2524" s="41"/>
      <c r="M2524" s="41"/>
      <c r="N2524" s="41"/>
      <c r="O2524" s="41"/>
    </row>
    <row r="2525" spans="1:15">
      <c r="A2525" s="39"/>
      <c r="B2525" s="40"/>
      <c r="C2525" s="41"/>
      <c r="D2525" s="41"/>
      <c r="E2525" s="41"/>
      <c r="F2525" s="41"/>
      <c r="G2525" s="41"/>
      <c r="H2525" s="41"/>
      <c r="I2525" s="41"/>
      <c r="J2525" s="41"/>
      <c r="K2525" s="41"/>
      <c r="L2525" s="41"/>
      <c r="M2525" s="41"/>
      <c r="N2525" s="41"/>
      <c r="O2525" s="41"/>
    </row>
    <row r="2526" spans="1:15">
      <c r="A2526" s="39"/>
      <c r="B2526" s="40"/>
      <c r="C2526" s="41"/>
      <c r="D2526" s="41"/>
      <c r="E2526" s="41"/>
      <c r="F2526" s="41"/>
      <c r="G2526" s="41"/>
      <c r="H2526" s="41"/>
      <c r="I2526" s="41"/>
      <c r="J2526" s="41"/>
      <c r="K2526" s="41"/>
      <c r="L2526" s="41"/>
      <c r="M2526" s="41"/>
      <c r="N2526" s="41"/>
      <c r="O2526" s="41"/>
    </row>
    <row r="2527" spans="1:15">
      <c r="A2527" s="39"/>
      <c r="B2527" s="40"/>
      <c r="C2527" s="41"/>
      <c r="D2527" s="41"/>
      <c r="E2527" s="41"/>
      <c r="F2527" s="41"/>
      <c r="G2527" s="41"/>
      <c r="H2527" s="41"/>
      <c r="I2527" s="41"/>
      <c r="J2527" s="41"/>
      <c r="K2527" s="41"/>
      <c r="L2527" s="41"/>
      <c r="M2527" s="41"/>
      <c r="N2527" s="41"/>
      <c r="O2527" s="41"/>
    </row>
    <row r="2528" spans="1:15">
      <c r="A2528" s="39"/>
      <c r="B2528" s="40"/>
      <c r="C2528" s="41"/>
      <c r="D2528" s="41"/>
      <c r="E2528" s="41"/>
      <c r="F2528" s="41"/>
      <c r="G2528" s="41"/>
      <c r="H2528" s="41"/>
      <c r="I2528" s="41"/>
      <c r="J2528" s="41"/>
      <c r="K2528" s="41"/>
      <c r="L2528" s="41"/>
      <c r="M2528" s="41"/>
      <c r="N2528" s="41"/>
      <c r="O2528" s="41"/>
    </row>
    <row r="2529" spans="1:15">
      <c r="A2529" s="39"/>
      <c r="B2529" s="40"/>
      <c r="C2529" s="41"/>
      <c r="D2529" s="41"/>
      <c r="E2529" s="41"/>
      <c r="F2529" s="41"/>
      <c r="G2529" s="41"/>
      <c r="H2529" s="41"/>
      <c r="I2529" s="41"/>
      <c r="J2529" s="41"/>
      <c r="K2529" s="41"/>
      <c r="L2529" s="41"/>
      <c r="M2529" s="41"/>
      <c r="N2529" s="41"/>
      <c r="O2529" s="41"/>
    </row>
    <row r="2530" spans="1:15">
      <c r="A2530" s="39"/>
      <c r="B2530" s="40"/>
      <c r="C2530" s="41"/>
      <c r="D2530" s="41"/>
      <c r="E2530" s="41"/>
      <c r="F2530" s="41"/>
      <c r="G2530" s="41"/>
      <c r="H2530" s="41"/>
      <c r="I2530" s="41"/>
      <c r="J2530" s="41"/>
      <c r="K2530" s="41"/>
      <c r="L2530" s="41"/>
      <c r="M2530" s="41"/>
      <c r="N2530" s="41"/>
      <c r="O2530" s="41"/>
    </row>
    <row r="2531" spans="1:15">
      <c r="A2531" s="39"/>
      <c r="B2531" s="40"/>
      <c r="C2531" s="41"/>
      <c r="D2531" s="41"/>
      <c r="E2531" s="41"/>
      <c r="F2531" s="41"/>
      <c r="G2531" s="41"/>
      <c r="H2531" s="41"/>
      <c r="I2531" s="41"/>
      <c r="J2531" s="41"/>
      <c r="K2531" s="41"/>
      <c r="L2531" s="41"/>
      <c r="M2531" s="41"/>
      <c r="N2531" s="41"/>
      <c r="O2531" s="41"/>
    </row>
    <row r="2532" spans="1:15">
      <c r="A2532" s="39"/>
      <c r="B2532" s="40"/>
      <c r="C2532" s="41"/>
      <c r="D2532" s="41"/>
      <c r="E2532" s="41"/>
      <c r="F2532" s="41"/>
      <c r="G2532" s="41"/>
      <c r="H2532" s="41"/>
      <c r="I2532" s="41"/>
      <c r="J2532" s="41"/>
      <c r="K2532" s="41"/>
      <c r="L2532" s="41"/>
      <c r="M2532" s="41"/>
      <c r="N2532" s="41"/>
      <c r="O2532" s="41"/>
    </row>
    <row r="2533" spans="1:15">
      <c r="A2533" s="39"/>
      <c r="B2533" s="40"/>
      <c r="C2533" s="41"/>
      <c r="D2533" s="41"/>
      <c r="E2533" s="41"/>
      <c r="F2533" s="41"/>
      <c r="G2533" s="41"/>
      <c r="H2533" s="41"/>
      <c r="I2533" s="41"/>
      <c r="J2533" s="41"/>
      <c r="K2533" s="41"/>
      <c r="L2533" s="41"/>
      <c r="M2533" s="41"/>
      <c r="N2533" s="41"/>
      <c r="O2533" s="41"/>
    </row>
    <row r="2534" spans="1:15">
      <c r="A2534" s="39"/>
      <c r="B2534" s="40"/>
      <c r="C2534" s="41"/>
      <c r="D2534" s="41"/>
      <c r="E2534" s="41"/>
      <c r="F2534" s="41"/>
      <c r="G2534" s="41"/>
      <c r="H2534" s="41"/>
      <c r="I2534" s="41"/>
      <c r="J2534" s="41"/>
      <c r="K2534" s="41"/>
      <c r="L2534" s="41"/>
      <c r="M2534" s="41"/>
      <c r="N2534" s="41"/>
      <c r="O2534" s="41"/>
    </row>
    <row r="2535" spans="1:15">
      <c r="A2535" s="39"/>
      <c r="B2535" s="40"/>
      <c r="C2535" s="41"/>
      <c r="D2535" s="41"/>
      <c r="E2535" s="41"/>
      <c r="F2535" s="41"/>
      <c r="G2535" s="41"/>
      <c r="H2535" s="41"/>
      <c r="I2535" s="41"/>
      <c r="J2535" s="41"/>
      <c r="K2535" s="41"/>
      <c r="L2535" s="41"/>
      <c r="M2535" s="41"/>
      <c r="N2535" s="41"/>
      <c r="O2535" s="41"/>
    </row>
    <row r="2536" spans="1:15">
      <c r="A2536" s="39"/>
      <c r="B2536" s="40"/>
      <c r="C2536" s="41"/>
      <c r="D2536" s="41"/>
      <c r="E2536" s="41"/>
      <c r="F2536" s="41"/>
      <c r="G2536" s="41"/>
      <c r="H2536" s="41"/>
      <c r="I2536" s="41"/>
      <c r="J2536" s="41"/>
      <c r="K2536" s="41"/>
      <c r="L2536" s="41"/>
      <c r="M2536" s="41"/>
      <c r="N2536" s="41"/>
      <c r="O2536" s="41"/>
    </row>
    <row r="2537" spans="1:15">
      <c r="A2537" s="39"/>
      <c r="B2537" s="40"/>
      <c r="C2537" s="41"/>
      <c r="D2537" s="41"/>
      <c r="E2537" s="41"/>
      <c r="F2537" s="41"/>
      <c r="G2537" s="41"/>
      <c r="H2537" s="41"/>
      <c r="I2537" s="41"/>
      <c r="J2537" s="41"/>
      <c r="K2537" s="41"/>
      <c r="L2537" s="41"/>
      <c r="M2537" s="41"/>
      <c r="N2537" s="41"/>
      <c r="O2537" s="41"/>
    </row>
    <row r="2538" spans="1:15">
      <c r="A2538" s="39"/>
      <c r="B2538" s="40"/>
      <c r="C2538" s="41"/>
      <c r="D2538" s="41"/>
      <c r="E2538" s="41"/>
      <c r="F2538" s="41"/>
      <c r="G2538" s="41"/>
      <c r="H2538" s="41"/>
      <c r="I2538" s="41"/>
      <c r="J2538" s="41"/>
      <c r="K2538" s="41"/>
      <c r="L2538" s="41"/>
      <c r="M2538" s="41"/>
      <c r="N2538" s="41"/>
      <c r="O2538" s="41"/>
    </row>
    <row r="2539" spans="1:15">
      <c r="A2539" s="39"/>
      <c r="B2539" s="40"/>
      <c r="C2539" s="41"/>
      <c r="D2539" s="41"/>
      <c r="E2539" s="41"/>
      <c r="F2539" s="41"/>
      <c r="G2539" s="41"/>
      <c r="H2539" s="41"/>
      <c r="I2539" s="41"/>
      <c r="J2539" s="41"/>
      <c r="K2539" s="41"/>
      <c r="L2539" s="41"/>
      <c r="M2539" s="41"/>
      <c r="N2539" s="41"/>
      <c r="O2539" s="41"/>
    </row>
    <row r="2540" spans="1:15">
      <c r="A2540" s="39"/>
      <c r="B2540" s="40"/>
      <c r="C2540" s="41"/>
      <c r="D2540" s="41"/>
      <c r="E2540" s="41"/>
      <c r="F2540" s="41"/>
      <c r="G2540" s="41"/>
      <c r="H2540" s="41"/>
      <c r="I2540" s="41"/>
      <c r="J2540" s="41"/>
      <c r="K2540" s="41"/>
      <c r="L2540" s="41"/>
      <c r="M2540" s="41"/>
      <c r="N2540" s="41"/>
      <c r="O2540" s="41"/>
    </row>
    <row r="2541" spans="1:15">
      <c r="A2541" s="39"/>
      <c r="B2541" s="40"/>
      <c r="C2541" s="41"/>
      <c r="D2541" s="41"/>
      <c r="E2541" s="41"/>
      <c r="F2541" s="41"/>
      <c r="G2541" s="41"/>
      <c r="H2541" s="41"/>
      <c r="I2541" s="41"/>
      <c r="J2541" s="41"/>
      <c r="K2541" s="41"/>
      <c r="L2541" s="41"/>
      <c r="M2541" s="41"/>
      <c r="N2541" s="41"/>
      <c r="O2541" s="41"/>
    </row>
    <row r="2542" spans="1:15">
      <c r="A2542" s="39"/>
      <c r="B2542" s="40"/>
      <c r="C2542" s="41"/>
      <c r="D2542" s="41"/>
      <c r="E2542" s="41"/>
      <c r="F2542" s="41"/>
      <c r="G2542" s="41"/>
      <c r="H2542" s="41"/>
      <c r="I2542" s="41"/>
      <c r="J2542" s="41"/>
      <c r="K2542" s="41"/>
      <c r="L2542" s="41"/>
      <c r="M2542" s="41"/>
      <c r="N2542" s="41"/>
      <c r="O2542" s="41"/>
    </row>
    <row r="2543" spans="1:15">
      <c r="A2543" s="39"/>
      <c r="B2543" s="40"/>
      <c r="C2543" s="41"/>
      <c r="D2543" s="41"/>
      <c r="E2543" s="41"/>
      <c r="F2543" s="41"/>
      <c r="G2543" s="41"/>
      <c r="H2543" s="41"/>
      <c r="I2543" s="41"/>
      <c r="J2543" s="41"/>
      <c r="K2543" s="41"/>
      <c r="L2543" s="41"/>
      <c r="M2543" s="41"/>
      <c r="N2543" s="41"/>
      <c r="O2543" s="41"/>
    </row>
    <row r="2544" spans="1:15">
      <c r="A2544" s="39"/>
      <c r="B2544" s="40"/>
      <c r="C2544" s="41"/>
      <c r="D2544" s="41"/>
      <c r="E2544" s="41"/>
      <c r="F2544" s="41"/>
      <c r="G2544" s="41"/>
      <c r="H2544" s="41"/>
      <c r="I2544" s="41"/>
      <c r="J2544" s="41"/>
      <c r="K2544" s="41"/>
      <c r="L2544" s="41"/>
      <c r="M2544" s="41"/>
      <c r="N2544" s="41"/>
      <c r="O2544" s="41"/>
    </row>
    <row r="2545" spans="1:15">
      <c r="A2545" s="39"/>
      <c r="B2545" s="40"/>
      <c r="C2545" s="41"/>
      <c r="D2545" s="41"/>
      <c r="E2545" s="41"/>
      <c r="F2545" s="41"/>
      <c r="G2545" s="41"/>
      <c r="H2545" s="41"/>
      <c r="I2545" s="41"/>
      <c r="J2545" s="41"/>
      <c r="K2545" s="41"/>
      <c r="L2545" s="41"/>
      <c r="M2545" s="41"/>
      <c r="N2545" s="41"/>
      <c r="O2545" s="41"/>
    </row>
    <row r="2546" spans="1:15">
      <c r="A2546" s="39"/>
      <c r="B2546" s="40"/>
      <c r="C2546" s="41"/>
      <c r="D2546" s="41"/>
      <c r="E2546" s="41"/>
      <c r="F2546" s="41"/>
      <c r="G2546" s="41"/>
      <c r="H2546" s="41"/>
      <c r="I2546" s="41"/>
      <c r="J2546" s="41"/>
      <c r="K2546" s="41"/>
      <c r="L2546" s="41"/>
      <c r="M2546" s="41"/>
      <c r="N2546" s="41"/>
      <c r="O2546" s="41"/>
    </row>
    <row r="2547" spans="1:15">
      <c r="A2547" s="39"/>
      <c r="B2547" s="40"/>
      <c r="C2547" s="41"/>
      <c r="D2547" s="41"/>
      <c r="E2547" s="41"/>
      <c r="F2547" s="41"/>
      <c r="G2547" s="41"/>
      <c r="H2547" s="41"/>
      <c r="I2547" s="41"/>
      <c r="J2547" s="41"/>
      <c r="K2547" s="41"/>
      <c r="L2547" s="41"/>
      <c r="M2547" s="41"/>
      <c r="N2547" s="41"/>
      <c r="O2547" s="41"/>
    </row>
    <row r="2548" spans="1:15">
      <c r="A2548" s="39"/>
      <c r="B2548" s="40"/>
      <c r="C2548" s="41"/>
      <c r="D2548" s="41"/>
      <c r="E2548" s="41"/>
      <c r="F2548" s="41"/>
      <c r="G2548" s="41"/>
      <c r="H2548" s="41"/>
      <c r="I2548" s="41"/>
      <c r="J2548" s="41"/>
      <c r="K2548" s="41"/>
      <c r="L2548" s="41"/>
      <c r="M2548" s="41"/>
      <c r="N2548" s="41"/>
      <c r="O2548" s="41"/>
    </row>
    <row r="2549" spans="1:15">
      <c r="A2549" s="39"/>
      <c r="B2549" s="40"/>
      <c r="C2549" s="41"/>
      <c r="D2549" s="41"/>
      <c r="E2549" s="41"/>
      <c r="F2549" s="41"/>
      <c r="G2549" s="41"/>
      <c r="H2549" s="41"/>
      <c r="I2549" s="41"/>
      <c r="J2549" s="41"/>
      <c r="K2549" s="41"/>
      <c r="L2549" s="41"/>
      <c r="M2549" s="41"/>
      <c r="N2549" s="41"/>
      <c r="O2549" s="41"/>
    </row>
    <row r="2550" spans="1:15">
      <c r="A2550" s="39"/>
      <c r="B2550" s="40"/>
      <c r="C2550" s="41"/>
      <c r="D2550" s="41"/>
      <c r="E2550" s="41"/>
      <c r="F2550" s="41"/>
      <c r="G2550" s="41"/>
      <c r="H2550" s="41"/>
      <c r="I2550" s="41"/>
      <c r="J2550" s="41"/>
      <c r="K2550" s="41"/>
      <c r="L2550" s="41"/>
      <c r="M2550" s="41"/>
      <c r="N2550" s="41"/>
      <c r="O2550" s="41"/>
    </row>
    <row r="2551" spans="1:15">
      <c r="A2551" s="39"/>
      <c r="B2551" s="40"/>
      <c r="C2551" s="41"/>
      <c r="D2551" s="41"/>
      <c r="E2551" s="41"/>
      <c r="F2551" s="41"/>
      <c r="G2551" s="41"/>
      <c r="H2551" s="41"/>
      <c r="I2551" s="41"/>
      <c r="J2551" s="41"/>
      <c r="K2551" s="41"/>
      <c r="L2551" s="41"/>
      <c r="M2551" s="41"/>
      <c r="N2551" s="41"/>
      <c r="O2551" s="41"/>
    </row>
    <row r="2552" spans="1:15">
      <c r="A2552" s="39"/>
      <c r="B2552" s="40"/>
      <c r="C2552" s="41"/>
      <c r="D2552" s="41"/>
      <c r="E2552" s="41"/>
      <c r="F2552" s="41"/>
      <c r="G2552" s="41"/>
      <c r="H2552" s="41"/>
      <c r="I2552" s="41"/>
      <c r="J2552" s="41"/>
      <c r="K2552" s="41"/>
      <c r="L2552" s="41"/>
      <c r="M2552" s="41"/>
      <c r="N2552" s="41"/>
      <c r="O2552" s="41"/>
    </row>
    <row r="2553" spans="1:15">
      <c r="A2553" s="39"/>
      <c r="B2553" s="40"/>
      <c r="C2553" s="41"/>
      <c r="D2553" s="41"/>
      <c r="E2553" s="41"/>
      <c r="F2553" s="41"/>
      <c r="G2553" s="41"/>
      <c r="H2553" s="41"/>
      <c r="I2553" s="41"/>
      <c r="J2553" s="41"/>
      <c r="K2553" s="41"/>
      <c r="L2553" s="41"/>
      <c r="M2553" s="41"/>
      <c r="N2553" s="41"/>
      <c r="O2553" s="41"/>
    </row>
    <row r="2554" spans="1:15">
      <c r="A2554" s="39"/>
      <c r="B2554" s="40"/>
      <c r="C2554" s="41"/>
      <c r="D2554" s="41"/>
      <c r="E2554" s="41"/>
      <c r="F2554" s="41"/>
      <c r="G2554" s="41"/>
      <c r="H2554" s="41"/>
      <c r="I2554" s="41"/>
      <c r="J2554" s="41"/>
      <c r="K2554" s="41"/>
      <c r="L2554" s="41"/>
      <c r="M2554" s="41"/>
      <c r="N2554" s="41"/>
      <c r="O2554" s="41"/>
    </row>
    <row r="2555" spans="1:15">
      <c r="A2555" s="39"/>
      <c r="B2555" s="40"/>
      <c r="C2555" s="41"/>
      <c r="D2555" s="41"/>
      <c r="E2555" s="41"/>
      <c r="F2555" s="41"/>
      <c r="G2555" s="41"/>
      <c r="H2555" s="41"/>
      <c r="I2555" s="41"/>
      <c r="J2555" s="41"/>
      <c r="K2555" s="41"/>
      <c r="L2555" s="41"/>
      <c r="M2555" s="41"/>
      <c r="N2555" s="41"/>
      <c r="O2555" s="41"/>
    </row>
    <row r="2556" spans="1:15">
      <c r="A2556" s="39"/>
      <c r="B2556" s="40"/>
      <c r="C2556" s="41"/>
      <c r="D2556" s="41"/>
      <c r="E2556" s="41"/>
      <c r="F2556" s="41"/>
      <c r="G2556" s="41"/>
      <c r="H2556" s="41"/>
      <c r="I2556" s="41"/>
      <c r="J2556" s="41"/>
      <c r="K2556" s="41"/>
      <c r="L2556" s="41"/>
      <c r="M2556" s="41"/>
      <c r="N2556" s="41"/>
      <c r="O2556" s="41"/>
    </row>
    <row r="2557" spans="1:15">
      <c r="A2557" s="39"/>
      <c r="B2557" s="40"/>
      <c r="C2557" s="41"/>
      <c r="D2557" s="41"/>
      <c r="E2557" s="41"/>
      <c r="F2557" s="41"/>
      <c r="G2557" s="41"/>
      <c r="H2557" s="41"/>
      <c r="I2557" s="41"/>
      <c r="J2557" s="41"/>
      <c r="K2557" s="41"/>
      <c r="L2557" s="41"/>
      <c r="M2557" s="41"/>
      <c r="N2557" s="41"/>
      <c r="O2557" s="41"/>
    </row>
    <row r="2558" spans="1:15">
      <c r="A2558" s="39"/>
      <c r="B2558" s="40"/>
      <c r="C2558" s="41"/>
      <c r="D2558" s="41"/>
      <c r="E2558" s="41"/>
      <c r="F2558" s="41"/>
      <c r="G2558" s="41"/>
      <c r="H2558" s="41"/>
      <c r="I2558" s="41"/>
      <c r="J2558" s="41"/>
      <c r="K2558" s="41"/>
      <c r="L2558" s="41"/>
      <c r="M2558" s="41"/>
      <c r="N2558" s="41"/>
      <c r="O2558" s="41"/>
    </row>
    <row r="2559" spans="1:15">
      <c r="A2559" s="39"/>
      <c r="B2559" s="40"/>
      <c r="C2559" s="41"/>
      <c r="D2559" s="41"/>
      <c r="E2559" s="41"/>
      <c r="F2559" s="41"/>
      <c r="G2559" s="41"/>
      <c r="H2559" s="41"/>
      <c r="I2559" s="41"/>
      <c r="J2559" s="41"/>
      <c r="K2559" s="41"/>
      <c r="L2559" s="41"/>
      <c r="M2559" s="41"/>
      <c r="N2559" s="41"/>
      <c r="O2559" s="41"/>
    </row>
    <row r="2560" spans="1:15">
      <c r="A2560" s="39"/>
      <c r="B2560" s="40"/>
      <c r="C2560" s="41"/>
      <c r="D2560" s="41"/>
      <c r="E2560" s="41"/>
      <c r="F2560" s="41"/>
      <c r="G2560" s="41"/>
      <c r="H2560" s="41"/>
      <c r="I2560" s="41"/>
      <c r="J2560" s="41"/>
      <c r="K2560" s="41"/>
      <c r="L2560" s="41"/>
      <c r="M2560" s="41"/>
      <c r="N2560" s="41"/>
      <c r="O2560" s="41"/>
    </row>
    <row r="2561" spans="1:15">
      <c r="A2561" s="39"/>
      <c r="B2561" s="40"/>
      <c r="C2561" s="41"/>
      <c r="D2561" s="41"/>
      <c r="E2561" s="41"/>
      <c r="F2561" s="41"/>
      <c r="G2561" s="41"/>
      <c r="H2561" s="41"/>
      <c r="I2561" s="41"/>
      <c r="J2561" s="41"/>
      <c r="K2561" s="41"/>
      <c r="L2561" s="41"/>
      <c r="M2561" s="41"/>
      <c r="N2561" s="41"/>
      <c r="O2561" s="41"/>
    </row>
    <row r="2562" spans="1:15">
      <c r="A2562" s="39"/>
      <c r="B2562" s="40"/>
      <c r="C2562" s="41"/>
      <c r="D2562" s="41"/>
      <c r="E2562" s="41"/>
      <c r="F2562" s="41"/>
      <c r="G2562" s="41"/>
      <c r="H2562" s="41"/>
      <c r="I2562" s="41"/>
      <c r="J2562" s="41"/>
      <c r="K2562" s="41"/>
      <c r="L2562" s="41"/>
      <c r="M2562" s="41"/>
      <c r="N2562" s="41"/>
      <c r="O2562" s="41"/>
    </row>
    <row r="2563" spans="1:15">
      <c r="A2563" s="39"/>
      <c r="B2563" s="40"/>
      <c r="C2563" s="41"/>
      <c r="D2563" s="41"/>
      <c r="E2563" s="41"/>
      <c r="F2563" s="41"/>
      <c r="G2563" s="41"/>
      <c r="H2563" s="41"/>
      <c r="I2563" s="41"/>
      <c r="J2563" s="41"/>
      <c r="K2563" s="41"/>
      <c r="L2563" s="41"/>
      <c r="M2563" s="41"/>
      <c r="N2563" s="41"/>
      <c r="O2563" s="41"/>
    </row>
    <row r="2564" spans="1:15">
      <c r="A2564" s="39"/>
      <c r="B2564" s="40"/>
      <c r="C2564" s="41"/>
      <c r="D2564" s="41"/>
      <c r="E2564" s="41"/>
      <c r="F2564" s="41"/>
      <c r="G2564" s="41"/>
      <c r="H2564" s="41"/>
      <c r="I2564" s="41"/>
      <c r="J2564" s="41"/>
      <c r="K2564" s="41"/>
      <c r="L2564" s="41"/>
      <c r="M2564" s="41"/>
      <c r="N2564" s="41"/>
      <c r="O2564" s="41"/>
    </row>
    <row r="2565" spans="1:15">
      <c r="A2565" s="39"/>
      <c r="B2565" s="40"/>
      <c r="C2565" s="41"/>
      <c r="D2565" s="41"/>
      <c r="E2565" s="41"/>
      <c r="F2565" s="41"/>
      <c r="G2565" s="41"/>
      <c r="H2565" s="41"/>
      <c r="I2565" s="41"/>
      <c r="J2565" s="41"/>
      <c r="K2565" s="41"/>
      <c r="L2565" s="41"/>
      <c r="M2565" s="41"/>
      <c r="N2565" s="41"/>
      <c r="O2565" s="41"/>
    </row>
    <row r="2566" spans="1:15">
      <c r="A2566" s="39"/>
      <c r="B2566" s="40"/>
      <c r="C2566" s="41"/>
      <c r="D2566" s="41"/>
      <c r="E2566" s="41"/>
      <c r="F2566" s="41"/>
      <c r="G2566" s="41"/>
      <c r="H2566" s="41"/>
      <c r="I2566" s="41"/>
      <c r="J2566" s="41"/>
      <c r="K2566" s="41"/>
      <c r="L2566" s="41"/>
      <c r="M2566" s="41"/>
      <c r="N2566" s="41"/>
      <c r="O2566" s="41"/>
    </row>
    <row r="2567" spans="1:15">
      <c r="A2567" s="39"/>
      <c r="B2567" s="40"/>
      <c r="C2567" s="41"/>
      <c r="D2567" s="41"/>
      <c r="E2567" s="41"/>
      <c r="F2567" s="41"/>
      <c r="G2567" s="41"/>
      <c r="H2567" s="41"/>
      <c r="I2567" s="41"/>
      <c r="J2567" s="41"/>
      <c r="K2567" s="41"/>
      <c r="L2567" s="41"/>
      <c r="M2567" s="41"/>
      <c r="N2567" s="41"/>
      <c r="O2567" s="41"/>
    </row>
    <row r="2568" spans="1:15">
      <c r="A2568" s="39"/>
      <c r="B2568" s="40"/>
      <c r="C2568" s="41"/>
      <c r="D2568" s="41"/>
      <c r="E2568" s="41"/>
      <c r="F2568" s="41"/>
      <c r="G2568" s="41"/>
      <c r="H2568" s="41"/>
      <c r="I2568" s="41"/>
      <c r="J2568" s="41"/>
      <c r="K2568" s="41"/>
      <c r="L2568" s="41"/>
      <c r="M2568" s="41"/>
      <c r="N2568" s="41"/>
      <c r="O2568" s="41"/>
    </row>
    <row r="2569" spans="1:15">
      <c r="A2569" s="39"/>
      <c r="B2569" s="40"/>
      <c r="C2569" s="41"/>
      <c r="D2569" s="41"/>
      <c r="E2569" s="41"/>
      <c r="F2569" s="41"/>
      <c r="G2569" s="41"/>
      <c r="H2569" s="41"/>
      <c r="I2569" s="41"/>
      <c r="J2569" s="41"/>
      <c r="K2569" s="41"/>
      <c r="L2569" s="41"/>
      <c r="M2569" s="41"/>
      <c r="N2569" s="41"/>
      <c r="O2569" s="41"/>
    </row>
    <row r="2570" spans="1:15">
      <c r="A2570" s="39"/>
      <c r="B2570" s="40"/>
      <c r="C2570" s="41"/>
      <c r="D2570" s="41"/>
      <c r="E2570" s="41"/>
      <c r="F2570" s="41"/>
      <c r="G2570" s="41"/>
      <c r="H2570" s="41"/>
      <c r="I2570" s="41"/>
      <c r="J2570" s="41"/>
      <c r="K2570" s="41"/>
      <c r="L2570" s="41"/>
      <c r="M2570" s="41"/>
      <c r="N2570" s="41"/>
      <c r="O2570" s="41"/>
    </row>
    <row r="2571" spans="1:15">
      <c r="A2571" s="39"/>
      <c r="B2571" s="40"/>
      <c r="C2571" s="41"/>
      <c r="D2571" s="41"/>
      <c r="E2571" s="41"/>
      <c r="F2571" s="41"/>
      <c r="G2571" s="41"/>
      <c r="H2571" s="41"/>
      <c r="I2571" s="41"/>
      <c r="J2571" s="41"/>
      <c r="K2571" s="41"/>
      <c r="L2571" s="41"/>
      <c r="M2571" s="41"/>
      <c r="N2571" s="41"/>
      <c r="O2571" s="41"/>
    </row>
    <row r="2572" spans="1:15">
      <c r="A2572" s="39"/>
      <c r="B2572" s="40"/>
      <c r="C2572" s="41"/>
      <c r="D2572" s="41"/>
      <c r="E2572" s="41"/>
      <c r="F2572" s="41"/>
      <c r="G2572" s="41"/>
      <c r="H2572" s="41"/>
      <c r="I2572" s="41"/>
      <c r="J2572" s="41"/>
      <c r="K2572" s="41"/>
      <c r="L2572" s="41"/>
      <c r="M2572" s="41"/>
      <c r="N2572" s="41"/>
      <c r="O2572" s="41"/>
    </row>
    <row r="2573" spans="1:15">
      <c r="A2573" s="39"/>
      <c r="B2573" s="40"/>
      <c r="C2573" s="41"/>
      <c r="D2573" s="41"/>
      <c r="E2573" s="41"/>
      <c r="F2573" s="41"/>
      <c r="G2573" s="41"/>
      <c r="H2573" s="41"/>
      <c r="I2573" s="41"/>
      <c r="J2573" s="41"/>
      <c r="K2573" s="41"/>
      <c r="L2573" s="41"/>
      <c r="M2573" s="41"/>
      <c r="N2573" s="41"/>
      <c r="O2573" s="41"/>
    </row>
    <row r="2574" spans="1:15">
      <c r="A2574" s="39"/>
      <c r="B2574" s="40"/>
      <c r="C2574" s="41"/>
      <c r="D2574" s="41"/>
      <c r="E2574" s="41"/>
      <c r="F2574" s="41"/>
      <c r="G2574" s="41"/>
      <c r="H2574" s="41"/>
      <c r="I2574" s="41"/>
      <c r="J2574" s="41"/>
      <c r="K2574" s="41"/>
      <c r="L2574" s="41"/>
      <c r="M2574" s="41"/>
      <c r="N2574" s="41"/>
      <c r="O2574" s="41"/>
    </row>
    <row r="2575" spans="1:15">
      <c r="A2575" s="39"/>
      <c r="B2575" s="40"/>
      <c r="C2575" s="41"/>
      <c r="D2575" s="41"/>
      <c r="E2575" s="41"/>
      <c r="F2575" s="41"/>
      <c r="G2575" s="41"/>
      <c r="H2575" s="41"/>
      <c r="I2575" s="41"/>
      <c r="J2575" s="41"/>
      <c r="K2575" s="41"/>
      <c r="L2575" s="41"/>
      <c r="M2575" s="41"/>
      <c r="N2575" s="41"/>
      <c r="O2575" s="41"/>
    </row>
    <row r="2576" spans="1:15">
      <c r="A2576" s="39"/>
      <c r="B2576" s="40"/>
      <c r="C2576" s="41"/>
      <c r="D2576" s="41"/>
      <c r="E2576" s="41"/>
      <c r="F2576" s="41"/>
      <c r="G2576" s="41"/>
      <c r="H2576" s="41"/>
      <c r="I2576" s="41"/>
      <c r="J2576" s="41"/>
      <c r="K2576" s="41"/>
      <c r="L2576" s="41"/>
      <c r="M2576" s="41"/>
      <c r="N2576" s="41"/>
      <c r="O2576" s="41"/>
    </row>
    <row r="2577" spans="1:15">
      <c r="A2577" s="39"/>
      <c r="B2577" s="40"/>
      <c r="C2577" s="41"/>
      <c r="D2577" s="41"/>
      <c r="E2577" s="41"/>
      <c r="F2577" s="41"/>
      <c r="G2577" s="41"/>
      <c r="H2577" s="41"/>
      <c r="I2577" s="41"/>
      <c r="J2577" s="41"/>
      <c r="K2577" s="41"/>
      <c r="L2577" s="41"/>
      <c r="M2577" s="41"/>
      <c r="N2577" s="41"/>
      <c r="O2577" s="41"/>
    </row>
    <row r="2578" spans="1:15">
      <c r="A2578" s="39"/>
      <c r="B2578" s="40"/>
      <c r="C2578" s="41"/>
      <c r="D2578" s="41"/>
      <c r="E2578" s="41"/>
      <c r="F2578" s="41"/>
      <c r="G2578" s="41"/>
      <c r="H2578" s="41"/>
      <c r="I2578" s="41"/>
      <c r="J2578" s="41"/>
      <c r="K2578" s="41"/>
      <c r="L2578" s="41"/>
      <c r="M2578" s="41"/>
      <c r="N2578" s="41"/>
      <c r="O2578" s="41"/>
    </row>
    <row r="2579" spans="1:15">
      <c r="A2579" s="39"/>
      <c r="B2579" s="40"/>
      <c r="C2579" s="41"/>
      <c r="D2579" s="41"/>
      <c r="E2579" s="41"/>
      <c r="F2579" s="41"/>
      <c r="G2579" s="41"/>
      <c r="H2579" s="41"/>
      <c r="I2579" s="41"/>
      <c r="J2579" s="41"/>
      <c r="K2579" s="41"/>
      <c r="L2579" s="41"/>
      <c r="M2579" s="41"/>
      <c r="N2579" s="41"/>
      <c r="O2579" s="41"/>
    </row>
    <row r="2580" spans="1:15">
      <c r="A2580" s="39"/>
      <c r="B2580" s="40"/>
      <c r="C2580" s="41"/>
      <c r="D2580" s="41"/>
      <c r="E2580" s="41"/>
      <c r="F2580" s="41"/>
      <c r="G2580" s="41"/>
      <c r="H2580" s="41"/>
      <c r="I2580" s="41"/>
      <c r="J2580" s="41"/>
      <c r="K2580" s="41"/>
      <c r="L2580" s="41"/>
      <c r="M2580" s="41"/>
      <c r="N2580" s="41"/>
      <c r="O2580" s="41"/>
    </row>
    <row r="2581" spans="1:15">
      <c r="A2581" s="39"/>
      <c r="B2581" s="40"/>
      <c r="C2581" s="41"/>
      <c r="D2581" s="41"/>
      <c r="E2581" s="41"/>
      <c r="F2581" s="41"/>
      <c r="G2581" s="41"/>
      <c r="H2581" s="41"/>
      <c r="I2581" s="41"/>
      <c r="J2581" s="41"/>
      <c r="K2581" s="41"/>
      <c r="L2581" s="41"/>
      <c r="M2581" s="41"/>
      <c r="N2581" s="41"/>
      <c r="O2581" s="41"/>
    </row>
    <row r="2582" spans="1:15">
      <c r="A2582" s="39"/>
      <c r="B2582" s="40"/>
      <c r="C2582" s="41"/>
      <c r="D2582" s="41"/>
      <c r="E2582" s="41"/>
      <c r="F2582" s="41"/>
      <c r="G2582" s="41"/>
      <c r="H2582" s="41"/>
      <c r="I2582" s="41"/>
      <c r="J2582" s="41"/>
      <c r="K2582" s="41"/>
      <c r="L2582" s="41"/>
      <c r="M2582" s="41"/>
      <c r="N2582" s="41"/>
      <c r="O2582" s="41"/>
    </row>
    <row r="2583" spans="1:15">
      <c r="A2583" s="39"/>
      <c r="B2583" s="40"/>
      <c r="C2583" s="41"/>
      <c r="D2583" s="41"/>
      <c r="E2583" s="41"/>
      <c r="F2583" s="41"/>
      <c r="G2583" s="41"/>
      <c r="H2583" s="41"/>
      <c r="I2583" s="41"/>
      <c r="J2583" s="41"/>
      <c r="K2583" s="41"/>
      <c r="L2583" s="41"/>
      <c r="M2583" s="41"/>
      <c r="N2583" s="41"/>
      <c r="O2583" s="41"/>
    </row>
    <row r="2584" spans="1:15">
      <c r="A2584" s="39"/>
      <c r="B2584" s="40"/>
      <c r="C2584" s="41"/>
      <c r="D2584" s="41"/>
      <c r="E2584" s="41"/>
      <c r="F2584" s="41"/>
      <c r="G2584" s="41"/>
      <c r="H2584" s="41"/>
      <c r="I2584" s="41"/>
      <c r="J2584" s="41"/>
      <c r="K2584" s="41"/>
      <c r="L2584" s="41"/>
      <c r="M2584" s="41"/>
      <c r="N2584" s="41"/>
      <c r="O2584" s="41"/>
    </row>
    <row r="2585" spans="1:15">
      <c r="A2585" s="39"/>
      <c r="B2585" s="40"/>
      <c r="C2585" s="41"/>
      <c r="D2585" s="41"/>
      <c r="E2585" s="41"/>
      <c r="F2585" s="41"/>
      <c r="G2585" s="41"/>
      <c r="H2585" s="41"/>
      <c r="I2585" s="41"/>
      <c r="J2585" s="41"/>
      <c r="K2585" s="41"/>
      <c r="L2585" s="41"/>
      <c r="M2585" s="41"/>
      <c r="N2585" s="41"/>
      <c r="O2585" s="41"/>
    </row>
    <row r="2586" spans="1:15">
      <c r="A2586" s="39"/>
      <c r="B2586" s="40"/>
      <c r="C2586" s="41"/>
      <c r="D2586" s="41"/>
      <c r="E2586" s="41"/>
      <c r="F2586" s="41"/>
      <c r="G2586" s="41"/>
      <c r="H2586" s="41"/>
      <c r="I2586" s="41"/>
      <c r="J2586" s="41"/>
      <c r="K2586" s="41"/>
      <c r="L2586" s="41"/>
      <c r="M2586" s="41"/>
      <c r="N2586" s="41"/>
      <c r="O2586" s="41"/>
    </row>
    <row r="2587" spans="1:15">
      <c r="A2587" s="39"/>
      <c r="B2587" s="40"/>
      <c r="C2587" s="41"/>
      <c r="D2587" s="41"/>
      <c r="E2587" s="41"/>
      <c r="F2587" s="41"/>
      <c r="G2587" s="41"/>
      <c r="H2587" s="41"/>
      <c r="I2587" s="41"/>
      <c r="J2587" s="41"/>
      <c r="K2587" s="41"/>
      <c r="L2587" s="41"/>
      <c r="M2587" s="41"/>
      <c r="N2587" s="41"/>
      <c r="O2587" s="41"/>
    </row>
    <row r="2588" spans="1:15">
      <c r="A2588" s="39"/>
      <c r="B2588" s="40"/>
      <c r="C2588" s="41"/>
      <c r="D2588" s="41"/>
      <c r="E2588" s="41"/>
      <c r="F2588" s="41"/>
      <c r="G2588" s="41"/>
      <c r="H2588" s="41"/>
      <c r="I2588" s="41"/>
      <c r="J2588" s="41"/>
      <c r="K2588" s="41"/>
      <c r="L2588" s="41"/>
      <c r="M2588" s="41"/>
      <c r="N2588" s="41"/>
      <c r="O2588" s="41"/>
    </row>
    <row r="2589" spans="1:15">
      <c r="A2589" s="39"/>
      <c r="B2589" s="40"/>
      <c r="C2589" s="41"/>
      <c r="D2589" s="41"/>
      <c r="E2589" s="41"/>
      <c r="F2589" s="41"/>
      <c r="G2589" s="41"/>
      <c r="H2589" s="41"/>
      <c r="I2589" s="41"/>
      <c r="J2589" s="41"/>
      <c r="K2589" s="41"/>
      <c r="L2589" s="41"/>
      <c r="M2589" s="41"/>
      <c r="N2589" s="41"/>
      <c r="O2589" s="41"/>
    </row>
    <row r="2590" spans="1:15">
      <c r="A2590" s="39"/>
      <c r="B2590" s="40"/>
      <c r="C2590" s="41"/>
      <c r="D2590" s="41"/>
      <c r="E2590" s="41"/>
      <c r="F2590" s="41"/>
      <c r="G2590" s="41"/>
      <c r="H2590" s="41"/>
      <c r="I2590" s="41"/>
      <c r="J2590" s="41"/>
      <c r="K2590" s="41"/>
      <c r="L2590" s="41"/>
      <c r="M2590" s="41"/>
      <c r="N2590" s="41"/>
      <c r="O2590" s="41"/>
    </row>
    <row r="2591" spans="1:15">
      <c r="A2591" s="39"/>
      <c r="B2591" s="40"/>
      <c r="C2591" s="41"/>
      <c r="D2591" s="41"/>
      <c r="E2591" s="41"/>
      <c r="F2591" s="41"/>
      <c r="G2591" s="41"/>
      <c r="H2591" s="41"/>
      <c r="I2591" s="41"/>
      <c r="J2591" s="41"/>
      <c r="K2591" s="41"/>
      <c r="L2591" s="41"/>
      <c r="M2591" s="41"/>
      <c r="N2591" s="41"/>
      <c r="O2591" s="41"/>
    </row>
    <row r="2592" spans="1:15">
      <c r="A2592" s="39"/>
      <c r="B2592" s="40"/>
      <c r="C2592" s="41"/>
      <c r="D2592" s="41"/>
      <c r="E2592" s="41"/>
      <c r="F2592" s="41"/>
      <c r="G2592" s="41"/>
      <c r="H2592" s="41"/>
      <c r="I2592" s="41"/>
      <c r="J2592" s="41"/>
      <c r="K2592" s="41"/>
      <c r="L2592" s="41"/>
      <c r="M2592" s="41"/>
      <c r="N2592" s="41"/>
      <c r="O2592" s="41"/>
    </row>
    <row r="2593" spans="1:15">
      <c r="A2593" s="39"/>
      <c r="B2593" s="40"/>
      <c r="C2593" s="41"/>
      <c r="D2593" s="41"/>
      <c r="E2593" s="41"/>
      <c r="F2593" s="41"/>
      <c r="G2593" s="41"/>
      <c r="H2593" s="41"/>
      <c r="I2593" s="41"/>
      <c r="J2593" s="41"/>
      <c r="K2593" s="41"/>
      <c r="L2593" s="41"/>
      <c r="M2593" s="41"/>
      <c r="N2593" s="41"/>
      <c r="O2593" s="41"/>
    </row>
    <row r="2594" spans="1:15">
      <c r="A2594" s="39"/>
      <c r="B2594" s="40"/>
      <c r="C2594" s="41"/>
      <c r="D2594" s="41"/>
      <c r="E2594" s="41"/>
      <c r="F2594" s="41"/>
      <c r="G2594" s="41"/>
      <c r="H2594" s="41"/>
      <c r="I2594" s="41"/>
      <c r="J2594" s="41"/>
      <c r="K2594" s="41"/>
      <c r="L2594" s="41"/>
      <c r="M2594" s="41"/>
      <c r="N2594" s="41"/>
      <c r="O2594" s="41"/>
    </row>
    <row r="2595" spans="1:15">
      <c r="A2595" s="39"/>
      <c r="B2595" s="40"/>
      <c r="C2595" s="41"/>
      <c r="D2595" s="41"/>
      <c r="E2595" s="41"/>
      <c r="F2595" s="41"/>
      <c r="G2595" s="41"/>
      <c r="H2595" s="41"/>
      <c r="I2595" s="41"/>
      <c r="J2595" s="41"/>
      <c r="K2595" s="41"/>
      <c r="L2595" s="41"/>
      <c r="M2595" s="41"/>
      <c r="N2595" s="41"/>
      <c r="O2595" s="41"/>
    </row>
    <row r="2596" spans="1:15">
      <c r="A2596" s="39"/>
      <c r="B2596" s="40"/>
      <c r="C2596" s="41"/>
      <c r="D2596" s="41"/>
      <c r="E2596" s="41"/>
      <c r="F2596" s="41"/>
      <c r="G2596" s="41"/>
      <c r="H2596" s="41"/>
      <c r="I2596" s="41"/>
      <c r="J2596" s="41"/>
      <c r="K2596" s="41"/>
      <c r="L2596" s="41"/>
      <c r="M2596" s="41"/>
      <c r="N2596" s="41"/>
      <c r="O2596" s="41"/>
    </row>
    <row r="2597" spans="1:15">
      <c r="A2597" s="39"/>
      <c r="B2597" s="40"/>
      <c r="C2597" s="41"/>
      <c r="D2597" s="41"/>
      <c r="E2597" s="41"/>
      <c r="F2597" s="41"/>
      <c r="G2597" s="41"/>
      <c r="H2597" s="41"/>
      <c r="I2597" s="41"/>
      <c r="J2597" s="41"/>
      <c r="K2597" s="41"/>
      <c r="L2597" s="41"/>
      <c r="M2597" s="41"/>
      <c r="N2597" s="41"/>
      <c r="O2597" s="41"/>
    </row>
    <row r="2598" spans="1:15">
      <c r="A2598" s="39"/>
      <c r="B2598" s="40"/>
      <c r="C2598" s="41"/>
      <c r="D2598" s="41"/>
      <c r="E2598" s="41"/>
      <c r="F2598" s="41"/>
      <c r="G2598" s="41"/>
      <c r="H2598" s="41"/>
      <c r="I2598" s="41"/>
      <c r="J2598" s="41"/>
      <c r="K2598" s="41"/>
      <c r="L2598" s="41"/>
      <c r="M2598" s="41"/>
      <c r="N2598" s="41"/>
      <c r="O2598" s="41"/>
    </row>
    <row r="2599" spans="1:15">
      <c r="A2599" s="39"/>
      <c r="B2599" s="40"/>
      <c r="C2599" s="41"/>
      <c r="D2599" s="41"/>
      <c r="E2599" s="41"/>
      <c r="F2599" s="41"/>
      <c r="G2599" s="41"/>
      <c r="H2599" s="41"/>
      <c r="I2599" s="41"/>
      <c r="J2599" s="41"/>
      <c r="K2599" s="41"/>
      <c r="L2599" s="41"/>
      <c r="M2599" s="41"/>
      <c r="N2599" s="41"/>
      <c r="O2599" s="41"/>
    </row>
    <row r="2600" spans="1:15">
      <c r="A2600" s="39"/>
      <c r="B2600" s="40"/>
      <c r="C2600" s="41"/>
      <c r="D2600" s="41"/>
      <c r="E2600" s="41"/>
      <c r="F2600" s="41"/>
      <c r="G2600" s="41"/>
      <c r="H2600" s="41"/>
      <c r="I2600" s="41"/>
      <c r="J2600" s="41"/>
      <c r="K2600" s="41"/>
      <c r="L2600" s="41"/>
      <c r="M2600" s="41"/>
      <c r="N2600" s="41"/>
      <c r="O2600" s="41"/>
    </row>
    <row r="2601" spans="1:15">
      <c r="A2601" s="39"/>
      <c r="B2601" s="40"/>
      <c r="C2601" s="41"/>
      <c r="D2601" s="41"/>
      <c r="E2601" s="41"/>
      <c r="F2601" s="41"/>
      <c r="G2601" s="41"/>
      <c r="H2601" s="41"/>
      <c r="I2601" s="41"/>
      <c r="J2601" s="41"/>
      <c r="K2601" s="41"/>
      <c r="L2601" s="41"/>
      <c r="M2601" s="41"/>
      <c r="N2601" s="41"/>
      <c r="O2601" s="41"/>
    </row>
    <row r="2602" spans="1:15">
      <c r="A2602" s="39"/>
      <c r="B2602" s="40"/>
      <c r="C2602" s="41"/>
      <c r="D2602" s="41"/>
      <c r="E2602" s="41"/>
      <c r="F2602" s="41"/>
      <c r="G2602" s="41"/>
      <c r="H2602" s="41"/>
      <c r="I2602" s="41"/>
      <c r="J2602" s="41"/>
      <c r="K2602" s="41"/>
      <c r="L2602" s="41"/>
      <c r="M2602" s="41"/>
      <c r="N2602" s="41"/>
      <c r="O2602" s="41"/>
    </row>
    <row r="2603" spans="1:15">
      <c r="A2603" s="39"/>
      <c r="B2603" s="40"/>
      <c r="C2603" s="41"/>
      <c r="D2603" s="41"/>
      <c r="E2603" s="41"/>
      <c r="F2603" s="41"/>
      <c r="G2603" s="41"/>
      <c r="H2603" s="41"/>
      <c r="I2603" s="41"/>
      <c r="J2603" s="41"/>
      <c r="K2603" s="41"/>
      <c r="L2603" s="41"/>
      <c r="M2603" s="41"/>
      <c r="N2603" s="41"/>
      <c r="O2603" s="41"/>
    </row>
    <row r="2604" spans="1:15">
      <c r="A2604" s="39"/>
      <c r="B2604" s="40"/>
      <c r="C2604" s="41"/>
      <c r="D2604" s="41"/>
      <c r="E2604" s="41"/>
      <c r="F2604" s="41"/>
      <c r="G2604" s="41"/>
      <c r="H2604" s="41"/>
      <c r="I2604" s="41"/>
      <c r="J2604" s="41"/>
      <c r="K2604" s="41"/>
      <c r="L2604" s="41"/>
      <c r="M2604" s="41"/>
      <c r="N2604" s="41"/>
      <c r="O2604" s="41"/>
    </row>
    <row r="2605" spans="1:15">
      <c r="A2605" s="39"/>
      <c r="B2605" s="40"/>
      <c r="C2605" s="41"/>
      <c r="D2605" s="41"/>
      <c r="E2605" s="41"/>
      <c r="F2605" s="41"/>
      <c r="G2605" s="41"/>
      <c r="H2605" s="41"/>
      <c r="I2605" s="41"/>
      <c r="J2605" s="41"/>
      <c r="K2605" s="41"/>
      <c r="L2605" s="41"/>
      <c r="M2605" s="41"/>
      <c r="N2605" s="41"/>
      <c r="O2605" s="41"/>
    </row>
    <row r="2606" spans="1:15">
      <c r="A2606" s="39"/>
      <c r="B2606" s="40"/>
      <c r="C2606" s="41"/>
      <c r="D2606" s="41"/>
      <c r="E2606" s="41"/>
      <c r="F2606" s="41"/>
      <c r="G2606" s="41"/>
      <c r="H2606" s="41"/>
      <c r="I2606" s="41"/>
      <c r="J2606" s="41"/>
      <c r="K2606" s="41"/>
      <c r="L2606" s="41"/>
      <c r="M2606" s="41"/>
      <c r="N2606" s="41"/>
      <c r="O2606" s="41"/>
    </row>
    <row r="2607" spans="1:15">
      <c r="A2607" s="39"/>
      <c r="B2607" s="40"/>
      <c r="C2607" s="41"/>
      <c r="D2607" s="41"/>
      <c r="E2607" s="41"/>
      <c r="F2607" s="41"/>
      <c r="G2607" s="41"/>
      <c r="H2607" s="41"/>
      <c r="I2607" s="41"/>
      <c r="J2607" s="41"/>
      <c r="K2607" s="41"/>
      <c r="L2607" s="41"/>
      <c r="M2607" s="41"/>
      <c r="N2607" s="41"/>
      <c r="O2607" s="41"/>
    </row>
    <row r="2608" spans="1:15">
      <c r="A2608" s="39"/>
      <c r="B2608" s="40"/>
      <c r="C2608" s="41"/>
      <c r="D2608" s="41"/>
      <c r="E2608" s="41"/>
      <c r="F2608" s="41"/>
      <c r="G2608" s="41"/>
      <c r="H2608" s="41"/>
      <c r="I2608" s="41"/>
      <c r="J2608" s="41"/>
      <c r="K2608" s="41"/>
      <c r="L2608" s="41"/>
      <c r="M2608" s="41"/>
      <c r="N2608" s="41"/>
      <c r="O2608" s="41"/>
    </row>
    <row r="2609" spans="1:15">
      <c r="A2609" s="39"/>
      <c r="B2609" s="40"/>
      <c r="C2609" s="41"/>
      <c r="D2609" s="41"/>
      <c r="E2609" s="41"/>
      <c r="F2609" s="41"/>
      <c r="G2609" s="41"/>
      <c r="H2609" s="41"/>
      <c r="I2609" s="41"/>
      <c r="J2609" s="41"/>
      <c r="K2609" s="41"/>
      <c r="L2609" s="41"/>
      <c r="M2609" s="41"/>
      <c r="N2609" s="41"/>
      <c r="O2609" s="41"/>
    </row>
    <row r="2610" spans="1:15">
      <c r="A2610" s="39"/>
      <c r="B2610" s="40"/>
      <c r="C2610" s="41"/>
      <c r="D2610" s="41"/>
      <c r="E2610" s="41"/>
      <c r="F2610" s="41"/>
      <c r="G2610" s="41"/>
      <c r="H2610" s="41"/>
      <c r="I2610" s="41"/>
      <c r="J2610" s="41"/>
      <c r="K2610" s="41"/>
      <c r="L2610" s="41"/>
      <c r="M2610" s="41"/>
      <c r="N2610" s="41"/>
      <c r="O2610" s="41"/>
    </row>
    <row r="2611" spans="1:15">
      <c r="A2611" s="39"/>
      <c r="B2611" s="40"/>
      <c r="C2611" s="41"/>
      <c r="D2611" s="41"/>
      <c r="E2611" s="41"/>
      <c r="F2611" s="41"/>
      <c r="G2611" s="41"/>
      <c r="H2611" s="41"/>
      <c r="I2611" s="41"/>
      <c r="J2611" s="41"/>
      <c r="K2611" s="41"/>
      <c r="L2611" s="41"/>
      <c r="M2611" s="41"/>
      <c r="N2611" s="41"/>
      <c r="O2611" s="41"/>
    </row>
    <row r="2612" spans="1:15">
      <c r="A2612" s="39"/>
      <c r="B2612" s="40"/>
      <c r="C2612" s="41"/>
      <c r="D2612" s="41"/>
      <c r="E2612" s="41"/>
      <c r="F2612" s="41"/>
      <c r="G2612" s="41"/>
      <c r="H2612" s="41"/>
      <c r="I2612" s="41"/>
      <c r="J2612" s="41"/>
      <c r="K2612" s="41"/>
      <c r="L2612" s="41"/>
      <c r="M2612" s="41"/>
      <c r="N2612" s="41"/>
      <c r="O2612" s="41"/>
    </row>
    <row r="2613" spans="1:15">
      <c r="A2613" s="39"/>
      <c r="B2613" s="40"/>
      <c r="C2613" s="41"/>
      <c r="D2613" s="41"/>
      <c r="E2613" s="41"/>
      <c r="F2613" s="41"/>
      <c r="G2613" s="41"/>
      <c r="H2613" s="41"/>
      <c r="I2613" s="41"/>
      <c r="J2613" s="41"/>
      <c r="K2613" s="41"/>
      <c r="L2613" s="41"/>
      <c r="M2613" s="41"/>
      <c r="N2613" s="41"/>
      <c r="O2613" s="41"/>
    </row>
    <row r="2614" spans="1:15">
      <c r="A2614" s="39"/>
      <c r="B2614" s="40"/>
      <c r="C2614" s="41"/>
      <c r="D2614" s="41"/>
      <c r="E2614" s="41"/>
      <c r="F2614" s="41"/>
      <c r="G2614" s="41"/>
      <c r="H2614" s="41"/>
      <c r="I2614" s="41"/>
      <c r="J2614" s="41"/>
      <c r="K2614" s="41"/>
      <c r="L2614" s="41"/>
      <c r="M2614" s="41"/>
      <c r="N2614" s="41"/>
      <c r="O2614" s="41"/>
    </row>
    <row r="2615" spans="1:15">
      <c r="A2615" s="39"/>
      <c r="B2615" s="40"/>
      <c r="C2615" s="41"/>
      <c r="D2615" s="41"/>
      <c r="E2615" s="41"/>
      <c r="F2615" s="41"/>
      <c r="G2615" s="41"/>
      <c r="H2615" s="41"/>
      <c r="I2615" s="41"/>
      <c r="J2615" s="41"/>
      <c r="K2615" s="41"/>
      <c r="L2615" s="41"/>
      <c r="M2615" s="41"/>
      <c r="N2615" s="41"/>
      <c r="O2615" s="41"/>
    </row>
    <row r="2616" spans="1:15">
      <c r="A2616" s="39"/>
      <c r="B2616" s="40"/>
      <c r="C2616" s="41"/>
      <c r="D2616" s="41"/>
      <c r="E2616" s="41"/>
      <c r="F2616" s="41"/>
      <c r="G2616" s="41"/>
      <c r="H2616" s="41"/>
      <c r="I2616" s="41"/>
      <c r="J2616" s="41"/>
      <c r="K2616" s="41"/>
      <c r="L2616" s="41"/>
      <c r="M2616" s="41"/>
      <c r="N2616" s="41"/>
      <c r="O2616" s="41"/>
    </row>
    <row r="2617" spans="1:15">
      <c r="A2617" s="39"/>
      <c r="B2617" s="40"/>
      <c r="C2617" s="41"/>
      <c r="D2617" s="41"/>
      <c r="E2617" s="41"/>
      <c r="F2617" s="41"/>
      <c r="G2617" s="41"/>
      <c r="H2617" s="41"/>
      <c r="I2617" s="41"/>
      <c r="J2617" s="41"/>
      <c r="K2617" s="41"/>
      <c r="L2617" s="41"/>
      <c r="M2617" s="41"/>
      <c r="N2617" s="41"/>
      <c r="O2617" s="41"/>
    </row>
    <row r="2618" spans="1:15">
      <c r="A2618" s="39"/>
      <c r="B2618" s="40"/>
      <c r="C2618" s="41"/>
      <c r="D2618" s="41"/>
      <c r="E2618" s="41"/>
      <c r="F2618" s="41"/>
      <c r="G2618" s="41"/>
      <c r="H2618" s="41"/>
      <c r="I2618" s="41"/>
      <c r="J2618" s="41"/>
      <c r="K2618" s="41"/>
      <c r="L2618" s="41"/>
      <c r="M2618" s="41"/>
      <c r="N2618" s="41"/>
      <c r="O2618" s="41"/>
    </row>
    <row r="2619" spans="1:15">
      <c r="A2619" s="39"/>
      <c r="B2619" s="40"/>
      <c r="C2619" s="41"/>
      <c r="D2619" s="41"/>
      <c r="E2619" s="41"/>
      <c r="F2619" s="41"/>
      <c r="G2619" s="41"/>
      <c r="H2619" s="41"/>
      <c r="I2619" s="41"/>
      <c r="J2619" s="41"/>
      <c r="K2619" s="41"/>
      <c r="L2619" s="41"/>
      <c r="M2619" s="41"/>
      <c r="N2619" s="41"/>
      <c r="O2619" s="41"/>
    </row>
    <row r="2620" spans="1:15">
      <c r="A2620" s="39"/>
      <c r="B2620" s="40"/>
      <c r="C2620" s="41"/>
      <c r="D2620" s="41"/>
      <c r="E2620" s="41"/>
      <c r="F2620" s="41"/>
      <c r="G2620" s="41"/>
      <c r="H2620" s="41"/>
      <c r="I2620" s="41"/>
      <c r="J2620" s="41"/>
      <c r="K2620" s="41"/>
      <c r="L2620" s="41"/>
      <c r="M2620" s="41"/>
      <c r="N2620" s="41"/>
      <c r="O2620" s="41"/>
    </row>
    <row r="2621" spans="1:15">
      <c r="A2621" s="39"/>
      <c r="B2621" s="40"/>
      <c r="C2621" s="41"/>
      <c r="D2621" s="41"/>
      <c r="E2621" s="41"/>
      <c r="F2621" s="41"/>
      <c r="G2621" s="41"/>
      <c r="H2621" s="41"/>
      <c r="I2621" s="41"/>
      <c r="J2621" s="41"/>
      <c r="K2621" s="41"/>
      <c r="L2621" s="41"/>
      <c r="M2621" s="41"/>
      <c r="N2621" s="41"/>
      <c r="O2621" s="41"/>
    </row>
    <row r="2622" spans="1:15">
      <c r="A2622" s="39"/>
      <c r="B2622" s="40"/>
      <c r="C2622" s="41"/>
      <c r="D2622" s="41"/>
      <c r="E2622" s="41"/>
      <c r="F2622" s="41"/>
      <c r="G2622" s="41"/>
      <c r="H2622" s="41"/>
      <c r="I2622" s="41"/>
      <c r="J2622" s="41"/>
      <c r="K2622" s="41"/>
      <c r="L2622" s="41"/>
      <c r="M2622" s="41"/>
      <c r="N2622" s="41"/>
      <c r="O2622" s="41"/>
    </row>
    <row r="2623" spans="1:15">
      <c r="A2623" s="39"/>
      <c r="B2623" s="40"/>
      <c r="C2623" s="41"/>
      <c r="D2623" s="41"/>
      <c r="E2623" s="41"/>
      <c r="F2623" s="41"/>
      <c r="G2623" s="41"/>
      <c r="H2623" s="41"/>
      <c r="I2623" s="41"/>
      <c r="J2623" s="41"/>
      <c r="K2623" s="41"/>
      <c r="L2623" s="41"/>
      <c r="M2623" s="41"/>
      <c r="N2623" s="41"/>
      <c r="O2623" s="41"/>
    </row>
    <row r="2624" spans="1:15">
      <c r="A2624" s="39"/>
      <c r="B2624" s="40"/>
      <c r="C2624" s="41"/>
      <c r="D2624" s="41"/>
      <c r="E2624" s="41"/>
      <c r="F2624" s="41"/>
      <c r="G2624" s="41"/>
      <c r="H2624" s="41"/>
      <c r="I2624" s="41"/>
      <c r="J2624" s="41"/>
      <c r="K2624" s="41"/>
      <c r="L2624" s="41"/>
      <c r="M2624" s="41"/>
      <c r="N2624" s="41"/>
      <c r="O2624" s="41"/>
    </row>
    <row r="2625" spans="1:15">
      <c r="A2625" s="39"/>
      <c r="B2625" s="40"/>
      <c r="C2625" s="41"/>
      <c r="D2625" s="41"/>
      <c r="E2625" s="41"/>
      <c r="F2625" s="41"/>
      <c r="G2625" s="41"/>
      <c r="H2625" s="41"/>
      <c r="I2625" s="41"/>
      <c r="J2625" s="41"/>
      <c r="K2625" s="41"/>
      <c r="L2625" s="41"/>
      <c r="M2625" s="41"/>
      <c r="N2625" s="41"/>
      <c r="O2625" s="41"/>
    </row>
    <row r="2626" spans="1:15">
      <c r="A2626" s="39"/>
      <c r="B2626" s="40"/>
      <c r="C2626" s="41"/>
      <c r="D2626" s="41"/>
      <c r="E2626" s="41"/>
      <c r="F2626" s="41"/>
      <c r="G2626" s="41"/>
      <c r="H2626" s="41"/>
      <c r="I2626" s="41"/>
      <c r="J2626" s="41"/>
      <c r="K2626" s="41"/>
      <c r="L2626" s="41"/>
      <c r="M2626" s="41"/>
      <c r="N2626" s="41"/>
      <c r="O2626" s="41"/>
    </row>
    <row r="2627" spans="1:15">
      <c r="A2627" s="39"/>
      <c r="B2627" s="40"/>
      <c r="C2627" s="41"/>
      <c r="D2627" s="41"/>
      <c r="E2627" s="41"/>
      <c r="F2627" s="41"/>
      <c r="G2627" s="41"/>
      <c r="H2627" s="41"/>
      <c r="I2627" s="41"/>
      <c r="J2627" s="41"/>
      <c r="K2627" s="41"/>
      <c r="L2627" s="41"/>
      <c r="M2627" s="41"/>
      <c r="N2627" s="41"/>
      <c r="O2627" s="41"/>
    </row>
    <row r="2628" spans="1:15">
      <c r="A2628" s="39"/>
      <c r="B2628" s="40"/>
      <c r="C2628" s="41"/>
      <c r="D2628" s="41"/>
      <c r="E2628" s="41"/>
      <c r="F2628" s="41"/>
      <c r="G2628" s="41"/>
      <c r="H2628" s="41"/>
      <c r="I2628" s="41"/>
      <c r="J2628" s="41"/>
      <c r="K2628" s="41"/>
      <c r="L2628" s="41"/>
      <c r="M2628" s="41"/>
      <c r="N2628" s="41"/>
      <c r="O2628" s="41"/>
    </row>
    <row r="2629" spans="1:15">
      <c r="A2629" s="39"/>
      <c r="B2629" s="40"/>
      <c r="C2629" s="41"/>
      <c r="D2629" s="41"/>
      <c r="E2629" s="41"/>
      <c r="F2629" s="41"/>
      <c r="G2629" s="41"/>
      <c r="H2629" s="41"/>
      <c r="I2629" s="41"/>
      <c r="J2629" s="41"/>
      <c r="K2629" s="41"/>
      <c r="L2629" s="41"/>
      <c r="M2629" s="41"/>
      <c r="N2629" s="41"/>
      <c r="O2629" s="41"/>
    </row>
    <row r="2630" spans="1:15">
      <c r="A2630" s="39"/>
      <c r="B2630" s="40"/>
      <c r="C2630" s="41"/>
      <c r="D2630" s="41"/>
      <c r="E2630" s="41"/>
      <c r="F2630" s="41"/>
      <c r="G2630" s="41"/>
      <c r="H2630" s="41"/>
      <c r="I2630" s="41"/>
      <c r="J2630" s="41"/>
      <c r="K2630" s="41"/>
      <c r="L2630" s="41"/>
      <c r="M2630" s="41"/>
      <c r="N2630" s="41"/>
      <c r="O2630" s="41"/>
    </row>
    <row r="2631" spans="1:15">
      <c r="A2631" s="39"/>
      <c r="B2631" s="40"/>
      <c r="C2631" s="41"/>
      <c r="D2631" s="41"/>
      <c r="E2631" s="41"/>
      <c r="F2631" s="41"/>
      <c r="G2631" s="41"/>
      <c r="H2631" s="41"/>
      <c r="I2631" s="41"/>
      <c r="J2631" s="41"/>
      <c r="K2631" s="41"/>
      <c r="L2631" s="41"/>
      <c r="M2631" s="41"/>
      <c r="N2631" s="41"/>
      <c r="O2631" s="41"/>
    </row>
    <row r="2632" spans="1:15">
      <c r="A2632" s="39"/>
      <c r="B2632" s="40"/>
      <c r="C2632" s="41"/>
      <c r="D2632" s="41"/>
      <c r="E2632" s="41"/>
      <c r="F2632" s="41"/>
      <c r="G2632" s="41"/>
      <c r="H2632" s="41"/>
      <c r="I2632" s="41"/>
      <c r="J2632" s="41"/>
      <c r="K2632" s="41"/>
      <c r="L2632" s="41"/>
      <c r="M2632" s="41"/>
      <c r="N2632" s="41"/>
      <c r="O2632" s="41"/>
    </row>
    <row r="2633" spans="1:15">
      <c r="A2633" s="39"/>
      <c r="B2633" s="40"/>
      <c r="C2633" s="41"/>
      <c r="D2633" s="41"/>
      <c r="E2633" s="41"/>
      <c r="F2633" s="41"/>
      <c r="G2633" s="41"/>
      <c r="H2633" s="41"/>
      <c r="I2633" s="41"/>
      <c r="J2633" s="41"/>
      <c r="K2633" s="41"/>
      <c r="L2633" s="41"/>
      <c r="M2633" s="41"/>
      <c r="N2633" s="41"/>
      <c r="O2633" s="41"/>
    </row>
    <row r="2634" spans="1:15">
      <c r="A2634" s="39"/>
      <c r="B2634" s="40"/>
      <c r="C2634" s="41"/>
      <c r="D2634" s="41"/>
      <c r="E2634" s="41"/>
      <c r="F2634" s="41"/>
      <c r="G2634" s="41"/>
      <c r="H2634" s="41"/>
      <c r="I2634" s="41"/>
      <c r="J2634" s="41"/>
      <c r="K2634" s="41"/>
      <c r="L2634" s="41"/>
      <c r="M2634" s="41"/>
      <c r="N2634" s="41"/>
      <c r="O2634" s="41"/>
    </row>
    <row r="2635" spans="1:15">
      <c r="A2635" s="39"/>
      <c r="B2635" s="40"/>
      <c r="C2635" s="41"/>
      <c r="D2635" s="41"/>
      <c r="E2635" s="41"/>
      <c r="F2635" s="41"/>
      <c r="G2635" s="41"/>
      <c r="H2635" s="41"/>
      <c r="I2635" s="41"/>
      <c r="J2635" s="41"/>
      <c r="K2635" s="41"/>
      <c r="L2635" s="41"/>
      <c r="M2635" s="41"/>
      <c r="N2635" s="41"/>
      <c r="O2635" s="41"/>
    </row>
    <row r="2636" spans="1:15">
      <c r="A2636" s="39"/>
      <c r="B2636" s="40"/>
      <c r="C2636" s="41"/>
      <c r="D2636" s="41"/>
      <c r="E2636" s="41"/>
      <c r="F2636" s="41"/>
      <c r="G2636" s="41"/>
      <c r="H2636" s="41"/>
      <c r="I2636" s="41"/>
      <c r="J2636" s="41"/>
      <c r="K2636" s="41"/>
      <c r="L2636" s="41"/>
      <c r="M2636" s="41"/>
      <c r="N2636" s="41"/>
      <c r="O2636" s="41"/>
    </row>
    <row r="2637" spans="1:15">
      <c r="A2637" s="39"/>
      <c r="B2637" s="40"/>
      <c r="C2637" s="41"/>
      <c r="D2637" s="41"/>
      <c r="E2637" s="41"/>
      <c r="F2637" s="41"/>
      <c r="G2637" s="41"/>
      <c r="H2637" s="41"/>
      <c r="I2637" s="41"/>
      <c r="J2637" s="41"/>
      <c r="K2637" s="41"/>
      <c r="L2637" s="41"/>
      <c r="M2637" s="41"/>
      <c r="N2637" s="41"/>
      <c r="O2637" s="41"/>
    </row>
    <row r="2638" spans="1:15">
      <c r="A2638" s="39"/>
      <c r="B2638" s="40"/>
      <c r="C2638" s="41"/>
      <c r="D2638" s="41"/>
      <c r="E2638" s="41"/>
      <c r="F2638" s="41"/>
      <c r="G2638" s="41"/>
      <c r="H2638" s="41"/>
      <c r="I2638" s="41"/>
      <c r="J2638" s="41"/>
      <c r="K2638" s="41"/>
      <c r="L2638" s="41"/>
      <c r="M2638" s="41"/>
      <c r="N2638" s="41"/>
      <c r="O2638" s="41"/>
    </row>
    <row r="2639" spans="1:15">
      <c r="A2639" s="39"/>
      <c r="B2639" s="40"/>
      <c r="C2639" s="41"/>
      <c r="D2639" s="41"/>
      <c r="E2639" s="41"/>
      <c r="F2639" s="41"/>
      <c r="G2639" s="41"/>
      <c r="H2639" s="41"/>
      <c r="I2639" s="41"/>
      <c r="J2639" s="41"/>
      <c r="K2639" s="41"/>
      <c r="L2639" s="41"/>
      <c r="M2639" s="41"/>
      <c r="N2639" s="41"/>
      <c r="O2639" s="41"/>
    </row>
    <row r="2640" spans="1:15">
      <c r="A2640" s="39"/>
      <c r="B2640" s="40"/>
      <c r="C2640" s="41"/>
      <c r="D2640" s="41"/>
      <c r="E2640" s="41"/>
      <c r="F2640" s="41"/>
      <c r="G2640" s="41"/>
      <c r="H2640" s="41"/>
      <c r="I2640" s="41"/>
      <c r="J2640" s="41"/>
      <c r="K2640" s="41"/>
      <c r="L2640" s="41"/>
      <c r="M2640" s="41"/>
      <c r="N2640" s="41"/>
      <c r="O2640" s="41"/>
    </row>
    <row r="2641" spans="1:15">
      <c r="A2641" s="39"/>
      <c r="B2641" s="40"/>
      <c r="C2641" s="41"/>
      <c r="D2641" s="41"/>
      <c r="E2641" s="41"/>
      <c r="F2641" s="41"/>
      <c r="G2641" s="41"/>
      <c r="H2641" s="41"/>
      <c r="I2641" s="41"/>
      <c r="J2641" s="41"/>
      <c r="K2641" s="41"/>
      <c r="L2641" s="41"/>
      <c r="M2641" s="41"/>
      <c r="N2641" s="41"/>
      <c r="O2641" s="41"/>
    </row>
    <row r="2642" spans="1:15">
      <c r="A2642" s="39"/>
      <c r="B2642" s="40"/>
      <c r="C2642" s="41"/>
      <c r="D2642" s="41"/>
      <c r="E2642" s="41"/>
      <c r="F2642" s="41"/>
      <c r="G2642" s="41"/>
      <c r="H2642" s="41"/>
      <c r="I2642" s="41"/>
      <c r="J2642" s="41"/>
      <c r="K2642" s="41"/>
      <c r="L2642" s="41"/>
      <c r="M2642" s="41"/>
      <c r="N2642" s="41"/>
      <c r="O2642" s="41"/>
    </row>
    <row r="2643" spans="1:15">
      <c r="A2643" s="39"/>
      <c r="B2643" s="40"/>
      <c r="C2643" s="41"/>
      <c r="D2643" s="41"/>
      <c r="E2643" s="41"/>
      <c r="F2643" s="41"/>
      <c r="G2643" s="41"/>
      <c r="H2643" s="41"/>
      <c r="I2643" s="41"/>
      <c r="J2643" s="41"/>
      <c r="K2643" s="41"/>
      <c r="L2643" s="41"/>
      <c r="M2643" s="41"/>
      <c r="N2643" s="41"/>
      <c r="O2643" s="41"/>
    </row>
    <row r="2644" spans="1:15">
      <c r="A2644" s="39"/>
      <c r="B2644" s="40"/>
      <c r="C2644" s="41"/>
      <c r="D2644" s="41"/>
      <c r="E2644" s="41"/>
      <c r="F2644" s="41"/>
      <c r="G2644" s="41"/>
      <c r="H2644" s="41"/>
      <c r="I2644" s="41"/>
      <c r="J2644" s="41"/>
      <c r="K2644" s="41"/>
      <c r="L2644" s="41"/>
      <c r="M2644" s="41"/>
      <c r="N2644" s="41"/>
      <c r="O2644" s="41"/>
    </row>
    <row r="2645" spans="1:15">
      <c r="A2645" s="39"/>
      <c r="B2645" s="40"/>
      <c r="C2645" s="41"/>
      <c r="D2645" s="41"/>
      <c r="E2645" s="41"/>
      <c r="F2645" s="41"/>
      <c r="G2645" s="41"/>
      <c r="H2645" s="41"/>
      <c r="I2645" s="41"/>
      <c r="J2645" s="41"/>
      <c r="K2645" s="41"/>
      <c r="L2645" s="41"/>
      <c r="M2645" s="41"/>
      <c r="N2645" s="41"/>
      <c r="O2645" s="41"/>
    </row>
    <row r="2646" spans="1:15">
      <c r="A2646" s="39"/>
      <c r="B2646" s="40"/>
      <c r="C2646" s="41"/>
      <c r="D2646" s="41"/>
      <c r="E2646" s="41"/>
      <c r="F2646" s="41"/>
      <c r="G2646" s="41"/>
      <c r="H2646" s="41"/>
      <c r="I2646" s="41"/>
      <c r="J2646" s="41"/>
      <c r="K2646" s="41"/>
      <c r="L2646" s="41"/>
      <c r="M2646" s="41"/>
      <c r="N2646" s="41"/>
      <c r="O2646" s="41"/>
    </row>
    <row r="2647" spans="1:15">
      <c r="A2647" s="39"/>
      <c r="B2647" s="40"/>
      <c r="C2647" s="41"/>
      <c r="D2647" s="41"/>
      <c r="E2647" s="41"/>
      <c r="F2647" s="41"/>
      <c r="G2647" s="41"/>
      <c r="H2647" s="41"/>
      <c r="I2647" s="41"/>
      <c r="J2647" s="41"/>
      <c r="K2647" s="41"/>
      <c r="L2647" s="41"/>
      <c r="M2647" s="41"/>
      <c r="N2647" s="41"/>
      <c r="O2647" s="41"/>
    </row>
    <row r="2648" spans="1:15">
      <c r="A2648" s="39"/>
      <c r="B2648" s="40"/>
      <c r="C2648" s="41"/>
      <c r="D2648" s="41"/>
      <c r="E2648" s="41"/>
      <c r="F2648" s="41"/>
      <c r="G2648" s="41"/>
      <c r="H2648" s="41"/>
      <c r="I2648" s="41"/>
      <c r="J2648" s="41"/>
      <c r="K2648" s="41"/>
      <c r="L2648" s="41"/>
      <c r="M2648" s="41"/>
      <c r="N2648" s="41"/>
      <c r="O2648" s="41"/>
    </row>
    <row r="2649" spans="1:15">
      <c r="A2649" s="39"/>
      <c r="B2649" s="40"/>
      <c r="C2649" s="41"/>
      <c r="D2649" s="41"/>
      <c r="E2649" s="41"/>
      <c r="F2649" s="41"/>
      <c r="G2649" s="41"/>
      <c r="H2649" s="41"/>
      <c r="I2649" s="41"/>
      <c r="J2649" s="41"/>
      <c r="K2649" s="41"/>
      <c r="L2649" s="41"/>
      <c r="M2649" s="41"/>
      <c r="N2649" s="41"/>
      <c r="O2649" s="41"/>
    </row>
    <row r="2650" spans="1:15">
      <c r="A2650" s="39"/>
      <c r="B2650" s="40"/>
      <c r="C2650" s="41"/>
      <c r="D2650" s="41"/>
      <c r="E2650" s="41"/>
      <c r="F2650" s="41"/>
      <c r="G2650" s="41"/>
      <c r="H2650" s="41"/>
      <c r="I2650" s="41"/>
      <c r="J2650" s="41"/>
      <c r="K2650" s="41"/>
      <c r="L2650" s="41"/>
      <c r="M2650" s="41"/>
      <c r="N2650" s="41"/>
      <c r="O2650" s="41"/>
    </row>
    <row r="2651" spans="1:15">
      <c r="A2651" s="39"/>
      <c r="B2651" s="40"/>
      <c r="C2651" s="41"/>
      <c r="D2651" s="41"/>
      <c r="E2651" s="41"/>
      <c r="F2651" s="41"/>
      <c r="G2651" s="41"/>
      <c r="H2651" s="41"/>
      <c r="I2651" s="41"/>
      <c r="J2651" s="41"/>
      <c r="K2651" s="41"/>
      <c r="L2651" s="41"/>
      <c r="M2651" s="41"/>
      <c r="N2651" s="41"/>
      <c r="O2651" s="41"/>
    </row>
    <row r="2652" spans="1:15">
      <c r="A2652" s="39"/>
      <c r="B2652" s="40"/>
      <c r="C2652" s="41"/>
      <c r="D2652" s="41"/>
      <c r="E2652" s="41"/>
      <c r="F2652" s="41"/>
      <c r="G2652" s="41"/>
      <c r="H2652" s="41"/>
      <c r="I2652" s="41"/>
      <c r="J2652" s="41"/>
      <c r="K2652" s="41"/>
      <c r="L2652" s="41"/>
      <c r="M2652" s="41"/>
      <c r="N2652" s="41"/>
      <c r="O2652" s="41"/>
    </row>
    <row r="2653" spans="1:15">
      <c r="A2653" s="39"/>
      <c r="B2653" s="40"/>
      <c r="C2653" s="41"/>
      <c r="D2653" s="41"/>
      <c r="E2653" s="41"/>
      <c r="F2653" s="41"/>
      <c r="G2653" s="41"/>
      <c r="H2653" s="41"/>
      <c r="I2653" s="41"/>
      <c r="J2653" s="41"/>
      <c r="K2653" s="41"/>
      <c r="L2653" s="41"/>
      <c r="M2653" s="41"/>
      <c r="N2653" s="41"/>
      <c r="O2653" s="41"/>
    </row>
    <row r="2654" spans="1:15">
      <c r="A2654" s="39"/>
      <c r="B2654" s="40"/>
      <c r="C2654" s="41"/>
      <c r="D2654" s="41"/>
      <c r="E2654" s="41"/>
      <c r="F2654" s="41"/>
      <c r="G2654" s="41"/>
      <c r="H2654" s="41"/>
      <c r="I2654" s="41"/>
      <c r="J2654" s="41"/>
      <c r="K2654" s="41"/>
      <c r="L2654" s="41"/>
      <c r="M2654" s="41"/>
      <c r="N2654" s="41"/>
      <c r="O2654" s="41"/>
    </row>
    <row r="2655" spans="1:15">
      <c r="A2655" s="39"/>
      <c r="B2655" s="40"/>
      <c r="C2655" s="41"/>
      <c r="D2655" s="41"/>
      <c r="E2655" s="41"/>
      <c r="F2655" s="41"/>
      <c r="G2655" s="41"/>
      <c r="H2655" s="41"/>
      <c r="I2655" s="41"/>
      <c r="J2655" s="41"/>
      <c r="K2655" s="41"/>
      <c r="L2655" s="41"/>
      <c r="M2655" s="41"/>
      <c r="N2655" s="41"/>
      <c r="O2655" s="41"/>
    </row>
    <row r="2656" spans="1:15">
      <c r="A2656" s="39"/>
      <c r="B2656" s="40"/>
      <c r="C2656" s="41"/>
      <c r="D2656" s="41"/>
      <c r="E2656" s="41"/>
      <c r="F2656" s="41"/>
      <c r="G2656" s="41"/>
      <c r="H2656" s="41"/>
      <c r="I2656" s="41"/>
      <c r="J2656" s="41"/>
      <c r="K2656" s="41"/>
      <c r="L2656" s="41"/>
      <c r="M2656" s="41"/>
      <c r="N2656" s="41"/>
      <c r="O2656" s="41"/>
    </row>
    <row r="2657" spans="1:15">
      <c r="A2657" s="39"/>
      <c r="B2657" s="40"/>
      <c r="C2657" s="41"/>
      <c r="D2657" s="41"/>
      <c r="E2657" s="41"/>
      <c r="F2657" s="41"/>
      <c r="G2657" s="41"/>
      <c r="H2657" s="41"/>
      <c r="I2657" s="41"/>
      <c r="J2657" s="41"/>
      <c r="K2657" s="41"/>
      <c r="L2657" s="41"/>
      <c r="M2657" s="41"/>
      <c r="N2657" s="41"/>
      <c r="O2657" s="41"/>
    </row>
    <row r="2658" spans="1:15">
      <c r="A2658" s="39"/>
      <c r="B2658" s="40"/>
      <c r="C2658" s="41"/>
      <c r="D2658" s="41"/>
      <c r="E2658" s="41"/>
      <c r="F2658" s="41"/>
      <c r="G2658" s="41"/>
      <c r="H2658" s="41"/>
      <c r="I2658" s="41"/>
      <c r="J2658" s="41"/>
      <c r="K2658" s="41"/>
      <c r="L2658" s="41"/>
      <c r="M2658" s="41"/>
      <c r="N2658" s="41"/>
      <c r="O2658" s="41"/>
    </row>
    <row r="2659" spans="1:15">
      <c r="A2659" s="39"/>
      <c r="B2659" s="40"/>
      <c r="C2659" s="41"/>
      <c r="D2659" s="41"/>
      <c r="E2659" s="41"/>
      <c r="F2659" s="41"/>
      <c r="G2659" s="41"/>
      <c r="H2659" s="41"/>
      <c r="I2659" s="41"/>
      <c r="J2659" s="41"/>
      <c r="K2659" s="41"/>
      <c r="L2659" s="41"/>
      <c r="M2659" s="41"/>
      <c r="N2659" s="41"/>
      <c r="O2659" s="41"/>
    </row>
    <row r="2660" spans="1:15">
      <c r="A2660" s="39"/>
      <c r="B2660" s="40"/>
      <c r="C2660" s="41"/>
      <c r="D2660" s="41"/>
      <c r="E2660" s="41"/>
      <c r="F2660" s="41"/>
      <c r="G2660" s="41"/>
      <c r="H2660" s="41"/>
      <c r="I2660" s="41"/>
      <c r="J2660" s="41"/>
      <c r="K2660" s="41"/>
      <c r="L2660" s="41"/>
      <c r="M2660" s="41"/>
      <c r="N2660" s="41"/>
      <c r="O2660" s="41"/>
    </row>
    <row r="2661" spans="1:15">
      <c r="A2661" s="39"/>
      <c r="B2661" s="40"/>
      <c r="C2661" s="41"/>
      <c r="D2661" s="41"/>
      <c r="E2661" s="41"/>
      <c r="F2661" s="41"/>
      <c r="G2661" s="41"/>
      <c r="H2661" s="41"/>
      <c r="I2661" s="41"/>
      <c r="J2661" s="41"/>
      <c r="K2661" s="41"/>
      <c r="L2661" s="41"/>
      <c r="M2661" s="41"/>
      <c r="N2661" s="41"/>
      <c r="O2661" s="41"/>
    </row>
    <row r="2662" spans="1:15">
      <c r="A2662" s="39"/>
      <c r="B2662" s="40"/>
      <c r="C2662" s="41"/>
      <c r="D2662" s="41"/>
      <c r="E2662" s="41"/>
      <c r="F2662" s="41"/>
      <c r="G2662" s="41"/>
      <c r="H2662" s="41"/>
      <c r="I2662" s="41"/>
      <c r="J2662" s="41"/>
      <c r="K2662" s="41"/>
      <c r="L2662" s="41"/>
      <c r="M2662" s="41"/>
      <c r="N2662" s="41"/>
      <c r="O2662" s="41"/>
    </row>
    <row r="2663" spans="1:15">
      <c r="A2663" s="39"/>
      <c r="B2663" s="40"/>
      <c r="C2663" s="41"/>
      <c r="D2663" s="41"/>
      <c r="E2663" s="41"/>
      <c r="F2663" s="41"/>
      <c r="G2663" s="41"/>
      <c r="H2663" s="41"/>
      <c r="I2663" s="41"/>
      <c r="J2663" s="41"/>
      <c r="K2663" s="41"/>
      <c r="L2663" s="41"/>
      <c r="M2663" s="41"/>
      <c r="N2663" s="41"/>
      <c r="O2663" s="41"/>
    </row>
    <row r="2664" spans="1:15">
      <c r="A2664" s="39"/>
      <c r="B2664" s="40"/>
      <c r="C2664" s="41"/>
      <c r="D2664" s="41"/>
      <c r="E2664" s="41"/>
      <c r="F2664" s="41"/>
      <c r="G2664" s="41"/>
      <c r="H2664" s="41"/>
      <c r="I2664" s="41"/>
      <c r="J2664" s="41"/>
      <c r="K2664" s="41"/>
      <c r="L2664" s="41"/>
      <c r="M2664" s="41"/>
      <c r="N2664" s="41"/>
      <c r="O2664" s="41"/>
    </row>
    <row r="2665" spans="1:15">
      <c r="A2665" s="39"/>
      <c r="B2665" s="40"/>
      <c r="C2665" s="41"/>
      <c r="D2665" s="41"/>
      <c r="E2665" s="41"/>
      <c r="F2665" s="41"/>
      <c r="G2665" s="41"/>
      <c r="H2665" s="41"/>
      <c r="I2665" s="41"/>
      <c r="J2665" s="41"/>
      <c r="K2665" s="41"/>
      <c r="L2665" s="41"/>
      <c r="M2665" s="41"/>
      <c r="N2665" s="41"/>
      <c r="O2665" s="41"/>
    </row>
    <row r="2666" spans="1:15">
      <c r="A2666" s="39"/>
      <c r="B2666" s="40"/>
      <c r="C2666" s="41"/>
      <c r="D2666" s="41"/>
      <c r="E2666" s="41"/>
      <c r="F2666" s="41"/>
      <c r="G2666" s="41"/>
      <c r="H2666" s="41"/>
      <c r="I2666" s="41"/>
      <c r="J2666" s="41"/>
      <c r="K2666" s="41"/>
      <c r="L2666" s="41"/>
      <c r="M2666" s="41"/>
      <c r="N2666" s="41"/>
      <c r="O2666" s="41"/>
    </row>
    <row r="2667" spans="1:15">
      <c r="A2667" s="39"/>
      <c r="B2667" s="40"/>
      <c r="C2667" s="41"/>
      <c r="D2667" s="41"/>
      <c r="E2667" s="41"/>
      <c r="F2667" s="41"/>
      <c r="G2667" s="41"/>
      <c r="H2667" s="41"/>
      <c r="I2667" s="41"/>
      <c r="J2667" s="41"/>
      <c r="K2667" s="41"/>
      <c r="L2667" s="41"/>
      <c r="M2667" s="41"/>
      <c r="N2667" s="41"/>
      <c r="O2667" s="41"/>
    </row>
    <row r="2668" spans="1:15">
      <c r="A2668" s="39"/>
      <c r="B2668" s="40"/>
      <c r="C2668" s="41"/>
      <c r="D2668" s="41"/>
      <c r="E2668" s="41"/>
      <c r="F2668" s="41"/>
      <c r="G2668" s="41"/>
      <c r="H2668" s="41"/>
      <c r="I2668" s="41"/>
      <c r="J2668" s="41"/>
      <c r="K2668" s="41"/>
      <c r="L2668" s="41"/>
      <c r="M2668" s="41"/>
      <c r="N2668" s="41"/>
      <c r="O2668" s="41"/>
    </row>
    <row r="2669" spans="1:15">
      <c r="A2669" s="39"/>
      <c r="B2669" s="40"/>
      <c r="C2669" s="41"/>
      <c r="D2669" s="41"/>
      <c r="E2669" s="41"/>
      <c r="F2669" s="41"/>
      <c r="G2669" s="41"/>
      <c r="H2669" s="41"/>
      <c r="I2669" s="41"/>
      <c r="J2669" s="41"/>
      <c r="K2669" s="41"/>
      <c r="L2669" s="41"/>
      <c r="M2669" s="41"/>
      <c r="N2669" s="41"/>
      <c r="O2669" s="41"/>
    </row>
    <row r="2670" spans="1:15">
      <c r="A2670" s="39"/>
      <c r="B2670" s="40"/>
      <c r="C2670" s="41"/>
      <c r="D2670" s="41"/>
      <c r="E2670" s="41"/>
      <c r="F2670" s="41"/>
      <c r="G2670" s="41"/>
      <c r="H2670" s="41"/>
      <c r="I2670" s="41"/>
      <c r="J2670" s="41"/>
      <c r="K2670" s="41"/>
      <c r="L2670" s="41"/>
      <c r="M2670" s="41"/>
      <c r="N2670" s="41"/>
      <c r="O2670" s="41"/>
    </row>
    <row r="2671" spans="1:15">
      <c r="A2671" s="39"/>
      <c r="B2671" s="40"/>
      <c r="C2671" s="41"/>
      <c r="D2671" s="41"/>
      <c r="E2671" s="41"/>
      <c r="F2671" s="41"/>
      <c r="G2671" s="41"/>
      <c r="H2671" s="41"/>
      <c r="I2671" s="41"/>
      <c r="J2671" s="41"/>
      <c r="K2671" s="41"/>
      <c r="L2671" s="41"/>
      <c r="M2671" s="41"/>
      <c r="N2671" s="41"/>
      <c r="O2671" s="41"/>
    </row>
    <row r="2672" spans="1:15">
      <c r="A2672" s="39"/>
      <c r="B2672" s="40"/>
      <c r="C2672" s="41"/>
      <c r="D2672" s="41"/>
      <c r="E2672" s="41"/>
      <c r="F2672" s="41"/>
      <c r="G2672" s="41"/>
      <c r="H2672" s="41"/>
      <c r="I2672" s="41"/>
      <c r="J2672" s="41"/>
      <c r="K2672" s="41"/>
      <c r="L2672" s="41"/>
      <c r="M2672" s="41"/>
      <c r="N2672" s="41"/>
      <c r="O2672" s="41"/>
    </row>
    <row r="2673" spans="1:15">
      <c r="A2673" s="39"/>
      <c r="B2673" s="40"/>
      <c r="C2673" s="41"/>
      <c r="D2673" s="41"/>
      <c r="E2673" s="41"/>
      <c r="F2673" s="41"/>
      <c r="G2673" s="41"/>
      <c r="H2673" s="41"/>
      <c r="I2673" s="41"/>
      <c r="J2673" s="41"/>
      <c r="K2673" s="41"/>
      <c r="L2673" s="41"/>
      <c r="M2673" s="41"/>
      <c r="N2673" s="41"/>
      <c r="O2673" s="41"/>
    </row>
    <row r="2674" spans="1:15">
      <c r="A2674" s="39"/>
      <c r="B2674" s="40"/>
      <c r="C2674" s="41"/>
      <c r="D2674" s="41"/>
      <c r="E2674" s="41"/>
      <c r="F2674" s="41"/>
      <c r="G2674" s="41"/>
      <c r="H2674" s="41"/>
      <c r="I2674" s="41"/>
      <c r="J2674" s="41"/>
      <c r="K2674" s="41"/>
      <c r="L2674" s="41"/>
      <c r="M2674" s="41"/>
      <c r="N2674" s="41"/>
      <c r="O2674" s="41"/>
    </row>
    <row r="2675" spans="1:15">
      <c r="A2675" s="39"/>
      <c r="B2675" s="40"/>
      <c r="C2675" s="41"/>
      <c r="D2675" s="41"/>
      <c r="E2675" s="41"/>
      <c r="F2675" s="41"/>
      <c r="G2675" s="41"/>
      <c r="H2675" s="41"/>
      <c r="I2675" s="41"/>
      <c r="J2675" s="41"/>
      <c r="K2675" s="41"/>
      <c r="L2675" s="41"/>
      <c r="M2675" s="41"/>
      <c r="N2675" s="41"/>
      <c r="O2675" s="41"/>
    </row>
    <row r="2676" spans="1:15">
      <c r="A2676" s="39"/>
      <c r="B2676" s="40"/>
      <c r="C2676" s="41"/>
      <c r="D2676" s="41"/>
      <c r="E2676" s="41"/>
      <c r="F2676" s="41"/>
      <c r="G2676" s="41"/>
      <c r="H2676" s="41"/>
      <c r="I2676" s="41"/>
      <c r="J2676" s="41"/>
      <c r="K2676" s="41"/>
      <c r="L2676" s="41"/>
      <c r="M2676" s="41"/>
      <c r="N2676" s="41"/>
      <c r="O2676" s="41"/>
    </row>
    <row r="2677" spans="1:15">
      <c r="A2677" s="39"/>
      <c r="B2677" s="40"/>
      <c r="C2677" s="41"/>
      <c r="D2677" s="41"/>
      <c r="E2677" s="41"/>
      <c r="F2677" s="41"/>
      <c r="G2677" s="41"/>
      <c r="H2677" s="41"/>
      <c r="I2677" s="41"/>
      <c r="J2677" s="41"/>
      <c r="K2677" s="41"/>
      <c r="L2677" s="41"/>
      <c r="M2677" s="41"/>
      <c r="N2677" s="41"/>
      <c r="O2677" s="41"/>
    </row>
    <row r="2678" spans="1:15">
      <c r="A2678" s="39"/>
      <c r="B2678" s="40"/>
      <c r="C2678" s="41"/>
      <c r="D2678" s="41"/>
      <c r="E2678" s="41"/>
      <c r="F2678" s="41"/>
      <c r="G2678" s="41"/>
      <c r="H2678" s="41"/>
      <c r="I2678" s="41"/>
      <c r="J2678" s="41"/>
      <c r="K2678" s="41"/>
      <c r="L2678" s="41"/>
      <c r="M2678" s="41"/>
      <c r="N2678" s="41"/>
      <c r="O2678" s="41"/>
    </row>
    <row r="2679" spans="1:15">
      <c r="A2679" s="39"/>
      <c r="B2679" s="40"/>
      <c r="C2679" s="41"/>
      <c r="D2679" s="41"/>
      <c r="E2679" s="41"/>
      <c r="F2679" s="41"/>
      <c r="G2679" s="41"/>
      <c r="H2679" s="41"/>
      <c r="I2679" s="41"/>
      <c r="J2679" s="41"/>
      <c r="K2679" s="41"/>
      <c r="L2679" s="41"/>
      <c r="M2679" s="41"/>
      <c r="N2679" s="41"/>
      <c r="O2679" s="41"/>
    </row>
    <row r="2680" spans="1:15">
      <c r="A2680" s="39"/>
      <c r="B2680" s="40"/>
      <c r="C2680" s="41"/>
      <c r="D2680" s="41"/>
      <c r="E2680" s="41"/>
      <c r="F2680" s="41"/>
      <c r="G2680" s="41"/>
      <c r="H2680" s="41"/>
      <c r="I2680" s="41"/>
      <c r="J2680" s="41"/>
      <c r="K2680" s="41"/>
      <c r="L2680" s="41"/>
      <c r="M2680" s="41"/>
      <c r="N2680" s="41"/>
      <c r="O2680" s="41"/>
    </row>
    <row r="2681" spans="1:15">
      <c r="A2681" s="39"/>
      <c r="B2681" s="40"/>
      <c r="C2681" s="41"/>
      <c r="D2681" s="41"/>
      <c r="E2681" s="41"/>
      <c r="F2681" s="41"/>
      <c r="G2681" s="41"/>
      <c r="H2681" s="41"/>
      <c r="I2681" s="41"/>
      <c r="J2681" s="41"/>
      <c r="K2681" s="41"/>
      <c r="L2681" s="41"/>
      <c r="M2681" s="41"/>
      <c r="N2681" s="41"/>
      <c r="O2681" s="41"/>
    </row>
    <row r="2682" spans="1:15">
      <c r="A2682" s="39"/>
      <c r="B2682" s="40"/>
      <c r="C2682" s="41"/>
      <c r="D2682" s="41"/>
      <c r="E2682" s="41"/>
      <c r="F2682" s="41"/>
      <c r="G2682" s="41"/>
      <c r="H2682" s="41"/>
      <c r="I2682" s="41"/>
      <c r="J2682" s="41"/>
      <c r="K2682" s="41"/>
      <c r="L2682" s="41"/>
      <c r="M2682" s="41"/>
      <c r="N2682" s="41"/>
      <c r="O2682" s="41"/>
    </row>
    <row r="2683" spans="1:15">
      <c r="A2683" s="39"/>
      <c r="B2683" s="40"/>
      <c r="C2683" s="41"/>
      <c r="D2683" s="41"/>
      <c r="E2683" s="41"/>
      <c r="F2683" s="41"/>
      <c r="G2683" s="41"/>
      <c r="H2683" s="41"/>
      <c r="I2683" s="41"/>
      <c r="J2683" s="41"/>
      <c r="K2683" s="41"/>
      <c r="L2683" s="41"/>
      <c r="M2683" s="41"/>
      <c r="N2683" s="41"/>
      <c r="O2683" s="41"/>
    </row>
    <row r="2684" spans="1:15">
      <c r="A2684" s="39"/>
      <c r="B2684" s="40"/>
      <c r="C2684" s="41"/>
      <c r="D2684" s="41"/>
      <c r="E2684" s="41"/>
      <c r="F2684" s="41"/>
      <c r="G2684" s="41"/>
      <c r="H2684" s="41"/>
      <c r="I2684" s="41"/>
      <c r="J2684" s="41"/>
      <c r="K2684" s="41"/>
      <c r="L2684" s="41"/>
      <c r="M2684" s="41"/>
      <c r="N2684" s="41"/>
      <c r="O2684" s="41"/>
    </row>
    <row r="2685" spans="1:15">
      <c r="A2685" s="39"/>
      <c r="B2685" s="40"/>
      <c r="C2685" s="41"/>
      <c r="D2685" s="41"/>
      <c r="E2685" s="41"/>
      <c r="F2685" s="41"/>
      <c r="G2685" s="41"/>
      <c r="H2685" s="41"/>
      <c r="I2685" s="41"/>
      <c r="J2685" s="41"/>
      <c r="K2685" s="41"/>
      <c r="L2685" s="41"/>
      <c r="M2685" s="41"/>
      <c r="N2685" s="41"/>
      <c r="O2685" s="41"/>
    </row>
    <row r="2686" spans="1:15">
      <c r="A2686" s="39"/>
      <c r="B2686" s="40"/>
      <c r="C2686" s="41"/>
      <c r="D2686" s="41"/>
      <c r="E2686" s="41"/>
      <c r="F2686" s="41"/>
      <c r="G2686" s="41"/>
      <c r="H2686" s="41"/>
      <c r="I2686" s="41"/>
      <c r="J2686" s="41"/>
      <c r="K2686" s="41"/>
      <c r="L2686" s="41"/>
      <c r="M2686" s="41"/>
      <c r="N2686" s="41"/>
      <c r="O2686" s="41"/>
    </row>
    <row r="2687" spans="1:15">
      <c r="A2687" s="39"/>
      <c r="B2687" s="40"/>
      <c r="C2687" s="41"/>
      <c r="D2687" s="41"/>
      <c r="E2687" s="41"/>
      <c r="F2687" s="41"/>
      <c r="G2687" s="41"/>
      <c r="H2687" s="41"/>
      <c r="I2687" s="41"/>
      <c r="J2687" s="41"/>
      <c r="K2687" s="41"/>
      <c r="L2687" s="41"/>
      <c r="M2687" s="41"/>
      <c r="N2687" s="41"/>
      <c r="O2687" s="41"/>
    </row>
    <row r="2688" spans="1:15">
      <c r="A2688" s="39"/>
      <c r="B2688" s="40"/>
      <c r="C2688" s="41"/>
      <c r="D2688" s="41"/>
      <c r="E2688" s="41"/>
      <c r="F2688" s="41"/>
      <c r="G2688" s="41"/>
      <c r="H2688" s="41"/>
      <c r="I2688" s="41"/>
      <c r="J2688" s="41"/>
      <c r="K2688" s="41"/>
      <c r="L2688" s="41"/>
      <c r="M2688" s="41"/>
      <c r="N2688" s="41"/>
      <c r="O2688" s="41"/>
    </row>
    <row r="2689" spans="1:15">
      <c r="A2689" s="39"/>
      <c r="B2689" s="40"/>
      <c r="C2689" s="41"/>
      <c r="D2689" s="41"/>
      <c r="E2689" s="41"/>
      <c r="F2689" s="41"/>
      <c r="G2689" s="41"/>
      <c r="H2689" s="41"/>
      <c r="I2689" s="41"/>
      <c r="J2689" s="41"/>
      <c r="K2689" s="41"/>
      <c r="L2689" s="41"/>
      <c r="M2689" s="41"/>
      <c r="N2689" s="41"/>
      <c r="O2689" s="41"/>
    </row>
    <row r="2690" spans="1:15">
      <c r="A2690" s="39"/>
      <c r="B2690" s="40"/>
      <c r="C2690" s="41"/>
      <c r="D2690" s="41"/>
      <c r="E2690" s="41"/>
      <c r="F2690" s="41"/>
      <c r="G2690" s="41"/>
      <c r="H2690" s="41"/>
      <c r="I2690" s="41"/>
      <c r="J2690" s="41"/>
      <c r="K2690" s="41"/>
      <c r="L2690" s="41"/>
      <c r="M2690" s="41"/>
      <c r="N2690" s="41"/>
      <c r="O2690" s="41"/>
    </row>
    <row r="2691" spans="1:15">
      <c r="A2691" s="39"/>
      <c r="B2691" s="40"/>
      <c r="C2691" s="41"/>
      <c r="D2691" s="41"/>
      <c r="E2691" s="41"/>
      <c r="F2691" s="41"/>
      <c r="G2691" s="41"/>
      <c r="H2691" s="41"/>
      <c r="I2691" s="41"/>
      <c r="J2691" s="41"/>
      <c r="K2691" s="41"/>
      <c r="L2691" s="41"/>
      <c r="M2691" s="41"/>
      <c r="N2691" s="41"/>
      <c r="O2691" s="41"/>
    </row>
    <row r="2692" spans="1:15">
      <c r="A2692" s="39"/>
      <c r="B2692" s="40"/>
      <c r="C2692" s="41"/>
      <c r="D2692" s="41"/>
      <c r="E2692" s="41"/>
      <c r="F2692" s="41"/>
      <c r="G2692" s="41"/>
      <c r="H2692" s="41"/>
      <c r="I2692" s="41"/>
      <c r="J2692" s="41"/>
      <c r="K2692" s="41"/>
      <c r="L2692" s="41"/>
      <c r="M2692" s="41"/>
      <c r="N2692" s="41"/>
      <c r="O2692" s="41"/>
    </row>
    <row r="2693" spans="1:15">
      <c r="A2693" s="39"/>
      <c r="B2693" s="40"/>
      <c r="C2693" s="41"/>
      <c r="D2693" s="41"/>
      <c r="E2693" s="41"/>
      <c r="F2693" s="41"/>
      <c r="G2693" s="41"/>
      <c r="H2693" s="41"/>
      <c r="I2693" s="41"/>
      <c r="J2693" s="41"/>
      <c r="K2693" s="41"/>
      <c r="L2693" s="41"/>
      <c r="M2693" s="41"/>
      <c r="N2693" s="41"/>
      <c r="O2693" s="41"/>
    </row>
    <row r="2694" spans="1:15">
      <c r="A2694" s="39"/>
      <c r="B2694" s="40"/>
      <c r="C2694" s="41"/>
      <c r="D2694" s="41"/>
      <c r="E2694" s="41"/>
      <c r="F2694" s="41"/>
      <c r="G2694" s="41"/>
      <c r="H2694" s="41"/>
      <c r="I2694" s="41"/>
      <c r="J2694" s="41"/>
      <c r="K2694" s="41"/>
      <c r="L2694" s="41"/>
      <c r="M2694" s="41"/>
      <c r="N2694" s="41"/>
      <c r="O2694" s="41"/>
    </row>
    <row r="2695" spans="1:15">
      <c r="A2695" s="39"/>
      <c r="B2695" s="40"/>
      <c r="C2695" s="41"/>
      <c r="D2695" s="41"/>
      <c r="E2695" s="41"/>
      <c r="F2695" s="41"/>
      <c r="G2695" s="41"/>
      <c r="H2695" s="41"/>
      <c r="I2695" s="41"/>
      <c r="J2695" s="41"/>
      <c r="K2695" s="41"/>
      <c r="L2695" s="41"/>
      <c r="M2695" s="41"/>
      <c r="N2695" s="41"/>
      <c r="O2695" s="41"/>
    </row>
    <row r="2696" spans="1:15">
      <c r="A2696" s="39"/>
      <c r="B2696" s="40"/>
      <c r="C2696" s="41"/>
      <c r="D2696" s="41"/>
      <c r="E2696" s="41"/>
      <c r="F2696" s="41"/>
      <c r="G2696" s="41"/>
      <c r="H2696" s="41"/>
      <c r="I2696" s="41"/>
      <c r="J2696" s="41"/>
      <c r="K2696" s="41"/>
      <c r="L2696" s="41"/>
      <c r="M2696" s="41"/>
      <c r="N2696" s="41"/>
      <c r="O2696" s="41"/>
    </row>
    <row r="2697" spans="1:15">
      <c r="A2697" s="39"/>
      <c r="B2697" s="40"/>
      <c r="C2697" s="41"/>
      <c r="D2697" s="41"/>
      <c r="E2697" s="41"/>
      <c r="F2697" s="41"/>
      <c r="G2697" s="41"/>
      <c r="H2697" s="41"/>
      <c r="I2697" s="41"/>
      <c r="J2697" s="41"/>
      <c r="K2697" s="41"/>
      <c r="L2697" s="41"/>
      <c r="M2697" s="41"/>
      <c r="N2697" s="41"/>
      <c r="O2697" s="41"/>
    </row>
    <row r="2698" spans="1:15">
      <c r="A2698" s="39"/>
      <c r="B2698" s="40"/>
      <c r="C2698" s="41"/>
      <c r="D2698" s="41"/>
      <c r="E2698" s="41"/>
      <c r="F2698" s="41"/>
      <c r="G2698" s="41"/>
      <c r="H2698" s="41"/>
      <c r="I2698" s="41"/>
      <c r="J2698" s="41"/>
      <c r="K2698" s="41"/>
      <c r="L2698" s="41"/>
      <c r="M2698" s="41"/>
      <c r="N2698" s="41"/>
      <c r="O2698" s="41"/>
    </row>
    <row r="2699" spans="1:15">
      <c r="A2699" s="39"/>
      <c r="B2699" s="40"/>
      <c r="C2699" s="41"/>
      <c r="D2699" s="41"/>
      <c r="E2699" s="41"/>
      <c r="F2699" s="41"/>
      <c r="G2699" s="41"/>
      <c r="H2699" s="41"/>
      <c r="I2699" s="41"/>
      <c r="J2699" s="41"/>
      <c r="K2699" s="41"/>
      <c r="L2699" s="41"/>
      <c r="M2699" s="41"/>
      <c r="N2699" s="41"/>
      <c r="O2699" s="41"/>
    </row>
    <row r="2700" spans="1:15">
      <c r="A2700" s="39"/>
      <c r="B2700" s="40"/>
      <c r="C2700" s="41"/>
      <c r="D2700" s="41"/>
      <c r="E2700" s="41"/>
      <c r="F2700" s="41"/>
      <c r="G2700" s="41"/>
      <c r="H2700" s="41"/>
      <c r="I2700" s="41"/>
      <c r="J2700" s="41"/>
      <c r="K2700" s="41"/>
      <c r="L2700" s="41"/>
      <c r="M2700" s="41"/>
      <c r="N2700" s="41"/>
      <c r="O2700" s="41"/>
    </row>
    <row r="2701" spans="1:15">
      <c r="A2701" s="39"/>
      <c r="B2701" s="40"/>
      <c r="C2701" s="41"/>
      <c r="D2701" s="41"/>
      <c r="E2701" s="41"/>
      <c r="F2701" s="41"/>
      <c r="G2701" s="41"/>
      <c r="H2701" s="41"/>
      <c r="I2701" s="41"/>
      <c r="J2701" s="41"/>
      <c r="K2701" s="41"/>
      <c r="L2701" s="41"/>
      <c r="M2701" s="41"/>
      <c r="N2701" s="41"/>
      <c r="O2701" s="41"/>
    </row>
    <row r="2702" spans="1:15">
      <c r="A2702" s="39"/>
      <c r="B2702" s="40"/>
      <c r="C2702" s="41"/>
      <c r="D2702" s="41"/>
      <c r="E2702" s="41"/>
      <c r="F2702" s="41"/>
      <c r="G2702" s="41"/>
      <c r="H2702" s="41"/>
      <c r="I2702" s="41"/>
      <c r="J2702" s="41"/>
      <c r="K2702" s="41"/>
      <c r="L2702" s="41"/>
      <c r="M2702" s="41"/>
      <c r="N2702" s="41"/>
      <c r="O2702" s="41"/>
    </row>
    <row r="2703" spans="1:15">
      <c r="A2703" s="39"/>
      <c r="B2703" s="40"/>
      <c r="C2703" s="41"/>
      <c r="D2703" s="41"/>
      <c r="E2703" s="41"/>
      <c r="F2703" s="41"/>
      <c r="G2703" s="41"/>
      <c r="H2703" s="41"/>
      <c r="I2703" s="41"/>
      <c r="J2703" s="41"/>
      <c r="K2703" s="41"/>
      <c r="L2703" s="41"/>
      <c r="M2703" s="41"/>
      <c r="N2703" s="41"/>
      <c r="O2703" s="41"/>
    </row>
    <row r="2704" spans="1:15">
      <c r="A2704" s="39"/>
      <c r="B2704" s="40"/>
      <c r="C2704" s="41"/>
      <c r="D2704" s="41"/>
      <c r="E2704" s="41"/>
      <c r="F2704" s="41"/>
      <c r="G2704" s="41"/>
      <c r="H2704" s="41"/>
      <c r="I2704" s="41"/>
      <c r="J2704" s="41"/>
      <c r="K2704" s="41"/>
      <c r="L2704" s="41"/>
      <c r="M2704" s="41"/>
      <c r="N2704" s="41"/>
      <c r="O2704" s="41"/>
    </row>
    <row r="2705" spans="1:15">
      <c r="A2705" s="39"/>
      <c r="B2705" s="40"/>
      <c r="C2705" s="41"/>
      <c r="D2705" s="41"/>
      <c r="E2705" s="41"/>
      <c r="F2705" s="41"/>
      <c r="G2705" s="41"/>
      <c r="H2705" s="41"/>
      <c r="I2705" s="41"/>
      <c r="J2705" s="41"/>
      <c r="K2705" s="41"/>
      <c r="L2705" s="41"/>
      <c r="M2705" s="41"/>
      <c r="N2705" s="41"/>
      <c r="O2705" s="41"/>
    </row>
    <row r="2706" spans="1:15">
      <c r="A2706" s="39"/>
      <c r="B2706" s="40"/>
      <c r="C2706" s="41"/>
      <c r="D2706" s="41"/>
      <c r="E2706" s="41"/>
      <c r="F2706" s="41"/>
      <c r="G2706" s="41"/>
      <c r="H2706" s="41"/>
      <c r="I2706" s="41"/>
      <c r="J2706" s="41"/>
      <c r="K2706" s="41"/>
      <c r="L2706" s="41"/>
      <c r="M2706" s="41"/>
      <c r="N2706" s="41"/>
      <c r="O2706" s="41"/>
    </row>
    <row r="2707" spans="1:15">
      <c r="A2707" s="39"/>
      <c r="B2707" s="40"/>
      <c r="C2707" s="41"/>
      <c r="D2707" s="41"/>
      <c r="E2707" s="41"/>
      <c r="F2707" s="41"/>
      <c r="G2707" s="41"/>
      <c r="H2707" s="41"/>
      <c r="I2707" s="41"/>
      <c r="J2707" s="41"/>
      <c r="K2707" s="41"/>
      <c r="L2707" s="41"/>
      <c r="M2707" s="41"/>
      <c r="N2707" s="41"/>
      <c r="O2707" s="41"/>
    </row>
    <row r="2708" spans="1:15">
      <c r="A2708" s="39"/>
      <c r="B2708" s="40"/>
      <c r="C2708" s="41"/>
      <c r="D2708" s="41"/>
      <c r="E2708" s="41"/>
      <c r="F2708" s="41"/>
      <c r="G2708" s="41"/>
      <c r="H2708" s="41"/>
      <c r="I2708" s="41"/>
      <c r="J2708" s="41"/>
      <c r="K2708" s="41"/>
      <c r="L2708" s="41"/>
      <c r="M2708" s="41"/>
      <c r="N2708" s="41"/>
      <c r="O2708" s="41"/>
    </row>
    <row r="2709" spans="1:15">
      <c r="A2709" s="39"/>
      <c r="B2709" s="40"/>
      <c r="C2709" s="41"/>
      <c r="D2709" s="41"/>
      <c r="E2709" s="41"/>
      <c r="F2709" s="41"/>
      <c r="G2709" s="41"/>
      <c r="H2709" s="41"/>
      <c r="I2709" s="41"/>
      <c r="J2709" s="41"/>
      <c r="K2709" s="41"/>
      <c r="L2709" s="41"/>
      <c r="M2709" s="41"/>
      <c r="N2709" s="41"/>
      <c r="O2709" s="41"/>
    </row>
    <row r="2710" spans="1:15">
      <c r="A2710" s="39"/>
      <c r="B2710" s="40"/>
      <c r="C2710" s="41"/>
      <c r="D2710" s="41"/>
      <c r="E2710" s="41"/>
      <c r="F2710" s="41"/>
      <c r="G2710" s="41"/>
      <c r="H2710" s="41"/>
      <c r="I2710" s="41"/>
      <c r="J2710" s="41"/>
      <c r="K2710" s="41"/>
      <c r="L2710" s="41"/>
      <c r="M2710" s="41"/>
      <c r="N2710" s="41"/>
      <c r="O2710" s="41"/>
    </row>
    <row r="2711" spans="1:15">
      <c r="A2711" s="39"/>
      <c r="B2711" s="40"/>
      <c r="C2711" s="41"/>
      <c r="D2711" s="41"/>
      <c r="E2711" s="41"/>
      <c r="F2711" s="41"/>
      <c r="G2711" s="41"/>
      <c r="H2711" s="41"/>
      <c r="I2711" s="41"/>
      <c r="J2711" s="41"/>
      <c r="K2711" s="41"/>
      <c r="L2711" s="41"/>
      <c r="M2711" s="41"/>
      <c r="N2711" s="41"/>
      <c r="O2711" s="41"/>
    </row>
    <row r="2712" spans="1:15">
      <c r="A2712" s="39"/>
      <c r="B2712" s="40"/>
      <c r="C2712" s="41"/>
      <c r="D2712" s="41"/>
      <c r="E2712" s="41"/>
      <c r="F2712" s="41"/>
      <c r="G2712" s="41"/>
      <c r="H2712" s="41"/>
      <c r="I2712" s="41"/>
      <c r="J2712" s="41"/>
      <c r="K2712" s="41"/>
      <c r="L2712" s="41"/>
      <c r="M2712" s="41"/>
      <c r="N2712" s="41"/>
      <c r="O2712" s="41"/>
    </row>
    <row r="2713" spans="1:15">
      <c r="A2713" s="39"/>
      <c r="B2713" s="40"/>
      <c r="C2713" s="41"/>
      <c r="D2713" s="41"/>
      <c r="E2713" s="41"/>
      <c r="F2713" s="41"/>
      <c r="G2713" s="41"/>
      <c r="H2713" s="41"/>
      <c r="I2713" s="41"/>
      <c r="J2713" s="41"/>
      <c r="K2713" s="41"/>
      <c r="L2713" s="41"/>
      <c r="M2713" s="41"/>
      <c r="N2713" s="41"/>
      <c r="O2713" s="41"/>
    </row>
    <row r="2714" spans="1:15">
      <c r="A2714" s="39"/>
      <c r="B2714" s="40"/>
      <c r="C2714" s="41"/>
      <c r="D2714" s="41"/>
      <c r="E2714" s="41"/>
      <c r="F2714" s="41"/>
      <c r="G2714" s="41"/>
      <c r="H2714" s="41"/>
      <c r="I2714" s="41"/>
      <c r="J2714" s="41"/>
      <c r="K2714" s="41"/>
      <c r="L2714" s="41"/>
      <c r="M2714" s="41"/>
      <c r="N2714" s="41"/>
      <c r="O2714" s="41"/>
    </row>
    <row r="2715" spans="1:15">
      <c r="A2715" s="39"/>
      <c r="B2715" s="40"/>
      <c r="C2715" s="41"/>
      <c r="D2715" s="41"/>
      <c r="E2715" s="41"/>
      <c r="F2715" s="41"/>
      <c r="G2715" s="41"/>
      <c r="H2715" s="41"/>
      <c r="I2715" s="41"/>
      <c r="J2715" s="41"/>
      <c r="K2715" s="41"/>
      <c r="L2715" s="41"/>
      <c r="M2715" s="41"/>
      <c r="N2715" s="41"/>
      <c r="O2715" s="41"/>
    </row>
    <row r="2716" spans="1:15">
      <c r="A2716" s="39"/>
      <c r="B2716" s="40"/>
      <c r="C2716" s="41"/>
      <c r="D2716" s="41"/>
      <c r="E2716" s="41"/>
      <c r="F2716" s="41"/>
      <c r="G2716" s="41"/>
      <c r="H2716" s="41"/>
      <c r="I2716" s="41"/>
      <c r="J2716" s="41"/>
      <c r="K2716" s="41"/>
      <c r="L2716" s="41"/>
      <c r="M2716" s="41"/>
      <c r="N2716" s="41"/>
      <c r="O2716" s="41"/>
    </row>
    <row r="2717" spans="1:15">
      <c r="A2717" s="39"/>
      <c r="B2717" s="40"/>
      <c r="C2717" s="41"/>
      <c r="D2717" s="41"/>
      <c r="E2717" s="41"/>
      <c r="F2717" s="41"/>
      <c r="G2717" s="41"/>
      <c r="H2717" s="41"/>
      <c r="I2717" s="41"/>
      <c r="J2717" s="41"/>
      <c r="K2717" s="41"/>
      <c r="L2717" s="41"/>
      <c r="M2717" s="41"/>
      <c r="N2717" s="41"/>
      <c r="O2717" s="41"/>
    </row>
    <row r="2718" spans="1:15">
      <c r="A2718" s="39"/>
      <c r="B2718" s="40"/>
      <c r="C2718" s="41"/>
      <c r="D2718" s="41"/>
      <c r="E2718" s="41"/>
      <c r="F2718" s="41"/>
      <c r="G2718" s="41"/>
      <c r="H2718" s="41"/>
      <c r="I2718" s="41"/>
      <c r="J2718" s="41"/>
      <c r="K2718" s="41"/>
      <c r="L2718" s="41"/>
      <c r="M2718" s="41"/>
      <c r="N2718" s="41"/>
      <c r="O2718" s="41"/>
    </row>
    <row r="2719" spans="1:15">
      <c r="A2719" s="39"/>
      <c r="B2719" s="40"/>
      <c r="C2719" s="41"/>
      <c r="D2719" s="41"/>
      <c r="E2719" s="41"/>
      <c r="F2719" s="41"/>
      <c r="G2719" s="41"/>
      <c r="H2719" s="41"/>
      <c r="I2719" s="41"/>
      <c r="J2719" s="41"/>
      <c r="K2719" s="41"/>
      <c r="L2719" s="41"/>
      <c r="M2719" s="41"/>
      <c r="N2719" s="41"/>
      <c r="O2719" s="41"/>
    </row>
    <row r="2720" spans="1:15">
      <c r="A2720" s="39"/>
      <c r="B2720" s="40"/>
      <c r="C2720" s="41"/>
      <c r="D2720" s="41"/>
      <c r="E2720" s="41"/>
      <c r="F2720" s="41"/>
      <c r="G2720" s="41"/>
      <c r="H2720" s="41"/>
      <c r="I2720" s="41"/>
      <c r="J2720" s="41"/>
      <c r="K2720" s="41"/>
      <c r="L2720" s="41"/>
      <c r="M2720" s="41"/>
      <c r="N2720" s="41"/>
      <c r="O2720" s="41"/>
    </row>
    <row r="2721" spans="1:15">
      <c r="A2721" s="39"/>
      <c r="B2721" s="40"/>
      <c r="C2721" s="41"/>
      <c r="D2721" s="41"/>
      <c r="E2721" s="41"/>
      <c r="F2721" s="41"/>
      <c r="G2721" s="41"/>
      <c r="H2721" s="41"/>
      <c r="I2721" s="41"/>
      <c r="J2721" s="41"/>
      <c r="K2721" s="41"/>
      <c r="L2721" s="41"/>
      <c r="M2721" s="41"/>
      <c r="N2721" s="41"/>
      <c r="O2721" s="41"/>
    </row>
    <row r="2722" spans="1:15">
      <c r="A2722" s="39"/>
      <c r="B2722" s="40"/>
      <c r="C2722" s="41"/>
      <c r="D2722" s="41"/>
      <c r="E2722" s="41"/>
      <c r="F2722" s="41"/>
      <c r="G2722" s="41"/>
      <c r="H2722" s="41"/>
      <c r="I2722" s="41"/>
      <c r="J2722" s="41"/>
      <c r="K2722" s="41"/>
      <c r="L2722" s="41"/>
      <c r="M2722" s="41"/>
      <c r="N2722" s="41"/>
      <c r="O2722" s="41"/>
    </row>
    <row r="2723" spans="1:15">
      <c r="A2723" s="39"/>
      <c r="B2723" s="40"/>
      <c r="C2723" s="41"/>
      <c r="D2723" s="41"/>
      <c r="E2723" s="41"/>
      <c r="F2723" s="41"/>
      <c r="G2723" s="41"/>
      <c r="H2723" s="41"/>
      <c r="I2723" s="41"/>
      <c r="J2723" s="41"/>
      <c r="K2723" s="41"/>
      <c r="L2723" s="41"/>
      <c r="M2723" s="41"/>
      <c r="N2723" s="41"/>
      <c r="O2723" s="41"/>
    </row>
    <row r="2724" spans="1:15">
      <c r="A2724" s="39"/>
      <c r="B2724" s="40"/>
      <c r="C2724" s="41"/>
      <c r="D2724" s="41"/>
      <c r="E2724" s="41"/>
      <c r="F2724" s="41"/>
      <c r="G2724" s="41"/>
      <c r="H2724" s="41"/>
      <c r="I2724" s="41"/>
      <c r="J2724" s="41"/>
      <c r="K2724" s="41"/>
      <c r="L2724" s="41"/>
      <c r="M2724" s="41"/>
      <c r="N2724" s="41"/>
      <c r="O2724" s="41"/>
    </row>
    <row r="2725" spans="1:15">
      <c r="A2725" s="39"/>
      <c r="B2725" s="40"/>
      <c r="C2725" s="41"/>
      <c r="D2725" s="41"/>
      <c r="E2725" s="41"/>
      <c r="F2725" s="41"/>
      <c r="G2725" s="41"/>
      <c r="H2725" s="41"/>
      <c r="I2725" s="41"/>
      <c r="J2725" s="41"/>
      <c r="K2725" s="41"/>
      <c r="L2725" s="41"/>
      <c r="M2725" s="41"/>
      <c r="N2725" s="41"/>
      <c r="O2725" s="41"/>
    </row>
    <row r="2726" spans="1:15">
      <c r="A2726" s="39"/>
      <c r="B2726" s="40"/>
      <c r="C2726" s="41"/>
      <c r="D2726" s="41"/>
      <c r="E2726" s="41"/>
      <c r="F2726" s="41"/>
      <c r="G2726" s="41"/>
      <c r="H2726" s="41"/>
      <c r="I2726" s="41"/>
      <c r="J2726" s="41"/>
      <c r="K2726" s="41"/>
      <c r="L2726" s="41"/>
      <c r="M2726" s="41"/>
      <c r="N2726" s="41"/>
      <c r="O2726" s="41"/>
    </row>
    <row r="2727" spans="1:15">
      <c r="A2727" s="39"/>
      <c r="B2727" s="40"/>
      <c r="C2727" s="41"/>
      <c r="D2727" s="41"/>
      <c r="E2727" s="41"/>
      <c r="F2727" s="41"/>
      <c r="G2727" s="41"/>
      <c r="H2727" s="41"/>
      <c r="I2727" s="41"/>
      <c r="J2727" s="41"/>
      <c r="K2727" s="41"/>
      <c r="L2727" s="41"/>
      <c r="M2727" s="41"/>
      <c r="N2727" s="41"/>
      <c r="O2727" s="41"/>
    </row>
    <row r="2728" spans="1:15">
      <c r="A2728" s="39"/>
      <c r="B2728" s="40"/>
      <c r="C2728" s="41"/>
      <c r="D2728" s="41"/>
      <c r="E2728" s="41"/>
      <c r="F2728" s="41"/>
      <c r="G2728" s="41"/>
      <c r="H2728" s="41"/>
      <c r="I2728" s="41"/>
      <c r="J2728" s="41"/>
      <c r="K2728" s="41"/>
      <c r="L2728" s="41"/>
      <c r="M2728" s="41"/>
      <c r="N2728" s="41"/>
      <c r="O2728" s="41"/>
    </row>
    <row r="2729" spans="1:15">
      <c r="A2729" s="39"/>
      <c r="B2729" s="40"/>
      <c r="C2729" s="41"/>
      <c r="D2729" s="41"/>
      <c r="E2729" s="41"/>
      <c r="F2729" s="41"/>
      <c r="G2729" s="41"/>
      <c r="H2729" s="41"/>
      <c r="I2729" s="41"/>
      <c r="J2729" s="41"/>
      <c r="K2729" s="41"/>
      <c r="L2729" s="41"/>
      <c r="M2729" s="41"/>
      <c r="N2729" s="41"/>
      <c r="O2729" s="41"/>
    </row>
    <row r="2730" spans="1:15">
      <c r="A2730" s="39"/>
      <c r="B2730" s="40"/>
      <c r="C2730" s="41"/>
      <c r="D2730" s="41"/>
      <c r="E2730" s="41"/>
      <c r="F2730" s="41"/>
      <c r="G2730" s="41"/>
      <c r="H2730" s="41"/>
      <c r="I2730" s="41"/>
      <c r="J2730" s="41"/>
      <c r="K2730" s="41"/>
      <c r="L2730" s="41"/>
      <c r="M2730" s="41"/>
      <c r="N2730" s="41"/>
      <c r="O2730" s="41"/>
    </row>
    <row r="2731" spans="1:15">
      <c r="A2731" s="39"/>
      <c r="B2731" s="40"/>
      <c r="C2731" s="41"/>
      <c r="D2731" s="41"/>
      <c r="E2731" s="41"/>
      <c r="F2731" s="41"/>
      <c r="G2731" s="41"/>
      <c r="H2731" s="41"/>
      <c r="I2731" s="41"/>
      <c r="J2731" s="41"/>
      <c r="K2731" s="41"/>
      <c r="L2731" s="41"/>
      <c r="M2731" s="41"/>
      <c r="N2731" s="41"/>
      <c r="O2731" s="41"/>
    </row>
    <row r="2732" spans="1:15">
      <c r="A2732" s="39"/>
      <c r="B2732" s="40"/>
      <c r="C2732" s="41"/>
      <c r="D2732" s="41"/>
      <c r="E2732" s="41"/>
      <c r="F2732" s="41"/>
      <c r="G2732" s="41"/>
      <c r="H2732" s="41"/>
      <c r="I2732" s="41"/>
      <c r="J2732" s="41"/>
      <c r="K2732" s="41"/>
      <c r="L2732" s="41"/>
      <c r="M2732" s="41"/>
      <c r="N2732" s="41"/>
      <c r="O2732" s="41"/>
    </row>
    <row r="2733" spans="1:15">
      <c r="A2733" s="39"/>
      <c r="B2733" s="40"/>
      <c r="C2733" s="41"/>
      <c r="D2733" s="41"/>
      <c r="E2733" s="41"/>
      <c r="F2733" s="41"/>
      <c r="G2733" s="41"/>
      <c r="H2733" s="41"/>
      <c r="I2733" s="41"/>
      <c r="J2733" s="41"/>
      <c r="K2733" s="41"/>
      <c r="L2733" s="41"/>
      <c r="M2733" s="41"/>
      <c r="N2733" s="41"/>
      <c r="O2733" s="41"/>
    </row>
    <row r="2734" spans="1:15">
      <c r="A2734" s="39"/>
      <c r="B2734" s="40"/>
      <c r="C2734" s="41"/>
      <c r="D2734" s="41"/>
      <c r="E2734" s="41"/>
      <c r="F2734" s="41"/>
      <c r="G2734" s="41"/>
      <c r="H2734" s="41"/>
      <c r="I2734" s="41"/>
      <c r="J2734" s="41"/>
      <c r="K2734" s="41"/>
      <c r="L2734" s="41"/>
      <c r="M2734" s="41"/>
      <c r="N2734" s="41"/>
      <c r="O2734" s="41"/>
    </row>
    <row r="2735" spans="1:15">
      <c r="A2735" s="39"/>
      <c r="B2735" s="40"/>
      <c r="C2735" s="41"/>
      <c r="D2735" s="41"/>
      <c r="E2735" s="41"/>
      <c r="F2735" s="41"/>
      <c r="G2735" s="41"/>
      <c r="H2735" s="41"/>
      <c r="I2735" s="41"/>
      <c r="J2735" s="41"/>
      <c r="K2735" s="41"/>
      <c r="L2735" s="41"/>
      <c r="M2735" s="41"/>
      <c r="N2735" s="41"/>
      <c r="O2735" s="41"/>
    </row>
    <row r="2736" spans="1:15">
      <c r="A2736" s="39"/>
      <c r="B2736" s="40"/>
      <c r="C2736" s="41"/>
      <c r="D2736" s="41"/>
      <c r="E2736" s="41"/>
      <c r="F2736" s="41"/>
      <c r="G2736" s="41"/>
      <c r="H2736" s="41"/>
      <c r="I2736" s="41"/>
      <c r="J2736" s="41"/>
      <c r="K2736" s="41"/>
      <c r="L2736" s="41"/>
      <c r="M2736" s="41"/>
      <c r="N2736" s="41"/>
      <c r="O2736" s="41"/>
    </row>
    <row r="2737" spans="1:15">
      <c r="A2737" s="39"/>
      <c r="B2737" s="40"/>
      <c r="C2737" s="41"/>
      <c r="D2737" s="41"/>
      <c r="E2737" s="41"/>
      <c r="F2737" s="41"/>
      <c r="G2737" s="41"/>
      <c r="H2737" s="41"/>
      <c r="I2737" s="41"/>
      <c r="J2737" s="41"/>
      <c r="K2737" s="41"/>
      <c r="L2737" s="41"/>
      <c r="M2737" s="41"/>
      <c r="N2737" s="41"/>
      <c r="O2737" s="41"/>
    </row>
    <row r="2738" spans="1:15">
      <c r="A2738" s="39"/>
      <c r="B2738" s="40"/>
      <c r="C2738" s="41"/>
      <c r="D2738" s="41"/>
      <c r="E2738" s="41"/>
      <c r="F2738" s="41"/>
      <c r="G2738" s="41"/>
      <c r="H2738" s="41"/>
      <c r="I2738" s="41"/>
      <c r="J2738" s="41"/>
      <c r="K2738" s="41"/>
      <c r="L2738" s="41"/>
      <c r="M2738" s="41"/>
      <c r="N2738" s="41"/>
      <c r="O2738" s="41"/>
    </row>
    <row r="2739" spans="1:15">
      <c r="A2739" s="39"/>
      <c r="B2739" s="40"/>
      <c r="C2739" s="41"/>
      <c r="D2739" s="41"/>
      <c r="E2739" s="41"/>
      <c r="F2739" s="41"/>
      <c r="G2739" s="41"/>
      <c r="H2739" s="41"/>
      <c r="I2739" s="41"/>
      <c r="J2739" s="41"/>
      <c r="K2739" s="41"/>
      <c r="L2739" s="41"/>
      <c r="M2739" s="41"/>
      <c r="N2739" s="41"/>
      <c r="O2739" s="41"/>
    </row>
    <row r="2740" spans="1:15">
      <c r="A2740" s="39"/>
      <c r="B2740" s="40"/>
      <c r="C2740" s="41"/>
      <c r="D2740" s="41"/>
      <c r="E2740" s="41"/>
      <c r="F2740" s="41"/>
      <c r="G2740" s="41"/>
      <c r="H2740" s="41"/>
      <c r="I2740" s="41"/>
      <c r="J2740" s="41"/>
      <c r="K2740" s="41"/>
      <c r="L2740" s="41"/>
      <c r="M2740" s="41"/>
      <c r="N2740" s="41"/>
      <c r="O2740" s="41"/>
    </row>
    <row r="2741" spans="1:15">
      <c r="A2741" s="39"/>
      <c r="B2741" s="40"/>
      <c r="C2741" s="41"/>
      <c r="D2741" s="41"/>
      <c r="E2741" s="41"/>
      <c r="F2741" s="41"/>
      <c r="G2741" s="41"/>
      <c r="H2741" s="41"/>
      <c r="I2741" s="41"/>
      <c r="J2741" s="41"/>
      <c r="K2741" s="41"/>
      <c r="L2741" s="41"/>
      <c r="M2741" s="41"/>
      <c r="N2741" s="41"/>
      <c r="O2741" s="41"/>
    </row>
    <row r="2742" spans="1:15">
      <c r="A2742" s="39"/>
      <c r="B2742" s="40"/>
      <c r="C2742" s="41"/>
      <c r="D2742" s="41"/>
      <c r="E2742" s="41"/>
      <c r="F2742" s="41"/>
      <c r="G2742" s="41"/>
      <c r="H2742" s="41"/>
      <c r="I2742" s="41"/>
      <c r="J2742" s="41"/>
      <c r="K2742" s="41"/>
      <c r="L2742" s="41"/>
      <c r="M2742" s="41"/>
      <c r="N2742" s="41"/>
      <c r="O2742" s="41"/>
    </row>
    <row r="2743" spans="1:15">
      <c r="A2743" s="39"/>
      <c r="B2743" s="40"/>
      <c r="C2743" s="41"/>
      <c r="D2743" s="41"/>
      <c r="E2743" s="41"/>
      <c r="F2743" s="41"/>
      <c r="G2743" s="41"/>
      <c r="H2743" s="41"/>
      <c r="I2743" s="41"/>
      <c r="J2743" s="41"/>
      <c r="K2743" s="41"/>
      <c r="L2743" s="41"/>
      <c r="M2743" s="41"/>
      <c r="N2743" s="41"/>
      <c r="O2743" s="41"/>
    </row>
    <row r="2744" spans="1:15">
      <c r="A2744" s="39"/>
      <c r="B2744" s="40"/>
      <c r="C2744" s="41"/>
      <c r="D2744" s="41"/>
      <c r="E2744" s="41"/>
      <c r="F2744" s="41"/>
      <c r="G2744" s="41"/>
      <c r="H2744" s="41"/>
      <c r="I2744" s="41"/>
      <c r="J2744" s="41"/>
      <c r="K2744" s="41"/>
      <c r="L2744" s="41"/>
      <c r="M2744" s="41"/>
      <c r="N2744" s="41"/>
      <c r="O2744" s="41"/>
    </row>
    <row r="2745" spans="1:15">
      <c r="A2745" s="39"/>
      <c r="B2745" s="40"/>
      <c r="C2745" s="41"/>
      <c r="D2745" s="41"/>
      <c r="E2745" s="41"/>
      <c r="F2745" s="41"/>
      <c r="G2745" s="41"/>
      <c r="H2745" s="41"/>
      <c r="I2745" s="41"/>
      <c r="J2745" s="41"/>
      <c r="K2745" s="41"/>
      <c r="L2745" s="41"/>
      <c r="M2745" s="41"/>
      <c r="N2745" s="41"/>
      <c r="O2745" s="41"/>
    </row>
    <row r="2746" spans="1:15">
      <c r="A2746" s="39"/>
      <c r="B2746" s="40"/>
      <c r="C2746" s="41"/>
      <c r="D2746" s="41"/>
      <c r="E2746" s="41"/>
      <c r="F2746" s="41"/>
      <c r="G2746" s="41"/>
      <c r="H2746" s="41"/>
      <c r="I2746" s="41"/>
      <c r="J2746" s="41"/>
      <c r="K2746" s="41"/>
      <c r="L2746" s="41"/>
      <c r="M2746" s="41"/>
      <c r="N2746" s="41"/>
      <c r="O2746" s="41"/>
    </row>
    <row r="2747" spans="1:15">
      <c r="A2747" s="39"/>
      <c r="B2747" s="40"/>
      <c r="C2747" s="41"/>
      <c r="D2747" s="41"/>
      <c r="E2747" s="41"/>
      <c r="F2747" s="41"/>
      <c r="G2747" s="41"/>
      <c r="H2747" s="41"/>
      <c r="I2747" s="41"/>
      <c r="J2747" s="41"/>
      <c r="K2747" s="41"/>
      <c r="L2747" s="41"/>
      <c r="M2747" s="41"/>
      <c r="N2747" s="41"/>
      <c r="O2747" s="41"/>
    </row>
    <row r="2748" spans="1:15">
      <c r="A2748" s="39"/>
      <c r="B2748" s="40"/>
      <c r="C2748" s="41"/>
      <c r="D2748" s="41"/>
      <c r="E2748" s="41"/>
      <c r="F2748" s="41"/>
      <c r="G2748" s="41"/>
      <c r="H2748" s="41"/>
      <c r="I2748" s="41"/>
      <c r="J2748" s="41"/>
      <c r="K2748" s="41"/>
      <c r="L2748" s="41"/>
      <c r="M2748" s="41"/>
      <c r="N2748" s="41"/>
      <c r="O2748" s="41"/>
    </row>
    <row r="2749" spans="1:15">
      <c r="A2749" s="39"/>
      <c r="B2749" s="40"/>
      <c r="C2749" s="41"/>
      <c r="D2749" s="41"/>
      <c r="E2749" s="41"/>
      <c r="F2749" s="41"/>
      <c r="G2749" s="41"/>
      <c r="H2749" s="41"/>
      <c r="I2749" s="41"/>
      <c r="J2749" s="41"/>
      <c r="K2749" s="41"/>
      <c r="L2749" s="41"/>
      <c r="M2749" s="41"/>
      <c r="N2749" s="41"/>
      <c r="O2749" s="41"/>
    </row>
    <row r="2750" spans="1:15">
      <c r="A2750" s="39"/>
      <c r="B2750" s="40"/>
      <c r="C2750" s="41"/>
      <c r="D2750" s="41"/>
      <c r="E2750" s="41"/>
      <c r="F2750" s="41"/>
      <c r="G2750" s="41"/>
      <c r="H2750" s="41"/>
      <c r="I2750" s="41"/>
      <c r="J2750" s="41"/>
      <c r="K2750" s="41"/>
      <c r="L2750" s="41"/>
      <c r="M2750" s="41"/>
      <c r="N2750" s="41"/>
      <c r="O2750" s="41"/>
    </row>
    <row r="2751" spans="1:15">
      <c r="A2751" s="39"/>
      <c r="B2751" s="40"/>
      <c r="C2751" s="41"/>
      <c r="D2751" s="41"/>
      <c r="E2751" s="41"/>
      <c r="F2751" s="41"/>
      <c r="G2751" s="41"/>
      <c r="H2751" s="41"/>
      <c r="I2751" s="41"/>
      <c r="J2751" s="41"/>
      <c r="K2751" s="41"/>
      <c r="L2751" s="41"/>
      <c r="M2751" s="41"/>
      <c r="N2751" s="41"/>
      <c r="O2751" s="41"/>
    </row>
    <row r="2752" spans="1:15">
      <c r="A2752" s="39"/>
      <c r="B2752" s="40"/>
      <c r="C2752" s="41"/>
      <c r="D2752" s="41"/>
      <c r="E2752" s="41"/>
      <c r="F2752" s="41"/>
      <c r="G2752" s="41"/>
      <c r="H2752" s="41"/>
      <c r="I2752" s="41"/>
      <c r="J2752" s="41"/>
      <c r="K2752" s="41"/>
      <c r="L2752" s="41"/>
      <c r="M2752" s="41"/>
      <c r="N2752" s="41"/>
      <c r="O2752" s="41"/>
    </row>
    <row r="2753" spans="1:15">
      <c r="A2753" s="39"/>
      <c r="B2753" s="40"/>
      <c r="C2753" s="41"/>
      <c r="D2753" s="41"/>
      <c r="E2753" s="41"/>
      <c r="F2753" s="41"/>
      <c r="G2753" s="41"/>
      <c r="H2753" s="41"/>
      <c r="I2753" s="41"/>
      <c r="J2753" s="41"/>
      <c r="K2753" s="41"/>
      <c r="L2753" s="41"/>
      <c r="M2753" s="41"/>
      <c r="N2753" s="41"/>
      <c r="O2753" s="41"/>
    </row>
    <row r="2754" spans="1:15">
      <c r="A2754" s="39"/>
      <c r="B2754" s="40"/>
      <c r="C2754" s="41"/>
      <c r="D2754" s="41"/>
      <c r="E2754" s="41"/>
      <c r="F2754" s="41"/>
      <c r="G2754" s="41"/>
      <c r="H2754" s="41"/>
      <c r="I2754" s="41"/>
      <c r="J2754" s="41"/>
      <c r="K2754" s="41"/>
      <c r="L2754" s="41"/>
      <c r="M2754" s="41"/>
      <c r="N2754" s="41"/>
      <c r="O2754" s="41"/>
    </row>
    <row r="2755" spans="1:15">
      <c r="A2755" s="39"/>
      <c r="B2755" s="40"/>
      <c r="C2755" s="41"/>
      <c r="D2755" s="41"/>
      <c r="E2755" s="41"/>
      <c r="F2755" s="41"/>
      <c r="G2755" s="41"/>
      <c r="H2755" s="41"/>
      <c r="I2755" s="41"/>
      <c r="J2755" s="41"/>
      <c r="K2755" s="41"/>
      <c r="L2755" s="41"/>
      <c r="M2755" s="41"/>
      <c r="N2755" s="41"/>
      <c r="O2755" s="41"/>
    </row>
    <row r="2756" spans="1:15">
      <c r="A2756" s="39"/>
      <c r="B2756" s="40"/>
      <c r="C2756" s="41"/>
      <c r="D2756" s="41"/>
      <c r="E2756" s="41"/>
      <c r="F2756" s="41"/>
      <c r="G2756" s="41"/>
      <c r="H2756" s="41"/>
      <c r="I2756" s="41"/>
      <c r="J2756" s="41"/>
      <c r="K2756" s="41"/>
      <c r="L2756" s="41"/>
      <c r="M2756" s="41"/>
      <c r="N2756" s="41"/>
      <c r="O2756" s="41"/>
    </row>
    <row r="2757" spans="1:15">
      <c r="A2757" s="39"/>
      <c r="B2757" s="40"/>
      <c r="C2757" s="41"/>
      <c r="D2757" s="41"/>
      <c r="E2757" s="41"/>
      <c r="F2757" s="41"/>
      <c r="G2757" s="41"/>
      <c r="H2757" s="41"/>
      <c r="I2757" s="41"/>
      <c r="J2757" s="41"/>
      <c r="K2757" s="41"/>
      <c r="L2757" s="41"/>
      <c r="M2757" s="41"/>
      <c r="N2757" s="41"/>
      <c r="O2757" s="41"/>
    </row>
    <row r="2758" spans="1:15">
      <c r="A2758" s="39"/>
      <c r="B2758" s="40"/>
      <c r="C2758" s="41"/>
      <c r="D2758" s="41"/>
      <c r="E2758" s="41"/>
      <c r="F2758" s="41"/>
      <c r="G2758" s="41"/>
      <c r="H2758" s="41"/>
      <c r="I2758" s="41"/>
      <c r="J2758" s="41"/>
      <c r="K2758" s="41"/>
      <c r="L2758" s="41"/>
      <c r="M2758" s="41"/>
      <c r="N2758" s="41"/>
      <c r="O2758" s="41"/>
    </row>
    <row r="2759" spans="1:15">
      <c r="A2759" s="39"/>
      <c r="B2759" s="40"/>
      <c r="C2759" s="41"/>
      <c r="D2759" s="41"/>
      <c r="E2759" s="41"/>
      <c r="F2759" s="41"/>
      <c r="G2759" s="41"/>
      <c r="H2759" s="41"/>
      <c r="I2759" s="41"/>
      <c r="J2759" s="41"/>
      <c r="K2759" s="41"/>
      <c r="L2759" s="41"/>
      <c r="M2759" s="41"/>
      <c r="N2759" s="41"/>
      <c r="O2759" s="41"/>
    </row>
    <row r="2760" spans="1:15">
      <c r="A2760" s="39"/>
      <c r="B2760" s="40"/>
      <c r="C2760" s="41"/>
      <c r="D2760" s="41"/>
      <c r="E2760" s="41"/>
      <c r="F2760" s="41"/>
      <c r="G2760" s="41"/>
      <c r="H2760" s="41"/>
      <c r="I2760" s="41"/>
      <c r="J2760" s="41"/>
      <c r="K2760" s="41"/>
      <c r="L2760" s="41"/>
      <c r="M2760" s="41"/>
      <c r="N2760" s="41"/>
      <c r="O2760" s="41"/>
    </row>
    <row r="2761" spans="1:15">
      <c r="A2761" s="39"/>
      <c r="B2761" s="40"/>
      <c r="C2761" s="41"/>
      <c r="D2761" s="41"/>
      <c r="E2761" s="41"/>
      <c r="F2761" s="41"/>
      <c r="G2761" s="41"/>
      <c r="H2761" s="41"/>
      <c r="I2761" s="41"/>
      <c r="J2761" s="41"/>
      <c r="K2761" s="41"/>
      <c r="L2761" s="41"/>
      <c r="M2761" s="41"/>
      <c r="N2761" s="41"/>
      <c r="O2761" s="41"/>
    </row>
    <row r="2762" spans="1:15">
      <c r="A2762" s="39"/>
      <c r="B2762" s="40"/>
      <c r="C2762" s="41"/>
      <c r="D2762" s="41"/>
      <c r="E2762" s="41"/>
      <c r="F2762" s="41"/>
      <c r="G2762" s="41"/>
      <c r="H2762" s="41"/>
      <c r="I2762" s="41"/>
      <c r="J2762" s="41"/>
      <c r="K2762" s="41"/>
      <c r="L2762" s="41"/>
      <c r="M2762" s="41"/>
      <c r="N2762" s="41"/>
      <c r="O2762" s="41"/>
    </row>
    <row r="2763" spans="1:15">
      <c r="A2763" s="39"/>
      <c r="B2763" s="40"/>
      <c r="C2763" s="41"/>
      <c r="D2763" s="41"/>
      <c r="E2763" s="41"/>
      <c r="F2763" s="41"/>
      <c r="G2763" s="41"/>
      <c r="H2763" s="41"/>
      <c r="I2763" s="41"/>
      <c r="J2763" s="41"/>
      <c r="K2763" s="41"/>
      <c r="L2763" s="41"/>
      <c r="M2763" s="41"/>
      <c r="N2763" s="41"/>
      <c r="O2763" s="41"/>
    </row>
    <row r="2764" spans="1:15">
      <c r="A2764" s="39"/>
      <c r="B2764" s="40"/>
      <c r="C2764" s="41"/>
      <c r="D2764" s="41"/>
      <c r="E2764" s="41"/>
      <c r="F2764" s="41"/>
      <c r="G2764" s="41"/>
      <c r="H2764" s="41"/>
      <c r="I2764" s="41"/>
      <c r="J2764" s="41"/>
      <c r="K2764" s="41"/>
      <c r="L2764" s="41"/>
      <c r="M2764" s="41"/>
      <c r="N2764" s="41"/>
      <c r="O2764" s="41"/>
    </row>
    <row r="2765" spans="1:15">
      <c r="A2765" s="39"/>
      <c r="B2765" s="40"/>
      <c r="C2765" s="41"/>
      <c r="D2765" s="41"/>
      <c r="E2765" s="41"/>
      <c r="F2765" s="41"/>
      <c r="G2765" s="41"/>
      <c r="H2765" s="41"/>
      <c r="I2765" s="41"/>
      <c r="J2765" s="41"/>
      <c r="K2765" s="41"/>
      <c r="L2765" s="41"/>
      <c r="M2765" s="41"/>
      <c r="N2765" s="41"/>
      <c r="O2765" s="41"/>
    </row>
    <row r="2766" spans="1:15">
      <c r="A2766" s="39"/>
      <c r="B2766" s="40"/>
      <c r="C2766" s="41"/>
      <c r="D2766" s="41"/>
      <c r="E2766" s="41"/>
      <c r="F2766" s="41"/>
      <c r="G2766" s="41"/>
      <c r="H2766" s="41"/>
      <c r="I2766" s="41"/>
      <c r="J2766" s="41"/>
      <c r="K2766" s="41"/>
      <c r="L2766" s="41"/>
      <c r="M2766" s="41"/>
      <c r="N2766" s="41"/>
      <c r="O2766" s="41"/>
    </row>
    <row r="2767" spans="1:15">
      <c r="A2767" s="39"/>
      <c r="B2767" s="40"/>
      <c r="C2767" s="41"/>
      <c r="D2767" s="41"/>
      <c r="E2767" s="41"/>
      <c r="F2767" s="41"/>
      <c r="G2767" s="41"/>
      <c r="H2767" s="41"/>
      <c r="I2767" s="41"/>
      <c r="J2767" s="41"/>
      <c r="K2767" s="41"/>
      <c r="L2767" s="41"/>
      <c r="M2767" s="41"/>
      <c r="N2767" s="41"/>
      <c r="O2767" s="41"/>
    </row>
    <row r="2768" spans="1:15">
      <c r="A2768" s="39"/>
      <c r="B2768" s="40"/>
      <c r="C2768" s="41"/>
      <c r="D2768" s="41"/>
      <c r="E2768" s="41"/>
      <c r="F2768" s="41"/>
      <c r="G2768" s="41"/>
      <c r="H2768" s="41"/>
      <c r="I2768" s="41"/>
      <c r="J2768" s="41"/>
      <c r="K2768" s="41"/>
      <c r="L2768" s="41"/>
      <c r="M2768" s="41"/>
      <c r="N2768" s="41"/>
      <c r="O2768" s="41"/>
    </row>
    <row r="2769" spans="1:15">
      <c r="A2769" s="39"/>
      <c r="B2769" s="40"/>
      <c r="C2769" s="41"/>
      <c r="D2769" s="41"/>
      <c r="E2769" s="41"/>
      <c r="F2769" s="41"/>
      <c r="G2769" s="41"/>
      <c r="H2769" s="41"/>
      <c r="I2769" s="41"/>
      <c r="J2769" s="41"/>
      <c r="K2769" s="41"/>
      <c r="L2769" s="41"/>
      <c r="M2769" s="41"/>
      <c r="N2769" s="41"/>
      <c r="O2769" s="41"/>
    </row>
    <row r="2770" spans="1:15">
      <c r="A2770" s="39"/>
      <c r="B2770" s="40"/>
      <c r="C2770" s="41"/>
      <c r="D2770" s="41"/>
      <c r="E2770" s="41"/>
      <c r="F2770" s="41"/>
      <c r="G2770" s="41"/>
      <c r="H2770" s="41"/>
      <c r="I2770" s="41"/>
      <c r="J2770" s="41"/>
      <c r="K2770" s="41"/>
      <c r="L2770" s="41"/>
      <c r="M2770" s="41"/>
      <c r="N2770" s="41"/>
      <c r="O2770" s="41"/>
    </row>
    <row r="2771" spans="1:15">
      <c r="A2771" s="39"/>
      <c r="B2771" s="40"/>
      <c r="C2771" s="41"/>
      <c r="D2771" s="41"/>
      <c r="E2771" s="41"/>
      <c r="F2771" s="41"/>
      <c r="G2771" s="41"/>
      <c r="H2771" s="41"/>
      <c r="I2771" s="41"/>
      <c r="J2771" s="41"/>
      <c r="K2771" s="41"/>
      <c r="L2771" s="41"/>
      <c r="M2771" s="41"/>
      <c r="N2771" s="41"/>
      <c r="O2771" s="41"/>
    </row>
    <row r="2772" spans="1:15">
      <c r="A2772" s="39"/>
      <c r="B2772" s="40"/>
      <c r="C2772" s="41"/>
      <c r="D2772" s="41"/>
      <c r="E2772" s="41"/>
      <c r="F2772" s="41"/>
      <c r="G2772" s="41"/>
      <c r="H2772" s="41"/>
      <c r="I2772" s="41"/>
      <c r="J2772" s="41"/>
      <c r="K2772" s="41"/>
      <c r="L2772" s="41"/>
      <c r="M2772" s="41"/>
      <c r="N2772" s="41"/>
      <c r="O2772" s="41"/>
    </row>
    <row r="2773" spans="1:15">
      <c r="A2773" s="39"/>
      <c r="B2773" s="40"/>
      <c r="C2773" s="41"/>
      <c r="D2773" s="41"/>
      <c r="E2773" s="41"/>
      <c r="F2773" s="41"/>
      <c r="G2773" s="41"/>
      <c r="H2773" s="41"/>
      <c r="I2773" s="41"/>
      <c r="J2773" s="41"/>
      <c r="K2773" s="41"/>
      <c r="L2773" s="41"/>
      <c r="M2773" s="41"/>
      <c r="N2773" s="41"/>
      <c r="O2773" s="41"/>
    </row>
    <row r="2774" spans="1:15">
      <c r="A2774" s="39"/>
      <c r="B2774" s="40"/>
      <c r="C2774" s="41"/>
      <c r="D2774" s="41"/>
      <c r="E2774" s="41"/>
      <c r="F2774" s="41"/>
      <c r="G2774" s="41"/>
      <c r="H2774" s="41"/>
      <c r="I2774" s="41"/>
      <c r="J2774" s="41"/>
      <c r="K2774" s="41"/>
      <c r="L2774" s="41"/>
      <c r="M2774" s="41"/>
      <c r="N2774" s="41"/>
      <c r="O2774" s="41"/>
    </row>
    <row r="2775" spans="1:15">
      <c r="A2775" s="39"/>
      <c r="B2775" s="40"/>
      <c r="C2775" s="41"/>
      <c r="D2775" s="41"/>
      <c r="E2775" s="41"/>
      <c r="F2775" s="41"/>
      <c r="G2775" s="41"/>
      <c r="H2775" s="41"/>
      <c r="I2775" s="41"/>
      <c r="J2775" s="41"/>
      <c r="K2775" s="41"/>
      <c r="L2775" s="41"/>
      <c r="M2775" s="41"/>
      <c r="N2775" s="41"/>
      <c r="O2775" s="41"/>
    </row>
    <row r="2776" spans="1:15">
      <c r="A2776" s="39"/>
      <c r="B2776" s="40"/>
      <c r="C2776" s="41"/>
      <c r="D2776" s="41"/>
      <c r="E2776" s="41"/>
      <c r="F2776" s="41"/>
      <c r="G2776" s="41"/>
      <c r="H2776" s="41"/>
      <c r="I2776" s="41"/>
      <c r="J2776" s="41"/>
      <c r="K2776" s="41"/>
      <c r="L2776" s="41"/>
      <c r="M2776" s="41"/>
      <c r="N2776" s="41"/>
      <c r="O2776" s="41"/>
    </row>
    <row r="2777" spans="1:15">
      <c r="A2777" s="39"/>
      <c r="B2777" s="40"/>
      <c r="C2777" s="41"/>
      <c r="D2777" s="41"/>
      <c r="E2777" s="41"/>
      <c r="F2777" s="41"/>
      <c r="G2777" s="41"/>
      <c r="H2777" s="41"/>
      <c r="I2777" s="41"/>
      <c r="J2777" s="41"/>
      <c r="K2777" s="41"/>
      <c r="L2777" s="41"/>
      <c r="M2777" s="41"/>
      <c r="N2777" s="41"/>
      <c r="O2777" s="41"/>
    </row>
    <row r="2778" spans="1:15">
      <c r="A2778" s="39"/>
      <c r="B2778" s="40"/>
      <c r="C2778" s="41"/>
      <c r="D2778" s="41"/>
      <c r="E2778" s="41"/>
      <c r="F2778" s="41"/>
      <c r="G2778" s="41"/>
      <c r="H2778" s="41"/>
      <c r="I2778" s="41"/>
      <c r="J2778" s="41"/>
      <c r="K2778" s="41"/>
      <c r="L2778" s="41"/>
      <c r="M2778" s="41"/>
      <c r="N2778" s="41"/>
      <c r="O2778" s="41"/>
    </row>
    <row r="2779" spans="1:15">
      <c r="A2779" s="39"/>
      <c r="B2779" s="40"/>
      <c r="C2779" s="41"/>
      <c r="D2779" s="41"/>
      <c r="E2779" s="41"/>
      <c r="F2779" s="41"/>
      <c r="G2779" s="41"/>
      <c r="H2779" s="41"/>
      <c r="I2779" s="41"/>
      <c r="J2779" s="41"/>
      <c r="K2779" s="41"/>
      <c r="L2779" s="41"/>
      <c r="M2779" s="41"/>
      <c r="N2779" s="41"/>
      <c r="O2779" s="41"/>
    </row>
    <row r="2780" spans="1:15">
      <c r="A2780" s="39"/>
      <c r="B2780" s="40"/>
      <c r="C2780" s="41"/>
      <c r="D2780" s="41"/>
      <c r="E2780" s="41"/>
      <c r="F2780" s="41"/>
      <c r="G2780" s="41"/>
      <c r="H2780" s="41"/>
      <c r="I2780" s="41"/>
      <c r="J2780" s="41"/>
      <c r="K2780" s="41"/>
      <c r="L2780" s="41"/>
      <c r="M2780" s="41"/>
      <c r="N2780" s="41"/>
      <c r="O2780" s="41"/>
    </row>
    <row r="2781" spans="1:15">
      <c r="A2781" s="39"/>
      <c r="B2781" s="40"/>
      <c r="C2781" s="41"/>
      <c r="D2781" s="41"/>
      <c r="E2781" s="41"/>
      <c r="F2781" s="41"/>
      <c r="G2781" s="41"/>
      <c r="H2781" s="41"/>
      <c r="I2781" s="41"/>
      <c r="J2781" s="41"/>
      <c r="K2781" s="41"/>
      <c r="L2781" s="41"/>
      <c r="M2781" s="41"/>
      <c r="N2781" s="41"/>
      <c r="O2781" s="41"/>
    </row>
    <row r="2782" spans="1:15">
      <c r="A2782" s="39"/>
      <c r="B2782" s="40"/>
      <c r="C2782" s="41"/>
      <c r="D2782" s="41"/>
      <c r="E2782" s="41"/>
      <c r="F2782" s="41"/>
      <c r="G2782" s="41"/>
      <c r="H2782" s="41"/>
      <c r="I2782" s="41"/>
      <c r="J2782" s="41"/>
      <c r="K2782" s="41"/>
      <c r="L2782" s="41"/>
      <c r="M2782" s="41"/>
      <c r="N2782" s="41"/>
      <c r="O2782" s="41"/>
    </row>
    <row r="2783" spans="1:15">
      <c r="A2783" s="39"/>
      <c r="B2783" s="40"/>
      <c r="C2783" s="41"/>
      <c r="D2783" s="41"/>
      <c r="E2783" s="41"/>
      <c r="F2783" s="41"/>
      <c r="G2783" s="41"/>
      <c r="H2783" s="41"/>
      <c r="I2783" s="41"/>
      <c r="J2783" s="41"/>
      <c r="K2783" s="41"/>
      <c r="L2783" s="41"/>
      <c r="M2783" s="41"/>
      <c r="N2783" s="41"/>
      <c r="O2783" s="41"/>
    </row>
    <row r="2784" spans="1:15">
      <c r="A2784" s="39"/>
      <c r="B2784" s="40"/>
      <c r="C2784" s="41"/>
      <c r="D2784" s="41"/>
      <c r="E2784" s="41"/>
      <c r="F2784" s="41"/>
      <c r="G2784" s="41"/>
      <c r="H2784" s="41"/>
      <c r="I2784" s="41"/>
      <c r="J2784" s="41"/>
      <c r="K2784" s="41"/>
      <c r="L2784" s="41"/>
      <c r="M2784" s="41"/>
      <c r="N2784" s="41"/>
      <c r="O2784" s="41"/>
    </row>
    <row r="2785" spans="1:15">
      <c r="A2785" s="39"/>
      <c r="B2785" s="40"/>
      <c r="C2785" s="41"/>
      <c r="D2785" s="41"/>
      <c r="E2785" s="41"/>
      <c r="F2785" s="41"/>
      <c r="G2785" s="41"/>
      <c r="H2785" s="41"/>
      <c r="I2785" s="41"/>
      <c r="J2785" s="41"/>
      <c r="K2785" s="41"/>
      <c r="L2785" s="41"/>
      <c r="M2785" s="41"/>
      <c r="N2785" s="41"/>
      <c r="O2785" s="41"/>
    </row>
    <row r="2786" spans="1:15">
      <c r="A2786" s="39"/>
      <c r="B2786" s="40"/>
      <c r="C2786" s="41"/>
      <c r="D2786" s="41"/>
      <c r="E2786" s="41"/>
      <c r="F2786" s="41"/>
      <c r="G2786" s="41"/>
      <c r="H2786" s="41"/>
      <c r="I2786" s="41"/>
      <c r="J2786" s="41"/>
      <c r="K2786" s="41"/>
      <c r="L2786" s="41"/>
      <c r="M2786" s="41"/>
      <c r="N2786" s="41"/>
      <c r="O2786" s="41"/>
    </row>
    <row r="2787" spans="1:15">
      <c r="A2787" s="39"/>
      <c r="B2787" s="40"/>
      <c r="C2787" s="41"/>
      <c r="D2787" s="41"/>
      <c r="E2787" s="41"/>
      <c r="F2787" s="41"/>
      <c r="G2787" s="41"/>
      <c r="H2787" s="41"/>
      <c r="I2787" s="41"/>
      <c r="J2787" s="41"/>
      <c r="K2787" s="41"/>
      <c r="L2787" s="41"/>
      <c r="M2787" s="41"/>
      <c r="N2787" s="41"/>
      <c r="O2787" s="41"/>
    </row>
    <row r="2788" spans="1:15">
      <c r="A2788" s="39"/>
      <c r="B2788" s="40"/>
      <c r="C2788" s="41"/>
      <c r="D2788" s="41"/>
      <c r="E2788" s="41"/>
      <c r="F2788" s="41"/>
      <c r="G2788" s="41"/>
      <c r="H2788" s="41"/>
      <c r="I2788" s="41"/>
      <c r="J2788" s="41"/>
      <c r="K2788" s="41"/>
      <c r="L2788" s="41"/>
      <c r="M2788" s="41"/>
      <c r="N2788" s="41"/>
      <c r="O2788" s="41"/>
    </row>
    <row r="2789" spans="1:15">
      <c r="A2789" s="39"/>
      <c r="B2789" s="40"/>
      <c r="C2789" s="41"/>
      <c r="D2789" s="41"/>
      <c r="E2789" s="41"/>
      <c r="F2789" s="41"/>
      <c r="G2789" s="41"/>
      <c r="H2789" s="41"/>
      <c r="I2789" s="41"/>
      <c r="J2789" s="41"/>
      <c r="K2789" s="41"/>
      <c r="L2789" s="41"/>
      <c r="M2789" s="41"/>
      <c r="N2789" s="41"/>
      <c r="O2789" s="41"/>
    </row>
    <row r="2790" spans="1:15">
      <c r="A2790" s="39"/>
      <c r="B2790" s="40"/>
      <c r="C2790" s="41"/>
      <c r="D2790" s="41"/>
      <c r="E2790" s="41"/>
      <c r="F2790" s="41"/>
      <c r="G2790" s="41"/>
      <c r="H2790" s="41"/>
      <c r="I2790" s="41"/>
      <c r="J2790" s="41"/>
      <c r="K2790" s="41"/>
      <c r="L2790" s="41"/>
      <c r="M2790" s="41"/>
      <c r="N2790" s="41"/>
      <c r="O2790" s="41"/>
    </row>
    <row r="2791" spans="1:15">
      <c r="A2791" s="39"/>
      <c r="B2791" s="40"/>
      <c r="C2791" s="41"/>
      <c r="D2791" s="41"/>
      <c r="E2791" s="41"/>
      <c r="F2791" s="41"/>
      <c r="G2791" s="41"/>
      <c r="H2791" s="41"/>
      <c r="I2791" s="41"/>
      <c r="J2791" s="41"/>
      <c r="K2791" s="41"/>
      <c r="L2791" s="41"/>
      <c r="M2791" s="41"/>
      <c r="N2791" s="41"/>
      <c r="O2791" s="41"/>
    </row>
    <row r="2792" spans="1:15">
      <c r="A2792" s="39"/>
      <c r="B2792" s="40"/>
      <c r="C2792" s="41"/>
      <c r="D2792" s="41"/>
      <c r="E2792" s="41"/>
      <c r="F2792" s="41"/>
      <c r="G2792" s="41"/>
      <c r="H2792" s="41"/>
      <c r="I2792" s="41"/>
      <c r="J2792" s="41"/>
      <c r="K2792" s="41"/>
      <c r="L2792" s="41"/>
      <c r="M2792" s="41"/>
      <c r="N2792" s="41"/>
      <c r="O2792" s="41"/>
    </row>
    <row r="2793" spans="1:15">
      <c r="A2793" s="39"/>
      <c r="B2793" s="40"/>
      <c r="C2793" s="41"/>
      <c r="D2793" s="41"/>
      <c r="E2793" s="41"/>
      <c r="F2793" s="41"/>
      <c r="G2793" s="41"/>
      <c r="H2793" s="41"/>
      <c r="I2793" s="41"/>
      <c r="J2793" s="41"/>
      <c r="K2793" s="41"/>
      <c r="L2793" s="41"/>
      <c r="M2793" s="41"/>
      <c r="N2793" s="41"/>
      <c r="O2793" s="41"/>
    </row>
    <row r="2794" spans="1:15">
      <c r="A2794" s="39"/>
      <c r="B2794" s="40"/>
      <c r="C2794" s="41"/>
      <c r="D2794" s="41"/>
      <c r="E2794" s="41"/>
      <c r="F2794" s="41"/>
      <c r="G2794" s="41"/>
      <c r="H2794" s="41"/>
      <c r="I2794" s="41"/>
      <c r="J2794" s="41"/>
      <c r="K2794" s="41"/>
      <c r="L2794" s="41"/>
      <c r="M2794" s="41"/>
      <c r="N2794" s="41"/>
      <c r="O2794" s="41"/>
    </row>
    <row r="2795" spans="1:15">
      <c r="A2795" s="39"/>
      <c r="B2795" s="40"/>
      <c r="C2795" s="41"/>
      <c r="D2795" s="41"/>
      <c r="E2795" s="41"/>
      <c r="F2795" s="41"/>
      <c r="G2795" s="41"/>
      <c r="H2795" s="41"/>
      <c r="I2795" s="41"/>
      <c r="J2795" s="41"/>
      <c r="K2795" s="41"/>
      <c r="L2795" s="41"/>
      <c r="M2795" s="41"/>
      <c r="N2795" s="41"/>
      <c r="O2795" s="41"/>
    </row>
    <row r="2796" spans="1:15">
      <c r="A2796" s="39"/>
      <c r="B2796" s="40"/>
      <c r="C2796" s="41"/>
      <c r="D2796" s="41"/>
      <c r="E2796" s="41"/>
      <c r="F2796" s="41"/>
      <c r="G2796" s="41"/>
      <c r="H2796" s="41"/>
      <c r="I2796" s="41"/>
      <c r="J2796" s="41"/>
      <c r="K2796" s="41"/>
      <c r="L2796" s="41"/>
      <c r="M2796" s="41"/>
      <c r="N2796" s="41"/>
      <c r="O2796" s="41"/>
    </row>
    <row r="2797" spans="1:15">
      <c r="A2797" s="39"/>
      <c r="B2797" s="40"/>
      <c r="C2797" s="41"/>
      <c r="D2797" s="41"/>
      <c r="E2797" s="41"/>
      <c r="F2797" s="41"/>
      <c r="G2797" s="41"/>
      <c r="H2797" s="41"/>
      <c r="I2797" s="41"/>
      <c r="J2797" s="41"/>
      <c r="K2797" s="41"/>
      <c r="L2797" s="41"/>
      <c r="M2797" s="41"/>
      <c r="N2797" s="41"/>
      <c r="O2797" s="41"/>
    </row>
    <row r="2798" spans="1:15">
      <c r="A2798" s="39"/>
      <c r="B2798" s="40"/>
      <c r="C2798" s="41"/>
      <c r="D2798" s="41"/>
      <c r="E2798" s="41"/>
      <c r="F2798" s="41"/>
      <c r="G2798" s="41"/>
      <c r="H2798" s="41"/>
      <c r="I2798" s="41"/>
      <c r="J2798" s="41"/>
      <c r="K2798" s="41"/>
      <c r="L2798" s="41"/>
      <c r="M2798" s="41"/>
      <c r="N2798" s="41"/>
      <c r="O2798" s="41"/>
    </row>
    <row r="2799" spans="1:15">
      <c r="A2799" s="39"/>
      <c r="B2799" s="40"/>
      <c r="C2799" s="41"/>
      <c r="D2799" s="41"/>
      <c r="E2799" s="41"/>
      <c r="F2799" s="41"/>
      <c r="G2799" s="41"/>
      <c r="H2799" s="41"/>
      <c r="I2799" s="41"/>
      <c r="J2799" s="41"/>
      <c r="K2799" s="41"/>
      <c r="L2799" s="41"/>
      <c r="M2799" s="41"/>
      <c r="N2799" s="41"/>
      <c r="O2799" s="41"/>
    </row>
    <row r="2800" spans="1:15">
      <c r="A2800" s="39"/>
      <c r="B2800" s="40"/>
      <c r="C2800" s="41"/>
      <c r="D2800" s="41"/>
      <c r="E2800" s="41"/>
      <c r="F2800" s="41"/>
      <c r="G2800" s="41"/>
      <c r="H2800" s="41"/>
      <c r="I2800" s="41"/>
      <c r="J2800" s="41"/>
      <c r="K2800" s="41"/>
      <c r="L2800" s="41"/>
      <c r="M2800" s="41"/>
      <c r="N2800" s="41"/>
      <c r="O2800" s="41"/>
    </row>
    <row r="2801" spans="1:15">
      <c r="A2801" s="39"/>
      <c r="B2801" s="40"/>
      <c r="C2801" s="41"/>
      <c r="D2801" s="41"/>
      <c r="E2801" s="41"/>
      <c r="F2801" s="41"/>
      <c r="G2801" s="41"/>
      <c r="H2801" s="41"/>
      <c r="I2801" s="41"/>
      <c r="J2801" s="41"/>
      <c r="K2801" s="41"/>
      <c r="L2801" s="41"/>
      <c r="M2801" s="41"/>
      <c r="N2801" s="41"/>
      <c r="O2801" s="41"/>
    </row>
    <row r="2802" spans="1:15">
      <c r="A2802" s="39"/>
      <c r="B2802" s="40"/>
      <c r="C2802" s="41"/>
      <c r="D2802" s="41"/>
      <c r="E2802" s="41"/>
      <c r="F2802" s="41"/>
      <c r="G2802" s="41"/>
      <c r="H2802" s="41"/>
      <c r="I2802" s="41"/>
      <c r="J2802" s="41"/>
      <c r="K2802" s="41"/>
      <c r="L2802" s="41"/>
      <c r="M2802" s="41"/>
      <c r="N2802" s="41"/>
      <c r="O2802" s="41"/>
    </row>
    <row r="2803" spans="1:15">
      <c r="A2803" s="39"/>
      <c r="B2803" s="40"/>
      <c r="C2803" s="41"/>
      <c r="D2803" s="41"/>
      <c r="E2803" s="41"/>
      <c r="F2803" s="41"/>
      <c r="G2803" s="41"/>
      <c r="H2803" s="41"/>
      <c r="I2803" s="41"/>
      <c r="J2803" s="41"/>
      <c r="K2803" s="41"/>
      <c r="L2803" s="41"/>
      <c r="M2803" s="41"/>
      <c r="N2803" s="41"/>
      <c r="O2803" s="41"/>
    </row>
    <row r="2804" spans="1:15">
      <c r="A2804" s="39"/>
      <c r="B2804" s="40"/>
      <c r="C2804" s="41"/>
      <c r="D2804" s="41"/>
      <c r="E2804" s="41"/>
      <c r="F2804" s="41"/>
      <c r="G2804" s="41"/>
      <c r="H2804" s="41"/>
      <c r="I2804" s="41"/>
      <c r="J2804" s="41"/>
      <c r="K2804" s="41"/>
      <c r="L2804" s="41"/>
      <c r="M2804" s="41"/>
      <c r="N2804" s="41"/>
      <c r="O2804" s="41"/>
    </row>
    <row r="2805" spans="1:15">
      <c r="A2805" s="39"/>
      <c r="B2805" s="40"/>
      <c r="C2805" s="41"/>
      <c r="D2805" s="41"/>
      <c r="E2805" s="41"/>
      <c r="F2805" s="41"/>
      <c r="G2805" s="41"/>
      <c r="H2805" s="41"/>
      <c r="I2805" s="41"/>
      <c r="J2805" s="41"/>
      <c r="K2805" s="41"/>
      <c r="L2805" s="41"/>
      <c r="M2805" s="41"/>
      <c r="N2805" s="41"/>
      <c r="O2805" s="41"/>
    </row>
    <row r="2806" spans="1:15">
      <c r="A2806" s="39"/>
      <c r="B2806" s="40"/>
      <c r="C2806" s="41"/>
      <c r="D2806" s="41"/>
      <c r="E2806" s="41"/>
      <c r="F2806" s="41"/>
      <c r="G2806" s="41"/>
      <c r="H2806" s="41"/>
      <c r="I2806" s="41"/>
      <c r="J2806" s="41"/>
      <c r="K2806" s="41"/>
      <c r="L2806" s="41"/>
      <c r="M2806" s="41"/>
      <c r="N2806" s="41"/>
      <c r="O2806" s="41"/>
    </row>
    <row r="2807" spans="1:15">
      <c r="A2807" s="39"/>
      <c r="B2807" s="40"/>
      <c r="C2807" s="41"/>
      <c r="D2807" s="41"/>
      <c r="E2807" s="41"/>
      <c r="F2807" s="41"/>
      <c r="G2807" s="41"/>
      <c r="H2807" s="41"/>
      <c r="I2807" s="41"/>
      <c r="J2807" s="41"/>
      <c r="K2807" s="41"/>
      <c r="L2807" s="41"/>
      <c r="M2807" s="41"/>
      <c r="N2807" s="41"/>
      <c r="O2807" s="41"/>
    </row>
    <row r="2808" spans="1:15">
      <c r="A2808" s="39"/>
      <c r="B2808" s="40"/>
      <c r="C2808" s="41"/>
      <c r="D2808" s="41"/>
      <c r="E2808" s="41"/>
      <c r="F2808" s="41"/>
      <c r="G2808" s="41"/>
      <c r="H2808" s="41"/>
      <c r="I2808" s="41"/>
      <c r="J2808" s="41"/>
      <c r="K2808" s="41"/>
      <c r="L2808" s="41"/>
      <c r="M2808" s="41"/>
      <c r="N2808" s="41"/>
      <c r="O2808" s="41"/>
    </row>
    <row r="2809" spans="1:15">
      <c r="A2809" s="39"/>
      <c r="B2809" s="40"/>
      <c r="C2809" s="41"/>
      <c r="D2809" s="41"/>
      <c r="E2809" s="41"/>
      <c r="F2809" s="41"/>
      <c r="G2809" s="41"/>
      <c r="H2809" s="41"/>
      <c r="I2809" s="41"/>
      <c r="J2809" s="41"/>
      <c r="K2809" s="41"/>
      <c r="L2809" s="41"/>
      <c r="M2809" s="41"/>
      <c r="N2809" s="41"/>
      <c r="O2809" s="41"/>
    </row>
    <row r="2810" spans="1:15">
      <c r="A2810" s="39"/>
      <c r="B2810" s="40"/>
      <c r="C2810" s="41"/>
      <c r="D2810" s="41"/>
      <c r="E2810" s="41"/>
      <c r="F2810" s="41"/>
      <c r="G2810" s="41"/>
      <c r="H2810" s="41"/>
      <c r="I2810" s="41"/>
      <c r="J2810" s="41"/>
      <c r="K2810" s="41"/>
      <c r="L2810" s="41"/>
      <c r="M2810" s="41"/>
      <c r="N2810" s="41"/>
      <c r="O2810" s="41"/>
    </row>
    <row r="2811" spans="1:15">
      <c r="A2811" s="39"/>
      <c r="B2811" s="40"/>
      <c r="C2811" s="41"/>
      <c r="D2811" s="41"/>
      <c r="E2811" s="41"/>
      <c r="F2811" s="41"/>
      <c r="G2811" s="41"/>
      <c r="H2811" s="41"/>
      <c r="I2811" s="41"/>
      <c r="J2811" s="41"/>
      <c r="K2811" s="41"/>
      <c r="L2811" s="41"/>
      <c r="M2811" s="41"/>
      <c r="N2811" s="41"/>
      <c r="O2811" s="41"/>
    </row>
    <row r="2812" spans="1:15">
      <c r="A2812" s="39"/>
      <c r="B2812" s="40"/>
      <c r="C2812" s="41"/>
      <c r="D2812" s="41"/>
      <c r="E2812" s="41"/>
      <c r="F2812" s="41"/>
      <c r="G2812" s="41"/>
      <c r="H2812" s="41"/>
      <c r="I2812" s="41"/>
      <c r="J2812" s="41"/>
      <c r="K2812" s="41"/>
      <c r="L2812" s="41"/>
      <c r="M2812" s="41"/>
      <c r="N2812" s="41"/>
      <c r="O2812" s="41"/>
    </row>
    <row r="2813" spans="1:15">
      <c r="A2813" s="39"/>
      <c r="B2813" s="40"/>
      <c r="C2813" s="41"/>
      <c r="D2813" s="41"/>
      <c r="E2813" s="41"/>
      <c r="F2813" s="41"/>
      <c r="G2813" s="41"/>
      <c r="H2813" s="41"/>
      <c r="I2813" s="41"/>
      <c r="J2813" s="41"/>
      <c r="K2813" s="41"/>
      <c r="L2813" s="41"/>
      <c r="M2813" s="41"/>
      <c r="N2813" s="41"/>
      <c r="O2813" s="41"/>
    </row>
    <row r="2814" spans="1:15">
      <c r="A2814" s="39"/>
      <c r="B2814" s="40"/>
      <c r="C2814" s="41"/>
      <c r="D2814" s="41"/>
      <c r="E2814" s="41"/>
      <c r="F2814" s="41"/>
      <c r="G2814" s="41"/>
      <c r="H2814" s="41"/>
      <c r="I2814" s="41"/>
      <c r="J2814" s="41"/>
      <c r="K2814" s="41"/>
      <c r="L2814" s="41"/>
      <c r="M2814" s="41"/>
      <c r="N2814" s="41"/>
      <c r="O2814" s="41"/>
    </row>
    <row r="2815" spans="1:15">
      <c r="A2815" s="39"/>
      <c r="B2815" s="40"/>
      <c r="C2815" s="41"/>
      <c r="D2815" s="41"/>
      <c r="E2815" s="41"/>
      <c r="F2815" s="41"/>
      <c r="G2815" s="41"/>
      <c r="H2815" s="41"/>
      <c r="I2815" s="41"/>
      <c r="J2815" s="41"/>
      <c r="K2815" s="41"/>
      <c r="L2815" s="41"/>
      <c r="M2815" s="41"/>
      <c r="N2815" s="41"/>
      <c r="O2815" s="41"/>
    </row>
    <row r="2816" spans="1:15">
      <c r="A2816" s="39"/>
      <c r="B2816" s="40"/>
      <c r="C2816" s="41"/>
      <c r="D2816" s="41"/>
      <c r="E2816" s="41"/>
      <c r="F2816" s="41"/>
      <c r="G2816" s="41"/>
      <c r="H2816" s="41"/>
      <c r="I2816" s="41"/>
      <c r="J2816" s="41"/>
      <c r="K2816" s="41"/>
      <c r="L2816" s="41"/>
      <c r="M2816" s="41"/>
      <c r="N2816" s="41"/>
      <c r="O2816" s="41"/>
    </row>
    <row r="2817" spans="1:15">
      <c r="A2817" s="39"/>
      <c r="B2817" s="40"/>
      <c r="C2817" s="41"/>
      <c r="D2817" s="41"/>
      <c r="E2817" s="41"/>
      <c r="F2817" s="41"/>
      <c r="G2817" s="41"/>
      <c r="H2817" s="41"/>
      <c r="I2817" s="41"/>
      <c r="J2817" s="41"/>
      <c r="K2817" s="41"/>
      <c r="L2817" s="41"/>
      <c r="M2817" s="41"/>
      <c r="N2817" s="41"/>
      <c r="O2817" s="41"/>
    </row>
    <row r="2818" spans="1:15">
      <c r="A2818" s="39"/>
      <c r="B2818" s="40"/>
      <c r="C2818" s="41"/>
      <c r="D2818" s="41"/>
      <c r="E2818" s="41"/>
      <c r="F2818" s="41"/>
      <c r="G2818" s="41"/>
      <c r="H2818" s="41"/>
      <c r="I2818" s="41"/>
      <c r="J2818" s="41"/>
      <c r="K2818" s="41"/>
      <c r="L2818" s="41"/>
      <c r="M2818" s="41"/>
      <c r="N2818" s="41"/>
      <c r="O2818" s="41"/>
    </row>
    <row r="2819" spans="1:15">
      <c r="A2819" s="39"/>
      <c r="B2819" s="40"/>
      <c r="C2819" s="41"/>
      <c r="D2819" s="41"/>
      <c r="E2819" s="41"/>
      <c r="F2819" s="41"/>
      <c r="G2819" s="41"/>
      <c r="H2819" s="41"/>
      <c r="I2819" s="41"/>
      <c r="J2819" s="41"/>
      <c r="K2819" s="41"/>
      <c r="L2819" s="41"/>
      <c r="M2819" s="41"/>
      <c r="N2819" s="41"/>
      <c r="O2819" s="41"/>
    </row>
    <row r="2820" spans="1:15">
      <c r="A2820" s="39"/>
      <c r="B2820" s="40"/>
      <c r="C2820" s="41"/>
      <c r="D2820" s="41"/>
      <c r="E2820" s="41"/>
      <c r="F2820" s="41"/>
      <c r="G2820" s="41"/>
      <c r="H2820" s="41"/>
      <c r="I2820" s="41"/>
      <c r="J2820" s="41"/>
      <c r="K2820" s="41"/>
      <c r="L2820" s="41"/>
      <c r="M2820" s="41"/>
      <c r="N2820" s="41"/>
      <c r="O2820" s="41"/>
    </row>
    <row r="2821" spans="1:15">
      <c r="A2821" s="39"/>
      <c r="B2821" s="40"/>
      <c r="C2821" s="41"/>
      <c r="D2821" s="41"/>
      <c r="E2821" s="41"/>
      <c r="F2821" s="41"/>
      <c r="G2821" s="41"/>
      <c r="H2821" s="41"/>
      <c r="I2821" s="41"/>
      <c r="J2821" s="41"/>
      <c r="K2821" s="41"/>
      <c r="L2821" s="41"/>
      <c r="M2821" s="41"/>
      <c r="N2821" s="41"/>
      <c r="O2821" s="41"/>
    </row>
    <row r="2822" spans="1:15">
      <c r="A2822" s="39"/>
      <c r="B2822" s="40"/>
      <c r="C2822" s="41"/>
      <c r="D2822" s="41"/>
      <c r="E2822" s="41"/>
      <c r="F2822" s="41"/>
      <c r="G2822" s="41"/>
      <c r="H2822" s="41"/>
      <c r="I2822" s="41"/>
      <c r="J2822" s="41"/>
      <c r="K2822" s="41"/>
      <c r="L2822" s="41"/>
      <c r="M2822" s="41"/>
      <c r="N2822" s="41"/>
      <c r="O2822" s="41"/>
    </row>
    <row r="2823" spans="1:15">
      <c r="A2823" s="39"/>
      <c r="B2823" s="40"/>
      <c r="C2823" s="41"/>
      <c r="D2823" s="41"/>
      <c r="E2823" s="41"/>
      <c r="F2823" s="41"/>
      <c r="G2823" s="41"/>
      <c r="H2823" s="41"/>
      <c r="I2823" s="41"/>
      <c r="J2823" s="41"/>
      <c r="K2823" s="41"/>
      <c r="L2823" s="41"/>
      <c r="M2823" s="41"/>
      <c r="N2823" s="41"/>
      <c r="O2823" s="41"/>
    </row>
    <row r="2824" spans="1:15">
      <c r="A2824" s="39"/>
      <c r="B2824" s="40"/>
      <c r="C2824" s="41"/>
      <c r="D2824" s="41"/>
      <c r="E2824" s="41"/>
      <c r="F2824" s="41"/>
      <c r="G2824" s="41"/>
      <c r="H2824" s="41"/>
      <c r="I2824" s="41"/>
      <c r="J2824" s="41"/>
      <c r="K2824" s="41"/>
      <c r="L2824" s="41"/>
      <c r="M2824" s="41"/>
      <c r="N2824" s="41"/>
      <c r="O2824" s="41"/>
    </row>
    <row r="2825" spans="1:15">
      <c r="A2825" s="39"/>
      <c r="B2825" s="40"/>
      <c r="C2825" s="41"/>
      <c r="D2825" s="41"/>
      <c r="E2825" s="41"/>
      <c r="F2825" s="41"/>
      <c r="G2825" s="41"/>
      <c r="H2825" s="41"/>
      <c r="I2825" s="41"/>
      <c r="J2825" s="41"/>
      <c r="K2825" s="41"/>
      <c r="L2825" s="41"/>
      <c r="M2825" s="41"/>
      <c r="N2825" s="41"/>
      <c r="O2825" s="41"/>
    </row>
    <row r="2826" spans="1:15">
      <c r="A2826" s="39"/>
      <c r="B2826" s="40"/>
      <c r="C2826" s="41"/>
      <c r="D2826" s="41"/>
      <c r="E2826" s="41"/>
      <c r="F2826" s="41"/>
      <c r="G2826" s="41"/>
      <c r="H2826" s="41"/>
      <c r="I2826" s="41"/>
      <c r="J2826" s="41"/>
      <c r="K2826" s="41"/>
      <c r="L2826" s="41"/>
      <c r="M2826" s="41"/>
      <c r="N2826" s="41"/>
      <c r="O2826" s="41"/>
    </row>
    <row r="2827" spans="1:15">
      <c r="A2827" s="39"/>
      <c r="B2827" s="40"/>
      <c r="C2827" s="41"/>
      <c r="D2827" s="41"/>
      <c r="E2827" s="41"/>
      <c r="F2827" s="41"/>
      <c r="G2827" s="41"/>
      <c r="H2827" s="41"/>
      <c r="I2827" s="41"/>
      <c r="J2827" s="41"/>
      <c r="K2827" s="41"/>
      <c r="L2827" s="41"/>
      <c r="M2827" s="41"/>
      <c r="N2827" s="41"/>
      <c r="O2827" s="41"/>
    </row>
    <row r="2828" spans="1:15">
      <c r="A2828" s="39"/>
      <c r="B2828" s="40"/>
      <c r="C2828" s="41"/>
      <c r="D2828" s="41"/>
      <c r="E2828" s="41"/>
      <c r="F2828" s="41"/>
      <c r="G2828" s="41"/>
      <c r="H2828" s="41"/>
      <c r="I2828" s="41"/>
      <c r="J2828" s="41"/>
      <c r="K2828" s="41"/>
      <c r="L2828" s="41"/>
      <c r="M2828" s="41"/>
      <c r="N2828" s="41"/>
      <c r="O2828" s="41"/>
    </row>
    <row r="2829" spans="1:15">
      <c r="A2829" s="39"/>
      <c r="B2829" s="40"/>
      <c r="C2829" s="41"/>
      <c r="D2829" s="41"/>
      <c r="E2829" s="41"/>
      <c r="F2829" s="41"/>
      <c r="G2829" s="41"/>
      <c r="H2829" s="41"/>
      <c r="I2829" s="41"/>
      <c r="J2829" s="41"/>
      <c r="K2829" s="41"/>
      <c r="L2829" s="41"/>
      <c r="M2829" s="41"/>
      <c r="N2829" s="41"/>
      <c r="O2829" s="41"/>
    </row>
    <row r="2830" spans="1:15">
      <c r="A2830" s="39"/>
      <c r="B2830" s="40"/>
      <c r="C2830" s="41"/>
      <c r="D2830" s="41"/>
      <c r="E2830" s="41"/>
      <c r="F2830" s="41"/>
      <c r="G2830" s="41"/>
      <c r="H2830" s="41"/>
      <c r="I2830" s="41"/>
      <c r="J2830" s="41"/>
      <c r="K2830" s="41"/>
      <c r="L2830" s="41"/>
      <c r="M2830" s="41"/>
      <c r="N2830" s="41"/>
      <c r="O2830" s="41"/>
    </row>
    <row r="2831" spans="1:15">
      <c r="A2831" s="39"/>
      <c r="B2831" s="40"/>
      <c r="C2831" s="41"/>
      <c r="D2831" s="41"/>
      <c r="E2831" s="41"/>
      <c r="F2831" s="41"/>
      <c r="G2831" s="41"/>
      <c r="H2831" s="41"/>
      <c r="I2831" s="41"/>
      <c r="J2831" s="41"/>
      <c r="K2831" s="41"/>
      <c r="L2831" s="41"/>
      <c r="M2831" s="41"/>
      <c r="N2831" s="41"/>
      <c r="O2831" s="41"/>
    </row>
    <row r="2832" spans="1:15">
      <c r="A2832" s="39"/>
      <c r="B2832" s="40"/>
      <c r="C2832" s="41"/>
      <c r="D2832" s="41"/>
      <c r="E2832" s="41"/>
      <c r="F2832" s="41"/>
      <c r="G2832" s="41"/>
      <c r="H2832" s="41"/>
      <c r="I2832" s="41"/>
      <c r="J2832" s="41"/>
      <c r="K2832" s="41"/>
      <c r="L2832" s="41"/>
      <c r="M2832" s="41"/>
      <c r="N2832" s="41"/>
      <c r="O2832" s="41"/>
    </row>
    <row r="2833" spans="1:15">
      <c r="A2833" s="39"/>
      <c r="B2833" s="40"/>
      <c r="C2833" s="41"/>
      <c r="D2833" s="41"/>
      <c r="E2833" s="41"/>
      <c r="F2833" s="41"/>
      <c r="G2833" s="41"/>
      <c r="H2833" s="41"/>
      <c r="I2833" s="41"/>
      <c r="J2833" s="41"/>
      <c r="K2833" s="41"/>
      <c r="L2833" s="41"/>
      <c r="M2833" s="41"/>
      <c r="N2833" s="41"/>
      <c r="O2833" s="41"/>
    </row>
    <row r="2834" spans="1:15">
      <c r="A2834" s="39"/>
      <c r="B2834" s="40"/>
      <c r="C2834" s="41"/>
      <c r="D2834" s="41"/>
      <c r="E2834" s="41"/>
      <c r="F2834" s="41"/>
      <c r="G2834" s="41"/>
      <c r="H2834" s="41"/>
      <c r="I2834" s="41"/>
      <c r="J2834" s="41"/>
      <c r="K2834" s="41"/>
      <c r="L2834" s="41"/>
      <c r="M2834" s="41"/>
      <c r="N2834" s="41"/>
      <c r="O2834" s="41"/>
    </row>
    <row r="2835" spans="1:15">
      <c r="A2835" s="39"/>
      <c r="B2835" s="40"/>
      <c r="C2835" s="41"/>
      <c r="D2835" s="41"/>
      <c r="E2835" s="41"/>
      <c r="F2835" s="41"/>
      <c r="G2835" s="41"/>
      <c r="H2835" s="41"/>
      <c r="I2835" s="41"/>
      <c r="J2835" s="41"/>
      <c r="K2835" s="41"/>
      <c r="L2835" s="41"/>
      <c r="M2835" s="41"/>
      <c r="N2835" s="41"/>
      <c r="O2835" s="41"/>
    </row>
    <row r="2836" spans="1:15">
      <c r="A2836" s="39"/>
      <c r="B2836" s="40"/>
      <c r="C2836" s="41"/>
      <c r="D2836" s="41"/>
      <c r="E2836" s="41"/>
      <c r="F2836" s="41"/>
      <c r="G2836" s="41"/>
      <c r="H2836" s="41"/>
      <c r="I2836" s="41"/>
      <c r="J2836" s="41"/>
      <c r="K2836" s="41"/>
      <c r="L2836" s="41"/>
      <c r="M2836" s="41"/>
      <c r="N2836" s="41"/>
      <c r="O2836" s="41"/>
    </row>
    <row r="2837" spans="1:15">
      <c r="A2837" s="39"/>
      <c r="B2837" s="40"/>
      <c r="C2837" s="41"/>
      <c r="D2837" s="41"/>
      <c r="E2837" s="41"/>
      <c r="F2837" s="41"/>
      <c r="G2837" s="41"/>
      <c r="H2837" s="41"/>
      <c r="I2837" s="41"/>
      <c r="J2837" s="41"/>
      <c r="K2837" s="41"/>
      <c r="L2837" s="41"/>
      <c r="M2837" s="41"/>
      <c r="N2837" s="41"/>
      <c r="O2837" s="41"/>
    </row>
    <row r="2838" spans="1:15">
      <c r="A2838" s="39"/>
      <c r="B2838" s="40"/>
      <c r="C2838" s="41"/>
      <c r="D2838" s="41"/>
      <c r="E2838" s="41"/>
      <c r="F2838" s="41"/>
      <c r="G2838" s="41"/>
      <c r="H2838" s="41"/>
      <c r="I2838" s="41"/>
      <c r="J2838" s="41"/>
      <c r="K2838" s="41"/>
      <c r="L2838" s="41"/>
      <c r="M2838" s="41"/>
      <c r="N2838" s="41"/>
      <c r="O2838" s="41"/>
    </row>
    <row r="2839" spans="1:15">
      <c r="A2839" s="39"/>
      <c r="B2839" s="40"/>
      <c r="C2839" s="41"/>
      <c r="D2839" s="41"/>
      <c r="E2839" s="41"/>
      <c r="F2839" s="41"/>
      <c r="G2839" s="41"/>
      <c r="H2839" s="41"/>
      <c r="I2839" s="41"/>
      <c r="J2839" s="41"/>
      <c r="K2839" s="41"/>
      <c r="L2839" s="41"/>
      <c r="M2839" s="41"/>
      <c r="N2839" s="41"/>
      <c r="O2839" s="41"/>
    </row>
    <row r="2840" spans="1:15">
      <c r="A2840" s="39"/>
      <c r="B2840" s="40"/>
      <c r="C2840" s="41"/>
      <c r="D2840" s="41"/>
      <c r="E2840" s="41"/>
      <c r="F2840" s="41"/>
      <c r="G2840" s="41"/>
      <c r="H2840" s="41"/>
      <c r="I2840" s="41"/>
      <c r="J2840" s="41"/>
      <c r="K2840" s="41"/>
      <c r="L2840" s="41"/>
      <c r="M2840" s="41"/>
      <c r="N2840" s="41"/>
      <c r="O2840" s="41"/>
    </row>
    <row r="2841" spans="1:15">
      <c r="A2841" s="39"/>
      <c r="B2841" s="40"/>
      <c r="C2841" s="41"/>
      <c r="D2841" s="41"/>
      <c r="E2841" s="41"/>
      <c r="F2841" s="41"/>
      <c r="G2841" s="41"/>
      <c r="H2841" s="41"/>
      <c r="I2841" s="41"/>
      <c r="J2841" s="41"/>
      <c r="K2841" s="41"/>
      <c r="L2841" s="41"/>
      <c r="M2841" s="41"/>
      <c r="N2841" s="41"/>
      <c r="O2841" s="41"/>
    </row>
    <row r="2842" spans="1:15">
      <c r="A2842" s="39"/>
      <c r="B2842" s="40"/>
      <c r="C2842" s="41"/>
      <c r="D2842" s="41"/>
      <c r="E2842" s="41"/>
      <c r="F2842" s="41"/>
      <c r="G2842" s="41"/>
      <c r="H2842" s="41"/>
      <c r="I2842" s="41"/>
      <c r="J2842" s="41"/>
      <c r="K2842" s="41"/>
      <c r="L2842" s="41"/>
      <c r="M2842" s="41"/>
      <c r="N2842" s="41"/>
      <c r="O2842" s="41"/>
    </row>
    <row r="2843" spans="1:15">
      <c r="A2843" s="39"/>
      <c r="B2843" s="40"/>
      <c r="C2843" s="41"/>
      <c r="D2843" s="41"/>
      <c r="E2843" s="41"/>
      <c r="F2843" s="41"/>
      <c r="G2843" s="41"/>
      <c r="H2843" s="41"/>
      <c r="I2843" s="41"/>
      <c r="J2843" s="41"/>
      <c r="K2843" s="41"/>
      <c r="L2843" s="41"/>
      <c r="M2843" s="41"/>
      <c r="N2843" s="41"/>
      <c r="O2843" s="41"/>
    </row>
    <row r="2844" spans="1:15">
      <c r="A2844" s="39"/>
      <c r="B2844" s="40"/>
      <c r="C2844" s="41"/>
      <c r="D2844" s="41"/>
      <c r="E2844" s="41"/>
      <c r="F2844" s="41"/>
      <c r="G2844" s="41"/>
      <c r="H2844" s="41"/>
      <c r="I2844" s="41"/>
      <c r="J2844" s="41"/>
      <c r="K2844" s="41"/>
      <c r="L2844" s="41"/>
      <c r="M2844" s="41"/>
      <c r="N2844" s="41"/>
      <c r="O2844" s="41"/>
    </row>
    <row r="2845" spans="1:15">
      <c r="A2845" s="39"/>
      <c r="B2845" s="40"/>
      <c r="C2845" s="41"/>
      <c r="D2845" s="41"/>
      <c r="E2845" s="41"/>
      <c r="F2845" s="41"/>
      <c r="G2845" s="41"/>
      <c r="H2845" s="41"/>
      <c r="I2845" s="41"/>
      <c r="J2845" s="41"/>
      <c r="K2845" s="41"/>
      <c r="L2845" s="41"/>
      <c r="M2845" s="41"/>
      <c r="N2845" s="41"/>
      <c r="O2845" s="41"/>
    </row>
    <row r="2846" spans="1:15">
      <c r="A2846" s="39"/>
      <c r="B2846" s="40"/>
      <c r="C2846" s="41"/>
      <c r="D2846" s="41"/>
      <c r="E2846" s="41"/>
      <c r="F2846" s="41"/>
      <c r="G2846" s="41"/>
      <c r="H2846" s="41"/>
      <c r="I2846" s="41"/>
      <c r="J2846" s="41"/>
      <c r="K2846" s="41"/>
      <c r="L2846" s="41"/>
      <c r="M2846" s="41"/>
      <c r="N2846" s="41"/>
      <c r="O2846" s="41"/>
    </row>
    <row r="2847" spans="1:15">
      <c r="A2847" s="39"/>
      <c r="B2847" s="40"/>
      <c r="C2847" s="41"/>
      <c r="D2847" s="41"/>
      <c r="E2847" s="41"/>
      <c r="F2847" s="41"/>
      <c r="G2847" s="41"/>
      <c r="H2847" s="41"/>
      <c r="I2847" s="41"/>
      <c r="J2847" s="41"/>
      <c r="K2847" s="41"/>
      <c r="L2847" s="41"/>
      <c r="M2847" s="41"/>
      <c r="N2847" s="41"/>
      <c r="O2847" s="41"/>
    </row>
    <row r="2848" spans="1:15">
      <c r="A2848" s="39"/>
      <c r="B2848" s="40"/>
      <c r="C2848" s="41"/>
      <c r="D2848" s="41"/>
      <c r="E2848" s="41"/>
      <c r="F2848" s="41"/>
      <c r="G2848" s="41"/>
      <c r="H2848" s="41"/>
      <c r="I2848" s="41"/>
      <c r="J2848" s="41"/>
      <c r="K2848" s="41"/>
      <c r="L2848" s="41"/>
      <c r="M2848" s="41"/>
      <c r="N2848" s="41"/>
      <c r="O2848" s="41"/>
    </row>
    <row r="2849" spans="1:15">
      <c r="A2849" s="39"/>
      <c r="B2849" s="40"/>
      <c r="C2849" s="41"/>
      <c r="D2849" s="41"/>
      <c r="E2849" s="41"/>
      <c r="F2849" s="41"/>
      <c r="G2849" s="41"/>
      <c r="H2849" s="41"/>
      <c r="I2849" s="41"/>
      <c r="J2849" s="41"/>
      <c r="K2849" s="41"/>
      <c r="L2849" s="41"/>
      <c r="M2849" s="41"/>
      <c r="N2849" s="41"/>
      <c r="O2849" s="41"/>
    </row>
    <row r="2850" spans="1:15">
      <c r="A2850" s="39"/>
      <c r="B2850" s="40"/>
      <c r="C2850" s="41"/>
      <c r="D2850" s="41"/>
      <c r="E2850" s="41"/>
      <c r="F2850" s="41"/>
      <c r="G2850" s="41"/>
      <c r="H2850" s="41"/>
      <c r="I2850" s="41"/>
      <c r="J2850" s="41"/>
      <c r="K2850" s="41"/>
      <c r="L2850" s="41"/>
      <c r="M2850" s="41"/>
      <c r="N2850" s="41"/>
      <c r="O2850" s="41"/>
    </row>
    <row r="2851" spans="1:15">
      <c r="A2851" s="39"/>
      <c r="B2851" s="40"/>
      <c r="C2851" s="41"/>
      <c r="D2851" s="41"/>
      <c r="E2851" s="41"/>
      <c r="F2851" s="41"/>
      <c r="G2851" s="41"/>
      <c r="H2851" s="41"/>
      <c r="I2851" s="41"/>
      <c r="J2851" s="41"/>
      <c r="K2851" s="41"/>
      <c r="L2851" s="41"/>
      <c r="M2851" s="41"/>
      <c r="N2851" s="41"/>
      <c r="O2851" s="41"/>
    </row>
    <row r="2852" spans="1:15">
      <c r="A2852" s="39"/>
      <c r="B2852" s="40"/>
      <c r="C2852" s="41"/>
      <c r="D2852" s="41"/>
      <c r="E2852" s="41"/>
      <c r="F2852" s="41"/>
      <c r="G2852" s="41"/>
      <c r="H2852" s="41"/>
      <c r="I2852" s="41"/>
      <c r="J2852" s="41"/>
      <c r="K2852" s="41"/>
      <c r="L2852" s="41"/>
      <c r="M2852" s="41"/>
      <c r="N2852" s="41"/>
      <c r="O2852" s="41"/>
    </row>
    <row r="2853" spans="1:15">
      <c r="A2853" s="39"/>
      <c r="B2853" s="40"/>
      <c r="C2853" s="41"/>
      <c r="D2853" s="41"/>
      <c r="E2853" s="41"/>
      <c r="F2853" s="41"/>
      <c r="G2853" s="41"/>
      <c r="H2853" s="41"/>
      <c r="I2853" s="41"/>
      <c r="J2853" s="41"/>
      <c r="K2853" s="41"/>
      <c r="L2853" s="41"/>
      <c r="M2853" s="41"/>
      <c r="N2853" s="41"/>
      <c r="O2853" s="41"/>
    </row>
    <row r="2854" spans="1:15">
      <c r="A2854" s="39"/>
      <c r="B2854" s="40"/>
      <c r="C2854" s="41"/>
      <c r="D2854" s="41"/>
      <c r="E2854" s="41"/>
      <c r="F2854" s="41"/>
      <c r="G2854" s="41"/>
      <c r="H2854" s="41"/>
      <c r="I2854" s="41"/>
      <c r="J2854" s="41"/>
      <c r="K2854" s="41"/>
      <c r="L2854" s="41"/>
      <c r="M2854" s="41"/>
      <c r="N2854" s="41"/>
      <c r="O2854" s="41"/>
    </row>
    <row r="2855" spans="1:15">
      <c r="A2855" s="39"/>
      <c r="B2855" s="40"/>
      <c r="C2855" s="41"/>
      <c r="D2855" s="41"/>
      <c r="E2855" s="41"/>
      <c r="F2855" s="41"/>
      <c r="G2855" s="41"/>
      <c r="H2855" s="41"/>
      <c r="I2855" s="41"/>
      <c r="J2855" s="41"/>
      <c r="K2855" s="41"/>
      <c r="L2855" s="41"/>
      <c r="M2855" s="41"/>
      <c r="N2855" s="41"/>
      <c r="O2855" s="41"/>
    </row>
    <row r="2856" spans="1:15">
      <c r="A2856" s="39"/>
      <c r="B2856" s="40"/>
      <c r="C2856" s="41"/>
      <c r="D2856" s="41"/>
      <c r="E2856" s="41"/>
      <c r="F2856" s="41"/>
      <c r="G2856" s="41"/>
      <c r="H2856" s="41"/>
      <c r="I2856" s="41"/>
      <c r="J2856" s="41"/>
      <c r="K2856" s="41"/>
      <c r="L2856" s="41"/>
      <c r="M2856" s="41"/>
      <c r="N2856" s="41"/>
      <c r="O2856" s="41"/>
    </row>
    <row r="2857" spans="1:15">
      <c r="A2857" s="39"/>
      <c r="B2857" s="40"/>
      <c r="C2857" s="41"/>
      <c r="D2857" s="41"/>
      <c r="E2857" s="41"/>
      <c r="F2857" s="41"/>
      <c r="G2857" s="41"/>
      <c r="H2857" s="41"/>
      <c r="I2857" s="41"/>
      <c r="J2857" s="41"/>
      <c r="K2857" s="41"/>
      <c r="L2857" s="41"/>
      <c r="M2857" s="41"/>
      <c r="N2857" s="41"/>
      <c r="O2857" s="41"/>
    </row>
    <row r="2858" spans="1:15">
      <c r="A2858" s="39"/>
      <c r="B2858" s="40"/>
      <c r="C2858" s="41"/>
      <c r="D2858" s="41"/>
      <c r="E2858" s="41"/>
      <c r="F2858" s="41"/>
      <c r="G2858" s="41"/>
      <c r="H2858" s="41"/>
      <c r="I2858" s="41"/>
      <c r="J2858" s="41"/>
      <c r="K2858" s="41"/>
      <c r="L2858" s="41"/>
      <c r="M2858" s="41"/>
      <c r="N2858" s="41"/>
      <c r="O2858" s="41"/>
    </row>
    <row r="2859" spans="1:15">
      <c r="A2859" s="39"/>
      <c r="B2859" s="40"/>
      <c r="C2859" s="41"/>
      <c r="D2859" s="41"/>
      <c r="E2859" s="41"/>
      <c r="F2859" s="41"/>
      <c r="G2859" s="41"/>
      <c r="H2859" s="41"/>
      <c r="I2859" s="41"/>
      <c r="J2859" s="41"/>
      <c r="K2859" s="41"/>
      <c r="L2859" s="41"/>
      <c r="M2859" s="41"/>
      <c r="N2859" s="41"/>
      <c r="O2859" s="41"/>
    </row>
    <row r="2860" spans="1:15">
      <c r="A2860" s="39"/>
      <c r="B2860" s="40"/>
      <c r="C2860" s="41"/>
      <c r="D2860" s="41"/>
      <c r="E2860" s="41"/>
      <c r="F2860" s="41"/>
      <c r="G2860" s="41"/>
      <c r="H2860" s="41"/>
      <c r="I2860" s="41"/>
      <c r="J2860" s="41"/>
      <c r="K2860" s="41"/>
      <c r="L2860" s="41"/>
      <c r="M2860" s="41"/>
      <c r="N2860" s="41"/>
      <c r="O2860" s="41"/>
    </row>
    <row r="2861" spans="1:15">
      <c r="A2861" s="39"/>
      <c r="B2861" s="40"/>
      <c r="C2861" s="41"/>
      <c r="D2861" s="41"/>
      <c r="E2861" s="41"/>
      <c r="F2861" s="41"/>
      <c r="G2861" s="41"/>
      <c r="H2861" s="41"/>
      <c r="I2861" s="41"/>
      <c r="J2861" s="41"/>
      <c r="K2861" s="41"/>
      <c r="L2861" s="41"/>
      <c r="M2861" s="41"/>
      <c r="N2861" s="41"/>
      <c r="O2861" s="41"/>
    </row>
    <row r="2862" spans="1:15">
      <c r="A2862" s="39"/>
      <c r="B2862" s="40"/>
      <c r="C2862" s="41"/>
      <c r="D2862" s="41"/>
      <c r="E2862" s="41"/>
      <c r="F2862" s="41"/>
      <c r="G2862" s="41"/>
      <c r="H2862" s="41"/>
      <c r="I2862" s="41"/>
      <c r="J2862" s="41"/>
      <c r="K2862" s="41"/>
      <c r="L2862" s="41"/>
      <c r="M2862" s="41"/>
      <c r="N2862" s="41"/>
      <c r="O2862" s="41"/>
    </row>
    <row r="2863" spans="1:15">
      <c r="A2863" s="39"/>
      <c r="B2863" s="40"/>
      <c r="C2863" s="41"/>
      <c r="D2863" s="41"/>
      <c r="E2863" s="41"/>
      <c r="F2863" s="41"/>
      <c r="G2863" s="41"/>
      <c r="H2863" s="41"/>
      <c r="I2863" s="41"/>
      <c r="J2863" s="41"/>
      <c r="K2863" s="41"/>
      <c r="L2863" s="41"/>
      <c r="M2863" s="41"/>
      <c r="N2863" s="41"/>
      <c r="O2863" s="41"/>
    </row>
    <row r="2864" spans="1:15">
      <c r="A2864" s="39"/>
      <c r="B2864" s="40"/>
      <c r="C2864" s="41"/>
      <c r="D2864" s="41"/>
      <c r="E2864" s="41"/>
      <c r="F2864" s="41"/>
      <c r="G2864" s="41"/>
      <c r="H2864" s="41"/>
      <c r="I2864" s="41"/>
      <c r="J2864" s="41"/>
      <c r="K2864" s="41"/>
      <c r="L2864" s="41"/>
      <c r="M2864" s="41"/>
      <c r="N2864" s="41"/>
      <c r="O2864" s="41"/>
    </row>
    <row r="2865" spans="1:15">
      <c r="A2865" s="39"/>
      <c r="B2865" s="40"/>
      <c r="C2865" s="41"/>
      <c r="D2865" s="41"/>
      <c r="E2865" s="41"/>
      <c r="F2865" s="41"/>
      <c r="G2865" s="41"/>
      <c r="H2865" s="41"/>
      <c r="I2865" s="41"/>
      <c r="J2865" s="41"/>
      <c r="K2865" s="41"/>
      <c r="L2865" s="41"/>
      <c r="M2865" s="41"/>
      <c r="N2865" s="41"/>
      <c r="O2865" s="41"/>
    </row>
    <row r="2866" spans="1:15">
      <c r="A2866" s="39"/>
      <c r="B2866" s="40"/>
      <c r="C2866" s="41"/>
      <c r="D2866" s="41"/>
      <c r="E2866" s="41"/>
      <c r="F2866" s="41"/>
      <c r="G2866" s="41"/>
      <c r="H2866" s="41"/>
      <c r="I2866" s="41"/>
      <c r="J2866" s="41"/>
      <c r="K2866" s="41"/>
      <c r="L2866" s="41"/>
      <c r="M2866" s="41"/>
      <c r="N2866" s="41"/>
      <c r="O2866" s="41"/>
    </row>
    <row r="2867" spans="1:15">
      <c r="A2867" s="39"/>
      <c r="B2867" s="40"/>
      <c r="C2867" s="41"/>
      <c r="D2867" s="41"/>
      <c r="E2867" s="41"/>
      <c r="F2867" s="41"/>
      <c r="G2867" s="41"/>
      <c r="H2867" s="41"/>
      <c r="I2867" s="41"/>
      <c r="J2867" s="41"/>
      <c r="K2867" s="41"/>
      <c r="L2867" s="41"/>
      <c r="M2867" s="41"/>
      <c r="N2867" s="41"/>
      <c r="O2867" s="41"/>
    </row>
    <row r="2868" spans="1:15">
      <c r="A2868" s="39"/>
      <c r="B2868" s="40"/>
      <c r="C2868" s="41"/>
      <c r="D2868" s="41"/>
      <c r="E2868" s="41"/>
      <c r="F2868" s="41"/>
      <c r="G2868" s="41"/>
      <c r="H2868" s="41"/>
      <c r="I2868" s="41"/>
      <c r="J2868" s="41"/>
      <c r="K2868" s="41"/>
      <c r="L2868" s="41"/>
      <c r="M2868" s="41"/>
      <c r="N2868" s="41"/>
      <c r="O2868" s="41"/>
    </row>
    <row r="2869" spans="1:15">
      <c r="A2869" s="39"/>
      <c r="B2869" s="40"/>
      <c r="C2869" s="41"/>
      <c r="D2869" s="41"/>
      <c r="E2869" s="41"/>
      <c r="F2869" s="41"/>
      <c r="G2869" s="41"/>
      <c r="H2869" s="41"/>
      <c r="I2869" s="41"/>
      <c r="J2869" s="41"/>
      <c r="K2869" s="41"/>
      <c r="L2869" s="41"/>
      <c r="M2869" s="41"/>
      <c r="N2869" s="41"/>
      <c r="O2869" s="41"/>
    </row>
    <row r="2870" spans="1:15">
      <c r="A2870" s="39"/>
      <c r="B2870" s="40"/>
      <c r="C2870" s="41"/>
      <c r="D2870" s="41"/>
      <c r="E2870" s="41"/>
      <c r="F2870" s="41"/>
      <c r="G2870" s="41"/>
      <c r="H2870" s="41"/>
      <c r="I2870" s="41"/>
      <c r="J2870" s="41"/>
      <c r="K2870" s="41"/>
      <c r="L2870" s="41"/>
      <c r="M2870" s="41"/>
      <c r="N2870" s="41"/>
      <c r="O2870" s="41"/>
    </row>
    <row r="2871" spans="1:15">
      <c r="A2871" s="39"/>
      <c r="B2871" s="40"/>
      <c r="C2871" s="41"/>
      <c r="D2871" s="41"/>
      <c r="E2871" s="41"/>
      <c r="F2871" s="41"/>
      <c r="G2871" s="41"/>
      <c r="H2871" s="41"/>
      <c r="I2871" s="41"/>
      <c r="J2871" s="41"/>
      <c r="K2871" s="41"/>
      <c r="L2871" s="41"/>
      <c r="M2871" s="41"/>
      <c r="N2871" s="41"/>
      <c r="O2871" s="41"/>
    </row>
    <row r="2872" spans="1:15">
      <c r="A2872" s="39"/>
      <c r="B2872" s="40"/>
      <c r="C2872" s="41"/>
      <c r="D2872" s="41"/>
      <c r="E2872" s="41"/>
      <c r="F2872" s="41"/>
      <c r="G2872" s="41"/>
      <c r="H2872" s="41"/>
      <c r="I2872" s="41"/>
      <c r="J2872" s="41"/>
      <c r="K2872" s="41"/>
      <c r="L2872" s="41"/>
      <c r="M2872" s="41"/>
      <c r="N2872" s="41"/>
      <c r="O2872" s="41"/>
    </row>
    <row r="2873" spans="1:15">
      <c r="A2873" s="39"/>
      <c r="B2873" s="40"/>
      <c r="C2873" s="41"/>
      <c r="D2873" s="41"/>
      <c r="E2873" s="41"/>
      <c r="F2873" s="41"/>
      <c r="G2873" s="41"/>
      <c r="H2873" s="41"/>
      <c r="I2873" s="41"/>
      <c r="J2873" s="41"/>
      <c r="K2873" s="41"/>
      <c r="L2873" s="41"/>
      <c r="M2873" s="41"/>
      <c r="N2873" s="41"/>
      <c r="O2873" s="41"/>
    </row>
    <row r="2874" spans="1:15">
      <c r="A2874" s="39"/>
      <c r="B2874" s="40"/>
      <c r="C2874" s="41"/>
      <c r="D2874" s="41"/>
      <c r="E2874" s="41"/>
      <c r="F2874" s="41"/>
      <c r="G2874" s="41"/>
      <c r="H2874" s="41"/>
      <c r="I2874" s="41"/>
      <c r="J2874" s="41"/>
      <c r="K2874" s="41"/>
      <c r="L2874" s="41"/>
      <c r="M2874" s="41"/>
      <c r="N2874" s="41"/>
      <c r="O2874" s="41"/>
    </row>
    <row r="2875" spans="1:15">
      <c r="A2875" s="39"/>
      <c r="B2875" s="40"/>
      <c r="C2875" s="41"/>
      <c r="D2875" s="41"/>
      <c r="E2875" s="41"/>
      <c r="F2875" s="41"/>
      <c r="G2875" s="41"/>
      <c r="H2875" s="41"/>
      <c r="I2875" s="41"/>
      <c r="J2875" s="41"/>
      <c r="K2875" s="41"/>
      <c r="L2875" s="41"/>
      <c r="M2875" s="41"/>
      <c r="N2875" s="41"/>
      <c r="O2875" s="41"/>
    </row>
    <row r="2876" spans="1:15">
      <c r="A2876" s="39"/>
      <c r="B2876" s="40"/>
      <c r="C2876" s="41"/>
      <c r="D2876" s="41"/>
      <c r="E2876" s="41"/>
      <c r="F2876" s="41"/>
      <c r="G2876" s="41"/>
      <c r="H2876" s="41"/>
      <c r="I2876" s="41"/>
      <c r="J2876" s="41"/>
      <c r="K2876" s="41"/>
      <c r="L2876" s="41"/>
      <c r="M2876" s="41"/>
      <c r="N2876" s="41"/>
      <c r="O2876" s="41"/>
    </row>
    <row r="2877" spans="1:15">
      <c r="A2877" s="39"/>
      <c r="B2877" s="40"/>
      <c r="C2877" s="41"/>
      <c r="D2877" s="41"/>
      <c r="E2877" s="41"/>
      <c r="F2877" s="41"/>
      <c r="G2877" s="41"/>
      <c r="H2877" s="41"/>
      <c r="I2877" s="41"/>
      <c r="J2877" s="41"/>
      <c r="K2877" s="41"/>
      <c r="L2877" s="41"/>
      <c r="M2877" s="41"/>
      <c r="N2877" s="41"/>
      <c r="O2877" s="41"/>
    </row>
    <row r="2878" spans="1:15">
      <c r="A2878" s="39"/>
      <c r="B2878" s="40"/>
      <c r="C2878" s="41"/>
      <c r="D2878" s="41"/>
      <c r="E2878" s="41"/>
      <c r="F2878" s="41"/>
      <c r="G2878" s="41"/>
      <c r="H2878" s="41"/>
      <c r="I2878" s="41"/>
      <c r="J2878" s="41"/>
      <c r="K2878" s="41"/>
      <c r="L2878" s="41"/>
      <c r="M2878" s="41"/>
      <c r="N2878" s="41"/>
      <c r="O2878" s="41"/>
    </row>
    <row r="2879" spans="1:15">
      <c r="A2879" s="39"/>
      <c r="B2879" s="40"/>
      <c r="C2879" s="41"/>
      <c r="D2879" s="41"/>
      <c r="E2879" s="41"/>
      <c r="F2879" s="41"/>
      <c r="G2879" s="41"/>
      <c r="H2879" s="41"/>
      <c r="I2879" s="41"/>
      <c r="J2879" s="41"/>
      <c r="K2879" s="41"/>
      <c r="L2879" s="41"/>
      <c r="M2879" s="41"/>
      <c r="N2879" s="41"/>
      <c r="O2879" s="41"/>
    </row>
    <row r="2880" spans="1:15">
      <c r="A2880" s="39"/>
      <c r="B2880" s="40"/>
      <c r="C2880" s="41"/>
      <c r="D2880" s="41"/>
      <c r="E2880" s="41"/>
      <c r="F2880" s="41"/>
      <c r="G2880" s="41"/>
      <c r="H2880" s="41"/>
      <c r="I2880" s="41"/>
      <c r="J2880" s="41"/>
      <c r="K2880" s="41"/>
      <c r="L2880" s="41"/>
      <c r="M2880" s="41"/>
      <c r="N2880" s="41"/>
      <c r="O2880" s="41"/>
    </row>
    <row r="2881" spans="1:15">
      <c r="A2881" s="39"/>
      <c r="B2881" s="40"/>
      <c r="C2881" s="41"/>
      <c r="D2881" s="41"/>
      <c r="E2881" s="41"/>
      <c r="F2881" s="41"/>
      <c r="G2881" s="41"/>
      <c r="H2881" s="41"/>
      <c r="I2881" s="41"/>
      <c r="J2881" s="41"/>
      <c r="K2881" s="41"/>
      <c r="L2881" s="41"/>
      <c r="M2881" s="41"/>
      <c r="N2881" s="41"/>
      <c r="O2881" s="41"/>
    </row>
    <row r="2882" spans="1:15">
      <c r="A2882" s="39"/>
      <c r="B2882" s="40"/>
      <c r="C2882" s="41"/>
      <c r="D2882" s="41"/>
      <c r="E2882" s="41"/>
      <c r="F2882" s="41"/>
      <c r="G2882" s="41"/>
      <c r="H2882" s="41"/>
      <c r="I2882" s="41"/>
      <c r="J2882" s="41"/>
      <c r="K2882" s="41"/>
      <c r="L2882" s="41"/>
      <c r="M2882" s="41"/>
      <c r="N2882" s="41"/>
      <c r="O2882" s="41"/>
    </row>
    <row r="2883" spans="1:15">
      <c r="A2883" s="39"/>
      <c r="B2883" s="40"/>
      <c r="C2883" s="41"/>
      <c r="D2883" s="41"/>
      <c r="E2883" s="41"/>
      <c r="F2883" s="41"/>
      <c r="G2883" s="41"/>
      <c r="H2883" s="41"/>
      <c r="I2883" s="41"/>
      <c r="J2883" s="41"/>
      <c r="K2883" s="41"/>
      <c r="L2883" s="41"/>
      <c r="M2883" s="41"/>
      <c r="N2883" s="41"/>
      <c r="O2883" s="41"/>
    </row>
    <row r="2884" spans="1:15">
      <c r="A2884" s="39"/>
      <c r="B2884" s="40"/>
      <c r="C2884" s="41"/>
      <c r="D2884" s="41"/>
      <c r="E2884" s="41"/>
      <c r="F2884" s="41"/>
      <c r="G2884" s="41"/>
      <c r="H2884" s="41"/>
      <c r="I2884" s="41"/>
      <c r="J2884" s="41"/>
      <c r="K2884" s="41"/>
      <c r="L2884" s="41"/>
      <c r="M2884" s="41"/>
      <c r="N2884" s="41"/>
      <c r="O2884" s="41"/>
    </row>
    <row r="2885" spans="1:15">
      <c r="A2885" s="39"/>
      <c r="B2885" s="40"/>
      <c r="C2885" s="41"/>
      <c r="D2885" s="41"/>
      <c r="E2885" s="41"/>
      <c r="F2885" s="41"/>
      <c r="G2885" s="41"/>
      <c r="H2885" s="41"/>
      <c r="I2885" s="41"/>
      <c r="J2885" s="41"/>
      <c r="K2885" s="41"/>
      <c r="L2885" s="41"/>
      <c r="M2885" s="41"/>
      <c r="N2885" s="41"/>
      <c r="O2885" s="41"/>
    </row>
    <row r="2886" spans="1:15">
      <c r="A2886" s="39"/>
      <c r="B2886" s="40"/>
      <c r="C2886" s="41"/>
      <c r="D2886" s="41"/>
      <c r="E2886" s="41"/>
      <c r="F2886" s="41"/>
      <c r="G2886" s="41"/>
      <c r="H2886" s="41"/>
      <c r="I2886" s="41"/>
      <c r="J2886" s="41"/>
      <c r="K2886" s="41"/>
      <c r="L2886" s="41"/>
      <c r="M2886" s="41"/>
      <c r="N2886" s="41"/>
      <c r="O2886" s="41"/>
    </row>
    <row r="2887" spans="1:15">
      <c r="A2887" s="39"/>
      <c r="B2887" s="40"/>
      <c r="C2887" s="41"/>
      <c r="D2887" s="41"/>
      <c r="E2887" s="41"/>
      <c r="F2887" s="41"/>
      <c r="G2887" s="41"/>
      <c r="H2887" s="41"/>
      <c r="I2887" s="41"/>
      <c r="J2887" s="41"/>
      <c r="K2887" s="41"/>
      <c r="L2887" s="41"/>
      <c r="M2887" s="41"/>
      <c r="N2887" s="41"/>
      <c r="O2887" s="41"/>
    </row>
    <row r="2888" spans="1:15">
      <c r="A2888" s="39"/>
      <c r="B2888" s="40"/>
      <c r="C2888" s="41"/>
      <c r="D2888" s="41"/>
      <c r="E2888" s="41"/>
      <c r="F2888" s="41"/>
      <c r="G2888" s="41"/>
      <c r="H2888" s="41"/>
      <c r="I2888" s="41"/>
      <c r="J2888" s="41"/>
      <c r="K2888" s="41"/>
      <c r="L2888" s="41"/>
      <c r="M2888" s="41"/>
      <c r="N2888" s="41"/>
      <c r="O2888" s="41"/>
    </row>
    <row r="2889" spans="1:15">
      <c r="A2889" s="39"/>
      <c r="B2889" s="40"/>
      <c r="C2889" s="41"/>
      <c r="D2889" s="41"/>
      <c r="E2889" s="41"/>
      <c r="F2889" s="41"/>
      <c r="G2889" s="41"/>
      <c r="H2889" s="41"/>
      <c r="I2889" s="41"/>
      <c r="J2889" s="41"/>
      <c r="K2889" s="41"/>
      <c r="L2889" s="41"/>
      <c r="M2889" s="41"/>
      <c r="N2889" s="41"/>
      <c r="O2889" s="41"/>
    </row>
    <row r="2890" spans="1:15">
      <c r="A2890" s="39"/>
      <c r="B2890" s="40"/>
      <c r="C2890" s="41"/>
      <c r="D2890" s="41"/>
      <c r="E2890" s="41"/>
      <c r="F2890" s="41"/>
      <c r="G2890" s="41"/>
      <c r="H2890" s="41"/>
      <c r="I2890" s="41"/>
      <c r="J2890" s="41"/>
      <c r="K2890" s="41"/>
      <c r="L2890" s="41"/>
      <c r="M2890" s="41"/>
      <c r="N2890" s="41"/>
      <c r="O2890" s="41"/>
    </row>
    <row r="2891" spans="1:15">
      <c r="A2891" s="39"/>
      <c r="B2891" s="40"/>
      <c r="C2891" s="41"/>
      <c r="D2891" s="41"/>
      <c r="E2891" s="41"/>
      <c r="F2891" s="41"/>
      <c r="G2891" s="41"/>
      <c r="H2891" s="41"/>
      <c r="I2891" s="41"/>
      <c r="J2891" s="41"/>
      <c r="K2891" s="41"/>
      <c r="L2891" s="41"/>
      <c r="M2891" s="41"/>
      <c r="N2891" s="41"/>
      <c r="O2891" s="41"/>
    </row>
    <row r="2892" spans="1:15">
      <c r="A2892" s="39"/>
      <c r="B2892" s="40"/>
      <c r="C2892" s="41"/>
      <c r="D2892" s="41"/>
      <c r="E2892" s="41"/>
      <c r="F2892" s="41"/>
      <c r="G2892" s="41"/>
      <c r="H2892" s="41"/>
      <c r="I2892" s="41"/>
      <c r="J2892" s="41"/>
      <c r="K2892" s="41"/>
      <c r="L2892" s="41"/>
      <c r="M2892" s="41"/>
      <c r="N2892" s="41"/>
      <c r="O2892" s="41"/>
    </row>
    <row r="2893" spans="1:15">
      <c r="A2893" s="39"/>
      <c r="B2893" s="40"/>
      <c r="C2893" s="41"/>
      <c r="D2893" s="41"/>
      <c r="E2893" s="41"/>
      <c r="F2893" s="41"/>
      <c r="G2893" s="41"/>
      <c r="H2893" s="41"/>
      <c r="I2893" s="41"/>
      <c r="J2893" s="41"/>
      <c r="K2893" s="41"/>
      <c r="L2893" s="41"/>
      <c r="M2893" s="41"/>
      <c r="N2893" s="41"/>
      <c r="O2893" s="41"/>
    </row>
    <row r="2894" spans="1:15">
      <c r="A2894" s="39"/>
      <c r="B2894" s="40"/>
      <c r="C2894" s="41"/>
      <c r="D2894" s="41"/>
      <c r="E2894" s="41"/>
      <c r="F2894" s="41"/>
      <c r="G2894" s="41"/>
      <c r="H2894" s="41"/>
      <c r="I2894" s="41"/>
      <c r="J2894" s="41"/>
      <c r="K2894" s="41"/>
      <c r="L2894" s="41"/>
      <c r="M2894" s="41"/>
      <c r="N2894" s="41"/>
      <c r="O2894" s="41"/>
    </row>
    <row r="2895" spans="1:15">
      <c r="A2895" s="39"/>
      <c r="B2895" s="40"/>
      <c r="C2895" s="41"/>
      <c r="D2895" s="41"/>
      <c r="E2895" s="41"/>
      <c r="F2895" s="41"/>
      <c r="G2895" s="41"/>
      <c r="H2895" s="41"/>
      <c r="I2895" s="41"/>
      <c r="J2895" s="41"/>
      <c r="K2895" s="41"/>
      <c r="L2895" s="41"/>
      <c r="M2895" s="41"/>
      <c r="N2895" s="41"/>
      <c r="O2895" s="41"/>
    </row>
    <row r="2896" spans="1:15">
      <c r="A2896" s="39"/>
      <c r="B2896" s="40"/>
      <c r="C2896" s="41"/>
      <c r="D2896" s="41"/>
      <c r="E2896" s="41"/>
      <c r="F2896" s="41"/>
      <c r="G2896" s="41"/>
      <c r="H2896" s="41"/>
      <c r="I2896" s="41"/>
      <c r="J2896" s="41"/>
      <c r="K2896" s="41"/>
      <c r="L2896" s="41"/>
      <c r="M2896" s="41"/>
      <c r="N2896" s="41"/>
      <c r="O2896" s="41"/>
    </row>
    <row r="2897" spans="1:15">
      <c r="A2897" s="39"/>
      <c r="B2897" s="40"/>
      <c r="C2897" s="41"/>
      <c r="D2897" s="41"/>
      <c r="E2897" s="41"/>
      <c r="F2897" s="41"/>
      <c r="G2897" s="41"/>
      <c r="H2897" s="41"/>
      <c r="I2897" s="41"/>
      <c r="J2897" s="41"/>
      <c r="K2897" s="41"/>
      <c r="L2897" s="41"/>
      <c r="M2897" s="41"/>
      <c r="N2897" s="41"/>
      <c r="O2897" s="41"/>
    </row>
    <row r="2898" spans="1:15">
      <c r="A2898" s="39"/>
      <c r="B2898" s="40"/>
      <c r="C2898" s="41"/>
      <c r="D2898" s="41"/>
      <c r="E2898" s="41"/>
      <c r="F2898" s="41"/>
      <c r="G2898" s="41"/>
      <c r="H2898" s="41"/>
      <c r="I2898" s="41"/>
      <c r="J2898" s="41"/>
      <c r="K2898" s="41"/>
      <c r="L2898" s="41"/>
      <c r="M2898" s="41"/>
      <c r="N2898" s="41"/>
      <c r="O2898" s="41"/>
    </row>
    <row r="2899" spans="1:15">
      <c r="A2899" s="39"/>
      <c r="B2899" s="40"/>
      <c r="C2899" s="41"/>
      <c r="D2899" s="41"/>
      <c r="E2899" s="41"/>
      <c r="F2899" s="41"/>
      <c r="G2899" s="41"/>
      <c r="H2899" s="41"/>
      <c r="I2899" s="41"/>
      <c r="J2899" s="41"/>
      <c r="K2899" s="41"/>
      <c r="L2899" s="41"/>
      <c r="M2899" s="41"/>
      <c r="N2899" s="41"/>
      <c r="O2899" s="41"/>
    </row>
    <row r="2900" spans="1:15">
      <c r="A2900" s="39"/>
      <c r="B2900" s="40"/>
      <c r="C2900" s="41"/>
      <c r="D2900" s="41"/>
      <c r="E2900" s="41"/>
      <c r="F2900" s="41"/>
      <c r="G2900" s="41"/>
      <c r="H2900" s="41"/>
      <c r="I2900" s="41"/>
      <c r="J2900" s="41"/>
      <c r="K2900" s="41"/>
      <c r="L2900" s="41"/>
      <c r="M2900" s="41"/>
      <c r="N2900" s="41"/>
      <c r="O2900" s="41"/>
    </row>
    <row r="2901" spans="1:15">
      <c r="A2901" s="39"/>
      <c r="B2901" s="40"/>
      <c r="C2901" s="41"/>
      <c r="D2901" s="41"/>
      <c r="E2901" s="41"/>
      <c r="F2901" s="41"/>
      <c r="G2901" s="41"/>
      <c r="H2901" s="41"/>
      <c r="I2901" s="41"/>
      <c r="J2901" s="41"/>
      <c r="K2901" s="41"/>
      <c r="L2901" s="41"/>
      <c r="M2901" s="41"/>
      <c r="N2901" s="41"/>
      <c r="O2901" s="41"/>
    </row>
    <row r="2902" spans="1:15">
      <c r="A2902" s="39"/>
      <c r="B2902" s="40"/>
      <c r="C2902" s="41"/>
      <c r="D2902" s="41"/>
      <c r="E2902" s="41"/>
      <c r="F2902" s="41"/>
      <c r="G2902" s="41"/>
      <c r="H2902" s="41"/>
      <c r="I2902" s="41"/>
      <c r="J2902" s="41"/>
      <c r="K2902" s="41"/>
      <c r="L2902" s="41"/>
      <c r="M2902" s="41"/>
      <c r="N2902" s="41"/>
      <c r="O2902" s="41"/>
    </row>
    <row r="2903" spans="1:15">
      <c r="A2903" s="39"/>
      <c r="B2903" s="40"/>
      <c r="C2903" s="41"/>
      <c r="D2903" s="41"/>
      <c r="E2903" s="41"/>
      <c r="F2903" s="41"/>
      <c r="G2903" s="41"/>
      <c r="H2903" s="41"/>
      <c r="I2903" s="41"/>
      <c r="J2903" s="41"/>
      <c r="K2903" s="41"/>
      <c r="L2903" s="41"/>
      <c r="M2903" s="41"/>
      <c r="N2903" s="41"/>
      <c r="O2903" s="41"/>
    </row>
    <row r="2904" spans="1:15">
      <c r="A2904" s="39"/>
      <c r="B2904" s="40"/>
      <c r="C2904" s="41"/>
      <c r="D2904" s="41"/>
      <c r="E2904" s="41"/>
      <c r="F2904" s="41"/>
      <c r="G2904" s="41"/>
      <c r="H2904" s="41"/>
      <c r="I2904" s="41"/>
      <c r="J2904" s="41"/>
      <c r="K2904" s="41"/>
      <c r="L2904" s="41"/>
      <c r="M2904" s="41"/>
      <c r="N2904" s="41"/>
      <c r="O2904" s="41"/>
    </row>
    <row r="2905" spans="1:15">
      <c r="A2905" s="39"/>
      <c r="B2905" s="40"/>
      <c r="C2905" s="41"/>
      <c r="D2905" s="41"/>
      <c r="E2905" s="41"/>
      <c r="F2905" s="41"/>
      <c r="G2905" s="41"/>
      <c r="H2905" s="41"/>
      <c r="I2905" s="41"/>
      <c r="J2905" s="41"/>
      <c r="K2905" s="41"/>
      <c r="L2905" s="41"/>
      <c r="M2905" s="41"/>
      <c r="N2905" s="41"/>
      <c r="O2905" s="41"/>
    </row>
    <row r="2906" spans="1:15">
      <c r="A2906" s="39"/>
      <c r="B2906" s="40"/>
      <c r="C2906" s="41"/>
      <c r="D2906" s="41"/>
      <c r="E2906" s="41"/>
      <c r="F2906" s="41"/>
      <c r="G2906" s="41"/>
      <c r="H2906" s="41"/>
      <c r="I2906" s="41"/>
      <c r="J2906" s="41"/>
      <c r="K2906" s="41"/>
      <c r="L2906" s="41"/>
      <c r="M2906" s="41"/>
      <c r="N2906" s="41"/>
      <c r="O2906" s="41"/>
    </row>
    <row r="2907" spans="1:15">
      <c r="A2907" s="39"/>
      <c r="B2907" s="40"/>
      <c r="C2907" s="41"/>
      <c r="D2907" s="41"/>
      <c r="E2907" s="41"/>
      <c r="F2907" s="41"/>
      <c r="G2907" s="41"/>
      <c r="H2907" s="41"/>
      <c r="I2907" s="41"/>
      <c r="J2907" s="41"/>
      <c r="K2907" s="41"/>
      <c r="L2907" s="41"/>
      <c r="M2907" s="41"/>
      <c r="N2907" s="41"/>
      <c r="O2907" s="41"/>
    </row>
    <row r="2908" spans="1:15">
      <c r="A2908" s="39"/>
      <c r="B2908" s="40"/>
      <c r="C2908" s="41"/>
      <c r="D2908" s="41"/>
      <c r="E2908" s="41"/>
      <c r="F2908" s="41"/>
      <c r="G2908" s="41"/>
      <c r="H2908" s="41"/>
      <c r="I2908" s="41"/>
      <c r="J2908" s="41"/>
      <c r="K2908" s="41"/>
      <c r="L2908" s="41"/>
      <c r="M2908" s="41"/>
      <c r="N2908" s="41"/>
      <c r="O2908" s="41"/>
    </row>
    <row r="2909" spans="1:15">
      <c r="A2909" s="39"/>
      <c r="B2909" s="40"/>
      <c r="C2909" s="41"/>
      <c r="D2909" s="41"/>
      <c r="E2909" s="41"/>
      <c r="F2909" s="41"/>
      <c r="G2909" s="41"/>
      <c r="H2909" s="41"/>
      <c r="I2909" s="41"/>
      <c r="J2909" s="41"/>
      <c r="K2909" s="41"/>
      <c r="L2909" s="41"/>
      <c r="M2909" s="41"/>
      <c r="N2909" s="41"/>
      <c r="O2909" s="41"/>
    </row>
    <row r="2910" spans="1:15">
      <c r="A2910" s="39"/>
      <c r="B2910" s="40"/>
      <c r="C2910" s="41"/>
      <c r="D2910" s="41"/>
      <c r="E2910" s="41"/>
      <c r="F2910" s="41"/>
      <c r="G2910" s="41"/>
      <c r="H2910" s="41"/>
      <c r="I2910" s="41"/>
      <c r="J2910" s="41"/>
      <c r="K2910" s="41"/>
      <c r="L2910" s="41"/>
      <c r="M2910" s="41"/>
      <c r="N2910" s="41"/>
      <c r="O2910" s="41"/>
    </row>
    <row r="2911" spans="1:15">
      <c r="A2911" s="39"/>
      <c r="B2911" s="40"/>
      <c r="C2911" s="41"/>
      <c r="D2911" s="41"/>
      <c r="E2911" s="41"/>
      <c r="F2911" s="41"/>
      <c r="G2911" s="41"/>
      <c r="H2911" s="41"/>
      <c r="I2911" s="41"/>
      <c r="J2911" s="41"/>
      <c r="K2911" s="41"/>
      <c r="L2911" s="41"/>
      <c r="M2911" s="41"/>
      <c r="N2911" s="41"/>
      <c r="O2911" s="41"/>
    </row>
    <row r="2912" spans="1:15">
      <c r="A2912" s="39"/>
      <c r="B2912" s="40"/>
      <c r="C2912" s="41"/>
      <c r="D2912" s="41"/>
      <c r="E2912" s="41"/>
      <c r="F2912" s="41"/>
      <c r="G2912" s="41"/>
      <c r="H2912" s="41"/>
      <c r="I2912" s="41"/>
      <c r="J2912" s="41"/>
      <c r="K2912" s="41"/>
      <c r="L2912" s="41"/>
      <c r="M2912" s="41"/>
      <c r="N2912" s="41"/>
      <c r="O2912" s="41"/>
    </row>
    <row r="2913" spans="1:15">
      <c r="A2913" s="39"/>
      <c r="B2913" s="40"/>
      <c r="C2913" s="41"/>
      <c r="D2913" s="41"/>
      <c r="E2913" s="41"/>
      <c r="F2913" s="41"/>
      <c r="G2913" s="41"/>
      <c r="H2913" s="41"/>
      <c r="I2913" s="41"/>
      <c r="J2913" s="41"/>
      <c r="K2913" s="41"/>
      <c r="L2913" s="41"/>
      <c r="M2913" s="41"/>
      <c r="N2913" s="41"/>
      <c r="O2913" s="41"/>
    </row>
    <row r="2914" spans="1:15">
      <c r="A2914" s="39"/>
      <c r="B2914" s="40"/>
      <c r="C2914" s="41"/>
      <c r="D2914" s="41"/>
      <c r="E2914" s="41"/>
      <c r="F2914" s="41"/>
      <c r="G2914" s="41"/>
      <c r="H2914" s="41"/>
      <c r="I2914" s="41"/>
      <c r="J2914" s="41"/>
      <c r="K2914" s="41"/>
      <c r="L2914" s="41"/>
      <c r="M2914" s="41"/>
      <c r="N2914" s="41"/>
      <c r="O2914" s="41"/>
    </row>
    <row r="2915" spans="1:15">
      <c r="A2915" s="39"/>
      <c r="B2915" s="40"/>
      <c r="C2915" s="41"/>
      <c r="D2915" s="41"/>
      <c r="E2915" s="41"/>
      <c r="F2915" s="41"/>
      <c r="G2915" s="41"/>
      <c r="H2915" s="41"/>
      <c r="I2915" s="41"/>
      <c r="J2915" s="41"/>
      <c r="K2915" s="41"/>
      <c r="L2915" s="41"/>
      <c r="M2915" s="41"/>
      <c r="N2915" s="41"/>
      <c r="O2915" s="41"/>
    </row>
    <row r="2916" spans="1:15">
      <c r="A2916" s="39"/>
      <c r="B2916" s="40"/>
      <c r="C2916" s="41"/>
      <c r="D2916" s="41"/>
      <c r="E2916" s="41"/>
      <c r="F2916" s="41"/>
      <c r="G2916" s="41"/>
      <c r="H2916" s="41"/>
      <c r="I2916" s="41"/>
      <c r="J2916" s="41"/>
      <c r="K2916" s="41"/>
      <c r="L2916" s="41"/>
      <c r="M2916" s="41"/>
      <c r="N2916" s="41"/>
      <c r="O2916" s="41"/>
    </row>
    <row r="2917" spans="1:15">
      <c r="A2917" s="39"/>
      <c r="B2917" s="40"/>
      <c r="C2917" s="41"/>
      <c r="D2917" s="41"/>
      <c r="E2917" s="41"/>
      <c r="F2917" s="41"/>
      <c r="G2917" s="41"/>
      <c r="H2917" s="41"/>
      <c r="I2917" s="41"/>
      <c r="J2917" s="41"/>
      <c r="K2917" s="41"/>
      <c r="L2917" s="41"/>
      <c r="M2917" s="41"/>
      <c r="N2917" s="41"/>
      <c r="O2917" s="41"/>
    </row>
    <row r="2918" spans="1:15">
      <c r="A2918" s="39"/>
      <c r="B2918" s="40"/>
      <c r="C2918" s="41"/>
      <c r="D2918" s="41"/>
      <c r="E2918" s="41"/>
      <c r="F2918" s="41"/>
      <c r="G2918" s="41"/>
      <c r="H2918" s="41"/>
      <c r="I2918" s="41"/>
      <c r="J2918" s="41"/>
      <c r="K2918" s="41"/>
      <c r="L2918" s="41"/>
      <c r="M2918" s="41"/>
      <c r="N2918" s="41"/>
      <c r="O2918" s="41"/>
    </row>
    <row r="2919" spans="1:15">
      <c r="A2919" s="39"/>
      <c r="B2919" s="40"/>
      <c r="C2919" s="41"/>
      <c r="D2919" s="41"/>
      <c r="E2919" s="41"/>
      <c r="F2919" s="41"/>
      <c r="G2919" s="41"/>
      <c r="H2919" s="41"/>
      <c r="I2919" s="41"/>
      <c r="J2919" s="41"/>
      <c r="K2919" s="41"/>
      <c r="L2919" s="41"/>
      <c r="M2919" s="41"/>
      <c r="N2919" s="41"/>
      <c r="O2919" s="41"/>
    </row>
    <row r="2920" spans="1:15">
      <c r="A2920" s="39"/>
      <c r="B2920" s="40"/>
      <c r="C2920" s="41"/>
      <c r="D2920" s="41"/>
      <c r="E2920" s="41"/>
      <c r="F2920" s="41"/>
      <c r="G2920" s="41"/>
      <c r="H2920" s="41"/>
      <c r="I2920" s="41"/>
      <c r="J2920" s="41"/>
      <c r="K2920" s="41"/>
      <c r="L2920" s="41"/>
      <c r="M2920" s="41"/>
      <c r="N2920" s="41"/>
      <c r="O2920" s="41"/>
    </row>
    <row r="2921" spans="1:15">
      <c r="A2921" s="39"/>
      <c r="B2921" s="40"/>
      <c r="C2921" s="41"/>
      <c r="D2921" s="41"/>
      <c r="E2921" s="41"/>
      <c r="F2921" s="41"/>
      <c r="G2921" s="41"/>
      <c r="H2921" s="41"/>
      <c r="I2921" s="41"/>
      <c r="J2921" s="41"/>
      <c r="K2921" s="41"/>
      <c r="L2921" s="41"/>
      <c r="M2921" s="41"/>
      <c r="N2921" s="41"/>
      <c r="O2921" s="41"/>
    </row>
    <row r="2922" spans="1:15">
      <c r="A2922" s="39"/>
      <c r="B2922" s="40"/>
      <c r="C2922" s="41"/>
      <c r="D2922" s="41"/>
      <c r="E2922" s="41"/>
      <c r="F2922" s="41"/>
      <c r="G2922" s="41"/>
      <c r="H2922" s="41"/>
      <c r="I2922" s="41"/>
      <c r="J2922" s="41"/>
      <c r="K2922" s="41"/>
      <c r="L2922" s="41"/>
      <c r="M2922" s="41"/>
      <c r="N2922" s="41"/>
      <c r="O2922" s="41"/>
    </row>
    <row r="2923" spans="1:15">
      <c r="A2923" s="39"/>
      <c r="B2923" s="40"/>
      <c r="C2923" s="41"/>
      <c r="D2923" s="41"/>
      <c r="E2923" s="41"/>
      <c r="F2923" s="41"/>
      <c r="G2923" s="41"/>
      <c r="H2923" s="41"/>
      <c r="I2923" s="41"/>
      <c r="J2923" s="41"/>
      <c r="K2923" s="41"/>
      <c r="L2923" s="41"/>
      <c r="M2923" s="41"/>
      <c r="N2923" s="41"/>
      <c r="O2923" s="41"/>
    </row>
    <row r="2924" spans="1:15">
      <c r="A2924" s="39"/>
      <c r="B2924" s="40"/>
      <c r="C2924" s="41"/>
      <c r="D2924" s="41"/>
      <c r="E2924" s="41"/>
      <c r="F2924" s="41"/>
      <c r="G2924" s="41"/>
      <c r="H2924" s="41"/>
      <c r="I2924" s="41"/>
      <c r="J2924" s="41"/>
      <c r="K2924" s="41"/>
      <c r="L2924" s="41"/>
      <c r="M2924" s="41"/>
      <c r="N2924" s="41"/>
      <c r="O2924" s="41"/>
    </row>
    <row r="2925" spans="1:15">
      <c r="A2925" s="39"/>
      <c r="B2925" s="40"/>
      <c r="C2925" s="41"/>
      <c r="D2925" s="41"/>
      <c r="E2925" s="41"/>
      <c r="F2925" s="41"/>
      <c r="G2925" s="41"/>
      <c r="H2925" s="41"/>
      <c r="I2925" s="41"/>
      <c r="J2925" s="41"/>
      <c r="K2925" s="41"/>
      <c r="L2925" s="41"/>
      <c r="M2925" s="41"/>
      <c r="N2925" s="41"/>
      <c r="O2925" s="41"/>
    </row>
    <row r="2926" spans="1:15">
      <c r="A2926" s="39"/>
      <c r="B2926" s="40"/>
      <c r="C2926" s="41"/>
      <c r="D2926" s="41"/>
      <c r="E2926" s="41"/>
      <c r="F2926" s="41"/>
      <c r="G2926" s="41"/>
      <c r="H2926" s="41"/>
      <c r="I2926" s="41"/>
      <c r="J2926" s="41"/>
      <c r="K2926" s="41"/>
      <c r="L2926" s="41"/>
      <c r="M2926" s="41"/>
      <c r="N2926" s="41"/>
      <c r="O2926" s="41"/>
    </row>
    <row r="2927" spans="1:15">
      <c r="A2927" s="39"/>
      <c r="B2927" s="40"/>
      <c r="C2927" s="41"/>
      <c r="D2927" s="41"/>
      <c r="E2927" s="41"/>
      <c r="F2927" s="41"/>
      <c r="G2927" s="41"/>
      <c r="H2927" s="41"/>
      <c r="I2927" s="41"/>
      <c r="J2927" s="41"/>
      <c r="K2927" s="41"/>
      <c r="L2927" s="41"/>
      <c r="M2927" s="41"/>
      <c r="N2927" s="41"/>
      <c r="O2927" s="41"/>
    </row>
    <row r="2928" spans="1:15">
      <c r="A2928" s="39"/>
      <c r="B2928" s="40"/>
      <c r="C2928" s="41"/>
      <c r="D2928" s="41"/>
      <c r="E2928" s="41"/>
      <c r="F2928" s="41"/>
      <c r="G2928" s="41"/>
      <c r="H2928" s="41"/>
      <c r="I2928" s="41"/>
      <c r="J2928" s="41"/>
      <c r="K2928" s="41"/>
      <c r="L2928" s="41"/>
      <c r="M2928" s="41"/>
      <c r="N2928" s="41"/>
      <c r="O2928" s="41"/>
    </row>
    <row r="2929" spans="1:15">
      <c r="A2929" s="39"/>
      <c r="B2929" s="40"/>
      <c r="C2929" s="41"/>
      <c r="D2929" s="41"/>
      <c r="E2929" s="41"/>
      <c r="F2929" s="41"/>
      <c r="G2929" s="41"/>
      <c r="H2929" s="41"/>
      <c r="I2929" s="41"/>
      <c r="J2929" s="41"/>
      <c r="K2929" s="41"/>
      <c r="L2929" s="41"/>
      <c r="M2929" s="41"/>
      <c r="N2929" s="41"/>
      <c r="O2929" s="41"/>
    </row>
    <row r="2930" spans="1:15">
      <c r="A2930" s="39"/>
      <c r="B2930" s="40"/>
      <c r="C2930" s="41"/>
      <c r="D2930" s="41"/>
      <c r="E2930" s="41"/>
      <c r="F2930" s="41"/>
      <c r="G2930" s="41"/>
      <c r="H2930" s="41"/>
      <c r="I2930" s="41"/>
      <c r="J2930" s="41"/>
      <c r="K2930" s="41"/>
      <c r="L2930" s="41"/>
      <c r="M2930" s="41"/>
      <c r="N2930" s="41"/>
      <c r="O2930" s="41"/>
    </row>
    <row r="2931" spans="1:15">
      <c r="A2931" s="39"/>
      <c r="B2931" s="40"/>
      <c r="C2931" s="41"/>
      <c r="D2931" s="41"/>
      <c r="E2931" s="41"/>
      <c r="F2931" s="41"/>
      <c r="G2931" s="41"/>
      <c r="H2931" s="41"/>
      <c r="I2931" s="41"/>
      <c r="J2931" s="41"/>
      <c r="K2931" s="41"/>
      <c r="L2931" s="41"/>
      <c r="M2931" s="41"/>
      <c r="N2931" s="41"/>
      <c r="O2931" s="41"/>
    </row>
    <row r="2932" spans="1:15">
      <c r="A2932" s="39"/>
      <c r="B2932" s="40"/>
      <c r="C2932" s="41"/>
      <c r="D2932" s="41"/>
      <c r="E2932" s="41"/>
      <c r="F2932" s="41"/>
      <c r="G2932" s="41"/>
      <c r="H2932" s="41"/>
      <c r="I2932" s="41"/>
      <c r="J2932" s="41"/>
      <c r="K2932" s="41"/>
      <c r="L2932" s="41"/>
      <c r="M2932" s="41"/>
      <c r="N2932" s="41"/>
      <c r="O2932" s="41"/>
    </row>
    <row r="2933" spans="1:15">
      <c r="A2933" s="39"/>
      <c r="B2933" s="40"/>
      <c r="C2933" s="41"/>
      <c r="D2933" s="41"/>
      <c r="E2933" s="41"/>
      <c r="F2933" s="41"/>
      <c r="G2933" s="41"/>
      <c r="H2933" s="41"/>
      <c r="I2933" s="41"/>
      <c r="J2933" s="41"/>
      <c r="K2933" s="41"/>
      <c r="L2933" s="41"/>
      <c r="M2933" s="41"/>
      <c r="N2933" s="41"/>
      <c r="O2933" s="41"/>
    </row>
    <row r="2934" spans="1:15">
      <c r="A2934" s="39"/>
      <c r="B2934" s="40"/>
      <c r="C2934" s="41"/>
      <c r="D2934" s="41"/>
      <c r="E2934" s="41"/>
      <c r="F2934" s="41"/>
      <c r="G2934" s="41"/>
      <c r="H2934" s="41"/>
      <c r="I2934" s="41"/>
      <c r="J2934" s="41"/>
      <c r="K2934" s="41"/>
      <c r="L2934" s="41"/>
      <c r="M2934" s="41"/>
      <c r="N2934" s="41"/>
      <c r="O2934" s="41"/>
    </row>
    <row r="2935" spans="1:15">
      <c r="A2935" s="39"/>
      <c r="B2935" s="40"/>
      <c r="C2935" s="41"/>
      <c r="D2935" s="41"/>
      <c r="E2935" s="41"/>
      <c r="F2935" s="41"/>
      <c r="G2935" s="41"/>
      <c r="H2935" s="41"/>
      <c r="I2935" s="41"/>
      <c r="J2935" s="41"/>
      <c r="K2935" s="41"/>
      <c r="L2935" s="41"/>
      <c r="M2935" s="41"/>
      <c r="N2935" s="41"/>
      <c r="O2935" s="41"/>
    </row>
    <row r="2936" spans="1:15">
      <c r="A2936" s="39"/>
      <c r="B2936" s="40"/>
      <c r="C2936" s="41"/>
      <c r="D2936" s="41"/>
      <c r="E2936" s="41"/>
      <c r="F2936" s="41"/>
      <c r="G2936" s="41"/>
      <c r="H2936" s="41"/>
      <c r="I2936" s="41"/>
      <c r="J2936" s="41"/>
      <c r="K2936" s="41"/>
      <c r="L2936" s="41"/>
      <c r="M2936" s="41"/>
      <c r="N2936" s="41"/>
      <c r="O2936" s="41"/>
    </row>
    <row r="2937" spans="1:15">
      <c r="A2937" s="39"/>
      <c r="B2937" s="40"/>
      <c r="C2937" s="41"/>
      <c r="D2937" s="41"/>
      <c r="E2937" s="41"/>
      <c r="F2937" s="41"/>
      <c r="G2937" s="41"/>
      <c r="H2937" s="41"/>
      <c r="I2937" s="41"/>
      <c r="J2937" s="41"/>
      <c r="K2937" s="41"/>
      <c r="L2937" s="41"/>
      <c r="M2937" s="41"/>
      <c r="N2937" s="41"/>
      <c r="O2937" s="41"/>
    </row>
    <row r="2938" spans="1:15">
      <c r="A2938" s="39"/>
      <c r="B2938" s="40"/>
      <c r="C2938" s="41"/>
      <c r="D2938" s="41"/>
      <c r="E2938" s="41"/>
      <c r="F2938" s="41"/>
      <c r="G2938" s="41"/>
      <c r="H2938" s="41"/>
      <c r="I2938" s="41"/>
      <c r="J2938" s="41"/>
      <c r="K2938" s="41"/>
      <c r="L2938" s="41"/>
      <c r="M2938" s="41"/>
      <c r="N2938" s="41"/>
      <c r="O2938" s="41"/>
    </row>
    <row r="2939" spans="1:15">
      <c r="A2939" s="39"/>
      <c r="B2939" s="40"/>
      <c r="C2939" s="41"/>
      <c r="D2939" s="41"/>
      <c r="E2939" s="41"/>
      <c r="F2939" s="41"/>
      <c r="G2939" s="41"/>
      <c r="H2939" s="41"/>
      <c r="I2939" s="41"/>
      <c r="J2939" s="41"/>
      <c r="K2939" s="41"/>
      <c r="L2939" s="41"/>
      <c r="M2939" s="41"/>
      <c r="N2939" s="41"/>
      <c r="O2939" s="41"/>
    </row>
    <row r="2940" spans="1:15">
      <c r="A2940" s="39"/>
      <c r="B2940" s="40"/>
      <c r="C2940" s="41"/>
      <c r="D2940" s="41"/>
      <c r="E2940" s="41"/>
      <c r="F2940" s="41"/>
      <c r="G2940" s="41"/>
      <c r="H2940" s="41"/>
      <c r="I2940" s="41"/>
      <c r="J2940" s="41"/>
      <c r="K2940" s="41"/>
      <c r="L2940" s="41"/>
      <c r="M2940" s="41"/>
      <c r="N2940" s="41"/>
      <c r="O2940" s="41"/>
    </row>
    <row r="2941" spans="1:15">
      <c r="A2941" s="39"/>
      <c r="B2941" s="40"/>
      <c r="C2941" s="41"/>
      <c r="D2941" s="41"/>
      <c r="E2941" s="41"/>
      <c r="F2941" s="41"/>
      <c r="G2941" s="41"/>
      <c r="H2941" s="41"/>
      <c r="I2941" s="41"/>
      <c r="J2941" s="41"/>
      <c r="K2941" s="41"/>
      <c r="L2941" s="41"/>
      <c r="M2941" s="41"/>
      <c r="N2941" s="41"/>
      <c r="O2941" s="41"/>
    </row>
    <row r="2942" spans="1:15">
      <c r="A2942" s="39"/>
      <c r="B2942" s="40"/>
      <c r="C2942" s="41"/>
      <c r="D2942" s="41"/>
      <c r="E2942" s="41"/>
      <c r="F2942" s="41"/>
      <c r="G2942" s="41"/>
      <c r="H2942" s="41"/>
      <c r="I2942" s="41"/>
      <c r="J2942" s="41"/>
      <c r="K2942" s="41"/>
      <c r="L2942" s="41"/>
      <c r="M2942" s="41"/>
      <c r="N2942" s="41"/>
      <c r="O2942" s="41"/>
    </row>
    <row r="2943" spans="1:15">
      <c r="A2943" s="39"/>
      <c r="B2943" s="40"/>
      <c r="C2943" s="41"/>
      <c r="D2943" s="41"/>
      <c r="E2943" s="41"/>
      <c r="F2943" s="41"/>
      <c r="G2943" s="41"/>
      <c r="H2943" s="41"/>
      <c r="I2943" s="41"/>
      <c r="J2943" s="41"/>
      <c r="K2943" s="41"/>
      <c r="L2943" s="41"/>
      <c r="M2943" s="41"/>
      <c r="N2943" s="41"/>
      <c r="O2943" s="41"/>
    </row>
    <row r="2944" spans="1:15">
      <c r="A2944" s="39"/>
      <c r="B2944" s="40"/>
      <c r="C2944" s="41"/>
      <c r="D2944" s="41"/>
      <c r="E2944" s="41"/>
      <c r="F2944" s="41"/>
      <c r="G2944" s="41"/>
      <c r="H2944" s="41"/>
      <c r="I2944" s="41"/>
      <c r="J2944" s="41"/>
      <c r="K2944" s="41"/>
      <c r="L2944" s="41"/>
      <c r="M2944" s="41"/>
      <c r="N2944" s="41"/>
      <c r="O2944" s="41"/>
    </row>
    <row r="2945" spans="1:15">
      <c r="A2945" s="39"/>
      <c r="B2945" s="40"/>
      <c r="C2945" s="41"/>
      <c r="D2945" s="41"/>
      <c r="E2945" s="41"/>
      <c r="F2945" s="41"/>
      <c r="G2945" s="41"/>
      <c r="H2945" s="41"/>
      <c r="I2945" s="41"/>
      <c r="J2945" s="41"/>
      <c r="K2945" s="41"/>
      <c r="L2945" s="41"/>
      <c r="M2945" s="41"/>
      <c r="N2945" s="41"/>
      <c r="O2945" s="41"/>
    </row>
    <row r="2946" spans="1:15">
      <c r="A2946" s="39"/>
      <c r="B2946" s="40"/>
      <c r="C2946" s="41"/>
      <c r="D2946" s="41"/>
      <c r="E2946" s="41"/>
      <c r="F2946" s="41"/>
      <c r="G2946" s="41"/>
      <c r="H2946" s="41"/>
      <c r="I2946" s="41"/>
      <c r="J2946" s="41"/>
      <c r="K2946" s="41"/>
      <c r="L2946" s="41"/>
      <c r="M2946" s="41"/>
      <c r="N2946" s="41"/>
      <c r="O2946" s="41"/>
    </row>
    <row r="2947" spans="1:15">
      <c r="A2947" s="39"/>
      <c r="B2947" s="40"/>
      <c r="C2947" s="41"/>
      <c r="D2947" s="41"/>
      <c r="E2947" s="41"/>
      <c r="F2947" s="41"/>
      <c r="G2947" s="41"/>
      <c r="H2947" s="41"/>
      <c r="I2947" s="41"/>
      <c r="J2947" s="41"/>
      <c r="K2947" s="41"/>
      <c r="L2947" s="41"/>
      <c r="M2947" s="41"/>
      <c r="N2947" s="41"/>
      <c r="O2947" s="41"/>
    </row>
    <row r="2948" spans="1:15">
      <c r="A2948" s="39"/>
      <c r="B2948" s="40"/>
      <c r="C2948" s="41"/>
      <c r="D2948" s="41"/>
      <c r="E2948" s="41"/>
      <c r="F2948" s="41"/>
      <c r="G2948" s="41"/>
      <c r="H2948" s="41"/>
      <c r="I2948" s="41"/>
      <c r="J2948" s="41"/>
      <c r="K2948" s="41"/>
      <c r="L2948" s="41"/>
      <c r="M2948" s="41"/>
      <c r="N2948" s="41"/>
      <c r="O2948" s="41"/>
    </row>
    <row r="2949" spans="1:15">
      <c r="A2949" s="39"/>
      <c r="B2949" s="40"/>
      <c r="C2949" s="41"/>
      <c r="D2949" s="41"/>
      <c r="E2949" s="41"/>
      <c r="F2949" s="41"/>
      <c r="G2949" s="41"/>
      <c r="H2949" s="41"/>
      <c r="I2949" s="41"/>
      <c r="J2949" s="41"/>
      <c r="K2949" s="41"/>
      <c r="L2949" s="41"/>
      <c r="M2949" s="41"/>
      <c r="N2949" s="41"/>
      <c r="O2949" s="41"/>
    </row>
    <row r="2950" spans="1:15">
      <c r="A2950" s="39"/>
      <c r="B2950" s="40"/>
      <c r="C2950" s="41"/>
      <c r="D2950" s="41"/>
      <c r="E2950" s="41"/>
      <c r="F2950" s="41"/>
      <c r="G2950" s="41"/>
      <c r="H2950" s="41"/>
      <c r="I2950" s="41"/>
      <c r="J2950" s="41"/>
      <c r="K2950" s="41"/>
      <c r="L2950" s="41"/>
      <c r="M2950" s="41"/>
      <c r="N2950" s="41"/>
      <c r="O2950" s="41"/>
    </row>
    <row r="2951" spans="1:15">
      <c r="A2951" s="39"/>
      <c r="B2951" s="40"/>
      <c r="C2951" s="41"/>
      <c r="D2951" s="41"/>
      <c r="E2951" s="41"/>
      <c r="F2951" s="41"/>
      <c r="G2951" s="41"/>
      <c r="H2951" s="41"/>
      <c r="I2951" s="41"/>
      <c r="J2951" s="41"/>
      <c r="K2951" s="41"/>
      <c r="L2951" s="41"/>
      <c r="M2951" s="41"/>
      <c r="N2951" s="41"/>
      <c r="O2951" s="41"/>
    </row>
    <row r="2952" spans="1:15">
      <c r="A2952" s="39"/>
      <c r="B2952" s="40"/>
      <c r="C2952" s="41"/>
      <c r="D2952" s="41"/>
      <c r="E2952" s="41"/>
      <c r="F2952" s="41"/>
      <c r="G2952" s="41"/>
      <c r="H2952" s="41"/>
      <c r="I2952" s="41"/>
      <c r="J2952" s="41"/>
      <c r="K2952" s="41"/>
      <c r="L2952" s="41"/>
      <c r="M2952" s="41"/>
      <c r="N2952" s="41"/>
      <c r="O2952" s="41"/>
    </row>
    <row r="2953" spans="1:15">
      <c r="A2953" s="39"/>
      <c r="B2953" s="40"/>
      <c r="C2953" s="41"/>
      <c r="D2953" s="41"/>
      <c r="E2953" s="41"/>
      <c r="F2953" s="41"/>
      <c r="G2953" s="41"/>
      <c r="H2953" s="41"/>
      <c r="I2953" s="41"/>
      <c r="J2953" s="41"/>
      <c r="K2953" s="41"/>
      <c r="L2953" s="41"/>
      <c r="M2953" s="41"/>
      <c r="N2953" s="41"/>
      <c r="O2953" s="41"/>
    </row>
    <row r="2954" spans="1:15">
      <c r="A2954" s="39"/>
      <c r="B2954" s="40"/>
      <c r="C2954" s="41"/>
      <c r="D2954" s="41"/>
      <c r="E2954" s="41"/>
      <c r="F2954" s="41"/>
      <c r="G2954" s="41"/>
      <c r="H2954" s="41"/>
      <c r="I2954" s="41"/>
      <c r="J2954" s="41"/>
      <c r="K2954" s="41"/>
      <c r="L2954" s="41"/>
      <c r="M2954" s="41"/>
      <c r="N2954" s="41"/>
      <c r="O2954" s="41"/>
    </row>
    <row r="2955" spans="1:15">
      <c r="A2955" s="39"/>
      <c r="B2955" s="40"/>
      <c r="C2955" s="41"/>
      <c r="D2955" s="41"/>
      <c r="E2955" s="41"/>
      <c r="F2955" s="41"/>
      <c r="G2955" s="41"/>
      <c r="H2955" s="41"/>
      <c r="I2955" s="41"/>
      <c r="J2955" s="41"/>
      <c r="K2955" s="41"/>
      <c r="L2955" s="41"/>
      <c r="M2955" s="41"/>
      <c r="N2955" s="41"/>
      <c r="O2955" s="41"/>
    </row>
    <row r="2956" spans="1:15">
      <c r="A2956" s="39"/>
      <c r="B2956" s="40"/>
      <c r="C2956" s="41"/>
      <c r="D2956" s="41"/>
      <c r="E2956" s="41"/>
      <c r="F2956" s="41"/>
      <c r="G2956" s="41"/>
      <c r="H2956" s="41"/>
      <c r="I2956" s="41"/>
      <c r="J2956" s="41"/>
      <c r="K2956" s="41"/>
      <c r="L2956" s="41"/>
      <c r="M2956" s="41"/>
      <c r="N2956" s="41"/>
      <c r="O2956" s="41"/>
    </row>
    <row r="2957" spans="1:15">
      <c r="A2957" s="39"/>
      <c r="B2957" s="40"/>
      <c r="C2957" s="41"/>
      <c r="D2957" s="41"/>
      <c r="E2957" s="41"/>
      <c r="F2957" s="41"/>
      <c r="G2957" s="41"/>
      <c r="H2957" s="41"/>
      <c r="I2957" s="41"/>
      <c r="J2957" s="41"/>
      <c r="K2957" s="41"/>
      <c r="L2957" s="41"/>
      <c r="M2957" s="41"/>
      <c r="N2957" s="41"/>
      <c r="O2957" s="41"/>
    </row>
    <row r="2958" spans="1:15">
      <c r="A2958" s="39"/>
      <c r="B2958" s="40"/>
      <c r="C2958" s="41"/>
      <c r="D2958" s="41"/>
      <c r="E2958" s="41"/>
      <c r="F2958" s="41"/>
      <c r="G2958" s="41"/>
      <c r="H2958" s="41"/>
      <c r="I2958" s="41"/>
      <c r="J2958" s="41"/>
      <c r="K2958" s="41"/>
      <c r="L2958" s="41"/>
      <c r="M2958" s="41"/>
      <c r="N2958" s="41"/>
      <c r="O2958" s="41"/>
    </row>
    <row r="2959" spans="1:15">
      <c r="A2959" s="39"/>
      <c r="B2959" s="40"/>
      <c r="C2959" s="41"/>
      <c r="D2959" s="41"/>
      <c r="E2959" s="41"/>
      <c r="F2959" s="41"/>
      <c r="G2959" s="41"/>
      <c r="H2959" s="41"/>
      <c r="I2959" s="41"/>
      <c r="J2959" s="41"/>
      <c r="K2959" s="41"/>
      <c r="L2959" s="41"/>
      <c r="M2959" s="41"/>
      <c r="N2959" s="41"/>
      <c r="O2959" s="41"/>
    </row>
    <row r="2960" spans="1:15">
      <c r="A2960" s="39"/>
      <c r="B2960" s="40"/>
      <c r="C2960" s="41"/>
      <c r="D2960" s="41"/>
      <c r="E2960" s="41"/>
      <c r="F2960" s="41"/>
      <c r="G2960" s="41"/>
      <c r="H2960" s="41"/>
      <c r="I2960" s="41"/>
      <c r="J2960" s="41"/>
      <c r="K2960" s="41"/>
      <c r="L2960" s="41"/>
      <c r="M2960" s="41"/>
      <c r="N2960" s="41"/>
      <c r="O2960" s="41"/>
    </row>
    <row r="2961" spans="1:15">
      <c r="A2961" s="39"/>
      <c r="B2961" s="40"/>
      <c r="C2961" s="41"/>
      <c r="D2961" s="41"/>
      <c r="E2961" s="41"/>
      <c r="F2961" s="41"/>
      <c r="G2961" s="41"/>
      <c r="H2961" s="41"/>
      <c r="I2961" s="41"/>
      <c r="J2961" s="41"/>
      <c r="K2961" s="41"/>
      <c r="L2961" s="41"/>
      <c r="M2961" s="41"/>
      <c r="N2961" s="41"/>
      <c r="O2961" s="41"/>
    </row>
    <row r="2962" spans="1:15">
      <c r="A2962" s="39"/>
      <c r="B2962" s="40"/>
      <c r="C2962" s="41"/>
      <c r="D2962" s="41"/>
      <c r="E2962" s="41"/>
      <c r="F2962" s="41"/>
      <c r="G2962" s="41"/>
      <c r="H2962" s="41"/>
      <c r="I2962" s="41"/>
      <c r="J2962" s="41"/>
      <c r="K2962" s="41"/>
      <c r="L2962" s="41"/>
      <c r="M2962" s="41"/>
      <c r="N2962" s="41"/>
      <c r="O2962" s="41"/>
    </row>
    <row r="2963" spans="1:15">
      <c r="A2963" s="39"/>
      <c r="B2963" s="40"/>
      <c r="C2963" s="41"/>
      <c r="D2963" s="41"/>
      <c r="E2963" s="41"/>
      <c r="F2963" s="41"/>
      <c r="G2963" s="41"/>
      <c r="H2963" s="41"/>
      <c r="I2963" s="41"/>
      <c r="J2963" s="41"/>
      <c r="K2963" s="41"/>
      <c r="L2963" s="41"/>
      <c r="M2963" s="41"/>
      <c r="N2963" s="41"/>
      <c r="O2963" s="41"/>
    </row>
    <row r="2964" spans="1:15">
      <c r="A2964" s="39"/>
      <c r="B2964" s="40"/>
      <c r="C2964" s="41"/>
      <c r="D2964" s="41"/>
      <c r="E2964" s="41"/>
      <c r="F2964" s="41"/>
      <c r="G2964" s="41"/>
      <c r="H2964" s="41"/>
      <c r="I2964" s="41"/>
      <c r="J2964" s="41"/>
      <c r="K2964" s="41"/>
      <c r="L2964" s="41"/>
      <c r="M2964" s="41"/>
      <c r="N2964" s="41"/>
      <c r="O2964" s="41"/>
    </row>
    <row r="2965" spans="1:15">
      <c r="A2965" s="39"/>
      <c r="B2965" s="40"/>
      <c r="C2965" s="41"/>
      <c r="D2965" s="41"/>
      <c r="E2965" s="41"/>
      <c r="F2965" s="41"/>
      <c r="G2965" s="41"/>
      <c r="H2965" s="41"/>
      <c r="I2965" s="41"/>
      <c r="J2965" s="41"/>
      <c r="K2965" s="41"/>
      <c r="L2965" s="41"/>
      <c r="M2965" s="41"/>
      <c r="N2965" s="41"/>
      <c r="O2965" s="41"/>
    </row>
    <row r="2966" spans="1:15">
      <c r="A2966" s="39"/>
      <c r="B2966" s="40"/>
      <c r="C2966" s="41"/>
      <c r="D2966" s="41"/>
      <c r="E2966" s="41"/>
      <c r="F2966" s="41"/>
      <c r="G2966" s="41"/>
      <c r="H2966" s="41"/>
      <c r="I2966" s="41"/>
      <c r="J2966" s="41"/>
      <c r="K2966" s="41"/>
      <c r="L2966" s="41"/>
      <c r="M2966" s="41"/>
      <c r="N2966" s="41"/>
      <c r="O2966" s="41"/>
    </row>
    <row r="2967" spans="1:15">
      <c r="A2967" s="39"/>
      <c r="B2967" s="40"/>
      <c r="C2967" s="41"/>
      <c r="D2967" s="41"/>
      <c r="E2967" s="41"/>
      <c r="F2967" s="41"/>
      <c r="G2967" s="41"/>
      <c r="H2967" s="41"/>
      <c r="I2967" s="41"/>
      <c r="J2967" s="41"/>
      <c r="K2967" s="41"/>
      <c r="L2967" s="41"/>
      <c r="M2967" s="41"/>
      <c r="N2967" s="41"/>
      <c r="O2967" s="41"/>
    </row>
    <row r="2968" spans="1:15">
      <c r="A2968" s="39"/>
      <c r="B2968" s="40"/>
      <c r="C2968" s="41"/>
      <c r="D2968" s="41"/>
      <c r="E2968" s="41"/>
      <c r="F2968" s="41"/>
      <c r="G2968" s="41"/>
      <c r="H2968" s="41"/>
      <c r="I2968" s="41"/>
      <c r="J2968" s="41"/>
      <c r="K2968" s="41"/>
      <c r="L2968" s="41"/>
      <c r="M2968" s="41"/>
      <c r="N2968" s="41"/>
      <c r="O2968" s="41"/>
    </row>
    <row r="2969" spans="1:15">
      <c r="A2969" s="39"/>
      <c r="B2969" s="40"/>
      <c r="C2969" s="41"/>
      <c r="D2969" s="41"/>
      <c r="E2969" s="41"/>
      <c r="F2969" s="41"/>
      <c r="G2969" s="41"/>
      <c r="H2969" s="41"/>
      <c r="I2969" s="41"/>
      <c r="J2969" s="41"/>
      <c r="K2969" s="41"/>
      <c r="L2969" s="41"/>
      <c r="M2969" s="41"/>
      <c r="N2969" s="41"/>
      <c r="O2969" s="41"/>
    </row>
    <row r="2970" spans="1:15">
      <c r="A2970" s="39"/>
      <c r="B2970" s="40"/>
      <c r="C2970" s="41"/>
      <c r="D2970" s="41"/>
      <c r="E2970" s="41"/>
      <c r="F2970" s="41"/>
      <c r="G2970" s="41"/>
      <c r="H2970" s="41"/>
      <c r="I2970" s="41"/>
      <c r="J2970" s="41"/>
      <c r="K2970" s="41"/>
      <c r="L2970" s="41"/>
      <c r="M2970" s="41"/>
      <c r="N2970" s="41"/>
      <c r="O2970" s="41"/>
    </row>
    <row r="2971" spans="1:15">
      <c r="A2971" s="39"/>
      <c r="B2971" s="40"/>
      <c r="C2971" s="41"/>
      <c r="D2971" s="41"/>
      <c r="E2971" s="41"/>
      <c r="F2971" s="41"/>
      <c r="G2971" s="41"/>
      <c r="H2971" s="41"/>
      <c r="I2971" s="41"/>
      <c r="J2971" s="41"/>
      <c r="K2971" s="41"/>
      <c r="L2971" s="41"/>
      <c r="M2971" s="41"/>
      <c r="N2971" s="41"/>
      <c r="O2971" s="41"/>
    </row>
    <row r="2972" spans="1:15">
      <c r="A2972" s="39"/>
      <c r="B2972" s="40"/>
      <c r="C2972" s="41"/>
      <c r="D2972" s="41"/>
      <c r="E2972" s="41"/>
      <c r="F2972" s="41"/>
      <c r="G2972" s="41"/>
      <c r="H2972" s="41"/>
      <c r="I2972" s="41"/>
      <c r="J2972" s="41"/>
      <c r="K2972" s="41"/>
      <c r="L2972" s="41"/>
      <c r="M2972" s="41"/>
      <c r="N2972" s="41"/>
      <c r="O2972" s="41"/>
    </row>
    <row r="2973" spans="1:15">
      <c r="A2973" s="39"/>
      <c r="B2973" s="40"/>
      <c r="C2973" s="41"/>
      <c r="D2973" s="41"/>
      <c r="E2973" s="41"/>
      <c r="F2973" s="41"/>
      <c r="G2973" s="41"/>
      <c r="H2973" s="41"/>
      <c r="I2973" s="41"/>
      <c r="J2973" s="41"/>
      <c r="K2973" s="41"/>
      <c r="L2973" s="41"/>
      <c r="M2973" s="41"/>
      <c r="N2973" s="41"/>
      <c r="O2973" s="41"/>
    </row>
    <row r="2974" spans="1:15">
      <c r="A2974" s="39"/>
      <c r="B2974" s="40"/>
      <c r="C2974" s="41"/>
      <c r="D2974" s="41"/>
      <c r="E2974" s="41"/>
      <c r="F2974" s="41"/>
      <c r="G2974" s="41"/>
      <c r="H2974" s="41"/>
      <c r="I2974" s="41"/>
      <c r="J2974" s="41"/>
      <c r="K2974" s="41"/>
      <c r="L2974" s="41"/>
      <c r="M2974" s="41"/>
      <c r="N2974" s="41"/>
      <c r="O2974" s="41"/>
    </row>
    <row r="2975" spans="1:15">
      <c r="A2975" s="39"/>
      <c r="B2975" s="40"/>
      <c r="C2975" s="41"/>
      <c r="D2975" s="41"/>
      <c r="E2975" s="41"/>
      <c r="F2975" s="41"/>
      <c r="G2975" s="41"/>
      <c r="H2975" s="41"/>
      <c r="I2975" s="41"/>
      <c r="J2975" s="41"/>
      <c r="K2975" s="41"/>
      <c r="L2975" s="41"/>
      <c r="M2975" s="41"/>
      <c r="N2975" s="41"/>
      <c r="O2975" s="41"/>
    </row>
    <row r="2976" spans="1:15">
      <c r="A2976" s="39"/>
      <c r="B2976" s="40"/>
      <c r="C2976" s="41"/>
      <c r="D2976" s="41"/>
      <c r="E2976" s="41"/>
      <c r="F2976" s="41"/>
      <c r="G2976" s="41"/>
      <c r="H2976" s="41"/>
      <c r="I2976" s="41"/>
      <c r="J2976" s="41"/>
      <c r="K2976" s="41"/>
      <c r="L2976" s="41"/>
      <c r="M2976" s="41"/>
      <c r="N2976" s="41"/>
      <c r="O2976" s="41"/>
    </row>
    <row r="2977" spans="1:15">
      <c r="A2977" s="39"/>
      <c r="B2977" s="40"/>
      <c r="C2977" s="41"/>
      <c r="D2977" s="41"/>
      <c r="E2977" s="41"/>
      <c r="F2977" s="41"/>
      <c r="G2977" s="41"/>
      <c r="H2977" s="41"/>
      <c r="I2977" s="41"/>
      <c r="J2977" s="41"/>
      <c r="K2977" s="41"/>
      <c r="L2977" s="41"/>
      <c r="M2977" s="41"/>
      <c r="N2977" s="41"/>
      <c r="O2977" s="41"/>
    </row>
    <row r="2978" spans="1:15">
      <c r="A2978" s="39"/>
      <c r="B2978" s="40"/>
      <c r="C2978" s="41"/>
      <c r="D2978" s="41"/>
      <c r="E2978" s="41"/>
      <c r="F2978" s="41"/>
      <c r="G2978" s="41"/>
      <c r="H2978" s="41"/>
      <c r="I2978" s="41"/>
      <c r="J2978" s="41"/>
      <c r="K2978" s="41"/>
      <c r="L2978" s="41"/>
      <c r="M2978" s="41"/>
      <c r="N2978" s="41"/>
      <c r="O2978" s="41"/>
    </row>
    <row r="2979" spans="1:15">
      <c r="A2979" s="39"/>
      <c r="B2979" s="40"/>
      <c r="C2979" s="41"/>
      <c r="D2979" s="41"/>
      <c r="E2979" s="41"/>
      <c r="F2979" s="41"/>
      <c r="G2979" s="41"/>
      <c r="H2979" s="41"/>
      <c r="I2979" s="41"/>
      <c r="J2979" s="41"/>
      <c r="K2979" s="41"/>
      <c r="L2979" s="41"/>
      <c r="M2979" s="41"/>
      <c r="N2979" s="41"/>
      <c r="O2979" s="41"/>
    </row>
    <row r="2980" spans="1:15">
      <c r="A2980" s="39"/>
      <c r="B2980" s="40"/>
      <c r="C2980" s="41"/>
      <c r="D2980" s="41"/>
      <c r="E2980" s="41"/>
      <c r="F2980" s="41"/>
      <c r="G2980" s="41"/>
      <c r="H2980" s="41"/>
      <c r="I2980" s="41"/>
      <c r="J2980" s="41"/>
      <c r="K2980" s="41"/>
      <c r="L2980" s="41"/>
      <c r="M2980" s="41"/>
      <c r="N2980" s="41"/>
      <c r="O2980" s="41"/>
    </row>
    <row r="2981" spans="1:15">
      <c r="A2981" s="39"/>
      <c r="B2981" s="40"/>
      <c r="C2981" s="41"/>
      <c r="D2981" s="41"/>
      <c r="E2981" s="41"/>
      <c r="F2981" s="41"/>
      <c r="G2981" s="41"/>
      <c r="H2981" s="41"/>
      <c r="I2981" s="41"/>
      <c r="J2981" s="41"/>
      <c r="K2981" s="41"/>
      <c r="L2981" s="41"/>
      <c r="M2981" s="41"/>
      <c r="N2981" s="41"/>
      <c r="O2981" s="41"/>
    </row>
    <row r="2982" spans="1:15">
      <c r="A2982" s="39"/>
      <c r="B2982" s="40"/>
      <c r="C2982" s="41"/>
      <c r="D2982" s="41"/>
      <c r="E2982" s="41"/>
      <c r="F2982" s="41"/>
      <c r="G2982" s="41"/>
      <c r="H2982" s="41"/>
      <c r="I2982" s="41"/>
      <c r="J2982" s="41"/>
      <c r="K2982" s="41"/>
      <c r="L2982" s="41"/>
      <c r="M2982" s="41"/>
      <c r="N2982" s="41"/>
      <c r="O2982" s="41"/>
    </row>
    <row r="2983" spans="1:15">
      <c r="A2983" s="39"/>
      <c r="B2983" s="40"/>
      <c r="C2983" s="41"/>
      <c r="D2983" s="41"/>
      <c r="E2983" s="41"/>
      <c r="F2983" s="41"/>
      <c r="G2983" s="41"/>
      <c r="H2983" s="41"/>
      <c r="I2983" s="41"/>
      <c r="J2983" s="41"/>
      <c r="K2983" s="41"/>
      <c r="L2983" s="41"/>
      <c r="M2983" s="41"/>
      <c r="N2983" s="41"/>
      <c r="O2983" s="41"/>
    </row>
    <row r="2984" spans="1:15">
      <c r="A2984" s="39"/>
      <c r="B2984" s="40"/>
      <c r="C2984" s="41"/>
      <c r="D2984" s="41"/>
      <c r="E2984" s="41"/>
      <c r="F2984" s="41"/>
      <c r="G2984" s="41"/>
      <c r="H2984" s="41"/>
      <c r="I2984" s="41"/>
      <c r="J2984" s="41"/>
      <c r="K2984" s="41"/>
      <c r="L2984" s="41"/>
      <c r="M2984" s="41"/>
      <c r="N2984" s="41"/>
      <c r="O2984" s="41"/>
    </row>
    <row r="2985" spans="1:15">
      <c r="A2985" s="39"/>
      <c r="B2985" s="40"/>
      <c r="C2985" s="41"/>
      <c r="D2985" s="41"/>
      <c r="E2985" s="41"/>
      <c r="F2985" s="41"/>
      <c r="G2985" s="41"/>
      <c r="H2985" s="41"/>
      <c r="I2985" s="41"/>
      <c r="J2985" s="41"/>
      <c r="K2985" s="41"/>
      <c r="L2985" s="41"/>
      <c r="M2985" s="41"/>
      <c r="N2985" s="41"/>
      <c r="O2985" s="41"/>
    </row>
    <row r="2986" spans="1:15">
      <c r="A2986" s="39"/>
      <c r="B2986" s="40"/>
      <c r="C2986" s="41"/>
      <c r="D2986" s="41"/>
      <c r="E2986" s="41"/>
      <c r="F2986" s="41"/>
      <c r="G2986" s="41"/>
      <c r="H2986" s="41"/>
      <c r="I2986" s="41"/>
      <c r="J2986" s="41"/>
      <c r="K2986" s="41"/>
      <c r="L2986" s="41"/>
      <c r="M2986" s="41"/>
      <c r="N2986" s="41"/>
      <c r="O2986" s="41"/>
    </row>
    <row r="2987" spans="1:15">
      <c r="A2987" s="39"/>
      <c r="B2987" s="40"/>
      <c r="C2987" s="41"/>
      <c r="D2987" s="41"/>
      <c r="E2987" s="41"/>
      <c r="F2987" s="41"/>
      <c r="G2987" s="41"/>
      <c r="H2987" s="41"/>
      <c r="I2987" s="41"/>
      <c r="J2987" s="41"/>
      <c r="K2987" s="41"/>
      <c r="L2987" s="41"/>
      <c r="M2987" s="41"/>
      <c r="N2987" s="41"/>
      <c r="O2987" s="41"/>
    </row>
    <row r="2988" spans="1:15">
      <c r="A2988" s="39"/>
      <c r="B2988" s="40"/>
      <c r="C2988" s="41"/>
      <c r="D2988" s="41"/>
      <c r="E2988" s="41"/>
      <c r="F2988" s="41"/>
      <c r="G2988" s="41"/>
      <c r="H2988" s="41"/>
      <c r="I2988" s="41"/>
      <c r="J2988" s="41"/>
      <c r="K2988" s="41"/>
      <c r="L2988" s="41"/>
      <c r="M2988" s="41"/>
      <c r="N2988" s="41"/>
      <c r="O2988" s="41"/>
    </row>
    <row r="2989" spans="1:15">
      <c r="A2989" s="39"/>
      <c r="B2989" s="40"/>
      <c r="C2989" s="41"/>
      <c r="D2989" s="41"/>
      <c r="E2989" s="41"/>
      <c r="F2989" s="41"/>
      <c r="G2989" s="41"/>
      <c r="H2989" s="41"/>
      <c r="I2989" s="41"/>
      <c r="J2989" s="41"/>
      <c r="K2989" s="41"/>
      <c r="L2989" s="41"/>
      <c r="M2989" s="41"/>
      <c r="N2989" s="41"/>
      <c r="O2989" s="41"/>
    </row>
    <row r="2990" spans="1:15">
      <c r="A2990" s="39"/>
      <c r="B2990" s="40"/>
      <c r="C2990" s="41"/>
      <c r="D2990" s="41"/>
      <c r="E2990" s="41"/>
      <c r="F2990" s="41"/>
      <c r="G2990" s="41"/>
      <c r="H2990" s="41"/>
      <c r="I2990" s="41"/>
      <c r="J2990" s="41"/>
      <c r="K2990" s="41"/>
      <c r="L2990" s="41"/>
      <c r="M2990" s="41"/>
      <c r="N2990" s="41"/>
      <c r="O2990" s="41"/>
    </row>
    <row r="2991" spans="1:15">
      <c r="A2991" s="39"/>
      <c r="B2991" s="40"/>
      <c r="C2991" s="41"/>
      <c r="D2991" s="41"/>
      <c r="E2991" s="41"/>
      <c r="F2991" s="41"/>
      <c r="G2991" s="41"/>
      <c r="H2991" s="41"/>
      <c r="I2991" s="41"/>
      <c r="J2991" s="41"/>
      <c r="K2991" s="41"/>
      <c r="L2991" s="41"/>
      <c r="M2991" s="41"/>
      <c r="N2991" s="41"/>
      <c r="O2991" s="41"/>
    </row>
    <row r="2992" spans="1:15">
      <c r="A2992" s="39"/>
      <c r="B2992" s="40"/>
      <c r="C2992" s="41"/>
      <c r="D2992" s="41"/>
      <c r="E2992" s="41"/>
      <c r="F2992" s="41"/>
      <c r="G2992" s="41"/>
      <c r="H2992" s="41"/>
      <c r="I2992" s="41"/>
      <c r="J2992" s="41"/>
      <c r="K2992" s="41"/>
      <c r="L2992" s="41"/>
      <c r="M2992" s="41"/>
      <c r="N2992" s="41"/>
      <c r="O2992" s="41"/>
    </row>
    <row r="2993" spans="1:15">
      <c r="A2993" s="39"/>
      <c r="B2993" s="40"/>
      <c r="C2993" s="41"/>
      <c r="D2993" s="41"/>
      <c r="E2993" s="41"/>
      <c r="F2993" s="41"/>
      <c r="G2993" s="41"/>
      <c r="H2993" s="41"/>
      <c r="I2993" s="41"/>
      <c r="J2993" s="41"/>
      <c r="K2993" s="41"/>
      <c r="L2993" s="41"/>
      <c r="M2993" s="41"/>
      <c r="N2993" s="41"/>
      <c r="O2993" s="41"/>
    </row>
    <row r="2994" spans="1:15">
      <c r="A2994" s="39"/>
      <c r="B2994" s="40"/>
      <c r="C2994" s="41"/>
      <c r="D2994" s="41"/>
      <c r="E2994" s="41"/>
      <c r="F2994" s="41"/>
      <c r="G2994" s="41"/>
      <c r="H2994" s="41"/>
      <c r="I2994" s="41"/>
      <c r="J2994" s="41"/>
      <c r="K2994" s="41"/>
      <c r="L2994" s="41"/>
      <c r="M2994" s="41"/>
      <c r="N2994" s="41"/>
      <c r="O2994" s="41"/>
    </row>
    <row r="2995" spans="1:15">
      <c r="A2995" s="39"/>
      <c r="B2995" s="40"/>
      <c r="C2995" s="41"/>
      <c r="D2995" s="41"/>
      <c r="E2995" s="41"/>
      <c r="F2995" s="41"/>
      <c r="G2995" s="41"/>
      <c r="H2995" s="41"/>
      <c r="I2995" s="41"/>
      <c r="J2995" s="41"/>
      <c r="K2995" s="41"/>
      <c r="L2995" s="41"/>
      <c r="M2995" s="41"/>
      <c r="N2995" s="41"/>
      <c r="O2995" s="41"/>
    </row>
    <row r="2996" spans="1:15">
      <c r="A2996" s="39"/>
      <c r="B2996" s="40"/>
      <c r="C2996" s="41"/>
      <c r="D2996" s="41"/>
      <c r="E2996" s="41"/>
      <c r="F2996" s="41"/>
      <c r="G2996" s="41"/>
      <c r="H2996" s="41"/>
      <c r="I2996" s="41"/>
      <c r="J2996" s="41"/>
      <c r="K2996" s="41"/>
      <c r="L2996" s="41"/>
      <c r="M2996" s="41"/>
      <c r="N2996" s="41"/>
      <c r="O2996" s="41"/>
    </row>
    <row r="2997" spans="1:15">
      <c r="A2997" s="39"/>
      <c r="B2997" s="40"/>
      <c r="C2997" s="41"/>
      <c r="D2997" s="41"/>
      <c r="E2997" s="41"/>
      <c r="F2997" s="41"/>
      <c r="G2997" s="41"/>
      <c r="H2997" s="41"/>
      <c r="I2997" s="41"/>
      <c r="J2997" s="41"/>
      <c r="K2997" s="41"/>
      <c r="L2997" s="41"/>
      <c r="M2997" s="41"/>
      <c r="N2997" s="41"/>
      <c r="O2997" s="41"/>
    </row>
    <row r="2998" spans="1:15">
      <c r="A2998" s="39"/>
      <c r="B2998" s="40"/>
      <c r="C2998" s="41"/>
      <c r="D2998" s="41"/>
      <c r="E2998" s="41"/>
      <c r="F2998" s="41"/>
      <c r="G2998" s="41"/>
      <c r="H2998" s="41"/>
      <c r="I2998" s="41"/>
      <c r="J2998" s="41"/>
      <c r="K2998" s="41"/>
      <c r="L2998" s="41"/>
      <c r="M2998" s="41"/>
      <c r="N2998" s="41"/>
      <c r="O2998" s="41"/>
    </row>
    <row r="2999" spans="1:15">
      <c r="A2999" s="39"/>
      <c r="B2999" s="40"/>
      <c r="C2999" s="41"/>
      <c r="D2999" s="41"/>
      <c r="E2999" s="41"/>
      <c r="F2999" s="41"/>
      <c r="G2999" s="41"/>
      <c r="H2999" s="41"/>
      <c r="I2999" s="41"/>
      <c r="J2999" s="41"/>
      <c r="K2999" s="41"/>
      <c r="L2999" s="41"/>
      <c r="M2999" s="41"/>
      <c r="N2999" s="41"/>
      <c r="O2999" s="41"/>
    </row>
    <row r="3000" spans="1:15">
      <c r="A3000" s="39"/>
      <c r="B3000" s="40"/>
      <c r="C3000" s="41"/>
      <c r="D3000" s="41"/>
      <c r="E3000" s="41"/>
      <c r="F3000" s="41"/>
      <c r="G3000" s="41"/>
      <c r="H3000" s="41"/>
      <c r="I3000" s="41"/>
      <c r="J3000" s="41"/>
      <c r="K3000" s="41"/>
      <c r="L3000" s="41"/>
      <c r="M3000" s="41"/>
      <c r="N3000" s="41"/>
      <c r="O3000" s="41"/>
    </row>
    <row r="3001" spans="1:15">
      <c r="A3001" s="39"/>
      <c r="B3001" s="40"/>
      <c r="C3001" s="41"/>
      <c r="D3001" s="41"/>
      <c r="E3001" s="41"/>
      <c r="F3001" s="41"/>
      <c r="G3001" s="41"/>
      <c r="H3001" s="41"/>
      <c r="I3001" s="41"/>
      <c r="J3001" s="41"/>
      <c r="K3001" s="41"/>
      <c r="L3001" s="41"/>
      <c r="M3001" s="41"/>
      <c r="N3001" s="41"/>
      <c r="O3001" s="41"/>
    </row>
    <row r="3002" spans="1:15">
      <c r="A3002" s="39"/>
      <c r="B3002" s="40"/>
      <c r="C3002" s="41"/>
      <c r="D3002" s="41"/>
      <c r="E3002" s="41"/>
      <c r="F3002" s="41"/>
      <c r="G3002" s="41"/>
      <c r="H3002" s="41"/>
      <c r="I3002" s="41"/>
      <c r="J3002" s="41"/>
      <c r="K3002" s="41"/>
      <c r="L3002" s="41"/>
      <c r="M3002" s="41"/>
      <c r="N3002" s="41"/>
      <c r="O3002" s="41"/>
    </row>
    <row r="3003" spans="1:15">
      <c r="A3003" s="39"/>
      <c r="B3003" s="40"/>
      <c r="C3003" s="41"/>
      <c r="D3003" s="41"/>
      <c r="E3003" s="41"/>
      <c r="F3003" s="41"/>
      <c r="G3003" s="41"/>
      <c r="H3003" s="41"/>
      <c r="I3003" s="41"/>
      <c r="J3003" s="41"/>
      <c r="K3003" s="41"/>
      <c r="L3003" s="41"/>
      <c r="M3003" s="41"/>
      <c r="N3003" s="41"/>
      <c r="O3003" s="41"/>
    </row>
    <row r="3004" spans="1:15">
      <c r="A3004" s="39"/>
      <c r="B3004" s="40"/>
      <c r="C3004" s="41"/>
      <c r="D3004" s="41"/>
      <c r="E3004" s="41"/>
      <c r="F3004" s="41"/>
      <c r="G3004" s="41"/>
      <c r="H3004" s="41"/>
      <c r="I3004" s="41"/>
      <c r="J3004" s="41"/>
      <c r="K3004" s="41"/>
      <c r="L3004" s="41"/>
      <c r="M3004" s="41"/>
      <c r="N3004" s="41"/>
      <c r="O3004" s="41"/>
    </row>
    <row r="3005" spans="1:15">
      <c r="A3005" s="39"/>
      <c r="B3005" s="40"/>
      <c r="C3005" s="41"/>
      <c r="D3005" s="41"/>
      <c r="E3005" s="41"/>
      <c r="F3005" s="41"/>
      <c r="G3005" s="41"/>
      <c r="H3005" s="41"/>
      <c r="I3005" s="41"/>
      <c r="J3005" s="41"/>
      <c r="K3005" s="41"/>
      <c r="L3005" s="41"/>
      <c r="M3005" s="41"/>
      <c r="N3005" s="41"/>
      <c r="O3005" s="41"/>
    </row>
    <row r="3006" spans="1:15">
      <c r="A3006" s="39"/>
      <c r="B3006" s="40"/>
      <c r="C3006" s="41"/>
      <c r="D3006" s="41"/>
      <c r="E3006" s="41"/>
      <c r="F3006" s="41"/>
      <c r="G3006" s="41"/>
      <c r="H3006" s="41"/>
      <c r="I3006" s="41"/>
      <c r="J3006" s="41"/>
      <c r="K3006" s="41"/>
      <c r="L3006" s="41"/>
      <c r="M3006" s="41"/>
      <c r="N3006" s="41"/>
      <c r="O3006" s="41"/>
    </row>
    <row r="3007" spans="1:15">
      <c r="A3007" s="39"/>
      <c r="B3007" s="40"/>
      <c r="C3007" s="41"/>
      <c r="D3007" s="41"/>
      <c r="E3007" s="41"/>
      <c r="F3007" s="41"/>
      <c r="G3007" s="41"/>
      <c r="H3007" s="41"/>
      <c r="I3007" s="41"/>
      <c r="J3007" s="41"/>
      <c r="K3007" s="41"/>
      <c r="L3007" s="41"/>
      <c r="M3007" s="41"/>
      <c r="N3007" s="41"/>
      <c r="O3007" s="41"/>
    </row>
    <row r="3008" spans="1:15">
      <c r="A3008" s="39"/>
      <c r="B3008" s="40"/>
      <c r="C3008" s="41"/>
      <c r="D3008" s="41"/>
      <c r="E3008" s="41"/>
      <c r="F3008" s="41"/>
      <c r="G3008" s="41"/>
      <c r="H3008" s="41"/>
      <c r="I3008" s="41"/>
      <c r="J3008" s="41"/>
      <c r="K3008" s="41"/>
      <c r="L3008" s="41"/>
      <c r="M3008" s="41"/>
      <c r="N3008" s="41"/>
      <c r="O3008" s="41"/>
    </row>
    <row r="3009" spans="1:15">
      <c r="A3009" s="39"/>
      <c r="B3009" s="40"/>
      <c r="C3009" s="41"/>
      <c r="D3009" s="41"/>
      <c r="E3009" s="41"/>
      <c r="F3009" s="41"/>
      <c r="G3009" s="41"/>
      <c r="H3009" s="41"/>
      <c r="I3009" s="41"/>
      <c r="J3009" s="41"/>
      <c r="K3009" s="41"/>
      <c r="L3009" s="41"/>
      <c r="M3009" s="41"/>
      <c r="N3009" s="41"/>
      <c r="O3009" s="41"/>
    </row>
    <row r="3010" spans="1:15">
      <c r="A3010" s="39"/>
      <c r="B3010" s="40"/>
      <c r="C3010" s="41"/>
      <c r="D3010" s="41"/>
      <c r="E3010" s="41"/>
      <c r="F3010" s="41"/>
      <c r="G3010" s="41"/>
      <c r="H3010" s="41"/>
      <c r="I3010" s="41"/>
      <c r="J3010" s="41"/>
      <c r="K3010" s="41"/>
      <c r="L3010" s="41"/>
      <c r="M3010" s="41"/>
      <c r="N3010" s="41"/>
      <c r="O3010" s="41"/>
    </row>
    <row r="3011" spans="1:15">
      <c r="A3011" s="39"/>
      <c r="B3011" s="40"/>
      <c r="C3011" s="41"/>
      <c r="D3011" s="41"/>
      <c r="E3011" s="41"/>
      <c r="F3011" s="41"/>
      <c r="G3011" s="41"/>
      <c r="H3011" s="41"/>
      <c r="I3011" s="41"/>
      <c r="J3011" s="41"/>
      <c r="K3011" s="41"/>
      <c r="L3011" s="41"/>
      <c r="M3011" s="41"/>
      <c r="N3011" s="41"/>
      <c r="O3011" s="41"/>
    </row>
    <row r="3012" spans="1:15">
      <c r="A3012" s="39"/>
      <c r="B3012" s="40"/>
      <c r="C3012" s="41"/>
      <c r="D3012" s="41"/>
      <c r="E3012" s="41"/>
      <c r="F3012" s="41"/>
      <c r="G3012" s="41"/>
      <c r="H3012" s="41"/>
      <c r="I3012" s="41"/>
      <c r="J3012" s="41"/>
      <c r="K3012" s="41"/>
      <c r="L3012" s="41"/>
      <c r="M3012" s="41"/>
      <c r="N3012" s="41"/>
      <c r="O3012" s="41"/>
    </row>
    <row r="3013" spans="1:15">
      <c r="A3013" s="39"/>
      <c r="B3013" s="40"/>
      <c r="C3013" s="41"/>
      <c r="D3013" s="41"/>
      <c r="E3013" s="41"/>
      <c r="F3013" s="41"/>
      <c r="G3013" s="41"/>
      <c r="H3013" s="41"/>
      <c r="I3013" s="41"/>
      <c r="J3013" s="41"/>
      <c r="K3013" s="41"/>
      <c r="L3013" s="41"/>
      <c r="M3013" s="41"/>
      <c r="N3013" s="41"/>
      <c r="O3013" s="41"/>
    </row>
    <row r="3014" spans="1:15">
      <c r="A3014" s="39"/>
      <c r="B3014" s="40"/>
      <c r="C3014" s="41"/>
      <c r="D3014" s="41"/>
      <c r="E3014" s="41"/>
      <c r="F3014" s="41"/>
      <c r="G3014" s="41"/>
      <c r="H3014" s="41"/>
      <c r="I3014" s="41"/>
      <c r="J3014" s="41"/>
      <c r="K3014" s="41"/>
      <c r="L3014" s="41"/>
      <c r="M3014" s="41"/>
      <c r="N3014" s="41"/>
      <c r="O3014" s="41"/>
    </row>
    <row r="3015" spans="1:15">
      <c r="A3015" s="39"/>
      <c r="B3015" s="40"/>
      <c r="C3015" s="41"/>
      <c r="D3015" s="41"/>
      <c r="E3015" s="41"/>
      <c r="F3015" s="41"/>
      <c r="G3015" s="41"/>
      <c r="H3015" s="41"/>
      <c r="I3015" s="41"/>
      <c r="J3015" s="41"/>
      <c r="K3015" s="41"/>
      <c r="L3015" s="41"/>
      <c r="M3015" s="41"/>
      <c r="N3015" s="41"/>
      <c r="O3015" s="41"/>
    </row>
    <row r="3016" spans="1:15">
      <c r="A3016" s="39"/>
      <c r="B3016" s="40"/>
      <c r="C3016" s="41"/>
      <c r="D3016" s="41"/>
      <c r="E3016" s="41"/>
      <c r="F3016" s="41"/>
      <c r="G3016" s="41"/>
      <c r="H3016" s="41"/>
      <c r="I3016" s="41"/>
      <c r="J3016" s="41"/>
      <c r="K3016" s="41"/>
      <c r="L3016" s="41"/>
      <c r="M3016" s="41"/>
      <c r="N3016" s="41"/>
      <c r="O3016" s="41"/>
    </row>
    <row r="3017" spans="1:15">
      <c r="A3017" s="39"/>
      <c r="B3017" s="40"/>
      <c r="C3017" s="41"/>
      <c r="D3017" s="41"/>
      <c r="E3017" s="41"/>
      <c r="F3017" s="41"/>
      <c r="G3017" s="41"/>
      <c r="H3017" s="41"/>
      <c r="I3017" s="41"/>
      <c r="J3017" s="41"/>
      <c r="K3017" s="41"/>
      <c r="L3017" s="41"/>
      <c r="M3017" s="41"/>
      <c r="N3017" s="41"/>
      <c r="O3017" s="41"/>
    </row>
    <row r="3018" spans="1:15">
      <c r="A3018" s="39"/>
      <c r="B3018" s="40"/>
      <c r="C3018" s="41"/>
      <c r="D3018" s="41"/>
      <c r="E3018" s="41"/>
      <c r="F3018" s="41"/>
      <c r="G3018" s="41"/>
      <c r="H3018" s="41"/>
      <c r="I3018" s="41"/>
      <c r="J3018" s="41"/>
      <c r="K3018" s="41"/>
      <c r="L3018" s="41"/>
      <c r="M3018" s="41"/>
      <c r="N3018" s="41"/>
      <c r="O3018" s="41"/>
    </row>
    <row r="3019" spans="1:15">
      <c r="A3019" s="39"/>
      <c r="B3019" s="40"/>
      <c r="C3019" s="41"/>
      <c r="D3019" s="41"/>
      <c r="E3019" s="41"/>
      <c r="F3019" s="41"/>
      <c r="G3019" s="41"/>
      <c r="H3019" s="41"/>
      <c r="I3019" s="41"/>
      <c r="J3019" s="41"/>
      <c r="K3019" s="41"/>
      <c r="L3019" s="41"/>
      <c r="M3019" s="41"/>
      <c r="N3019" s="41"/>
      <c r="O3019" s="41"/>
    </row>
    <row r="3020" spans="1:15">
      <c r="A3020" s="39"/>
      <c r="B3020" s="40"/>
      <c r="C3020" s="41"/>
      <c r="D3020" s="41"/>
      <c r="E3020" s="41"/>
      <c r="F3020" s="41"/>
      <c r="G3020" s="41"/>
      <c r="H3020" s="41"/>
      <c r="I3020" s="41"/>
      <c r="J3020" s="41"/>
      <c r="K3020" s="41"/>
      <c r="L3020" s="41"/>
      <c r="M3020" s="41"/>
      <c r="N3020" s="41"/>
      <c r="O3020" s="41"/>
    </row>
    <row r="3021" spans="1:15">
      <c r="A3021" s="39"/>
      <c r="B3021" s="40"/>
      <c r="C3021" s="41"/>
      <c r="D3021" s="41"/>
      <c r="E3021" s="41"/>
      <c r="F3021" s="41"/>
      <c r="G3021" s="41"/>
      <c r="H3021" s="41"/>
      <c r="I3021" s="41"/>
      <c r="J3021" s="41"/>
      <c r="K3021" s="41"/>
      <c r="L3021" s="41"/>
      <c r="M3021" s="41"/>
      <c r="N3021" s="41"/>
      <c r="O3021" s="41"/>
    </row>
    <row r="3022" spans="1:15">
      <c r="A3022" s="39"/>
      <c r="B3022" s="40"/>
      <c r="C3022" s="41"/>
      <c r="D3022" s="41"/>
      <c r="E3022" s="41"/>
      <c r="F3022" s="41"/>
      <c r="G3022" s="41"/>
      <c r="H3022" s="41"/>
      <c r="I3022" s="41"/>
      <c r="J3022" s="41"/>
      <c r="K3022" s="41"/>
      <c r="L3022" s="41"/>
      <c r="M3022" s="41"/>
      <c r="N3022" s="41"/>
      <c r="O3022" s="41"/>
    </row>
    <row r="3023" spans="1:15">
      <c r="A3023" s="39"/>
      <c r="B3023" s="40"/>
      <c r="C3023" s="41"/>
      <c r="D3023" s="41"/>
      <c r="E3023" s="41"/>
      <c r="F3023" s="41"/>
      <c r="G3023" s="41"/>
      <c r="H3023" s="41"/>
      <c r="I3023" s="41"/>
      <c r="J3023" s="41"/>
      <c r="K3023" s="41"/>
      <c r="L3023" s="41"/>
      <c r="M3023" s="41"/>
      <c r="N3023" s="41"/>
      <c r="O3023" s="41"/>
    </row>
    <row r="3024" spans="1:15">
      <c r="A3024" s="39"/>
      <c r="B3024" s="40"/>
      <c r="C3024" s="41"/>
      <c r="D3024" s="41"/>
      <c r="E3024" s="41"/>
      <c r="F3024" s="41"/>
      <c r="G3024" s="41"/>
      <c r="H3024" s="41"/>
      <c r="I3024" s="41"/>
      <c r="J3024" s="41"/>
      <c r="K3024" s="41"/>
      <c r="L3024" s="41"/>
      <c r="M3024" s="41"/>
      <c r="N3024" s="41"/>
      <c r="O3024" s="41"/>
    </row>
    <row r="3025" spans="1:15">
      <c r="A3025" s="39"/>
      <c r="B3025" s="40"/>
      <c r="C3025" s="41"/>
      <c r="D3025" s="41"/>
      <c r="E3025" s="41"/>
      <c r="F3025" s="41"/>
      <c r="G3025" s="41"/>
      <c r="H3025" s="41"/>
      <c r="I3025" s="41"/>
      <c r="J3025" s="41"/>
      <c r="K3025" s="41"/>
      <c r="L3025" s="41"/>
      <c r="M3025" s="41"/>
      <c r="N3025" s="41"/>
      <c r="O3025" s="41"/>
    </row>
    <row r="3026" spans="1:15">
      <c r="A3026" s="39"/>
      <c r="B3026" s="40"/>
      <c r="C3026" s="41"/>
      <c r="D3026" s="41"/>
      <c r="E3026" s="41"/>
      <c r="F3026" s="41"/>
      <c r="G3026" s="41"/>
      <c r="H3026" s="41"/>
      <c r="I3026" s="41"/>
      <c r="J3026" s="41"/>
      <c r="K3026" s="41"/>
      <c r="L3026" s="41"/>
      <c r="M3026" s="41"/>
      <c r="N3026" s="41"/>
      <c r="O3026" s="41"/>
    </row>
    <row r="3027" spans="1:15">
      <c r="A3027" s="39"/>
      <c r="B3027" s="40"/>
      <c r="C3027" s="41"/>
      <c r="D3027" s="41"/>
      <c r="E3027" s="41"/>
      <c r="F3027" s="41"/>
      <c r="G3027" s="41"/>
      <c r="H3027" s="41"/>
      <c r="I3027" s="41"/>
      <c r="J3027" s="41"/>
      <c r="K3027" s="41"/>
      <c r="L3027" s="41"/>
      <c r="M3027" s="41"/>
      <c r="N3027" s="41"/>
      <c r="O3027" s="41"/>
    </row>
    <row r="3028" spans="1:15">
      <c r="A3028" s="39"/>
      <c r="B3028" s="40"/>
      <c r="C3028" s="41"/>
      <c r="D3028" s="41"/>
      <c r="E3028" s="41"/>
      <c r="F3028" s="41"/>
      <c r="G3028" s="41"/>
      <c r="H3028" s="41"/>
      <c r="I3028" s="41"/>
      <c r="J3028" s="41"/>
      <c r="K3028" s="41"/>
      <c r="L3028" s="41"/>
      <c r="M3028" s="41"/>
      <c r="N3028" s="41"/>
      <c r="O3028" s="41"/>
    </row>
    <row r="3029" spans="1:15">
      <c r="A3029" s="39"/>
      <c r="B3029" s="40"/>
      <c r="C3029" s="41"/>
      <c r="D3029" s="41"/>
      <c r="E3029" s="41"/>
      <c r="F3029" s="41"/>
      <c r="G3029" s="41"/>
      <c r="H3029" s="41"/>
      <c r="I3029" s="41"/>
      <c r="J3029" s="41"/>
      <c r="K3029" s="41"/>
      <c r="L3029" s="41"/>
      <c r="M3029" s="41"/>
      <c r="N3029" s="41"/>
      <c r="O3029" s="41"/>
    </row>
    <row r="3030" spans="1:15">
      <c r="A3030" s="39"/>
      <c r="B3030" s="40"/>
      <c r="C3030" s="41"/>
      <c r="D3030" s="41"/>
      <c r="E3030" s="41"/>
      <c r="F3030" s="41"/>
      <c r="G3030" s="41"/>
      <c r="H3030" s="41"/>
      <c r="I3030" s="41"/>
      <c r="J3030" s="41"/>
      <c r="K3030" s="41"/>
      <c r="L3030" s="41"/>
      <c r="M3030" s="41"/>
      <c r="N3030" s="41"/>
      <c r="O3030" s="41"/>
    </row>
    <row r="3031" spans="1:15">
      <c r="A3031" s="39"/>
      <c r="B3031" s="40"/>
      <c r="C3031" s="41"/>
      <c r="D3031" s="41"/>
      <c r="E3031" s="41"/>
      <c r="F3031" s="41"/>
      <c r="G3031" s="41"/>
      <c r="H3031" s="41"/>
      <c r="I3031" s="41"/>
      <c r="J3031" s="41"/>
      <c r="K3031" s="41"/>
      <c r="L3031" s="41"/>
      <c r="M3031" s="41"/>
      <c r="N3031" s="41"/>
      <c r="O3031" s="41"/>
    </row>
    <row r="3032" spans="1:15">
      <c r="A3032" s="39"/>
      <c r="B3032" s="40"/>
      <c r="C3032" s="41"/>
      <c r="D3032" s="41"/>
      <c r="E3032" s="41"/>
      <c r="F3032" s="41"/>
      <c r="G3032" s="41"/>
      <c r="H3032" s="41"/>
      <c r="I3032" s="41"/>
      <c r="J3032" s="41"/>
      <c r="K3032" s="41"/>
      <c r="L3032" s="41"/>
      <c r="M3032" s="41"/>
      <c r="N3032" s="41"/>
      <c r="O3032" s="41"/>
    </row>
    <row r="3033" spans="1:15">
      <c r="A3033" s="39"/>
      <c r="B3033" s="40"/>
      <c r="C3033" s="41"/>
      <c r="D3033" s="41"/>
      <c r="E3033" s="41"/>
      <c r="F3033" s="41"/>
      <c r="G3033" s="41"/>
      <c r="H3033" s="41"/>
      <c r="I3033" s="41"/>
      <c r="J3033" s="41"/>
      <c r="K3033" s="41"/>
      <c r="L3033" s="41"/>
      <c r="M3033" s="41"/>
      <c r="N3033" s="41"/>
      <c r="O3033" s="41"/>
    </row>
    <row r="3034" spans="1:15">
      <c r="A3034" s="39"/>
      <c r="B3034" s="40"/>
      <c r="C3034" s="41"/>
      <c r="D3034" s="41"/>
      <c r="E3034" s="41"/>
      <c r="F3034" s="41"/>
      <c r="G3034" s="41"/>
      <c r="H3034" s="41"/>
      <c r="I3034" s="41"/>
      <c r="J3034" s="41"/>
      <c r="K3034" s="41"/>
      <c r="L3034" s="41"/>
      <c r="M3034" s="41"/>
      <c r="N3034" s="41"/>
      <c r="O3034" s="41"/>
    </row>
    <row r="3035" spans="1:15">
      <c r="A3035" s="39"/>
      <c r="B3035" s="40"/>
      <c r="C3035" s="41"/>
      <c r="D3035" s="41"/>
      <c r="E3035" s="41"/>
      <c r="F3035" s="41"/>
      <c r="G3035" s="41"/>
      <c r="H3035" s="41"/>
      <c r="I3035" s="41"/>
      <c r="J3035" s="41"/>
      <c r="K3035" s="41"/>
      <c r="L3035" s="41"/>
      <c r="M3035" s="41"/>
      <c r="N3035" s="41"/>
      <c r="O3035" s="41"/>
    </row>
    <row r="3036" spans="1:15">
      <c r="A3036" s="39"/>
      <c r="B3036" s="40"/>
      <c r="C3036" s="41"/>
      <c r="D3036" s="41"/>
      <c r="E3036" s="41"/>
      <c r="F3036" s="41"/>
      <c r="G3036" s="41"/>
      <c r="H3036" s="41"/>
      <c r="I3036" s="41"/>
      <c r="J3036" s="41"/>
      <c r="K3036" s="41"/>
      <c r="L3036" s="41"/>
      <c r="M3036" s="41"/>
      <c r="N3036" s="41"/>
      <c r="O3036" s="41"/>
    </row>
    <row r="3037" spans="1:15">
      <c r="A3037" s="39"/>
      <c r="B3037" s="40"/>
      <c r="C3037" s="41"/>
      <c r="D3037" s="41"/>
      <c r="E3037" s="41"/>
      <c r="F3037" s="41"/>
      <c r="G3037" s="41"/>
      <c r="H3037" s="41"/>
      <c r="I3037" s="41"/>
      <c r="J3037" s="41"/>
      <c r="K3037" s="41"/>
      <c r="L3037" s="41"/>
      <c r="M3037" s="41"/>
      <c r="N3037" s="41"/>
      <c r="O3037" s="41"/>
    </row>
    <row r="3038" spans="1:15">
      <c r="A3038" s="39"/>
      <c r="B3038" s="40"/>
      <c r="C3038" s="41"/>
      <c r="D3038" s="41"/>
      <c r="E3038" s="41"/>
      <c r="F3038" s="41"/>
      <c r="G3038" s="41"/>
      <c r="H3038" s="41"/>
      <c r="I3038" s="41"/>
      <c r="J3038" s="41"/>
      <c r="K3038" s="41"/>
      <c r="L3038" s="41"/>
      <c r="M3038" s="41"/>
      <c r="N3038" s="41"/>
      <c r="O3038" s="41"/>
    </row>
    <row r="3039" spans="1:15">
      <c r="A3039" s="39"/>
      <c r="B3039" s="40"/>
      <c r="C3039" s="41"/>
      <c r="D3039" s="41"/>
      <c r="E3039" s="41"/>
      <c r="F3039" s="41"/>
      <c r="G3039" s="41"/>
      <c r="H3039" s="41"/>
      <c r="I3039" s="41"/>
      <c r="J3039" s="41"/>
      <c r="K3039" s="41"/>
      <c r="L3039" s="41"/>
      <c r="M3039" s="41"/>
      <c r="N3039" s="41"/>
      <c r="O3039" s="41"/>
    </row>
    <row r="3040" spans="1:15">
      <c r="A3040" s="39"/>
      <c r="B3040" s="40"/>
      <c r="C3040" s="41"/>
      <c r="D3040" s="41"/>
      <c r="E3040" s="41"/>
      <c r="F3040" s="41"/>
      <c r="G3040" s="41"/>
      <c r="H3040" s="41"/>
      <c r="I3040" s="41"/>
      <c r="J3040" s="41"/>
      <c r="K3040" s="41"/>
      <c r="L3040" s="41"/>
      <c r="M3040" s="41"/>
      <c r="N3040" s="41"/>
      <c r="O3040" s="41"/>
    </row>
    <row r="3041" spans="1:15">
      <c r="A3041" s="39"/>
      <c r="B3041" s="40"/>
      <c r="C3041" s="41"/>
      <c r="D3041" s="41"/>
      <c r="E3041" s="41"/>
      <c r="F3041" s="41"/>
      <c r="G3041" s="41"/>
      <c r="H3041" s="41"/>
      <c r="I3041" s="41"/>
      <c r="J3041" s="41"/>
      <c r="K3041" s="41"/>
      <c r="L3041" s="41"/>
      <c r="M3041" s="41"/>
      <c r="N3041" s="41"/>
      <c r="O3041" s="41"/>
    </row>
    <row r="3042" spans="1:15">
      <c r="A3042" s="39"/>
      <c r="B3042" s="40"/>
      <c r="C3042" s="41"/>
      <c r="D3042" s="41"/>
      <c r="E3042" s="41"/>
      <c r="F3042" s="41"/>
      <c r="G3042" s="41"/>
      <c r="H3042" s="41"/>
      <c r="I3042" s="41"/>
      <c r="J3042" s="41"/>
      <c r="K3042" s="41"/>
      <c r="L3042" s="41"/>
      <c r="M3042" s="41"/>
      <c r="N3042" s="41"/>
      <c r="O3042" s="41"/>
    </row>
    <row r="3043" spans="1:15">
      <c r="A3043" s="39"/>
      <c r="B3043" s="40"/>
      <c r="C3043" s="41"/>
      <c r="D3043" s="41"/>
      <c r="E3043" s="41"/>
      <c r="F3043" s="41"/>
      <c r="G3043" s="41"/>
      <c r="H3043" s="41"/>
      <c r="I3043" s="41"/>
      <c r="J3043" s="41"/>
      <c r="K3043" s="41"/>
      <c r="L3043" s="41"/>
      <c r="M3043" s="41"/>
      <c r="N3043" s="41"/>
      <c r="O3043" s="41"/>
    </row>
    <row r="3044" spans="1:15">
      <c r="A3044" s="39"/>
      <c r="B3044" s="40"/>
      <c r="C3044" s="41"/>
      <c r="D3044" s="41"/>
      <c r="E3044" s="41"/>
      <c r="F3044" s="41"/>
      <c r="G3044" s="41"/>
      <c r="H3044" s="41"/>
      <c r="I3044" s="41"/>
      <c r="J3044" s="41"/>
      <c r="K3044" s="41"/>
      <c r="L3044" s="41"/>
      <c r="M3044" s="41"/>
      <c r="N3044" s="41"/>
      <c r="O3044" s="41"/>
    </row>
    <row r="3045" spans="1:15">
      <c r="A3045" s="39"/>
      <c r="B3045" s="40"/>
      <c r="C3045" s="41"/>
      <c r="D3045" s="41"/>
      <c r="E3045" s="41"/>
      <c r="F3045" s="41"/>
      <c r="G3045" s="41"/>
      <c r="H3045" s="41"/>
      <c r="I3045" s="41"/>
      <c r="J3045" s="41"/>
      <c r="K3045" s="41"/>
      <c r="L3045" s="41"/>
      <c r="M3045" s="41"/>
      <c r="N3045" s="41"/>
      <c r="O3045" s="41"/>
    </row>
    <row r="3046" spans="1:15">
      <c r="A3046" s="39"/>
      <c r="B3046" s="40"/>
      <c r="C3046" s="41"/>
      <c r="D3046" s="41"/>
      <c r="E3046" s="41"/>
      <c r="F3046" s="41"/>
      <c r="G3046" s="41"/>
      <c r="H3046" s="41"/>
      <c r="I3046" s="41"/>
      <c r="J3046" s="41"/>
      <c r="K3046" s="41"/>
      <c r="L3046" s="41"/>
      <c r="M3046" s="41"/>
      <c r="N3046" s="41"/>
      <c r="O3046" s="41"/>
    </row>
    <row r="3047" spans="1:15">
      <c r="A3047" s="39"/>
      <c r="B3047" s="40"/>
      <c r="C3047" s="41"/>
      <c r="D3047" s="41"/>
      <c r="E3047" s="41"/>
      <c r="F3047" s="41"/>
      <c r="G3047" s="41"/>
      <c r="H3047" s="41"/>
      <c r="I3047" s="41"/>
      <c r="J3047" s="41"/>
      <c r="K3047" s="41"/>
      <c r="L3047" s="41"/>
      <c r="M3047" s="41"/>
      <c r="N3047" s="41"/>
      <c r="O3047" s="41"/>
    </row>
    <row r="3048" spans="1:15">
      <c r="A3048" s="39"/>
      <c r="B3048" s="40"/>
      <c r="C3048" s="41"/>
      <c r="D3048" s="41"/>
      <c r="E3048" s="41"/>
      <c r="F3048" s="41"/>
      <c r="G3048" s="41"/>
      <c r="H3048" s="41"/>
      <c r="I3048" s="41"/>
      <c r="J3048" s="41"/>
      <c r="K3048" s="41"/>
      <c r="L3048" s="41"/>
      <c r="M3048" s="41"/>
      <c r="N3048" s="41"/>
      <c r="O3048" s="41"/>
    </row>
    <row r="3049" spans="1:15">
      <c r="A3049" s="39"/>
      <c r="B3049" s="40"/>
      <c r="C3049" s="41"/>
      <c r="D3049" s="41"/>
      <c r="E3049" s="41"/>
      <c r="F3049" s="41"/>
      <c r="G3049" s="41"/>
      <c r="H3049" s="41"/>
      <c r="I3049" s="41"/>
      <c r="J3049" s="41"/>
      <c r="K3049" s="41"/>
      <c r="L3049" s="41"/>
      <c r="M3049" s="41"/>
      <c r="N3049" s="41"/>
      <c r="O3049" s="41"/>
    </row>
    <row r="3050" spans="1:15">
      <c r="A3050" s="39"/>
      <c r="B3050" s="40"/>
      <c r="C3050" s="41"/>
      <c r="D3050" s="41"/>
      <c r="E3050" s="41"/>
      <c r="F3050" s="41"/>
      <c r="G3050" s="41"/>
      <c r="H3050" s="41"/>
      <c r="I3050" s="41"/>
      <c r="J3050" s="41"/>
      <c r="K3050" s="41"/>
      <c r="L3050" s="41"/>
      <c r="M3050" s="41"/>
      <c r="N3050" s="41"/>
      <c r="O3050" s="41"/>
    </row>
    <row r="3051" spans="1:15">
      <c r="A3051" s="39"/>
      <c r="B3051" s="40"/>
      <c r="C3051" s="41"/>
      <c r="D3051" s="41"/>
      <c r="E3051" s="41"/>
      <c r="F3051" s="41"/>
      <c r="G3051" s="41"/>
      <c r="H3051" s="41"/>
      <c r="I3051" s="41"/>
      <c r="J3051" s="41"/>
      <c r="K3051" s="41"/>
      <c r="L3051" s="41"/>
      <c r="M3051" s="41"/>
      <c r="N3051" s="41"/>
      <c r="O3051" s="41"/>
    </row>
    <row r="3052" spans="1:15">
      <c r="A3052" s="39"/>
      <c r="B3052" s="40"/>
      <c r="C3052" s="41"/>
      <c r="D3052" s="41"/>
      <c r="E3052" s="41"/>
      <c r="F3052" s="41"/>
      <c r="G3052" s="41"/>
      <c r="H3052" s="41"/>
      <c r="I3052" s="41"/>
      <c r="J3052" s="41"/>
      <c r="K3052" s="41"/>
      <c r="L3052" s="41"/>
      <c r="M3052" s="41"/>
      <c r="N3052" s="41"/>
      <c r="O3052" s="41"/>
    </row>
    <row r="3053" spans="1:15">
      <c r="A3053" s="39"/>
      <c r="B3053" s="40"/>
      <c r="C3053" s="41"/>
      <c r="D3053" s="41"/>
      <c r="E3053" s="41"/>
      <c r="F3053" s="41"/>
      <c r="G3053" s="41"/>
      <c r="H3053" s="41"/>
      <c r="I3053" s="41"/>
      <c r="J3053" s="41"/>
      <c r="K3053" s="41"/>
      <c r="L3053" s="41"/>
      <c r="M3053" s="41"/>
      <c r="N3053" s="41"/>
      <c r="O3053" s="41"/>
    </row>
    <row r="3054" spans="1:15">
      <c r="A3054" s="39"/>
      <c r="B3054" s="40"/>
      <c r="C3054" s="41"/>
      <c r="D3054" s="41"/>
      <c r="E3054" s="41"/>
      <c r="F3054" s="41"/>
      <c r="G3054" s="41"/>
      <c r="H3054" s="41"/>
      <c r="I3054" s="41"/>
      <c r="J3054" s="41"/>
      <c r="K3054" s="41"/>
      <c r="L3054" s="41"/>
      <c r="M3054" s="41"/>
      <c r="N3054" s="41"/>
      <c r="O3054" s="41"/>
    </row>
    <row r="3055" spans="1:15">
      <c r="A3055" s="39"/>
      <c r="B3055" s="40"/>
      <c r="C3055" s="41"/>
      <c r="D3055" s="41"/>
      <c r="E3055" s="41"/>
      <c r="F3055" s="41"/>
      <c r="G3055" s="41"/>
      <c r="H3055" s="41"/>
      <c r="I3055" s="41"/>
      <c r="J3055" s="41"/>
      <c r="K3055" s="41"/>
      <c r="L3055" s="41"/>
      <c r="M3055" s="41"/>
      <c r="N3055" s="41"/>
      <c r="O3055" s="41"/>
    </row>
    <row r="3056" spans="1:15">
      <c r="A3056" s="39"/>
      <c r="B3056" s="40"/>
      <c r="C3056" s="41"/>
      <c r="D3056" s="41"/>
      <c r="E3056" s="41"/>
      <c r="F3056" s="41"/>
      <c r="G3056" s="41"/>
      <c r="H3056" s="41"/>
      <c r="I3056" s="41"/>
      <c r="J3056" s="41"/>
      <c r="K3056" s="41"/>
      <c r="L3056" s="41"/>
      <c r="M3056" s="41"/>
      <c r="N3056" s="41"/>
      <c r="O3056" s="41"/>
    </row>
    <row r="3057" spans="1:15">
      <c r="A3057" s="39"/>
      <c r="B3057" s="40"/>
      <c r="C3057" s="41"/>
      <c r="D3057" s="41"/>
      <c r="E3057" s="41"/>
      <c r="F3057" s="41"/>
      <c r="G3057" s="41"/>
      <c r="H3057" s="41"/>
      <c r="I3057" s="41"/>
      <c r="J3057" s="41"/>
      <c r="K3057" s="41"/>
      <c r="L3057" s="41"/>
      <c r="M3057" s="41"/>
      <c r="N3057" s="41"/>
      <c r="O3057" s="41"/>
    </row>
    <row r="3058" spans="1:15">
      <c r="A3058" s="39"/>
      <c r="B3058" s="40"/>
      <c r="C3058" s="41"/>
      <c r="D3058" s="41"/>
      <c r="E3058" s="41"/>
      <c r="F3058" s="41"/>
      <c r="G3058" s="41"/>
      <c r="H3058" s="41"/>
      <c r="I3058" s="41"/>
      <c r="J3058" s="41"/>
      <c r="K3058" s="41"/>
      <c r="L3058" s="41"/>
      <c r="M3058" s="41"/>
      <c r="N3058" s="41"/>
      <c r="O3058" s="41"/>
    </row>
    <row r="3059" spans="1:15">
      <c r="A3059" s="39"/>
      <c r="B3059" s="40"/>
      <c r="C3059" s="41"/>
      <c r="D3059" s="41"/>
      <c r="E3059" s="41"/>
      <c r="F3059" s="41"/>
      <c r="G3059" s="41"/>
      <c r="H3059" s="41"/>
      <c r="I3059" s="41"/>
      <c r="J3059" s="41"/>
      <c r="K3059" s="41"/>
      <c r="L3059" s="41"/>
      <c r="M3059" s="41"/>
      <c r="N3059" s="41"/>
      <c r="O3059" s="41"/>
    </row>
    <row r="3060" spans="1:15">
      <c r="A3060" s="39"/>
      <c r="B3060" s="40"/>
      <c r="C3060" s="41"/>
      <c r="D3060" s="41"/>
      <c r="E3060" s="41"/>
      <c r="F3060" s="41"/>
      <c r="G3060" s="41"/>
      <c r="H3060" s="41"/>
      <c r="I3060" s="41"/>
      <c r="J3060" s="41"/>
      <c r="K3060" s="41"/>
      <c r="L3060" s="41"/>
      <c r="M3060" s="41"/>
      <c r="N3060" s="41"/>
      <c r="O3060" s="41"/>
    </row>
    <row r="3061" spans="1:15">
      <c r="A3061" s="39"/>
      <c r="B3061" s="40"/>
      <c r="C3061" s="41"/>
      <c r="D3061" s="41"/>
      <c r="E3061" s="41"/>
      <c r="F3061" s="41"/>
      <c r="G3061" s="41"/>
      <c r="H3061" s="41"/>
      <c r="I3061" s="41"/>
      <c r="J3061" s="41"/>
      <c r="K3061" s="41"/>
      <c r="L3061" s="41"/>
      <c r="M3061" s="41"/>
      <c r="N3061" s="41"/>
      <c r="O3061" s="41"/>
    </row>
    <row r="3062" spans="1:15">
      <c r="A3062" s="39"/>
      <c r="B3062" s="40"/>
      <c r="C3062" s="41"/>
      <c r="D3062" s="41"/>
      <c r="E3062" s="41"/>
      <c r="F3062" s="41"/>
      <c r="G3062" s="41"/>
      <c r="H3062" s="41"/>
      <c r="I3062" s="41"/>
      <c r="J3062" s="41"/>
      <c r="K3062" s="41"/>
      <c r="L3062" s="41"/>
      <c r="M3062" s="41"/>
      <c r="N3062" s="41"/>
      <c r="O3062" s="41"/>
    </row>
    <row r="3063" spans="1:15">
      <c r="A3063" s="39"/>
      <c r="B3063" s="40"/>
      <c r="C3063" s="41"/>
      <c r="D3063" s="41"/>
      <c r="E3063" s="41"/>
      <c r="F3063" s="41"/>
      <c r="G3063" s="41"/>
      <c r="H3063" s="41"/>
      <c r="I3063" s="41"/>
      <c r="J3063" s="41"/>
      <c r="K3063" s="41"/>
      <c r="L3063" s="41"/>
      <c r="M3063" s="41"/>
      <c r="N3063" s="41"/>
      <c r="O3063" s="41"/>
    </row>
    <row r="3064" spans="1:15">
      <c r="A3064" s="39"/>
      <c r="B3064" s="40"/>
      <c r="C3064" s="41"/>
      <c r="D3064" s="41"/>
      <c r="E3064" s="41"/>
      <c r="F3064" s="41"/>
      <c r="G3064" s="41"/>
      <c r="H3064" s="41"/>
      <c r="I3064" s="41"/>
      <c r="J3064" s="41"/>
      <c r="K3064" s="41"/>
      <c r="L3064" s="41"/>
      <c r="M3064" s="41"/>
      <c r="N3064" s="41"/>
      <c r="O3064" s="41"/>
    </row>
    <row r="3065" spans="1:15">
      <c r="A3065" s="39"/>
      <c r="B3065" s="40"/>
      <c r="C3065" s="41"/>
      <c r="D3065" s="41"/>
      <c r="E3065" s="41"/>
      <c r="F3065" s="41"/>
      <c r="G3065" s="41"/>
      <c r="H3065" s="41"/>
      <c r="I3065" s="41"/>
      <c r="J3065" s="41"/>
      <c r="K3065" s="41"/>
      <c r="L3065" s="41"/>
      <c r="M3065" s="41"/>
      <c r="N3065" s="41"/>
      <c r="O3065" s="41"/>
    </row>
    <row r="3066" spans="1:15">
      <c r="A3066" s="39"/>
      <c r="B3066" s="40"/>
      <c r="C3066" s="41"/>
      <c r="D3066" s="41"/>
      <c r="E3066" s="41"/>
      <c r="F3066" s="41"/>
      <c r="G3066" s="41"/>
      <c r="H3066" s="41"/>
      <c r="I3066" s="41"/>
      <c r="J3066" s="41"/>
      <c r="K3066" s="41"/>
      <c r="L3066" s="41"/>
      <c r="M3066" s="41"/>
      <c r="N3066" s="41"/>
      <c r="O3066" s="41"/>
    </row>
    <row r="3067" spans="1:15">
      <c r="A3067" s="39"/>
      <c r="B3067" s="40"/>
      <c r="C3067" s="41"/>
      <c r="D3067" s="41"/>
      <c r="E3067" s="41"/>
      <c r="F3067" s="41"/>
      <c r="G3067" s="41"/>
      <c r="H3067" s="41"/>
      <c r="I3067" s="41"/>
      <c r="J3067" s="41"/>
      <c r="K3067" s="41"/>
      <c r="L3067" s="41"/>
      <c r="M3067" s="41"/>
      <c r="N3067" s="41"/>
      <c r="O3067" s="41"/>
    </row>
    <row r="3068" spans="1:15">
      <c r="A3068" s="39"/>
      <c r="B3068" s="40"/>
      <c r="C3068" s="41"/>
      <c r="D3068" s="41"/>
      <c r="E3068" s="41"/>
      <c r="F3068" s="41"/>
      <c r="G3068" s="41"/>
      <c r="H3068" s="41"/>
      <c r="I3068" s="41"/>
      <c r="J3068" s="41"/>
      <c r="K3068" s="41"/>
      <c r="L3068" s="41"/>
      <c r="M3068" s="41"/>
      <c r="N3068" s="41"/>
      <c r="O3068" s="41"/>
    </row>
    <row r="3069" spans="1:15">
      <c r="A3069" s="39"/>
      <c r="B3069" s="40"/>
      <c r="C3069" s="41"/>
      <c r="D3069" s="41"/>
      <c r="E3069" s="41"/>
      <c r="F3069" s="41"/>
      <c r="G3069" s="41"/>
      <c r="H3069" s="41"/>
      <c r="I3069" s="41"/>
      <c r="J3069" s="41"/>
      <c r="K3069" s="41"/>
      <c r="L3069" s="41"/>
      <c r="M3069" s="41"/>
      <c r="N3069" s="41"/>
      <c r="O3069" s="41"/>
    </row>
    <row r="3070" spans="1:15">
      <c r="A3070" s="39"/>
      <c r="B3070" s="40"/>
      <c r="C3070" s="41"/>
      <c r="D3070" s="41"/>
      <c r="E3070" s="41"/>
      <c r="F3070" s="41"/>
      <c r="G3070" s="41"/>
      <c r="H3070" s="41"/>
      <c r="I3070" s="41"/>
      <c r="J3070" s="41"/>
      <c r="K3070" s="41"/>
      <c r="L3070" s="41"/>
      <c r="M3070" s="41"/>
      <c r="N3070" s="41"/>
      <c r="O3070" s="41"/>
    </row>
    <row r="3071" spans="1:15">
      <c r="A3071" s="39"/>
      <c r="B3071" s="40"/>
      <c r="C3071" s="41"/>
      <c r="D3071" s="41"/>
      <c r="E3071" s="41"/>
      <c r="F3071" s="41"/>
      <c r="G3071" s="41"/>
      <c r="H3071" s="41"/>
      <c r="I3071" s="41"/>
      <c r="J3071" s="41"/>
      <c r="K3071" s="41"/>
      <c r="L3071" s="41"/>
      <c r="M3071" s="41"/>
      <c r="N3071" s="41"/>
      <c r="O3071" s="41"/>
    </row>
    <row r="3072" spans="1:15">
      <c r="A3072" s="39"/>
      <c r="B3072" s="40"/>
      <c r="C3072" s="41"/>
      <c r="D3072" s="41"/>
      <c r="E3072" s="41"/>
      <c r="F3072" s="41"/>
      <c r="G3072" s="41"/>
      <c r="H3072" s="41"/>
      <c r="I3072" s="41"/>
      <c r="J3072" s="41"/>
      <c r="K3072" s="41"/>
      <c r="L3072" s="41"/>
      <c r="M3072" s="41"/>
      <c r="N3072" s="41"/>
      <c r="O3072" s="41"/>
    </row>
    <row r="3073" spans="1:15">
      <c r="A3073" s="39"/>
      <c r="B3073" s="40"/>
      <c r="C3073" s="41"/>
      <c r="D3073" s="41"/>
      <c r="E3073" s="41"/>
      <c r="F3073" s="41"/>
      <c r="G3073" s="41"/>
      <c r="H3073" s="41"/>
      <c r="I3073" s="41"/>
      <c r="J3073" s="41"/>
      <c r="K3073" s="41"/>
      <c r="L3073" s="41"/>
      <c r="M3073" s="41"/>
      <c r="N3073" s="41"/>
      <c r="O3073" s="41"/>
    </row>
    <row r="3074" spans="1:15">
      <c r="A3074" s="39"/>
      <c r="B3074" s="40"/>
      <c r="C3074" s="41"/>
      <c r="D3074" s="41"/>
      <c r="E3074" s="41"/>
      <c r="F3074" s="41"/>
      <c r="G3074" s="41"/>
      <c r="H3074" s="41"/>
      <c r="I3074" s="41"/>
      <c r="J3074" s="41"/>
      <c r="K3074" s="41"/>
      <c r="L3074" s="41"/>
      <c r="M3074" s="41"/>
      <c r="N3074" s="41"/>
      <c r="O3074" s="41"/>
    </row>
    <row r="3075" spans="1:15">
      <c r="A3075" s="39"/>
      <c r="B3075" s="40"/>
      <c r="C3075" s="41"/>
      <c r="D3075" s="41"/>
      <c r="E3075" s="41"/>
      <c r="F3075" s="41"/>
      <c r="G3075" s="41"/>
      <c r="H3075" s="41"/>
      <c r="I3075" s="41"/>
      <c r="J3075" s="41"/>
      <c r="K3075" s="41"/>
      <c r="L3075" s="41"/>
      <c r="M3075" s="41"/>
      <c r="N3075" s="41"/>
      <c r="O3075" s="41"/>
    </row>
    <row r="3076" spans="1:15">
      <c r="A3076" s="39"/>
      <c r="B3076" s="40"/>
      <c r="C3076" s="41"/>
      <c r="D3076" s="41"/>
      <c r="E3076" s="41"/>
      <c r="F3076" s="41"/>
      <c r="G3076" s="41"/>
      <c r="H3076" s="41"/>
      <c r="I3076" s="41"/>
      <c r="J3076" s="41"/>
      <c r="K3076" s="41"/>
      <c r="L3076" s="41"/>
      <c r="M3076" s="41"/>
      <c r="N3076" s="41"/>
      <c r="O3076" s="41"/>
    </row>
    <row r="3077" spans="1:15">
      <c r="A3077" s="39"/>
      <c r="B3077" s="40"/>
      <c r="C3077" s="41"/>
      <c r="D3077" s="41"/>
      <c r="E3077" s="41"/>
      <c r="F3077" s="41"/>
      <c r="G3077" s="41"/>
      <c r="H3077" s="41"/>
      <c r="I3077" s="41"/>
      <c r="J3077" s="41"/>
      <c r="K3077" s="41"/>
      <c r="L3077" s="41"/>
      <c r="M3077" s="41"/>
      <c r="N3077" s="41"/>
      <c r="O3077" s="41"/>
    </row>
    <row r="3078" spans="1:15">
      <c r="A3078" s="39"/>
      <c r="B3078" s="40"/>
      <c r="C3078" s="41"/>
      <c r="D3078" s="41"/>
      <c r="E3078" s="41"/>
      <c r="F3078" s="41"/>
      <c r="G3078" s="41"/>
      <c r="H3078" s="41"/>
      <c r="I3078" s="41"/>
      <c r="J3078" s="41"/>
      <c r="K3078" s="41"/>
      <c r="L3078" s="41"/>
      <c r="M3078" s="41"/>
      <c r="N3078" s="41"/>
      <c r="O3078" s="41"/>
    </row>
    <row r="3079" spans="1:15">
      <c r="A3079" s="39"/>
      <c r="B3079" s="40"/>
      <c r="C3079" s="41"/>
      <c r="D3079" s="41"/>
      <c r="E3079" s="41"/>
      <c r="F3079" s="41"/>
      <c r="G3079" s="41"/>
      <c r="H3079" s="41"/>
      <c r="I3079" s="41"/>
      <c r="J3079" s="41"/>
      <c r="K3079" s="41"/>
      <c r="L3079" s="41"/>
      <c r="M3079" s="41"/>
      <c r="N3079" s="41"/>
      <c r="O3079" s="41"/>
    </row>
    <row r="3080" spans="1:15">
      <c r="A3080" s="39"/>
      <c r="B3080" s="40"/>
      <c r="C3080" s="41"/>
      <c r="D3080" s="41"/>
      <c r="E3080" s="41"/>
      <c r="F3080" s="41"/>
      <c r="G3080" s="41"/>
      <c r="H3080" s="41"/>
      <c r="I3080" s="41"/>
      <c r="J3080" s="41"/>
      <c r="K3080" s="41"/>
      <c r="L3080" s="41"/>
      <c r="M3080" s="41"/>
      <c r="N3080" s="41"/>
      <c r="O3080" s="41"/>
    </row>
    <row r="3081" spans="1:15">
      <c r="A3081" s="39"/>
      <c r="B3081" s="40"/>
      <c r="C3081" s="41"/>
      <c r="D3081" s="41"/>
      <c r="E3081" s="41"/>
      <c r="F3081" s="41"/>
      <c r="G3081" s="41"/>
      <c r="H3081" s="41"/>
      <c r="I3081" s="41"/>
      <c r="J3081" s="41"/>
      <c r="K3081" s="41"/>
      <c r="L3081" s="41"/>
      <c r="M3081" s="41"/>
      <c r="N3081" s="41"/>
      <c r="O3081" s="41"/>
    </row>
    <row r="3082" spans="1:15">
      <c r="A3082" s="39"/>
      <c r="B3082" s="40"/>
      <c r="C3082" s="41"/>
      <c r="D3082" s="41"/>
      <c r="E3082" s="41"/>
      <c r="F3082" s="41"/>
      <c r="G3082" s="41"/>
      <c r="H3082" s="41"/>
      <c r="I3082" s="41"/>
      <c r="J3082" s="41"/>
      <c r="K3082" s="41"/>
      <c r="L3082" s="41"/>
      <c r="M3082" s="41"/>
      <c r="N3082" s="41"/>
      <c r="O3082" s="41"/>
    </row>
    <row r="3083" spans="1:15">
      <c r="A3083" s="39"/>
      <c r="B3083" s="40"/>
      <c r="C3083" s="41"/>
      <c r="D3083" s="41"/>
      <c r="E3083" s="41"/>
      <c r="F3083" s="41"/>
      <c r="G3083" s="41"/>
      <c r="H3083" s="41"/>
      <c r="I3083" s="41"/>
      <c r="J3083" s="41"/>
      <c r="K3083" s="41"/>
      <c r="L3083" s="41"/>
      <c r="M3083" s="41"/>
      <c r="N3083" s="41"/>
      <c r="O3083" s="41"/>
    </row>
    <row r="3084" spans="1:15">
      <c r="A3084" s="39"/>
      <c r="B3084" s="40"/>
      <c r="C3084" s="41"/>
      <c r="D3084" s="41"/>
      <c r="E3084" s="41"/>
      <c r="F3084" s="41"/>
      <c r="G3084" s="41"/>
      <c r="H3084" s="41"/>
      <c r="I3084" s="41"/>
      <c r="J3084" s="41"/>
      <c r="K3084" s="41"/>
      <c r="L3084" s="41"/>
      <c r="M3084" s="41"/>
      <c r="N3084" s="41"/>
      <c r="O3084" s="41"/>
    </row>
    <row r="3085" spans="1:15">
      <c r="A3085" s="39"/>
      <c r="B3085" s="40"/>
      <c r="C3085" s="41"/>
      <c r="D3085" s="41"/>
      <c r="E3085" s="41"/>
      <c r="F3085" s="41"/>
      <c r="G3085" s="41"/>
      <c r="H3085" s="41"/>
      <c r="I3085" s="41"/>
      <c r="J3085" s="41"/>
      <c r="K3085" s="41"/>
      <c r="L3085" s="41"/>
      <c r="M3085" s="41"/>
      <c r="N3085" s="41"/>
      <c r="O3085" s="41"/>
    </row>
    <row r="3086" spans="1:15">
      <c r="A3086" s="39"/>
      <c r="B3086" s="40"/>
      <c r="C3086" s="41"/>
      <c r="D3086" s="41"/>
      <c r="E3086" s="41"/>
      <c r="F3086" s="41"/>
      <c r="G3086" s="41"/>
      <c r="H3086" s="41"/>
      <c r="I3086" s="41"/>
      <c r="J3086" s="41"/>
      <c r="K3086" s="41"/>
      <c r="L3086" s="41"/>
      <c r="M3086" s="41"/>
      <c r="N3086" s="41"/>
      <c r="O3086" s="41"/>
    </row>
    <row r="3087" spans="1:15">
      <c r="A3087" s="39"/>
      <c r="B3087" s="40"/>
      <c r="C3087" s="41"/>
      <c r="D3087" s="41"/>
      <c r="E3087" s="41"/>
      <c r="F3087" s="41"/>
      <c r="G3087" s="41"/>
      <c r="H3087" s="41"/>
      <c r="I3087" s="41"/>
      <c r="J3087" s="41"/>
      <c r="K3087" s="41"/>
      <c r="L3087" s="41"/>
      <c r="M3087" s="41"/>
      <c r="N3087" s="41"/>
      <c r="O3087" s="41"/>
    </row>
    <row r="3088" spans="1:15">
      <c r="A3088" s="39"/>
      <c r="B3088" s="40"/>
      <c r="C3088" s="41"/>
      <c r="D3088" s="41"/>
      <c r="E3088" s="41"/>
      <c r="F3088" s="41"/>
      <c r="G3088" s="41"/>
      <c r="H3088" s="41"/>
      <c r="I3088" s="41"/>
      <c r="J3088" s="41"/>
      <c r="K3088" s="41"/>
      <c r="L3088" s="41"/>
      <c r="M3088" s="41"/>
      <c r="N3088" s="41"/>
      <c r="O3088" s="41"/>
    </row>
    <row r="3089" spans="1:15">
      <c r="A3089" s="39"/>
      <c r="B3089" s="40"/>
      <c r="C3089" s="41"/>
      <c r="D3089" s="41"/>
      <c r="E3089" s="41"/>
      <c r="F3089" s="41"/>
      <c r="G3089" s="41"/>
      <c r="H3089" s="41"/>
      <c r="I3089" s="41"/>
      <c r="J3089" s="41"/>
      <c r="K3089" s="41"/>
      <c r="L3089" s="41"/>
      <c r="M3089" s="41"/>
      <c r="N3089" s="41"/>
      <c r="O3089" s="41"/>
    </row>
    <row r="3090" spans="1:15">
      <c r="A3090" s="39"/>
      <c r="B3090" s="40"/>
      <c r="C3090" s="41"/>
      <c r="D3090" s="41"/>
      <c r="E3090" s="41"/>
      <c r="F3090" s="41"/>
      <c r="G3090" s="41"/>
      <c r="H3090" s="41"/>
      <c r="I3090" s="41"/>
      <c r="J3090" s="41"/>
      <c r="K3090" s="41"/>
      <c r="L3090" s="41"/>
      <c r="M3090" s="41"/>
      <c r="N3090" s="41"/>
      <c r="O3090" s="41"/>
    </row>
    <row r="3091" spans="1:15">
      <c r="A3091" s="39"/>
      <c r="B3091" s="40"/>
      <c r="C3091" s="41"/>
      <c r="D3091" s="41"/>
      <c r="E3091" s="41"/>
      <c r="F3091" s="41"/>
      <c r="G3091" s="41"/>
      <c r="H3091" s="41"/>
      <c r="I3091" s="41"/>
      <c r="J3091" s="41"/>
      <c r="K3091" s="41"/>
      <c r="L3091" s="41"/>
      <c r="M3091" s="41"/>
      <c r="N3091" s="41"/>
      <c r="O3091" s="41"/>
    </row>
    <row r="3092" spans="1:15">
      <c r="A3092" s="39"/>
      <c r="B3092" s="40"/>
      <c r="C3092" s="41"/>
      <c r="D3092" s="41"/>
      <c r="E3092" s="41"/>
      <c r="F3092" s="41"/>
      <c r="G3092" s="41"/>
      <c r="H3092" s="41"/>
      <c r="I3092" s="41"/>
      <c r="J3092" s="41"/>
      <c r="K3092" s="41"/>
      <c r="L3092" s="41"/>
      <c r="M3092" s="41"/>
      <c r="N3092" s="41"/>
      <c r="O3092" s="41"/>
    </row>
    <row r="3093" spans="1:15">
      <c r="A3093" s="39"/>
      <c r="B3093" s="40"/>
      <c r="C3093" s="41"/>
      <c r="D3093" s="41"/>
      <c r="E3093" s="41"/>
      <c r="F3093" s="41"/>
      <c r="G3093" s="41"/>
      <c r="H3093" s="41"/>
      <c r="I3093" s="41"/>
      <c r="J3093" s="41"/>
      <c r="K3093" s="41"/>
      <c r="L3093" s="41"/>
      <c r="M3093" s="41"/>
      <c r="N3093" s="41"/>
      <c r="O3093" s="41"/>
    </row>
    <row r="3094" spans="1:15">
      <c r="A3094" s="39"/>
      <c r="B3094" s="40"/>
      <c r="C3094" s="41"/>
      <c r="D3094" s="41"/>
      <c r="E3094" s="41"/>
      <c r="F3094" s="41"/>
      <c r="G3094" s="41"/>
      <c r="H3094" s="41"/>
      <c r="I3094" s="41"/>
      <c r="J3094" s="41"/>
      <c r="K3094" s="41"/>
      <c r="L3094" s="41"/>
      <c r="M3094" s="41"/>
      <c r="N3094" s="41"/>
      <c r="O3094" s="41"/>
    </row>
    <row r="3095" spans="1:15">
      <c r="A3095" s="39"/>
      <c r="B3095" s="40"/>
      <c r="C3095" s="41"/>
      <c r="D3095" s="41"/>
      <c r="E3095" s="41"/>
      <c r="F3095" s="41"/>
      <c r="G3095" s="41"/>
      <c r="H3095" s="41"/>
      <c r="I3095" s="41"/>
      <c r="J3095" s="41"/>
      <c r="K3095" s="41"/>
      <c r="L3095" s="41"/>
      <c r="M3095" s="41"/>
      <c r="N3095" s="41"/>
      <c r="O3095" s="41"/>
    </row>
    <row r="3096" spans="1:15">
      <c r="A3096" s="39"/>
      <c r="B3096" s="40"/>
      <c r="C3096" s="41"/>
      <c r="D3096" s="41"/>
      <c r="E3096" s="41"/>
      <c r="F3096" s="41"/>
      <c r="G3096" s="41"/>
      <c r="H3096" s="41"/>
      <c r="I3096" s="41"/>
      <c r="J3096" s="41"/>
      <c r="K3096" s="41"/>
      <c r="L3096" s="41"/>
      <c r="M3096" s="41"/>
      <c r="N3096" s="41"/>
      <c r="O3096" s="41"/>
    </row>
    <row r="3097" spans="1:15">
      <c r="A3097" s="39"/>
      <c r="B3097" s="40"/>
      <c r="C3097" s="41"/>
      <c r="D3097" s="41"/>
      <c r="E3097" s="41"/>
      <c r="F3097" s="41"/>
      <c r="G3097" s="41"/>
      <c r="H3097" s="41"/>
      <c r="I3097" s="41"/>
      <c r="J3097" s="41"/>
      <c r="K3097" s="41"/>
      <c r="L3097" s="41"/>
      <c r="M3097" s="41"/>
      <c r="N3097" s="41"/>
      <c r="O3097" s="41"/>
    </row>
    <row r="3098" spans="1:15">
      <c r="A3098" s="39"/>
      <c r="B3098" s="40"/>
      <c r="C3098" s="41"/>
      <c r="D3098" s="41"/>
      <c r="E3098" s="41"/>
      <c r="F3098" s="41"/>
      <c r="G3098" s="41"/>
      <c r="H3098" s="41"/>
      <c r="I3098" s="41"/>
      <c r="J3098" s="41"/>
      <c r="K3098" s="41"/>
      <c r="L3098" s="41"/>
      <c r="M3098" s="41"/>
      <c r="N3098" s="41"/>
      <c r="O3098" s="41"/>
    </row>
    <row r="3099" spans="1:15">
      <c r="A3099" s="39"/>
      <c r="B3099" s="40"/>
      <c r="C3099" s="41"/>
      <c r="D3099" s="41"/>
      <c r="E3099" s="41"/>
      <c r="F3099" s="41"/>
      <c r="G3099" s="41"/>
      <c r="H3099" s="41"/>
      <c r="I3099" s="41"/>
      <c r="J3099" s="41"/>
      <c r="K3099" s="41"/>
      <c r="L3099" s="41"/>
      <c r="M3099" s="41"/>
      <c r="N3099" s="41"/>
      <c r="O3099" s="41"/>
    </row>
    <row r="3100" spans="1:15">
      <c r="A3100" s="39"/>
      <c r="B3100" s="40"/>
      <c r="C3100" s="41"/>
      <c r="D3100" s="41"/>
      <c r="E3100" s="41"/>
      <c r="F3100" s="41"/>
      <c r="G3100" s="41"/>
      <c r="H3100" s="41"/>
      <c r="I3100" s="41"/>
      <c r="J3100" s="41"/>
      <c r="K3100" s="41"/>
      <c r="L3100" s="41"/>
      <c r="M3100" s="41"/>
      <c r="N3100" s="41"/>
      <c r="O3100" s="41"/>
    </row>
    <row r="3101" spans="1:15">
      <c r="A3101" s="39"/>
      <c r="B3101" s="40"/>
      <c r="C3101" s="41"/>
      <c r="D3101" s="41"/>
      <c r="E3101" s="41"/>
      <c r="F3101" s="41"/>
      <c r="G3101" s="41"/>
      <c r="H3101" s="41"/>
      <c r="I3101" s="41"/>
      <c r="J3101" s="41"/>
      <c r="K3101" s="41"/>
      <c r="L3101" s="41"/>
      <c r="M3101" s="41"/>
      <c r="N3101" s="41"/>
      <c r="O3101" s="41"/>
    </row>
    <row r="3102" spans="1:15">
      <c r="A3102" s="39"/>
      <c r="B3102" s="40"/>
      <c r="C3102" s="41"/>
      <c r="D3102" s="41"/>
      <c r="E3102" s="41"/>
      <c r="F3102" s="41"/>
      <c r="G3102" s="41"/>
      <c r="H3102" s="41"/>
      <c r="I3102" s="41"/>
      <c r="J3102" s="41"/>
      <c r="K3102" s="41"/>
      <c r="L3102" s="41"/>
      <c r="M3102" s="41"/>
      <c r="N3102" s="41"/>
      <c r="O3102" s="41"/>
    </row>
    <row r="3103" spans="1:15">
      <c r="A3103" s="39"/>
      <c r="B3103" s="40"/>
      <c r="C3103" s="41"/>
      <c r="D3103" s="41"/>
      <c r="E3103" s="41"/>
      <c r="F3103" s="41"/>
      <c r="G3103" s="41"/>
      <c r="H3103" s="41"/>
      <c r="I3103" s="41"/>
      <c r="J3103" s="41"/>
      <c r="K3103" s="41"/>
      <c r="L3103" s="41"/>
      <c r="M3103" s="41"/>
      <c r="N3103" s="41"/>
      <c r="O3103" s="41"/>
    </row>
    <row r="3104" spans="1:15">
      <c r="A3104" s="39"/>
      <c r="B3104" s="40"/>
      <c r="C3104" s="41"/>
      <c r="D3104" s="41"/>
      <c r="E3104" s="41"/>
      <c r="F3104" s="41"/>
      <c r="G3104" s="41"/>
      <c r="H3104" s="41"/>
      <c r="I3104" s="41"/>
      <c r="J3104" s="41"/>
      <c r="K3104" s="41"/>
      <c r="L3104" s="41"/>
      <c r="M3104" s="41"/>
      <c r="N3104" s="41"/>
      <c r="O3104" s="41"/>
    </row>
    <row r="3105" spans="1:15">
      <c r="A3105" s="39"/>
      <c r="B3105" s="40"/>
      <c r="C3105" s="41"/>
      <c r="D3105" s="41"/>
      <c r="E3105" s="41"/>
      <c r="F3105" s="41"/>
      <c r="G3105" s="41"/>
      <c r="H3105" s="41"/>
      <c r="I3105" s="41"/>
      <c r="J3105" s="41"/>
      <c r="K3105" s="41"/>
      <c r="L3105" s="41"/>
      <c r="M3105" s="41"/>
      <c r="N3105" s="41"/>
      <c r="O3105" s="41"/>
    </row>
    <row r="3106" spans="1:15">
      <c r="A3106" s="39"/>
      <c r="B3106" s="40"/>
      <c r="C3106" s="41"/>
      <c r="D3106" s="41"/>
      <c r="E3106" s="41"/>
      <c r="F3106" s="41"/>
      <c r="G3106" s="41"/>
      <c r="H3106" s="41"/>
      <c r="I3106" s="41"/>
      <c r="J3106" s="41"/>
      <c r="K3106" s="41"/>
      <c r="L3106" s="41"/>
      <c r="M3106" s="41"/>
      <c r="N3106" s="41"/>
      <c r="O3106" s="41"/>
    </row>
    <row r="3107" spans="1:15">
      <c r="A3107" s="39"/>
      <c r="B3107" s="40"/>
      <c r="C3107" s="41"/>
      <c r="D3107" s="41"/>
      <c r="E3107" s="41"/>
      <c r="F3107" s="41"/>
      <c r="G3107" s="41"/>
      <c r="H3107" s="41"/>
      <c r="I3107" s="41"/>
      <c r="J3107" s="41"/>
      <c r="K3107" s="41"/>
      <c r="L3107" s="41"/>
      <c r="M3107" s="41"/>
      <c r="N3107" s="41"/>
      <c r="O3107" s="41"/>
    </row>
    <row r="3108" spans="1:15">
      <c r="A3108" s="39"/>
      <c r="B3108" s="40"/>
      <c r="C3108" s="41"/>
      <c r="D3108" s="41"/>
      <c r="E3108" s="41"/>
      <c r="F3108" s="41"/>
      <c r="G3108" s="41"/>
      <c r="H3108" s="41"/>
      <c r="I3108" s="41"/>
      <c r="J3108" s="41"/>
      <c r="K3108" s="41"/>
      <c r="L3108" s="41"/>
      <c r="M3108" s="41"/>
      <c r="N3108" s="41"/>
      <c r="O3108" s="41"/>
    </row>
    <row r="3109" spans="1:15">
      <c r="A3109" s="39"/>
      <c r="B3109" s="40"/>
      <c r="C3109" s="41"/>
      <c r="D3109" s="41"/>
      <c r="E3109" s="41"/>
      <c r="F3109" s="41"/>
      <c r="G3109" s="41"/>
      <c r="H3109" s="41"/>
      <c r="I3109" s="41"/>
      <c r="J3109" s="41"/>
      <c r="K3109" s="41"/>
      <c r="L3109" s="41"/>
      <c r="M3109" s="41"/>
      <c r="N3109" s="41"/>
      <c r="O3109" s="41"/>
    </row>
    <row r="3110" spans="1:15">
      <c r="A3110" s="39"/>
      <c r="B3110" s="40"/>
      <c r="C3110" s="41"/>
      <c r="D3110" s="41"/>
      <c r="E3110" s="41"/>
      <c r="F3110" s="41"/>
      <c r="G3110" s="41"/>
      <c r="H3110" s="41"/>
      <c r="I3110" s="41"/>
      <c r="J3110" s="41"/>
      <c r="K3110" s="41"/>
      <c r="L3110" s="41"/>
      <c r="M3110" s="41"/>
      <c r="N3110" s="41"/>
      <c r="O3110" s="41"/>
    </row>
    <row r="3111" spans="1:15">
      <c r="A3111" s="39"/>
      <c r="B3111" s="40"/>
      <c r="C3111" s="41"/>
      <c r="D3111" s="41"/>
      <c r="E3111" s="41"/>
      <c r="F3111" s="41"/>
      <c r="G3111" s="41"/>
      <c r="H3111" s="41"/>
      <c r="I3111" s="41"/>
      <c r="J3111" s="41"/>
      <c r="K3111" s="41"/>
      <c r="L3111" s="41"/>
      <c r="M3111" s="41"/>
      <c r="N3111" s="41"/>
      <c r="O3111" s="41"/>
    </row>
    <row r="3112" spans="1:15">
      <c r="A3112" s="39"/>
      <c r="B3112" s="40"/>
      <c r="C3112" s="41"/>
      <c r="D3112" s="41"/>
      <c r="E3112" s="41"/>
      <c r="F3112" s="41"/>
      <c r="G3112" s="41"/>
      <c r="H3112" s="41"/>
      <c r="I3112" s="41"/>
      <c r="J3112" s="41"/>
      <c r="K3112" s="41"/>
      <c r="L3112" s="41"/>
      <c r="M3112" s="41"/>
      <c r="N3112" s="41"/>
      <c r="O3112" s="41"/>
    </row>
    <row r="3113" spans="1:15">
      <c r="A3113" s="39"/>
      <c r="B3113" s="40"/>
      <c r="C3113" s="41"/>
      <c r="D3113" s="41"/>
      <c r="E3113" s="41"/>
      <c r="F3113" s="41"/>
      <c r="G3113" s="41"/>
      <c r="H3113" s="41"/>
      <c r="I3113" s="41"/>
      <c r="J3113" s="41"/>
      <c r="K3113" s="41"/>
      <c r="L3113" s="41"/>
      <c r="M3113" s="41"/>
      <c r="N3113" s="41"/>
      <c r="O3113" s="41"/>
    </row>
    <row r="3114" spans="1:15">
      <c r="A3114" s="39"/>
      <c r="B3114" s="40"/>
      <c r="C3114" s="41"/>
      <c r="D3114" s="41"/>
      <c r="E3114" s="41"/>
      <c r="F3114" s="41"/>
      <c r="G3114" s="41"/>
      <c r="H3114" s="41"/>
      <c r="I3114" s="41"/>
      <c r="J3114" s="41"/>
      <c r="K3114" s="41"/>
      <c r="L3114" s="41"/>
      <c r="M3114" s="41"/>
      <c r="N3114" s="41"/>
      <c r="O3114" s="41"/>
    </row>
    <row r="3115" spans="1:15">
      <c r="A3115" s="39"/>
      <c r="B3115" s="40"/>
      <c r="C3115" s="41"/>
      <c r="D3115" s="41"/>
      <c r="E3115" s="41"/>
      <c r="F3115" s="41"/>
      <c r="G3115" s="41"/>
      <c r="H3115" s="41"/>
      <c r="I3115" s="41"/>
      <c r="J3115" s="41"/>
      <c r="K3115" s="41"/>
      <c r="L3115" s="41"/>
      <c r="M3115" s="41"/>
      <c r="N3115" s="41"/>
      <c r="O3115" s="41"/>
    </row>
    <row r="3116" spans="1:15">
      <c r="A3116" s="39"/>
      <c r="B3116" s="40"/>
      <c r="C3116" s="41"/>
      <c r="D3116" s="41"/>
      <c r="E3116" s="41"/>
      <c r="F3116" s="41"/>
      <c r="G3116" s="41"/>
      <c r="H3116" s="41"/>
      <c r="I3116" s="41"/>
      <c r="J3116" s="41"/>
      <c r="K3116" s="41"/>
      <c r="L3116" s="41"/>
      <c r="M3116" s="41"/>
      <c r="N3116" s="41"/>
      <c r="O3116" s="41"/>
    </row>
    <row r="3117" spans="1:15">
      <c r="A3117" s="39"/>
      <c r="B3117" s="40"/>
      <c r="C3117" s="41"/>
      <c r="D3117" s="41"/>
      <c r="E3117" s="41"/>
      <c r="F3117" s="41"/>
      <c r="G3117" s="41"/>
      <c r="H3117" s="41"/>
      <c r="I3117" s="41"/>
      <c r="J3117" s="41"/>
      <c r="K3117" s="41"/>
      <c r="L3117" s="41"/>
      <c r="M3117" s="41"/>
      <c r="N3117" s="41"/>
      <c r="O3117" s="41"/>
    </row>
    <row r="3118" spans="1:15">
      <c r="A3118" s="39"/>
      <c r="B3118" s="40"/>
      <c r="C3118" s="41"/>
      <c r="D3118" s="41"/>
      <c r="E3118" s="41"/>
      <c r="F3118" s="41"/>
      <c r="G3118" s="41"/>
      <c r="H3118" s="41"/>
      <c r="I3118" s="41"/>
      <c r="J3118" s="41"/>
      <c r="K3118" s="41"/>
      <c r="L3118" s="41"/>
      <c r="M3118" s="41"/>
      <c r="N3118" s="41"/>
      <c r="O3118" s="41"/>
    </row>
    <row r="3119" spans="1:15">
      <c r="A3119" s="39"/>
      <c r="B3119" s="40"/>
      <c r="C3119" s="41"/>
      <c r="D3119" s="41"/>
      <c r="E3119" s="41"/>
      <c r="F3119" s="41"/>
      <c r="G3119" s="41"/>
      <c r="H3119" s="41"/>
      <c r="I3119" s="41"/>
      <c r="J3119" s="41"/>
      <c r="K3119" s="41"/>
      <c r="L3119" s="41"/>
      <c r="M3119" s="41"/>
      <c r="N3119" s="41"/>
      <c r="O3119" s="41"/>
    </row>
    <row r="3120" spans="1:15">
      <c r="A3120" s="39"/>
      <c r="B3120" s="40"/>
      <c r="C3120" s="41"/>
      <c r="D3120" s="41"/>
      <c r="E3120" s="41"/>
      <c r="F3120" s="41"/>
      <c r="G3120" s="41"/>
      <c r="H3120" s="41"/>
      <c r="I3120" s="41"/>
      <c r="J3120" s="41"/>
      <c r="K3120" s="41"/>
      <c r="L3120" s="41"/>
      <c r="M3120" s="41"/>
      <c r="N3120" s="41"/>
      <c r="O3120" s="41"/>
    </row>
    <row r="3121" spans="1:15">
      <c r="A3121" s="39"/>
      <c r="B3121" s="40"/>
      <c r="C3121" s="41"/>
      <c r="D3121" s="41"/>
      <c r="E3121" s="41"/>
      <c r="F3121" s="41"/>
      <c r="G3121" s="41"/>
      <c r="H3121" s="41"/>
      <c r="I3121" s="41"/>
      <c r="J3121" s="41"/>
      <c r="K3121" s="41"/>
      <c r="L3121" s="41"/>
      <c r="M3121" s="41"/>
      <c r="N3121" s="41"/>
      <c r="O3121" s="41"/>
    </row>
    <row r="3122" spans="1:15">
      <c r="A3122" s="39"/>
      <c r="B3122" s="40"/>
      <c r="C3122" s="41"/>
      <c r="D3122" s="41"/>
      <c r="E3122" s="41"/>
      <c r="F3122" s="41"/>
      <c r="G3122" s="41"/>
      <c r="H3122" s="41"/>
      <c r="I3122" s="41"/>
      <c r="J3122" s="41"/>
      <c r="K3122" s="41"/>
      <c r="L3122" s="41"/>
      <c r="M3122" s="41"/>
      <c r="N3122" s="41"/>
      <c r="O3122" s="41"/>
    </row>
    <row r="3123" spans="1:15">
      <c r="A3123" s="39"/>
      <c r="B3123" s="40"/>
      <c r="C3123" s="41"/>
      <c r="D3123" s="41"/>
      <c r="E3123" s="41"/>
      <c r="F3123" s="41"/>
      <c r="G3123" s="41"/>
      <c r="H3123" s="41"/>
      <c r="I3123" s="41"/>
      <c r="J3123" s="41"/>
      <c r="K3123" s="41"/>
      <c r="L3123" s="41"/>
      <c r="M3123" s="41"/>
      <c r="N3123" s="41"/>
      <c r="O3123" s="41"/>
    </row>
    <row r="3124" spans="1:15">
      <c r="A3124" s="39"/>
      <c r="B3124" s="40"/>
      <c r="C3124" s="41"/>
      <c r="D3124" s="41"/>
      <c r="E3124" s="41"/>
      <c r="F3124" s="41"/>
      <c r="G3124" s="41"/>
      <c r="H3124" s="41"/>
      <c r="I3124" s="41"/>
      <c r="J3124" s="41"/>
      <c r="K3124" s="41"/>
      <c r="L3124" s="41"/>
      <c r="M3124" s="41"/>
      <c r="N3124" s="41"/>
      <c r="O3124" s="41"/>
    </row>
    <row r="3125" spans="1:15">
      <c r="A3125" s="39"/>
      <c r="B3125" s="40"/>
      <c r="C3125" s="41"/>
      <c r="D3125" s="41"/>
      <c r="E3125" s="41"/>
      <c r="F3125" s="41"/>
      <c r="G3125" s="41"/>
      <c r="H3125" s="41"/>
      <c r="I3125" s="41"/>
      <c r="J3125" s="41"/>
      <c r="K3125" s="41"/>
      <c r="L3125" s="41"/>
      <c r="M3125" s="41"/>
      <c r="N3125" s="41"/>
      <c r="O3125" s="41"/>
    </row>
    <row r="3126" spans="1:15">
      <c r="A3126" s="39"/>
      <c r="B3126" s="40"/>
      <c r="C3126" s="41"/>
      <c r="D3126" s="41"/>
      <c r="E3126" s="41"/>
      <c r="F3126" s="41"/>
      <c r="G3126" s="41"/>
      <c r="H3126" s="41"/>
      <c r="I3126" s="41"/>
      <c r="J3126" s="41"/>
      <c r="K3126" s="41"/>
      <c r="L3126" s="41"/>
      <c r="M3126" s="41"/>
      <c r="N3126" s="41"/>
      <c r="O3126" s="41"/>
    </row>
    <row r="3127" spans="1:15">
      <c r="A3127" s="39"/>
      <c r="B3127" s="40"/>
      <c r="C3127" s="41"/>
      <c r="D3127" s="41"/>
      <c r="E3127" s="41"/>
      <c r="F3127" s="41"/>
      <c r="G3127" s="41"/>
      <c r="H3127" s="41"/>
      <c r="I3127" s="41"/>
      <c r="J3127" s="41"/>
      <c r="K3127" s="41"/>
      <c r="L3127" s="41"/>
      <c r="M3127" s="41"/>
      <c r="N3127" s="41"/>
      <c r="O3127" s="41"/>
    </row>
    <row r="3128" spans="1:15">
      <c r="A3128" s="39"/>
      <c r="B3128" s="40"/>
      <c r="C3128" s="41"/>
      <c r="D3128" s="41"/>
      <c r="E3128" s="41"/>
      <c r="F3128" s="41"/>
      <c r="G3128" s="41"/>
      <c r="H3128" s="41"/>
      <c r="I3128" s="41"/>
      <c r="J3128" s="41"/>
      <c r="K3128" s="41"/>
      <c r="L3128" s="41"/>
      <c r="M3128" s="41"/>
      <c r="N3128" s="41"/>
      <c r="O3128" s="41"/>
    </row>
    <row r="3129" spans="1:15">
      <c r="A3129" s="39"/>
      <c r="B3129" s="40"/>
      <c r="C3129" s="41"/>
      <c r="D3129" s="41"/>
      <c r="E3129" s="41"/>
      <c r="F3129" s="41"/>
      <c r="G3129" s="41"/>
      <c r="H3129" s="41"/>
      <c r="I3129" s="41"/>
      <c r="J3129" s="41"/>
      <c r="K3129" s="41"/>
      <c r="L3129" s="41"/>
      <c r="M3129" s="41"/>
      <c r="N3129" s="41"/>
      <c r="O3129" s="41"/>
    </row>
    <row r="3130" spans="1:15">
      <c r="A3130" s="39"/>
      <c r="B3130" s="40"/>
      <c r="C3130" s="41"/>
      <c r="D3130" s="41"/>
      <c r="E3130" s="41"/>
      <c r="F3130" s="41"/>
      <c r="G3130" s="41"/>
      <c r="H3130" s="41"/>
      <c r="I3130" s="41"/>
      <c r="J3130" s="41"/>
      <c r="K3130" s="41"/>
      <c r="L3130" s="41"/>
      <c r="M3130" s="41"/>
      <c r="N3130" s="41"/>
      <c r="O3130" s="41"/>
    </row>
    <row r="3131" spans="1:15">
      <c r="A3131" s="39"/>
      <c r="B3131" s="40"/>
      <c r="C3131" s="41"/>
      <c r="D3131" s="41"/>
      <c r="E3131" s="41"/>
      <c r="F3131" s="41"/>
      <c r="G3131" s="41"/>
      <c r="H3131" s="41"/>
      <c r="I3131" s="41"/>
      <c r="J3131" s="41"/>
      <c r="K3131" s="41"/>
      <c r="L3131" s="41"/>
      <c r="M3131" s="41"/>
      <c r="N3131" s="41"/>
      <c r="O3131" s="41"/>
    </row>
    <row r="3132" spans="1:15">
      <c r="A3132" s="39"/>
      <c r="B3132" s="40"/>
      <c r="C3132" s="41"/>
      <c r="D3132" s="41"/>
      <c r="E3132" s="41"/>
      <c r="F3132" s="41"/>
      <c r="G3132" s="41"/>
      <c r="H3132" s="41"/>
      <c r="I3132" s="41"/>
      <c r="J3132" s="41"/>
      <c r="K3132" s="41"/>
      <c r="L3132" s="41"/>
      <c r="M3132" s="41"/>
      <c r="N3132" s="41"/>
      <c r="O3132" s="41"/>
    </row>
    <row r="3133" spans="1:15">
      <c r="A3133" s="39"/>
      <c r="B3133" s="40"/>
      <c r="C3133" s="41"/>
      <c r="D3133" s="41"/>
      <c r="E3133" s="41"/>
      <c r="F3133" s="41"/>
      <c r="G3133" s="41"/>
      <c r="H3133" s="41"/>
      <c r="I3133" s="41"/>
      <c r="J3133" s="41"/>
      <c r="K3133" s="41"/>
      <c r="L3133" s="41"/>
      <c r="M3133" s="41"/>
      <c r="N3133" s="41"/>
      <c r="O3133" s="41"/>
    </row>
    <row r="3134" spans="1:15">
      <c r="A3134" s="39"/>
      <c r="B3134" s="40"/>
      <c r="C3134" s="41"/>
      <c r="D3134" s="41"/>
      <c r="E3134" s="41"/>
      <c r="F3134" s="41"/>
      <c r="G3134" s="41"/>
      <c r="H3134" s="41"/>
      <c r="I3134" s="41"/>
      <c r="J3134" s="41"/>
      <c r="K3134" s="41"/>
      <c r="L3134" s="41"/>
      <c r="M3134" s="41"/>
      <c r="N3134" s="41"/>
      <c r="O3134" s="41"/>
    </row>
    <row r="3135" spans="1:15">
      <c r="A3135" s="39"/>
      <c r="B3135" s="40"/>
      <c r="C3135" s="41"/>
      <c r="D3135" s="41"/>
      <c r="E3135" s="41"/>
      <c r="F3135" s="41"/>
      <c r="G3135" s="41"/>
      <c r="H3135" s="41"/>
      <c r="I3135" s="41"/>
      <c r="J3135" s="41"/>
      <c r="K3135" s="41"/>
      <c r="L3135" s="41"/>
      <c r="M3135" s="41"/>
      <c r="N3135" s="41"/>
      <c r="O3135" s="41"/>
    </row>
    <row r="3136" spans="1:15">
      <c r="A3136" s="39"/>
      <c r="B3136" s="40"/>
      <c r="C3136" s="41"/>
      <c r="D3136" s="41"/>
      <c r="E3136" s="41"/>
      <c r="F3136" s="41"/>
      <c r="G3136" s="41"/>
      <c r="H3136" s="41"/>
      <c r="I3136" s="41"/>
      <c r="J3136" s="41"/>
      <c r="K3136" s="41"/>
      <c r="L3136" s="41"/>
      <c r="M3136" s="41"/>
      <c r="N3136" s="41"/>
      <c r="O3136" s="41"/>
    </row>
    <row r="3137" spans="1:15">
      <c r="A3137" s="39"/>
      <c r="B3137" s="40"/>
      <c r="C3137" s="41"/>
      <c r="D3137" s="41"/>
      <c r="E3137" s="41"/>
      <c r="F3137" s="41"/>
      <c r="G3137" s="41"/>
      <c r="H3137" s="41"/>
      <c r="I3137" s="41"/>
      <c r="J3137" s="41"/>
      <c r="K3137" s="41"/>
      <c r="L3137" s="41"/>
      <c r="M3137" s="41"/>
      <c r="N3137" s="41"/>
      <c r="O3137" s="41"/>
    </row>
    <row r="3138" spans="1:15">
      <c r="A3138" s="39"/>
      <c r="B3138" s="40"/>
      <c r="C3138" s="41"/>
      <c r="D3138" s="41"/>
      <c r="E3138" s="41"/>
      <c r="F3138" s="41"/>
      <c r="G3138" s="41"/>
      <c r="H3138" s="41"/>
      <c r="I3138" s="41"/>
      <c r="J3138" s="41"/>
      <c r="K3138" s="41"/>
      <c r="L3138" s="41"/>
      <c r="M3138" s="41"/>
      <c r="N3138" s="41"/>
      <c r="O3138" s="41"/>
    </row>
    <row r="3139" spans="1:15">
      <c r="A3139" s="39"/>
      <c r="B3139" s="40"/>
      <c r="C3139" s="41"/>
      <c r="D3139" s="41"/>
      <c r="E3139" s="41"/>
      <c r="F3139" s="41"/>
      <c r="G3139" s="41"/>
      <c r="H3139" s="41"/>
      <c r="I3139" s="41"/>
      <c r="J3139" s="41"/>
      <c r="K3139" s="41"/>
      <c r="L3139" s="41"/>
      <c r="M3139" s="41"/>
      <c r="N3139" s="41"/>
      <c r="O3139" s="41"/>
    </row>
    <row r="3140" spans="1:15">
      <c r="A3140" s="39"/>
      <c r="B3140" s="40"/>
      <c r="C3140" s="41"/>
      <c r="D3140" s="41"/>
      <c r="E3140" s="41"/>
      <c r="F3140" s="41"/>
      <c r="G3140" s="41"/>
      <c r="H3140" s="41"/>
      <c r="I3140" s="41"/>
      <c r="J3140" s="41"/>
      <c r="K3140" s="41"/>
      <c r="L3140" s="41"/>
      <c r="M3140" s="41"/>
      <c r="N3140" s="41"/>
      <c r="O3140" s="41"/>
    </row>
    <row r="3141" spans="1:15">
      <c r="A3141" s="39"/>
      <c r="B3141" s="40"/>
      <c r="C3141" s="41"/>
      <c r="D3141" s="41"/>
      <c r="E3141" s="41"/>
      <c r="F3141" s="41"/>
      <c r="G3141" s="41"/>
      <c r="H3141" s="41"/>
      <c r="I3141" s="41"/>
      <c r="J3141" s="41"/>
      <c r="K3141" s="41"/>
      <c r="L3141" s="41"/>
      <c r="M3141" s="41"/>
      <c r="N3141" s="41"/>
      <c r="O3141" s="41"/>
    </row>
    <row r="3142" spans="1:15">
      <c r="A3142" s="39"/>
      <c r="B3142" s="40"/>
      <c r="C3142" s="41"/>
      <c r="D3142" s="41"/>
      <c r="E3142" s="41"/>
      <c r="F3142" s="41"/>
      <c r="G3142" s="41"/>
      <c r="H3142" s="41"/>
      <c r="I3142" s="41"/>
      <c r="J3142" s="41"/>
      <c r="K3142" s="41"/>
      <c r="L3142" s="41"/>
      <c r="M3142" s="41"/>
      <c r="N3142" s="41"/>
      <c r="O3142" s="41"/>
    </row>
    <row r="3143" spans="1:15">
      <c r="A3143" s="39"/>
      <c r="B3143" s="40"/>
      <c r="C3143" s="41"/>
      <c r="D3143" s="41"/>
      <c r="E3143" s="41"/>
      <c r="F3143" s="41"/>
      <c r="G3143" s="41"/>
      <c r="H3143" s="41"/>
      <c r="I3143" s="41"/>
      <c r="J3143" s="41"/>
      <c r="K3143" s="41"/>
      <c r="L3143" s="41"/>
      <c r="M3143" s="41"/>
      <c r="N3143" s="41"/>
      <c r="O3143" s="41"/>
    </row>
    <row r="3144" spans="1:15">
      <c r="A3144" s="39"/>
      <c r="B3144" s="40"/>
      <c r="C3144" s="41"/>
      <c r="D3144" s="41"/>
      <c r="E3144" s="41"/>
      <c r="F3144" s="41"/>
      <c r="G3144" s="41"/>
      <c r="H3144" s="41"/>
      <c r="I3144" s="41"/>
      <c r="J3144" s="41"/>
      <c r="K3144" s="41"/>
      <c r="L3144" s="41"/>
      <c r="M3144" s="41"/>
      <c r="N3144" s="41"/>
      <c r="O3144" s="41"/>
    </row>
    <row r="3145" spans="1:15">
      <c r="A3145" s="39"/>
      <c r="B3145" s="40"/>
      <c r="C3145" s="41"/>
      <c r="D3145" s="41"/>
      <c r="E3145" s="41"/>
      <c r="F3145" s="41"/>
      <c r="G3145" s="41"/>
      <c r="H3145" s="41"/>
      <c r="I3145" s="41"/>
      <c r="J3145" s="41"/>
      <c r="K3145" s="41"/>
      <c r="L3145" s="41"/>
      <c r="M3145" s="41"/>
      <c r="N3145" s="41"/>
      <c r="O3145" s="41"/>
    </row>
    <row r="3146" spans="1:15">
      <c r="A3146" s="39"/>
      <c r="B3146" s="40"/>
      <c r="C3146" s="41"/>
      <c r="D3146" s="41"/>
      <c r="E3146" s="41"/>
      <c r="F3146" s="41"/>
      <c r="G3146" s="41"/>
      <c r="H3146" s="41"/>
      <c r="I3146" s="41"/>
      <c r="J3146" s="41"/>
      <c r="K3146" s="41"/>
      <c r="L3146" s="41"/>
      <c r="M3146" s="41"/>
      <c r="N3146" s="41"/>
      <c r="O3146" s="41"/>
    </row>
    <row r="3147" spans="1:15">
      <c r="A3147" s="39"/>
      <c r="B3147" s="40"/>
      <c r="C3147" s="41"/>
      <c r="D3147" s="41"/>
      <c r="E3147" s="41"/>
      <c r="F3147" s="41"/>
      <c r="G3147" s="41"/>
      <c r="H3147" s="41"/>
      <c r="I3147" s="41"/>
      <c r="J3147" s="41"/>
      <c r="K3147" s="41"/>
      <c r="L3147" s="41"/>
      <c r="M3147" s="41"/>
      <c r="N3147" s="41"/>
      <c r="O3147" s="41"/>
    </row>
    <row r="3148" spans="1:15">
      <c r="A3148" s="39"/>
      <c r="B3148" s="40"/>
      <c r="C3148" s="41"/>
      <c r="D3148" s="41"/>
      <c r="E3148" s="41"/>
      <c r="F3148" s="41"/>
      <c r="G3148" s="41"/>
      <c r="H3148" s="41"/>
      <c r="I3148" s="41"/>
      <c r="J3148" s="41"/>
      <c r="K3148" s="41"/>
      <c r="L3148" s="41"/>
      <c r="M3148" s="41"/>
      <c r="N3148" s="41"/>
      <c r="O3148" s="41"/>
    </row>
    <row r="3149" spans="1:15">
      <c r="A3149" s="39"/>
      <c r="B3149" s="40"/>
      <c r="C3149" s="41"/>
      <c r="D3149" s="41"/>
      <c r="E3149" s="41"/>
      <c r="F3149" s="41"/>
      <c r="G3149" s="41"/>
      <c r="H3149" s="41"/>
      <c r="I3149" s="41"/>
      <c r="J3149" s="41"/>
      <c r="K3149" s="41"/>
      <c r="L3149" s="41"/>
      <c r="M3149" s="41"/>
      <c r="N3149" s="41"/>
      <c r="O3149" s="41"/>
    </row>
    <row r="3150" spans="1:15">
      <c r="A3150" s="39"/>
      <c r="B3150" s="40"/>
      <c r="C3150" s="41"/>
      <c r="D3150" s="41"/>
      <c r="E3150" s="41"/>
      <c r="F3150" s="41"/>
      <c r="G3150" s="41"/>
      <c r="H3150" s="41"/>
      <c r="I3150" s="41"/>
      <c r="J3150" s="41"/>
      <c r="K3150" s="41"/>
      <c r="L3150" s="41"/>
      <c r="M3150" s="41"/>
      <c r="N3150" s="41"/>
      <c r="O3150" s="41"/>
    </row>
    <row r="3151" spans="1:15">
      <c r="A3151" s="39"/>
      <c r="B3151" s="40"/>
      <c r="C3151" s="41"/>
      <c r="D3151" s="41"/>
      <c r="E3151" s="41"/>
      <c r="F3151" s="41"/>
      <c r="G3151" s="41"/>
      <c r="H3151" s="41"/>
      <c r="I3151" s="41"/>
      <c r="J3151" s="41"/>
      <c r="K3151" s="41"/>
      <c r="L3151" s="41"/>
      <c r="M3151" s="41"/>
      <c r="N3151" s="41"/>
      <c r="O3151" s="41"/>
    </row>
    <row r="3152" spans="1:15">
      <c r="A3152" s="39"/>
      <c r="B3152" s="40"/>
      <c r="C3152" s="41"/>
      <c r="D3152" s="41"/>
      <c r="E3152" s="41"/>
      <c r="F3152" s="41"/>
      <c r="G3152" s="41"/>
      <c r="H3152" s="41"/>
      <c r="I3152" s="41"/>
      <c r="J3152" s="41"/>
      <c r="K3152" s="41"/>
      <c r="L3152" s="41"/>
      <c r="M3152" s="41"/>
      <c r="N3152" s="41"/>
      <c r="O3152" s="41"/>
    </row>
    <row r="3153" spans="1:15">
      <c r="A3153" s="39"/>
      <c r="B3153" s="40"/>
      <c r="C3153" s="41"/>
      <c r="D3153" s="41"/>
      <c r="E3153" s="41"/>
      <c r="F3153" s="41"/>
      <c r="G3153" s="41"/>
      <c r="H3153" s="41"/>
      <c r="I3153" s="41"/>
      <c r="J3153" s="41"/>
      <c r="K3153" s="41"/>
      <c r="L3153" s="41"/>
      <c r="M3153" s="41"/>
      <c r="N3153" s="41"/>
      <c r="O3153" s="41"/>
    </row>
    <row r="3154" spans="1:15">
      <c r="A3154" s="39"/>
      <c r="B3154" s="40"/>
      <c r="C3154" s="41"/>
      <c r="D3154" s="41"/>
      <c r="E3154" s="41"/>
      <c r="F3154" s="41"/>
      <c r="G3154" s="41"/>
      <c r="H3154" s="41"/>
      <c r="I3154" s="41"/>
      <c r="J3154" s="41"/>
      <c r="K3154" s="41"/>
      <c r="L3154" s="41"/>
      <c r="M3154" s="41"/>
      <c r="N3154" s="41"/>
      <c r="O3154" s="41"/>
    </row>
    <row r="3155" spans="1:15">
      <c r="A3155" s="39"/>
      <c r="B3155" s="40"/>
      <c r="C3155" s="41"/>
      <c r="D3155" s="41"/>
      <c r="E3155" s="41"/>
      <c r="F3155" s="41"/>
      <c r="G3155" s="41"/>
      <c r="H3155" s="41"/>
      <c r="I3155" s="41"/>
      <c r="J3155" s="41"/>
      <c r="K3155" s="41"/>
      <c r="L3155" s="41"/>
      <c r="M3155" s="41"/>
      <c r="N3155" s="41"/>
      <c r="O3155" s="41"/>
    </row>
    <row r="3156" spans="1:15">
      <c r="A3156" s="39"/>
      <c r="B3156" s="40"/>
      <c r="C3156" s="41"/>
      <c r="D3156" s="41"/>
      <c r="E3156" s="41"/>
      <c r="F3156" s="41"/>
      <c r="G3156" s="41"/>
      <c r="H3156" s="41"/>
      <c r="I3156" s="41"/>
      <c r="J3156" s="41"/>
      <c r="K3156" s="41"/>
      <c r="L3156" s="41"/>
      <c r="M3156" s="41"/>
      <c r="N3156" s="41"/>
      <c r="O3156" s="41"/>
    </row>
    <row r="3157" spans="1:15">
      <c r="A3157" s="39"/>
      <c r="B3157" s="40"/>
      <c r="C3157" s="41"/>
      <c r="D3157" s="41"/>
      <c r="E3157" s="41"/>
      <c r="F3157" s="41"/>
      <c r="G3157" s="41"/>
      <c r="H3157" s="41"/>
      <c r="I3157" s="41"/>
      <c r="J3157" s="41"/>
      <c r="K3157" s="41"/>
      <c r="L3157" s="41"/>
      <c r="M3157" s="41"/>
      <c r="N3157" s="41"/>
      <c r="O3157" s="41"/>
    </row>
    <row r="3158" spans="1:15">
      <c r="A3158" s="39"/>
      <c r="B3158" s="40"/>
      <c r="C3158" s="41"/>
      <c r="D3158" s="41"/>
      <c r="E3158" s="41"/>
      <c r="F3158" s="41"/>
      <c r="G3158" s="41"/>
      <c r="H3158" s="41"/>
      <c r="I3158" s="41"/>
      <c r="J3158" s="41"/>
      <c r="K3158" s="41"/>
      <c r="L3158" s="41"/>
      <c r="M3158" s="41"/>
      <c r="N3158" s="41"/>
      <c r="O3158" s="41"/>
    </row>
    <row r="3159" spans="1:15">
      <c r="A3159" s="39"/>
      <c r="B3159" s="40"/>
      <c r="C3159" s="41"/>
      <c r="D3159" s="41"/>
      <c r="E3159" s="41"/>
      <c r="F3159" s="41"/>
      <c r="G3159" s="41"/>
      <c r="H3159" s="41"/>
      <c r="I3159" s="41"/>
      <c r="J3159" s="41"/>
      <c r="K3159" s="41"/>
      <c r="L3159" s="41"/>
      <c r="M3159" s="41"/>
      <c r="N3159" s="41"/>
      <c r="O3159" s="41"/>
    </row>
    <row r="3160" spans="1:15">
      <c r="A3160" s="39"/>
      <c r="B3160" s="40"/>
      <c r="C3160" s="41"/>
      <c r="D3160" s="41"/>
      <c r="E3160" s="41"/>
      <c r="F3160" s="41"/>
      <c r="G3160" s="41"/>
      <c r="H3160" s="41"/>
      <c r="I3160" s="41"/>
      <c r="J3160" s="41"/>
      <c r="K3160" s="41"/>
      <c r="L3160" s="41"/>
      <c r="M3160" s="41"/>
      <c r="N3160" s="41"/>
      <c r="O3160" s="41"/>
    </row>
    <row r="3161" spans="1:15">
      <c r="A3161" s="39"/>
      <c r="B3161" s="40"/>
      <c r="C3161" s="41"/>
      <c r="D3161" s="41"/>
      <c r="E3161" s="41"/>
      <c r="F3161" s="41"/>
      <c r="G3161" s="41"/>
      <c r="H3161" s="41"/>
      <c r="I3161" s="41"/>
      <c r="J3161" s="41"/>
      <c r="K3161" s="41"/>
      <c r="L3161" s="41"/>
      <c r="M3161" s="41"/>
      <c r="N3161" s="41"/>
      <c r="O3161" s="41"/>
    </row>
    <row r="3162" spans="1:15">
      <c r="A3162" s="39"/>
      <c r="B3162" s="40"/>
      <c r="C3162" s="41"/>
      <c r="D3162" s="41"/>
      <c r="E3162" s="41"/>
      <c r="F3162" s="41"/>
      <c r="G3162" s="41"/>
      <c r="H3162" s="41"/>
      <c r="I3162" s="41"/>
      <c r="J3162" s="41"/>
      <c r="K3162" s="41"/>
      <c r="L3162" s="41"/>
      <c r="M3162" s="41"/>
      <c r="N3162" s="41"/>
      <c r="O3162" s="41"/>
    </row>
    <row r="3163" spans="1:15">
      <c r="A3163" s="39"/>
      <c r="B3163" s="40"/>
      <c r="C3163" s="41"/>
      <c r="D3163" s="41"/>
      <c r="E3163" s="41"/>
      <c r="F3163" s="41"/>
      <c r="G3163" s="41"/>
      <c r="H3163" s="41"/>
      <c r="I3163" s="41"/>
      <c r="J3163" s="41"/>
      <c r="K3163" s="41"/>
      <c r="L3163" s="41"/>
      <c r="M3163" s="41"/>
      <c r="N3163" s="41"/>
      <c r="O3163" s="41"/>
    </row>
    <row r="3164" spans="1:15">
      <c r="A3164" s="39"/>
      <c r="B3164" s="40"/>
      <c r="C3164" s="41"/>
      <c r="D3164" s="41"/>
      <c r="E3164" s="41"/>
      <c r="F3164" s="41"/>
      <c r="G3164" s="41"/>
      <c r="H3164" s="41"/>
      <c r="I3164" s="41"/>
      <c r="J3164" s="41"/>
      <c r="K3164" s="41"/>
      <c r="L3164" s="41"/>
      <c r="M3164" s="41"/>
      <c r="N3164" s="41"/>
      <c r="O3164" s="41"/>
    </row>
    <row r="3165" spans="1:15">
      <c r="A3165" s="39"/>
      <c r="B3165" s="40"/>
      <c r="C3165" s="41"/>
      <c r="D3165" s="41"/>
      <c r="E3165" s="41"/>
      <c r="F3165" s="41"/>
      <c r="G3165" s="41"/>
      <c r="H3165" s="41"/>
      <c r="I3165" s="41"/>
      <c r="J3165" s="41"/>
      <c r="K3165" s="41"/>
      <c r="L3165" s="41"/>
      <c r="M3165" s="41"/>
      <c r="N3165" s="41"/>
      <c r="O3165" s="41"/>
    </row>
    <row r="3166" spans="1:15">
      <c r="A3166" s="39"/>
      <c r="B3166" s="40"/>
      <c r="C3166" s="41"/>
      <c r="D3166" s="41"/>
      <c r="E3166" s="41"/>
      <c r="F3166" s="41"/>
      <c r="G3166" s="41"/>
      <c r="H3166" s="41"/>
      <c r="I3166" s="41"/>
      <c r="J3166" s="41"/>
      <c r="K3166" s="41"/>
      <c r="L3166" s="41"/>
      <c r="M3166" s="41"/>
      <c r="N3166" s="41"/>
      <c r="O3166" s="41"/>
    </row>
    <row r="3167" spans="1:15">
      <c r="A3167" s="39"/>
      <c r="B3167" s="40"/>
      <c r="C3167" s="41"/>
      <c r="D3167" s="41"/>
      <c r="E3167" s="41"/>
      <c r="F3167" s="41"/>
      <c r="G3167" s="41"/>
      <c r="H3167" s="41"/>
      <c r="I3167" s="41"/>
      <c r="J3167" s="41"/>
      <c r="K3167" s="41"/>
      <c r="L3167" s="41"/>
      <c r="M3167" s="41"/>
      <c r="N3167" s="41"/>
      <c r="O3167" s="41"/>
    </row>
    <row r="3168" spans="1:15">
      <c r="A3168" s="39"/>
      <c r="B3168" s="40"/>
      <c r="C3168" s="41"/>
      <c r="D3168" s="41"/>
      <c r="E3168" s="41"/>
      <c r="F3168" s="41"/>
      <c r="G3168" s="41"/>
      <c r="H3168" s="41"/>
      <c r="I3168" s="41"/>
      <c r="J3168" s="41"/>
      <c r="K3168" s="41"/>
      <c r="L3168" s="41"/>
      <c r="M3168" s="41"/>
      <c r="N3168" s="41"/>
      <c r="O3168" s="41"/>
    </row>
    <row r="3169" spans="1:15">
      <c r="A3169" s="39"/>
      <c r="B3169" s="40"/>
      <c r="C3169" s="41"/>
      <c r="D3169" s="41"/>
      <c r="E3169" s="41"/>
      <c r="F3169" s="41"/>
      <c r="G3169" s="41"/>
      <c r="H3169" s="41"/>
      <c r="I3169" s="41"/>
      <c r="J3169" s="41"/>
      <c r="K3169" s="41"/>
      <c r="L3169" s="41"/>
      <c r="M3169" s="41"/>
      <c r="N3169" s="41"/>
      <c r="O3169" s="41"/>
    </row>
    <row r="3170" spans="1:15">
      <c r="A3170" s="39"/>
      <c r="B3170" s="40"/>
      <c r="C3170" s="41"/>
      <c r="D3170" s="41"/>
      <c r="E3170" s="41"/>
      <c r="F3170" s="41"/>
      <c r="G3170" s="41"/>
      <c r="H3170" s="41"/>
      <c r="I3170" s="41"/>
      <c r="J3170" s="41"/>
      <c r="K3170" s="41"/>
      <c r="L3170" s="41"/>
      <c r="M3170" s="41"/>
      <c r="N3170" s="41"/>
      <c r="O3170" s="41"/>
    </row>
    <row r="3171" spans="1:15">
      <c r="A3171" s="39"/>
      <c r="B3171" s="40"/>
      <c r="C3171" s="41"/>
      <c r="D3171" s="41"/>
      <c r="E3171" s="41"/>
      <c r="F3171" s="41"/>
      <c r="G3171" s="41"/>
      <c r="H3171" s="41"/>
      <c r="I3171" s="41"/>
      <c r="J3171" s="41"/>
      <c r="K3171" s="41"/>
      <c r="L3171" s="41"/>
      <c r="M3171" s="41"/>
      <c r="N3171" s="41"/>
      <c r="O3171" s="41"/>
    </row>
    <row r="3172" spans="1:15">
      <c r="A3172" s="39"/>
      <c r="B3172" s="40"/>
      <c r="C3172" s="41"/>
      <c r="D3172" s="41"/>
      <c r="E3172" s="41"/>
      <c r="F3172" s="41"/>
      <c r="G3172" s="41"/>
      <c r="H3172" s="41"/>
      <c r="I3172" s="41"/>
      <c r="J3172" s="41"/>
      <c r="K3172" s="41"/>
      <c r="L3172" s="41"/>
      <c r="M3172" s="41"/>
      <c r="N3172" s="41"/>
      <c r="O3172" s="41"/>
    </row>
    <row r="3173" spans="1:15">
      <c r="A3173" s="39"/>
      <c r="B3173" s="40"/>
      <c r="C3173" s="41"/>
      <c r="D3173" s="41"/>
      <c r="E3173" s="41"/>
      <c r="F3173" s="41"/>
      <c r="G3173" s="41"/>
      <c r="H3173" s="41"/>
      <c r="I3173" s="41"/>
      <c r="J3173" s="41"/>
      <c r="K3173" s="41"/>
      <c r="L3173" s="41"/>
      <c r="M3173" s="41"/>
      <c r="N3173" s="41"/>
      <c r="O3173" s="41"/>
    </row>
    <row r="3174" spans="1:15">
      <c r="A3174" s="39"/>
      <c r="B3174" s="40"/>
      <c r="C3174" s="41"/>
      <c r="D3174" s="41"/>
      <c r="E3174" s="41"/>
      <c r="F3174" s="41"/>
      <c r="G3174" s="41"/>
      <c r="H3174" s="41"/>
      <c r="I3174" s="41"/>
      <c r="J3174" s="41"/>
      <c r="K3174" s="41"/>
      <c r="L3174" s="41"/>
      <c r="M3174" s="41"/>
      <c r="N3174" s="41"/>
      <c r="O3174" s="41"/>
    </row>
    <row r="3175" spans="1:15">
      <c r="A3175" s="39"/>
      <c r="B3175" s="40"/>
      <c r="C3175" s="41"/>
      <c r="D3175" s="41"/>
      <c r="E3175" s="41"/>
      <c r="F3175" s="41"/>
      <c r="G3175" s="41"/>
      <c r="H3175" s="41"/>
      <c r="I3175" s="41"/>
      <c r="J3175" s="41"/>
      <c r="K3175" s="41"/>
      <c r="L3175" s="41"/>
      <c r="M3175" s="41"/>
      <c r="N3175" s="41"/>
      <c r="O3175" s="41"/>
    </row>
    <row r="3176" spans="1:15">
      <c r="A3176" s="39"/>
      <c r="B3176" s="40"/>
      <c r="C3176" s="41"/>
      <c r="D3176" s="41"/>
      <c r="E3176" s="41"/>
      <c r="F3176" s="41"/>
      <c r="G3176" s="41"/>
      <c r="H3176" s="41"/>
      <c r="I3176" s="41"/>
      <c r="J3176" s="41"/>
      <c r="K3176" s="41"/>
      <c r="L3176" s="41"/>
      <c r="M3176" s="41"/>
      <c r="N3176" s="41"/>
      <c r="O3176" s="41"/>
    </row>
    <row r="3177" spans="1:15">
      <c r="A3177" s="39"/>
      <c r="B3177" s="40"/>
      <c r="C3177" s="41"/>
      <c r="D3177" s="41"/>
      <c r="E3177" s="41"/>
      <c r="F3177" s="41"/>
      <c r="G3177" s="41"/>
      <c r="H3177" s="41"/>
      <c r="I3177" s="41"/>
      <c r="J3177" s="41"/>
      <c r="K3177" s="41"/>
      <c r="L3177" s="41"/>
      <c r="M3177" s="41"/>
      <c r="N3177" s="41"/>
      <c r="O3177" s="41"/>
    </row>
    <row r="3178" spans="1:15">
      <c r="A3178" s="39"/>
      <c r="B3178" s="40"/>
      <c r="C3178" s="41"/>
      <c r="D3178" s="41"/>
      <c r="E3178" s="41"/>
      <c r="F3178" s="41"/>
      <c r="G3178" s="41"/>
      <c r="H3178" s="41"/>
      <c r="I3178" s="41"/>
      <c r="J3178" s="41"/>
      <c r="K3178" s="41"/>
      <c r="L3178" s="41"/>
      <c r="M3178" s="41"/>
      <c r="N3178" s="41"/>
      <c r="O3178" s="41"/>
    </row>
    <row r="3179" spans="1:15">
      <c r="A3179" s="39"/>
      <c r="B3179" s="40"/>
      <c r="C3179" s="41"/>
      <c r="D3179" s="41"/>
      <c r="E3179" s="41"/>
      <c r="F3179" s="41"/>
      <c r="G3179" s="41"/>
      <c r="H3179" s="41"/>
      <c r="I3179" s="41"/>
      <c r="J3179" s="41"/>
      <c r="K3179" s="41"/>
      <c r="L3179" s="41"/>
      <c r="M3179" s="41"/>
      <c r="N3179" s="41"/>
      <c r="O3179" s="41"/>
    </row>
    <row r="3180" spans="1:15">
      <c r="A3180" s="39"/>
      <c r="B3180" s="40"/>
      <c r="C3180" s="41"/>
      <c r="D3180" s="41"/>
      <c r="E3180" s="41"/>
      <c r="F3180" s="41"/>
      <c r="G3180" s="41"/>
      <c r="H3180" s="41"/>
      <c r="I3180" s="41"/>
      <c r="J3180" s="41"/>
      <c r="K3180" s="41"/>
      <c r="L3180" s="41"/>
      <c r="M3180" s="41"/>
      <c r="N3180" s="41"/>
      <c r="O3180" s="41"/>
    </row>
    <row r="3181" spans="1:15">
      <c r="A3181" s="39"/>
      <c r="B3181" s="40"/>
      <c r="C3181" s="41"/>
      <c r="D3181" s="41"/>
      <c r="E3181" s="41"/>
      <c r="F3181" s="41"/>
      <c r="G3181" s="41"/>
      <c r="H3181" s="41"/>
      <c r="I3181" s="41"/>
      <c r="J3181" s="41"/>
      <c r="K3181" s="41"/>
      <c r="L3181" s="41"/>
      <c r="M3181" s="41"/>
      <c r="N3181" s="41"/>
      <c r="O3181" s="41"/>
    </row>
    <row r="3182" spans="1:15">
      <c r="A3182" s="39"/>
      <c r="B3182" s="40"/>
      <c r="C3182" s="41"/>
      <c r="D3182" s="41"/>
      <c r="E3182" s="41"/>
      <c r="F3182" s="41"/>
      <c r="G3182" s="41"/>
      <c r="H3182" s="41"/>
      <c r="I3182" s="41"/>
      <c r="J3182" s="41"/>
      <c r="K3182" s="41"/>
      <c r="L3182" s="41"/>
      <c r="M3182" s="41"/>
      <c r="N3182" s="41"/>
      <c r="O3182" s="41"/>
    </row>
    <row r="3183" spans="1:15">
      <c r="A3183" s="39"/>
      <c r="B3183" s="40"/>
      <c r="C3183" s="41"/>
      <c r="D3183" s="41"/>
      <c r="E3183" s="41"/>
      <c r="F3183" s="41"/>
      <c r="G3183" s="41"/>
      <c r="H3183" s="41"/>
      <c r="I3183" s="41"/>
      <c r="J3183" s="41"/>
      <c r="K3183" s="41"/>
      <c r="L3183" s="41"/>
      <c r="M3183" s="41"/>
      <c r="N3183" s="41"/>
      <c r="O3183" s="41"/>
    </row>
    <row r="3184" spans="1:15">
      <c r="A3184" s="39"/>
      <c r="B3184" s="40"/>
      <c r="C3184" s="41"/>
      <c r="D3184" s="41"/>
      <c r="E3184" s="41"/>
      <c r="F3184" s="41"/>
      <c r="G3184" s="41"/>
      <c r="H3184" s="41"/>
      <c r="I3184" s="41"/>
      <c r="J3184" s="41"/>
      <c r="K3184" s="41"/>
      <c r="L3184" s="41"/>
      <c r="M3184" s="41"/>
      <c r="N3184" s="41"/>
      <c r="O3184" s="41"/>
    </row>
    <row r="3185" spans="1:15">
      <c r="A3185" s="39"/>
      <c r="B3185" s="40"/>
      <c r="C3185" s="41"/>
      <c r="D3185" s="41"/>
      <c r="E3185" s="41"/>
      <c r="F3185" s="41"/>
      <c r="G3185" s="41"/>
      <c r="H3185" s="41"/>
      <c r="I3185" s="41"/>
      <c r="J3185" s="41"/>
      <c r="K3185" s="41"/>
      <c r="L3185" s="41"/>
      <c r="M3185" s="41"/>
      <c r="N3185" s="41"/>
      <c r="O3185" s="41"/>
    </row>
    <row r="3186" spans="1:15">
      <c r="A3186" s="39"/>
      <c r="B3186" s="40"/>
      <c r="C3186" s="41"/>
      <c r="D3186" s="41"/>
      <c r="E3186" s="41"/>
      <c r="F3186" s="41"/>
      <c r="G3186" s="41"/>
      <c r="H3186" s="41"/>
      <c r="I3186" s="41"/>
      <c r="J3186" s="41"/>
      <c r="K3186" s="41"/>
      <c r="L3186" s="41"/>
      <c r="M3186" s="41"/>
      <c r="N3186" s="41"/>
      <c r="O3186" s="41"/>
    </row>
    <row r="3187" spans="1:15">
      <c r="A3187" s="39"/>
      <c r="B3187" s="40"/>
      <c r="C3187" s="41"/>
      <c r="D3187" s="41"/>
      <c r="E3187" s="41"/>
      <c r="F3187" s="41"/>
      <c r="G3187" s="41"/>
      <c r="H3187" s="41"/>
      <c r="I3187" s="41"/>
      <c r="J3187" s="41"/>
      <c r="K3187" s="41"/>
      <c r="L3187" s="41"/>
      <c r="M3187" s="41"/>
      <c r="N3187" s="41"/>
      <c r="O3187" s="41"/>
    </row>
    <row r="3188" spans="1:15">
      <c r="A3188" s="39"/>
      <c r="B3188" s="40"/>
      <c r="C3188" s="41"/>
      <c r="D3188" s="41"/>
      <c r="E3188" s="41"/>
      <c r="F3188" s="41"/>
      <c r="G3188" s="41"/>
      <c r="H3188" s="41"/>
      <c r="I3188" s="41"/>
      <c r="J3188" s="41"/>
      <c r="K3188" s="41"/>
      <c r="L3188" s="41"/>
      <c r="M3188" s="41"/>
      <c r="N3188" s="41"/>
      <c r="O3188" s="41"/>
    </row>
    <row r="3189" spans="1:15">
      <c r="A3189" s="39"/>
      <c r="B3189" s="40"/>
      <c r="C3189" s="41"/>
      <c r="D3189" s="41"/>
      <c r="E3189" s="41"/>
      <c r="F3189" s="41"/>
      <c r="G3189" s="41"/>
      <c r="H3189" s="41"/>
      <c r="I3189" s="41"/>
      <c r="J3189" s="41"/>
      <c r="K3189" s="41"/>
      <c r="L3189" s="41"/>
      <c r="M3189" s="41"/>
      <c r="N3189" s="41"/>
      <c r="O3189" s="41"/>
    </row>
    <row r="3190" spans="1:15">
      <c r="A3190" s="39"/>
      <c r="B3190" s="40"/>
      <c r="C3190" s="41"/>
      <c r="D3190" s="41"/>
      <c r="E3190" s="41"/>
      <c r="F3190" s="41"/>
      <c r="G3190" s="41"/>
      <c r="H3190" s="41"/>
      <c r="I3190" s="41"/>
      <c r="J3190" s="41"/>
      <c r="K3190" s="41"/>
      <c r="L3190" s="41"/>
      <c r="M3190" s="41"/>
      <c r="N3190" s="41"/>
      <c r="O3190" s="41"/>
    </row>
    <row r="3191" spans="1:15">
      <c r="A3191" s="39"/>
      <c r="B3191" s="40"/>
      <c r="C3191" s="41"/>
      <c r="D3191" s="41"/>
      <c r="E3191" s="41"/>
      <c r="F3191" s="41"/>
      <c r="G3191" s="41"/>
      <c r="H3191" s="41"/>
      <c r="I3191" s="41"/>
      <c r="J3191" s="41"/>
      <c r="K3191" s="41"/>
      <c r="L3191" s="41"/>
      <c r="M3191" s="41"/>
      <c r="N3191" s="41"/>
      <c r="O3191" s="41"/>
    </row>
    <row r="3192" spans="1:15">
      <c r="A3192" s="39"/>
      <c r="B3192" s="40"/>
      <c r="C3192" s="41"/>
      <c r="D3192" s="41"/>
      <c r="E3192" s="41"/>
      <c r="F3192" s="41"/>
      <c r="G3192" s="41"/>
      <c r="H3192" s="41"/>
      <c r="I3192" s="41"/>
      <c r="J3192" s="41"/>
      <c r="K3192" s="41"/>
      <c r="L3192" s="41"/>
      <c r="M3192" s="41"/>
      <c r="N3192" s="41"/>
      <c r="O3192" s="41"/>
    </row>
    <row r="3193" spans="1:15">
      <c r="A3193" s="39"/>
      <c r="B3193" s="40"/>
      <c r="C3193" s="41"/>
      <c r="D3193" s="41"/>
      <c r="E3193" s="41"/>
      <c r="F3193" s="41"/>
      <c r="G3193" s="41"/>
      <c r="H3193" s="41"/>
      <c r="I3193" s="41"/>
      <c r="J3193" s="41"/>
      <c r="K3193" s="41"/>
      <c r="L3193" s="41"/>
      <c r="M3193" s="41"/>
      <c r="N3193" s="41"/>
      <c r="O3193" s="41"/>
    </row>
    <row r="3194" spans="1:15">
      <c r="A3194" s="39"/>
      <c r="B3194" s="40"/>
      <c r="C3194" s="41"/>
      <c r="D3194" s="41"/>
      <c r="E3194" s="41"/>
      <c r="F3194" s="41"/>
      <c r="G3194" s="41"/>
      <c r="H3194" s="41"/>
      <c r="I3194" s="41"/>
      <c r="J3194" s="41"/>
      <c r="K3194" s="41"/>
      <c r="L3194" s="41"/>
      <c r="M3194" s="41"/>
      <c r="N3194" s="41"/>
      <c r="O3194" s="41"/>
    </row>
    <row r="3195" spans="1:15">
      <c r="A3195" s="39"/>
      <c r="B3195" s="40"/>
      <c r="C3195" s="41"/>
      <c r="D3195" s="41"/>
      <c r="E3195" s="41"/>
      <c r="F3195" s="41"/>
      <c r="G3195" s="41"/>
      <c r="H3195" s="41"/>
      <c r="I3195" s="41"/>
      <c r="J3195" s="41"/>
      <c r="K3195" s="41"/>
      <c r="L3195" s="41"/>
      <c r="M3195" s="41"/>
      <c r="N3195" s="41"/>
      <c r="O3195" s="41"/>
    </row>
    <row r="3196" spans="1:15">
      <c r="A3196" s="39"/>
      <c r="B3196" s="40"/>
      <c r="C3196" s="41"/>
      <c r="D3196" s="41"/>
      <c r="E3196" s="41"/>
      <c r="F3196" s="41"/>
      <c r="G3196" s="41"/>
      <c r="H3196" s="41"/>
      <c r="I3196" s="41"/>
      <c r="J3196" s="41"/>
      <c r="K3196" s="41"/>
      <c r="L3196" s="41"/>
      <c r="M3196" s="41"/>
      <c r="N3196" s="41"/>
      <c r="O3196" s="41"/>
    </row>
    <row r="3197" spans="1:15">
      <c r="A3197" s="39"/>
      <c r="B3197" s="40"/>
      <c r="C3197" s="41"/>
      <c r="D3197" s="41"/>
      <c r="E3197" s="41"/>
      <c r="F3197" s="41"/>
      <c r="G3197" s="41"/>
      <c r="H3197" s="41"/>
      <c r="I3197" s="41"/>
      <c r="J3197" s="41"/>
      <c r="K3197" s="41"/>
      <c r="L3197" s="41"/>
      <c r="M3197" s="41"/>
      <c r="N3197" s="41"/>
      <c r="O3197" s="41"/>
    </row>
    <row r="3198" spans="1:15">
      <c r="A3198" s="39"/>
      <c r="B3198" s="40"/>
      <c r="C3198" s="41"/>
      <c r="D3198" s="41"/>
      <c r="E3198" s="41"/>
      <c r="F3198" s="41"/>
      <c r="G3198" s="41"/>
      <c r="H3198" s="41"/>
      <c r="I3198" s="41"/>
      <c r="J3198" s="41"/>
      <c r="K3198" s="41"/>
      <c r="L3198" s="41"/>
      <c r="M3198" s="41"/>
      <c r="N3198" s="41"/>
      <c r="O3198" s="41"/>
    </row>
    <row r="3199" spans="1:15">
      <c r="A3199" s="39"/>
      <c r="B3199" s="40"/>
      <c r="C3199" s="41"/>
      <c r="D3199" s="41"/>
      <c r="E3199" s="41"/>
      <c r="F3199" s="41"/>
      <c r="G3199" s="41"/>
      <c r="H3199" s="41"/>
      <c r="I3199" s="41"/>
      <c r="J3199" s="41"/>
      <c r="K3199" s="41"/>
      <c r="L3199" s="41"/>
      <c r="M3199" s="41"/>
      <c r="N3199" s="41"/>
      <c r="O3199" s="41"/>
    </row>
    <row r="3200" spans="1:15">
      <c r="A3200" s="39"/>
      <c r="B3200" s="40"/>
      <c r="C3200" s="41"/>
      <c r="D3200" s="41"/>
      <c r="E3200" s="41"/>
      <c r="F3200" s="41"/>
      <c r="G3200" s="41"/>
      <c r="H3200" s="41"/>
      <c r="I3200" s="41"/>
      <c r="J3200" s="41"/>
      <c r="K3200" s="41"/>
      <c r="L3200" s="41"/>
      <c r="M3200" s="41"/>
      <c r="N3200" s="41"/>
      <c r="O3200" s="41"/>
    </row>
    <row r="3201" spans="1:15">
      <c r="A3201" s="39"/>
      <c r="B3201" s="40"/>
      <c r="C3201" s="41"/>
      <c r="D3201" s="41"/>
      <c r="E3201" s="41"/>
      <c r="F3201" s="41"/>
      <c r="G3201" s="41"/>
      <c r="H3201" s="41"/>
      <c r="I3201" s="41"/>
      <c r="J3201" s="41"/>
      <c r="K3201" s="41"/>
      <c r="L3201" s="41"/>
      <c r="M3201" s="41"/>
      <c r="N3201" s="41"/>
      <c r="O3201" s="41"/>
    </row>
    <row r="3202" spans="1:15">
      <c r="A3202" s="39"/>
      <c r="B3202" s="40"/>
      <c r="C3202" s="41"/>
      <c r="D3202" s="41"/>
      <c r="E3202" s="41"/>
      <c r="F3202" s="41"/>
      <c r="G3202" s="41"/>
      <c r="H3202" s="41"/>
      <c r="I3202" s="41"/>
      <c r="J3202" s="41"/>
      <c r="K3202" s="41"/>
      <c r="L3202" s="41"/>
      <c r="M3202" s="41"/>
      <c r="N3202" s="41"/>
      <c r="O3202" s="41"/>
    </row>
    <row r="3203" spans="1:15">
      <c r="A3203" s="39"/>
      <c r="B3203" s="40"/>
      <c r="C3203" s="41"/>
      <c r="D3203" s="41"/>
      <c r="E3203" s="41"/>
      <c r="F3203" s="41"/>
      <c r="G3203" s="41"/>
      <c r="H3203" s="41"/>
      <c r="I3203" s="41"/>
      <c r="J3203" s="41"/>
      <c r="K3203" s="41"/>
      <c r="L3203" s="41"/>
      <c r="M3203" s="41"/>
      <c r="N3203" s="41"/>
      <c r="O3203" s="41"/>
    </row>
    <row r="3204" spans="1:15">
      <c r="A3204" s="39"/>
      <c r="B3204" s="40"/>
      <c r="C3204" s="41"/>
      <c r="D3204" s="41"/>
      <c r="E3204" s="41"/>
      <c r="F3204" s="41"/>
      <c r="G3204" s="41"/>
      <c r="H3204" s="41"/>
      <c r="I3204" s="41"/>
      <c r="J3204" s="41"/>
      <c r="K3204" s="41"/>
      <c r="L3204" s="41"/>
      <c r="M3204" s="41"/>
      <c r="N3204" s="41"/>
      <c r="O3204" s="41"/>
    </row>
    <row r="3205" spans="1:15">
      <c r="A3205" s="39"/>
      <c r="B3205" s="40"/>
      <c r="C3205" s="41"/>
      <c r="D3205" s="41"/>
      <c r="E3205" s="41"/>
      <c r="F3205" s="41"/>
      <c r="G3205" s="41"/>
      <c r="H3205" s="41"/>
      <c r="I3205" s="41"/>
      <c r="J3205" s="41"/>
      <c r="K3205" s="41"/>
      <c r="L3205" s="41"/>
      <c r="M3205" s="41"/>
      <c r="N3205" s="41"/>
      <c r="O3205" s="41"/>
    </row>
    <row r="3206" spans="1:15">
      <c r="A3206" s="39"/>
      <c r="B3206" s="40"/>
      <c r="C3206" s="41"/>
      <c r="D3206" s="41"/>
      <c r="E3206" s="41"/>
      <c r="F3206" s="41"/>
      <c r="G3206" s="41"/>
      <c r="H3206" s="41"/>
      <c r="I3206" s="41"/>
      <c r="J3206" s="41"/>
      <c r="K3206" s="41"/>
      <c r="L3206" s="41"/>
      <c r="M3206" s="41"/>
      <c r="N3206" s="41"/>
      <c r="O3206" s="41"/>
    </row>
    <row r="3207" spans="1:15">
      <c r="A3207" s="39"/>
      <c r="B3207" s="40"/>
      <c r="C3207" s="41"/>
      <c r="D3207" s="41"/>
      <c r="E3207" s="41"/>
      <c r="F3207" s="41"/>
      <c r="G3207" s="41"/>
      <c r="H3207" s="41"/>
      <c r="I3207" s="41"/>
      <c r="J3207" s="41"/>
      <c r="K3207" s="41"/>
      <c r="L3207" s="41"/>
      <c r="M3207" s="41"/>
      <c r="N3207" s="41"/>
      <c r="O3207" s="41"/>
    </row>
    <row r="3208" spans="1:15">
      <c r="A3208" s="39"/>
      <c r="B3208" s="40"/>
      <c r="C3208" s="41"/>
      <c r="D3208" s="41"/>
      <c r="E3208" s="41"/>
      <c r="F3208" s="41"/>
      <c r="G3208" s="41"/>
      <c r="H3208" s="41"/>
      <c r="I3208" s="41"/>
      <c r="J3208" s="41"/>
      <c r="K3208" s="41"/>
      <c r="L3208" s="41"/>
      <c r="M3208" s="41"/>
      <c r="N3208" s="41"/>
      <c r="O3208" s="41"/>
    </row>
    <row r="3209" spans="1:15">
      <c r="A3209" s="39"/>
      <c r="B3209" s="40"/>
      <c r="C3209" s="41"/>
      <c r="D3209" s="41"/>
      <c r="E3209" s="41"/>
      <c r="F3209" s="41"/>
      <c r="G3209" s="41"/>
      <c r="H3209" s="41"/>
      <c r="I3209" s="41"/>
      <c r="J3209" s="41"/>
      <c r="K3209" s="41"/>
      <c r="L3209" s="41"/>
      <c r="M3209" s="41"/>
      <c r="N3209" s="41"/>
      <c r="O3209" s="41"/>
    </row>
    <row r="3210" spans="1:15">
      <c r="A3210" s="39"/>
      <c r="B3210" s="40"/>
      <c r="C3210" s="41"/>
      <c r="D3210" s="41"/>
      <c r="E3210" s="41"/>
      <c r="F3210" s="41"/>
      <c r="G3210" s="41"/>
      <c r="H3210" s="41"/>
      <c r="I3210" s="41"/>
      <c r="J3210" s="41"/>
      <c r="K3210" s="41"/>
      <c r="L3210" s="41"/>
      <c r="M3210" s="41"/>
      <c r="N3210" s="41"/>
      <c r="O3210" s="41"/>
    </row>
    <row r="3211" spans="1:15">
      <c r="A3211" s="39"/>
      <c r="B3211" s="40"/>
      <c r="C3211" s="41"/>
      <c r="D3211" s="41"/>
      <c r="E3211" s="41"/>
      <c r="F3211" s="41"/>
      <c r="G3211" s="41"/>
      <c r="H3211" s="41"/>
      <c r="I3211" s="41"/>
      <c r="J3211" s="41"/>
      <c r="K3211" s="41"/>
      <c r="L3211" s="41"/>
      <c r="M3211" s="41"/>
      <c r="N3211" s="41"/>
      <c r="O3211" s="41"/>
    </row>
    <row r="3212" spans="1:15">
      <c r="A3212" s="39"/>
      <c r="B3212" s="40"/>
      <c r="C3212" s="41"/>
      <c r="D3212" s="41"/>
      <c r="E3212" s="41"/>
      <c r="F3212" s="41"/>
      <c r="G3212" s="41"/>
      <c r="H3212" s="41"/>
      <c r="I3212" s="41"/>
      <c r="J3212" s="41"/>
      <c r="K3212" s="41"/>
      <c r="L3212" s="41"/>
      <c r="M3212" s="41"/>
      <c r="N3212" s="41"/>
      <c r="O3212" s="41"/>
    </row>
    <row r="3213" spans="1:15">
      <c r="A3213" s="39"/>
      <c r="B3213" s="40"/>
      <c r="C3213" s="41"/>
      <c r="D3213" s="41"/>
      <c r="E3213" s="41"/>
      <c r="F3213" s="41"/>
      <c r="G3213" s="41"/>
      <c r="H3213" s="41"/>
      <c r="I3213" s="41"/>
      <c r="J3213" s="41"/>
      <c r="K3213" s="41"/>
      <c r="L3213" s="41"/>
      <c r="M3213" s="41"/>
      <c r="N3213" s="41"/>
      <c r="O3213" s="41"/>
    </row>
    <row r="3214" spans="1:15">
      <c r="A3214" s="39"/>
      <c r="B3214" s="40"/>
      <c r="C3214" s="41"/>
      <c r="D3214" s="41"/>
      <c r="E3214" s="41"/>
      <c r="F3214" s="41"/>
      <c r="G3214" s="41"/>
      <c r="H3214" s="41"/>
      <c r="I3214" s="41"/>
      <c r="J3214" s="41"/>
      <c r="K3214" s="41"/>
      <c r="L3214" s="41"/>
      <c r="M3214" s="41"/>
      <c r="N3214" s="41"/>
      <c r="O3214" s="41"/>
    </row>
    <row r="3215" spans="1:15">
      <c r="A3215" s="39"/>
      <c r="B3215" s="40"/>
      <c r="C3215" s="41"/>
      <c r="D3215" s="41"/>
      <c r="E3215" s="41"/>
      <c r="F3215" s="41"/>
      <c r="G3215" s="41"/>
      <c r="H3215" s="41"/>
      <c r="I3215" s="41"/>
      <c r="J3215" s="41"/>
      <c r="K3215" s="41"/>
      <c r="L3215" s="41"/>
      <c r="M3215" s="41"/>
      <c r="N3215" s="41"/>
      <c r="O3215" s="41"/>
    </row>
    <row r="3216" spans="1:15">
      <c r="A3216" s="39"/>
      <c r="B3216" s="40"/>
      <c r="C3216" s="41"/>
      <c r="D3216" s="41"/>
      <c r="E3216" s="41"/>
      <c r="F3216" s="41"/>
      <c r="G3216" s="41"/>
      <c r="H3216" s="41"/>
      <c r="I3216" s="41"/>
      <c r="J3216" s="41"/>
      <c r="K3216" s="41"/>
      <c r="L3216" s="41"/>
      <c r="M3216" s="41"/>
      <c r="N3216" s="41"/>
      <c r="O3216" s="41"/>
    </row>
    <row r="3217" spans="1:15">
      <c r="A3217" s="39"/>
      <c r="B3217" s="40"/>
      <c r="C3217" s="41"/>
      <c r="D3217" s="41"/>
      <c r="E3217" s="41"/>
      <c r="F3217" s="41"/>
      <c r="G3217" s="41"/>
      <c r="H3217" s="41"/>
      <c r="I3217" s="41"/>
      <c r="J3217" s="41"/>
      <c r="K3217" s="41"/>
      <c r="L3217" s="41"/>
      <c r="M3217" s="41"/>
      <c r="N3217" s="41"/>
      <c r="O3217" s="41"/>
    </row>
    <row r="3218" spans="1:15">
      <c r="A3218" s="39"/>
      <c r="B3218" s="40"/>
      <c r="C3218" s="41"/>
      <c r="D3218" s="41"/>
      <c r="E3218" s="41"/>
      <c r="F3218" s="41"/>
      <c r="G3218" s="41"/>
      <c r="H3218" s="41"/>
      <c r="I3218" s="41"/>
      <c r="J3218" s="41"/>
      <c r="K3218" s="41"/>
      <c r="L3218" s="41"/>
      <c r="M3218" s="41"/>
      <c r="N3218" s="41"/>
      <c r="O3218" s="41"/>
    </row>
    <row r="3219" spans="1:15">
      <c r="A3219" s="39"/>
      <c r="B3219" s="40"/>
      <c r="C3219" s="41"/>
      <c r="D3219" s="41"/>
      <c r="E3219" s="41"/>
      <c r="F3219" s="41"/>
      <c r="G3219" s="41"/>
      <c r="H3219" s="41"/>
      <c r="I3219" s="41"/>
      <c r="J3219" s="41"/>
      <c r="K3219" s="41"/>
      <c r="L3219" s="41"/>
      <c r="M3219" s="41"/>
      <c r="N3219" s="41"/>
      <c r="O3219" s="41"/>
    </row>
    <row r="3220" spans="1:15">
      <c r="A3220" s="39"/>
      <c r="B3220" s="40"/>
      <c r="C3220" s="41"/>
      <c r="D3220" s="41"/>
      <c r="E3220" s="41"/>
      <c r="F3220" s="41"/>
      <c r="G3220" s="41"/>
      <c r="H3220" s="41"/>
      <c r="I3220" s="41"/>
      <c r="J3220" s="41"/>
      <c r="K3220" s="41"/>
      <c r="L3220" s="41"/>
      <c r="M3220" s="41"/>
      <c r="N3220" s="41"/>
      <c r="O3220" s="41"/>
    </row>
    <row r="3221" spans="1:15">
      <c r="A3221" s="39"/>
      <c r="B3221" s="40"/>
      <c r="C3221" s="41"/>
      <c r="D3221" s="41"/>
      <c r="E3221" s="41"/>
      <c r="F3221" s="41"/>
      <c r="G3221" s="41"/>
      <c r="H3221" s="41"/>
      <c r="I3221" s="41"/>
      <c r="J3221" s="41"/>
      <c r="K3221" s="41"/>
      <c r="L3221" s="41"/>
      <c r="M3221" s="41"/>
      <c r="N3221" s="41"/>
      <c r="O3221" s="41"/>
    </row>
    <row r="3222" spans="1:15">
      <c r="A3222" s="39"/>
      <c r="B3222" s="40"/>
      <c r="C3222" s="41"/>
      <c r="D3222" s="41"/>
      <c r="E3222" s="41"/>
      <c r="F3222" s="41"/>
      <c r="G3222" s="41"/>
      <c r="H3222" s="41"/>
      <c r="I3222" s="41"/>
      <c r="J3222" s="41"/>
      <c r="K3222" s="41"/>
      <c r="L3222" s="41"/>
      <c r="M3222" s="41"/>
      <c r="N3222" s="41"/>
      <c r="O3222" s="41"/>
    </row>
    <row r="3223" spans="1:15">
      <c r="A3223" s="39"/>
      <c r="B3223" s="40"/>
      <c r="C3223" s="41"/>
      <c r="D3223" s="41"/>
      <c r="E3223" s="41"/>
      <c r="F3223" s="41"/>
      <c r="G3223" s="41"/>
      <c r="H3223" s="41"/>
      <c r="I3223" s="41"/>
      <c r="J3223" s="41"/>
      <c r="K3223" s="41"/>
      <c r="L3223" s="41"/>
      <c r="M3223" s="41"/>
      <c r="N3223" s="41"/>
      <c r="O3223" s="41"/>
    </row>
    <row r="3224" spans="1:15">
      <c r="A3224" s="39"/>
      <c r="B3224" s="40"/>
      <c r="C3224" s="41"/>
      <c r="D3224" s="41"/>
      <c r="E3224" s="41"/>
      <c r="F3224" s="41"/>
      <c r="G3224" s="41"/>
      <c r="H3224" s="41"/>
      <c r="I3224" s="41"/>
      <c r="J3224" s="41"/>
      <c r="K3224" s="41"/>
      <c r="L3224" s="41"/>
      <c r="M3224" s="41"/>
      <c r="N3224" s="41"/>
      <c r="O3224" s="41"/>
    </row>
    <row r="3225" spans="1:15">
      <c r="A3225" s="39"/>
      <c r="B3225" s="40"/>
      <c r="C3225" s="41"/>
      <c r="D3225" s="41"/>
      <c r="E3225" s="41"/>
      <c r="F3225" s="41"/>
      <c r="G3225" s="41"/>
      <c r="H3225" s="41"/>
      <c r="I3225" s="41"/>
      <c r="J3225" s="41"/>
      <c r="K3225" s="41"/>
      <c r="L3225" s="41"/>
      <c r="M3225" s="41"/>
      <c r="N3225" s="41"/>
      <c r="O3225" s="41"/>
    </row>
    <row r="3226" spans="1:15">
      <c r="A3226" s="39"/>
      <c r="B3226" s="40"/>
      <c r="C3226" s="41"/>
      <c r="D3226" s="41"/>
      <c r="E3226" s="41"/>
      <c r="F3226" s="41"/>
      <c r="G3226" s="41"/>
      <c r="H3226" s="41"/>
      <c r="I3226" s="41"/>
      <c r="J3226" s="41"/>
      <c r="K3226" s="41"/>
      <c r="L3226" s="41"/>
      <c r="M3226" s="41"/>
      <c r="N3226" s="41"/>
      <c r="O3226" s="41"/>
    </row>
    <row r="3227" spans="1:15">
      <c r="A3227" s="39"/>
      <c r="B3227" s="40"/>
      <c r="C3227" s="41"/>
      <c r="D3227" s="41"/>
      <c r="E3227" s="41"/>
      <c r="F3227" s="41"/>
      <c r="G3227" s="41"/>
      <c r="H3227" s="41"/>
      <c r="I3227" s="41"/>
      <c r="J3227" s="41"/>
      <c r="K3227" s="41"/>
      <c r="L3227" s="41"/>
      <c r="M3227" s="41"/>
      <c r="N3227" s="41"/>
      <c r="O3227" s="41"/>
    </row>
    <row r="3228" spans="1:15">
      <c r="A3228" s="39"/>
      <c r="B3228" s="40"/>
      <c r="C3228" s="41"/>
      <c r="D3228" s="41"/>
      <c r="E3228" s="41"/>
      <c r="F3228" s="41"/>
      <c r="G3228" s="41"/>
      <c r="H3228" s="41"/>
      <c r="I3228" s="41"/>
      <c r="J3228" s="41"/>
      <c r="K3228" s="41"/>
      <c r="L3228" s="41"/>
      <c r="M3228" s="41"/>
      <c r="N3228" s="41"/>
      <c r="O3228" s="41"/>
    </row>
    <row r="3229" spans="1:15">
      <c r="A3229" s="39"/>
      <c r="B3229" s="40"/>
      <c r="C3229" s="41"/>
      <c r="D3229" s="41"/>
      <c r="E3229" s="41"/>
      <c r="F3229" s="41"/>
      <c r="G3229" s="41"/>
      <c r="H3229" s="41"/>
      <c r="I3229" s="41"/>
      <c r="J3229" s="41"/>
      <c r="K3229" s="41"/>
      <c r="L3229" s="41"/>
      <c r="M3229" s="41"/>
      <c r="N3229" s="41"/>
      <c r="O3229" s="41"/>
    </row>
    <row r="3230" spans="1:15">
      <c r="A3230" s="39"/>
      <c r="B3230" s="40"/>
      <c r="C3230" s="41"/>
      <c r="D3230" s="41"/>
      <c r="E3230" s="41"/>
      <c r="F3230" s="41"/>
      <c r="G3230" s="41"/>
      <c r="H3230" s="41"/>
      <c r="I3230" s="41"/>
      <c r="J3230" s="41"/>
      <c r="K3230" s="41"/>
      <c r="L3230" s="41"/>
      <c r="M3230" s="41"/>
      <c r="N3230" s="41"/>
      <c r="O3230" s="41"/>
    </row>
    <row r="3231" spans="1:15">
      <c r="A3231" s="39"/>
      <c r="B3231" s="40"/>
      <c r="C3231" s="41"/>
      <c r="D3231" s="41"/>
      <c r="E3231" s="41"/>
      <c r="F3231" s="41"/>
      <c r="G3231" s="41"/>
      <c r="H3231" s="41"/>
      <c r="I3231" s="41"/>
      <c r="J3231" s="41"/>
      <c r="K3231" s="41"/>
      <c r="L3231" s="41"/>
      <c r="M3231" s="41"/>
      <c r="N3231" s="41"/>
      <c r="O3231" s="41"/>
    </row>
    <row r="3232" spans="1:15">
      <c r="A3232" s="39"/>
      <c r="B3232" s="40"/>
      <c r="C3232" s="41"/>
      <c r="D3232" s="41"/>
      <c r="E3232" s="41"/>
      <c r="F3232" s="41"/>
      <c r="G3232" s="41"/>
      <c r="H3232" s="41"/>
      <c r="I3232" s="41"/>
      <c r="J3232" s="41"/>
      <c r="K3232" s="41"/>
      <c r="L3232" s="41"/>
      <c r="M3232" s="41"/>
      <c r="N3232" s="41"/>
      <c r="O3232" s="41"/>
    </row>
    <row r="3233" spans="1:15">
      <c r="A3233" s="39"/>
      <c r="B3233" s="40"/>
      <c r="C3233" s="41"/>
      <c r="D3233" s="41"/>
      <c r="E3233" s="41"/>
      <c r="F3233" s="41"/>
      <c r="G3233" s="41"/>
      <c r="H3233" s="41"/>
      <c r="I3233" s="41"/>
      <c r="J3233" s="41"/>
      <c r="K3233" s="41"/>
      <c r="L3233" s="41"/>
      <c r="M3233" s="41"/>
      <c r="N3233" s="41"/>
      <c r="O3233" s="41"/>
    </row>
    <row r="3234" spans="1:15">
      <c r="A3234" s="39"/>
      <c r="B3234" s="40"/>
      <c r="C3234" s="41"/>
      <c r="D3234" s="41"/>
      <c r="E3234" s="41"/>
      <c r="F3234" s="41"/>
      <c r="G3234" s="41"/>
      <c r="H3234" s="41"/>
      <c r="I3234" s="41"/>
      <c r="J3234" s="41"/>
      <c r="K3234" s="41"/>
      <c r="L3234" s="41"/>
      <c r="M3234" s="41"/>
      <c r="N3234" s="41"/>
      <c r="O3234" s="41"/>
    </row>
    <row r="3235" spans="1:15">
      <c r="A3235" s="39"/>
      <c r="B3235" s="40"/>
      <c r="C3235" s="41"/>
      <c r="D3235" s="41"/>
      <c r="E3235" s="41"/>
      <c r="F3235" s="41"/>
      <c r="G3235" s="41"/>
      <c r="H3235" s="41"/>
      <c r="I3235" s="41"/>
      <c r="J3235" s="41"/>
      <c r="K3235" s="41"/>
      <c r="L3235" s="41"/>
      <c r="M3235" s="41"/>
      <c r="N3235" s="41"/>
      <c r="O3235" s="41"/>
    </row>
    <row r="3236" spans="1:15">
      <c r="A3236" s="39"/>
      <c r="B3236" s="40"/>
      <c r="C3236" s="41"/>
      <c r="D3236" s="41"/>
      <c r="E3236" s="41"/>
      <c r="F3236" s="41"/>
      <c r="G3236" s="41"/>
      <c r="H3236" s="41"/>
      <c r="I3236" s="41"/>
      <c r="J3236" s="41"/>
      <c r="K3236" s="41"/>
      <c r="L3236" s="41"/>
      <c r="M3236" s="41"/>
      <c r="N3236" s="41"/>
      <c r="O3236" s="41"/>
    </row>
    <row r="3237" spans="1:15">
      <c r="A3237" s="39"/>
      <c r="B3237" s="40"/>
      <c r="C3237" s="41"/>
      <c r="D3237" s="41"/>
      <c r="E3237" s="41"/>
      <c r="F3237" s="41"/>
      <c r="G3237" s="41"/>
      <c r="H3237" s="41"/>
      <c r="I3237" s="41"/>
      <c r="J3237" s="41"/>
      <c r="K3237" s="41"/>
      <c r="L3237" s="41"/>
      <c r="M3237" s="41"/>
      <c r="N3237" s="41"/>
      <c r="O3237" s="41"/>
    </row>
    <row r="3238" spans="1:15">
      <c r="A3238" s="39"/>
      <c r="B3238" s="40"/>
      <c r="C3238" s="41"/>
      <c r="D3238" s="41"/>
      <c r="E3238" s="41"/>
      <c r="F3238" s="41"/>
      <c r="G3238" s="41"/>
      <c r="H3238" s="41"/>
      <c r="I3238" s="41"/>
      <c r="J3238" s="41"/>
      <c r="K3238" s="41"/>
      <c r="L3238" s="41"/>
      <c r="M3238" s="41"/>
      <c r="N3238" s="41"/>
      <c r="O3238" s="41"/>
    </row>
    <row r="3239" spans="1:15">
      <c r="A3239" s="39"/>
      <c r="B3239" s="40"/>
      <c r="C3239" s="41"/>
      <c r="D3239" s="41"/>
      <c r="E3239" s="41"/>
      <c r="F3239" s="41"/>
      <c r="G3239" s="41"/>
      <c r="H3239" s="41"/>
      <c r="I3239" s="41"/>
      <c r="J3239" s="41"/>
      <c r="K3239" s="41"/>
      <c r="L3239" s="41"/>
      <c r="M3239" s="41"/>
      <c r="N3239" s="41"/>
      <c r="O3239" s="41"/>
    </row>
    <row r="3240" spans="1:15">
      <c r="A3240" s="39"/>
      <c r="B3240" s="40"/>
      <c r="C3240" s="41"/>
      <c r="D3240" s="41"/>
      <c r="E3240" s="41"/>
      <c r="F3240" s="41"/>
      <c r="G3240" s="41"/>
      <c r="H3240" s="41"/>
      <c r="I3240" s="41"/>
      <c r="J3240" s="41"/>
      <c r="K3240" s="41"/>
      <c r="L3240" s="41"/>
      <c r="M3240" s="41"/>
      <c r="N3240" s="41"/>
      <c r="O3240" s="41"/>
    </row>
    <row r="3241" spans="1:15">
      <c r="A3241" s="39"/>
      <c r="B3241" s="40"/>
      <c r="C3241" s="41"/>
      <c r="D3241" s="41"/>
      <c r="E3241" s="41"/>
      <c r="F3241" s="41"/>
      <c r="G3241" s="41"/>
      <c r="H3241" s="41"/>
      <c r="I3241" s="41"/>
      <c r="J3241" s="41"/>
      <c r="K3241" s="41"/>
      <c r="L3241" s="41"/>
      <c r="M3241" s="41"/>
      <c r="N3241" s="41"/>
      <c r="O3241" s="41"/>
    </row>
    <row r="3242" spans="1:15">
      <c r="A3242" s="39"/>
      <c r="B3242" s="40"/>
      <c r="C3242" s="41"/>
      <c r="D3242" s="41"/>
      <c r="E3242" s="41"/>
      <c r="F3242" s="41"/>
      <c r="G3242" s="41"/>
      <c r="H3242" s="41"/>
      <c r="I3242" s="41"/>
      <c r="J3242" s="41"/>
      <c r="K3242" s="41"/>
      <c r="L3242" s="41"/>
      <c r="M3242" s="41"/>
      <c r="N3242" s="41"/>
      <c r="O3242" s="41"/>
    </row>
    <row r="3243" spans="1:15">
      <c r="A3243" s="39"/>
      <c r="B3243" s="40"/>
      <c r="C3243" s="41"/>
      <c r="D3243" s="41"/>
      <c r="E3243" s="41"/>
      <c r="F3243" s="41"/>
      <c r="G3243" s="41"/>
      <c r="H3243" s="41"/>
      <c r="I3243" s="41"/>
      <c r="J3243" s="41"/>
      <c r="K3243" s="41"/>
      <c r="L3243" s="41"/>
      <c r="M3243" s="41"/>
      <c r="N3243" s="41"/>
      <c r="O3243" s="41"/>
    </row>
    <row r="3244" spans="1:15">
      <c r="A3244" s="39"/>
      <c r="B3244" s="40"/>
      <c r="C3244" s="41"/>
      <c r="D3244" s="41"/>
      <c r="E3244" s="41"/>
      <c r="F3244" s="41"/>
      <c r="G3244" s="41"/>
      <c r="H3244" s="41"/>
      <c r="I3244" s="41"/>
      <c r="J3244" s="41"/>
      <c r="K3244" s="41"/>
      <c r="L3244" s="41"/>
      <c r="M3244" s="41"/>
      <c r="N3244" s="41"/>
      <c r="O3244" s="41"/>
    </row>
    <row r="3245" spans="1:15">
      <c r="A3245" s="39"/>
      <c r="B3245" s="40"/>
      <c r="C3245" s="41"/>
      <c r="D3245" s="41"/>
      <c r="E3245" s="41"/>
      <c r="F3245" s="41"/>
      <c r="G3245" s="41"/>
      <c r="H3245" s="41"/>
      <c r="I3245" s="41"/>
      <c r="J3245" s="41"/>
      <c r="K3245" s="41"/>
      <c r="L3245" s="41"/>
      <c r="M3245" s="41"/>
      <c r="N3245" s="41"/>
      <c r="O3245" s="41"/>
    </row>
    <row r="3246" spans="1:15">
      <c r="A3246" s="39"/>
      <c r="B3246" s="40"/>
      <c r="C3246" s="41"/>
      <c r="D3246" s="41"/>
      <c r="E3246" s="41"/>
      <c r="F3246" s="41"/>
      <c r="G3246" s="41"/>
      <c r="H3246" s="41"/>
      <c r="I3246" s="41"/>
      <c r="J3246" s="41"/>
      <c r="K3246" s="41"/>
      <c r="L3246" s="41"/>
      <c r="M3246" s="41"/>
      <c r="N3246" s="41"/>
      <c r="O3246" s="41"/>
    </row>
    <row r="3247" spans="1:15">
      <c r="A3247" s="39"/>
      <c r="B3247" s="40"/>
      <c r="C3247" s="41"/>
      <c r="D3247" s="41"/>
      <c r="E3247" s="41"/>
      <c r="F3247" s="41"/>
      <c r="G3247" s="41"/>
      <c r="H3247" s="41"/>
      <c r="I3247" s="41"/>
      <c r="J3247" s="41"/>
      <c r="K3247" s="41"/>
      <c r="L3247" s="41"/>
      <c r="M3247" s="41"/>
      <c r="N3247" s="41"/>
      <c r="O3247" s="41"/>
    </row>
    <row r="3248" spans="1:15">
      <c r="A3248" s="39"/>
      <c r="B3248" s="40"/>
      <c r="C3248" s="41"/>
      <c r="D3248" s="41"/>
      <c r="E3248" s="41"/>
      <c r="F3248" s="41"/>
      <c r="G3248" s="41"/>
      <c r="H3248" s="41"/>
      <c r="I3248" s="41"/>
      <c r="J3248" s="41"/>
      <c r="K3248" s="41"/>
      <c r="L3248" s="41"/>
      <c r="M3248" s="41"/>
      <c r="N3248" s="41"/>
      <c r="O3248" s="41"/>
    </row>
    <row r="3249" spans="1:15">
      <c r="A3249" s="39"/>
      <c r="B3249" s="40"/>
      <c r="C3249" s="41"/>
      <c r="D3249" s="41"/>
      <c r="E3249" s="41"/>
      <c r="F3249" s="41"/>
      <c r="G3249" s="41"/>
      <c r="H3249" s="41"/>
      <c r="I3249" s="41"/>
      <c r="J3249" s="41"/>
      <c r="K3249" s="41"/>
      <c r="L3249" s="41"/>
      <c r="M3249" s="41"/>
      <c r="N3249" s="41"/>
      <c r="O3249" s="41"/>
    </row>
    <row r="3250" spans="1:15">
      <c r="A3250" s="39"/>
      <c r="B3250" s="40"/>
      <c r="C3250" s="41"/>
      <c r="D3250" s="41"/>
      <c r="E3250" s="41"/>
      <c r="F3250" s="41"/>
      <c r="G3250" s="41"/>
      <c r="H3250" s="41"/>
      <c r="I3250" s="41"/>
      <c r="J3250" s="41"/>
      <c r="K3250" s="41"/>
      <c r="L3250" s="41"/>
      <c r="M3250" s="41"/>
      <c r="N3250" s="41"/>
      <c r="O3250" s="41"/>
    </row>
    <row r="3251" spans="1:15">
      <c r="A3251" s="39"/>
      <c r="B3251" s="40"/>
      <c r="C3251" s="41"/>
      <c r="D3251" s="41"/>
      <c r="E3251" s="41"/>
      <c r="F3251" s="41"/>
      <c r="G3251" s="41"/>
      <c r="H3251" s="41"/>
      <c r="I3251" s="41"/>
      <c r="J3251" s="41"/>
      <c r="K3251" s="41"/>
      <c r="L3251" s="41"/>
      <c r="M3251" s="41"/>
      <c r="N3251" s="41"/>
      <c r="O3251" s="41"/>
    </row>
    <row r="3252" spans="1:15">
      <c r="A3252" s="39"/>
      <c r="B3252" s="40"/>
      <c r="C3252" s="41"/>
      <c r="D3252" s="41"/>
      <c r="E3252" s="41"/>
      <c r="F3252" s="41"/>
      <c r="G3252" s="41"/>
      <c r="H3252" s="41"/>
      <c r="I3252" s="41"/>
      <c r="J3252" s="41"/>
      <c r="K3252" s="41"/>
      <c r="L3252" s="41"/>
      <c r="M3252" s="41"/>
      <c r="N3252" s="41"/>
      <c r="O3252" s="41"/>
    </row>
    <row r="3253" spans="1:15">
      <c r="A3253" s="39"/>
      <c r="B3253" s="40"/>
      <c r="C3253" s="41"/>
      <c r="D3253" s="41"/>
      <c r="E3253" s="41"/>
      <c r="F3253" s="41"/>
      <c r="G3253" s="41"/>
      <c r="H3253" s="41"/>
      <c r="I3253" s="41"/>
      <c r="J3253" s="41"/>
      <c r="K3253" s="41"/>
      <c r="L3253" s="41"/>
      <c r="M3253" s="41"/>
      <c r="N3253" s="41"/>
      <c r="O3253" s="41"/>
    </row>
    <row r="3254" spans="1:15">
      <c r="A3254" s="39"/>
      <c r="B3254" s="40"/>
      <c r="C3254" s="41"/>
      <c r="D3254" s="41"/>
      <c r="E3254" s="41"/>
      <c r="F3254" s="41"/>
      <c r="G3254" s="41"/>
      <c r="H3254" s="41"/>
      <c r="I3254" s="41"/>
      <c r="J3254" s="41"/>
      <c r="K3254" s="41"/>
      <c r="L3254" s="41"/>
      <c r="M3254" s="41"/>
      <c r="N3254" s="41"/>
      <c r="O3254" s="41"/>
    </row>
    <row r="3255" spans="1:15">
      <c r="A3255" s="39"/>
      <c r="B3255" s="40"/>
      <c r="C3255" s="41"/>
      <c r="D3255" s="41"/>
      <c r="E3255" s="41"/>
      <c r="F3255" s="41"/>
      <c r="G3255" s="41"/>
      <c r="H3255" s="41"/>
      <c r="I3255" s="41"/>
      <c r="J3255" s="41"/>
      <c r="K3255" s="41"/>
      <c r="L3255" s="41"/>
      <c r="M3255" s="41"/>
      <c r="N3255" s="41"/>
      <c r="O3255" s="41"/>
    </row>
    <row r="3256" spans="1:15">
      <c r="A3256" s="39"/>
      <c r="B3256" s="40"/>
      <c r="C3256" s="41"/>
      <c r="D3256" s="41"/>
      <c r="E3256" s="41"/>
      <c r="F3256" s="41"/>
      <c r="G3256" s="41"/>
      <c r="H3256" s="41"/>
      <c r="I3256" s="41"/>
      <c r="J3256" s="41"/>
      <c r="K3256" s="41"/>
      <c r="L3256" s="41"/>
      <c r="M3256" s="41"/>
      <c r="N3256" s="41"/>
      <c r="O3256" s="41"/>
    </row>
    <row r="3257" spans="1:15">
      <c r="A3257" s="39"/>
      <c r="B3257" s="40"/>
      <c r="C3257" s="41"/>
      <c r="D3257" s="41"/>
      <c r="E3257" s="41"/>
      <c r="F3257" s="41"/>
      <c r="G3257" s="41"/>
      <c r="H3257" s="41"/>
      <c r="I3257" s="41"/>
      <c r="J3257" s="41"/>
      <c r="K3257" s="41"/>
      <c r="L3257" s="41"/>
      <c r="M3257" s="41"/>
      <c r="N3257" s="41"/>
      <c r="O3257" s="41"/>
    </row>
    <row r="3258" spans="1:15">
      <c r="A3258" s="39"/>
      <c r="B3258" s="40"/>
      <c r="C3258" s="41"/>
      <c r="D3258" s="41"/>
      <c r="E3258" s="41"/>
      <c r="F3258" s="41"/>
      <c r="G3258" s="41"/>
      <c r="H3258" s="41"/>
      <c r="I3258" s="41"/>
      <c r="J3258" s="41"/>
      <c r="K3258" s="41"/>
      <c r="L3258" s="41"/>
      <c r="M3258" s="41"/>
      <c r="N3258" s="41"/>
      <c r="O3258" s="41"/>
    </row>
    <row r="3259" spans="1:15">
      <c r="A3259" s="39"/>
      <c r="B3259" s="40"/>
      <c r="C3259" s="41"/>
      <c r="D3259" s="41"/>
      <c r="E3259" s="41"/>
      <c r="F3259" s="41"/>
      <c r="G3259" s="41"/>
      <c r="H3259" s="41"/>
      <c r="I3259" s="41"/>
      <c r="J3259" s="41"/>
      <c r="K3259" s="41"/>
      <c r="L3259" s="41"/>
      <c r="M3259" s="41"/>
      <c r="N3259" s="41"/>
      <c r="O3259" s="41"/>
    </row>
    <row r="3260" spans="1:15">
      <c r="A3260" s="39"/>
      <c r="B3260" s="40"/>
      <c r="C3260" s="41"/>
      <c r="D3260" s="41"/>
      <c r="E3260" s="41"/>
      <c r="F3260" s="41"/>
      <c r="G3260" s="41"/>
      <c r="H3260" s="41"/>
      <c r="I3260" s="41"/>
      <c r="J3260" s="41"/>
      <c r="K3260" s="41"/>
      <c r="L3260" s="41"/>
      <c r="M3260" s="41"/>
      <c r="N3260" s="41"/>
      <c r="O3260" s="41"/>
    </row>
    <row r="3261" spans="1:15">
      <c r="A3261" s="39"/>
      <c r="B3261" s="40"/>
      <c r="C3261" s="41"/>
      <c r="D3261" s="41"/>
      <c r="E3261" s="41"/>
      <c r="F3261" s="41"/>
      <c r="G3261" s="41"/>
      <c r="H3261" s="41"/>
      <c r="I3261" s="41"/>
      <c r="J3261" s="41"/>
      <c r="K3261" s="41"/>
      <c r="L3261" s="41"/>
      <c r="M3261" s="41"/>
      <c r="N3261" s="41"/>
      <c r="O3261" s="41"/>
    </row>
    <row r="3262" spans="1:15">
      <c r="A3262" s="39"/>
      <c r="B3262" s="40"/>
      <c r="C3262" s="41"/>
      <c r="D3262" s="41"/>
      <c r="E3262" s="41"/>
      <c r="F3262" s="41"/>
      <c r="G3262" s="41"/>
      <c r="H3262" s="41"/>
      <c r="I3262" s="41"/>
      <c r="J3262" s="41"/>
      <c r="K3262" s="41"/>
      <c r="L3262" s="41"/>
      <c r="M3262" s="41"/>
      <c r="N3262" s="41"/>
      <c r="O3262" s="41"/>
    </row>
    <row r="3263" spans="1:15">
      <c r="A3263" s="39"/>
      <c r="B3263" s="40"/>
      <c r="C3263" s="41"/>
      <c r="D3263" s="41"/>
      <c r="E3263" s="41"/>
      <c r="F3263" s="41"/>
      <c r="G3263" s="41"/>
      <c r="H3263" s="41"/>
      <c r="I3263" s="41"/>
      <c r="J3263" s="41"/>
      <c r="K3263" s="41"/>
      <c r="L3263" s="41"/>
      <c r="M3263" s="41"/>
      <c r="N3263" s="41"/>
      <c r="O3263" s="41"/>
    </row>
    <row r="3264" spans="1:15">
      <c r="A3264" s="39"/>
      <c r="B3264" s="40"/>
      <c r="C3264" s="41"/>
      <c r="D3264" s="41"/>
      <c r="E3264" s="41"/>
      <c r="F3264" s="41"/>
      <c r="G3264" s="41"/>
      <c r="H3264" s="41"/>
      <c r="I3264" s="41"/>
      <c r="J3264" s="41"/>
      <c r="K3264" s="41"/>
      <c r="L3264" s="41"/>
      <c r="M3264" s="41"/>
      <c r="N3264" s="41"/>
      <c r="O3264" s="41"/>
    </row>
    <row r="3265" spans="1:15">
      <c r="A3265" s="39"/>
      <c r="B3265" s="40"/>
      <c r="C3265" s="41"/>
      <c r="D3265" s="41"/>
      <c r="E3265" s="41"/>
      <c r="F3265" s="41"/>
      <c r="G3265" s="41"/>
      <c r="H3265" s="41"/>
      <c r="I3265" s="41"/>
      <c r="J3265" s="41"/>
      <c r="K3265" s="41"/>
      <c r="L3265" s="41"/>
      <c r="M3265" s="41"/>
      <c r="N3265" s="41"/>
      <c r="O3265" s="41"/>
    </row>
    <row r="3266" spans="1:15">
      <c r="A3266" s="39"/>
      <c r="B3266" s="40"/>
      <c r="C3266" s="41"/>
      <c r="D3266" s="41"/>
      <c r="E3266" s="41"/>
      <c r="F3266" s="41"/>
      <c r="G3266" s="41"/>
      <c r="H3266" s="41"/>
      <c r="I3266" s="41"/>
      <c r="J3266" s="41"/>
      <c r="K3266" s="41"/>
      <c r="L3266" s="41"/>
      <c r="M3266" s="41"/>
      <c r="N3266" s="41"/>
      <c r="O3266" s="41"/>
    </row>
    <row r="3267" spans="1:15">
      <c r="A3267" s="39"/>
      <c r="B3267" s="40"/>
      <c r="C3267" s="41"/>
      <c r="D3267" s="41"/>
      <c r="E3267" s="41"/>
      <c r="F3267" s="41"/>
      <c r="G3267" s="41"/>
      <c r="H3267" s="41"/>
      <c r="I3267" s="41"/>
      <c r="J3267" s="41"/>
      <c r="K3267" s="41"/>
      <c r="L3267" s="41"/>
      <c r="M3267" s="41"/>
      <c r="N3267" s="41"/>
      <c r="O3267" s="41"/>
    </row>
    <row r="3268" spans="1:15">
      <c r="A3268" s="39"/>
      <c r="B3268" s="40"/>
      <c r="C3268" s="41"/>
      <c r="D3268" s="41"/>
      <c r="E3268" s="41"/>
      <c r="F3268" s="41"/>
      <c r="G3268" s="41"/>
      <c r="H3268" s="41"/>
      <c r="I3268" s="41"/>
      <c r="J3268" s="41"/>
      <c r="K3268" s="41"/>
      <c r="L3268" s="41"/>
      <c r="M3268" s="41"/>
      <c r="N3268" s="41"/>
      <c r="O3268" s="41"/>
    </row>
    <row r="3269" spans="1:15">
      <c r="A3269" s="39"/>
      <c r="B3269" s="40"/>
      <c r="C3269" s="41"/>
      <c r="D3269" s="41"/>
      <c r="E3269" s="41"/>
      <c r="F3269" s="41"/>
      <c r="G3269" s="41"/>
      <c r="H3269" s="41"/>
      <c r="I3269" s="41"/>
      <c r="J3269" s="41"/>
      <c r="K3269" s="41"/>
      <c r="L3269" s="41"/>
      <c r="M3269" s="41"/>
      <c r="N3269" s="41"/>
      <c r="O3269" s="41"/>
    </row>
    <row r="3270" spans="1:15">
      <c r="A3270" s="39"/>
      <c r="B3270" s="40"/>
      <c r="C3270" s="41"/>
      <c r="D3270" s="41"/>
      <c r="E3270" s="41"/>
      <c r="F3270" s="41"/>
      <c r="G3270" s="41"/>
      <c r="H3270" s="41"/>
      <c r="I3270" s="41"/>
      <c r="J3270" s="41"/>
      <c r="K3270" s="41"/>
      <c r="L3270" s="41"/>
      <c r="M3270" s="41"/>
      <c r="N3270" s="41"/>
      <c r="O3270" s="41"/>
    </row>
    <row r="3271" spans="1:15">
      <c r="A3271" s="39"/>
      <c r="B3271" s="40"/>
      <c r="C3271" s="41"/>
      <c r="D3271" s="41"/>
      <c r="E3271" s="41"/>
      <c r="F3271" s="41"/>
      <c r="G3271" s="41"/>
      <c r="H3271" s="41"/>
      <c r="I3271" s="41"/>
      <c r="J3271" s="41"/>
      <c r="K3271" s="41"/>
      <c r="L3271" s="41"/>
      <c r="M3271" s="41"/>
      <c r="N3271" s="41"/>
      <c r="O3271" s="41"/>
    </row>
    <row r="3272" spans="1:15">
      <c r="A3272" s="39"/>
      <c r="B3272" s="40"/>
      <c r="C3272" s="41"/>
      <c r="D3272" s="41"/>
      <c r="E3272" s="41"/>
      <c r="F3272" s="41"/>
      <c r="G3272" s="41"/>
      <c r="H3272" s="41"/>
      <c r="I3272" s="41"/>
      <c r="J3272" s="41"/>
      <c r="K3272" s="41"/>
      <c r="L3272" s="41"/>
      <c r="M3272" s="41"/>
      <c r="N3272" s="41"/>
      <c r="O3272" s="41"/>
    </row>
    <row r="3273" spans="1:15">
      <c r="A3273" s="39"/>
      <c r="B3273" s="40"/>
      <c r="C3273" s="41"/>
      <c r="D3273" s="41"/>
      <c r="E3273" s="41"/>
      <c r="F3273" s="41"/>
      <c r="G3273" s="41"/>
      <c r="H3273" s="41"/>
      <c r="I3273" s="41"/>
      <c r="J3273" s="41"/>
      <c r="K3273" s="41"/>
      <c r="L3273" s="41"/>
      <c r="M3273" s="41"/>
      <c r="N3273" s="41"/>
      <c r="O3273" s="41"/>
    </row>
    <row r="3274" spans="1:15">
      <c r="A3274" s="39"/>
      <c r="B3274" s="40"/>
      <c r="C3274" s="41"/>
      <c r="D3274" s="41"/>
      <c r="E3274" s="41"/>
      <c r="F3274" s="41"/>
      <c r="G3274" s="41"/>
      <c r="H3274" s="41"/>
      <c r="I3274" s="41"/>
      <c r="J3274" s="41"/>
      <c r="K3274" s="41"/>
      <c r="L3274" s="41"/>
      <c r="M3274" s="41"/>
      <c r="N3274" s="41"/>
      <c r="O3274" s="41"/>
    </row>
    <row r="3275" spans="1:15">
      <c r="A3275" s="39"/>
      <c r="B3275" s="40"/>
      <c r="C3275" s="41"/>
      <c r="D3275" s="41"/>
      <c r="E3275" s="41"/>
      <c r="F3275" s="41"/>
      <c r="G3275" s="41"/>
      <c r="H3275" s="41"/>
      <c r="I3275" s="41"/>
      <c r="J3275" s="41"/>
      <c r="K3275" s="41"/>
      <c r="L3275" s="41"/>
      <c r="M3275" s="41"/>
      <c r="N3275" s="41"/>
      <c r="O3275" s="41"/>
    </row>
    <row r="3276" spans="1:15">
      <c r="A3276" s="39"/>
      <c r="B3276" s="40"/>
      <c r="C3276" s="41"/>
      <c r="D3276" s="41"/>
      <c r="E3276" s="41"/>
      <c r="F3276" s="41"/>
      <c r="G3276" s="41"/>
      <c r="H3276" s="41"/>
      <c r="I3276" s="41"/>
      <c r="J3276" s="41"/>
      <c r="K3276" s="41"/>
      <c r="L3276" s="41"/>
      <c r="M3276" s="41"/>
      <c r="N3276" s="41"/>
      <c r="O3276" s="41"/>
    </row>
    <row r="3277" spans="1:15">
      <c r="A3277" s="39"/>
      <c r="B3277" s="40"/>
      <c r="C3277" s="41"/>
      <c r="D3277" s="41"/>
      <c r="E3277" s="41"/>
      <c r="F3277" s="41"/>
      <c r="G3277" s="41"/>
      <c r="H3277" s="41"/>
      <c r="I3277" s="41"/>
      <c r="J3277" s="41"/>
      <c r="K3277" s="41"/>
      <c r="L3277" s="41"/>
      <c r="M3277" s="41"/>
      <c r="N3277" s="41"/>
      <c r="O3277" s="41"/>
    </row>
    <row r="3278" spans="1:15">
      <c r="A3278" s="39"/>
      <c r="B3278" s="40"/>
      <c r="C3278" s="41"/>
      <c r="D3278" s="41"/>
      <c r="E3278" s="41"/>
      <c r="F3278" s="41"/>
      <c r="G3278" s="41"/>
      <c r="H3278" s="41"/>
      <c r="I3278" s="41"/>
      <c r="J3278" s="41"/>
      <c r="K3278" s="41"/>
      <c r="L3278" s="41"/>
      <c r="M3278" s="41"/>
      <c r="N3278" s="41"/>
      <c r="O3278" s="41"/>
    </row>
    <row r="3279" spans="1:15">
      <c r="A3279" s="39"/>
      <c r="B3279" s="40"/>
      <c r="C3279" s="41"/>
      <c r="D3279" s="41"/>
      <c r="E3279" s="41"/>
      <c r="F3279" s="41"/>
      <c r="G3279" s="41"/>
      <c r="H3279" s="41"/>
      <c r="I3279" s="41"/>
      <c r="J3279" s="41"/>
      <c r="K3279" s="41"/>
      <c r="L3279" s="41"/>
      <c r="M3279" s="41"/>
      <c r="N3279" s="41"/>
      <c r="O3279" s="41"/>
    </row>
    <row r="3280" spans="1:15">
      <c r="A3280" s="39"/>
      <c r="B3280" s="40"/>
      <c r="C3280" s="41"/>
      <c r="D3280" s="41"/>
      <c r="E3280" s="41"/>
      <c r="F3280" s="41"/>
      <c r="G3280" s="41"/>
      <c r="H3280" s="41"/>
      <c r="I3280" s="41"/>
      <c r="J3280" s="41"/>
      <c r="K3280" s="41"/>
      <c r="L3280" s="41"/>
      <c r="M3280" s="41"/>
      <c r="N3280" s="41"/>
      <c r="O3280" s="41"/>
    </row>
    <row r="3281" spans="1:15">
      <c r="A3281" s="39"/>
      <c r="B3281" s="40"/>
      <c r="C3281" s="41"/>
      <c r="D3281" s="41"/>
      <c r="E3281" s="41"/>
      <c r="F3281" s="41"/>
      <c r="G3281" s="41"/>
      <c r="H3281" s="41"/>
      <c r="I3281" s="41"/>
      <c r="J3281" s="41"/>
      <c r="K3281" s="41"/>
      <c r="L3281" s="41"/>
      <c r="M3281" s="41"/>
      <c r="N3281" s="41"/>
      <c r="O3281" s="41"/>
    </row>
    <row r="3282" spans="1:15">
      <c r="A3282" s="39"/>
      <c r="B3282" s="40"/>
      <c r="C3282" s="41"/>
      <c r="D3282" s="41"/>
      <c r="E3282" s="41"/>
      <c r="F3282" s="41"/>
      <c r="G3282" s="41"/>
      <c r="H3282" s="41"/>
      <c r="I3282" s="41"/>
      <c r="J3282" s="41"/>
      <c r="K3282" s="41"/>
      <c r="L3282" s="41"/>
      <c r="M3282" s="41"/>
      <c r="N3282" s="41"/>
      <c r="O3282" s="41"/>
    </row>
    <row r="3283" spans="1:15">
      <c r="A3283" s="39"/>
      <c r="B3283" s="40"/>
      <c r="C3283" s="41"/>
      <c r="D3283" s="41"/>
      <c r="E3283" s="41"/>
      <c r="F3283" s="41"/>
      <c r="G3283" s="41"/>
      <c r="H3283" s="41"/>
      <c r="I3283" s="41"/>
      <c r="J3283" s="41"/>
      <c r="K3283" s="41"/>
      <c r="L3283" s="41"/>
      <c r="M3283" s="41"/>
      <c r="N3283" s="41"/>
      <c r="O3283" s="41"/>
    </row>
    <row r="3284" spans="1:15">
      <c r="A3284" s="39"/>
      <c r="B3284" s="40"/>
      <c r="C3284" s="41"/>
      <c r="D3284" s="41"/>
      <c r="E3284" s="41"/>
      <c r="F3284" s="41"/>
      <c r="G3284" s="41"/>
      <c r="H3284" s="41"/>
      <c r="I3284" s="41"/>
      <c r="J3284" s="41"/>
      <c r="K3284" s="41"/>
      <c r="L3284" s="41"/>
      <c r="M3284" s="41"/>
      <c r="N3284" s="41"/>
      <c r="O3284" s="41"/>
    </row>
    <row r="3285" spans="1:15">
      <c r="A3285" s="39"/>
      <c r="B3285" s="40"/>
      <c r="C3285" s="41"/>
      <c r="D3285" s="41"/>
      <c r="E3285" s="41"/>
      <c r="F3285" s="41"/>
      <c r="G3285" s="41"/>
      <c r="H3285" s="41"/>
      <c r="I3285" s="41"/>
      <c r="J3285" s="41"/>
      <c r="K3285" s="41"/>
      <c r="L3285" s="41"/>
      <c r="M3285" s="41"/>
      <c r="N3285" s="41"/>
      <c r="O3285" s="41"/>
    </row>
    <row r="3286" spans="1:15">
      <c r="A3286" s="39"/>
      <c r="B3286" s="40"/>
      <c r="C3286" s="41"/>
      <c r="D3286" s="41"/>
      <c r="E3286" s="41"/>
      <c r="F3286" s="41"/>
      <c r="G3286" s="41"/>
      <c r="H3286" s="41"/>
      <c r="I3286" s="41"/>
      <c r="J3286" s="41"/>
      <c r="K3286" s="41"/>
      <c r="L3286" s="41"/>
      <c r="M3286" s="41"/>
      <c r="N3286" s="41"/>
      <c r="O3286" s="41"/>
    </row>
    <row r="3287" spans="1:15">
      <c r="A3287" s="39"/>
      <c r="B3287" s="40"/>
      <c r="C3287" s="41"/>
      <c r="D3287" s="41"/>
      <c r="E3287" s="41"/>
      <c r="F3287" s="41"/>
      <c r="G3287" s="41"/>
      <c r="H3287" s="41"/>
      <c r="I3287" s="41"/>
      <c r="J3287" s="41"/>
      <c r="K3287" s="41"/>
      <c r="L3287" s="41"/>
      <c r="M3287" s="41"/>
      <c r="N3287" s="41"/>
      <c r="O3287" s="41"/>
    </row>
    <row r="3288" spans="1:15">
      <c r="A3288" s="39"/>
      <c r="B3288" s="40"/>
      <c r="C3288" s="41"/>
      <c r="D3288" s="41"/>
      <c r="E3288" s="41"/>
      <c r="F3288" s="41"/>
      <c r="G3288" s="41"/>
      <c r="H3288" s="41"/>
      <c r="I3288" s="41"/>
      <c r="J3288" s="41"/>
      <c r="K3288" s="41"/>
      <c r="L3288" s="41"/>
      <c r="M3288" s="41"/>
      <c r="N3288" s="41"/>
      <c r="O3288" s="41"/>
    </row>
    <row r="3289" spans="1:15">
      <c r="A3289" s="39"/>
      <c r="B3289" s="40"/>
      <c r="C3289" s="41"/>
      <c r="D3289" s="41"/>
      <c r="E3289" s="41"/>
      <c r="F3289" s="41"/>
      <c r="G3289" s="41"/>
      <c r="H3289" s="41"/>
      <c r="I3289" s="41"/>
      <c r="J3289" s="41"/>
      <c r="K3289" s="41"/>
      <c r="L3289" s="41"/>
      <c r="M3289" s="41"/>
      <c r="N3289" s="41"/>
      <c r="O3289" s="41"/>
    </row>
    <row r="3290" spans="1:15">
      <c r="A3290" s="39"/>
      <c r="B3290" s="40"/>
      <c r="C3290" s="41"/>
      <c r="D3290" s="41"/>
      <c r="E3290" s="41"/>
      <c r="F3290" s="41"/>
      <c r="G3290" s="41"/>
      <c r="H3290" s="41"/>
      <c r="I3290" s="41"/>
      <c r="J3290" s="41"/>
      <c r="K3290" s="41"/>
      <c r="L3290" s="41"/>
      <c r="M3290" s="41"/>
      <c r="N3290" s="41"/>
      <c r="O3290" s="41"/>
    </row>
    <row r="3291" spans="1:15">
      <c r="A3291" s="39"/>
      <c r="B3291" s="40"/>
      <c r="C3291" s="41"/>
      <c r="D3291" s="41"/>
      <c r="E3291" s="41"/>
      <c r="F3291" s="41"/>
      <c r="G3291" s="41"/>
      <c r="H3291" s="41"/>
      <c r="I3291" s="41"/>
      <c r="J3291" s="41"/>
      <c r="K3291" s="41"/>
      <c r="L3291" s="41"/>
      <c r="M3291" s="41"/>
      <c r="N3291" s="41"/>
      <c r="O3291" s="41"/>
    </row>
    <row r="3292" spans="1:15">
      <c r="A3292" s="39"/>
      <c r="B3292" s="40"/>
      <c r="C3292" s="41"/>
      <c r="D3292" s="41"/>
      <c r="E3292" s="41"/>
      <c r="F3292" s="41"/>
      <c r="G3292" s="41"/>
      <c r="H3292" s="41"/>
      <c r="I3292" s="41"/>
      <c r="J3292" s="41"/>
      <c r="K3292" s="41"/>
      <c r="L3292" s="41"/>
      <c r="M3292" s="41"/>
      <c r="N3292" s="41"/>
      <c r="O3292" s="41"/>
    </row>
    <row r="3293" spans="1:15">
      <c r="A3293" s="39"/>
      <c r="B3293" s="40"/>
      <c r="C3293" s="41"/>
      <c r="D3293" s="41"/>
      <c r="E3293" s="41"/>
      <c r="F3293" s="41"/>
      <c r="G3293" s="41"/>
      <c r="H3293" s="41"/>
      <c r="I3293" s="41"/>
      <c r="J3293" s="41"/>
      <c r="K3293" s="41"/>
      <c r="L3293" s="41"/>
      <c r="M3293" s="41"/>
      <c r="N3293" s="41"/>
      <c r="O3293" s="41"/>
    </row>
    <row r="3294" spans="1:15">
      <c r="A3294" s="39"/>
      <c r="B3294" s="40"/>
      <c r="C3294" s="41"/>
      <c r="D3294" s="41"/>
      <c r="E3294" s="41"/>
      <c r="F3294" s="41"/>
      <c r="G3294" s="41"/>
      <c r="H3294" s="41"/>
      <c r="I3294" s="41"/>
      <c r="J3294" s="41"/>
      <c r="K3294" s="41"/>
      <c r="L3294" s="41"/>
      <c r="M3294" s="41"/>
      <c r="N3294" s="41"/>
      <c r="O3294" s="41"/>
    </row>
    <row r="3295" spans="1:15">
      <c r="A3295" s="39"/>
      <c r="B3295" s="40"/>
      <c r="C3295" s="41"/>
      <c r="D3295" s="41"/>
      <c r="E3295" s="41"/>
      <c r="F3295" s="41"/>
      <c r="G3295" s="41"/>
      <c r="H3295" s="41"/>
      <c r="I3295" s="41"/>
      <c r="J3295" s="41"/>
      <c r="K3295" s="41"/>
      <c r="L3295" s="41"/>
      <c r="M3295" s="41"/>
      <c r="N3295" s="41"/>
      <c r="O3295" s="41"/>
    </row>
    <row r="3296" spans="1:15">
      <c r="A3296" s="39"/>
      <c r="B3296" s="40"/>
      <c r="C3296" s="41"/>
      <c r="D3296" s="41"/>
      <c r="E3296" s="41"/>
      <c r="F3296" s="41"/>
      <c r="G3296" s="41"/>
      <c r="H3296" s="41"/>
      <c r="I3296" s="41"/>
      <c r="J3296" s="41"/>
      <c r="K3296" s="41"/>
      <c r="L3296" s="41"/>
      <c r="M3296" s="41"/>
      <c r="N3296" s="41"/>
      <c r="O3296" s="41"/>
    </row>
    <row r="3297" spans="1:15">
      <c r="A3297" s="39"/>
      <c r="B3297" s="40"/>
      <c r="C3297" s="41"/>
      <c r="D3297" s="41"/>
      <c r="E3297" s="41"/>
      <c r="F3297" s="41"/>
      <c r="G3297" s="41"/>
      <c r="H3297" s="41"/>
      <c r="I3297" s="41"/>
      <c r="J3297" s="41"/>
      <c r="K3297" s="41"/>
      <c r="L3297" s="41"/>
      <c r="M3297" s="41"/>
      <c r="N3297" s="41"/>
      <c r="O3297" s="41"/>
    </row>
    <row r="3298" spans="1:15">
      <c r="A3298" s="39"/>
      <c r="B3298" s="40"/>
      <c r="C3298" s="41"/>
      <c r="D3298" s="41"/>
      <c r="E3298" s="41"/>
      <c r="F3298" s="41"/>
      <c r="G3298" s="41"/>
      <c r="H3298" s="41"/>
      <c r="I3298" s="41"/>
      <c r="J3298" s="41"/>
      <c r="K3298" s="41"/>
      <c r="L3298" s="41"/>
      <c r="M3298" s="41"/>
      <c r="N3298" s="41"/>
      <c r="O3298" s="41"/>
    </row>
    <row r="3299" spans="1:15">
      <c r="A3299" s="39"/>
      <c r="B3299" s="40"/>
      <c r="C3299" s="41"/>
      <c r="D3299" s="41"/>
      <c r="E3299" s="41"/>
      <c r="F3299" s="41"/>
      <c r="G3299" s="41"/>
      <c r="H3299" s="41"/>
      <c r="I3299" s="41"/>
      <c r="J3299" s="41"/>
      <c r="K3299" s="41"/>
      <c r="L3299" s="41"/>
      <c r="M3299" s="41"/>
      <c r="N3299" s="41"/>
      <c r="O3299" s="41"/>
    </row>
    <row r="3300" spans="1:15">
      <c r="A3300" s="39"/>
      <c r="B3300" s="40"/>
      <c r="C3300" s="41"/>
      <c r="D3300" s="41"/>
      <c r="E3300" s="41"/>
      <c r="F3300" s="41"/>
      <c r="G3300" s="41"/>
      <c r="H3300" s="41"/>
      <c r="I3300" s="41"/>
      <c r="J3300" s="41"/>
      <c r="K3300" s="41"/>
      <c r="L3300" s="41"/>
      <c r="M3300" s="41"/>
      <c r="N3300" s="41"/>
      <c r="O3300" s="41"/>
    </row>
    <row r="3301" spans="1:15">
      <c r="A3301" s="39"/>
      <c r="B3301" s="40"/>
      <c r="C3301" s="41"/>
      <c r="D3301" s="41"/>
      <c r="E3301" s="41"/>
      <c r="F3301" s="41"/>
      <c r="G3301" s="41"/>
      <c r="H3301" s="41"/>
      <c r="I3301" s="41"/>
      <c r="J3301" s="41"/>
      <c r="K3301" s="41"/>
      <c r="L3301" s="41"/>
      <c r="M3301" s="41"/>
      <c r="N3301" s="41"/>
      <c r="O3301" s="41"/>
    </row>
    <row r="3302" spans="1:15">
      <c r="A3302" s="39"/>
      <c r="B3302" s="40"/>
      <c r="C3302" s="41"/>
      <c r="D3302" s="41"/>
      <c r="E3302" s="41"/>
      <c r="F3302" s="41"/>
      <c r="G3302" s="41"/>
      <c r="H3302" s="41"/>
      <c r="I3302" s="41"/>
      <c r="J3302" s="41"/>
      <c r="K3302" s="41"/>
      <c r="L3302" s="41"/>
      <c r="M3302" s="41"/>
      <c r="N3302" s="41"/>
      <c r="O3302" s="41"/>
    </row>
    <row r="3303" spans="1:15">
      <c r="A3303" s="39"/>
      <c r="B3303" s="40"/>
      <c r="C3303" s="41"/>
      <c r="D3303" s="41"/>
      <c r="E3303" s="41"/>
      <c r="F3303" s="41"/>
      <c r="G3303" s="41"/>
      <c r="H3303" s="41"/>
      <c r="I3303" s="41"/>
      <c r="J3303" s="41"/>
      <c r="K3303" s="41"/>
      <c r="L3303" s="41"/>
      <c r="M3303" s="41"/>
      <c r="N3303" s="41"/>
      <c r="O3303" s="41"/>
    </row>
    <row r="3304" spans="1:15">
      <c r="A3304" s="39"/>
      <c r="B3304" s="40"/>
      <c r="C3304" s="41"/>
      <c r="D3304" s="41"/>
      <c r="E3304" s="41"/>
      <c r="F3304" s="41"/>
      <c r="G3304" s="41"/>
      <c r="H3304" s="41"/>
      <c r="I3304" s="41"/>
      <c r="J3304" s="41"/>
      <c r="K3304" s="41"/>
      <c r="L3304" s="41"/>
      <c r="M3304" s="41"/>
      <c r="N3304" s="41"/>
      <c r="O3304" s="41"/>
    </row>
    <row r="3305" spans="1:15">
      <c r="A3305" s="39"/>
      <c r="B3305" s="40"/>
      <c r="C3305" s="41"/>
      <c r="D3305" s="41"/>
      <c r="E3305" s="41"/>
      <c r="F3305" s="41"/>
      <c r="G3305" s="41"/>
      <c r="H3305" s="41"/>
      <c r="I3305" s="41"/>
      <c r="J3305" s="41"/>
      <c r="K3305" s="41"/>
      <c r="L3305" s="41"/>
      <c r="M3305" s="41"/>
      <c r="N3305" s="41"/>
      <c r="O3305" s="41"/>
    </row>
    <row r="3306" spans="1:15">
      <c r="A3306" s="39"/>
      <c r="B3306" s="40"/>
      <c r="C3306" s="41"/>
      <c r="D3306" s="41"/>
      <c r="E3306" s="41"/>
      <c r="F3306" s="41"/>
      <c r="G3306" s="41"/>
      <c r="H3306" s="41"/>
      <c r="I3306" s="41"/>
      <c r="J3306" s="41"/>
      <c r="K3306" s="41"/>
      <c r="L3306" s="41"/>
      <c r="M3306" s="41"/>
      <c r="N3306" s="41"/>
      <c r="O3306" s="41"/>
    </row>
    <row r="3307" spans="1:15">
      <c r="A3307" s="39"/>
      <c r="B3307" s="40"/>
      <c r="C3307" s="41"/>
      <c r="D3307" s="41"/>
      <c r="E3307" s="41"/>
      <c r="F3307" s="41"/>
      <c r="G3307" s="41"/>
      <c r="H3307" s="41"/>
      <c r="I3307" s="41"/>
      <c r="J3307" s="41"/>
      <c r="K3307" s="41"/>
      <c r="L3307" s="41"/>
      <c r="M3307" s="41"/>
      <c r="N3307" s="41"/>
      <c r="O3307" s="41"/>
    </row>
    <row r="3308" spans="1:15">
      <c r="A3308" s="39"/>
      <c r="B3308" s="40"/>
      <c r="C3308" s="41"/>
      <c r="D3308" s="41"/>
      <c r="E3308" s="41"/>
      <c r="F3308" s="41"/>
      <c r="G3308" s="41"/>
      <c r="H3308" s="41"/>
      <c r="I3308" s="41"/>
      <c r="J3308" s="41"/>
      <c r="K3308" s="41"/>
      <c r="L3308" s="41"/>
      <c r="M3308" s="41"/>
      <c r="N3308" s="41"/>
      <c r="O3308" s="41"/>
    </row>
    <row r="3309" spans="1:15">
      <c r="A3309" s="39"/>
      <c r="B3309" s="40"/>
      <c r="C3309" s="41"/>
      <c r="D3309" s="41"/>
      <c r="E3309" s="41"/>
      <c r="F3309" s="41"/>
      <c r="G3309" s="41"/>
      <c r="H3309" s="41"/>
      <c r="I3309" s="41"/>
      <c r="J3309" s="41"/>
      <c r="K3309" s="41"/>
      <c r="L3309" s="41"/>
      <c r="M3309" s="41"/>
      <c r="N3309" s="41"/>
      <c r="O3309" s="41"/>
    </row>
    <row r="3310" spans="1:15">
      <c r="A3310" s="39"/>
      <c r="B3310" s="40"/>
      <c r="C3310" s="41"/>
      <c r="D3310" s="41"/>
      <c r="E3310" s="41"/>
      <c r="F3310" s="41"/>
      <c r="G3310" s="41"/>
      <c r="H3310" s="41"/>
      <c r="I3310" s="41"/>
      <c r="J3310" s="41"/>
      <c r="K3310" s="41"/>
      <c r="L3310" s="41"/>
      <c r="M3310" s="41"/>
      <c r="N3310" s="41"/>
      <c r="O3310" s="41"/>
    </row>
    <row r="3311" spans="1:15">
      <c r="A3311" s="39"/>
      <c r="B3311" s="40"/>
      <c r="C3311" s="41"/>
      <c r="D3311" s="41"/>
      <c r="E3311" s="41"/>
      <c r="F3311" s="41"/>
      <c r="G3311" s="41"/>
      <c r="H3311" s="41"/>
      <c r="I3311" s="41"/>
      <c r="J3311" s="41"/>
      <c r="K3311" s="41"/>
      <c r="L3311" s="41"/>
      <c r="M3311" s="41"/>
      <c r="N3311" s="41"/>
      <c r="O3311" s="41"/>
    </row>
    <row r="3312" spans="1:15">
      <c r="A3312" s="39"/>
      <c r="B3312" s="40"/>
      <c r="C3312" s="41"/>
      <c r="D3312" s="41"/>
      <c r="E3312" s="41"/>
      <c r="F3312" s="41"/>
      <c r="G3312" s="41"/>
      <c r="H3312" s="41"/>
      <c r="I3312" s="41"/>
      <c r="J3312" s="41"/>
      <c r="K3312" s="41"/>
      <c r="L3312" s="41"/>
      <c r="M3312" s="41"/>
      <c r="N3312" s="41"/>
      <c r="O3312" s="41"/>
    </row>
    <row r="3313" spans="1:15">
      <c r="A3313" s="39"/>
      <c r="B3313" s="40"/>
      <c r="C3313" s="41"/>
      <c r="D3313" s="41"/>
      <c r="E3313" s="41"/>
      <c r="F3313" s="41"/>
      <c r="G3313" s="41"/>
      <c r="H3313" s="41"/>
      <c r="I3313" s="41"/>
      <c r="J3313" s="41"/>
      <c r="K3313" s="41"/>
      <c r="L3313" s="41"/>
      <c r="M3313" s="41"/>
      <c r="N3313" s="41"/>
      <c r="O3313" s="41"/>
    </row>
    <row r="3314" spans="1:15">
      <c r="A3314" s="39"/>
      <c r="B3314" s="40"/>
      <c r="C3314" s="41"/>
      <c r="D3314" s="41"/>
      <c r="E3314" s="41"/>
      <c r="F3314" s="41"/>
      <c r="G3314" s="41"/>
      <c r="H3314" s="41"/>
      <c r="I3314" s="41"/>
      <c r="J3314" s="41"/>
      <c r="K3314" s="41"/>
      <c r="L3314" s="41"/>
      <c r="M3314" s="41"/>
      <c r="N3314" s="41"/>
      <c r="O3314" s="41"/>
    </row>
    <row r="3315" spans="1:15">
      <c r="A3315" s="39"/>
      <c r="B3315" s="40"/>
      <c r="C3315" s="41"/>
      <c r="D3315" s="41"/>
      <c r="E3315" s="41"/>
      <c r="F3315" s="41"/>
      <c r="G3315" s="41"/>
      <c r="H3315" s="41"/>
      <c r="I3315" s="41"/>
      <c r="J3315" s="41"/>
      <c r="K3315" s="41"/>
      <c r="L3315" s="41"/>
      <c r="M3315" s="41"/>
      <c r="N3315" s="41"/>
      <c r="O3315" s="41"/>
    </row>
    <row r="3316" spans="1:15">
      <c r="A3316" s="39"/>
      <c r="B3316" s="40"/>
      <c r="C3316" s="41"/>
      <c r="D3316" s="41"/>
      <c r="E3316" s="41"/>
      <c r="F3316" s="41"/>
      <c r="G3316" s="41"/>
      <c r="H3316" s="41"/>
      <c r="I3316" s="41"/>
      <c r="J3316" s="41"/>
      <c r="K3316" s="41"/>
      <c r="L3316" s="41"/>
      <c r="M3316" s="41"/>
      <c r="N3316" s="41"/>
      <c r="O3316" s="41"/>
    </row>
    <row r="3317" spans="1:15">
      <c r="A3317" s="39"/>
      <c r="B3317" s="40"/>
      <c r="C3317" s="41"/>
      <c r="D3317" s="41"/>
      <c r="E3317" s="41"/>
      <c r="F3317" s="41"/>
      <c r="G3317" s="41"/>
      <c r="H3317" s="41"/>
      <c r="I3317" s="41"/>
      <c r="J3317" s="41"/>
      <c r="K3317" s="41"/>
      <c r="L3317" s="41"/>
      <c r="M3317" s="41"/>
      <c r="N3317" s="41"/>
      <c r="O3317" s="41"/>
    </row>
    <row r="3318" spans="1:15">
      <c r="A3318" s="39"/>
      <c r="B3318" s="40"/>
      <c r="C3318" s="41"/>
      <c r="D3318" s="41"/>
      <c r="E3318" s="41"/>
      <c r="F3318" s="41"/>
      <c r="G3318" s="41"/>
      <c r="H3318" s="41"/>
      <c r="I3318" s="41"/>
      <c r="J3318" s="41"/>
      <c r="K3318" s="41"/>
      <c r="L3318" s="41"/>
      <c r="M3318" s="41"/>
      <c r="N3318" s="41"/>
      <c r="O3318" s="41"/>
    </row>
    <row r="3319" spans="1:15">
      <c r="A3319" s="39"/>
      <c r="B3319" s="40"/>
      <c r="C3319" s="41"/>
      <c r="D3319" s="41"/>
      <c r="E3319" s="41"/>
      <c r="F3319" s="41"/>
      <c r="G3319" s="41"/>
      <c r="H3319" s="41"/>
      <c r="I3319" s="41"/>
      <c r="J3319" s="41"/>
      <c r="K3319" s="41"/>
      <c r="L3319" s="41"/>
      <c r="M3319" s="41"/>
      <c r="N3319" s="41"/>
      <c r="O3319" s="41"/>
    </row>
    <row r="3320" spans="1:15">
      <c r="A3320" s="39"/>
      <c r="B3320" s="40"/>
      <c r="C3320" s="41"/>
      <c r="D3320" s="41"/>
      <c r="E3320" s="41"/>
      <c r="F3320" s="41"/>
      <c r="G3320" s="41"/>
      <c r="H3320" s="41"/>
      <c r="I3320" s="41"/>
      <c r="J3320" s="41"/>
      <c r="K3320" s="41"/>
      <c r="L3320" s="41"/>
      <c r="M3320" s="41"/>
      <c r="N3320" s="41"/>
      <c r="O3320" s="41"/>
    </row>
    <row r="3321" spans="1:15">
      <c r="A3321" s="39"/>
      <c r="B3321" s="40"/>
      <c r="C3321" s="41"/>
      <c r="D3321" s="41"/>
      <c r="E3321" s="41"/>
      <c r="F3321" s="41"/>
      <c r="G3321" s="41"/>
      <c r="H3321" s="41"/>
      <c r="I3321" s="41"/>
      <c r="J3321" s="41"/>
      <c r="K3321" s="41"/>
      <c r="L3321" s="41"/>
      <c r="M3321" s="41"/>
      <c r="N3321" s="41"/>
      <c r="O3321" s="41"/>
    </row>
    <row r="3322" spans="1:15">
      <c r="A3322" s="39"/>
      <c r="B3322" s="40"/>
      <c r="C3322" s="41"/>
      <c r="D3322" s="41"/>
      <c r="E3322" s="41"/>
      <c r="F3322" s="41"/>
      <c r="G3322" s="41"/>
      <c r="H3322" s="41"/>
      <c r="I3322" s="41"/>
      <c r="J3322" s="41"/>
      <c r="K3322" s="41"/>
      <c r="L3322" s="41"/>
      <c r="M3322" s="41"/>
      <c r="N3322" s="41"/>
      <c r="O3322" s="41"/>
    </row>
    <row r="3323" spans="1:15">
      <c r="A3323" s="39"/>
      <c r="B3323" s="40"/>
      <c r="C3323" s="41"/>
      <c r="D3323" s="41"/>
      <c r="E3323" s="41"/>
      <c r="F3323" s="41"/>
      <c r="G3323" s="41"/>
      <c r="H3323" s="41"/>
      <c r="I3323" s="41"/>
      <c r="J3323" s="41"/>
      <c r="K3323" s="41"/>
      <c r="L3323" s="41"/>
      <c r="M3323" s="41"/>
      <c r="N3323" s="41"/>
      <c r="O3323" s="41"/>
    </row>
    <row r="3324" spans="1:15">
      <c r="A3324" s="39"/>
      <c r="B3324" s="40"/>
      <c r="C3324" s="41"/>
      <c r="D3324" s="41"/>
      <c r="E3324" s="41"/>
      <c r="F3324" s="41"/>
      <c r="G3324" s="41"/>
      <c r="H3324" s="41"/>
      <c r="I3324" s="41"/>
      <c r="J3324" s="41"/>
      <c r="K3324" s="41"/>
      <c r="L3324" s="41"/>
      <c r="M3324" s="41"/>
      <c r="N3324" s="41"/>
      <c r="O3324" s="41"/>
    </row>
    <row r="3325" spans="1:15">
      <c r="A3325" s="39"/>
      <c r="B3325" s="40"/>
      <c r="C3325" s="41"/>
      <c r="D3325" s="41"/>
      <c r="E3325" s="41"/>
      <c r="F3325" s="41"/>
      <c r="G3325" s="41"/>
      <c r="H3325" s="41"/>
      <c r="I3325" s="41"/>
      <c r="J3325" s="41"/>
      <c r="K3325" s="41"/>
      <c r="L3325" s="41"/>
      <c r="M3325" s="41"/>
      <c r="N3325" s="41"/>
      <c r="O3325" s="41"/>
    </row>
    <row r="3326" spans="1:15">
      <c r="A3326" s="39"/>
      <c r="B3326" s="40"/>
      <c r="C3326" s="41"/>
      <c r="D3326" s="41"/>
      <c r="E3326" s="41"/>
      <c r="F3326" s="41"/>
      <c r="G3326" s="41"/>
      <c r="H3326" s="41"/>
      <c r="I3326" s="41"/>
      <c r="J3326" s="41"/>
      <c r="K3326" s="41"/>
      <c r="L3326" s="41"/>
      <c r="M3326" s="41"/>
      <c r="N3326" s="41"/>
      <c r="O3326" s="41"/>
    </row>
    <row r="3327" spans="1:15">
      <c r="A3327" s="39"/>
      <c r="B3327" s="40"/>
      <c r="C3327" s="41"/>
      <c r="D3327" s="41"/>
      <c r="E3327" s="41"/>
      <c r="F3327" s="41"/>
      <c r="G3327" s="41"/>
      <c r="H3327" s="41"/>
      <c r="I3327" s="41"/>
      <c r="J3327" s="41"/>
      <c r="K3327" s="41"/>
      <c r="L3327" s="41"/>
      <c r="M3327" s="41"/>
      <c r="N3327" s="41"/>
      <c r="O3327" s="41"/>
    </row>
    <row r="3328" spans="1:15">
      <c r="A3328" s="39"/>
      <c r="B3328" s="40"/>
      <c r="C3328" s="41"/>
      <c r="D3328" s="41"/>
      <c r="E3328" s="41"/>
      <c r="F3328" s="41"/>
      <c r="G3328" s="41"/>
      <c r="H3328" s="41"/>
      <c r="I3328" s="41"/>
      <c r="J3328" s="41"/>
      <c r="K3328" s="41"/>
      <c r="L3328" s="41"/>
      <c r="M3328" s="41"/>
      <c r="N3328" s="41"/>
      <c r="O3328" s="41"/>
    </row>
    <row r="3329" spans="1:15">
      <c r="A3329" s="39"/>
      <c r="B3329" s="40"/>
      <c r="C3329" s="41"/>
      <c r="D3329" s="41"/>
      <c r="E3329" s="41"/>
      <c r="F3329" s="41"/>
      <c r="G3329" s="41"/>
      <c r="H3329" s="41"/>
      <c r="I3329" s="41"/>
      <c r="J3329" s="41"/>
      <c r="K3329" s="41"/>
      <c r="L3329" s="41"/>
      <c r="M3329" s="41"/>
      <c r="N3329" s="41"/>
      <c r="O3329" s="41"/>
    </row>
    <row r="3330" spans="1:15">
      <c r="A3330" s="39"/>
      <c r="B3330" s="40"/>
      <c r="C3330" s="41"/>
      <c r="D3330" s="41"/>
      <c r="E3330" s="41"/>
      <c r="F3330" s="41"/>
      <c r="G3330" s="41"/>
      <c r="H3330" s="41"/>
      <c r="I3330" s="41"/>
      <c r="J3330" s="41"/>
      <c r="K3330" s="41"/>
      <c r="L3330" s="41"/>
      <c r="M3330" s="41"/>
      <c r="N3330" s="41"/>
      <c r="O3330" s="41"/>
    </row>
    <row r="3331" spans="1:15">
      <c r="A3331" s="39"/>
      <c r="B3331" s="40"/>
      <c r="C3331" s="41"/>
      <c r="D3331" s="41"/>
      <c r="E3331" s="41"/>
      <c r="F3331" s="41"/>
      <c r="G3331" s="41"/>
      <c r="H3331" s="41"/>
      <c r="I3331" s="41"/>
      <c r="J3331" s="41"/>
      <c r="K3331" s="41"/>
      <c r="L3331" s="41"/>
      <c r="M3331" s="41"/>
      <c r="N3331" s="41"/>
      <c r="O3331" s="41"/>
    </row>
    <row r="3332" spans="1:15">
      <c r="A3332" s="39"/>
      <c r="B3332" s="40"/>
      <c r="C3332" s="41"/>
      <c r="D3332" s="41"/>
      <c r="E3332" s="41"/>
      <c r="F3332" s="41"/>
      <c r="G3332" s="41"/>
      <c r="H3332" s="41"/>
      <c r="I3332" s="41"/>
      <c r="J3332" s="41"/>
      <c r="K3332" s="41"/>
      <c r="L3332" s="41"/>
      <c r="M3332" s="41"/>
      <c r="N3332" s="41"/>
      <c r="O3332" s="41"/>
    </row>
    <row r="3333" spans="1:15">
      <c r="A3333" s="39"/>
      <c r="B3333" s="40"/>
      <c r="C3333" s="41"/>
      <c r="D3333" s="41"/>
      <c r="E3333" s="41"/>
      <c r="F3333" s="41"/>
      <c r="G3333" s="41"/>
      <c r="H3333" s="41"/>
      <c r="I3333" s="41"/>
      <c r="J3333" s="41"/>
      <c r="K3333" s="41"/>
      <c r="L3333" s="41"/>
      <c r="M3333" s="41"/>
      <c r="N3333" s="41"/>
      <c r="O3333" s="41"/>
    </row>
    <row r="3334" spans="1:15">
      <c r="A3334" s="39"/>
      <c r="B3334" s="40"/>
      <c r="C3334" s="41"/>
      <c r="D3334" s="41"/>
      <c r="E3334" s="41"/>
      <c r="F3334" s="41"/>
      <c r="G3334" s="41"/>
      <c r="H3334" s="41"/>
      <c r="I3334" s="41"/>
      <c r="J3334" s="41"/>
      <c r="K3334" s="41"/>
      <c r="L3334" s="41"/>
      <c r="M3334" s="41"/>
      <c r="N3334" s="41"/>
      <c r="O3334" s="41"/>
    </row>
    <row r="3335" spans="1:15">
      <c r="A3335" s="39"/>
      <c r="B3335" s="40"/>
      <c r="C3335" s="41"/>
      <c r="D3335" s="41"/>
      <c r="E3335" s="41"/>
      <c r="F3335" s="41"/>
      <c r="G3335" s="41"/>
      <c r="H3335" s="41"/>
      <c r="I3335" s="41"/>
      <c r="J3335" s="41"/>
      <c r="K3335" s="41"/>
      <c r="L3335" s="41"/>
      <c r="M3335" s="41"/>
      <c r="N3335" s="41"/>
      <c r="O3335" s="41"/>
    </row>
    <row r="3336" spans="1:15">
      <c r="A3336" s="39"/>
      <c r="B3336" s="40"/>
      <c r="C3336" s="41"/>
      <c r="D3336" s="41"/>
      <c r="E3336" s="41"/>
      <c r="F3336" s="41"/>
      <c r="G3336" s="41"/>
      <c r="H3336" s="41"/>
      <c r="I3336" s="41"/>
      <c r="J3336" s="41"/>
      <c r="K3336" s="41"/>
      <c r="L3336" s="41"/>
      <c r="M3336" s="41"/>
      <c r="N3336" s="41"/>
      <c r="O3336" s="41"/>
    </row>
    <row r="3337" spans="1:15">
      <c r="A3337" s="39"/>
      <c r="B3337" s="40"/>
      <c r="C3337" s="41"/>
      <c r="D3337" s="41"/>
      <c r="E3337" s="41"/>
      <c r="F3337" s="41"/>
      <c r="G3337" s="41"/>
      <c r="H3337" s="41"/>
      <c r="I3337" s="41"/>
      <c r="J3337" s="41"/>
      <c r="K3337" s="41"/>
      <c r="L3337" s="41"/>
      <c r="M3337" s="41"/>
      <c r="N3337" s="41"/>
      <c r="O3337" s="41"/>
    </row>
    <row r="3338" spans="1:15">
      <c r="A3338" s="39"/>
      <c r="B3338" s="40"/>
      <c r="C3338" s="41"/>
      <c r="D3338" s="41"/>
      <c r="E3338" s="41"/>
      <c r="F3338" s="41"/>
      <c r="G3338" s="41"/>
      <c r="H3338" s="41"/>
      <c r="I3338" s="41"/>
      <c r="J3338" s="41"/>
      <c r="K3338" s="41"/>
      <c r="L3338" s="41"/>
      <c r="M3338" s="41"/>
      <c r="N3338" s="41"/>
      <c r="O3338" s="41"/>
    </row>
    <row r="3339" spans="1:15">
      <c r="A3339" s="39"/>
      <c r="B3339" s="40"/>
      <c r="C3339" s="41"/>
      <c r="D3339" s="41"/>
      <c r="E3339" s="41"/>
      <c r="F3339" s="41"/>
      <c r="G3339" s="41"/>
      <c r="H3339" s="41"/>
      <c r="I3339" s="41"/>
      <c r="J3339" s="41"/>
      <c r="K3339" s="41"/>
      <c r="L3339" s="41"/>
      <c r="M3339" s="41"/>
      <c r="N3339" s="41"/>
      <c r="O3339" s="41"/>
    </row>
    <row r="3340" spans="1:15">
      <c r="A3340" s="39"/>
      <c r="B3340" s="40"/>
      <c r="C3340" s="41"/>
      <c r="D3340" s="41"/>
      <c r="E3340" s="41"/>
      <c r="F3340" s="41"/>
      <c r="G3340" s="41"/>
      <c r="H3340" s="41"/>
      <c r="I3340" s="41"/>
      <c r="J3340" s="41"/>
      <c r="K3340" s="41"/>
      <c r="L3340" s="41"/>
      <c r="M3340" s="41"/>
      <c r="N3340" s="41"/>
      <c r="O3340" s="41"/>
    </row>
    <row r="3341" spans="1:15">
      <c r="A3341" s="39"/>
      <c r="B3341" s="40"/>
      <c r="C3341" s="41"/>
      <c r="D3341" s="41"/>
      <c r="E3341" s="41"/>
      <c r="F3341" s="41"/>
      <c r="G3341" s="41"/>
      <c r="H3341" s="41"/>
      <c r="I3341" s="41"/>
      <c r="J3341" s="41"/>
      <c r="K3341" s="41"/>
      <c r="L3341" s="41"/>
      <c r="M3341" s="41"/>
      <c r="N3341" s="41"/>
      <c r="O3341" s="41"/>
    </row>
    <row r="3342" spans="1:15">
      <c r="A3342" s="39"/>
      <c r="B3342" s="40"/>
      <c r="C3342" s="41"/>
      <c r="D3342" s="41"/>
      <c r="E3342" s="41"/>
      <c r="F3342" s="41"/>
      <c r="G3342" s="41"/>
      <c r="H3342" s="41"/>
      <c r="I3342" s="41"/>
      <c r="J3342" s="41"/>
      <c r="K3342" s="41"/>
      <c r="L3342" s="41"/>
      <c r="M3342" s="41"/>
      <c r="N3342" s="41"/>
      <c r="O3342" s="41"/>
    </row>
    <row r="3343" spans="1:15">
      <c r="A3343" s="39"/>
      <c r="B3343" s="40"/>
      <c r="C3343" s="41"/>
      <c r="D3343" s="41"/>
      <c r="E3343" s="41"/>
      <c r="F3343" s="41"/>
      <c r="G3343" s="41"/>
      <c r="H3343" s="41"/>
      <c r="I3343" s="41"/>
      <c r="J3343" s="41"/>
      <c r="K3343" s="41"/>
      <c r="L3343" s="41"/>
      <c r="M3343" s="41"/>
      <c r="N3343" s="41"/>
      <c r="O3343" s="41"/>
    </row>
    <row r="3344" spans="1:15">
      <c r="A3344" s="39"/>
      <c r="B3344" s="40"/>
      <c r="C3344" s="41"/>
      <c r="D3344" s="41"/>
      <c r="E3344" s="41"/>
      <c r="F3344" s="41"/>
      <c r="G3344" s="41"/>
      <c r="H3344" s="41"/>
      <c r="I3344" s="41"/>
      <c r="J3344" s="41"/>
      <c r="K3344" s="41"/>
      <c r="L3344" s="41"/>
      <c r="M3344" s="41"/>
      <c r="N3344" s="41"/>
      <c r="O3344" s="41"/>
    </row>
    <row r="3345" spans="1:15">
      <c r="A3345" s="39"/>
      <c r="B3345" s="40"/>
      <c r="C3345" s="41"/>
      <c r="D3345" s="41"/>
      <c r="E3345" s="41"/>
      <c r="F3345" s="41"/>
      <c r="G3345" s="41"/>
      <c r="H3345" s="41"/>
      <c r="I3345" s="41"/>
      <c r="J3345" s="41"/>
      <c r="K3345" s="41"/>
      <c r="L3345" s="41"/>
      <c r="M3345" s="41"/>
      <c r="N3345" s="41"/>
      <c r="O3345" s="41"/>
    </row>
    <row r="3346" spans="1:15">
      <c r="A3346" s="39"/>
      <c r="B3346" s="40"/>
      <c r="C3346" s="41"/>
      <c r="D3346" s="41"/>
      <c r="E3346" s="41"/>
      <c r="F3346" s="41"/>
      <c r="G3346" s="41"/>
      <c r="H3346" s="41"/>
      <c r="I3346" s="41"/>
      <c r="J3346" s="41"/>
      <c r="K3346" s="41"/>
      <c r="L3346" s="41"/>
      <c r="M3346" s="41"/>
      <c r="N3346" s="41"/>
      <c r="O3346" s="41"/>
    </row>
    <row r="3347" spans="1:15">
      <c r="A3347" s="39"/>
      <c r="B3347" s="40"/>
      <c r="C3347" s="41"/>
      <c r="D3347" s="41"/>
      <c r="E3347" s="41"/>
      <c r="F3347" s="41"/>
      <c r="G3347" s="41"/>
      <c r="H3347" s="41"/>
      <c r="I3347" s="41"/>
      <c r="J3347" s="41"/>
      <c r="K3347" s="41"/>
      <c r="L3347" s="41"/>
      <c r="M3347" s="41"/>
      <c r="N3347" s="41"/>
      <c r="O3347" s="41"/>
    </row>
    <row r="3348" spans="1:15">
      <c r="A3348" s="39"/>
      <c r="B3348" s="40"/>
      <c r="C3348" s="41"/>
      <c r="D3348" s="41"/>
      <c r="E3348" s="41"/>
      <c r="F3348" s="41"/>
      <c r="G3348" s="41"/>
      <c r="H3348" s="41"/>
      <c r="I3348" s="41"/>
      <c r="J3348" s="41"/>
      <c r="K3348" s="41"/>
      <c r="L3348" s="41"/>
      <c r="M3348" s="41"/>
      <c r="N3348" s="41"/>
      <c r="O3348" s="41"/>
    </row>
    <row r="3349" spans="1:15">
      <c r="A3349" s="39"/>
      <c r="B3349" s="40"/>
      <c r="C3349" s="41"/>
      <c r="D3349" s="41"/>
      <c r="E3349" s="41"/>
      <c r="F3349" s="41"/>
      <c r="G3349" s="41"/>
      <c r="H3349" s="41"/>
      <c r="I3349" s="41"/>
      <c r="J3349" s="41"/>
      <c r="K3349" s="41"/>
      <c r="L3349" s="41"/>
      <c r="M3349" s="41"/>
      <c r="N3349" s="41"/>
      <c r="O3349" s="41"/>
    </row>
    <row r="3350" spans="1:15">
      <c r="A3350" s="39"/>
      <c r="B3350" s="40"/>
      <c r="C3350" s="41"/>
      <c r="D3350" s="41"/>
      <c r="E3350" s="41"/>
      <c r="F3350" s="41"/>
      <c r="G3350" s="41"/>
      <c r="H3350" s="41"/>
      <c r="I3350" s="41"/>
      <c r="J3350" s="41"/>
      <c r="K3350" s="41"/>
      <c r="L3350" s="41"/>
      <c r="M3350" s="41"/>
      <c r="N3350" s="41"/>
      <c r="O3350" s="41"/>
    </row>
    <row r="3351" spans="1:15">
      <c r="A3351" s="39"/>
      <c r="B3351" s="40"/>
      <c r="C3351" s="41"/>
      <c r="D3351" s="41"/>
      <c r="E3351" s="41"/>
      <c r="F3351" s="41"/>
      <c r="G3351" s="41"/>
      <c r="H3351" s="41"/>
      <c r="I3351" s="41"/>
      <c r="J3351" s="41"/>
      <c r="K3351" s="41"/>
      <c r="L3351" s="41"/>
      <c r="M3351" s="41"/>
      <c r="N3351" s="41"/>
      <c r="O3351" s="41"/>
    </row>
    <row r="3352" spans="1:15">
      <c r="A3352" s="39"/>
      <c r="B3352" s="40"/>
      <c r="C3352" s="41"/>
      <c r="D3352" s="41"/>
      <c r="E3352" s="41"/>
      <c r="F3352" s="41"/>
      <c r="G3352" s="41"/>
      <c r="H3352" s="41"/>
      <c r="I3352" s="41"/>
      <c r="J3352" s="41"/>
      <c r="K3352" s="41"/>
      <c r="L3352" s="41"/>
      <c r="M3352" s="41"/>
      <c r="N3352" s="41"/>
      <c r="O3352" s="41"/>
    </row>
    <row r="3353" spans="1:15">
      <c r="A3353" s="39"/>
      <c r="B3353" s="40"/>
      <c r="C3353" s="41"/>
      <c r="D3353" s="41"/>
      <c r="E3353" s="41"/>
      <c r="F3353" s="41"/>
      <c r="G3353" s="41"/>
      <c r="H3353" s="41"/>
      <c r="I3353" s="41"/>
      <c r="J3353" s="41"/>
      <c r="K3353" s="41"/>
      <c r="L3353" s="41"/>
      <c r="M3353" s="41"/>
      <c r="N3353" s="41"/>
      <c r="O3353" s="41"/>
    </row>
    <row r="3354" spans="1:15">
      <c r="A3354" s="39"/>
      <c r="B3354" s="40"/>
      <c r="C3354" s="41"/>
      <c r="D3354" s="41"/>
      <c r="E3354" s="41"/>
      <c r="F3354" s="41"/>
      <c r="G3354" s="41"/>
      <c r="H3354" s="41"/>
      <c r="I3354" s="41"/>
      <c r="J3354" s="41"/>
      <c r="K3354" s="41"/>
      <c r="L3354" s="41"/>
      <c r="M3354" s="41"/>
      <c r="N3354" s="41"/>
      <c r="O3354" s="41"/>
    </row>
    <row r="3355" spans="1:15">
      <c r="A3355" s="39"/>
      <c r="B3355" s="40"/>
      <c r="C3355" s="41"/>
      <c r="D3355" s="41"/>
      <c r="E3355" s="41"/>
      <c r="F3355" s="41"/>
      <c r="G3355" s="41"/>
      <c r="H3355" s="41"/>
      <c r="I3355" s="41"/>
      <c r="J3355" s="41"/>
      <c r="K3355" s="41"/>
      <c r="L3355" s="41"/>
      <c r="M3355" s="41"/>
      <c r="N3355" s="41"/>
      <c r="O3355" s="41"/>
    </row>
    <row r="3356" spans="1:15">
      <c r="A3356" s="39"/>
      <c r="B3356" s="40"/>
      <c r="C3356" s="41"/>
      <c r="D3356" s="41"/>
      <c r="E3356" s="41"/>
      <c r="F3356" s="41"/>
      <c r="G3356" s="41"/>
      <c r="H3356" s="41"/>
      <c r="I3356" s="41"/>
      <c r="J3356" s="41"/>
      <c r="K3356" s="41"/>
      <c r="L3356" s="41"/>
      <c r="M3356" s="41"/>
      <c r="N3356" s="41"/>
      <c r="O3356" s="41"/>
    </row>
    <row r="3357" spans="1:15">
      <c r="A3357" s="39"/>
      <c r="B3357" s="40"/>
      <c r="C3357" s="41"/>
      <c r="D3357" s="41"/>
      <c r="E3357" s="41"/>
      <c r="F3357" s="41"/>
      <c r="G3357" s="41"/>
      <c r="H3357" s="41"/>
      <c r="I3357" s="41"/>
      <c r="J3357" s="41"/>
      <c r="K3357" s="41"/>
      <c r="L3357" s="41"/>
      <c r="M3357" s="41"/>
      <c r="N3357" s="41"/>
      <c r="O3357" s="41"/>
    </row>
    <row r="3358" spans="1:15">
      <c r="A3358" s="39"/>
      <c r="B3358" s="40"/>
      <c r="C3358" s="41"/>
      <c r="D3358" s="41"/>
      <c r="E3358" s="41"/>
      <c r="F3358" s="41"/>
      <c r="G3358" s="41"/>
      <c r="H3358" s="41"/>
      <c r="I3358" s="41"/>
      <c r="J3358" s="41"/>
      <c r="K3358" s="41"/>
      <c r="L3358" s="41"/>
      <c r="M3358" s="41"/>
      <c r="N3358" s="41"/>
      <c r="O3358" s="41"/>
    </row>
    <row r="3359" spans="1:15">
      <c r="A3359" s="39"/>
      <c r="B3359" s="40"/>
      <c r="C3359" s="41"/>
      <c r="D3359" s="41"/>
      <c r="E3359" s="41"/>
      <c r="F3359" s="41"/>
      <c r="G3359" s="41"/>
      <c r="H3359" s="41"/>
      <c r="I3359" s="41"/>
      <c r="J3359" s="41"/>
      <c r="K3359" s="41"/>
      <c r="L3359" s="41"/>
      <c r="M3359" s="41"/>
      <c r="N3359" s="41"/>
      <c r="O3359" s="41"/>
    </row>
    <row r="3360" spans="1:15">
      <c r="A3360" s="39"/>
      <c r="B3360" s="40"/>
      <c r="C3360" s="41"/>
      <c r="D3360" s="41"/>
      <c r="E3360" s="41"/>
      <c r="F3360" s="41"/>
      <c r="G3360" s="41"/>
      <c r="H3360" s="41"/>
      <c r="I3360" s="41"/>
      <c r="J3360" s="41"/>
      <c r="K3360" s="41"/>
      <c r="L3360" s="41"/>
      <c r="M3360" s="41"/>
      <c r="N3360" s="41"/>
      <c r="O3360" s="41"/>
    </row>
    <row r="3361" spans="1:15">
      <c r="A3361" s="39"/>
      <c r="B3361" s="40"/>
      <c r="C3361" s="41"/>
      <c r="D3361" s="41"/>
      <c r="E3361" s="41"/>
      <c r="F3361" s="41"/>
      <c r="G3361" s="41"/>
      <c r="H3361" s="41"/>
      <c r="I3361" s="41"/>
      <c r="J3361" s="41"/>
      <c r="K3361" s="41"/>
      <c r="L3361" s="41"/>
      <c r="M3361" s="41"/>
      <c r="N3361" s="41"/>
      <c r="O3361" s="41"/>
    </row>
    <row r="3362" spans="1:15">
      <c r="A3362" s="39"/>
      <c r="B3362" s="40"/>
      <c r="C3362" s="41"/>
      <c r="D3362" s="41"/>
      <c r="E3362" s="41"/>
      <c r="F3362" s="41"/>
      <c r="G3362" s="41"/>
      <c r="H3362" s="41"/>
      <c r="I3362" s="41"/>
      <c r="J3362" s="41"/>
      <c r="K3362" s="41"/>
      <c r="L3362" s="41"/>
      <c r="M3362" s="41"/>
      <c r="N3362" s="41"/>
      <c r="O3362" s="41"/>
    </row>
    <row r="3363" spans="1:15">
      <c r="A3363" s="39"/>
      <c r="B3363" s="40"/>
      <c r="C3363" s="41"/>
      <c r="D3363" s="41"/>
      <c r="E3363" s="41"/>
      <c r="F3363" s="41"/>
      <c r="G3363" s="41"/>
      <c r="H3363" s="41"/>
      <c r="I3363" s="41"/>
      <c r="J3363" s="41"/>
      <c r="K3363" s="41"/>
      <c r="L3363" s="41"/>
      <c r="M3363" s="41"/>
      <c r="N3363" s="41"/>
      <c r="O3363" s="41"/>
    </row>
    <row r="3364" spans="1:15">
      <c r="A3364" s="39"/>
      <c r="B3364" s="40"/>
      <c r="C3364" s="41"/>
      <c r="D3364" s="41"/>
      <c r="E3364" s="41"/>
      <c r="F3364" s="41"/>
      <c r="G3364" s="41"/>
      <c r="H3364" s="41"/>
      <c r="I3364" s="41"/>
      <c r="J3364" s="41"/>
      <c r="K3364" s="41"/>
      <c r="L3364" s="41"/>
      <c r="M3364" s="41"/>
      <c r="N3364" s="41"/>
      <c r="O3364" s="41"/>
    </row>
    <row r="3365" spans="1:15">
      <c r="A3365" s="39"/>
      <c r="B3365" s="40"/>
      <c r="C3365" s="41"/>
      <c r="D3365" s="41"/>
      <c r="E3365" s="41"/>
      <c r="F3365" s="41"/>
      <c r="G3365" s="41"/>
      <c r="H3365" s="41"/>
      <c r="I3365" s="41"/>
      <c r="J3365" s="41"/>
      <c r="K3365" s="41"/>
      <c r="L3365" s="41"/>
      <c r="M3365" s="41"/>
      <c r="N3365" s="41"/>
      <c r="O3365" s="41"/>
    </row>
    <row r="3366" spans="1:15">
      <c r="A3366" s="39"/>
      <c r="B3366" s="40"/>
      <c r="C3366" s="41"/>
      <c r="D3366" s="41"/>
      <c r="E3366" s="41"/>
      <c r="F3366" s="41"/>
      <c r="G3366" s="41"/>
      <c r="H3366" s="41"/>
      <c r="I3366" s="41"/>
      <c r="J3366" s="41"/>
      <c r="K3366" s="41"/>
      <c r="L3366" s="41"/>
      <c r="M3366" s="41"/>
      <c r="N3366" s="41"/>
      <c r="O3366" s="41"/>
    </row>
    <row r="3367" spans="1:15">
      <c r="A3367" s="39"/>
      <c r="B3367" s="40"/>
      <c r="C3367" s="41"/>
      <c r="D3367" s="41"/>
      <c r="E3367" s="41"/>
      <c r="F3367" s="41"/>
      <c r="G3367" s="41"/>
      <c r="H3367" s="41"/>
      <c r="I3367" s="41"/>
      <c r="J3367" s="41"/>
      <c r="K3367" s="41"/>
      <c r="L3367" s="41"/>
      <c r="M3367" s="41"/>
      <c r="N3367" s="41"/>
      <c r="O3367" s="41"/>
    </row>
    <row r="3368" spans="1:15">
      <c r="A3368" s="39"/>
      <c r="B3368" s="40"/>
      <c r="C3368" s="41"/>
      <c r="D3368" s="41"/>
      <c r="E3368" s="41"/>
      <c r="F3368" s="41"/>
      <c r="G3368" s="41"/>
      <c r="H3368" s="41"/>
      <c r="I3368" s="41"/>
      <c r="J3368" s="41"/>
      <c r="K3368" s="41"/>
      <c r="L3368" s="41"/>
      <c r="M3368" s="41"/>
      <c r="N3368" s="41"/>
      <c r="O3368" s="41"/>
    </row>
    <row r="3369" spans="1:15">
      <c r="A3369" s="39"/>
      <c r="B3369" s="40"/>
      <c r="C3369" s="41"/>
      <c r="D3369" s="41"/>
      <c r="E3369" s="41"/>
      <c r="F3369" s="41"/>
      <c r="G3369" s="41"/>
      <c r="H3369" s="41"/>
      <c r="I3369" s="41"/>
      <c r="J3369" s="41"/>
      <c r="K3369" s="41"/>
      <c r="L3369" s="41"/>
      <c r="M3369" s="41"/>
      <c r="N3369" s="41"/>
      <c r="O3369" s="41"/>
    </row>
    <row r="3370" spans="1:15">
      <c r="A3370" s="39"/>
      <c r="B3370" s="40"/>
      <c r="C3370" s="41"/>
      <c r="D3370" s="41"/>
      <c r="E3370" s="41"/>
      <c r="F3370" s="41"/>
      <c r="G3370" s="41"/>
      <c r="H3370" s="41"/>
      <c r="I3370" s="41"/>
      <c r="J3370" s="41"/>
      <c r="K3370" s="41"/>
      <c r="L3370" s="41"/>
      <c r="M3370" s="41"/>
      <c r="N3370" s="41"/>
      <c r="O3370" s="41"/>
    </row>
    <row r="3371" spans="1:15">
      <c r="A3371" s="39"/>
      <c r="B3371" s="40"/>
      <c r="C3371" s="41"/>
      <c r="D3371" s="41"/>
      <c r="E3371" s="41"/>
      <c r="F3371" s="41"/>
      <c r="G3371" s="41"/>
      <c r="H3371" s="41"/>
      <c r="I3371" s="41"/>
      <c r="J3371" s="41"/>
      <c r="K3371" s="41"/>
      <c r="L3371" s="41"/>
      <c r="M3371" s="41"/>
      <c r="N3371" s="41"/>
      <c r="O3371" s="41"/>
    </row>
    <row r="3372" spans="1:15">
      <c r="A3372" s="39"/>
      <c r="B3372" s="40"/>
      <c r="C3372" s="41"/>
      <c r="D3372" s="41"/>
      <c r="E3372" s="41"/>
      <c r="F3372" s="41"/>
      <c r="G3372" s="41"/>
      <c r="H3372" s="41"/>
      <c r="I3372" s="41"/>
      <c r="J3372" s="41"/>
      <c r="K3372" s="41"/>
      <c r="L3372" s="41"/>
      <c r="M3372" s="41"/>
      <c r="N3372" s="41"/>
      <c r="O3372" s="41"/>
    </row>
    <row r="3373" spans="1:15">
      <c r="A3373" s="39"/>
      <c r="B3373" s="40"/>
      <c r="C3373" s="41"/>
      <c r="D3373" s="41"/>
      <c r="E3373" s="41"/>
      <c r="F3373" s="41"/>
      <c r="G3373" s="41"/>
      <c r="H3373" s="41"/>
      <c r="I3373" s="41"/>
      <c r="J3373" s="41"/>
      <c r="K3373" s="41"/>
      <c r="L3373" s="41"/>
      <c r="M3373" s="41"/>
      <c r="N3373" s="41"/>
      <c r="O3373" s="41"/>
    </row>
    <row r="3374" spans="1:15">
      <c r="A3374" s="39"/>
      <c r="B3374" s="40"/>
      <c r="C3374" s="41"/>
      <c r="D3374" s="41"/>
      <c r="E3374" s="41"/>
      <c r="F3374" s="41"/>
      <c r="G3374" s="41"/>
      <c r="H3374" s="41"/>
      <c r="I3374" s="41"/>
      <c r="J3374" s="41"/>
      <c r="K3374" s="41"/>
      <c r="L3374" s="41"/>
      <c r="M3374" s="41"/>
      <c r="N3374" s="41"/>
      <c r="O3374" s="41"/>
    </row>
    <row r="3375" spans="1:15">
      <c r="A3375" s="39"/>
      <c r="B3375" s="40"/>
      <c r="C3375" s="41"/>
      <c r="D3375" s="41"/>
      <c r="E3375" s="41"/>
      <c r="F3375" s="41"/>
      <c r="G3375" s="41"/>
      <c r="H3375" s="41"/>
      <c r="I3375" s="41"/>
      <c r="J3375" s="41"/>
      <c r="K3375" s="41"/>
      <c r="L3375" s="41"/>
      <c r="M3375" s="41"/>
      <c r="N3375" s="41"/>
      <c r="O3375" s="41"/>
    </row>
    <row r="3376" spans="1:15">
      <c r="A3376" s="39"/>
      <c r="B3376" s="40"/>
      <c r="C3376" s="41"/>
      <c r="D3376" s="41"/>
      <c r="E3376" s="41"/>
      <c r="F3376" s="41"/>
      <c r="G3376" s="41"/>
      <c r="H3376" s="41"/>
      <c r="I3376" s="41"/>
      <c r="J3376" s="41"/>
      <c r="K3376" s="41"/>
      <c r="L3376" s="41"/>
      <c r="M3376" s="41"/>
      <c r="N3376" s="41"/>
      <c r="O3376" s="41"/>
    </row>
    <row r="3377" spans="1:15">
      <c r="A3377" s="39"/>
      <c r="B3377" s="40"/>
      <c r="C3377" s="41"/>
      <c r="D3377" s="41"/>
      <c r="E3377" s="41"/>
      <c r="F3377" s="41"/>
      <c r="G3377" s="41"/>
      <c r="H3377" s="41"/>
      <c r="I3377" s="41"/>
      <c r="J3377" s="41"/>
      <c r="K3377" s="41"/>
      <c r="L3377" s="41"/>
      <c r="M3377" s="41"/>
      <c r="N3377" s="41"/>
      <c r="O3377" s="41"/>
    </row>
    <row r="3378" spans="1:15">
      <c r="A3378" s="39"/>
      <c r="B3378" s="40"/>
      <c r="C3378" s="41"/>
      <c r="D3378" s="41"/>
      <c r="E3378" s="41"/>
      <c r="F3378" s="41"/>
      <c r="G3378" s="41"/>
      <c r="H3378" s="41"/>
      <c r="I3378" s="41"/>
      <c r="J3378" s="41"/>
      <c r="K3378" s="41"/>
      <c r="L3378" s="41"/>
      <c r="M3378" s="41"/>
      <c r="N3378" s="41"/>
      <c r="O3378" s="41"/>
    </row>
    <row r="3379" spans="1:15">
      <c r="A3379" s="39"/>
      <c r="B3379" s="40"/>
      <c r="C3379" s="41"/>
      <c r="D3379" s="41"/>
      <c r="E3379" s="41"/>
      <c r="F3379" s="41"/>
      <c r="G3379" s="41"/>
      <c r="H3379" s="41"/>
      <c r="I3379" s="41"/>
      <c r="J3379" s="41"/>
      <c r="K3379" s="41"/>
      <c r="L3379" s="41"/>
      <c r="M3379" s="41"/>
      <c r="N3379" s="41"/>
      <c r="O3379" s="41"/>
    </row>
    <row r="3380" spans="1:15">
      <c r="A3380" s="39"/>
      <c r="B3380" s="40"/>
      <c r="C3380" s="41"/>
      <c r="D3380" s="41"/>
      <c r="E3380" s="41"/>
      <c r="F3380" s="41"/>
      <c r="G3380" s="41"/>
      <c r="H3380" s="41"/>
      <c r="I3380" s="41"/>
      <c r="J3380" s="41"/>
      <c r="K3380" s="41"/>
      <c r="L3380" s="41"/>
      <c r="M3380" s="41"/>
      <c r="N3380" s="41"/>
      <c r="O3380" s="41"/>
    </row>
    <row r="3381" spans="1:15">
      <c r="A3381" s="39"/>
      <c r="B3381" s="40"/>
      <c r="C3381" s="41"/>
      <c r="D3381" s="41"/>
      <c r="E3381" s="41"/>
      <c r="F3381" s="41"/>
      <c r="G3381" s="41"/>
      <c r="H3381" s="41"/>
      <c r="I3381" s="41"/>
      <c r="J3381" s="41"/>
      <c r="K3381" s="41"/>
      <c r="L3381" s="41"/>
      <c r="M3381" s="41"/>
      <c r="N3381" s="41"/>
      <c r="O3381" s="41"/>
    </row>
    <row r="3382" spans="1:15">
      <c r="A3382" s="39"/>
      <c r="B3382" s="40"/>
      <c r="C3382" s="41"/>
      <c r="D3382" s="41"/>
      <c r="E3382" s="41"/>
      <c r="F3382" s="41"/>
      <c r="G3382" s="41"/>
      <c r="H3382" s="41"/>
      <c r="I3382" s="41"/>
      <c r="J3382" s="41"/>
      <c r="K3382" s="41"/>
      <c r="L3382" s="41"/>
      <c r="M3382" s="41"/>
      <c r="N3382" s="41"/>
      <c r="O3382" s="41"/>
    </row>
    <row r="3383" spans="1:15">
      <c r="A3383" s="39"/>
      <c r="B3383" s="40"/>
      <c r="C3383" s="41"/>
      <c r="D3383" s="41"/>
      <c r="E3383" s="41"/>
      <c r="F3383" s="41"/>
      <c r="G3383" s="41"/>
      <c r="H3383" s="41"/>
      <c r="I3383" s="41"/>
      <c r="J3383" s="41"/>
      <c r="K3383" s="41"/>
      <c r="L3383" s="41"/>
      <c r="M3383" s="41"/>
      <c r="N3383" s="41"/>
      <c r="O3383" s="41"/>
    </row>
    <row r="3384" spans="1:15">
      <c r="A3384" s="39"/>
      <c r="B3384" s="40"/>
      <c r="C3384" s="41"/>
      <c r="D3384" s="41"/>
      <c r="E3384" s="41"/>
      <c r="F3384" s="41"/>
      <c r="G3384" s="41"/>
      <c r="H3384" s="41"/>
      <c r="I3384" s="41"/>
      <c r="J3384" s="41"/>
      <c r="K3384" s="41"/>
      <c r="L3384" s="41"/>
      <c r="M3384" s="41"/>
      <c r="N3384" s="41"/>
      <c r="O3384" s="41"/>
    </row>
    <row r="3385" spans="1:15">
      <c r="A3385" s="39"/>
      <c r="B3385" s="40"/>
      <c r="C3385" s="41"/>
      <c r="D3385" s="41"/>
      <c r="E3385" s="41"/>
      <c r="F3385" s="41"/>
      <c r="G3385" s="41"/>
      <c r="H3385" s="41"/>
      <c r="I3385" s="41"/>
      <c r="J3385" s="41"/>
      <c r="K3385" s="41"/>
      <c r="L3385" s="41"/>
      <c r="M3385" s="41"/>
      <c r="N3385" s="41"/>
      <c r="O3385" s="41"/>
    </row>
    <row r="3386" spans="1:15">
      <c r="A3386" s="39"/>
      <c r="B3386" s="40"/>
      <c r="C3386" s="41"/>
      <c r="D3386" s="41"/>
      <c r="E3386" s="41"/>
      <c r="F3386" s="41"/>
      <c r="G3386" s="41"/>
      <c r="H3386" s="41"/>
      <c r="I3386" s="41"/>
      <c r="J3386" s="41"/>
      <c r="K3386" s="41"/>
      <c r="L3386" s="41"/>
      <c r="M3386" s="41"/>
      <c r="N3386" s="41"/>
      <c r="O3386" s="41"/>
    </row>
    <row r="3387" spans="1:15">
      <c r="A3387" s="39"/>
      <c r="B3387" s="40"/>
      <c r="C3387" s="41"/>
      <c r="D3387" s="41"/>
      <c r="E3387" s="41"/>
      <c r="F3387" s="41"/>
      <c r="G3387" s="41"/>
      <c r="H3387" s="41"/>
      <c r="I3387" s="41"/>
      <c r="J3387" s="41"/>
      <c r="K3387" s="41"/>
      <c r="L3387" s="41"/>
      <c r="M3387" s="41"/>
      <c r="N3387" s="41"/>
      <c r="O3387" s="41"/>
    </row>
    <row r="3388" spans="1:15">
      <c r="A3388" s="39"/>
      <c r="B3388" s="40"/>
      <c r="C3388" s="41"/>
      <c r="D3388" s="41"/>
      <c r="E3388" s="41"/>
      <c r="F3388" s="41"/>
      <c r="G3388" s="41"/>
      <c r="H3388" s="41"/>
      <c r="I3388" s="41"/>
      <c r="J3388" s="41"/>
      <c r="K3388" s="41"/>
      <c r="L3388" s="41"/>
      <c r="M3388" s="41"/>
      <c r="N3388" s="41"/>
      <c r="O3388" s="41"/>
    </row>
    <row r="3389" spans="1:15">
      <c r="A3389" s="39"/>
      <c r="B3389" s="40"/>
      <c r="C3389" s="41"/>
      <c r="D3389" s="41"/>
      <c r="E3389" s="41"/>
      <c r="F3389" s="41"/>
      <c r="G3389" s="41"/>
      <c r="H3389" s="41"/>
      <c r="I3389" s="41"/>
      <c r="J3389" s="41"/>
      <c r="K3389" s="41"/>
      <c r="L3389" s="41"/>
      <c r="M3389" s="41"/>
      <c r="N3389" s="41"/>
      <c r="O3389" s="41"/>
    </row>
    <row r="3390" spans="1:15">
      <c r="A3390" s="39"/>
      <c r="B3390" s="40"/>
      <c r="C3390" s="41"/>
      <c r="D3390" s="41"/>
      <c r="E3390" s="41"/>
      <c r="F3390" s="41"/>
      <c r="G3390" s="41"/>
      <c r="H3390" s="41"/>
      <c r="I3390" s="41"/>
      <c r="J3390" s="41"/>
      <c r="K3390" s="41"/>
      <c r="L3390" s="41"/>
      <c r="M3390" s="41"/>
      <c r="N3390" s="41"/>
      <c r="O3390" s="41"/>
    </row>
    <row r="3391" spans="1:15">
      <c r="A3391" s="39"/>
      <c r="B3391" s="40"/>
      <c r="C3391" s="41"/>
      <c r="D3391" s="41"/>
      <c r="E3391" s="41"/>
      <c r="F3391" s="41"/>
      <c r="G3391" s="41"/>
      <c r="H3391" s="41"/>
      <c r="I3391" s="41"/>
      <c r="J3391" s="41"/>
      <c r="K3391" s="41"/>
      <c r="L3391" s="41"/>
      <c r="M3391" s="41"/>
      <c r="N3391" s="41"/>
      <c r="O3391" s="41"/>
    </row>
    <row r="3392" spans="1:15">
      <c r="A3392" s="39"/>
      <c r="B3392" s="40"/>
      <c r="C3392" s="41"/>
      <c r="D3392" s="41"/>
      <c r="E3392" s="41"/>
      <c r="F3392" s="41"/>
      <c r="G3392" s="41"/>
      <c r="H3392" s="41"/>
      <c r="I3392" s="41"/>
      <c r="J3392" s="41"/>
      <c r="K3392" s="41"/>
      <c r="L3392" s="41"/>
      <c r="M3392" s="41"/>
      <c r="N3392" s="41"/>
      <c r="O3392" s="41"/>
    </row>
    <row r="3393" spans="1:15">
      <c r="A3393" s="39"/>
      <c r="B3393" s="40"/>
      <c r="C3393" s="41"/>
      <c r="D3393" s="41"/>
      <c r="E3393" s="41"/>
      <c r="F3393" s="41"/>
      <c r="G3393" s="41"/>
      <c r="H3393" s="41"/>
      <c r="I3393" s="41"/>
      <c r="J3393" s="41"/>
      <c r="K3393" s="41"/>
      <c r="L3393" s="41"/>
      <c r="M3393" s="41"/>
      <c r="N3393" s="41"/>
      <c r="O3393" s="41"/>
    </row>
    <row r="3394" spans="1:15">
      <c r="A3394" s="39"/>
      <c r="B3394" s="40"/>
      <c r="C3394" s="41"/>
      <c r="D3394" s="41"/>
      <c r="E3394" s="41"/>
      <c r="F3394" s="41"/>
      <c r="G3394" s="41"/>
      <c r="H3394" s="41"/>
      <c r="I3394" s="41"/>
      <c r="J3394" s="41"/>
      <c r="K3394" s="41"/>
      <c r="L3394" s="41"/>
      <c r="M3394" s="41"/>
      <c r="N3394" s="41"/>
      <c r="O3394" s="41"/>
    </row>
    <row r="3395" spans="1:15">
      <c r="A3395" s="39"/>
      <c r="B3395" s="40"/>
      <c r="C3395" s="41"/>
      <c r="D3395" s="41"/>
      <c r="E3395" s="41"/>
      <c r="F3395" s="41"/>
      <c r="G3395" s="41"/>
      <c r="H3395" s="41"/>
      <c r="I3395" s="41"/>
      <c r="J3395" s="41"/>
      <c r="K3395" s="41"/>
      <c r="L3395" s="41"/>
      <c r="M3395" s="41"/>
      <c r="N3395" s="41"/>
      <c r="O3395" s="41"/>
    </row>
    <row r="3396" spans="1:15">
      <c r="A3396" s="39"/>
      <c r="B3396" s="40"/>
      <c r="C3396" s="41"/>
      <c r="D3396" s="41"/>
      <c r="E3396" s="41"/>
      <c r="F3396" s="41"/>
      <c r="G3396" s="41"/>
      <c r="H3396" s="41"/>
      <c r="I3396" s="41"/>
      <c r="J3396" s="41"/>
      <c r="K3396" s="41"/>
      <c r="L3396" s="41"/>
      <c r="M3396" s="41"/>
      <c r="N3396" s="41"/>
      <c r="O3396" s="41"/>
    </row>
    <row r="3397" spans="1:15">
      <c r="A3397" s="39"/>
      <c r="B3397" s="40"/>
      <c r="C3397" s="41"/>
      <c r="D3397" s="41"/>
      <c r="E3397" s="41"/>
      <c r="F3397" s="41"/>
      <c r="G3397" s="41"/>
      <c r="H3397" s="41"/>
      <c r="I3397" s="41"/>
      <c r="J3397" s="41"/>
      <c r="K3397" s="41"/>
      <c r="L3397" s="41"/>
      <c r="M3397" s="41"/>
      <c r="N3397" s="41"/>
      <c r="O3397" s="41"/>
    </row>
    <row r="3398" spans="1:15">
      <c r="A3398" s="39"/>
      <c r="B3398" s="40"/>
      <c r="C3398" s="41"/>
      <c r="D3398" s="41"/>
      <c r="E3398" s="41"/>
      <c r="F3398" s="41"/>
      <c r="G3398" s="41"/>
      <c r="H3398" s="41"/>
      <c r="I3398" s="41"/>
      <c r="J3398" s="41"/>
      <c r="K3398" s="41"/>
      <c r="L3398" s="41"/>
      <c r="M3398" s="41"/>
      <c r="N3398" s="41"/>
      <c r="O3398" s="41"/>
    </row>
    <row r="3399" spans="1:15">
      <c r="A3399" s="39"/>
      <c r="B3399" s="40"/>
      <c r="C3399" s="41"/>
      <c r="D3399" s="41"/>
      <c r="E3399" s="41"/>
      <c r="F3399" s="41"/>
      <c r="G3399" s="41"/>
      <c r="H3399" s="41"/>
      <c r="I3399" s="41"/>
      <c r="J3399" s="41"/>
      <c r="K3399" s="41"/>
      <c r="L3399" s="41"/>
      <c r="M3399" s="41"/>
      <c r="N3399" s="41"/>
      <c r="O3399" s="41"/>
    </row>
    <row r="3400" spans="1:15">
      <c r="A3400" s="39"/>
      <c r="B3400" s="40"/>
      <c r="C3400" s="41"/>
      <c r="D3400" s="41"/>
      <c r="E3400" s="41"/>
      <c r="F3400" s="41"/>
      <c r="G3400" s="41"/>
      <c r="H3400" s="41"/>
      <c r="I3400" s="41"/>
      <c r="J3400" s="41"/>
      <c r="K3400" s="41"/>
      <c r="L3400" s="41"/>
      <c r="M3400" s="41"/>
      <c r="N3400" s="41"/>
      <c r="O3400" s="41"/>
    </row>
    <row r="3401" spans="1:15">
      <c r="A3401" s="39"/>
      <c r="B3401" s="40"/>
      <c r="C3401" s="41"/>
      <c r="D3401" s="41"/>
      <c r="E3401" s="41"/>
      <c r="F3401" s="41"/>
      <c r="G3401" s="41"/>
      <c r="H3401" s="41"/>
      <c r="I3401" s="41"/>
      <c r="J3401" s="41"/>
      <c r="K3401" s="41"/>
      <c r="L3401" s="41"/>
      <c r="M3401" s="41"/>
      <c r="N3401" s="41"/>
      <c r="O3401" s="41"/>
    </row>
    <row r="3402" spans="1:15">
      <c r="A3402" s="39"/>
      <c r="B3402" s="40"/>
      <c r="C3402" s="41"/>
      <c r="D3402" s="41"/>
      <c r="E3402" s="41"/>
      <c r="F3402" s="41"/>
      <c r="G3402" s="41"/>
      <c r="H3402" s="41"/>
      <c r="I3402" s="41"/>
      <c r="J3402" s="41"/>
      <c r="K3402" s="41"/>
      <c r="L3402" s="41"/>
      <c r="M3402" s="41"/>
      <c r="N3402" s="41"/>
      <c r="O3402" s="41"/>
    </row>
    <row r="3403" spans="1:15">
      <c r="A3403" s="39"/>
      <c r="B3403" s="40"/>
      <c r="C3403" s="41"/>
      <c r="D3403" s="41"/>
      <c r="E3403" s="41"/>
      <c r="F3403" s="41"/>
      <c r="G3403" s="41"/>
      <c r="H3403" s="41"/>
      <c r="I3403" s="41"/>
      <c r="J3403" s="41"/>
      <c r="K3403" s="41"/>
      <c r="L3403" s="41"/>
      <c r="M3403" s="41"/>
      <c r="N3403" s="41"/>
      <c r="O3403" s="41"/>
    </row>
    <row r="3404" spans="1:15">
      <c r="A3404" s="39"/>
      <c r="B3404" s="40"/>
      <c r="C3404" s="41"/>
      <c r="D3404" s="41"/>
      <c r="E3404" s="41"/>
      <c r="F3404" s="41"/>
      <c r="G3404" s="41"/>
      <c r="H3404" s="41"/>
      <c r="I3404" s="41"/>
      <c r="J3404" s="41"/>
      <c r="K3404" s="41"/>
      <c r="L3404" s="41"/>
      <c r="M3404" s="41"/>
      <c r="N3404" s="41"/>
      <c r="O3404" s="41"/>
    </row>
    <row r="3405" spans="1:15">
      <c r="A3405" s="39"/>
      <c r="B3405" s="40"/>
      <c r="C3405" s="41"/>
      <c r="D3405" s="41"/>
      <c r="E3405" s="41"/>
      <c r="F3405" s="41"/>
      <c r="G3405" s="41"/>
      <c r="H3405" s="41"/>
      <c r="I3405" s="41"/>
      <c r="J3405" s="41"/>
      <c r="K3405" s="41"/>
      <c r="L3405" s="41"/>
      <c r="M3405" s="41"/>
      <c r="N3405" s="41"/>
      <c r="O3405" s="41"/>
    </row>
    <row r="3406" spans="1:15">
      <c r="A3406" s="39"/>
      <c r="B3406" s="40"/>
      <c r="C3406" s="41"/>
      <c r="D3406" s="41"/>
      <c r="E3406" s="41"/>
      <c r="F3406" s="41"/>
      <c r="G3406" s="41"/>
      <c r="H3406" s="41"/>
      <c r="I3406" s="41"/>
      <c r="J3406" s="41"/>
      <c r="K3406" s="41"/>
      <c r="L3406" s="41"/>
      <c r="M3406" s="41"/>
      <c r="N3406" s="41"/>
      <c r="O3406" s="41"/>
    </row>
    <row r="3407" spans="1:15">
      <c r="A3407" s="39"/>
      <c r="B3407" s="40"/>
      <c r="C3407" s="41"/>
      <c r="D3407" s="41"/>
      <c r="E3407" s="41"/>
      <c r="F3407" s="41"/>
      <c r="G3407" s="41"/>
      <c r="H3407" s="41"/>
      <c r="I3407" s="41"/>
      <c r="J3407" s="41"/>
      <c r="K3407" s="41"/>
      <c r="L3407" s="41"/>
      <c r="M3407" s="41"/>
      <c r="N3407" s="41"/>
      <c r="O3407" s="41"/>
    </row>
    <row r="3408" spans="1:15">
      <c r="A3408" s="39"/>
      <c r="B3408" s="40"/>
      <c r="C3408" s="41"/>
      <c r="D3408" s="41"/>
      <c r="E3408" s="41"/>
      <c r="F3408" s="41"/>
      <c r="G3408" s="41"/>
      <c r="H3408" s="41"/>
      <c r="I3408" s="41"/>
      <c r="J3408" s="41"/>
      <c r="K3408" s="41"/>
      <c r="L3408" s="41"/>
      <c r="M3408" s="41"/>
      <c r="N3408" s="41"/>
      <c r="O3408" s="41"/>
    </row>
    <row r="3409" spans="1:15">
      <c r="A3409" s="39"/>
      <c r="B3409" s="40"/>
      <c r="C3409" s="41"/>
      <c r="D3409" s="41"/>
      <c r="E3409" s="41"/>
      <c r="F3409" s="41"/>
      <c r="G3409" s="41"/>
      <c r="H3409" s="41"/>
      <c r="I3409" s="41"/>
      <c r="J3409" s="41"/>
      <c r="K3409" s="41"/>
      <c r="L3409" s="41"/>
      <c r="M3409" s="41"/>
      <c r="N3409" s="41"/>
      <c r="O3409" s="41"/>
    </row>
    <row r="3410" spans="1:15">
      <c r="A3410" s="39"/>
      <c r="B3410" s="40"/>
      <c r="C3410" s="41"/>
      <c r="D3410" s="41"/>
      <c r="E3410" s="41"/>
      <c r="F3410" s="41"/>
      <c r="G3410" s="41"/>
      <c r="H3410" s="41"/>
      <c r="I3410" s="41"/>
      <c r="J3410" s="41"/>
      <c r="K3410" s="41"/>
      <c r="L3410" s="41"/>
      <c r="M3410" s="41"/>
      <c r="N3410" s="41"/>
      <c r="O3410" s="41"/>
    </row>
    <row r="3411" spans="1:15">
      <c r="A3411" s="39"/>
      <c r="B3411" s="40"/>
      <c r="C3411" s="41"/>
      <c r="D3411" s="41"/>
      <c r="E3411" s="41"/>
      <c r="F3411" s="41"/>
      <c r="G3411" s="41"/>
      <c r="H3411" s="41"/>
      <c r="I3411" s="41"/>
      <c r="J3411" s="41"/>
      <c r="K3411" s="41"/>
      <c r="L3411" s="41"/>
      <c r="M3411" s="41"/>
      <c r="N3411" s="41"/>
      <c r="O3411" s="41"/>
    </row>
    <row r="3412" spans="1:15">
      <c r="A3412" s="39"/>
      <c r="B3412" s="40"/>
      <c r="C3412" s="41"/>
      <c r="D3412" s="41"/>
      <c r="E3412" s="41"/>
      <c r="F3412" s="41"/>
      <c r="G3412" s="41"/>
      <c r="H3412" s="41"/>
      <c r="I3412" s="41"/>
      <c r="J3412" s="41"/>
      <c r="K3412" s="41"/>
      <c r="L3412" s="41"/>
      <c r="M3412" s="41"/>
      <c r="N3412" s="41"/>
      <c r="O3412" s="41"/>
    </row>
    <row r="3413" spans="1:15">
      <c r="A3413" s="39"/>
      <c r="B3413" s="40"/>
      <c r="C3413" s="41"/>
      <c r="D3413" s="41"/>
      <c r="E3413" s="41"/>
      <c r="F3413" s="41"/>
      <c r="G3413" s="41"/>
      <c r="H3413" s="41"/>
      <c r="I3413" s="41"/>
      <c r="J3413" s="41"/>
      <c r="K3413" s="41"/>
      <c r="L3413" s="41"/>
      <c r="M3413" s="41"/>
      <c r="N3413" s="41"/>
      <c r="O3413" s="41"/>
    </row>
    <row r="3414" spans="1:15">
      <c r="A3414" s="39"/>
      <c r="B3414" s="40"/>
      <c r="C3414" s="41"/>
      <c r="D3414" s="41"/>
      <c r="E3414" s="41"/>
      <c r="F3414" s="41"/>
      <c r="G3414" s="41"/>
      <c r="H3414" s="41"/>
      <c r="I3414" s="41"/>
      <c r="J3414" s="41"/>
      <c r="K3414" s="41"/>
      <c r="L3414" s="41"/>
      <c r="M3414" s="41"/>
      <c r="N3414" s="41"/>
      <c r="O3414" s="41"/>
    </row>
    <row r="3415" spans="1:15">
      <c r="A3415" s="39"/>
      <c r="B3415" s="40"/>
      <c r="C3415" s="41"/>
      <c r="D3415" s="41"/>
      <c r="E3415" s="41"/>
      <c r="F3415" s="41"/>
      <c r="G3415" s="41"/>
      <c r="H3415" s="41"/>
      <c r="I3415" s="41"/>
      <c r="J3415" s="41"/>
      <c r="K3415" s="41"/>
      <c r="L3415" s="41"/>
      <c r="M3415" s="41"/>
      <c r="N3415" s="41"/>
      <c r="O3415" s="41"/>
    </row>
    <row r="3416" spans="1:15">
      <c r="A3416" s="39"/>
      <c r="B3416" s="40"/>
      <c r="C3416" s="41"/>
      <c r="D3416" s="41"/>
      <c r="E3416" s="41"/>
      <c r="F3416" s="41"/>
      <c r="G3416" s="41"/>
      <c r="H3416" s="41"/>
      <c r="I3416" s="41"/>
      <c r="J3416" s="41"/>
      <c r="K3416" s="41"/>
      <c r="L3416" s="41"/>
      <c r="M3416" s="41"/>
      <c r="N3416" s="41"/>
      <c r="O3416" s="41"/>
    </row>
    <row r="3417" spans="1:15">
      <c r="A3417" s="39"/>
      <c r="B3417" s="40"/>
      <c r="C3417" s="41"/>
      <c r="D3417" s="41"/>
      <c r="E3417" s="41"/>
      <c r="F3417" s="41"/>
      <c r="G3417" s="41"/>
      <c r="H3417" s="41"/>
      <c r="I3417" s="41"/>
      <c r="J3417" s="41"/>
      <c r="K3417" s="41"/>
      <c r="L3417" s="41"/>
      <c r="M3417" s="41"/>
      <c r="N3417" s="41"/>
      <c r="O3417" s="41"/>
    </row>
    <row r="3418" spans="1:15">
      <c r="A3418" s="39"/>
      <c r="B3418" s="40"/>
      <c r="C3418" s="41"/>
      <c r="D3418" s="41"/>
      <c r="E3418" s="41"/>
      <c r="F3418" s="41"/>
      <c r="G3418" s="41"/>
      <c r="H3418" s="41"/>
      <c r="I3418" s="41"/>
      <c r="J3418" s="41"/>
      <c r="K3418" s="41"/>
      <c r="L3418" s="41"/>
      <c r="M3418" s="41"/>
      <c r="N3418" s="41"/>
      <c r="O3418" s="41"/>
    </row>
    <row r="3419" spans="1:15">
      <c r="A3419" s="39"/>
      <c r="B3419" s="40"/>
      <c r="C3419" s="41"/>
      <c r="D3419" s="41"/>
      <c r="E3419" s="41"/>
      <c r="F3419" s="41"/>
      <c r="G3419" s="41"/>
      <c r="H3419" s="41"/>
      <c r="I3419" s="41"/>
      <c r="J3419" s="41"/>
      <c r="K3419" s="41"/>
      <c r="L3419" s="41"/>
      <c r="M3419" s="41"/>
      <c r="N3419" s="41"/>
      <c r="O3419" s="41"/>
    </row>
    <row r="3420" spans="1:15">
      <c r="A3420" s="39"/>
      <c r="B3420" s="40"/>
      <c r="C3420" s="41"/>
      <c r="D3420" s="41"/>
      <c r="E3420" s="41"/>
      <c r="F3420" s="41"/>
      <c r="G3420" s="41"/>
      <c r="H3420" s="41"/>
      <c r="I3420" s="41"/>
      <c r="J3420" s="41"/>
      <c r="K3420" s="41"/>
      <c r="L3420" s="41"/>
      <c r="M3420" s="41"/>
      <c r="N3420" s="41"/>
      <c r="O3420" s="41"/>
    </row>
    <row r="3421" spans="1:15">
      <c r="A3421" s="39"/>
      <c r="B3421" s="40"/>
      <c r="C3421" s="41"/>
      <c r="D3421" s="41"/>
      <c r="E3421" s="41"/>
      <c r="F3421" s="41"/>
      <c r="G3421" s="41"/>
      <c r="H3421" s="41"/>
      <c r="I3421" s="41"/>
      <c r="J3421" s="41"/>
      <c r="K3421" s="41"/>
      <c r="L3421" s="41"/>
      <c r="M3421" s="41"/>
      <c r="N3421" s="41"/>
      <c r="O3421" s="41"/>
    </row>
    <row r="3422" spans="1:15">
      <c r="A3422" s="39"/>
      <c r="B3422" s="40"/>
      <c r="C3422" s="41"/>
      <c r="D3422" s="41"/>
      <c r="E3422" s="41"/>
      <c r="F3422" s="41"/>
      <c r="G3422" s="41"/>
      <c r="H3422" s="41"/>
      <c r="I3422" s="41"/>
      <c r="J3422" s="41"/>
      <c r="K3422" s="41"/>
      <c r="L3422" s="41"/>
      <c r="M3422" s="41"/>
      <c r="N3422" s="41"/>
      <c r="O3422" s="41"/>
    </row>
    <row r="3423" spans="1:15">
      <c r="A3423" s="39"/>
      <c r="B3423" s="40"/>
      <c r="C3423" s="41"/>
      <c r="D3423" s="41"/>
      <c r="E3423" s="41"/>
      <c r="F3423" s="41"/>
      <c r="G3423" s="41"/>
      <c r="H3423" s="41"/>
      <c r="I3423" s="41"/>
      <c r="J3423" s="41"/>
      <c r="K3423" s="41"/>
      <c r="L3423" s="41"/>
      <c r="M3423" s="41"/>
      <c r="N3423" s="41"/>
      <c r="O3423" s="41"/>
    </row>
    <row r="3424" spans="1:15">
      <c r="A3424" s="39"/>
      <c r="B3424" s="40"/>
      <c r="C3424" s="41"/>
      <c r="D3424" s="41"/>
      <c r="E3424" s="41"/>
      <c r="F3424" s="41"/>
      <c r="G3424" s="41"/>
      <c r="H3424" s="41"/>
      <c r="I3424" s="41"/>
      <c r="J3424" s="41"/>
      <c r="K3424" s="41"/>
      <c r="L3424" s="41"/>
      <c r="M3424" s="41"/>
      <c r="N3424" s="41"/>
      <c r="O3424" s="41"/>
    </row>
    <row r="3425" spans="1:15">
      <c r="A3425" s="39"/>
      <c r="B3425" s="40"/>
      <c r="C3425" s="41"/>
      <c r="D3425" s="41"/>
      <c r="E3425" s="41"/>
      <c r="F3425" s="41"/>
      <c r="G3425" s="41"/>
      <c r="H3425" s="41"/>
      <c r="I3425" s="41"/>
      <c r="J3425" s="41"/>
      <c r="K3425" s="41"/>
      <c r="L3425" s="41"/>
      <c r="M3425" s="41"/>
      <c r="N3425" s="41"/>
      <c r="O3425" s="41"/>
    </row>
    <row r="3426" spans="1:15">
      <c r="A3426" s="39"/>
      <c r="B3426" s="40"/>
      <c r="C3426" s="41"/>
      <c r="D3426" s="41"/>
      <c r="E3426" s="41"/>
      <c r="F3426" s="41"/>
      <c r="G3426" s="41"/>
      <c r="H3426" s="41"/>
      <c r="I3426" s="41"/>
      <c r="J3426" s="41"/>
      <c r="K3426" s="41"/>
      <c r="L3426" s="41"/>
      <c r="M3426" s="41"/>
      <c r="N3426" s="41"/>
      <c r="O3426" s="41"/>
    </row>
    <row r="3427" spans="1:15">
      <c r="A3427" s="39"/>
      <c r="B3427" s="40"/>
      <c r="C3427" s="41"/>
      <c r="D3427" s="41"/>
      <c r="E3427" s="41"/>
      <c r="F3427" s="41"/>
      <c r="G3427" s="41"/>
      <c r="H3427" s="41"/>
      <c r="I3427" s="41"/>
      <c r="J3427" s="41"/>
      <c r="K3427" s="41"/>
      <c r="L3427" s="41"/>
      <c r="M3427" s="41"/>
      <c r="N3427" s="41"/>
      <c r="O3427" s="41"/>
    </row>
    <row r="3428" spans="1:15">
      <c r="A3428" s="39"/>
      <c r="B3428" s="40"/>
      <c r="C3428" s="41"/>
      <c r="D3428" s="41"/>
      <c r="E3428" s="41"/>
      <c r="F3428" s="41"/>
      <c r="G3428" s="41"/>
      <c r="H3428" s="41"/>
      <c r="I3428" s="41"/>
      <c r="J3428" s="41"/>
      <c r="K3428" s="41"/>
      <c r="L3428" s="41"/>
      <c r="M3428" s="41"/>
      <c r="N3428" s="41"/>
      <c r="O3428" s="41"/>
    </row>
    <row r="3429" spans="1:15">
      <c r="A3429" s="39"/>
      <c r="B3429" s="40"/>
      <c r="C3429" s="41"/>
      <c r="D3429" s="41"/>
      <c r="E3429" s="41"/>
      <c r="F3429" s="41"/>
      <c r="G3429" s="41"/>
      <c r="H3429" s="41"/>
      <c r="I3429" s="41"/>
      <c r="J3429" s="41"/>
      <c r="K3429" s="41"/>
      <c r="L3429" s="41"/>
      <c r="M3429" s="41"/>
      <c r="N3429" s="41"/>
      <c r="O3429" s="41"/>
    </row>
    <row r="3430" spans="1:15">
      <c r="A3430" s="39"/>
      <c r="B3430" s="40"/>
      <c r="C3430" s="41"/>
      <c r="D3430" s="41"/>
      <c r="E3430" s="41"/>
      <c r="F3430" s="41"/>
      <c r="G3430" s="41"/>
      <c r="H3430" s="41"/>
      <c r="I3430" s="41"/>
      <c r="J3430" s="41"/>
      <c r="K3430" s="41"/>
      <c r="L3430" s="41"/>
      <c r="M3430" s="41"/>
      <c r="N3430" s="41"/>
      <c r="O3430" s="41"/>
    </row>
    <row r="3431" spans="1:15">
      <c r="A3431" s="39"/>
      <c r="B3431" s="40"/>
      <c r="C3431" s="41"/>
      <c r="D3431" s="41"/>
      <c r="E3431" s="41"/>
      <c r="F3431" s="41"/>
      <c r="G3431" s="41"/>
      <c r="H3431" s="41"/>
      <c r="I3431" s="41"/>
      <c r="J3431" s="41"/>
      <c r="K3431" s="41"/>
      <c r="L3431" s="41"/>
      <c r="M3431" s="41"/>
      <c r="N3431" s="41"/>
      <c r="O3431" s="41"/>
    </row>
    <row r="3432" spans="1:15">
      <c r="A3432" s="39"/>
      <c r="B3432" s="40"/>
      <c r="C3432" s="41"/>
      <c r="D3432" s="41"/>
      <c r="E3432" s="41"/>
      <c r="F3432" s="41"/>
      <c r="G3432" s="41"/>
      <c r="H3432" s="41"/>
      <c r="I3432" s="41"/>
      <c r="J3432" s="41"/>
      <c r="K3432" s="41"/>
      <c r="L3432" s="41"/>
      <c r="M3432" s="41"/>
      <c r="N3432" s="41"/>
      <c r="O3432" s="41"/>
    </row>
    <row r="3433" spans="1:15">
      <c r="A3433" s="39"/>
      <c r="B3433" s="40"/>
      <c r="C3433" s="41"/>
      <c r="D3433" s="41"/>
      <c r="E3433" s="41"/>
      <c r="F3433" s="41"/>
      <c r="G3433" s="41"/>
      <c r="H3433" s="41"/>
      <c r="I3433" s="41"/>
      <c r="J3433" s="41"/>
      <c r="K3433" s="41"/>
      <c r="L3433" s="41"/>
      <c r="M3433" s="41"/>
      <c r="N3433" s="41"/>
      <c r="O3433" s="41"/>
    </row>
    <row r="3434" spans="1:15">
      <c r="A3434" s="39"/>
      <c r="B3434" s="40"/>
      <c r="C3434" s="41"/>
      <c r="D3434" s="41"/>
      <c r="E3434" s="41"/>
      <c r="F3434" s="41"/>
      <c r="G3434" s="41"/>
      <c r="H3434" s="41"/>
      <c r="I3434" s="41"/>
      <c r="J3434" s="41"/>
      <c r="K3434" s="41"/>
      <c r="L3434" s="41"/>
      <c r="M3434" s="41"/>
      <c r="N3434" s="41"/>
      <c r="O3434" s="41"/>
    </row>
    <row r="3435" spans="1:15">
      <c r="A3435" s="39"/>
      <c r="B3435" s="40"/>
      <c r="C3435" s="41"/>
      <c r="D3435" s="41"/>
      <c r="E3435" s="41"/>
      <c r="F3435" s="41"/>
      <c r="G3435" s="41"/>
      <c r="H3435" s="41"/>
      <c r="I3435" s="41"/>
      <c r="J3435" s="41"/>
      <c r="K3435" s="41"/>
      <c r="L3435" s="41"/>
      <c r="M3435" s="41"/>
      <c r="N3435" s="41"/>
      <c r="O3435" s="41"/>
    </row>
    <row r="3436" spans="1:15">
      <c r="A3436" s="39"/>
      <c r="B3436" s="40"/>
      <c r="C3436" s="41"/>
      <c r="D3436" s="41"/>
      <c r="E3436" s="41"/>
      <c r="F3436" s="41"/>
      <c r="G3436" s="41"/>
      <c r="H3436" s="41"/>
      <c r="I3436" s="41"/>
      <c r="J3436" s="41"/>
      <c r="K3436" s="41"/>
      <c r="L3436" s="41"/>
      <c r="M3436" s="41"/>
      <c r="N3436" s="41"/>
      <c r="O3436" s="41"/>
    </row>
    <row r="3437" spans="1:15">
      <c r="A3437" s="39"/>
      <c r="B3437" s="40"/>
      <c r="C3437" s="41"/>
      <c r="D3437" s="41"/>
      <c r="E3437" s="41"/>
      <c r="F3437" s="41"/>
      <c r="G3437" s="41"/>
      <c r="H3437" s="41"/>
      <c r="I3437" s="41"/>
      <c r="J3437" s="41"/>
      <c r="K3437" s="41"/>
      <c r="L3437" s="41"/>
      <c r="M3437" s="41"/>
      <c r="N3437" s="41"/>
      <c r="O3437" s="41"/>
    </row>
    <row r="3438" spans="1:15">
      <c r="A3438" s="39"/>
      <c r="B3438" s="40"/>
      <c r="C3438" s="41"/>
      <c r="D3438" s="41"/>
      <c r="E3438" s="41"/>
      <c r="F3438" s="41"/>
      <c r="G3438" s="41"/>
      <c r="H3438" s="41"/>
      <c r="I3438" s="41"/>
      <c r="J3438" s="41"/>
      <c r="K3438" s="41"/>
      <c r="L3438" s="41"/>
      <c r="M3438" s="41"/>
      <c r="N3438" s="41"/>
      <c r="O3438" s="41"/>
    </row>
    <row r="3439" spans="1:15">
      <c r="A3439" s="39"/>
      <c r="B3439" s="40"/>
      <c r="C3439" s="41"/>
      <c r="D3439" s="41"/>
      <c r="E3439" s="41"/>
      <c r="F3439" s="41"/>
      <c r="G3439" s="41"/>
      <c r="H3439" s="41"/>
      <c r="I3439" s="41"/>
      <c r="J3439" s="41"/>
      <c r="K3439" s="41"/>
      <c r="L3439" s="41"/>
      <c r="M3439" s="41"/>
      <c r="N3439" s="41"/>
      <c r="O3439" s="41"/>
    </row>
    <row r="3440" spans="1:15">
      <c r="A3440" s="39"/>
      <c r="B3440" s="40"/>
      <c r="C3440" s="41"/>
      <c r="D3440" s="41"/>
      <c r="E3440" s="41"/>
      <c r="F3440" s="41"/>
      <c r="G3440" s="41"/>
      <c r="H3440" s="41"/>
      <c r="I3440" s="41"/>
      <c r="J3440" s="41"/>
      <c r="K3440" s="41"/>
      <c r="L3440" s="41"/>
      <c r="M3440" s="41"/>
      <c r="N3440" s="41"/>
      <c r="O3440" s="41"/>
    </row>
    <row r="3441" spans="1:15">
      <c r="A3441" s="39"/>
      <c r="B3441" s="40"/>
      <c r="C3441" s="41"/>
      <c r="D3441" s="41"/>
      <c r="E3441" s="41"/>
      <c r="F3441" s="41"/>
      <c r="G3441" s="41"/>
      <c r="H3441" s="41"/>
      <c r="I3441" s="41"/>
      <c r="J3441" s="41"/>
      <c r="K3441" s="41"/>
      <c r="L3441" s="41"/>
      <c r="M3441" s="41"/>
      <c r="N3441" s="41"/>
      <c r="O3441" s="41"/>
    </row>
    <row r="3442" spans="1:15">
      <c r="A3442" s="39"/>
      <c r="B3442" s="40"/>
      <c r="C3442" s="41"/>
      <c r="D3442" s="41"/>
      <c r="E3442" s="41"/>
      <c r="F3442" s="41"/>
      <c r="G3442" s="41"/>
      <c r="H3442" s="41"/>
      <c r="I3442" s="41"/>
      <c r="J3442" s="41"/>
      <c r="K3442" s="41"/>
      <c r="L3442" s="41"/>
      <c r="M3442" s="41"/>
      <c r="N3442" s="41"/>
      <c r="O3442" s="41"/>
    </row>
    <row r="3443" spans="1:15">
      <c r="A3443" s="39"/>
      <c r="B3443" s="40"/>
      <c r="C3443" s="41"/>
      <c r="D3443" s="41"/>
      <c r="E3443" s="41"/>
      <c r="F3443" s="41"/>
      <c r="G3443" s="41"/>
      <c r="H3443" s="41"/>
      <c r="I3443" s="41"/>
      <c r="J3443" s="41"/>
      <c r="K3443" s="41"/>
      <c r="L3443" s="41"/>
      <c r="M3443" s="41"/>
      <c r="N3443" s="41"/>
      <c r="O3443" s="41"/>
    </row>
    <row r="3444" spans="1:15">
      <c r="A3444" s="39"/>
      <c r="B3444" s="40"/>
      <c r="C3444" s="41"/>
      <c r="D3444" s="41"/>
      <c r="E3444" s="41"/>
      <c r="F3444" s="41"/>
      <c r="G3444" s="41"/>
      <c r="H3444" s="41"/>
      <c r="I3444" s="41"/>
      <c r="J3444" s="41"/>
      <c r="K3444" s="41"/>
      <c r="L3444" s="41"/>
      <c r="M3444" s="41"/>
      <c r="N3444" s="41"/>
      <c r="O3444" s="41"/>
    </row>
    <row r="3445" spans="1:15">
      <c r="A3445" s="39"/>
      <c r="B3445" s="40"/>
      <c r="C3445" s="41"/>
      <c r="D3445" s="41"/>
      <c r="E3445" s="41"/>
      <c r="F3445" s="41"/>
      <c r="G3445" s="41"/>
      <c r="H3445" s="41"/>
      <c r="I3445" s="41"/>
      <c r="J3445" s="41"/>
      <c r="K3445" s="41"/>
      <c r="L3445" s="41"/>
      <c r="M3445" s="41"/>
      <c r="N3445" s="41"/>
      <c r="O3445" s="41"/>
    </row>
    <row r="3446" spans="1:15">
      <c r="A3446" s="39"/>
      <c r="B3446" s="40"/>
      <c r="C3446" s="41"/>
      <c r="D3446" s="41"/>
      <c r="E3446" s="41"/>
      <c r="F3446" s="41"/>
      <c r="G3446" s="41"/>
      <c r="H3446" s="41"/>
      <c r="I3446" s="41"/>
      <c r="J3446" s="41"/>
      <c r="K3446" s="41"/>
      <c r="L3446" s="41"/>
      <c r="M3446" s="41"/>
      <c r="N3446" s="41"/>
      <c r="O3446" s="41"/>
    </row>
    <row r="3447" spans="1:15">
      <c r="A3447" s="39"/>
      <c r="B3447" s="40"/>
      <c r="C3447" s="41"/>
      <c r="D3447" s="41"/>
      <c r="E3447" s="41"/>
      <c r="F3447" s="41"/>
      <c r="G3447" s="41"/>
      <c r="H3447" s="41"/>
      <c r="I3447" s="41"/>
      <c r="J3447" s="41"/>
      <c r="K3447" s="41"/>
      <c r="L3447" s="41"/>
      <c r="M3447" s="41"/>
      <c r="N3447" s="41"/>
      <c r="O3447" s="41"/>
    </row>
    <row r="3448" spans="1:15">
      <c r="A3448" s="39"/>
      <c r="B3448" s="40"/>
      <c r="C3448" s="41"/>
      <c r="D3448" s="41"/>
      <c r="E3448" s="41"/>
      <c r="F3448" s="41"/>
      <c r="G3448" s="41"/>
      <c r="H3448" s="41"/>
      <c r="I3448" s="41"/>
      <c r="J3448" s="41"/>
      <c r="K3448" s="41"/>
      <c r="L3448" s="41"/>
      <c r="M3448" s="41"/>
      <c r="N3448" s="41"/>
      <c r="O3448" s="41"/>
    </row>
    <row r="3449" spans="1:15">
      <c r="A3449" s="39"/>
      <c r="B3449" s="40"/>
      <c r="C3449" s="41"/>
      <c r="D3449" s="41"/>
      <c r="E3449" s="41"/>
      <c r="F3449" s="41"/>
      <c r="G3449" s="41"/>
      <c r="H3449" s="41"/>
      <c r="I3449" s="41"/>
      <c r="J3449" s="41"/>
      <c r="K3449" s="41"/>
      <c r="L3449" s="41"/>
      <c r="M3449" s="41"/>
      <c r="N3449" s="41"/>
      <c r="O3449" s="41"/>
    </row>
    <row r="3450" spans="1:15">
      <c r="A3450" s="39"/>
      <c r="B3450" s="40"/>
      <c r="C3450" s="41"/>
      <c r="D3450" s="41"/>
      <c r="E3450" s="41"/>
      <c r="F3450" s="41"/>
      <c r="G3450" s="41"/>
      <c r="H3450" s="41"/>
      <c r="I3450" s="41"/>
      <c r="J3450" s="41"/>
      <c r="K3450" s="41"/>
      <c r="L3450" s="41"/>
      <c r="M3450" s="41"/>
      <c r="N3450" s="41"/>
      <c r="O3450" s="41"/>
    </row>
    <row r="3451" spans="1:15">
      <c r="A3451" s="39"/>
      <c r="B3451" s="40"/>
      <c r="C3451" s="41"/>
      <c r="D3451" s="41"/>
      <c r="E3451" s="41"/>
      <c r="F3451" s="41"/>
      <c r="G3451" s="41"/>
      <c r="H3451" s="41"/>
      <c r="I3451" s="41"/>
      <c r="J3451" s="41"/>
      <c r="K3451" s="41"/>
      <c r="L3451" s="41"/>
      <c r="M3451" s="41"/>
      <c r="N3451" s="41"/>
      <c r="O3451" s="41"/>
    </row>
    <row r="3452" spans="1:15">
      <c r="A3452" s="39"/>
      <c r="B3452" s="40"/>
      <c r="C3452" s="41"/>
      <c r="D3452" s="41"/>
      <c r="E3452" s="41"/>
      <c r="F3452" s="41"/>
      <c r="G3452" s="41"/>
      <c r="H3452" s="41"/>
      <c r="I3452" s="41"/>
      <c r="J3452" s="41"/>
      <c r="K3452" s="41"/>
      <c r="L3452" s="41"/>
      <c r="M3452" s="41"/>
      <c r="N3452" s="41"/>
      <c r="O3452" s="41"/>
    </row>
    <row r="3453" spans="1:15">
      <c r="A3453" s="39"/>
      <c r="B3453" s="40"/>
      <c r="C3453" s="41"/>
      <c r="D3453" s="41"/>
      <c r="E3453" s="41"/>
      <c r="F3453" s="41"/>
      <c r="G3453" s="41"/>
      <c r="H3453" s="41"/>
      <c r="I3453" s="41"/>
      <c r="J3453" s="41"/>
      <c r="K3453" s="41"/>
      <c r="L3453" s="41"/>
      <c r="M3453" s="41"/>
      <c r="N3453" s="41"/>
      <c r="O3453" s="41"/>
    </row>
    <row r="3454" spans="1:15">
      <c r="A3454" s="39"/>
      <c r="B3454" s="40"/>
      <c r="C3454" s="41"/>
      <c r="D3454" s="41"/>
      <c r="E3454" s="41"/>
      <c r="F3454" s="41"/>
      <c r="G3454" s="41"/>
      <c r="H3454" s="41"/>
      <c r="I3454" s="41"/>
      <c r="J3454" s="41"/>
      <c r="K3454" s="41"/>
      <c r="L3454" s="41"/>
      <c r="M3454" s="41"/>
      <c r="N3454" s="41"/>
      <c r="O3454" s="41"/>
    </row>
    <row r="3455" spans="1:15">
      <c r="A3455" s="39"/>
      <c r="B3455" s="40"/>
      <c r="C3455" s="41"/>
      <c r="D3455" s="41"/>
      <c r="E3455" s="41"/>
      <c r="F3455" s="41"/>
      <c r="G3455" s="41"/>
      <c r="H3455" s="41"/>
      <c r="I3455" s="41"/>
      <c r="J3455" s="41"/>
      <c r="K3455" s="41"/>
      <c r="L3455" s="41"/>
      <c r="M3455" s="41"/>
      <c r="N3455" s="41"/>
      <c r="O3455" s="41"/>
    </row>
    <row r="3456" spans="1:15">
      <c r="A3456" s="39"/>
      <c r="B3456" s="40"/>
      <c r="C3456" s="41"/>
      <c r="D3456" s="41"/>
      <c r="E3456" s="41"/>
      <c r="F3456" s="41"/>
      <c r="G3456" s="41"/>
      <c r="H3456" s="41"/>
      <c r="I3456" s="41"/>
      <c r="J3456" s="41"/>
      <c r="K3456" s="41"/>
      <c r="L3456" s="41"/>
      <c r="M3456" s="41"/>
      <c r="N3456" s="41"/>
      <c r="O3456" s="41"/>
    </row>
    <row r="3457" spans="1:15">
      <c r="A3457" s="39"/>
      <c r="B3457" s="40"/>
      <c r="C3457" s="41"/>
      <c r="D3457" s="41"/>
      <c r="E3457" s="41"/>
      <c r="F3457" s="41"/>
      <c r="G3457" s="41"/>
      <c r="H3457" s="41"/>
      <c r="I3457" s="41"/>
      <c r="J3457" s="41"/>
      <c r="K3457" s="41"/>
      <c r="L3457" s="41"/>
      <c r="M3457" s="41"/>
      <c r="N3457" s="41"/>
      <c r="O3457" s="41"/>
    </row>
    <row r="3458" spans="1:15">
      <c r="A3458" s="39"/>
      <c r="B3458" s="40"/>
      <c r="C3458" s="41"/>
      <c r="D3458" s="41"/>
      <c r="E3458" s="41"/>
      <c r="F3458" s="41"/>
      <c r="G3458" s="41"/>
      <c r="H3458" s="41"/>
      <c r="I3458" s="41"/>
      <c r="J3458" s="41"/>
      <c r="K3458" s="41"/>
      <c r="L3458" s="41"/>
      <c r="M3458" s="41"/>
      <c r="N3458" s="41"/>
      <c r="O3458" s="41"/>
    </row>
    <row r="3459" spans="1:15">
      <c r="A3459" s="39"/>
      <c r="B3459" s="40"/>
      <c r="C3459" s="41"/>
      <c r="D3459" s="41"/>
      <c r="E3459" s="41"/>
      <c r="F3459" s="41"/>
      <c r="G3459" s="41"/>
      <c r="H3459" s="41"/>
      <c r="I3459" s="41"/>
      <c r="J3459" s="41"/>
      <c r="K3459" s="41"/>
      <c r="L3459" s="41"/>
      <c r="M3459" s="41"/>
      <c r="N3459" s="41"/>
      <c r="O3459" s="41"/>
    </row>
    <row r="3460" spans="1:15">
      <c r="A3460" s="39"/>
      <c r="B3460" s="40"/>
      <c r="C3460" s="41"/>
      <c r="D3460" s="41"/>
      <c r="E3460" s="41"/>
      <c r="F3460" s="41"/>
      <c r="G3460" s="41"/>
      <c r="H3460" s="41"/>
      <c r="I3460" s="41"/>
      <c r="J3460" s="41"/>
      <c r="K3460" s="41"/>
      <c r="L3460" s="41"/>
      <c r="M3460" s="41"/>
      <c r="N3460" s="41"/>
      <c r="O3460" s="41"/>
    </row>
    <row r="3461" spans="1:15">
      <c r="A3461" s="39"/>
      <c r="B3461" s="40"/>
      <c r="C3461" s="41"/>
      <c r="D3461" s="41"/>
      <c r="E3461" s="41"/>
      <c r="F3461" s="41"/>
      <c r="G3461" s="41"/>
      <c r="H3461" s="41"/>
      <c r="I3461" s="41"/>
      <c r="J3461" s="41"/>
      <c r="K3461" s="41"/>
      <c r="L3461" s="41"/>
      <c r="M3461" s="41"/>
      <c r="N3461" s="41"/>
      <c r="O3461" s="41"/>
    </row>
    <row r="3462" spans="1:15">
      <c r="A3462" s="39"/>
      <c r="B3462" s="40"/>
      <c r="C3462" s="41"/>
      <c r="D3462" s="41"/>
      <c r="E3462" s="41"/>
      <c r="F3462" s="41"/>
      <c r="G3462" s="41"/>
      <c r="H3462" s="41"/>
      <c r="I3462" s="41"/>
      <c r="J3462" s="41"/>
      <c r="K3462" s="41"/>
      <c r="L3462" s="41"/>
      <c r="M3462" s="41"/>
      <c r="N3462" s="41"/>
      <c r="O3462" s="41"/>
    </row>
    <row r="3463" spans="1:15">
      <c r="A3463" s="39"/>
      <c r="B3463" s="40"/>
      <c r="C3463" s="41"/>
      <c r="D3463" s="41"/>
      <c r="E3463" s="41"/>
      <c r="F3463" s="41"/>
      <c r="G3463" s="41"/>
      <c r="H3463" s="41"/>
      <c r="I3463" s="41"/>
      <c r="J3463" s="41"/>
      <c r="K3463" s="41"/>
      <c r="L3463" s="41"/>
      <c r="M3463" s="41"/>
      <c r="N3463" s="41"/>
      <c r="O3463" s="41"/>
    </row>
    <row r="3464" spans="1:15">
      <c r="A3464" s="39"/>
      <c r="B3464" s="40"/>
      <c r="C3464" s="41"/>
      <c r="D3464" s="41"/>
      <c r="E3464" s="41"/>
      <c r="F3464" s="41"/>
      <c r="G3464" s="41"/>
      <c r="H3464" s="41"/>
      <c r="I3464" s="41"/>
      <c r="J3464" s="41"/>
      <c r="K3464" s="41"/>
      <c r="L3464" s="41"/>
      <c r="M3464" s="41"/>
      <c r="N3464" s="41"/>
      <c r="O3464" s="41"/>
    </row>
    <row r="3465" spans="1:15">
      <c r="A3465" s="39"/>
      <c r="B3465" s="40"/>
      <c r="C3465" s="41"/>
      <c r="D3465" s="41"/>
      <c r="E3465" s="41"/>
      <c r="F3465" s="41"/>
      <c r="G3465" s="41"/>
      <c r="H3465" s="41"/>
      <c r="I3465" s="41"/>
      <c r="J3465" s="41"/>
      <c r="K3465" s="41"/>
      <c r="L3465" s="41"/>
      <c r="M3465" s="41"/>
      <c r="N3465" s="41"/>
      <c r="O3465" s="41"/>
    </row>
    <row r="3466" spans="1:15">
      <c r="A3466" s="39"/>
      <c r="B3466" s="40"/>
      <c r="C3466" s="41"/>
      <c r="D3466" s="41"/>
      <c r="E3466" s="41"/>
      <c r="F3466" s="41"/>
      <c r="G3466" s="41"/>
      <c r="H3466" s="41"/>
      <c r="I3466" s="41"/>
      <c r="J3466" s="41"/>
      <c r="K3466" s="41"/>
      <c r="L3466" s="41"/>
      <c r="M3466" s="41"/>
      <c r="N3466" s="41"/>
      <c r="O3466" s="41"/>
    </row>
    <row r="3467" spans="1:15">
      <c r="A3467" s="39"/>
      <c r="B3467" s="40"/>
      <c r="C3467" s="41"/>
      <c r="D3467" s="41"/>
      <c r="E3467" s="41"/>
      <c r="F3467" s="41"/>
      <c r="G3467" s="41"/>
      <c r="H3467" s="41"/>
      <c r="I3467" s="41"/>
      <c r="J3467" s="41"/>
      <c r="K3467" s="41"/>
      <c r="L3467" s="41"/>
      <c r="M3467" s="41"/>
      <c r="N3467" s="41"/>
      <c r="O3467" s="41"/>
    </row>
    <row r="3468" spans="1:15">
      <c r="A3468" s="39"/>
      <c r="B3468" s="40"/>
      <c r="C3468" s="41"/>
      <c r="D3468" s="41"/>
      <c r="E3468" s="41"/>
      <c r="F3468" s="41"/>
      <c r="G3468" s="41"/>
      <c r="H3468" s="41"/>
      <c r="I3468" s="41"/>
      <c r="J3468" s="41"/>
      <c r="K3468" s="41"/>
      <c r="L3468" s="41"/>
      <c r="M3468" s="41"/>
      <c r="N3468" s="41"/>
      <c r="O3468" s="41"/>
    </row>
    <row r="3469" spans="1:15">
      <c r="A3469" s="39"/>
      <c r="B3469" s="40"/>
      <c r="C3469" s="41"/>
      <c r="D3469" s="41"/>
      <c r="E3469" s="41"/>
      <c r="F3469" s="41"/>
      <c r="G3469" s="41"/>
      <c r="H3469" s="41"/>
      <c r="I3469" s="41"/>
      <c r="J3469" s="41"/>
      <c r="K3469" s="41"/>
      <c r="L3469" s="41"/>
      <c r="M3469" s="41"/>
      <c r="N3469" s="41"/>
      <c r="O3469" s="41"/>
    </row>
    <row r="3470" spans="1:15">
      <c r="A3470" s="39"/>
      <c r="B3470" s="40"/>
      <c r="C3470" s="41"/>
      <c r="D3470" s="41"/>
      <c r="E3470" s="41"/>
      <c r="F3470" s="41"/>
      <c r="G3470" s="41"/>
      <c r="H3470" s="41"/>
      <c r="I3470" s="41"/>
      <c r="J3470" s="41"/>
      <c r="K3470" s="41"/>
      <c r="L3470" s="41"/>
      <c r="M3470" s="41"/>
      <c r="N3470" s="41"/>
      <c r="O3470" s="41"/>
    </row>
    <row r="3471" spans="1:15">
      <c r="A3471" s="39"/>
      <c r="B3471" s="40"/>
      <c r="C3471" s="41"/>
      <c r="D3471" s="41"/>
      <c r="E3471" s="41"/>
      <c r="F3471" s="41"/>
      <c r="G3471" s="41"/>
      <c r="H3471" s="41"/>
      <c r="I3471" s="41"/>
      <c r="J3471" s="41"/>
      <c r="K3471" s="41"/>
      <c r="L3471" s="41"/>
      <c r="M3471" s="41"/>
      <c r="N3471" s="41"/>
      <c r="O3471" s="41"/>
    </row>
    <row r="3472" spans="1:15">
      <c r="A3472" s="39"/>
      <c r="B3472" s="40"/>
      <c r="C3472" s="41"/>
      <c r="D3472" s="41"/>
      <c r="E3472" s="41"/>
      <c r="F3472" s="41"/>
      <c r="G3472" s="41"/>
      <c r="H3472" s="41"/>
      <c r="I3472" s="41"/>
      <c r="J3472" s="41"/>
      <c r="K3472" s="41"/>
      <c r="L3472" s="41"/>
      <c r="M3472" s="41"/>
      <c r="N3472" s="41"/>
      <c r="O3472" s="41"/>
    </row>
    <row r="3473" spans="1:15">
      <c r="A3473" s="39"/>
      <c r="B3473" s="40"/>
      <c r="C3473" s="41"/>
      <c r="D3473" s="41"/>
      <c r="E3473" s="41"/>
      <c r="F3473" s="41"/>
      <c r="G3473" s="41"/>
      <c r="H3473" s="41"/>
      <c r="I3473" s="41"/>
      <c r="J3473" s="41"/>
      <c r="K3473" s="41"/>
      <c r="L3473" s="41"/>
      <c r="M3473" s="41"/>
      <c r="N3473" s="41"/>
      <c r="O3473" s="41"/>
    </row>
    <row r="3474" spans="1:15">
      <c r="A3474" s="39"/>
      <c r="B3474" s="40"/>
      <c r="C3474" s="41"/>
      <c r="D3474" s="41"/>
      <c r="E3474" s="41"/>
      <c r="F3474" s="41"/>
      <c r="G3474" s="41"/>
      <c r="H3474" s="41"/>
      <c r="I3474" s="41"/>
      <c r="J3474" s="41"/>
      <c r="K3474" s="41"/>
      <c r="L3474" s="41"/>
      <c r="M3474" s="41"/>
      <c r="N3474" s="41"/>
      <c r="O3474" s="41"/>
    </row>
    <row r="3475" spans="1:15">
      <c r="A3475" s="39"/>
      <c r="B3475" s="40"/>
      <c r="C3475" s="41"/>
      <c r="D3475" s="41"/>
      <c r="E3475" s="41"/>
      <c r="F3475" s="41"/>
      <c r="G3475" s="41"/>
      <c r="H3475" s="41"/>
      <c r="I3475" s="41"/>
      <c r="J3475" s="41"/>
      <c r="K3475" s="41"/>
      <c r="L3475" s="41"/>
      <c r="M3475" s="41"/>
      <c r="N3475" s="41"/>
      <c r="O3475" s="41"/>
    </row>
    <row r="3476" spans="1:15">
      <c r="A3476" s="39"/>
      <c r="B3476" s="40"/>
      <c r="C3476" s="41"/>
      <c r="D3476" s="41"/>
      <c r="E3476" s="41"/>
      <c r="F3476" s="41"/>
      <c r="G3476" s="41"/>
      <c r="H3476" s="41"/>
      <c r="I3476" s="41"/>
      <c r="J3476" s="41"/>
      <c r="K3476" s="41"/>
      <c r="L3476" s="41"/>
      <c r="M3476" s="41"/>
      <c r="N3476" s="41"/>
      <c r="O3476" s="41"/>
    </row>
    <row r="3477" spans="1:15">
      <c r="A3477" s="39"/>
      <c r="B3477" s="40"/>
      <c r="C3477" s="41"/>
      <c r="D3477" s="41"/>
      <c r="E3477" s="41"/>
      <c r="F3477" s="41"/>
      <c r="G3477" s="41"/>
      <c r="H3477" s="41"/>
      <c r="I3477" s="41"/>
      <c r="J3477" s="41"/>
      <c r="K3477" s="41"/>
      <c r="L3477" s="41"/>
      <c r="M3477" s="41"/>
      <c r="N3477" s="41"/>
      <c r="O3477" s="41"/>
    </row>
    <row r="3478" spans="1:15">
      <c r="A3478" s="39"/>
      <c r="B3478" s="40"/>
      <c r="C3478" s="41"/>
      <c r="D3478" s="41"/>
      <c r="E3478" s="41"/>
      <c r="F3478" s="41"/>
      <c r="G3478" s="41"/>
      <c r="H3478" s="41"/>
      <c r="I3478" s="41"/>
      <c r="J3478" s="41"/>
      <c r="K3478" s="41"/>
      <c r="L3478" s="41"/>
      <c r="M3478" s="41"/>
      <c r="N3478" s="41"/>
      <c r="O3478" s="41"/>
    </row>
    <row r="3479" spans="1:15">
      <c r="A3479" s="39"/>
      <c r="B3479" s="40"/>
      <c r="C3479" s="41"/>
      <c r="D3479" s="41"/>
      <c r="E3479" s="41"/>
      <c r="F3479" s="41"/>
      <c r="G3479" s="41"/>
      <c r="H3479" s="41"/>
      <c r="I3479" s="41"/>
      <c r="J3479" s="41"/>
      <c r="K3479" s="41"/>
      <c r="L3479" s="41"/>
      <c r="M3479" s="41"/>
      <c r="N3479" s="41"/>
      <c r="O3479" s="41"/>
    </row>
    <row r="3480" spans="1:15">
      <c r="A3480" s="39"/>
      <c r="B3480" s="40"/>
      <c r="C3480" s="41"/>
      <c r="D3480" s="41"/>
      <c r="E3480" s="41"/>
      <c r="F3480" s="41"/>
      <c r="G3480" s="41"/>
      <c r="H3480" s="41"/>
      <c r="I3480" s="41"/>
      <c r="J3480" s="41"/>
      <c r="K3480" s="41"/>
      <c r="L3480" s="41"/>
      <c r="M3480" s="41"/>
      <c r="N3480" s="41"/>
      <c r="O3480" s="41"/>
    </row>
    <row r="3481" spans="1:15">
      <c r="A3481" s="39"/>
      <c r="B3481" s="40"/>
      <c r="C3481" s="41"/>
      <c r="D3481" s="41"/>
      <c r="E3481" s="41"/>
      <c r="F3481" s="41"/>
      <c r="G3481" s="41"/>
      <c r="H3481" s="41"/>
      <c r="I3481" s="41"/>
      <c r="J3481" s="41"/>
      <c r="K3481" s="41"/>
      <c r="L3481" s="41"/>
      <c r="M3481" s="41"/>
      <c r="N3481" s="41"/>
      <c r="O3481" s="41"/>
    </row>
    <row r="3482" spans="1:15">
      <c r="A3482" s="39"/>
      <c r="B3482" s="40"/>
      <c r="C3482" s="41"/>
      <c r="D3482" s="41"/>
      <c r="E3482" s="41"/>
      <c r="F3482" s="41"/>
      <c r="G3482" s="41"/>
      <c r="H3482" s="41"/>
      <c r="I3482" s="41"/>
      <c r="J3482" s="41"/>
      <c r="K3482" s="41"/>
      <c r="L3482" s="41"/>
      <c r="M3482" s="41"/>
      <c r="N3482" s="41"/>
      <c r="O3482" s="41"/>
    </row>
    <row r="3483" spans="1:15">
      <c r="A3483" s="39"/>
      <c r="B3483" s="40"/>
      <c r="C3483" s="41"/>
      <c r="D3483" s="41"/>
      <c r="E3483" s="41"/>
      <c r="F3483" s="41"/>
      <c r="G3483" s="41"/>
      <c r="H3483" s="41"/>
      <c r="I3483" s="41"/>
      <c r="J3483" s="41"/>
      <c r="K3483" s="41"/>
      <c r="L3483" s="41"/>
      <c r="M3483" s="41"/>
      <c r="N3483" s="41"/>
      <c r="O3483" s="41"/>
    </row>
    <row r="3484" spans="1:15">
      <c r="A3484" s="39"/>
      <c r="B3484" s="40"/>
      <c r="C3484" s="41"/>
      <c r="D3484" s="41"/>
      <c r="E3484" s="41"/>
      <c r="F3484" s="41"/>
      <c r="G3484" s="41"/>
      <c r="H3484" s="41"/>
      <c r="I3484" s="41"/>
      <c r="J3484" s="41"/>
      <c r="K3484" s="41"/>
      <c r="L3484" s="41"/>
      <c r="M3484" s="41"/>
      <c r="N3484" s="41"/>
      <c r="O3484" s="41"/>
    </row>
    <row r="3485" spans="1:15">
      <c r="A3485" s="39"/>
      <c r="B3485" s="40"/>
      <c r="C3485" s="41"/>
      <c r="D3485" s="41"/>
      <c r="E3485" s="41"/>
      <c r="F3485" s="41"/>
      <c r="G3485" s="41"/>
      <c r="H3485" s="41"/>
      <c r="I3485" s="41"/>
      <c r="J3485" s="41"/>
      <c r="K3485" s="41"/>
      <c r="L3485" s="41"/>
      <c r="M3485" s="41"/>
      <c r="N3485" s="41"/>
      <c r="O3485" s="41"/>
    </row>
    <row r="3486" spans="1:15">
      <c r="A3486" s="39"/>
      <c r="B3486" s="40"/>
      <c r="C3486" s="41"/>
      <c r="D3486" s="41"/>
      <c r="E3486" s="41"/>
      <c r="F3486" s="41"/>
      <c r="G3486" s="41"/>
      <c r="H3486" s="41"/>
      <c r="I3486" s="41"/>
      <c r="J3486" s="41"/>
      <c r="K3486" s="41"/>
      <c r="L3486" s="41"/>
      <c r="M3486" s="41"/>
      <c r="N3486" s="41"/>
      <c r="O3486" s="41"/>
    </row>
    <row r="3487" spans="1:15">
      <c r="A3487" s="39"/>
      <c r="B3487" s="40"/>
      <c r="C3487" s="41"/>
      <c r="D3487" s="41"/>
      <c r="E3487" s="41"/>
      <c r="F3487" s="41"/>
      <c r="G3487" s="41"/>
      <c r="H3487" s="41"/>
      <c r="I3487" s="41"/>
      <c r="J3487" s="41"/>
      <c r="K3487" s="41"/>
      <c r="L3487" s="41"/>
      <c r="M3487" s="41"/>
      <c r="N3487" s="41"/>
      <c r="O3487" s="41"/>
    </row>
    <row r="3488" spans="1:15">
      <c r="A3488" s="39"/>
      <c r="B3488" s="40"/>
      <c r="C3488" s="41"/>
      <c r="D3488" s="41"/>
      <c r="E3488" s="41"/>
      <c r="F3488" s="41"/>
      <c r="G3488" s="41"/>
      <c r="H3488" s="41"/>
      <c r="I3488" s="41"/>
      <c r="J3488" s="41"/>
      <c r="K3488" s="41"/>
      <c r="L3488" s="41"/>
      <c r="M3488" s="41"/>
      <c r="N3488" s="41"/>
      <c r="O3488" s="41"/>
    </row>
    <row r="3489" spans="1:15">
      <c r="A3489" s="39"/>
      <c r="B3489" s="40"/>
      <c r="C3489" s="41"/>
      <c r="D3489" s="41"/>
      <c r="E3489" s="41"/>
      <c r="F3489" s="41"/>
      <c r="G3489" s="41"/>
      <c r="H3489" s="41"/>
      <c r="I3489" s="41"/>
      <c r="J3489" s="41"/>
      <c r="K3489" s="41"/>
      <c r="L3489" s="41"/>
      <c r="M3489" s="41"/>
      <c r="N3489" s="41"/>
      <c r="O3489" s="41"/>
    </row>
    <row r="3490" spans="1:15">
      <c r="A3490" s="39"/>
      <c r="B3490" s="40"/>
      <c r="C3490" s="41"/>
      <c r="D3490" s="41"/>
      <c r="E3490" s="41"/>
      <c r="F3490" s="41"/>
      <c r="G3490" s="41"/>
      <c r="H3490" s="41"/>
      <c r="I3490" s="41"/>
      <c r="J3490" s="41"/>
      <c r="K3490" s="41"/>
      <c r="L3490" s="41"/>
      <c r="M3490" s="41"/>
      <c r="N3490" s="41"/>
      <c r="O3490" s="41"/>
    </row>
    <row r="3491" spans="1:15">
      <c r="A3491" s="39"/>
      <c r="B3491" s="40"/>
      <c r="C3491" s="41"/>
      <c r="D3491" s="41"/>
      <c r="E3491" s="41"/>
      <c r="F3491" s="41"/>
      <c r="G3491" s="41"/>
      <c r="H3491" s="41"/>
      <c r="I3491" s="41"/>
      <c r="J3491" s="41"/>
      <c r="K3491" s="41"/>
      <c r="L3491" s="41"/>
      <c r="M3491" s="41"/>
      <c r="N3491" s="41"/>
      <c r="O3491" s="41"/>
    </row>
    <row r="3492" spans="1:15">
      <c r="A3492" s="39"/>
      <c r="B3492" s="40"/>
      <c r="C3492" s="41"/>
      <c r="D3492" s="41"/>
      <c r="E3492" s="41"/>
      <c r="F3492" s="41"/>
      <c r="G3492" s="41"/>
      <c r="H3492" s="41"/>
      <c r="I3492" s="41"/>
      <c r="J3492" s="41"/>
      <c r="K3492" s="41"/>
      <c r="L3492" s="41"/>
      <c r="M3492" s="41"/>
      <c r="N3492" s="41"/>
      <c r="O3492" s="41"/>
    </row>
    <row r="3493" spans="1:15">
      <c r="A3493" s="39"/>
      <c r="B3493" s="40"/>
      <c r="C3493" s="41"/>
      <c r="D3493" s="41"/>
      <c r="E3493" s="41"/>
      <c r="F3493" s="41"/>
      <c r="G3493" s="41"/>
      <c r="H3493" s="41"/>
      <c r="I3493" s="41"/>
      <c r="J3493" s="41"/>
      <c r="K3493" s="41"/>
      <c r="L3493" s="41"/>
      <c r="M3493" s="41"/>
      <c r="N3493" s="41"/>
      <c r="O3493" s="41"/>
    </row>
    <row r="3494" spans="1:15">
      <c r="A3494" s="39"/>
      <c r="B3494" s="40"/>
      <c r="C3494" s="41"/>
      <c r="D3494" s="41"/>
      <c r="E3494" s="41"/>
      <c r="F3494" s="41"/>
      <c r="G3494" s="41"/>
      <c r="H3494" s="41"/>
      <c r="I3494" s="41"/>
      <c r="J3494" s="41"/>
      <c r="K3494" s="41"/>
      <c r="L3494" s="41"/>
      <c r="M3494" s="41"/>
      <c r="N3494" s="41"/>
      <c r="O3494" s="41"/>
    </row>
    <row r="3495" spans="1:15">
      <c r="A3495" s="39"/>
      <c r="B3495" s="40"/>
      <c r="C3495" s="41"/>
      <c r="D3495" s="41"/>
      <c r="E3495" s="41"/>
      <c r="F3495" s="41"/>
      <c r="G3495" s="41"/>
      <c r="H3495" s="41"/>
      <c r="I3495" s="41"/>
      <c r="J3495" s="41"/>
      <c r="K3495" s="41"/>
      <c r="L3495" s="41"/>
      <c r="M3495" s="41"/>
      <c r="N3495" s="41"/>
      <c r="O3495" s="41"/>
    </row>
    <row r="3496" spans="1:15">
      <c r="A3496" s="39"/>
      <c r="B3496" s="40"/>
      <c r="C3496" s="41"/>
      <c r="D3496" s="41"/>
      <c r="E3496" s="41"/>
      <c r="F3496" s="41"/>
      <c r="G3496" s="41"/>
      <c r="H3496" s="41"/>
      <c r="I3496" s="41"/>
      <c r="J3496" s="41"/>
      <c r="K3496" s="41"/>
      <c r="L3496" s="41"/>
      <c r="M3496" s="41"/>
      <c r="N3496" s="41"/>
      <c r="O3496" s="41"/>
    </row>
    <row r="3497" spans="1:15">
      <c r="A3497" s="39"/>
      <c r="B3497" s="40"/>
      <c r="C3497" s="41"/>
      <c r="D3497" s="41"/>
      <c r="E3497" s="41"/>
      <c r="F3497" s="41"/>
      <c r="G3497" s="41"/>
      <c r="H3497" s="41"/>
      <c r="I3497" s="41"/>
      <c r="J3497" s="41"/>
      <c r="K3497" s="41"/>
      <c r="L3497" s="41"/>
      <c r="M3497" s="41"/>
      <c r="N3497" s="41"/>
      <c r="O3497" s="41"/>
    </row>
    <row r="3498" spans="1:15">
      <c r="A3498" s="39"/>
      <c r="B3498" s="40"/>
      <c r="C3498" s="41"/>
      <c r="D3498" s="41"/>
      <c r="E3498" s="41"/>
      <c r="F3498" s="41"/>
      <c r="G3498" s="41"/>
      <c r="H3498" s="41"/>
      <c r="I3498" s="41"/>
      <c r="J3498" s="41"/>
      <c r="K3498" s="41"/>
      <c r="L3498" s="41"/>
      <c r="M3498" s="41"/>
      <c r="N3498" s="41"/>
      <c r="O3498" s="41"/>
    </row>
    <row r="3499" spans="1:15">
      <c r="A3499" s="39"/>
      <c r="B3499" s="40"/>
      <c r="C3499" s="41"/>
      <c r="D3499" s="41"/>
      <c r="E3499" s="41"/>
      <c r="F3499" s="41"/>
      <c r="G3499" s="41"/>
      <c r="H3499" s="41"/>
      <c r="I3499" s="41"/>
      <c r="J3499" s="41"/>
      <c r="K3499" s="41"/>
      <c r="L3499" s="41"/>
      <c r="M3499" s="41"/>
      <c r="N3499" s="41"/>
      <c r="O3499" s="41"/>
    </row>
    <row r="3500" spans="1:15">
      <c r="A3500" s="39"/>
      <c r="B3500" s="40"/>
      <c r="C3500" s="41"/>
      <c r="D3500" s="41"/>
      <c r="E3500" s="41"/>
      <c r="F3500" s="41"/>
      <c r="G3500" s="41"/>
      <c r="H3500" s="41"/>
      <c r="I3500" s="41"/>
      <c r="J3500" s="41"/>
      <c r="K3500" s="41"/>
      <c r="L3500" s="41"/>
      <c r="M3500" s="41"/>
      <c r="N3500" s="41"/>
      <c r="O3500" s="41"/>
    </row>
    <row r="3501" spans="1:15">
      <c r="A3501" s="39"/>
      <c r="B3501" s="40"/>
      <c r="C3501" s="41"/>
      <c r="D3501" s="41"/>
      <c r="E3501" s="41"/>
      <c r="F3501" s="41"/>
      <c r="G3501" s="41"/>
      <c r="H3501" s="41"/>
      <c r="I3501" s="41"/>
      <c r="J3501" s="41"/>
      <c r="K3501" s="41"/>
      <c r="L3501" s="41"/>
      <c r="M3501" s="41"/>
      <c r="N3501" s="41"/>
      <c r="O3501" s="41"/>
    </row>
    <row r="3502" spans="1:15">
      <c r="A3502" s="39"/>
      <c r="B3502" s="40"/>
      <c r="C3502" s="41"/>
      <c r="D3502" s="41"/>
      <c r="E3502" s="41"/>
      <c r="F3502" s="41"/>
      <c r="G3502" s="41"/>
      <c r="H3502" s="41"/>
      <c r="I3502" s="41"/>
      <c r="J3502" s="41"/>
      <c r="K3502" s="41"/>
      <c r="L3502" s="41"/>
      <c r="M3502" s="41"/>
      <c r="N3502" s="41"/>
      <c r="O3502" s="41"/>
    </row>
    <row r="3503" spans="1:15">
      <c r="A3503" s="39"/>
      <c r="B3503" s="40"/>
      <c r="C3503" s="41"/>
      <c r="D3503" s="41"/>
      <c r="E3503" s="41"/>
      <c r="F3503" s="41"/>
      <c r="G3503" s="41"/>
      <c r="H3503" s="41"/>
      <c r="I3503" s="41"/>
      <c r="J3503" s="41"/>
      <c r="K3503" s="41"/>
      <c r="L3503" s="41"/>
      <c r="M3503" s="41"/>
      <c r="N3503" s="41"/>
      <c r="O3503" s="41"/>
    </row>
    <row r="3504" spans="1:15">
      <c r="A3504" s="39"/>
      <c r="B3504" s="40"/>
      <c r="C3504" s="41"/>
      <c r="D3504" s="41"/>
      <c r="E3504" s="41"/>
      <c r="F3504" s="41"/>
      <c r="G3504" s="41"/>
      <c r="H3504" s="41"/>
      <c r="I3504" s="41"/>
      <c r="J3504" s="41"/>
      <c r="K3504" s="41"/>
      <c r="L3504" s="41"/>
      <c r="M3504" s="41"/>
      <c r="N3504" s="41"/>
      <c r="O3504" s="41"/>
    </row>
    <row r="3505" spans="1:15">
      <c r="A3505" s="39"/>
      <c r="B3505" s="40"/>
      <c r="C3505" s="41"/>
      <c r="D3505" s="41"/>
      <c r="E3505" s="41"/>
      <c r="F3505" s="41"/>
      <c r="G3505" s="41"/>
      <c r="H3505" s="41"/>
      <c r="I3505" s="41"/>
      <c r="J3505" s="41"/>
      <c r="K3505" s="41"/>
      <c r="L3505" s="41"/>
      <c r="M3505" s="41"/>
      <c r="N3505" s="41"/>
      <c r="O3505" s="41"/>
    </row>
    <row r="3506" spans="1:15">
      <c r="A3506" s="39"/>
      <c r="B3506" s="40"/>
      <c r="C3506" s="41"/>
      <c r="D3506" s="41"/>
      <c r="E3506" s="41"/>
      <c r="F3506" s="41"/>
      <c r="G3506" s="41"/>
      <c r="H3506" s="41"/>
      <c r="I3506" s="41"/>
      <c r="J3506" s="41"/>
      <c r="K3506" s="41"/>
      <c r="L3506" s="41"/>
      <c r="M3506" s="41"/>
      <c r="N3506" s="41"/>
      <c r="O3506" s="41"/>
    </row>
    <row r="3507" spans="1:15">
      <c r="A3507" s="39"/>
      <c r="B3507" s="40"/>
      <c r="C3507" s="41"/>
      <c r="D3507" s="41"/>
      <c r="E3507" s="41"/>
      <c r="F3507" s="41"/>
      <c r="G3507" s="41"/>
      <c r="H3507" s="41"/>
      <c r="I3507" s="41"/>
      <c r="J3507" s="41"/>
      <c r="K3507" s="41"/>
      <c r="L3507" s="41"/>
      <c r="M3507" s="41"/>
      <c r="N3507" s="41"/>
      <c r="O3507" s="41"/>
    </row>
    <row r="3508" spans="1:15">
      <c r="A3508" s="39"/>
      <c r="B3508" s="40"/>
      <c r="C3508" s="41"/>
      <c r="D3508" s="41"/>
      <c r="E3508" s="41"/>
      <c r="F3508" s="41"/>
      <c r="G3508" s="41"/>
      <c r="H3508" s="41"/>
      <c r="I3508" s="41"/>
      <c r="J3508" s="41"/>
      <c r="K3508" s="41"/>
      <c r="L3508" s="41"/>
      <c r="M3508" s="41"/>
      <c r="N3508" s="41"/>
      <c r="O3508" s="41"/>
    </row>
    <row r="3509" spans="1:15">
      <c r="A3509" s="39"/>
      <c r="B3509" s="40"/>
      <c r="C3509" s="41"/>
      <c r="D3509" s="41"/>
      <c r="E3509" s="41"/>
      <c r="F3509" s="41"/>
      <c r="G3509" s="41"/>
      <c r="H3509" s="41"/>
      <c r="I3509" s="41"/>
      <c r="J3509" s="41"/>
      <c r="K3509" s="41"/>
      <c r="L3509" s="41"/>
      <c r="M3509" s="41"/>
      <c r="N3509" s="41"/>
      <c r="O3509" s="41"/>
    </row>
    <row r="3510" spans="1:15">
      <c r="A3510" s="39"/>
      <c r="B3510" s="40"/>
      <c r="C3510" s="41"/>
      <c r="D3510" s="41"/>
      <c r="E3510" s="41"/>
      <c r="F3510" s="41"/>
      <c r="G3510" s="41"/>
      <c r="H3510" s="41"/>
      <c r="I3510" s="41"/>
      <c r="J3510" s="41"/>
      <c r="K3510" s="41"/>
      <c r="L3510" s="41"/>
      <c r="M3510" s="41"/>
      <c r="N3510" s="41"/>
      <c r="O3510" s="41"/>
    </row>
    <row r="3511" spans="1:15">
      <c r="A3511" s="39"/>
      <c r="B3511" s="40"/>
      <c r="C3511" s="41"/>
      <c r="D3511" s="41"/>
      <c r="E3511" s="41"/>
      <c r="F3511" s="41"/>
      <c r="G3511" s="41"/>
      <c r="H3511" s="41"/>
      <c r="I3511" s="41"/>
      <c r="J3511" s="41"/>
      <c r="K3511" s="41"/>
      <c r="L3511" s="41"/>
      <c r="M3511" s="41"/>
      <c r="N3511" s="41"/>
      <c r="O3511" s="41"/>
    </row>
    <row r="3512" spans="1:15">
      <c r="A3512" s="39"/>
      <c r="B3512" s="40"/>
      <c r="C3512" s="41"/>
      <c r="D3512" s="41"/>
      <c r="E3512" s="41"/>
      <c r="F3512" s="41"/>
      <c r="G3512" s="41"/>
      <c r="H3512" s="41"/>
      <c r="I3512" s="41"/>
      <c r="J3512" s="41"/>
      <c r="K3512" s="41"/>
      <c r="L3512" s="41"/>
      <c r="M3512" s="41"/>
      <c r="N3512" s="41"/>
      <c r="O3512" s="41"/>
    </row>
    <row r="3513" spans="1:15">
      <c r="A3513" s="39"/>
      <c r="B3513" s="40"/>
      <c r="C3513" s="41"/>
      <c r="D3513" s="41"/>
      <c r="E3513" s="41"/>
      <c r="F3513" s="41"/>
      <c r="G3513" s="41"/>
      <c r="H3513" s="41"/>
      <c r="I3513" s="41"/>
      <c r="J3513" s="41"/>
      <c r="K3513" s="41"/>
      <c r="L3513" s="41"/>
      <c r="M3513" s="41"/>
      <c r="N3513" s="41"/>
      <c r="O3513" s="41"/>
    </row>
    <row r="3514" spans="1:15">
      <c r="A3514" s="39"/>
      <c r="B3514" s="40"/>
      <c r="C3514" s="41"/>
      <c r="D3514" s="41"/>
      <c r="E3514" s="41"/>
      <c r="F3514" s="41"/>
      <c r="G3514" s="41"/>
      <c r="H3514" s="41"/>
      <c r="I3514" s="41"/>
      <c r="J3514" s="41"/>
      <c r="K3514" s="41"/>
      <c r="L3514" s="41"/>
      <c r="M3514" s="41"/>
      <c r="N3514" s="41"/>
      <c r="O3514" s="41"/>
    </row>
    <row r="3515" spans="1:15">
      <c r="A3515" s="39"/>
      <c r="B3515" s="40"/>
      <c r="C3515" s="41"/>
      <c r="D3515" s="41"/>
      <c r="E3515" s="41"/>
      <c r="F3515" s="41"/>
      <c r="G3515" s="41"/>
      <c r="H3515" s="41"/>
      <c r="I3515" s="41"/>
      <c r="J3515" s="41"/>
      <c r="K3515" s="41"/>
      <c r="L3515" s="41"/>
      <c r="M3515" s="41"/>
      <c r="N3515" s="41"/>
      <c r="O3515" s="41"/>
    </row>
    <row r="3516" spans="1:15">
      <c r="A3516" s="39"/>
      <c r="B3516" s="40"/>
      <c r="C3516" s="41"/>
      <c r="D3516" s="41"/>
      <c r="E3516" s="41"/>
      <c r="F3516" s="41"/>
      <c r="G3516" s="41"/>
      <c r="H3516" s="41"/>
      <c r="I3516" s="41"/>
      <c r="J3516" s="41"/>
      <c r="K3516" s="41"/>
      <c r="L3516" s="41"/>
      <c r="M3516" s="41"/>
      <c r="N3516" s="41"/>
      <c r="O3516" s="41"/>
    </row>
    <row r="3517" spans="1:15">
      <c r="A3517" s="39"/>
      <c r="B3517" s="40"/>
      <c r="C3517" s="41"/>
      <c r="D3517" s="41"/>
      <c r="E3517" s="41"/>
      <c r="F3517" s="41"/>
      <c r="G3517" s="41"/>
      <c r="H3517" s="41"/>
      <c r="I3517" s="41"/>
      <c r="J3517" s="41"/>
      <c r="K3517" s="41"/>
      <c r="L3517" s="41"/>
      <c r="M3517" s="41"/>
      <c r="N3517" s="41"/>
      <c r="O3517" s="41"/>
    </row>
    <row r="3518" spans="1:15">
      <c r="A3518" s="39"/>
      <c r="B3518" s="40"/>
      <c r="C3518" s="41"/>
      <c r="D3518" s="41"/>
      <c r="E3518" s="41"/>
      <c r="F3518" s="41"/>
      <c r="G3518" s="41"/>
      <c r="H3518" s="41"/>
      <c r="I3518" s="41"/>
      <c r="J3518" s="41"/>
      <c r="K3518" s="41"/>
      <c r="L3518" s="41"/>
      <c r="M3518" s="41"/>
      <c r="N3518" s="41"/>
      <c r="O3518" s="41"/>
    </row>
    <row r="3519" spans="1:15">
      <c r="A3519" s="39"/>
      <c r="B3519" s="40"/>
      <c r="C3519" s="41"/>
      <c r="D3519" s="41"/>
      <c r="E3519" s="41"/>
      <c r="F3519" s="41"/>
      <c r="G3519" s="41"/>
      <c r="H3519" s="41"/>
      <c r="I3519" s="41"/>
      <c r="J3519" s="41"/>
      <c r="K3519" s="41"/>
      <c r="L3519" s="41"/>
      <c r="M3519" s="41"/>
      <c r="N3519" s="41"/>
      <c r="O3519" s="41"/>
    </row>
    <row r="3520" spans="1:15">
      <c r="A3520" s="39"/>
      <c r="B3520" s="40"/>
      <c r="C3520" s="41"/>
      <c r="D3520" s="41"/>
      <c r="E3520" s="41"/>
      <c r="F3520" s="41"/>
      <c r="G3520" s="41"/>
      <c r="H3520" s="41"/>
      <c r="I3520" s="41"/>
      <c r="J3520" s="41"/>
      <c r="K3520" s="41"/>
      <c r="L3520" s="41"/>
      <c r="M3520" s="41"/>
      <c r="N3520" s="41"/>
      <c r="O3520" s="41"/>
    </row>
    <row r="3521" spans="1:15">
      <c r="A3521" s="39"/>
      <c r="B3521" s="40"/>
      <c r="C3521" s="41"/>
      <c r="D3521" s="41"/>
      <c r="E3521" s="41"/>
      <c r="F3521" s="41"/>
      <c r="G3521" s="41"/>
      <c r="H3521" s="41"/>
      <c r="I3521" s="41"/>
      <c r="J3521" s="41"/>
      <c r="K3521" s="41"/>
      <c r="L3521" s="41"/>
      <c r="M3521" s="41"/>
      <c r="N3521" s="41"/>
      <c r="O3521" s="41"/>
    </row>
    <row r="3522" spans="1:15">
      <c r="A3522" s="39"/>
      <c r="B3522" s="40"/>
      <c r="C3522" s="41"/>
      <c r="D3522" s="41"/>
      <c r="E3522" s="41"/>
      <c r="F3522" s="41"/>
      <c r="G3522" s="41"/>
      <c r="H3522" s="41"/>
      <c r="I3522" s="41"/>
      <c r="J3522" s="41"/>
      <c r="K3522" s="41"/>
      <c r="L3522" s="41"/>
      <c r="M3522" s="41"/>
      <c r="N3522" s="41"/>
      <c r="O3522" s="41"/>
    </row>
    <row r="3523" spans="1:15">
      <c r="A3523" s="39"/>
      <c r="B3523" s="40"/>
      <c r="C3523" s="41"/>
      <c r="D3523" s="41"/>
      <c r="E3523" s="41"/>
      <c r="F3523" s="41"/>
      <c r="G3523" s="41"/>
      <c r="H3523" s="41"/>
      <c r="I3523" s="41"/>
      <c r="J3523" s="41"/>
      <c r="K3523" s="41"/>
      <c r="L3523" s="41"/>
      <c r="M3523" s="41"/>
      <c r="N3523" s="41"/>
      <c r="O3523" s="41"/>
    </row>
    <row r="3524" spans="1:15">
      <c r="A3524" s="39"/>
      <c r="B3524" s="40"/>
      <c r="C3524" s="41"/>
      <c r="D3524" s="41"/>
      <c r="E3524" s="41"/>
      <c r="F3524" s="41"/>
      <c r="G3524" s="41"/>
      <c r="H3524" s="41"/>
      <c r="I3524" s="41"/>
      <c r="J3524" s="41"/>
      <c r="K3524" s="41"/>
      <c r="L3524" s="41"/>
      <c r="M3524" s="41"/>
      <c r="N3524" s="41"/>
      <c r="O3524" s="41"/>
    </row>
    <row r="3525" spans="1:15">
      <c r="A3525" s="39"/>
      <c r="B3525" s="40"/>
      <c r="C3525" s="41"/>
      <c r="D3525" s="41"/>
      <c r="E3525" s="41"/>
      <c r="F3525" s="41"/>
      <c r="G3525" s="41"/>
      <c r="H3525" s="41"/>
      <c r="I3525" s="41"/>
      <c r="J3525" s="41"/>
      <c r="K3525" s="41"/>
      <c r="L3525" s="41"/>
      <c r="M3525" s="41"/>
      <c r="N3525" s="41"/>
      <c r="O3525" s="41"/>
    </row>
    <row r="3526" spans="1:15">
      <c r="A3526" s="39"/>
      <c r="B3526" s="40"/>
      <c r="C3526" s="41"/>
      <c r="D3526" s="41"/>
      <c r="E3526" s="41"/>
      <c r="F3526" s="41"/>
      <c r="G3526" s="41"/>
      <c r="H3526" s="41"/>
      <c r="I3526" s="41"/>
      <c r="J3526" s="41"/>
      <c r="K3526" s="41"/>
      <c r="L3526" s="41"/>
      <c r="M3526" s="41"/>
      <c r="N3526" s="41"/>
      <c r="O3526" s="41"/>
    </row>
    <row r="3527" spans="1:15">
      <c r="A3527" s="39"/>
      <c r="B3527" s="40"/>
      <c r="C3527" s="41"/>
      <c r="D3527" s="41"/>
      <c r="E3527" s="41"/>
      <c r="F3527" s="41"/>
      <c r="G3527" s="41"/>
      <c r="H3527" s="41"/>
      <c r="I3527" s="41"/>
      <c r="J3527" s="41"/>
      <c r="K3527" s="41"/>
      <c r="L3527" s="41"/>
      <c r="M3527" s="41"/>
      <c r="N3527" s="41"/>
      <c r="O3527" s="41"/>
    </row>
    <row r="3528" spans="1:15">
      <c r="A3528" s="39"/>
      <c r="B3528" s="40"/>
      <c r="C3528" s="41"/>
      <c r="D3528" s="41"/>
      <c r="E3528" s="41"/>
      <c r="F3528" s="41"/>
      <c r="G3528" s="41"/>
      <c r="H3528" s="41"/>
      <c r="I3528" s="41"/>
      <c r="J3528" s="41"/>
      <c r="K3528" s="41"/>
      <c r="L3528" s="41"/>
      <c r="M3528" s="41"/>
      <c r="N3528" s="41"/>
      <c r="O3528" s="41"/>
    </row>
    <row r="3529" spans="1:15">
      <c r="A3529" s="39"/>
      <c r="B3529" s="40"/>
      <c r="C3529" s="41"/>
      <c r="D3529" s="41"/>
      <c r="E3529" s="41"/>
      <c r="F3529" s="41"/>
      <c r="G3529" s="41"/>
      <c r="H3529" s="41"/>
      <c r="I3529" s="41"/>
      <c r="J3529" s="41"/>
      <c r="K3529" s="41"/>
      <c r="L3529" s="41"/>
      <c r="M3529" s="41"/>
      <c r="N3529" s="41"/>
      <c r="O3529" s="41"/>
    </row>
    <row r="3530" spans="1:15">
      <c r="A3530" s="39"/>
      <c r="B3530" s="40"/>
      <c r="C3530" s="41"/>
      <c r="D3530" s="41"/>
      <c r="E3530" s="41"/>
      <c r="F3530" s="41"/>
      <c r="G3530" s="41"/>
      <c r="H3530" s="41"/>
      <c r="I3530" s="41"/>
      <c r="J3530" s="41"/>
      <c r="K3530" s="41"/>
      <c r="L3530" s="41"/>
      <c r="M3530" s="41"/>
      <c r="N3530" s="41"/>
      <c r="O3530" s="41"/>
    </row>
    <row r="3531" spans="1:15">
      <c r="A3531" s="39"/>
      <c r="B3531" s="40"/>
      <c r="C3531" s="41"/>
      <c r="D3531" s="41"/>
      <c r="E3531" s="41"/>
      <c r="F3531" s="41"/>
      <c r="G3531" s="41"/>
      <c r="H3531" s="41"/>
      <c r="I3531" s="41"/>
      <c r="J3531" s="41"/>
      <c r="K3531" s="41"/>
      <c r="L3531" s="41"/>
      <c r="M3531" s="41"/>
      <c r="N3531" s="41"/>
      <c r="O3531" s="41"/>
    </row>
    <row r="3532" spans="1:15">
      <c r="A3532" s="39"/>
      <c r="B3532" s="40"/>
      <c r="C3532" s="41"/>
      <c r="D3532" s="41"/>
      <c r="E3532" s="41"/>
      <c r="F3532" s="41"/>
      <c r="G3532" s="41"/>
      <c r="H3532" s="41"/>
      <c r="I3532" s="41"/>
      <c r="J3532" s="41"/>
      <c r="K3532" s="41"/>
      <c r="L3532" s="41"/>
      <c r="M3532" s="41"/>
      <c r="N3532" s="41"/>
      <c r="O3532" s="41"/>
    </row>
    <row r="3533" spans="1:15">
      <c r="A3533" s="39"/>
      <c r="B3533" s="40"/>
      <c r="C3533" s="41"/>
      <c r="D3533" s="41"/>
      <c r="E3533" s="41"/>
      <c r="F3533" s="41"/>
      <c r="G3533" s="41"/>
      <c r="H3533" s="41"/>
      <c r="I3533" s="41"/>
      <c r="J3533" s="41"/>
      <c r="K3533" s="41"/>
      <c r="L3533" s="41"/>
      <c r="M3533" s="41"/>
      <c r="N3533" s="41"/>
      <c r="O3533" s="41"/>
    </row>
    <row r="3534" spans="1:15">
      <c r="A3534" s="39"/>
      <c r="B3534" s="40"/>
      <c r="C3534" s="41"/>
      <c r="D3534" s="41"/>
      <c r="E3534" s="41"/>
      <c r="F3534" s="41"/>
      <c r="G3534" s="41"/>
      <c r="H3534" s="41"/>
      <c r="I3534" s="41"/>
      <c r="J3534" s="41"/>
      <c r="K3534" s="41"/>
      <c r="L3534" s="41"/>
      <c r="M3534" s="41"/>
      <c r="N3534" s="41"/>
      <c r="O3534" s="41"/>
    </row>
    <row r="3535" spans="1:15">
      <c r="A3535" s="39"/>
      <c r="B3535" s="40"/>
      <c r="C3535" s="41"/>
      <c r="D3535" s="41"/>
      <c r="E3535" s="41"/>
      <c r="F3535" s="41"/>
      <c r="G3535" s="41"/>
      <c r="H3535" s="41"/>
      <c r="I3535" s="41"/>
      <c r="J3535" s="41"/>
      <c r="K3535" s="41"/>
      <c r="L3535" s="41"/>
      <c r="M3535" s="41"/>
      <c r="N3535" s="41"/>
      <c r="O3535" s="41"/>
    </row>
    <row r="3536" spans="1:15">
      <c r="A3536" s="39"/>
      <c r="B3536" s="40"/>
      <c r="C3536" s="41"/>
      <c r="D3536" s="41"/>
      <c r="E3536" s="41"/>
      <c r="F3536" s="41"/>
      <c r="G3536" s="41"/>
      <c r="H3536" s="41"/>
      <c r="I3536" s="41"/>
      <c r="J3536" s="41"/>
      <c r="K3536" s="41"/>
      <c r="L3536" s="41"/>
      <c r="M3536" s="41"/>
      <c r="N3536" s="41"/>
      <c r="O3536" s="41"/>
    </row>
    <row r="3537" spans="1:15">
      <c r="A3537" s="39"/>
      <c r="B3537" s="40"/>
      <c r="C3537" s="41"/>
      <c r="D3537" s="41"/>
      <c r="E3537" s="41"/>
      <c r="F3537" s="41"/>
      <c r="G3537" s="41"/>
      <c r="H3537" s="41"/>
      <c r="I3537" s="41"/>
      <c r="J3537" s="41"/>
      <c r="K3537" s="41"/>
      <c r="L3537" s="41"/>
      <c r="M3537" s="41"/>
      <c r="N3537" s="41"/>
      <c r="O3537" s="41"/>
    </row>
    <row r="3538" spans="1:15">
      <c r="A3538" s="39"/>
      <c r="B3538" s="40"/>
      <c r="C3538" s="41"/>
      <c r="D3538" s="41"/>
      <c r="E3538" s="41"/>
      <c r="F3538" s="41"/>
      <c r="G3538" s="41"/>
      <c r="H3538" s="41"/>
      <c r="I3538" s="41"/>
      <c r="J3538" s="41"/>
      <c r="K3538" s="41"/>
      <c r="L3538" s="41"/>
      <c r="M3538" s="41"/>
      <c r="N3538" s="41"/>
      <c r="O3538" s="41"/>
    </row>
    <row r="3539" spans="1:15">
      <c r="A3539" s="39"/>
      <c r="B3539" s="40"/>
      <c r="C3539" s="41"/>
      <c r="D3539" s="41"/>
      <c r="E3539" s="41"/>
      <c r="F3539" s="41"/>
      <c r="G3539" s="41"/>
      <c r="H3539" s="41"/>
      <c r="I3539" s="41"/>
      <c r="J3539" s="41"/>
      <c r="K3539" s="41"/>
      <c r="L3539" s="41"/>
      <c r="M3539" s="41"/>
      <c r="N3539" s="41"/>
      <c r="O3539" s="41"/>
    </row>
    <row r="3540" spans="1:15">
      <c r="A3540" s="39"/>
      <c r="B3540" s="40"/>
      <c r="C3540" s="41"/>
      <c r="D3540" s="41"/>
      <c r="E3540" s="41"/>
      <c r="F3540" s="41"/>
      <c r="G3540" s="41"/>
      <c r="H3540" s="41"/>
      <c r="I3540" s="41"/>
      <c r="J3540" s="41"/>
      <c r="K3540" s="41"/>
      <c r="L3540" s="41"/>
      <c r="M3540" s="41"/>
      <c r="N3540" s="41"/>
      <c r="O3540" s="41"/>
    </row>
    <row r="3541" spans="1:15">
      <c r="A3541" s="39"/>
      <c r="B3541" s="40"/>
      <c r="C3541" s="41"/>
      <c r="D3541" s="41"/>
      <c r="E3541" s="41"/>
      <c r="F3541" s="41"/>
      <c r="G3541" s="41"/>
      <c r="H3541" s="41"/>
      <c r="I3541" s="41"/>
      <c r="J3541" s="41"/>
      <c r="K3541" s="41"/>
      <c r="L3541" s="41"/>
      <c r="M3541" s="41"/>
      <c r="N3541" s="41"/>
      <c r="O3541" s="41"/>
    </row>
    <row r="3542" spans="1:15">
      <c r="A3542" s="39"/>
      <c r="B3542" s="40"/>
      <c r="C3542" s="41"/>
      <c r="D3542" s="41"/>
      <c r="E3542" s="41"/>
      <c r="F3542" s="41"/>
      <c r="G3542" s="41"/>
      <c r="H3542" s="41"/>
      <c r="I3542" s="41"/>
      <c r="J3542" s="41"/>
      <c r="K3542" s="41"/>
      <c r="L3542" s="41"/>
      <c r="M3542" s="41"/>
      <c r="N3542" s="41"/>
      <c r="O3542" s="41"/>
    </row>
    <row r="3543" spans="1:15">
      <c r="A3543" s="39"/>
      <c r="B3543" s="40"/>
      <c r="C3543" s="41"/>
      <c r="D3543" s="41"/>
      <c r="E3543" s="41"/>
      <c r="F3543" s="41"/>
      <c r="G3543" s="41"/>
      <c r="H3543" s="41"/>
      <c r="I3543" s="41"/>
      <c r="J3543" s="41"/>
      <c r="K3543" s="41"/>
      <c r="L3543" s="41"/>
      <c r="M3543" s="41"/>
      <c r="N3543" s="41"/>
      <c r="O3543" s="41"/>
    </row>
    <row r="3544" spans="1:15">
      <c r="A3544" s="39"/>
      <c r="B3544" s="40"/>
      <c r="C3544" s="41"/>
      <c r="D3544" s="41"/>
      <c r="E3544" s="41"/>
      <c r="F3544" s="41"/>
      <c r="G3544" s="41"/>
      <c r="H3544" s="41"/>
      <c r="I3544" s="41"/>
      <c r="J3544" s="41"/>
      <c r="K3544" s="41"/>
      <c r="L3544" s="41"/>
      <c r="M3544" s="41"/>
      <c r="N3544" s="41"/>
      <c r="O3544" s="41"/>
    </row>
    <row r="3545" spans="1:15">
      <c r="A3545" s="39"/>
      <c r="B3545" s="40"/>
      <c r="C3545" s="41"/>
      <c r="D3545" s="41"/>
      <c r="E3545" s="41"/>
      <c r="F3545" s="41"/>
      <c r="G3545" s="41"/>
      <c r="H3545" s="41"/>
      <c r="I3545" s="41"/>
      <c r="J3545" s="41"/>
      <c r="K3545" s="41"/>
      <c r="L3545" s="41"/>
      <c r="M3545" s="41"/>
      <c r="N3545" s="41"/>
      <c r="O3545" s="41"/>
    </row>
    <row r="3546" spans="1:15">
      <c r="A3546" s="39"/>
      <c r="B3546" s="40"/>
      <c r="C3546" s="41"/>
      <c r="D3546" s="41"/>
      <c r="E3546" s="41"/>
      <c r="F3546" s="41"/>
      <c r="G3546" s="41"/>
      <c r="H3546" s="41"/>
      <c r="I3546" s="41"/>
      <c r="J3546" s="41"/>
      <c r="K3546" s="41"/>
      <c r="L3546" s="41"/>
      <c r="M3546" s="41"/>
      <c r="N3546" s="41"/>
      <c r="O3546" s="41"/>
    </row>
    <row r="3547" spans="1:15">
      <c r="A3547" s="39"/>
      <c r="B3547" s="40"/>
      <c r="C3547" s="41"/>
      <c r="D3547" s="41"/>
      <c r="E3547" s="41"/>
      <c r="F3547" s="41"/>
      <c r="G3547" s="41"/>
      <c r="H3547" s="41"/>
      <c r="I3547" s="41"/>
      <c r="J3547" s="41"/>
      <c r="K3547" s="41"/>
      <c r="L3547" s="41"/>
      <c r="M3547" s="41"/>
      <c r="N3547" s="41"/>
      <c r="O3547" s="41"/>
    </row>
    <row r="3548" spans="1:15">
      <c r="A3548" s="39"/>
      <c r="B3548" s="40"/>
      <c r="C3548" s="41"/>
      <c r="D3548" s="41"/>
      <c r="E3548" s="41"/>
      <c r="F3548" s="41"/>
      <c r="G3548" s="41"/>
      <c r="H3548" s="41"/>
      <c r="I3548" s="41"/>
      <c r="J3548" s="41"/>
      <c r="K3548" s="41"/>
      <c r="L3548" s="41"/>
      <c r="M3548" s="41"/>
      <c r="N3548" s="41"/>
      <c r="O3548" s="41"/>
    </row>
    <row r="3549" spans="1:15">
      <c r="A3549" s="39"/>
      <c r="B3549" s="40"/>
      <c r="C3549" s="41"/>
      <c r="D3549" s="41"/>
      <c r="E3549" s="41"/>
      <c r="F3549" s="41"/>
      <c r="G3549" s="41"/>
      <c r="H3549" s="41"/>
      <c r="I3549" s="41"/>
      <c r="J3549" s="41"/>
      <c r="K3549" s="41"/>
      <c r="L3549" s="41"/>
      <c r="M3549" s="41"/>
      <c r="N3549" s="41"/>
      <c r="O3549" s="41"/>
    </row>
    <row r="3550" spans="1:15">
      <c r="A3550" s="39"/>
      <c r="B3550" s="40"/>
      <c r="C3550" s="41"/>
      <c r="D3550" s="41"/>
      <c r="E3550" s="41"/>
      <c r="F3550" s="41"/>
      <c r="G3550" s="41"/>
      <c r="H3550" s="41"/>
      <c r="I3550" s="41"/>
      <c r="J3550" s="41"/>
      <c r="K3550" s="41"/>
      <c r="L3550" s="41"/>
      <c r="M3550" s="41"/>
      <c r="N3550" s="41"/>
      <c r="O3550" s="41"/>
    </row>
    <row r="3551" spans="1:15">
      <c r="A3551" s="39"/>
      <c r="B3551" s="40"/>
      <c r="C3551" s="41"/>
      <c r="D3551" s="41"/>
      <c r="E3551" s="41"/>
      <c r="F3551" s="41"/>
      <c r="G3551" s="41"/>
      <c r="H3551" s="41"/>
      <c r="I3551" s="41"/>
      <c r="J3551" s="41"/>
      <c r="K3551" s="41"/>
      <c r="L3551" s="41"/>
      <c r="M3551" s="41"/>
      <c r="N3551" s="41"/>
      <c r="O3551" s="41"/>
    </row>
    <row r="3552" spans="1:15">
      <c r="A3552" s="39"/>
      <c r="B3552" s="40"/>
      <c r="C3552" s="41"/>
      <c r="D3552" s="41"/>
      <c r="E3552" s="41"/>
      <c r="F3552" s="41"/>
      <c r="G3552" s="41"/>
      <c r="H3552" s="41"/>
      <c r="I3552" s="41"/>
      <c r="J3552" s="41"/>
      <c r="K3552" s="41"/>
      <c r="L3552" s="41"/>
      <c r="M3552" s="41"/>
      <c r="N3552" s="41"/>
      <c r="O3552" s="41"/>
    </row>
    <row r="3553" spans="1:15">
      <c r="A3553" s="39"/>
      <c r="B3553" s="40"/>
      <c r="C3553" s="41"/>
      <c r="D3553" s="41"/>
      <c r="E3553" s="41"/>
      <c r="F3553" s="41"/>
      <c r="G3553" s="41"/>
      <c r="H3553" s="41"/>
      <c r="I3553" s="41"/>
      <c r="J3553" s="41"/>
      <c r="K3553" s="41"/>
      <c r="L3553" s="41"/>
      <c r="M3553" s="41"/>
      <c r="N3553" s="41"/>
      <c r="O3553" s="41"/>
    </row>
    <row r="3554" spans="1:15">
      <c r="A3554" s="39"/>
      <c r="B3554" s="40"/>
      <c r="C3554" s="41"/>
      <c r="D3554" s="41"/>
      <c r="E3554" s="41"/>
      <c r="F3554" s="41"/>
      <c r="G3554" s="41"/>
      <c r="H3554" s="41"/>
      <c r="I3554" s="41"/>
      <c r="J3554" s="41"/>
      <c r="K3554" s="41"/>
      <c r="L3554" s="41"/>
      <c r="M3554" s="41"/>
      <c r="N3554" s="41"/>
      <c r="O3554" s="41"/>
    </row>
    <row r="3555" spans="1:15">
      <c r="A3555" s="39"/>
      <c r="B3555" s="40"/>
      <c r="C3555" s="41"/>
      <c r="D3555" s="41"/>
      <c r="E3555" s="41"/>
      <c r="F3555" s="41"/>
      <c r="G3555" s="41"/>
      <c r="H3555" s="41"/>
      <c r="I3555" s="41"/>
      <c r="J3555" s="41"/>
      <c r="K3555" s="41"/>
      <c r="L3555" s="41"/>
      <c r="M3555" s="41"/>
      <c r="N3555" s="41"/>
      <c r="O3555" s="41"/>
    </row>
    <row r="3556" spans="1:15">
      <c r="A3556" s="39"/>
      <c r="B3556" s="40"/>
      <c r="C3556" s="41"/>
      <c r="D3556" s="41"/>
      <c r="E3556" s="41"/>
      <c r="F3556" s="41"/>
      <c r="G3556" s="41"/>
      <c r="H3556" s="41"/>
      <c r="I3556" s="41"/>
      <c r="J3556" s="41"/>
      <c r="K3556" s="41"/>
      <c r="L3556" s="41"/>
      <c r="M3556" s="41"/>
      <c r="N3556" s="41"/>
      <c r="O3556" s="41"/>
    </row>
    <row r="3557" spans="1:15">
      <c r="A3557" s="39"/>
      <c r="B3557" s="40"/>
      <c r="C3557" s="41"/>
      <c r="D3557" s="41"/>
      <c r="E3557" s="41"/>
      <c r="F3557" s="41"/>
      <c r="G3557" s="41"/>
      <c r="H3557" s="41"/>
      <c r="I3557" s="41"/>
      <c r="J3557" s="41"/>
      <c r="K3557" s="41"/>
      <c r="L3557" s="41"/>
      <c r="M3557" s="41"/>
      <c r="N3557" s="41"/>
      <c r="O3557" s="41"/>
    </row>
    <row r="3558" spans="1:15">
      <c r="A3558" s="39"/>
      <c r="B3558" s="40"/>
      <c r="C3558" s="41"/>
      <c r="D3558" s="41"/>
      <c r="E3558" s="41"/>
      <c r="F3558" s="41"/>
      <c r="G3558" s="41"/>
      <c r="H3558" s="41"/>
      <c r="I3558" s="41"/>
      <c r="J3558" s="41"/>
      <c r="K3558" s="41"/>
      <c r="L3558" s="41"/>
      <c r="M3558" s="41"/>
      <c r="N3558" s="41"/>
      <c r="O3558" s="41"/>
    </row>
    <row r="3559" spans="1:15">
      <c r="A3559" s="39"/>
      <c r="B3559" s="40"/>
      <c r="C3559" s="41"/>
      <c r="D3559" s="41"/>
      <c r="E3559" s="41"/>
      <c r="F3559" s="41"/>
      <c r="G3559" s="41"/>
      <c r="H3559" s="41"/>
      <c r="I3559" s="41"/>
      <c r="J3559" s="41"/>
      <c r="K3559" s="41"/>
      <c r="L3559" s="41"/>
      <c r="M3559" s="41"/>
      <c r="N3559" s="41"/>
      <c r="O3559" s="41"/>
    </row>
    <row r="3560" spans="1:15">
      <c r="A3560" s="39"/>
      <c r="B3560" s="40"/>
      <c r="C3560" s="41"/>
      <c r="D3560" s="41"/>
      <c r="E3560" s="41"/>
      <c r="F3560" s="41"/>
      <c r="G3560" s="41"/>
      <c r="H3560" s="41"/>
      <c r="I3560" s="41"/>
      <c r="J3560" s="41"/>
      <c r="K3560" s="41"/>
      <c r="L3560" s="41"/>
      <c r="M3560" s="41"/>
      <c r="N3560" s="41"/>
      <c r="O3560" s="41"/>
    </row>
    <row r="3561" spans="1:15">
      <c r="A3561" s="39"/>
      <c r="B3561" s="40"/>
      <c r="C3561" s="41"/>
      <c r="D3561" s="41"/>
      <c r="E3561" s="41"/>
      <c r="F3561" s="41"/>
      <c r="G3561" s="41"/>
      <c r="H3561" s="41"/>
      <c r="I3561" s="41"/>
      <c r="J3561" s="41"/>
      <c r="K3561" s="41"/>
      <c r="L3561" s="41"/>
      <c r="M3561" s="41"/>
      <c r="N3561" s="41"/>
      <c r="O3561" s="41"/>
    </row>
    <row r="3562" spans="1:15">
      <c r="A3562" s="39"/>
      <c r="B3562" s="40"/>
      <c r="C3562" s="41"/>
      <c r="D3562" s="41"/>
      <c r="E3562" s="41"/>
      <c r="F3562" s="41"/>
      <c r="G3562" s="41"/>
      <c r="H3562" s="41"/>
      <c r="I3562" s="41"/>
      <c r="J3562" s="41"/>
      <c r="K3562" s="41"/>
      <c r="L3562" s="41"/>
      <c r="M3562" s="41"/>
      <c r="N3562" s="41"/>
      <c r="O3562" s="41"/>
    </row>
    <row r="3563" spans="1:15">
      <c r="A3563" s="39"/>
      <c r="B3563" s="40"/>
      <c r="C3563" s="41"/>
      <c r="D3563" s="41"/>
      <c r="E3563" s="41"/>
      <c r="F3563" s="41"/>
      <c r="G3563" s="41"/>
      <c r="H3563" s="41"/>
      <c r="I3563" s="41"/>
      <c r="J3563" s="41"/>
      <c r="K3563" s="41"/>
      <c r="L3563" s="41"/>
      <c r="M3563" s="41"/>
      <c r="N3563" s="41"/>
      <c r="O3563" s="41"/>
    </row>
    <row r="3564" spans="1:15">
      <c r="A3564" s="39"/>
      <c r="B3564" s="40"/>
      <c r="C3564" s="41"/>
      <c r="D3564" s="41"/>
      <c r="E3564" s="41"/>
      <c r="F3564" s="41"/>
      <c r="G3564" s="41"/>
      <c r="H3564" s="41"/>
      <c r="I3564" s="41"/>
      <c r="J3564" s="41"/>
      <c r="K3564" s="41"/>
      <c r="L3564" s="41"/>
      <c r="M3564" s="41"/>
      <c r="N3564" s="41"/>
      <c r="O3564" s="41"/>
    </row>
    <row r="3565" spans="1:15">
      <c r="A3565" s="39"/>
      <c r="B3565" s="40"/>
      <c r="C3565" s="41"/>
      <c r="D3565" s="41"/>
      <c r="E3565" s="41"/>
      <c r="F3565" s="41"/>
      <c r="G3565" s="41"/>
      <c r="H3565" s="41"/>
      <c r="I3565" s="41"/>
      <c r="J3565" s="41"/>
      <c r="K3565" s="41"/>
      <c r="L3565" s="41"/>
      <c r="M3565" s="41"/>
      <c r="N3565" s="41"/>
      <c r="O3565" s="41"/>
    </row>
    <row r="3566" spans="1:15">
      <c r="A3566" s="39"/>
      <c r="B3566" s="40"/>
      <c r="C3566" s="41"/>
      <c r="D3566" s="41"/>
      <c r="E3566" s="41"/>
      <c r="F3566" s="41"/>
      <c r="G3566" s="41"/>
      <c r="H3566" s="41"/>
      <c r="I3566" s="41"/>
      <c r="J3566" s="41"/>
      <c r="K3566" s="41"/>
      <c r="L3566" s="41"/>
      <c r="M3566" s="41"/>
      <c r="N3566" s="41"/>
      <c r="O3566" s="41"/>
    </row>
    <row r="3567" spans="1:15">
      <c r="A3567" s="39"/>
      <c r="B3567" s="40"/>
      <c r="C3567" s="41"/>
      <c r="D3567" s="41"/>
      <c r="E3567" s="41"/>
      <c r="F3567" s="41"/>
      <c r="G3567" s="41"/>
      <c r="H3567" s="41"/>
      <c r="I3567" s="41"/>
      <c r="J3567" s="41"/>
      <c r="K3567" s="41"/>
      <c r="L3567" s="41"/>
      <c r="M3567" s="41"/>
      <c r="N3567" s="41"/>
      <c r="O3567" s="41"/>
    </row>
    <row r="3568" spans="1:15">
      <c r="A3568" s="39"/>
      <c r="B3568" s="40"/>
      <c r="C3568" s="41"/>
      <c r="D3568" s="41"/>
      <c r="E3568" s="41"/>
      <c r="F3568" s="41"/>
      <c r="G3568" s="41"/>
      <c r="H3568" s="41"/>
      <c r="I3568" s="41"/>
      <c r="J3568" s="41"/>
      <c r="K3568" s="41"/>
      <c r="L3568" s="41"/>
      <c r="M3568" s="41"/>
      <c r="N3568" s="41"/>
      <c r="O3568" s="41"/>
    </row>
    <row r="3569" spans="1:15">
      <c r="A3569" s="39"/>
      <c r="B3569" s="40"/>
      <c r="C3569" s="41"/>
      <c r="D3569" s="41"/>
      <c r="E3569" s="41"/>
      <c r="F3569" s="41"/>
      <c r="G3569" s="41"/>
      <c r="H3569" s="41"/>
      <c r="I3569" s="41"/>
      <c r="J3569" s="41"/>
      <c r="K3569" s="41"/>
      <c r="L3569" s="41"/>
      <c r="M3569" s="41"/>
      <c r="N3569" s="41"/>
      <c r="O3569" s="41"/>
    </row>
    <row r="3570" spans="1:15">
      <c r="A3570" s="39"/>
      <c r="B3570" s="40"/>
      <c r="C3570" s="41"/>
      <c r="D3570" s="41"/>
      <c r="E3570" s="41"/>
      <c r="F3570" s="41"/>
      <c r="G3570" s="41"/>
      <c r="H3570" s="41"/>
      <c r="I3570" s="41"/>
      <c r="J3570" s="41"/>
      <c r="K3570" s="41"/>
      <c r="L3570" s="41"/>
      <c r="M3570" s="41"/>
      <c r="N3570" s="41"/>
      <c r="O3570" s="41"/>
    </row>
    <row r="3571" spans="1:15">
      <c r="A3571" s="39"/>
      <c r="B3571" s="40"/>
      <c r="C3571" s="41"/>
      <c r="D3571" s="41"/>
      <c r="E3571" s="41"/>
      <c r="F3571" s="41"/>
      <c r="G3571" s="41"/>
      <c r="H3571" s="41"/>
      <c r="I3571" s="41"/>
      <c r="J3571" s="41"/>
      <c r="K3571" s="41"/>
      <c r="L3571" s="41"/>
      <c r="M3571" s="41"/>
      <c r="N3571" s="41"/>
      <c r="O3571" s="41"/>
    </row>
    <row r="3572" spans="1:15">
      <c r="A3572" s="39"/>
      <c r="B3572" s="40"/>
      <c r="C3572" s="41"/>
      <c r="D3572" s="41"/>
      <c r="E3572" s="41"/>
      <c r="F3572" s="41"/>
      <c r="G3572" s="41"/>
      <c r="H3572" s="41"/>
      <c r="I3572" s="41"/>
      <c r="J3572" s="41"/>
      <c r="K3572" s="41"/>
      <c r="L3572" s="41"/>
      <c r="M3572" s="41"/>
      <c r="N3572" s="41"/>
      <c r="O3572" s="41"/>
    </row>
    <row r="3573" spans="1:15">
      <c r="A3573" s="39"/>
      <c r="B3573" s="40"/>
      <c r="C3573" s="41"/>
      <c r="D3573" s="41"/>
      <c r="E3573" s="41"/>
      <c r="F3573" s="41"/>
      <c r="G3573" s="41"/>
      <c r="H3573" s="41"/>
      <c r="I3573" s="41"/>
      <c r="J3573" s="41"/>
      <c r="K3573" s="41"/>
      <c r="L3573" s="41"/>
      <c r="M3573" s="41"/>
      <c r="N3573" s="41"/>
      <c r="O3573" s="41"/>
    </row>
    <row r="3574" spans="1:15">
      <c r="A3574" s="39"/>
      <c r="B3574" s="40"/>
      <c r="C3574" s="41"/>
      <c r="D3574" s="41"/>
      <c r="E3574" s="41"/>
      <c r="F3574" s="41"/>
      <c r="G3574" s="41"/>
      <c r="H3574" s="41"/>
      <c r="I3574" s="41"/>
      <c r="J3574" s="41"/>
      <c r="K3574" s="41"/>
      <c r="L3574" s="41"/>
      <c r="M3574" s="41"/>
      <c r="N3574" s="41"/>
      <c r="O3574" s="41"/>
    </row>
    <row r="3575" spans="1:15">
      <c r="A3575" s="39"/>
      <c r="B3575" s="40"/>
      <c r="C3575" s="41"/>
      <c r="D3575" s="41"/>
      <c r="E3575" s="41"/>
      <c r="F3575" s="41"/>
      <c r="G3575" s="41"/>
      <c r="H3575" s="41"/>
      <c r="I3575" s="41"/>
      <c r="J3575" s="41"/>
      <c r="K3575" s="41"/>
      <c r="L3575" s="41"/>
      <c r="M3575" s="41"/>
      <c r="N3575" s="41"/>
      <c r="O3575" s="41"/>
    </row>
    <row r="3576" spans="1:15">
      <c r="A3576" s="39"/>
      <c r="B3576" s="40"/>
      <c r="C3576" s="41"/>
      <c r="D3576" s="41"/>
      <c r="E3576" s="41"/>
      <c r="F3576" s="41"/>
      <c r="G3576" s="41"/>
      <c r="H3576" s="41"/>
      <c r="I3576" s="41"/>
      <c r="J3576" s="41"/>
      <c r="K3576" s="41"/>
      <c r="L3576" s="41"/>
      <c r="M3576" s="41"/>
      <c r="N3576" s="41"/>
      <c r="O3576" s="41"/>
    </row>
    <row r="3577" spans="1:15">
      <c r="A3577" s="39"/>
      <c r="B3577" s="40"/>
      <c r="C3577" s="41"/>
      <c r="D3577" s="41"/>
      <c r="E3577" s="41"/>
      <c r="F3577" s="41"/>
      <c r="G3577" s="41"/>
      <c r="H3577" s="41"/>
      <c r="I3577" s="41"/>
      <c r="J3577" s="41"/>
      <c r="K3577" s="41"/>
      <c r="L3577" s="41"/>
      <c r="M3577" s="41"/>
      <c r="N3577" s="41"/>
      <c r="O3577" s="41"/>
    </row>
    <row r="3578" spans="1:15">
      <c r="A3578" s="39"/>
      <c r="B3578" s="40"/>
      <c r="C3578" s="41"/>
      <c r="D3578" s="41"/>
      <c r="E3578" s="41"/>
      <c r="F3578" s="41"/>
      <c r="G3578" s="41"/>
      <c r="H3578" s="41"/>
      <c r="I3578" s="41"/>
      <c r="J3578" s="41"/>
      <c r="K3578" s="41"/>
      <c r="L3578" s="41"/>
      <c r="M3578" s="41"/>
      <c r="N3578" s="41"/>
      <c r="O3578" s="41"/>
    </row>
    <row r="3579" spans="1:15">
      <c r="A3579" s="39"/>
      <c r="B3579" s="40"/>
      <c r="C3579" s="41"/>
      <c r="D3579" s="41"/>
      <c r="E3579" s="41"/>
      <c r="F3579" s="41"/>
      <c r="G3579" s="41"/>
      <c r="H3579" s="41"/>
      <c r="I3579" s="41"/>
      <c r="J3579" s="41"/>
      <c r="K3579" s="41"/>
      <c r="L3579" s="41"/>
      <c r="M3579" s="41"/>
      <c r="N3579" s="41"/>
      <c r="O3579" s="41"/>
    </row>
    <row r="3580" spans="1:15">
      <c r="A3580" s="39"/>
      <c r="B3580" s="40"/>
      <c r="C3580" s="41"/>
      <c r="D3580" s="41"/>
      <c r="E3580" s="41"/>
      <c r="F3580" s="41"/>
      <c r="G3580" s="41"/>
      <c r="H3580" s="41"/>
      <c r="I3580" s="41"/>
      <c r="J3580" s="41"/>
      <c r="K3580" s="41"/>
      <c r="L3580" s="41"/>
      <c r="M3580" s="41"/>
      <c r="N3580" s="41"/>
      <c r="O3580" s="41"/>
    </row>
    <row r="3581" spans="1:15">
      <c r="A3581" s="39"/>
      <c r="B3581" s="40"/>
      <c r="C3581" s="41"/>
      <c r="D3581" s="41"/>
      <c r="E3581" s="41"/>
      <c r="F3581" s="41"/>
      <c r="G3581" s="41"/>
      <c r="H3581" s="41"/>
      <c r="I3581" s="41"/>
      <c r="J3581" s="41"/>
      <c r="K3581" s="41"/>
      <c r="L3581" s="41"/>
      <c r="M3581" s="41"/>
      <c r="N3581" s="41"/>
      <c r="O3581" s="41"/>
    </row>
    <row r="3582" spans="1:15">
      <c r="A3582" s="39"/>
      <c r="B3582" s="40"/>
      <c r="C3582" s="41"/>
      <c r="D3582" s="41"/>
      <c r="E3582" s="41"/>
      <c r="F3582" s="41"/>
      <c r="G3582" s="41"/>
      <c r="H3582" s="41"/>
      <c r="I3582" s="41"/>
      <c r="J3582" s="41"/>
      <c r="K3582" s="41"/>
      <c r="L3582" s="41"/>
      <c r="M3582" s="41"/>
      <c r="N3582" s="41"/>
      <c r="O3582" s="41"/>
    </row>
    <row r="3583" spans="1:15">
      <c r="A3583" s="39"/>
      <c r="B3583" s="40"/>
      <c r="C3583" s="41"/>
      <c r="D3583" s="41"/>
      <c r="E3583" s="41"/>
      <c r="F3583" s="41"/>
      <c r="G3583" s="41"/>
      <c r="H3583" s="41"/>
      <c r="I3583" s="41"/>
      <c r="J3583" s="41"/>
      <c r="K3583" s="41"/>
      <c r="L3583" s="41"/>
      <c r="M3583" s="41"/>
      <c r="N3583" s="41"/>
      <c r="O3583" s="41"/>
    </row>
    <row r="3584" spans="1:15">
      <c r="A3584" s="39"/>
      <c r="B3584" s="40"/>
      <c r="C3584" s="41"/>
      <c r="D3584" s="41"/>
      <c r="E3584" s="41"/>
      <c r="F3584" s="41"/>
      <c r="G3584" s="41"/>
      <c r="H3584" s="41"/>
      <c r="I3584" s="41"/>
      <c r="J3584" s="41"/>
      <c r="K3584" s="41"/>
      <c r="L3584" s="41"/>
      <c r="M3584" s="41"/>
      <c r="N3584" s="41"/>
      <c r="O3584" s="41"/>
    </row>
    <row r="3585" spans="1:15">
      <c r="A3585" s="39"/>
      <c r="B3585" s="40"/>
      <c r="C3585" s="41"/>
      <c r="D3585" s="41"/>
      <c r="E3585" s="41"/>
      <c r="F3585" s="41"/>
      <c r="G3585" s="41"/>
      <c r="H3585" s="41"/>
      <c r="I3585" s="41"/>
      <c r="J3585" s="41"/>
      <c r="K3585" s="41"/>
      <c r="L3585" s="41"/>
      <c r="M3585" s="41"/>
      <c r="N3585" s="41"/>
      <c r="O3585" s="41"/>
    </row>
    <row r="3586" spans="1:15">
      <c r="A3586" s="39"/>
      <c r="B3586" s="40"/>
      <c r="C3586" s="41"/>
      <c r="D3586" s="41"/>
      <c r="E3586" s="41"/>
      <c r="F3586" s="41"/>
      <c r="G3586" s="41"/>
      <c r="H3586" s="41"/>
      <c r="I3586" s="41"/>
      <c r="J3586" s="41"/>
      <c r="K3586" s="41"/>
      <c r="L3586" s="41"/>
      <c r="M3586" s="41"/>
      <c r="N3586" s="41"/>
      <c r="O3586" s="41"/>
    </row>
    <row r="3587" spans="1:15">
      <c r="A3587" s="39"/>
      <c r="B3587" s="40"/>
      <c r="C3587" s="41"/>
      <c r="D3587" s="41"/>
      <c r="E3587" s="41"/>
      <c r="F3587" s="41"/>
      <c r="G3587" s="41"/>
      <c r="H3587" s="41"/>
      <c r="I3587" s="41"/>
      <c r="J3587" s="41"/>
      <c r="K3587" s="41"/>
      <c r="L3587" s="41"/>
      <c r="M3587" s="41"/>
      <c r="N3587" s="41"/>
      <c r="O3587" s="41"/>
    </row>
    <row r="3588" spans="1:15">
      <c r="A3588" s="39"/>
      <c r="B3588" s="40"/>
      <c r="C3588" s="41"/>
      <c r="D3588" s="41"/>
      <c r="E3588" s="41"/>
      <c r="F3588" s="41"/>
      <c r="G3588" s="41"/>
      <c r="H3588" s="41"/>
      <c r="I3588" s="41"/>
      <c r="J3588" s="41"/>
      <c r="K3588" s="41"/>
      <c r="L3588" s="41"/>
      <c r="M3588" s="41"/>
      <c r="N3588" s="41"/>
      <c r="O3588" s="41"/>
    </row>
    <row r="3589" spans="1:15">
      <c r="A3589" s="39"/>
      <c r="B3589" s="40"/>
      <c r="C3589" s="41"/>
      <c r="D3589" s="41"/>
      <c r="E3589" s="41"/>
      <c r="F3589" s="41"/>
      <c r="G3589" s="41"/>
      <c r="H3589" s="41"/>
      <c r="I3589" s="41"/>
      <c r="J3589" s="41"/>
      <c r="K3589" s="41"/>
      <c r="L3589" s="41"/>
      <c r="M3589" s="41"/>
      <c r="N3589" s="41"/>
      <c r="O3589" s="41"/>
    </row>
    <row r="3590" spans="1:15">
      <c r="A3590" s="39"/>
      <c r="B3590" s="40"/>
      <c r="C3590" s="41"/>
      <c r="D3590" s="41"/>
      <c r="E3590" s="41"/>
      <c r="F3590" s="41"/>
      <c r="G3590" s="41"/>
      <c r="H3590" s="41"/>
      <c r="I3590" s="41"/>
      <c r="J3590" s="41"/>
      <c r="K3590" s="41"/>
      <c r="L3590" s="41"/>
      <c r="M3590" s="41"/>
      <c r="N3590" s="41"/>
      <c r="O3590" s="41"/>
    </row>
    <row r="3591" spans="1:15">
      <c r="A3591" s="39"/>
      <c r="B3591" s="40"/>
      <c r="C3591" s="41"/>
      <c r="D3591" s="41"/>
      <c r="E3591" s="41"/>
      <c r="F3591" s="41"/>
      <c r="G3591" s="41"/>
      <c r="H3591" s="41"/>
      <c r="I3591" s="41"/>
      <c r="J3591" s="41"/>
      <c r="K3591" s="41"/>
      <c r="L3591" s="41"/>
      <c r="M3591" s="41"/>
      <c r="N3591" s="41"/>
      <c r="O3591" s="41"/>
    </row>
    <row r="3592" spans="1:15">
      <c r="A3592" s="39"/>
      <c r="B3592" s="40"/>
      <c r="C3592" s="41"/>
      <c r="D3592" s="41"/>
      <c r="E3592" s="41"/>
      <c r="F3592" s="41"/>
      <c r="G3592" s="41"/>
      <c r="H3592" s="41"/>
      <c r="I3592" s="41"/>
      <c r="J3592" s="41"/>
      <c r="K3592" s="41"/>
      <c r="L3592" s="41"/>
      <c r="M3592" s="41"/>
      <c r="N3592" s="41"/>
      <c r="O3592" s="41"/>
    </row>
    <row r="3593" spans="1:15">
      <c r="A3593" s="39"/>
      <c r="B3593" s="40"/>
      <c r="C3593" s="41"/>
      <c r="D3593" s="41"/>
      <c r="E3593" s="41"/>
      <c r="F3593" s="41"/>
      <c r="G3593" s="41"/>
      <c r="H3593" s="41"/>
      <c r="I3593" s="41"/>
      <c r="J3593" s="41"/>
      <c r="K3593" s="41"/>
      <c r="L3593" s="41"/>
      <c r="M3593" s="41"/>
      <c r="N3593" s="41"/>
      <c r="O3593" s="41"/>
    </row>
    <row r="3594" spans="1:15">
      <c r="A3594" s="39"/>
      <c r="B3594" s="40"/>
      <c r="C3594" s="41"/>
      <c r="D3594" s="41"/>
      <c r="E3594" s="41"/>
      <c r="F3594" s="41"/>
      <c r="G3594" s="41"/>
      <c r="H3594" s="41"/>
      <c r="I3594" s="41"/>
      <c r="J3594" s="41"/>
      <c r="K3594" s="41"/>
      <c r="L3594" s="41"/>
      <c r="M3594" s="41"/>
      <c r="N3594" s="41"/>
      <c r="O3594" s="41"/>
    </row>
    <row r="3595" spans="1:15">
      <c r="A3595" s="39"/>
      <c r="B3595" s="40"/>
      <c r="C3595" s="41"/>
      <c r="D3595" s="41"/>
      <c r="E3595" s="41"/>
      <c r="F3595" s="41"/>
      <c r="G3595" s="41"/>
      <c r="H3595" s="41"/>
      <c r="I3595" s="41"/>
      <c r="J3595" s="41"/>
      <c r="K3595" s="41"/>
      <c r="L3595" s="41"/>
      <c r="M3595" s="41"/>
      <c r="N3595" s="41"/>
      <c r="O3595" s="41"/>
    </row>
    <row r="3596" spans="1:15">
      <c r="A3596" s="39"/>
      <c r="B3596" s="40"/>
      <c r="C3596" s="41"/>
      <c r="D3596" s="41"/>
      <c r="E3596" s="41"/>
      <c r="F3596" s="41"/>
      <c r="G3596" s="41"/>
      <c r="H3596" s="41"/>
      <c r="I3596" s="41"/>
      <c r="J3596" s="41"/>
      <c r="K3596" s="41"/>
      <c r="L3596" s="41"/>
      <c r="M3596" s="41"/>
      <c r="N3596" s="41"/>
      <c r="O3596" s="41"/>
    </row>
    <row r="3597" spans="1:15">
      <c r="A3597" s="39"/>
      <c r="B3597" s="40"/>
      <c r="C3597" s="41"/>
      <c r="D3597" s="41"/>
      <c r="E3597" s="41"/>
      <c r="F3597" s="41"/>
      <c r="G3597" s="41"/>
      <c r="H3597" s="41"/>
      <c r="I3597" s="41"/>
      <c r="J3597" s="41"/>
      <c r="K3597" s="41"/>
      <c r="L3597" s="41"/>
      <c r="M3597" s="41"/>
      <c r="N3597" s="41"/>
      <c r="O3597" s="41"/>
    </row>
    <row r="3598" spans="1:15">
      <c r="A3598" s="39"/>
      <c r="B3598" s="40"/>
      <c r="C3598" s="41"/>
      <c r="D3598" s="41"/>
      <c r="E3598" s="41"/>
      <c r="F3598" s="41"/>
      <c r="G3598" s="41"/>
      <c r="H3598" s="41"/>
      <c r="I3598" s="41"/>
      <c r="J3598" s="41"/>
      <c r="K3598" s="41"/>
      <c r="L3598" s="41"/>
      <c r="M3598" s="41"/>
      <c r="N3598" s="41"/>
      <c r="O3598" s="41"/>
    </row>
    <row r="3599" spans="1:15">
      <c r="A3599" s="39"/>
      <c r="B3599" s="40"/>
      <c r="C3599" s="41"/>
      <c r="D3599" s="41"/>
      <c r="E3599" s="41"/>
      <c r="F3599" s="41"/>
      <c r="G3599" s="41"/>
      <c r="H3599" s="41"/>
      <c r="I3599" s="41"/>
      <c r="J3599" s="41"/>
      <c r="K3599" s="41"/>
      <c r="L3599" s="41"/>
      <c r="M3599" s="41"/>
      <c r="N3599" s="41"/>
      <c r="O3599" s="41"/>
    </row>
    <row r="3600" spans="1:15">
      <c r="A3600" s="39"/>
      <c r="B3600" s="40"/>
      <c r="C3600" s="41"/>
      <c r="D3600" s="41"/>
      <c r="E3600" s="41"/>
      <c r="F3600" s="41"/>
      <c r="G3600" s="41"/>
      <c r="H3600" s="41"/>
      <c r="I3600" s="41"/>
      <c r="J3600" s="41"/>
      <c r="K3600" s="41"/>
      <c r="L3600" s="41"/>
      <c r="M3600" s="41"/>
      <c r="N3600" s="41"/>
      <c r="O3600" s="41"/>
    </row>
    <row r="3601" spans="1:15">
      <c r="A3601" s="39"/>
      <c r="B3601" s="40"/>
      <c r="C3601" s="41"/>
      <c r="D3601" s="41"/>
      <c r="E3601" s="41"/>
      <c r="F3601" s="41"/>
      <c r="G3601" s="41"/>
      <c r="H3601" s="41"/>
      <c r="I3601" s="41"/>
      <c r="J3601" s="41"/>
      <c r="K3601" s="41"/>
      <c r="L3601" s="41"/>
      <c r="M3601" s="41"/>
      <c r="N3601" s="41"/>
      <c r="O3601" s="41"/>
    </row>
    <row r="3602" spans="1:15">
      <c r="A3602" s="39"/>
      <c r="B3602" s="40"/>
      <c r="C3602" s="41"/>
      <c r="D3602" s="41"/>
      <c r="E3602" s="41"/>
      <c r="F3602" s="41"/>
      <c r="G3602" s="41"/>
      <c r="H3602" s="41"/>
      <c r="I3602" s="41"/>
      <c r="J3602" s="41"/>
      <c r="K3602" s="41"/>
      <c r="L3602" s="41"/>
      <c r="M3602" s="41"/>
      <c r="N3602" s="41"/>
      <c r="O3602" s="41"/>
    </row>
    <row r="3603" spans="1:15">
      <c r="A3603" s="39"/>
      <c r="B3603" s="40"/>
      <c r="C3603" s="41"/>
      <c r="D3603" s="41"/>
      <c r="E3603" s="41"/>
      <c r="F3603" s="41"/>
      <c r="G3603" s="41"/>
      <c r="H3603" s="41"/>
      <c r="I3603" s="41"/>
      <c r="J3603" s="41"/>
      <c r="K3603" s="41"/>
      <c r="L3603" s="41"/>
      <c r="M3603" s="41"/>
      <c r="N3603" s="41"/>
      <c r="O3603" s="41"/>
    </row>
    <row r="3604" spans="1:15">
      <c r="A3604" s="39"/>
      <c r="B3604" s="40"/>
      <c r="C3604" s="41"/>
      <c r="D3604" s="41"/>
      <c r="E3604" s="41"/>
      <c r="F3604" s="41"/>
      <c r="G3604" s="41"/>
      <c r="H3604" s="41"/>
      <c r="I3604" s="41"/>
      <c r="J3604" s="41"/>
      <c r="K3604" s="41"/>
      <c r="L3604" s="41"/>
      <c r="M3604" s="41"/>
      <c r="N3604" s="41"/>
      <c r="O3604" s="41"/>
    </row>
    <row r="3605" spans="1:15">
      <c r="A3605" s="39"/>
      <c r="B3605" s="40"/>
      <c r="C3605" s="41"/>
      <c r="D3605" s="41"/>
      <c r="E3605" s="41"/>
      <c r="F3605" s="41"/>
      <c r="G3605" s="41"/>
      <c r="H3605" s="41"/>
      <c r="I3605" s="41"/>
      <c r="J3605" s="41"/>
      <c r="K3605" s="41"/>
      <c r="L3605" s="41"/>
      <c r="M3605" s="41"/>
      <c r="N3605" s="41"/>
      <c r="O3605" s="41"/>
    </row>
    <row r="3606" spans="1:15">
      <c r="A3606" s="39"/>
      <c r="B3606" s="40"/>
      <c r="C3606" s="41"/>
      <c r="D3606" s="41"/>
      <c r="E3606" s="41"/>
      <c r="F3606" s="41"/>
      <c r="G3606" s="41"/>
      <c r="H3606" s="41"/>
      <c r="I3606" s="41"/>
      <c r="J3606" s="41"/>
      <c r="K3606" s="41"/>
      <c r="L3606" s="41"/>
      <c r="M3606" s="41"/>
      <c r="N3606" s="41"/>
      <c r="O3606" s="41"/>
    </row>
    <row r="3607" spans="1:15">
      <c r="A3607" s="39"/>
      <c r="B3607" s="40"/>
      <c r="C3607" s="41"/>
      <c r="D3607" s="41"/>
      <c r="E3607" s="41"/>
      <c r="F3607" s="41"/>
      <c r="G3607" s="41"/>
      <c r="H3607" s="41"/>
      <c r="I3607" s="41"/>
      <c r="J3607" s="41"/>
      <c r="K3607" s="41"/>
      <c r="L3607" s="41"/>
      <c r="M3607" s="41"/>
      <c r="N3607" s="41"/>
      <c r="O3607" s="41"/>
    </row>
    <row r="3608" spans="1:15">
      <c r="A3608" s="39"/>
      <c r="B3608" s="40"/>
      <c r="C3608" s="41"/>
      <c r="D3608" s="41"/>
      <c r="E3608" s="41"/>
      <c r="F3608" s="41"/>
      <c r="G3608" s="41"/>
      <c r="H3608" s="41"/>
      <c r="I3608" s="41"/>
      <c r="J3608" s="41"/>
      <c r="K3608" s="41"/>
      <c r="L3608" s="41"/>
      <c r="M3608" s="41"/>
      <c r="N3608" s="41"/>
      <c r="O3608" s="41"/>
    </row>
    <row r="3609" spans="1:15">
      <c r="A3609" s="39"/>
      <c r="B3609" s="40"/>
      <c r="C3609" s="41"/>
      <c r="D3609" s="41"/>
      <c r="E3609" s="41"/>
      <c r="F3609" s="41"/>
      <c r="G3609" s="41"/>
      <c r="H3609" s="41"/>
      <c r="I3609" s="41"/>
      <c r="J3609" s="41"/>
      <c r="K3609" s="41"/>
      <c r="L3609" s="41"/>
      <c r="M3609" s="41"/>
      <c r="N3609" s="41"/>
      <c r="O3609" s="41"/>
    </row>
    <row r="3610" spans="1:15">
      <c r="A3610" s="39"/>
      <c r="B3610" s="40"/>
      <c r="C3610" s="41"/>
      <c r="D3610" s="41"/>
      <c r="E3610" s="41"/>
      <c r="F3610" s="41"/>
      <c r="G3610" s="41"/>
      <c r="H3610" s="41"/>
      <c r="I3610" s="41"/>
      <c r="J3610" s="41"/>
      <c r="K3610" s="41"/>
      <c r="L3610" s="41"/>
      <c r="M3610" s="41"/>
      <c r="N3610" s="41"/>
      <c r="O3610" s="41"/>
    </row>
    <row r="3611" spans="1:15">
      <c r="A3611" s="39"/>
      <c r="B3611" s="40"/>
      <c r="C3611" s="41"/>
      <c r="D3611" s="41"/>
      <c r="E3611" s="41"/>
      <c r="F3611" s="41"/>
      <c r="G3611" s="41"/>
      <c r="H3611" s="41"/>
      <c r="I3611" s="41"/>
      <c r="J3611" s="41"/>
      <c r="K3611" s="41"/>
      <c r="L3611" s="41"/>
      <c r="M3611" s="41"/>
      <c r="N3611" s="41"/>
      <c r="O3611" s="41"/>
    </row>
    <row r="3612" spans="1:15">
      <c r="A3612" s="39"/>
      <c r="B3612" s="40"/>
      <c r="C3612" s="41"/>
      <c r="D3612" s="41"/>
      <c r="E3612" s="41"/>
      <c r="F3612" s="41"/>
      <c r="G3612" s="41"/>
      <c r="H3612" s="41"/>
      <c r="I3612" s="41"/>
      <c r="J3612" s="41"/>
      <c r="K3612" s="41"/>
      <c r="L3612" s="41"/>
      <c r="M3612" s="41"/>
      <c r="N3612" s="41"/>
      <c r="O3612" s="41"/>
    </row>
    <row r="3613" spans="1:15">
      <c r="A3613" s="39"/>
      <c r="B3613" s="40"/>
      <c r="C3613" s="41"/>
      <c r="D3613" s="41"/>
      <c r="E3613" s="41"/>
      <c r="F3613" s="41"/>
      <c r="G3613" s="41"/>
      <c r="H3613" s="41"/>
      <c r="I3613" s="41"/>
      <c r="J3613" s="41"/>
      <c r="K3613" s="41"/>
      <c r="L3613" s="41"/>
      <c r="M3613" s="41"/>
      <c r="N3613" s="41"/>
      <c r="O3613" s="41"/>
    </row>
    <row r="3614" spans="1:15">
      <c r="A3614" s="39"/>
      <c r="B3614" s="40"/>
      <c r="C3614" s="41"/>
      <c r="D3614" s="41"/>
      <c r="E3614" s="41"/>
      <c r="F3614" s="41"/>
      <c r="G3614" s="41"/>
      <c r="H3614" s="41"/>
      <c r="I3614" s="41"/>
      <c r="J3614" s="41"/>
      <c r="K3614" s="41"/>
      <c r="L3614" s="41"/>
      <c r="M3614" s="41"/>
      <c r="N3614" s="41"/>
      <c r="O3614" s="41"/>
    </row>
    <row r="3615" spans="1:15">
      <c r="A3615" s="39"/>
      <c r="B3615" s="40"/>
      <c r="C3615" s="41"/>
      <c r="D3615" s="41"/>
      <c r="E3615" s="41"/>
      <c r="F3615" s="41"/>
      <c r="G3615" s="41"/>
      <c r="H3615" s="41"/>
      <c r="I3615" s="41"/>
      <c r="J3615" s="41"/>
      <c r="K3615" s="41"/>
      <c r="L3615" s="41"/>
      <c r="M3615" s="41"/>
      <c r="N3615" s="41"/>
      <c r="O3615" s="41"/>
    </row>
    <row r="3616" spans="1:15">
      <c r="A3616" s="39"/>
      <c r="B3616" s="40"/>
      <c r="C3616" s="41"/>
      <c r="D3616" s="41"/>
      <c r="E3616" s="41"/>
      <c r="F3616" s="41"/>
      <c r="G3616" s="41"/>
      <c r="H3616" s="41"/>
      <c r="I3616" s="41"/>
      <c r="J3616" s="41"/>
      <c r="K3616" s="41"/>
      <c r="L3616" s="41"/>
      <c r="M3616" s="41"/>
      <c r="N3616" s="41"/>
      <c r="O3616" s="41"/>
    </row>
    <row r="3617" spans="1:15">
      <c r="A3617" s="39"/>
      <c r="B3617" s="40"/>
      <c r="C3617" s="41"/>
      <c r="D3617" s="41"/>
      <c r="E3617" s="41"/>
      <c r="F3617" s="41"/>
      <c r="G3617" s="41"/>
      <c r="H3617" s="41"/>
      <c r="I3617" s="41"/>
      <c r="J3617" s="41"/>
      <c r="K3617" s="41"/>
      <c r="L3617" s="41"/>
      <c r="M3617" s="41"/>
      <c r="N3617" s="41"/>
      <c r="O3617" s="41"/>
    </row>
    <row r="3618" spans="1:15">
      <c r="A3618" s="39"/>
      <c r="B3618" s="40"/>
      <c r="C3618" s="41"/>
      <c r="D3618" s="41"/>
      <c r="E3618" s="41"/>
      <c r="F3618" s="41"/>
      <c r="G3618" s="41"/>
      <c r="H3618" s="41"/>
      <c r="I3618" s="41"/>
      <c r="J3618" s="41"/>
      <c r="K3618" s="41"/>
      <c r="L3618" s="41"/>
      <c r="M3618" s="41"/>
      <c r="N3618" s="41"/>
      <c r="O3618" s="41"/>
    </row>
    <row r="3619" spans="1:15">
      <c r="A3619" s="39"/>
      <c r="B3619" s="40"/>
      <c r="C3619" s="41"/>
      <c r="D3619" s="41"/>
      <c r="E3619" s="41"/>
      <c r="F3619" s="41"/>
      <c r="G3619" s="41"/>
      <c r="H3619" s="41"/>
      <c r="I3619" s="41"/>
      <c r="J3619" s="41"/>
      <c r="K3619" s="41"/>
      <c r="L3619" s="41"/>
      <c r="M3619" s="41"/>
      <c r="N3619" s="41"/>
      <c r="O3619" s="41"/>
    </row>
    <row r="3620" spans="1:15">
      <c r="A3620" s="39"/>
      <c r="B3620" s="40"/>
      <c r="C3620" s="41"/>
      <c r="D3620" s="41"/>
      <c r="E3620" s="41"/>
      <c r="F3620" s="41"/>
      <c r="G3620" s="41"/>
      <c r="H3620" s="41"/>
      <c r="I3620" s="41"/>
      <c r="J3620" s="41"/>
      <c r="K3620" s="41"/>
      <c r="L3620" s="41"/>
      <c r="M3620" s="41"/>
      <c r="N3620" s="41"/>
      <c r="O3620" s="41"/>
    </row>
    <row r="3621" spans="1:15">
      <c r="A3621" s="39"/>
      <c r="B3621" s="40"/>
      <c r="C3621" s="41"/>
      <c r="D3621" s="41"/>
      <c r="E3621" s="41"/>
      <c r="F3621" s="41"/>
      <c r="G3621" s="41"/>
      <c r="H3621" s="41"/>
      <c r="I3621" s="41"/>
      <c r="J3621" s="41"/>
      <c r="K3621" s="41"/>
      <c r="L3621" s="41"/>
      <c r="M3621" s="41"/>
      <c r="N3621" s="41"/>
      <c r="O3621" s="41"/>
    </row>
    <row r="3622" spans="1:15">
      <c r="A3622" s="39"/>
      <c r="B3622" s="40"/>
      <c r="C3622" s="41"/>
      <c r="D3622" s="41"/>
      <c r="E3622" s="41"/>
      <c r="F3622" s="41"/>
      <c r="G3622" s="41"/>
      <c r="H3622" s="41"/>
      <c r="I3622" s="41"/>
      <c r="J3622" s="41"/>
      <c r="K3622" s="41"/>
      <c r="L3622" s="41"/>
      <c r="M3622" s="41"/>
      <c r="N3622" s="41"/>
      <c r="O3622" s="41"/>
    </row>
    <row r="3623" spans="1:15">
      <c r="A3623" s="39"/>
      <c r="B3623" s="40"/>
      <c r="C3623" s="41"/>
      <c r="D3623" s="41"/>
      <c r="E3623" s="41"/>
      <c r="F3623" s="41"/>
      <c r="G3623" s="41"/>
      <c r="H3623" s="41"/>
      <c r="I3623" s="41"/>
      <c r="J3623" s="41"/>
      <c r="K3623" s="41"/>
      <c r="L3623" s="41"/>
      <c r="M3623" s="41"/>
      <c r="N3623" s="41"/>
      <c r="O3623" s="41"/>
    </row>
    <row r="3624" spans="1:15">
      <c r="A3624" s="39"/>
      <c r="B3624" s="40"/>
      <c r="C3624" s="41"/>
      <c r="D3624" s="41"/>
      <c r="E3624" s="41"/>
      <c r="F3624" s="41"/>
      <c r="G3624" s="41"/>
      <c r="H3624" s="41"/>
      <c r="I3624" s="41"/>
      <c r="J3624" s="41"/>
      <c r="K3624" s="41"/>
      <c r="L3624" s="41"/>
      <c r="M3624" s="41"/>
      <c r="N3624" s="41"/>
      <c r="O3624" s="41"/>
    </row>
    <row r="3625" spans="1:15">
      <c r="A3625" s="39"/>
      <c r="B3625" s="40"/>
      <c r="C3625" s="41"/>
      <c r="D3625" s="41"/>
      <c r="E3625" s="41"/>
      <c r="F3625" s="41"/>
      <c r="G3625" s="41"/>
      <c r="H3625" s="41"/>
      <c r="I3625" s="41"/>
      <c r="J3625" s="41"/>
      <c r="K3625" s="41"/>
      <c r="L3625" s="41"/>
      <c r="M3625" s="41"/>
      <c r="N3625" s="41"/>
      <c r="O3625" s="41"/>
    </row>
    <row r="3626" spans="1:15">
      <c r="A3626" s="39"/>
      <c r="B3626" s="40"/>
      <c r="C3626" s="41"/>
      <c r="D3626" s="41"/>
      <c r="E3626" s="41"/>
      <c r="F3626" s="41"/>
      <c r="G3626" s="41"/>
      <c r="H3626" s="41"/>
      <c r="I3626" s="41"/>
      <c r="J3626" s="41"/>
      <c r="K3626" s="41"/>
      <c r="L3626" s="41"/>
      <c r="M3626" s="41"/>
      <c r="N3626" s="41"/>
      <c r="O3626" s="41"/>
    </row>
    <row r="3627" spans="1:15">
      <c r="A3627" s="39"/>
      <c r="B3627" s="40"/>
      <c r="C3627" s="41"/>
      <c r="D3627" s="41"/>
      <c r="E3627" s="41"/>
      <c r="F3627" s="41"/>
      <c r="G3627" s="41"/>
      <c r="H3627" s="41"/>
      <c r="I3627" s="41"/>
      <c r="J3627" s="41"/>
      <c r="K3627" s="41"/>
      <c r="L3627" s="41"/>
      <c r="M3627" s="41"/>
      <c r="N3627" s="41"/>
      <c r="O3627" s="41"/>
    </row>
    <row r="3628" spans="1:15">
      <c r="A3628" s="39"/>
      <c r="B3628" s="40"/>
      <c r="C3628" s="41"/>
      <c r="D3628" s="41"/>
      <c r="E3628" s="41"/>
      <c r="F3628" s="41"/>
      <c r="G3628" s="41"/>
      <c r="H3628" s="41"/>
      <c r="I3628" s="41"/>
      <c r="J3628" s="41"/>
      <c r="K3628" s="41"/>
      <c r="L3628" s="41"/>
      <c r="M3628" s="41"/>
      <c r="N3628" s="41"/>
      <c r="O3628" s="41"/>
    </row>
    <row r="3629" spans="1:15">
      <c r="A3629" s="39"/>
      <c r="B3629" s="40"/>
      <c r="C3629" s="41"/>
      <c r="D3629" s="41"/>
      <c r="E3629" s="41"/>
      <c r="F3629" s="41"/>
      <c r="G3629" s="41"/>
      <c r="H3629" s="41"/>
      <c r="I3629" s="41"/>
      <c r="J3629" s="41"/>
      <c r="K3629" s="41"/>
      <c r="L3629" s="41"/>
      <c r="M3629" s="41"/>
      <c r="N3629" s="41"/>
      <c r="O3629" s="41"/>
    </row>
    <row r="3630" spans="1:15">
      <c r="A3630" s="39"/>
      <c r="B3630" s="40"/>
      <c r="C3630" s="41"/>
      <c r="D3630" s="41"/>
      <c r="E3630" s="41"/>
      <c r="F3630" s="41"/>
      <c r="G3630" s="41"/>
      <c r="H3630" s="41"/>
      <c r="I3630" s="41"/>
      <c r="J3630" s="41"/>
      <c r="K3630" s="41"/>
      <c r="L3630" s="41"/>
      <c r="M3630" s="41"/>
      <c r="N3630" s="41"/>
      <c r="O3630" s="41"/>
    </row>
    <row r="3631" spans="1:15">
      <c r="A3631" s="39"/>
      <c r="B3631" s="40"/>
      <c r="C3631" s="41"/>
      <c r="D3631" s="41"/>
      <c r="E3631" s="41"/>
      <c r="F3631" s="41"/>
      <c r="G3631" s="41"/>
      <c r="H3631" s="41"/>
      <c r="I3631" s="41"/>
      <c r="J3631" s="41"/>
      <c r="K3631" s="41"/>
      <c r="L3631" s="41"/>
      <c r="M3631" s="41"/>
      <c r="N3631" s="41"/>
      <c r="O3631" s="41"/>
    </row>
    <row r="3632" spans="1:15">
      <c r="A3632" s="39"/>
      <c r="B3632" s="40"/>
      <c r="C3632" s="41"/>
      <c r="D3632" s="41"/>
      <c r="E3632" s="41"/>
      <c r="F3632" s="41"/>
      <c r="G3632" s="41"/>
      <c r="H3632" s="41"/>
      <c r="I3632" s="41"/>
      <c r="J3632" s="41"/>
      <c r="K3632" s="41"/>
      <c r="L3632" s="41"/>
      <c r="M3632" s="41"/>
      <c r="N3632" s="41"/>
      <c r="O3632" s="41"/>
    </row>
    <row r="3633" spans="1:15">
      <c r="A3633" s="39"/>
      <c r="B3633" s="40"/>
      <c r="C3633" s="41"/>
      <c r="D3633" s="41"/>
      <c r="E3633" s="41"/>
      <c r="F3633" s="41"/>
      <c r="G3633" s="41"/>
      <c r="H3633" s="41"/>
      <c r="I3633" s="41"/>
      <c r="J3633" s="41"/>
      <c r="K3633" s="41"/>
      <c r="L3633" s="41"/>
      <c r="M3633" s="41"/>
      <c r="N3633" s="41"/>
      <c r="O3633" s="41"/>
    </row>
    <row r="3634" spans="1:15">
      <c r="A3634" s="39"/>
      <c r="B3634" s="40"/>
      <c r="C3634" s="41"/>
      <c r="D3634" s="41"/>
      <c r="E3634" s="41"/>
      <c r="F3634" s="41"/>
      <c r="G3634" s="41"/>
      <c r="H3634" s="41"/>
      <c r="I3634" s="41"/>
      <c r="J3634" s="41"/>
      <c r="K3634" s="41"/>
      <c r="L3634" s="41"/>
      <c r="M3634" s="41"/>
      <c r="N3634" s="41"/>
      <c r="O3634" s="41"/>
    </row>
    <row r="3635" spans="1:15">
      <c r="A3635" s="39"/>
      <c r="B3635" s="40"/>
      <c r="C3635" s="41"/>
      <c r="D3635" s="41"/>
      <c r="E3635" s="41"/>
      <c r="F3635" s="41"/>
      <c r="G3635" s="41"/>
      <c r="H3635" s="41"/>
      <c r="I3635" s="41"/>
      <c r="J3635" s="41"/>
      <c r="K3635" s="41"/>
      <c r="L3635" s="41"/>
      <c r="M3635" s="41"/>
      <c r="N3635" s="41"/>
      <c r="O3635" s="41"/>
    </row>
    <row r="3636" spans="1:15">
      <c r="A3636" s="39"/>
      <c r="B3636" s="40"/>
      <c r="C3636" s="41"/>
      <c r="D3636" s="41"/>
      <c r="E3636" s="41"/>
      <c r="F3636" s="41"/>
      <c r="G3636" s="41"/>
      <c r="H3636" s="41"/>
      <c r="I3636" s="41"/>
      <c r="J3636" s="41"/>
      <c r="K3636" s="41"/>
      <c r="L3636" s="41"/>
      <c r="M3636" s="41"/>
      <c r="N3636" s="41"/>
      <c r="O3636" s="41"/>
    </row>
    <row r="3637" spans="1:15">
      <c r="A3637" s="39"/>
      <c r="B3637" s="40"/>
      <c r="C3637" s="41"/>
      <c r="D3637" s="41"/>
      <c r="E3637" s="41"/>
      <c r="F3637" s="41"/>
      <c r="G3637" s="41"/>
      <c r="H3637" s="41"/>
      <c r="I3637" s="41"/>
      <c r="J3637" s="41"/>
      <c r="K3637" s="41"/>
      <c r="L3637" s="41"/>
      <c r="M3637" s="41"/>
      <c r="N3637" s="41"/>
      <c r="O3637" s="41"/>
    </row>
    <row r="3638" spans="1:15">
      <c r="A3638" s="39"/>
      <c r="B3638" s="40"/>
      <c r="C3638" s="41"/>
      <c r="D3638" s="41"/>
      <c r="E3638" s="41"/>
      <c r="F3638" s="41"/>
      <c r="G3638" s="41"/>
      <c r="H3638" s="41"/>
      <c r="I3638" s="41"/>
      <c r="J3638" s="41"/>
      <c r="K3638" s="41"/>
      <c r="L3638" s="41"/>
      <c r="M3638" s="41"/>
      <c r="N3638" s="41"/>
      <c r="O3638" s="41"/>
    </row>
    <row r="3639" spans="1:15">
      <c r="A3639" s="39"/>
      <c r="B3639" s="40"/>
      <c r="C3639" s="41"/>
      <c r="D3639" s="41"/>
      <c r="E3639" s="41"/>
      <c r="F3639" s="41"/>
      <c r="G3639" s="41"/>
      <c r="H3639" s="41"/>
      <c r="I3639" s="41"/>
      <c r="J3639" s="41"/>
      <c r="K3639" s="41"/>
      <c r="L3639" s="41"/>
      <c r="M3639" s="41"/>
      <c r="N3639" s="41"/>
      <c r="O3639" s="41"/>
    </row>
    <row r="3640" spans="1:15">
      <c r="A3640" s="39"/>
      <c r="B3640" s="40"/>
      <c r="C3640" s="41"/>
      <c r="D3640" s="41"/>
      <c r="E3640" s="41"/>
      <c r="F3640" s="41"/>
      <c r="G3640" s="41"/>
      <c r="H3640" s="41"/>
      <c r="I3640" s="41"/>
      <c r="J3640" s="41"/>
      <c r="K3640" s="41"/>
      <c r="L3640" s="41"/>
      <c r="M3640" s="41"/>
      <c r="N3640" s="41"/>
      <c r="O3640" s="41"/>
    </row>
    <row r="3641" spans="1:15">
      <c r="A3641" s="39"/>
      <c r="B3641" s="40"/>
      <c r="C3641" s="41"/>
      <c r="D3641" s="41"/>
      <c r="E3641" s="41"/>
      <c r="F3641" s="41"/>
      <c r="G3641" s="41"/>
      <c r="H3641" s="41"/>
      <c r="I3641" s="41"/>
      <c r="J3641" s="41"/>
      <c r="K3641" s="41"/>
      <c r="L3641" s="41"/>
      <c r="M3641" s="41"/>
      <c r="N3641" s="41"/>
      <c r="O3641" s="41"/>
    </row>
    <row r="3642" spans="1:15">
      <c r="A3642" s="39"/>
      <c r="B3642" s="40"/>
      <c r="C3642" s="41"/>
      <c r="D3642" s="41"/>
      <c r="E3642" s="41"/>
      <c r="F3642" s="41"/>
      <c r="G3642" s="41"/>
      <c r="H3642" s="41"/>
      <c r="I3642" s="41"/>
      <c r="J3642" s="41"/>
      <c r="K3642" s="41"/>
      <c r="L3642" s="41"/>
      <c r="M3642" s="41"/>
      <c r="N3642" s="41"/>
      <c r="O3642" s="41"/>
    </row>
    <row r="3643" spans="1:15">
      <c r="A3643" s="39"/>
      <c r="B3643" s="40"/>
      <c r="C3643" s="41"/>
      <c r="D3643" s="41"/>
      <c r="E3643" s="41"/>
      <c r="F3643" s="41"/>
      <c r="G3643" s="41"/>
      <c r="H3643" s="41"/>
      <c r="I3643" s="41"/>
      <c r="J3643" s="41"/>
      <c r="K3643" s="41"/>
      <c r="L3643" s="41"/>
      <c r="M3643" s="41"/>
      <c r="N3643" s="41"/>
      <c r="O3643" s="41"/>
    </row>
    <row r="3644" spans="1:15">
      <c r="A3644" s="39"/>
      <c r="B3644" s="40"/>
      <c r="C3644" s="41"/>
      <c r="D3644" s="41"/>
      <c r="E3644" s="41"/>
      <c r="F3644" s="41"/>
      <c r="G3644" s="41"/>
      <c r="H3644" s="41"/>
      <c r="I3644" s="41"/>
      <c r="J3644" s="41"/>
      <c r="K3644" s="41"/>
      <c r="L3644" s="41"/>
      <c r="M3644" s="41"/>
      <c r="N3644" s="41"/>
      <c r="O3644" s="41"/>
    </row>
    <row r="3645" spans="1:15">
      <c r="A3645" s="39"/>
      <c r="B3645" s="40"/>
      <c r="C3645" s="41"/>
      <c r="D3645" s="41"/>
      <c r="E3645" s="41"/>
      <c r="F3645" s="41"/>
      <c r="G3645" s="41"/>
      <c r="H3645" s="41"/>
      <c r="I3645" s="41"/>
      <c r="J3645" s="41"/>
      <c r="K3645" s="41"/>
      <c r="L3645" s="41"/>
      <c r="M3645" s="41"/>
      <c r="N3645" s="41"/>
      <c r="O3645" s="41"/>
    </row>
    <row r="3646" spans="1:15">
      <c r="A3646" s="39"/>
      <c r="B3646" s="40"/>
      <c r="C3646" s="41"/>
      <c r="D3646" s="41"/>
      <c r="E3646" s="41"/>
      <c r="F3646" s="41"/>
      <c r="G3646" s="41"/>
      <c r="H3646" s="41"/>
      <c r="I3646" s="41"/>
      <c r="J3646" s="41"/>
      <c r="K3646" s="41"/>
      <c r="L3646" s="41"/>
      <c r="M3646" s="41"/>
      <c r="N3646" s="41"/>
      <c r="O3646" s="41"/>
    </row>
    <row r="3647" spans="1:15">
      <c r="A3647" s="39"/>
      <c r="B3647" s="40"/>
      <c r="C3647" s="41"/>
      <c r="D3647" s="41"/>
      <c r="E3647" s="41"/>
      <c r="F3647" s="41"/>
      <c r="G3647" s="41"/>
      <c r="H3647" s="41"/>
      <c r="I3647" s="41"/>
      <c r="J3647" s="41"/>
      <c r="K3647" s="41"/>
      <c r="L3647" s="41"/>
      <c r="M3647" s="41"/>
      <c r="N3647" s="41"/>
      <c r="O3647" s="41"/>
    </row>
    <row r="3648" spans="1:15">
      <c r="A3648" s="39"/>
      <c r="B3648" s="40"/>
      <c r="C3648" s="41"/>
      <c r="D3648" s="41"/>
      <c r="E3648" s="41"/>
      <c r="F3648" s="41"/>
      <c r="G3648" s="41"/>
      <c r="H3648" s="41"/>
      <c r="I3648" s="41"/>
      <c r="J3648" s="41"/>
      <c r="K3648" s="41"/>
      <c r="L3648" s="41"/>
      <c r="M3648" s="41"/>
      <c r="N3648" s="41"/>
      <c r="O3648" s="41"/>
    </row>
    <row r="3649" spans="1:15">
      <c r="A3649" s="39"/>
      <c r="B3649" s="40"/>
      <c r="C3649" s="41"/>
      <c r="D3649" s="41"/>
      <c r="E3649" s="41"/>
      <c r="F3649" s="41"/>
      <c r="G3649" s="41"/>
      <c r="H3649" s="41"/>
      <c r="I3649" s="41"/>
      <c r="J3649" s="41"/>
      <c r="K3649" s="41"/>
      <c r="L3649" s="41"/>
      <c r="M3649" s="41"/>
      <c r="N3649" s="41"/>
      <c r="O3649" s="41"/>
    </row>
    <row r="3650" spans="1:15">
      <c r="A3650" s="39"/>
      <c r="B3650" s="40"/>
      <c r="C3650" s="41"/>
      <c r="D3650" s="41"/>
      <c r="E3650" s="41"/>
      <c r="F3650" s="41"/>
      <c r="G3650" s="41"/>
      <c r="H3650" s="41"/>
      <c r="I3650" s="41"/>
      <c r="J3650" s="41"/>
      <c r="K3650" s="41"/>
      <c r="L3650" s="41"/>
      <c r="M3650" s="41"/>
      <c r="N3650" s="41"/>
      <c r="O3650" s="41"/>
    </row>
    <row r="3651" spans="1:15">
      <c r="A3651" s="39"/>
      <c r="B3651" s="40"/>
      <c r="C3651" s="41"/>
      <c r="D3651" s="41"/>
      <c r="E3651" s="41"/>
      <c r="F3651" s="41"/>
      <c r="G3651" s="41"/>
      <c r="H3651" s="41"/>
      <c r="I3651" s="41"/>
      <c r="J3651" s="41"/>
      <c r="K3651" s="41"/>
      <c r="L3651" s="41"/>
      <c r="M3651" s="41"/>
      <c r="N3651" s="41"/>
      <c r="O3651" s="41"/>
    </row>
    <row r="3652" spans="1:15">
      <c r="A3652" s="39"/>
      <c r="B3652" s="40"/>
      <c r="C3652" s="41"/>
      <c r="D3652" s="41"/>
      <c r="E3652" s="41"/>
      <c r="F3652" s="41"/>
      <c r="G3652" s="41"/>
      <c r="H3652" s="41"/>
      <c r="I3652" s="41"/>
      <c r="J3652" s="41"/>
      <c r="K3652" s="41"/>
      <c r="L3652" s="41"/>
      <c r="M3652" s="41"/>
      <c r="N3652" s="41"/>
      <c r="O3652" s="41"/>
    </row>
    <row r="3653" spans="1:15">
      <c r="A3653" s="39"/>
      <c r="B3653" s="40"/>
      <c r="C3653" s="41"/>
      <c r="D3653" s="41"/>
      <c r="E3653" s="41"/>
      <c r="F3653" s="41"/>
      <c r="G3653" s="41"/>
      <c r="H3653" s="41"/>
      <c r="I3653" s="41"/>
      <c r="J3653" s="41"/>
      <c r="K3653" s="41"/>
      <c r="L3653" s="41"/>
      <c r="M3653" s="41"/>
      <c r="N3653" s="41"/>
      <c r="O3653" s="41"/>
    </row>
    <row r="3654" spans="1:15">
      <c r="A3654" s="39"/>
      <c r="B3654" s="40"/>
      <c r="C3654" s="41"/>
      <c r="D3654" s="41"/>
      <c r="E3654" s="41"/>
      <c r="F3654" s="41"/>
      <c r="G3654" s="41"/>
      <c r="H3654" s="41"/>
      <c r="I3654" s="41"/>
      <c r="J3654" s="41"/>
      <c r="K3654" s="41"/>
      <c r="L3654" s="41"/>
      <c r="M3654" s="41"/>
      <c r="N3654" s="41"/>
      <c r="O3654" s="41"/>
    </row>
    <row r="3655" spans="1:15">
      <c r="A3655" s="39"/>
      <c r="B3655" s="40"/>
      <c r="C3655" s="41"/>
      <c r="D3655" s="41"/>
      <c r="E3655" s="41"/>
      <c r="F3655" s="41"/>
      <c r="G3655" s="41"/>
      <c r="H3655" s="41"/>
      <c r="I3655" s="41"/>
      <c r="J3655" s="41"/>
      <c r="K3655" s="41"/>
      <c r="L3655" s="41"/>
      <c r="M3655" s="41"/>
      <c r="N3655" s="41"/>
      <c r="O3655" s="41"/>
    </row>
    <row r="3656" spans="1:15">
      <c r="A3656" s="39"/>
      <c r="B3656" s="40"/>
      <c r="C3656" s="41"/>
      <c r="D3656" s="41"/>
      <c r="E3656" s="41"/>
      <c r="F3656" s="41"/>
      <c r="G3656" s="41"/>
      <c r="H3656" s="41"/>
      <c r="I3656" s="41"/>
      <c r="J3656" s="41"/>
      <c r="K3656" s="41"/>
      <c r="L3656" s="41"/>
      <c r="M3656" s="41"/>
      <c r="N3656" s="41"/>
      <c r="O3656" s="41"/>
    </row>
    <row r="3657" spans="1:15">
      <c r="A3657" s="39"/>
      <c r="B3657" s="40"/>
      <c r="C3657" s="41"/>
      <c r="D3657" s="41"/>
      <c r="E3657" s="41"/>
      <c r="F3657" s="41"/>
      <c r="G3657" s="41"/>
      <c r="H3657" s="41"/>
      <c r="I3657" s="41"/>
      <c r="J3657" s="41"/>
      <c r="K3657" s="41"/>
      <c r="L3657" s="41"/>
      <c r="M3657" s="41"/>
      <c r="N3657" s="41"/>
      <c r="O3657" s="41"/>
    </row>
    <row r="3658" spans="1:15">
      <c r="A3658" s="39"/>
      <c r="B3658" s="40"/>
      <c r="C3658" s="41"/>
      <c r="D3658" s="41"/>
      <c r="E3658" s="41"/>
      <c r="F3658" s="41"/>
      <c r="G3658" s="41"/>
      <c r="H3658" s="41"/>
      <c r="I3658" s="41"/>
      <c r="J3658" s="41"/>
      <c r="K3658" s="41"/>
      <c r="L3658" s="41"/>
      <c r="M3658" s="41"/>
      <c r="N3658" s="41"/>
      <c r="O3658" s="41"/>
    </row>
    <row r="3659" spans="1:15">
      <c r="A3659" s="39"/>
      <c r="B3659" s="40"/>
      <c r="C3659" s="41"/>
      <c r="D3659" s="41"/>
      <c r="E3659" s="41"/>
      <c r="F3659" s="41"/>
      <c r="G3659" s="41"/>
      <c r="H3659" s="41"/>
      <c r="I3659" s="41"/>
      <c r="J3659" s="41"/>
      <c r="K3659" s="41"/>
      <c r="L3659" s="41"/>
      <c r="M3659" s="41"/>
      <c r="N3659" s="41"/>
      <c r="O3659" s="41"/>
    </row>
    <row r="3660" spans="1:15">
      <c r="A3660" s="39"/>
      <c r="B3660" s="40"/>
      <c r="C3660" s="41"/>
      <c r="D3660" s="41"/>
      <c r="E3660" s="41"/>
      <c r="F3660" s="41"/>
      <c r="G3660" s="41"/>
      <c r="H3660" s="41"/>
      <c r="I3660" s="41"/>
      <c r="J3660" s="41"/>
      <c r="K3660" s="41"/>
      <c r="L3660" s="41"/>
      <c r="M3660" s="41"/>
      <c r="N3660" s="41"/>
      <c r="O3660" s="41"/>
    </row>
    <row r="3661" spans="1:15">
      <c r="A3661" s="39"/>
      <c r="B3661" s="40"/>
      <c r="C3661" s="41"/>
      <c r="D3661" s="41"/>
      <c r="E3661" s="41"/>
      <c r="F3661" s="41"/>
      <c r="G3661" s="41"/>
      <c r="H3661" s="41"/>
      <c r="I3661" s="41"/>
      <c r="J3661" s="41"/>
      <c r="K3661" s="41"/>
      <c r="L3661" s="41"/>
      <c r="M3661" s="41"/>
      <c r="N3661" s="41"/>
      <c r="O3661" s="41"/>
    </row>
    <row r="3662" spans="1:15">
      <c r="A3662" s="39"/>
      <c r="B3662" s="40"/>
      <c r="C3662" s="41"/>
      <c r="D3662" s="41"/>
      <c r="E3662" s="41"/>
      <c r="F3662" s="41"/>
      <c r="G3662" s="41"/>
      <c r="H3662" s="41"/>
      <c r="I3662" s="41"/>
      <c r="J3662" s="41"/>
      <c r="K3662" s="41"/>
      <c r="L3662" s="41"/>
      <c r="M3662" s="41"/>
      <c r="N3662" s="41"/>
      <c r="O3662" s="41"/>
    </row>
    <row r="3663" spans="1:15">
      <c r="A3663" s="39"/>
      <c r="B3663" s="40"/>
      <c r="C3663" s="41"/>
      <c r="D3663" s="41"/>
      <c r="E3663" s="41"/>
      <c r="F3663" s="41"/>
      <c r="G3663" s="41"/>
      <c r="H3663" s="41"/>
      <c r="I3663" s="41"/>
      <c r="J3663" s="41"/>
      <c r="K3663" s="41"/>
      <c r="L3663" s="41"/>
      <c r="M3663" s="41"/>
      <c r="N3663" s="41"/>
      <c r="O3663" s="41"/>
    </row>
    <row r="3664" spans="1:15">
      <c r="A3664" s="39"/>
      <c r="B3664" s="40"/>
      <c r="C3664" s="41"/>
      <c r="D3664" s="41"/>
      <c r="E3664" s="41"/>
      <c r="F3664" s="41"/>
      <c r="G3664" s="41"/>
      <c r="H3664" s="41"/>
      <c r="I3664" s="41"/>
      <c r="J3664" s="41"/>
      <c r="K3664" s="41"/>
      <c r="L3664" s="41"/>
      <c r="M3664" s="41"/>
      <c r="N3664" s="41"/>
      <c r="O3664" s="41"/>
    </row>
    <row r="3665" spans="1:15">
      <c r="A3665" s="39"/>
      <c r="B3665" s="40"/>
      <c r="C3665" s="41"/>
      <c r="D3665" s="41"/>
      <c r="E3665" s="41"/>
      <c r="F3665" s="41"/>
      <c r="G3665" s="41"/>
      <c r="H3665" s="41"/>
      <c r="I3665" s="41"/>
      <c r="J3665" s="41"/>
      <c r="K3665" s="41"/>
      <c r="L3665" s="41"/>
      <c r="M3665" s="41"/>
      <c r="N3665" s="41"/>
      <c r="O3665" s="41"/>
    </row>
    <row r="3666" spans="1:15">
      <c r="A3666" s="39"/>
      <c r="B3666" s="40"/>
      <c r="C3666" s="41"/>
      <c r="D3666" s="41"/>
      <c r="E3666" s="41"/>
      <c r="F3666" s="41"/>
      <c r="G3666" s="41"/>
      <c r="H3666" s="41"/>
      <c r="I3666" s="41"/>
      <c r="J3666" s="41"/>
      <c r="K3666" s="41"/>
      <c r="L3666" s="41"/>
      <c r="M3666" s="41"/>
      <c r="N3666" s="41"/>
      <c r="O3666" s="41"/>
    </row>
    <row r="3667" spans="1:15">
      <c r="A3667" s="39"/>
      <c r="B3667" s="40"/>
      <c r="C3667" s="41"/>
      <c r="D3667" s="41"/>
      <c r="E3667" s="41"/>
      <c r="F3667" s="41"/>
      <c r="G3667" s="41"/>
      <c r="H3667" s="41"/>
      <c r="I3667" s="41"/>
      <c r="J3667" s="41"/>
      <c r="K3667" s="41"/>
      <c r="L3667" s="41"/>
      <c r="M3667" s="41"/>
      <c r="N3667" s="41"/>
      <c r="O3667" s="41"/>
    </row>
    <row r="3668" spans="1:15">
      <c r="A3668" s="39"/>
      <c r="B3668" s="40"/>
      <c r="C3668" s="41"/>
      <c r="D3668" s="41"/>
      <c r="E3668" s="41"/>
      <c r="F3668" s="41"/>
      <c r="G3668" s="41"/>
      <c r="H3668" s="41"/>
      <c r="I3668" s="41"/>
      <c r="J3668" s="41"/>
      <c r="K3668" s="41"/>
      <c r="L3668" s="41"/>
      <c r="M3668" s="41"/>
      <c r="N3668" s="41"/>
      <c r="O3668" s="41"/>
    </row>
    <row r="3669" spans="1:15">
      <c r="A3669" s="39"/>
      <c r="B3669" s="40"/>
      <c r="C3669" s="41"/>
      <c r="D3669" s="41"/>
      <c r="E3669" s="41"/>
      <c r="F3669" s="41"/>
      <c r="G3669" s="41"/>
      <c r="H3669" s="41"/>
      <c r="I3669" s="41"/>
      <c r="J3669" s="41"/>
      <c r="K3669" s="41"/>
      <c r="L3669" s="41"/>
      <c r="M3669" s="41"/>
      <c r="N3669" s="41"/>
      <c r="O3669" s="41"/>
    </row>
    <row r="3670" spans="1:15">
      <c r="A3670" s="39"/>
      <c r="B3670" s="40"/>
      <c r="C3670" s="41"/>
      <c r="D3670" s="41"/>
      <c r="E3670" s="41"/>
      <c r="F3670" s="41"/>
      <c r="G3670" s="41"/>
      <c r="H3670" s="41"/>
      <c r="I3670" s="41"/>
      <c r="J3670" s="41"/>
      <c r="K3670" s="41"/>
      <c r="L3670" s="41"/>
      <c r="M3670" s="41"/>
      <c r="N3670" s="41"/>
      <c r="O3670" s="41"/>
    </row>
    <row r="3671" spans="1:15">
      <c r="A3671" s="39"/>
      <c r="B3671" s="40"/>
      <c r="C3671" s="41"/>
      <c r="D3671" s="41"/>
      <c r="E3671" s="41"/>
      <c r="F3671" s="41"/>
      <c r="G3671" s="41"/>
      <c r="H3671" s="41"/>
      <c r="I3671" s="41"/>
      <c r="J3671" s="41"/>
      <c r="K3671" s="41"/>
      <c r="L3671" s="41"/>
      <c r="M3671" s="41"/>
      <c r="N3671" s="41"/>
      <c r="O3671" s="41"/>
    </row>
    <row r="3672" spans="1:15">
      <c r="A3672" s="39"/>
      <c r="B3672" s="40"/>
      <c r="C3672" s="41"/>
      <c r="D3672" s="41"/>
      <c r="E3672" s="41"/>
      <c r="F3672" s="41"/>
      <c r="G3672" s="41"/>
      <c r="H3672" s="41"/>
      <c r="I3672" s="41"/>
      <c r="J3672" s="41"/>
      <c r="K3672" s="41"/>
      <c r="L3672" s="41"/>
      <c r="M3672" s="41"/>
      <c r="N3672" s="41"/>
      <c r="O3672" s="41"/>
    </row>
    <row r="3673" spans="1:15">
      <c r="A3673" s="39"/>
      <c r="B3673" s="40"/>
      <c r="C3673" s="41"/>
      <c r="D3673" s="41"/>
      <c r="E3673" s="41"/>
      <c r="F3673" s="41"/>
      <c r="G3673" s="41"/>
      <c r="H3673" s="41"/>
      <c r="I3673" s="41"/>
      <c r="J3673" s="41"/>
      <c r="K3673" s="41"/>
      <c r="L3673" s="41"/>
      <c r="M3673" s="41"/>
      <c r="N3673" s="41"/>
      <c r="O3673" s="41"/>
    </row>
    <row r="3674" spans="1:15">
      <c r="A3674" s="39"/>
      <c r="B3674" s="40"/>
      <c r="C3674" s="41"/>
      <c r="D3674" s="41"/>
      <c r="E3674" s="41"/>
      <c r="F3674" s="41"/>
      <c r="G3674" s="41"/>
      <c r="H3674" s="41"/>
      <c r="I3674" s="41"/>
      <c r="J3674" s="41"/>
      <c r="K3674" s="41"/>
      <c r="L3674" s="41"/>
      <c r="M3674" s="41"/>
      <c r="N3674" s="41"/>
      <c r="O3674" s="41"/>
    </row>
    <row r="3675" spans="1:15">
      <c r="A3675" s="39"/>
      <c r="B3675" s="40"/>
      <c r="C3675" s="41"/>
      <c r="D3675" s="41"/>
      <c r="E3675" s="41"/>
      <c r="F3675" s="41"/>
      <c r="G3675" s="41"/>
      <c r="H3675" s="41"/>
      <c r="I3675" s="41"/>
      <c r="J3675" s="41"/>
      <c r="K3675" s="41"/>
      <c r="L3675" s="41"/>
      <c r="M3675" s="41"/>
      <c r="N3675" s="41"/>
      <c r="O3675" s="41"/>
    </row>
    <row r="3676" spans="1:15">
      <c r="A3676" s="39"/>
      <c r="B3676" s="40"/>
      <c r="C3676" s="41"/>
      <c r="D3676" s="41"/>
      <c r="E3676" s="41"/>
      <c r="F3676" s="41"/>
      <c r="G3676" s="41"/>
      <c r="H3676" s="41"/>
      <c r="I3676" s="41"/>
      <c r="J3676" s="41"/>
      <c r="K3676" s="41"/>
      <c r="L3676" s="41"/>
      <c r="M3676" s="41"/>
      <c r="N3676" s="41"/>
      <c r="O3676" s="41"/>
    </row>
    <row r="3677" spans="1:15">
      <c r="A3677" s="39"/>
      <c r="B3677" s="40"/>
      <c r="C3677" s="41"/>
      <c r="D3677" s="41"/>
      <c r="E3677" s="41"/>
      <c r="F3677" s="41"/>
      <c r="G3677" s="41"/>
      <c r="H3677" s="41"/>
      <c r="I3677" s="41"/>
      <c r="J3677" s="41"/>
      <c r="K3677" s="41"/>
      <c r="L3677" s="41"/>
      <c r="M3677" s="41"/>
      <c r="N3677" s="41"/>
      <c r="O3677" s="41"/>
    </row>
    <row r="3678" spans="1:15">
      <c r="A3678" s="39"/>
      <c r="B3678" s="40"/>
      <c r="C3678" s="41"/>
      <c r="D3678" s="41"/>
      <c r="E3678" s="41"/>
      <c r="F3678" s="41"/>
      <c r="G3678" s="41"/>
      <c r="H3678" s="41"/>
      <c r="I3678" s="41"/>
      <c r="J3678" s="41"/>
      <c r="K3678" s="41"/>
      <c r="L3678" s="41"/>
      <c r="M3678" s="41"/>
      <c r="N3678" s="41"/>
      <c r="O3678" s="41"/>
    </row>
    <row r="3679" spans="1:15">
      <c r="A3679" s="39"/>
      <c r="B3679" s="40"/>
      <c r="C3679" s="41"/>
      <c r="D3679" s="41"/>
      <c r="E3679" s="41"/>
      <c r="F3679" s="41"/>
      <c r="G3679" s="41"/>
      <c r="H3679" s="41"/>
      <c r="I3679" s="41"/>
      <c r="J3679" s="41"/>
      <c r="K3679" s="41"/>
      <c r="L3679" s="41"/>
      <c r="M3679" s="41"/>
      <c r="N3679" s="41"/>
      <c r="O3679" s="41"/>
    </row>
    <row r="3680" spans="1:15">
      <c r="A3680" s="39"/>
      <c r="B3680" s="40"/>
      <c r="C3680" s="41"/>
      <c r="D3680" s="41"/>
      <c r="E3680" s="41"/>
      <c r="F3680" s="41"/>
      <c r="G3680" s="41"/>
      <c r="H3680" s="41"/>
      <c r="I3680" s="41"/>
      <c r="J3680" s="41"/>
      <c r="K3680" s="41"/>
      <c r="L3680" s="41"/>
      <c r="M3680" s="41"/>
      <c r="N3680" s="41"/>
      <c r="O3680" s="41"/>
    </row>
    <row r="3681" spans="1:15">
      <c r="A3681" s="39"/>
      <c r="B3681" s="40"/>
      <c r="C3681" s="41"/>
      <c r="D3681" s="41"/>
      <c r="E3681" s="41"/>
      <c r="F3681" s="41"/>
      <c r="G3681" s="41"/>
      <c r="H3681" s="41"/>
      <c r="I3681" s="41"/>
      <c r="J3681" s="41"/>
      <c r="K3681" s="41"/>
      <c r="L3681" s="41"/>
      <c r="M3681" s="41"/>
      <c r="N3681" s="41"/>
      <c r="O3681" s="41"/>
    </row>
    <row r="3682" spans="1:15">
      <c r="A3682" s="39"/>
      <c r="B3682" s="40"/>
      <c r="C3682" s="41"/>
      <c r="D3682" s="41"/>
      <c r="E3682" s="41"/>
      <c r="F3682" s="41"/>
      <c r="G3682" s="41"/>
      <c r="H3682" s="41"/>
      <c r="I3682" s="41"/>
      <c r="J3682" s="41"/>
      <c r="K3682" s="41"/>
      <c r="L3682" s="41"/>
      <c r="M3682" s="41"/>
      <c r="N3682" s="41"/>
      <c r="O3682" s="41"/>
    </row>
    <row r="3683" spans="1:15">
      <c r="A3683" s="39"/>
      <c r="B3683" s="40"/>
      <c r="C3683" s="41"/>
      <c r="D3683" s="41"/>
      <c r="E3683" s="41"/>
      <c r="F3683" s="41"/>
      <c r="G3683" s="41"/>
      <c r="H3683" s="41"/>
      <c r="I3683" s="41"/>
      <c r="J3683" s="41"/>
      <c r="K3683" s="41"/>
      <c r="L3683" s="41"/>
      <c r="M3683" s="41"/>
      <c r="N3683" s="41"/>
      <c r="O3683" s="41"/>
    </row>
    <row r="3684" spans="1:15">
      <c r="A3684" s="39"/>
      <c r="B3684" s="40"/>
      <c r="C3684" s="41"/>
      <c r="D3684" s="41"/>
      <c r="E3684" s="41"/>
      <c r="F3684" s="41"/>
      <c r="G3684" s="41"/>
      <c r="H3684" s="41"/>
      <c r="I3684" s="41"/>
      <c r="J3684" s="41"/>
      <c r="K3684" s="41"/>
      <c r="L3684" s="41"/>
      <c r="M3684" s="41"/>
      <c r="N3684" s="41"/>
      <c r="O3684" s="41"/>
    </row>
    <row r="3685" spans="1:15">
      <c r="A3685" s="39"/>
      <c r="B3685" s="40"/>
      <c r="C3685" s="41"/>
      <c r="D3685" s="41"/>
      <c r="E3685" s="41"/>
      <c r="F3685" s="41"/>
      <c r="G3685" s="41"/>
      <c r="H3685" s="41"/>
      <c r="I3685" s="41"/>
      <c r="J3685" s="41"/>
      <c r="K3685" s="41"/>
      <c r="L3685" s="41"/>
      <c r="M3685" s="41"/>
      <c r="N3685" s="41"/>
      <c r="O3685" s="41"/>
    </row>
    <row r="3686" spans="1:15">
      <c r="A3686" s="39"/>
      <c r="B3686" s="40"/>
      <c r="C3686" s="41"/>
      <c r="D3686" s="41"/>
      <c r="E3686" s="41"/>
      <c r="F3686" s="41"/>
      <c r="G3686" s="41"/>
      <c r="H3686" s="41"/>
      <c r="I3686" s="41"/>
      <c r="J3686" s="41"/>
      <c r="K3686" s="41"/>
      <c r="L3686" s="41"/>
      <c r="M3686" s="41"/>
      <c r="N3686" s="41"/>
      <c r="O3686" s="41"/>
    </row>
    <row r="3687" spans="1:15">
      <c r="A3687" s="39"/>
      <c r="B3687" s="40"/>
      <c r="C3687" s="41"/>
      <c r="D3687" s="41"/>
      <c r="E3687" s="41"/>
      <c r="F3687" s="41"/>
      <c r="G3687" s="41"/>
      <c r="H3687" s="41"/>
      <c r="I3687" s="41"/>
      <c r="J3687" s="41"/>
      <c r="K3687" s="41"/>
      <c r="L3687" s="41"/>
      <c r="M3687" s="41"/>
      <c r="N3687" s="41"/>
      <c r="O3687" s="41"/>
    </row>
    <row r="3688" spans="1:15">
      <c r="A3688" s="39"/>
      <c r="B3688" s="40"/>
      <c r="C3688" s="41"/>
      <c r="D3688" s="41"/>
      <c r="E3688" s="41"/>
      <c r="F3688" s="41"/>
      <c r="G3688" s="41"/>
      <c r="H3688" s="41"/>
      <c r="I3688" s="41"/>
      <c r="J3688" s="41"/>
      <c r="K3688" s="41"/>
      <c r="L3688" s="41"/>
      <c r="M3688" s="41"/>
      <c r="N3688" s="41"/>
      <c r="O3688" s="41"/>
    </row>
    <row r="3689" spans="1:15">
      <c r="A3689" s="39"/>
      <c r="B3689" s="40"/>
      <c r="C3689" s="41"/>
      <c r="D3689" s="41"/>
      <c r="E3689" s="41"/>
      <c r="F3689" s="41"/>
      <c r="G3689" s="41"/>
      <c r="H3689" s="41"/>
      <c r="I3689" s="41"/>
      <c r="J3689" s="41"/>
      <c r="K3689" s="41"/>
      <c r="L3689" s="41"/>
      <c r="M3689" s="41"/>
      <c r="N3689" s="41"/>
      <c r="O3689" s="41"/>
    </row>
    <row r="3690" spans="1:15">
      <c r="A3690" s="39"/>
      <c r="B3690" s="40"/>
      <c r="C3690" s="41"/>
      <c r="D3690" s="41"/>
      <c r="E3690" s="41"/>
      <c r="F3690" s="41"/>
      <c r="G3690" s="41"/>
      <c r="H3690" s="41"/>
      <c r="I3690" s="41"/>
      <c r="J3690" s="41"/>
      <c r="K3690" s="41"/>
      <c r="L3690" s="41"/>
      <c r="M3690" s="41"/>
      <c r="N3690" s="41"/>
      <c r="O3690" s="41"/>
    </row>
    <row r="3691" spans="1:15">
      <c r="A3691" s="39"/>
      <c r="B3691" s="40"/>
      <c r="C3691" s="41"/>
      <c r="D3691" s="41"/>
      <c r="E3691" s="41"/>
      <c r="F3691" s="41"/>
      <c r="G3691" s="41"/>
      <c r="H3691" s="41"/>
      <c r="I3691" s="41"/>
      <c r="J3691" s="41"/>
      <c r="K3691" s="41"/>
      <c r="L3691" s="41"/>
      <c r="M3691" s="41"/>
      <c r="N3691" s="41"/>
      <c r="O3691" s="41"/>
    </row>
    <row r="3692" spans="1:15">
      <c r="A3692" s="39"/>
      <c r="B3692" s="40"/>
      <c r="C3692" s="41"/>
      <c r="D3692" s="41"/>
      <c r="E3692" s="41"/>
      <c r="F3692" s="41"/>
      <c r="G3692" s="41"/>
      <c r="H3692" s="41"/>
      <c r="I3692" s="41"/>
      <c r="J3692" s="41"/>
      <c r="K3692" s="41"/>
      <c r="L3692" s="41"/>
      <c r="M3692" s="41"/>
      <c r="N3692" s="41"/>
      <c r="O3692" s="41"/>
    </row>
    <row r="3693" spans="1:15">
      <c r="A3693" s="39"/>
      <c r="B3693" s="40"/>
      <c r="C3693" s="41"/>
      <c r="D3693" s="41"/>
      <c r="E3693" s="41"/>
      <c r="F3693" s="41"/>
      <c r="G3693" s="41"/>
      <c r="H3693" s="41"/>
      <c r="I3693" s="41"/>
      <c r="J3693" s="41"/>
      <c r="K3693" s="41"/>
      <c r="L3693" s="41"/>
      <c r="M3693" s="41"/>
      <c r="N3693" s="41"/>
      <c r="O3693" s="41"/>
    </row>
    <row r="3694" spans="1:15">
      <c r="A3694" s="39"/>
      <c r="B3694" s="40"/>
      <c r="C3694" s="41"/>
      <c r="D3694" s="41"/>
      <c r="E3694" s="41"/>
      <c r="F3694" s="41"/>
      <c r="G3694" s="41"/>
      <c r="H3694" s="41"/>
      <c r="I3694" s="41"/>
      <c r="J3694" s="41"/>
      <c r="K3694" s="41"/>
      <c r="L3694" s="41"/>
      <c r="M3694" s="41"/>
      <c r="N3694" s="41"/>
      <c r="O3694" s="41"/>
    </row>
    <row r="3695" spans="1:15">
      <c r="A3695" s="39"/>
      <c r="B3695" s="40"/>
      <c r="C3695" s="41"/>
      <c r="D3695" s="41"/>
      <c r="E3695" s="41"/>
      <c r="F3695" s="41"/>
      <c r="G3695" s="41"/>
      <c r="H3695" s="41"/>
      <c r="I3695" s="41"/>
      <c r="J3695" s="41"/>
      <c r="K3695" s="41"/>
      <c r="L3695" s="41"/>
      <c r="M3695" s="41"/>
      <c r="N3695" s="41"/>
      <c r="O3695" s="41"/>
    </row>
    <row r="3696" spans="1:15">
      <c r="A3696" s="39"/>
      <c r="B3696" s="40"/>
      <c r="C3696" s="41"/>
      <c r="D3696" s="41"/>
      <c r="E3696" s="41"/>
      <c r="F3696" s="41"/>
      <c r="G3696" s="41"/>
      <c r="H3696" s="41"/>
      <c r="I3696" s="41"/>
      <c r="J3696" s="41"/>
      <c r="K3696" s="41"/>
      <c r="L3696" s="41"/>
      <c r="M3696" s="41"/>
      <c r="N3696" s="41"/>
      <c r="O3696" s="41"/>
    </row>
    <row r="3697" spans="1:15">
      <c r="A3697" s="39"/>
      <c r="B3697" s="40"/>
      <c r="C3697" s="41"/>
      <c r="D3697" s="41"/>
      <c r="E3697" s="41"/>
      <c r="F3697" s="41"/>
      <c r="G3697" s="41"/>
      <c r="H3697" s="41"/>
      <c r="I3697" s="41"/>
      <c r="J3697" s="41"/>
      <c r="K3697" s="41"/>
      <c r="L3697" s="41"/>
      <c r="M3697" s="41"/>
      <c r="N3697" s="41"/>
      <c r="O3697" s="41"/>
    </row>
    <row r="3698" spans="1:15">
      <c r="A3698" s="39"/>
      <c r="B3698" s="40"/>
      <c r="C3698" s="41"/>
      <c r="D3698" s="41"/>
      <c r="E3698" s="41"/>
      <c r="F3698" s="41"/>
      <c r="G3698" s="41"/>
      <c r="H3698" s="41"/>
      <c r="I3698" s="41"/>
      <c r="J3698" s="41"/>
      <c r="K3698" s="41"/>
      <c r="L3698" s="41"/>
      <c r="M3698" s="41"/>
      <c r="N3698" s="41"/>
      <c r="O3698" s="41"/>
    </row>
    <row r="3699" spans="1:15">
      <c r="A3699" s="39"/>
      <c r="B3699" s="40"/>
      <c r="C3699" s="41"/>
      <c r="D3699" s="41"/>
      <c r="E3699" s="41"/>
      <c r="F3699" s="41"/>
      <c r="G3699" s="41"/>
      <c r="H3699" s="41"/>
      <c r="I3699" s="41"/>
      <c r="J3699" s="41"/>
      <c r="K3699" s="41"/>
      <c r="L3699" s="41"/>
      <c r="M3699" s="41"/>
      <c r="N3699" s="41"/>
      <c r="O3699" s="41"/>
    </row>
    <row r="3700" spans="1:15">
      <c r="A3700" s="39"/>
      <c r="B3700" s="40"/>
      <c r="C3700" s="41"/>
      <c r="D3700" s="41"/>
      <c r="E3700" s="41"/>
      <c r="F3700" s="41"/>
      <c r="G3700" s="41"/>
      <c r="H3700" s="41"/>
      <c r="I3700" s="41"/>
      <c r="J3700" s="41"/>
      <c r="K3700" s="41"/>
      <c r="L3700" s="41"/>
      <c r="M3700" s="41"/>
      <c r="N3700" s="41"/>
      <c r="O3700" s="41"/>
    </row>
    <row r="3701" spans="1:15">
      <c r="A3701" s="39"/>
      <c r="B3701" s="40"/>
      <c r="C3701" s="41"/>
      <c r="D3701" s="41"/>
      <c r="E3701" s="41"/>
      <c r="F3701" s="41"/>
      <c r="G3701" s="41"/>
      <c r="H3701" s="41"/>
      <c r="I3701" s="41"/>
      <c r="J3701" s="41"/>
      <c r="K3701" s="41"/>
      <c r="L3701" s="41"/>
      <c r="M3701" s="41"/>
      <c r="N3701" s="41"/>
      <c r="O3701" s="41"/>
    </row>
    <row r="3702" spans="1:15">
      <c r="A3702" s="39"/>
      <c r="B3702" s="40"/>
      <c r="C3702" s="41"/>
      <c r="D3702" s="41"/>
      <c r="E3702" s="41"/>
      <c r="F3702" s="41"/>
      <c r="G3702" s="41"/>
      <c r="H3702" s="41"/>
      <c r="I3702" s="41"/>
      <c r="J3702" s="41"/>
      <c r="K3702" s="41"/>
      <c r="L3702" s="41"/>
      <c r="M3702" s="41"/>
      <c r="N3702" s="41"/>
      <c r="O3702" s="41"/>
    </row>
    <row r="3703" spans="1:15">
      <c r="A3703" s="39"/>
      <c r="B3703" s="40"/>
      <c r="C3703" s="41"/>
      <c r="D3703" s="41"/>
      <c r="E3703" s="41"/>
      <c r="F3703" s="41"/>
      <c r="G3703" s="41"/>
      <c r="H3703" s="41"/>
      <c r="I3703" s="41"/>
      <c r="J3703" s="41"/>
      <c r="K3703" s="41"/>
      <c r="L3703" s="41"/>
      <c r="M3703" s="41"/>
      <c r="N3703" s="41"/>
      <c r="O3703" s="41"/>
    </row>
    <row r="3704" spans="1:15">
      <c r="A3704" s="39"/>
      <c r="B3704" s="40"/>
      <c r="C3704" s="41"/>
      <c r="D3704" s="41"/>
      <c r="E3704" s="41"/>
      <c r="F3704" s="41"/>
      <c r="G3704" s="41"/>
      <c r="H3704" s="41"/>
      <c r="I3704" s="41"/>
      <c r="J3704" s="41"/>
      <c r="K3704" s="41"/>
      <c r="L3704" s="41"/>
      <c r="M3704" s="41"/>
      <c r="N3704" s="41"/>
      <c r="O3704" s="41"/>
    </row>
    <row r="3705" spans="1:15">
      <c r="A3705" s="39"/>
      <c r="B3705" s="40"/>
      <c r="C3705" s="41"/>
      <c r="D3705" s="41"/>
      <c r="E3705" s="41"/>
      <c r="F3705" s="41"/>
      <c r="G3705" s="41"/>
      <c r="H3705" s="41"/>
      <c r="I3705" s="41"/>
      <c r="J3705" s="41"/>
      <c r="K3705" s="41"/>
      <c r="L3705" s="41"/>
      <c r="M3705" s="41"/>
      <c r="N3705" s="41"/>
      <c r="O3705" s="41"/>
    </row>
    <row r="3706" spans="1:15">
      <c r="A3706" s="39"/>
      <c r="B3706" s="40"/>
      <c r="C3706" s="41"/>
      <c r="D3706" s="41"/>
      <c r="E3706" s="41"/>
      <c r="F3706" s="41"/>
      <c r="G3706" s="41"/>
      <c r="H3706" s="41"/>
      <c r="I3706" s="41"/>
      <c r="J3706" s="41"/>
      <c r="K3706" s="41"/>
      <c r="L3706" s="41"/>
      <c r="M3706" s="41"/>
      <c r="N3706" s="41"/>
      <c r="O3706" s="41"/>
    </row>
    <row r="3707" spans="1:15">
      <c r="A3707" s="39"/>
      <c r="B3707" s="40"/>
      <c r="C3707" s="41"/>
      <c r="D3707" s="41"/>
      <c r="E3707" s="41"/>
      <c r="F3707" s="41"/>
      <c r="G3707" s="41"/>
      <c r="H3707" s="41"/>
      <c r="I3707" s="41"/>
      <c r="J3707" s="41"/>
      <c r="K3707" s="41"/>
      <c r="L3707" s="41"/>
      <c r="M3707" s="41"/>
      <c r="N3707" s="41"/>
      <c r="O3707" s="41"/>
    </row>
    <row r="3708" spans="1:15">
      <c r="A3708" s="39"/>
      <c r="B3708" s="40"/>
      <c r="C3708" s="41"/>
      <c r="D3708" s="41"/>
      <c r="E3708" s="41"/>
      <c r="F3708" s="41"/>
      <c r="G3708" s="41"/>
      <c r="H3708" s="41"/>
      <c r="I3708" s="41"/>
      <c r="J3708" s="41"/>
      <c r="K3708" s="41"/>
      <c r="L3708" s="41"/>
      <c r="M3708" s="41"/>
      <c r="N3708" s="41"/>
      <c r="O3708" s="41"/>
    </row>
    <row r="3709" spans="1:15">
      <c r="A3709" s="39"/>
      <c r="B3709" s="40"/>
      <c r="C3709" s="41"/>
      <c r="D3709" s="41"/>
      <c r="E3709" s="41"/>
      <c r="F3709" s="41"/>
      <c r="G3709" s="41"/>
      <c r="H3709" s="41"/>
      <c r="I3709" s="41"/>
      <c r="J3709" s="41"/>
      <c r="K3709" s="41"/>
      <c r="L3709" s="41"/>
      <c r="M3709" s="41"/>
      <c r="N3709" s="41"/>
      <c r="O3709" s="41"/>
    </row>
    <row r="3710" spans="1:15">
      <c r="A3710" s="39"/>
      <c r="B3710" s="40"/>
      <c r="C3710" s="41"/>
      <c r="D3710" s="41"/>
      <c r="E3710" s="41"/>
      <c r="F3710" s="41"/>
      <c r="G3710" s="41"/>
      <c r="H3710" s="41"/>
      <c r="I3710" s="41"/>
      <c r="J3710" s="41"/>
      <c r="K3710" s="41"/>
      <c r="L3710" s="41"/>
      <c r="M3710" s="41"/>
      <c r="N3710" s="41"/>
      <c r="O3710" s="41"/>
    </row>
    <row r="3711" spans="1:15">
      <c r="A3711" s="39"/>
      <c r="B3711" s="40"/>
      <c r="C3711" s="41"/>
      <c r="D3711" s="41"/>
      <c r="E3711" s="41"/>
      <c r="F3711" s="41"/>
      <c r="G3711" s="41"/>
      <c r="H3711" s="41"/>
      <c r="I3711" s="41"/>
      <c r="J3711" s="41"/>
      <c r="K3711" s="41"/>
      <c r="L3711" s="41"/>
      <c r="M3711" s="41"/>
      <c r="N3711" s="41"/>
      <c r="O3711" s="41"/>
    </row>
    <row r="3712" spans="1:15">
      <c r="A3712" s="39"/>
      <c r="B3712" s="40"/>
      <c r="C3712" s="41"/>
      <c r="D3712" s="41"/>
      <c r="E3712" s="41"/>
      <c r="F3712" s="41"/>
      <c r="G3712" s="41"/>
      <c r="H3712" s="41"/>
      <c r="I3712" s="41"/>
      <c r="J3712" s="41"/>
      <c r="K3712" s="41"/>
      <c r="L3712" s="41"/>
      <c r="M3712" s="41"/>
      <c r="N3712" s="41"/>
      <c r="O3712" s="41"/>
    </row>
    <row r="3713" spans="1:15">
      <c r="A3713" s="39"/>
      <c r="B3713" s="40"/>
      <c r="C3713" s="41"/>
      <c r="D3713" s="41"/>
      <c r="E3713" s="41"/>
      <c r="F3713" s="41"/>
      <c r="G3713" s="41"/>
      <c r="H3713" s="41"/>
      <c r="I3713" s="41"/>
      <c r="J3713" s="41"/>
      <c r="K3713" s="41"/>
      <c r="L3713" s="41"/>
      <c r="M3713" s="41"/>
      <c r="N3713" s="41"/>
      <c r="O3713" s="41"/>
    </row>
    <row r="3714" spans="1:15">
      <c r="A3714" s="39"/>
      <c r="B3714" s="40"/>
      <c r="C3714" s="41"/>
      <c r="D3714" s="41"/>
      <c r="E3714" s="41"/>
      <c r="F3714" s="41"/>
      <c r="G3714" s="41"/>
      <c r="H3714" s="41"/>
      <c r="I3714" s="41"/>
      <c r="J3714" s="41"/>
      <c r="K3714" s="41"/>
      <c r="L3714" s="41"/>
      <c r="M3714" s="41"/>
      <c r="N3714" s="41"/>
      <c r="O3714" s="41"/>
    </row>
    <row r="3715" spans="1:15">
      <c r="A3715" s="39"/>
      <c r="B3715" s="40"/>
      <c r="C3715" s="41"/>
      <c r="D3715" s="41"/>
      <c r="E3715" s="41"/>
      <c r="F3715" s="41"/>
      <c r="G3715" s="41"/>
      <c r="H3715" s="41"/>
      <c r="I3715" s="41"/>
      <c r="J3715" s="41"/>
      <c r="K3715" s="41"/>
      <c r="L3715" s="41"/>
      <c r="M3715" s="41"/>
      <c r="N3715" s="41"/>
      <c r="O3715" s="41"/>
    </row>
    <row r="3716" spans="1:15">
      <c r="A3716" s="39"/>
      <c r="B3716" s="40"/>
      <c r="C3716" s="41"/>
      <c r="D3716" s="41"/>
      <c r="E3716" s="41"/>
      <c r="F3716" s="41"/>
      <c r="G3716" s="41"/>
      <c r="H3716" s="41"/>
      <c r="I3716" s="41"/>
      <c r="J3716" s="41"/>
      <c r="K3716" s="41"/>
      <c r="L3716" s="41"/>
      <c r="M3716" s="41"/>
      <c r="N3716" s="41"/>
      <c r="O3716" s="41"/>
    </row>
    <row r="3717" spans="1:15">
      <c r="A3717" s="39"/>
      <c r="B3717" s="40"/>
      <c r="C3717" s="41"/>
      <c r="D3717" s="41"/>
      <c r="E3717" s="41"/>
      <c r="F3717" s="41"/>
      <c r="G3717" s="41"/>
      <c r="H3717" s="41"/>
      <c r="I3717" s="41"/>
      <c r="J3717" s="41"/>
      <c r="K3717" s="41"/>
      <c r="L3717" s="41"/>
      <c r="M3717" s="41"/>
      <c r="N3717" s="41"/>
      <c r="O3717" s="41"/>
    </row>
    <row r="3718" spans="1:15">
      <c r="A3718" s="39"/>
      <c r="B3718" s="40"/>
      <c r="C3718" s="41"/>
      <c r="D3718" s="41"/>
      <c r="E3718" s="41"/>
      <c r="F3718" s="41"/>
      <c r="G3718" s="41"/>
      <c r="H3718" s="41"/>
      <c r="I3718" s="41"/>
      <c r="J3718" s="41"/>
      <c r="K3718" s="41"/>
      <c r="L3718" s="41"/>
      <c r="M3718" s="41"/>
      <c r="N3718" s="41"/>
      <c r="O3718" s="41"/>
    </row>
    <row r="3719" spans="1:15">
      <c r="A3719" s="39"/>
      <c r="B3719" s="40"/>
      <c r="C3719" s="41"/>
      <c r="D3719" s="41"/>
      <c r="E3719" s="41"/>
      <c r="F3719" s="41"/>
      <c r="G3719" s="41"/>
      <c r="H3719" s="41"/>
      <c r="I3719" s="41"/>
      <c r="J3719" s="41"/>
      <c r="K3719" s="41"/>
      <c r="L3719" s="41"/>
      <c r="M3719" s="41"/>
      <c r="N3719" s="41"/>
      <c r="O3719" s="41"/>
    </row>
    <row r="3720" spans="1:15">
      <c r="A3720" s="39"/>
      <c r="B3720" s="40"/>
      <c r="C3720" s="41"/>
      <c r="D3720" s="41"/>
      <c r="E3720" s="41"/>
      <c r="F3720" s="41"/>
      <c r="G3720" s="41"/>
      <c r="H3720" s="41"/>
      <c r="I3720" s="41"/>
      <c r="J3720" s="41"/>
      <c r="K3720" s="41"/>
      <c r="L3720" s="41"/>
      <c r="M3720" s="41"/>
      <c r="N3720" s="41"/>
      <c r="O3720" s="41"/>
    </row>
    <row r="3721" spans="1:15">
      <c r="A3721" s="39"/>
      <c r="B3721" s="40"/>
      <c r="C3721" s="41"/>
      <c r="D3721" s="41"/>
      <c r="E3721" s="41"/>
      <c r="F3721" s="41"/>
      <c r="G3721" s="41"/>
      <c r="H3721" s="41"/>
      <c r="I3721" s="41"/>
      <c r="J3721" s="41"/>
      <c r="K3721" s="41"/>
      <c r="L3721" s="41"/>
      <c r="M3721" s="41"/>
      <c r="N3721" s="41"/>
      <c r="O3721" s="41"/>
    </row>
    <row r="3722" spans="1:15">
      <c r="A3722" s="39"/>
      <c r="B3722" s="40"/>
      <c r="C3722" s="41"/>
      <c r="D3722" s="41"/>
      <c r="E3722" s="41"/>
      <c r="F3722" s="41"/>
      <c r="G3722" s="41"/>
      <c r="H3722" s="41"/>
      <c r="I3722" s="41"/>
      <c r="J3722" s="41"/>
      <c r="K3722" s="41"/>
      <c r="L3722" s="41"/>
      <c r="M3722" s="41"/>
      <c r="N3722" s="41"/>
      <c r="O3722" s="41"/>
    </row>
    <row r="3723" spans="1:15">
      <c r="A3723" s="39"/>
      <c r="B3723" s="40"/>
      <c r="C3723" s="41"/>
      <c r="D3723" s="41"/>
      <c r="E3723" s="41"/>
      <c r="F3723" s="41"/>
      <c r="G3723" s="41"/>
      <c r="H3723" s="41"/>
      <c r="I3723" s="41"/>
      <c r="J3723" s="41"/>
      <c r="K3723" s="41"/>
      <c r="L3723" s="41"/>
      <c r="M3723" s="41"/>
      <c r="N3723" s="41"/>
      <c r="O3723" s="41"/>
    </row>
    <row r="3724" spans="1:15">
      <c r="A3724" s="39"/>
      <c r="B3724" s="40"/>
      <c r="C3724" s="41"/>
      <c r="D3724" s="41"/>
      <c r="E3724" s="41"/>
      <c r="F3724" s="41"/>
      <c r="G3724" s="41"/>
      <c r="H3724" s="41"/>
      <c r="I3724" s="41"/>
      <c r="J3724" s="41"/>
      <c r="K3724" s="41"/>
      <c r="L3724" s="41"/>
      <c r="M3724" s="41"/>
      <c r="N3724" s="41"/>
      <c r="O3724" s="41"/>
    </row>
    <row r="3725" spans="1:15">
      <c r="A3725" s="39"/>
      <c r="B3725" s="40"/>
      <c r="C3725" s="41"/>
      <c r="D3725" s="41"/>
      <c r="E3725" s="41"/>
      <c r="F3725" s="41"/>
      <c r="G3725" s="41"/>
      <c r="H3725" s="41"/>
      <c r="I3725" s="41"/>
      <c r="J3725" s="41"/>
      <c r="K3725" s="41"/>
      <c r="L3725" s="41"/>
      <c r="M3725" s="41"/>
      <c r="N3725" s="41"/>
      <c r="O3725" s="41"/>
    </row>
    <row r="3726" spans="1:15">
      <c r="A3726" s="39"/>
      <c r="B3726" s="40"/>
      <c r="C3726" s="41"/>
      <c r="D3726" s="41"/>
      <c r="E3726" s="41"/>
      <c r="F3726" s="41"/>
      <c r="G3726" s="41"/>
      <c r="H3726" s="41"/>
      <c r="I3726" s="41"/>
      <c r="J3726" s="41"/>
      <c r="K3726" s="41"/>
      <c r="L3726" s="41"/>
      <c r="M3726" s="41"/>
      <c r="N3726" s="41"/>
      <c r="O3726" s="41"/>
    </row>
    <row r="3727" spans="1:15">
      <c r="A3727" s="39"/>
      <c r="B3727" s="40"/>
      <c r="C3727" s="41"/>
      <c r="D3727" s="41"/>
      <c r="E3727" s="41"/>
      <c r="F3727" s="41"/>
      <c r="G3727" s="41"/>
      <c r="H3727" s="41"/>
      <c r="I3727" s="41"/>
      <c r="J3727" s="41"/>
      <c r="K3727" s="41"/>
      <c r="L3727" s="41"/>
      <c r="M3727" s="41"/>
      <c r="N3727" s="41"/>
      <c r="O3727" s="41"/>
    </row>
    <row r="3728" spans="1:15">
      <c r="A3728" s="39"/>
      <c r="B3728" s="40"/>
      <c r="C3728" s="41"/>
      <c r="D3728" s="41"/>
      <c r="E3728" s="41"/>
      <c r="F3728" s="41"/>
      <c r="G3728" s="41"/>
      <c r="H3728" s="41"/>
      <c r="I3728" s="41"/>
      <c r="J3728" s="41"/>
      <c r="K3728" s="41"/>
      <c r="L3728" s="41"/>
      <c r="M3728" s="41"/>
      <c r="N3728" s="41"/>
      <c r="O3728" s="41"/>
    </row>
    <row r="3729" spans="1:15">
      <c r="A3729" s="39"/>
      <c r="B3729" s="40"/>
      <c r="C3729" s="41"/>
      <c r="D3729" s="41"/>
      <c r="E3729" s="41"/>
      <c r="F3729" s="41"/>
      <c r="G3729" s="41"/>
      <c r="H3729" s="41"/>
      <c r="I3729" s="41"/>
      <c r="J3729" s="41"/>
      <c r="K3729" s="41"/>
      <c r="L3729" s="41"/>
      <c r="M3729" s="41"/>
      <c r="N3729" s="41"/>
      <c r="O3729" s="41"/>
    </row>
    <row r="3730" spans="1:15">
      <c r="A3730" s="39"/>
      <c r="B3730" s="40"/>
      <c r="C3730" s="41"/>
      <c r="D3730" s="41"/>
      <c r="E3730" s="41"/>
      <c r="F3730" s="41"/>
      <c r="G3730" s="41"/>
      <c r="H3730" s="41"/>
      <c r="I3730" s="41"/>
      <c r="J3730" s="41"/>
      <c r="K3730" s="41"/>
      <c r="L3730" s="41"/>
      <c r="M3730" s="41"/>
      <c r="N3730" s="41"/>
      <c r="O3730" s="41"/>
    </row>
    <row r="3731" spans="1:15">
      <c r="A3731" s="39"/>
      <c r="B3731" s="40"/>
      <c r="C3731" s="41"/>
      <c r="D3731" s="41"/>
      <c r="E3731" s="41"/>
      <c r="F3731" s="41"/>
      <c r="G3731" s="41"/>
      <c r="H3731" s="41"/>
      <c r="I3731" s="41"/>
      <c r="J3731" s="41"/>
      <c r="K3731" s="41"/>
      <c r="L3731" s="41"/>
      <c r="M3731" s="41"/>
      <c r="N3731" s="41"/>
      <c r="O3731" s="41"/>
    </row>
    <row r="3732" spans="1:15">
      <c r="A3732" s="39"/>
      <c r="B3732" s="40"/>
      <c r="C3732" s="41"/>
      <c r="D3732" s="41"/>
      <c r="E3732" s="41"/>
      <c r="F3732" s="41"/>
      <c r="G3732" s="41"/>
      <c r="H3732" s="41"/>
      <c r="I3732" s="41"/>
      <c r="J3732" s="41"/>
      <c r="K3732" s="41"/>
      <c r="L3732" s="41"/>
      <c r="M3732" s="41"/>
      <c r="N3732" s="41"/>
      <c r="O3732" s="41"/>
    </row>
    <row r="3733" spans="1:15">
      <c r="A3733" s="39"/>
      <c r="B3733" s="40"/>
      <c r="C3733" s="41"/>
      <c r="D3733" s="41"/>
      <c r="E3733" s="41"/>
      <c r="F3733" s="41"/>
      <c r="G3733" s="41"/>
      <c r="H3733" s="41"/>
      <c r="I3733" s="41"/>
      <c r="J3733" s="41"/>
      <c r="K3733" s="41"/>
      <c r="L3733" s="41"/>
      <c r="M3733" s="41"/>
      <c r="N3733" s="41"/>
      <c r="O3733" s="41"/>
    </row>
    <row r="3734" spans="1:15">
      <c r="A3734" s="39"/>
      <c r="B3734" s="40"/>
      <c r="C3734" s="41"/>
      <c r="D3734" s="41"/>
      <c r="E3734" s="41"/>
      <c r="F3734" s="41"/>
      <c r="G3734" s="41"/>
      <c r="H3734" s="41"/>
      <c r="I3734" s="41"/>
      <c r="J3734" s="41"/>
      <c r="K3734" s="41"/>
      <c r="L3734" s="41"/>
      <c r="M3734" s="41"/>
      <c r="N3734" s="41"/>
      <c r="O3734" s="41"/>
    </row>
    <row r="3735" spans="1:15">
      <c r="A3735" s="39"/>
      <c r="B3735" s="40"/>
      <c r="C3735" s="41"/>
      <c r="D3735" s="41"/>
      <c r="E3735" s="41"/>
      <c r="F3735" s="41"/>
      <c r="G3735" s="41"/>
      <c r="H3735" s="41"/>
      <c r="I3735" s="41"/>
      <c r="J3735" s="41"/>
      <c r="K3735" s="41"/>
      <c r="L3735" s="41"/>
      <c r="M3735" s="41"/>
      <c r="N3735" s="41"/>
      <c r="O3735" s="41"/>
    </row>
    <row r="3736" spans="1:15">
      <c r="A3736" s="39"/>
      <c r="B3736" s="40"/>
      <c r="C3736" s="41"/>
      <c r="D3736" s="41"/>
      <c r="E3736" s="41"/>
      <c r="F3736" s="41"/>
      <c r="G3736" s="41"/>
      <c r="H3736" s="41"/>
      <c r="I3736" s="41"/>
      <c r="J3736" s="41"/>
      <c r="K3736" s="41"/>
      <c r="L3736" s="41"/>
      <c r="M3736" s="41"/>
      <c r="N3736" s="41"/>
      <c r="O3736" s="41"/>
    </row>
    <row r="3737" spans="1:15">
      <c r="A3737" s="39"/>
      <c r="B3737" s="40"/>
      <c r="C3737" s="41"/>
      <c r="D3737" s="41"/>
      <c r="E3737" s="41"/>
      <c r="F3737" s="41"/>
      <c r="G3737" s="41"/>
      <c r="H3737" s="41"/>
      <c r="I3737" s="41"/>
      <c r="J3737" s="41"/>
      <c r="K3737" s="41"/>
      <c r="L3737" s="41"/>
      <c r="M3737" s="41"/>
      <c r="N3737" s="41"/>
      <c r="O3737" s="41"/>
    </row>
    <row r="3738" spans="1:15">
      <c r="A3738" s="39"/>
      <c r="B3738" s="40"/>
      <c r="C3738" s="41"/>
      <c r="D3738" s="41"/>
      <c r="E3738" s="41"/>
      <c r="F3738" s="41"/>
      <c r="G3738" s="41"/>
      <c r="H3738" s="41"/>
      <c r="I3738" s="41"/>
      <c r="J3738" s="41"/>
      <c r="K3738" s="41"/>
      <c r="L3738" s="41"/>
      <c r="M3738" s="41"/>
      <c r="N3738" s="41"/>
      <c r="O3738" s="41"/>
    </row>
    <row r="3739" spans="1:15">
      <c r="A3739" s="39"/>
      <c r="B3739" s="40"/>
      <c r="C3739" s="41"/>
      <c r="D3739" s="41"/>
      <c r="E3739" s="41"/>
      <c r="F3739" s="41"/>
      <c r="G3739" s="41"/>
      <c r="H3739" s="41"/>
      <c r="I3739" s="41"/>
      <c r="J3739" s="41"/>
      <c r="K3739" s="41"/>
      <c r="L3739" s="41"/>
      <c r="M3739" s="41"/>
      <c r="N3739" s="41"/>
      <c r="O3739" s="41"/>
    </row>
    <row r="3740" spans="1:15">
      <c r="A3740" s="39"/>
      <c r="B3740" s="40"/>
      <c r="C3740" s="41"/>
      <c r="D3740" s="41"/>
      <c r="E3740" s="41"/>
      <c r="F3740" s="41"/>
      <c r="G3740" s="41"/>
      <c r="H3740" s="41"/>
      <c r="I3740" s="41"/>
      <c r="J3740" s="41"/>
      <c r="K3740" s="41"/>
      <c r="L3740" s="41"/>
      <c r="M3740" s="41"/>
      <c r="N3740" s="41"/>
      <c r="O3740" s="41"/>
    </row>
    <row r="3741" spans="1:15">
      <c r="A3741" s="39"/>
      <c r="B3741" s="40"/>
      <c r="C3741" s="41"/>
      <c r="D3741" s="41"/>
      <c r="E3741" s="41"/>
      <c r="F3741" s="41"/>
      <c r="G3741" s="41"/>
      <c r="H3741" s="41"/>
      <c r="I3741" s="41"/>
      <c r="J3741" s="41"/>
      <c r="K3741" s="41"/>
      <c r="L3741" s="41"/>
      <c r="M3741" s="41"/>
      <c r="N3741" s="41"/>
      <c r="O3741" s="41"/>
    </row>
    <row r="3742" spans="1:15">
      <c r="A3742" s="39"/>
      <c r="B3742" s="40"/>
      <c r="C3742" s="41"/>
      <c r="D3742" s="41"/>
      <c r="E3742" s="41"/>
      <c r="F3742" s="41"/>
      <c r="G3742" s="41"/>
      <c r="H3742" s="41"/>
      <c r="I3742" s="41"/>
      <c r="J3742" s="41"/>
      <c r="K3742" s="41"/>
      <c r="L3742" s="41"/>
      <c r="M3742" s="41"/>
      <c r="N3742" s="41"/>
      <c r="O3742" s="41"/>
    </row>
    <row r="3743" spans="1:15">
      <c r="A3743" s="39"/>
      <c r="B3743" s="40"/>
      <c r="C3743" s="41"/>
      <c r="D3743" s="41"/>
      <c r="E3743" s="41"/>
      <c r="F3743" s="41"/>
      <c r="G3743" s="41"/>
      <c r="H3743" s="41"/>
      <c r="I3743" s="41"/>
      <c r="J3743" s="41"/>
      <c r="K3743" s="41"/>
      <c r="L3743" s="41"/>
      <c r="M3743" s="41"/>
      <c r="N3743" s="41"/>
      <c r="O3743" s="41"/>
    </row>
    <row r="3744" spans="1:15">
      <c r="A3744" s="39"/>
      <c r="B3744" s="40"/>
      <c r="C3744" s="41"/>
      <c r="D3744" s="41"/>
      <c r="E3744" s="41"/>
      <c r="F3744" s="41"/>
      <c r="G3744" s="41"/>
      <c r="H3744" s="41"/>
      <c r="I3744" s="41"/>
      <c r="J3744" s="41"/>
      <c r="K3744" s="41"/>
      <c r="L3744" s="41"/>
      <c r="M3744" s="41"/>
      <c r="N3744" s="41"/>
      <c r="O3744" s="41"/>
    </row>
    <row r="3745" spans="1:15">
      <c r="A3745" s="39"/>
      <c r="B3745" s="40"/>
      <c r="C3745" s="41"/>
      <c r="D3745" s="41"/>
      <c r="E3745" s="41"/>
      <c r="F3745" s="41"/>
      <c r="G3745" s="41"/>
      <c r="H3745" s="41"/>
      <c r="I3745" s="41"/>
      <c r="J3745" s="41"/>
      <c r="K3745" s="41"/>
      <c r="L3745" s="41"/>
      <c r="M3745" s="41"/>
      <c r="N3745" s="41"/>
      <c r="O3745" s="41"/>
    </row>
    <row r="3746" spans="1:15">
      <c r="A3746" s="39"/>
      <c r="B3746" s="40"/>
      <c r="C3746" s="41"/>
      <c r="D3746" s="41"/>
      <c r="E3746" s="41"/>
      <c r="F3746" s="41"/>
      <c r="G3746" s="41"/>
      <c r="H3746" s="41"/>
      <c r="I3746" s="41"/>
      <c r="J3746" s="41"/>
      <c r="K3746" s="41"/>
      <c r="L3746" s="41"/>
      <c r="M3746" s="41"/>
      <c r="N3746" s="41"/>
      <c r="O3746" s="41"/>
    </row>
    <row r="3747" spans="1:15">
      <c r="A3747" s="39"/>
      <c r="B3747" s="40"/>
      <c r="C3747" s="41"/>
      <c r="D3747" s="41"/>
      <c r="E3747" s="41"/>
      <c r="F3747" s="41"/>
      <c r="G3747" s="41"/>
      <c r="H3747" s="41"/>
      <c r="I3747" s="41"/>
      <c r="J3747" s="41"/>
      <c r="K3747" s="41"/>
      <c r="L3747" s="41"/>
      <c r="M3747" s="41"/>
      <c r="N3747" s="41"/>
      <c r="O3747" s="41"/>
    </row>
    <row r="3748" spans="1:15">
      <c r="A3748" s="39"/>
      <c r="B3748" s="40"/>
      <c r="C3748" s="41"/>
      <c r="D3748" s="41"/>
      <c r="E3748" s="41"/>
      <c r="F3748" s="41"/>
      <c r="G3748" s="41"/>
      <c r="H3748" s="41"/>
      <c r="I3748" s="41"/>
      <c r="J3748" s="41"/>
      <c r="K3748" s="41"/>
      <c r="L3748" s="41"/>
      <c r="M3748" s="41"/>
      <c r="N3748" s="41"/>
      <c r="O3748" s="41"/>
    </row>
    <row r="3749" spans="1:15">
      <c r="A3749" s="39"/>
      <c r="B3749" s="40"/>
      <c r="C3749" s="41"/>
      <c r="D3749" s="41"/>
      <c r="E3749" s="41"/>
      <c r="F3749" s="41"/>
      <c r="G3749" s="41"/>
      <c r="H3749" s="41"/>
      <c r="I3749" s="41"/>
      <c r="J3749" s="41"/>
      <c r="K3749" s="41"/>
      <c r="L3749" s="41"/>
      <c r="M3749" s="41"/>
      <c r="N3749" s="41"/>
      <c r="O3749" s="41"/>
    </row>
    <row r="3750" spans="1:15">
      <c r="A3750" s="39"/>
      <c r="B3750" s="40"/>
      <c r="C3750" s="41"/>
      <c r="D3750" s="41"/>
      <c r="E3750" s="41"/>
      <c r="F3750" s="41"/>
      <c r="G3750" s="41"/>
      <c r="H3750" s="41"/>
      <c r="I3750" s="41"/>
      <c r="J3750" s="41"/>
      <c r="K3750" s="41"/>
      <c r="L3750" s="41"/>
      <c r="M3750" s="41"/>
      <c r="N3750" s="41"/>
      <c r="O3750" s="41"/>
    </row>
    <row r="3751" spans="1:15">
      <c r="A3751" s="39"/>
      <c r="B3751" s="40"/>
      <c r="C3751" s="41"/>
      <c r="D3751" s="41"/>
      <c r="E3751" s="41"/>
      <c r="F3751" s="41"/>
      <c r="G3751" s="41"/>
      <c r="H3751" s="41"/>
      <c r="I3751" s="41"/>
      <c r="J3751" s="41"/>
      <c r="K3751" s="41"/>
      <c r="L3751" s="41"/>
      <c r="M3751" s="41"/>
      <c r="N3751" s="41"/>
      <c r="O3751" s="41"/>
    </row>
    <row r="3752" spans="1:15">
      <c r="A3752" s="39"/>
      <c r="B3752" s="40"/>
      <c r="C3752" s="41"/>
      <c r="D3752" s="41"/>
      <c r="E3752" s="41"/>
      <c r="F3752" s="41"/>
      <c r="G3752" s="41"/>
      <c r="H3752" s="41"/>
      <c r="I3752" s="41"/>
      <c r="J3752" s="41"/>
      <c r="K3752" s="41"/>
      <c r="L3752" s="41"/>
      <c r="M3752" s="41"/>
      <c r="N3752" s="41"/>
      <c r="O3752" s="41"/>
    </row>
    <row r="3753" spans="1:15">
      <c r="A3753" s="39"/>
      <c r="B3753" s="40"/>
      <c r="C3753" s="41"/>
      <c r="D3753" s="41"/>
      <c r="E3753" s="41"/>
      <c r="F3753" s="41"/>
      <c r="G3753" s="41"/>
      <c r="H3753" s="41"/>
      <c r="I3753" s="41"/>
      <c r="J3753" s="41"/>
      <c r="K3753" s="41"/>
      <c r="L3753" s="41"/>
      <c r="M3753" s="41"/>
      <c r="N3753" s="41"/>
      <c r="O3753" s="41"/>
    </row>
    <row r="3754" spans="1:15">
      <c r="A3754" s="39"/>
      <c r="B3754" s="40"/>
      <c r="C3754" s="41"/>
      <c r="D3754" s="41"/>
      <c r="E3754" s="41"/>
      <c r="F3754" s="41"/>
      <c r="G3754" s="41"/>
      <c r="H3754" s="41"/>
      <c r="I3754" s="41"/>
      <c r="J3754" s="41"/>
      <c r="K3754" s="41"/>
      <c r="L3754" s="41"/>
      <c r="M3754" s="41"/>
      <c r="N3754" s="41"/>
      <c r="O3754" s="41"/>
    </row>
    <row r="3755" spans="1:15">
      <c r="A3755" s="39"/>
      <c r="B3755" s="40"/>
      <c r="C3755" s="41"/>
      <c r="D3755" s="41"/>
      <c r="E3755" s="41"/>
      <c r="F3755" s="41"/>
      <c r="G3755" s="41"/>
      <c r="H3755" s="41"/>
      <c r="I3755" s="41"/>
      <c r="J3755" s="41"/>
      <c r="K3755" s="41"/>
      <c r="L3755" s="41"/>
      <c r="M3755" s="41"/>
      <c r="N3755" s="41"/>
      <c r="O3755" s="41"/>
    </row>
    <row r="3756" spans="1:15">
      <c r="A3756" s="39"/>
      <c r="B3756" s="40"/>
      <c r="C3756" s="41"/>
      <c r="D3756" s="41"/>
      <c r="E3756" s="41"/>
      <c r="F3756" s="41"/>
      <c r="G3756" s="41"/>
      <c r="H3756" s="41"/>
      <c r="I3756" s="41"/>
      <c r="J3756" s="41"/>
      <c r="K3756" s="41"/>
      <c r="L3756" s="41"/>
      <c r="M3756" s="41"/>
      <c r="N3756" s="41"/>
      <c r="O3756" s="41"/>
    </row>
    <row r="3757" spans="1:15">
      <c r="A3757" s="39"/>
      <c r="B3757" s="40"/>
      <c r="C3757" s="41"/>
      <c r="D3757" s="41"/>
      <c r="E3757" s="41"/>
      <c r="F3757" s="41"/>
      <c r="G3757" s="41"/>
      <c r="H3757" s="41"/>
      <c r="I3757" s="41"/>
      <c r="J3757" s="41"/>
      <c r="K3757" s="41"/>
      <c r="L3757" s="41"/>
      <c r="M3757" s="41"/>
      <c r="N3757" s="41"/>
      <c r="O3757" s="41"/>
    </row>
    <row r="3758" spans="1:15">
      <c r="A3758" s="39"/>
      <c r="B3758" s="40"/>
      <c r="C3758" s="41"/>
      <c r="D3758" s="41"/>
      <c r="E3758" s="41"/>
      <c r="F3758" s="41"/>
      <c r="G3758" s="41"/>
      <c r="H3758" s="41"/>
      <c r="I3758" s="41"/>
      <c r="J3758" s="41"/>
      <c r="K3758" s="41"/>
      <c r="L3758" s="41"/>
      <c r="M3758" s="41"/>
      <c r="N3758" s="41"/>
      <c r="O3758" s="41"/>
    </row>
    <row r="3759" spans="1:15">
      <c r="A3759" s="39"/>
      <c r="B3759" s="40"/>
      <c r="C3759" s="41"/>
      <c r="D3759" s="41"/>
      <c r="E3759" s="41"/>
      <c r="F3759" s="41"/>
      <c r="G3759" s="41"/>
      <c r="H3759" s="41"/>
      <c r="I3759" s="41"/>
      <c r="J3759" s="41"/>
      <c r="K3759" s="41"/>
      <c r="L3759" s="41"/>
      <c r="M3759" s="41"/>
      <c r="N3759" s="41"/>
      <c r="O3759" s="41"/>
    </row>
    <row r="3760" spans="1:15">
      <c r="A3760" s="39"/>
      <c r="B3760" s="40"/>
      <c r="C3760" s="41"/>
      <c r="D3760" s="41"/>
      <c r="E3760" s="41"/>
      <c r="F3760" s="41"/>
      <c r="G3760" s="41"/>
      <c r="H3760" s="41"/>
      <c r="I3760" s="41"/>
      <c r="J3760" s="41"/>
      <c r="K3760" s="41"/>
      <c r="L3760" s="41"/>
      <c r="M3760" s="41"/>
      <c r="N3760" s="41"/>
      <c r="O3760" s="41"/>
    </row>
    <row r="3761" spans="1:15">
      <c r="A3761" s="39"/>
      <c r="B3761" s="40"/>
      <c r="C3761" s="41"/>
      <c r="D3761" s="41"/>
      <c r="E3761" s="41"/>
      <c r="F3761" s="41"/>
      <c r="G3761" s="41"/>
      <c r="H3761" s="41"/>
      <c r="I3761" s="41"/>
      <c r="J3761" s="41"/>
      <c r="K3761" s="41"/>
      <c r="L3761" s="41"/>
      <c r="M3761" s="41"/>
      <c r="N3761" s="41"/>
      <c r="O3761" s="41"/>
    </row>
    <row r="3762" spans="1:15">
      <c r="A3762" s="39"/>
      <c r="B3762" s="40"/>
      <c r="C3762" s="41"/>
      <c r="D3762" s="41"/>
      <c r="E3762" s="41"/>
      <c r="F3762" s="41"/>
      <c r="G3762" s="41"/>
      <c r="H3762" s="41"/>
      <c r="I3762" s="41"/>
      <c r="J3762" s="41"/>
      <c r="K3762" s="41"/>
      <c r="L3762" s="41"/>
      <c r="M3762" s="41"/>
      <c r="N3762" s="41"/>
      <c r="O3762" s="41"/>
    </row>
    <row r="3763" spans="1:15">
      <c r="A3763" s="39"/>
      <c r="B3763" s="40"/>
      <c r="C3763" s="41"/>
      <c r="D3763" s="41"/>
      <c r="E3763" s="41"/>
      <c r="F3763" s="41"/>
      <c r="G3763" s="41"/>
      <c r="H3763" s="41"/>
      <c r="I3763" s="41"/>
      <c r="J3763" s="41"/>
      <c r="K3763" s="41"/>
      <c r="L3763" s="41"/>
      <c r="M3763" s="41"/>
      <c r="N3763" s="41"/>
      <c r="O3763" s="41"/>
    </row>
    <row r="3764" spans="1:15">
      <c r="A3764" s="39"/>
      <c r="B3764" s="40"/>
      <c r="C3764" s="41"/>
      <c r="D3764" s="41"/>
      <c r="E3764" s="41"/>
      <c r="F3764" s="41"/>
      <c r="G3764" s="41"/>
      <c r="H3764" s="41"/>
      <c r="I3764" s="41"/>
      <c r="J3764" s="41"/>
      <c r="K3764" s="41"/>
      <c r="L3764" s="41"/>
      <c r="M3764" s="41"/>
      <c r="N3764" s="41"/>
      <c r="O3764" s="41"/>
    </row>
    <row r="3765" spans="1:15">
      <c r="A3765" s="39"/>
      <c r="B3765" s="40"/>
      <c r="C3765" s="41"/>
      <c r="D3765" s="41"/>
      <c r="E3765" s="41"/>
      <c r="F3765" s="41"/>
      <c r="G3765" s="41"/>
      <c r="H3765" s="41"/>
      <c r="I3765" s="41"/>
      <c r="J3765" s="41"/>
      <c r="K3765" s="41"/>
      <c r="L3765" s="41"/>
      <c r="M3765" s="41"/>
      <c r="N3765" s="41"/>
      <c r="O3765" s="41"/>
    </row>
    <row r="3766" spans="1:15">
      <c r="A3766" s="39"/>
      <c r="B3766" s="40"/>
      <c r="C3766" s="41"/>
      <c r="D3766" s="41"/>
      <c r="E3766" s="41"/>
      <c r="F3766" s="41"/>
      <c r="G3766" s="41"/>
      <c r="H3766" s="41"/>
      <c r="I3766" s="41"/>
      <c r="J3766" s="41"/>
      <c r="K3766" s="41"/>
      <c r="L3766" s="41"/>
      <c r="M3766" s="41"/>
      <c r="N3766" s="41"/>
      <c r="O3766" s="41"/>
    </row>
    <row r="3767" spans="1:15">
      <c r="A3767" s="39"/>
      <c r="B3767" s="40"/>
      <c r="C3767" s="41"/>
      <c r="D3767" s="41"/>
      <c r="E3767" s="41"/>
      <c r="F3767" s="41"/>
      <c r="G3767" s="41"/>
      <c r="H3767" s="41"/>
      <c r="I3767" s="41"/>
      <c r="J3767" s="41"/>
      <c r="K3767" s="41"/>
      <c r="L3767" s="41"/>
      <c r="M3767" s="41"/>
      <c r="N3767" s="41"/>
      <c r="O3767" s="41"/>
    </row>
    <row r="3768" spans="1:15">
      <c r="A3768" s="39"/>
      <c r="B3768" s="40"/>
      <c r="C3768" s="41"/>
      <c r="D3768" s="41"/>
      <c r="E3768" s="41"/>
      <c r="F3768" s="41"/>
      <c r="G3768" s="41"/>
      <c r="H3768" s="41"/>
      <c r="I3768" s="41"/>
      <c r="J3768" s="41"/>
      <c r="K3768" s="41"/>
      <c r="L3768" s="41"/>
      <c r="M3768" s="41"/>
      <c r="N3768" s="41"/>
      <c r="O3768" s="41"/>
    </row>
    <row r="3769" spans="1:15">
      <c r="A3769" s="39"/>
      <c r="B3769" s="40"/>
      <c r="C3769" s="41"/>
      <c r="D3769" s="41"/>
      <c r="E3769" s="41"/>
      <c r="F3769" s="41"/>
      <c r="G3769" s="41"/>
      <c r="H3769" s="41"/>
      <c r="I3769" s="41"/>
      <c r="J3769" s="41"/>
      <c r="K3769" s="41"/>
      <c r="L3769" s="41"/>
      <c r="M3769" s="41"/>
      <c r="N3769" s="41"/>
      <c r="O3769" s="41"/>
    </row>
    <row r="3770" spans="1:15">
      <c r="A3770" s="39"/>
      <c r="B3770" s="40"/>
      <c r="C3770" s="41"/>
      <c r="D3770" s="41"/>
      <c r="E3770" s="41"/>
      <c r="F3770" s="41"/>
      <c r="G3770" s="41"/>
      <c r="H3770" s="41"/>
      <c r="I3770" s="41"/>
      <c r="J3770" s="41"/>
      <c r="K3770" s="41"/>
      <c r="L3770" s="41"/>
      <c r="M3770" s="41"/>
      <c r="N3770" s="41"/>
      <c r="O3770" s="41"/>
    </row>
    <row r="3771" spans="1:15">
      <c r="A3771" s="39"/>
      <c r="B3771" s="40"/>
      <c r="C3771" s="41"/>
      <c r="D3771" s="41"/>
      <c r="E3771" s="41"/>
      <c r="F3771" s="41"/>
      <c r="G3771" s="41"/>
      <c r="H3771" s="41"/>
      <c r="I3771" s="41"/>
      <c r="J3771" s="41"/>
      <c r="K3771" s="41"/>
      <c r="L3771" s="41"/>
      <c r="M3771" s="41"/>
      <c r="N3771" s="41"/>
      <c r="O3771" s="41"/>
    </row>
    <row r="3772" spans="1:15">
      <c r="A3772" s="39"/>
      <c r="B3772" s="40"/>
      <c r="C3772" s="41"/>
      <c r="D3772" s="41"/>
      <c r="E3772" s="41"/>
      <c r="F3772" s="41"/>
      <c r="G3772" s="41"/>
      <c r="H3772" s="41"/>
      <c r="I3772" s="41"/>
      <c r="J3772" s="41"/>
      <c r="K3772" s="41"/>
      <c r="L3772" s="41"/>
      <c r="M3772" s="41"/>
      <c r="N3772" s="41"/>
      <c r="O3772" s="41"/>
    </row>
    <row r="3773" spans="1:15">
      <c r="A3773" s="39"/>
      <c r="B3773" s="40"/>
      <c r="C3773" s="41"/>
      <c r="D3773" s="41"/>
      <c r="E3773" s="41"/>
      <c r="F3773" s="41"/>
      <c r="G3773" s="41"/>
      <c r="H3773" s="41"/>
      <c r="I3773" s="41"/>
      <c r="J3773" s="41"/>
      <c r="K3773" s="41"/>
      <c r="L3773" s="41"/>
      <c r="M3773" s="41"/>
      <c r="N3773" s="41"/>
      <c r="O3773" s="41"/>
    </row>
    <row r="3774" spans="1:15">
      <c r="A3774" s="39"/>
      <c r="B3774" s="40"/>
      <c r="C3774" s="41"/>
      <c r="D3774" s="41"/>
      <c r="E3774" s="41"/>
      <c r="F3774" s="41"/>
      <c r="G3774" s="41"/>
      <c r="H3774" s="41"/>
      <c r="I3774" s="41"/>
      <c r="J3774" s="41"/>
      <c r="K3774" s="41"/>
      <c r="L3774" s="41"/>
      <c r="M3774" s="41"/>
      <c r="N3774" s="41"/>
      <c r="O3774" s="41"/>
    </row>
    <row r="3775" spans="1:15">
      <c r="A3775" s="39"/>
      <c r="B3775" s="40"/>
      <c r="C3775" s="41"/>
      <c r="D3775" s="41"/>
      <c r="E3775" s="41"/>
      <c r="F3775" s="41"/>
      <c r="G3775" s="41"/>
      <c r="H3775" s="41"/>
      <c r="I3775" s="41"/>
      <c r="J3775" s="41"/>
      <c r="K3775" s="41"/>
      <c r="L3775" s="41"/>
      <c r="M3775" s="41"/>
      <c r="N3775" s="41"/>
      <c r="O3775" s="41"/>
    </row>
    <row r="3776" spans="1:15">
      <c r="A3776" s="39"/>
      <c r="B3776" s="40"/>
      <c r="C3776" s="41"/>
      <c r="D3776" s="41"/>
      <c r="E3776" s="41"/>
      <c r="F3776" s="41"/>
      <c r="G3776" s="41"/>
      <c r="H3776" s="41"/>
      <c r="I3776" s="41"/>
      <c r="J3776" s="41"/>
      <c r="K3776" s="41"/>
      <c r="L3776" s="41"/>
      <c r="M3776" s="41"/>
      <c r="N3776" s="41"/>
      <c r="O3776" s="41"/>
    </row>
    <row r="3777" spans="1:15">
      <c r="A3777" s="39"/>
      <c r="B3777" s="40"/>
      <c r="C3777" s="41"/>
      <c r="D3777" s="41"/>
      <c r="E3777" s="41"/>
      <c r="F3777" s="41"/>
      <c r="G3777" s="41"/>
      <c r="H3777" s="41"/>
      <c r="I3777" s="41"/>
      <c r="J3777" s="41"/>
      <c r="K3777" s="41"/>
      <c r="L3777" s="41"/>
      <c r="M3777" s="41"/>
      <c r="N3777" s="41"/>
      <c r="O3777" s="41"/>
    </row>
    <row r="3778" spans="1:15">
      <c r="A3778" s="39"/>
      <c r="B3778" s="40"/>
      <c r="C3778" s="41"/>
      <c r="D3778" s="41"/>
      <c r="E3778" s="41"/>
      <c r="F3778" s="41"/>
      <c r="G3778" s="41"/>
      <c r="H3778" s="41"/>
      <c r="I3778" s="41"/>
      <c r="J3778" s="41"/>
      <c r="K3778" s="41"/>
      <c r="L3778" s="41"/>
      <c r="M3778" s="41"/>
      <c r="N3778" s="41"/>
      <c r="O3778" s="41"/>
    </row>
    <row r="3779" spans="1:15">
      <c r="A3779" s="39"/>
      <c r="B3779" s="40"/>
      <c r="C3779" s="41"/>
      <c r="D3779" s="41"/>
      <c r="E3779" s="41"/>
      <c r="F3779" s="41"/>
      <c r="G3779" s="41"/>
      <c r="H3779" s="41"/>
      <c r="I3779" s="41"/>
      <c r="J3779" s="41"/>
      <c r="K3779" s="41"/>
      <c r="L3779" s="41"/>
      <c r="M3779" s="41"/>
      <c r="N3779" s="41"/>
      <c r="O3779" s="41"/>
    </row>
    <row r="3780" spans="1:15">
      <c r="A3780" s="39"/>
      <c r="B3780" s="40"/>
      <c r="C3780" s="41"/>
      <c r="D3780" s="41"/>
      <c r="E3780" s="41"/>
      <c r="F3780" s="41"/>
      <c r="G3780" s="41"/>
      <c r="H3780" s="41"/>
      <c r="I3780" s="41"/>
      <c r="J3780" s="41"/>
      <c r="K3780" s="41"/>
      <c r="L3780" s="41"/>
      <c r="M3780" s="41"/>
      <c r="N3780" s="41"/>
      <c r="O3780" s="41"/>
    </row>
    <row r="3781" spans="1:15">
      <c r="A3781" s="39"/>
      <c r="B3781" s="40"/>
      <c r="C3781" s="41"/>
      <c r="D3781" s="41"/>
      <c r="E3781" s="41"/>
      <c r="F3781" s="41"/>
      <c r="G3781" s="41"/>
      <c r="H3781" s="41"/>
      <c r="I3781" s="41"/>
      <c r="J3781" s="41"/>
      <c r="K3781" s="41"/>
      <c r="L3781" s="41"/>
      <c r="M3781" s="41"/>
      <c r="N3781" s="41"/>
      <c r="O3781" s="41"/>
    </row>
    <row r="3782" spans="1:15">
      <c r="A3782" s="39"/>
      <c r="B3782" s="40"/>
      <c r="C3782" s="41"/>
      <c r="D3782" s="41"/>
      <c r="E3782" s="41"/>
      <c r="F3782" s="41"/>
      <c r="G3782" s="41"/>
      <c r="H3782" s="41"/>
      <c r="I3782" s="41"/>
      <c r="J3782" s="41"/>
      <c r="K3782" s="41"/>
      <c r="L3782" s="41"/>
      <c r="M3782" s="41"/>
      <c r="N3782" s="41"/>
      <c r="O3782" s="41"/>
    </row>
    <row r="3783" spans="1:15">
      <c r="A3783" s="39"/>
      <c r="B3783" s="40"/>
      <c r="C3783" s="41"/>
      <c r="D3783" s="41"/>
      <c r="E3783" s="41"/>
      <c r="F3783" s="41"/>
      <c r="G3783" s="41"/>
      <c r="H3783" s="41"/>
      <c r="I3783" s="41"/>
      <c r="J3783" s="41"/>
      <c r="K3783" s="41"/>
      <c r="L3783" s="41"/>
      <c r="M3783" s="41"/>
      <c r="N3783" s="41"/>
      <c r="O3783" s="41"/>
    </row>
    <row r="3784" spans="1:15">
      <c r="A3784" s="39"/>
      <c r="B3784" s="40"/>
      <c r="C3784" s="41"/>
      <c r="D3784" s="41"/>
      <c r="E3784" s="41"/>
      <c r="F3784" s="41"/>
      <c r="G3784" s="41"/>
      <c r="H3784" s="41"/>
      <c r="I3784" s="41"/>
      <c r="J3784" s="41"/>
      <c r="K3784" s="41"/>
      <c r="L3784" s="41"/>
      <c r="M3784" s="41"/>
      <c r="N3784" s="41"/>
      <c r="O3784" s="41"/>
    </row>
    <row r="3785" spans="1:15">
      <c r="A3785" s="39"/>
      <c r="B3785" s="40"/>
      <c r="C3785" s="41"/>
      <c r="D3785" s="41"/>
      <c r="E3785" s="41"/>
      <c r="F3785" s="41"/>
      <c r="G3785" s="41"/>
      <c r="H3785" s="41"/>
      <c r="I3785" s="41"/>
      <c r="J3785" s="41"/>
      <c r="K3785" s="41"/>
      <c r="L3785" s="41"/>
      <c r="M3785" s="41"/>
      <c r="N3785" s="41"/>
      <c r="O3785" s="41"/>
    </row>
    <row r="3786" spans="1:15">
      <c r="A3786" s="39"/>
      <c r="B3786" s="40"/>
      <c r="C3786" s="41"/>
      <c r="D3786" s="41"/>
      <c r="E3786" s="41"/>
      <c r="F3786" s="41"/>
      <c r="G3786" s="41"/>
      <c r="H3786" s="41"/>
      <c r="I3786" s="41"/>
      <c r="J3786" s="41"/>
      <c r="K3786" s="41"/>
      <c r="L3786" s="41"/>
      <c r="M3786" s="41"/>
      <c r="N3786" s="41"/>
      <c r="O3786" s="41"/>
    </row>
    <row r="3787" spans="1:15">
      <c r="A3787" s="39"/>
      <c r="B3787" s="40"/>
      <c r="C3787" s="41"/>
      <c r="D3787" s="41"/>
      <c r="E3787" s="41"/>
      <c r="F3787" s="41"/>
      <c r="G3787" s="41"/>
      <c r="H3787" s="41"/>
      <c r="I3787" s="41"/>
      <c r="J3787" s="41"/>
      <c r="K3787" s="41"/>
      <c r="L3787" s="41"/>
      <c r="M3787" s="41"/>
      <c r="N3787" s="41"/>
      <c r="O3787" s="41"/>
    </row>
    <row r="3788" spans="1:15">
      <c r="A3788" s="39"/>
      <c r="B3788" s="40"/>
      <c r="C3788" s="41"/>
      <c r="D3788" s="41"/>
      <c r="E3788" s="41"/>
      <c r="F3788" s="41"/>
      <c r="G3788" s="41"/>
      <c r="H3788" s="41"/>
      <c r="I3788" s="41"/>
      <c r="J3788" s="41"/>
      <c r="K3788" s="41"/>
      <c r="L3788" s="41"/>
      <c r="M3788" s="41"/>
      <c r="N3788" s="41"/>
      <c r="O3788" s="41"/>
    </row>
    <row r="3789" spans="1:15">
      <c r="A3789" s="39"/>
      <c r="B3789" s="40"/>
      <c r="C3789" s="41"/>
      <c r="D3789" s="41"/>
      <c r="E3789" s="41"/>
      <c r="F3789" s="41"/>
      <c r="G3789" s="41"/>
      <c r="H3789" s="41"/>
      <c r="I3789" s="41"/>
      <c r="J3789" s="41"/>
      <c r="K3789" s="41"/>
      <c r="L3789" s="41"/>
      <c r="M3789" s="41"/>
      <c r="N3789" s="41"/>
      <c r="O3789" s="41"/>
    </row>
    <row r="3790" spans="1:15">
      <c r="A3790" s="39"/>
      <c r="B3790" s="40"/>
      <c r="C3790" s="41"/>
      <c r="D3790" s="41"/>
      <c r="E3790" s="41"/>
      <c r="F3790" s="41"/>
      <c r="G3790" s="41"/>
      <c r="H3790" s="41"/>
      <c r="I3790" s="41"/>
      <c r="J3790" s="41"/>
      <c r="K3790" s="41"/>
      <c r="L3790" s="41"/>
      <c r="M3790" s="41"/>
      <c r="N3790" s="41"/>
      <c r="O3790" s="41"/>
    </row>
    <row r="3791" spans="1:15">
      <c r="A3791" s="39"/>
      <c r="B3791" s="40"/>
      <c r="C3791" s="41"/>
      <c r="D3791" s="41"/>
      <c r="E3791" s="41"/>
      <c r="F3791" s="41"/>
      <c r="G3791" s="41"/>
      <c r="H3791" s="41"/>
      <c r="I3791" s="41"/>
      <c r="J3791" s="41"/>
      <c r="K3791" s="41"/>
      <c r="L3791" s="41"/>
      <c r="M3791" s="41"/>
      <c r="N3791" s="41"/>
      <c r="O3791" s="41"/>
    </row>
    <row r="3792" spans="1:15">
      <c r="A3792" s="39"/>
      <c r="B3792" s="40"/>
      <c r="C3792" s="41"/>
      <c r="D3792" s="41"/>
      <c r="E3792" s="41"/>
      <c r="F3792" s="41"/>
      <c r="G3792" s="41"/>
      <c r="H3792" s="41"/>
      <c r="I3792" s="41"/>
      <c r="J3792" s="41"/>
      <c r="K3792" s="41"/>
      <c r="L3792" s="41"/>
      <c r="M3792" s="41"/>
      <c r="N3792" s="41"/>
      <c r="O3792" s="41"/>
    </row>
    <row r="3793" spans="1:15">
      <c r="A3793" s="39"/>
      <c r="B3793" s="40"/>
      <c r="C3793" s="41"/>
      <c r="D3793" s="41"/>
      <c r="E3793" s="41"/>
      <c r="F3793" s="41"/>
      <c r="G3793" s="41"/>
      <c r="H3793" s="41"/>
      <c r="I3793" s="41"/>
      <c r="J3793" s="41"/>
      <c r="K3793" s="41"/>
      <c r="L3793" s="41"/>
      <c r="M3793" s="41"/>
      <c r="N3793" s="41"/>
      <c r="O3793" s="41"/>
    </row>
    <row r="3794" spans="1:15">
      <c r="A3794" s="39"/>
      <c r="B3794" s="40"/>
      <c r="C3794" s="41"/>
      <c r="D3794" s="41"/>
      <c r="E3794" s="41"/>
      <c r="F3794" s="41"/>
      <c r="G3794" s="41"/>
      <c r="H3794" s="41"/>
      <c r="I3794" s="41"/>
      <c r="J3794" s="41"/>
      <c r="K3794" s="41"/>
      <c r="L3794" s="41"/>
      <c r="M3794" s="41"/>
      <c r="N3794" s="41"/>
      <c r="O3794" s="41"/>
    </row>
    <row r="3795" spans="1:15">
      <c r="A3795" s="39"/>
      <c r="B3795" s="40"/>
      <c r="C3795" s="41"/>
      <c r="D3795" s="41"/>
      <c r="E3795" s="41"/>
      <c r="F3795" s="41"/>
      <c r="G3795" s="41"/>
      <c r="H3795" s="41"/>
      <c r="I3795" s="41"/>
      <c r="J3795" s="41"/>
      <c r="K3795" s="41"/>
      <c r="L3795" s="41"/>
      <c r="M3795" s="41"/>
      <c r="N3795" s="41"/>
      <c r="O3795" s="41"/>
    </row>
    <row r="3796" spans="1:15">
      <c r="A3796" s="39"/>
      <c r="B3796" s="40"/>
      <c r="C3796" s="41"/>
      <c r="D3796" s="41"/>
      <c r="E3796" s="41"/>
      <c r="F3796" s="41"/>
      <c r="G3796" s="41"/>
      <c r="H3796" s="41"/>
      <c r="I3796" s="41"/>
      <c r="J3796" s="41"/>
      <c r="K3796" s="41"/>
      <c r="L3796" s="41"/>
      <c r="M3796" s="41"/>
      <c r="N3796" s="41"/>
      <c r="O3796" s="41"/>
    </row>
    <row r="3797" spans="1:15">
      <c r="A3797" s="39"/>
      <c r="B3797" s="40"/>
      <c r="C3797" s="41"/>
      <c r="D3797" s="41"/>
      <c r="E3797" s="41"/>
      <c r="F3797" s="41"/>
      <c r="G3797" s="41"/>
      <c r="H3797" s="41"/>
      <c r="I3797" s="41"/>
      <c r="J3797" s="41"/>
      <c r="K3797" s="41"/>
      <c r="L3797" s="41"/>
      <c r="M3797" s="41"/>
      <c r="N3797" s="41"/>
      <c r="O3797" s="41"/>
    </row>
    <row r="3798" spans="1:15">
      <c r="A3798" s="39"/>
      <c r="B3798" s="40"/>
      <c r="C3798" s="41"/>
      <c r="D3798" s="41"/>
      <c r="E3798" s="41"/>
      <c r="F3798" s="41"/>
      <c r="G3798" s="41"/>
      <c r="H3798" s="41"/>
      <c r="I3798" s="41"/>
      <c r="J3798" s="41"/>
      <c r="K3798" s="41"/>
      <c r="L3798" s="41"/>
      <c r="M3798" s="41"/>
      <c r="N3798" s="41"/>
      <c r="O3798" s="41"/>
    </row>
    <row r="3799" spans="1:15">
      <c r="A3799" s="39"/>
      <c r="B3799" s="40"/>
      <c r="C3799" s="41"/>
      <c r="D3799" s="41"/>
      <c r="E3799" s="41"/>
      <c r="F3799" s="41"/>
      <c r="G3799" s="41"/>
      <c r="H3799" s="41"/>
      <c r="I3799" s="41"/>
      <c r="J3799" s="41"/>
      <c r="K3799" s="41"/>
      <c r="L3799" s="41"/>
      <c r="M3799" s="41"/>
      <c r="N3799" s="41"/>
      <c r="O3799" s="41"/>
    </row>
    <row r="3800" spans="1:15">
      <c r="A3800" s="39"/>
      <c r="B3800" s="40"/>
      <c r="C3800" s="41"/>
      <c r="D3800" s="41"/>
      <c r="E3800" s="41"/>
      <c r="F3800" s="41"/>
      <c r="G3800" s="41"/>
      <c r="H3800" s="41"/>
      <c r="I3800" s="41"/>
      <c r="J3800" s="41"/>
      <c r="K3800" s="41"/>
      <c r="L3800" s="41"/>
      <c r="M3800" s="41"/>
      <c r="N3800" s="41"/>
      <c r="O3800" s="41"/>
    </row>
    <row r="3801" spans="1:15">
      <c r="A3801" s="39"/>
      <c r="B3801" s="40"/>
      <c r="C3801" s="41"/>
      <c r="D3801" s="41"/>
      <c r="E3801" s="41"/>
      <c r="F3801" s="41"/>
      <c r="G3801" s="41"/>
      <c r="H3801" s="41"/>
      <c r="I3801" s="41"/>
      <c r="J3801" s="41"/>
      <c r="K3801" s="41"/>
      <c r="L3801" s="41"/>
      <c r="M3801" s="41"/>
      <c r="N3801" s="41"/>
      <c r="O3801" s="41"/>
    </row>
    <row r="3802" spans="1:15">
      <c r="A3802" s="39"/>
      <c r="B3802" s="40"/>
      <c r="C3802" s="41"/>
      <c r="D3802" s="41"/>
      <c r="E3802" s="41"/>
      <c r="F3802" s="41"/>
      <c r="G3802" s="41"/>
      <c r="H3802" s="41"/>
      <c r="I3802" s="41"/>
      <c r="J3802" s="41"/>
      <c r="K3802" s="41"/>
      <c r="L3802" s="41"/>
      <c r="M3802" s="41"/>
      <c r="N3802" s="41"/>
      <c r="O3802" s="41"/>
    </row>
    <row r="3803" spans="1:15">
      <c r="A3803" s="39"/>
      <c r="B3803" s="40"/>
      <c r="C3803" s="41"/>
      <c r="D3803" s="41"/>
      <c r="E3803" s="41"/>
      <c r="F3803" s="41"/>
      <c r="G3803" s="41"/>
      <c r="H3803" s="41"/>
      <c r="I3803" s="41"/>
      <c r="J3803" s="41"/>
      <c r="K3803" s="41"/>
      <c r="L3803" s="41"/>
      <c r="M3803" s="41"/>
      <c r="N3803" s="41"/>
      <c r="O3803" s="41"/>
    </row>
    <row r="3804" spans="1:15">
      <c r="A3804" s="39"/>
      <c r="B3804" s="40"/>
      <c r="C3804" s="41"/>
      <c r="D3804" s="41"/>
      <c r="E3804" s="41"/>
      <c r="F3804" s="41"/>
      <c r="G3804" s="41"/>
      <c r="H3804" s="41"/>
      <c r="I3804" s="41"/>
      <c r="J3804" s="41"/>
      <c r="K3804" s="41"/>
      <c r="L3804" s="41"/>
      <c r="M3804" s="41"/>
      <c r="N3804" s="41"/>
      <c r="O3804" s="41"/>
    </row>
    <row r="3805" spans="1:15">
      <c r="A3805" s="39"/>
      <c r="B3805" s="40"/>
      <c r="C3805" s="41"/>
      <c r="D3805" s="41"/>
      <c r="E3805" s="41"/>
      <c r="F3805" s="41"/>
      <c r="G3805" s="41"/>
      <c r="H3805" s="41"/>
      <c r="I3805" s="41"/>
      <c r="J3805" s="41"/>
      <c r="K3805" s="41"/>
      <c r="L3805" s="41"/>
      <c r="M3805" s="41"/>
      <c r="N3805" s="41"/>
      <c r="O3805" s="41"/>
    </row>
    <row r="3806" spans="1:15">
      <c r="A3806" s="39"/>
      <c r="B3806" s="40"/>
      <c r="C3806" s="41"/>
      <c r="D3806" s="41"/>
      <c r="E3806" s="41"/>
      <c r="F3806" s="41"/>
      <c r="G3806" s="41"/>
      <c r="H3806" s="41"/>
      <c r="I3806" s="41"/>
      <c r="J3806" s="41"/>
      <c r="K3806" s="41"/>
      <c r="L3806" s="41"/>
      <c r="M3806" s="41"/>
      <c r="N3806" s="41"/>
      <c r="O3806" s="41"/>
    </row>
    <row r="3807" spans="1:15">
      <c r="A3807" s="39"/>
      <c r="B3807" s="40"/>
      <c r="C3807" s="41"/>
      <c r="D3807" s="41"/>
      <c r="E3807" s="41"/>
      <c r="F3807" s="41"/>
      <c r="G3807" s="41"/>
      <c r="H3807" s="41"/>
      <c r="I3807" s="41"/>
      <c r="J3807" s="41"/>
      <c r="K3807" s="41"/>
      <c r="L3807" s="41"/>
      <c r="M3807" s="41"/>
      <c r="N3807" s="41"/>
      <c r="O3807" s="41"/>
    </row>
    <row r="3808" spans="1:15">
      <c r="A3808" s="39"/>
      <c r="B3808" s="40"/>
      <c r="C3808" s="41"/>
      <c r="D3808" s="41"/>
      <c r="E3808" s="41"/>
      <c r="F3808" s="41"/>
      <c r="G3808" s="41"/>
      <c r="H3808" s="41"/>
      <c r="I3808" s="41"/>
      <c r="J3808" s="41"/>
      <c r="K3808" s="41"/>
      <c r="L3808" s="41"/>
      <c r="M3808" s="41"/>
      <c r="N3808" s="41"/>
      <c r="O3808" s="41"/>
    </row>
    <row r="3809" spans="1:15">
      <c r="A3809" s="39"/>
      <c r="B3809" s="40"/>
      <c r="C3809" s="41"/>
      <c r="D3809" s="41"/>
      <c r="E3809" s="41"/>
      <c r="F3809" s="41"/>
      <c r="G3809" s="41"/>
      <c r="H3809" s="41"/>
      <c r="I3809" s="41"/>
      <c r="J3809" s="41"/>
      <c r="K3809" s="41"/>
      <c r="L3809" s="41"/>
      <c r="M3809" s="41"/>
      <c r="N3809" s="41"/>
      <c r="O3809" s="41"/>
    </row>
    <row r="3810" spans="1:15">
      <c r="A3810" s="39"/>
      <c r="B3810" s="40"/>
      <c r="C3810" s="41"/>
      <c r="D3810" s="41"/>
      <c r="E3810" s="41"/>
      <c r="F3810" s="41"/>
      <c r="G3810" s="41"/>
      <c r="H3810" s="41"/>
      <c r="I3810" s="41"/>
      <c r="J3810" s="41"/>
      <c r="K3810" s="41"/>
      <c r="L3810" s="41"/>
      <c r="M3810" s="41"/>
      <c r="N3810" s="41"/>
      <c r="O3810" s="41"/>
    </row>
    <row r="3811" spans="1:15">
      <c r="A3811" s="39"/>
      <c r="B3811" s="40"/>
      <c r="C3811" s="41"/>
      <c r="D3811" s="41"/>
      <c r="E3811" s="41"/>
      <c r="F3811" s="41"/>
      <c r="G3811" s="41"/>
      <c r="H3811" s="41"/>
      <c r="I3811" s="41"/>
      <c r="J3811" s="41"/>
      <c r="K3811" s="41"/>
      <c r="L3811" s="41"/>
      <c r="M3811" s="41"/>
      <c r="N3811" s="41"/>
      <c r="O3811" s="41"/>
    </row>
    <row r="3812" spans="1:15">
      <c r="A3812" s="39"/>
      <c r="B3812" s="40"/>
      <c r="C3812" s="41"/>
      <c r="D3812" s="41"/>
      <c r="E3812" s="41"/>
      <c r="F3812" s="41"/>
      <c r="G3812" s="41"/>
      <c r="H3812" s="41"/>
      <c r="I3812" s="41"/>
      <c r="J3812" s="41"/>
      <c r="K3812" s="41"/>
      <c r="L3812" s="41"/>
      <c r="M3812" s="41"/>
      <c r="N3812" s="41"/>
      <c r="O3812" s="41"/>
    </row>
    <row r="3813" spans="1:15">
      <c r="A3813" s="39"/>
      <c r="B3813" s="40"/>
      <c r="C3813" s="41"/>
      <c r="D3813" s="41"/>
      <c r="E3813" s="41"/>
      <c r="F3813" s="41"/>
      <c r="G3813" s="41"/>
      <c r="H3813" s="41"/>
      <c r="I3813" s="41"/>
      <c r="J3813" s="41"/>
      <c r="K3813" s="41"/>
      <c r="L3813" s="41"/>
      <c r="M3813" s="41"/>
      <c r="N3813" s="41"/>
      <c r="O3813" s="41"/>
    </row>
    <row r="3814" spans="1:15">
      <c r="A3814" s="39"/>
      <c r="B3814" s="40"/>
      <c r="C3814" s="41"/>
      <c r="D3814" s="41"/>
      <c r="E3814" s="41"/>
      <c r="F3814" s="41"/>
      <c r="G3814" s="41"/>
      <c r="H3814" s="41"/>
      <c r="I3814" s="41"/>
      <c r="J3814" s="41"/>
      <c r="K3814" s="41"/>
      <c r="L3814" s="41"/>
      <c r="M3814" s="41"/>
      <c r="N3814" s="41"/>
      <c r="O3814" s="41"/>
    </row>
    <row r="3815" spans="1:15">
      <c r="A3815" s="39"/>
      <c r="B3815" s="40"/>
      <c r="C3815" s="41"/>
      <c r="D3815" s="41"/>
      <c r="E3815" s="41"/>
      <c r="F3815" s="41"/>
      <c r="G3815" s="41"/>
      <c r="H3815" s="41"/>
      <c r="I3815" s="41"/>
      <c r="J3815" s="41"/>
      <c r="K3815" s="41"/>
      <c r="L3815" s="41"/>
      <c r="M3815" s="41"/>
      <c r="N3815" s="41"/>
      <c r="O3815" s="41"/>
    </row>
    <row r="3816" spans="1:15">
      <c r="A3816" s="39"/>
      <c r="B3816" s="40"/>
      <c r="C3816" s="41"/>
      <c r="D3816" s="41"/>
      <c r="E3816" s="41"/>
      <c r="F3816" s="41"/>
      <c r="G3816" s="41"/>
      <c r="H3816" s="41"/>
      <c r="I3816" s="41"/>
      <c r="J3816" s="41"/>
      <c r="K3816" s="41"/>
      <c r="L3816" s="41"/>
      <c r="M3816" s="41"/>
      <c r="N3816" s="41"/>
      <c r="O3816" s="41"/>
    </row>
    <row r="3817" spans="1:15">
      <c r="A3817" s="39"/>
      <c r="B3817" s="40"/>
      <c r="C3817" s="41"/>
      <c r="D3817" s="41"/>
      <c r="E3817" s="41"/>
      <c r="F3817" s="41"/>
      <c r="G3817" s="41"/>
      <c r="H3817" s="41"/>
      <c r="I3817" s="41"/>
      <c r="J3817" s="41"/>
      <c r="K3817" s="41"/>
      <c r="L3817" s="41"/>
      <c r="M3817" s="41"/>
      <c r="N3817" s="41"/>
      <c r="O3817" s="41"/>
    </row>
    <row r="3818" spans="1:15">
      <c r="A3818" s="39"/>
      <c r="B3818" s="40"/>
      <c r="C3818" s="41"/>
      <c r="D3818" s="41"/>
      <c r="E3818" s="41"/>
      <c r="F3818" s="41"/>
      <c r="G3818" s="41"/>
      <c r="H3818" s="41"/>
      <c r="I3818" s="41"/>
      <c r="J3818" s="41"/>
      <c r="K3818" s="41"/>
      <c r="L3818" s="41"/>
      <c r="M3818" s="41"/>
      <c r="N3818" s="41"/>
      <c r="O3818" s="41"/>
    </row>
    <row r="3819" spans="1:15">
      <c r="A3819" s="39"/>
      <c r="B3819" s="40"/>
      <c r="C3819" s="41"/>
      <c r="D3819" s="41"/>
      <c r="E3819" s="41"/>
      <c r="F3819" s="41"/>
      <c r="G3819" s="41"/>
      <c r="H3819" s="41"/>
      <c r="I3819" s="41"/>
      <c r="J3819" s="41"/>
      <c r="K3819" s="41"/>
      <c r="L3819" s="41"/>
      <c r="M3819" s="41"/>
      <c r="N3819" s="41"/>
      <c r="O3819" s="41"/>
    </row>
    <row r="3820" spans="1:15">
      <c r="A3820" s="39"/>
      <c r="B3820" s="40"/>
      <c r="C3820" s="41"/>
      <c r="D3820" s="41"/>
      <c r="E3820" s="41"/>
      <c r="F3820" s="41"/>
      <c r="G3820" s="41"/>
      <c r="H3820" s="41"/>
      <c r="I3820" s="41"/>
      <c r="J3820" s="41"/>
      <c r="K3820" s="41"/>
      <c r="L3820" s="41"/>
      <c r="M3820" s="41"/>
      <c r="N3820" s="41"/>
      <c r="O3820" s="41"/>
    </row>
    <row r="3821" spans="1:15">
      <c r="A3821" s="39"/>
      <c r="B3821" s="40"/>
      <c r="C3821" s="41"/>
      <c r="D3821" s="41"/>
      <c r="E3821" s="41"/>
      <c r="F3821" s="41"/>
      <c r="G3821" s="41"/>
      <c r="H3821" s="41"/>
      <c r="I3821" s="41"/>
      <c r="J3821" s="41"/>
      <c r="K3821" s="41"/>
      <c r="L3821" s="41"/>
      <c r="M3821" s="41"/>
      <c r="N3821" s="41"/>
      <c r="O3821" s="41"/>
    </row>
    <row r="3822" spans="1:15">
      <c r="A3822" s="39"/>
      <c r="B3822" s="40"/>
      <c r="C3822" s="41"/>
      <c r="D3822" s="41"/>
      <c r="E3822" s="41"/>
      <c r="F3822" s="41"/>
      <c r="G3822" s="41"/>
      <c r="H3822" s="41"/>
      <c r="I3822" s="41"/>
      <c r="J3822" s="41"/>
      <c r="K3822" s="41"/>
      <c r="L3822" s="41"/>
      <c r="M3822" s="41"/>
      <c r="N3822" s="41"/>
      <c r="O3822" s="41"/>
    </row>
    <row r="3823" spans="1:15">
      <c r="A3823" s="39"/>
      <c r="B3823" s="40"/>
      <c r="C3823" s="41"/>
      <c r="D3823" s="41"/>
      <c r="E3823" s="41"/>
      <c r="F3823" s="41"/>
      <c r="G3823" s="41"/>
      <c r="H3823" s="41"/>
      <c r="I3823" s="41"/>
      <c r="J3823" s="41"/>
      <c r="K3823" s="41"/>
      <c r="L3823" s="41"/>
      <c r="M3823" s="41"/>
      <c r="N3823" s="41"/>
      <c r="O3823" s="41"/>
    </row>
    <row r="3824" spans="1:15">
      <c r="A3824" s="39"/>
      <c r="B3824" s="40"/>
      <c r="C3824" s="41"/>
      <c r="D3824" s="41"/>
      <c r="E3824" s="41"/>
      <c r="F3824" s="41"/>
      <c r="G3824" s="41"/>
      <c r="H3824" s="41"/>
      <c r="I3824" s="41"/>
      <c r="J3824" s="41"/>
      <c r="K3824" s="41"/>
      <c r="L3824" s="41"/>
      <c r="M3824" s="41"/>
      <c r="N3824" s="41"/>
      <c r="O3824" s="41"/>
    </row>
    <row r="3825" spans="1:15">
      <c r="A3825" s="39"/>
      <c r="B3825" s="40"/>
      <c r="C3825" s="41"/>
      <c r="D3825" s="41"/>
      <c r="E3825" s="41"/>
      <c r="F3825" s="41"/>
      <c r="G3825" s="41"/>
      <c r="H3825" s="41"/>
      <c r="I3825" s="41"/>
      <c r="J3825" s="41"/>
      <c r="K3825" s="41"/>
      <c r="L3825" s="41"/>
      <c r="M3825" s="41"/>
      <c r="N3825" s="41"/>
      <c r="O3825" s="41"/>
    </row>
    <row r="3826" spans="1:15">
      <c r="A3826" s="39"/>
      <c r="B3826" s="40"/>
      <c r="C3826" s="41"/>
      <c r="D3826" s="41"/>
      <c r="E3826" s="41"/>
      <c r="F3826" s="41"/>
      <c r="G3826" s="41"/>
      <c r="H3826" s="41"/>
      <c r="I3826" s="41"/>
      <c r="J3826" s="41"/>
      <c r="K3826" s="41"/>
      <c r="L3826" s="41"/>
      <c r="M3826" s="41"/>
      <c r="N3826" s="41"/>
      <c r="O3826" s="41"/>
    </row>
    <row r="3827" spans="1:15">
      <c r="A3827" s="39"/>
      <c r="B3827" s="40"/>
      <c r="C3827" s="41"/>
      <c r="D3827" s="41"/>
      <c r="E3827" s="41"/>
      <c r="F3827" s="41"/>
      <c r="G3827" s="41"/>
      <c r="H3827" s="41"/>
      <c r="I3827" s="41"/>
      <c r="J3827" s="41"/>
      <c r="K3827" s="41"/>
      <c r="L3827" s="41"/>
      <c r="M3827" s="41"/>
      <c r="N3827" s="41"/>
      <c r="O3827" s="41"/>
    </row>
    <row r="3828" spans="1:15">
      <c r="A3828" s="39"/>
      <c r="B3828" s="40"/>
      <c r="C3828" s="41"/>
      <c r="D3828" s="41"/>
      <c r="E3828" s="41"/>
      <c r="F3828" s="41"/>
      <c r="G3828" s="41"/>
      <c r="H3828" s="41"/>
      <c r="I3828" s="41"/>
      <c r="J3828" s="41"/>
      <c r="K3828" s="41"/>
      <c r="L3828" s="41"/>
      <c r="M3828" s="41"/>
      <c r="N3828" s="41"/>
      <c r="O3828" s="41"/>
    </row>
    <row r="3829" spans="1:15">
      <c r="A3829" s="39"/>
      <c r="B3829" s="40"/>
      <c r="C3829" s="41"/>
      <c r="D3829" s="41"/>
      <c r="E3829" s="41"/>
      <c r="F3829" s="41"/>
      <c r="G3829" s="41"/>
      <c r="H3829" s="41"/>
      <c r="I3829" s="41"/>
      <c r="J3829" s="41"/>
      <c r="K3829" s="41"/>
      <c r="L3829" s="41"/>
      <c r="M3829" s="41"/>
      <c r="N3829" s="41"/>
      <c r="O3829" s="41"/>
    </row>
    <row r="3830" spans="1:15">
      <c r="A3830" s="39"/>
      <c r="B3830" s="40"/>
      <c r="C3830" s="41"/>
      <c r="D3830" s="41"/>
      <c r="E3830" s="41"/>
      <c r="F3830" s="41"/>
      <c r="G3830" s="41"/>
      <c r="H3830" s="41"/>
      <c r="I3830" s="41"/>
      <c r="J3830" s="41"/>
      <c r="K3830" s="41"/>
      <c r="L3830" s="41"/>
      <c r="M3830" s="41"/>
      <c r="N3830" s="41"/>
      <c r="O3830" s="41"/>
    </row>
    <row r="3831" spans="1:15">
      <c r="A3831" s="39"/>
      <c r="B3831" s="40"/>
      <c r="C3831" s="41"/>
      <c r="D3831" s="41"/>
      <c r="E3831" s="41"/>
      <c r="F3831" s="41"/>
      <c r="G3831" s="41"/>
      <c r="H3831" s="41"/>
      <c r="I3831" s="41"/>
      <c r="J3831" s="41"/>
      <c r="K3831" s="41"/>
      <c r="L3831" s="41"/>
      <c r="M3831" s="41"/>
      <c r="N3831" s="41"/>
      <c r="O3831" s="41"/>
    </row>
    <row r="3832" spans="1:15">
      <c r="A3832" s="39"/>
      <c r="B3832" s="40"/>
      <c r="C3832" s="41"/>
      <c r="D3832" s="41"/>
      <c r="E3832" s="41"/>
      <c r="F3832" s="41"/>
      <c r="G3832" s="41"/>
      <c r="H3832" s="41"/>
      <c r="I3832" s="41"/>
      <c r="J3832" s="41"/>
      <c r="K3832" s="41"/>
      <c r="L3832" s="41"/>
      <c r="M3832" s="41"/>
      <c r="N3832" s="41"/>
      <c r="O3832" s="41"/>
    </row>
    <row r="3833" spans="1:15">
      <c r="A3833" s="39"/>
      <c r="B3833" s="40"/>
      <c r="C3833" s="41"/>
      <c r="D3833" s="41"/>
      <c r="E3833" s="41"/>
      <c r="F3833" s="41"/>
      <c r="G3833" s="41"/>
      <c r="H3833" s="41"/>
      <c r="I3833" s="41"/>
      <c r="J3833" s="41"/>
      <c r="K3833" s="41"/>
      <c r="L3833" s="41"/>
      <c r="M3833" s="41"/>
      <c r="N3833" s="41"/>
      <c r="O3833" s="41"/>
    </row>
    <row r="3834" spans="1:15">
      <c r="A3834" s="39"/>
      <c r="B3834" s="40"/>
      <c r="C3834" s="41"/>
      <c r="D3834" s="41"/>
      <c r="E3834" s="41"/>
      <c r="F3834" s="41"/>
      <c r="G3834" s="41"/>
      <c r="H3834" s="41"/>
      <c r="I3834" s="41"/>
      <c r="J3834" s="41"/>
      <c r="K3834" s="41"/>
      <c r="L3834" s="41"/>
      <c r="M3834" s="41"/>
      <c r="N3834" s="41"/>
      <c r="O3834" s="41"/>
    </row>
    <row r="3835" spans="1:15">
      <c r="A3835" s="39"/>
      <c r="B3835" s="40"/>
      <c r="C3835" s="41"/>
      <c r="D3835" s="41"/>
      <c r="E3835" s="41"/>
      <c r="F3835" s="41"/>
      <c r="G3835" s="41"/>
      <c r="H3835" s="41"/>
      <c r="I3835" s="41"/>
      <c r="J3835" s="41"/>
      <c r="K3835" s="41"/>
      <c r="L3835" s="41"/>
      <c r="M3835" s="41"/>
      <c r="N3835" s="41"/>
      <c r="O3835" s="41"/>
    </row>
    <row r="3836" spans="1:15">
      <c r="A3836" s="39"/>
      <c r="B3836" s="40"/>
      <c r="C3836" s="41"/>
      <c r="D3836" s="41"/>
      <c r="E3836" s="41"/>
      <c r="F3836" s="41"/>
      <c r="G3836" s="41"/>
      <c r="H3836" s="41"/>
      <c r="I3836" s="41"/>
      <c r="J3836" s="41"/>
      <c r="K3836" s="41"/>
      <c r="L3836" s="41"/>
      <c r="M3836" s="41"/>
      <c r="N3836" s="41"/>
      <c r="O3836" s="41"/>
    </row>
    <row r="3837" spans="1:15">
      <c r="A3837" s="39"/>
      <c r="B3837" s="40"/>
      <c r="C3837" s="41"/>
      <c r="D3837" s="41"/>
      <c r="E3837" s="41"/>
      <c r="F3837" s="41"/>
      <c r="G3837" s="41"/>
      <c r="H3837" s="41"/>
      <c r="I3837" s="41"/>
      <c r="J3837" s="41"/>
      <c r="K3837" s="41"/>
      <c r="L3837" s="41"/>
      <c r="M3837" s="41"/>
      <c r="N3837" s="41"/>
      <c r="O3837" s="41"/>
    </row>
    <row r="3838" spans="1:15">
      <c r="A3838" s="39"/>
      <c r="B3838" s="40"/>
      <c r="C3838" s="41"/>
      <c r="D3838" s="41"/>
      <c r="E3838" s="41"/>
      <c r="F3838" s="41"/>
      <c r="G3838" s="41"/>
      <c r="H3838" s="41"/>
      <c r="I3838" s="41"/>
      <c r="J3838" s="41"/>
      <c r="K3838" s="41"/>
      <c r="L3838" s="41"/>
      <c r="M3838" s="41"/>
      <c r="N3838" s="41"/>
      <c r="O3838" s="41"/>
    </row>
    <row r="3839" spans="1:15">
      <c r="A3839" s="39"/>
      <c r="B3839" s="40"/>
      <c r="C3839" s="41"/>
      <c r="D3839" s="41"/>
      <c r="E3839" s="41"/>
      <c r="F3839" s="41"/>
      <c r="G3839" s="41"/>
      <c r="H3839" s="41"/>
      <c r="I3839" s="41"/>
      <c r="J3839" s="41"/>
      <c r="K3839" s="41"/>
      <c r="L3839" s="41"/>
      <c r="M3839" s="41"/>
      <c r="N3839" s="41"/>
      <c r="O3839" s="41"/>
    </row>
    <row r="3840" spans="1:15">
      <c r="A3840" s="39"/>
      <c r="B3840" s="40"/>
      <c r="C3840" s="41"/>
      <c r="D3840" s="41"/>
      <c r="E3840" s="41"/>
      <c r="F3840" s="41"/>
      <c r="G3840" s="41"/>
      <c r="H3840" s="41"/>
      <c r="I3840" s="41"/>
      <c r="J3840" s="41"/>
      <c r="K3840" s="41"/>
      <c r="L3840" s="41"/>
      <c r="M3840" s="41"/>
      <c r="N3840" s="41"/>
      <c r="O3840" s="41"/>
    </row>
    <row r="3841" spans="1:15">
      <c r="A3841" s="39"/>
      <c r="B3841" s="40"/>
      <c r="C3841" s="41"/>
      <c r="D3841" s="41"/>
      <c r="E3841" s="41"/>
      <c r="F3841" s="41"/>
      <c r="G3841" s="41"/>
      <c r="H3841" s="41"/>
      <c r="I3841" s="41"/>
      <c r="J3841" s="41"/>
      <c r="K3841" s="41"/>
      <c r="L3841" s="41"/>
      <c r="M3841" s="41"/>
      <c r="N3841" s="41"/>
      <c r="O3841" s="41"/>
    </row>
    <row r="3842" spans="1:15">
      <c r="A3842" s="39"/>
      <c r="B3842" s="40"/>
      <c r="C3842" s="41"/>
      <c r="D3842" s="41"/>
      <c r="E3842" s="41"/>
      <c r="F3842" s="41"/>
      <c r="G3842" s="41"/>
      <c r="H3842" s="41"/>
      <c r="I3842" s="41"/>
      <c r="J3842" s="41"/>
      <c r="K3842" s="41"/>
      <c r="L3842" s="41"/>
      <c r="M3842" s="41"/>
      <c r="N3842" s="41"/>
      <c r="O3842" s="41"/>
    </row>
    <row r="3843" spans="1:15">
      <c r="A3843" s="39"/>
      <c r="B3843" s="40"/>
      <c r="C3843" s="41"/>
      <c r="D3843" s="41"/>
      <c r="E3843" s="41"/>
      <c r="F3843" s="41"/>
      <c r="G3843" s="41"/>
      <c r="H3843" s="41"/>
      <c r="I3843" s="41"/>
      <c r="J3843" s="41"/>
      <c r="K3843" s="41"/>
      <c r="L3843" s="41"/>
      <c r="M3843" s="41"/>
      <c r="N3843" s="41"/>
      <c r="O3843" s="41"/>
    </row>
    <row r="3844" spans="1:15">
      <c r="A3844" s="39"/>
      <c r="B3844" s="40"/>
      <c r="C3844" s="41"/>
      <c r="D3844" s="41"/>
      <c r="E3844" s="41"/>
      <c r="F3844" s="41"/>
      <c r="G3844" s="41"/>
      <c r="H3844" s="41"/>
      <c r="I3844" s="41"/>
      <c r="J3844" s="41"/>
      <c r="K3844" s="41"/>
      <c r="L3844" s="41"/>
      <c r="M3844" s="41"/>
      <c r="N3844" s="41"/>
      <c r="O3844" s="41"/>
    </row>
    <row r="3845" spans="1:15">
      <c r="A3845" s="39"/>
      <c r="B3845" s="40"/>
      <c r="C3845" s="41"/>
      <c r="D3845" s="41"/>
      <c r="E3845" s="41"/>
      <c r="F3845" s="41"/>
      <c r="G3845" s="41"/>
      <c r="H3845" s="41"/>
      <c r="I3845" s="41"/>
      <c r="J3845" s="41"/>
      <c r="K3845" s="41"/>
      <c r="L3845" s="41"/>
      <c r="M3845" s="41"/>
      <c r="N3845" s="41"/>
      <c r="O3845" s="41"/>
    </row>
    <row r="3846" spans="1:15">
      <c r="A3846" s="39"/>
      <c r="B3846" s="40"/>
      <c r="C3846" s="41"/>
      <c r="D3846" s="41"/>
      <c r="E3846" s="41"/>
      <c r="F3846" s="41"/>
      <c r="G3846" s="41"/>
      <c r="H3846" s="41"/>
      <c r="I3846" s="41"/>
      <c r="J3846" s="41"/>
      <c r="K3846" s="41"/>
      <c r="L3846" s="41"/>
      <c r="M3846" s="41"/>
      <c r="N3846" s="41"/>
      <c r="O3846" s="41"/>
    </row>
    <row r="3847" spans="1:15">
      <c r="A3847" s="39"/>
      <c r="B3847" s="40"/>
      <c r="C3847" s="41"/>
      <c r="D3847" s="41"/>
      <c r="E3847" s="41"/>
      <c r="F3847" s="41"/>
      <c r="G3847" s="41"/>
      <c r="H3847" s="41"/>
      <c r="I3847" s="41"/>
      <c r="J3847" s="41"/>
      <c r="K3847" s="41"/>
      <c r="L3847" s="41"/>
      <c r="M3847" s="41"/>
      <c r="N3847" s="41"/>
      <c r="O3847" s="41"/>
    </row>
    <row r="3848" spans="1:15">
      <c r="A3848" s="39"/>
      <c r="B3848" s="40"/>
      <c r="C3848" s="41"/>
      <c r="D3848" s="41"/>
      <c r="E3848" s="41"/>
      <c r="F3848" s="41"/>
      <c r="G3848" s="41"/>
      <c r="H3848" s="41"/>
      <c r="I3848" s="41"/>
      <c r="J3848" s="41"/>
      <c r="K3848" s="41"/>
      <c r="L3848" s="41"/>
      <c r="M3848" s="41"/>
      <c r="N3848" s="41"/>
      <c r="O3848" s="41"/>
    </row>
    <row r="3849" spans="1:15">
      <c r="A3849" s="39"/>
      <c r="B3849" s="40"/>
      <c r="C3849" s="41"/>
      <c r="D3849" s="41"/>
      <c r="E3849" s="41"/>
      <c r="F3849" s="41"/>
      <c r="G3849" s="41"/>
      <c r="H3849" s="41"/>
      <c r="I3849" s="41"/>
      <c r="J3849" s="41"/>
      <c r="K3849" s="41"/>
      <c r="L3849" s="41"/>
      <c r="M3849" s="41"/>
      <c r="N3849" s="41"/>
      <c r="O3849" s="41"/>
    </row>
    <row r="3850" spans="1:15">
      <c r="A3850" s="39"/>
      <c r="B3850" s="40"/>
      <c r="C3850" s="41"/>
      <c r="D3850" s="41"/>
      <c r="E3850" s="41"/>
      <c r="F3850" s="41"/>
      <c r="G3850" s="41"/>
      <c r="H3850" s="41"/>
      <c r="I3850" s="41"/>
      <c r="J3850" s="41"/>
      <c r="K3850" s="41"/>
      <c r="L3850" s="41"/>
      <c r="M3850" s="41"/>
      <c r="N3850" s="41"/>
      <c r="O3850" s="41"/>
    </row>
    <row r="3851" spans="1:15">
      <c r="A3851" s="39"/>
      <c r="B3851" s="40"/>
      <c r="C3851" s="41"/>
      <c r="D3851" s="41"/>
      <c r="E3851" s="41"/>
      <c r="F3851" s="41"/>
      <c r="G3851" s="41"/>
      <c r="H3851" s="41"/>
      <c r="I3851" s="41"/>
      <c r="J3851" s="41"/>
      <c r="K3851" s="41"/>
      <c r="L3851" s="41"/>
      <c r="M3851" s="41"/>
      <c r="N3851" s="41"/>
      <c r="O3851" s="41"/>
    </row>
    <row r="3852" spans="1:15">
      <c r="A3852" s="39"/>
      <c r="B3852" s="40"/>
      <c r="C3852" s="41"/>
      <c r="D3852" s="41"/>
      <c r="E3852" s="41"/>
      <c r="F3852" s="41"/>
      <c r="G3852" s="41"/>
      <c r="H3852" s="41"/>
      <c r="I3852" s="41"/>
      <c r="J3852" s="41"/>
      <c r="K3852" s="41"/>
      <c r="L3852" s="41"/>
      <c r="M3852" s="41"/>
      <c r="N3852" s="41"/>
      <c r="O3852" s="41"/>
    </row>
    <row r="3853" spans="1:15">
      <c r="A3853" s="39"/>
      <c r="B3853" s="40"/>
      <c r="C3853" s="41"/>
      <c r="D3853" s="41"/>
      <c r="E3853" s="41"/>
      <c r="F3853" s="41"/>
      <c r="G3853" s="41"/>
      <c r="H3853" s="41"/>
      <c r="I3853" s="41"/>
      <c r="J3853" s="41"/>
      <c r="K3853" s="41"/>
      <c r="L3853" s="41"/>
      <c r="M3853" s="41"/>
      <c r="N3853" s="41"/>
      <c r="O3853" s="41"/>
    </row>
    <row r="3854" spans="1:15">
      <c r="A3854" s="39"/>
      <c r="B3854" s="40"/>
      <c r="C3854" s="41"/>
      <c r="D3854" s="41"/>
      <c r="E3854" s="41"/>
      <c r="F3854" s="41"/>
      <c r="G3854" s="41"/>
      <c r="H3854" s="41"/>
      <c r="I3854" s="41"/>
      <c r="J3854" s="41"/>
      <c r="K3854" s="41"/>
      <c r="L3854" s="41"/>
      <c r="M3854" s="41"/>
      <c r="N3854" s="41"/>
      <c r="O3854" s="41"/>
    </row>
    <row r="3855" spans="1:15">
      <c r="A3855" s="39"/>
      <c r="B3855" s="40"/>
      <c r="C3855" s="41"/>
      <c r="D3855" s="41"/>
      <c r="E3855" s="41"/>
      <c r="F3855" s="41"/>
      <c r="G3855" s="41"/>
      <c r="H3855" s="41"/>
      <c r="I3855" s="41"/>
      <c r="J3855" s="41"/>
      <c r="K3855" s="41"/>
      <c r="L3855" s="41"/>
      <c r="M3855" s="41"/>
      <c r="N3855" s="41"/>
      <c r="O3855" s="41"/>
    </row>
    <row r="3856" spans="1:15">
      <c r="A3856" s="39"/>
      <c r="B3856" s="40"/>
      <c r="C3856" s="41"/>
      <c r="D3856" s="41"/>
      <c r="E3856" s="41"/>
      <c r="F3856" s="41"/>
      <c r="G3856" s="41"/>
      <c r="H3856" s="41"/>
      <c r="I3856" s="41"/>
      <c r="J3856" s="41"/>
      <c r="K3856" s="41"/>
      <c r="L3856" s="41"/>
      <c r="M3856" s="41"/>
      <c r="N3856" s="41"/>
      <c r="O3856" s="41"/>
    </row>
    <row r="3857" spans="1:15">
      <c r="A3857" s="39"/>
      <c r="B3857" s="40"/>
      <c r="C3857" s="41"/>
      <c r="D3857" s="41"/>
      <c r="E3857" s="41"/>
      <c r="F3857" s="41"/>
      <c r="G3857" s="41"/>
      <c r="H3857" s="41"/>
      <c r="I3857" s="41"/>
      <c r="J3857" s="41"/>
      <c r="K3857" s="41"/>
      <c r="L3857" s="41"/>
      <c r="M3857" s="41"/>
      <c r="N3857" s="41"/>
      <c r="O3857" s="41"/>
    </row>
    <row r="3858" spans="1:15">
      <c r="A3858" s="39"/>
      <c r="B3858" s="40"/>
      <c r="C3858" s="41"/>
      <c r="D3858" s="41"/>
      <c r="E3858" s="41"/>
      <c r="F3858" s="41"/>
      <c r="G3858" s="41"/>
      <c r="H3858" s="41"/>
      <c r="I3858" s="41"/>
      <c r="J3858" s="41"/>
      <c r="K3858" s="41"/>
      <c r="L3858" s="41"/>
      <c r="M3858" s="41"/>
      <c r="N3858" s="41"/>
      <c r="O3858" s="41"/>
    </row>
    <row r="3859" spans="1:15">
      <c r="A3859" s="39"/>
      <c r="B3859" s="40"/>
      <c r="C3859" s="41"/>
      <c r="D3859" s="41"/>
      <c r="E3859" s="41"/>
      <c r="F3859" s="41"/>
      <c r="G3859" s="41"/>
      <c r="H3859" s="41"/>
      <c r="I3859" s="41"/>
      <c r="J3859" s="41"/>
      <c r="K3859" s="41"/>
      <c r="L3859" s="41"/>
      <c r="M3859" s="41"/>
      <c r="N3859" s="41"/>
      <c r="O3859" s="41"/>
    </row>
    <row r="3860" spans="1:15">
      <c r="A3860" s="39"/>
      <c r="B3860" s="40"/>
      <c r="C3860" s="41"/>
      <c r="D3860" s="41"/>
      <c r="E3860" s="41"/>
      <c r="F3860" s="41"/>
      <c r="G3860" s="41"/>
      <c r="H3860" s="41"/>
      <c r="I3860" s="41"/>
      <c r="J3860" s="41"/>
      <c r="K3860" s="41"/>
      <c r="L3860" s="41"/>
      <c r="M3860" s="41"/>
      <c r="N3860" s="41"/>
      <c r="O3860" s="41"/>
    </row>
    <row r="3861" spans="1:15">
      <c r="A3861" s="39"/>
      <c r="B3861" s="40"/>
      <c r="C3861" s="41"/>
      <c r="D3861" s="41"/>
      <c r="E3861" s="41"/>
      <c r="F3861" s="41"/>
      <c r="G3861" s="41"/>
      <c r="H3861" s="41"/>
      <c r="I3861" s="41"/>
      <c r="J3861" s="41"/>
      <c r="K3861" s="41"/>
      <c r="L3861" s="41"/>
      <c r="M3861" s="41"/>
      <c r="N3861" s="41"/>
      <c r="O3861" s="41"/>
    </row>
    <row r="3862" spans="1:15">
      <c r="A3862" s="39"/>
      <c r="B3862" s="40"/>
      <c r="C3862" s="41"/>
      <c r="D3862" s="41"/>
      <c r="E3862" s="41"/>
      <c r="F3862" s="41"/>
      <c r="G3862" s="41"/>
      <c r="H3862" s="41"/>
      <c r="I3862" s="41"/>
      <c r="J3862" s="41"/>
      <c r="K3862" s="41"/>
      <c r="L3862" s="41"/>
      <c r="M3862" s="41"/>
      <c r="N3862" s="41"/>
      <c r="O3862" s="41"/>
    </row>
    <row r="3863" spans="1:15">
      <c r="A3863" s="39"/>
      <c r="B3863" s="40"/>
      <c r="C3863" s="41"/>
      <c r="D3863" s="41"/>
      <c r="E3863" s="41"/>
      <c r="F3863" s="41"/>
      <c r="G3863" s="41"/>
      <c r="H3863" s="41"/>
      <c r="I3863" s="41"/>
      <c r="J3863" s="41"/>
      <c r="K3863" s="41"/>
      <c r="L3863" s="41"/>
      <c r="M3863" s="41"/>
      <c r="N3863" s="41"/>
      <c r="O3863" s="41"/>
    </row>
    <row r="3864" spans="1:15">
      <c r="A3864" s="39"/>
      <c r="B3864" s="40"/>
      <c r="C3864" s="41"/>
      <c r="D3864" s="41"/>
      <c r="E3864" s="41"/>
      <c r="F3864" s="41"/>
      <c r="G3864" s="41"/>
      <c r="H3864" s="41"/>
      <c r="I3864" s="41"/>
      <c r="J3864" s="41"/>
      <c r="K3864" s="41"/>
      <c r="L3864" s="41"/>
      <c r="M3864" s="41"/>
      <c r="N3864" s="41"/>
      <c r="O3864" s="41"/>
    </row>
    <row r="3865" spans="1:15">
      <c r="A3865" s="39"/>
      <c r="B3865" s="40"/>
      <c r="C3865" s="41"/>
      <c r="D3865" s="41"/>
      <c r="E3865" s="41"/>
      <c r="F3865" s="41"/>
      <c r="G3865" s="41"/>
      <c r="H3865" s="41"/>
      <c r="I3865" s="41"/>
      <c r="J3865" s="41"/>
      <c r="K3865" s="41"/>
      <c r="L3865" s="41"/>
      <c r="M3865" s="41"/>
      <c r="N3865" s="41"/>
      <c r="O3865" s="41"/>
    </row>
    <row r="3866" spans="1:15">
      <c r="A3866" s="39"/>
      <c r="B3866" s="40"/>
      <c r="C3866" s="41"/>
      <c r="D3866" s="41"/>
      <c r="E3866" s="41"/>
      <c r="F3866" s="41"/>
      <c r="G3866" s="41"/>
      <c r="H3866" s="41"/>
      <c r="I3866" s="41"/>
      <c r="J3866" s="41"/>
      <c r="K3866" s="41"/>
      <c r="L3866" s="41"/>
      <c r="M3866" s="41"/>
      <c r="N3866" s="41"/>
      <c r="O3866" s="41"/>
    </row>
    <row r="3867" spans="1:15">
      <c r="A3867" s="39"/>
      <c r="B3867" s="40"/>
      <c r="C3867" s="41"/>
      <c r="D3867" s="41"/>
      <c r="E3867" s="41"/>
      <c r="F3867" s="41"/>
      <c r="G3867" s="41"/>
      <c r="H3867" s="41"/>
      <c r="I3867" s="41"/>
      <c r="J3867" s="41"/>
      <c r="K3867" s="41"/>
      <c r="L3867" s="41"/>
      <c r="M3867" s="41"/>
      <c r="N3867" s="41"/>
      <c r="O3867" s="41"/>
    </row>
    <row r="3868" spans="1:15">
      <c r="A3868" s="39"/>
      <c r="B3868" s="40"/>
      <c r="C3868" s="41"/>
      <c r="D3868" s="41"/>
      <c r="E3868" s="41"/>
      <c r="F3868" s="41"/>
      <c r="G3868" s="41"/>
      <c r="H3868" s="41"/>
      <c r="I3868" s="41"/>
      <c r="J3868" s="41"/>
      <c r="K3868" s="41"/>
      <c r="L3868" s="41"/>
      <c r="M3868" s="41"/>
      <c r="N3868" s="41"/>
      <c r="O3868" s="41"/>
    </row>
    <row r="3869" spans="1:15">
      <c r="A3869" s="39"/>
      <c r="B3869" s="40"/>
      <c r="C3869" s="41"/>
      <c r="D3869" s="41"/>
      <c r="E3869" s="41"/>
      <c r="F3869" s="41"/>
      <c r="G3869" s="41"/>
      <c r="H3869" s="41"/>
      <c r="I3869" s="41"/>
      <c r="J3869" s="41"/>
      <c r="K3869" s="41"/>
      <c r="L3869" s="41"/>
      <c r="M3869" s="41"/>
      <c r="N3869" s="41"/>
      <c r="O3869" s="41"/>
    </row>
    <row r="3870" spans="1:15">
      <c r="A3870" s="39"/>
      <c r="B3870" s="40"/>
      <c r="C3870" s="41"/>
      <c r="D3870" s="41"/>
      <c r="E3870" s="41"/>
      <c r="F3870" s="41"/>
      <c r="G3870" s="41"/>
      <c r="H3870" s="41"/>
      <c r="I3870" s="41"/>
      <c r="J3870" s="41"/>
      <c r="K3870" s="41"/>
      <c r="L3870" s="41"/>
      <c r="M3870" s="41"/>
      <c r="N3870" s="41"/>
      <c r="O3870" s="41"/>
    </row>
    <row r="3871" spans="1:15">
      <c r="A3871" s="39"/>
      <c r="B3871" s="40"/>
      <c r="C3871" s="41"/>
      <c r="D3871" s="41"/>
      <c r="E3871" s="41"/>
      <c r="F3871" s="41"/>
      <c r="G3871" s="41"/>
      <c r="H3871" s="41"/>
      <c r="I3871" s="41"/>
      <c r="J3871" s="41"/>
      <c r="K3871" s="41"/>
      <c r="L3871" s="41"/>
      <c r="M3871" s="41"/>
      <c r="N3871" s="41"/>
      <c r="O3871" s="41"/>
    </row>
    <row r="3872" spans="1:15">
      <c r="A3872" s="39"/>
      <c r="B3872" s="40"/>
      <c r="C3872" s="41"/>
      <c r="D3872" s="41"/>
      <c r="E3872" s="41"/>
      <c r="F3872" s="41"/>
      <c r="G3872" s="41"/>
      <c r="H3872" s="41"/>
      <c r="I3872" s="41"/>
      <c r="J3872" s="41"/>
      <c r="K3872" s="41"/>
      <c r="L3872" s="41"/>
      <c r="M3872" s="41"/>
      <c r="N3872" s="41"/>
      <c r="O3872" s="41"/>
    </row>
    <row r="3873" spans="1:15">
      <c r="A3873" s="39"/>
      <c r="B3873" s="40"/>
      <c r="C3873" s="41"/>
      <c r="D3873" s="41"/>
      <c r="E3873" s="41"/>
      <c r="F3873" s="41"/>
      <c r="G3873" s="41"/>
      <c r="H3873" s="41"/>
      <c r="I3873" s="41"/>
      <c r="J3873" s="41"/>
      <c r="K3873" s="41"/>
      <c r="L3873" s="41"/>
      <c r="M3873" s="41"/>
      <c r="N3873" s="41"/>
      <c r="O3873" s="41"/>
    </row>
    <row r="3874" spans="1:15">
      <c r="A3874" s="39"/>
      <c r="B3874" s="40"/>
      <c r="C3874" s="41"/>
      <c r="D3874" s="41"/>
      <c r="E3874" s="41"/>
      <c r="F3874" s="41"/>
      <c r="G3874" s="41"/>
      <c r="H3874" s="41"/>
      <c r="I3874" s="41"/>
      <c r="J3874" s="41"/>
      <c r="K3874" s="41"/>
      <c r="L3874" s="41"/>
      <c r="M3874" s="41"/>
      <c r="N3874" s="41"/>
      <c r="O3874" s="41"/>
    </row>
    <row r="3875" spans="1:15">
      <c r="A3875" s="39"/>
      <c r="B3875" s="40"/>
      <c r="C3875" s="41"/>
      <c r="D3875" s="41"/>
      <c r="E3875" s="41"/>
      <c r="F3875" s="41"/>
      <c r="G3875" s="41"/>
      <c r="H3875" s="41"/>
      <c r="I3875" s="41"/>
      <c r="J3875" s="41"/>
      <c r="K3875" s="41"/>
      <c r="L3875" s="41"/>
      <c r="M3875" s="41"/>
      <c r="N3875" s="41"/>
      <c r="O3875" s="41"/>
    </row>
    <row r="3876" spans="1:15">
      <c r="A3876" s="39"/>
      <c r="B3876" s="40"/>
      <c r="C3876" s="41"/>
      <c r="D3876" s="41"/>
      <c r="E3876" s="41"/>
      <c r="F3876" s="41"/>
      <c r="G3876" s="41"/>
      <c r="H3876" s="41"/>
      <c r="I3876" s="41"/>
      <c r="J3876" s="41"/>
      <c r="K3876" s="41"/>
      <c r="L3876" s="41"/>
      <c r="M3876" s="41"/>
      <c r="N3876" s="41"/>
      <c r="O3876" s="41"/>
    </row>
    <row r="3877" spans="1:15">
      <c r="A3877" s="39"/>
      <c r="B3877" s="40"/>
      <c r="C3877" s="41"/>
      <c r="D3877" s="41"/>
      <c r="E3877" s="41"/>
      <c r="F3877" s="41"/>
      <c r="G3877" s="41"/>
      <c r="H3877" s="41"/>
      <c r="I3877" s="41"/>
      <c r="J3877" s="41"/>
      <c r="K3877" s="41"/>
      <c r="L3877" s="41"/>
      <c r="M3877" s="41"/>
      <c r="N3877" s="41"/>
      <c r="O3877" s="41"/>
    </row>
    <row r="3878" spans="1:15">
      <c r="A3878" s="39"/>
      <c r="B3878" s="40"/>
      <c r="C3878" s="41"/>
      <c r="D3878" s="41"/>
      <c r="E3878" s="41"/>
      <c r="F3878" s="41"/>
      <c r="G3878" s="41"/>
      <c r="H3878" s="41"/>
      <c r="I3878" s="41"/>
      <c r="J3878" s="41"/>
      <c r="K3878" s="41"/>
      <c r="L3878" s="41"/>
      <c r="M3878" s="41"/>
      <c r="N3878" s="41"/>
      <c r="O3878" s="41"/>
    </row>
    <row r="3879" spans="1:15">
      <c r="A3879" s="39"/>
      <c r="B3879" s="40"/>
      <c r="C3879" s="41"/>
      <c r="D3879" s="41"/>
      <c r="E3879" s="41"/>
      <c r="F3879" s="41"/>
      <c r="G3879" s="41"/>
      <c r="H3879" s="41"/>
      <c r="I3879" s="41"/>
      <c r="J3879" s="41"/>
      <c r="K3879" s="41"/>
      <c r="L3879" s="41"/>
      <c r="M3879" s="41"/>
      <c r="N3879" s="41"/>
      <c r="O3879" s="41"/>
    </row>
    <row r="3880" spans="1:15">
      <c r="A3880" s="39"/>
      <c r="B3880" s="40"/>
      <c r="C3880" s="41"/>
      <c r="D3880" s="41"/>
      <c r="E3880" s="41"/>
      <c r="F3880" s="41"/>
      <c r="G3880" s="41"/>
      <c r="H3880" s="41"/>
      <c r="I3880" s="41"/>
      <c r="J3880" s="41"/>
      <c r="K3880" s="41"/>
      <c r="L3880" s="41"/>
      <c r="M3880" s="41"/>
      <c r="N3880" s="41"/>
      <c r="O3880" s="41"/>
    </row>
    <row r="3881" spans="1:15">
      <c r="A3881" s="39"/>
      <c r="B3881" s="40"/>
      <c r="C3881" s="41"/>
      <c r="D3881" s="41"/>
      <c r="E3881" s="41"/>
      <c r="F3881" s="41"/>
      <c r="G3881" s="41"/>
      <c r="H3881" s="41"/>
      <c r="I3881" s="41"/>
      <c r="J3881" s="41"/>
      <c r="K3881" s="41"/>
      <c r="L3881" s="41"/>
      <c r="M3881" s="41"/>
      <c r="N3881" s="41"/>
      <c r="O3881" s="41"/>
    </row>
    <row r="3882" spans="1:15">
      <c r="A3882" s="39"/>
      <c r="B3882" s="40"/>
      <c r="C3882" s="41"/>
      <c r="D3882" s="41"/>
      <c r="E3882" s="41"/>
      <c r="F3882" s="41"/>
      <c r="G3882" s="41"/>
      <c r="H3882" s="41"/>
      <c r="I3882" s="41"/>
      <c r="J3882" s="41"/>
      <c r="K3882" s="41"/>
      <c r="L3882" s="41"/>
      <c r="M3882" s="41"/>
      <c r="N3882" s="41"/>
      <c r="O3882" s="41"/>
    </row>
    <row r="3883" spans="1:15">
      <c r="A3883" s="39"/>
      <c r="B3883" s="40"/>
      <c r="C3883" s="41"/>
      <c r="D3883" s="41"/>
      <c r="E3883" s="41"/>
      <c r="F3883" s="41"/>
      <c r="G3883" s="41"/>
      <c r="H3883" s="41"/>
      <c r="I3883" s="41"/>
      <c r="J3883" s="41"/>
      <c r="K3883" s="41"/>
      <c r="L3883" s="41"/>
      <c r="M3883" s="41"/>
      <c r="N3883" s="41"/>
      <c r="O3883" s="41"/>
    </row>
    <row r="3884" spans="1:15">
      <c r="A3884" s="39"/>
      <c r="B3884" s="40"/>
      <c r="C3884" s="41"/>
      <c r="D3884" s="41"/>
      <c r="E3884" s="41"/>
      <c r="F3884" s="41"/>
      <c r="G3884" s="41"/>
      <c r="H3884" s="41"/>
      <c r="I3884" s="41"/>
      <c r="J3884" s="41"/>
      <c r="K3884" s="41"/>
      <c r="L3884" s="41"/>
      <c r="M3884" s="41"/>
      <c r="N3884" s="41"/>
      <c r="O3884" s="41"/>
    </row>
    <row r="3885" spans="1:15">
      <c r="A3885" s="39"/>
      <c r="B3885" s="40"/>
      <c r="C3885" s="41"/>
      <c r="D3885" s="41"/>
      <c r="E3885" s="41"/>
      <c r="F3885" s="41"/>
      <c r="G3885" s="41"/>
      <c r="H3885" s="41"/>
      <c r="I3885" s="41"/>
      <c r="J3885" s="41"/>
      <c r="K3885" s="41"/>
      <c r="L3885" s="41"/>
      <c r="M3885" s="41"/>
      <c r="N3885" s="41"/>
      <c r="O3885" s="41"/>
    </row>
    <row r="3886" spans="1:15">
      <c r="A3886" s="39"/>
      <c r="B3886" s="40"/>
      <c r="C3886" s="41"/>
      <c r="D3886" s="41"/>
      <c r="E3886" s="41"/>
      <c r="F3886" s="41"/>
      <c r="G3886" s="41"/>
      <c r="H3886" s="41"/>
      <c r="I3886" s="41"/>
      <c r="J3886" s="41"/>
      <c r="K3886" s="41"/>
      <c r="L3886" s="41"/>
      <c r="M3886" s="41"/>
      <c r="N3886" s="41"/>
      <c r="O3886" s="41"/>
    </row>
    <row r="3887" spans="1:15">
      <c r="A3887" s="39"/>
      <c r="B3887" s="40"/>
      <c r="C3887" s="41"/>
      <c r="D3887" s="41"/>
      <c r="E3887" s="41"/>
      <c r="F3887" s="41"/>
      <c r="G3887" s="41"/>
      <c r="H3887" s="41"/>
      <c r="I3887" s="41"/>
      <c r="J3887" s="41"/>
      <c r="K3887" s="41"/>
      <c r="L3887" s="41"/>
      <c r="M3887" s="41"/>
      <c r="N3887" s="41"/>
      <c r="O3887" s="41"/>
    </row>
    <row r="3888" spans="1:15">
      <c r="A3888" s="39"/>
      <c r="B3888" s="40"/>
      <c r="C3888" s="41"/>
      <c r="D3888" s="41"/>
      <c r="E3888" s="41"/>
      <c r="F3888" s="41"/>
      <c r="G3888" s="41"/>
      <c r="H3888" s="41"/>
      <c r="I3888" s="41"/>
      <c r="J3888" s="41"/>
      <c r="K3888" s="41"/>
      <c r="L3888" s="41"/>
      <c r="M3888" s="41"/>
      <c r="N3888" s="41"/>
      <c r="O3888" s="41"/>
    </row>
    <row r="3889" spans="1:15">
      <c r="A3889" s="39"/>
      <c r="B3889" s="40"/>
      <c r="C3889" s="41"/>
      <c r="D3889" s="41"/>
      <c r="E3889" s="41"/>
      <c r="F3889" s="41"/>
      <c r="G3889" s="41"/>
      <c r="H3889" s="41"/>
      <c r="I3889" s="41"/>
      <c r="J3889" s="41"/>
      <c r="K3889" s="41"/>
      <c r="L3889" s="41"/>
      <c r="M3889" s="41"/>
      <c r="N3889" s="41"/>
      <c r="O3889" s="41"/>
    </row>
    <row r="3890" spans="1:15">
      <c r="A3890" s="39"/>
      <c r="B3890" s="40"/>
      <c r="C3890" s="41"/>
      <c r="D3890" s="41"/>
      <c r="E3890" s="41"/>
      <c r="F3890" s="41"/>
      <c r="G3890" s="41"/>
      <c r="H3890" s="41"/>
      <c r="I3890" s="41"/>
      <c r="J3890" s="41"/>
      <c r="K3890" s="41"/>
      <c r="L3890" s="41"/>
      <c r="M3890" s="41"/>
      <c r="N3890" s="41"/>
      <c r="O3890" s="41"/>
    </row>
    <row r="3891" spans="1:15">
      <c r="A3891" s="39"/>
      <c r="B3891" s="40"/>
      <c r="C3891" s="41"/>
      <c r="D3891" s="41"/>
      <c r="E3891" s="41"/>
      <c r="F3891" s="41"/>
      <c r="G3891" s="41"/>
      <c r="H3891" s="41"/>
      <c r="I3891" s="41"/>
      <c r="J3891" s="41"/>
      <c r="K3891" s="41"/>
      <c r="L3891" s="41"/>
      <c r="M3891" s="41"/>
      <c r="N3891" s="41"/>
      <c r="O3891" s="41"/>
    </row>
    <row r="3892" spans="1:15">
      <c r="A3892" s="39"/>
      <c r="B3892" s="40"/>
      <c r="C3892" s="41"/>
      <c r="D3892" s="41"/>
      <c r="E3892" s="41"/>
      <c r="F3892" s="41"/>
      <c r="G3892" s="41"/>
      <c r="H3892" s="41"/>
      <c r="I3892" s="41"/>
      <c r="J3892" s="41"/>
      <c r="K3892" s="41"/>
      <c r="L3892" s="41"/>
      <c r="M3892" s="41"/>
      <c r="N3892" s="41"/>
      <c r="O3892" s="41"/>
    </row>
    <row r="3893" spans="1:15">
      <c r="A3893" s="39"/>
      <c r="B3893" s="40"/>
      <c r="C3893" s="41"/>
      <c r="D3893" s="41"/>
      <c r="E3893" s="41"/>
      <c r="F3893" s="41"/>
      <c r="G3893" s="41"/>
      <c r="H3893" s="41"/>
      <c r="I3893" s="41"/>
      <c r="J3893" s="41"/>
      <c r="K3893" s="41"/>
      <c r="L3893" s="41"/>
      <c r="M3893" s="41"/>
      <c r="N3893" s="41"/>
      <c r="O3893" s="41"/>
    </row>
    <row r="3894" spans="1:15">
      <c r="A3894" s="39"/>
      <c r="B3894" s="40"/>
      <c r="C3894" s="41"/>
      <c r="D3894" s="41"/>
      <c r="E3894" s="41"/>
      <c r="F3894" s="41"/>
      <c r="G3894" s="41"/>
      <c r="H3894" s="41"/>
      <c r="I3894" s="41"/>
      <c r="J3894" s="41"/>
      <c r="K3894" s="41"/>
      <c r="L3894" s="41"/>
      <c r="M3894" s="41"/>
      <c r="N3894" s="41"/>
      <c r="O3894" s="41"/>
    </row>
    <row r="3895" spans="1:15">
      <c r="A3895" s="39"/>
      <c r="B3895" s="40"/>
      <c r="C3895" s="41"/>
      <c r="D3895" s="41"/>
      <c r="E3895" s="41"/>
      <c r="F3895" s="41"/>
      <c r="G3895" s="41"/>
      <c r="H3895" s="41"/>
      <c r="I3895" s="41"/>
      <c r="J3895" s="41"/>
      <c r="K3895" s="41"/>
      <c r="L3895" s="41"/>
      <c r="M3895" s="41"/>
      <c r="N3895" s="41"/>
      <c r="O3895" s="41"/>
    </row>
    <row r="3896" spans="1:15">
      <c r="A3896" s="39"/>
      <c r="B3896" s="40"/>
      <c r="C3896" s="41"/>
      <c r="D3896" s="41"/>
      <c r="E3896" s="41"/>
      <c r="F3896" s="41"/>
      <c r="G3896" s="41"/>
      <c r="H3896" s="41"/>
      <c r="I3896" s="41"/>
      <c r="J3896" s="41"/>
      <c r="K3896" s="41"/>
      <c r="L3896" s="41"/>
      <c r="M3896" s="41"/>
      <c r="N3896" s="41"/>
      <c r="O3896" s="41"/>
    </row>
    <row r="3897" spans="1:15">
      <c r="A3897" s="39"/>
      <c r="B3897" s="40"/>
      <c r="C3897" s="41"/>
      <c r="D3897" s="41"/>
      <c r="E3897" s="41"/>
      <c r="F3897" s="41"/>
      <c r="G3897" s="41"/>
      <c r="H3897" s="41"/>
      <c r="I3897" s="41"/>
      <c r="J3897" s="41"/>
      <c r="K3897" s="41"/>
      <c r="L3897" s="41"/>
      <c r="M3897" s="41"/>
      <c r="N3897" s="41"/>
      <c r="O3897" s="41"/>
    </row>
    <row r="3898" spans="1:15">
      <c r="A3898" s="39"/>
      <c r="B3898" s="40"/>
      <c r="C3898" s="41"/>
      <c r="D3898" s="41"/>
      <c r="E3898" s="41"/>
      <c r="F3898" s="41"/>
      <c r="G3898" s="41"/>
      <c r="H3898" s="41"/>
      <c r="I3898" s="41"/>
      <c r="J3898" s="41"/>
      <c r="K3898" s="41"/>
      <c r="L3898" s="41"/>
      <c r="M3898" s="41"/>
      <c r="N3898" s="41"/>
      <c r="O3898" s="41"/>
    </row>
    <row r="3899" spans="1:15">
      <c r="A3899" s="39"/>
      <c r="B3899" s="40"/>
      <c r="C3899" s="41"/>
      <c r="D3899" s="41"/>
      <c r="E3899" s="41"/>
      <c r="F3899" s="41"/>
      <c r="G3899" s="41"/>
      <c r="H3899" s="41"/>
      <c r="I3899" s="41"/>
      <c r="J3899" s="41"/>
      <c r="K3899" s="41"/>
      <c r="L3899" s="41"/>
      <c r="M3899" s="41"/>
      <c r="N3899" s="41"/>
      <c r="O3899" s="41"/>
    </row>
    <row r="3900" spans="1:15">
      <c r="A3900" s="39"/>
      <c r="B3900" s="40"/>
      <c r="C3900" s="41"/>
      <c r="D3900" s="41"/>
      <c r="E3900" s="41"/>
      <c r="F3900" s="41"/>
      <c r="G3900" s="41"/>
      <c r="H3900" s="41"/>
      <c r="I3900" s="41"/>
      <c r="J3900" s="41"/>
      <c r="K3900" s="41"/>
      <c r="L3900" s="41"/>
      <c r="M3900" s="41"/>
      <c r="N3900" s="41"/>
      <c r="O3900" s="41"/>
    </row>
    <row r="3901" spans="1:15">
      <c r="A3901" s="39"/>
      <c r="B3901" s="40"/>
      <c r="C3901" s="41"/>
      <c r="D3901" s="41"/>
      <c r="E3901" s="41"/>
      <c r="F3901" s="41"/>
      <c r="G3901" s="41"/>
      <c r="H3901" s="41"/>
      <c r="I3901" s="41"/>
      <c r="J3901" s="41"/>
      <c r="K3901" s="41"/>
      <c r="L3901" s="41"/>
      <c r="M3901" s="41"/>
      <c r="N3901" s="41"/>
      <c r="O3901" s="41"/>
    </row>
    <row r="3902" spans="1:15">
      <c r="A3902" s="39"/>
      <c r="B3902" s="40"/>
      <c r="C3902" s="41"/>
      <c r="D3902" s="41"/>
      <c r="E3902" s="41"/>
      <c r="F3902" s="41"/>
      <c r="G3902" s="41"/>
      <c r="H3902" s="41"/>
      <c r="I3902" s="41"/>
      <c r="J3902" s="41"/>
      <c r="K3902" s="41"/>
      <c r="L3902" s="41"/>
      <c r="M3902" s="41"/>
      <c r="N3902" s="41"/>
      <c r="O3902" s="41"/>
    </row>
    <row r="3903" spans="1:15">
      <c r="A3903" s="39"/>
      <c r="B3903" s="40"/>
      <c r="C3903" s="41"/>
      <c r="D3903" s="41"/>
      <c r="E3903" s="41"/>
      <c r="F3903" s="41"/>
      <c r="G3903" s="41"/>
      <c r="H3903" s="41"/>
      <c r="I3903" s="41"/>
      <c r="J3903" s="41"/>
      <c r="K3903" s="41"/>
      <c r="L3903" s="41"/>
      <c r="M3903" s="41"/>
      <c r="N3903" s="41"/>
      <c r="O3903" s="41"/>
    </row>
    <row r="3904" spans="1:15">
      <c r="A3904" s="39"/>
      <c r="B3904" s="40"/>
      <c r="C3904" s="41"/>
      <c r="D3904" s="41"/>
      <c r="E3904" s="41"/>
      <c r="F3904" s="41"/>
      <c r="G3904" s="41"/>
      <c r="H3904" s="41"/>
      <c r="I3904" s="41"/>
      <c r="J3904" s="41"/>
      <c r="K3904" s="41"/>
      <c r="L3904" s="41"/>
      <c r="M3904" s="41"/>
      <c r="N3904" s="41"/>
      <c r="O3904" s="41"/>
    </row>
    <row r="3905" spans="1:15">
      <c r="A3905" s="39"/>
      <c r="B3905" s="40"/>
      <c r="C3905" s="41"/>
      <c r="D3905" s="41"/>
      <c r="E3905" s="41"/>
      <c r="F3905" s="41"/>
      <c r="G3905" s="41"/>
      <c r="H3905" s="41"/>
      <c r="I3905" s="41"/>
      <c r="J3905" s="41"/>
      <c r="K3905" s="41"/>
      <c r="L3905" s="41"/>
      <c r="M3905" s="41"/>
      <c r="N3905" s="41"/>
      <c r="O3905" s="41"/>
    </row>
    <row r="3906" spans="1:15">
      <c r="A3906" s="39"/>
      <c r="B3906" s="40"/>
      <c r="C3906" s="41"/>
      <c r="D3906" s="41"/>
      <c r="E3906" s="41"/>
      <c r="F3906" s="41"/>
      <c r="G3906" s="41"/>
      <c r="H3906" s="41"/>
      <c r="I3906" s="41"/>
      <c r="J3906" s="41"/>
      <c r="K3906" s="41"/>
      <c r="L3906" s="41"/>
      <c r="M3906" s="41"/>
      <c r="N3906" s="41"/>
      <c r="O3906" s="41"/>
    </row>
    <row r="3907" spans="1:15">
      <c r="A3907" s="39"/>
      <c r="B3907" s="40"/>
      <c r="C3907" s="41"/>
      <c r="D3907" s="41"/>
      <c r="E3907" s="41"/>
      <c r="F3907" s="41"/>
      <c r="G3907" s="41"/>
      <c r="H3907" s="41"/>
      <c r="I3907" s="41"/>
      <c r="J3907" s="41"/>
      <c r="K3907" s="41"/>
      <c r="L3907" s="41"/>
      <c r="M3907" s="41"/>
      <c r="N3907" s="41"/>
      <c r="O3907" s="41"/>
    </row>
    <row r="3908" spans="1:15">
      <c r="A3908" s="39"/>
      <c r="B3908" s="40"/>
      <c r="C3908" s="41"/>
      <c r="D3908" s="41"/>
      <c r="E3908" s="41"/>
      <c r="F3908" s="41"/>
      <c r="G3908" s="41"/>
      <c r="H3908" s="41"/>
      <c r="I3908" s="41"/>
      <c r="J3908" s="41"/>
      <c r="K3908" s="41"/>
      <c r="L3908" s="41"/>
      <c r="M3908" s="41"/>
      <c r="N3908" s="41"/>
      <c r="O3908" s="41"/>
    </row>
    <row r="3909" spans="1:15">
      <c r="A3909" s="39"/>
      <c r="B3909" s="40"/>
      <c r="C3909" s="41"/>
      <c r="D3909" s="41"/>
      <c r="E3909" s="41"/>
      <c r="F3909" s="41"/>
      <c r="G3909" s="41"/>
      <c r="H3909" s="41"/>
      <c r="I3909" s="41"/>
      <c r="J3909" s="41"/>
      <c r="K3909" s="41"/>
      <c r="L3909" s="41"/>
      <c r="M3909" s="41"/>
      <c r="N3909" s="41"/>
      <c r="O3909" s="41"/>
    </row>
    <row r="3910" spans="1:15">
      <c r="A3910" s="39"/>
      <c r="B3910" s="40"/>
      <c r="C3910" s="41"/>
      <c r="D3910" s="41"/>
      <c r="E3910" s="41"/>
      <c r="F3910" s="41"/>
      <c r="G3910" s="41"/>
      <c r="H3910" s="41"/>
      <c r="I3910" s="41"/>
      <c r="J3910" s="41"/>
      <c r="K3910" s="41"/>
      <c r="L3910" s="41"/>
      <c r="M3910" s="41"/>
      <c r="N3910" s="41"/>
      <c r="O3910" s="41"/>
    </row>
    <row r="3911" spans="1:15">
      <c r="A3911" s="39"/>
      <c r="B3911" s="40"/>
      <c r="C3911" s="41"/>
      <c r="D3911" s="41"/>
      <c r="E3911" s="41"/>
      <c r="F3911" s="41"/>
      <c r="G3911" s="41"/>
      <c r="H3911" s="41"/>
      <c r="I3911" s="41"/>
      <c r="J3911" s="41"/>
      <c r="K3911" s="41"/>
      <c r="L3911" s="41"/>
      <c r="M3911" s="41"/>
      <c r="N3911" s="41"/>
      <c r="O3911" s="41"/>
    </row>
    <row r="3912" spans="1:15">
      <c r="A3912" s="39"/>
      <c r="B3912" s="40"/>
      <c r="C3912" s="41"/>
      <c r="D3912" s="41"/>
      <c r="E3912" s="41"/>
      <c r="F3912" s="41"/>
      <c r="G3912" s="41"/>
      <c r="H3912" s="41"/>
      <c r="I3912" s="41"/>
      <c r="J3912" s="41"/>
      <c r="K3912" s="41"/>
      <c r="L3912" s="41"/>
      <c r="M3912" s="41"/>
      <c r="N3912" s="41"/>
      <c r="O3912" s="41"/>
    </row>
    <row r="3913" spans="1:15">
      <c r="A3913" s="39"/>
      <c r="B3913" s="40"/>
      <c r="C3913" s="41"/>
      <c r="D3913" s="41"/>
      <c r="E3913" s="41"/>
      <c r="F3913" s="41"/>
      <c r="G3913" s="41"/>
      <c r="H3913" s="41"/>
      <c r="I3913" s="41"/>
      <c r="J3913" s="41"/>
      <c r="K3913" s="41"/>
      <c r="L3913" s="41"/>
      <c r="M3913" s="41"/>
      <c r="N3913" s="41"/>
      <c r="O3913" s="41"/>
    </row>
    <row r="3914" spans="1:15">
      <c r="A3914" s="39"/>
      <c r="B3914" s="40"/>
      <c r="C3914" s="41"/>
      <c r="D3914" s="41"/>
      <c r="E3914" s="41"/>
      <c r="F3914" s="41"/>
      <c r="G3914" s="41"/>
      <c r="H3914" s="41"/>
      <c r="I3914" s="41"/>
      <c r="J3914" s="41"/>
      <c r="K3914" s="41"/>
      <c r="L3914" s="41"/>
      <c r="M3914" s="41"/>
      <c r="N3914" s="41"/>
      <c r="O3914" s="41"/>
    </row>
    <row r="3915" spans="1:15">
      <c r="A3915" s="39"/>
      <c r="B3915" s="40"/>
      <c r="C3915" s="41"/>
      <c r="D3915" s="41"/>
      <c r="E3915" s="41"/>
      <c r="F3915" s="41"/>
      <c r="G3915" s="41"/>
      <c r="H3915" s="41"/>
      <c r="I3915" s="41"/>
      <c r="J3915" s="41"/>
      <c r="K3915" s="41"/>
      <c r="L3915" s="41"/>
      <c r="M3915" s="41"/>
      <c r="N3915" s="41"/>
      <c r="O3915" s="41"/>
    </row>
    <row r="3916" spans="1:15">
      <c r="A3916" s="39"/>
      <c r="B3916" s="40"/>
      <c r="C3916" s="41"/>
      <c r="D3916" s="41"/>
      <c r="E3916" s="41"/>
      <c r="F3916" s="41"/>
      <c r="G3916" s="41"/>
      <c r="H3916" s="41"/>
      <c r="I3916" s="41"/>
      <c r="J3916" s="41"/>
      <c r="K3916" s="41"/>
      <c r="L3916" s="41"/>
      <c r="M3916" s="41"/>
      <c r="N3916" s="41"/>
      <c r="O3916" s="41"/>
    </row>
    <row r="3917" spans="1:15">
      <c r="A3917" s="39"/>
      <c r="B3917" s="40"/>
      <c r="C3917" s="41"/>
      <c r="D3917" s="41"/>
      <c r="E3917" s="41"/>
      <c r="F3917" s="41"/>
      <c r="G3917" s="41"/>
      <c r="H3917" s="41"/>
      <c r="I3917" s="41"/>
      <c r="J3917" s="41"/>
      <c r="K3917" s="41"/>
      <c r="L3917" s="41"/>
      <c r="M3917" s="41"/>
      <c r="N3917" s="41"/>
      <c r="O3917" s="41"/>
    </row>
    <row r="3918" spans="1:15">
      <c r="A3918" s="39"/>
      <c r="B3918" s="40"/>
      <c r="C3918" s="41"/>
      <c r="D3918" s="41"/>
      <c r="E3918" s="41"/>
      <c r="F3918" s="41"/>
      <c r="G3918" s="41"/>
      <c r="H3918" s="41"/>
      <c r="I3918" s="41"/>
      <c r="J3918" s="41"/>
      <c r="K3918" s="41"/>
      <c r="L3918" s="41"/>
      <c r="M3918" s="41"/>
      <c r="N3918" s="41"/>
      <c r="O3918" s="41"/>
    </row>
    <row r="3919" spans="1:15">
      <c r="A3919" s="39"/>
      <c r="B3919" s="40"/>
      <c r="C3919" s="41"/>
      <c r="D3919" s="41"/>
      <c r="E3919" s="41"/>
      <c r="F3919" s="41"/>
      <c r="G3919" s="41"/>
      <c r="H3919" s="41"/>
      <c r="I3919" s="41"/>
      <c r="J3919" s="41"/>
      <c r="K3919" s="41"/>
      <c r="L3919" s="41"/>
      <c r="M3919" s="41"/>
      <c r="N3919" s="41"/>
      <c r="O3919" s="41"/>
    </row>
    <row r="3920" spans="1:15">
      <c r="A3920" s="39"/>
      <c r="B3920" s="40"/>
      <c r="C3920" s="41"/>
      <c r="D3920" s="41"/>
      <c r="E3920" s="41"/>
      <c r="F3920" s="41"/>
      <c r="G3920" s="41"/>
      <c r="H3920" s="41"/>
      <c r="I3920" s="41"/>
      <c r="J3920" s="41"/>
      <c r="K3920" s="41"/>
      <c r="L3920" s="41"/>
      <c r="M3920" s="41"/>
      <c r="N3920" s="41"/>
      <c r="O3920" s="41"/>
    </row>
    <row r="3921" spans="1:15">
      <c r="A3921" s="39"/>
      <c r="B3921" s="40"/>
      <c r="C3921" s="41"/>
      <c r="D3921" s="41"/>
      <c r="E3921" s="41"/>
      <c r="F3921" s="41"/>
      <c r="G3921" s="41"/>
      <c r="H3921" s="41"/>
      <c r="I3921" s="41"/>
      <c r="J3921" s="41"/>
      <c r="K3921" s="41"/>
      <c r="L3921" s="41"/>
      <c r="M3921" s="41"/>
      <c r="N3921" s="41"/>
      <c r="O3921" s="41"/>
    </row>
    <row r="3922" spans="1:15">
      <c r="A3922" s="39"/>
      <c r="B3922" s="40"/>
      <c r="C3922" s="41"/>
      <c r="D3922" s="41"/>
      <c r="E3922" s="41"/>
      <c r="F3922" s="41"/>
      <c r="G3922" s="41"/>
      <c r="H3922" s="41"/>
      <c r="I3922" s="41"/>
      <c r="J3922" s="41"/>
      <c r="K3922" s="41"/>
      <c r="L3922" s="41"/>
      <c r="M3922" s="41"/>
      <c r="N3922" s="41"/>
      <c r="O3922" s="41"/>
    </row>
    <row r="3923" spans="1:15">
      <c r="A3923" s="39"/>
      <c r="B3923" s="40"/>
      <c r="C3923" s="41"/>
      <c r="D3923" s="41"/>
      <c r="E3923" s="41"/>
      <c r="F3923" s="41"/>
      <c r="G3923" s="41"/>
      <c r="H3923" s="41"/>
      <c r="I3923" s="41"/>
      <c r="J3923" s="41"/>
      <c r="K3923" s="41"/>
      <c r="L3923" s="41"/>
      <c r="M3923" s="41"/>
      <c r="N3923" s="41"/>
      <c r="O3923" s="41"/>
    </row>
    <row r="3924" spans="1:15">
      <c r="A3924" s="39"/>
      <c r="B3924" s="40"/>
      <c r="C3924" s="41"/>
      <c r="D3924" s="41"/>
      <c r="E3924" s="41"/>
      <c r="F3924" s="41"/>
      <c r="G3924" s="41"/>
      <c r="H3924" s="41"/>
      <c r="I3924" s="41"/>
      <c r="J3924" s="41"/>
      <c r="K3924" s="41"/>
      <c r="L3924" s="41"/>
      <c r="M3924" s="41"/>
      <c r="N3924" s="41"/>
      <c r="O3924" s="41"/>
    </row>
    <row r="3925" spans="1:15">
      <c r="A3925" s="39"/>
      <c r="B3925" s="40"/>
      <c r="C3925" s="41"/>
      <c r="D3925" s="41"/>
      <c r="E3925" s="41"/>
      <c r="F3925" s="41"/>
      <c r="G3925" s="41"/>
      <c r="H3925" s="41"/>
      <c r="I3925" s="41"/>
      <c r="J3925" s="41"/>
      <c r="K3925" s="41"/>
      <c r="L3925" s="41"/>
      <c r="M3925" s="41"/>
      <c r="N3925" s="41"/>
      <c r="O3925" s="41"/>
    </row>
    <row r="3926" spans="1:15">
      <c r="A3926" s="39"/>
      <c r="B3926" s="40"/>
      <c r="C3926" s="41"/>
      <c r="D3926" s="41"/>
      <c r="E3926" s="41"/>
      <c r="F3926" s="41"/>
      <c r="G3926" s="41"/>
      <c r="H3926" s="41"/>
      <c r="I3926" s="41"/>
      <c r="J3926" s="41"/>
      <c r="K3926" s="41"/>
      <c r="L3926" s="41"/>
      <c r="M3926" s="41"/>
      <c r="N3926" s="41"/>
      <c r="O3926" s="41"/>
    </row>
    <row r="3927" spans="1:15">
      <c r="A3927" s="39"/>
      <c r="B3927" s="40"/>
      <c r="C3927" s="41"/>
      <c r="D3927" s="41"/>
      <c r="E3927" s="41"/>
      <c r="F3927" s="41"/>
      <c r="G3927" s="41"/>
      <c r="H3927" s="41"/>
      <c r="I3927" s="41"/>
      <c r="J3927" s="41"/>
      <c r="K3927" s="41"/>
      <c r="L3927" s="41"/>
      <c r="M3927" s="41"/>
      <c r="N3927" s="41"/>
      <c r="O3927" s="41"/>
    </row>
    <row r="3928" spans="1:15">
      <c r="A3928" s="39"/>
      <c r="B3928" s="40"/>
      <c r="C3928" s="41"/>
      <c r="D3928" s="41"/>
      <c r="E3928" s="41"/>
      <c r="F3928" s="41"/>
      <c r="G3928" s="41"/>
      <c r="H3928" s="41"/>
      <c r="I3928" s="41"/>
      <c r="J3928" s="41"/>
      <c r="K3928" s="41"/>
      <c r="L3928" s="41"/>
      <c r="M3928" s="41"/>
      <c r="N3928" s="41"/>
      <c r="O3928" s="41"/>
    </row>
    <row r="3929" spans="1:15">
      <c r="A3929" s="39"/>
      <c r="B3929" s="40"/>
      <c r="C3929" s="41"/>
      <c r="D3929" s="41"/>
      <c r="E3929" s="41"/>
      <c r="F3929" s="41"/>
      <c r="G3929" s="41"/>
      <c r="H3929" s="41"/>
      <c r="I3929" s="41"/>
      <c r="J3929" s="41"/>
      <c r="K3929" s="41"/>
      <c r="L3929" s="41"/>
      <c r="M3929" s="41"/>
      <c r="N3929" s="41"/>
      <c r="O3929" s="41"/>
    </row>
    <row r="3930" spans="1:15">
      <c r="A3930" s="39"/>
      <c r="B3930" s="40"/>
      <c r="C3930" s="41"/>
      <c r="D3930" s="41"/>
      <c r="E3930" s="41"/>
      <c r="F3930" s="41"/>
      <c r="G3930" s="41"/>
      <c r="H3930" s="41"/>
      <c r="I3930" s="41"/>
      <c r="J3930" s="41"/>
      <c r="K3930" s="41"/>
      <c r="L3930" s="41"/>
      <c r="M3930" s="41"/>
      <c r="N3930" s="41"/>
      <c r="O3930" s="41"/>
    </row>
    <row r="3931" spans="1:15">
      <c r="A3931" s="39"/>
      <c r="B3931" s="40"/>
      <c r="C3931" s="41"/>
      <c r="D3931" s="41"/>
      <c r="E3931" s="41"/>
      <c r="F3931" s="41"/>
      <c r="G3931" s="41"/>
      <c r="H3931" s="41"/>
      <c r="I3931" s="41"/>
      <c r="J3931" s="41"/>
      <c r="K3931" s="41"/>
      <c r="L3931" s="41"/>
      <c r="M3931" s="41"/>
      <c r="N3931" s="41"/>
      <c r="O3931" s="41"/>
    </row>
    <row r="3932" spans="1:15">
      <c r="A3932" s="39"/>
      <c r="B3932" s="40"/>
      <c r="C3932" s="41"/>
      <c r="D3932" s="41"/>
      <c r="E3932" s="41"/>
      <c r="F3932" s="41"/>
      <c r="G3932" s="41"/>
      <c r="H3932" s="41"/>
      <c r="I3932" s="41"/>
      <c r="J3932" s="41"/>
      <c r="K3932" s="41"/>
      <c r="L3932" s="41"/>
      <c r="M3932" s="41"/>
      <c r="N3932" s="41"/>
      <c r="O3932" s="41"/>
    </row>
    <row r="3933" spans="1:15">
      <c r="A3933" s="39"/>
      <c r="B3933" s="40"/>
      <c r="C3933" s="41"/>
      <c r="D3933" s="41"/>
      <c r="E3933" s="41"/>
      <c r="F3933" s="41"/>
      <c r="G3933" s="41"/>
      <c r="H3933" s="41"/>
      <c r="I3933" s="41"/>
      <c r="J3933" s="41"/>
      <c r="K3933" s="41"/>
      <c r="L3933" s="41"/>
      <c r="M3933" s="41"/>
      <c r="N3933" s="41"/>
      <c r="O3933" s="41"/>
    </row>
    <row r="3934" spans="1:15">
      <c r="A3934" s="39"/>
      <c r="B3934" s="40"/>
      <c r="C3934" s="41"/>
      <c r="D3934" s="41"/>
      <c r="E3934" s="41"/>
      <c r="F3934" s="41"/>
      <c r="G3934" s="41"/>
      <c r="H3934" s="41"/>
      <c r="I3934" s="41"/>
      <c r="J3934" s="41"/>
      <c r="K3934" s="41"/>
      <c r="L3934" s="41"/>
      <c r="M3934" s="41"/>
      <c r="N3934" s="41"/>
      <c r="O3934" s="41"/>
    </row>
    <row r="3935" spans="1:15">
      <c r="A3935" s="39"/>
      <c r="B3935" s="40"/>
      <c r="C3935" s="41"/>
      <c r="D3935" s="41"/>
      <c r="E3935" s="41"/>
      <c r="F3935" s="41"/>
      <c r="G3935" s="41"/>
      <c r="H3935" s="41"/>
      <c r="I3935" s="41"/>
      <c r="J3935" s="41"/>
      <c r="K3935" s="41"/>
      <c r="L3935" s="41"/>
      <c r="M3935" s="41"/>
      <c r="N3935" s="41"/>
      <c r="O3935" s="41"/>
    </row>
    <row r="3936" spans="1:15">
      <c r="A3936" s="39"/>
      <c r="B3936" s="40"/>
      <c r="C3936" s="41"/>
      <c r="D3936" s="41"/>
      <c r="E3936" s="41"/>
      <c r="F3936" s="41"/>
      <c r="G3936" s="41"/>
      <c r="H3936" s="41"/>
      <c r="I3936" s="41"/>
      <c r="J3936" s="41"/>
      <c r="K3936" s="41"/>
      <c r="L3936" s="41"/>
      <c r="M3936" s="41"/>
      <c r="N3936" s="41"/>
      <c r="O3936" s="41"/>
    </row>
    <row r="3937" spans="1:15">
      <c r="A3937" s="39"/>
      <c r="B3937" s="40"/>
      <c r="C3937" s="41"/>
      <c r="D3937" s="41"/>
      <c r="E3937" s="41"/>
      <c r="F3937" s="41"/>
      <c r="G3937" s="41"/>
      <c r="H3937" s="41"/>
      <c r="I3937" s="41"/>
      <c r="J3937" s="41"/>
      <c r="K3937" s="41"/>
      <c r="L3937" s="41"/>
      <c r="M3937" s="41"/>
      <c r="N3937" s="41"/>
      <c r="O3937" s="41"/>
    </row>
    <row r="3938" spans="1:15">
      <c r="A3938" s="39"/>
      <c r="B3938" s="40"/>
      <c r="C3938" s="41"/>
      <c r="D3938" s="41"/>
      <c r="E3938" s="41"/>
      <c r="F3938" s="41"/>
      <c r="G3938" s="41"/>
      <c r="H3938" s="41"/>
      <c r="I3938" s="41"/>
      <c r="J3938" s="41"/>
      <c r="K3938" s="41"/>
      <c r="L3938" s="41"/>
      <c r="M3938" s="41"/>
      <c r="N3938" s="41"/>
      <c r="O3938" s="41"/>
    </row>
    <row r="3939" spans="1:15">
      <c r="A3939" s="39"/>
      <c r="B3939" s="40"/>
      <c r="C3939" s="41"/>
      <c r="D3939" s="41"/>
      <c r="E3939" s="41"/>
      <c r="F3939" s="41"/>
      <c r="G3939" s="41"/>
      <c r="H3939" s="41"/>
      <c r="I3939" s="41"/>
      <c r="J3939" s="41"/>
      <c r="K3939" s="41"/>
      <c r="L3939" s="41"/>
      <c r="M3939" s="41"/>
      <c r="N3939" s="41"/>
      <c r="O3939" s="41"/>
    </row>
    <row r="3940" spans="1:15">
      <c r="A3940" s="39"/>
      <c r="B3940" s="40"/>
      <c r="C3940" s="41"/>
      <c r="D3940" s="41"/>
      <c r="E3940" s="41"/>
      <c r="F3940" s="41"/>
      <c r="G3940" s="41"/>
      <c r="H3940" s="41"/>
      <c r="I3940" s="41"/>
      <c r="J3940" s="41"/>
      <c r="K3940" s="41"/>
      <c r="L3940" s="41"/>
      <c r="M3940" s="41"/>
      <c r="N3940" s="41"/>
      <c r="O3940" s="41"/>
    </row>
    <row r="3941" spans="1:15">
      <c r="A3941" s="39"/>
      <c r="B3941" s="40"/>
      <c r="C3941" s="41"/>
      <c r="D3941" s="41"/>
      <c r="E3941" s="41"/>
      <c r="F3941" s="41"/>
      <c r="G3941" s="41"/>
      <c r="H3941" s="41"/>
      <c r="I3941" s="41"/>
      <c r="J3941" s="41"/>
      <c r="K3941" s="41"/>
      <c r="L3941" s="41"/>
      <c r="M3941" s="41"/>
      <c r="N3941" s="41"/>
      <c r="O3941" s="41"/>
    </row>
    <row r="3942" spans="1:15">
      <c r="A3942" s="39"/>
      <c r="B3942" s="40"/>
      <c r="C3942" s="41"/>
      <c r="D3942" s="41"/>
      <c r="E3942" s="41"/>
      <c r="F3942" s="41"/>
      <c r="G3942" s="41"/>
      <c r="H3942" s="41"/>
      <c r="I3942" s="41"/>
      <c r="J3942" s="41"/>
      <c r="K3942" s="41"/>
      <c r="L3942" s="41"/>
      <c r="M3942" s="41"/>
      <c r="N3942" s="41"/>
      <c r="O3942" s="41"/>
    </row>
    <row r="3943" spans="1:15">
      <c r="A3943" s="39"/>
      <c r="B3943" s="40"/>
      <c r="C3943" s="41"/>
      <c r="D3943" s="41"/>
      <c r="E3943" s="41"/>
      <c r="F3943" s="41"/>
      <c r="G3943" s="41"/>
      <c r="H3943" s="41"/>
      <c r="I3943" s="41"/>
      <c r="J3943" s="41"/>
      <c r="K3943" s="41"/>
      <c r="L3943" s="41"/>
      <c r="M3943" s="41"/>
      <c r="N3943" s="41"/>
      <c r="O3943" s="41"/>
    </row>
    <row r="3944" spans="1:15">
      <c r="A3944" s="39"/>
      <c r="B3944" s="40"/>
      <c r="C3944" s="41"/>
      <c r="D3944" s="41"/>
      <c r="E3944" s="41"/>
      <c r="F3944" s="41"/>
      <c r="G3944" s="41"/>
      <c r="H3944" s="41"/>
      <c r="I3944" s="41"/>
      <c r="J3944" s="41"/>
      <c r="K3944" s="41"/>
      <c r="L3944" s="41"/>
      <c r="M3944" s="41"/>
      <c r="N3944" s="41"/>
      <c r="O3944" s="41"/>
    </row>
    <row r="3945" spans="1:15">
      <c r="A3945" s="39"/>
      <c r="B3945" s="40"/>
      <c r="C3945" s="41"/>
      <c r="D3945" s="41"/>
      <c r="E3945" s="41"/>
      <c r="F3945" s="41"/>
      <c r="G3945" s="41"/>
      <c r="H3945" s="41"/>
      <c r="I3945" s="41"/>
      <c r="J3945" s="41"/>
      <c r="K3945" s="41"/>
      <c r="L3945" s="41"/>
      <c r="M3945" s="41"/>
      <c r="N3945" s="41"/>
      <c r="O3945" s="41"/>
    </row>
    <row r="3946" spans="1:15">
      <c r="A3946" s="39"/>
      <c r="B3946" s="40"/>
      <c r="C3946" s="41"/>
      <c r="D3946" s="41"/>
      <c r="E3946" s="41"/>
      <c r="F3946" s="41"/>
      <c r="G3946" s="41"/>
      <c r="H3946" s="41"/>
      <c r="I3946" s="41"/>
      <c r="J3946" s="41"/>
      <c r="K3946" s="41"/>
      <c r="L3946" s="41"/>
      <c r="M3946" s="41"/>
      <c r="N3946" s="41"/>
      <c r="O3946" s="41"/>
    </row>
    <row r="3947" spans="1:15">
      <c r="A3947" s="39"/>
      <c r="B3947" s="40"/>
      <c r="C3947" s="41"/>
      <c r="D3947" s="41"/>
      <c r="E3947" s="41"/>
      <c r="F3947" s="41"/>
      <c r="G3947" s="41"/>
      <c r="H3947" s="41"/>
      <c r="I3947" s="41"/>
      <c r="J3947" s="41"/>
      <c r="K3947" s="41"/>
      <c r="L3947" s="41"/>
      <c r="M3947" s="41"/>
      <c r="N3947" s="41"/>
      <c r="O3947" s="41"/>
    </row>
    <row r="3948" spans="1:15">
      <c r="A3948" s="39"/>
      <c r="B3948" s="40"/>
      <c r="C3948" s="41"/>
      <c r="D3948" s="41"/>
      <c r="E3948" s="41"/>
      <c r="F3948" s="41"/>
      <c r="G3948" s="41"/>
      <c r="H3948" s="41"/>
      <c r="I3948" s="41"/>
      <c r="J3948" s="41"/>
      <c r="K3948" s="41"/>
      <c r="L3948" s="41"/>
      <c r="M3948" s="41"/>
      <c r="N3948" s="41"/>
      <c r="O3948" s="41"/>
    </row>
    <row r="3949" spans="1:15">
      <c r="A3949" s="39"/>
      <c r="B3949" s="40"/>
      <c r="C3949" s="41"/>
      <c r="D3949" s="41"/>
      <c r="E3949" s="41"/>
      <c r="F3949" s="41"/>
      <c r="G3949" s="41"/>
      <c r="H3949" s="41"/>
      <c r="I3949" s="41"/>
      <c r="J3949" s="41"/>
      <c r="K3949" s="41"/>
      <c r="L3949" s="41"/>
      <c r="M3949" s="41"/>
      <c r="N3949" s="41"/>
      <c r="O3949" s="41"/>
    </row>
    <row r="3950" spans="1:15">
      <c r="A3950" s="39"/>
      <c r="B3950" s="40"/>
      <c r="C3950" s="41"/>
      <c r="D3950" s="41"/>
      <c r="E3950" s="41"/>
      <c r="F3950" s="41"/>
      <c r="G3950" s="41"/>
      <c r="H3950" s="41"/>
      <c r="I3950" s="41"/>
      <c r="J3950" s="41"/>
      <c r="K3950" s="41"/>
      <c r="L3950" s="41"/>
      <c r="M3950" s="41"/>
      <c r="N3950" s="41"/>
      <c r="O3950" s="41"/>
    </row>
    <row r="3951" spans="1:15">
      <c r="A3951" s="39"/>
      <c r="B3951" s="40"/>
      <c r="C3951" s="41"/>
      <c r="D3951" s="41"/>
      <c r="E3951" s="41"/>
      <c r="F3951" s="41"/>
      <c r="G3951" s="41"/>
      <c r="H3951" s="41"/>
      <c r="I3951" s="41"/>
      <c r="J3951" s="41"/>
      <c r="K3951" s="41"/>
      <c r="L3951" s="41"/>
      <c r="M3951" s="41"/>
      <c r="N3951" s="41"/>
      <c r="O3951" s="41"/>
    </row>
    <row r="3952" spans="1:15">
      <c r="A3952" s="39"/>
      <c r="B3952" s="40"/>
      <c r="C3952" s="41"/>
      <c r="D3952" s="41"/>
      <c r="E3952" s="41"/>
      <c r="F3952" s="41"/>
      <c r="G3952" s="41"/>
      <c r="H3952" s="41"/>
      <c r="I3952" s="41"/>
      <c r="J3952" s="41"/>
      <c r="K3952" s="41"/>
      <c r="L3952" s="41"/>
      <c r="M3952" s="41"/>
      <c r="N3952" s="41"/>
      <c r="O3952" s="41"/>
    </row>
    <row r="3953" spans="1:15">
      <c r="A3953" s="39"/>
      <c r="B3953" s="40"/>
      <c r="C3953" s="41"/>
      <c r="D3953" s="41"/>
      <c r="E3953" s="41"/>
      <c r="F3953" s="41"/>
      <c r="G3953" s="41"/>
      <c r="H3953" s="41"/>
      <c r="I3953" s="41"/>
      <c r="J3953" s="41"/>
      <c r="K3953" s="41"/>
      <c r="L3953" s="41"/>
      <c r="M3953" s="41"/>
      <c r="N3953" s="41"/>
      <c r="O3953" s="41"/>
    </row>
    <row r="3954" spans="1:15">
      <c r="A3954" s="39"/>
      <c r="B3954" s="40"/>
      <c r="C3954" s="41"/>
      <c r="D3954" s="41"/>
      <c r="E3954" s="41"/>
      <c r="F3954" s="41"/>
      <c r="G3954" s="41"/>
      <c r="H3954" s="41"/>
      <c r="I3954" s="41"/>
      <c r="J3954" s="41"/>
      <c r="K3954" s="41"/>
      <c r="L3954" s="41"/>
      <c r="M3954" s="41"/>
      <c r="N3954" s="41"/>
      <c r="O3954" s="41"/>
    </row>
    <row r="3955" spans="1:15">
      <c r="A3955" s="39"/>
      <c r="B3955" s="40"/>
      <c r="C3955" s="41"/>
      <c r="D3955" s="41"/>
      <c r="E3955" s="41"/>
      <c r="F3955" s="41"/>
      <c r="G3955" s="41"/>
      <c r="H3955" s="41"/>
      <c r="I3955" s="41"/>
      <c r="J3955" s="41"/>
      <c r="K3955" s="41"/>
      <c r="L3955" s="41"/>
      <c r="M3955" s="41"/>
      <c r="N3955" s="41"/>
      <c r="O3955" s="41"/>
    </row>
    <row r="3956" spans="1:15">
      <c r="A3956" s="39"/>
      <c r="B3956" s="40"/>
      <c r="C3956" s="41"/>
      <c r="D3956" s="41"/>
      <c r="E3956" s="41"/>
      <c r="F3956" s="41"/>
      <c r="G3956" s="41"/>
      <c r="H3956" s="41"/>
      <c r="I3956" s="41"/>
      <c r="J3956" s="41"/>
      <c r="K3956" s="41"/>
      <c r="L3956" s="41"/>
      <c r="M3956" s="41"/>
      <c r="N3956" s="41"/>
      <c r="O3956" s="41"/>
    </row>
    <row r="3957" spans="1:15">
      <c r="A3957" s="39"/>
      <c r="B3957" s="40"/>
      <c r="C3957" s="41"/>
      <c r="D3957" s="41"/>
      <c r="E3957" s="41"/>
      <c r="F3957" s="41"/>
      <c r="G3957" s="41"/>
      <c r="H3957" s="41"/>
      <c r="I3957" s="41"/>
      <c r="J3957" s="41"/>
      <c r="K3957" s="41"/>
      <c r="L3957" s="41"/>
      <c r="M3957" s="41"/>
      <c r="N3957" s="41"/>
      <c r="O3957" s="41"/>
    </row>
    <row r="3958" spans="1:15">
      <c r="A3958" s="39"/>
      <c r="B3958" s="40"/>
      <c r="C3958" s="41"/>
      <c r="D3958" s="41"/>
      <c r="E3958" s="41"/>
      <c r="F3958" s="41"/>
      <c r="G3958" s="41"/>
      <c r="H3958" s="41"/>
      <c r="I3958" s="41"/>
      <c r="J3958" s="41"/>
      <c r="K3958" s="41"/>
      <c r="L3958" s="41"/>
      <c r="M3958" s="41"/>
      <c r="N3958" s="41"/>
      <c r="O3958" s="41"/>
    </row>
    <row r="3959" spans="1:15">
      <c r="A3959" s="39"/>
      <c r="B3959" s="40"/>
      <c r="C3959" s="41"/>
      <c r="D3959" s="41"/>
      <c r="E3959" s="41"/>
      <c r="F3959" s="41"/>
      <c r="G3959" s="41"/>
      <c r="H3959" s="41"/>
      <c r="I3959" s="41"/>
      <c r="J3959" s="41"/>
      <c r="K3959" s="41"/>
      <c r="L3959" s="41"/>
      <c r="M3959" s="41"/>
      <c r="N3959" s="41"/>
      <c r="O3959" s="41"/>
    </row>
    <row r="3960" spans="1:15">
      <c r="A3960" s="39"/>
      <c r="B3960" s="40"/>
      <c r="C3960" s="41"/>
      <c r="D3960" s="41"/>
      <c r="E3960" s="41"/>
      <c r="F3960" s="41"/>
      <c r="G3960" s="41"/>
      <c r="H3960" s="41"/>
      <c r="I3960" s="41"/>
      <c r="J3960" s="41"/>
      <c r="K3960" s="41"/>
      <c r="L3960" s="41"/>
      <c r="M3960" s="41"/>
      <c r="N3960" s="41"/>
      <c r="O3960" s="41"/>
    </row>
    <row r="3961" spans="1:15">
      <c r="A3961" s="39"/>
      <c r="B3961" s="40"/>
      <c r="C3961" s="41"/>
      <c r="D3961" s="41"/>
      <c r="E3961" s="41"/>
      <c r="F3961" s="41"/>
      <c r="G3961" s="41"/>
      <c r="H3961" s="41"/>
      <c r="I3961" s="41"/>
      <c r="J3961" s="41"/>
      <c r="K3961" s="41"/>
      <c r="L3961" s="41"/>
      <c r="M3961" s="41"/>
      <c r="N3961" s="41"/>
      <c r="O3961" s="41"/>
    </row>
    <row r="3962" spans="1:15">
      <c r="A3962" s="39"/>
      <c r="B3962" s="40"/>
      <c r="C3962" s="41"/>
      <c r="D3962" s="41"/>
      <c r="E3962" s="41"/>
      <c r="F3962" s="41"/>
      <c r="G3962" s="41"/>
      <c r="H3962" s="41"/>
      <c r="I3962" s="41"/>
      <c r="J3962" s="41"/>
      <c r="K3962" s="41"/>
      <c r="L3962" s="41"/>
      <c r="M3962" s="41"/>
      <c r="N3962" s="41"/>
      <c r="O3962" s="41"/>
    </row>
    <row r="3963" spans="1:15">
      <c r="A3963" s="39"/>
      <c r="B3963" s="40"/>
      <c r="C3963" s="41"/>
      <c r="D3963" s="41"/>
      <c r="E3963" s="41"/>
      <c r="F3963" s="41"/>
      <c r="G3963" s="41"/>
      <c r="H3963" s="41"/>
      <c r="I3963" s="41"/>
      <c r="J3963" s="41"/>
      <c r="K3963" s="41"/>
      <c r="L3963" s="41"/>
      <c r="M3963" s="41"/>
      <c r="N3963" s="41"/>
      <c r="O3963" s="41"/>
    </row>
    <row r="3964" spans="1:15">
      <c r="A3964" s="39"/>
      <c r="B3964" s="40"/>
      <c r="C3964" s="41"/>
      <c r="D3964" s="41"/>
      <c r="E3964" s="41"/>
      <c r="F3964" s="41"/>
      <c r="G3964" s="41"/>
      <c r="H3964" s="41"/>
      <c r="I3964" s="41"/>
      <c r="J3964" s="41"/>
      <c r="K3964" s="41"/>
      <c r="L3964" s="41"/>
      <c r="M3964" s="41"/>
      <c r="N3964" s="41"/>
      <c r="O3964" s="41"/>
    </row>
    <row r="3965" spans="1:15">
      <c r="A3965" s="39"/>
      <c r="B3965" s="40"/>
      <c r="C3965" s="41"/>
      <c r="D3965" s="41"/>
      <c r="E3965" s="41"/>
      <c r="F3965" s="41"/>
      <c r="G3965" s="41"/>
      <c r="H3965" s="41"/>
      <c r="I3965" s="41"/>
      <c r="J3965" s="41"/>
      <c r="K3965" s="41"/>
      <c r="L3965" s="41"/>
      <c r="M3965" s="41"/>
      <c r="N3965" s="41"/>
      <c r="O3965" s="41"/>
    </row>
    <row r="3966" spans="1:15">
      <c r="A3966" s="39"/>
      <c r="B3966" s="40"/>
      <c r="C3966" s="41"/>
      <c r="D3966" s="41"/>
      <c r="E3966" s="41"/>
      <c r="F3966" s="41"/>
      <c r="G3966" s="41"/>
      <c r="H3966" s="41"/>
      <c r="I3966" s="41"/>
      <c r="J3966" s="41"/>
      <c r="K3966" s="41"/>
      <c r="L3966" s="41"/>
      <c r="M3966" s="41"/>
      <c r="N3966" s="41"/>
      <c r="O3966" s="41"/>
    </row>
    <row r="3967" spans="1:15">
      <c r="A3967" s="39"/>
      <c r="B3967" s="40"/>
      <c r="C3967" s="41"/>
      <c r="D3967" s="41"/>
      <c r="E3967" s="41"/>
      <c r="F3967" s="41"/>
      <c r="G3967" s="41"/>
      <c r="H3967" s="41"/>
      <c r="I3967" s="41"/>
      <c r="J3967" s="41"/>
      <c r="K3967" s="41"/>
      <c r="L3967" s="41"/>
      <c r="M3967" s="41"/>
      <c r="N3967" s="41"/>
      <c r="O3967" s="41"/>
    </row>
    <row r="3968" spans="1:15">
      <c r="A3968" s="39"/>
      <c r="B3968" s="40"/>
      <c r="C3968" s="41"/>
      <c r="D3968" s="41"/>
      <c r="E3968" s="41"/>
      <c r="F3968" s="41"/>
      <c r="G3968" s="41"/>
      <c r="H3968" s="41"/>
      <c r="I3968" s="41"/>
      <c r="J3968" s="41"/>
      <c r="K3968" s="41"/>
      <c r="L3968" s="41"/>
      <c r="M3968" s="41"/>
      <c r="N3968" s="41"/>
      <c r="O3968" s="41"/>
    </row>
    <row r="3969" spans="1:15">
      <c r="A3969" s="39"/>
      <c r="B3969" s="40"/>
      <c r="C3969" s="41"/>
      <c r="D3969" s="41"/>
      <c r="E3969" s="41"/>
      <c r="F3969" s="41"/>
      <c r="G3969" s="41"/>
      <c r="H3969" s="41"/>
      <c r="I3969" s="41"/>
      <c r="J3969" s="41"/>
      <c r="K3969" s="41"/>
      <c r="L3969" s="41"/>
      <c r="M3969" s="41"/>
      <c r="N3969" s="41"/>
      <c r="O3969" s="41"/>
    </row>
    <row r="3970" spans="1:15">
      <c r="A3970" s="39"/>
      <c r="B3970" s="40"/>
      <c r="C3970" s="41"/>
      <c r="D3970" s="41"/>
      <c r="E3970" s="41"/>
      <c r="F3970" s="41"/>
      <c r="G3970" s="41"/>
      <c r="H3970" s="41"/>
      <c r="I3970" s="41"/>
      <c r="J3970" s="41"/>
      <c r="K3970" s="41"/>
      <c r="L3970" s="41"/>
      <c r="M3970" s="41"/>
      <c r="N3970" s="41"/>
      <c r="O3970" s="41"/>
    </row>
    <row r="3971" spans="1:15">
      <c r="A3971" s="39"/>
      <c r="B3971" s="40"/>
      <c r="C3971" s="41"/>
      <c r="D3971" s="41"/>
      <c r="E3971" s="41"/>
      <c r="F3971" s="41"/>
      <c r="G3971" s="41"/>
      <c r="H3971" s="41"/>
      <c r="I3971" s="41"/>
      <c r="J3971" s="41"/>
      <c r="K3971" s="41"/>
      <c r="L3971" s="41"/>
      <c r="M3971" s="41"/>
      <c r="N3971" s="41"/>
      <c r="O3971" s="41"/>
    </row>
    <row r="3972" spans="1:15">
      <c r="A3972" s="39"/>
      <c r="B3972" s="40"/>
      <c r="C3972" s="41"/>
      <c r="D3972" s="41"/>
      <c r="E3972" s="41"/>
      <c r="F3972" s="41"/>
      <c r="G3972" s="41"/>
      <c r="H3972" s="41"/>
      <c r="I3972" s="41"/>
      <c r="J3972" s="41"/>
      <c r="K3972" s="41"/>
      <c r="L3972" s="41"/>
      <c r="M3972" s="41"/>
      <c r="N3972" s="41"/>
      <c r="O3972" s="41"/>
    </row>
    <row r="3973" spans="1:15">
      <c r="A3973" s="39"/>
      <c r="B3973" s="40"/>
      <c r="C3973" s="41"/>
      <c r="D3973" s="41"/>
      <c r="E3973" s="41"/>
      <c r="F3973" s="41"/>
      <c r="G3973" s="41"/>
      <c r="H3973" s="41"/>
      <c r="I3973" s="41"/>
      <c r="J3973" s="41"/>
      <c r="K3973" s="41"/>
      <c r="L3973" s="41"/>
      <c r="M3973" s="41"/>
      <c r="N3973" s="41"/>
      <c r="O3973" s="41"/>
    </row>
    <row r="3974" spans="1:15">
      <c r="A3974" s="39"/>
      <c r="B3974" s="40"/>
      <c r="C3974" s="41"/>
      <c r="D3974" s="41"/>
      <c r="E3974" s="41"/>
      <c r="F3974" s="41"/>
      <c r="G3974" s="41"/>
      <c r="H3974" s="41"/>
      <c r="I3974" s="41"/>
      <c r="J3974" s="41"/>
      <c r="K3974" s="41"/>
      <c r="L3974" s="41"/>
      <c r="M3974" s="41"/>
      <c r="N3974" s="41"/>
      <c r="O3974" s="41"/>
    </row>
    <row r="3975" spans="1:15">
      <c r="A3975" s="39"/>
      <c r="B3975" s="40"/>
      <c r="C3975" s="41"/>
      <c r="D3975" s="41"/>
      <c r="E3975" s="41"/>
      <c r="F3975" s="41"/>
      <c r="G3975" s="41"/>
      <c r="H3975" s="41"/>
      <c r="I3975" s="41"/>
      <c r="J3975" s="41"/>
      <c r="K3975" s="41"/>
      <c r="L3975" s="41"/>
      <c r="M3975" s="41"/>
      <c r="N3975" s="41"/>
      <c r="O3975" s="41"/>
    </row>
    <row r="3976" spans="1:15">
      <c r="A3976" s="39"/>
      <c r="B3976" s="40"/>
      <c r="C3976" s="41"/>
      <c r="D3976" s="41"/>
      <c r="E3976" s="41"/>
      <c r="F3976" s="41"/>
      <c r="G3976" s="41"/>
      <c r="H3976" s="41"/>
      <c r="I3976" s="41"/>
      <c r="J3976" s="41"/>
      <c r="K3976" s="41"/>
      <c r="L3976" s="41"/>
      <c r="M3976" s="41"/>
      <c r="N3976" s="41"/>
      <c r="O3976" s="41"/>
    </row>
    <row r="3977" spans="1:15">
      <c r="A3977" s="39"/>
      <c r="B3977" s="40"/>
      <c r="C3977" s="41"/>
      <c r="D3977" s="41"/>
      <c r="E3977" s="41"/>
      <c r="F3977" s="41"/>
      <c r="G3977" s="41"/>
      <c r="H3977" s="41"/>
      <c r="I3977" s="41"/>
      <c r="J3977" s="41"/>
      <c r="K3977" s="41"/>
      <c r="L3977" s="41"/>
      <c r="M3977" s="41"/>
      <c r="N3977" s="41"/>
      <c r="O3977" s="41"/>
    </row>
    <row r="3978" spans="1:15">
      <c r="A3978" s="39"/>
      <c r="B3978" s="40"/>
      <c r="C3978" s="41"/>
      <c r="D3978" s="41"/>
      <c r="E3978" s="41"/>
      <c r="F3978" s="41"/>
      <c r="G3978" s="41"/>
      <c r="H3978" s="41"/>
      <c r="I3978" s="41"/>
      <c r="J3978" s="41"/>
      <c r="K3978" s="41"/>
      <c r="L3978" s="41"/>
      <c r="M3978" s="41"/>
      <c r="N3978" s="41"/>
      <c r="O3978" s="41"/>
    </row>
    <row r="3979" spans="1:15">
      <c r="A3979" s="39"/>
      <c r="B3979" s="40"/>
      <c r="C3979" s="41"/>
      <c r="D3979" s="41"/>
      <c r="E3979" s="41"/>
      <c r="F3979" s="41"/>
      <c r="G3979" s="41"/>
      <c r="H3979" s="41"/>
      <c r="I3979" s="41"/>
      <c r="J3979" s="41"/>
      <c r="K3979" s="41"/>
      <c r="L3979" s="41"/>
      <c r="M3979" s="41"/>
      <c r="N3979" s="41"/>
      <c r="O3979" s="41"/>
    </row>
    <row r="3980" spans="1:15">
      <c r="A3980" s="39"/>
      <c r="B3980" s="40"/>
      <c r="C3980" s="41"/>
      <c r="D3980" s="41"/>
      <c r="E3980" s="41"/>
      <c r="F3980" s="41"/>
      <c r="G3980" s="41"/>
      <c r="H3980" s="41"/>
      <c r="I3980" s="41"/>
      <c r="J3980" s="41"/>
      <c r="K3980" s="41"/>
      <c r="L3980" s="41"/>
      <c r="M3980" s="41"/>
      <c r="N3980" s="41"/>
      <c r="O3980" s="41"/>
    </row>
    <row r="3981" spans="1:15">
      <c r="A3981" s="39"/>
      <c r="B3981" s="40"/>
      <c r="C3981" s="41"/>
      <c r="D3981" s="41"/>
      <c r="E3981" s="41"/>
      <c r="F3981" s="41"/>
      <c r="G3981" s="41"/>
      <c r="H3981" s="41"/>
      <c r="I3981" s="41"/>
      <c r="J3981" s="41"/>
      <c r="K3981" s="41"/>
      <c r="L3981" s="41"/>
      <c r="M3981" s="41"/>
      <c r="N3981" s="41"/>
      <c r="O3981" s="41"/>
    </row>
    <row r="3982" spans="1:15">
      <c r="A3982" s="39"/>
      <c r="B3982" s="40"/>
      <c r="C3982" s="41"/>
      <c r="D3982" s="41"/>
      <c r="E3982" s="41"/>
      <c r="F3982" s="41"/>
      <c r="G3982" s="41"/>
      <c r="H3982" s="41"/>
      <c r="I3982" s="41"/>
      <c r="J3982" s="41"/>
      <c r="K3982" s="41"/>
      <c r="L3982" s="41"/>
      <c r="M3982" s="41"/>
      <c r="N3982" s="41"/>
      <c r="O3982" s="41"/>
    </row>
    <row r="3983" spans="1:15">
      <c r="A3983" s="39"/>
      <c r="B3983" s="40"/>
      <c r="C3983" s="41"/>
      <c r="D3983" s="41"/>
      <c r="E3983" s="41"/>
      <c r="F3983" s="41"/>
      <c r="G3983" s="41"/>
      <c r="H3983" s="41"/>
      <c r="I3983" s="41"/>
      <c r="J3983" s="41"/>
      <c r="K3983" s="41"/>
      <c r="L3983" s="41"/>
      <c r="M3983" s="41"/>
      <c r="N3983" s="41"/>
      <c r="O3983" s="41"/>
    </row>
    <row r="3984" spans="1:15">
      <c r="A3984" s="39"/>
      <c r="B3984" s="40"/>
      <c r="C3984" s="41"/>
      <c r="D3984" s="41"/>
      <c r="E3984" s="41"/>
      <c r="F3984" s="41"/>
      <c r="G3984" s="41"/>
      <c r="H3984" s="41"/>
      <c r="I3984" s="41"/>
      <c r="J3984" s="41"/>
      <c r="K3984" s="41"/>
      <c r="L3984" s="41"/>
      <c r="M3984" s="41"/>
      <c r="N3984" s="41"/>
      <c r="O3984" s="41"/>
    </row>
    <row r="3985" spans="1:15">
      <c r="A3985" s="39"/>
      <c r="B3985" s="40"/>
      <c r="C3985" s="41"/>
      <c r="D3985" s="41"/>
      <c r="E3985" s="41"/>
      <c r="F3985" s="41"/>
      <c r="G3985" s="41"/>
      <c r="H3985" s="41"/>
      <c r="I3985" s="41"/>
      <c r="J3985" s="41"/>
      <c r="K3985" s="41"/>
      <c r="L3985" s="41"/>
      <c r="M3985" s="41"/>
      <c r="N3985" s="41"/>
      <c r="O3985" s="41"/>
    </row>
    <row r="3986" spans="1:15">
      <c r="A3986" s="39"/>
      <c r="B3986" s="40"/>
      <c r="C3986" s="41"/>
      <c r="D3986" s="41"/>
      <c r="E3986" s="41"/>
      <c r="F3986" s="41"/>
      <c r="G3986" s="41"/>
      <c r="H3986" s="41"/>
      <c r="I3986" s="41"/>
      <c r="J3986" s="41"/>
      <c r="K3986" s="41"/>
      <c r="L3986" s="41"/>
      <c r="M3986" s="41"/>
      <c r="N3986" s="41"/>
      <c r="O3986" s="41"/>
    </row>
    <row r="3987" spans="1:15">
      <c r="A3987" s="39"/>
      <c r="B3987" s="40"/>
      <c r="C3987" s="41"/>
      <c r="D3987" s="41"/>
      <c r="E3987" s="41"/>
      <c r="F3987" s="41"/>
      <c r="G3987" s="41"/>
      <c r="H3987" s="41"/>
      <c r="I3987" s="41"/>
      <c r="J3987" s="41"/>
      <c r="K3987" s="41"/>
      <c r="L3987" s="41"/>
      <c r="M3987" s="41"/>
      <c r="N3987" s="41"/>
      <c r="O3987" s="41"/>
    </row>
    <row r="3988" spans="1:15">
      <c r="A3988" s="39"/>
      <c r="B3988" s="40"/>
      <c r="C3988" s="41"/>
      <c r="D3988" s="41"/>
      <c r="E3988" s="41"/>
      <c r="F3988" s="41"/>
      <c r="G3988" s="41"/>
      <c r="H3988" s="41"/>
      <c r="I3988" s="41"/>
      <c r="J3988" s="41"/>
      <c r="K3988" s="41"/>
      <c r="L3988" s="41"/>
      <c r="M3988" s="41"/>
      <c r="N3988" s="41"/>
      <c r="O3988" s="41"/>
    </row>
    <row r="3989" spans="1:15">
      <c r="A3989" s="39"/>
      <c r="B3989" s="40"/>
      <c r="C3989" s="41"/>
      <c r="D3989" s="41"/>
      <c r="E3989" s="41"/>
      <c r="F3989" s="41"/>
      <c r="G3989" s="41"/>
      <c r="H3989" s="41"/>
      <c r="I3989" s="41"/>
      <c r="J3989" s="41"/>
      <c r="K3989" s="41"/>
      <c r="L3989" s="41"/>
      <c r="M3989" s="41"/>
      <c r="N3989" s="41"/>
      <c r="O3989" s="41"/>
    </row>
    <row r="3990" spans="1:15">
      <c r="A3990" s="39"/>
      <c r="B3990" s="40"/>
      <c r="C3990" s="41"/>
      <c r="D3990" s="41"/>
      <c r="E3990" s="41"/>
      <c r="F3990" s="41"/>
      <c r="G3990" s="41"/>
      <c r="H3990" s="41"/>
      <c r="I3990" s="41"/>
      <c r="J3990" s="41"/>
      <c r="K3990" s="41"/>
      <c r="L3990" s="41"/>
      <c r="M3990" s="41"/>
      <c r="N3990" s="41"/>
      <c r="O3990" s="41"/>
    </row>
    <row r="3991" spans="1:15">
      <c r="A3991" s="39"/>
      <c r="B3991" s="40"/>
      <c r="C3991" s="41"/>
      <c r="D3991" s="41"/>
      <c r="E3991" s="41"/>
      <c r="F3991" s="41"/>
      <c r="G3991" s="41"/>
      <c r="H3991" s="41"/>
      <c r="I3991" s="41"/>
      <c r="J3991" s="41"/>
      <c r="K3991" s="41"/>
      <c r="L3991" s="41"/>
      <c r="M3991" s="41"/>
      <c r="N3991" s="41"/>
      <c r="O3991" s="41"/>
    </row>
    <row r="3992" spans="1:15">
      <c r="A3992" s="39"/>
      <c r="B3992" s="40"/>
      <c r="C3992" s="41"/>
      <c r="D3992" s="41"/>
      <c r="E3992" s="41"/>
      <c r="F3992" s="41"/>
      <c r="G3992" s="41"/>
      <c r="H3992" s="41"/>
      <c r="I3992" s="41"/>
      <c r="J3992" s="41"/>
      <c r="K3992" s="41"/>
      <c r="L3992" s="41"/>
      <c r="M3992" s="41"/>
      <c r="N3992" s="41"/>
      <c r="O3992" s="41"/>
    </row>
    <row r="3993" spans="1:15">
      <c r="A3993" s="39"/>
      <c r="B3993" s="40"/>
      <c r="C3993" s="41"/>
      <c r="D3993" s="41"/>
      <c r="E3993" s="41"/>
      <c r="F3993" s="41"/>
      <c r="G3993" s="41"/>
      <c r="H3993" s="41"/>
      <c r="I3993" s="41"/>
      <c r="J3993" s="41"/>
      <c r="K3993" s="41"/>
      <c r="L3993" s="41"/>
      <c r="M3993" s="41"/>
      <c r="N3993" s="41"/>
      <c r="O3993" s="41"/>
    </row>
    <row r="3994" spans="1:15">
      <c r="A3994" s="39"/>
      <c r="B3994" s="40"/>
      <c r="C3994" s="41"/>
      <c r="D3994" s="41"/>
      <c r="E3994" s="41"/>
      <c r="F3994" s="41"/>
      <c r="G3994" s="41"/>
      <c r="H3994" s="41"/>
      <c r="I3994" s="41"/>
      <c r="J3994" s="41"/>
      <c r="K3994" s="41"/>
      <c r="L3994" s="41"/>
      <c r="M3994" s="41"/>
      <c r="N3994" s="41"/>
      <c r="O3994" s="41"/>
    </row>
    <row r="3995" spans="1:15">
      <c r="A3995" s="39"/>
      <c r="B3995" s="40"/>
      <c r="C3995" s="41"/>
      <c r="D3995" s="41"/>
      <c r="E3995" s="41"/>
      <c r="F3995" s="41"/>
      <c r="G3995" s="41"/>
      <c r="H3995" s="41"/>
      <c r="I3995" s="41"/>
      <c r="J3995" s="41"/>
      <c r="K3995" s="41"/>
      <c r="L3995" s="41"/>
      <c r="M3995" s="41"/>
      <c r="N3995" s="41"/>
      <c r="O3995" s="41"/>
    </row>
    <row r="3996" spans="1:15">
      <c r="A3996" s="39"/>
      <c r="B3996" s="40"/>
      <c r="C3996" s="41"/>
      <c r="D3996" s="41"/>
      <c r="E3996" s="41"/>
      <c r="F3996" s="41"/>
      <c r="G3996" s="41"/>
      <c r="H3996" s="41"/>
      <c r="I3996" s="41"/>
      <c r="J3996" s="41"/>
      <c r="K3996" s="41"/>
      <c r="L3996" s="41"/>
      <c r="M3996" s="41"/>
      <c r="N3996" s="41"/>
      <c r="O3996" s="41"/>
    </row>
    <row r="3997" spans="1:15">
      <c r="A3997" s="39"/>
      <c r="B3997" s="40"/>
      <c r="C3997" s="41"/>
      <c r="D3997" s="41"/>
      <c r="E3997" s="41"/>
      <c r="F3997" s="41"/>
      <c r="G3997" s="41"/>
      <c r="H3997" s="41"/>
      <c r="I3997" s="41"/>
      <c r="J3997" s="41"/>
      <c r="K3997" s="41"/>
      <c r="L3997" s="41"/>
      <c r="M3997" s="41"/>
      <c r="N3997" s="41"/>
      <c r="O3997" s="41"/>
    </row>
    <row r="3998" spans="1:15">
      <c r="A3998" s="39"/>
      <c r="B3998" s="40"/>
      <c r="C3998" s="41"/>
      <c r="D3998" s="41"/>
      <c r="E3998" s="41"/>
      <c r="F3998" s="41"/>
      <c r="G3998" s="41"/>
      <c r="H3998" s="41"/>
      <c r="I3998" s="41"/>
      <c r="J3998" s="41"/>
      <c r="K3998" s="41"/>
      <c r="L3998" s="41"/>
      <c r="M3998" s="41"/>
      <c r="N3998" s="41"/>
      <c r="O3998" s="41"/>
    </row>
    <row r="3999" spans="1:15">
      <c r="A3999" s="39"/>
      <c r="B3999" s="40"/>
      <c r="C3999" s="41"/>
      <c r="D3999" s="41"/>
      <c r="E3999" s="41"/>
      <c r="F3999" s="41"/>
      <c r="G3999" s="41"/>
      <c r="H3999" s="41"/>
      <c r="I3999" s="41"/>
      <c r="J3999" s="41"/>
      <c r="K3999" s="41"/>
      <c r="L3999" s="41"/>
      <c r="M3999" s="41"/>
      <c r="N3999" s="41"/>
      <c r="O3999" s="41"/>
    </row>
    <row r="4000" spans="1:15">
      <c r="A4000" s="39"/>
      <c r="B4000" s="40"/>
      <c r="C4000" s="41"/>
      <c r="D4000" s="41"/>
      <c r="E4000" s="41"/>
      <c r="F4000" s="41"/>
      <c r="G4000" s="41"/>
      <c r="H4000" s="41"/>
      <c r="I4000" s="41"/>
      <c r="J4000" s="41"/>
      <c r="K4000" s="41"/>
      <c r="L4000" s="41"/>
      <c r="M4000" s="41"/>
      <c r="N4000" s="41"/>
      <c r="O4000" s="41"/>
    </row>
    <row r="4001" spans="1:15">
      <c r="A4001" s="39"/>
      <c r="B4001" s="40"/>
      <c r="C4001" s="41"/>
      <c r="D4001" s="41"/>
      <c r="E4001" s="41"/>
      <c r="F4001" s="41"/>
      <c r="G4001" s="41"/>
      <c r="H4001" s="41"/>
      <c r="I4001" s="41"/>
      <c r="J4001" s="41"/>
      <c r="K4001" s="41"/>
      <c r="L4001" s="41"/>
      <c r="M4001" s="41"/>
      <c r="N4001" s="41"/>
      <c r="O4001" s="41"/>
    </row>
    <row r="4002" spans="1:15">
      <c r="A4002" s="39"/>
      <c r="B4002" s="40"/>
      <c r="C4002" s="41"/>
      <c r="D4002" s="41"/>
      <c r="E4002" s="41"/>
      <c r="F4002" s="41"/>
      <c r="G4002" s="41"/>
      <c r="H4002" s="41"/>
      <c r="I4002" s="41"/>
      <c r="J4002" s="41"/>
      <c r="K4002" s="41"/>
      <c r="L4002" s="41"/>
      <c r="M4002" s="41"/>
      <c r="N4002" s="41"/>
      <c r="O4002" s="41"/>
    </row>
    <row r="4003" spans="1:15">
      <c r="A4003" s="39"/>
      <c r="B4003" s="40"/>
      <c r="C4003" s="41"/>
      <c r="D4003" s="41"/>
      <c r="E4003" s="41"/>
      <c r="F4003" s="41"/>
      <c r="G4003" s="41"/>
      <c r="H4003" s="41"/>
      <c r="I4003" s="41"/>
      <c r="J4003" s="41"/>
      <c r="K4003" s="41"/>
      <c r="L4003" s="41"/>
      <c r="M4003" s="41"/>
      <c r="N4003" s="41"/>
      <c r="O4003" s="41"/>
    </row>
    <row r="4004" spans="1:15">
      <c r="A4004" s="39"/>
      <c r="B4004" s="40"/>
      <c r="C4004" s="41"/>
      <c r="D4004" s="41"/>
      <c r="E4004" s="41"/>
      <c r="F4004" s="41"/>
      <c r="G4004" s="41"/>
      <c r="H4004" s="41"/>
      <c r="I4004" s="41"/>
      <c r="J4004" s="41"/>
      <c r="K4004" s="41"/>
      <c r="L4004" s="41"/>
      <c r="M4004" s="41"/>
      <c r="N4004" s="41"/>
      <c r="O4004" s="41"/>
    </row>
    <row r="4005" spans="1:15">
      <c r="A4005" s="39"/>
      <c r="B4005" s="40"/>
      <c r="C4005" s="41"/>
      <c r="D4005" s="41"/>
      <c r="E4005" s="41"/>
      <c r="F4005" s="41"/>
      <c r="G4005" s="41"/>
      <c r="H4005" s="41"/>
      <c r="I4005" s="41"/>
      <c r="J4005" s="41"/>
      <c r="K4005" s="41"/>
      <c r="L4005" s="41"/>
      <c r="M4005" s="41"/>
      <c r="N4005" s="41"/>
      <c r="O4005" s="41"/>
    </row>
    <row r="4006" spans="1:15">
      <c r="A4006" s="39"/>
      <c r="B4006" s="40"/>
      <c r="C4006" s="41"/>
      <c r="D4006" s="41"/>
      <c r="E4006" s="41"/>
      <c r="F4006" s="41"/>
      <c r="G4006" s="41"/>
      <c r="H4006" s="41"/>
      <c r="I4006" s="41"/>
      <c r="J4006" s="41"/>
      <c r="K4006" s="41"/>
      <c r="L4006" s="41"/>
      <c r="M4006" s="41"/>
      <c r="N4006" s="41"/>
      <c r="O4006" s="41"/>
    </row>
    <row r="4007" spans="1:15">
      <c r="A4007" s="39"/>
      <c r="B4007" s="40"/>
      <c r="C4007" s="41"/>
      <c r="D4007" s="41"/>
      <c r="E4007" s="41"/>
      <c r="F4007" s="41"/>
      <c r="G4007" s="41"/>
      <c r="H4007" s="41"/>
      <c r="I4007" s="41"/>
      <c r="J4007" s="41"/>
      <c r="K4007" s="41"/>
      <c r="L4007" s="41"/>
      <c r="M4007" s="41"/>
      <c r="N4007" s="41"/>
      <c r="O4007" s="41"/>
    </row>
    <row r="4008" spans="1:15">
      <c r="A4008" s="39"/>
      <c r="B4008" s="40"/>
      <c r="C4008" s="41"/>
      <c r="D4008" s="41"/>
      <c r="E4008" s="41"/>
      <c r="F4008" s="41"/>
      <c r="G4008" s="41"/>
      <c r="H4008" s="41"/>
      <c r="I4008" s="41"/>
      <c r="J4008" s="41"/>
      <c r="K4008" s="41"/>
      <c r="L4008" s="41"/>
      <c r="M4008" s="41"/>
      <c r="N4008" s="41"/>
      <c r="O4008" s="41"/>
    </row>
    <row r="4009" spans="1:15">
      <c r="A4009" s="39"/>
      <c r="B4009" s="40"/>
      <c r="C4009" s="41"/>
      <c r="D4009" s="41"/>
      <c r="E4009" s="41"/>
      <c r="F4009" s="41"/>
      <c r="G4009" s="41"/>
      <c r="H4009" s="41"/>
      <c r="I4009" s="41"/>
      <c r="J4009" s="41"/>
      <c r="K4009" s="41"/>
      <c r="L4009" s="41"/>
      <c r="M4009" s="41"/>
      <c r="N4009" s="41"/>
      <c r="O4009" s="41"/>
    </row>
    <row r="4010" spans="1:15">
      <c r="A4010" s="39"/>
      <c r="B4010" s="40"/>
      <c r="C4010" s="41"/>
      <c r="D4010" s="41"/>
      <c r="E4010" s="41"/>
      <c r="F4010" s="41"/>
      <c r="G4010" s="41"/>
      <c r="H4010" s="41"/>
      <c r="I4010" s="41"/>
      <c r="J4010" s="41"/>
      <c r="K4010" s="41"/>
      <c r="L4010" s="41"/>
      <c r="M4010" s="41"/>
      <c r="N4010" s="41"/>
      <c r="O4010" s="41"/>
    </row>
    <row r="4011" spans="1:15">
      <c r="A4011" s="39"/>
      <c r="B4011" s="40"/>
      <c r="C4011" s="41"/>
      <c r="D4011" s="41"/>
      <c r="E4011" s="41"/>
      <c r="F4011" s="41"/>
      <c r="G4011" s="41"/>
      <c r="H4011" s="41"/>
      <c r="I4011" s="41"/>
      <c r="J4011" s="41"/>
      <c r="K4011" s="41"/>
      <c r="L4011" s="41"/>
      <c r="M4011" s="41"/>
      <c r="N4011" s="41"/>
      <c r="O4011" s="41"/>
    </row>
    <row r="4012" spans="1:15">
      <c r="A4012" s="39"/>
      <c r="B4012" s="40"/>
      <c r="C4012" s="41"/>
      <c r="D4012" s="41"/>
      <c r="E4012" s="41"/>
      <c r="F4012" s="41"/>
      <c r="G4012" s="41"/>
      <c r="H4012" s="41"/>
      <c r="I4012" s="41"/>
      <c r="J4012" s="41"/>
      <c r="K4012" s="41"/>
      <c r="L4012" s="41"/>
      <c r="M4012" s="41"/>
      <c r="N4012" s="41"/>
      <c r="O4012" s="41"/>
    </row>
    <row r="4013" spans="1:15">
      <c r="A4013" s="39"/>
      <c r="B4013" s="40"/>
      <c r="C4013" s="41"/>
      <c r="D4013" s="41"/>
      <c r="E4013" s="41"/>
      <c r="F4013" s="41"/>
      <c r="G4013" s="41"/>
      <c r="H4013" s="41"/>
      <c r="I4013" s="41"/>
      <c r="J4013" s="41"/>
      <c r="K4013" s="41"/>
      <c r="L4013" s="41"/>
      <c r="M4013" s="41"/>
      <c r="N4013" s="41"/>
      <c r="O4013" s="41"/>
    </row>
    <row r="4014" spans="1:15">
      <c r="A4014" s="39"/>
      <c r="B4014" s="40"/>
      <c r="C4014" s="41"/>
      <c r="D4014" s="41"/>
      <c r="E4014" s="41"/>
      <c r="F4014" s="41"/>
      <c r="G4014" s="41"/>
      <c r="H4014" s="41"/>
      <c r="I4014" s="41"/>
      <c r="J4014" s="41"/>
      <c r="K4014" s="41"/>
      <c r="L4014" s="41"/>
      <c r="M4014" s="41"/>
      <c r="N4014" s="41"/>
      <c r="O4014" s="41"/>
    </row>
    <row r="4015" spans="1:15">
      <c r="A4015" s="39"/>
      <c r="B4015" s="40"/>
      <c r="C4015" s="41"/>
      <c r="D4015" s="41"/>
      <c r="E4015" s="41"/>
      <c r="F4015" s="41"/>
      <c r="G4015" s="41"/>
      <c r="H4015" s="41"/>
      <c r="I4015" s="41"/>
      <c r="J4015" s="41"/>
      <c r="K4015" s="41"/>
      <c r="L4015" s="41"/>
      <c r="M4015" s="41"/>
      <c r="N4015" s="41"/>
      <c r="O4015" s="41"/>
    </row>
    <row r="4016" spans="1:15">
      <c r="A4016" s="39"/>
      <c r="B4016" s="40"/>
      <c r="C4016" s="41"/>
      <c r="D4016" s="41"/>
      <c r="E4016" s="41"/>
      <c r="F4016" s="41"/>
      <c r="G4016" s="41"/>
      <c r="H4016" s="41"/>
      <c r="I4016" s="41"/>
      <c r="J4016" s="41"/>
      <c r="K4016" s="41"/>
      <c r="L4016" s="41"/>
      <c r="M4016" s="41"/>
      <c r="N4016" s="41"/>
      <c r="O4016" s="41"/>
    </row>
    <row r="4017" spans="1:15">
      <c r="A4017" s="39"/>
      <c r="B4017" s="40"/>
      <c r="C4017" s="41"/>
      <c r="D4017" s="41"/>
      <c r="E4017" s="41"/>
      <c r="F4017" s="41"/>
      <c r="G4017" s="41"/>
      <c r="H4017" s="41"/>
      <c r="I4017" s="41"/>
      <c r="J4017" s="41"/>
      <c r="K4017" s="41"/>
      <c r="L4017" s="41"/>
      <c r="M4017" s="41"/>
      <c r="N4017" s="41"/>
      <c r="O4017" s="41"/>
    </row>
    <row r="4018" spans="1:15">
      <c r="A4018" s="39"/>
      <c r="B4018" s="40"/>
      <c r="C4018" s="41"/>
      <c r="D4018" s="41"/>
      <c r="E4018" s="41"/>
      <c r="F4018" s="41"/>
      <c r="G4018" s="41"/>
      <c r="H4018" s="41"/>
      <c r="I4018" s="41"/>
      <c r="J4018" s="41"/>
      <c r="K4018" s="41"/>
      <c r="L4018" s="41"/>
      <c r="M4018" s="41"/>
      <c r="N4018" s="41"/>
      <c r="O4018" s="41"/>
    </row>
    <row r="4019" spans="1:15">
      <c r="A4019" s="39"/>
      <c r="B4019" s="40"/>
      <c r="C4019" s="41"/>
      <c r="D4019" s="41"/>
      <c r="E4019" s="41"/>
      <c r="F4019" s="41"/>
      <c r="G4019" s="41"/>
      <c r="H4019" s="41"/>
      <c r="I4019" s="41"/>
      <c r="J4019" s="41"/>
      <c r="K4019" s="41"/>
      <c r="L4019" s="41"/>
      <c r="M4019" s="41"/>
      <c r="N4019" s="41"/>
      <c r="O4019" s="41"/>
    </row>
    <row r="4020" spans="1:15">
      <c r="A4020" s="39"/>
      <c r="B4020" s="40"/>
      <c r="C4020" s="41"/>
      <c r="D4020" s="41"/>
      <c r="E4020" s="41"/>
      <c r="F4020" s="41"/>
      <c r="G4020" s="41"/>
      <c r="H4020" s="41"/>
      <c r="I4020" s="41"/>
      <c r="J4020" s="41"/>
      <c r="K4020" s="41"/>
      <c r="L4020" s="41"/>
      <c r="M4020" s="41"/>
      <c r="N4020" s="41"/>
      <c r="O4020" s="41"/>
    </row>
    <row r="4021" spans="1:15">
      <c r="A4021" s="39"/>
      <c r="B4021" s="40"/>
      <c r="C4021" s="41"/>
      <c r="D4021" s="41"/>
      <c r="E4021" s="41"/>
      <c r="F4021" s="41"/>
      <c r="G4021" s="41"/>
      <c r="H4021" s="41"/>
      <c r="I4021" s="41"/>
      <c r="J4021" s="41"/>
      <c r="K4021" s="41"/>
      <c r="L4021" s="41"/>
      <c r="M4021" s="41"/>
      <c r="N4021" s="41"/>
      <c r="O4021" s="41"/>
    </row>
    <row r="4022" spans="1:15">
      <c r="A4022" s="39"/>
      <c r="B4022" s="40"/>
      <c r="C4022" s="41"/>
      <c r="D4022" s="41"/>
      <c r="E4022" s="41"/>
      <c r="F4022" s="41"/>
      <c r="G4022" s="41"/>
      <c r="H4022" s="41"/>
      <c r="I4022" s="41"/>
      <c r="J4022" s="41"/>
      <c r="K4022" s="41"/>
      <c r="L4022" s="41"/>
      <c r="M4022" s="41"/>
      <c r="N4022" s="41"/>
      <c r="O4022" s="41"/>
    </row>
    <row r="4023" spans="1:15">
      <c r="A4023" s="39"/>
      <c r="B4023" s="40"/>
      <c r="C4023" s="41"/>
      <c r="D4023" s="41"/>
      <c r="E4023" s="41"/>
      <c r="F4023" s="41"/>
      <c r="G4023" s="41"/>
      <c r="H4023" s="41"/>
      <c r="I4023" s="41"/>
      <c r="J4023" s="41"/>
      <c r="K4023" s="41"/>
      <c r="L4023" s="41"/>
      <c r="M4023" s="41"/>
      <c r="N4023" s="41"/>
      <c r="O4023" s="41"/>
    </row>
    <row r="4024" spans="1:15">
      <c r="A4024" s="39"/>
      <c r="B4024" s="40"/>
      <c r="C4024" s="41"/>
      <c r="D4024" s="41"/>
      <c r="E4024" s="41"/>
      <c r="F4024" s="41"/>
      <c r="G4024" s="41"/>
      <c r="H4024" s="41"/>
      <c r="I4024" s="41"/>
      <c r="J4024" s="41"/>
      <c r="K4024" s="41"/>
      <c r="L4024" s="41"/>
      <c r="M4024" s="41"/>
      <c r="N4024" s="41"/>
      <c r="O4024" s="41"/>
    </row>
    <row r="4025" spans="1:15">
      <c r="A4025" s="39"/>
      <c r="B4025" s="40"/>
      <c r="C4025" s="41"/>
      <c r="D4025" s="41"/>
      <c r="E4025" s="41"/>
      <c r="F4025" s="41"/>
      <c r="G4025" s="41"/>
      <c r="H4025" s="41"/>
      <c r="I4025" s="41"/>
      <c r="J4025" s="41"/>
      <c r="K4025" s="41"/>
      <c r="L4025" s="41"/>
      <c r="M4025" s="41"/>
      <c r="N4025" s="41"/>
      <c r="O4025" s="41"/>
    </row>
    <row r="4026" spans="1:15">
      <c r="A4026" s="39"/>
      <c r="B4026" s="40"/>
      <c r="C4026" s="41"/>
      <c r="D4026" s="41"/>
      <c r="E4026" s="41"/>
      <c r="F4026" s="41"/>
      <c r="G4026" s="41"/>
      <c r="H4026" s="41"/>
      <c r="I4026" s="41"/>
      <c r="J4026" s="41"/>
      <c r="K4026" s="41"/>
      <c r="L4026" s="41"/>
      <c r="M4026" s="41"/>
      <c r="N4026" s="41"/>
      <c r="O4026" s="41"/>
    </row>
    <row r="4027" spans="1:15">
      <c r="A4027" s="39"/>
      <c r="B4027" s="40"/>
      <c r="C4027" s="41"/>
      <c r="D4027" s="41"/>
      <c r="E4027" s="41"/>
      <c r="F4027" s="41"/>
      <c r="G4027" s="41"/>
      <c r="H4027" s="41"/>
      <c r="I4027" s="41"/>
      <c r="J4027" s="41"/>
      <c r="K4027" s="41"/>
      <c r="L4027" s="41"/>
      <c r="M4027" s="41"/>
      <c r="N4027" s="41"/>
      <c r="O4027" s="41"/>
    </row>
    <row r="4028" spans="1:15">
      <c r="A4028" s="39"/>
      <c r="B4028" s="40"/>
      <c r="C4028" s="41"/>
      <c r="D4028" s="41"/>
      <c r="E4028" s="41"/>
      <c r="F4028" s="41"/>
      <c r="G4028" s="41"/>
      <c r="H4028" s="41"/>
      <c r="I4028" s="41"/>
      <c r="J4028" s="41"/>
      <c r="K4028" s="41"/>
      <c r="L4028" s="41"/>
      <c r="M4028" s="41"/>
      <c r="N4028" s="41"/>
      <c r="O4028" s="41"/>
    </row>
    <row r="4029" spans="1:15">
      <c r="A4029" s="39"/>
      <c r="B4029" s="40"/>
      <c r="C4029" s="41"/>
      <c r="D4029" s="41"/>
      <c r="E4029" s="41"/>
      <c r="F4029" s="41"/>
      <c r="G4029" s="41"/>
      <c r="H4029" s="41"/>
      <c r="I4029" s="41"/>
      <c r="J4029" s="41"/>
      <c r="K4029" s="41"/>
      <c r="L4029" s="41"/>
      <c r="M4029" s="41"/>
      <c r="N4029" s="41"/>
      <c r="O4029" s="41"/>
    </row>
    <row r="4030" spans="1:15">
      <c r="A4030" s="39"/>
      <c r="B4030" s="40"/>
      <c r="C4030" s="41"/>
      <c r="D4030" s="41"/>
      <c r="E4030" s="41"/>
      <c r="F4030" s="41"/>
      <c r="G4030" s="41"/>
      <c r="H4030" s="41"/>
      <c r="I4030" s="41"/>
      <c r="J4030" s="41"/>
      <c r="K4030" s="41"/>
      <c r="L4030" s="41"/>
      <c r="M4030" s="41"/>
      <c r="N4030" s="41"/>
      <c r="O4030" s="41"/>
    </row>
    <row r="4031" spans="1:15">
      <c r="A4031" s="39"/>
      <c r="B4031" s="40"/>
      <c r="C4031" s="41"/>
      <c r="D4031" s="41"/>
      <c r="E4031" s="41"/>
      <c r="F4031" s="41"/>
      <c r="G4031" s="41"/>
      <c r="H4031" s="41"/>
      <c r="I4031" s="41"/>
      <c r="J4031" s="41"/>
      <c r="K4031" s="41"/>
      <c r="L4031" s="41"/>
      <c r="M4031" s="41"/>
      <c r="N4031" s="41"/>
      <c r="O4031" s="41"/>
    </row>
    <row r="4032" spans="1:15">
      <c r="A4032" s="39"/>
      <c r="B4032" s="40"/>
      <c r="C4032" s="41"/>
      <c r="D4032" s="41"/>
      <c r="E4032" s="41"/>
      <c r="F4032" s="41"/>
      <c r="G4032" s="41"/>
      <c r="H4032" s="41"/>
      <c r="I4032" s="41"/>
      <c r="J4032" s="41"/>
      <c r="K4032" s="41"/>
      <c r="L4032" s="41"/>
      <c r="M4032" s="41"/>
      <c r="N4032" s="41"/>
      <c r="O4032" s="41"/>
    </row>
    <row r="4033" spans="1:15">
      <c r="A4033" s="39"/>
      <c r="B4033" s="40"/>
      <c r="C4033" s="41"/>
      <c r="D4033" s="41"/>
      <c r="E4033" s="41"/>
      <c r="F4033" s="41"/>
      <c r="G4033" s="41"/>
      <c r="H4033" s="41"/>
      <c r="I4033" s="41"/>
      <c r="J4033" s="41"/>
      <c r="K4033" s="41"/>
      <c r="L4033" s="41"/>
      <c r="M4033" s="41"/>
      <c r="N4033" s="41"/>
      <c r="O4033" s="41"/>
    </row>
    <row r="4034" spans="1:15">
      <c r="A4034" s="39"/>
      <c r="B4034" s="40"/>
      <c r="C4034" s="41"/>
      <c r="D4034" s="41"/>
      <c r="E4034" s="41"/>
      <c r="F4034" s="41"/>
      <c r="G4034" s="41"/>
      <c r="H4034" s="41"/>
      <c r="I4034" s="41"/>
      <c r="J4034" s="41"/>
      <c r="K4034" s="41"/>
      <c r="L4034" s="41"/>
      <c r="M4034" s="41"/>
      <c r="N4034" s="41"/>
      <c r="O4034" s="41"/>
    </row>
    <row r="4035" spans="1:15">
      <c r="A4035" s="39"/>
      <c r="B4035" s="40"/>
      <c r="C4035" s="41"/>
      <c r="D4035" s="41"/>
      <c r="E4035" s="41"/>
      <c r="F4035" s="41"/>
      <c r="G4035" s="41"/>
      <c r="H4035" s="41"/>
      <c r="I4035" s="41"/>
      <c r="J4035" s="41"/>
      <c r="K4035" s="41"/>
      <c r="L4035" s="41"/>
      <c r="M4035" s="41"/>
      <c r="N4035" s="41"/>
      <c r="O4035" s="41"/>
    </row>
    <row r="4036" spans="1:15">
      <c r="A4036" s="39"/>
      <c r="B4036" s="40"/>
      <c r="C4036" s="41"/>
      <c r="D4036" s="41"/>
      <c r="E4036" s="41"/>
      <c r="F4036" s="41"/>
      <c r="G4036" s="41"/>
      <c r="H4036" s="41"/>
      <c r="I4036" s="41"/>
      <c r="J4036" s="41"/>
      <c r="K4036" s="41"/>
      <c r="L4036" s="41"/>
      <c r="M4036" s="41"/>
      <c r="N4036" s="41"/>
      <c r="O4036" s="41"/>
    </row>
    <row r="4037" spans="1:15">
      <c r="A4037" s="39"/>
      <c r="B4037" s="40"/>
      <c r="C4037" s="41"/>
      <c r="D4037" s="41"/>
      <c r="E4037" s="41"/>
      <c r="F4037" s="41"/>
      <c r="G4037" s="41"/>
      <c r="H4037" s="41"/>
      <c r="I4037" s="41"/>
      <c r="J4037" s="41"/>
      <c r="K4037" s="41"/>
      <c r="L4037" s="41"/>
      <c r="M4037" s="41"/>
      <c r="N4037" s="41"/>
      <c r="O4037" s="41"/>
    </row>
    <row r="4038" spans="1:15">
      <c r="A4038" s="39"/>
      <c r="B4038" s="40"/>
      <c r="C4038" s="41"/>
      <c r="D4038" s="41"/>
      <c r="E4038" s="41"/>
      <c r="F4038" s="41"/>
      <c r="G4038" s="41"/>
      <c r="H4038" s="41"/>
      <c r="I4038" s="41"/>
      <c r="J4038" s="41"/>
      <c r="K4038" s="41"/>
      <c r="L4038" s="41"/>
      <c r="M4038" s="41"/>
      <c r="N4038" s="41"/>
      <c r="O4038" s="41"/>
    </row>
    <row r="4039" spans="1:15">
      <c r="A4039" s="39"/>
      <c r="B4039" s="40"/>
      <c r="C4039" s="41"/>
      <c r="D4039" s="41"/>
      <c r="E4039" s="41"/>
      <c r="F4039" s="41"/>
      <c r="G4039" s="41"/>
      <c r="H4039" s="41"/>
      <c r="I4039" s="41"/>
      <c r="J4039" s="41"/>
      <c r="K4039" s="41"/>
      <c r="L4039" s="41"/>
      <c r="M4039" s="41"/>
      <c r="N4039" s="41"/>
      <c r="O4039" s="41"/>
    </row>
    <row r="4040" spans="1:15">
      <c r="A4040" s="39"/>
      <c r="B4040" s="40"/>
      <c r="C4040" s="41"/>
      <c r="D4040" s="41"/>
      <c r="E4040" s="41"/>
      <c r="F4040" s="41"/>
      <c r="G4040" s="41"/>
      <c r="H4040" s="41"/>
      <c r="I4040" s="41"/>
      <c r="J4040" s="41"/>
      <c r="K4040" s="41"/>
      <c r="L4040" s="41"/>
      <c r="M4040" s="41"/>
      <c r="N4040" s="41"/>
      <c r="O4040" s="41"/>
    </row>
    <row r="4041" spans="1:15">
      <c r="A4041" s="39"/>
      <c r="B4041" s="40"/>
      <c r="C4041" s="41"/>
      <c r="D4041" s="41"/>
      <c r="E4041" s="41"/>
      <c r="F4041" s="41"/>
      <c r="G4041" s="41"/>
      <c r="H4041" s="41"/>
      <c r="I4041" s="41"/>
      <c r="J4041" s="41"/>
      <c r="K4041" s="41"/>
      <c r="L4041" s="41"/>
      <c r="M4041" s="41"/>
      <c r="N4041" s="41"/>
      <c r="O4041" s="41"/>
    </row>
    <row r="4042" spans="1:15">
      <c r="A4042" s="39"/>
      <c r="B4042" s="40"/>
      <c r="C4042" s="41"/>
      <c r="D4042" s="41"/>
      <c r="E4042" s="41"/>
      <c r="F4042" s="41"/>
      <c r="G4042" s="41"/>
      <c r="H4042" s="41"/>
      <c r="I4042" s="41"/>
      <c r="J4042" s="41"/>
      <c r="K4042" s="41"/>
      <c r="L4042" s="41"/>
      <c r="M4042" s="41"/>
      <c r="N4042" s="41"/>
      <c r="O4042" s="41"/>
    </row>
    <row r="4043" spans="1:15">
      <c r="A4043" s="39"/>
      <c r="B4043" s="40"/>
      <c r="C4043" s="41"/>
      <c r="D4043" s="41"/>
      <c r="E4043" s="41"/>
      <c r="F4043" s="41"/>
      <c r="G4043" s="41"/>
      <c r="H4043" s="41"/>
      <c r="I4043" s="41"/>
      <c r="J4043" s="41"/>
      <c r="K4043" s="41"/>
      <c r="L4043" s="41"/>
      <c r="M4043" s="41"/>
      <c r="N4043" s="41"/>
      <c r="O4043" s="41"/>
    </row>
    <row r="4044" spans="1:15">
      <c r="A4044" s="39"/>
      <c r="B4044" s="40"/>
      <c r="C4044" s="41"/>
      <c r="D4044" s="41"/>
      <c r="E4044" s="41"/>
      <c r="F4044" s="41"/>
      <c r="G4044" s="41"/>
      <c r="H4044" s="41"/>
      <c r="I4044" s="41"/>
      <c r="J4044" s="41"/>
      <c r="K4044" s="41"/>
      <c r="L4044" s="41"/>
      <c r="M4044" s="41"/>
      <c r="N4044" s="41"/>
      <c r="O4044" s="41"/>
    </row>
    <row r="4045" spans="1:15">
      <c r="A4045" s="39"/>
      <c r="B4045" s="40"/>
      <c r="C4045" s="41"/>
      <c r="D4045" s="41"/>
      <c r="E4045" s="41"/>
      <c r="F4045" s="41"/>
      <c r="G4045" s="41"/>
      <c r="H4045" s="41"/>
      <c r="I4045" s="41"/>
      <c r="J4045" s="41"/>
      <c r="K4045" s="41"/>
      <c r="L4045" s="41"/>
      <c r="M4045" s="41"/>
      <c r="N4045" s="41"/>
      <c r="O4045" s="41"/>
    </row>
    <row r="4046" spans="1:15">
      <c r="A4046" s="39"/>
      <c r="B4046" s="40"/>
      <c r="C4046" s="41"/>
      <c r="D4046" s="41"/>
      <c r="E4046" s="41"/>
      <c r="F4046" s="41"/>
      <c r="G4046" s="41"/>
      <c r="H4046" s="41"/>
      <c r="I4046" s="41"/>
      <c r="J4046" s="41"/>
      <c r="K4046" s="41"/>
      <c r="L4046" s="41"/>
      <c r="M4046" s="41"/>
      <c r="N4046" s="41"/>
      <c r="O4046" s="41"/>
    </row>
    <row r="4047" spans="1:15">
      <c r="A4047" s="39"/>
      <c r="B4047" s="40"/>
      <c r="C4047" s="41"/>
      <c r="D4047" s="41"/>
      <c r="E4047" s="41"/>
      <c r="F4047" s="41"/>
      <c r="G4047" s="41"/>
      <c r="H4047" s="41"/>
      <c r="I4047" s="41"/>
      <c r="J4047" s="41"/>
      <c r="K4047" s="41"/>
      <c r="L4047" s="41"/>
      <c r="M4047" s="41"/>
      <c r="N4047" s="41"/>
      <c r="O4047" s="41"/>
    </row>
    <row r="4048" spans="1:15">
      <c r="A4048" s="39"/>
      <c r="B4048" s="40"/>
      <c r="C4048" s="41"/>
      <c r="D4048" s="41"/>
      <c r="E4048" s="41"/>
      <c r="F4048" s="41"/>
      <c r="G4048" s="41"/>
      <c r="H4048" s="41"/>
      <c r="I4048" s="41"/>
      <c r="J4048" s="41"/>
      <c r="K4048" s="41"/>
      <c r="L4048" s="41"/>
      <c r="M4048" s="41"/>
      <c r="N4048" s="41"/>
      <c r="O4048" s="41"/>
    </row>
    <row r="4049" spans="1:15">
      <c r="A4049" s="39"/>
      <c r="B4049" s="40"/>
      <c r="C4049" s="41"/>
      <c r="D4049" s="41"/>
      <c r="E4049" s="41"/>
      <c r="F4049" s="41"/>
      <c r="G4049" s="41"/>
      <c r="H4049" s="41"/>
      <c r="I4049" s="41"/>
      <c r="J4049" s="41"/>
      <c r="K4049" s="41"/>
      <c r="L4049" s="41"/>
      <c r="M4049" s="41"/>
      <c r="N4049" s="41"/>
      <c r="O4049" s="41"/>
    </row>
    <row r="4050" spans="1:15">
      <c r="A4050" s="39"/>
      <c r="B4050" s="40"/>
      <c r="C4050" s="41"/>
      <c r="D4050" s="41"/>
      <c r="E4050" s="41"/>
      <c r="F4050" s="41"/>
      <c r="G4050" s="41"/>
      <c r="H4050" s="41"/>
      <c r="I4050" s="41"/>
      <c r="J4050" s="41"/>
      <c r="K4050" s="41"/>
      <c r="L4050" s="41"/>
      <c r="M4050" s="41"/>
      <c r="N4050" s="41"/>
      <c r="O4050" s="41"/>
    </row>
    <row r="4051" spans="1:15">
      <c r="A4051" s="39"/>
      <c r="B4051" s="40"/>
      <c r="C4051" s="41"/>
      <c r="D4051" s="41"/>
      <c r="E4051" s="41"/>
      <c r="F4051" s="41"/>
      <c r="G4051" s="41"/>
      <c r="H4051" s="41"/>
      <c r="I4051" s="41"/>
      <c r="J4051" s="41"/>
      <c r="K4051" s="41"/>
      <c r="L4051" s="41"/>
      <c r="M4051" s="41"/>
      <c r="N4051" s="41"/>
      <c r="O4051" s="41"/>
    </row>
    <row r="4052" spans="1:15">
      <c r="A4052" s="39"/>
      <c r="B4052" s="40"/>
      <c r="C4052" s="41"/>
      <c r="D4052" s="41"/>
      <c r="E4052" s="41"/>
      <c r="F4052" s="41"/>
      <c r="G4052" s="41"/>
      <c r="H4052" s="41"/>
      <c r="I4052" s="41"/>
      <c r="J4052" s="41"/>
      <c r="K4052" s="41"/>
      <c r="L4052" s="41"/>
      <c r="M4052" s="41"/>
      <c r="N4052" s="41"/>
      <c r="O4052" s="41"/>
    </row>
    <row r="4053" spans="1:15">
      <c r="A4053" s="39"/>
      <c r="B4053" s="40"/>
      <c r="C4053" s="41"/>
      <c r="D4053" s="41"/>
      <c r="E4053" s="41"/>
      <c r="F4053" s="41"/>
      <c r="G4053" s="41"/>
      <c r="H4053" s="41"/>
      <c r="I4053" s="41"/>
      <c r="J4053" s="41"/>
      <c r="K4053" s="41"/>
      <c r="L4053" s="41"/>
      <c r="M4053" s="41"/>
      <c r="N4053" s="41"/>
      <c r="O4053" s="41"/>
    </row>
    <row r="4054" spans="1:15">
      <c r="A4054" s="39"/>
      <c r="B4054" s="40"/>
      <c r="C4054" s="41"/>
      <c r="D4054" s="41"/>
      <c r="E4054" s="41"/>
      <c r="F4054" s="41"/>
      <c r="G4054" s="41"/>
      <c r="H4054" s="41"/>
      <c r="I4054" s="41"/>
      <c r="J4054" s="41"/>
      <c r="K4054" s="41"/>
      <c r="L4054" s="41"/>
      <c r="M4054" s="41"/>
      <c r="N4054" s="41"/>
      <c r="O4054" s="41"/>
    </row>
    <row r="4055" spans="1:15">
      <c r="A4055" s="39"/>
      <c r="B4055" s="40"/>
      <c r="C4055" s="41"/>
      <c r="D4055" s="41"/>
      <c r="E4055" s="41"/>
      <c r="F4055" s="41"/>
      <c r="G4055" s="41"/>
      <c r="H4055" s="41"/>
      <c r="I4055" s="41"/>
      <c r="J4055" s="41"/>
      <c r="K4055" s="41"/>
      <c r="L4055" s="41"/>
      <c r="M4055" s="41"/>
      <c r="N4055" s="41"/>
      <c r="O4055" s="41"/>
    </row>
    <row r="4056" spans="1:15">
      <c r="A4056" s="39"/>
      <c r="B4056" s="40"/>
      <c r="C4056" s="41"/>
      <c r="D4056" s="41"/>
      <c r="E4056" s="41"/>
      <c r="F4056" s="41"/>
      <c r="G4056" s="41"/>
      <c r="H4056" s="41"/>
      <c r="I4056" s="41"/>
      <c r="J4056" s="41"/>
      <c r="K4056" s="41"/>
      <c r="L4056" s="41"/>
      <c r="M4056" s="41"/>
      <c r="N4056" s="41"/>
      <c r="O4056" s="41"/>
    </row>
    <row r="4057" spans="1:15">
      <c r="A4057" s="39"/>
      <c r="B4057" s="40"/>
      <c r="C4057" s="41"/>
      <c r="D4057" s="41"/>
      <c r="E4057" s="41"/>
      <c r="F4057" s="41"/>
      <c r="G4057" s="41"/>
      <c r="H4057" s="41"/>
      <c r="I4057" s="41"/>
      <c r="J4057" s="41"/>
      <c r="K4057" s="41"/>
      <c r="L4057" s="41"/>
      <c r="M4057" s="41"/>
      <c r="N4057" s="41"/>
      <c r="O4057" s="41"/>
    </row>
    <row r="4058" spans="1:15">
      <c r="A4058" s="39"/>
      <c r="B4058" s="40"/>
      <c r="C4058" s="41"/>
      <c r="D4058" s="41"/>
      <c r="E4058" s="41"/>
      <c r="F4058" s="41"/>
      <c r="G4058" s="41"/>
      <c r="H4058" s="41"/>
      <c r="I4058" s="41"/>
      <c r="J4058" s="41"/>
      <c r="K4058" s="41"/>
      <c r="L4058" s="41"/>
      <c r="M4058" s="41"/>
      <c r="N4058" s="41"/>
      <c r="O4058" s="41"/>
    </row>
    <row r="4059" spans="1:15">
      <c r="A4059" s="39"/>
      <c r="B4059" s="40"/>
      <c r="C4059" s="41"/>
      <c r="D4059" s="41"/>
      <c r="E4059" s="41"/>
      <c r="F4059" s="41"/>
      <c r="G4059" s="41"/>
      <c r="H4059" s="41"/>
      <c r="I4059" s="41"/>
      <c r="J4059" s="41"/>
      <c r="K4059" s="41"/>
      <c r="L4059" s="41"/>
      <c r="M4059" s="41"/>
      <c r="N4059" s="41"/>
      <c r="O4059" s="41"/>
    </row>
    <row r="4060" spans="1:15">
      <c r="A4060" s="39"/>
      <c r="B4060" s="40"/>
      <c r="C4060" s="41"/>
      <c r="D4060" s="41"/>
      <c r="E4060" s="41"/>
      <c r="F4060" s="41"/>
      <c r="G4060" s="41"/>
      <c r="H4060" s="41"/>
      <c r="I4060" s="41"/>
      <c r="J4060" s="41"/>
      <c r="K4060" s="41"/>
      <c r="L4060" s="41"/>
      <c r="M4060" s="41"/>
      <c r="N4060" s="41"/>
      <c r="O4060" s="41"/>
    </row>
    <row r="4061" spans="1:15">
      <c r="A4061" s="39"/>
      <c r="B4061" s="40"/>
      <c r="C4061" s="41"/>
      <c r="D4061" s="41"/>
      <c r="E4061" s="41"/>
      <c r="F4061" s="41"/>
      <c r="G4061" s="41"/>
      <c r="H4061" s="41"/>
      <c r="I4061" s="41"/>
      <c r="J4061" s="41"/>
      <c r="K4061" s="41"/>
      <c r="L4061" s="41"/>
      <c r="M4061" s="41"/>
      <c r="N4061" s="41"/>
      <c r="O4061" s="41"/>
    </row>
    <row r="4062" spans="1:15">
      <c r="A4062" s="39"/>
      <c r="B4062" s="40"/>
      <c r="C4062" s="41"/>
      <c r="D4062" s="41"/>
      <c r="E4062" s="41"/>
      <c r="F4062" s="41"/>
      <c r="G4062" s="41"/>
      <c r="H4062" s="41"/>
      <c r="I4062" s="41"/>
      <c r="J4062" s="41"/>
      <c r="K4062" s="41"/>
      <c r="L4062" s="41"/>
      <c r="M4062" s="41"/>
      <c r="N4062" s="41"/>
      <c r="O4062" s="41"/>
    </row>
    <row r="4063" spans="1:15">
      <c r="A4063" s="39"/>
      <c r="B4063" s="40"/>
      <c r="C4063" s="41"/>
      <c r="D4063" s="41"/>
      <c r="E4063" s="41"/>
      <c r="F4063" s="41"/>
      <c r="G4063" s="41"/>
      <c r="H4063" s="41"/>
      <c r="I4063" s="41"/>
      <c r="J4063" s="41"/>
      <c r="K4063" s="41"/>
      <c r="L4063" s="41"/>
      <c r="M4063" s="41"/>
      <c r="N4063" s="41"/>
      <c r="O4063" s="41"/>
    </row>
    <row r="4064" spans="1:15">
      <c r="A4064" s="39"/>
      <c r="B4064" s="40"/>
      <c r="C4064" s="41"/>
      <c r="D4064" s="41"/>
      <c r="E4064" s="41"/>
      <c r="F4064" s="41"/>
      <c r="G4064" s="41"/>
      <c r="H4064" s="41"/>
      <c r="I4064" s="41"/>
      <c r="J4064" s="41"/>
      <c r="K4064" s="41"/>
      <c r="L4064" s="41"/>
      <c r="M4064" s="41"/>
      <c r="N4064" s="41"/>
      <c r="O4064" s="41"/>
    </row>
    <row r="4065" spans="1:15">
      <c r="A4065" s="39"/>
      <c r="B4065" s="40"/>
      <c r="C4065" s="41"/>
      <c r="D4065" s="41"/>
      <c r="E4065" s="41"/>
      <c r="F4065" s="41"/>
      <c r="G4065" s="41"/>
      <c r="H4065" s="41"/>
      <c r="I4065" s="41"/>
      <c r="J4065" s="41"/>
      <c r="K4065" s="41"/>
      <c r="L4065" s="41"/>
      <c r="M4065" s="41"/>
      <c r="N4065" s="41"/>
      <c r="O4065" s="41"/>
    </row>
    <row r="4066" spans="1:15">
      <c r="A4066" s="39"/>
      <c r="B4066" s="40"/>
      <c r="C4066" s="41"/>
      <c r="D4066" s="41"/>
      <c r="E4066" s="41"/>
      <c r="F4066" s="41"/>
      <c r="G4066" s="41"/>
      <c r="H4066" s="41"/>
      <c r="I4066" s="41"/>
      <c r="J4066" s="41"/>
      <c r="K4066" s="41"/>
      <c r="L4066" s="41"/>
      <c r="M4066" s="41"/>
      <c r="N4066" s="41"/>
      <c r="O4066" s="41"/>
    </row>
    <row r="4067" spans="1:15">
      <c r="A4067" s="39"/>
      <c r="B4067" s="40"/>
      <c r="C4067" s="41"/>
      <c r="D4067" s="41"/>
      <c r="E4067" s="41"/>
      <c r="F4067" s="41"/>
      <c r="G4067" s="41"/>
      <c r="H4067" s="41"/>
      <c r="I4067" s="41"/>
      <c r="J4067" s="41"/>
      <c r="K4067" s="41"/>
      <c r="L4067" s="41"/>
      <c r="M4067" s="41"/>
      <c r="N4067" s="41"/>
      <c r="O4067" s="41"/>
    </row>
    <row r="4068" spans="1:15">
      <c r="A4068" s="39"/>
      <c r="B4068" s="40"/>
      <c r="C4068" s="41"/>
      <c r="D4068" s="41"/>
      <c r="E4068" s="41"/>
      <c r="F4068" s="41"/>
      <c r="G4068" s="41"/>
      <c r="H4068" s="41"/>
      <c r="I4068" s="41"/>
      <c r="J4068" s="41"/>
      <c r="K4068" s="41"/>
      <c r="L4068" s="41"/>
      <c r="M4068" s="41"/>
      <c r="N4068" s="41"/>
      <c r="O4068" s="41"/>
    </row>
    <row r="4069" spans="1:15">
      <c r="A4069" s="39"/>
      <c r="B4069" s="40"/>
      <c r="C4069" s="41"/>
      <c r="D4069" s="41"/>
      <c r="E4069" s="41"/>
      <c r="F4069" s="41"/>
      <c r="G4069" s="41"/>
      <c r="H4069" s="41"/>
      <c r="I4069" s="41"/>
      <c r="J4069" s="41"/>
      <c r="K4069" s="41"/>
      <c r="L4069" s="41"/>
      <c r="M4069" s="41"/>
      <c r="N4069" s="41"/>
      <c r="O4069" s="41"/>
    </row>
    <row r="4070" spans="1:15">
      <c r="A4070" s="39"/>
      <c r="B4070" s="40"/>
      <c r="C4070" s="41"/>
      <c r="D4070" s="41"/>
      <c r="E4070" s="41"/>
      <c r="F4070" s="41"/>
      <c r="G4070" s="41"/>
      <c r="H4070" s="41"/>
      <c r="I4070" s="41"/>
      <c r="J4070" s="41"/>
      <c r="K4070" s="41"/>
      <c r="L4070" s="41"/>
      <c r="M4070" s="41"/>
      <c r="N4070" s="41"/>
      <c r="O4070" s="41"/>
    </row>
    <row r="4071" spans="1:15">
      <c r="A4071" s="39"/>
      <c r="B4071" s="40"/>
      <c r="C4071" s="41"/>
      <c r="D4071" s="41"/>
      <c r="E4071" s="41"/>
      <c r="F4071" s="41"/>
      <c r="G4071" s="41"/>
      <c r="H4071" s="41"/>
      <c r="I4071" s="41"/>
      <c r="J4071" s="41"/>
      <c r="K4071" s="41"/>
      <c r="L4071" s="41"/>
      <c r="M4071" s="41"/>
      <c r="N4071" s="41"/>
      <c r="O4071" s="41"/>
    </row>
    <row r="4072" spans="1:15">
      <c r="A4072" s="39"/>
      <c r="B4072" s="40"/>
      <c r="C4072" s="41"/>
      <c r="D4072" s="41"/>
      <c r="E4072" s="41"/>
      <c r="F4072" s="41"/>
      <c r="G4072" s="41"/>
      <c r="H4072" s="41"/>
      <c r="I4072" s="41"/>
      <c r="J4072" s="41"/>
      <c r="K4072" s="41"/>
      <c r="L4072" s="41"/>
      <c r="M4072" s="41"/>
      <c r="N4072" s="41"/>
      <c r="O4072" s="41"/>
    </row>
    <row r="4073" spans="1:15">
      <c r="A4073" s="39"/>
      <c r="B4073" s="40"/>
      <c r="C4073" s="41"/>
      <c r="D4073" s="41"/>
      <c r="E4073" s="41"/>
      <c r="F4073" s="41"/>
      <c r="G4073" s="41"/>
      <c r="H4073" s="41"/>
      <c r="I4073" s="41"/>
      <c r="J4073" s="41"/>
      <c r="K4073" s="41"/>
      <c r="L4073" s="41"/>
      <c r="M4073" s="41"/>
      <c r="N4073" s="41"/>
      <c r="O4073" s="41"/>
    </row>
    <row r="4074" spans="1:15">
      <c r="A4074" s="39"/>
      <c r="B4074" s="40"/>
      <c r="C4074" s="41"/>
      <c r="D4074" s="41"/>
      <c r="E4074" s="41"/>
      <c r="F4074" s="41"/>
      <c r="G4074" s="41"/>
      <c r="H4074" s="41"/>
      <c r="I4074" s="41"/>
      <c r="J4074" s="41"/>
      <c r="K4074" s="41"/>
      <c r="L4074" s="41"/>
      <c r="M4074" s="41"/>
      <c r="N4074" s="41"/>
      <c r="O4074" s="41"/>
    </row>
    <row r="4075" spans="1:15">
      <c r="A4075" s="39"/>
      <c r="B4075" s="40"/>
      <c r="C4075" s="41"/>
      <c r="D4075" s="41"/>
      <c r="E4075" s="41"/>
      <c r="F4075" s="41"/>
      <c r="G4075" s="41"/>
      <c r="H4075" s="41"/>
      <c r="I4075" s="41"/>
      <c r="J4075" s="41"/>
      <c r="K4075" s="41"/>
      <c r="L4075" s="41"/>
      <c r="M4075" s="41"/>
      <c r="N4075" s="41"/>
      <c r="O4075" s="41"/>
    </row>
    <row r="4076" spans="1:15">
      <c r="A4076" s="39"/>
      <c r="B4076" s="40"/>
      <c r="C4076" s="41"/>
      <c r="D4076" s="41"/>
      <c r="E4076" s="41"/>
      <c r="F4076" s="41"/>
      <c r="G4076" s="41"/>
      <c r="H4076" s="41"/>
      <c r="I4076" s="41"/>
      <c r="J4076" s="41"/>
      <c r="K4076" s="41"/>
      <c r="L4076" s="41"/>
      <c r="M4076" s="41"/>
      <c r="N4076" s="41"/>
      <c r="O4076" s="41"/>
    </row>
    <row r="4077" spans="1:15">
      <c r="A4077" s="39"/>
      <c r="B4077" s="40"/>
      <c r="C4077" s="41"/>
      <c r="D4077" s="41"/>
      <c r="E4077" s="41"/>
      <c r="F4077" s="41"/>
      <c r="G4077" s="41"/>
      <c r="H4077" s="41"/>
      <c r="I4077" s="41"/>
      <c r="J4077" s="41"/>
      <c r="K4077" s="41"/>
      <c r="L4077" s="41"/>
      <c r="M4077" s="41"/>
      <c r="N4077" s="41"/>
      <c r="O4077" s="41"/>
    </row>
    <row r="4078" spans="1:15">
      <c r="A4078" s="39"/>
      <c r="B4078" s="40"/>
      <c r="C4078" s="41"/>
      <c r="D4078" s="41"/>
      <c r="E4078" s="41"/>
      <c r="F4078" s="41"/>
      <c r="G4078" s="41"/>
      <c r="H4078" s="41"/>
      <c r="I4078" s="41"/>
      <c r="J4078" s="41"/>
      <c r="K4078" s="41"/>
      <c r="L4078" s="41"/>
      <c r="M4078" s="41"/>
      <c r="N4078" s="41"/>
      <c r="O4078" s="41"/>
    </row>
    <row r="4079" spans="1:15">
      <c r="A4079" s="39"/>
      <c r="B4079" s="40"/>
      <c r="C4079" s="41"/>
      <c r="D4079" s="41"/>
      <c r="E4079" s="41"/>
      <c r="F4079" s="41"/>
      <c r="G4079" s="41"/>
      <c r="H4079" s="41"/>
      <c r="I4079" s="41"/>
      <c r="J4079" s="41"/>
      <c r="K4079" s="41"/>
      <c r="L4079" s="41"/>
      <c r="M4079" s="41"/>
      <c r="N4079" s="41"/>
      <c r="O4079" s="41"/>
    </row>
    <row r="4080" spans="1:15">
      <c r="A4080" s="39"/>
      <c r="B4080" s="40"/>
      <c r="C4080" s="41"/>
      <c r="D4080" s="41"/>
      <c r="E4080" s="41"/>
      <c r="F4080" s="41"/>
      <c r="G4080" s="41"/>
      <c r="H4080" s="41"/>
      <c r="I4080" s="41"/>
      <c r="J4080" s="41"/>
      <c r="K4080" s="41"/>
      <c r="L4080" s="41"/>
      <c r="M4080" s="41"/>
      <c r="N4080" s="41"/>
      <c r="O4080" s="41"/>
    </row>
    <row r="4081" spans="1:15">
      <c r="A4081" s="39"/>
      <c r="B4081" s="40"/>
      <c r="C4081" s="41"/>
      <c r="D4081" s="41"/>
      <c r="E4081" s="41"/>
      <c r="F4081" s="41"/>
      <c r="G4081" s="41"/>
      <c r="H4081" s="41"/>
      <c r="I4081" s="41"/>
      <c r="J4081" s="41"/>
      <c r="K4081" s="41"/>
      <c r="L4081" s="41"/>
      <c r="M4081" s="41"/>
      <c r="N4081" s="41"/>
      <c r="O4081" s="41"/>
    </row>
    <row r="4082" spans="1:15">
      <c r="A4082" s="39"/>
      <c r="B4082" s="40"/>
      <c r="C4082" s="41"/>
      <c r="D4082" s="41"/>
      <c r="E4082" s="41"/>
      <c r="F4082" s="41"/>
      <c r="G4082" s="41"/>
      <c r="H4082" s="41"/>
      <c r="I4082" s="41"/>
      <c r="J4082" s="41"/>
      <c r="K4082" s="41"/>
      <c r="L4082" s="41"/>
      <c r="M4082" s="41"/>
      <c r="N4082" s="41"/>
      <c r="O4082" s="41"/>
    </row>
    <row r="4083" spans="1:15">
      <c r="A4083" s="39"/>
      <c r="B4083" s="40"/>
      <c r="C4083" s="41"/>
      <c r="D4083" s="41"/>
      <c r="E4083" s="41"/>
      <c r="F4083" s="41"/>
      <c r="G4083" s="41"/>
      <c r="H4083" s="41"/>
      <c r="I4083" s="41"/>
      <c r="J4083" s="41"/>
      <c r="K4083" s="41"/>
      <c r="L4083" s="41"/>
      <c r="M4083" s="41"/>
      <c r="N4083" s="41"/>
      <c r="O4083" s="41"/>
    </row>
    <row r="4084" spans="1:15">
      <c r="A4084" s="39"/>
      <c r="B4084" s="40"/>
      <c r="C4084" s="41"/>
      <c r="D4084" s="41"/>
      <c r="E4084" s="41"/>
      <c r="F4084" s="41"/>
      <c r="G4084" s="41"/>
      <c r="H4084" s="41"/>
      <c r="I4084" s="41"/>
      <c r="J4084" s="41"/>
      <c r="K4084" s="41"/>
      <c r="L4084" s="41"/>
      <c r="M4084" s="41"/>
      <c r="N4084" s="41"/>
      <c r="O4084" s="41"/>
    </row>
    <row r="4085" spans="1:15">
      <c r="A4085" s="39"/>
      <c r="B4085" s="40"/>
      <c r="C4085" s="41"/>
      <c r="D4085" s="41"/>
      <c r="E4085" s="41"/>
      <c r="F4085" s="41"/>
      <c r="G4085" s="41"/>
      <c r="H4085" s="41"/>
      <c r="I4085" s="41"/>
      <c r="J4085" s="41"/>
      <c r="K4085" s="41"/>
      <c r="L4085" s="41"/>
      <c r="M4085" s="41"/>
      <c r="N4085" s="41"/>
      <c r="O4085" s="41"/>
    </row>
    <row r="4086" spans="1:15">
      <c r="A4086" s="39"/>
      <c r="B4086" s="40"/>
      <c r="C4086" s="41"/>
      <c r="D4086" s="41"/>
      <c r="E4086" s="41"/>
      <c r="F4086" s="41"/>
      <c r="G4086" s="41"/>
      <c r="H4086" s="41"/>
      <c r="I4086" s="41"/>
      <c r="J4086" s="41"/>
      <c r="K4086" s="41"/>
      <c r="L4086" s="41"/>
      <c r="M4086" s="41"/>
      <c r="N4086" s="41"/>
      <c r="O4086" s="41"/>
    </row>
    <row r="4087" spans="1:15">
      <c r="A4087" s="39"/>
      <c r="B4087" s="40"/>
      <c r="C4087" s="41"/>
      <c r="D4087" s="41"/>
      <c r="E4087" s="41"/>
      <c r="F4087" s="41"/>
      <c r="G4087" s="41"/>
      <c r="H4087" s="41"/>
      <c r="I4087" s="41"/>
      <c r="J4087" s="41"/>
      <c r="K4087" s="41"/>
      <c r="L4087" s="41"/>
      <c r="M4087" s="41"/>
      <c r="N4087" s="41"/>
      <c r="O4087" s="41"/>
    </row>
    <row r="4088" spans="1:15">
      <c r="A4088" s="39"/>
      <c r="B4088" s="40"/>
      <c r="C4088" s="41"/>
      <c r="D4088" s="41"/>
      <c r="E4088" s="41"/>
      <c r="F4088" s="41"/>
      <c r="G4088" s="41"/>
      <c r="H4088" s="41"/>
      <c r="I4088" s="41"/>
      <c r="J4088" s="41"/>
      <c r="K4088" s="41"/>
      <c r="L4088" s="41"/>
      <c r="M4088" s="41"/>
      <c r="N4088" s="41"/>
      <c r="O4088" s="41"/>
    </row>
    <row r="4089" spans="1:15">
      <c r="A4089" s="39"/>
      <c r="B4089" s="40"/>
      <c r="C4089" s="41"/>
      <c r="D4089" s="41"/>
      <c r="E4089" s="41"/>
      <c r="F4089" s="41"/>
      <c r="G4089" s="41"/>
      <c r="H4089" s="41"/>
      <c r="I4089" s="41"/>
      <c r="J4089" s="41"/>
      <c r="K4089" s="41"/>
      <c r="L4089" s="41"/>
      <c r="M4089" s="41"/>
      <c r="N4089" s="41"/>
      <c r="O4089" s="41"/>
    </row>
    <row r="4090" spans="1:15">
      <c r="A4090" s="39"/>
      <c r="B4090" s="40"/>
      <c r="C4090" s="41"/>
      <c r="D4090" s="41"/>
      <c r="E4090" s="41"/>
      <c r="F4090" s="41"/>
      <c r="G4090" s="41"/>
      <c r="H4090" s="41"/>
      <c r="I4090" s="41"/>
      <c r="J4090" s="41"/>
      <c r="K4090" s="41"/>
      <c r="L4090" s="41"/>
      <c r="M4090" s="41"/>
      <c r="N4090" s="41"/>
      <c r="O4090" s="41"/>
    </row>
    <row r="4091" spans="1:15">
      <c r="A4091" s="39"/>
      <c r="B4091" s="40"/>
      <c r="C4091" s="41"/>
      <c r="D4091" s="41"/>
      <c r="E4091" s="41"/>
      <c r="F4091" s="41"/>
      <c r="G4091" s="41"/>
      <c r="H4091" s="41"/>
      <c r="I4091" s="41"/>
      <c r="J4091" s="41"/>
      <c r="K4091" s="41"/>
      <c r="L4091" s="41"/>
      <c r="M4091" s="41"/>
      <c r="N4091" s="41"/>
      <c r="O4091" s="41"/>
    </row>
    <row r="4092" spans="1:15">
      <c r="A4092" s="39"/>
      <c r="B4092" s="40"/>
      <c r="C4092" s="41"/>
      <c r="D4092" s="41"/>
      <c r="E4092" s="41"/>
      <c r="F4092" s="41"/>
      <c r="G4092" s="41"/>
      <c r="H4092" s="41"/>
      <c r="I4092" s="41"/>
      <c r="J4092" s="41"/>
      <c r="K4092" s="41"/>
      <c r="L4092" s="41"/>
      <c r="M4092" s="41"/>
      <c r="N4092" s="41"/>
      <c r="O4092" s="41"/>
    </row>
    <row r="4093" spans="1:15">
      <c r="A4093" s="39"/>
      <c r="B4093" s="40"/>
      <c r="C4093" s="41"/>
      <c r="D4093" s="41"/>
      <c r="E4093" s="41"/>
      <c r="F4093" s="41"/>
      <c r="G4093" s="41"/>
      <c r="H4093" s="41"/>
      <c r="I4093" s="41"/>
      <c r="J4093" s="41"/>
      <c r="K4093" s="41"/>
      <c r="L4093" s="41"/>
      <c r="M4093" s="41"/>
      <c r="N4093" s="41"/>
      <c r="O4093" s="41"/>
    </row>
    <row r="4094" spans="1:15">
      <c r="A4094" s="39"/>
      <c r="B4094" s="40"/>
      <c r="C4094" s="41"/>
      <c r="D4094" s="41"/>
      <c r="E4094" s="41"/>
      <c r="F4094" s="41"/>
      <c r="G4094" s="41"/>
      <c r="H4094" s="41"/>
      <c r="I4094" s="41"/>
      <c r="J4094" s="41"/>
      <c r="K4094" s="41"/>
      <c r="L4094" s="41"/>
      <c r="M4094" s="41"/>
      <c r="N4094" s="41"/>
      <c r="O4094" s="41"/>
    </row>
    <row r="4095" spans="1:15">
      <c r="A4095" s="39"/>
      <c r="B4095" s="40"/>
      <c r="C4095" s="41"/>
      <c r="D4095" s="41"/>
      <c r="E4095" s="41"/>
      <c r="F4095" s="41"/>
      <c r="G4095" s="41"/>
      <c r="H4095" s="41"/>
      <c r="I4095" s="41"/>
      <c r="J4095" s="41"/>
      <c r="K4095" s="41"/>
      <c r="L4095" s="41"/>
      <c r="M4095" s="41"/>
      <c r="N4095" s="41"/>
      <c r="O4095" s="41"/>
    </row>
    <row r="4096" spans="1:15">
      <c r="A4096" s="39"/>
      <c r="B4096" s="40"/>
      <c r="C4096" s="41"/>
      <c r="D4096" s="41"/>
      <c r="E4096" s="41"/>
      <c r="F4096" s="41"/>
      <c r="G4096" s="41"/>
      <c r="H4096" s="41"/>
      <c r="I4096" s="41"/>
      <c r="J4096" s="41"/>
      <c r="K4096" s="41"/>
      <c r="L4096" s="41"/>
      <c r="M4096" s="41"/>
      <c r="N4096" s="41"/>
      <c r="O4096" s="41"/>
    </row>
    <row r="4097" spans="1:15">
      <c r="A4097" s="39"/>
      <c r="B4097" s="40"/>
      <c r="C4097" s="41"/>
      <c r="D4097" s="41"/>
      <c r="E4097" s="41"/>
      <c r="F4097" s="41"/>
      <c r="G4097" s="41"/>
      <c r="H4097" s="41"/>
      <c r="I4097" s="41"/>
      <c r="J4097" s="41"/>
      <c r="K4097" s="41"/>
      <c r="L4097" s="41"/>
      <c r="M4097" s="41"/>
      <c r="N4097" s="41"/>
      <c r="O4097" s="41"/>
    </row>
    <row r="4098" spans="1:15">
      <c r="A4098" s="39"/>
      <c r="B4098" s="40"/>
      <c r="C4098" s="41"/>
      <c r="D4098" s="41"/>
      <c r="E4098" s="41"/>
      <c r="F4098" s="41"/>
      <c r="G4098" s="41"/>
      <c r="H4098" s="41"/>
      <c r="I4098" s="41"/>
      <c r="J4098" s="41"/>
      <c r="K4098" s="41"/>
      <c r="L4098" s="41"/>
      <c r="M4098" s="41"/>
      <c r="N4098" s="41"/>
      <c r="O4098" s="41"/>
    </row>
    <row r="4099" spans="1:15">
      <c r="A4099" s="39"/>
      <c r="B4099" s="40"/>
      <c r="C4099" s="41"/>
      <c r="D4099" s="41"/>
      <c r="E4099" s="41"/>
      <c r="F4099" s="41"/>
      <c r="G4099" s="41"/>
      <c r="H4099" s="41"/>
      <c r="I4099" s="41"/>
      <c r="J4099" s="41"/>
      <c r="K4099" s="41"/>
      <c r="L4099" s="41"/>
      <c r="M4099" s="41"/>
      <c r="N4099" s="41"/>
      <c r="O4099" s="41"/>
    </row>
    <row r="4100" spans="1:15">
      <c r="A4100" s="39"/>
      <c r="B4100" s="40"/>
      <c r="C4100" s="41"/>
      <c r="D4100" s="41"/>
      <c r="E4100" s="41"/>
      <c r="F4100" s="41"/>
      <c r="G4100" s="41"/>
      <c r="H4100" s="41"/>
      <c r="I4100" s="41"/>
      <c r="J4100" s="41"/>
      <c r="K4100" s="41"/>
      <c r="L4100" s="41"/>
      <c r="M4100" s="41"/>
      <c r="N4100" s="41"/>
      <c r="O4100" s="41"/>
    </row>
    <row r="4101" spans="1:15">
      <c r="A4101" s="39"/>
      <c r="B4101" s="40"/>
      <c r="C4101" s="41"/>
      <c r="D4101" s="41"/>
      <c r="E4101" s="41"/>
      <c r="F4101" s="41"/>
      <c r="G4101" s="41"/>
      <c r="H4101" s="41"/>
      <c r="I4101" s="41"/>
      <c r="J4101" s="41"/>
      <c r="K4101" s="41"/>
      <c r="L4101" s="41"/>
      <c r="M4101" s="41"/>
      <c r="N4101" s="41"/>
      <c r="O4101" s="41"/>
    </row>
    <row r="4102" spans="1:15">
      <c r="A4102" s="39"/>
      <c r="B4102" s="40"/>
      <c r="C4102" s="41"/>
      <c r="D4102" s="41"/>
      <c r="E4102" s="41"/>
      <c r="F4102" s="41"/>
      <c r="G4102" s="41"/>
      <c r="H4102" s="41"/>
      <c r="I4102" s="41"/>
      <c r="J4102" s="41"/>
      <c r="K4102" s="41"/>
      <c r="L4102" s="41"/>
      <c r="M4102" s="41"/>
      <c r="N4102" s="41"/>
      <c r="O4102" s="41"/>
    </row>
    <row r="4103" spans="1:15">
      <c r="A4103" s="39"/>
      <c r="B4103" s="40"/>
      <c r="C4103" s="41"/>
      <c r="D4103" s="41"/>
      <c r="E4103" s="41"/>
      <c r="F4103" s="41"/>
      <c r="G4103" s="41"/>
      <c r="H4103" s="41"/>
      <c r="I4103" s="41"/>
      <c r="J4103" s="41"/>
      <c r="K4103" s="41"/>
      <c r="L4103" s="41"/>
      <c r="M4103" s="41"/>
      <c r="N4103" s="41"/>
      <c r="O4103" s="41"/>
    </row>
    <row r="4104" spans="1:15">
      <c r="A4104" s="39"/>
      <c r="B4104" s="40"/>
      <c r="C4104" s="41"/>
      <c r="D4104" s="41"/>
      <c r="E4104" s="41"/>
      <c r="F4104" s="41"/>
      <c r="G4104" s="41"/>
      <c r="H4104" s="41"/>
      <c r="I4104" s="41"/>
      <c r="J4104" s="41"/>
      <c r="K4104" s="41"/>
      <c r="L4104" s="41"/>
      <c r="M4104" s="41"/>
      <c r="N4104" s="41"/>
      <c r="O4104" s="41"/>
    </row>
    <row r="4105" spans="1:15">
      <c r="A4105" s="39"/>
      <c r="B4105" s="40"/>
      <c r="C4105" s="41"/>
      <c r="D4105" s="41"/>
      <c r="E4105" s="41"/>
      <c r="F4105" s="41"/>
      <c r="G4105" s="41"/>
      <c r="H4105" s="41"/>
      <c r="I4105" s="41"/>
      <c r="J4105" s="41"/>
      <c r="K4105" s="41"/>
      <c r="L4105" s="41"/>
      <c r="M4105" s="41"/>
      <c r="N4105" s="41"/>
      <c r="O4105" s="41"/>
    </row>
    <row r="4106" spans="1:15">
      <c r="A4106" s="39"/>
      <c r="B4106" s="40"/>
      <c r="C4106" s="41"/>
      <c r="D4106" s="41"/>
      <c r="E4106" s="41"/>
      <c r="F4106" s="41"/>
      <c r="G4106" s="41"/>
      <c r="H4106" s="41"/>
      <c r="I4106" s="41"/>
      <c r="J4106" s="41"/>
      <c r="K4106" s="41"/>
      <c r="L4106" s="41"/>
      <c r="M4106" s="41"/>
      <c r="N4106" s="41"/>
      <c r="O4106" s="41"/>
    </row>
    <row r="4107" spans="1:15">
      <c r="A4107" s="39"/>
      <c r="B4107" s="40"/>
      <c r="C4107" s="41"/>
      <c r="D4107" s="41"/>
      <c r="E4107" s="41"/>
      <c r="F4107" s="41"/>
      <c r="G4107" s="41"/>
      <c r="H4107" s="41"/>
      <c r="I4107" s="41"/>
      <c r="J4107" s="41"/>
      <c r="K4107" s="41"/>
      <c r="L4107" s="41"/>
      <c r="M4107" s="41"/>
      <c r="N4107" s="41"/>
      <c r="O4107" s="41"/>
    </row>
    <row r="4108" spans="1:15">
      <c r="A4108" s="39"/>
      <c r="B4108" s="40"/>
      <c r="C4108" s="41"/>
      <c r="D4108" s="41"/>
      <c r="E4108" s="41"/>
      <c r="F4108" s="41"/>
      <c r="G4108" s="41"/>
      <c r="H4108" s="41"/>
      <c r="I4108" s="41"/>
      <c r="J4108" s="41"/>
      <c r="K4108" s="41"/>
      <c r="L4108" s="41"/>
      <c r="M4108" s="41"/>
      <c r="N4108" s="41"/>
      <c r="O4108" s="41"/>
    </row>
    <row r="4109" spans="1:15">
      <c r="A4109" s="39"/>
      <c r="B4109" s="40"/>
      <c r="C4109" s="41"/>
      <c r="D4109" s="41"/>
      <c r="E4109" s="41"/>
      <c r="F4109" s="41"/>
      <c r="G4109" s="41"/>
      <c r="H4109" s="41"/>
      <c r="I4109" s="41"/>
      <c r="J4109" s="41"/>
      <c r="K4109" s="41"/>
      <c r="L4109" s="41"/>
      <c r="M4109" s="41"/>
      <c r="N4109" s="41"/>
      <c r="O4109" s="41"/>
    </row>
    <row r="4110" spans="1:15">
      <c r="A4110" s="39"/>
      <c r="B4110" s="40"/>
      <c r="C4110" s="41"/>
      <c r="D4110" s="41"/>
      <c r="E4110" s="41"/>
      <c r="F4110" s="41"/>
      <c r="G4110" s="41"/>
      <c r="H4110" s="41"/>
      <c r="I4110" s="41"/>
      <c r="J4110" s="41"/>
      <c r="K4110" s="41"/>
      <c r="L4110" s="41"/>
      <c r="M4110" s="41"/>
      <c r="N4110" s="41"/>
      <c r="O4110" s="41"/>
    </row>
    <row r="4111" spans="1:15">
      <c r="A4111" s="39"/>
      <c r="B4111" s="40"/>
      <c r="C4111" s="41"/>
      <c r="D4111" s="41"/>
      <c r="E4111" s="41"/>
      <c r="F4111" s="41"/>
      <c r="G4111" s="41"/>
      <c r="H4111" s="41"/>
      <c r="I4111" s="41"/>
      <c r="J4111" s="41"/>
      <c r="K4111" s="41"/>
      <c r="L4111" s="41"/>
      <c r="M4111" s="41"/>
      <c r="N4111" s="41"/>
      <c r="O4111" s="41"/>
    </row>
    <row r="4112" spans="1:15">
      <c r="A4112" s="39"/>
      <c r="B4112" s="40"/>
      <c r="C4112" s="41"/>
      <c r="D4112" s="41"/>
      <c r="E4112" s="41"/>
      <c r="F4112" s="41"/>
      <c r="G4112" s="41"/>
      <c r="H4112" s="41"/>
      <c r="I4112" s="41"/>
      <c r="J4112" s="41"/>
      <c r="K4112" s="41"/>
      <c r="L4112" s="41"/>
      <c r="M4112" s="41"/>
      <c r="N4112" s="41"/>
      <c r="O4112" s="41"/>
    </row>
    <row r="4113" spans="1:15">
      <c r="A4113" s="39"/>
      <c r="B4113" s="40"/>
      <c r="C4113" s="41"/>
      <c r="D4113" s="41"/>
      <c r="E4113" s="41"/>
      <c r="F4113" s="41"/>
      <c r="G4113" s="41"/>
      <c r="H4113" s="41"/>
      <c r="I4113" s="41"/>
      <c r="J4113" s="41"/>
      <c r="K4113" s="41"/>
      <c r="L4113" s="41"/>
      <c r="M4113" s="41"/>
      <c r="N4113" s="41"/>
      <c r="O4113" s="41"/>
    </row>
    <row r="4114" spans="1:15">
      <c r="A4114" s="39"/>
      <c r="B4114" s="40"/>
      <c r="C4114" s="41"/>
      <c r="D4114" s="41"/>
      <c r="E4114" s="41"/>
      <c r="F4114" s="41"/>
      <c r="G4114" s="41"/>
      <c r="H4114" s="41"/>
      <c r="I4114" s="41"/>
      <c r="J4114" s="41"/>
      <c r="K4114" s="41"/>
      <c r="L4114" s="41"/>
      <c r="M4114" s="41"/>
      <c r="N4114" s="41"/>
      <c r="O4114" s="41"/>
    </row>
    <row r="4115" spans="1:15">
      <c r="A4115" s="39"/>
      <c r="B4115" s="40"/>
      <c r="C4115" s="41"/>
      <c r="D4115" s="41"/>
      <c r="E4115" s="41"/>
      <c r="F4115" s="41"/>
      <c r="G4115" s="41"/>
      <c r="H4115" s="41"/>
      <c r="I4115" s="41"/>
      <c r="J4115" s="41"/>
      <c r="K4115" s="41"/>
      <c r="L4115" s="41"/>
      <c r="M4115" s="41"/>
      <c r="N4115" s="41"/>
      <c r="O4115" s="41"/>
    </row>
    <row r="4116" spans="1:15">
      <c r="A4116" s="39"/>
      <c r="B4116" s="40"/>
      <c r="C4116" s="41"/>
      <c r="D4116" s="41"/>
      <c r="E4116" s="41"/>
      <c r="F4116" s="41"/>
      <c r="G4116" s="41"/>
      <c r="H4116" s="41"/>
      <c r="I4116" s="41"/>
      <c r="J4116" s="41"/>
      <c r="K4116" s="41"/>
      <c r="L4116" s="41"/>
      <c r="M4116" s="41"/>
      <c r="N4116" s="41"/>
      <c r="O4116" s="41"/>
    </row>
    <row r="4117" spans="1:15">
      <c r="A4117" s="39"/>
      <c r="B4117" s="40"/>
      <c r="C4117" s="41"/>
      <c r="D4117" s="41"/>
      <c r="E4117" s="41"/>
      <c r="F4117" s="41"/>
      <c r="G4117" s="41"/>
      <c r="H4117" s="41"/>
      <c r="I4117" s="41"/>
      <c r="J4117" s="41"/>
      <c r="K4117" s="41"/>
      <c r="L4117" s="41"/>
      <c r="M4117" s="41"/>
      <c r="N4117" s="41"/>
      <c r="O4117" s="41"/>
    </row>
    <row r="4118" spans="1:15">
      <c r="A4118" s="39"/>
      <c r="B4118" s="40"/>
      <c r="C4118" s="41"/>
      <c r="D4118" s="41"/>
      <c r="E4118" s="41"/>
      <c r="F4118" s="41"/>
      <c r="G4118" s="41"/>
      <c r="H4118" s="41"/>
      <c r="I4118" s="41"/>
      <c r="J4118" s="41"/>
      <c r="K4118" s="41"/>
      <c r="L4118" s="41"/>
      <c r="M4118" s="41"/>
      <c r="N4118" s="41"/>
      <c r="O4118" s="41"/>
    </row>
    <row r="4119" spans="1:15">
      <c r="A4119" s="39"/>
      <c r="B4119" s="40"/>
      <c r="C4119" s="41"/>
      <c r="D4119" s="41"/>
      <c r="E4119" s="41"/>
      <c r="F4119" s="41"/>
      <c r="G4119" s="41"/>
      <c r="H4119" s="41"/>
      <c r="I4119" s="41"/>
      <c r="J4119" s="41"/>
      <c r="K4119" s="41"/>
      <c r="L4119" s="41"/>
      <c r="M4119" s="41"/>
      <c r="N4119" s="41"/>
      <c r="O4119" s="41"/>
    </row>
    <row r="4120" spans="1:15">
      <c r="A4120" s="39"/>
      <c r="B4120" s="40"/>
      <c r="C4120" s="41"/>
      <c r="D4120" s="41"/>
      <c r="E4120" s="41"/>
      <c r="F4120" s="41"/>
      <c r="G4120" s="41"/>
      <c r="H4120" s="41"/>
      <c r="I4120" s="41"/>
      <c r="J4120" s="41"/>
      <c r="K4120" s="41"/>
      <c r="L4120" s="41"/>
      <c r="M4120" s="41"/>
      <c r="N4120" s="41"/>
      <c r="O4120" s="41"/>
    </row>
    <row r="4121" spans="1:15">
      <c r="A4121" s="39"/>
      <c r="B4121" s="40"/>
      <c r="C4121" s="41"/>
      <c r="D4121" s="41"/>
      <c r="E4121" s="41"/>
      <c r="F4121" s="41"/>
      <c r="G4121" s="41"/>
      <c r="H4121" s="41"/>
      <c r="I4121" s="41"/>
      <c r="J4121" s="41"/>
      <c r="K4121" s="41"/>
      <c r="L4121" s="41"/>
      <c r="M4121" s="41"/>
      <c r="N4121" s="41"/>
      <c r="O4121" s="41"/>
    </row>
    <row r="4122" spans="1:15">
      <c r="A4122" s="39"/>
      <c r="B4122" s="40"/>
      <c r="C4122" s="41"/>
      <c r="D4122" s="41"/>
      <c r="E4122" s="41"/>
      <c r="F4122" s="41"/>
      <c r="G4122" s="41"/>
      <c r="H4122" s="41"/>
      <c r="I4122" s="41"/>
      <c r="J4122" s="41"/>
      <c r="K4122" s="41"/>
      <c r="L4122" s="41"/>
      <c r="M4122" s="41"/>
      <c r="N4122" s="41"/>
      <c r="O4122" s="41"/>
    </row>
    <row r="4123" spans="1:15">
      <c r="A4123" s="39"/>
      <c r="B4123" s="40"/>
      <c r="C4123" s="41"/>
      <c r="D4123" s="41"/>
      <c r="E4123" s="41"/>
      <c r="F4123" s="41"/>
      <c r="G4123" s="41"/>
      <c r="H4123" s="41"/>
      <c r="I4123" s="41"/>
      <c r="J4123" s="41"/>
      <c r="K4123" s="41"/>
      <c r="L4123" s="41"/>
      <c r="M4123" s="41"/>
      <c r="N4123" s="41"/>
      <c r="O4123" s="41"/>
    </row>
    <row r="4124" spans="1:15">
      <c r="A4124" s="39"/>
      <c r="B4124" s="40"/>
      <c r="C4124" s="41"/>
      <c r="D4124" s="41"/>
      <c r="E4124" s="41"/>
      <c r="F4124" s="41"/>
      <c r="G4124" s="41"/>
      <c r="H4124" s="41"/>
      <c r="I4124" s="41"/>
      <c r="J4124" s="41"/>
      <c r="K4124" s="41"/>
      <c r="L4124" s="41"/>
      <c r="M4124" s="41"/>
      <c r="N4124" s="41"/>
      <c r="O4124" s="41"/>
    </row>
    <row r="4125" spans="1:15">
      <c r="A4125" s="39"/>
      <c r="B4125" s="40"/>
      <c r="C4125" s="41"/>
      <c r="D4125" s="41"/>
      <c r="E4125" s="41"/>
      <c r="F4125" s="41"/>
      <c r="G4125" s="41"/>
      <c r="H4125" s="41"/>
      <c r="I4125" s="41"/>
      <c r="J4125" s="41"/>
      <c r="K4125" s="41"/>
      <c r="L4125" s="41"/>
      <c r="M4125" s="41"/>
      <c r="N4125" s="41"/>
      <c r="O4125" s="41"/>
    </row>
    <row r="4126" spans="1:15">
      <c r="A4126" s="39"/>
      <c r="B4126" s="40"/>
      <c r="C4126" s="41"/>
      <c r="D4126" s="41"/>
      <c r="E4126" s="41"/>
      <c r="F4126" s="41"/>
      <c r="G4126" s="41"/>
      <c r="H4126" s="41"/>
      <c r="I4126" s="41"/>
      <c r="J4126" s="41"/>
      <c r="K4126" s="41"/>
      <c r="L4126" s="41"/>
      <c r="M4126" s="41"/>
      <c r="N4126" s="41"/>
      <c r="O4126" s="41"/>
    </row>
    <row r="4127" spans="1:15">
      <c r="A4127" s="39"/>
      <c r="B4127" s="40"/>
      <c r="C4127" s="41"/>
      <c r="D4127" s="41"/>
      <c r="E4127" s="41"/>
      <c r="F4127" s="41"/>
      <c r="G4127" s="41"/>
      <c r="H4127" s="41"/>
      <c r="I4127" s="41"/>
      <c r="J4127" s="41"/>
      <c r="K4127" s="41"/>
      <c r="L4127" s="41"/>
      <c r="M4127" s="41"/>
      <c r="N4127" s="41"/>
      <c r="O4127" s="41"/>
    </row>
    <row r="4128" spans="1:15">
      <c r="A4128" s="39"/>
      <c r="B4128" s="40"/>
      <c r="C4128" s="41"/>
      <c r="D4128" s="41"/>
      <c r="E4128" s="41"/>
      <c r="F4128" s="41"/>
      <c r="G4128" s="41"/>
      <c r="H4128" s="41"/>
      <c r="I4128" s="41"/>
      <c r="J4128" s="41"/>
      <c r="K4128" s="41"/>
      <c r="L4128" s="41"/>
      <c r="M4128" s="41"/>
      <c r="N4128" s="41"/>
      <c r="O4128" s="41"/>
    </row>
    <row r="4129" spans="1:15">
      <c r="A4129" s="39"/>
      <c r="B4129" s="40"/>
      <c r="C4129" s="41"/>
      <c r="D4129" s="41"/>
      <c r="E4129" s="41"/>
      <c r="F4129" s="41"/>
      <c r="G4129" s="41"/>
      <c r="H4129" s="41"/>
      <c r="I4129" s="41"/>
      <c r="J4129" s="41"/>
      <c r="K4129" s="41"/>
      <c r="L4129" s="41"/>
      <c r="M4129" s="41"/>
      <c r="N4129" s="41"/>
      <c r="O4129" s="41"/>
    </row>
    <row r="4130" spans="1:15">
      <c r="A4130" s="39"/>
      <c r="B4130" s="40"/>
      <c r="C4130" s="41"/>
      <c r="D4130" s="41"/>
      <c r="E4130" s="41"/>
      <c r="F4130" s="41"/>
      <c r="G4130" s="41"/>
      <c r="H4130" s="41"/>
      <c r="I4130" s="41"/>
      <c r="J4130" s="41"/>
      <c r="K4130" s="41"/>
      <c r="L4130" s="41"/>
      <c r="M4130" s="41"/>
      <c r="N4130" s="41"/>
      <c r="O4130" s="41"/>
    </row>
    <row r="4131" spans="1:15">
      <c r="A4131" s="39"/>
      <c r="B4131" s="40"/>
      <c r="C4131" s="41"/>
      <c r="D4131" s="41"/>
      <c r="E4131" s="41"/>
      <c r="F4131" s="41"/>
      <c r="G4131" s="41"/>
      <c r="H4131" s="41"/>
      <c r="I4131" s="41"/>
      <c r="J4131" s="41"/>
      <c r="K4131" s="41"/>
      <c r="L4131" s="41"/>
      <c r="M4131" s="41"/>
      <c r="N4131" s="41"/>
      <c r="O4131" s="41"/>
    </row>
    <row r="4132" spans="1:15">
      <c r="A4132" s="39"/>
      <c r="B4132" s="40"/>
      <c r="C4132" s="41"/>
      <c r="D4132" s="41"/>
      <c r="E4132" s="41"/>
      <c r="F4132" s="41"/>
      <c r="G4132" s="41"/>
      <c r="H4132" s="41"/>
      <c r="I4132" s="41"/>
      <c r="J4132" s="41"/>
      <c r="K4132" s="41"/>
      <c r="L4132" s="41"/>
      <c r="M4132" s="41"/>
      <c r="N4132" s="41"/>
      <c r="O4132" s="41"/>
    </row>
    <row r="4133" spans="1:15">
      <c r="A4133" s="39"/>
      <c r="B4133" s="40"/>
      <c r="C4133" s="41"/>
      <c r="D4133" s="41"/>
      <c r="E4133" s="41"/>
      <c r="F4133" s="41"/>
      <c r="G4133" s="41"/>
      <c r="H4133" s="41"/>
      <c r="I4133" s="41"/>
      <c r="J4133" s="41"/>
      <c r="K4133" s="41"/>
      <c r="L4133" s="41"/>
      <c r="M4133" s="41"/>
      <c r="N4133" s="41"/>
      <c r="O4133" s="41"/>
    </row>
    <row r="4134" spans="1:15">
      <c r="A4134" s="39"/>
      <c r="B4134" s="40"/>
      <c r="C4134" s="41"/>
      <c r="D4134" s="41"/>
      <c r="E4134" s="41"/>
      <c r="F4134" s="41"/>
      <c r="G4134" s="41"/>
      <c r="H4134" s="41"/>
      <c r="I4134" s="41"/>
      <c r="J4134" s="41"/>
      <c r="K4134" s="41"/>
      <c r="L4134" s="41"/>
      <c r="M4134" s="41"/>
      <c r="N4134" s="41"/>
      <c r="O4134" s="41"/>
    </row>
    <row r="4135" spans="1:15">
      <c r="A4135" s="39"/>
      <c r="B4135" s="40"/>
      <c r="C4135" s="41"/>
      <c r="D4135" s="41"/>
      <c r="E4135" s="41"/>
      <c r="F4135" s="41"/>
      <c r="G4135" s="41"/>
      <c r="H4135" s="41"/>
      <c r="I4135" s="41"/>
      <c r="J4135" s="41"/>
      <c r="K4135" s="41"/>
      <c r="L4135" s="41"/>
      <c r="M4135" s="41"/>
      <c r="N4135" s="41"/>
      <c r="O4135" s="41"/>
    </row>
    <row r="4136" spans="1:15">
      <c r="A4136" s="39"/>
      <c r="B4136" s="40"/>
      <c r="C4136" s="41"/>
      <c r="D4136" s="41"/>
      <c r="E4136" s="41"/>
      <c r="F4136" s="41"/>
      <c r="G4136" s="41"/>
      <c r="H4136" s="41"/>
      <c r="I4136" s="41"/>
      <c r="J4136" s="41"/>
      <c r="K4136" s="41"/>
      <c r="L4136" s="41"/>
      <c r="M4136" s="41"/>
      <c r="N4136" s="41"/>
      <c r="O4136" s="41"/>
    </row>
    <row r="4137" spans="1:15">
      <c r="A4137" s="39"/>
      <c r="B4137" s="40"/>
      <c r="C4137" s="41"/>
      <c r="D4137" s="41"/>
      <c r="E4137" s="41"/>
      <c r="F4137" s="41"/>
      <c r="G4137" s="41"/>
      <c r="H4137" s="41"/>
      <c r="I4137" s="41"/>
      <c r="J4137" s="41"/>
      <c r="K4137" s="41"/>
      <c r="L4137" s="41"/>
      <c r="M4137" s="41"/>
      <c r="N4137" s="41"/>
      <c r="O4137" s="41"/>
    </row>
    <row r="4138" spans="1:15">
      <c r="A4138" s="39"/>
      <c r="B4138" s="40"/>
      <c r="C4138" s="41"/>
      <c r="D4138" s="41"/>
      <c r="E4138" s="41"/>
      <c r="F4138" s="41"/>
      <c r="G4138" s="41"/>
      <c r="H4138" s="41"/>
      <c r="I4138" s="41"/>
      <c r="J4138" s="41"/>
      <c r="K4138" s="41"/>
      <c r="L4138" s="41"/>
      <c r="M4138" s="41"/>
      <c r="N4138" s="41"/>
      <c r="O4138" s="41"/>
    </row>
    <row r="4139" spans="1:15">
      <c r="A4139" s="39"/>
      <c r="B4139" s="40"/>
      <c r="C4139" s="41"/>
      <c r="D4139" s="41"/>
      <c r="E4139" s="41"/>
      <c r="F4139" s="41"/>
      <c r="G4139" s="41"/>
      <c r="H4139" s="41"/>
      <c r="I4139" s="41"/>
      <c r="J4139" s="41"/>
      <c r="K4139" s="41"/>
      <c r="L4139" s="41"/>
      <c r="M4139" s="41"/>
      <c r="N4139" s="41"/>
      <c r="O4139" s="41"/>
    </row>
    <row r="4140" spans="1:15">
      <c r="A4140" s="39"/>
      <c r="B4140" s="40"/>
      <c r="C4140" s="41"/>
      <c r="D4140" s="41"/>
      <c r="E4140" s="41"/>
      <c r="F4140" s="41"/>
      <c r="G4140" s="41"/>
      <c r="H4140" s="41"/>
      <c r="I4140" s="41"/>
      <c r="J4140" s="41"/>
      <c r="K4140" s="41"/>
      <c r="L4140" s="41"/>
      <c r="M4140" s="41"/>
      <c r="N4140" s="41"/>
      <c r="O4140" s="41"/>
    </row>
    <row r="4141" spans="1:15">
      <c r="A4141" s="39"/>
      <c r="B4141" s="40"/>
      <c r="C4141" s="41"/>
      <c r="D4141" s="41"/>
      <c r="E4141" s="41"/>
      <c r="F4141" s="41"/>
      <c r="G4141" s="41"/>
      <c r="H4141" s="41"/>
      <c r="I4141" s="41"/>
      <c r="J4141" s="41"/>
      <c r="K4141" s="41"/>
      <c r="L4141" s="41"/>
      <c r="M4141" s="41"/>
      <c r="N4141" s="41"/>
      <c r="O4141" s="41"/>
    </row>
    <row r="4142" spans="1:15">
      <c r="A4142" s="39"/>
      <c r="B4142" s="40"/>
      <c r="C4142" s="41"/>
      <c r="D4142" s="41"/>
      <c r="E4142" s="41"/>
      <c r="F4142" s="41"/>
      <c r="G4142" s="41"/>
      <c r="H4142" s="41"/>
      <c r="I4142" s="41"/>
      <c r="J4142" s="41"/>
      <c r="K4142" s="41"/>
      <c r="L4142" s="41"/>
      <c r="M4142" s="41"/>
      <c r="N4142" s="41"/>
      <c r="O4142" s="41"/>
    </row>
    <row r="4143" spans="1:15">
      <c r="A4143" s="39"/>
      <c r="B4143" s="40"/>
      <c r="C4143" s="41"/>
      <c r="D4143" s="41"/>
      <c r="E4143" s="41"/>
      <c r="F4143" s="41"/>
      <c r="G4143" s="41"/>
      <c r="H4143" s="41"/>
      <c r="I4143" s="41"/>
      <c r="J4143" s="41"/>
      <c r="K4143" s="41"/>
      <c r="L4143" s="41"/>
      <c r="M4143" s="41"/>
      <c r="N4143" s="41"/>
      <c r="O4143" s="41"/>
    </row>
    <row r="4144" spans="1:15">
      <c r="A4144" s="39"/>
      <c r="B4144" s="40"/>
      <c r="C4144" s="41"/>
      <c r="D4144" s="41"/>
      <c r="E4144" s="41"/>
      <c r="F4144" s="41"/>
      <c r="G4144" s="41"/>
      <c r="H4144" s="41"/>
      <c r="I4144" s="41"/>
      <c r="J4144" s="41"/>
      <c r="K4144" s="41"/>
      <c r="L4144" s="41"/>
      <c r="M4144" s="41"/>
      <c r="N4144" s="41"/>
      <c r="O4144" s="41"/>
    </row>
    <row r="4145" spans="1:15">
      <c r="A4145" s="39"/>
      <c r="B4145" s="40"/>
      <c r="C4145" s="41"/>
      <c r="D4145" s="41"/>
      <c r="E4145" s="41"/>
      <c r="F4145" s="41"/>
      <c r="G4145" s="41"/>
      <c r="H4145" s="41"/>
      <c r="I4145" s="41"/>
      <c r="J4145" s="41"/>
      <c r="K4145" s="41"/>
      <c r="L4145" s="41"/>
      <c r="M4145" s="41"/>
      <c r="N4145" s="41"/>
      <c r="O4145" s="41"/>
    </row>
    <row r="4146" spans="1:15">
      <c r="A4146" s="39"/>
      <c r="B4146" s="40"/>
      <c r="C4146" s="41"/>
      <c r="D4146" s="41"/>
      <c r="E4146" s="41"/>
      <c r="F4146" s="41"/>
      <c r="G4146" s="41"/>
      <c r="H4146" s="41"/>
      <c r="I4146" s="41"/>
      <c r="J4146" s="41"/>
      <c r="K4146" s="41"/>
      <c r="L4146" s="41"/>
      <c r="M4146" s="41"/>
      <c r="N4146" s="41"/>
      <c r="O4146" s="41"/>
    </row>
    <row r="4147" spans="1:15">
      <c r="A4147" s="39"/>
      <c r="B4147" s="40"/>
      <c r="C4147" s="41"/>
      <c r="D4147" s="41"/>
      <c r="E4147" s="41"/>
      <c r="F4147" s="41"/>
      <c r="G4147" s="41"/>
      <c r="H4147" s="41"/>
      <c r="I4147" s="41"/>
      <c r="J4147" s="41"/>
      <c r="K4147" s="41"/>
      <c r="L4147" s="41"/>
      <c r="M4147" s="41"/>
      <c r="N4147" s="41"/>
      <c r="O4147" s="41"/>
    </row>
    <row r="4148" spans="1:15">
      <c r="A4148" s="39"/>
      <c r="B4148" s="40"/>
      <c r="C4148" s="41"/>
      <c r="D4148" s="41"/>
      <c r="E4148" s="41"/>
      <c r="F4148" s="41"/>
      <c r="G4148" s="41"/>
      <c r="H4148" s="41"/>
      <c r="I4148" s="41"/>
      <c r="J4148" s="41"/>
      <c r="K4148" s="41"/>
      <c r="L4148" s="41"/>
      <c r="M4148" s="41"/>
      <c r="N4148" s="41"/>
      <c r="O4148" s="41"/>
    </row>
    <row r="4149" spans="1:15">
      <c r="A4149" s="39"/>
      <c r="B4149" s="40"/>
      <c r="C4149" s="41"/>
      <c r="D4149" s="41"/>
      <c r="E4149" s="41"/>
      <c r="F4149" s="41"/>
      <c r="G4149" s="41"/>
      <c r="H4149" s="41"/>
      <c r="I4149" s="41"/>
      <c r="J4149" s="41"/>
      <c r="K4149" s="41"/>
      <c r="L4149" s="41"/>
      <c r="M4149" s="41"/>
      <c r="N4149" s="41"/>
      <c r="O4149" s="41"/>
    </row>
    <row r="4150" spans="1:15">
      <c r="A4150" s="39"/>
      <c r="B4150" s="40"/>
      <c r="C4150" s="41"/>
      <c r="D4150" s="41"/>
      <c r="E4150" s="41"/>
      <c r="F4150" s="41"/>
      <c r="G4150" s="41"/>
      <c r="H4150" s="41"/>
      <c r="I4150" s="41"/>
      <c r="J4150" s="41"/>
      <c r="K4150" s="41"/>
      <c r="L4150" s="41"/>
      <c r="M4150" s="41"/>
      <c r="N4150" s="41"/>
      <c r="O4150" s="41"/>
    </row>
    <row r="4151" spans="1:15">
      <c r="A4151" s="39"/>
      <c r="B4151" s="40"/>
      <c r="C4151" s="41"/>
      <c r="D4151" s="41"/>
      <c r="E4151" s="41"/>
      <c r="F4151" s="41"/>
      <c r="G4151" s="41"/>
      <c r="H4151" s="41"/>
      <c r="I4151" s="41"/>
      <c r="J4151" s="41"/>
      <c r="K4151" s="41"/>
      <c r="L4151" s="41"/>
      <c r="M4151" s="41"/>
      <c r="N4151" s="41"/>
      <c r="O4151" s="41"/>
    </row>
    <row r="4152" spans="1:15">
      <c r="A4152" s="39"/>
      <c r="B4152" s="40"/>
      <c r="C4152" s="41"/>
      <c r="D4152" s="41"/>
      <c r="E4152" s="41"/>
      <c r="F4152" s="41"/>
      <c r="G4152" s="41"/>
      <c r="H4152" s="41"/>
      <c r="I4152" s="41"/>
      <c r="J4152" s="41"/>
      <c r="K4152" s="41"/>
      <c r="L4152" s="41"/>
      <c r="M4152" s="41"/>
      <c r="N4152" s="41"/>
      <c r="O4152" s="41"/>
    </row>
    <row r="4153" spans="1:15">
      <c r="A4153" s="39"/>
      <c r="B4153" s="40"/>
      <c r="C4153" s="41"/>
      <c r="D4153" s="41"/>
      <c r="E4153" s="41"/>
      <c r="F4153" s="41"/>
      <c r="G4153" s="41"/>
      <c r="H4153" s="41"/>
      <c r="I4153" s="41"/>
      <c r="J4153" s="41"/>
      <c r="K4153" s="41"/>
      <c r="L4153" s="41"/>
      <c r="M4153" s="41"/>
      <c r="N4153" s="41"/>
      <c r="O4153" s="41"/>
    </row>
    <row r="4154" spans="1:15">
      <c r="A4154" s="39"/>
      <c r="B4154" s="40"/>
      <c r="C4154" s="41"/>
      <c r="D4154" s="41"/>
      <c r="E4154" s="41"/>
      <c r="F4154" s="41"/>
      <c r="G4154" s="41"/>
      <c r="H4154" s="41"/>
      <c r="I4154" s="41"/>
      <c r="J4154" s="41"/>
      <c r="K4154" s="41"/>
      <c r="L4154" s="41"/>
      <c r="M4154" s="41"/>
      <c r="N4154" s="41"/>
      <c r="O4154" s="41"/>
    </row>
    <row r="4155" spans="1:15">
      <c r="A4155" s="39"/>
      <c r="B4155" s="40"/>
      <c r="C4155" s="41"/>
      <c r="D4155" s="41"/>
      <c r="E4155" s="41"/>
      <c r="F4155" s="41"/>
      <c r="G4155" s="41"/>
      <c r="H4155" s="41"/>
      <c r="I4155" s="41"/>
      <c r="J4155" s="41"/>
      <c r="K4155" s="41"/>
      <c r="L4155" s="41"/>
      <c r="M4155" s="41"/>
      <c r="N4155" s="41"/>
      <c r="O4155" s="41"/>
    </row>
    <row r="4156" spans="1:15">
      <c r="A4156" s="39"/>
      <c r="B4156" s="40"/>
      <c r="C4156" s="41"/>
      <c r="D4156" s="41"/>
      <c r="E4156" s="41"/>
      <c r="F4156" s="41"/>
      <c r="G4156" s="41"/>
      <c r="H4156" s="41"/>
      <c r="I4156" s="41"/>
      <c r="J4156" s="41"/>
      <c r="K4156" s="41"/>
      <c r="L4156" s="41"/>
      <c r="M4156" s="41"/>
      <c r="N4156" s="41"/>
      <c r="O4156" s="41"/>
    </row>
    <row r="4157" spans="1:15">
      <c r="A4157" s="39"/>
      <c r="B4157" s="40"/>
      <c r="C4157" s="41"/>
      <c r="D4157" s="41"/>
      <c r="E4157" s="41"/>
      <c r="F4157" s="41"/>
      <c r="G4157" s="41"/>
      <c r="H4157" s="41"/>
      <c r="I4157" s="41"/>
      <c r="J4157" s="41"/>
      <c r="K4157" s="41"/>
      <c r="L4157" s="41"/>
      <c r="M4157" s="41"/>
      <c r="N4157" s="41"/>
      <c r="O4157" s="41"/>
    </row>
    <row r="4158" spans="1:15">
      <c r="A4158" s="39"/>
      <c r="B4158" s="40"/>
      <c r="C4158" s="41"/>
      <c r="D4158" s="41"/>
      <c r="E4158" s="41"/>
      <c r="F4158" s="41"/>
      <c r="G4158" s="41"/>
      <c r="H4158" s="41"/>
      <c r="I4158" s="41"/>
      <c r="J4158" s="41"/>
      <c r="K4158" s="41"/>
      <c r="L4158" s="41"/>
      <c r="M4158" s="41"/>
      <c r="N4158" s="41"/>
      <c r="O4158" s="41"/>
    </row>
    <row r="4159" spans="1:15">
      <c r="A4159" s="39"/>
      <c r="B4159" s="40"/>
      <c r="C4159" s="41"/>
      <c r="D4159" s="41"/>
      <c r="E4159" s="41"/>
      <c r="F4159" s="41"/>
      <c r="G4159" s="41"/>
      <c r="H4159" s="41"/>
      <c r="I4159" s="41"/>
      <c r="J4159" s="41"/>
      <c r="K4159" s="41"/>
      <c r="L4159" s="41"/>
      <c r="M4159" s="41"/>
      <c r="N4159" s="41"/>
      <c r="O4159" s="41"/>
    </row>
    <row r="4160" spans="1:15">
      <c r="A4160" s="39"/>
      <c r="B4160" s="40"/>
      <c r="C4160" s="41"/>
      <c r="D4160" s="41"/>
      <c r="E4160" s="41"/>
      <c r="F4160" s="41"/>
      <c r="G4160" s="41"/>
      <c r="H4160" s="41"/>
      <c r="I4160" s="41"/>
      <c r="J4160" s="41"/>
      <c r="K4160" s="41"/>
      <c r="L4160" s="41"/>
      <c r="M4160" s="41"/>
      <c r="N4160" s="41"/>
      <c r="O4160" s="41"/>
    </row>
    <row r="4161" spans="1:15">
      <c r="A4161" s="39"/>
      <c r="B4161" s="40"/>
      <c r="C4161" s="41"/>
      <c r="D4161" s="41"/>
      <c r="E4161" s="41"/>
      <c r="F4161" s="41"/>
      <c r="G4161" s="41"/>
      <c r="H4161" s="41"/>
      <c r="I4161" s="41"/>
      <c r="J4161" s="41"/>
      <c r="K4161" s="41"/>
      <c r="L4161" s="41"/>
      <c r="M4161" s="41"/>
      <c r="N4161" s="41"/>
      <c r="O4161" s="41"/>
    </row>
    <row r="4162" spans="1:15">
      <c r="A4162" s="39"/>
      <c r="B4162" s="40"/>
      <c r="C4162" s="41"/>
      <c r="D4162" s="41"/>
      <c r="E4162" s="41"/>
      <c r="F4162" s="41"/>
      <c r="G4162" s="41"/>
      <c r="H4162" s="41"/>
      <c r="I4162" s="41"/>
      <c r="J4162" s="41"/>
      <c r="K4162" s="41"/>
      <c r="L4162" s="41"/>
      <c r="M4162" s="41"/>
      <c r="N4162" s="41"/>
      <c r="O4162" s="41"/>
    </row>
    <row r="4163" spans="1:15">
      <c r="A4163" s="39"/>
      <c r="B4163" s="40"/>
      <c r="C4163" s="41"/>
      <c r="D4163" s="41"/>
      <c r="E4163" s="41"/>
      <c r="F4163" s="41"/>
      <c r="G4163" s="41"/>
      <c r="H4163" s="41"/>
      <c r="I4163" s="41"/>
      <c r="J4163" s="41"/>
      <c r="K4163" s="41"/>
      <c r="L4163" s="41"/>
      <c r="M4163" s="41"/>
      <c r="N4163" s="41"/>
      <c r="O4163" s="41"/>
    </row>
    <row r="4164" spans="1:15">
      <c r="A4164" s="39"/>
      <c r="B4164" s="40"/>
      <c r="C4164" s="41"/>
      <c r="D4164" s="41"/>
      <c r="E4164" s="41"/>
      <c r="F4164" s="41"/>
      <c r="G4164" s="41"/>
      <c r="H4164" s="41"/>
      <c r="I4164" s="41"/>
      <c r="J4164" s="41"/>
      <c r="K4164" s="41"/>
      <c r="L4164" s="41"/>
      <c r="M4164" s="41"/>
      <c r="N4164" s="41"/>
      <c r="O4164" s="41"/>
    </row>
    <row r="4165" spans="1:15">
      <c r="A4165" s="39"/>
      <c r="B4165" s="40"/>
      <c r="C4165" s="41"/>
      <c r="D4165" s="41"/>
      <c r="E4165" s="41"/>
      <c r="F4165" s="41"/>
      <c r="G4165" s="41"/>
      <c r="H4165" s="41"/>
      <c r="I4165" s="41"/>
      <c r="J4165" s="41"/>
      <c r="K4165" s="41"/>
      <c r="L4165" s="41"/>
      <c r="M4165" s="41"/>
      <c r="N4165" s="41"/>
      <c r="O4165" s="41"/>
    </row>
    <row r="4166" spans="1:15">
      <c r="A4166" s="39"/>
      <c r="B4166" s="40"/>
      <c r="C4166" s="41"/>
      <c r="D4166" s="41"/>
      <c r="E4166" s="41"/>
      <c r="F4166" s="41"/>
      <c r="G4166" s="41"/>
      <c r="H4166" s="41"/>
      <c r="I4166" s="41"/>
      <c r="J4166" s="41"/>
      <c r="K4166" s="41"/>
      <c r="L4166" s="41"/>
      <c r="M4166" s="41"/>
      <c r="N4166" s="41"/>
      <c r="O4166" s="41"/>
    </row>
    <row r="4167" spans="1:15">
      <c r="A4167" s="39"/>
      <c r="B4167" s="40"/>
      <c r="C4167" s="41"/>
      <c r="D4167" s="41"/>
      <c r="E4167" s="41"/>
      <c r="F4167" s="41"/>
      <c r="G4167" s="41"/>
      <c r="H4167" s="41"/>
      <c r="I4167" s="41"/>
      <c r="J4167" s="41"/>
      <c r="K4167" s="41"/>
      <c r="L4167" s="41"/>
      <c r="M4167" s="41"/>
      <c r="N4167" s="41"/>
      <c r="O4167" s="41"/>
    </row>
    <row r="4168" spans="1:15">
      <c r="A4168" s="39"/>
      <c r="B4168" s="40"/>
      <c r="C4168" s="41"/>
      <c r="D4168" s="41"/>
      <c r="E4168" s="41"/>
      <c r="F4168" s="41"/>
      <c r="G4168" s="41"/>
      <c r="H4168" s="41"/>
      <c r="I4168" s="41"/>
      <c r="J4168" s="41"/>
      <c r="K4168" s="41"/>
      <c r="L4168" s="41"/>
      <c r="M4168" s="41"/>
      <c r="N4168" s="41"/>
      <c r="O4168" s="41"/>
    </row>
    <row r="4169" spans="1:15">
      <c r="A4169" s="39"/>
      <c r="B4169" s="40"/>
      <c r="C4169" s="41"/>
      <c r="D4169" s="41"/>
      <c r="E4169" s="41"/>
      <c r="F4169" s="41"/>
      <c r="G4169" s="41"/>
      <c r="H4169" s="41"/>
      <c r="I4169" s="41"/>
      <c r="J4169" s="41"/>
      <c r="K4169" s="41"/>
      <c r="L4169" s="41"/>
      <c r="M4169" s="41"/>
      <c r="N4169" s="41"/>
      <c r="O4169" s="41"/>
    </row>
    <row r="4170" spans="1:15">
      <c r="A4170" s="39"/>
      <c r="B4170" s="40"/>
      <c r="C4170" s="41"/>
      <c r="D4170" s="41"/>
      <c r="E4170" s="41"/>
      <c r="F4170" s="41"/>
      <c r="G4170" s="41"/>
      <c r="H4170" s="41"/>
      <c r="I4170" s="41"/>
      <c r="J4170" s="41"/>
      <c r="K4170" s="41"/>
      <c r="L4170" s="41"/>
      <c r="M4170" s="41"/>
      <c r="N4170" s="41"/>
      <c r="O4170" s="41"/>
    </row>
    <row r="4171" spans="1:15">
      <c r="A4171" s="39"/>
      <c r="B4171" s="40"/>
      <c r="C4171" s="41"/>
      <c r="D4171" s="41"/>
      <c r="E4171" s="41"/>
      <c r="F4171" s="41"/>
      <c r="G4171" s="41"/>
      <c r="H4171" s="41"/>
      <c r="I4171" s="41"/>
      <c r="J4171" s="41"/>
      <c r="K4171" s="41"/>
      <c r="L4171" s="41"/>
      <c r="M4171" s="41"/>
      <c r="N4171" s="41"/>
      <c r="O4171" s="41"/>
    </row>
    <row r="4172" spans="1:15">
      <c r="A4172" s="39"/>
      <c r="B4172" s="40"/>
      <c r="C4172" s="41"/>
      <c r="D4172" s="41"/>
      <c r="E4172" s="41"/>
      <c r="F4172" s="41"/>
      <c r="G4172" s="41"/>
      <c r="H4172" s="41"/>
      <c r="I4172" s="41"/>
      <c r="J4172" s="41"/>
      <c r="K4172" s="41"/>
      <c r="L4172" s="41"/>
      <c r="M4172" s="41"/>
      <c r="N4172" s="41"/>
      <c r="O4172" s="41"/>
    </row>
    <row r="4173" spans="1:15">
      <c r="A4173" s="39"/>
      <c r="B4173" s="40"/>
      <c r="C4173" s="41"/>
      <c r="D4173" s="41"/>
      <c r="E4173" s="41"/>
      <c r="F4173" s="41"/>
      <c r="G4173" s="41"/>
      <c r="H4173" s="41"/>
      <c r="I4173" s="41"/>
      <c r="J4173" s="41"/>
      <c r="K4173" s="41"/>
      <c r="L4173" s="41"/>
      <c r="M4173" s="41"/>
      <c r="N4173" s="41"/>
      <c r="O4173" s="41"/>
    </row>
    <row r="4174" spans="1:15">
      <c r="A4174" s="39"/>
      <c r="B4174" s="40"/>
      <c r="C4174" s="41"/>
      <c r="D4174" s="41"/>
      <c r="E4174" s="41"/>
      <c r="F4174" s="41"/>
      <c r="G4174" s="41"/>
      <c r="H4174" s="41"/>
      <c r="I4174" s="41"/>
      <c r="J4174" s="41"/>
      <c r="K4174" s="41"/>
      <c r="L4174" s="41"/>
      <c r="M4174" s="41"/>
      <c r="N4174" s="41"/>
      <c r="O4174" s="41"/>
    </row>
    <row r="4175" spans="1:15">
      <c r="A4175" s="39"/>
      <c r="B4175" s="40"/>
      <c r="C4175" s="41"/>
      <c r="D4175" s="41"/>
      <c r="E4175" s="41"/>
      <c r="F4175" s="41"/>
      <c r="G4175" s="41"/>
      <c r="H4175" s="41"/>
      <c r="I4175" s="41"/>
      <c r="J4175" s="41"/>
      <c r="K4175" s="41"/>
      <c r="L4175" s="41"/>
      <c r="M4175" s="41"/>
      <c r="N4175" s="41"/>
      <c r="O4175" s="41"/>
    </row>
    <row r="4176" spans="1:15">
      <c r="A4176" s="39"/>
      <c r="B4176" s="40"/>
      <c r="C4176" s="41"/>
      <c r="D4176" s="41"/>
      <c r="E4176" s="41"/>
      <c r="F4176" s="41"/>
      <c r="G4176" s="41"/>
      <c r="H4176" s="41"/>
      <c r="I4176" s="41"/>
      <c r="J4176" s="41"/>
      <c r="K4176" s="41"/>
      <c r="L4176" s="41"/>
      <c r="M4176" s="41"/>
      <c r="N4176" s="41"/>
      <c r="O4176" s="41"/>
    </row>
    <row r="4177" spans="1:15">
      <c r="A4177" s="39"/>
      <c r="B4177" s="40"/>
      <c r="C4177" s="41"/>
      <c r="D4177" s="41"/>
      <c r="E4177" s="41"/>
      <c r="F4177" s="41"/>
      <c r="G4177" s="41"/>
      <c r="H4177" s="41"/>
      <c r="I4177" s="41"/>
      <c r="J4177" s="41"/>
      <c r="K4177" s="41"/>
      <c r="L4177" s="41"/>
      <c r="M4177" s="41"/>
      <c r="N4177" s="41"/>
      <c r="O4177" s="41"/>
    </row>
    <row r="4178" spans="1:15">
      <c r="A4178" s="39"/>
      <c r="B4178" s="40"/>
      <c r="C4178" s="41"/>
      <c r="D4178" s="41"/>
      <c r="E4178" s="41"/>
      <c r="F4178" s="41"/>
      <c r="G4178" s="41"/>
      <c r="H4178" s="41"/>
      <c r="I4178" s="41"/>
      <c r="J4178" s="41"/>
      <c r="K4178" s="41"/>
      <c r="L4178" s="41"/>
      <c r="M4178" s="41"/>
      <c r="N4178" s="41"/>
      <c r="O4178" s="41"/>
    </row>
    <row r="4179" spans="1:15">
      <c r="A4179" s="39"/>
      <c r="B4179" s="40"/>
      <c r="C4179" s="41"/>
      <c r="D4179" s="41"/>
      <c r="E4179" s="41"/>
      <c r="F4179" s="41"/>
      <c r="G4179" s="41"/>
      <c r="H4179" s="41"/>
      <c r="I4179" s="41"/>
      <c r="J4179" s="41"/>
      <c r="K4179" s="41"/>
      <c r="L4179" s="41"/>
      <c r="M4179" s="41"/>
      <c r="N4179" s="41"/>
      <c r="O4179" s="41"/>
    </row>
    <row r="4180" spans="1:15">
      <c r="A4180" s="39"/>
      <c r="B4180" s="40"/>
      <c r="C4180" s="41"/>
      <c r="D4180" s="41"/>
      <c r="E4180" s="41"/>
      <c r="F4180" s="41"/>
      <c r="G4180" s="41"/>
      <c r="H4180" s="41"/>
      <c r="I4180" s="41"/>
      <c r="J4180" s="41"/>
      <c r="K4180" s="41"/>
      <c r="L4180" s="41"/>
      <c r="M4180" s="41"/>
      <c r="N4180" s="41"/>
      <c r="O4180" s="41"/>
    </row>
    <row r="4181" spans="1:15">
      <c r="A4181" s="39"/>
      <c r="B4181" s="40"/>
      <c r="C4181" s="41"/>
      <c r="D4181" s="41"/>
      <c r="E4181" s="41"/>
      <c r="F4181" s="41"/>
      <c r="G4181" s="41"/>
      <c r="H4181" s="41"/>
      <c r="I4181" s="41"/>
      <c r="J4181" s="41"/>
      <c r="K4181" s="41"/>
      <c r="L4181" s="41"/>
      <c r="M4181" s="41"/>
      <c r="N4181" s="41"/>
      <c r="O4181" s="41"/>
    </row>
    <row r="4182" spans="1:15">
      <c r="A4182" s="39"/>
      <c r="B4182" s="40"/>
      <c r="C4182" s="41"/>
      <c r="D4182" s="41"/>
      <c r="E4182" s="41"/>
      <c r="F4182" s="41"/>
      <c r="G4182" s="41"/>
      <c r="H4182" s="41"/>
      <c r="I4182" s="41"/>
      <c r="J4182" s="41"/>
      <c r="K4182" s="41"/>
      <c r="L4182" s="41"/>
      <c r="M4182" s="41"/>
      <c r="N4182" s="41"/>
      <c r="O4182" s="41"/>
    </row>
    <row r="4183" spans="1:15">
      <c r="A4183" s="39"/>
      <c r="B4183" s="40"/>
      <c r="C4183" s="41"/>
      <c r="D4183" s="41"/>
      <c r="E4183" s="41"/>
      <c r="F4183" s="41"/>
      <c r="G4183" s="41"/>
      <c r="H4183" s="41"/>
      <c r="I4183" s="41"/>
      <c r="J4183" s="41"/>
      <c r="K4183" s="41"/>
      <c r="L4183" s="41"/>
      <c r="M4183" s="41"/>
      <c r="N4183" s="41"/>
      <c r="O4183" s="41"/>
    </row>
    <row r="4184" spans="1:15">
      <c r="A4184" s="39"/>
      <c r="B4184" s="40"/>
      <c r="C4184" s="41"/>
      <c r="D4184" s="41"/>
      <c r="E4184" s="41"/>
      <c r="F4184" s="41"/>
      <c r="G4184" s="41"/>
      <c r="H4184" s="41"/>
      <c r="I4184" s="41"/>
      <c r="J4184" s="41"/>
      <c r="K4184" s="41"/>
      <c r="L4184" s="41"/>
      <c r="M4184" s="41"/>
      <c r="N4184" s="41"/>
      <c r="O4184" s="41"/>
    </row>
    <row r="4185" spans="1:15">
      <c r="A4185" s="39"/>
      <c r="B4185" s="40"/>
      <c r="C4185" s="41"/>
      <c r="D4185" s="41"/>
      <c r="E4185" s="41"/>
      <c r="F4185" s="41"/>
      <c r="G4185" s="41"/>
      <c r="H4185" s="41"/>
      <c r="I4185" s="41"/>
      <c r="J4185" s="41"/>
      <c r="K4185" s="41"/>
      <c r="L4185" s="41"/>
      <c r="M4185" s="41"/>
      <c r="N4185" s="41"/>
      <c r="O4185" s="41"/>
    </row>
    <row r="4186" spans="1:15">
      <c r="A4186" s="39"/>
      <c r="B4186" s="40"/>
      <c r="C4186" s="41"/>
      <c r="D4186" s="41"/>
      <c r="E4186" s="41"/>
      <c r="F4186" s="41"/>
      <c r="G4186" s="41"/>
      <c r="H4186" s="41"/>
      <c r="I4186" s="41"/>
      <c r="J4186" s="41"/>
      <c r="K4186" s="41"/>
      <c r="L4186" s="41"/>
      <c r="M4186" s="41"/>
      <c r="N4186" s="41"/>
      <c r="O4186" s="41"/>
    </row>
    <row r="4187" spans="1:15">
      <c r="A4187" s="39"/>
      <c r="B4187" s="40"/>
      <c r="C4187" s="41"/>
      <c r="D4187" s="41"/>
      <c r="E4187" s="41"/>
      <c r="F4187" s="41"/>
      <c r="G4187" s="41"/>
      <c r="H4187" s="41"/>
      <c r="I4187" s="41"/>
      <c r="J4187" s="41"/>
      <c r="K4187" s="41"/>
      <c r="L4187" s="41"/>
      <c r="M4187" s="41"/>
      <c r="N4187" s="41"/>
      <c r="O4187" s="41"/>
    </row>
    <row r="4188" spans="1:15">
      <c r="A4188" s="39"/>
      <c r="B4188" s="40"/>
      <c r="C4188" s="41"/>
      <c r="D4188" s="41"/>
      <c r="E4188" s="41"/>
      <c r="F4188" s="41"/>
      <c r="G4188" s="41"/>
      <c r="H4188" s="41"/>
      <c r="I4188" s="41"/>
      <c r="J4188" s="41"/>
      <c r="K4188" s="41"/>
      <c r="L4188" s="41"/>
      <c r="M4188" s="41"/>
      <c r="N4188" s="41"/>
      <c r="O4188" s="41"/>
    </row>
    <row r="4189" spans="1:15">
      <c r="A4189" s="39"/>
      <c r="B4189" s="40"/>
      <c r="C4189" s="41"/>
      <c r="D4189" s="41"/>
      <c r="E4189" s="41"/>
      <c r="F4189" s="41"/>
      <c r="G4189" s="41"/>
      <c r="H4189" s="41"/>
      <c r="I4189" s="41"/>
      <c r="J4189" s="41"/>
      <c r="K4189" s="41"/>
      <c r="L4189" s="41"/>
      <c r="M4189" s="41"/>
      <c r="N4189" s="41"/>
      <c r="O4189" s="41"/>
    </row>
    <row r="4190" spans="1:15">
      <c r="A4190" s="39"/>
      <c r="B4190" s="40"/>
      <c r="C4190" s="41"/>
      <c r="D4190" s="41"/>
      <c r="E4190" s="41"/>
      <c r="F4190" s="41"/>
      <c r="G4190" s="41"/>
      <c r="H4190" s="41"/>
      <c r="I4190" s="41"/>
      <c r="J4190" s="41"/>
      <c r="K4190" s="41"/>
      <c r="L4190" s="41"/>
      <c r="M4190" s="41"/>
      <c r="N4190" s="41"/>
      <c r="O4190" s="41"/>
    </row>
    <row r="4191" spans="1:15">
      <c r="A4191" s="39"/>
      <c r="B4191" s="40"/>
      <c r="C4191" s="41"/>
      <c r="D4191" s="41"/>
      <c r="E4191" s="41"/>
      <c r="F4191" s="41"/>
      <c r="G4191" s="41"/>
      <c r="H4191" s="41"/>
      <c r="I4191" s="41"/>
      <c r="J4191" s="41"/>
      <c r="K4191" s="41"/>
      <c r="L4191" s="41"/>
      <c r="M4191" s="41"/>
      <c r="N4191" s="41"/>
      <c r="O4191" s="41"/>
    </row>
    <row r="4192" spans="1:15">
      <c r="A4192" s="39"/>
      <c r="B4192" s="40"/>
      <c r="C4192" s="41"/>
      <c r="D4192" s="41"/>
      <c r="E4192" s="41"/>
      <c r="F4192" s="41"/>
      <c r="G4192" s="41"/>
      <c r="H4192" s="41"/>
      <c r="I4192" s="41"/>
      <c r="J4192" s="41"/>
      <c r="K4192" s="41"/>
      <c r="L4192" s="41"/>
      <c r="M4192" s="41"/>
      <c r="N4192" s="41"/>
      <c r="O4192" s="41"/>
    </row>
    <row r="4193" spans="1:15">
      <c r="A4193" s="39"/>
      <c r="B4193" s="40"/>
      <c r="C4193" s="41"/>
      <c r="D4193" s="41"/>
      <c r="E4193" s="41"/>
      <c r="F4193" s="41"/>
      <c r="G4193" s="41"/>
      <c r="H4193" s="41"/>
      <c r="I4193" s="41"/>
      <c r="J4193" s="41"/>
      <c r="K4193" s="41"/>
      <c r="L4193" s="41"/>
      <c r="M4193" s="41"/>
      <c r="N4193" s="41"/>
      <c r="O4193" s="41"/>
    </row>
    <row r="4194" spans="1:15">
      <c r="A4194" s="39"/>
      <c r="B4194" s="40"/>
      <c r="C4194" s="41"/>
      <c r="D4194" s="41"/>
      <c r="E4194" s="41"/>
      <c r="F4194" s="41"/>
      <c r="G4194" s="41"/>
      <c r="H4194" s="41"/>
      <c r="I4194" s="41"/>
      <c r="J4194" s="41"/>
      <c r="K4194" s="41"/>
      <c r="L4194" s="41"/>
      <c r="M4194" s="41"/>
      <c r="N4194" s="41"/>
      <c r="O4194" s="41"/>
    </row>
    <row r="4195" spans="1:15">
      <c r="A4195" s="39"/>
      <c r="B4195" s="40"/>
      <c r="C4195" s="41"/>
      <c r="D4195" s="41"/>
      <c r="E4195" s="41"/>
      <c r="F4195" s="41"/>
      <c r="G4195" s="41"/>
      <c r="H4195" s="41"/>
      <c r="I4195" s="41"/>
      <c r="J4195" s="41"/>
      <c r="K4195" s="41"/>
      <c r="L4195" s="41"/>
      <c r="M4195" s="41"/>
      <c r="N4195" s="41"/>
      <c r="O4195" s="41"/>
    </row>
    <row r="4196" spans="1:15">
      <c r="A4196" s="39"/>
      <c r="B4196" s="40"/>
      <c r="C4196" s="41"/>
      <c r="D4196" s="41"/>
      <c r="E4196" s="41"/>
      <c r="F4196" s="41"/>
      <c r="G4196" s="41"/>
      <c r="H4196" s="41"/>
      <c r="I4196" s="41"/>
      <c r="J4196" s="41"/>
      <c r="K4196" s="41"/>
      <c r="L4196" s="41"/>
      <c r="M4196" s="41"/>
      <c r="N4196" s="41"/>
      <c r="O4196" s="41"/>
    </row>
    <row r="4197" spans="1:15">
      <c r="A4197" s="39"/>
      <c r="B4197" s="40"/>
      <c r="C4197" s="41"/>
      <c r="D4197" s="41"/>
      <c r="E4197" s="41"/>
      <c r="F4197" s="41"/>
      <c r="G4197" s="41"/>
      <c r="H4197" s="41"/>
      <c r="I4197" s="41"/>
      <c r="J4197" s="41"/>
      <c r="K4197" s="41"/>
      <c r="L4197" s="41"/>
      <c r="M4197" s="41"/>
      <c r="N4197" s="41"/>
      <c r="O4197" s="41"/>
    </row>
    <row r="4198" spans="1:15">
      <c r="A4198" s="39"/>
      <c r="B4198" s="40"/>
      <c r="C4198" s="41"/>
      <c r="D4198" s="41"/>
      <c r="E4198" s="41"/>
      <c r="F4198" s="41"/>
      <c r="G4198" s="41"/>
      <c r="H4198" s="41"/>
      <c r="I4198" s="41"/>
      <c r="J4198" s="41"/>
      <c r="K4198" s="41"/>
      <c r="L4198" s="41"/>
      <c r="M4198" s="41"/>
      <c r="N4198" s="41"/>
      <c r="O4198" s="41"/>
    </row>
    <row r="4199" spans="1:15">
      <c r="A4199" s="39"/>
      <c r="B4199" s="40"/>
      <c r="C4199" s="41"/>
      <c r="D4199" s="41"/>
      <c r="E4199" s="41"/>
      <c r="F4199" s="41"/>
      <c r="G4199" s="41"/>
      <c r="H4199" s="41"/>
      <c r="I4199" s="41"/>
      <c r="J4199" s="41"/>
      <c r="K4199" s="41"/>
      <c r="L4199" s="41"/>
      <c r="M4199" s="41"/>
      <c r="N4199" s="41"/>
      <c r="O4199" s="41"/>
    </row>
    <row r="4200" spans="1:15">
      <c r="A4200" s="39"/>
      <c r="B4200" s="40"/>
      <c r="C4200" s="41"/>
      <c r="D4200" s="41"/>
      <c r="E4200" s="41"/>
      <c r="F4200" s="41"/>
      <c r="G4200" s="41"/>
      <c r="H4200" s="41"/>
      <c r="I4200" s="41"/>
      <c r="J4200" s="41"/>
      <c r="K4200" s="41"/>
      <c r="L4200" s="41"/>
      <c r="M4200" s="41"/>
      <c r="N4200" s="41"/>
      <c r="O4200" s="41"/>
    </row>
    <row r="4201" spans="1:15">
      <c r="A4201" s="39"/>
      <c r="B4201" s="40"/>
      <c r="C4201" s="41"/>
      <c r="D4201" s="41"/>
      <c r="E4201" s="41"/>
      <c r="F4201" s="41"/>
      <c r="G4201" s="41"/>
      <c r="H4201" s="41"/>
      <c r="I4201" s="41"/>
      <c r="J4201" s="41"/>
      <c r="K4201" s="41"/>
      <c r="L4201" s="41"/>
      <c r="M4201" s="41"/>
      <c r="N4201" s="41"/>
      <c r="O4201" s="41"/>
    </row>
    <row r="4202" spans="1:15">
      <c r="A4202" s="39"/>
      <c r="B4202" s="40"/>
      <c r="C4202" s="41"/>
      <c r="D4202" s="41"/>
      <c r="E4202" s="41"/>
      <c r="F4202" s="41"/>
      <c r="G4202" s="41"/>
      <c r="H4202" s="41"/>
      <c r="I4202" s="41"/>
      <c r="J4202" s="41"/>
      <c r="K4202" s="41"/>
      <c r="L4202" s="41"/>
      <c r="M4202" s="41"/>
      <c r="N4202" s="41"/>
      <c r="O4202" s="41"/>
    </row>
    <row r="4203" spans="1:15">
      <c r="A4203" s="39"/>
      <c r="B4203" s="40"/>
      <c r="C4203" s="41"/>
      <c r="D4203" s="41"/>
      <c r="E4203" s="41"/>
      <c r="F4203" s="41"/>
      <c r="G4203" s="41"/>
      <c r="H4203" s="41"/>
      <c r="I4203" s="41"/>
      <c r="J4203" s="41"/>
      <c r="K4203" s="41"/>
      <c r="L4203" s="41"/>
      <c r="M4203" s="41"/>
      <c r="N4203" s="41"/>
      <c r="O4203" s="41"/>
    </row>
    <row r="4204" spans="1:15">
      <c r="A4204" s="39"/>
      <c r="B4204" s="40"/>
      <c r="C4204" s="41"/>
      <c r="D4204" s="41"/>
      <c r="E4204" s="41"/>
      <c r="F4204" s="41"/>
      <c r="G4204" s="41"/>
      <c r="H4204" s="41"/>
      <c r="I4204" s="41"/>
      <c r="J4204" s="41"/>
      <c r="K4204" s="41"/>
      <c r="L4204" s="41"/>
      <c r="M4204" s="41"/>
      <c r="N4204" s="41"/>
      <c r="O4204" s="41"/>
    </row>
    <row r="4205" spans="1:15">
      <c r="A4205" s="39"/>
      <c r="B4205" s="40"/>
      <c r="C4205" s="41"/>
      <c r="D4205" s="41"/>
      <c r="E4205" s="41"/>
      <c r="F4205" s="41"/>
      <c r="G4205" s="41"/>
      <c r="H4205" s="41"/>
      <c r="I4205" s="41"/>
      <c r="J4205" s="41"/>
      <c r="K4205" s="41"/>
      <c r="L4205" s="41"/>
      <c r="M4205" s="41"/>
      <c r="N4205" s="41"/>
      <c r="O4205" s="41"/>
    </row>
    <row r="4206" spans="1:15">
      <c r="A4206" s="39"/>
      <c r="B4206" s="40"/>
      <c r="C4206" s="41"/>
      <c r="D4206" s="41"/>
      <c r="E4206" s="41"/>
      <c r="F4206" s="41"/>
      <c r="G4206" s="41"/>
      <c r="H4206" s="41"/>
      <c r="I4206" s="41"/>
      <c r="J4206" s="41"/>
      <c r="K4206" s="41"/>
      <c r="L4206" s="41"/>
      <c r="M4206" s="41"/>
      <c r="N4206" s="41"/>
      <c r="O4206" s="41"/>
    </row>
    <row r="4207" spans="1:15">
      <c r="A4207" s="39"/>
      <c r="B4207" s="40"/>
      <c r="C4207" s="41"/>
      <c r="D4207" s="41"/>
      <c r="E4207" s="41"/>
      <c r="F4207" s="41"/>
      <c r="G4207" s="41"/>
      <c r="H4207" s="41"/>
      <c r="I4207" s="41"/>
      <c r="J4207" s="41"/>
      <c r="K4207" s="41"/>
      <c r="L4207" s="41"/>
      <c r="M4207" s="41"/>
      <c r="N4207" s="41"/>
      <c r="O4207" s="41"/>
    </row>
    <row r="4208" spans="1:15">
      <c r="A4208" s="39"/>
      <c r="B4208" s="40"/>
      <c r="C4208" s="41"/>
      <c r="D4208" s="41"/>
      <c r="E4208" s="41"/>
      <c r="F4208" s="41"/>
      <c r="G4208" s="41"/>
      <c r="H4208" s="41"/>
      <c r="I4208" s="41"/>
      <c r="J4208" s="41"/>
      <c r="K4208" s="41"/>
      <c r="L4208" s="41"/>
      <c r="M4208" s="41"/>
      <c r="N4208" s="41"/>
      <c r="O4208" s="41"/>
    </row>
    <row r="4209" spans="1:15">
      <c r="A4209" s="39"/>
      <c r="B4209" s="40"/>
      <c r="C4209" s="41"/>
      <c r="D4209" s="41"/>
      <c r="E4209" s="41"/>
      <c r="F4209" s="41"/>
      <c r="G4209" s="41"/>
      <c r="H4209" s="41"/>
      <c r="I4209" s="41"/>
      <c r="J4209" s="41"/>
      <c r="K4209" s="41"/>
      <c r="L4209" s="41"/>
      <c r="M4209" s="41"/>
      <c r="N4209" s="41"/>
      <c r="O4209" s="41"/>
    </row>
    <row r="4210" spans="1:15">
      <c r="A4210" s="39"/>
      <c r="B4210" s="40"/>
      <c r="C4210" s="41"/>
      <c r="D4210" s="41"/>
      <c r="E4210" s="41"/>
      <c r="F4210" s="41"/>
      <c r="G4210" s="41"/>
      <c r="H4210" s="41"/>
      <c r="I4210" s="41"/>
      <c r="J4210" s="41"/>
      <c r="K4210" s="41"/>
      <c r="L4210" s="41"/>
      <c r="M4210" s="41"/>
      <c r="N4210" s="41"/>
      <c r="O4210" s="41"/>
    </row>
    <row r="4211" spans="1:15">
      <c r="A4211" s="39"/>
      <c r="B4211" s="40"/>
      <c r="C4211" s="41"/>
      <c r="D4211" s="41"/>
      <c r="E4211" s="41"/>
      <c r="F4211" s="41"/>
      <c r="G4211" s="41"/>
      <c r="H4211" s="41"/>
      <c r="I4211" s="41"/>
      <c r="J4211" s="41"/>
      <c r="K4211" s="41"/>
      <c r="L4211" s="41"/>
      <c r="M4211" s="41"/>
      <c r="N4211" s="41"/>
      <c r="O4211" s="41"/>
    </row>
    <row r="4212" spans="1:15">
      <c r="A4212" s="39"/>
      <c r="B4212" s="40"/>
      <c r="C4212" s="41"/>
      <c r="D4212" s="41"/>
      <c r="E4212" s="41"/>
      <c r="F4212" s="41"/>
      <c r="G4212" s="41"/>
      <c r="H4212" s="41"/>
      <c r="I4212" s="41"/>
      <c r="J4212" s="41"/>
      <c r="K4212" s="41"/>
      <c r="L4212" s="41"/>
      <c r="M4212" s="41"/>
      <c r="N4212" s="41"/>
      <c r="O4212" s="41"/>
    </row>
    <row r="4213" spans="1:15">
      <c r="A4213" s="39"/>
      <c r="B4213" s="40"/>
      <c r="C4213" s="41"/>
      <c r="D4213" s="41"/>
      <c r="E4213" s="41"/>
      <c r="F4213" s="41"/>
      <c r="G4213" s="41"/>
      <c r="H4213" s="41"/>
      <c r="I4213" s="41"/>
      <c r="J4213" s="41"/>
      <c r="K4213" s="41"/>
      <c r="L4213" s="41"/>
      <c r="M4213" s="41"/>
      <c r="N4213" s="41"/>
      <c r="O4213" s="41"/>
    </row>
    <row r="4214" spans="1:15">
      <c r="A4214" s="39"/>
      <c r="B4214" s="40"/>
      <c r="C4214" s="41"/>
      <c r="D4214" s="41"/>
      <c r="E4214" s="41"/>
      <c r="F4214" s="41"/>
      <c r="G4214" s="41"/>
      <c r="H4214" s="41"/>
      <c r="I4214" s="41"/>
      <c r="J4214" s="41"/>
      <c r="K4214" s="41"/>
      <c r="L4214" s="41"/>
      <c r="M4214" s="41"/>
      <c r="N4214" s="41"/>
      <c r="O4214" s="41"/>
    </row>
    <row r="4215" spans="1:15">
      <c r="A4215" s="39"/>
      <c r="B4215" s="40"/>
      <c r="C4215" s="41"/>
      <c r="D4215" s="41"/>
      <c r="E4215" s="41"/>
      <c r="F4215" s="41"/>
      <c r="G4215" s="41"/>
      <c r="H4215" s="41"/>
      <c r="I4215" s="41"/>
      <c r="J4215" s="41"/>
      <c r="K4215" s="41"/>
      <c r="L4215" s="41"/>
      <c r="M4215" s="41"/>
      <c r="N4215" s="41"/>
      <c r="O4215" s="41"/>
    </row>
    <row r="4216" spans="1:15">
      <c r="A4216" s="39"/>
      <c r="B4216" s="40"/>
      <c r="C4216" s="41"/>
      <c r="D4216" s="41"/>
      <c r="E4216" s="41"/>
      <c r="F4216" s="41"/>
      <c r="G4216" s="41"/>
      <c r="H4216" s="41"/>
      <c r="I4216" s="41"/>
      <c r="J4216" s="41"/>
      <c r="K4216" s="41"/>
      <c r="L4216" s="41"/>
      <c r="M4216" s="41"/>
      <c r="N4216" s="41"/>
      <c r="O4216" s="41"/>
    </row>
    <row r="4217" spans="1:15">
      <c r="A4217" s="39"/>
      <c r="B4217" s="40"/>
      <c r="C4217" s="41"/>
      <c r="D4217" s="41"/>
      <c r="E4217" s="41"/>
      <c r="F4217" s="41"/>
      <c r="G4217" s="41"/>
      <c r="H4217" s="41"/>
      <c r="I4217" s="41"/>
      <c r="J4217" s="41"/>
      <c r="K4217" s="41"/>
      <c r="L4217" s="41"/>
      <c r="M4217" s="41"/>
      <c r="N4217" s="41"/>
      <c r="O4217" s="41"/>
    </row>
    <row r="4218" spans="1:15">
      <c r="A4218" s="39"/>
      <c r="B4218" s="40"/>
      <c r="C4218" s="41"/>
      <c r="D4218" s="41"/>
      <c r="E4218" s="41"/>
      <c r="F4218" s="41"/>
      <c r="G4218" s="41"/>
      <c r="H4218" s="41"/>
      <c r="I4218" s="41"/>
      <c r="J4218" s="41"/>
      <c r="K4218" s="41"/>
      <c r="L4218" s="41"/>
      <c r="M4218" s="41"/>
      <c r="N4218" s="41"/>
      <c r="O4218" s="41"/>
    </row>
    <row r="4219" spans="1:15">
      <c r="A4219" s="39"/>
      <c r="B4219" s="40"/>
      <c r="C4219" s="41"/>
      <c r="D4219" s="41"/>
      <c r="E4219" s="41"/>
      <c r="F4219" s="41"/>
      <c r="G4219" s="41"/>
      <c r="H4219" s="41"/>
      <c r="I4219" s="41"/>
      <c r="J4219" s="41"/>
      <c r="K4219" s="41"/>
      <c r="L4219" s="41"/>
      <c r="M4219" s="41"/>
      <c r="N4219" s="41"/>
      <c r="O4219" s="41"/>
    </row>
    <row r="4220" spans="1:15">
      <c r="A4220" s="39"/>
      <c r="B4220" s="40"/>
      <c r="C4220" s="41"/>
      <c r="D4220" s="41"/>
      <c r="E4220" s="41"/>
      <c r="F4220" s="41"/>
      <c r="G4220" s="41"/>
      <c r="H4220" s="41"/>
      <c r="I4220" s="41"/>
      <c r="J4220" s="41"/>
      <c r="K4220" s="41"/>
      <c r="L4220" s="41"/>
      <c r="M4220" s="41"/>
      <c r="N4220" s="41"/>
      <c r="O4220" s="41"/>
    </row>
    <row r="4221" spans="1:15">
      <c r="A4221" s="39"/>
      <c r="B4221" s="40"/>
      <c r="C4221" s="41"/>
      <c r="D4221" s="41"/>
      <c r="E4221" s="41"/>
      <c r="F4221" s="41"/>
      <c r="G4221" s="41"/>
      <c r="H4221" s="41"/>
      <c r="I4221" s="41"/>
      <c r="J4221" s="41"/>
      <c r="K4221" s="41"/>
      <c r="L4221" s="41"/>
      <c r="M4221" s="41"/>
      <c r="N4221" s="41"/>
      <c r="O4221" s="41"/>
    </row>
    <row r="4222" spans="1:15">
      <c r="A4222" s="39"/>
      <c r="B4222" s="40"/>
      <c r="C4222" s="41"/>
      <c r="D4222" s="41"/>
      <c r="E4222" s="41"/>
      <c r="F4222" s="41"/>
      <c r="G4222" s="41"/>
      <c r="H4222" s="41"/>
      <c r="I4222" s="41"/>
      <c r="J4222" s="41"/>
      <c r="K4222" s="41"/>
      <c r="L4222" s="41"/>
      <c r="M4222" s="41"/>
      <c r="N4222" s="41"/>
      <c r="O4222" s="41"/>
    </row>
    <row r="4223" spans="1:15">
      <c r="A4223" s="39"/>
      <c r="B4223" s="40"/>
      <c r="C4223" s="41"/>
      <c r="D4223" s="41"/>
      <c r="E4223" s="41"/>
      <c r="F4223" s="41"/>
      <c r="G4223" s="41"/>
      <c r="H4223" s="41"/>
      <c r="I4223" s="41"/>
      <c r="J4223" s="41"/>
      <c r="K4223" s="41"/>
      <c r="L4223" s="41"/>
      <c r="M4223" s="41"/>
      <c r="N4223" s="41"/>
      <c r="O4223" s="41"/>
    </row>
    <row r="4224" spans="1:15">
      <c r="A4224" s="39"/>
      <c r="B4224" s="40"/>
      <c r="C4224" s="41"/>
      <c r="D4224" s="41"/>
      <c r="E4224" s="41"/>
      <c r="F4224" s="41"/>
      <c r="G4224" s="41"/>
      <c r="H4224" s="41"/>
      <c r="I4224" s="41"/>
      <c r="J4224" s="41"/>
      <c r="K4224" s="41"/>
      <c r="L4224" s="41"/>
      <c r="M4224" s="41"/>
      <c r="N4224" s="41"/>
      <c r="O4224" s="41"/>
    </row>
    <row r="4225" spans="1:15">
      <c r="A4225" s="39"/>
      <c r="B4225" s="40"/>
      <c r="C4225" s="41"/>
      <c r="D4225" s="41"/>
      <c r="E4225" s="41"/>
      <c r="F4225" s="41"/>
      <c r="G4225" s="41"/>
      <c r="H4225" s="41"/>
      <c r="I4225" s="41"/>
      <c r="J4225" s="41"/>
      <c r="K4225" s="41"/>
      <c r="L4225" s="41"/>
      <c r="M4225" s="41"/>
      <c r="N4225" s="41"/>
      <c r="O4225" s="41"/>
    </row>
    <row r="4226" spans="1:15">
      <c r="A4226" s="39"/>
      <c r="B4226" s="40"/>
      <c r="C4226" s="41"/>
      <c r="D4226" s="41"/>
      <c r="E4226" s="41"/>
      <c r="F4226" s="41"/>
      <c r="G4226" s="41"/>
      <c r="H4226" s="41"/>
      <c r="I4226" s="41"/>
      <c r="J4226" s="41"/>
      <c r="K4226" s="41"/>
      <c r="L4226" s="41"/>
      <c r="M4226" s="41"/>
      <c r="N4226" s="41"/>
      <c r="O4226" s="41"/>
    </row>
    <row r="4227" spans="1:15">
      <c r="A4227" s="39"/>
      <c r="B4227" s="40"/>
      <c r="C4227" s="41"/>
      <c r="D4227" s="41"/>
      <c r="E4227" s="41"/>
      <c r="F4227" s="41"/>
      <c r="G4227" s="41"/>
      <c r="H4227" s="41"/>
      <c r="I4227" s="41"/>
      <c r="J4227" s="41"/>
      <c r="K4227" s="41"/>
      <c r="L4227" s="41"/>
      <c r="M4227" s="41"/>
      <c r="N4227" s="41"/>
      <c r="O4227" s="41"/>
    </row>
    <row r="4228" spans="1:15">
      <c r="A4228" s="39"/>
      <c r="B4228" s="40"/>
      <c r="C4228" s="41"/>
      <c r="D4228" s="41"/>
      <c r="E4228" s="41"/>
      <c r="F4228" s="41"/>
      <c r="G4228" s="41"/>
      <c r="H4228" s="41"/>
      <c r="I4228" s="41"/>
      <c r="J4228" s="41"/>
      <c r="K4228" s="41"/>
      <c r="L4228" s="41"/>
      <c r="M4228" s="41"/>
      <c r="N4228" s="41"/>
      <c r="O4228" s="41"/>
    </row>
    <row r="4229" spans="1:15">
      <c r="A4229" s="39"/>
      <c r="B4229" s="40"/>
      <c r="C4229" s="41"/>
      <c r="D4229" s="41"/>
      <c r="E4229" s="41"/>
      <c r="F4229" s="41"/>
      <c r="G4229" s="41"/>
      <c r="H4229" s="41"/>
      <c r="I4229" s="41"/>
      <c r="J4229" s="41"/>
      <c r="K4229" s="41"/>
      <c r="L4229" s="41"/>
      <c r="M4229" s="41"/>
      <c r="N4229" s="41"/>
      <c r="O4229" s="41"/>
    </row>
    <row r="4230" spans="1:15">
      <c r="A4230" s="39"/>
      <c r="B4230" s="40"/>
      <c r="C4230" s="41"/>
      <c r="D4230" s="41"/>
      <c r="E4230" s="41"/>
      <c r="F4230" s="41"/>
      <c r="G4230" s="41"/>
      <c r="H4230" s="41"/>
      <c r="I4230" s="41"/>
      <c r="J4230" s="41"/>
      <c r="K4230" s="41"/>
      <c r="L4230" s="41"/>
      <c r="M4230" s="41"/>
      <c r="N4230" s="41"/>
      <c r="O4230" s="41"/>
    </row>
    <row r="4231" spans="1:15">
      <c r="A4231" s="39"/>
      <c r="B4231" s="40"/>
      <c r="C4231" s="41"/>
      <c r="D4231" s="41"/>
      <c r="E4231" s="41"/>
      <c r="F4231" s="41"/>
      <c r="G4231" s="41"/>
      <c r="H4231" s="41"/>
      <c r="I4231" s="41"/>
      <c r="J4231" s="41"/>
      <c r="K4231" s="41"/>
      <c r="L4231" s="41"/>
      <c r="M4231" s="41"/>
      <c r="N4231" s="41"/>
      <c r="O4231" s="41"/>
    </row>
    <row r="4232" spans="1:15">
      <c r="A4232" s="39"/>
      <c r="B4232" s="40"/>
      <c r="C4232" s="41"/>
      <c r="D4232" s="41"/>
      <c r="E4232" s="41"/>
      <c r="F4232" s="41"/>
      <c r="G4232" s="41"/>
      <c r="H4232" s="41"/>
      <c r="I4232" s="41"/>
      <c r="J4232" s="41"/>
      <c r="K4232" s="41"/>
      <c r="L4232" s="41"/>
      <c r="M4232" s="41"/>
      <c r="N4232" s="41"/>
      <c r="O4232" s="41"/>
    </row>
    <row r="4233" spans="1:15">
      <c r="A4233" s="39"/>
      <c r="B4233" s="40"/>
      <c r="C4233" s="41"/>
      <c r="D4233" s="41"/>
      <c r="E4233" s="41"/>
      <c r="F4233" s="41"/>
      <c r="G4233" s="41"/>
      <c r="H4233" s="41"/>
      <c r="I4233" s="41"/>
      <c r="J4233" s="41"/>
      <c r="K4233" s="41"/>
      <c r="L4233" s="41"/>
      <c r="M4233" s="41"/>
      <c r="N4233" s="41"/>
      <c r="O4233" s="41"/>
    </row>
    <row r="4234" spans="1:15">
      <c r="A4234" s="39"/>
      <c r="B4234" s="40"/>
      <c r="C4234" s="41"/>
      <c r="D4234" s="41"/>
      <c r="E4234" s="41"/>
      <c r="F4234" s="41"/>
      <c r="G4234" s="41"/>
      <c r="H4234" s="41"/>
      <c r="I4234" s="41"/>
      <c r="J4234" s="41"/>
      <c r="K4234" s="41"/>
      <c r="L4234" s="41"/>
      <c r="M4234" s="41"/>
      <c r="N4234" s="41"/>
      <c r="O4234" s="41"/>
    </row>
    <row r="4235" spans="1:15">
      <c r="A4235" s="39"/>
      <c r="B4235" s="40"/>
      <c r="C4235" s="41"/>
      <c r="D4235" s="41"/>
      <c r="E4235" s="41"/>
      <c r="F4235" s="41"/>
      <c r="G4235" s="41"/>
      <c r="H4235" s="41"/>
      <c r="I4235" s="41"/>
      <c r="J4235" s="41"/>
      <c r="K4235" s="41"/>
      <c r="L4235" s="41"/>
      <c r="M4235" s="41"/>
      <c r="N4235" s="41"/>
      <c r="O4235" s="41"/>
    </row>
    <row r="4236" spans="1:15">
      <c r="A4236" s="39"/>
      <c r="B4236" s="40"/>
      <c r="C4236" s="41"/>
      <c r="D4236" s="41"/>
      <c r="E4236" s="41"/>
      <c r="F4236" s="41"/>
      <c r="G4236" s="41"/>
      <c r="H4236" s="41"/>
      <c r="I4236" s="41"/>
      <c r="J4236" s="41"/>
      <c r="K4236" s="41"/>
      <c r="L4236" s="41"/>
      <c r="M4236" s="41"/>
      <c r="N4236" s="41"/>
      <c r="O4236" s="41"/>
    </row>
    <row r="4237" spans="1:15">
      <c r="A4237" s="39"/>
      <c r="B4237" s="40"/>
      <c r="C4237" s="41"/>
      <c r="D4237" s="41"/>
      <c r="E4237" s="41"/>
      <c r="F4237" s="41"/>
      <c r="G4237" s="41"/>
      <c r="H4237" s="41"/>
      <c r="I4237" s="41"/>
      <c r="J4237" s="41"/>
      <c r="K4237" s="41"/>
      <c r="L4237" s="41"/>
      <c r="M4237" s="41"/>
      <c r="N4237" s="41"/>
      <c r="O4237" s="41"/>
    </row>
    <row r="4238" spans="1:15">
      <c r="A4238" s="39"/>
      <c r="B4238" s="40"/>
      <c r="C4238" s="41"/>
      <c r="D4238" s="41"/>
      <c r="E4238" s="41"/>
      <c r="F4238" s="41"/>
      <c r="G4238" s="41"/>
      <c r="H4238" s="41"/>
      <c r="I4238" s="41"/>
      <c r="J4238" s="41"/>
      <c r="K4238" s="41"/>
      <c r="L4238" s="41"/>
      <c r="M4238" s="41"/>
      <c r="N4238" s="41"/>
      <c r="O4238" s="41"/>
    </row>
    <row r="4239" spans="1:15">
      <c r="A4239" s="39"/>
      <c r="B4239" s="40"/>
      <c r="C4239" s="41"/>
      <c r="D4239" s="41"/>
      <c r="E4239" s="41"/>
      <c r="F4239" s="41"/>
      <c r="G4239" s="41"/>
      <c r="H4239" s="41"/>
      <c r="I4239" s="41"/>
      <c r="J4239" s="41"/>
      <c r="K4239" s="41"/>
      <c r="L4239" s="41"/>
      <c r="M4239" s="41"/>
      <c r="N4239" s="41"/>
      <c r="O4239" s="41"/>
    </row>
    <row r="4240" spans="1:15">
      <c r="A4240" s="39"/>
      <c r="B4240" s="40"/>
      <c r="C4240" s="41"/>
      <c r="D4240" s="41"/>
      <c r="E4240" s="41"/>
      <c r="F4240" s="41"/>
      <c r="G4240" s="41"/>
      <c r="H4240" s="41"/>
      <c r="I4240" s="41"/>
      <c r="J4240" s="41"/>
      <c r="K4240" s="41"/>
      <c r="L4240" s="41"/>
      <c r="M4240" s="41"/>
      <c r="N4240" s="41"/>
      <c r="O4240" s="41"/>
    </row>
    <row r="4241" spans="1:15">
      <c r="A4241" s="39"/>
      <c r="B4241" s="40"/>
      <c r="C4241" s="41"/>
      <c r="D4241" s="41"/>
      <c r="E4241" s="41"/>
      <c r="F4241" s="41"/>
      <c r="G4241" s="41"/>
      <c r="H4241" s="41"/>
      <c r="I4241" s="41"/>
      <c r="J4241" s="41"/>
      <c r="K4241" s="41"/>
      <c r="L4241" s="41"/>
      <c r="M4241" s="41"/>
      <c r="N4241" s="41"/>
      <c r="O4241" s="41"/>
    </row>
    <row r="4242" spans="1:15">
      <c r="A4242" s="39"/>
      <c r="B4242" s="40"/>
      <c r="C4242" s="41"/>
      <c r="D4242" s="41"/>
      <c r="E4242" s="41"/>
      <c r="F4242" s="41"/>
      <c r="G4242" s="41"/>
      <c r="H4242" s="41"/>
      <c r="I4242" s="41"/>
      <c r="J4242" s="41"/>
      <c r="K4242" s="41"/>
      <c r="L4242" s="41"/>
      <c r="M4242" s="41"/>
      <c r="N4242" s="41"/>
      <c r="O4242" s="41"/>
    </row>
    <row r="4243" spans="1:15">
      <c r="A4243" s="39"/>
      <c r="B4243" s="40"/>
      <c r="C4243" s="41"/>
      <c r="D4243" s="41"/>
      <c r="E4243" s="41"/>
      <c r="F4243" s="41"/>
      <c r="G4243" s="41"/>
      <c r="H4243" s="41"/>
      <c r="I4243" s="41"/>
      <c r="J4243" s="41"/>
      <c r="K4243" s="41"/>
      <c r="L4243" s="41"/>
      <c r="M4243" s="41"/>
      <c r="N4243" s="41"/>
      <c r="O4243" s="41"/>
    </row>
    <row r="4244" spans="1:15">
      <c r="A4244" s="39"/>
      <c r="B4244" s="40"/>
      <c r="C4244" s="41"/>
      <c r="D4244" s="41"/>
      <c r="E4244" s="41"/>
      <c r="F4244" s="41"/>
      <c r="G4244" s="41"/>
      <c r="H4244" s="41"/>
      <c r="I4244" s="41"/>
      <c r="J4244" s="41"/>
      <c r="K4244" s="41"/>
      <c r="L4244" s="41"/>
      <c r="M4244" s="41"/>
      <c r="N4244" s="41"/>
      <c r="O4244" s="41"/>
    </row>
    <row r="4245" spans="1:15">
      <c r="A4245" s="39"/>
      <c r="B4245" s="40"/>
      <c r="C4245" s="41"/>
      <c r="D4245" s="41"/>
      <c r="E4245" s="41"/>
      <c r="F4245" s="41"/>
      <c r="G4245" s="41"/>
      <c r="H4245" s="41"/>
      <c r="I4245" s="41"/>
      <c r="J4245" s="41"/>
      <c r="K4245" s="41"/>
      <c r="L4245" s="41"/>
      <c r="M4245" s="41"/>
      <c r="N4245" s="41"/>
      <c r="O4245" s="41"/>
    </row>
    <row r="4246" spans="1:15">
      <c r="A4246" s="39"/>
      <c r="B4246" s="40"/>
      <c r="C4246" s="41"/>
      <c r="D4246" s="41"/>
      <c r="E4246" s="41"/>
      <c r="F4246" s="41"/>
      <c r="G4246" s="41"/>
      <c r="H4246" s="41"/>
      <c r="I4246" s="41"/>
      <c r="J4246" s="41"/>
      <c r="K4246" s="41"/>
      <c r="L4246" s="41"/>
      <c r="M4246" s="41"/>
      <c r="N4246" s="41"/>
      <c r="O4246" s="41"/>
    </row>
    <row r="4247" spans="1:15">
      <c r="A4247" s="39"/>
      <c r="B4247" s="40"/>
      <c r="C4247" s="41"/>
      <c r="D4247" s="41"/>
      <c r="E4247" s="41"/>
      <c r="F4247" s="41"/>
      <c r="G4247" s="41"/>
      <c r="H4247" s="41"/>
      <c r="I4247" s="41"/>
      <c r="J4247" s="41"/>
      <c r="K4247" s="41"/>
      <c r="L4247" s="41"/>
      <c r="M4247" s="41"/>
      <c r="N4247" s="41"/>
      <c r="O4247" s="41"/>
    </row>
    <row r="4248" spans="1:15">
      <c r="A4248" s="39"/>
      <c r="B4248" s="40"/>
      <c r="C4248" s="41"/>
      <c r="D4248" s="41"/>
      <c r="E4248" s="41"/>
      <c r="F4248" s="41"/>
      <c r="G4248" s="41"/>
      <c r="H4248" s="41"/>
      <c r="I4248" s="41"/>
      <c r="J4248" s="41"/>
      <c r="K4248" s="41"/>
      <c r="L4248" s="41"/>
      <c r="M4248" s="41"/>
      <c r="N4248" s="41"/>
      <c r="O4248" s="41"/>
    </row>
    <row r="4249" spans="1:15">
      <c r="A4249" s="39"/>
      <c r="B4249" s="40"/>
      <c r="C4249" s="41"/>
      <c r="D4249" s="41"/>
      <c r="E4249" s="41"/>
      <c r="F4249" s="41"/>
      <c r="G4249" s="41"/>
      <c r="H4249" s="41"/>
      <c r="I4249" s="41"/>
      <c r="J4249" s="41"/>
      <c r="K4249" s="41"/>
      <c r="L4249" s="41"/>
      <c r="M4249" s="41"/>
      <c r="N4249" s="41"/>
      <c r="O4249" s="41"/>
    </row>
    <row r="4250" spans="1:15">
      <c r="A4250" s="39"/>
      <c r="B4250" s="40"/>
      <c r="C4250" s="41"/>
      <c r="D4250" s="41"/>
      <c r="E4250" s="41"/>
      <c r="F4250" s="41"/>
      <c r="G4250" s="41"/>
      <c r="H4250" s="41"/>
      <c r="I4250" s="41"/>
      <c r="J4250" s="41"/>
      <c r="K4250" s="41"/>
      <c r="L4250" s="41"/>
      <c r="M4250" s="41"/>
      <c r="N4250" s="41"/>
      <c r="O4250" s="41"/>
    </row>
    <row r="4251" spans="1:15">
      <c r="A4251" s="39"/>
      <c r="B4251" s="40"/>
      <c r="C4251" s="41"/>
      <c r="D4251" s="41"/>
      <c r="E4251" s="41"/>
      <c r="F4251" s="41"/>
      <c r="G4251" s="41"/>
      <c r="H4251" s="41"/>
      <c r="I4251" s="41"/>
      <c r="J4251" s="41"/>
      <c r="K4251" s="41"/>
      <c r="L4251" s="41"/>
      <c r="M4251" s="41"/>
      <c r="N4251" s="41"/>
      <c r="O4251" s="41"/>
    </row>
    <row r="4252" spans="1:15">
      <c r="A4252" s="39"/>
      <c r="B4252" s="40"/>
      <c r="C4252" s="41"/>
      <c r="D4252" s="41"/>
      <c r="E4252" s="41"/>
      <c r="F4252" s="41"/>
      <c r="G4252" s="41"/>
      <c r="H4252" s="41"/>
      <c r="I4252" s="41"/>
      <c r="J4252" s="41"/>
      <c r="K4252" s="41"/>
      <c r="L4252" s="41"/>
      <c r="M4252" s="41"/>
      <c r="N4252" s="41"/>
      <c r="O4252" s="41"/>
    </row>
    <row r="4253" spans="1:15">
      <c r="A4253" s="39"/>
      <c r="B4253" s="40"/>
      <c r="C4253" s="41"/>
      <c r="D4253" s="41"/>
      <c r="E4253" s="41"/>
      <c r="F4253" s="41"/>
      <c r="G4253" s="41"/>
      <c r="H4253" s="41"/>
      <c r="I4253" s="41"/>
      <c r="J4253" s="41"/>
      <c r="K4253" s="41"/>
      <c r="L4253" s="41"/>
      <c r="M4253" s="41"/>
      <c r="N4253" s="41"/>
      <c r="O4253" s="41"/>
    </row>
    <row r="4254" spans="1:15">
      <c r="A4254" s="39"/>
      <c r="B4254" s="40"/>
      <c r="C4254" s="41"/>
      <c r="D4254" s="41"/>
      <c r="E4254" s="41"/>
      <c r="F4254" s="41"/>
      <c r="G4254" s="41"/>
      <c r="H4254" s="41"/>
      <c r="I4254" s="41"/>
      <c r="J4254" s="41"/>
      <c r="K4254" s="41"/>
      <c r="L4254" s="41"/>
      <c r="M4254" s="41"/>
      <c r="N4254" s="41"/>
      <c r="O4254" s="41"/>
    </row>
    <row r="4255" spans="1:15">
      <c r="A4255" s="39"/>
      <c r="B4255" s="40"/>
      <c r="C4255" s="41"/>
      <c r="D4255" s="41"/>
      <c r="E4255" s="41"/>
      <c r="F4255" s="41"/>
      <c r="G4255" s="41"/>
      <c r="H4255" s="41"/>
      <c r="I4255" s="41"/>
      <c r="J4255" s="41"/>
      <c r="K4255" s="41"/>
      <c r="L4255" s="41"/>
      <c r="M4255" s="41"/>
      <c r="N4255" s="41"/>
      <c r="O4255" s="41"/>
    </row>
    <row r="4256" spans="1:15">
      <c r="A4256" s="39"/>
      <c r="B4256" s="40"/>
      <c r="C4256" s="41"/>
      <c r="D4256" s="41"/>
      <c r="E4256" s="41"/>
      <c r="F4256" s="41"/>
      <c r="G4256" s="41"/>
      <c r="H4256" s="41"/>
      <c r="I4256" s="41"/>
      <c r="J4256" s="41"/>
      <c r="K4256" s="41"/>
      <c r="L4256" s="41"/>
      <c r="M4256" s="41"/>
      <c r="N4256" s="41"/>
      <c r="O4256" s="41"/>
    </row>
    <row r="4257" spans="1:15">
      <c r="A4257" s="39"/>
      <c r="B4257" s="40"/>
      <c r="C4257" s="41"/>
      <c r="D4257" s="41"/>
      <c r="E4257" s="41"/>
      <c r="F4257" s="41"/>
      <c r="G4257" s="41"/>
      <c r="H4257" s="41"/>
      <c r="I4257" s="41"/>
      <c r="J4257" s="41"/>
      <c r="K4257" s="41"/>
      <c r="L4257" s="41"/>
      <c r="M4257" s="41"/>
      <c r="N4257" s="41"/>
      <c r="O4257" s="41"/>
    </row>
    <row r="4258" spans="1:15">
      <c r="A4258" s="39"/>
      <c r="B4258" s="40"/>
      <c r="C4258" s="41"/>
      <c r="D4258" s="41"/>
      <c r="E4258" s="41"/>
      <c r="F4258" s="41"/>
      <c r="G4258" s="41"/>
      <c r="H4258" s="41"/>
      <c r="I4258" s="41"/>
      <c r="J4258" s="41"/>
      <c r="K4258" s="41"/>
      <c r="L4258" s="41"/>
      <c r="M4258" s="41"/>
      <c r="N4258" s="41"/>
      <c r="O4258" s="41"/>
    </row>
    <row r="4259" spans="1:15">
      <c r="A4259" s="39"/>
      <c r="B4259" s="40"/>
      <c r="C4259" s="41"/>
      <c r="D4259" s="41"/>
      <c r="E4259" s="41"/>
      <c r="F4259" s="41"/>
      <c r="G4259" s="41"/>
      <c r="H4259" s="41"/>
      <c r="I4259" s="41"/>
      <c r="J4259" s="41"/>
      <c r="K4259" s="41"/>
      <c r="L4259" s="41"/>
      <c r="M4259" s="41"/>
      <c r="N4259" s="41"/>
      <c r="O4259" s="41"/>
    </row>
    <row r="4260" spans="1:15">
      <c r="A4260" s="39"/>
      <c r="B4260" s="40"/>
      <c r="C4260" s="41"/>
      <c r="D4260" s="41"/>
      <c r="E4260" s="41"/>
      <c r="F4260" s="41"/>
      <c r="G4260" s="41"/>
      <c r="H4260" s="41"/>
      <c r="I4260" s="41"/>
      <c r="J4260" s="41"/>
      <c r="K4260" s="41"/>
      <c r="L4260" s="41"/>
      <c r="M4260" s="41"/>
      <c r="N4260" s="41"/>
      <c r="O4260" s="41"/>
    </row>
    <row r="4261" spans="1:15">
      <c r="A4261" s="39"/>
      <c r="B4261" s="40"/>
      <c r="C4261" s="41"/>
      <c r="D4261" s="41"/>
      <c r="E4261" s="41"/>
      <c r="F4261" s="41"/>
      <c r="G4261" s="41"/>
      <c r="H4261" s="41"/>
      <c r="I4261" s="41"/>
      <c r="J4261" s="41"/>
      <c r="K4261" s="41"/>
      <c r="L4261" s="41"/>
      <c r="M4261" s="41"/>
      <c r="N4261" s="41"/>
      <c r="O4261" s="41"/>
    </row>
    <row r="4262" spans="1:15">
      <c r="A4262" s="39"/>
      <c r="B4262" s="40"/>
      <c r="C4262" s="41"/>
      <c r="D4262" s="41"/>
      <c r="E4262" s="41"/>
      <c r="F4262" s="41"/>
      <c r="G4262" s="41"/>
      <c r="H4262" s="41"/>
      <c r="I4262" s="41"/>
      <c r="J4262" s="41"/>
      <c r="K4262" s="41"/>
      <c r="L4262" s="41"/>
      <c r="M4262" s="41"/>
      <c r="N4262" s="41"/>
      <c r="O4262" s="41"/>
    </row>
    <row r="4263" spans="1:15">
      <c r="A4263" s="39"/>
      <c r="B4263" s="40"/>
      <c r="C4263" s="41"/>
      <c r="D4263" s="41"/>
      <c r="E4263" s="41"/>
      <c r="F4263" s="41"/>
      <c r="G4263" s="41"/>
      <c r="H4263" s="41"/>
      <c r="I4263" s="41"/>
      <c r="J4263" s="41"/>
      <c r="K4263" s="41"/>
      <c r="L4263" s="41"/>
      <c r="M4263" s="41"/>
      <c r="N4263" s="41"/>
      <c r="O4263" s="41"/>
    </row>
    <row r="4264" spans="1:15">
      <c r="A4264" s="39"/>
      <c r="B4264" s="40"/>
      <c r="C4264" s="41"/>
      <c r="D4264" s="41"/>
      <c r="E4264" s="41"/>
      <c r="F4264" s="41"/>
      <c r="G4264" s="41"/>
      <c r="H4264" s="41"/>
      <c r="I4264" s="41"/>
      <c r="J4264" s="41"/>
      <c r="K4264" s="41"/>
      <c r="L4264" s="41"/>
      <c r="M4264" s="41"/>
      <c r="N4264" s="41"/>
      <c r="O4264" s="41"/>
    </row>
    <row r="4265" spans="1:15">
      <c r="A4265" s="39"/>
      <c r="B4265" s="40"/>
      <c r="C4265" s="41"/>
      <c r="D4265" s="41"/>
      <c r="E4265" s="41"/>
      <c r="F4265" s="41"/>
      <c r="G4265" s="41"/>
      <c r="H4265" s="41"/>
      <c r="I4265" s="41"/>
      <c r="J4265" s="41"/>
      <c r="K4265" s="41"/>
      <c r="L4265" s="41"/>
      <c r="M4265" s="41"/>
      <c r="N4265" s="41"/>
      <c r="O4265" s="41"/>
    </row>
    <row r="4266" spans="1:15">
      <c r="A4266" s="39"/>
      <c r="B4266" s="40"/>
      <c r="C4266" s="41"/>
      <c r="D4266" s="41"/>
      <c r="E4266" s="41"/>
      <c r="F4266" s="41"/>
      <c r="G4266" s="41"/>
      <c r="H4266" s="41"/>
      <c r="I4266" s="41"/>
      <c r="J4266" s="41"/>
      <c r="K4266" s="41"/>
      <c r="L4266" s="41"/>
      <c r="M4266" s="41"/>
      <c r="N4266" s="41"/>
      <c r="O4266" s="41"/>
    </row>
    <row r="4267" spans="1:15">
      <c r="A4267" s="39"/>
      <c r="B4267" s="40"/>
      <c r="C4267" s="41"/>
      <c r="D4267" s="41"/>
      <c r="E4267" s="41"/>
      <c r="F4267" s="41"/>
      <c r="G4267" s="41"/>
      <c r="H4267" s="41"/>
      <c r="I4267" s="41"/>
      <c r="J4267" s="41"/>
      <c r="K4267" s="41"/>
      <c r="L4267" s="41"/>
      <c r="M4267" s="41"/>
      <c r="N4267" s="41"/>
      <c r="O4267" s="41"/>
    </row>
    <row r="4268" spans="1:15">
      <c r="A4268" s="39"/>
      <c r="B4268" s="40"/>
      <c r="C4268" s="41"/>
      <c r="D4268" s="41"/>
      <c r="E4268" s="41"/>
      <c r="F4268" s="41"/>
      <c r="G4268" s="41"/>
      <c r="H4268" s="41"/>
      <c r="I4268" s="41"/>
      <c r="J4268" s="41"/>
      <c r="K4268" s="41"/>
      <c r="L4268" s="41"/>
      <c r="M4268" s="41"/>
      <c r="N4268" s="41"/>
      <c r="O4268" s="41"/>
    </row>
    <row r="4269" spans="1:15">
      <c r="A4269" s="39"/>
      <c r="B4269" s="40"/>
      <c r="C4269" s="41"/>
      <c r="D4269" s="41"/>
      <c r="E4269" s="41"/>
      <c r="F4269" s="41"/>
      <c r="G4269" s="41"/>
      <c r="H4269" s="41"/>
      <c r="I4269" s="41"/>
      <c r="J4269" s="41"/>
      <c r="K4269" s="41"/>
      <c r="L4269" s="41"/>
      <c r="M4269" s="41"/>
      <c r="N4269" s="41"/>
      <c r="O4269" s="41"/>
    </row>
    <row r="4270" spans="1:15">
      <c r="A4270" s="39"/>
      <c r="B4270" s="40"/>
      <c r="C4270" s="41"/>
      <c r="D4270" s="41"/>
      <c r="E4270" s="41"/>
      <c r="F4270" s="41"/>
      <c r="G4270" s="41"/>
      <c r="H4270" s="41"/>
      <c r="I4270" s="41"/>
      <c r="J4270" s="41"/>
      <c r="K4270" s="41"/>
      <c r="L4270" s="41"/>
      <c r="M4270" s="41"/>
      <c r="N4270" s="41"/>
      <c r="O4270" s="41"/>
    </row>
    <row r="4271" spans="1:15">
      <c r="A4271" s="39"/>
      <c r="B4271" s="40"/>
      <c r="C4271" s="41"/>
      <c r="D4271" s="41"/>
      <c r="E4271" s="41"/>
      <c r="F4271" s="41"/>
      <c r="G4271" s="41"/>
      <c r="H4271" s="41"/>
      <c r="I4271" s="41"/>
      <c r="J4271" s="41"/>
      <c r="K4271" s="41"/>
      <c r="L4271" s="41"/>
      <c r="M4271" s="41"/>
      <c r="N4271" s="41"/>
      <c r="O4271" s="41"/>
    </row>
    <row r="4272" spans="1:15">
      <c r="A4272" s="39"/>
      <c r="B4272" s="40"/>
      <c r="C4272" s="41"/>
      <c r="D4272" s="41"/>
      <c r="E4272" s="41"/>
      <c r="F4272" s="41"/>
      <c r="G4272" s="41"/>
      <c r="H4272" s="41"/>
      <c r="I4272" s="41"/>
      <c r="J4272" s="41"/>
      <c r="K4272" s="41"/>
      <c r="L4272" s="41"/>
      <c r="M4272" s="41"/>
      <c r="N4272" s="41"/>
      <c r="O4272" s="41"/>
    </row>
    <row r="4273" spans="1:15">
      <c r="A4273" s="39"/>
      <c r="B4273" s="40"/>
      <c r="C4273" s="41"/>
      <c r="D4273" s="41"/>
      <c r="E4273" s="41"/>
      <c r="F4273" s="41"/>
      <c r="G4273" s="41"/>
      <c r="H4273" s="41"/>
      <c r="I4273" s="41"/>
      <c r="J4273" s="41"/>
      <c r="K4273" s="41"/>
      <c r="L4273" s="41"/>
      <c r="M4273" s="41"/>
      <c r="N4273" s="41"/>
      <c r="O4273" s="41"/>
    </row>
    <row r="4274" spans="1:15">
      <c r="A4274" s="39"/>
      <c r="B4274" s="40"/>
      <c r="C4274" s="41"/>
      <c r="D4274" s="41"/>
      <c r="E4274" s="41"/>
      <c r="F4274" s="41"/>
      <c r="G4274" s="41"/>
      <c r="H4274" s="41"/>
      <c r="I4274" s="41"/>
      <c r="J4274" s="41"/>
      <c r="K4274" s="41"/>
      <c r="L4274" s="41"/>
      <c r="M4274" s="41"/>
      <c r="N4274" s="41"/>
      <c r="O4274" s="41"/>
    </row>
    <row r="4275" spans="1:15">
      <c r="A4275" s="39"/>
      <c r="B4275" s="40"/>
      <c r="C4275" s="41"/>
      <c r="D4275" s="41"/>
      <c r="E4275" s="41"/>
      <c r="F4275" s="41"/>
      <c r="G4275" s="41"/>
      <c r="H4275" s="41"/>
      <c r="I4275" s="41"/>
      <c r="J4275" s="41"/>
      <c r="K4275" s="41"/>
      <c r="L4275" s="41"/>
      <c r="M4275" s="41"/>
      <c r="N4275" s="41"/>
      <c r="O4275" s="41"/>
    </row>
    <row r="4276" spans="1:15">
      <c r="A4276" s="39"/>
      <c r="B4276" s="40"/>
      <c r="C4276" s="41"/>
      <c r="D4276" s="41"/>
      <c r="E4276" s="41"/>
      <c r="F4276" s="41"/>
      <c r="G4276" s="41"/>
      <c r="H4276" s="41"/>
      <c r="I4276" s="41"/>
      <c r="J4276" s="41"/>
      <c r="K4276" s="41"/>
      <c r="L4276" s="41"/>
      <c r="M4276" s="41"/>
      <c r="N4276" s="41"/>
      <c r="O4276" s="41"/>
    </row>
    <row r="4277" spans="1:15">
      <c r="A4277" s="39"/>
      <c r="B4277" s="40"/>
      <c r="C4277" s="41"/>
      <c r="D4277" s="41"/>
      <c r="E4277" s="41"/>
      <c r="F4277" s="41"/>
      <c r="G4277" s="41"/>
      <c r="H4277" s="41"/>
      <c r="I4277" s="41"/>
      <c r="J4277" s="41"/>
      <c r="K4277" s="41"/>
      <c r="L4277" s="41"/>
      <c r="M4277" s="41"/>
      <c r="N4277" s="41"/>
      <c r="O4277" s="41"/>
    </row>
    <row r="4278" spans="1:15">
      <c r="A4278" s="39"/>
      <c r="B4278" s="40"/>
      <c r="C4278" s="41"/>
      <c r="D4278" s="41"/>
      <c r="E4278" s="41"/>
      <c r="F4278" s="41"/>
      <c r="G4278" s="41"/>
      <c r="H4278" s="41"/>
      <c r="I4278" s="41"/>
      <c r="J4278" s="41"/>
      <c r="K4278" s="41"/>
      <c r="L4278" s="41"/>
      <c r="M4278" s="41"/>
      <c r="N4278" s="41"/>
      <c r="O4278" s="41"/>
    </row>
    <row r="4279" spans="1:15">
      <c r="A4279" s="39"/>
      <c r="B4279" s="40"/>
      <c r="C4279" s="41"/>
      <c r="D4279" s="41"/>
      <c r="E4279" s="41"/>
      <c r="F4279" s="41"/>
      <c r="G4279" s="41"/>
      <c r="H4279" s="41"/>
      <c r="I4279" s="41"/>
      <c r="J4279" s="41"/>
      <c r="K4279" s="41"/>
      <c r="L4279" s="41"/>
      <c r="M4279" s="41"/>
      <c r="N4279" s="41"/>
      <c r="O4279" s="41"/>
    </row>
    <row r="4280" spans="1:15">
      <c r="A4280" s="39"/>
      <c r="B4280" s="40"/>
      <c r="C4280" s="41"/>
      <c r="D4280" s="41"/>
      <c r="E4280" s="41"/>
      <c r="F4280" s="41"/>
      <c r="G4280" s="41"/>
      <c r="H4280" s="41"/>
      <c r="I4280" s="41"/>
      <c r="J4280" s="41"/>
      <c r="K4280" s="41"/>
      <c r="L4280" s="41"/>
      <c r="M4280" s="41"/>
      <c r="N4280" s="41"/>
      <c r="O4280" s="41"/>
    </row>
    <row r="4281" spans="1:15">
      <c r="A4281" s="39"/>
      <c r="B4281" s="40"/>
      <c r="C4281" s="41"/>
      <c r="D4281" s="41"/>
      <c r="E4281" s="41"/>
      <c r="F4281" s="41"/>
      <c r="G4281" s="41"/>
      <c r="H4281" s="41"/>
      <c r="I4281" s="41"/>
      <c r="J4281" s="41"/>
      <c r="K4281" s="41"/>
      <c r="L4281" s="41"/>
      <c r="M4281" s="41"/>
      <c r="N4281" s="41"/>
      <c r="O4281" s="41"/>
    </row>
    <row r="4282" spans="1:15">
      <c r="A4282" s="39"/>
      <c r="B4282" s="40"/>
      <c r="C4282" s="41"/>
      <c r="D4282" s="41"/>
      <c r="E4282" s="41"/>
      <c r="F4282" s="41"/>
      <c r="G4282" s="41"/>
      <c r="H4282" s="41"/>
      <c r="I4282" s="41"/>
      <c r="J4282" s="41"/>
      <c r="K4282" s="41"/>
      <c r="L4282" s="41"/>
      <c r="M4282" s="41"/>
      <c r="N4282" s="41"/>
      <c r="O4282" s="41"/>
    </row>
    <row r="4283" spans="1:15">
      <c r="A4283" s="39"/>
      <c r="B4283" s="40"/>
      <c r="C4283" s="41"/>
      <c r="D4283" s="41"/>
      <c r="E4283" s="41"/>
      <c r="F4283" s="41"/>
      <c r="G4283" s="41"/>
      <c r="H4283" s="41"/>
      <c r="I4283" s="41"/>
      <c r="J4283" s="41"/>
      <c r="K4283" s="41"/>
      <c r="L4283" s="41"/>
      <c r="M4283" s="41"/>
      <c r="N4283" s="41"/>
      <c r="O4283" s="41"/>
    </row>
    <row r="4284" spans="1:15">
      <c r="A4284" s="39"/>
      <c r="B4284" s="40"/>
      <c r="C4284" s="41"/>
      <c r="D4284" s="41"/>
      <c r="E4284" s="41"/>
      <c r="F4284" s="41"/>
      <c r="G4284" s="41"/>
      <c r="H4284" s="41"/>
      <c r="I4284" s="41"/>
      <c r="J4284" s="41"/>
      <c r="K4284" s="41"/>
      <c r="L4284" s="41"/>
      <c r="M4284" s="41"/>
      <c r="N4284" s="41"/>
      <c r="O4284" s="41"/>
    </row>
    <row r="4285" spans="1:15">
      <c r="A4285" s="39"/>
      <c r="B4285" s="40"/>
      <c r="C4285" s="41"/>
      <c r="D4285" s="41"/>
      <c r="E4285" s="41"/>
      <c r="F4285" s="41"/>
      <c r="G4285" s="41"/>
      <c r="H4285" s="41"/>
      <c r="I4285" s="41"/>
      <c r="J4285" s="41"/>
      <c r="K4285" s="41"/>
      <c r="L4285" s="41"/>
      <c r="M4285" s="41"/>
      <c r="N4285" s="41"/>
      <c r="O4285" s="41"/>
    </row>
    <row r="4286" spans="1:15">
      <c r="A4286" s="39"/>
      <c r="B4286" s="40"/>
      <c r="C4286" s="41"/>
      <c r="D4286" s="41"/>
      <c r="E4286" s="41"/>
      <c r="F4286" s="41"/>
      <c r="G4286" s="41"/>
      <c r="H4286" s="41"/>
      <c r="I4286" s="41"/>
      <c r="J4286" s="41"/>
      <c r="K4286" s="41"/>
      <c r="L4286" s="41"/>
      <c r="M4286" s="41"/>
      <c r="N4286" s="41"/>
      <c r="O4286" s="41"/>
    </row>
    <row r="4287" spans="1:15">
      <c r="A4287" s="39"/>
      <c r="B4287" s="40"/>
      <c r="C4287" s="41"/>
      <c r="D4287" s="41"/>
      <c r="E4287" s="41"/>
      <c r="F4287" s="41"/>
      <c r="G4287" s="41"/>
      <c r="H4287" s="41"/>
      <c r="I4287" s="41"/>
      <c r="J4287" s="41"/>
      <c r="K4287" s="41"/>
      <c r="L4287" s="41"/>
      <c r="M4287" s="41"/>
      <c r="N4287" s="41"/>
      <c r="O4287" s="41"/>
    </row>
    <row r="4288" spans="1:15">
      <c r="A4288" s="39"/>
      <c r="B4288" s="40"/>
      <c r="C4288" s="41"/>
      <c r="D4288" s="41"/>
      <c r="E4288" s="41"/>
      <c r="F4288" s="41"/>
      <c r="G4288" s="41"/>
      <c r="H4288" s="41"/>
      <c r="I4288" s="41"/>
      <c r="J4288" s="41"/>
      <c r="K4288" s="41"/>
      <c r="L4288" s="41"/>
      <c r="M4288" s="41"/>
      <c r="N4288" s="41"/>
      <c r="O4288" s="41"/>
    </row>
    <row r="4289" spans="1:15">
      <c r="A4289" s="39"/>
      <c r="B4289" s="40"/>
      <c r="C4289" s="41"/>
      <c r="D4289" s="41"/>
      <c r="E4289" s="41"/>
      <c r="F4289" s="41"/>
      <c r="G4289" s="41"/>
      <c r="H4289" s="41"/>
      <c r="I4289" s="41"/>
      <c r="J4289" s="41"/>
      <c r="K4289" s="41"/>
      <c r="L4289" s="41"/>
      <c r="M4289" s="41"/>
      <c r="N4289" s="41"/>
      <c r="O4289" s="41"/>
    </row>
    <row r="4290" spans="1:15">
      <c r="A4290" s="39"/>
      <c r="B4290" s="40"/>
      <c r="C4290" s="41"/>
      <c r="D4290" s="41"/>
      <c r="E4290" s="41"/>
      <c r="F4290" s="41"/>
      <c r="G4290" s="41"/>
      <c r="H4290" s="41"/>
      <c r="I4290" s="41"/>
      <c r="J4290" s="41"/>
      <c r="K4290" s="41"/>
      <c r="L4290" s="41"/>
      <c r="M4290" s="41"/>
      <c r="N4290" s="41"/>
      <c r="O4290" s="41"/>
    </row>
    <row r="4291" spans="1:15">
      <c r="A4291" s="39"/>
      <c r="B4291" s="40"/>
      <c r="C4291" s="41"/>
      <c r="D4291" s="41"/>
      <c r="E4291" s="41"/>
      <c r="F4291" s="41"/>
      <c r="G4291" s="41"/>
      <c r="H4291" s="41"/>
      <c r="I4291" s="41"/>
      <c r="J4291" s="41"/>
      <c r="K4291" s="41"/>
      <c r="L4291" s="41"/>
      <c r="M4291" s="41"/>
      <c r="N4291" s="41"/>
      <c r="O4291" s="41"/>
    </row>
    <row r="4292" spans="1:15">
      <c r="A4292" s="39"/>
      <c r="B4292" s="40"/>
      <c r="C4292" s="41"/>
      <c r="D4292" s="41"/>
      <c r="E4292" s="41"/>
      <c r="F4292" s="41"/>
      <c r="G4292" s="41"/>
      <c r="H4292" s="41"/>
      <c r="I4292" s="41"/>
      <c r="J4292" s="41"/>
      <c r="K4292" s="41"/>
      <c r="L4292" s="41"/>
      <c r="M4292" s="41"/>
      <c r="N4292" s="41"/>
      <c r="O4292" s="41"/>
    </row>
    <row r="4293" spans="1:15">
      <c r="A4293" s="39"/>
      <c r="B4293" s="40"/>
      <c r="C4293" s="41"/>
      <c r="D4293" s="41"/>
      <c r="E4293" s="41"/>
      <c r="F4293" s="41"/>
      <c r="G4293" s="41"/>
      <c r="H4293" s="41"/>
      <c r="I4293" s="41"/>
      <c r="J4293" s="41"/>
      <c r="K4293" s="41"/>
      <c r="L4293" s="41"/>
      <c r="M4293" s="41"/>
      <c r="N4293" s="41"/>
      <c r="O4293" s="41"/>
    </row>
    <row r="4294" spans="1:15">
      <c r="A4294" s="39"/>
      <c r="B4294" s="40"/>
      <c r="C4294" s="41"/>
      <c r="D4294" s="41"/>
      <c r="E4294" s="41"/>
      <c r="F4294" s="41"/>
      <c r="G4294" s="41"/>
      <c r="H4294" s="41"/>
      <c r="I4294" s="41"/>
      <c r="J4294" s="41"/>
      <c r="K4294" s="41"/>
      <c r="L4294" s="41"/>
      <c r="M4294" s="41"/>
      <c r="N4294" s="41"/>
      <c r="O4294" s="41"/>
    </row>
    <row r="4295" spans="1:15">
      <c r="A4295" s="39"/>
      <c r="B4295" s="40"/>
      <c r="C4295" s="41"/>
      <c r="D4295" s="41"/>
      <c r="E4295" s="41"/>
      <c r="F4295" s="41"/>
      <c r="G4295" s="41"/>
      <c r="H4295" s="41"/>
      <c r="I4295" s="41"/>
      <c r="J4295" s="41"/>
      <c r="K4295" s="41"/>
      <c r="L4295" s="41"/>
      <c r="M4295" s="41"/>
      <c r="N4295" s="41"/>
      <c r="O4295" s="41"/>
    </row>
    <row r="4296" spans="1:15">
      <c r="A4296" s="39"/>
      <c r="B4296" s="40"/>
      <c r="C4296" s="41"/>
      <c r="D4296" s="41"/>
      <c r="E4296" s="41"/>
      <c r="F4296" s="41"/>
      <c r="G4296" s="41"/>
      <c r="H4296" s="41"/>
      <c r="I4296" s="41"/>
      <c r="J4296" s="41"/>
      <c r="K4296" s="41"/>
      <c r="L4296" s="41"/>
      <c r="M4296" s="41"/>
      <c r="N4296" s="41"/>
      <c r="O4296" s="41"/>
    </row>
    <row r="4297" spans="1:15">
      <c r="A4297" s="39"/>
      <c r="B4297" s="40"/>
      <c r="C4297" s="41"/>
      <c r="D4297" s="41"/>
      <c r="E4297" s="41"/>
      <c r="F4297" s="41"/>
      <c r="G4297" s="41"/>
      <c r="H4297" s="41"/>
      <c r="I4297" s="41"/>
      <c r="J4297" s="41"/>
      <c r="K4297" s="41"/>
      <c r="L4297" s="41"/>
      <c r="M4297" s="41"/>
      <c r="N4297" s="41"/>
      <c r="O4297" s="41"/>
    </row>
    <row r="4298" spans="1:15">
      <c r="A4298" s="39"/>
      <c r="B4298" s="40"/>
      <c r="C4298" s="41"/>
      <c r="D4298" s="41"/>
      <c r="E4298" s="41"/>
      <c r="F4298" s="41"/>
      <c r="G4298" s="41"/>
      <c r="H4298" s="41"/>
      <c r="I4298" s="41"/>
      <c r="J4298" s="41"/>
      <c r="K4298" s="41"/>
      <c r="L4298" s="41"/>
      <c r="M4298" s="41"/>
      <c r="N4298" s="41"/>
      <c r="O4298" s="41"/>
    </row>
    <row r="4299" spans="1:15">
      <c r="A4299" s="39"/>
      <c r="B4299" s="40"/>
      <c r="C4299" s="41"/>
      <c r="D4299" s="41"/>
      <c r="E4299" s="41"/>
      <c r="F4299" s="41"/>
      <c r="G4299" s="41"/>
      <c r="H4299" s="41"/>
      <c r="I4299" s="41"/>
      <c r="J4299" s="41"/>
      <c r="K4299" s="41"/>
      <c r="L4299" s="41"/>
      <c r="M4299" s="41"/>
      <c r="N4299" s="41"/>
      <c r="O4299" s="41"/>
    </row>
    <row r="4300" spans="1:15">
      <c r="A4300" s="39"/>
      <c r="B4300" s="40"/>
      <c r="C4300" s="41"/>
      <c r="D4300" s="41"/>
      <c r="E4300" s="41"/>
      <c r="F4300" s="41"/>
      <c r="G4300" s="41"/>
      <c r="H4300" s="41"/>
      <c r="I4300" s="41"/>
      <c r="J4300" s="41"/>
      <c r="K4300" s="41"/>
      <c r="L4300" s="41"/>
      <c r="M4300" s="41"/>
      <c r="N4300" s="41"/>
      <c r="O4300" s="41"/>
    </row>
    <row r="4301" spans="1:15">
      <c r="A4301" s="39"/>
      <c r="B4301" s="40"/>
      <c r="C4301" s="41"/>
      <c r="D4301" s="41"/>
      <c r="E4301" s="41"/>
      <c r="F4301" s="41"/>
      <c r="G4301" s="41"/>
      <c r="H4301" s="41"/>
      <c r="I4301" s="41"/>
      <c r="J4301" s="41"/>
      <c r="K4301" s="41"/>
      <c r="L4301" s="41"/>
      <c r="M4301" s="41"/>
      <c r="N4301" s="41"/>
      <c r="O4301" s="41"/>
    </row>
    <row r="4302" spans="1:15">
      <c r="A4302" s="39"/>
      <c r="B4302" s="40"/>
      <c r="C4302" s="41"/>
      <c r="D4302" s="41"/>
      <c r="E4302" s="41"/>
      <c r="F4302" s="41"/>
      <c r="G4302" s="41"/>
      <c r="H4302" s="41"/>
      <c r="I4302" s="41"/>
      <c r="J4302" s="41"/>
      <c r="K4302" s="41"/>
      <c r="L4302" s="41"/>
      <c r="M4302" s="41"/>
      <c r="N4302" s="41"/>
      <c r="O4302" s="41"/>
    </row>
    <row r="4303" spans="1:15">
      <c r="A4303" s="39"/>
      <c r="B4303" s="40"/>
      <c r="C4303" s="41"/>
      <c r="D4303" s="41"/>
      <c r="E4303" s="41"/>
      <c r="F4303" s="41"/>
      <c r="G4303" s="41"/>
      <c r="H4303" s="41"/>
      <c r="I4303" s="41"/>
      <c r="J4303" s="41"/>
      <c r="K4303" s="41"/>
      <c r="L4303" s="41"/>
      <c r="M4303" s="41"/>
      <c r="N4303" s="41"/>
      <c r="O4303" s="41"/>
    </row>
    <row r="4304" spans="1:15">
      <c r="A4304" s="39"/>
      <c r="B4304" s="40"/>
      <c r="C4304" s="41"/>
      <c r="D4304" s="41"/>
      <c r="E4304" s="41"/>
      <c r="F4304" s="41"/>
      <c r="G4304" s="41"/>
      <c r="H4304" s="41"/>
      <c r="I4304" s="41"/>
      <c r="J4304" s="41"/>
      <c r="K4304" s="41"/>
      <c r="L4304" s="41"/>
      <c r="M4304" s="41"/>
      <c r="N4304" s="41"/>
      <c r="O4304" s="41"/>
    </row>
    <row r="4305" spans="1:15">
      <c r="A4305" s="39"/>
      <c r="B4305" s="40"/>
      <c r="C4305" s="41"/>
      <c r="D4305" s="41"/>
      <c r="E4305" s="41"/>
      <c r="F4305" s="41"/>
      <c r="G4305" s="41"/>
      <c r="H4305" s="41"/>
      <c r="I4305" s="41"/>
      <c r="J4305" s="41"/>
      <c r="K4305" s="41"/>
      <c r="L4305" s="41"/>
      <c r="M4305" s="41"/>
      <c r="N4305" s="41"/>
      <c r="O4305" s="41"/>
    </row>
    <row r="4306" spans="1:15">
      <c r="A4306" s="39"/>
      <c r="B4306" s="40"/>
      <c r="C4306" s="41"/>
      <c r="D4306" s="41"/>
      <c r="E4306" s="41"/>
      <c r="F4306" s="41"/>
      <c r="G4306" s="41"/>
      <c r="H4306" s="41"/>
      <c r="I4306" s="41"/>
      <c r="J4306" s="41"/>
      <c r="K4306" s="41"/>
      <c r="L4306" s="41"/>
      <c r="M4306" s="41"/>
      <c r="N4306" s="41"/>
      <c r="O4306" s="41"/>
    </row>
    <row r="4307" spans="1:15">
      <c r="A4307" s="39"/>
      <c r="B4307" s="40"/>
      <c r="C4307" s="41"/>
      <c r="D4307" s="41"/>
      <c r="E4307" s="41"/>
      <c r="F4307" s="41"/>
      <c r="G4307" s="41"/>
      <c r="H4307" s="41"/>
      <c r="I4307" s="41"/>
      <c r="J4307" s="41"/>
      <c r="K4307" s="41"/>
      <c r="L4307" s="41"/>
      <c r="M4307" s="41"/>
      <c r="N4307" s="41"/>
      <c r="O4307" s="41"/>
    </row>
    <row r="4308" spans="1:15">
      <c r="A4308" s="39"/>
      <c r="B4308" s="40"/>
      <c r="C4308" s="41"/>
      <c r="D4308" s="41"/>
      <c r="E4308" s="41"/>
      <c r="F4308" s="41"/>
      <c r="G4308" s="41"/>
      <c r="H4308" s="41"/>
      <c r="I4308" s="41"/>
      <c r="J4308" s="41"/>
      <c r="K4308" s="41"/>
      <c r="L4308" s="41"/>
      <c r="M4308" s="41"/>
      <c r="N4308" s="41"/>
      <c r="O4308" s="41"/>
    </row>
    <row r="4309" spans="1:15">
      <c r="A4309" s="39"/>
      <c r="B4309" s="40"/>
      <c r="C4309" s="41"/>
      <c r="D4309" s="41"/>
      <c r="E4309" s="41"/>
      <c r="F4309" s="41"/>
      <c r="G4309" s="41"/>
      <c r="H4309" s="41"/>
      <c r="I4309" s="41"/>
      <c r="J4309" s="41"/>
      <c r="K4309" s="41"/>
      <c r="L4309" s="41"/>
      <c r="M4309" s="41"/>
      <c r="N4309" s="41"/>
      <c r="O4309" s="41"/>
    </row>
    <row r="4310" spans="1:15">
      <c r="A4310" s="39"/>
      <c r="B4310" s="40"/>
      <c r="C4310" s="41"/>
      <c r="D4310" s="41"/>
      <c r="E4310" s="41"/>
      <c r="F4310" s="41"/>
      <c r="G4310" s="41"/>
      <c r="H4310" s="41"/>
      <c r="I4310" s="41"/>
      <c r="J4310" s="41"/>
      <c r="K4310" s="41"/>
      <c r="L4310" s="41"/>
      <c r="M4310" s="41"/>
      <c r="N4310" s="41"/>
      <c r="O4310" s="41"/>
    </row>
    <row r="4311" spans="1:15">
      <c r="A4311" s="39"/>
      <c r="B4311" s="40"/>
      <c r="C4311" s="41"/>
      <c r="D4311" s="41"/>
      <c r="E4311" s="41"/>
      <c r="F4311" s="41"/>
      <c r="G4311" s="41"/>
      <c r="H4311" s="41"/>
      <c r="I4311" s="41"/>
      <c r="J4311" s="41"/>
      <c r="K4311" s="41"/>
      <c r="L4311" s="41"/>
      <c r="M4311" s="41"/>
      <c r="N4311" s="41"/>
      <c r="O4311" s="41"/>
    </row>
    <row r="4312" spans="1:15">
      <c r="A4312" s="39"/>
      <c r="B4312" s="40"/>
      <c r="C4312" s="41"/>
      <c r="D4312" s="41"/>
      <c r="E4312" s="41"/>
      <c r="F4312" s="41"/>
      <c r="G4312" s="41"/>
      <c r="H4312" s="41"/>
      <c r="I4312" s="41"/>
      <c r="J4312" s="41"/>
      <c r="K4312" s="41"/>
      <c r="L4312" s="41"/>
      <c r="M4312" s="41"/>
      <c r="N4312" s="41"/>
      <c r="O4312" s="41"/>
    </row>
    <row r="4313" spans="1:15">
      <c r="A4313" s="39"/>
      <c r="B4313" s="40"/>
      <c r="C4313" s="41"/>
      <c r="D4313" s="41"/>
      <c r="E4313" s="41"/>
      <c r="F4313" s="41"/>
      <c r="G4313" s="41"/>
      <c r="H4313" s="41"/>
      <c r="I4313" s="41"/>
      <c r="J4313" s="41"/>
      <c r="K4313" s="41"/>
      <c r="L4313" s="41"/>
      <c r="M4313" s="41"/>
      <c r="N4313" s="41"/>
      <c r="O4313" s="41"/>
    </row>
    <row r="4314" spans="1:15">
      <c r="A4314" s="39"/>
      <c r="B4314" s="40"/>
      <c r="C4314" s="41"/>
      <c r="D4314" s="41"/>
      <c r="E4314" s="41"/>
      <c r="F4314" s="41"/>
      <c r="G4314" s="41"/>
      <c r="H4314" s="41"/>
      <c r="I4314" s="41"/>
      <c r="J4314" s="41"/>
      <c r="K4314" s="41"/>
      <c r="L4314" s="41"/>
      <c r="M4314" s="41"/>
      <c r="N4314" s="41"/>
      <c r="O4314" s="41"/>
    </row>
    <row r="4315" spans="1:15">
      <c r="A4315" s="39"/>
      <c r="B4315" s="40"/>
      <c r="C4315" s="41"/>
      <c r="D4315" s="41"/>
      <c r="E4315" s="41"/>
      <c r="F4315" s="41"/>
      <c r="G4315" s="41"/>
      <c r="H4315" s="41"/>
      <c r="I4315" s="41"/>
      <c r="J4315" s="41"/>
      <c r="K4315" s="41"/>
      <c r="L4315" s="41"/>
      <c r="M4315" s="41"/>
      <c r="N4315" s="41"/>
      <c r="O4315" s="41"/>
    </row>
    <row r="4316" spans="1:15">
      <c r="A4316" s="39"/>
      <c r="B4316" s="40"/>
      <c r="C4316" s="41"/>
      <c r="D4316" s="41"/>
      <c r="E4316" s="41"/>
      <c r="F4316" s="41"/>
      <c r="G4316" s="41"/>
      <c r="H4316" s="41"/>
      <c r="I4316" s="41"/>
      <c r="J4316" s="41"/>
      <c r="K4316" s="41"/>
      <c r="L4316" s="41"/>
      <c r="M4316" s="41"/>
      <c r="N4316" s="41"/>
      <c r="O4316" s="41"/>
    </row>
    <row r="4317" spans="1:15">
      <c r="A4317" s="39"/>
      <c r="B4317" s="40"/>
      <c r="C4317" s="41"/>
      <c r="D4317" s="41"/>
      <c r="E4317" s="41"/>
      <c r="F4317" s="41"/>
      <c r="G4317" s="41"/>
      <c r="H4317" s="41"/>
      <c r="I4317" s="41"/>
      <c r="J4317" s="41"/>
      <c r="K4317" s="41"/>
      <c r="L4317" s="41"/>
      <c r="M4317" s="41"/>
      <c r="N4317" s="41"/>
      <c r="O4317" s="41"/>
    </row>
    <row r="4318" spans="1:15">
      <c r="A4318" s="39"/>
      <c r="B4318" s="40"/>
      <c r="C4318" s="41"/>
      <c r="D4318" s="41"/>
      <c r="E4318" s="41"/>
      <c r="F4318" s="41"/>
      <c r="G4318" s="41"/>
      <c r="H4318" s="41"/>
      <c r="I4318" s="41"/>
      <c r="J4318" s="41"/>
      <c r="K4318" s="41"/>
      <c r="L4318" s="41"/>
      <c r="M4318" s="41"/>
      <c r="N4318" s="41"/>
      <c r="O4318" s="41"/>
    </row>
    <row r="4319" spans="1:15">
      <c r="A4319" s="39"/>
      <c r="B4319" s="40"/>
      <c r="C4319" s="41"/>
      <c r="D4319" s="41"/>
      <c r="E4319" s="41"/>
      <c r="F4319" s="41"/>
      <c r="G4319" s="41"/>
      <c r="H4319" s="41"/>
      <c r="I4319" s="41"/>
      <c r="J4319" s="41"/>
      <c r="K4319" s="41"/>
      <c r="L4319" s="41"/>
      <c r="M4319" s="41"/>
      <c r="N4319" s="41"/>
      <c r="O4319" s="41"/>
    </row>
    <row r="4320" spans="1:15">
      <c r="A4320" s="39"/>
      <c r="B4320" s="40"/>
      <c r="C4320" s="41"/>
      <c r="D4320" s="41"/>
      <c r="E4320" s="41"/>
      <c r="F4320" s="41"/>
      <c r="G4320" s="41"/>
      <c r="H4320" s="41"/>
      <c r="I4320" s="41"/>
      <c r="J4320" s="41"/>
      <c r="K4320" s="41"/>
      <c r="L4320" s="41"/>
      <c r="M4320" s="41"/>
      <c r="N4320" s="41"/>
      <c r="O4320" s="41"/>
    </row>
    <row r="4321" spans="1:15">
      <c r="A4321" s="39"/>
      <c r="B4321" s="40"/>
      <c r="C4321" s="41"/>
      <c r="D4321" s="41"/>
      <c r="E4321" s="41"/>
      <c r="F4321" s="41"/>
      <c r="G4321" s="41"/>
      <c r="H4321" s="41"/>
      <c r="I4321" s="41"/>
      <c r="J4321" s="41"/>
      <c r="K4321" s="41"/>
      <c r="L4321" s="41"/>
      <c r="M4321" s="41"/>
      <c r="N4321" s="41"/>
      <c r="O4321" s="41"/>
    </row>
    <row r="4322" spans="1:15">
      <c r="A4322" s="39"/>
      <c r="B4322" s="40"/>
      <c r="C4322" s="41"/>
      <c r="D4322" s="41"/>
      <c r="E4322" s="41"/>
      <c r="F4322" s="41"/>
      <c r="G4322" s="41"/>
      <c r="H4322" s="41"/>
      <c r="I4322" s="41"/>
      <c r="J4322" s="41"/>
      <c r="K4322" s="41"/>
      <c r="L4322" s="41"/>
      <c r="M4322" s="41"/>
      <c r="N4322" s="41"/>
      <c r="O4322" s="41"/>
    </row>
    <row r="4323" spans="1:15">
      <c r="A4323" s="39"/>
      <c r="B4323" s="40"/>
      <c r="C4323" s="41"/>
      <c r="D4323" s="41"/>
      <c r="E4323" s="41"/>
      <c r="F4323" s="41"/>
      <c r="G4323" s="41"/>
      <c r="H4323" s="41"/>
      <c r="I4323" s="41"/>
      <c r="J4323" s="41"/>
      <c r="K4323" s="41"/>
      <c r="L4323" s="41"/>
      <c r="M4323" s="41"/>
      <c r="N4323" s="41"/>
      <c r="O4323" s="41"/>
    </row>
    <row r="4324" spans="1:15">
      <c r="A4324" s="39"/>
      <c r="B4324" s="40"/>
      <c r="C4324" s="41"/>
      <c r="D4324" s="41"/>
      <c r="E4324" s="41"/>
      <c r="F4324" s="41"/>
      <c r="G4324" s="41"/>
      <c r="H4324" s="41"/>
      <c r="I4324" s="41"/>
      <c r="J4324" s="41"/>
      <c r="K4324" s="41"/>
      <c r="L4324" s="41"/>
      <c r="M4324" s="41"/>
      <c r="N4324" s="41"/>
      <c r="O4324" s="41"/>
    </row>
    <row r="4325" spans="1:15">
      <c r="A4325" s="39"/>
      <c r="B4325" s="40"/>
      <c r="C4325" s="41"/>
      <c r="D4325" s="41"/>
      <c r="E4325" s="41"/>
      <c r="F4325" s="41"/>
      <c r="G4325" s="41"/>
      <c r="H4325" s="41"/>
      <c r="I4325" s="41"/>
      <c r="J4325" s="41"/>
      <c r="K4325" s="41"/>
      <c r="L4325" s="41"/>
      <c r="M4325" s="41"/>
      <c r="N4325" s="41"/>
      <c r="O4325" s="41"/>
    </row>
    <row r="4326" spans="1:15">
      <c r="A4326" s="39"/>
      <c r="B4326" s="40"/>
      <c r="C4326" s="41"/>
      <c r="D4326" s="41"/>
      <c r="E4326" s="41"/>
      <c r="F4326" s="41"/>
      <c r="G4326" s="41"/>
      <c r="H4326" s="41"/>
      <c r="I4326" s="41"/>
      <c r="J4326" s="41"/>
      <c r="K4326" s="41"/>
      <c r="L4326" s="41"/>
      <c r="M4326" s="41"/>
      <c r="N4326" s="41"/>
      <c r="O4326" s="41"/>
    </row>
    <row r="4327" spans="1:15">
      <c r="A4327" s="39"/>
      <c r="B4327" s="40"/>
      <c r="C4327" s="41"/>
      <c r="D4327" s="41"/>
      <c r="E4327" s="41"/>
      <c r="F4327" s="41"/>
      <c r="G4327" s="41"/>
      <c r="H4327" s="41"/>
      <c r="I4327" s="41"/>
      <c r="J4327" s="41"/>
      <c r="K4327" s="41"/>
      <c r="L4327" s="41"/>
      <c r="M4327" s="41"/>
      <c r="N4327" s="41"/>
      <c r="O4327" s="41"/>
    </row>
    <row r="4328" spans="1:15">
      <c r="A4328" s="39"/>
      <c r="B4328" s="40"/>
      <c r="C4328" s="41"/>
      <c r="D4328" s="41"/>
      <c r="E4328" s="41"/>
      <c r="F4328" s="41"/>
      <c r="G4328" s="41"/>
      <c r="H4328" s="41"/>
      <c r="I4328" s="41"/>
      <c r="J4328" s="41"/>
      <c r="K4328" s="41"/>
      <c r="L4328" s="41"/>
      <c r="M4328" s="41"/>
      <c r="N4328" s="41"/>
      <c r="O4328" s="41"/>
    </row>
    <row r="4329" spans="1:15">
      <c r="A4329" s="39"/>
      <c r="B4329" s="40"/>
      <c r="C4329" s="41"/>
      <c r="D4329" s="41"/>
      <c r="E4329" s="41"/>
      <c r="F4329" s="41"/>
      <c r="G4329" s="41"/>
      <c r="H4329" s="41"/>
      <c r="I4329" s="41"/>
      <c r="J4329" s="41"/>
      <c r="K4329" s="41"/>
      <c r="L4329" s="41"/>
      <c r="M4329" s="41"/>
      <c r="N4329" s="41"/>
      <c r="O4329" s="41"/>
    </row>
    <row r="4330" spans="1:15">
      <c r="A4330" s="39"/>
      <c r="B4330" s="40"/>
      <c r="C4330" s="41"/>
      <c r="D4330" s="41"/>
      <c r="E4330" s="41"/>
      <c r="F4330" s="41"/>
      <c r="G4330" s="41"/>
      <c r="H4330" s="41"/>
      <c r="I4330" s="41"/>
      <c r="J4330" s="41"/>
      <c r="K4330" s="41"/>
      <c r="L4330" s="41"/>
      <c r="M4330" s="41"/>
      <c r="N4330" s="41"/>
      <c r="O4330" s="41"/>
    </row>
    <row r="4331" spans="1:15">
      <c r="A4331" s="39"/>
      <c r="B4331" s="40"/>
      <c r="C4331" s="41"/>
      <c r="D4331" s="41"/>
      <c r="E4331" s="41"/>
      <c r="F4331" s="41"/>
      <c r="G4331" s="41"/>
      <c r="H4331" s="41"/>
      <c r="I4331" s="41"/>
      <c r="J4331" s="41"/>
      <c r="K4331" s="41"/>
      <c r="L4331" s="41"/>
      <c r="M4331" s="41"/>
      <c r="N4331" s="41"/>
      <c r="O4331" s="41"/>
    </row>
    <row r="4332" spans="1:15">
      <c r="A4332" s="39"/>
      <c r="B4332" s="40"/>
      <c r="C4332" s="41"/>
      <c r="D4332" s="41"/>
      <c r="E4332" s="41"/>
      <c r="F4332" s="41"/>
      <c r="G4332" s="41"/>
      <c r="H4332" s="41"/>
      <c r="I4332" s="41"/>
      <c r="J4332" s="41"/>
      <c r="K4332" s="41"/>
      <c r="L4332" s="41"/>
      <c r="M4332" s="41"/>
      <c r="N4332" s="41"/>
      <c r="O4332" s="41"/>
    </row>
    <row r="4333" spans="1:15">
      <c r="A4333" s="39"/>
      <c r="B4333" s="40"/>
      <c r="C4333" s="41"/>
      <c r="D4333" s="41"/>
      <c r="E4333" s="41"/>
      <c r="F4333" s="41"/>
      <c r="G4333" s="41"/>
      <c r="H4333" s="41"/>
      <c r="I4333" s="41"/>
      <c r="J4333" s="41"/>
      <c r="K4333" s="41"/>
      <c r="L4333" s="41"/>
      <c r="M4333" s="41"/>
      <c r="N4333" s="41"/>
      <c r="O4333" s="41"/>
    </row>
    <row r="4334" spans="1:15">
      <c r="A4334" s="39"/>
      <c r="B4334" s="40"/>
      <c r="C4334" s="41"/>
      <c r="D4334" s="41"/>
      <c r="E4334" s="41"/>
      <c r="F4334" s="41"/>
      <c r="G4334" s="41"/>
      <c r="H4334" s="41"/>
      <c r="I4334" s="41"/>
      <c r="J4334" s="41"/>
      <c r="K4334" s="41"/>
      <c r="L4334" s="41"/>
      <c r="M4334" s="41"/>
      <c r="N4334" s="41"/>
      <c r="O4334" s="41"/>
    </row>
    <row r="4335" spans="1:15">
      <c r="A4335" s="39"/>
      <c r="B4335" s="40"/>
      <c r="C4335" s="41"/>
      <c r="D4335" s="41"/>
      <c r="E4335" s="41"/>
      <c r="F4335" s="41"/>
      <c r="G4335" s="41"/>
      <c r="H4335" s="41"/>
      <c r="I4335" s="41"/>
      <c r="J4335" s="41"/>
      <c r="K4335" s="41"/>
      <c r="L4335" s="41"/>
      <c r="M4335" s="41"/>
      <c r="N4335" s="41"/>
      <c r="O4335" s="41"/>
    </row>
    <row r="4336" spans="1:15">
      <c r="A4336" s="39"/>
      <c r="B4336" s="40"/>
      <c r="C4336" s="41"/>
      <c r="D4336" s="41"/>
      <c r="E4336" s="41"/>
      <c r="F4336" s="41"/>
      <c r="G4336" s="41"/>
      <c r="H4336" s="41"/>
      <c r="I4336" s="41"/>
      <c r="J4336" s="41"/>
      <c r="K4336" s="41"/>
      <c r="L4336" s="41"/>
      <c r="M4336" s="41"/>
      <c r="N4336" s="41"/>
      <c r="O4336" s="41"/>
    </row>
    <row r="4337" spans="1:15">
      <c r="A4337" s="39"/>
      <c r="B4337" s="40"/>
      <c r="C4337" s="41"/>
      <c r="D4337" s="41"/>
      <c r="E4337" s="41"/>
      <c r="F4337" s="41"/>
      <c r="G4337" s="41"/>
      <c r="H4337" s="41"/>
      <c r="I4337" s="41"/>
      <c r="J4337" s="41"/>
      <c r="K4337" s="41"/>
      <c r="L4337" s="41"/>
      <c r="M4337" s="41"/>
      <c r="N4337" s="41"/>
      <c r="O4337" s="41"/>
    </row>
    <row r="4338" spans="1:15">
      <c r="A4338" s="39"/>
      <c r="B4338" s="40"/>
      <c r="C4338" s="41"/>
      <c r="D4338" s="41"/>
      <c r="E4338" s="41"/>
      <c r="F4338" s="41"/>
      <c r="G4338" s="41"/>
      <c r="H4338" s="41"/>
      <c r="I4338" s="41"/>
      <c r="J4338" s="41"/>
      <c r="K4338" s="41"/>
      <c r="L4338" s="41"/>
      <c r="M4338" s="41"/>
      <c r="N4338" s="41"/>
      <c r="O4338" s="41"/>
    </row>
    <row r="4339" spans="1:15">
      <c r="A4339" s="39"/>
      <c r="B4339" s="40"/>
      <c r="C4339" s="41"/>
      <c r="D4339" s="41"/>
      <c r="E4339" s="41"/>
      <c r="F4339" s="41"/>
      <c r="G4339" s="41"/>
      <c r="H4339" s="41"/>
      <c r="I4339" s="41"/>
      <c r="J4339" s="41"/>
      <c r="K4339" s="41"/>
      <c r="L4339" s="41"/>
      <c r="M4339" s="41"/>
      <c r="N4339" s="41"/>
      <c r="O4339" s="41"/>
    </row>
    <row r="4340" spans="1:15">
      <c r="A4340" s="39"/>
      <c r="B4340" s="40"/>
      <c r="C4340" s="41"/>
      <c r="D4340" s="41"/>
      <c r="E4340" s="41"/>
      <c r="F4340" s="41"/>
      <c r="G4340" s="41"/>
      <c r="H4340" s="41"/>
      <c r="I4340" s="41"/>
      <c r="J4340" s="41"/>
      <c r="K4340" s="41"/>
      <c r="L4340" s="41"/>
      <c r="M4340" s="41"/>
      <c r="N4340" s="41"/>
      <c r="O4340" s="41"/>
    </row>
    <row r="4341" spans="1:15">
      <c r="A4341" s="39"/>
      <c r="B4341" s="40"/>
      <c r="C4341" s="41"/>
      <c r="D4341" s="41"/>
      <c r="E4341" s="41"/>
      <c r="F4341" s="41"/>
      <c r="G4341" s="41"/>
      <c r="H4341" s="41"/>
      <c r="I4341" s="41"/>
      <c r="J4341" s="41"/>
      <c r="K4341" s="41"/>
      <c r="L4341" s="41"/>
      <c r="M4341" s="41"/>
      <c r="N4341" s="41"/>
      <c r="O4341" s="41"/>
    </row>
    <row r="4342" spans="1:15">
      <c r="A4342" s="39"/>
      <c r="B4342" s="40"/>
      <c r="C4342" s="41"/>
      <c r="D4342" s="41"/>
      <c r="E4342" s="41"/>
      <c r="F4342" s="41"/>
      <c r="G4342" s="41"/>
      <c r="H4342" s="41"/>
      <c r="I4342" s="41"/>
      <c r="J4342" s="41"/>
      <c r="K4342" s="41"/>
      <c r="L4342" s="41"/>
      <c r="M4342" s="41"/>
      <c r="N4342" s="41"/>
      <c r="O4342" s="41"/>
    </row>
    <row r="4343" spans="1:15">
      <c r="A4343" s="39"/>
      <c r="B4343" s="40"/>
      <c r="C4343" s="41"/>
      <c r="D4343" s="41"/>
      <c r="E4343" s="41"/>
      <c r="F4343" s="41"/>
      <c r="G4343" s="41"/>
      <c r="H4343" s="41"/>
      <c r="I4343" s="41"/>
      <c r="J4343" s="41"/>
      <c r="K4343" s="41"/>
      <c r="L4343" s="41"/>
      <c r="M4343" s="41"/>
      <c r="N4343" s="41"/>
      <c r="O4343" s="41"/>
    </row>
    <row r="4344" spans="1:15">
      <c r="A4344" s="39"/>
      <c r="B4344" s="40"/>
      <c r="C4344" s="41"/>
      <c r="D4344" s="41"/>
      <c r="E4344" s="41"/>
      <c r="F4344" s="41"/>
      <c r="G4344" s="41"/>
      <c r="H4344" s="41"/>
      <c r="I4344" s="41"/>
      <c r="J4344" s="41"/>
      <c r="K4344" s="41"/>
      <c r="L4344" s="41"/>
      <c r="M4344" s="41"/>
      <c r="N4344" s="41"/>
      <c r="O4344" s="41"/>
    </row>
    <row r="4345" spans="1:15">
      <c r="A4345" s="39"/>
      <c r="B4345" s="40"/>
      <c r="C4345" s="41"/>
      <c r="D4345" s="41"/>
      <c r="E4345" s="41"/>
      <c r="F4345" s="41"/>
      <c r="G4345" s="41"/>
      <c r="H4345" s="41"/>
      <c r="I4345" s="41"/>
      <c r="J4345" s="41"/>
      <c r="K4345" s="41"/>
      <c r="L4345" s="41"/>
      <c r="M4345" s="41"/>
      <c r="N4345" s="41"/>
      <c r="O4345" s="41"/>
    </row>
    <row r="4346" spans="1:15">
      <c r="A4346" s="39"/>
      <c r="B4346" s="40"/>
      <c r="C4346" s="41"/>
      <c r="D4346" s="41"/>
      <c r="E4346" s="41"/>
      <c r="F4346" s="41"/>
      <c r="G4346" s="41"/>
      <c r="H4346" s="41"/>
      <c r="I4346" s="41"/>
      <c r="J4346" s="41"/>
      <c r="K4346" s="41"/>
      <c r="L4346" s="41"/>
      <c r="M4346" s="41"/>
      <c r="N4346" s="41"/>
      <c r="O4346" s="41"/>
    </row>
    <row r="4347" spans="1:15">
      <c r="A4347" s="39"/>
      <c r="B4347" s="40"/>
      <c r="C4347" s="41"/>
      <c r="D4347" s="41"/>
      <c r="E4347" s="41"/>
      <c r="F4347" s="41"/>
      <c r="G4347" s="41"/>
      <c r="H4347" s="41"/>
      <c r="I4347" s="41"/>
      <c r="J4347" s="41"/>
      <c r="K4347" s="41"/>
      <c r="L4347" s="41"/>
      <c r="M4347" s="41"/>
      <c r="N4347" s="41"/>
      <c r="O4347" s="41"/>
    </row>
    <row r="4348" spans="1:15">
      <c r="A4348" s="39"/>
      <c r="B4348" s="40"/>
      <c r="C4348" s="41"/>
      <c r="D4348" s="41"/>
      <c r="E4348" s="41"/>
      <c r="F4348" s="41"/>
      <c r="G4348" s="41"/>
      <c r="H4348" s="41"/>
      <c r="I4348" s="41"/>
      <c r="J4348" s="41"/>
      <c r="K4348" s="41"/>
      <c r="L4348" s="41"/>
      <c r="M4348" s="41"/>
      <c r="N4348" s="41"/>
      <c r="O4348" s="41"/>
    </row>
    <row r="4349" spans="1:15">
      <c r="A4349" s="39"/>
      <c r="B4349" s="40"/>
      <c r="C4349" s="41"/>
      <c r="D4349" s="41"/>
      <c r="E4349" s="41"/>
      <c r="F4349" s="41"/>
      <c r="G4349" s="41"/>
      <c r="H4349" s="41"/>
      <c r="I4349" s="41"/>
      <c r="J4349" s="41"/>
      <c r="K4349" s="41"/>
      <c r="L4349" s="41"/>
      <c r="M4349" s="41"/>
      <c r="N4349" s="41"/>
      <c r="O4349" s="41"/>
    </row>
    <row r="4350" spans="1:15">
      <c r="A4350" s="39"/>
      <c r="B4350" s="40"/>
      <c r="C4350" s="41"/>
      <c r="D4350" s="41"/>
      <c r="E4350" s="41"/>
      <c r="F4350" s="41"/>
      <c r="G4350" s="41"/>
      <c r="H4350" s="41"/>
      <c r="I4350" s="41"/>
      <c r="J4350" s="41"/>
      <c r="K4350" s="41"/>
      <c r="L4350" s="41"/>
      <c r="M4350" s="41"/>
      <c r="N4350" s="41"/>
      <c r="O4350" s="41"/>
    </row>
    <row r="4351" spans="1:15">
      <c r="A4351" s="39"/>
      <c r="B4351" s="40"/>
      <c r="C4351" s="41"/>
      <c r="D4351" s="41"/>
      <c r="E4351" s="41"/>
      <c r="F4351" s="41"/>
      <c r="G4351" s="41"/>
      <c r="H4351" s="41"/>
      <c r="I4351" s="41"/>
      <c r="J4351" s="41"/>
      <c r="K4351" s="41"/>
      <c r="L4351" s="41"/>
      <c r="M4351" s="41"/>
      <c r="N4351" s="41"/>
      <c r="O4351" s="41"/>
    </row>
    <row r="4352" spans="1:15">
      <c r="A4352" s="39"/>
      <c r="B4352" s="40"/>
      <c r="C4352" s="41"/>
      <c r="D4352" s="41"/>
      <c r="E4352" s="41"/>
      <c r="F4352" s="41"/>
      <c r="G4352" s="41"/>
      <c r="H4352" s="41"/>
      <c r="I4352" s="41"/>
      <c r="J4352" s="41"/>
      <c r="K4352" s="41"/>
      <c r="L4352" s="41"/>
      <c r="M4352" s="41"/>
      <c r="N4352" s="41"/>
      <c r="O4352" s="41"/>
    </row>
    <row r="4353" spans="1:15">
      <c r="A4353" s="39"/>
      <c r="B4353" s="40"/>
      <c r="C4353" s="41"/>
      <c r="D4353" s="41"/>
      <c r="E4353" s="41"/>
      <c r="F4353" s="41"/>
      <c r="G4353" s="41"/>
      <c r="H4353" s="41"/>
      <c r="I4353" s="41"/>
      <c r="J4353" s="41"/>
      <c r="K4353" s="41"/>
      <c r="L4353" s="41"/>
      <c r="M4353" s="41"/>
      <c r="N4353" s="41"/>
      <c r="O4353" s="41"/>
    </row>
    <row r="4354" spans="1:15">
      <c r="A4354" s="39"/>
      <c r="B4354" s="40"/>
      <c r="C4354" s="41"/>
      <c r="D4354" s="41"/>
      <c r="E4354" s="41"/>
      <c r="F4354" s="41"/>
      <c r="G4354" s="41"/>
      <c r="H4354" s="41"/>
      <c r="I4354" s="41"/>
      <c r="J4354" s="41"/>
      <c r="K4354" s="41"/>
      <c r="L4354" s="41"/>
      <c r="M4354" s="41"/>
      <c r="N4354" s="41"/>
      <c r="O4354" s="41"/>
    </row>
    <row r="4355" spans="1:15">
      <c r="A4355" s="39"/>
      <c r="B4355" s="40"/>
      <c r="C4355" s="41"/>
      <c r="D4355" s="41"/>
      <c r="E4355" s="41"/>
      <c r="F4355" s="41"/>
      <c r="G4355" s="41"/>
      <c r="H4355" s="41"/>
      <c r="I4355" s="41"/>
      <c r="J4355" s="41"/>
      <c r="K4355" s="41"/>
      <c r="L4355" s="41"/>
      <c r="M4355" s="41"/>
      <c r="N4355" s="41"/>
      <c r="O4355" s="41"/>
    </row>
    <row r="4356" spans="1:15">
      <c r="A4356" s="39"/>
      <c r="B4356" s="40"/>
      <c r="C4356" s="41"/>
      <c r="D4356" s="41"/>
      <c r="E4356" s="41"/>
      <c r="F4356" s="41"/>
      <c r="G4356" s="41"/>
      <c r="H4356" s="41"/>
      <c r="I4356" s="41"/>
      <c r="J4356" s="41"/>
      <c r="K4356" s="41"/>
      <c r="L4356" s="41"/>
      <c r="M4356" s="41"/>
      <c r="N4356" s="41"/>
      <c r="O4356" s="41"/>
    </row>
    <row r="4357" spans="1:15">
      <c r="A4357" s="39"/>
      <c r="B4357" s="40"/>
      <c r="C4357" s="41"/>
      <c r="D4357" s="41"/>
      <c r="E4357" s="41"/>
      <c r="F4357" s="41"/>
      <c r="G4357" s="41"/>
      <c r="H4357" s="41"/>
      <c r="I4357" s="41"/>
      <c r="J4357" s="41"/>
      <c r="K4357" s="41"/>
      <c r="L4357" s="41"/>
      <c r="M4357" s="41"/>
      <c r="N4357" s="41"/>
      <c r="O4357" s="41"/>
    </row>
    <row r="4358" spans="1:15">
      <c r="A4358" s="39"/>
      <c r="B4358" s="40"/>
      <c r="C4358" s="41"/>
      <c r="D4358" s="41"/>
      <c r="E4358" s="41"/>
      <c r="F4358" s="41"/>
      <c r="G4358" s="41"/>
      <c r="H4358" s="41"/>
      <c r="I4358" s="41"/>
      <c r="J4358" s="41"/>
      <c r="K4358" s="41"/>
      <c r="L4358" s="41"/>
      <c r="M4358" s="41"/>
      <c r="N4358" s="41"/>
      <c r="O4358" s="41"/>
    </row>
    <row r="4359" spans="1:15">
      <c r="A4359" s="39"/>
      <c r="B4359" s="40"/>
      <c r="C4359" s="41"/>
      <c r="D4359" s="41"/>
      <c r="E4359" s="41"/>
      <c r="F4359" s="41"/>
      <c r="G4359" s="41"/>
      <c r="H4359" s="41"/>
      <c r="I4359" s="41"/>
      <c r="J4359" s="41"/>
      <c r="K4359" s="41"/>
      <c r="L4359" s="41"/>
      <c r="M4359" s="41"/>
      <c r="N4359" s="41"/>
      <c r="O4359" s="41"/>
    </row>
    <row r="4360" spans="1:15">
      <c r="A4360" s="39"/>
      <c r="B4360" s="40"/>
      <c r="C4360" s="41"/>
      <c r="D4360" s="41"/>
      <c r="E4360" s="41"/>
      <c r="F4360" s="41"/>
      <c r="G4360" s="41"/>
      <c r="H4360" s="41"/>
      <c r="I4360" s="41"/>
      <c r="J4360" s="41"/>
      <c r="K4360" s="41"/>
      <c r="L4360" s="41"/>
      <c r="M4360" s="41"/>
      <c r="N4360" s="41"/>
      <c r="O4360" s="41"/>
    </row>
    <row r="4361" spans="1:15">
      <c r="A4361" s="39"/>
      <c r="B4361" s="40"/>
      <c r="C4361" s="41"/>
      <c r="D4361" s="41"/>
      <c r="E4361" s="41"/>
      <c r="F4361" s="41"/>
      <c r="G4361" s="41"/>
      <c r="H4361" s="41"/>
      <c r="I4361" s="41"/>
      <c r="J4361" s="41"/>
      <c r="K4361" s="41"/>
      <c r="L4361" s="41"/>
      <c r="M4361" s="41"/>
      <c r="N4361" s="41"/>
      <c r="O4361" s="41"/>
    </row>
    <row r="4362" spans="1:15">
      <c r="A4362" s="39"/>
      <c r="B4362" s="40"/>
      <c r="C4362" s="41"/>
      <c r="D4362" s="41"/>
      <c r="E4362" s="41"/>
      <c r="F4362" s="41"/>
      <c r="G4362" s="41"/>
      <c r="H4362" s="41"/>
      <c r="I4362" s="41"/>
      <c r="J4362" s="41"/>
      <c r="K4362" s="41"/>
      <c r="L4362" s="41"/>
      <c r="M4362" s="41"/>
      <c r="N4362" s="41"/>
      <c r="O4362" s="41"/>
    </row>
    <row r="4363" spans="1:15">
      <c r="A4363" s="39"/>
      <c r="B4363" s="40"/>
      <c r="C4363" s="41"/>
      <c r="D4363" s="41"/>
      <c r="E4363" s="41"/>
      <c r="F4363" s="41"/>
      <c r="G4363" s="41"/>
      <c r="H4363" s="41"/>
      <c r="I4363" s="41"/>
      <c r="J4363" s="41"/>
      <c r="K4363" s="41"/>
      <c r="L4363" s="41"/>
      <c r="M4363" s="41"/>
      <c r="N4363" s="41"/>
      <c r="O4363" s="41"/>
    </row>
    <row r="4364" spans="1:15">
      <c r="A4364" s="39"/>
      <c r="B4364" s="40"/>
      <c r="C4364" s="41"/>
      <c r="D4364" s="41"/>
      <c r="E4364" s="41"/>
      <c r="F4364" s="41"/>
      <c r="G4364" s="41"/>
      <c r="H4364" s="41"/>
      <c r="I4364" s="41"/>
      <c r="J4364" s="41"/>
      <c r="K4364" s="41"/>
      <c r="L4364" s="41"/>
      <c r="M4364" s="41"/>
      <c r="N4364" s="41"/>
      <c r="O4364" s="41"/>
    </row>
    <row r="4365" spans="1:15">
      <c r="A4365" s="39"/>
      <c r="B4365" s="40"/>
      <c r="C4365" s="41"/>
      <c r="D4365" s="41"/>
      <c r="E4365" s="41"/>
      <c r="F4365" s="41"/>
      <c r="G4365" s="41"/>
      <c r="H4365" s="41"/>
      <c r="I4365" s="41"/>
      <c r="J4365" s="41"/>
      <c r="K4365" s="41"/>
      <c r="L4365" s="41"/>
      <c r="M4365" s="41"/>
      <c r="N4365" s="41"/>
      <c r="O4365" s="41"/>
    </row>
    <row r="4366" spans="1:15">
      <c r="A4366" s="39"/>
      <c r="B4366" s="40"/>
      <c r="C4366" s="41"/>
      <c r="D4366" s="41"/>
      <c r="E4366" s="41"/>
      <c r="F4366" s="41"/>
      <c r="G4366" s="41"/>
      <c r="H4366" s="41"/>
      <c r="I4366" s="41"/>
      <c r="J4366" s="41"/>
      <c r="K4366" s="41"/>
      <c r="L4366" s="41"/>
      <c r="M4366" s="41"/>
      <c r="N4366" s="41"/>
      <c r="O4366" s="41"/>
    </row>
    <row r="4367" spans="1:15">
      <c r="A4367" s="39"/>
      <c r="B4367" s="40"/>
      <c r="C4367" s="41"/>
      <c r="D4367" s="41"/>
      <c r="E4367" s="41"/>
      <c r="F4367" s="41"/>
      <c r="G4367" s="41"/>
      <c r="H4367" s="41"/>
      <c r="I4367" s="41"/>
      <c r="J4367" s="41"/>
      <c r="K4367" s="41"/>
      <c r="L4367" s="41"/>
      <c r="M4367" s="41"/>
      <c r="N4367" s="41"/>
      <c r="O4367" s="41"/>
    </row>
    <row r="4368" spans="1:15">
      <c r="A4368" s="39"/>
      <c r="B4368" s="40"/>
      <c r="C4368" s="41"/>
      <c r="D4368" s="41"/>
      <c r="E4368" s="41"/>
      <c r="F4368" s="41"/>
      <c r="G4368" s="41"/>
      <c r="H4368" s="41"/>
      <c r="I4368" s="41"/>
      <c r="J4368" s="41"/>
      <c r="K4368" s="41"/>
      <c r="L4368" s="41"/>
      <c r="M4368" s="41"/>
      <c r="N4368" s="41"/>
      <c r="O4368" s="41"/>
    </row>
    <row r="4369" spans="1:15">
      <c r="A4369" s="39"/>
      <c r="B4369" s="40"/>
      <c r="C4369" s="41"/>
      <c r="D4369" s="41"/>
      <c r="E4369" s="41"/>
      <c r="F4369" s="41"/>
      <c r="G4369" s="41"/>
      <c r="H4369" s="41"/>
      <c r="I4369" s="41"/>
      <c r="J4369" s="41"/>
      <c r="K4369" s="41"/>
      <c r="L4369" s="41"/>
      <c r="M4369" s="41"/>
      <c r="N4369" s="41"/>
      <c r="O4369" s="41"/>
    </row>
    <row r="4370" spans="1:15">
      <c r="A4370" s="39"/>
      <c r="B4370" s="40"/>
      <c r="C4370" s="41"/>
      <c r="D4370" s="41"/>
      <c r="E4370" s="41"/>
      <c r="F4370" s="41"/>
      <c r="G4370" s="41"/>
      <c r="H4370" s="41"/>
      <c r="I4370" s="41"/>
      <c r="J4370" s="41"/>
      <c r="K4370" s="41"/>
      <c r="L4370" s="41"/>
      <c r="M4370" s="41"/>
      <c r="N4370" s="41"/>
      <c r="O4370" s="41"/>
    </row>
    <row r="4371" spans="1:15">
      <c r="A4371" s="39"/>
      <c r="B4371" s="40"/>
      <c r="C4371" s="41"/>
      <c r="D4371" s="41"/>
      <c r="E4371" s="41"/>
      <c r="F4371" s="41"/>
      <c r="G4371" s="41"/>
      <c r="H4371" s="41"/>
      <c r="I4371" s="41"/>
      <c r="J4371" s="41"/>
      <c r="K4371" s="41"/>
      <c r="L4371" s="41"/>
      <c r="M4371" s="41"/>
      <c r="N4371" s="41"/>
      <c r="O4371" s="41"/>
    </row>
    <row r="4372" spans="1:15">
      <c r="A4372" s="39"/>
      <c r="B4372" s="40"/>
      <c r="C4372" s="41"/>
      <c r="D4372" s="41"/>
      <c r="E4372" s="41"/>
      <c r="F4372" s="41"/>
      <c r="G4372" s="41"/>
      <c r="H4372" s="41"/>
      <c r="I4372" s="41"/>
      <c r="J4372" s="41"/>
      <c r="K4372" s="41"/>
      <c r="L4372" s="41"/>
      <c r="M4372" s="41"/>
      <c r="N4372" s="41"/>
      <c r="O4372" s="41"/>
    </row>
    <row r="4373" spans="1:15">
      <c r="A4373" s="39"/>
      <c r="B4373" s="40"/>
      <c r="C4373" s="41"/>
      <c r="D4373" s="41"/>
      <c r="E4373" s="41"/>
      <c r="F4373" s="41"/>
      <c r="G4373" s="41"/>
      <c r="H4373" s="41"/>
      <c r="I4373" s="41"/>
      <c r="J4373" s="41"/>
      <c r="K4373" s="41"/>
      <c r="L4373" s="41"/>
      <c r="M4373" s="41"/>
      <c r="N4373" s="41"/>
      <c r="O4373" s="41"/>
    </row>
    <row r="4374" spans="1:15">
      <c r="A4374" s="39"/>
      <c r="B4374" s="40"/>
      <c r="C4374" s="41"/>
      <c r="D4374" s="41"/>
      <c r="E4374" s="41"/>
      <c r="F4374" s="41"/>
      <c r="G4374" s="41"/>
      <c r="H4374" s="41"/>
      <c r="I4374" s="41"/>
      <c r="J4374" s="41"/>
      <c r="K4374" s="41"/>
      <c r="L4374" s="41"/>
      <c r="M4374" s="41"/>
      <c r="N4374" s="41"/>
      <c r="O4374" s="41"/>
    </row>
    <row r="4375" spans="1:15">
      <c r="A4375" s="39"/>
      <c r="B4375" s="40"/>
      <c r="C4375" s="41"/>
      <c r="D4375" s="41"/>
      <c r="E4375" s="41"/>
      <c r="F4375" s="41"/>
      <c r="G4375" s="41"/>
      <c r="H4375" s="41"/>
      <c r="I4375" s="41"/>
      <c r="J4375" s="41"/>
      <c r="K4375" s="41"/>
      <c r="L4375" s="41"/>
      <c r="M4375" s="41"/>
      <c r="N4375" s="41"/>
      <c r="O4375" s="41"/>
    </row>
    <row r="4376" spans="1:15">
      <c r="A4376" s="39"/>
      <c r="B4376" s="40"/>
      <c r="C4376" s="41"/>
      <c r="D4376" s="41"/>
      <c r="E4376" s="41"/>
      <c r="F4376" s="41"/>
      <c r="G4376" s="41"/>
      <c r="H4376" s="41"/>
      <c r="I4376" s="41"/>
      <c r="J4376" s="41"/>
      <c r="K4376" s="41"/>
      <c r="L4376" s="41"/>
      <c r="M4376" s="41"/>
      <c r="N4376" s="41"/>
      <c r="O4376" s="41"/>
    </row>
    <row r="4377" spans="1:15">
      <c r="A4377" s="39"/>
      <c r="B4377" s="40"/>
      <c r="C4377" s="41"/>
      <c r="D4377" s="41"/>
      <c r="E4377" s="41"/>
      <c r="F4377" s="41"/>
      <c r="G4377" s="41"/>
      <c r="H4377" s="41"/>
      <c r="I4377" s="41"/>
      <c r="J4377" s="41"/>
      <c r="K4377" s="41"/>
      <c r="L4377" s="41"/>
      <c r="M4377" s="41"/>
      <c r="N4377" s="41"/>
      <c r="O4377" s="41"/>
    </row>
    <row r="4378" spans="1:15">
      <c r="A4378" s="39"/>
      <c r="B4378" s="40"/>
      <c r="C4378" s="41"/>
      <c r="D4378" s="41"/>
      <c r="E4378" s="41"/>
      <c r="F4378" s="41"/>
      <c r="G4378" s="41"/>
      <c r="H4378" s="41"/>
      <c r="I4378" s="41"/>
      <c r="J4378" s="41"/>
      <c r="K4378" s="41"/>
      <c r="L4378" s="41"/>
      <c r="M4378" s="41"/>
      <c r="N4378" s="41"/>
      <c r="O4378" s="41"/>
    </row>
    <row r="4379" spans="1:15">
      <c r="A4379" s="39"/>
      <c r="B4379" s="40"/>
      <c r="C4379" s="41"/>
      <c r="D4379" s="41"/>
      <c r="E4379" s="41"/>
      <c r="F4379" s="41"/>
      <c r="G4379" s="41"/>
      <c r="H4379" s="41"/>
      <c r="I4379" s="41"/>
      <c r="J4379" s="41"/>
      <c r="K4379" s="41"/>
      <c r="L4379" s="41"/>
      <c r="M4379" s="41"/>
      <c r="N4379" s="41"/>
      <c r="O4379" s="41"/>
    </row>
    <row r="4380" spans="1:15">
      <c r="A4380" s="39"/>
      <c r="B4380" s="40"/>
      <c r="C4380" s="41"/>
      <c r="D4380" s="41"/>
      <c r="E4380" s="41"/>
      <c r="F4380" s="41"/>
      <c r="G4380" s="41"/>
      <c r="H4380" s="41"/>
      <c r="I4380" s="41"/>
      <c r="J4380" s="41"/>
      <c r="K4380" s="41"/>
      <c r="L4380" s="41"/>
      <c r="M4380" s="41"/>
      <c r="N4380" s="41"/>
      <c r="O4380" s="41"/>
    </row>
    <row r="4381" spans="1:15">
      <c r="A4381" s="39"/>
      <c r="B4381" s="40"/>
      <c r="C4381" s="41"/>
      <c r="D4381" s="41"/>
      <c r="E4381" s="41"/>
      <c r="F4381" s="41"/>
      <c r="G4381" s="41"/>
      <c r="H4381" s="41"/>
      <c r="I4381" s="41"/>
      <c r="J4381" s="41"/>
      <c r="K4381" s="41"/>
      <c r="L4381" s="41"/>
      <c r="M4381" s="41"/>
      <c r="N4381" s="41"/>
      <c r="O4381" s="41"/>
    </row>
    <row r="4382" spans="1:15">
      <c r="A4382" s="39"/>
      <c r="B4382" s="40"/>
      <c r="C4382" s="41"/>
      <c r="D4382" s="41"/>
      <c r="E4382" s="41"/>
      <c r="F4382" s="41"/>
      <c r="G4382" s="41"/>
      <c r="H4382" s="41"/>
      <c r="I4382" s="41"/>
      <c r="J4382" s="41"/>
      <c r="K4382" s="41"/>
      <c r="L4382" s="41"/>
      <c r="M4382" s="41"/>
      <c r="N4382" s="41"/>
      <c r="O4382" s="41"/>
    </row>
    <row r="4383" spans="1:15">
      <c r="A4383" s="39"/>
      <c r="B4383" s="40"/>
      <c r="C4383" s="41"/>
      <c r="D4383" s="41"/>
      <c r="E4383" s="41"/>
      <c r="F4383" s="41"/>
      <c r="G4383" s="41"/>
      <c r="H4383" s="41"/>
      <c r="I4383" s="41"/>
      <c r="J4383" s="41"/>
      <c r="K4383" s="41"/>
      <c r="L4383" s="41"/>
      <c r="M4383" s="41"/>
      <c r="N4383" s="41"/>
      <c r="O4383" s="41"/>
    </row>
    <row r="4384" spans="1:15">
      <c r="A4384" s="39"/>
      <c r="B4384" s="40"/>
      <c r="C4384" s="41"/>
      <c r="D4384" s="41"/>
      <c r="E4384" s="41"/>
      <c r="F4384" s="41"/>
      <c r="G4384" s="41"/>
      <c r="H4384" s="41"/>
      <c r="I4384" s="41"/>
      <c r="J4384" s="41"/>
      <c r="K4384" s="41"/>
      <c r="L4384" s="41"/>
      <c r="M4384" s="41"/>
      <c r="N4384" s="41"/>
      <c r="O4384" s="41"/>
    </row>
    <row r="4385" spans="1:15">
      <c r="A4385" s="39"/>
      <c r="B4385" s="40"/>
      <c r="C4385" s="41"/>
      <c r="D4385" s="41"/>
      <c r="E4385" s="41"/>
      <c r="F4385" s="41"/>
      <c r="G4385" s="41"/>
      <c r="H4385" s="41"/>
      <c r="I4385" s="41"/>
      <c r="J4385" s="41"/>
      <c r="K4385" s="41"/>
      <c r="L4385" s="41"/>
      <c r="M4385" s="41"/>
      <c r="N4385" s="41"/>
      <c r="O4385" s="41"/>
    </row>
    <row r="4386" spans="1:15">
      <c r="A4386" s="39"/>
      <c r="B4386" s="40"/>
      <c r="C4386" s="41"/>
      <c r="D4386" s="41"/>
      <c r="E4386" s="41"/>
      <c r="F4386" s="41"/>
      <c r="G4386" s="41"/>
      <c r="H4386" s="41"/>
      <c r="I4386" s="41"/>
      <c r="J4386" s="41"/>
      <c r="K4386" s="41"/>
      <c r="L4386" s="41"/>
      <c r="M4386" s="41"/>
      <c r="N4386" s="41"/>
      <c r="O4386" s="41"/>
    </row>
    <row r="4387" spans="1:15">
      <c r="A4387" s="39"/>
      <c r="B4387" s="40"/>
      <c r="C4387" s="41"/>
      <c r="D4387" s="41"/>
      <c r="E4387" s="41"/>
      <c r="F4387" s="41"/>
      <c r="G4387" s="41"/>
      <c r="H4387" s="41"/>
      <c r="I4387" s="41"/>
      <c r="J4387" s="41"/>
      <c r="K4387" s="41"/>
      <c r="L4387" s="41"/>
      <c r="M4387" s="41"/>
      <c r="N4387" s="41"/>
      <c r="O4387" s="41"/>
    </row>
    <row r="4388" spans="1:15">
      <c r="A4388" s="39"/>
      <c r="B4388" s="40"/>
      <c r="C4388" s="41"/>
      <c r="D4388" s="41"/>
      <c r="E4388" s="41"/>
      <c r="F4388" s="41"/>
      <c r="G4388" s="41"/>
      <c r="H4388" s="41"/>
      <c r="I4388" s="41"/>
      <c r="J4388" s="41"/>
      <c r="K4388" s="41"/>
      <c r="L4388" s="41"/>
      <c r="M4388" s="41"/>
      <c r="N4388" s="41"/>
      <c r="O4388" s="41"/>
    </row>
    <row r="4389" spans="1:15">
      <c r="A4389" s="39"/>
      <c r="B4389" s="40"/>
      <c r="C4389" s="41"/>
      <c r="D4389" s="41"/>
      <c r="E4389" s="41"/>
      <c r="F4389" s="41"/>
      <c r="G4389" s="41"/>
      <c r="H4389" s="41"/>
      <c r="I4389" s="41"/>
      <c r="J4389" s="41"/>
      <c r="K4389" s="41"/>
      <c r="L4389" s="41"/>
      <c r="M4389" s="41"/>
      <c r="N4389" s="41"/>
      <c r="O4389" s="41"/>
    </row>
    <row r="4390" spans="1:15">
      <c r="A4390" s="39"/>
      <c r="B4390" s="40"/>
      <c r="C4390" s="41"/>
      <c r="D4390" s="41"/>
      <c r="E4390" s="41"/>
      <c r="F4390" s="41"/>
      <c r="G4390" s="41"/>
      <c r="H4390" s="41"/>
      <c r="I4390" s="41"/>
      <c r="J4390" s="41"/>
      <c r="K4390" s="41"/>
      <c r="L4390" s="41"/>
      <c r="M4390" s="41"/>
      <c r="N4390" s="41"/>
      <c r="O4390" s="41"/>
    </row>
    <row r="4391" spans="1:15">
      <c r="A4391" s="39"/>
      <c r="B4391" s="40"/>
      <c r="C4391" s="41"/>
      <c r="D4391" s="41"/>
      <c r="E4391" s="41"/>
      <c r="F4391" s="41"/>
      <c r="G4391" s="41"/>
      <c r="H4391" s="41"/>
      <c r="I4391" s="41"/>
      <c r="J4391" s="41"/>
      <c r="K4391" s="41"/>
      <c r="L4391" s="41"/>
      <c r="M4391" s="41"/>
      <c r="N4391" s="41"/>
      <c r="O4391" s="41"/>
    </row>
    <row r="4392" spans="1:15">
      <c r="A4392" s="39"/>
      <c r="B4392" s="40"/>
      <c r="C4392" s="41"/>
      <c r="D4392" s="41"/>
      <c r="E4392" s="41"/>
      <c r="F4392" s="41"/>
      <c r="G4392" s="41"/>
      <c r="H4392" s="41"/>
      <c r="I4392" s="41"/>
      <c r="J4392" s="41"/>
      <c r="K4392" s="41"/>
      <c r="L4392" s="41"/>
      <c r="M4392" s="41"/>
      <c r="N4392" s="41"/>
      <c r="O4392" s="41"/>
    </row>
    <row r="4393" spans="1:15">
      <c r="A4393" s="39"/>
      <c r="B4393" s="40"/>
      <c r="C4393" s="41"/>
      <c r="D4393" s="41"/>
      <c r="E4393" s="41"/>
      <c r="F4393" s="41"/>
      <c r="G4393" s="41"/>
      <c r="H4393" s="41"/>
      <c r="I4393" s="41"/>
      <c r="J4393" s="41"/>
      <c r="K4393" s="41"/>
      <c r="L4393" s="41"/>
      <c r="M4393" s="41"/>
      <c r="N4393" s="41"/>
      <c r="O4393" s="41"/>
    </row>
    <row r="4394" spans="1:15">
      <c r="A4394" s="39"/>
      <c r="B4394" s="40"/>
      <c r="C4394" s="41"/>
      <c r="D4394" s="41"/>
      <c r="E4394" s="41"/>
      <c r="F4394" s="41"/>
      <c r="G4394" s="41"/>
      <c r="H4394" s="41"/>
      <c r="I4394" s="41"/>
      <c r="J4394" s="41"/>
      <c r="K4394" s="41"/>
      <c r="L4394" s="41"/>
      <c r="M4394" s="41"/>
      <c r="N4394" s="41"/>
      <c r="O4394" s="41"/>
    </row>
    <row r="4395" spans="1:15">
      <c r="A4395" s="39"/>
      <c r="B4395" s="40"/>
      <c r="C4395" s="41"/>
      <c r="D4395" s="41"/>
      <c r="E4395" s="41"/>
      <c r="F4395" s="41"/>
      <c r="G4395" s="41"/>
      <c r="H4395" s="41"/>
      <c r="I4395" s="41"/>
      <c r="J4395" s="41"/>
      <c r="K4395" s="41"/>
      <c r="L4395" s="41"/>
      <c r="M4395" s="41"/>
      <c r="N4395" s="41"/>
      <c r="O4395" s="41"/>
    </row>
    <row r="4396" spans="1:15">
      <c r="A4396" s="39"/>
      <c r="B4396" s="40"/>
      <c r="C4396" s="41"/>
      <c r="D4396" s="41"/>
      <c r="E4396" s="41"/>
      <c r="F4396" s="41"/>
      <c r="G4396" s="41"/>
      <c r="H4396" s="41"/>
      <c r="I4396" s="41"/>
      <c r="J4396" s="41"/>
      <c r="K4396" s="41"/>
      <c r="L4396" s="41"/>
      <c r="M4396" s="41"/>
      <c r="N4396" s="41"/>
      <c r="O4396" s="41"/>
    </row>
    <row r="4397" spans="1:15">
      <c r="A4397" s="39"/>
      <c r="B4397" s="40"/>
      <c r="C4397" s="41"/>
      <c r="D4397" s="41"/>
      <c r="E4397" s="41"/>
      <c r="F4397" s="41"/>
      <c r="G4397" s="41"/>
      <c r="H4397" s="41"/>
      <c r="I4397" s="41"/>
      <c r="J4397" s="41"/>
      <c r="K4397" s="41"/>
      <c r="L4397" s="41"/>
      <c r="M4397" s="41"/>
      <c r="N4397" s="41"/>
      <c r="O4397" s="41"/>
    </row>
    <row r="4398" spans="1:15">
      <c r="A4398" s="39"/>
      <c r="B4398" s="40"/>
      <c r="C4398" s="41"/>
      <c r="D4398" s="41"/>
      <c r="E4398" s="41"/>
      <c r="F4398" s="41"/>
      <c r="G4398" s="41"/>
      <c r="H4398" s="41"/>
      <c r="I4398" s="41"/>
      <c r="J4398" s="41"/>
      <c r="K4398" s="41"/>
      <c r="L4398" s="41"/>
      <c r="M4398" s="41"/>
      <c r="N4398" s="41"/>
      <c r="O4398" s="41"/>
    </row>
    <row r="4399" spans="1:15">
      <c r="A4399" s="39"/>
      <c r="B4399" s="40"/>
      <c r="C4399" s="41"/>
      <c r="D4399" s="41"/>
      <c r="E4399" s="41"/>
      <c r="F4399" s="41"/>
      <c r="G4399" s="41"/>
      <c r="H4399" s="41"/>
      <c r="I4399" s="41"/>
      <c r="J4399" s="41"/>
      <c r="K4399" s="41"/>
      <c r="L4399" s="41"/>
      <c r="M4399" s="41"/>
      <c r="N4399" s="41"/>
      <c r="O4399" s="41"/>
    </row>
    <row r="4400" spans="1:15">
      <c r="A4400" s="39"/>
      <c r="B4400" s="40"/>
      <c r="C4400" s="41"/>
      <c r="D4400" s="41"/>
      <c r="E4400" s="41"/>
      <c r="F4400" s="41"/>
      <c r="G4400" s="41"/>
      <c r="H4400" s="41"/>
      <c r="I4400" s="41"/>
      <c r="J4400" s="41"/>
      <c r="K4400" s="41"/>
      <c r="L4400" s="41"/>
      <c r="M4400" s="41"/>
      <c r="N4400" s="41"/>
      <c r="O4400" s="41"/>
    </row>
    <row r="4401" spans="1:15">
      <c r="A4401" s="39"/>
      <c r="B4401" s="40"/>
      <c r="C4401" s="41"/>
      <c r="D4401" s="41"/>
      <c r="E4401" s="41"/>
      <c r="F4401" s="41"/>
      <c r="G4401" s="41"/>
      <c r="H4401" s="41"/>
      <c r="I4401" s="41"/>
      <c r="J4401" s="41"/>
      <c r="K4401" s="41"/>
      <c r="L4401" s="41"/>
      <c r="M4401" s="41"/>
      <c r="N4401" s="41"/>
      <c r="O4401" s="41"/>
    </row>
    <row r="4402" spans="1:15">
      <c r="A4402" s="39"/>
      <c r="B4402" s="40"/>
      <c r="C4402" s="41"/>
      <c r="D4402" s="41"/>
      <c r="E4402" s="41"/>
      <c r="F4402" s="41"/>
      <c r="G4402" s="41"/>
      <c r="H4402" s="41"/>
      <c r="I4402" s="41"/>
      <c r="J4402" s="41"/>
      <c r="K4402" s="41"/>
      <c r="L4402" s="41"/>
      <c r="M4402" s="41"/>
      <c r="N4402" s="41"/>
      <c r="O4402" s="41"/>
    </row>
    <row r="4403" spans="1:15">
      <c r="A4403" s="39"/>
      <c r="B4403" s="40"/>
      <c r="C4403" s="41"/>
      <c r="D4403" s="41"/>
      <c r="E4403" s="41"/>
      <c r="F4403" s="41"/>
      <c r="G4403" s="41"/>
      <c r="H4403" s="41"/>
      <c r="I4403" s="41"/>
      <c r="J4403" s="41"/>
      <c r="K4403" s="41"/>
      <c r="L4403" s="41"/>
      <c r="M4403" s="41"/>
      <c r="N4403" s="41"/>
      <c r="O4403" s="41"/>
    </row>
    <row r="4404" spans="1:15">
      <c r="A4404" s="39"/>
      <c r="B4404" s="40"/>
      <c r="C4404" s="41"/>
      <c r="D4404" s="41"/>
      <c r="E4404" s="41"/>
      <c r="F4404" s="41"/>
      <c r="G4404" s="41"/>
      <c r="H4404" s="41"/>
      <c r="I4404" s="41"/>
      <c r="J4404" s="41"/>
      <c r="K4404" s="41"/>
      <c r="L4404" s="41"/>
      <c r="M4404" s="41"/>
      <c r="N4404" s="41"/>
      <c r="O4404" s="41"/>
    </row>
    <row r="4405" spans="1:15">
      <c r="A4405" s="39"/>
      <c r="B4405" s="40"/>
      <c r="C4405" s="41"/>
      <c r="D4405" s="41"/>
      <c r="E4405" s="41"/>
      <c r="F4405" s="41"/>
      <c r="G4405" s="41"/>
      <c r="H4405" s="41"/>
      <c r="I4405" s="41"/>
      <c r="J4405" s="41"/>
      <c r="K4405" s="41"/>
      <c r="L4405" s="41"/>
      <c r="M4405" s="41"/>
      <c r="N4405" s="41"/>
      <c r="O4405" s="41"/>
    </row>
    <row r="4406" spans="1:15">
      <c r="A4406" s="39"/>
      <c r="B4406" s="40"/>
      <c r="C4406" s="41"/>
      <c r="D4406" s="41"/>
      <c r="E4406" s="41"/>
      <c r="F4406" s="41"/>
      <c r="G4406" s="41"/>
      <c r="H4406" s="41"/>
      <c r="I4406" s="41"/>
      <c r="J4406" s="41"/>
      <c r="K4406" s="41"/>
      <c r="L4406" s="41"/>
      <c r="M4406" s="41"/>
      <c r="N4406" s="41"/>
      <c r="O4406" s="41"/>
    </row>
    <row r="4407" spans="1:15">
      <c r="A4407" s="39"/>
      <c r="B4407" s="40"/>
      <c r="C4407" s="41"/>
      <c r="D4407" s="41"/>
      <c r="E4407" s="41"/>
      <c r="F4407" s="41"/>
      <c r="G4407" s="41"/>
      <c r="H4407" s="41"/>
      <c r="I4407" s="41"/>
      <c r="J4407" s="41"/>
      <c r="K4407" s="41"/>
      <c r="L4407" s="41"/>
      <c r="M4407" s="41"/>
      <c r="N4407" s="41"/>
      <c r="O4407" s="41"/>
    </row>
    <row r="4408" spans="1:15">
      <c r="A4408" s="39"/>
      <c r="B4408" s="40"/>
      <c r="C4408" s="41"/>
      <c r="D4408" s="41"/>
      <c r="E4408" s="41"/>
      <c r="F4408" s="41"/>
      <c r="G4408" s="41"/>
      <c r="H4408" s="41"/>
      <c r="I4408" s="41"/>
      <c r="J4408" s="41"/>
      <c r="K4408" s="41"/>
      <c r="L4408" s="41"/>
      <c r="M4408" s="41"/>
      <c r="N4408" s="41"/>
      <c r="O4408" s="41"/>
    </row>
    <row r="4409" spans="1:15">
      <c r="A4409" s="39"/>
      <c r="B4409" s="40"/>
      <c r="C4409" s="41"/>
      <c r="D4409" s="41"/>
      <c r="E4409" s="41"/>
      <c r="F4409" s="41"/>
      <c r="G4409" s="41"/>
      <c r="H4409" s="41"/>
      <c r="I4409" s="41"/>
      <c r="J4409" s="41"/>
      <c r="K4409" s="41"/>
      <c r="L4409" s="41"/>
      <c r="M4409" s="41"/>
      <c r="N4409" s="41"/>
      <c r="O4409" s="41"/>
    </row>
    <row r="4410" spans="1:15">
      <c r="A4410" s="39"/>
      <c r="B4410" s="40"/>
      <c r="C4410" s="41"/>
      <c r="D4410" s="41"/>
      <c r="E4410" s="41"/>
      <c r="F4410" s="41"/>
      <c r="G4410" s="41"/>
      <c r="H4410" s="41"/>
      <c r="I4410" s="41"/>
      <c r="J4410" s="41"/>
      <c r="K4410" s="41"/>
      <c r="L4410" s="41"/>
      <c r="M4410" s="41"/>
      <c r="N4410" s="41"/>
      <c r="O4410" s="41"/>
    </row>
    <row r="4411" spans="1:15">
      <c r="A4411" s="39"/>
      <c r="B4411" s="40"/>
      <c r="C4411" s="41"/>
      <c r="D4411" s="41"/>
      <c r="E4411" s="41"/>
      <c r="F4411" s="41"/>
      <c r="G4411" s="41"/>
      <c r="H4411" s="41"/>
      <c r="I4411" s="41"/>
      <c r="J4411" s="41"/>
      <c r="K4411" s="41"/>
      <c r="L4411" s="41"/>
      <c r="M4411" s="41"/>
      <c r="N4411" s="41"/>
      <c r="O4411" s="41"/>
    </row>
    <row r="4412" spans="1:15">
      <c r="A4412" s="39"/>
      <c r="B4412" s="40"/>
      <c r="C4412" s="41"/>
      <c r="D4412" s="41"/>
      <c r="E4412" s="41"/>
      <c r="F4412" s="41"/>
      <c r="G4412" s="41"/>
      <c r="H4412" s="41"/>
      <c r="I4412" s="41"/>
      <c r="J4412" s="41"/>
      <c r="K4412" s="41"/>
      <c r="L4412" s="41"/>
      <c r="M4412" s="41"/>
      <c r="N4412" s="41"/>
      <c r="O4412" s="41"/>
    </row>
    <row r="4413" spans="1:15">
      <c r="A4413" s="39"/>
      <c r="B4413" s="40"/>
      <c r="C4413" s="41"/>
      <c r="D4413" s="41"/>
      <c r="E4413" s="41"/>
      <c r="F4413" s="41"/>
      <c r="G4413" s="41"/>
      <c r="H4413" s="41"/>
      <c r="I4413" s="41"/>
      <c r="J4413" s="41"/>
      <c r="K4413" s="41"/>
      <c r="L4413" s="41"/>
      <c r="M4413" s="41"/>
      <c r="N4413" s="41"/>
      <c r="O4413" s="41"/>
    </row>
    <row r="4414" spans="1:15">
      <c r="A4414" s="39"/>
      <c r="B4414" s="40"/>
      <c r="C4414" s="41"/>
      <c r="D4414" s="41"/>
      <c r="E4414" s="41"/>
      <c r="F4414" s="41"/>
      <c r="G4414" s="41"/>
      <c r="H4414" s="41"/>
      <c r="I4414" s="41"/>
      <c r="J4414" s="41"/>
      <c r="K4414" s="41"/>
      <c r="L4414" s="41"/>
      <c r="M4414" s="41"/>
      <c r="N4414" s="41"/>
      <c r="O4414" s="41"/>
    </row>
    <row r="4415" spans="1:15">
      <c r="A4415" s="39"/>
      <c r="B4415" s="40"/>
      <c r="C4415" s="41"/>
      <c r="D4415" s="41"/>
      <c r="E4415" s="41"/>
      <c r="F4415" s="41"/>
      <c r="G4415" s="41"/>
      <c r="H4415" s="41"/>
      <c r="I4415" s="41"/>
      <c r="J4415" s="41"/>
      <c r="K4415" s="41"/>
      <c r="L4415" s="41"/>
      <c r="M4415" s="41"/>
      <c r="N4415" s="41"/>
      <c r="O4415" s="41"/>
    </row>
    <row r="4416" spans="1:15">
      <c r="A4416" s="39"/>
      <c r="B4416" s="40"/>
      <c r="C4416" s="41"/>
      <c r="D4416" s="41"/>
      <c r="E4416" s="41"/>
      <c r="F4416" s="41"/>
      <c r="G4416" s="41"/>
      <c r="H4416" s="41"/>
      <c r="I4416" s="41"/>
      <c r="J4416" s="41"/>
      <c r="K4416" s="41"/>
      <c r="L4416" s="41"/>
      <c r="M4416" s="41"/>
      <c r="N4416" s="41"/>
      <c r="O4416" s="41"/>
    </row>
    <row r="4417" spans="1:15">
      <c r="A4417" s="39"/>
      <c r="B4417" s="40"/>
      <c r="C4417" s="41"/>
      <c r="D4417" s="41"/>
      <c r="E4417" s="41"/>
      <c r="F4417" s="41"/>
      <c r="G4417" s="41"/>
      <c r="H4417" s="41"/>
      <c r="I4417" s="41"/>
      <c r="J4417" s="41"/>
      <c r="K4417" s="41"/>
      <c r="L4417" s="41"/>
      <c r="M4417" s="41"/>
      <c r="N4417" s="41"/>
      <c r="O4417" s="41"/>
    </row>
    <row r="4418" spans="1:15">
      <c r="A4418" s="39"/>
      <c r="B4418" s="40"/>
      <c r="C4418" s="41"/>
      <c r="D4418" s="41"/>
      <c r="E4418" s="41"/>
      <c r="F4418" s="41"/>
      <c r="G4418" s="41"/>
      <c r="H4418" s="41"/>
      <c r="I4418" s="41"/>
      <c r="J4418" s="41"/>
      <c r="K4418" s="41"/>
      <c r="L4418" s="41"/>
      <c r="M4418" s="41"/>
      <c r="N4418" s="41"/>
      <c r="O4418" s="41"/>
    </row>
    <row r="4419" spans="1:15">
      <c r="A4419" s="39"/>
      <c r="B4419" s="40"/>
      <c r="C4419" s="41"/>
      <c r="D4419" s="41"/>
      <c r="E4419" s="41"/>
      <c r="F4419" s="41"/>
      <c r="G4419" s="41"/>
      <c r="H4419" s="41"/>
      <c r="I4419" s="41"/>
      <c r="J4419" s="41"/>
      <c r="K4419" s="41"/>
      <c r="L4419" s="41"/>
      <c r="M4419" s="41"/>
      <c r="N4419" s="41"/>
      <c r="O4419" s="41"/>
    </row>
    <row r="4420" spans="1:15">
      <c r="A4420" s="39"/>
      <c r="B4420" s="40"/>
      <c r="C4420" s="41"/>
      <c r="D4420" s="41"/>
      <c r="E4420" s="41"/>
      <c r="F4420" s="41"/>
      <c r="G4420" s="41"/>
      <c r="H4420" s="41"/>
      <c r="I4420" s="41"/>
      <c r="J4420" s="41"/>
      <c r="K4420" s="41"/>
      <c r="L4420" s="41"/>
      <c r="M4420" s="41"/>
      <c r="N4420" s="41"/>
      <c r="O4420" s="41"/>
    </row>
    <row r="4421" spans="1:15">
      <c r="A4421" s="39"/>
      <c r="B4421" s="40"/>
      <c r="C4421" s="41"/>
      <c r="D4421" s="41"/>
      <c r="E4421" s="41"/>
      <c r="F4421" s="41"/>
      <c r="G4421" s="41"/>
      <c r="H4421" s="41"/>
      <c r="I4421" s="41"/>
      <c r="J4421" s="41"/>
      <c r="K4421" s="41"/>
      <c r="L4421" s="41"/>
      <c r="M4421" s="41"/>
      <c r="N4421" s="41"/>
      <c r="O4421" s="41"/>
    </row>
    <row r="4422" spans="1:15">
      <c r="A4422" s="39"/>
      <c r="B4422" s="40"/>
      <c r="C4422" s="41"/>
      <c r="D4422" s="41"/>
      <c r="E4422" s="41"/>
      <c r="F4422" s="41"/>
      <c r="G4422" s="41"/>
      <c r="H4422" s="41"/>
      <c r="I4422" s="41"/>
      <c r="J4422" s="41"/>
      <c r="K4422" s="41"/>
      <c r="L4422" s="41"/>
      <c r="M4422" s="41"/>
      <c r="N4422" s="41"/>
      <c r="O4422" s="41"/>
    </row>
    <row r="4423" spans="1:15">
      <c r="A4423" s="39"/>
      <c r="B4423" s="40"/>
      <c r="C4423" s="41"/>
      <c r="D4423" s="41"/>
      <c r="E4423" s="41"/>
      <c r="F4423" s="41"/>
      <c r="G4423" s="41"/>
      <c r="H4423" s="41"/>
      <c r="I4423" s="41"/>
      <c r="J4423" s="41"/>
      <c r="K4423" s="41"/>
      <c r="L4423" s="41"/>
      <c r="M4423" s="41"/>
      <c r="N4423" s="41"/>
      <c r="O4423" s="41"/>
    </row>
    <row r="4424" spans="1:15">
      <c r="A4424" s="39"/>
      <c r="B4424" s="40"/>
      <c r="C4424" s="41"/>
      <c r="D4424" s="41"/>
      <c r="E4424" s="41"/>
      <c r="F4424" s="41"/>
      <c r="G4424" s="41"/>
      <c r="H4424" s="41"/>
      <c r="I4424" s="41"/>
      <c r="J4424" s="41"/>
      <c r="K4424" s="41"/>
      <c r="L4424" s="41"/>
      <c r="M4424" s="41"/>
      <c r="N4424" s="41"/>
      <c r="O4424" s="41"/>
    </row>
    <row r="4425" spans="1:15">
      <c r="A4425" s="39"/>
      <c r="B4425" s="40"/>
      <c r="C4425" s="41"/>
      <c r="D4425" s="41"/>
      <c r="E4425" s="41"/>
      <c r="F4425" s="41"/>
      <c r="G4425" s="41"/>
      <c r="H4425" s="41"/>
      <c r="I4425" s="41"/>
      <c r="J4425" s="41"/>
      <c r="K4425" s="41"/>
      <c r="L4425" s="41"/>
      <c r="M4425" s="41"/>
      <c r="N4425" s="41"/>
      <c r="O4425" s="41"/>
    </row>
    <row r="4426" spans="1:15">
      <c r="A4426" s="39"/>
      <c r="B4426" s="40"/>
      <c r="C4426" s="41"/>
      <c r="D4426" s="41"/>
      <c r="E4426" s="41"/>
      <c r="F4426" s="41"/>
      <c r="G4426" s="41"/>
      <c r="H4426" s="41"/>
      <c r="I4426" s="41"/>
      <c r="J4426" s="41"/>
      <c r="K4426" s="41"/>
      <c r="L4426" s="41"/>
      <c r="M4426" s="41"/>
      <c r="N4426" s="41"/>
      <c r="O4426" s="41"/>
    </row>
    <row r="4427" spans="1:15">
      <c r="A4427" s="39"/>
      <c r="B4427" s="40"/>
      <c r="C4427" s="41"/>
      <c r="D4427" s="41"/>
      <c r="E4427" s="41"/>
      <c r="F4427" s="41"/>
      <c r="G4427" s="41"/>
      <c r="H4427" s="41"/>
      <c r="I4427" s="41"/>
      <c r="J4427" s="41"/>
      <c r="K4427" s="41"/>
      <c r="L4427" s="41"/>
      <c r="M4427" s="41"/>
      <c r="N4427" s="41"/>
      <c r="O4427" s="41"/>
    </row>
    <row r="4428" spans="1:15">
      <c r="A4428" s="39"/>
      <c r="B4428" s="40"/>
      <c r="C4428" s="41"/>
      <c r="D4428" s="41"/>
      <c r="E4428" s="41"/>
      <c r="F4428" s="41"/>
      <c r="G4428" s="41"/>
      <c r="H4428" s="41"/>
      <c r="I4428" s="41"/>
      <c r="J4428" s="41"/>
      <c r="K4428" s="41"/>
      <c r="L4428" s="41"/>
      <c r="M4428" s="41"/>
      <c r="N4428" s="41"/>
      <c r="O4428" s="41"/>
    </row>
    <row r="4429" spans="1:15">
      <c r="A4429" s="39"/>
      <c r="B4429" s="40"/>
      <c r="C4429" s="41"/>
      <c r="D4429" s="41"/>
      <c r="E4429" s="41"/>
      <c r="F4429" s="41"/>
      <c r="G4429" s="41"/>
      <c r="H4429" s="41"/>
      <c r="I4429" s="41"/>
      <c r="J4429" s="41"/>
      <c r="K4429" s="41"/>
      <c r="L4429" s="41"/>
      <c r="M4429" s="41"/>
      <c r="N4429" s="41"/>
      <c r="O4429" s="41"/>
    </row>
    <row r="4430" spans="1:15">
      <c r="A4430" s="39"/>
      <c r="B4430" s="40"/>
      <c r="C4430" s="41"/>
      <c r="D4430" s="41"/>
      <c r="E4430" s="41"/>
      <c r="F4430" s="41"/>
      <c r="G4430" s="41"/>
      <c r="H4430" s="41"/>
      <c r="I4430" s="41"/>
      <c r="J4430" s="41"/>
      <c r="K4430" s="41"/>
      <c r="L4430" s="41"/>
      <c r="M4430" s="41"/>
      <c r="N4430" s="41"/>
      <c r="O4430" s="41"/>
    </row>
    <row r="4431" spans="1:15">
      <c r="A4431" s="39"/>
      <c r="B4431" s="40"/>
      <c r="C4431" s="41"/>
      <c r="D4431" s="41"/>
      <c r="E4431" s="41"/>
      <c r="F4431" s="41"/>
      <c r="G4431" s="41"/>
      <c r="H4431" s="41"/>
      <c r="I4431" s="41"/>
      <c r="J4431" s="41"/>
      <c r="K4431" s="41"/>
      <c r="L4431" s="41"/>
      <c r="M4431" s="41"/>
      <c r="N4431" s="41"/>
      <c r="O4431" s="41"/>
    </row>
    <row r="4432" spans="1:15">
      <c r="A4432" s="39"/>
      <c r="B4432" s="40"/>
      <c r="C4432" s="41"/>
      <c r="D4432" s="41"/>
      <c r="E4432" s="41"/>
      <c r="F4432" s="41"/>
      <c r="G4432" s="41"/>
      <c r="H4432" s="41"/>
      <c r="I4432" s="41"/>
      <c r="J4432" s="41"/>
      <c r="K4432" s="41"/>
      <c r="L4432" s="41"/>
      <c r="M4432" s="41"/>
      <c r="N4432" s="41"/>
      <c r="O4432" s="41"/>
    </row>
    <row r="4433" spans="1:15">
      <c r="A4433" s="39"/>
      <c r="B4433" s="40"/>
      <c r="C4433" s="41"/>
      <c r="D4433" s="41"/>
      <c r="E4433" s="41"/>
      <c r="F4433" s="41"/>
      <c r="G4433" s="41"/>
      <c r="H4433" s="41"/>
      <c r="I4433" s="41"/>
      <c r="J4433" s="41"/>
      <c r="K4433" s="41"/>
      <c r="L4433" s="41"/>
      <c r="M4433" s="41"/>
      <c r="N4433" s="41"/>
      <c r="O4433" s="41"/>
    </row>
    <row r="4434" spans="1:15">
      <c r="A4434" s="39"/>
      <c r="B4434" s="40"/>
      <c r="C4434" s="41"/>
      <c r="D4434" s="41"/>
      <c r="E4434" s="41"/>
      <c r="F4434" s="41"/>
      <c r="G4434" s="41"/>
      <c r="H4434" s="41"/>
      <c r="I4434" s="41"/>
      <c r="J4434" s="41"/>
      <c r="K4434" s="41"/>
      <c r="L4434" s="41"/>
      <c r="M4434" s="41"/>
      <c r="N4434" s="41"/>
      <c r="O4434" s="41"/>
    </row>
    <row r="4435" spans="1:15">
      <c r="A4435" s="39"/>
      <c r="B4435" s="40"/>
      <c r="C4435" s="41"/>
      <c r="D4435" s="41"/>
      <c r="E4435" s="41"/>
      <c r="F4435" s="41"/>
      <c r="G4435" s="41"/>
      <c r="H4435" s="41"/>
      <c r="I4435" s="41"/>
      <c r="J4435" s="41"/>
      <c r="K4435" s="41"/>
      <c r="L4435" s="41"/>
      <c r="M4435" s="41"/>
      <c r="N4435" s="41"/>
      <c r="O4435" s="41"/>
    </row>
    <row r="4436" spans="1:15">
      <c r="A4436" s="39"/>
      <c r="B4436" s="40"/>
      <c r="C4436" s="41"/>
      <c r="D4436" s="41"/>
      <c r="E4436" s="41"/>
      <c r="F4436" s="41"/>
      <c r="G4436" s="41"/>
      <c r="H4436" s="41"/>
      <c r="I4436" s="41"/>
      <c r="J4436" s="41"/>
      <c r="K4436" s="41"/>
      <c r="L4436" s="41"/>
      <c r="M4436" s="41"/>
      <c r="N4436" s="41"/>
      <c r="O4436" s="41"/>
    </row>
    <row r="4437" spans="1:15">
      <c r="A4437" s="39"/>
      <c r="B4437" s="40"/>
      <c r="C4437" s="41"/>
      <c r="D4437" s="41"/>
      <c r="E4437" s="41"/>
      <c r="F4437" s="41"/>
      <c r="G4437" s="41"/>
      <c r="H4437" s="41"/>
      <c r="I4437" s="41"/>
      <c r="J4437" s="41"/>
      <c r="K4437" s="41"/>
      <c r="L4437" s="41"/>
      <c r="M4437" s="41"/>
      <c r="N4437" s="41"/>
      <c r="O4437" s="41"/>
    </row>
    <row r="4438" spans="1:15">
      <c r="A4438" s="39"/>
      <c r="B4438" s="40"/>
      <c r="C4438" s="41"/>
      <c r="D4438" s="41"/>
      <c r="E4438" s="41"/>
      <c r="F4438" s="41"/>
      <c r="G4438" s="41"/>
      <c r="H4438" s="41"/>
      <c r="I4438" s="41"/>
      <c r="J4438" s="41"/>
      <c r="K4438" s="41"/>
      <c r="L4438" s="41"/>
      <c r="M4438" s="41"/>
      <c r="N4438" s="41"/>
      <c r="O4438" s="41"/>
    </row>
    <row r="4439" spans="1:15">
      <c r="A4439" s="39"/>
      <c r="B4439" s="40"/>
      <c r="C4439" s="41"/>
      <c r="D4439" s="41"/>
      <c r="E4439" s="41"/>
      <c r="F4439" s="41"/>
      <c r="G4439" s="41"/>
      <c r="H4439" s="41"/>
      <c r="I4439" s="41"/>
      <c r="J4439" s="41"/>
      <c r="K4439" s="41"/>
      <c r="L4439" s="41"/>
      <c r="M4439" s="41"/>
      <c r="N4439" s="41"/>
      <c r="O4439" s="41"/>
    </row>
    <row r="4440" spans="1:15">
      <c r="A4440" s="39"/>
      <c r="B4440" s="40"/>
      <c r="C4440" s="41"/>
      <c r="D4440" s="41"/>
      <c r="E4440" s="41"/>
      <c r="F4440" s="41"/>
      <c r="G4440" s="41"/>
      <c r="H4440" s="41"/>
      <c r="I4440" s="41"/>
      <c r="J4440" s="41"/>
      <c r="K4440" s="41"/>
      <c r="L4440" s="41"/>
      <c r="M4440" s="41"/>
      <c r="N4440" s="41"/>
      <c r="O4440" s="41"/>
    </row>
    <row r="4441" spans="1:15">
      <c r="A4441" s="39"/>
      <c r="B4441" s="40"/>
      <c r="C4441" s="41"/>
      <c r="D4441" s="41"/>
      <c r="E4441" s="41"/>
      <c r="F4441" s="41"/>
      <c r="G4441" s="41"/>
      <c r="H4441" s="41"/>
      <c r="I4441" s="41"/>
      <c r="J4441" s="41"/>
      <c r="K4441" s="41"/>
      <c r="L4441" s="41"/>
      <c r="M4441" s="41"/>
      <c r="N4441" s="41"/>
      <c r="O4441" s="41"/>
    </row>
    <row r="4442" spans="1:15">
      <c r="A4442" s="39"/>
      <c r="B4442" s="40"/>
      <c r="C4442" s="41"/>
      <c r="D4442" s="41"/>
      <c r="E4442" s="41"/>
      <c r="F4442" s="41"/>
      <c r="G4442" s="41"/>
      <c r="H4442" s="41"/>
      <c r="I4442" s="41"/>
      <c r="J4442" s="41"/>
      <c r="K4442" s="41"/>
      <c r="L4442" s="41"/>
      <c r="M4442" s="41"/>
      <c r="N4442" s="41"/>
      <c r="O4442" s="41"/>
    </row>
    <row r="4443" spans="1:15">
      <c r="A4443" s="39"/>
      <c r="B4443" s="40"/>
      <c r="C4443" s="41"/>
      <c r="D4443" s="41"/>
      <c r="E4443" s="41"/>
      <c r="F4443" s="41"/>
      <c r="G4443" s="41"/>
      <c r="H4443" s="41"/>
      <c r="I4443" s="41"/>
      <c r="J4443" s="41"/>
      <c r="K4443" s="41"/>
      <c r="L4443" s="41"/>
      <c r="M4443" s="41"/>
      <c r="N4443" s="41"/>
      <c r="O4443" s="41"/>
    </row>
    <row r="4444" spans="1:15">
      <c r="A4444" s="39"/>
      <c r="B4444" s="40"/>
      <c r="C4444" s="41"/>
      <c r="D4444" s="41"/>
      <c r="E4444" s="41"/>
      <c r="F4444" s="41"/>
      <c r="G4444" s="41"/>
      <c r="H4444" s="41"/>
      <c r="I4444" s="41"/>
      <c r="J4444" s="41"/>
      <c r="K4444" s="41"/>
      <c r="L4444" s="41"/>
      <c r="M4444" s="41"/>
      <c r="N4444" s="41"/>
      <c r="O4444" s="41"/>
    </row>
    <row r="4445" spans="1:15">
      <c r="A4445" s="39"/>
      <c r="B4445" s="40"/>
      <c r="C4445" s="41"/>
      <c r="D4445" s="41"/>
      <c r="E4445" s="41"/>
      <c r="F4445" s="41"/>
      <c r="G4445" s="41"/>
      <c r="H4445" s="41"/>
      <c r="I4445" s="41"/>
      <c r="J4445" s="41"/>
      <c r="K4445" s="41"/>
      <c r="L4445" s="41"/>
      <c r="M4445" s="41"/>
      <c r="N4445" s="41"/>
      <c r="O4445" s="41"/>
    </row>
    <row r="4446" spans="1:15">
      <c r="A4446" s="39"/>
      <c r="B4446" s="40"/>
      <c r="C4446" s="41"/>
      <c r="D4446" s="41"/>
      <c r="E4446" s="41"/>
      <c r="F4446" s="41"/>
      <c r="G4446" s="41"/>
      <c r="H4446" s="41"/>
      <c r="I4446" s="41"/>
      <c r="J4446" s="41"/>
      <c r="K4446" s="41"/>
      <c r="L4446" s="41"/>
      <c r="M4446" s="41"/>
      <c r="N4446" s="41"/>
      <c r="O4446" s="41"/>
    </row>
    <row r="4447" spans="1:15">
      <c r="A4447" s="39"/>
      <c r="B4447" s="40"/>
      <c r="C4447" s="41"/>
      <c r="D4447" s="41"/>
      <c r="E4447" s="41"/>
      <c r="F4447" s="41"/>
      <c r="G4447" s="41"/>
      <c r="H4447" s="41"/>
      <c r="I4447" s="41"/>
      <c r="J4447" s="41"/>
      <c r="K4447" s="41"/>
      <c r="L4447" s="41"/>
      <c r="M4447" s="41"/>
      <c r="N4447" s="41"/>
      <c r="O4447" s="41"/>
    </row>
    <row r="4448" spans="1:15">
      <c r="A4448" s="39"/>
      <c r="B4448" s="40"/>
      <c r="C4448" s="41"/>
      <c r="D4448" s="41"/>
      <c r="E4448" s="41"/>
      <c r="F4448" s="41"/>
      <c r="G4448" s="41"/>
      <c r="H4448" s="41"/>
      <c r="I4448" s="41"/>
      <c r="J4448" s="41"/>
      <c r="K4448" s="41"/>
      <c r="L4448" s="41"/>
      <c r="M4448" s="41"/>
      <c r="N4448" s="41"/>
      <c r="O4448" s="41"/>
    </row>
    <row r="4449" spans="1:15">
      <c r="A4449" s="39"/>
      <c r="B4449" s="40"/>
      <c r="C4449" s="41"/>
      <c r="D4449" s="41"/>
      <c r="E4449" s="41"/>
      <c r="F4449" s="41"/>
      <c r="G4449" s="41"/>
      <c r="H4449" s="41"/>
      <c r="I4449" s="41"/>
      <c r="J4449" s="41"/>
      <c r="K4449" s="41"/>
      <c r="L4449" s="41"/>
      <c r="M4449" s="41"/>
      <c r="N4449" s="41"/>
      <c r="O4449" s="41"/>
    </row>
    <row r="4450" spans="1:15">
      <c r="A4450" s="39"/>
      <c r="B4450" s="40"/>
      <c r="C4450" s="41"/>
      <c r="D4450" s="41"/>
      <c r="E4450" s="41"/>
      <c r="F4450" s="41"/>
      <c r="G4450" s="41"/>
      <c r="H4450" s="41"/>
      <c r="I4450" s="41"/>
      <c r="J4450" s="41"/>
      <c r="K4450" s="41"/>
      <c r="L4450" s="41"/>
      <c r="M4450" s="41"/>
      <c r="N4450" s="41"/>
      <c r="O4450" s="41"/>
    </row>
    <row r="4451" spans="1:15">
      <c r="A4451" s="39"/>
      <c r="B4451" s="40"/>
      <c r="C4451" s="41"/>
      <c r="D4451" s="41"/>
      <c r="E4451" s="41"/>
      <c r="F4451" s="41"/>
      <c r="G4451" s="41"/>
      <c r="H4451" s="41"/>
      <c r="I4451" s="41"/>
      <c r="J4451" s="41"/>
      <c r="K4451" s="41"/>
      <c r="L4451" s="41"/>
      <c r="M4451" s="41"/>
      <c r="N4451" s="41"/>
      <c r="O4451" s="41"/>
    </row>
    <row r="4452" spans="1:15">
      <c r="A4452" s="39"/>
      <c r="B4452" s="40"/>
      <c r="C4452" s="41"/>
      <c r="D4452" s="41"/>
      <c r="E4452" s="41"/>
      <c r="F4452" s="41"/>
      <c r="G4452" s="41"/>
      <c r="H4452" s="41"/>
      <c r="I4452" s="41"/>
      <c r="J4452" s="41"/>
      <c r="K4452" s="41"/>
      <c r="L4452" s="41"/>
      <c r="M4452" s="41"/>
      <c r="N4452" s="41"/>
      <c r="O4452" s="41"/>
    </row>
    <row r="4453" spans="1:15">
      <c r="A4453" s="39"/>
      <c r="B4453" s="40"/>
      <c r="C4453" s="41"/>
      <c r="D4453" s="41"/>
      <c r="E4453" s="41"/>
      <c r="F4453" s="41"/>
      <c r="G4453" s="41"/>
      <c r="H4453" s="41"/>
      <c r="I4453" s="41"/>
      <c r="J4453" s="41"/>
      <c r="K4453" s="41"/>
      <c r="L4453" s="41"/>
      <c r="M4453" s="41"/>
      <c r="N4453" s="41"/>
      <c r="O4453" s="41"/>
    </row>
    <row r="4454" spans="1:15">
      <c r="A4454" s="39"/>
      <c r="B4454" s="40"/>
      <c r="C4454" s="41"/>
      <c r="D4454" s="41"/>
      <c r="E4454" s="41"/>
      <c r="F4454" s="41"/>
      <c r="G4454" s="41"/>
      <c r="H4454" s="41"/>
      <c r="I4454" s="41"/>
      <c r="J4454" s="41"/>
      <c r="K4454" s="41"/>
      <c r="L4454" s="41"/>
      <c r="M4454" s="41"/>
      <c r="N4454" s="41"/>
      <c r="O4454" s="41"/>
    </row>
    <row r="4455" spans="1:15">
      <c r="A4455" s="39"/>
      <c r="B4455" s="40"/>
      <c r="C4455" s="41"/>
      <c r="D4455" s="41"/>
      <c r="E4455" s="41"/>
      <c r="F4455" s="41"/>
      <c r="G4455" s="41"/>
      <c r="H4455" s="41"/>
      <c r="I4455" s="41"/>
      <c r="J4455" s="41"/>
      <c r="K4455" s="41"/>
      <c r="L4455" s="41"/>
      <c r="M4455" s="41"/>
      <c r="N4455" s="41"/>
      <c r="O4455" s="41"/>
    </row>
    <row r="4456" spans="1:15">
      <c r="A4456" s="39"/>
      <c r="B4456" s="40"/>
      <c r="C4456" s="41"/>
      <c r="D4456" s="41"/>
      <c r="E4456" s="41"/>
      <c r="F4456" s="41"/>
      <c r="G4456" s="41"/>
      <c r="H4456" s="41"/>
      <c r="I4456" s="41"/>
      <c r="J4456" s="41"/>
      <c r="K4456" s="41"/>
      <c r="L4456" s="41"/>
      <c r="M4456" s="41"/>
      <c r="N4456" s="41"/>
      <c r="O4456" s="41"/>
    </row>
    <row r="4457" spans="1:15">
      <c r="A4457" s="39"/>
      <c r="B4457" s="40"/>
      <c r="C4457" s="41"/>
      <c r="D4457" s="41"/>
      <c r="E4457" s="41"/>
      <c r="F4457" s="41"/>
      <c r="G4457" s="41"/>
      <c r="H4457" s="41"/>
      <c r="I4457" s="41"/>
      <c r="J4457" s="41"/>
      <c r="K4457" s="41"/>
      <c r="L4457" s="41"/>
      <c r="M4457" s="41"/>
      <c r="N4457" s="41"/>
      <c r="O4457" s="41"/>
    </row>
    <row r="4458" spans="1:15">
      <c r="A4458" s="39"/>
      <c r="B4458" s="40"/>
      <c r="C4458" s="41"/>
      <c r="D4458" s="41"/>
      <c r="E4458" s="41"/>
      <c r="F4458" s="41"/>
      <c r="G4458" s="41"/>
      <c r="H4458" s="41"/>
      <c r="I4458" s="41"/>
      <c r="J4458" s="41"/>
      <c r="K4458" s="41"/>
      <c r="L4458" s="41"/>
      <c r="M4458" s="41"/>
      <c r="N4458" s="41"/>
      <c r="O4458" s="41"/>
    </row>
    <row r="4459" spans="1:15">
      <c r="A4459" s="39"/>
      <c r="B4459" s="40"/>
      <c r="C4459" s="41"/>
      <c r="D4459" s="41"/>
      <c r="E4459" s="41"/>
      <c r="F4459" s="41"/>
      <c r="G4459" s="41"/>
      <c r="H4459" s="41"/>
      <c r="I4459" s="41"/>
      <c r="J4459" s="41"/>
      <c r="K4459" s="41"/>
      <c r="L4459" s="41"/>
      <c r="M4459" s="41"/>
      <c r="N4459" s="41"/>
      <c r="O4459" s="41"/>
    </row>
    <row r="4460" spans="1:15">
      <c r="A4460" s="39"/>
      <c r="B4460" s="40"/>
      <c r="C4460" s="41"/>
      <c r="D4460" s="41"/>
      <c r="E4460" s="41"/>
      <c r="F4460" s="41"/>
      <c r="G4460" s="41"/>
      <c r="H4460" s="41"/>
      <c r="I4460" s="41"/>
      <c r="J4460" s="41"/>
      <c r="K4460" s="41"/>
      <c r="L4460" s="41"/>
      <c r="M4460" s="41"/>
      <c r="N4460" s="41"/>
      <c r="O4460" s="41"/>
    </row>
    <row r="4461" spans="1:15">
      <c r="A4461" s="39"/>
      <c r="B4461" s="40"/>
      <c r="C4461" s="41"/>
      <c r="D4461" s="41"/>
      <c r="E4461" s="41"/>
      <c r="F4461" s="41"/>
      <c r="G4461" s="41"/>
      <c r="H4461" s="41"/>
      <c r="I4461" s="41"/>
      <c r="J4461" s="41"/>
      <c r="K4461" s="41"/>
      <c r="L4461" s="41"/>
      <c r="M4461" s="41"/>
      <c r="N4461" s="41"/>
      <c r="O4461" s="41"/>
    </row>
    <row r="4462" spans="1:15">
      <c r="A4462" s="39"/>
      <c r="B4462" s="40"/>
      <c r="C4462" s="41"/>
      <c r="D4462" s="41"/>
      <c r="E4462" s="41"/>
      <c r="F4462" s="41"/>
      <c r="G4462" s="41"/>
      <c r="H4462" s="41"/>
      <c r="I4462" s="41"/>
      <c r="J4462" s="41"/>
      <c r="K4462" s="41"/>
      <c r="L4462" s="41"/>
      <c r="M4462" s="41"/>
      <c r="N4462" s="41"/>
      <c r="O4462" s="41"/>
    </row>
    <row r="4463" spans="1:15">
      <c r="A4463" s="39"/>
      <c r="B4463" s="40"/>
      <c r="C4463" s="41"/>
      <c r="D4463" s="41"/>
      <c r="E4463" s="41"/>
      <c r="F4463" s="41"/>
      <c r="G4463" s="41"/>
      <c r="H4463" s="41"/>
      <c r="I4463" s="41"/>
      <c r="J4463" s="41"/>
      <c r="K4463" s="41"/>
      <c r="L4463" s="41"/>
      <c r="M4463" s="41"/>
      <c r="N4463" s="41"/>
      <c r="O4463" s="41"/>
    </row>
    <row r="4464" spans="1:15">
      <c r="A4464" s="39"/>
      <c r="B4464" s="40"/>
      <c r="C4464" s="41"/>
      <c r="D4464" s="41"/>
      <c r="E4464" s="41"/>
      <c r="F4464" s="41"/>
      <c r="G4464" s="41"/>
      <c r="H4464" s="41"/>
      <c r="I4464" s="41"/>
      <c r="J4464" s="41"/>
      <c r="K4464" s="41"/>
      <c r="L4464" s="41"/>
      <c r="M4464" s="41"/>
      <c r="N4464" s="41"/>
      <c r="O4464" s="41"/>
    </row>
    <row r="4465" spans="1:15">
      <c r="A4465" s="39"/>
      <c r="B4465" s="40"/>
      <c r="C4465" s="41"/>
      <c r="D4465" s="41"/>
      <c r="E4465" s="41"/>
      <c r="F4465" s="41"/>
      <c r="G4465" s="41"/>
      <c r="H4465" s="41"/>
      <c r="I4465" s="41"/>
      <c r="J4465" s="41"/>
      <c r="K4465" s="41"/>
      <c r="L4465" s="41"/>
      <c r="M4465" s="41"/>
      <c r="N4465" s="41"/>
      <c r="O4465" s="41"/>
    </row>
    <row r="4466" spans="1:15">
      <c r="A4466" s="39"/>
      <c r="B4466" s="40"/>
      <c r="C4466" s="41"/>
      <c r="D4466" s="41"/>
      <c r="E4466" s="41"/>
      <c r="F4466" s="41"/>
      <c r="G4466" s="41"/>
      <c r="H4466" s="41"/>
      <c r="I4466" s="41"/>
      <c r="J4466" s="41"/>
      <c r="K4466" s="41"/>
      <c r="L4466" s="41"/>
      <c r="M4466" s="41"/>
      <c r="N4466" s="41"/>
      <c r="O4466" s="41"/>
    </row>
    <row r="4467" spans="1:15">
      <c r="A4467" s="39"/>
      <c r="B4467" s="40"/>
      <c r="C4467" s="41"/>
      <c r="D4467" s="41"/>
      <c r="E4467" s="41"/>
      <c r="F4467" s="41"/>
      <c r="G4467" s="41"/>
      <c r="H4467" s="41"/>
      <c r="I4467" s="41"/>
      <c r="J4467" s="41"/>
      <c r="K4467" s="41"/>
      <c r="L4467" s="41"/>
      <c r="M4467" s="41"/>
      <c r="N4467" s="41"/>
      <c r="O4467" s="41"/>
    </row>
    <row r="4468" spans="1:15">
      <c r="A4468" s="39"/>
      <c r="B4468" s="40"/>
      <c r="C4468" s="41"/>
      <c r="D4468" s="41"/>
      <c r="E4468" s="41"/>
      <c r="F4468" s="41"/>
      <c r="G4468" s="41"/>
      <c r="H4468" s="41"/>
      <c r="I4468" s="41"/>
      <c r="J4468" s="41"/>
      <c r="K4468" s="41"/>
      <c r="L4468" s="41"/>
      <c r="M4468" s="41"/>
      <c r="N4468" s="41"/>
      <c r="O4468" s="41"/>
    </row>
    <row r="4469" spans="1:15">
      <c r="A4469" s="39"/>
      <c r="B4469" s="40"/>
      <c r="C4469" s="41"/>
      <c r="D4469" s="41"/>
      <c r="E4469" s="41"/>
      <c r="F4469" s="41"/>
      <c r="G4469" s="41"/>
      <c r="H4469" s="41"/>
      <c r="I4469" s="41"/>
      <c r="J4469" s="41"/>
      <c r="K4469" s="41"/>
      <c r="L4469" s="41"/>
      <c r="M4469" s="41"/>
      <c r="N4469" s="41"/>
      <c r="O4469" s="41"/>
    </row>
    <row r="4470" spans="1:15">
      <c r="A4470" s="39"/>
      <c r="B4470" s="40"/>
      <c r="C4470" s="41"/>
      <c r="D4470" s="41"/>
      <c r="E4470" s="41"/>
      <c r="F4470" s="41"/>
      <c r="G4470" s="41"/>
      <c r="H4470" s="41"/>
      <c r="I4470" s="41"/>
      <c r="J4470" s="41"/>
      <c r="K4470" s="41"/>
      <c r="L4470" s="41"/>
      <c r="M4470" s="41"/>
      <c r="N4470" s="41"/>
      <c r="O4470" s="41"/>
    </row>
    <row r="4471" spans="1:15">
      <c r="A4471" s="39"/>
      <c r="B4471" s="40"/>
      <c r="C4471" s="41"/>
      <c r="D4471" s="41"/>
      <c r="E4471" s="41"/>
      <c r="F4471" s="41"/>
      <c r="G4471" s="41"/>
      <c r="H4471" s="41"/>
      <c r="I4471" s="41"/>
      <c r="J4471" s="41"/>
      <c r="K4471" s="41"/>
      <c r="L4471" s="41"/>
      <c r="M4471" s="41"/>
      <c r="N4471" s="41"/>
      <c r="O4471" s="41"/>
    </row>
    <row r="4472" spans="1:15">
      <c r="A4472" s="39"/>
      <c r="B4472" s="40"/>
      <c r="C4472" s="41"/>
      <c r="D4472" s="41"/>
      <c r="E4472" s="41"/>
      <c r="F4472" s="41"/>
      <c r="G4472" s="41"/>
      <c r="H4472" s="41"/>
      <c r="I4472" s="41"/>
      <c r="J4472" s="41"/>
      <c r="K4472" s="41"/>
      <c r="L4472" s="41"/>
      <c r="M4472" s="41"/>
      <c r="N4472" s="41"/>
      <c r="O4472" s="41"/>
    </row>
    <row r="4473" spans="1:15">
      <c r="A4473" s="39"/>
      <c r="B4473" s="40"/>
      <c r="C4473" s="41"/>
      <c r="D4473" s="41"/>
      <c r="E4473" s="41"/>
      <c r="F4473" s="41"/>
      <c r="G4473" s="41"/>
      <c r="H4473" s="41"/>
      <c r="I4473" s="41"/>
      <c r="J4473" s="41"/>
      <c r="K4473" s="41"/>
      <c r="L4473" s="41"/>
      <c r="M4473" s="41"/>
      <c r="N4473" s="41"/>
      <c r="O4473" s="41"/>
    </row>
    <row r="4474" spans="1:15">
      <c r="A4474" s="39"/>
      <c r="B4474" s="40"/>
      <c r="C4474" s="41"/>
      <c r="D4474" s="41"/>
      <c r="E4474" s="41"/>
      <c r="F4474" s="41"/>
      <c r="G4474" s="41"/>
      <c r="H4474" s="41"/>
      <c r="I4474" s="41"/>
      <c r="J4474" s="41"/>
      <c r="K4474" s="41"/>
      <c r="L4474" s="41"/>
      <c r="M4474" s="41"/>
      <c r="N4474" s="41"/>
      <c r="O4474" s="41"/>
    </row>
    <row r="4475" spans="1:15">
      <c r="A4475" s="39"/>
      <c r="B4475" s="40"/>
      <c r="C4475" s="41"/>
      <c r="D4475" s="41"/>
      <c r="E4475" s="41"/>
      <c r="F4475" s="41"/>
      <c r="G4475" s="41"/>
      <c r="H4475" s="41"/>
      <c r="I4475" s="41"/>
      <c r="J4475" s="41"/>
      <c r="K4475" s="41"/>
      <c r="L4475" s="41"/>
      <c r="M4475" s="41"/>
      <c r="N4475" s="41"/>
      <c r="O4475" s="41"/>
    </row>
    <row r="4476" spans="1:15">
      <c r="A4476" s="39"/>
      <c r="B4476" s="40"/>
      <c r="C4476" s="41"/>
      <c r="D4476" s="41"/>
      <c r="E4476" s="41"/>
      <c r="F4476" s="41"/>
      <c r="G4476" s="41"/>
      <c r="H4476" s="41"/>
      <c r="I4476" s="41"/>
      <c r="J4476" s="41"/>
      <c r="K4476" s="41"/>
      <c r="L4476" s="41"/>
      <c r="M4476" s="41"/>
      <c r="N4476" s="41"/>
      <c r="O4476" s="41"/>
    </row>
    <row r="4477" spans="1:15">
      <c r="A4477" s="39"/>
      <c r="B4477" s="40"/>
      <c r="C4477" s="41"/>
      <c r="D4477" s="41"/>
      <c r="E4477" s="41"/>
      <c r="F4477" s="41"/>
      <c r="G4477" s="41"/>
      <c r="H4477" s="41"/>
      <c r="I4477" s="41"/>
      <c r="J4477" s="41"/>
      <c r="K4477" s="41"/>
      <c r="L4477" s="41"/>
      <c r="M4477" s="41"/>
      <c r="N4477" s="41"/>
      <c r="O4477" s="41"/>
    </row>
    <row r="4478" spans="1:15">
      <c r="A4478" s="39"/>
      <c r="B4478" s="40"/>
      <c r="C4478" s="41"/>
      <c r="D4478" s="41"/>
      <c r="E4478" s="41"/>
      <c r="F4478" s="41"/>
      <c r="G4478" s="41"/>
      <c r="H4478" s="41"/>
      <c r="I4478" s="41"/>
      <c r="J4478" s="41"/>
      <c r="K4478" s="41"/>
      <c r="L4478" s="41"/>
      <c r="M4478" s="41"/>
      <c r="N4478" s="41"/>
      <c r="O4478" s="41"/>
    </row>
    <row r="4479" spans="1:15">
      <c r="A4479" s="39"/>
      <c r="B4479" s="40"/>
      <c r="C4479" s="41"/>
      <c r="D4479" s="41"/>
      <c r="E4479" s="41"/>
      <c r="F4479" s="41"/>
      <c r="G4479" s="41"/>
      <c r="H4479" s="41"/>
      <c r="I4479" s="41"/>
      <c r="J4479" s="41"/>
      <c r="K4479" s="41"/>
      <c r="L4479" s="41"/>
      <c r="M4479" s="41"/>
      <c r="N4479" s="41"/>
      <c r="O4479" s="41"/>
    </row>
    <row r="4480" spans="1:15">
      <c r="A4480" s="39"/>
      <c r="B4480" s="40"/>
      <c r="C4480" s="41"/>
      <c r="D4480" s="41"/>
      <c r="E4480" s="41"/>
      <c r="F4480" s="41"/>
      <c r="G4480" s="41"/>
      <c r="H4480" s="41"/>
      <c r="I4480" s="41"/>
      <c r="J4480" s="41"/>
      <c r="K4480" s="41"/>
      <c r="L4480" s="41"/>
      <c r="M4480" s="41"/>
      <c r="N4480" s="41"/>
      <c r="O4480" s="41"/>
    </row>
    <row r="4481" spans="1:15">
      <c r="A4481" s="39"/>
      <c r="B4481" s="40"/>
      <c r="C4481" s="41"/>
      <c r="D4481" s="41"/>
      <c r="E4481" s="41"/>
      <c r="F4481" s="41"/>
      <c r="G4481" s="41"/>
      <c r="H4481" s="41"/>
      <c r="I4481" s="41"/>
      <c r="J4481" s="41"/>
      <c r="K4481" s="41"/>
      <c r="L4481" s="41"/>
      <c r="M4481" s="41"/>
      <c r="N4481" s="41"/>
      <c r="O4481" s="41"/>
    </row>
    <row r="4482" spans="1:15">
      <c r="A4482" s="39"/>
      <c r="B4482" s="40"/>
      <c r="C4482" s="41"/>
      <c r="D4482" s="41"/>
      <c r="E4482" s="41"/>
      <c r="F4482" s="41"/>
      <c r="G4482" s="41"/>
      <c r="H4482" s="41"/>
      <c r="I4482" s="41"/>
      <c r="J4482" s="41"/>
      <c r="K4482" s="41"/>
      <c r="L4482" s="41"/>
      <c r="M4482" s="41"/>
      <c r="N4482" s="41"/>
      <c r="O4482" s="41"/>
    </row>
    <row r="4483" spans="1:15">
      <c r="A4483" s="39"/>
      <c r="B4483" s="40"/>
      <c r="C4483" s="41"/>
      <c r="D4483" s="41"/>
      <c r="E4483" s="41"/>
      <c r="F4483" s="41"/>
      <c r="G4483" s="41"/>
      <c r="H4483" s="41"/>
      <c r="I4483" s="41"/>
      <c r="J4483" s="41"/>
      <c r="K4483" s="41"/>
      <c r="L4483" s="41"/>
      <c r="M4483" s="41"/>
      <c r="N4483" s="41"/>
      <c r="O4483" s="41"/>
    </row>
    <row r="4484" spans="1:15">
      <c r="A4484" s="39"/>
      <c r="B4484" s="40"/>
      <c r="C4484" s="41"/>
      <c r="D4484" s="41"/>
      <c r="E4484" s="41"/>
      <c r="F4484" s="41"/>
      <c r="G4484" s="41"/>
      <c r="H4484" s="41"/>
      <c r="I4484" s="41"/>
      <c r="J4484" s="41"/>
      <c r="K4484" s="41"/>
      <c r="L4484" s="41"/>
      <c r="M4484" s="41"/>
      <c r="N4484" s="41"/>
      <c r="O4484" s="41"/>
    </row>
    <row r="4485" spans="1:15">
      <c r="A4485" s="39"/>
      <c r="B4485" s="40"/>
      <c r="C4485" s="41"/>
      <c r="D4485" s="41"/>
      <c r="E4485" s="41"/>
      <c r="F4485" s="41"/>
      <c r="G4485" s="41"/>
      <c r="H4485" s="41"/>
      <c r="I4485" s="41"/>
      <c r="J4485" s="41"/>
      <c r="K4485" s="41"/>
      <c r="L4485" s="41"/>
      <c r="M4485" s="41"/>
      <c r="N4485" s="41"/>
      <c r="O4485" s="41"/>
    </row>
    <row r="4486" spans="1:15">
      <c r="A4486" s="39"/>
      <c r="B4486" s="40"/>
      <c r="C4486" s="41"/>
      <c r="D4486" s="41"/>
      <c r="E4486" s="41"/>
      <c r="F4486" s="41"/>
      <c r="G4486" s="41"/>
      <c r="H4486" s="41"/>
      <c r="I4486" s="41"/>
      <c r="J4486" s="41"/>
      <c r="K4486" s="41"/>
      <c r="L4486" s="41"/>
      <c r="M4486" s="41"/>
      <c r="N4486" s="41"/>
      <c r="O4486" s="41"/>
    </row>
    <row r="4487" spans="1:15">
      <c r="A4487" s="39"/>
      <c r="B4487" s="40"/>
      <c r="C4487" s="41"/>
      <c r="D4487" s="41"/>
      <c r="E4487" s="41"/>
      <c r="F4487" s="41"/>
      <c r="G4487" s="41"/>
      <c r="H4487" s="41"/>
      <c r="I4487" s="41"/>
      <c r="J4487" s="41"/>
      <c r="K4487" s="41"/>
      <c r="L4487" s="41"/>
      <c r="M4487" s="41"/>
      <c r="N4487" s="41"/>
      <c r="O4487" s="41"/>
    </row>
    <row r="4488" spans="1:15">
      <c r="A4488" s="39"/>
      <c r="B4488" s="40"/>
      <c r="C4488" s="41"/>
      <c r="D4488" s="41"/>
      <c r="E4488" s="41"/>
      <c r="F4488" s="41"/>
      <c r="G4488" s="41"/>
      <c r="H4488" s="41"/>
      <c r="I4488" s="41"/>
      <c r="J4488" s="41"/>
      <c r="K4488" s="41"/>
      <c r="L4488" s="41"/>
      <c r="M4488" s="41"/>
      <c r="N4488" s="41"/>
      <c r="O4488" s="41"/>
    </row>
    <row r="4489" spans="1:15">
      <c r="A4489" s="39"/>
      <c r="B4489" s="40"/>
      <c r="C4489" s="41"/>
      <c r="D4489" s="41"/>
      <c r="E4489" s="41"/>
      <c r="F4489" s="41"/>
      <c r="G4489" s="41"/>
      <c r="H4489" s="41"/>
      <c r="I4489" s="41"/>
      <c r="J4489" s="41"/>
      <c r="K4489" s="41"/>
      <c r="L4489" s="41"/>
      <c r="M4489" s="41"/>
      <c r="N4489" s="41"/>
      <c r="O4489" s="41"/>
    </row>
    <row r="4490" spans="1:15">
      <c r="A4490" s="39"/>
      <c r="B4490" s="40"/>
      <c r="C4490" s="41"/>
      <c r="D4490" s="41"/>
      <c r="E4490" s="41"/>
      <c r="F4490" s="41"/>
      <c r="G4490" s="41"/>
      <c r="H4490" s="41"/>
      <c r="I4490" s="41"/>
      <c r="J4490" s="41"/>
      <c r="K4490" s="41"/>
      <c r="L4490" s="41"/>
      <c r="M4490" s="41"/>
      <c r="N4490" s="41"/>
      <c r="O4490" s="41"/>
    </row>
    <row r="4491" spans="1:15">
      <c r="A4491" s="39"/>
      <c r="B4491" s="40"/>
      <c r="C4491" s="41"/>
      <c r="D4491" s="41"/>
      <c r="E4491" s="41"/>
      <c r="F4491" s="41"/>
      <c r="G4491" s="41"/>
      <c r="H4491" s="41"/>
      <c r="I4491" s="41"/>
      <c r="J4491" s="41"/>
      <c r="K4491" s="41"/>
      <c r="L4491" s="41"/>
      <c r="M4491" s="41"/>
      <c r="N4491" s="41"/>
      <c r="O4491" s="41"/>
    </row>
    <row r="4492" spans="1:15">
      <c r="A4492" s="39"/>
      <c r="B4492" s="40"/>
      <c r="C4492" s="41"/>
      <c r="D4492" s="41"/>
      <c r="E4492" s="41"/>
      <c r="F4492" s="41"/>
      <c r="G4492" s="41"/>
      <c r="H4492" s="41"/>
      <c r="I4492" s="41"/>
      <c r="J4492" s="41"/>
      <c r="K4492" s="41"/>
      <c r="L4492" s="41"/>
      <c r="M4492" s="41"/>
      <c r="N4492" s="41"/>
      <c r="O4492" s="41"/>
    </row>
    <row r="4493" spans="1:15">
      <c r="A4493" s="39"/>
      <c r="B4493" s="40"/>
      <c r="C4493" s="41"/>
      <c r="D4493" s="41"/>
      <c r="E4493" s="41"/>
      <c r="F4493" s="41"/>
      <c r="G4493" s="41"/>
      <c r="H4493" s="41"/>
      <c r="I4493" s="41"/>
      <c r="J4493" s="41"/>
      <c r="K4493" s="41"/>
      <c r="L4493" s="41"/>
      <c r="M4493" s="41"/>
      <c r="N4493" s="41"/>
      <c r="O4493" s="41"/>
    </row>
    <row r="4494" spans="1:15">
      <c r="A4494" s="39"/>
      <c r="B4494" s="40"/>
      <c r="C4494" s="41"/>
      <c r="D4494" s="41"/>
      <c r="E4494" s="41"/>
      <c r="F4494" s="41"/>
      <c r="G4494" s="41"/>
      <c r="H4494" s="41"/>
      <c r="I4494" s="41"/>
      <c r="J4494" s="41"/>
      <c r="K4494" s="41"/>
      <c r="L4494" s="41"/>
      <c r="M4494" s="41"/>
      <c r="N4494" s="41"/>
      <c r="O4494" s="41"/>
    </row>
    <row r="4495" spans="1:15">
      <c r="A4495" s="39"/>
      <c r="B4495" s="40"/>
      <c r="C4495" s="41"/>
      <c r="D4495" s="41"/>
      <c r="E4495" s="41"/>
      <c r="F4495" s="41"/>
      <c r="G4495" s="41"/>
      <c r="H4495" s="41"/>
      <c r="I4495" s="41"/>
      <c r="J4495" s="41"/>
      <c r="K4495" s="41"/>
      <c r="L4495" s="41"/>
      <c r="M4495" s="41"/>
      <c r="N4495" s="41"/>
      <c r="O4495" s="41"/>
    </row>
    <row r="4496" spans="1:15">
      <c r="A4496" s="39"/>
      <c r="B4496" s="40"/>
      <c r="C4496" s="41"/>
      <c r="D4496" s="41"/>
      <c r="E4496" s="41"/>
      <c r="F4496" s="41"/>
      <c r="G4496" s="41"/>
      <c r="H4496" s="41"/>
      <c r="I4496" s="41"/>
      <c r="J4496" s="41"/>
      <c r="K4496" s="41"/>
      <c r="L4496" s="41"/>
      <c r="M4496" s="41"/>
      <c r="N4496" s="41"/>
      <c r="O4496" s="41"/>
    </row>
    <row r="4497" spans="1:15">
      <c r="A4497" s="39"/>
      <c r="B4497" s="40"/>
      <c r="C4497" s="41"/>
      <c r="D4497" s="41"/>
      <c r="E4497" s="41"/>
      <c r="F4497" s="41"/>
      <c r="G4497" s="41"/>
      <c r="H4497" s="41"/>
      <c r="I4497" s="41"/>
      <c r="J4497" s="41"/>
      <c r="K4497" s="41"/>
      <c r="L4497" s="41"/>
      <c r="M4497" s="41"/>
      <c r="N4497" s="41"/>
      <c r="O4497" s="41"/>
    </row>
    <row r="4498" spans="1:15">
      <c r="A4498" s="39"/>
      <c r="B4498" s="40"/>
      <c r="C4498" s="41"/>
      <c r="D4498" s="41"/>
      <c r="E4498" s="41"/>
      <c r="F4498" s="41"/>
      <c r="G4498" s="41"/>
      <c r="H4498" s="41"/>
      <c r="I4498" s="41"/>
      <c r="J4498" s="41"/>
      <c r="K4498" s="41"/>
      <c r="L4498" s="41"/>
      <c r="M4498" s="41"/>
      <c r="N4498" s="41"/>
      <c r="O4498" s="41"/>
    </row>
    <row r="4499" spans="1:15">
      <c r="A4499" s="39"/>
      <c r="B4499" s="40"/>
      <c r="C4499" s="41"/>
      <c r="D4499" s="41"/>
      <c r="E4499" s="41"/>
      <c r="F4499" s="41"/>
      <c r="G4499" s="41"/>
      <c r="H4499" s="41"/>
      <c r="I4499" s="41"/>
      <c r="J4499" s="41"/>
      <c r="K4499" s="41"/>
      <c r="L4499" s="41"/>
      <c r="M4499" s="41"/>
      <c r="N4499" s="41"/>
      <c r="O4499" s="41"/>
    </row>
    <row r="4500" spans="1:15">
      <c r="A4500" s="39"/>
      <c r="B4500" s="40"/>
      <c r="C4500" s="41"/>
      <c r="D4500" s="41"/>
      <c r="E4500" s="41"/>
      <c r="F4500" s="41"/>
      <c r="G4500" s="41"/>
      <c r="H4500" s="41"/>
      <c r="I4500" s="41"/>
      <c r="J4500" s="41"/>
      <c r="K4500" s="41"/>
      <c r="L4500" s="41"/>
      <c r="M4500" s="41"/>
      <c r="N4500" s="41"/>
      <c r="O4500" s="41"/>
    </row>
    <row r="4501" spans="1:15">
      <c r="A4501" s="39"/>
      <c r="B4501" s="40"/>
      <c r="C4501" s="41"/>
      <c r="D4501" s="41"/>
      <c r="E4501" s="41"/>
      <c r="F4501" s="41"/>
      <c r="G4501" s="41"/>
      <c r="H4501" s="41"/>
      <c r="I4501" s="41"/>
      <c r="J4501" s="41"/>
      <c r="K4501" s="41"/>
      <c r="L4501" s="41"/>
      <c r="M4501" s="41"/>
      <c r="N4501" s="41"/>
      <c r="O4501" s="41"/>
    </row>
    <row r="4502" spans="1:15">
      <c r="A4502" s="39"/>
      <c r="B4502" s="40"/>
      <c r="C4502" s="41"/>
      <c r="D4502" s="41"/>
      <c r="E4502" s="41"/>
      <c r="F4502" s="41"/>
      <c r="G4502" s="41"/>
      <c r="H4502" s="41"/>
      <c r="I4502" s="41"/>
      <c r="J4502" s="41"/>
      <c r="K4502" s="41"/>
      <c r="L4502" s="41"/>
      <c r="M4502" s="41"/>
      <c r="N4502" s="41"/>
      <c r="O4502" s="41"/>
    </row>
    <row r="4503" spans="1:15">
      <c r="A4503" s="39"/>
      <c r="B4503" s="40"/>
      <c r="C4503" s="41"/>
      <c r="D4503" s="41"/>
      <c r="E4503" s="41"/>
      <c r="F4503" s="41"/>
      <c r="G4503" s="41"/>
      <c r="H4503" s="41"/>
      <c r="I4503" s="41"/>
      <c r="J4503" s="41"/>
      <c r="K4503" s="41"/>
      <c r="L4503" s="41"/>
      <c r="M4503" s="41"/>
      <c r="N4503" s="41"/>
      <c r="O4503" s="41"/>
    </row>
    <row r="4504" spans="1:15">
      <c r="A4504" s="39"/>
      <c r="B4504" s="40"/>
      <c r="C4504" s="41"/>
      <c r="D4504" s="41"/>
      <c r="E4504" s="41"/>
      <c r="F4504" s="41"/>
      <c r="G4504" s="41"/>
      <c r="H4504" s="41"/>
      <c r="I4504" s="41"/>
      <c r="J4504" s="41"/>
      <c r="K4504" s="41"/>
      <c r="L4504" s="41"/>
      <c r="M4504" s="41"/>
      <c r="N4504" s="41"/>
      <c r="O4504" s="41"/>
    </row>
    <row r="4505" spans="1:15">
      <c r="A4505" s="39"/>
      <c r="B4505" s="40"/>
      <c r="C4505" s="41"/>
      <c r="D4505" s="41"/>
      <c r="E4505" s="41"/>
      <c r="F4505" s="41"/>
      <c r="G4505" s="41"/>
      <c r="H4505" s="41"/>
      <c r="I4505" s="41"/>
      <c r="J4505" s="41"/>
      <c r="K4505" s="41"/>
      <c r="L4505" s="41"/>
      <c r="M4505" s="41"/>
      <c r="N4505" s="41"/>
      <c r="O4505" s="41"/>
    </row>
    <row r="4506" spans="1:15">
      <c r="A4506" s="39"/>
      <c r="B4506" s="40"/>
      <c r="C4506" s="41"/>
      <c r="D4506" s="41"/>
      <c r="E4506" s="41"/>
      <c r="F4506" s="41"/>
      <c r="G4506" s="41"/>
      <c r="H4506" s="41"/>
      <c r="I4506" s="41"/>
      <c r="J4506" s="41"/>
      <c r="K4506" s="41"/>
      <c r="L4506" s="41"/>
      <c r="M4506" s="41"/>
      <c r="N4506" s="41"/>
      <c r="O4506" s="41"/>
    </row>
    <row r="4507" spans="1:15">
      <c r="A4507" s="39"/>
      <c r="B4507" s="40"/>
      <c r="C4507" s="41"/>
      <c r="D4507" s="41"/>
      <c r="E4507" s="41"/>
      <c r="F4507" s="41"/>
      <c r="G4507" s="41"/>
      <c r="H4507" s="41"/>
      <c r="I4507" s="41"/>
      <c r="J4507" s="41"/>
      <c r="K4507" s="41"/>
      <c r="L4507" s="41"/>
      <c r="M4507" s="41"/>
      <c r="N4507" s="41"/>
      <c r="O4507" s="41"/>
    </row>
    <row r="4508" spans="1:15">
      <c r="A4508" s="39"/>
      <c r="B4508" s="40"/>
      <c r="C4508" s="41"/>
      <c r="D4508" s="41"/>
      <c r="E4508" s="41"/>
      <c r="F4508" s="41"/>
      <c r="G4508" s="41"/>
      <c r="H4508" s="41"/>
      <c r="I4508" s="41"/>
      <c r="J4508" s="41"/>
      <c r="K4508" s="41"/>
      <c r="L4508" s="41"/>
      <c r="M4508" s="41"/>
      <c r="N4508" s="41"/>
      <c r="O4508" s="41"/>
    </row>
    <row r="4509" spans="1:15">
      <c r="A4509" s="39"/>
      <c r="B4509" s="40"/>
      <c r="C4509" s="41"/>
      <c r="D4509" s="41"/>
      <c r="E4509" s="41"/>
      <c r="F4509" s="41"/>
      <c r="G4509" s="41"/>
      <c r="H4509" s="41"/>
      <c r="I4509" s="41"/>
      <c r="J4509" s="41"/>
      <c r="K4509" s="41"/>
      <c r="L4509" s="41"/>
      <c r="M4509" s="41"/>
      <c r="N4509" s="41"/>
      <c r="O4509" s="41"/>
    </row>
    <row r="4510" spans="1:15">
      <c r="A4510" s="39"/>
      <c r="B4510" s="40"/>
      <c r="C4510" s="41"/>
      <c r="D4510" s="41"/>
      <c r="E4510" s="41"/>
      <c r="F4510" s="41"/>
      <c r="G4510" s="41"/>
      <c r="H4510" s="41"/>
      <c r="I4510" s="41"/>
      <c r="J4510" s="41"/>
      <c r="K4510" s="41"/>
      <c r="L4510" s="41"/>
      <c r="M4510" s="41"/>
      <c r="N4510" s="41"/>
      <c r="O4510" s="41"/>
    </row>
    <row r="4511" spans="1:15">
      <c r="A4511" s="39"/>
      <c r="B4511" s="40"/>
      <c r="C4511" s="41"/>
      <c r="D4511" s="41"/>
      <c r="E4511" s="41"/>
      <c r="F4511" s="41"/>
      <c r="G4511" s="41"/>
      <c r="H4511" s="41"/>
      <c r="I4511" s="41"/>
      <c r="J4511" s="41"/>
      <c r="K4511" s="41"/>
      <c r="L4511" s="41"/>
      <c r="M4511" s="41"/>
      <c r="N4511" s="41"/>
      <c r="O4511" s="41"/>
    </row>
    <row r="4512" spans="1:15">
      <c r="A4512" s="39"/>
      <c r="B4512" s="40"/>
      <c r="C4512" s="41"/>
      <c r="D4512" s="41"/>
      <c r="E4512" s="41"/>
      <c r="F4512" s="41"/>
      <c r="G4512" s="41"/>
      <c r="H4512" s="41"/>
      <c r="I4512" s="41"/>
      <c r="J4512" s="41"/>
      <c r="K4512" s="41"/>
      <c r="L4512" s="41"/>
      <c r="M4512" s="41"/>
      <c r="N4512" s="41"/>
      <c r="O4512" s="41"/>
    </row>
    <row r="4513" spans="1:15">
      <c r="A4513" s="39"/>
      <c r="B4513" s="40"/>
      <c r="C4513" s="41"/>
      <c r="D4513" s="41"/>
      <c r="E4513" s="41"/>
      <c r="F4513" s="41"/>
      <c r="G4513" s="41"/>
      <c r="H4513" s="41"/>
      <c r="I4513" s="41"/>
      <c r="J4513" s="41"/>
      <c r="K4513" s="41"/>
      <c r="L4513" s="41"/>
      <c r="M4513" s="41"/>
      <c r="N4513" s="41"/>
      <c r="O4513" s="41"/>
    </row>
    <row r="4514" spans="1:15">
      <c r="A4514" s="39"/>
      <c r="B4514" s="40"/>
      <c r="C4514" s="41"/>
      <c r="D4514" s="41"/>
      <c r="E4514" s="41"/>
      <c r="F4514" s="41"/>
      <c r="G4514" s="41"/>
      <c r="H4514" s="41"/>
      <c r="I4514" s="41"/>
      <c r="J4514" s="41"/>
      <c r="K4514" s="41"/>
      <c r="L4514" s="41"/>
      <c r="M4514" s="41"/>
      <c r="N4514" s="41"/>
      <c r="O4514" s="41"/>
    </row>
    <row r="4515" spans="1:15">
      <c r="A4515" s="39"/>
      <c r="B4515" s="40"/>
      <c r="C4515" s="41"/>
      <c r="D4515" s="41"/>
      <c r="E4515" s="41"/>
      <c r="F4515" s="41"/>
      <c r="G4515" s="41"/>
      <c r="H4515" s="41"/>
      <c r="I4515" s="41"/>
      <c r="J4515" s="41"/>
      <c r="K4515" s="41"/>
      <c r="L4515" s="41"/>
      <c r="M4515" s="41"/>
      <c r="N4515" s="41"/>
      <c r="O4515" s="41"/>
    </row>
    <row r="4516" spans="1:15">
      <c r="A4516" s="39"/>
      <c r="B4516" s="40"/>
      <c r="C4516" s="41"/>
      <c r="D4516" s="41"/>
      <c r="E4516" s="41"/>
      <c r="F4516" s="41"/>
      <c r="G4516" s="41"/>
      <c r="H4516" s="41"/>
      <c r="I4516" s="41"/>
      <c r="J4516" s="41"/>
      <c r="K4516" s="41"/>
      <c r="L4516" s="41"/>
      <c r="M4516" s="41"/>
      <c r="N4516" s="41"/>
      <c r="O4516" s="41"/>
    </row>
    <row r="4517" spans="1:15">
      <c r="A4517" s="39"/>
      <c r="B4517" s="40"/>
      <c r="C4517" s="41"/>
      <c r="D4517" s="41"/>
      <c r="E4517" s="41"/>
      <c r="F4517" s="41"/>
      <c r="G4517" s="41"/>
      <c r="H4517" s="41"/>
      <c r="I4517" s="41"/>
      <c r="J4517" s="41"/>
      <c r="K4517" s="41"/>
      <c r="L4517" s="41"/>
      <c r="M4517" s="41"/>
      <c r="N4517" s="41"/>
      <c r="O4517" s="41"/>
    </row>
    <row r="4518" spans="1:15">
      <c r="A4518" s="39"/>
      <c r="B4518" s="40"/>
      <c r="C4518" s="41"/>
      <c r="D4518" s="41"/>
      <c r="E4518" s="41"/>
      <c r="F4518" s="41"/>
      <c r="G4518" s="41"/>
      <c r="H4518" s="41"/>
      <c r="I4518" s="41"/>
      <c r="J4518" s="41"/>
      <c r="K4518" s="41"/>
      <c r="L4518" s="41"/>
      <c r="M4518" s="41"/>
      <c r="N4518" s="41"/>
      <c r="O4518" s="41"/>
    </row>
    <row r="4519" spans="1:15">
      <c r="A4519" s="39"/>
      <c r="B4519" s="40"/>
      <c r="C4519" s="41"/>
      <c r="D4519" s="41"/>
      <c r="E4519" s="41"/>
      <c r="F4519" s="41"/>
      <c r="G4519" s="41"/>
      <c r="H4519" s="41"/>
      <c r="I4519" s="41"/>
      <c r="J4519" s="41"/>
      <c r="K4519" s="41"/>
      <c r="L4519" s="41"/>
      <c r="M4519" s="41"/>
      <c r="N4519" s="41"/>
      <c r="O4519" s="41"/>
    </row>
    <row r="4520" spans="1:15">
      <c r="A4520" s="39"/>
      <c r="B4520" s="40"/>
      <c r="C4520" s="41"/>
      <c r="D4520" s="41"/>
      <c r="E4520" s="41"/>
      <c r="F4520" s="41"/>
      <c r="G4520" s="41"/>
      <c r="H4520" s="41"/>
      <c r="I4520" s="41"/>
      <c r="J4520" s="41"/>
      <c r="K4520" s="41"/>
      <c r="L4520" s="41"/>
      <c r="M4520" s="41"/>
      <c r="N4520" s="41"/>
      <c r="O4520" s="41"/>
    </row>
    <row r="4521" spans="1:15">
      <c r="A4521" s="39"/>
      <c r="B4521" s="40"/>
      <c r="C4521" s="41"/>
      <c r="D4521" s="41"/>
      <c r="E4521" s="41"/>
      <c r="F4521" s="41"/>
      <c r="G4521" s="41"/>
      <c r="H4521" s="41"/>
      <c r="I4521" s="41"/>
      <c r="J4521" s="41"/>
      <c r="K4521" s="41"/>
      <c r="L4521" s="41"/>
      <c r="M4521" s="41"/>
      <c r="N4521" s="41"/>
      <c r="O4521" s="41"/>
    </row>
    <row r="4522" spans="1:15">
      <c r="A4522" s="39"/>
      <c r="B4522" s="40"/>
      <c r="C4522" s="41"/>
      <c r="D4522" s="41"/>
      <c r="E4522" s="41"/>
      <c r="F4522" s="41"/>
      <c r="G4522" s="41"/>
      <c r="H4522" s="41"/>
      <c r="I4522" s="41"/>
      <c r="J4522" s="41"/>
      <c r="K4522" s="41"/>
      <c r="L4522" s="41"/>
      <c r="M4522" s="41"/>
      <c r="N4522" s="41"/>
      <c r="O4522" s="41"/>
    </row>
    <row r="4523" spans="1:15">
      <c r="A4523" s="39"/>
      <c r="B4523" s="40"/>
      <c r="C4523" s="41"/>
      <c r="D4523" s="41"/>
      <c r="E4523" s="41"/>
      <c r="F4523" s="41"/>
      <c r="G4523" s="41"/>
      <c r="H4523" s="41"/>
      <c r="I4523" s="41"/>
      <c r="J4523" s="41"/>
      <c r="K4523" s="41"/>
      <c r="L4523" s="41"/>
      <c r="M4523" s="41"/>
      <c r="N4523" s="41"/>
      <c r="O4523" s="41"/>
    </row>
    <row r="4524" spans="1:15">
      <c r="A4524" s="39"/>
      <c r="B4524" s="40"/>
      <c r="C4524" s="41"/>
      <c r="D4524" s="41"/>
      <c r="E4524" s="41"/>
      <c r="F4524" s="41"/>
      <c r="G4524" s="41"/>
      <c r="H4524" s="41"/>
      <c r="I4524" s="41"/>
      <c r="J4524" s="41"/>
      <c r="K4524" s="41"/>
      <c r="L4524" s="41"/>
      <c r="M4524" s="41"/>
      <c r="N4524" s="41"/>
      <c r="O4524" s="41"/>
    </row>
    <row r="4525" spans="1:15">
      <c r="A4525" s="39"/>
      <c r="B4525" s="40"/>
      <c r="C4525" s="41"/>
      <c r="D4525" s="41"/>
      <c r="E4525" s="41"/>
      <c r="F4525" s="41"/>
      <c r="G4525" s="41"/>
      <c r="H4525" s="41"/>
      <c r="I4525" s="41"/>
      <c r="J4525" s="41"/>
      <c r="K4525" s="41"/>
      <c r="L4525" s="41"/>
      <c r="M4525" s="41"/>
      <c r="N4525" s="41"/>
      <c r="O4525" s="41"/>
    </row>
    <row r="4526" spans="1:15">
      <c r="A4526" s="39"/>
      <c r="B4526" s="40"/>
      <c r="C4526" s="41"/>
      <c r="D4526" s="41"/>
      <c r="E4526" s="41"/>
      <c r="F4526" s="41"/>
      <c r="G4526" s="41"/>
      <c r="H4526" s="41"/>
      <c r="I4526" s="41"/>
      <c r="J4526" s="41"/>
      <c r="K4526" s="41"/>
      <c r="L4526" s="41"/>
      <c r="M4526" s="41"/>
      <c r="N4526" s="41"/>
      <c r="O4526" s="41"/>
    </row>
    <row r="4527" spans="1:15">
      <c r="A4527" s="39"/>
      <c r="B4527" s="40"/>
      <c r="C4527" s="41"/>
      <c r="D4527" s="41"/>
      <c r="E4527" s="41"/>
      <c r="F4527" s="41"/>
      <c r="G4527" s="41"/>
      <c r="H4527" s="41"/>
      <c r="I4527" s="41"/>
      <c r="J4527" s="41"/>
      <c r="K4527" s="41"/>
      <c r="L4527" s="41"/>
      <c r="M4527" s="41"/>
      <c r="N4527" s="41"/>
      <c r="O4527" s="41"/>
    </row>
    <row r="4528" spans="1:15">
      <c r="A4528" s="39"/>
      <c r="B4528" s="40"/>
      <c r="C4528" s="41"/>
      <c r="D4528" s="41"/>
      <c r="E4528" s="41"/>
      <c r="F4528" s="41"/>
      <c r="G4528" s="41"/>
      <c r="H4528" s="41"/>
      <c r="I4528" s="41"/>
      <c r="J4528" s="41"/>
      <c r="K4528" s="41"/>
      <c r="L4528" s="41"/>
      <c r="M4528" s="41"/>
      <c r="N4528" s="41"/>
      <c r="O4528" s="41"/>
    </row>
    <row r="4529" spans="1:15">
      <c r="A4529" s="39"/>
      <c r="B4529" s="40"/>
      <c r="C4529" s="41"/>
      <c r="D4529" s="41"/>
      <c r="E4529" s="41"/>
      <c r="F4529" s="41"/>
      <c r="G4529" s="41"/>
      <c r="H4529" s="41"/>
      <c r="I4529" s="41"/>
      <c r="J4529" s="41"/>
      <c r="K4529" s="41"/>
      <c r="L4529" s="41"/>
      <c r="M4529" s="41"/>
      <c r="N4529" s="41"/>
      <c r="O4529" s="41"/>
    </row>
    <row r="4530" spans="1:15">
      <c r="A4530" s="39"/>
      <c r="B4530" s="40"/>
      <c r="C4530" s="41"/>
      <c r="D4530" s="41"/>
      <c r="E4530" s="41"/>
      <c r="F4530" s="41"/>
      <c r="G4530" s="41"/>
      <c r="H4530" s="41"/>
      <c r="I4530" s="41"/>
      <c r="J4530" s="41"/>
      <c r="K4530" s="41"/>
      <c r="L4530" s="41"/>
      <c r="M4530" s="41"/>
      <c r="N4530" s="41"/>
      <c r="O4530" s="41"/>
    </row>
    <row r="4531" spans="1:15">
      <c r="A4531" s="39"/>
      <c r="B4531" s="40"/>
      <c r="C4531" s="41"/>
      <c r="D4531" s="41"/>
      <c r="E4531" s="41"/>
      <c r="F4531" s="41"/>
      <c r="G4531" s="41"/>
      <c r="H4531" s="41"/>
      <c r="I4531" s="41"/>
      <c r="J4531" s="41"/>
      <c r="K4531" s="41"/>
      <c r="L4531" s="41"/>
      <c r="M4531" s="41"/>
      <c r="N4531" s="41"/>
      <c r="O4531" s="41"/>
    </row>
    <row r="4532" spans="1:15">
      <c r="A4532" s="39"/>
      <c r="B4532" s="40"/>
      <c r="C4532" s="41"/>
      <c r="D4532" s="41"/>
      <c r="E4532" s="41"/>
      <c r="F4532" s="41"/>
      <c r="G4532" s="41"/>
      <c r="H4532" s="41"/>
      <c r="I4532" s="41"/>
      <c r="J4532" s="41"/>
      <c r="K4532" s="41"/>
      <c r="L4532" s="41"/>
      <c r="M4532" s="41"/>
      <c r="N4532" s="41"/>
      <c r="O4532" s="41"/>
    </row>
    <row r="4533" spans="1:15">
      <c r="A4533" s="39"/>
      <c r="B4533" s="40"/>
      <c r="C4533" s="41"/>
      <c r="D4533" s="41"/>
      <c r="E4533" s="41"/>
      <c r="F4533" s="41"/>
      <c r="G4533" s="41"/>
      <c r="H4533" s="41"/>
      <c r="I4533" s="41"/>
      <c r="J4533" s="41"/>
      <c r="K4533" s="41"/>
      <c r="L4533" s="41"/>
      <c r="M4533" s="41"/>
      <c r="N4533" s="41"/>
      <c r="O4533" s="41"/>
    </row>
    <row r="4534" spans="1:15">
      <c r="A4534" s="39"/>
      <c r="B4534" s="40"/>
      <c r="C4534" s="41"/>
      <c r="D4534" s="41"/>
      <c r="E4534" s="41"/>
      <c r="F4534" s="41"/>
      <c r="G4534" s="41"/>
      <c r="H4534" s="41"/>
      <c r="I4534" s="41"/>
      <c r="J4534" s="41"/>
      <c r="K4534" s="41"/>
      <c r="L4534" s="41"/>
      <c r="M4534" s="41"/>
      <c r="N4534" s="41"/>
      <c r="O4534" s="41"/>
    </row>
    <row r="4535" spans="1:15">
      <c r="A4535" s="39"/>
      <c r="B4535" s="40"/>
      <c r="C4535" s="41"/>
      <c r="D4535" s="41"/>
      <c r="E4535" s="41"/>
      <c r="F4535" s="41"/>
      <c r="G4535" s="41"/>
      <c r="H4535" s="41"/>
      <c r="I4535" s="41"/>
      <c r="J4535" s="41"/>
      <c r="K4535" s="41"/>
      <c r="L4535" s="41"/>
      <c r="M4535" s="41"/>
      <c r="N4535" s="41"/>
      <c r="O4535" s="41"/>
    </row>
    <row r="4536" spans="1:15">
      <c r="A4536" s="39"/>
      <c r="B4536" s="40"/>
      <c r="C4536" s="41"/>
      <c r="D4536" s="41"/>
      <c r="E4536" s="41"/>
      <c r="F4536" s="41"/>
      <c r="G4536" s="41"/>
      <c r="H4536" s="41"/>
      <c r="I4536" s="41"/>
      <c r="J4536" s="41"/>
      <c r="K4536" s="41"/>
      <c r="L4536" s="41"/>
      <c r="M4536" s="41"/>
      <c r="N4536" s="41"/>
      <c r="O4536" s="41"/>
    </row>
    <row r="4537" spans="1:15">
      <c r="A4537" s="39"/>
      <c r="B4537" s="40"/>
      <c r="C4537" s="41"/>
      <c r="D4537" s="41"/>
      <c r="E4537" s="41"/>
      <c r="F4537" s="41"/>
      <c r="G4537" s="41"/>
      <c r="H4537" s="41"/>
      <c r="I4537" s="41"/>
      <c r="J4537" s="41"/>
      <c r="K4537" s="41"/>
      <c r="L4537" s="41"/>
      <c r="M4537" s="41"/>
      <c r="N4537" s="41"/>
      <c r="O4537" s="41"/>
    </row>
    <row r="4538" spans="1:15">
      <c r="A4538" s="39"/>
      <c r="B4538" s="40"/>
      <c r="C4538" s="41"/>
      <c r="D4538" s="41"/>
      <c r="E4538" s="41"/>
      <c r="F4538" s="41"/>
      <c r="G4538" s="41"/>
      <c r="H4538" s="41"/>
      <c r="I4538" s="41"/>
      <c r="J4538" s="41"/>
      <c r="K4538" s="41"/>
      <c r="L4538" s="41"/>
      <c r="M4538" s="41"/>
      <c r="N4538" s="41"/>
      <c r="O4538" s="41"/>
    </row>
    <row r="4539" spans="1:15">
      <c r="A4539" s="39"/>
      <c r="B4539" s="40"/>
      <c r="C4539" s="41"/>
      <c r="D4539" s="41"/>
      <c r="E4539" s="41"/>
      <c r="F4539" s="41"/>
      <c r="G4539" s="41"/>
      <c r="H4539" s="41"/>
      <c r="I4539" s="41"/>
      <c r="J4539" s="41"/>
      <c r="K4539" s="41"/>
      <c r="L4539" s="41"/>
      <c r="M4539" s="41"/>
      <c r="N4539" s="41"/>
      <c r="O4539" s="41"/>
    </row>
    <row r="4540" spans="1:15">
      <c r="A4540" s="39"/>
      <c r="B4540" s="40"/>
      <c r="C4540" s="41"/>
      <c r="D4540" s="41"/>
      <c r="E4540" s="41"/>
      <c r="F4540" s="41"/>
      <c r="G4540" s="41"/>
      <c r="H4540" s="41"/>
      <c r="I4540" s="41"/>
      <c r="J4540" s="41"/>
      <c r="K4540" s="41"/>
      <c r="L4540" s="41"/>
      <c r="M4540" s="41"/>
      <c r="N4540" s="41"/>
      <c r="O4540" s="41"/>
    </row>
    <row r="4541" spans="1:15">
      <c r="A4541" s="39"/>
      <c r="B4541" s="40"/>
      <c r="C4541" s="41"/>
      <c r="D4541" s="41"/>
      <c r="E4541" s="41"/>
      <c r="F4541" s="41"/>
      <c r="G4541" s="41"/>
      <c r="H4541" s="41"/>
      <c r="I4541" s="41"/>
      <c r="J4541" s="41"/>
      <c r="K4541" s="41"/>
      <c r="L4541" s="41"/>
      <c r="M4541" s="41"/>
      <c r="N4541" s="41"/>
      <c r="O4541" s="41"/>
    </row>
    <row r="4542" spans="1:15">
      <c r="A4542" s="39"/>
      <c r="B4542" s="40"/>
      <c r="C4542" s="41"/>
      <c r="D4542" s="41"/>
      <c r="E4542" s="41"/>
      <c r="F4542" s="41"/>
      <c r="G4542" s="41"/>
      <c r="H4542" s="41"/>
      <c r="I4542" s="41"/>
      <c r="J4542" s="41"/>
      <c r="K4542" s="41"/>
      <c r="L4542" s="41"/>
      <c r="M4542" s="41"/>
      <c r="N4542" s="41"/>
      <c r="O4542" s="41"/>
    </row>
    <row r="4543" spans="1:15">
      <c r="A4543" s="39"/>
      <c r="B4543" s="40"/>
      <c r="C4543" s="41"/>
      <c r="D4543" s="41"/>
      <c r="E4543" s="41"/>
      <c r="F4543" s="41"/>
      <c r="G4543" s="41"/>
      <c r="H4543" s="41"/>
      <c r="I4543" s="41"/>
      <c r="J4543" s="41"/>
      <c r="K4543" s="41"/>
      <c r="L4543" s="41"/>
      <c r="M4543" s="41"/>
      <c r="N4543" s="41"/>
      <c r="O4543" s="41"/>
    </row>
    <row r="4544" spans="1:15">
      <c r="A4544" s="39"/>
      <c r="B4544" s="40"/>
      <c r="C4544" s="41"/>
      <c r="D4544" s="41"/>
      <c r="E4544" s="41"/>
      <c r="F4544" s="41"/>
      <c r="G4544" s="41"/>
      <c r="H4544" s="41"/>
      <c r="I4544" s="41"/>
      <c r="J4544" s="41"/>
      <c r="K4544" s="41"/>
      <c r="L4544" s="41"/>
      <c r="M4544" s="41"/>
      <c r="N4544" s="41"/>
      <c r="O4544" s="41"/>
    </row>
    <row r="4545" spans="1:15">
      <c r="A4545" s="39"/>
      <c r="B4545" s="40"/>
      <c r="C4545" s="41"/>
      <c r="D4545" s="41"/>
      <c r="E4545" s="41"/>
      <c r="F4545" s="41"/>
      <c r="G4545" s="41"/>
      <c r="H4545" s="41"/>
      <c r="I4545" s="41"/>
      <c r="J4545" s="41"/>
      <c r="K4545" s="41"/>
      <c r="L4545" s="41"/>
      <c r="M4545" s="41"/>
      <c r="N4545" s="41"/>
      <c r="O4545" s="41"/>
    </row>
    <row r="4546" spans="1:15">
      <c r="A4546" s="39"/>
      <c r="B4546" s="40"/>
      <c r="C4546" s="41"/>
      <c r="D4546" s="41"/>
      <c r="E4546" s="41"/>
      <c r="F4546" s="41"/>
      <c r="G4546" s="41"/>
      <c r="H4546" s="41"/>
      <c r="I4546" s="41"/>
      <c r="J4546" s="41"/>
      <c r="K4546" s="41"/>
      <c r="L4546" s="41"/>
      <c r="M4546" s="41"/>
      <c r="N4546" s="41"/>
      <c r="O4546" s="41"/>
    </row>
    <row r="4547" spans="1:15">
      <c r="A4547" s="39"/>
      <c r="B4547" s="40"/>
      <c r="C4547" s="41"/>
      <c r="D4547" s="41"/>
      <c r="E4547" s="41"/>
      <c r="F4547" s="41"/>
      <c r="G4547" s="41"/>
      <c r="H4547" s="41"/>
      <c r="I4547" s="41"/>
      <c r="J4547" s="41"/>
      <c r="K4547" s="41"/>
      <c r="L4547" s="41"/>
      <c r="M4547" s="41"/>
      <c r="N4547" s="41"/>
      <c r="O4547" s="41"/>
    </row>
    <row r="4548" spans="1:15">
      <c r="A4548" s="39"/>
      <c r="B4548" s="40"/>
      <c r="C4548" s="41"/>
      <c r="D4548" s="41"/>
      <c r="E4548" s="41"/>
      <c r="F4548" s="41"/>
      <c r="G4548" s="41"/>
      <c r="H4548" s="41"/>
      <c r="I4548" s="41"/>
      <c r="J4548" s="41"/>
      <c r="K4548" s="41"/>
      <c r="L4548" s="41"/>
      <c r="M4548" s="41"/>
      <c r="N4548" s="41"/>
      <c r="O4548" s="41"/>
    </row>
    <row r="4549" spans="1:15">
      <c r="A4549" s="39"/>
      <c r="B4549" s="40"/>
      <c r="C4549" s="41"/>
      <c r="D4549" s="41"/>
      <c r="E4549" s="41"/>
      <c r="F4549" s="41"/>
      <c r="G4549" s="41"/>
      <c r="H4549" s="41"/>
      <c r="I4549" s="41"/>
      <c r="J4549" s="41"/>
      <c r="K4549" s="41"/>
      <c r="L4549" s="41"/>
      <c r="M4549" s="41"/>
      <c r="N4549" s="41"/>
      <c r="O4549" s="41"/>
    </row>
    <row r="4550" spans="1:15">
      <c r="A4550" s="39"/>
      <c r="B4550" s="40"/>
      <c r="C4550" s="41"/>
      <c r="D4550" s="41"/>
      <c r="E4550" s="41"/>
      <c r="F4550" s="41"/>
      <c r="G4550" s="41"/>
      <c r="H4550" s="41"/>
      <c r="I4550" s="41"/>
      <c r="J4550" s="41"/>
      <c r="K4550" s="41"/>
      <c r="L4550" s="41"/>
      <c r="M4550" s="41"/>
      <c r="N4550" s="41"/>
      <c r="O4550" s="41"/>
    </row>
    <row r="4551" spans="1:15">
      <c r="A4551" s="39"/>
      <c r="B4551" s="40"/>
      <c r="C4551" s="41"/>
      <c r="D4551" s="41"/>
      <c r="E4551" s="41"/>
      <c r="F4551" s="41"/>
      <c r="G4551" s="41"/>
      <c r="H4551" s="41"/>
      <c r="I4551" s="41"/>
      <c r="J4551" s="41"/>
      <c r="K4551" s="41"/>
      <c r="L4551" s="41"/>
      <c r="M4551" s="41"/>
      <c r="N4551" s="41"/>
      <c r="O4551" s="41"/>
    </row>
    <row r="4552" spans="1:15">
      <c r="A4552" s="39"/>
      <c r="B4552" s="40"/>
      <c r="C4552" s="41"/>
      <c r="D4552" s="41"/>
      <c r="E4552" s="41"/>
      <c r="F4552" s="41"/>
      <c r="G4552" s="41"/>
      <c r="H4552" s="41"/>
      <c r="I4552" s="41"/>
      <c r="J4552" s="41"/>
      <c r="K4552" s="41"/>
      <c r="L4552" s="41"/>
      <c r="M4552" s="41"/>
      <c r="N4552" s="41"/>
      <c r="O4552" s="41"/>
    </row>
    <row r="4553" spans="1:15">
      <c r="A4553" s="39"/>
      <c r="B4553" s="40"/>
      <c r="C4553" s="41"/>
      <c r="D4553" s="41"/>
      <c r="E4553" s="41"/>
      <c r="F4553" s="41"/>
      <c r="G4553" s="41"/>
      <c r="H4553" s="41"/>
      <c r="I4553" s="41"/>
      <c r="J4553" s="41"/>
      <c r="K4553" s="41"/>
      <c r="L4553" s="41"/>
      <c r="M4553" s="41"/>
      <c r="N4553" s="41"/>
      <c r="O4553" s="41"/>
    </row>
    <row r="4554" spans="1:15">
      <c r="A4554" s="39"/>
      <c r="B4554" s="40"/>
      <c r="C4554" s="41"/>
      <c r="D4554" s="41"/>
      <c r="E4554" s="41"/>
      <c r="F4554" s="41"/>
      <c r="G4554" s="41"/>
      <c r="H4554" s="41"/>
      <c r="I4554" s="41"/>
      <c r="J4554" s="41"/>
      <c r="K4554" s="41"/>
      <c r="L4554" s="41"/>
      <c r="M4554" s="41"/>
      <c r="N4554" s="41"/>
      <c r="O4554" s="41"/>
    </row>
    <row r="4555" spans="1:15">
      <c r="A4555" s="39"/>
      <c r="B4555" s="40"/>
      <c r="C4555" s="41"/>
      <c r="D4555" s="41"/>
      <c r="E4555" s="41"/>
      <c r="F4555" s="41"/>
      <c r="G4555" s="41"/>
      <c r="H4555" s="41"/>
      <c r="I4555" s="41"/>
      <c r="J4555" s="41"/>
      <c r="K4555" s="41"/>
      <c r="L4555" s="41"/>
      <c r="M4555" s="41"/>
      <c r="N4555" s="41"/>
      <c r="O4555" s="41"/>
    </row>
    <row r="4556" spans="1:15">
      <c r="A4556" s="39"/>
      <c r="B4556" s="40"/>
      <c r="C4556" s="41"/>
      <c r="D4556" s="41"/>
      <c r="E4556" s="41"/>
      <c r="F4556" s="41"/>
      <c r="G4556" s="41"/>
      <c r="H4556" s="41"/>
      <c r="I4556" s="41"/>
      <c r="J4556" s="41"/>
      <c r="K4556" s="41"/>
      <c r="L4556" s="41"/>
      <c r="M4556" s="41"/>
      <c r="N4556" s="41"/>
      <c r="O4556" s="41"/>
    </row>
    <row r="4557" spans="1:15">
      <c r="A4557" s="39"/>
      <c r="B4557" s="40"/>
      <c r="C4557" s="41"/>
      <c r="D4557" s="41"/>
      <c r="E4557" s="41"/>
      <c r="F4557" s="41"/>
      <c r="G4557" s="41"/>
      <c r="H4557" s="41"/>
      <c r="I4557" s="41"/>
      <c r="J4557" s="41"/>
      <c r="K4557" s="41"/>
      <c r="L4557" s="41"/>
      <c r="M4557" s="41"/>
      <c r="N4557" s="41"/>
      <c r="O4557" s="41"/>
    </row>
    <row r="4558" spans="1:15">
      <c r="A4558" s="39"/>
      <c r="B4558" s="40"/>
      <c r="C4558" s="41"/>
      <c r="D4558" s="41"/>
      <c r="E4558" s="41"/>
      <c r="F4558" s="41"/>
      <c r="G4558" s="41"/>
      <c r="H4558" s="41"/>
      <c r="I4558" s="41"/>
      <c r="J4558" s="41"/>
      <c r="K4558" s="41"/>
      <c r="L4558" s="41"/>
      <c r="M4558" s="41"/>
      <c r="N4558" s="41"/>
      <c r="O4558" s="41"/>
    </row>
    <row r="4559" spans="1:15">
      <c r="A4559" s="39"/>
      <c r="B4559" s="40"/>
      <c r="C4559" s="41"/>
      <c r="D4559" s="41"/>
      <c r="E4559" s="41"/>
      <c r="F4559" s="41"/>
      <c r="G4559" s="41"/>
      <c r="H4559" s="41"/>
      <c r="I4559" s="41"/>
      <c r="J4559" s="41"/>
      <c r="K4559" s="41"/>
      <c r="L4559" s="41"/>
      <c r="M4559" s="41"/>
      <c r="N4559" s="41"/>
      <c r="O4559" s="41"/>
    </row>
    <row r="4560" spans="1:15">
      <c r="A4560" s="39"/>
      <c r="B4560" s="40"/>
      <c r="C4560" s="41"/>
      <c r="D4560" s="41"/>
      <c r="E4560" s="41"/>
      <c r="F4560" s="41"/>
      <c r="G4560" s="41"/>
      <c r="H4560" s="41"/>
      <c r="I4560" s="41"/>
      <c r="J4560" s="41"/>
      <c r="K4560" s="41"/>
      <c r="L4560" s="41"/>
      <c r="M4560" s="41"/>
      <c r="N4560" s="41"/>
      <c r="O4560" s="41"/>
    </row>
    <row r="4561" spans="1:15">
      <c r="A4561" s="39"/>
      <c r="B4561" s="40"/>
      <c r="C4561" s="41"/>
      <c r="D4561" s="41"/>
      <c r="E4561" s="41"/>
      <c r="F4561" s="41"/>
      <c r="G4561" s="41"/>
      <c r="H4561" s="41"/>
      <c r="I4561" s="41"/>
      <c r="J4561" s="41"/>
      <c r="K4561" s="41"/>
      <c r="L4561" s="41"/>
      <c r="M4561" s="41"/>
      <c r="N4561" s="41"/>
      <c r="O4561" s="41"/>
    </row>
    <row r="4562" spans="1:15">
      <c r="A4562" s="39"/>
      <c r="B4562" s="40"/>
      <c r="C4562" s="41"/>
      <c r="D4562" s="41"/>
      <c r="E4562" s="41"/>
      <c r="F4562" s="41"/>
      <c r="G4562" s="41"/>
      <c r="H4562" s="41"/>
      <c r="I4562" s="41"/>
      <c r="J4562" s="41"/>
      <c r="K4562" s="41"/>
      <c r="L4562" s="41"/>
      <c r="M4562" s="41"/>
      <c r="N4562" s="41"/>
      <c r="O4562" s="41"/>
    </row>
    <row r="4563" spans="1:15">
      <c r="A4563" s="39"/>
      <c r="B4563" s="40"/>
      <c r="C4563" s="41"/>
      <c r="D4563" s="41"/>
      <c r="E4563" s="41"/>
      <c r="F4563" s="41"/>
      <c r="G4563" s="41"/>
      <c r="H4563" s="41"/>
      <c r="I4563" s="41"/>
      <c r="J4563" s="41"/>
      <c r="K4563" s="41"/>
      <c r="L4563" s="41"/>
      <c r="M4563" s="41"/>
      <c r="N4563" s="41"/>
      <c r="O4563" s="41"/>
    </row>
    <row r="4564" spans="1:15">
      <c r="A4564" s="39"/>
      <c r="B4564" s="40"/>
      <c r="C4564" s="41"/>
      <c r="D4564" s="41"/>
      <c r="E4564" s="41"/>
      <c r="F4564" s="41"/>
      <c r="G4564" s="41"/>
      <c r="H4564" s="41"/>
      <c r="I4564" s="41"/>
      <c r="J4564" s="41"/>
      <c r="K4564" s="41"/>
      <c r="L4564" s="41"/>
      <c r="M4564" s="41"/>
      <c r="N4564" s="41"/>
      <c r="O4564" s="41"/>
    </row>
    <row r="4565" spans="1:15">
      <c r="A4565" s="39"/>
      <c r="B4565" s="40"/>
      <c r="C4565" s="41"/>
      <c r="D4565" s="41"/>
      <c r="E4565" s="41"/>
      <c r="F4565" s="41"/>
      <c r="G4565" s="41"/>
      <c r="H4565" s="41"/>
      <c r="I4565" s="41"/>
      <c r="J4565" s="41"/>
      <c r="K4565" s="41"/>
      <c r="L4565" s="41"/>
      <c r="M4565" s="41"/>
      <c r="N4565" s="41"/>
      <c r="O4565" s="41"/>
    </row>
    <row r="4566" spans="1:15">
      <c r="A4566" s="39"/>
      <c r="B4566" s="40"/>
      <c r="C4566" s="41"/>
      <c r="D4566" s="41"/>
      <c r="E4566" s="41"/>
      <c r="F4566" s="41"/>
      <c r="G4566" s="41"/>
      <c r="H4566" s="41"/>
      <c r="I4566" s="41"/>
      <c r="J4566" s="41"/>
      <c r="K4566" s="41"/>
      <c r="L4566" s="41"/>
      <c r="M4566" s="41"/>
      <c r="N4566" s="41"/>
      <c r="O4566" s="41"/>
    </row>
    <row r="4567" spans="1:15">
      <c r="A4567" s="39"/>
      <c r="B4567" s="40"/>
      <c r="C4567" s="41"/>
      <c r="D4567" s="41"/>
      <c r="E4567" s="41"/>
      <c r="F4567" s="41"/>
      <c r="G4567" s="41"/>
      <c r="H4567" s="41"/>
      <c r="I4567" s="41"/>
      <c r="J4567" s="41"/>
      <c r="K4567" s="41"/>
      <c r="L4567" s="41"/>
      <c r="M4567" s="41"/>
      <c r="N4567" s="41"/>
      <c r="O4567" s="41"/>
    </row>
    <row r="4568" spans="1:15">
      <c r="A4568" s="39"/>
      <c r="B4568" s="40"/>
      <c r="C4568" s="41"/>
      <c r="D4568" s="41"/>
      <c r="E4568" s="41"/>
      <c r="F4568" s="41"/>
      <c r="G4568" s="41"/>
      <c r="H4568" s="41"/>
      <c r="I4568" s="41"/>
      <c r="J4568" s="41"/>
      <c r="K4568" s="41"/>
      <c r="L4568" s="41"/>
      <c r="M4568" s="41"/>
      <c r="N4568" s="41"/>
      <c r="O4568" s="41"/>
    </row>
    <row r="4569" spans="1:15">
      <c r="A4569" s="39"/>
      <c r="B4569" s="40"/>
      <c r="C4569" s="41"/>
      <c r="D4569" s="41"/>
      <c r="E4569" s="41"/>
      <c r="F4569" s="41"/>
      <c r="G4569" s="41"/>
      <c r="H4569" s="41"/>
      <c r="I4569" s="41"/>
      <c r="J4569" s="41"/>
      <c r="K4569" s="41"/>
      <c r="L4569" s="41"/>
      <c r="M4569" s="41"/>
      <c r="N4569" s="41"/>
      <c r="O4569" s="41"/>
    </row>
    <row r="4570" spans="1:15">
      <c r="A4570" s="39"/>
      <c r="B4570" s="40"/>
      <c r="C4570" s="41"/>
      <c r="D4570" s="41"/>
      <c r="E4570" s="41"/>
      <c r="F4570" s="41"/>
      <c r="G4570" s="41"/>
      <c r="H4570" s="41"/>
      <c r="I4570" s="41"/>
      <c r="J4570" s="41"/>
      <c r="K4570" s="41"/>
      <c r="L4570" s="41"/>
      <c r="M4570" s="41"/>
      <c r="N4570" s="41"/>
      <c r="O4570" s="41"/>
    </row>
    <row r="4571" spans="1:15">
      <c r="A4571" s="39"/>
      <c r="B4571" s="40"/>
      <c r="C4571" s="41"/>
      <c r="D4571" s="41"/>
      <c r="E4571" s="41"/>
      <c r="F4571" s="41"/>
      <c r="G4571" s="41"/>
      <c r="H4571" s="41"/>
      <c r="I4571" s="41"/>
      <c r="J4571" s="41"/>
      <c r="K4571" s="41"/>
      <c r="L4571" s="41"/>
      <c r="M4571" s="41"/>
      <c r="N4571" s="41"/>
      <c r="O4571" s="41"/>
    </row>
    <row r="4572" spans="1:15">
      <c r="A4572" s="39"/>
      <c r="B4572" s="40"/>
      <c r="C4572" s="41"/>
      <c r="D4572" s="41"/>
      <c r="E4572" s="41"/>
      <c r="F4572" s="41"/>
      <c r="G4572" s="41"/>
      <c r="H4572" s="41"/>
      <c r="I4572" s="41"/>
      <c r="J4572" s="41"/>
      <c r="K4572" s="41"/>
      <c r="L4572" s="41"/>
      <c r="M4572" s="41"/>
      <c r="N4572" s="41"/>
      <c r="O4572" s="41"/>
    </row>
    <row r="4573" spans="1:15">
      <c r="A4573" s="39"/>
      <c r="B4573" s="40"/>
      <c r="C4573" s="41"/>
      <c r="D4573" s="41"/>
      <c r="E4573" s="41"/>
      <c r="F4573" s="41"/>
      <c r="G4573" s="41"/>
      <c r="H4573" s="41"/>
      <c r="I4573" s="41"/>
      <c r="J4573" s="41"/>
      <c r="K4573" s="41"/>
      <c r="L4573" s="41"/>
      <c r="M4573" s="41"/>
      <c r="N4573" s="41"/>
      <c r="O4573" s="41"/>
    </row>
    <row r="4574" spans="1:15">
      <c r="A4574" s="39"/>
      <c r="B4574" s="40"/>
      <c r="C4574" s="41"/>
      <c r="D4574" s="41"/>
      <c r="E4574" s="41"/>
      <c r="F4574" s="41"/>
      <c r="G4574" s="41"/>
      <c r="H4574" s="41"/>
      <c r="I4574" s="41"/>
      <c r="J4574" s="41"/>
      <c r="K4574" s="41"/>
      <c r="L4574" s="41"/>
      <c r="M4574" s="41"/>
      <c r="N4574" s="41"/>
      <c r="O4574" s="41"/>
    </row>
    <row r="4575" spans="1:15">
      <c r="A4575" s="39"/>
      <c r="B4575" s="40"/>
      <c r="C4575" s="41"/>
      <c r="D4575" s="41"/>
      <c r="E4575" s="41"/>
      <c r="F4575" s="41"/>
      <c r="G4575" s="41"/>
      <c r="H4575" s="41"/>
      <c r="I4575" s="41"/>
      <c r="J4575" s="41"/>
      <c r="K4575" s="41"/>
      <c r="L4575" s="41"/>
      <c r="M4575" s="41"/>
      <c r="N4575" s="41"/>
      <c r="O4575" s="41"/>
    </row>
    <row r="4576" spans="1:15">
      <c r="A4576" s="39"/>
      <c r="B4576" s="40"/>
      <c r="C4576" s="41"/>
      <c r="D4576" s="41"/>
      <c r="E4576" s="41"/>
      <c r="F4576" s="41"/>
      <c r="G4576" s="41"/>
      <c r="H4576" s="41"/>
      <c r="I4576" s="41"/>
      <c r="J4576" s="41"/>
      <c r="K4576" s="41"/>
      <c r="L4576" s="41"/>
      <c r="M4576" s="41"/>
      <c r="N4576" s="41"/>
      <c r="O4576" s="41"/>
    </row>
    <row r="4577" spans="1:15">
      <c r="A4577" s="39"/>
      <c r="B4577" s="40"/>
      <c r="C4577" s="41"/>
      <c r="D4577" s="41"/>
      <c r="E4577" s="41"/>
      <c r="F4577" s="41"/>
      <c r="G4577" s="41"/>
      <c r="H4577" s="41"/>
      <c r="I4577" s="41"/>
      <c r="J4577" s="41"/>
      <c r="K4577" s="41"/>
      <c r="L4577" s="41"/>
      <c r="M4577" s="41"/>
      <c r="N4577" s="41"/>
      <c r="O4577" s="41"/>
    </row>
    <row r="4578" spans="1:15">
      <c r="A4578" s="39"/>
      <c r="B4578" s="40"/>
      <c r="C4578" s="41"/>
      <c r="D4578" s="41"/>
      <c r="E4578" s="41"/>
      <c r="F4578" s="41"/>
      <c r="G4578" s="41"/>
      <c r="H4578" s="41"/>
      <c r="I4578" s="41"/>
      <c r="J4578" s="41"/>
      <c r="K4578" s="41"/>
      <c r="L4578" s="41"/>
      <c r="M4578" s="41"/>
      <c r="N4578" s="41"/>
      <c r="O4578" s="41"/>
    </row>
    <row r="4579" spans="1:15">
      <c r="A4579" s="39"/>
      <c r="B4579" s="40"/>
      <c r="C4579" s="41"/>
      <c r="D4579" s="41"/>
      <c r="E4579" s="41"/>
      <c r="F4579" s="41"/>
      <c r="G4579" s="41"/>
      <c r="H4579" s="41"/>
      <c r="I4579" s="41"/>
      <c r="J4579" s="41"/>
      <c r="K4579" s="41"/>
      <c r="L4579" s="41"/>
      <c r="M4579" s="41"/>
      <c r="N4579" s="41"/>
      <c r="O4579" s="41"/>
    </row>
    <row r="4580" spans="1:15">
      <c r="A4580" s="39"/>
      <c r="B4580" s="40"/>
      <c r="C4580" s="41"/>
      <c r="D4580" s="41"/>
      <c r="E4580" s="41"/>
      <c r="F4580" s="41"/>
      <c r="G4580" s="41"/>
      <c r="H4580" s="41"/>
      <c r="I4580" s="41"/>
      <c r="J4580" s="41"/>
      <c r="K4580" s="41"/>
      <c r="L4580" s="41"/>
      <c r="M4580" s="41"/>
      <c r="N4580" s="41"/>
      <c r="O4580" s="41"/>
    </row>
    <row r="4581" spans="1:15">
      <c r="A4581" s="39"/>
      <c r="B4581" s="40"/>
      <c r="C4581" s="41"/>
      <c r="D4581" s="41"/>
      <c r="E4581" s="41"/>
      <c r="F4581" s="41"/>
      <c r="G4581" s="41"/>
      <c r="H4581" s="41"/>
      <c r="I4581" s="41"/>
      <c r="J4581" s="41"/>
      <c r="K4581" s="41"/>
      <c r="L4581" s="41"/>
      <c r="M4581" s="41"/>
      <c r="N4581" s="41"/>
      <c r="O4581" s="41"/>
    </row>
    <row r="4582" spans="1:15">
      <c r="A4582" s="39"/>
      <c r="B4582" s="40"/>
      <c r="C4582" s="41"/>
      <c r="D4582" s="41"/>
      <c r="E4582" s="41"/>
      <c r="F4582" s="41"/>
      <c r="G4582" s="41"/>
      <c r="H4582" s="41"/>
      <c r="I4582" s="41"/>
      <c r="J4582" s="41"/>
      <c r="K4582" s="41"/>
      <c r="L4582" s="41"/>
      <c r="M4582" s="41"/>
      <c r="N4582" s="41"/>
      <c r="O4582" s="41"/>
    </row>
    <row r="4583" spans="1:15">
      <c r="A4583" s="39"/>
      <c r="B4583" s="40"/>
      <c r="C4583" s="41"/>
      <c r="D4583" s="41"/>
      <c r="E4583" s="41"/>
      <c r="F4583" s="41"/>
      <c r="G4583" s="41"/>
      <c r="H4583" s="41"/>
      <c r="I4583" s="41"/>
      <c r="J4583" s="41"/>
      <c r="K4583" s="41"/>
      <c r="L4583" s="41"/>
      <c r="M4583" s="41"/>
      <c r="N4583" s="41"/>
      <c r="O4583" s="41"/>
    </row>
    <row r="4584" spans="1:15">
      <c r="A4584" s="39"/>
      <c r="B4584" s="40"/>
      <c r="C4584" s="41"/>
      <c r="D4584" s="41"/>
      <c r="E4584" s="41"/>
      <c r="F4584" s="41"/>
      <c r="G4584" s="41"/>
      <c r="H4584" s="41"/>
      <c r="I4584" s="41"/>
      <c r="J4584" s="41"/>
      <c r="K4584" s="41"/>
      <c r="L4584" s="41"/>
      <c r="M4584" s="41"/>
      <c r="N4584" s="41"/>
      <c r="O4584" s="41"/>
    </row>
    <row r="4585" spans="1:15">
      <c r="A4585" s="39"/>
      <c r="B4585" s="40"/>
      <c r="C4585" s="41"/>
      <c r="D4585" s="41"/>
      <c r="E4585" s="41"/>
      <c r="F4585" s="41"/>
      <c r="G4585" s="41"/>
      <c r="H4585" s="41"/>
      <c r="I4585" s="41"/>
      <c r="J4585" s="41"/>
      <c r="K4585" s="41"/>
      <c r="L4585" s="41"/>
      <c r="M4585" s="41"/>
      <c r="N4585" s="41"/>
      <c r="O4585" s="41"/>
    </row>
    <row r="4586" spans="1:15">
      <c r="A4586" s="39"/>
      <c r="B4586" s="40"/>
      <c r="C4586" s="41"/>
      <c r="D4586" s="41"/>
      <c r="E4586" s="41"/>
      <c r="F4586" s="41"/>
      <c r="G4586" s="41"/>
      <c r="H4586" s="41"/>
      <c r="I4586" s="41"/>
      <c r="J4586" s="41"/>
      <c r="K4586" s="41"/>
      <c r="L4586" s="41"/>
      <c r="M4586" s="41"/>
      <c r="N4586" s="41"/>
      <c r="O4586" s="41"/>
    </row>
    <row r="4587" spans="1:15">
      <c r="A4587" s="39"/>
      <c r="B4587" s="40"/>
      <c r="C4587" s="41"/>
      <c r="D4587" s="41"/>
      <c r="E4587" s="41"/>
      <c r="F4587" s="41"/>
      <c r="G4587" s="41"/>
      <c r="H4587" s="41"/>
      <c r="I4587" s="41"/>
      <c r="J4587" s="41"/>
      <c r="K4587" s="41"/>
      <c r="L4587" s="41"/>
      <c r="M4587" s="41"/>
      <c r="N4587" s="41"/>
      <c r="O4587" s="41"/>
    </row>
    <row r="4588" spans="1:15">
      <c r="A4588" s="39"/>
      <c r="B4588" s="40"/>
      <c r="C4588" s="41"/>
      <c r="D4588" s="41"/>
      <c r="E4588" s="41"/>
      <c r="F4588" s="41"/>
      <c r="G4588" s="41"/>
      <c r="H4588" s="41"/>
      <c r="I4588" s="41"/>
      <c r="J4588" s="41"/>
      <c r="K4588" s="41"/>
      <c r="L4588" s="41"/>
      <c r="M4588" s="41"/>
      <c r="N4588" s="41"/>
      <c r="O4588" s="41"/>
    </row>
    <row r="4589" spans="1:15">
      <c r="A4589" s="39"/>
      <c r="B4589" s="40"/>
      <c r="C4589" s="41"/>
      <c r="D4589" s="41"/>
      <c r="E4589" s="41"/>
      <c r="F4589" s="41"/>
      <c r="G4589" s="41"/>
      <c r="H4589" s="41"/>
      <c r="I4589" s="41"/>
      <c r="J4589" s="41"/>
      <c r="K4589" s="41"/>
      <c r="L4589" s="41"/>
      <c r="M4589" s="41"/>
      <c r="N4589" s="41"/>
      <c r="O4589" s="41"/>
    </row>
    <row r="4590" spans="1:15">
      <c r="A4590" s="39"/>
      <c r="B4590" s="40"/>
      <c r="C4590" s="41"/>
      <c r="D4590" s="41"/>
      <c r="E4590" s="41"/>
      <c r="F4590" s="41"/>
      <c r="G4590" s="41"/>
      <c r="H4590" s="41"/>
      <c r="I4590" s="41"/>
      <c r="J4590" s="41"/>
      <c r="K4590" s="41"/>
      <c r="L4590" s="41"/>
      <c r="M4590" s="41"/>
      <c r="N4590" s="41"/>
      <c r="O4590" s="41"/>
    </row>
    <row r="4591" spans="1:15">
      <c r="A4591" s="39"/>
      <c r="B4591" s="40"/>
      <c r="C4591" s="41"/>
      <c r="D4591" s="41"/>
      <c r="E4591" s="41"/>
      <c r="F4591" s="41"/>
      <c r="G4591" s="41"/>
      <c r="H4591" s="41"/>
      <c r="I4591" s="41"/>
      <c r="J4591" s="41"/>
      <c r="K4591" s="41"/>
      <c r="L4591" s="41"/>
      <c r="M4591" s="41"/>
      <c r="N4591" s="41"/>
      <c r="O4591" s="41"/>
    </row>
    <row r="4592" spans="1:15">
      <c r="A4592" s="39"/>
      <c r="B4592" s="40"/>
      <c r="C4592" s="41"/>
      <c r="D4592" s="41"/>
      <c r="E4592" s="41"/>
      <c r="F4592" s="41"/>
      <c r="G4592" s="41"/>
      <c r="H4592" s="41"/>
      <c r="I4592" s="41"/>
      <c r="J4592" s="41"/>
      <c r="K4592" s="41"/>
      <c r="L4592" s="41"/>
      <c r="M4592" s="41"/>
      <c r="N4592" s="41"/>
      <c r="O4592" s="41"/>
    </row>
    <row r="4593" spans="1:15">
      <c r="A4593" s="39"/>
      <c r="B4593" s="40"/>
      <c r="C4593" s="41"/>
      <c r="D4593" s="41"/>
      <c r="E4593" s="41"/>
      <c r="F4593" s="41"/>
      <c r="G4593" s="41"/>
      <c r="H4593" s="41"/>
      <c r="I4593" s="41"/>
      <c r="J4593" s="41"/>
      <c r="K4593" s="41"/>
      <c r="L4593" s="41"/>
      <c r="M4593" s="41"/>
      <c r="N4593" s="41"/>
      <c r="O4593" s="41"/>
    </row>
    <row r="4594" spans="1:15">
      <c r="A4594" s="39"/>
      <c r="B4594" s="40"/>
      <c r="C4594" s="41"/>
      <c r="D4594" s="41"/>
      <c r="E4594" s="41"/>
      <c r="F4594" s="41"/>
      <c r="G4594" s="41"/>
      <c r="H4594" s="41"/>
      <c r="I4594" s="41"/>
      <c r="J4594" s="41"/>
      <c r="K4594" s="41"/>
      <c r="L4594" s="41"/>
      <c r="M4594" s="41"/>
      <c r="N4594" s="41"/>
      <c r="O4594" s="41"/>
    </row>
    <row r="4595" spans="1:15">
      <c r="A4595" s="39"/>
      <c r="B4595" s="40"/>
      <c r="C4595" s="41"/>
      <c r="D4595" s="41"/>
      <c r="E4595" s="41"/>
      <c r="F4595" s="41"/>
      <c r="G4595" s="41"/>
      <c r="H4595" s="41"/>
      <c r="I4595" s="41"/>
      <c r="J4595" s="41"/>
      <c r="K4595" s="41"/>
      <c r="L4595" s="41"/>
      <c r="M4595" s="41"/>
      <c r="N4595" s="41"/>
      <c r="O4595" s="41"/>
    </row>
    <row r="4596" spans="1:15">
      <c r="A4596" s="39"/>
      <c r="B4596" s="40"/>
      <c r="C4596" s="41"/>
      <c r="D4596" s="41"/>
      <c r="E4596" s="41"/>
      <c r="F4596" s="41"/>
      <c r="G4596" s="41"/>
      <c r="H4596" s="41"/>
      <c r="I4596" s="41"/>
      <c r="J4596" s="41"/>
      <c r="K4596" s="41"/>
      <c r="L4596" s="41"/>
      <c r="M4596" s="41"/>
      <c r="N4596" s="41"/>
      <c r="O4596" s="41"/>
    </row>
    <row r="4597" spans="1:15">
      <c r="A4597" s="39"/>
      <c r="B4597" s="40"/>
      <c r="C4597" s="41"/>
      <c r="D4597" s="41"/>
      <c r="E4597" s="41"/>
      <c r="F4597" s="41"/>
      <c r="G4597" s="41"/>
      <c r="H4597" s="41"/>
      <c r="I4597" s="41"/>
      <c r="J4597" s="41"/>
      <c r="K4597" s="41"/>
      <c r="L4597" s="41"/>
      <c r="M4597" s="41"/>
      <c r="N4597" s="41"/>
      <c r="O4597" s="41"/>
    </row>
    <row r="4598" spans="1:15">
      <c r="A4598" s="39"/>
      <c r="B4598" s="40"/>
      <c r="C4598" s="41"/>
      <c r="D4598" s="41"/>
      <c r="E4598" s="41"/>
      <c r="F4598" s="41"/>
      <c r="G4598" s="41"/>
      <c r="H4598" s="41"/>
      <c r="I4598" s="41"/>
      <c r="J4598" s="41"/>
      <c r="K4598" s="41"/>
      <c r="L4598" s="41"/>
      <c r="M4598" s="41"/>
      <c r="N4598" s="41"/>
      <c r="O4598" s="41"/>
    </row>
    <row r="4599" spans="1:15">
      <c r="A4599" s="39"/>
      <c r="B4599" s="40"/>
      <c r="C4599" s="41"/>
      <c r="D4599" s="41"/>
      <c r="E4599" s="41"/>
      <c r="F4599" s="41"/>
      <c r="G4599" s="41"/>
      <c r="H4599" s="41"/>
      <c r="I4599" s="41"/>
      <c r="J4599" s="41"/>
      <c r="K4599" s="41"/>
      <c r="L4599" s="41"/>
      <c r="M4599" s="41"/>
      <c r="N4599" s="41"/>
      <c r="O4599" s="41"/>
    </row>
    <row r="4600" spans="1:15">
      <c r="A4600" s="39"/>
      <c r="B4600" s="40"/>
      <c r="C4600" s="41"/>
      <c r="D4600" s="41"/>
      <c r="E4600" s="41"/>
      <c r="F4600" s="41"/>
      <c r="G4600" s="41"/>
      <c r="H4600" s="41"/>
      <c r="I4600" s="41"/>
      <c r="J4600" s="41"/>
      <c r="K4600" s="41"/>
      <c r="L4600" s="41"/>
      <c r="M4600" s="41"/>
      <c r="N4600" s="41"/>
      <c r="O4600" s="41"/>
    </row>
    <row r="4601" spans="1:15">
      <c r="A4601" s="39"/>
      <c r="B4601" s="40"/>
      <c r="C4601" s="41"/>
      <c r="D4601" s="41"/>
      <c r="E4601" s="41"/>
      <c r="F4601" s="41"/>
      <c r="G4601" s="41"/>
      <c r="H4601" s="41"/>
      <c r="I4601" s="41"/>
      <c r="J4601" s="41"/>
      <c r="K4601" s="41"/>
      <c r="L4601" s="41"/>
      <c r="M4601" s="41"/>
      <c r="N4601" s="41"/>
      <c r="O4601" s="41"/>
    </row>
    <row r="4602" spans="1:15">
      <c r="A4602" s="39"/>
      <c r="B4602" s="40"/>
      <c r="C4602" s="41"/>
      <c r="D4602" s="41"/>
      <c r="E4602" s="41"/>
      <c r="F4602" s="41"/>
      <c r="G4602" s="41"/>
      <c r="H4602" s="41"/>
      <c r="I4602" s="41"/>
      <c r="J4602" s="41"/>
      <c r="K4602" s="41"/>
      <c r="L4602" s="41"/>
      <c r="M4602" s="41"/>
      <c r="N4602" s="41"/>
      <c r="O4602" s="41"/>
    </row>
    <row r="4603" spans="1:15">
      <c r="A4603" s="39"/>
      <c r="B4603" s="40"/>
      <c r="C4603" s="41"/>
      <c r="D4603" s="41"/>
      <c r="E4603" s="41"/>
      <c r="F4603" s="41"/>
      <c r="G4603" s="41"/>
      <c r="H4603" s="41"/>
      <c r="I4603" s="41"/>
      <c r="J4603" s="41"/>
      <c r="K4603" s="41"/>
      <c r="L4603" s="41"/>
      <c r="M4603" s="41"/>
      <c r="N4603" s="41"/>
      <c r="O4603" s="41"/>
    </row>
    <row r="4604" spans="1:15">
      <c r="A4604" s="39"/>
      <c r="B4604" s="40"/>
      <c r="C4604" s="41"/>
      <c r="D4604" s="41"/>
      <c r="E4604" s="41"/>
      <c r="F4604" s="41"/>
      <c r="G4604" s="41"/>
      <c r="H4604" s="41"/>
      <c r="I4604" s="41"/>
      <c r="J4604" s="41"/>
      <c r="K4604" s="41"/>
      <c r="L4604" s="41"/>
      <c r="M4604" s="41"/>
      <c r="N4604" s="41"/>
      <c r="O4604" s="41"/>
    </row>
    <row r="4605" spans="1:15">
      <c r="A4605" s="39"/>
      <c r="B4605" s="40"/>
      <c r="C4605" s="41"/>
      <c r="D4605" s="41"/>
      <c r="E4605" s="41"/>
      <c r="F4605" s="41"/>
      <c r="G4605" s="41"/>
      <c r="H4605" s="41"/>
      <c r="I4605" s="41"/>
      <c r="J4605" s="41"/>
      <c r="K4605" s="41"/>
      <c r="L4605" s="41"/>
      <c r="M4605" s="41"/>
      <c r="N4605" s="41"/>
      <c r="O4605" s="41"/>
    </row>
    <row r="4606" spans="1:15">
      <c r="A4606" s="39"/>
      <c r="B4606" s="40"/>
      <c r="C4606" s="41"/>
      <c r="D4606" s="41"/>
      <c r="E4606" s="41"/>
      <c r="F4606" s="41"/>
      <c r="G4606" s="41"/>
      <c r="H4606" s="41"/>
      <c r="I4606" s="41"/>
      <c r="J4606" s="41"/>
      <c r="K4606" s="41"/>
      <c r="L4606" s="41"/>
      <c r="M4606" s="41"/>
      <c r="N4606" s="41"/>
      <c r="O4606" s="41"/>
    </row>
    <row r="4607" spans="1:15">
      <c r="A4607" s="39"/>
      <c r="B4607" s="40"/>
      <c r="C4607" s="41"/>
      <c r="D4607" s="41"/>
      <c r="E4607" s="41"/>
      <c r="F4607" s="41"/>
      <c r="G4607" s="41"/>
      <c r="H4607" s="41"/>
      <c r="I4607" s="41"/>
      <c r="J4607" s="41"/>
      <c r="K4607" s="41"/>
      <c r="L4607" s="41"/>
      <c r="M4607" s="41"/>
      <c r="N4607" s="41"/>
      <c r="O4607" s="41"/>
    </row>
    <row r="4608" spans="1:15">
      <c r="A4608" s="39"/>
      <c r="B4608" s="40"/>
      <c r="C4608" s="41"/>
      <c r="D4608" s="41"/>
      <c r="E4608" s="41"/>
      <c r="F4608" s="41"/>
      <c r="G4608" s="41"/>
      <c r="H4608" s="41"/>
      <c r="I4608" s="41"/>
      <c r="J4608" s="41"/>
      <c r="K4608" s="41"/>
      <c r="L4608" s="41"/>
      <c r="M4608" s="41"/>
      <c r="N4608" s="41"/>
      <c r="O4608" s="41"/>
    </row>
    <row r="4609" spans="1:15">
      <c r="A4609" s="39"/>
      <c r="B4609" s="40"/>
      <c r="C4609" s="41"/>
      <c r="D4609" s="41"/>
      <c r="E4609" s="41"/>
      <c r="F4609" s="41"/>
      <c r="G4609" s="41"/>
      <c r="H4609" s="41"/>
      <c r="I4609" s="41"/>
      <c r="J4609" s="41"/>
      <c r="K4609" s="41"/>
      <c r="L4609" s="41"/>
      <c r="M4609" s="41"/>
      <c r="N4609" s="41"/>
      <c r="O4609" s="41"/>
    </row>
    <row r="4610" spans="1:15">
      <c r="A4610" s="39"/>
      <c r="B4610" s="40"/>
      <c r="C4610" s="41"/>
      <c r="D4610" s="41"/>
      <c r="E4610" s="41"/>
      <c r="F4610" s="41"/>
      <c r="G4610" s="41"/>
      <c r="H4610" s="41"/>
      <c r="I4610" s="41"/>
      <c r="J4610" s="41"/>
      <c r="K4610" s="41"/>
      <c r="L4610" s="41"/>
      <c r="M4610" s="41"/>
      <c r="N4610" s="41"/>
      <c r="O4610" s="41"/>
    </row>
    <row r="4611" spans="1:15">
      <c r="A4611" s="39"/>
      <c r="B4611" s="40"/>
      <c r="C4611" s="41"/>
      <c r="D4611" s="41"/>
      <c r="E4611" s="41"/>
      <c r="F4611" s="41"/>
      <c r="G4611" s="41"/>
      <c r="H4611" s="41"/>
      <c r="I4611" s="41"/>
      <c r="J4611" s="41"/>
      <c r="K4611" s="41"/>
      <c r="L4611" s="41"/>
      <c r="M4611" s="41"/>
      <c r="N4611" s="41"/>
      <c r="O4611" s="41"/>
    </row>
    <row r="4612" spans="1:15">
      <c r="A4612" s="39"/>
      <c r="B4612" s="40"/>
      <c r="C4612" s="41"/>
      <c r="D4612" s="41"/>
      <c r="E4612" s="41"/>
      <c r="F4612" s="41"/>
      <c r="G4612" s="41"/>
      <c r="H4612" s="41"/>
      <c r="I4612" s="41"/>
      <c r="J4612" s="41"/>
      <c r="K4612" s="41"/>
      <c r="L4612" s="41"/>
      <c r="M4612" s="41"/>
      <c r="N4612" s="41"/>
      <c r="O4612" s="41"/>
    </row>
    <row r="4613" spans="1:15">
      <c r="A4613" s="39"/>
      <c r="B4613" s="40"/>
      <c r="C4613" s="41"/>
      <c r="D4613" s="41"/>
      <c r="E4613" s="41"/>
      <c r="F4613" s="41"/>
      <c r="G4613" s="41"/>
      <c r="H4613" s="41"/>
      <c r="I4613" s="41"/>
      <c r="J4613" s="41"/>
      <c r="K4613" s="41"/>
      <c r="L4613" s="41"/>
      <c r="M4613" s="41"/>
      <c r="N4613" s="41"/>
      <c r="O4613" s="41"/>
    </row>
    <row r="4614" spans="1:15">
      <c r="A4614" s="39"/>
      <c r="B4614" s="40"/>
      <c r="C4614" s="41"/>
      <c r="D4614" s="41"/>
      <c r="E4614" s="41"/>
      <c r="F4614" s="41"/>
      <c r="G4614" s="41"/>
      <c r="H4614" s="41"/>
      <c r="I4614" s="41"/>
      <c r="J4614" s="41"/>
      <c r="K4614" s="41"/>
      <c r="L4614" s="41"/>
      <c r="M4614" s="41"/>
      <c r="N4614" s="41"/>
      <c r="O4614" s="41"/>
    </row>
    <row r="4615" spans="1:15">
      <c r="A4615" s="39"/>
      <c r="B4615" s="40"/>
      <c r="C4615" s="41"/>
      <c r="D4615" s="41"/>
      <c r="E4615" s="41"/>
      <c r="F4615" s="41"/>
      <c r="G4615" s="41"/>
      <c r="H4615" s="41"/>
      <c r="I4615" s="41"/>
      <c r="J4615" s="41"/>
      <c r="K4615" s="41"/>
      <c r="L4615" s="41"/>
      <c r="M4615" s="41"/>
      <c r="N4615" s="41"/>
      <c r="O4615" s="41"/>
    </row>
    <row r="4616" spans="1:15">
      <c r="A4616" s="39"/>
      <c r="B4616" s="40"/>
      <c r="C4616" s="41"/>
      <c r="D4616" s="41"/>
      <c r="E4616" s="41"/>
      <c r="F4616" s="41"/>
      <c r="G4616" s="41"/>
      <c r="H4616" s="41"/>
      <c r="I4616" s="41"/>
      <c r="J4616" s="41"/>
      <c r="K4616" s="41"/>
      <c r="L4616" s="41"/>
      <c r="M4616" s="41"/>
      <c r="N4616" s="41"/>
      <c r="O4616" s="41"/>
    </row>
    <row r="4617" spans="1:15">
      <c r="A4617" s="39"/>
      <c r="B4617" s="40"/>
      <c r="C4617" s="41"/>
      <c r="D4617" s="41"/>
      <c r="E4617" s="41"/>
      <c r="F4617" s="41"/>
      <c r="G4617" s="41"/>
      <c r="H4617" s="41"/>
      <c r="I4617" s="41"/>
      <c r="J4617" s="41"/>
      <c r="K4617" s="41"/>
      <c r="L4617" s="41"/>
      <c r="M4617" s="41"/>
      <c r="N4617" s="41"/>
      <c r="O4617" s="41"/>
    </row>
    <row r="4618" spans="1:15">
      <c r="A4618" s="39"/>
      <c r="B4618" s="40"/>
      <c r="C4618" s="41"/>
      <c r="D4618" s="41"/>
      <c r="E4618" s="41"/>
      <c r="F4618" s="41"/>
      <c r="G4618" s="41"/>
      <c r="H4618" s="41"/>
      <c r="I4618" s="41"/>
      <c r="J4618" s="41"/>
      <c r="K4618" s="41"/>
      <c r="L4618" s="41"/>
      <c r="M4618" s="41"/>
      <c r="N4618" s="41"/>
      <c r="O4618" s="41"/>
    </row>
    <row r="4619" spans="1:15">
      <c r="A4619" s="39"/>
      <c r="B4619" s="40"/>
      <c r="C4619" s="41"/>
      <c r="D4619" s="41"/>
      <c r="E4619" s="41"/>
      <c r="F4619" s="41"/>
      <c r="G4619" s="41"/>
      <c r="H4619" s="41"/>
      <c r="I4619" s="41"/>
      <c r="J4619" s="41"/>
      <c r="K4619" s="41"/>
      <c r="L4619" s="41"/>
      <c r="M4619" s="41"/>
      <c r="N4619" s="41"/>
      <c r="O4619" s="41"/>
    </row>
    <row r="4620" spans="1:15">
      <c r="A4620" s="39"/>
      <c r="B4620" s="40"/>
      <c r="C4620" s="41"/>
      <c r="D4620" s="41"/>
      <c r="E4620" s="41"/>
      <c r="F4620" s="41"/>
      <c r="G4620" s="41"/>
      <c r="H4620" s="41"/>
      <c r="I4620" s="41"/>
      <c r="J4620" s="41"/>
      <c r="K4620" s="41"/>
      <c r="L4620" s="41"/>
      <c r="M4620" s="41"/>
      <c r="N4620" s="41"/>
      <c r="O4620" s="41"/>
    </row>
    <row r="4621" spans="1:15">
      <c r="A4621" s="39"/>
      <c r="B4621" s="40"/>
      <c r="C4621" s="41"/>
      <c r="D4621" s="41"/>
      <c r="E4621" s="41"/>
      <c r="F4621" s="41"/>
      <c r="G4621" s="41"/>
      <c r="H4621" s="41"/>
      <c r="I4621" s="41"/>
      <c r="J4621" s="41"/>
      <c r="K4621" s="41"/>
      <c r="L4621" s="41"/>
      <c r="M4621" s="41"/>
      <c r="N4621" s="41"/>
      <c r="O4621" s="41"/>
    </row>
    <row r="4622" spans="1:15">
      <c r="A4622" s="39"/>
      <c r="B4622" s="40"/>
      <c r="C4622" s="41"/>
      <c r="D4622" s="41"/>
      <c r="E4622" s="41"/>
      <c r="F4622" s="41"/>
      <c r="G4622" s="41"/>
      <c r="H4622" s="41"/>
      <c r="I4622" s="41"/>
      <c r="J4622" s="41"/>
      <c r="K4622" s="41"/>
      <c r="L4622" s="41"/>
      <c r="M4622" s="41"/>
      <c r="N4622" s="41"/>
      <c r="O4622" s="41"/>
    </row>
    <row r="4623" spans="1:15">
      <c r="A4623" s="39"/>
      <c r="B4623" s="40"/>
      <c r="C4623" s="41"/>
      <c r="D4623" s="41"/>
      <c r="E4623" s="41"/>
      <c r="F4623" s="41"/>
      <c r="G4623" s="41"/>
      <c r="H4623" s="41"/>
      <c r="I4623" s="41"/>
      <c r="J4623" s="41"/>
      <c r="K4623" s="41"/>
      <c r="L4623" s="41"/>
      <c r="M4623" s="41"/>
      <c r="N4623" s="41"/>
      <c r="O4623" s="41"/>
    </row>
    <row r="4624" spans="1:15">
      <c r="A4624" s="39"/>
      <c r="B4624" s="40"/>
      <c r="C4624" s="41"/>
      <c r="D4624" s="41"/>
      <c r="E4624" s="41"/>
      <c r="F4624" s="41"/>
      <c r="G4624" s="41"/>
      <c r="H4624" s="41"/>
      <c r="I4624" s="41"/>
      <c r="J4624" s="41"/>
      <c r="K4624" s="41"/>
      <c r="L4624" s="41"/>
      <c r="M4624" s="41"/>
      <c r="N4624" s="41"/>
      <c r="O4624" s="41"/>
    </row>
    <row r="4625" spans="1:15">
      <c r="A4625" s="39"/>
      <c r="B4625" s="40"/>
      <c r="C4625" s="41"/>
      <c r="D4625" s="41"/>
      <c r="E4625" s="41"/>
      <c r="F4625" s="41"/>
      <c r="G4625" s="41"/>
      <c r="H4625" s="41"/>
      <c r="I4625" s="41"/>
      <c r="J4625" s="41"/>
      <c r="K4625" s="41"/>
      <c r="L4625" s="41"/>
      <c r="M4625" s="41"/>
      <c r="N4625" s="41"/>
      <c r="O4625" s="41"/>
    </row>
    <row r="4626" spans="1:15">
      <c r="A4626" s="39"/>
      <c r="B4626" s="40"/>
      <c r="C4626" s="41"/>
      <c r="D4626" s="41"/>
      <c r="E4626" s="41"/>
      <c r="F4626" s="41"/>
      <c r="G4626" s="41"/>
      <c r="H4626" s="41"/>
      <c r="I4626" s="41"/>
      <c r="J4626" s="41"/>
      <c r="K4626" s="41"/>
      <c r="L4626" s="41"/>
      <c r="M4626" s="41"/>
      <c r="N4626" s="41"/>
      <c r="O4626" s="41"/>
    </row>
    <row r="4627" spans="1:15">
      <c r="A4627" s="39"/>
      <c r="B4627" s="40"/>
      <c r="C4627" s="41"/>
      <c r="D4627" s="41"/>
      <c r="E4627" s="41"/>
      <c r="F4627" s="41"/>
      <c r="G4627" s="41"/>
      <c r="H4627" s="41"/>
      <c r="I4627" s="41"/>
      <c r="J4627" s="41"/>
      <c r="K4627" s="41"/>
      <c r="L4627" s="41"/>
      <c r="M4627" s="41"/>
      <c r="N4627" s="41"/>
      <c r="O4627" s="41"/>
    </row>
    <row r="4628" spans="1:15">
      <c r="A4628" s="39"/>
      <c r="B4628" s="40"/>
      <c r="C4628" s="41"/>
      <c r="D4628" s="41"/>
      <c r="E4628" s="41"/>
      <c r="F4628" s="41"/>
      <c r="G4628" s="41"/>
      <c r="H4628" s="41"/>
      <c r="I4628" s="41"/>
      <c r="J4628" s="41"/>
      <c r="K4628" s="41"/>
      <c r="L4628" s="41"/>
      <c r="M4628" s="41"/>
      <c r="N4628" s="41"/>
      <c r="O4628" s="41"/>
    </row>
    <row r="4629" spans="1:15">
      <c r="A4629" s="39"/>
      <c r="B4629" s="40"/>
      <c r="C4629" s="41"/>
      <c r="D4629" s="41"/>
      <c r="E4629" s="41"/>
      <c r="F4629" s="41"/>
      <c r="G4629" s="41"/>
      <c r="H4629" s="41"/>
      <c r="I4629" s="41"/>
      <c r="J4629" s="41"/>
      <c r="K4629" s="41"/>
      <c r="L4629" s="41"/>
      <c r="M4629" s="41"/>
      <c r="N4629" s="41"/>
      <c r="O4629" s="41"/>
    </row>
    <row r="4630" spans="1:15">
      <c r="A4630" s="39"/>
      <c r="B4630" s="40"/>
      <c r="C4630" s="41"/>
      <c r="D4630" s="41"/>
      <c r="E4630" s="41"/>
      <c r="F4630" s="41"/>
      <c r="G4630" s="41"/>
      <c r="H4630" s="41"/>
      <c r="I4630" s="41"/>
      <c r="J4630" s="41"/>
      <c r="K4630" s="41"/>
      <c r="L4630" s="41"/>
      <c r="M4630" s="41"/>
      <c r="N4630" s="41"/>
      <c r="O4630" s="41"/>
    </row>
    <row r="4631" spans="1:15">
      <c r="A4631" s="39"/>
      <c r="B4631" s="40"/>
      <c r="C4631" s="41"/>
      <c r="D4631" s="41"/>
      <c r="E4631" s="41"/>
      <c r="F4631" s="41"/>
      <c r="G4631" s="41"/>
      <c r="H4631" s="41"/>
      <c r="I4631" s="41"/>
      <c r="J4631" s="41"/>
      <c r="K4631" s="41"/>
      <c r="L4631" s="41"/>
      <c r="M4631" s="41"/>
      <c r="N4631" s="41"/>
      <c r="O4631" s="41"/>
    </row>
    <row r="4632" spans="1:15">
      <c r="A4632" s="39"/>
      <c r="B4632" s="40"/>
      <c r="C4632" s="41"/>
      <c r="D4632" s="41"/>
      <c r="E4632" s="41"/>
      <c r="F4632" s="41"/>
      <c r="G4632" s="41"/>
      <c r="H4632" s="41"/>
      <c r="I4632" s="41"/>
      <c r="J4632" s="41"/>
      <c r="K4632" s="41"/>
      <c r="L4632" s="41"/>
      <c r="M4632" s="41"/>
      <c r="N4632" s="41"/>
      <c r="O4632" s="41"/>
    </row>
    <row r="4633" spans="1:15">
      <c r="A4633" s="39"/>
      <c r="B4633" s="40"/>
      <c r="C4633" s="41"/>
      <c r="D4633" s="41"/>
      <c r="E4633" s="41"/>
      <c r="F4633" s="41"/>
      <c r="G4633" s="41"/>
      <c r="H4633" s="41"/>
      <c r="I4633" s="41"/>
      <c r="J4633" s="41"/>
      <c r="K4633" s="41"/>
      <c r="L4633" s="41"/>
      <c r="M4633" s="41"/>
      <c r="N4633" s="41"/>
      <c r="O4633" s="41"/>
    </row>
    <row r="4634" spans="1:15">
      <c r="A4634" s="39"/>
      <c r="B4634" s="40"/>
      <c r="C4634" s="41"/>
      <c r="D4634" s="41"/>
      <c r="E4634" s="41"/>
      <c r="F4634" s="41"/>
      <c r="G4634" s="41"/>
      <c r="H4634" s="41"/>
      <c r="I4634" s="41"/>
      <c r="J4634" s="41"/>
      <c r="K4634" s="41"/>
      <c r="L4634" s="41"/>
      <c r="M4634" s="41"/>
      <c r="N4634" s="41"/>
      <c r="O4634" s="41"/>
    </row>
    <row r="4635" spans="1:15">
      <c r="A4635" s="39"/>
      <c r="B4635" s="40"/>
      <c r="C4635" s="41"/>
      <c r="D4635" s="41"/>
      <c r="E4635" s="41"/>
      <c r="F4635" s="41"/>
      <c r="G4635" s="41"/>
      <c r="H4635" s="41"/>
      <c r="I4635" s="41"/>
      <c r="J4635" s="41"/>
      <c r="K4635" s="41"/>
      <c r="L4635" s="41"/>
      <c r="M4635" s="41"/>
      <c r="N4635" s="41"/>
      <c r="O4635" s="41"/>
    </row>
    <row r="4636" spans="1:15">
      <c r="A4636" s="39"/>
      <c r="B4636" s="40"/>
      <c r="C4636" s="41"/>
      <c r="D4636" s="41"/>
      <c r="E4636" s="41"/>
      <c r="F4636" s="41"/>
      <c r="G4636" s="41"/>
      <c r="H4636" s="41"/>
      <c r="I4636" s="41"/>
      <c r="J4636" s="41"/>
      <c r="K4636" s="41"/>
      <c r="L4636" s="41"/>
      <c r="M4636" s="41"/>
      <c r="N4636" s="41"/>
      <c r="O4636" s="41"/>
    </row>
    <row r="4637" spans="1:15">
      <c r="A4637" s="39"/>
      <c r="B4637" s="40"/>
      <c r="C4637" s="41"/>
      <c r="D4637" s="41"/>
      <c r="E4637" s="41"/>
      <c r="F4637" s="41"/>
      <c r="G4637" s="41"/>
      <c r="H4637" s="41"/>
      <c r="I4637" s="41"/>
      <c r="J4637" s="41"/>
      <c r="K4637" s="41"/>
      <c r="L4637" s="41"/>
      <c r="M4637" s="41"/>
      <c r="N4637" s="41"/>
      <c r="O4637" s="41"/>
    </row>
    <row r="4638" spans="1:15">
      <c r="A4638" s="39"/>
      <c r="B4638" s="40"/>
      <c r="C4638" s="41"/>
      <c r="D4638" s="41"/>
      <c r="E4638" s="41"/>
      <c r="F4638" s="41"/>
      <c r="G4638" s="41"/>
      <c r="H4638" s="41"/>
      <c r="I4638" s="41"/>
      <c r="J4638" s="41"/>
      <c r="K4638" s="41"/>
      <c r="L4638" s="41"/>
      <c r="M4638" s="41"/>
      <c r="N4638" s="41"/>
      <c r="O4638" s="41"/>
    </row>
    <row r="4639" spans="1:15">
      <c r="A4639" s="39"/>
      <c r="B4639" s="40"/>
      <c r="C4639" s="41"/>
      <c r="D4639" s="41"/>
      <c r="E4639" s="41"/>
      <c r="F4639" s="41"/>
      <c r="G4639" s="41"/>
      <c r="H4639" s="41"/>
      <c r="I4639" s="41"/>
      <c r="J4639" s="41"/>
      <c r="K4639" s="41"/>
      <c r="L4639" s="41"/>
      <c r="M4639" s="41"/>
      <c r="N4639" s="41"/>
      <c r="O4639" s="41"/>
    </row>
    <row r="4640" spans="1:15">
      <c r="A4640" s="39"/>
      <c r="B4640" s="40"/>
      <c r="C4640" s="41"/>
      <c r="D4640" s="41"/>
      <c r="E4640" s="41"/>
      <c r="F4640" s="41"/>
      <c r="G4640" s="41"/>
      <c r="H4640" s="41"/>
      <c r="I4640" s="41"/>
      <c r="J4640" s="41"/>
      <c r="K4640" s="41"/>
      <c r="L4640" s="41"/>
      <c r="M4640" s="41"/>
      <c r="N4640" s="41"/>
      <c r="O4640" s="41"/>
    </row>
    <row r="4641" spans="1:15">
      <c r="A4641" s="39"/>
      <c r="B4641" s="40"/>
      <c r="C4641" s="41"/>
      <c r="D4641" s="41"/>
      <c r="E4641" s="41"/>
      <c r="F4641" s="41"/>
      <c r="G4641" s="41"/>
      <c r="H4641" s="41"/>
      <c r="I4641" s="41"/>
      <c r="J4641" s="41"/>
      <c r="K4641" s="41"/>
      <c r="L4641" s="41"/>
      <c r="M4641" s="41"/>
      <c r="N4641" s="41"/>
      <c r="O4641" s="41"/>
    </row>
    <row r="4642" spans="1:15">
      <c r="A4642" s="39"/>
      <c r="B4642" s="40"/>
      <c r="C4642" s="41"/>
      <c r="D4642" s="41"/>
      <c r="E4642" s="41"/>
      <c r="F4642" s="41"/>
      <c r="G4642" s="41"/>
      <c r="H4642" s="41"/>
      <c r="I4642" s="41"/>
      <c r="J4642" s="41"/>
      <c r="K4642" s="41"/>
      <c r="L4642" s="41"/>
      <c r="M4642" s="41"/>
      <c r="N4642" s="41"/>
      <c r="O4642" s="41"/>
    </row>
    <row r="4643" spans="1:15">
      <c r="A4643" s="39"/>
      <c r="B4643" s="40"/>
      <c r="C4643" s="41"/>
      <c r="D4643" s="41"/>
      <c r="E4643" s="41"/>
      <c r="F4643" s="41"/>
      <c r="G4643" s="41"/>
      <c r="H4643" s="41"/>
      <c r="I4643" s="41"/>
      <c r="J4643" s="41"/>
      <c r="K4643" s="41"/>
      <c r="L4643" s="41"/>
      <c r="M4643" s="41"/>
      <c r="N4643" s="41"/>
      <c r="O4643" s="41"/>
    </row>
    <row r="4644" spans="1:15">
      <c r="A4644" s="39"/>
      <c r="B4644" s="40"/>
      <c r="C4644" s="41"/>
      <c r="D4644" s="41"/>
      <c r="E4644" s="41"/>
      <c r="F4644" s="41"/>
      <c r="G4644" s="41"/>
      <c r="H4644" s="41"/>
      <c r="I4644" s="41"/>
      <c r="J4644" s="41"/>
      <c r="K4644" s="41"/>
      <c r="L4644" s="41"/>
      <c r="M4644" s="41"/>
      <c r="N4644" s="41"/>
      <c r="O4644" s="41"/>
    </row>
    <row r="4645" spans="1:15">
      <c r="A4645" s="39"/>
      <c r="B4645" s="40"/>
      <c r="C4645" s="41"/>
      <c r="D4645" s="41"/>
      <c r="E4645" s="41"/>
      <c r="F4645" s="41"/>
      <c r="G4645" s="41"/>
      <c r="H4645" s="41"/>
      <c r="I4645" s="41"/>
      <c r="J4645" s="41"/>
      <c r="K4645" s="41"/>
      <c r="L4645" s="41"/>
      <c r="M4645" s="41"/>
      <c r="N4645" s="41"/>
      <c r="O4645" s="41"/>
    </row>
    <row r="4646" spans="1:15">
      <c r="A4646" s="39"/>
      <c r="B4646" s="40"/>
      <c r="C4646" s="41"/>
      <c r="D4646" s="41"/>
      <c r="E4646" s="41"/>
      <c r="F4646" s="41"/>
      <c r="G4646" s="41"/>
      <c r="H4646" s="41"/>
      <c r="I4646" s="41"/>
      <c r="J4646" s="41"/>
      <c r="K4646" s="41"/>
      <c r="L4646" s="41"/>
      <c r="M4646" s="41"/>
      <c r="N4646" s="41"/>
      <c r="O4646" s="41"/>
    </row>
    <row r="4647" spans="1:15">
      <c r="A4647" s="39"/>
      <c r="B4647" s="40"/>
      <c r="C4647" s="41"/>
      <c r="D4647" s="41"/>
      <c r="E4647" s="41"/>
      <c r="F4647" s="41"/>
      <c r="G4647" s="41"/>
      <c r="H4647" s="41"/>
      <c r="I4647" s="41"/>
      <c r="J4647" s="41"/>
      <c r="K4647" s="41"/>
      <c r="L4647" s="41"/>
      <c r="M4647" s="41"/>
      <c r="N4647" s="41"/>
      <c r="O4647" s="41"/>
    </row>
    <row r="4648" spans="1:15">
      <c r="A4648" s="39"/>
      <c r="B4648" s="40"/>
      <c r="C4648" s="41"/>
      <c r="D4648" s="41"/>
      <c r="E4648" s="41"/>
      <c r="F4648" s="41"/>
      <c r="G4648" s="41"/>
      <c r="H4648" s="41"/>
      <c r="I4648" s="41"/>
      <c r="J4648" s="41"/>
      <c r="K4648" s="41"/>
      <c r="L4648" s="41"/>
      <c r="M4648" s="41"/>
      <c r="N4648" s="41"/>
      <c r="O4648" s="41"/>
    </row>
    <row r="4649" spans="1:15">
      <c r="A4649" s="39"/>
      <c r="B4649" s="40"/>
      <c r="C4649" s="41"/>
      <c r="D4649" s="41"/>
      <c r="E4649" s="41"/>
      <c r="F4649" s="41"/>
      <c r="G4649" s="41"/>
      <c r="H4649" s="41"/>
      <c r="I4649" s="41"/>
      <c r="J4649" s="41"/>
      <c r="K4649" s="41"/>
      <c r="L4649" s="41"/>
      <c r="M4649" s="41"/>
      <c r="N4649" s="41"/>
      <c r="O4649" s="41"/>
    </row>
    <row r="4650" spans="1:15">
      <c r="A4650" s="39"/>
      <c r="B4650" s="40"/>
      <c r="C4650" s="41"/>
      <c r="D4650" s="41"/>
      <c r="E4650" s="41"/>
      <c r="F4650" s="41"/>
      <c r="G4650" s="41"/>
      <c r="H4650" s="41"/>
      <c r="I4650" s="41"/>
      <c r="J4650" s="41"/>
      <c r="K4650" s="41"/>
      <c r="L4650" s="41"/>
      <c r="M4650" s="41"/>
      <c r="N4650" s="41"/>
      <c r="O4650" s="41"/>
    </row>
    <row r="4651" spans="1:15">
      <c r="A4651" s="39"/>
      <c r="B4651" s="40"/>
      <c r="C4651" s="41"/>
      <c r="D4651" s="41"/>
      <c r="E4651" s="41"/>
      <c r="F4651" s="41"/>
      <c r="G4651" s="41"/>
      <c r="H4651" s="41"/>
      <c r="I4651" s="41"/>
      <c r="J4651" s="41"/>
      <c r="K4651" s="41"/>
      <c r="L4651" s="41"/>
      <c r="M4651" s="41"/>
      <c r="N4651" s="41"/>
      <c r="O4651" s="41"/>
    </row>
    <row r="4652" spans="1:15">
      <c r="A4652" s="39"/>
      <c r="B4652" s="40"/>
      <c r="C4652" s="41"/>
      <c r="D4652" s="41"/>
      <c r="E4652" s="41"/>
      <c r="F4652" s="41"/>
      <c r="G4652" s="41"/>
      <c r="H4652" s="41"/>
      <c r="I4652" s="41"/>
      <c r="J4652" s="41"/>
      <c r="K4652" s="41"/>
      <c r="L4652" s="41"/>
      <c r="M4652" s="41"/>
      <c r="N4652" s="41"/>
      <c r="O4652" s="41"/>
    </row>
    <row r="4653" spans="1:15">
      <c r="A4653" s="39"/>
      <c r="B4653" s="40"/>
      <c r="C4653" s="41"/>
      <c r="D4653" s="41"/>
      <c r="E4653" s="41"/>
      <c r="F4653" s="41"/>
      <c r="G4653" s="41"/>
      <c r="H4653" s="41"/>
      <c r="I4653" s="41"/>
      <c r="J4653" s="41"/>
      <c r="K4653" s="41"/>
      <c r="L4653" s="41"/>
      <c r="M4653" s="41"/>
      <c r="N4653" s="41"/>
      <c r="O4653" s="41"/>
    </row>
    <row r="4654" spans="1:15">
      <c r="A4654" s="39"/>
      <c r="B4654" s="40"/>
      <c r="C4654" s="41"/>
      <c r="D4654" s="41"/>
      <c r="E4654" s="41"/>
      <c r="F4654" s="41"/>
      <c r="G4654" s="41"/>
      <c r="H4654" s="41"/>
      <c r="I4654" s="41"/>
      <c r="J4654" s="41"/>
      <c r="K4654" s="41"/>
      <c r="L4654" s="41"/>
      <c r="M4654" s="41"/>
      <c r="N4654" s="41"/>
      <c r="O4654" s="41"/>
    </row>
    <row r="4655" spans="1:15">
      <c r="A4655" s="39"/>
      <c r="B4655" s="40"/>
      <c r="C4655" s="41"/>
      <c r="D4655" s="41"/>
      <c r="E4655" s="41"/>
      <c r="F4655" s="41"/>
      <c r="G4655" s="41"/>
      <c r="H4655" s="41"/>
      <c r="I4655" s="41"/>
      <c r="J4655" s="41"/>
      <c r="K4655" s="41"/>
      <c r="L4655" s="41"/>
      <c r="M4655" s="41"/>
      <c r="N4655" s="41"/>
      <c r="O4655" s="41"/>
    </row>
    <row r="4656" spans="1:15">
      <c r="A4656" s="39"/>
      <c r="B4656" s="40"/>
      <c r="C4656" s="41"/>
      <c r="D4656" s="41"/>
      <c r="E4656" s="41"/>
      <c r="F4656" s="41"/>
      <c r="G4656" s="41"/>
      <c r="H4656" s="41"/>
      <c r="I4656" s="41"/>
      <c r="J4656" s="41"/>
      <c r="K4656" s="41"/>
      <c r="L4656" s="41"/>
      <c r="M4656" s="41"/>
      <c r="N4656" s="41"/>
      <c r="O4656" s="41"/>
    </row>
    <row r="4657" spans="1:15">
      <c r="A4657" s="39"/>
      <c r="B4657" s="40"/>
      <c r="C4657" s="41"/>
      <c r="D4657" s="41"/>
      <c r="E4657" s="41"/>
      <c r="F4657" s="41"/>
      <c r="G4657" s="41"/>
      <c r="H4657" s="41"/>
      <c r="I4657" s="41"/>
      <c r="J4657" s="41"/>
      <c r="K4657" s="41"/>
      <c r="L4657" s="41"/>
      <c r="M4657" s="41"/>
      <c r="N4657" s="41"/>
      <c r="O4657" s="41"/>
    </row>
    <row r="4658" spans="1:15">
      <c r="A4658" s="39"/>
      <c r="B4658" s="40"/>
      <c r="C4658" s="41"/>
      <c r="D4658" s="41"/>
      <c r="E4658" s="41"/>
      <c r="F4658" s="41"/>
      <c r="G4658" s="41"/>
      <c r="H4658" s="41"/>
      <c r="I4658" s="41"/>
      <c r="J4658" s="41"/>
      <c r="K4658" s="41"/>
      <c r="L4658" s="41"/>
      <c r="M4658" s="41"/>
      <c r="N4658" s="41"/>
      <c r="O4658" s="41"/>
    </row>
    <row r="4659" spans="1:15">
      <c r="A4659" s="39"/>
      <c r="B4659" s="40"/>
      <c r="C4659" s="41"/>
      <c r="D4659" s="41"/>
      <c r="E4659" s="41"/>
      <c r="F4659" s="41"/>
      <c r="G4659" s="41"/>
      <c r="H4659" s="41"/>
      <c r="I4659" s="41"/>
      <c r="J4659" s="41"/>
      <c r="K4659" s="41"/>
      <c r="L4659" s="41"/>
      <c r="M4659" s="41"/>
      <c r="N4659" s="41"/>
      <c r="O4659" s="41"/>
    </row>
    <row r="4660" spans="1:15">
      <c r="A4660" s="39"/>
      <c r="B4660" s="40"/>
      <c r="C4660" s="41"/>
      <c r="D4660" s="41"/>
      <c r="E4660" s="41"/>
      <c r="F4660" s="41"/>
      <c r="G4660" s="41"/>
      <c r="H4660" s="41"/>
      <c r="I4660" s="41"/>
      <c r="J4660" s="41"/>
      <c r="K4660" s="41"/>
      <c r="L4660" s="41"/>
      <c r="M4660" s="41"/>
      <c r="N4660" s="41"/>
      <c r="O4660" s="41"/>
    </row>
    <row r="4661" spans="1:15">
      <c r="A4661" s="39"/>
      <c r="B4661" s="40"/>
      <c r="C4661" s="41"/>
      <c r="D4661" s="41"/>
      <c r="E4661" s="41"/>
      <c r="F4661" s="41"/>
      <c r="G4661" s="41"/>
      <c r="H4661" s="41"/>
      <c r="I4661" s="41"/>
      <c r="J4661" s="41"/>
      <c r="K4661" s="41"/>
      <c r="L4661" s="41"/>
      <c r="M4661" s="41"/>
      <c r="N4661" s="41"/>
      <c r="O4661" s="41"/>
    </row>
    <row r="4662" spans="1:15">
      <c r="A4662" s="39"/>
      <c r="B4662" s="40"/>
      <c r="C4662" s="41"/>
      <c r="D4662" s="41"/>
      <c r="E4662" s="41"/>
      <c r="F4662" s="41"/>
      <c r="G4662" s="41"/>
      <c r="H4662" s="41"/>
      <c r="I4662" s="41"/>
      <c r="J4662" s="41"/>
      <c r="K4662" s="41"/>
      <c r="L4662" s="41"/>
      <c r="M4662" s="41"/>
      <c r="N4662" s="41"/>
      <c r="O4662" s="41"/>
    </row>
    <row r="4663" spans="1:15">
      <c r="A4663" s="39"/>
      <c r="B4663" s="40"/>
      <c r="C4663" s="41"/>
      <c r="D4663" s="41"/>
      <c r="E4663" s="41"/>
      <c r="F4663" s="41"/>
      <c r="G4663" s="41"/>
      <c r="H4663" s="41"/>
      <c r="I4663" s="41"/>
      <c r="J4663" s="41"/>
      <c r="K4663" s="41"/>
      <c r="L4663" s="41"/>
      <c r="M4663" s="41"/>
      <c r="N4663" s="41"/>
      <c r="O4663" s="41"/>
    </row>
    <row r="4664" spans="1:15">
      <c r="A4664" s="39"/>
      <c r="B4664" s="40"/>
      <c r="C4664" s="41"/>
      <c r="D4664" s="41"/>
      <c r="E4664" s="41"/>
      <c r="F4664" s="41"/>
      <c r="G4664" s="41"/>
      <c r="H4664" s="41"/>
      <c r="I4664" s="41"/>
      <c r="J4664" s="41"/>
      <c r="K4664" s="41"/>
      <c r="L4664" s="41"/>
      <c r="M4664" s="41"/>
      <c r="N4664" s="41"/>
      <c r="O4664" s="41"/>
    </row>
    <row r="4665" spans="1:15">
      <c r="A4665" s="39"/>
      <c r="B4665" s="40"/>
      <c r="C4665" s="41"/>
      <c r="D4665" s="41"/>
      <c r="E4665" s="41"/>
      <c r="F4665" s="41"/>
      <c r="G4665" s="41"/>
      <c r="H4665" s="41"/>
      <c r="I4665" s="41"/>
      <c r="J4665" s="41"/>
      <c r="K4665" s="41"/>
      <c r="L4665" s="41"/>
      <c r="M4665" s="41"/>
      <c r="N4665" s="41"/>
      <c r="O4665" s="41"/>
    </row>
    <row r="4666" spans="1:15">
      <c r="A4666" s="39"/>
      <c r="B4666" s="40"/>
      <c r="C4666" s="41"/>
      <c r="D4666" s="41"/>
      <c r="E4666" s="41"/>
      <c r="F4666" s="41"/>
      <c r="G4666" s="41"/>
      <c r="H4666" s="41"/>
      <c r="I4666" s="41"/>
      <c r="J4666" s="41"/>
      <c r="K4666" s="41"/>
      <c r="L4666" s="41"/>
      <c r="M4666" s="41"/>
      <c r="N4666" s="41"/>
      <c r="O4666" s="41"/>
    </row>
    <row r="4667" spans="1:15">
      <c r="A4667" s="39"/>
      <c r="B4667" s="40"/>
      <c r="C4667" s="41"/>
      <c r="D4667" s="41"/>
      <c r="E4667" s="41"/>
      <c r="F4667" s="41"/>
      <c r="G4667" s="41"/>
      <c r="H4667" s="41"/>
      <c r="I4667" s="41"/>
      <c r="J4667" s="41"/>
      <c r="K4667" s="41"/>
      <c r="L4667" s="41"/>
      <c r="M4667" s="41"/>
      <c r="N4667" s="41"/>
      <c r="O4667" s="41"/>
    </row>
    <row r="4668" spans="1:15">
      <c r="A4668" s="39"/>
      <c r="B4668" s="40"/>
      <c r="C4668" s="41"/>
      <c r="D4668" s="41"/>
      <c r="E4668" s="41"/>
      <c r="F4668" s="41"/>
      <c r="G4668" s="41"/>
      <c r="H4668" s="41"/>
      <c r="I4668" s="41"/>
      <c r="J4668" s="41"/>
      <c r="K4668" s="41"/>
      <c r="L4668" s="41"/>
      <c r="M4668" s="41"/>
      <c r="N4668" s="41"/>
      <c r="O4668" s="41"/>
    </row>
    <row r="4669" spans="1:15">
      <c r="A4669" s="39"/>
      <c r="B4669" s="40"/>
      <c r="C4669" s="41"/>
      <c r="D4669" s="41"/>
      <c r="E4669" s="41"/>
      <c r="F4669" s="41"/>
      <c r="G4669" s="41"/>
      <c r="H4669" s="41"/>
      <c r="I4669" s="41"/>
      <c r="J4669" s="41"/>
      <c r="K4669" s="41"/>
      <c r="L4669" s="41"/>
      <c r="M4669" s="41"/>
      <c r="N4669" s="41"/>
      <c r="O4669" s="41"/>
    </row>
    <row r="4670" spans="1:15">
      <c r="A4670" s="39"/>
      <c r="B4670" s="40"/>
      <c r="C4670" s="41"/>
      <c r="D4670" s="41"/>
      <c r="E4670" s="41"/>
      <c r="F4670" s="41"/>
      <c r="G4670" s="41"/>
      <c r="H4670" s="41"/>
      <c r="I4670" s="41"/>
      <c r="J4670" s="41"/>
      <c r="K4670" s="41"/>
      <c r="L4670" s="41"/>
      <c r="M4670" s="41"/>
      <c r="N4670" s="41"/>
      <c r="O4670" s="41"/>
    </row>
    <row r="4671" spans="1:15">
      <c r="A4671" s="39"/>
      <c r="B4671" s="40"/>
      <c r="C4671" s="41"/>
      <c r="D4671" s="41"/>
      <c r="E4671" s="41"/>
      <c r="F4671" s="41"/>
      <c r="G4671" s="41"/>
      <c r="H4671" s="41"/>
      <c r="I4671" s="41"/>
      <c r="J4671" s="41"/>
      <c r="K4671" s="41"/>
      <c r="L4671" s="41"/>
      <c r="M4671" s="41"/>
      <c r="N4671" s="41"/>
      <c r="O4671" s="41"/>
    </row>
    <row r="4672" spans="1:15">
      <c r="A4672" s="39"/>
      <c r="B4672" s="40"/>
      <c r="C4672" s="41"/>
      <c r="D4672" s="41"/>
      <c r="E4672" s="41"/>
      <c r="F4672" s="41"/>
      <c r="G4672" s="41"/>
      <c r="H4672" s="41"/>
      <c r="I4672" s="41"/>
      <c r="J4672" s="41"/>
      <c r="K4672" s="41"/>
      <c r="L4672" s="41"/>
      <c r="M4672" s="41"/>
      <c r="N4672" s="41"/>
      <c r="O4672" s="41"/>
    </row>
    <row r="4673" spans="1:15">
      <c r="A4673" s="39"/>
      <c r="B4673" s="40"/>
      <c r="C4673" s="41"/>
      <c r="D4673" s="41"/>
      <c r="E4673" s="41"/>
      <c r="F4673" s="41"/>
      <c r="G4673" s="41"/>
      <c r="H4673" s="41"/>
      <c r="I4673" s="41"/>
      <c r="J4673" s="41"/>
      <c r="K4673" s="41"/>
      <c r="L4673" s="41"/>
      <c r="M4673" s="41"/>
      <c r="N4673" s="41"/>
      <c r="O4673" s="41"/>
    </row>
    <row r="4674" spans="1:15">
      <c r="A4674" s="39"/>
      <c r="B4674" s="40"/>
      <c r="C4674" s="41"/>
      <c r="D4674" s="41"/>
      <c r="E4674" s="41"/>
      <c r="F4674" s="41"/>
      <c r="G4674" s="41"/>
      <c r="H4674" s="41"/>
      <c r="I4674" s="41"/>
      <c r="J4674" s="41"/>
      <c r="K4674" s="41"/>
      <c r="L4674" s="41"/>
      <c r="M4674" s="41"/>
      <c r="N4674" s="41"/>
      <c r="O4674" s="41"/>
    </row>
    <row r="4675" spans="1:15">
      <c r="A4675" s="39"/>
      <c r="B4675" s="40"/>
      <c r="C4675" s="41"/>
      <c r="D4675" s="41"/>
      <c r="E4675" s="41"/>
      <c r="F4675" s="41"/>
      <c r="G4675" s="41"/>
      <c r="H4675" s="41"/>
      <c r="I4675" s="41"/>
      <c r="J4675" s="41"/>
      <c r="K4675" s="41"/>
      <c r="L4675" s="41"/>
      <c r="M4675" s="41"/>
      <c r="N4675" s="41"/>
      <c r="O4675" s="41"/>
    </row>
    <row r="4676" spans="1:15">
      <c r="A4676" s="39"/>
      <c r="B4676" s="40"/>
      <c r="C4676" s="41"/>
      <c r="D4676" s="41"/>
      <c r="E4676" s="41"/>
      <c r="F4676" s="41"/>
      <c r="G4676" s="41"/>
      <c r="H4676" s="41"/>
      <c r="I4676" s="41"/>
      <c r="J4676" s="41"/>
      <c r="K4676" s="41"/>
      <c r="L4676" s="41"/>
      <c r="M4676" s="41"/>
      <c r="N4676" s="41"/>
      <c r="O4676" s="41"/>
    </row>
    <row r="4677" spans="1:15">
      <c r="A4677" s="39"/>
      <c r="B4677" s="40"/>
      <c r="C4677" s="41"/>
      <c r="D4677" s="41"/>
      <c r="E4677" s="41"/>
      <c r="F4677" s="41"/>
      <c r="G4677" s="41"/>
      <c r="H4677" s="41"/>
      <c r="I4677" s="41"/>
      <c r="J4677" s="41"/>
      <c r="K4677" s="41"/>
      <c r="L4677" s="41"/>
      <c r="M4677" s="41"/>
      <c r="N4677" s="41"/>
      <c r="O4677" s="41"/>
    </row>
    <row r="4678" spans="1:15">
      <c r="A4678" s="39"/>
      <c r="B4678" s="40"/>
      <c r="C4678" s="41"/>
      <c r="D4678" s="41"/>
      <c r="E4678" s="41"/>
      <c r="F4678" s="41"/>
      <c r="G4678" s="41"/>
      <c r="H4678" s="41"/>
      <c r="I4678" s="41"/>
      <c r="J4678" s="41"/>
      <c r="K4678" s="41"/>
      <c r="L4678" s="41"/>
      <c r="M4678" s="41"/>
      <c r="N4678" s="41"/>
      <c r="O4678" s="41"/>
    </row>
    <row r="4679" spans="1:15">
      <c r="A4679" s="39"/>
      <c r="B4679" s="40"/>
      <c r="C4679" s="41"/>
      <c r="D4679" s="41"/>
      <c r="E4679" s="41"/>
      <c r="F4679" s="41"/>
      <c r="G4679" s="41"/>
      <c r="H4679" s="41"/>
      <c r="I4679" s="41"/>
      <c r="J4679" s="41"/>
      <c r="K4679" s="41"/>
      <c r="L4679" s="41"/>
      <c r="M4679" s="41"/>
      <c r="N4679" s="41"/>
      <c r="O4679" s="41"/>
    </row>
    <row r="4680" spans="1:15">
      <c r="A4680" s="39"/>
      <c r="B4680" s="40"/>
      <c r="C4680" s="41"/>
      <c r="D4680" s="41"/>
      <c r="E4680" s="41"/>
      <c r="F4680" s="41"/>
      <c r="G4680" s="41"/>
      <c r="H4680" s="41"/>
      <c r="I4680" s="41"/>
      <c r="J4680" s="41"/>
      <c r="K4680" s="41"/>
      <c r="L4680" s="41"/>
      <c r="M4680" s="41"/>
      <c r="N4680" s="41"/>
      <c r="O4680" s="41"/>
    </row>
    <row r="4681" spans="1:15">
      <c r="A4681" s="39"/>
      <c r="B4681" s="40"/>
      <c r="C4681" s="41"/>
      <c r="D4681" s="41"/>
      <c r="E4681" s="41"/>
      <c r="F4681" s="41"/>
      <c r="G4681" s="41"/>
      <c r="H4681" s="41"/>
      <c r="I4681" s="41"/>
      <c r="J4681" s="41"/>
      <c r="K4681" s="41"/>
      <c r="L4681" s="41"/>
      <c r="M4681" s="41"/>
      <c r="N4681" s="41"/>
      <c r="O4681" s="41"/>
    </row>
    <row r="4682" spans="1:15">
      <c r="A4682" s="39"/>
      <c r="B4682" s="40"/>
      <c r="C4682" s="41"/>
      <c r="D4682" s="41"/>
      <c r="E4682" s="41"/>
      <c r="F4682" s="41"/>
      <c r="G4682" s="41"/>
      <c r="H4682" s="41"/>
      <c r="I4682" s="41"/>
      <c r="J4682" s="41"/>
      <c r="K4682" s="41"/>
      <c r="L4682" s="41"/>
      <c r="M4682" s="41"/>
      <c r="N4682" s="41"/>
      <c r="O4682" s="41"/>
    </row>
    <row r="4683" spans="1:15">
      <c r="A4683" s="39"/>
      <c r="B4683" s="40"/>
      <c r="C4683" s="41"/>
      <c r="D4683" s="41"/>
      <c r="E4683" s="41"/>
      <c r="F4683" s="41"/>
      <c r="G4683" s="41"/>
      <c r="H4683" s="41"/>
      <c r="I4683" s="41"/>
      <c r="J4683" s="41"/>
      <c r="K4683" s="41"/>
      <c r="L4683" s="41"/>
      <c r="M4683" s="41"/>
      <c r="N4683" s="41"/>
      <c r="O4683" s="41"/>
    </row>
    <row r="4684" spans="1:15">
      <c r="A4684" s="39"/>
      <c r="B4684" s="40"/>
      <c r="C4684" s="41"/>
      <c r="D4684" s="41"/>
      <c r="E4684" s="41"/>
      <c r="F4684" s="41"/>
      <c r="G4684" s="41"/>
      <c r="H4684" s="41"/>
      <c r="I4684" s="41"/>
      <c r="J4684" s="41"/>
      <c r="K4684" s="41"/>
      <c r="L4684" s="41"/>
      <c r="M4684" s="41"/>
      <c r="N4684" s="41"/>
      <c r="O4684" s="41"/>
    </row>
    <row r="4685" spans="1:15">
      <c r="A4685" s="39"/>
      <c r="B4685" s="40"/>
      <c r="C4685" s="41"/>
      <c r="D4685" s="41"/>
      <c r="E4685" s="41"/>
      <c r="F4685" s="41"/>
      <c r="G4685" s="41"/>
      <c r="H4685" s="41"/>
      <c r="I4685" s="41"/>
      <c r="J4685" s="41"/>
      <c r="K4685" s="41"/>
      <c r="L4685" s="41"/>
      <c r="M4685" s="41"/>
      <c r="N4685" s="41"/>
      <c r="O4685" s="41"/>
    </row>
    <row r="4686" spans="1:15">
      <c r="A4686" s="39"/>
      <c r="B4686" s="40"/>
      <c r="C4686" s="41"/>
      <c r="D4686" s="41"/>
      <c r="E4686" s="41"/>
      <c r="F4686" s="41"/>
      <c r="G4686" s="41"/>
      <c r="H4686" s="41"/>
      <c r="I4686" s="41"/>
      <c r="J4686" s="41"/>
      <c r="K4686" s="41"/>
      <c r="L4686" s="41"/>
      <c r="M4686" s="41"/>
      <c r="N4686" s="41"/>
      <c r="O4686" s="41"/>
    </row>
    <row r="4687" spans="1:15">
      <c r="A4687" s="39"/>
      <c r="B4687" s="40"/>
      <c r="C4687" s="41"/>
      <c r="D4687" s="41"/>
      <c r="E4687" s="41"/>
      <c r="F4687" s="41"/>
      <c r="G4687" s="41"/>
      <c r="H4687" s="41"/>
      <c r="I4687" s="41"/>
      <c r="J4687" s="41"/>
      <c r="K4687" s="41"/>
      <c r="L4687" s="41"/>
      <c r="M4687" s="41"/>
      <c r="N4687" s="41"/>
      <c r="O4687" s="41"/>
    </row>
    <row r="4688" spans="1:15">
      <c r="A4688" s="39"/>
      <c r="B4688" s="40"/>
      <c r="C4688" s="41"/>
      <c r="D4688" s="41"/>
      <c r="E4688" s="41"/>
      <c r="F4688" s="41"/>
      <c r="G4688" s="41"/>
      <c r="H4688" s="41"/>
      <c r="I4688" s="41"/>
      <c r="J4688" s="41"/>
      <c r="K4688" s="41"/>
      <c r="L4688" s="41"/>
      <c r="M4688" s="41"/>
      <c r="N4688" s="41"/>
      <c r="O4688" s="41"/>
    </row>
    <row r="4689" spans="1:15">
      <c r="A4689" s="39"/>
      <c r="B4689" s="40"/>
      <c r="C4689" s="41"/>
      <c r="D4689" s="41"/>
      <c r="E4689" s="41"/>
      <c r="F4689" s="41"/>
      <c r="G4689" s="41"/>
      <c r="H4689" s="41"/>
      <c r="I4689" s="41"/>
      <c r="J4689" s="41"/>
      <c r="K4689" s="41"/>
      <c r="L4689" s="41"/>
      <c r="M4689" s="41"/>
      <c r="N4689" s="41"/>
      <c r="O4689" s="41"/>
    </row>
    <row r="4690" spans="1:15">
      <c r="A4690" s="39"/>
      <c r="B4690" s="40"/>
      <c r="C4690" s="41"/>
      <c r="D4690" s="41"/>
      <c r="E4690" s="41"/>
      <c r="F4690" s="41"/>
      <c r="G4690" s="41"/>
      <c r="H4690" s="41"/>
      <c r="I4690" s="41"/>
      <c r="J4690" s="41"/>
      <c r="K4690" s="41"/>
      <c r="L4690" s="41"/>
      <c r="M4690" s="41"/>
      <c r="N4690" s="41"/>
      <c r="O4690" s="41"/>
    </row>
    <row r="4691" spans="1:15">
      <c r="A4691" s="39"/>
      <c r="B4691" s="40"/>
      <c r="C4691" s="41"/>
      <c r="D4691" s="41"/>
      <c r="E4691" s="41"/>
      <c r="F4691" s="41"/>
      <c r="G4691" s="41"/>
      <c r="H4691" s="41"/>
      <c r="I4691" s="41"/>
      <c r="J4691" s="41"/>
      <c r="K4691" s="41"/>
      <c r="L4691" s="41"/>
      <c r="M4691" s="41"/>
      <c r="N4691" s="41"/>
      <c r="O4691" s="41"/>
    </row>
    <row r="4692" spans="1:15">
      <c r="A4692" s="39"/>
      <c r="B4692" s="40"/>
      <c r="C4692" s="41"/>
      <c r="D4692" s="41"/>
      <c r="E4692" s="41"/>
      <c r="F4692" s="41"/>
      <c r="G4692" s="41"/>
      <c r="H4692" s="41"/>
      <c r="I4692" s="41"/>
      <c r="J4692" s="41"/>
      <c r="K4692" s="41"/>
      <c r="L4692" s="41"/>
      <c r="M4692" s="41"/>
      <c r="N4692" s="41"/>
      <c r="O4692" s="41"/>
    </row>
    <row r="4693" spans="1:15">
      <c r="A4693" s="39"/>
      <c r="B4693" s="40"/>
      <c r="C4693" s="41"/>
      <c r="D4693" s="41"/>
      <c r="E4693" s="41"/>
      <c r="F4693" s="41"/>
      <c r="G4693" s="41"/>
      <c r="H4693" s="41"/>
      <c r="I4693" s="41"/>
      <c r="J4693" s="41"/>
      <c r="K4693" s="41"/>
      <c r="L4693" s="41"/>
      <c r="M4693" s="41"/>
      <c r="N4693" s="41"/>
      <c r="O4693" s="41"/>
    </row>
    <row r="4694" spans="1:15">
      <c r="A4694" s="39"/>
      <c r="B4694" s="40"/>
      <c r="C4694" s="41"/>
      <c r="D4694" s="41"/>
      <c r="E4694" s="41"/>
      <c r="F4694" s="41"/>
      <c r="G4694" s="41"/>
      <c r="H4694" s="41"/>
      <c r="I4694" s="41"/>
      <c r="J4694" s="41"/>
      <c r="K4694" s="41"/>
      <c r="L4694" s="41"/>
      <c r="M4694" s="41"/>
      <c r="N4694" s="41"/>
      <c r="O4694" s="41"/>
    </row>
    <row r="4695" spans="1:15">
      <c r="A4695" s="39"/>
      <c r="B4695" s="40"/>
      <c r="C4695" s="41"/>
      <c r="D4695" s="41"/>
      <c r="E4695" s="41"/>
      <c r="F4695" s="41"/>
      <c r="G4695" s="41"/>
      <c r="H4695" s="41"/>
      <c r="I4695" s="41"/>
      <c r="J4695" s="41"/>
      <c r="K4695" s="41"/>
      <c r="L4695" s="41"/>
      <c r="M4695" s="41"/>
      <c r="N4695" s="41"/>
      <c r="O4695" s="41"/>
    </row>
    <row r="4696" spans="1:15">
      <c r="A4696" s="39"/>
      <c r="B4696" s="40"/>
      <c r="C4696" s="41"/>
      <c r="D4696" s="41"/>
      <c r="E4696" s="41"/>
      <c r="F4696" s="41"/>
      <c r="G4696" s="41"/>
      <c r="H4696" s="41"/>
      <c r="I4696" s="41"/>
      <c r="J4696" s="41"/>
      <c r="K4696" s="41"/>
      <c r="L4696" s="41"/>
      <c r="M4696" s="41"/>
      <c r="N4696" s="41"/>
      <c r="O4696" s="41"/>
    </row>
    <row r="4697" spans="1:15">
      <c r="A4697" s="39"/>
      <c r="B4697" s="40"/>
      <c r="C4697" s="41"/>
      <c r="D4697" s="41"/>
      <c r="E4697" s="41"/>
      <c r="F4697" s="41"/>
      <c r="G4697" s="41"/>
      <c r="H4697" s="41"/>
      <c r="I4697" s="41"/>
      <c r="J4697" s="41"/>
      <c r="K4697" s="41"/>
      <c r="L4697" s="41"/>
      <c r="M4697" s="41"/>
      <c r="N4697" s="41"/>
      <c r="O4697" s="41"/>
    </row>
    <row r="4698" spans="1:15">
      <c r="A4698" s="39"/>
      <c r="B4698" s="40"/>
      <c r="C4698" s="41"/>
      <c r="D4698" s="41"/>
      <c r="E4698" s="41"/>
      <c r="F4698" s="41"/>
      <c r="G4698" s="41"/>
      <c r="H4698" s="41"/>
      <c r="I4698" s="41"/>
      <c r="J4698" s="41"/>
      <c r="K4698" s="41"/>
      <c r="L4698" s="41"/>
      <c r="M4698" s="41"/>
      <c r="N4698" s="41"/>
      <c r="O4698" s="41"/>
    </row>
    <row r="4699" spans="1:15">
      <c r="A4699" s="39"/>
      <c r="B4699" s="40"/>
      <c r="C4699" s="41"/>
      <c r="D4699" s="41"/>
      <c r="E4699" s="41"/>
      <c r="F4699" s="41"/>
      <c r="G4699" s="41"/>
      <c r="H4699" s="41"/>
      <c r="I4699" s="41"/>
      <c r="J4699" s="41"/>
      <c r="K4699" s="41"/>
      <c r="L4699" s="41"/>
      <c r="M4699" s="41"/>
      <c r="N4699" s="41"/>
      <c r="O4699" s="41"/>
    </row>
    <row r="4700" spans="1:15">
      <c r="A4700" s="39"/>
      <c r="B4700" s="40"/>
      <c r="C4700" s="41"/>
      <c r="D4700" s="41"/>
      <c r="E4700" s="41"/>
      <c r="F4700" s="41"/>
      <c r="G4700" s="41"/>
      <c r="H4700" s="41"/>
      <c r="I4700" s="41"/>
      <c r="J4700" s="41"/>
      <c r="K4700" s="41"/>
      <c r="L4700" s="41"/>
      <c r="M4700" s="41"/>
      <c r="N4700" s="41"/>
      <c r="O4700" s="41"/>
    </row>
    <row r="4701" spans="1:15">
      <c r="A4701" s="39"/>
      <c r="B4701" s="40"/>
      <c r="C4701" s="41"/>
      <c r="D4701" s="41"/>
      <c r="E4701" s="41"/>
      <c r="F4701" s="41"/>
      <c r="G4701" s="41"/>
      <c r="H4701" s="41"/>
      <c r="I4701" s="41"/>
      <c r="J4701" s="41"/>
      <c r="K4701" s="41"/>
      <c r="L4701" s="41"/>
      <c r="M4701" s="41"/>
      <c r="N4701" s="41"/>
      <c r="O4701" s="41"/>
    </row>
    <row r="4702" spans="1:15">
      <c r="A4702" s="39"/>
      <c r="B4702" s="40"/>
      <c r="C4702" s="41"/>
      <c r="D4702" s="41"/>
      <c r="E4702" s="41"/>
      <c r="F4702" s="41"/>
      <c r="G4702" s="41"/>
      <c r="H4702" s="41"/>
      <c r="I4702" s="41"/>
      <c r="J4702" s="41"/>
      <c r="K4702" s="41"/>
      <c r="L4702" s="41"/>
      <c r="M4702" s="41"/>
      <c r="N4702" s="41"/>
      <c r="O4702" s="41"/>
    </row>
    <row r="4703" spans="1:15">
      <c r="A4703" s="39"/>
      <c r="B4703" s="40"/>
      <c r="C4703" s="41"/>
      <c r="D4703" s="41"/>
      <c r="E4703" s="41"/>
      <c r="F4703" s="41"/>
      <c r="G4703" s="41"/>
      <c r="H4703" s="41"/>
      <c r="I4703" s="41"/>
      <c r="J4703" s="41"/>
      <c r="K4703" s="41"/>
      <c r="L4703" s="41"/>
      <c r="M4703" s="41"/>
      <c r="N4703" s="41"/>
      <c r="O4703" s="41"/>
    </row>
    <row r="4704" spans="1:15">
      <c r="A4704" s="39"/>
      <c r="B4704" s="40"/>
      <c r="C4704" s="41"/>
      <c r="D4704" s="41"/>
      <c r="E4704" s="41"/>
      <c r="F4704" s="41"/>
      <c r="G4704" s="41"/>
      <c r="H4704" s="41"/>
      <c r="I4704" s="41"/>
      <c r="J4704" s="41"/>
      <c r="K4704" s="41"/>
      <c r="L4704" s="41"/>
      <c r="M4704" s="41"/>
      <c r="N4704" s="41"/>
      <c r="O4704" s="41"/>
    </row>
    <row r="4705" spans="1:15">
      <c r="A4705" s="39"/>
      <c r="B4705" s="40"/>
      <c r="C4705" s="41"/>
      <c r="D4705" s="41"/>
      <c r="E4705" s="41"/>
      <c r="F4705" s="41"/>
      <c r="G4705" s="41"/>
      <c r="H4705" s="41"/>
      <c r="I4705" s="41"/>
      <c r="J4705" s="41"/>
      <c r="K4705" s="41"/>
      <c r="L4705" s="41"/>
      <c r="M4705" s="41"/>
      <c r="N4705" s="41"/>
      <c r="O4705" s="41"/>
    </row>
    <row r="4706" spans="1:15">
      <c r="A4706" s="39"/>
      <c r="B4706" s="40"/>
      <c r="C4706" s="41"/>
      <c r="D4706" s="41"/>
      <c r="E4706" s="41"/>
      <c r="F4706" s="41"/>
      <c r="G4706" s="41"/>
      <c r="H4706" s="41"/>
      <c r="I4706" s="41"/>
      <c r="J4706" s="41"/>
      <c r="K4706" s="41"/>
      <c r="L4706" s="41"/>
      <c r="M4706" s="41"/>
      <c r="N4706" s="41"/>
      <c r="O4706" s="41"/>
    </row>
    <row r="4707" spans="1:15">
      <c r="A4707" s="39"/>
      <c r="B4707" s="40"/>
      <c r="C4707" s="41"/>
      <c r="D4707" s="41"/>
      <c r="E4707" s="41"/>
      <c r="F4707" s="41"/>
      <c r="G4707" s="41"/>
      <c r="H4707" s="41"/>
      <c r="I4707" s="41"/>
      <c r="J4707" s="41"/>
      <c r="K4707" s="41"/>
      <c r="L4707" s="41"/>
      <c r="M4707" s="41"/>
      <c r="N4707" s="41"/>
      <c r="O4707" s="41"/>
    </row>
    <row r="4708" spans="1:15">
      <c r="A4708" s="39"/>
      <c r="B4708" s="40"/>
      <c r="C4708" s="41"/>
      <c r="D4708" s="41"/>
      <c r="E4708" s="41"/>
      <c r="F4708" s="41"/>
      <c r="G4708" s="41"/>
      <c r="H4708" s="41"/>
      <c r="I4708" s="41"/>
      <c r="J4708" s="41"/>
      <c r="K4708" s="41"/>
      <c r="L4708" s="41"/>
      <c r="M4708" s="41"/>
      <c r="N4708" s="41"/>
      <c r="O4708" s="41"/>
    </row>
    <row r="4709" spans="1:15">
      <c r="A4709" s="39"/>
      <c r="B4709" s="40"/>
      <c r="C4709" s="41"/>
      <c r="D4709" s="41"/>
      <c r="E4709" s="41"/>
      <c r="F4709" s="41"/>
      <c r="G4709" s="41"/>
      <c r="H4709" s="41"/>
      <c r="I4709" s="41"/>
      <c r="J4709" s="41"/>
      <c r="K4709" s="41"/>
      <c r="L4709" s="41"/>
      <c r="M4709" s="41"/>
      <c r="N4709" s="41"/>
      <c r="O4709" s="41"/>
    </row>
    <row r="4710" spans="1:15">
      <c r="A4710" s="39"/>
      <c r="B4710" s="40"/>
      <c r="C4710" s="41"/>
      <c r="D4710" s="41"/>
      <c r="E4710" s="41"/>
      <c r="F4710" s="41"/>
      <c r="G4710" s="41"/>
      <c r="H4710" s="41"/>
      <c r="I4710" s="41"/>
      <c r="J4710" s="41"/>
      <c r="K4710" s="41"/>
      <c r="L4710" s="41"/>
      <c r="M4710" s="41"/>
      <c r="N4710" s="41"/>
      <c r="O4710" s="41"/>
    </row>
    <row r="4711" spans="1:15">
      <c r="A4711" s="39"/>
      <c r="B4711" s="40"/>
      <c r="C4711" s="41"/>
      <c r="D4711" s="41"/>
      <c r="E4711" s="41"/>
      <c r="F4711" s="41"/>
      <c r="G4711" s="41"/>
      <c r="H4711" s="41"/>
      <c r="I4711" s="41"/>
      <c r="J4711" s="41"/>
      <c r="K4711" s="41"/>
      <c r="L4711" s="41"/>
      <c r="M4711" s="41"/>
      <c r="N4711" s="41"/>
      <c r="O4711" s="41"/>
    </row>
    <row r="4712" spans="1:15">
      <c r="A4712" s="39"/>
      <c r="B4712" s="40"/>
      <c r="C4712" s="41"/>
      <c r="D4712" s="41"/>
      <c r="E4712" s="41"/>
      <c r="F4712" s="41"/>
      <c r="G4712" s="41"/>
      <c r="H4712" s="41"/>
      <c r="I4712" s="41"/>
      <c r="J4712" s="41"/>
      <c r="K4712" s="41"/>
      <c r="L4712" s="41"/>
      <c r="M4712" s="41"/>
      <c r="N4712" s="41"/>
      <c r="O4712" s="41"/>
    </row>
    <row r="4713" spans="1:15">
      <c r="A4713" s="39"/>
      <c r="B4713" s="40"/>
      <c r="C4713" s="41"/>
      <c r="D4713" s="41"/>
      <c r="E4713" s="41"/>
      <c r="F4713" s="41"/>
      <c r="G4713" s="41"/>
      <c r="H4713" s="41"/>
      <c r="I4713" s="41"/>
      <c r="J4713" s="41"/>
      <c r="K4713" s="41"/>
      <c r="L4713" s="41"/>
      <c r="M4713" s="41"/>
      <c r="N4713" s="41"/>
      <c r="O4713" s="41"/>
    </row>
    <row r="4714" spans="1:15">
      <c r="A4714" s="39"/>
      <c r="B4714" s="40"/>
      <c r="C4714" s="41"/>
      <c r="D4714" s="41"/>
      <c r="E4714" s="41"/>
      <c r="F4714" s="41"/>
      <c r="G4714" s="41"/>
      <c r="H4714" s="41"/>
      <c r="I4714" s="41"/>
      <c r="J4714" s="41"/>
      <c r="K4714" s="41"/>
      <c r="L4714" s="41"/>
      <c r="M4714" s="41"/>
      <c r="N4714" s="41"/>
      <c r="O4714" s="41"/>
    </row>
    <row r="4715" spans="1:15">
      <c r="A4715" s="39"/>
      <c r="B4715" s="40"/>
      <c r="C4715" s="41"/>
      <c r="D4715" s="41"/>
      <c r="E4715" s="41"/>
      <c r="F4715" s="41"/>
      <c r="G4715" s="41"/>
      <c r="H4715" s="41"/>
      <c r="I4715" s="41"/>
      <c r="J4715" s="41"/>
      <c r="K4715" s="41"/>
      <c r="L4715" s="41"/>
      <c r="M4715" s="41"/>
      <c r="N4715" s="41"/>
      <c r="O4715" s="41"/>
    </row>
    <row r="4716" spans="1:15">
      <c r="A4716" s="39"/>
      <c r="B4716" s="40"/>
      <c r="C4716" s="41"/>
      <c r="D4716" s="41"/>
      <c r="E4716" s="41"/>
      <c r="F4716" s="41"/>
      <c r="G4716" s="41"/>
      <c r="H4716" s="41"/>
      <c r="I4716" s="41"/>
      <c r="J4716" s="41"/>
      <c r="K4716" s="41"/>
      <c r="L4716" s="41"/>
      <c r="M4716" s="41"/>
      <c r="N4716" s="41"/>
      <c r="O4716" s="41"/>
    </row>
    <row r="4717" spans="1:15">
      <c r="A4717" s="39"/>
      <c r="B4717" s="40"/>
      <c r="C4717" s="41"/>
      <c r="D4717" s="41"/>
      <c r="E4717" s="41"/>
      <c r="F4717" s="41"/>
      <c r="G4717" s="41"/>
      <c r="H4717" s="41"/>
      <c r="I4717" s="41"/>
      <c r="J4717" s="41"/>
      <c r="K4717" s="41"/>
      <c r="L4717" s="41"/>
      <c r="M4717" s="41"/>
      <c r="N4717" s="41"/>
      <c r="O4717" s="41"/>
    </row>
    <row r="4718" spans="1:15">
      <c r="A4718" s="39"/>
      <c r="B4718" s="40"/>
      <c r="C4718" s="41"/>
      <c r="D4718" s="41"/>
      <c r="E4718" s="41"/>
      <c r="F4718" s="41"/>
      <c r="G4718" s="41"/>
      <c r="H4718" s="41"/>
      <c r="I4718" s="41"/>
      <c r="J4718" s="41"/>
      <c r="K4718" s="41"/>
      <c r="L4718" s="41"/>
      <c r="M4718" s="41"/>
      <c r="N4718" s="41"/>
      <c r="O4718" s="41"/>
    </row>
    <row r="4719" spans="1:15">
      <c r="A4719" s="39"/>
      <c r="B4719" s="40"/>
      <c r="C4719" s="41"/>
      <c r="D4719" s="41"/>
      <c r="E4719" s="41"/>
      <c r="F4719" s="41"/>
      <c r="G4719" s="41"/>
      <c r="H4719" s="41"/>
      <c r="I4719" s="41"/>
      <c r="J4719" s="41"/>
      <c r="K4719" s="41"/>
      <c r="L4719" s="41"/>
      <c r="M4719" s="41"/>
      <c r="N4719" s="41"/>
      <c r="O4719" s="41"/>
    </row>
    <row r="4720" spans="1:15">
      <c r="A4720" s="39"/>
      <c r="B4720" s="40"/>
      <c r="C4720" s="41"/>
      <c r="D4720" s="41"/>
      <c r="E4720" s="41"/>
      <c r="F4720" s="41"/>
      <c r="G4720" s="41"/>
      <c r="H4720" s="41"/>
      <c r="I4720" s="41"/>
      <c r="J4720" s="41"/>
      <c r="K4720" s="41"/>
      <c r="L4720" s="41"/>
      <c r="M4720" s="41"/>
      <c r="N4720" s="41"/>
      <c r="O4720" s="41"/>
    </row>
    <row r="4721" spans="1:15">
      <c r="A4721" s="39"/>
      <c r="B4721" s="40"/>
      <c r="C4721" s="41"/>
      <c r="D4721" s="41"/>
      <c r="E4721" s="41"/>
      <c r="F4721" s="41"/>
      <c r="G4721" s="41"/>
      <c r="H4721" s="41"/>
      <c r="I4721" s="41"/>
      <c r="J4721" s="41"/>
      <c r="K4721" s="41"/>
      <c r="L4721" s="41"/>
      <c r="M4721" s="41"/>
      <c r="N4721" s="41"/>
      <c r="O4721" s="41"/>
    </row>
    <row r="4722" spans="1:15">
      <c r="A4722" s="39"/>
      <c r="B4722" s="40"/>
      <c r="C4722" s="41"/>
      <c r="D4722" s="41"/>
      <c r="E4722" s="41"/>
      <c r="F4722" s="41"/>
      <c r="G4722" s="41"/>
      <c r="H4722" s="41"/>
      <c r="I4722" s="41"/>
      <c r="J4722" s="41"/>
      <c r="K4722" s="41"/>
      <c r="L4722" s="41"/>
      <c r="M4722" s="41"/>
      <c r="N4722" s="41"/>
      <c r="O4722" s="41"/>
    </row>
    <row r="4723" spans="1:15">
      <c r="A4723" s="39"/>
      <c r="B4723" s="40"/>
      <c r="C4723" s="41"/>
      <c r="D4723" s="41"/>
      <c r="E4723" s="41"/>
      <c r="F4723" s="41"/>
      <c r="G4723" s="41"/>
      <c r="H4723" s="41"/>
      <c r="I4723" s="41"/>
      <c r="J4723" s="41"/>
      <c r="K4723" s="41"/>
      <c r="L4723" s="41"/>
      <c r="M4723" s="41"/>
      <c r="N4723" s="41"/>
      <c r="O4723" s="41"/>
    </row>
    <row r="4724" spans="1:15">
      <c r="A4724" s="39"/>
      <c r="B4724" s="40"/>
      <c r="C4724" s="41"/>
      <c r="D4724" s="41"/>
      <c r="E4724" s="41"/>
      <c r="F4724" s="41"/>
      <c r="G4724" s="41"/>
      <c r="H4724" s="41"/>
      <c r="I4724" s="41"/>
      <c r="J4724" s="41"/>
      <c r="K4724" s="41"/>
      <c r="L4724" s="41"/>
      <c r="M4724" s="41"/>
      <c r="N4724" s="41"/>
      <c r="O4724" s="41"/>
    </row>
    <row r="4725" spans="1:15">
      <c r="A4725" s="39"/>
      <c r="B4725" s="40"/>
      <c r="C4725" s="41"/>
      <c r="D4725" s="41"/>
      <c r="E4725" s="41"/>
      <c r="F4725" s="41"/>
      <c r="G4725" s="41"/>
      <c r="H4725" s="41"/>
      <c r="I4725" s="41"/>
      <c r="J4725" s="41"/>
      <c r="K4725" s="41"/>
      <c r="L4725" s="41"/>
      <c r="M4725" s="41"/>
      <c r="N4725" s="41"/>
      <c r="O4725" s="41"/>
    </row>
    <row r="4726" spans="1:15">
      <c r="A4726" s="39"/>
      <c r="B4726" s="40"/>
      <c r="C4726" s="41"/>
      <c r="D4726" s="41"/>
      <c r="E4726" s="41"/>
      <c r="F4726" s="41"/>
      <c r="G4726" s="41"/>
      <c r="H4726" s="41"/>
      <c r="I4726" s="41"/>
      <c r="J4726" s="41"/>
      <c r="K4726" s="41"/>
      <c r="L4726" s="41"/>
      <c r="M4726" s="41"/>
      <c r="N4726" s="41"/>
      <c r="O4726" s="41"/>
    </row>
    <row r="4727" spans="1:15">
      <c r="A4727" s="39"/>
      <c r="B4727" s="40"/>
      <c r="C4727" s="41"/>
      <c r="D4727" s="41"/>
      <c r="E4727" s="41"/>
      <c r="F4727" s="41"/>
      <c r="G4727" s="41"/>
      <c r="H4727" s="41"/>
      <c r="I4727" s="41"/>
      <c r="J4727" s="41"/>
      <c r="K4727" s="41"/>
      <c r="L4727" s="41"/>
      <c r="M4727" s="41"/>
      <c r="N4727" s="41"/>
      <c r="O4727" s="41"/>
    </row>
    <row r="4728" spans="1:15">
      <c r="A4728" s="39"/>
      <c r="B4728" s="40"/>
      <c r="C4728" s="41"/>
      <c r="D4728" s="41"/>
      <c r="E4728" s="41"/>
      <c r="F4728" s="41"/>
      <c r="G4728" s="41"/>
      <c r="H4728" s="41"/>
      <c r="I4728" s="41"/>
      <c r="J4728" s="41"/>
      <c r="K4728" s="41"/>
      <c r="L4728" s="41"/>
      <c r="M4728" s="41"/>
      <c r="N4728" s="41"/>
      <c r="O4728" s="41"/>
    </row>
    <row r="4729" spans="1:15">
      <c r="A4729" s="39"/>
      <c r="B4729" s="40"/>
      <c r="C4729" s="41"/>
      <c r="D4729" s="41"/>
      <c r="E4729" s="41"/>
      <c r="F4729" s="41"/>
      <c r="G4729" s="41"/>
      <c r="H4729" s="41"/>
      <c r="I4729" s="41"/>
      <c r="J4729" s="41"/>
      <c r="K4729" s="41"/>
      <c r="L4729" s="41"/>
      <c r="M4729" s="41"/>
      <c r="N4729" s="41"/>
      <c r="O4729" s="41"/>
    </row>
    <row r="4730" spans="1:15">
      <c r="A4730" s="39"/>
      <c r="B4730" s="40"/>
      <c r="C4730" s="41"/>
      <c r="D4730" s="41"/>
      <c r="E4730" s="41"/>
      <c r="F4730" s="41"/>
      <c r="G4730" s="41"/>
      <c r="H4730" s="41"/>
      <c r="I4730" s="41"/>
      <c r="J4730" s="41"/>
      <c r="K4730" s="41"/>
      <c r="L4730" s="41"/>
      <c r="M4730" s="41"/>
      <c r="N4730" s="41"/>
      <c r="O4730" s="41"/>
    </row>
    <row r="4731" spans="1:15">
      <c r="A4731" s="39"/>
      <c r="B4731" s="40"/>
      <c r="C4731" s="41"/>
      <c r="D4731" s="41"/>
      <c r="E4731" s="41"/>
      <c r="F4731" s="41"/>
      <c r="G4731" s="41"/>
      <c r="H4731" s="41"/>
      <c r="I4731" s="41"/>
      <c r="J4731" s="41"/>
      <c r="K4731" s="41"/>
      <c r="L4731" s="41"/>
      <c r="M4731" s="41"/>
      <c r="N4731" s="41"/>
      <c r="O4731" s="41"/>
    </row>
    <row r="4732" spans="1:15">
      <c r="A4732" s="39"/>
      <c r="B4732" s="40"/>
      <c r="C4732" s="41"/>
      <c r="D4732" s="41"/>
      <c r="E4732" s="41"/>
      <c r="F4732" s="41"/>
      <c r="G4732" s="41"/>
      <c r="H4732" s="41"/>
      <c r="I4732" s="41"/>
      <c r="J4732" s="41"/>
      <c r="K4732" s="41"/>
      <c r="L4732" s="41"/>
      <c r="M4732" s="41"/>
      <c r="N4732" s="41"/>
      <c r="O4732" s="41"/>
    </row>
    <row r="4733" spans="1:15">
      <c r="A4733" s="39"/>
      <c r="B4733" s="40"/>
      <c r="C4733" s="41"/>
      <c r="D4733" s="41"/>
      <c r="E4733" s="41"/>
      <c r="F4733" s="41"/>
      <c r="G4733" s="41"/>
      <c r="H4733" s="41"/>
      <c r="I4733" s="41"/>
      <c r="J4733" s="41"/>
      <c r="K4733" s="41"/>
      <c r="L4733" s="41"/>
      <c r="M4733" s="41"/>
      <c r="N4733" s="41"/>
      <c r="O4733" s="41"/>
    </row>
    <row r="4734" spans="1:15">
      <c r="A4734" s="39"/>
      <c r="B4734" s="40"/>
      <c r="C4734" s="41"/>
      <c r="D4734" s="41"/>
      <c r="E4734" s="41"/>
      <c r="F4734" s="41"/>
      <c r="G4734" s="41"/>
      <c r="H4734" s="41"/>
      <c r="I4734" s="41"/>
      <c r="J4734" s="41"/>
      <c r="K4734" s="41"/>
      <c r="L4734" s="41"/>
      <c r="M4734" s="41"/>
      <c r="N4734" s="41"/>
      <c r="O4734" s="41"/>
    </row>
    <row r="4735" spans="1:15">
      <c r="A4735" s="39"/>
      <c r="B4735" s="40"/>
      <c r="C4735" s="41"/>
      <c r="D4735" s="41"/>
      <c r="E4735" s="41"/>
      <c r="F4735" s="41"/>
      <c r="G4735" s="41"/>
      <c r="H4735" s="41"/>
      <c r="I4735" s="41"/>
      <c r="J4735" s="41"/>
      <c r="K4735" s="41"/>
      <c r="L4735" s="41"/>
      <c r="M4735" s="41"/>
      <c r="N4735" s="41"/>
      <c r="O4735" s="41"/>
    </row>
    <row r="4736" spans="1:15">
      <c r="A4736" s="39"/>
      <c r="B4736" s="40"/>
      <c r="C4736" s="41"/>
      <c r="D4736" s="41"/>
      <c r="E4736" s="41"/>
      <c r="F4736" s="41"/>
      <c r="G4736" s="41"/>
      <c r="H4736" s="41"/>
      <c r="I4736" s="41"/>
      <c r="J4736" s="41"/>
      <c r="K4736" s="41"/>
      <c r="L4736" s="41"/>
      <c r="M4736" s="41"/>
      <c r="N4736" s="41"/>
      <c r="O4736" s="41"/>
    </row>
    <row r="4737" spans="1:15">
      <c r="A4737" s="39"/>
      <c r="B4737" s="40"/>
      <c r="C4737" s="41"/>
      <c r="D4737" s="41"/>
      <c r="E4737" s="41"/>
      <c r="F4737" s="41"/>
      <c r="G4737" s="41"/>
      <c r="H4737" s="41"/>
      <c r="I4737" s="41"/>
      <c r="J4737" s="41"/>
      <c r="K4737" s="41"/>
      <c r="L4737" s="41"/>
      <c r="M4737" s="41"/>
      <c r="N4737" s="41"/>
      <c r="O4737" s="41"/>
    </row>
    <row r="4738" spans="1:15">
      <c r="A4738" s="39"/>
      <c r="B4738" s="40"/>
      <c r="C4738" s="41"/>
      <c r="D4738" s="41"/>
      <c r="E4738" s="41"/>
      <c r="F4738" s="41"/>
      <c r="G4738" s="41"/>
      <c r="H4738" s="41"/>
      <c r="I4738" s="41"/>
      <c r="J4738" s="41"/>
      <c r="K4738" s="41"/>
      <c r="L4738" s="41"/>
      <c r="M4738" s="41"/>
      <c r="N4738" s="41"/>
      <c r="O4738" s="41"/>
    </row>
    <row r="4739" spans="1:15">
      <c r="A4739" s="39"/>
      <c r="B4739" s="40"/>
      <c r="C4739" s="41"/>
      <c r="D4739" s="41"/>
      <c r="E4739" s="41"/>
      <c r="F4739" s="41"/>
      <c r="G4739" s="41"/>
      <c r="H4739" s="41"/>
      <c r="I4739" s="41"/>
      <c r="J4739" s="41"/>
      <c r="K4739" s="41"/>
      <c r="L4739" s="41"/>
      <c r="M4739" s="41"/>
      <c r="N4739" s="41"/>
      <c r="O4739" s="41"/>
    </row>
    <row r="4740" spans="1:15">
      <c r="A4740" s="39"/>
      <c r="B4740" s="40"/>
      <c r="C4740" s="41"/>
      <c r="D4740" s="41"/>
      <c r="E4740" s="41"/>
      <c r="F4740" s="41"/>
      <c r="G4740" s="41"/>
      <c r="H4740" s="41"/>
      <c r="I4740" s="41"/>
      <c r="J4740" s="41"/>
      <c r="K4740" s="41"/>
      <c r="L4740" s="41"/>
      <c r="M4740" s="41"/>
      <c r="N4740" s="41"/>
      <c r="O4740" s="41"/>
    </row>
    <row r="4741" spans="1:15">
      <c r="A4741" s="39"/>
      <c r="B4741" s="40"/>
      <c r="C4741" s="41"/>
      <c r="D4741" s="41"/>
      <c r="E4741" s="41"/>
      <c r="F4741" s="41"/>
      <c r="G4741" s="41"/>
      <c r="H4741" s="41"/>
      <c r="I4741" s="41"/>
      <c r="J4741" s="41"/>
      <c r="K4741" s="41"/>
      <c r="L4741" s="41"/>
      <c r="M4741" s="41"/>
      <c r="N4741" s="41"/>
      <c r="O4741" s="41"/>
    </row>
    <row r="4742" spans="1:15">
      <c r="A4742" s="39"/>
      <c r="B4742" s="40"/>
      <c r="C4742" s="41"/>
      <c r="D4742" s="41"/>
      <c r="E4742" s="41"/>
      <c r="F4742" s="41"/>
      <c r="G4742" s="41"/>
      <c r="H4742" s="41"/>
      <c r="I4742" s="41"/>
      <c r="J4742" s="41"/>
      <c r="K4742" s="41"/>
      <c r="L4742" s="41"/>
      <c r="M4742" s="41"/>
      <c r="N4742" s="41"/>
      <c r="O4742" s="41"/>
    </row>
    <row r="4743" spans="1:15">
      <c r="A4743" s="39"/>
      <c r="B4743" s="40"/>
      <c r="C4743" s="41"/>
      <c r="D4743" s="41"/>
      <c r="E4743" s="41"/>
      <c r="F4743" s="41"/>
      <c r="G4743" s="41"/>
      <c r="H4743" s="41"/>
      <c r="I4743" s="41"/>
      <c r="J4743" s="41"/>
      <c r="K4743" s="41"/>
      <c r="L4743" s="41"/>
      <c r="M4743" s="41"/>
      <c r="N4743" s="41"/>
      <c r="O4743" s="41"/>
    </row>
    <row r="4744" spans="1:15">
      <c r="A4744" s="39"/>
      <c r="B4744" s="40"/>
      <c r="C4744" s="41"/>
      <c r="D4744" s="41"/>
      <c r="E4744" s="41"/>
      <c r="F4744" s="41"/>
      <c r="G4744" s="41"/>
      <c r="H4744" s="41"/>
      <c r="I4744" s="41"/>
      <c r="J4744" s="41"/>
      <c r="K4744" s="41"/>
      <c r="L4744" s="41"/>
      <c r="M4744" s="41"/>
      <c r="N4744" s="41"/>
      <c r="O4744" s="41"/>
    </row>
    <row r="4745" spans="1:15">
      <c r="A4745" s="39"/>
      <c r="B4745" s="40"/>
      <c r="C4745" s="41"/>
      <c r="D4745" s="41"/>
      <c r="E4745" s="41"/>
      <c r="F4745" s="41"/>
      <c r="G4745" s="41"/>
      <c r="H4745" s="41"/>
      <c r="I4745" s="41"/>
      <c r="J4745" s="41"/>
      <c r="K4745" s="41"/>
      <c r="L4745" s="41"/>
      <c r="M4745" s="41"/>
      <c r="N4745" s="41"/>
      <c r="O4745" s="41"/>
    </row>
    <row r="4746" spans="1:15">
      <c r="A4746" s="39"/>
      <c r="B4746" s="40"/>
      <c r="C4746" s="41"/>
      <c r="D4746" s="41"/>
      <c r="E4746" s="41"/>
      <c r="F4746" s="41"/>
      <c r="G4746" s="41"/>
      <c r="H4746" s="41"/>
      <c r="I4746" s="41"/>
      <c r="J4746" s="41"/>
      <c r="K4746" s="41"/>
      <c r="L4746" s="41"/>
      <c r="M4746" s="41"/>
      <c r="N4746" s="41"/>
      <c r="O4746" s="41"/>
    </row>
    <row r="4747" spans="1:15">
      <c r="A4747" s="39"/>
      <c r="B4747" s="40"/>
      <c r="C4747" s="41"/>
      <c r="D4747" s="41"/>
      <c r="E4747" s="41"/>
      <c r="F4747" s="41"/>
      <c r="G4747" s="41"/>
      <c r="H4747" s="41"/>
      <c r="I4747" s="41"/>
      <c r="J4747" s="41"/>
      <c r="K4747" s="41"/>
      <c r="L4747" s="41"/>
      <c r="M4747" s="41"/>
      <c r="N4747" s="41"/>
      <c r="O4747" s="41"/>
    </row>
    <row r="4748" spans="1:15">
      <c r="A4748" s="39"/>
      <c r="B4748" s="40"/>
      <c r="C4748" s="41"/>
      <c r="D4748" s="41"/>
      <c r="E4748" s="41"/>
      <c r="F4748" s="41"/>
      <c r="G4748" s="41"/>
      <c r="H4748" s="41"/>
      <c r="I4748" s="41"/>
      <c r="J4748" s="41"/>
      <c r="K4748" s="41"/>
      <c r="L4748" s="41"/>
      <c r="M4748" s="41"/>
      <c r="N4748" s="41"/>
      <c r="O4748" s="41"/>
    </row>
    <row r="4749" spans="1:15">
      <c r="A4749" s="39"/>
      <c r="B4749" s="40"/>
      <c r="C4749" s="41"/>
      <c r="D4749" s="41"/>
      <c r="E4749" s="41"/>
      <c r="F4749" s="41"/>
      <c r="G4749" s="41"/>
      <c r="H4749" s="41"/>
      <c r="I4749" s="41"/>
      <c r="J4749" s="41"/>
      <c r="K4749" s="41"/>
      <c r="L4749" s="41"/>
      <c r="M4749" s="41"/>
      <c r="N4749" s="41"/>
      <c r="O4749" s="41"/>
    </row>
    <row r="4750" spans="1:15">
      <c r="A4750" s="39"/>
      <c r="B4750" s="40"/>
      <c r="C4750" s="41"/>
      <c r="D4750" s="41"/>
      <c r="E4750" s="41"/>
      <c r="F4750" s="41"/>
      <c r="G4750" s="41"/>
      <c r="H4750" s="41"/>
      <c r="I4750" s="41"/>
      <c r="J4750" s="41"/>
      <c r="K4750" s="41"/>
      <c r="L4750" s="41"/>
      <c r="M4750" s="41"/>
      <c r="N4750" s="41"/>
      <c r="O4750" s="41"/>
    </row>
    <row r="4751" spans="1:15">
      <c r="A4751" s="39"/>
      <c r="B4751" s="40"/>
      <c r="C4751" s="41"/>
      <c r="D4751" s="41"/>
      <c r="E4751" s="41"/>
      <c r="F4751" s="41"/>
      <c r="G4751" s="41"/>
      <c r="H4751" s="41"/>
      <c r="I4751" s="41"/>
      <c r="J4751" s="41"/>
      <c r="K4751" s="41"/>
      <c r="L4751" s="41"/>
      <c r="M4751" s="41"/>
      <c r="N4751" s="41"/>
      <c r="O4751" s="41"/>
    </row>
    <row r="4752" spans="1:15">
      <c r="A4752" s="39"/>
      <c r="B4752" s="40"/>
      <c r="C4752" s="41"/>
      <c r="D4752" s="41"/>
      <c r="E4752" s="41"/>
      <c r="F4752" s="41"/>
      <c r="G4752" s="41"/>
      <c r="H4752" s="41"/>
      <c r="I4752" s="41"/>
      <c r="J4752" s="41"/>
      <c r="K4752" s="41"/>
      <c r="L4752" s="41"/>
      <c r="M4752" s="41"/>
      <c r="N4752" s="41"/>
      <c r="O4752" s="41"/>
    </row>
    <row r="4753" spans="1:15">
      <c r="A4753" s="39"/>
      <c r="B4753" s="40"/>
      <c r="C4753" s="41"/>
      <c r="D4753" s="41"/>
      <c r="E4753" s="41"/>
      <c r="F4753" s="41"/>
      <c r="G4753" s="41"/>
      <c r="H4753" s="41"/>
      <c r="I4753" s="41"/>
      <c r="J4753" s="41"/>
      <c r="K4753" s="41"/>
      <c r="L4753" s="41"/>
      <c r="M4753" s="41"/>
      <c r="N4753" s="41"/>
      <c r="O4753" s="41"/>
    </row>
    <row r="4754" spans="1:15">
      <c r="A4754" s="39"/>
      <c r="B4754" s="40"/>
      <c r="C4754" s="41"/>
      <c r="D4754" s="41"/>
      <c r="E4754" s="41"/>
      <c r="F4754" s="41"/>
      <c r="G4754" s="41"/>
      <c r="H4754" s="41"/>
      <c r="I4754" s="41"/>
      <c r="J4754" s="41"/>
      <c r="K4754" s="41"/>
      <c r="L4754" s="41"/>
      <c r="M4754" s="41"/>
      <c r="N4754" s="41"/>
      <c r="O4754" s="41"/>
    </row>
    <row r="4755" spans="1:15">
      <c r="A4755" s="39"/>
      <c r="B4755" s="40"/>
      <c r="C4755" s="41"/>
      <c r="D4755" s="41"/>
      <c r="E4755" s="41"/>
      <c r="F4755" s="41"/>
      <c r="G4755" s="41"/>
      <c r="H4755" s="41"/>
      <c r="I4755" s="41"/>
      <c r="J4755" s="41"/>
      <c r="K4755" s="41"/>
      <c r="L4755" s="41"/>
      <c r="M4755" s="41"/>
      <c r="N4755" s="41"/>
      <c r="O4755" s="41"/>
    </row>
    <row r="4756" spans="1:15">
      <c r="A4756" s="39"/>
      <c r="B4756" s="40"/>
      <c r="C4756" s="41"/>
      <c r="D4756" s="41"/>
      <c r="E4756" s="41"/>
      <c r="F4756" s="41"/>
      <c r="G4756" s="41"/>
      <c r="H4756" s="41"/>
      <c r="I4756" s="41"/>
      <c r="J4756" s="41"/>
      <c r="K4756" s="41"/>
      <c r="L4756" s="41"/>
      <c r="M4756" s="41"/>
      <c r="N4756" s="41"/>
      <c r="O4756" s="41"/>
    </row>
    <row r="4757" spans="1:15">
      <c r="A4757" s="39"/>
      <c r="B4757" s="40"/>
      <c r="C4757" s="41"/>
      <c r="D4757" s="41"/>
      <c r="E4757" s="41"/>
      <c r="F4757" s="41"/>
      <c r="G4757" s="41"/>
      <c r="H4757" s="41"/>
      <c r="I4757" s="41"/>
      <c r="J4757" s="41"/>
      <c r="K4757" s="41"/>
      <c r="L4757" s="41"/>
      <c r="M4757" s="41"/>
      <c r="N4757" s="41"/>
      <c r="O4757" s="41"/>
    </row>
    <row r="4758" spans="1:15">
      <c r="A4758" s="39"/>
      <c r="B4758" s="40"/>
      <c r="C4758" s="41"/>
      <c r="D4758" s="41"/>
      <c r="E4758" s="41"/>
      <c r="F4758" s="41"/>
      <c r="G4758" s="41"/>
      <c r="H4758" s="41"/>
      <c r="I4758" s="41"/>
      <c r="J4758" s="41"/>
      <c r="K4758" s="41"/>
      <c r="L4758" s="41"/>
      <c r="M4758" s="41"/>
      <c r="N4758" s="41"/>
      <c r="O4758" s="41"/>
    </row>
    <row r="4759" spans="1:15">
      <c r="A4759" s="39"/>
      <c r="B4759" s="40"/>
      <c r="C4759" s="41"/>
      <c r="D4759" s="41"/>
      <c r="E4759" s="41"/>
      <c r="F4759" s="41"/>
      <c r="G4759" s="41"/>
      <c r="H4759" s="41"/>
      <c r="I4759" s="41"/>
      <c r="J4759" s="41"/>
      <c r="K4759" s="41"/>
      <c r="L4759" s="41"/>
      <c r="M4759" s="41"/>
      <c r="N4759" s="41"/>
      <c r="O4759" s="41"/>
    </row>
    <row r="4760" spans="1:15">
      <c r="A4760" s="39"/>
      <c r="B4760" s="40"/>
      <c r="C4760" s="41"/>
      <c r="D4760" s="41"/>
      <c r="E4760" s="41"/>
      <c r="F4760" s="41"/>
      <c r="G4760" s="41"/>
      <c r="H4760" s="41"/>
      <c r="I4760" s="41"/>
      <c r="J4760" s="41"/>
      <c r="K4760" s="41"/>
      <c r="L4760" s="41"/>
      <c r="M4760" s="41"/>
      <c r="N4760" s="41"/>
      <c r="O4760" s="41"/>
    </row>
    <row r="4761" spans="1:15">
      <c r="A4761" s="39"/>
      <c r="B4761" s="40"/>
      <c r="C4761" s="41"/>
      <c r="D4761" s="41"/>
      <c r="E4761" s="41"/>
      <c r="F4761" s="41"/>
      <c r="G4761" s="41"/>
      <c r="H4761" s="41"/>
      <c r="I4761" s="41"/>
      <c r="J4761" s="41"/>
      <c r="K4761" s="41"/>
      <c r="L4761" s="41"/>
      <c r="M4761" s="41"/>
      <c r="N4761" s="41"/>
      <c r="O4761" s="41"/>
    </row>
    <row r="4762" spans="1:15">
      <c r="A4762" s="39"/>
      <c r="B4762" s="40"/>
      <c r="C4762" s="41"/>
      <c r="D4762" s="41"/>
      <c r="E4762" s="41"/>
      <c r="F4762" s="41"/>
      <c r="G4762" s="41"/>
      <c r="H4762" s="41"/>
      <c r="I4762" s="41"/>
      <c r="J4762" s="41"/>
      <c r="K4762" s="41"/>
      <c r="L4762" s="41"/>
      <c r="M4762" s="41"/>
      <c r="N4762" s="41"/>
      <c r="O4762" s="41"/>
    </row>
    <row r="4763" spans="1:15">
      <c r="A4763" s="39"/>
      <c r="B4763" s="40"/>
      <c r="C4763" s="41"/>
      <c r="D4763" s="41"/>
      <c r="E4763" s="41"/>
      <c r="F4763" s="41"/>
      <c r="G4763" s="41"/>
      <c r="H4763" s="41"/>
      <c r="I4763" s="41"/>
      <c r="J4763" s="41"/>
      <c r="K4763" s="41"/>
      <c r="L4763" s="41"/>
      <c r="M4763" s="41"/>
      <c r="N4763" s="41"/>
      <c r="O4763" s="41"/>
    </row>
    <row r="4764" spans="1:15">
      <c r="A4764" s="39"/>
      <c r="B4764" s="40"/>
      <c r="C4764" s="41"/>
      <c r="D4764" s="41"/>
      <c r="E4764" s="41"/>
      <c r="F4764" s="41"/>
      <c r="G4764" s="41"/>
      <c r="H4764" s="41"/>
      <c r="I4764" s="41"/>
      <c r="J4764" s="41"/>
      <c r="K4764" s="41"/>
      <c r="L4764" s="41"/>
      <c r="M4764" s="41"/>
      <c r="N4764" s="41"/>
      <c r="O4764" s="41"/>
    </row>
    <row r="4765" spans="1:15">
      <c r="A4765" s="39"/>
      <c r="B4765" s="40"/>
      <c r="C4765" s="41"/>
      <c r="D4765" s="41"/>
      <c r="E4765" s="41"/>
      <c r="F4765" s="41"/>
      <c r="G4765" s="41"/>
      <c r="H4765" s="41"/>
      <c r="I4765" s="41"/>
      <c r="J4765" s="41"/>
      <c r="K4765" s="41"/>
      <c r="L4765" s="41"/>
      <c r="M4765" s="41"/>
      <c r="N4765" s="41"/>
      <c r="O4765" s="41"/>
    </row>
    <row r="4766" spans="1:15">
      <c r="A4766" s="39"/>
      <c r="B4766" s="40"/>
      <c r="C4766" s="41"/>
      <c r="D4766" s="41"/>
      <c r="E4766" s="41"/>
      <c r="F4766" s="41"/>
      <c r="G4766" s="41"/>
      <c r="H4766" s="41"/>
      <c r="I4766" s="41"/>
      <c r="J4766" s="41"/>
      <c r="K4766" s="41"/>
      <c r="L4766" s="41"/>
      <c r="M4766" s="41"/>
      <c r="N4766" s="41"/>
      <c r="O4766" s="41"/>
    </row>
    <row r="4767" spans="1:15">
      <c r="A4767" s="39"/>
      <c r="B4767" s="40"/>
      <c r="C4767" s="41"/>
      <c r="D4767" s="41"/>
      <c r="E4767" s="41"/>
      <c r="F4767" s="41"/>
      <c r="G4767" s="41"/>
      <c r="H4767" s="41"/>
      <c r="I4767" s="41"/>
      <c r="J4767" s="41"/>
      <c r="K4767" s="41"/>
      <c r="L4767" s="41"/>
      <c r="M4767" s="41"/>
      <c r="N4767" s="41"/>
      <c r="O4767" s="41"/>
    </row>
    <row r="4768" spans="1:15">
      <c r="A4768" s="39"/>
      <c r="B4768" s="40"/>
      <c r="C4768" s="41"/>
      <c r="D4768" s="41"/>
      <c r="E4768" s="41"/>
      <c r="F4768" s="41"/>
      <c r="G4768" s="41"/>
      <c r="H4768" s="41"/>
      <c r="I4768" s="41"/>
      <c r="J4768" s="41"/>
      <c r="K4768" s="41"/>
      <c r="L4768" s="41"/>
      <c r="M4768" s="41"/>
      <c r="N4768" s="41"/>
      <c r="O4768" s="41"/>
    </row>
    <row r="4769" spans="1:15">
      <c r="A4769" s="39"/>
      <c r="B4769" s="40"/>
      <c r="C4769" s="41"/>
      <c r="D4769" s="41"/>
      <c r="E4769" s="41"/>
      <c r="F4769" s="41"/>
      <c r="G4769" s="41"/>
      <c r="H4769" s="41"/>
      <c r="I4769" s="41"/>
      <c r="J4769" s="41"/>
      <c r="K4769" s="41"/>
      <c r="L4769" s="41"/>
      <c r="M4769" s="41"/>
      <c r="N4769" s="41"/>
      <c r="O4769" s="41"/>
    </row>
    <row r="4770" spans="1:15">
      <c r="A4770" s="39"/>
      <c r="B4770" s="40"/>
      <c r="C4770" s="41"/>
      <c r="D4770" s="41"/>
      <c r="E4770" s="41"/>
      <c r="F4770" s="41"/>
      <c r="G4770" s="41"/>
      <c r="H4770" s="41"/>
      <c r="I4770" s="41"/>
      <c r="J4770" s="41"/>
      <c r="K4770" s="41"/>
      <c r="L4770" s="41"/>
      <c r="M4770" s="41"/>
      <c r="N4770" s="41"/>
      <c r="O4770" s="41"/>
    </row>
    <row r="4771" spans="1:15">
      <c r="A4771" s="39"/>
      <c r="B4771" s="40"/>
      <c r="C4771" s="41"/>
      <c r="D4771" s="41"/>
      <c r="E4771" s="41"/>
      <c r="F4771" s="41"/>
      <c r="G4771" s="41"/>
      <c r="H4771" s="41"/>
      <c r="I4771" s="41"/>
      <c r="J4771" s="41"/>
      <c r="K4771" s="41"/>
      <c r="L4771" s="41"/>
      <c r="M4771" s="41"/>
      <c r="N4771" s="41"/>
      <c r="O4771" s="41"/>
    </row>
    <row r="4772" spans="1:15">
      <c r="A4772" s="39"/>
      <c r="B4772" s="40"/>
      <c r="C4772" s="41"/>
      <c r="D4772" s="41"/>
      <c r="E4772" s="41"/>
      <c r="F4772" s="41"/>
      <c r="G4772" s="41"/>
      <c r="H4772" s="41"/>
      <c r="I4772" s="41"/>
      <c r="J4772" s="41"/>
      <c r="K4772" s="41"/>
      <c r="L4772" s="41"/>
      <c r="M4772" s="41"/>
      <c r="N4772" s="41"/>
      <c r="O4772" s="41"/>
    </row>
    <row r="4773" spans="1:15">
      <c r="A4773" s="39"/>
      <c r="B4773" s="40"/>
      <c r="C4773" s="41"/>
      <c r="D4773" s="41"/>
      <c r="E4773" s="41"/>
      <c r="F4773" s="41"/>
      <c r="G4773" s="41"/>
      <c r="H4773" s="41"/>
      <c r="I4773" s="41"/>
      <c r="J4773" s="41"/>
      <c r="K4773" s="41"/>
      <c r="L4773" s="41"/>
      <c r="M4773" s="41"/>
      <c r="N4773" s="41"/>
      <c r="O4773" s="41"/>
    </row>
    <row r="4774" spans="1:15">
      <c r="A4774" s="39"/>
      <c r="B4774" s="40"/>
      <c r="C4774" s="41"/>
      <c r="D4774" s="41"/>
      <c r="E4774" s="41"/>
      <c r="F4774" s="41"/>
      <c r="G4774" s="41"/>
      <c r="H4774" s="41"/>
      <c r="I4774" s="41"/>
      <c r="J4774" s="41"/>
      <c r="K4774" s="41"/>
      <c r="L4774" s="41"/>
      <c r="M4774" s="41"/>
      <c r="N4774" s="41"/>
      <c r="O4774" s="41"/>
    </row>
    <row r="4775" spans="1:15">
      <c r="A4775" s="39"/>
      <c r="B4775" s="40"/>
      <c r="C4775" s="41"/>
      <c r="D4775" s="41"/>
      <c r="E4775" s="41"/>
      <c r="F4775" s="41"/>
      <c r="G4775" s="41"/>
      <c r="H4775" s="41"/>
      <c r="I4775" s="41"/>
      <c r="J4775" s="41"/>
      <c r="K4775" s="41"/>
      <c r="L4775" s="41"/>
      <c r="M4775" s="41"/>
      <c r="N4775" s="41"/>
      <c r="O4775" s="41"/>
    </row>
    <row r="4776" spans="1:15">
      <c r="A4776" s="39"/>
      <c r="B4776" s="40"/>
      <c r="C4776" s="41"/>
      <c r="D4776" s="41"/>
      <c r="E4776" s="41"/>
      <c r="F4776" s="41"/>
      <c r="G4776" s="41"/>
      <c r="H4776" s="41"/>
      <c r="I4776" s="41"/>
      <c r="J4776" s="41"/>
      <c r="K4776" s="41"/>
      <c r="L4776" s="41"/>
      <c r="M4776" s="41"/>
      <c r="N4776" s="41"/>
      <c r="O4776" s="41"/>
    </row>
    <row r="4777" spans="1:15">
      <c r="A4777" s="39"/>
      <c r="B4777" s="40"/>
      <c r="C4777" s="41"/>
      <c r="D4777" s="41"/>
      <c r="E4777" s="41"/>
      <c r="F4777" s="41"/>
      <c r="G4777" s="41"/>
      <c r="H4777" s="41"/>
      <c r="I4777" s="41"/>
      <c r="J4777" s="41"/>
      <c r="K4777" s="41"/>
      <c r="L4777" s="41"/>
      <c r="M4777" s="41"/>
      <c r="N4777" s="41"/>
      <c r="O4777" s="41"/>
    </row>
    <row r="4778" spans="1:15">
      <c r="A4778" s="39"/>
      <c r="B4778" s="40"/>
      <c r="C4778" s="41"/>
      <c r="D4778" s="41"/>
      <c r="E4778" s="41"/>
      <c r="F4778" s="41"/>
      <c r="G4778" s="41"/>
      <c r="H4778" s="41"/>
      <c r="I4778" s="41"/>
      <c r="J4778" s="41"/>
      <c r="K4778" s="41"/>
      <c r="L4778" s="41"/>
      <c r="M4778" s="41"/>
      <c r="N4778" s="41"/>
      <c r="O4778" s="41"/>
    </row>
    <row r="4779" spans="1:15">
      <c r="A4779" s="39"/>
      <c r="B4779" s="40"/>
      <c r="C4779" s="41"/>
      <c r="D4779" s="41"/>
      <c r="E4779" s="41"/>
      <c r="F4779" s="41"/>
      <c r="G4779" s="41"/>
      <c r="H4779" s="41"/>
      <c r="I4779" s="41"/>
      <c r="J4779" s="41"/>
      <c r="K4779" s="41"/>
      <c r="L4779" s="41"/>
      <c r="M4779" s="41"/>
      <c r="N4779" s="41"/>
      <c r="O4779" s="41"/>
    </row>
    <row r="4780" spans="1:15">
      <c r="A4780" s="39"/>
      <c r="B4780" s="40"/>
      <c r="C4780" s="41"/>
      <c r="D4780" s="41"/>
      <c r="E4780" s="41"/>
      <c r="F4780" s="41"/>
      <c r="G4780" s="41"/>
      <c r="H4780" s="41"/>
      <c r="I4780" s="41"/>
      <c r="J4780" s="41"/>
      <c r="K4780" s="41"/>
      <c r="L4780" s="41"/>
      <c r="M4780" s="41"/>
      <c r="N4780" s="41"/>
      <c r="O4780" s="41"/>
    </row>
    <row r="4781" spans="1:15">
      <c r="A4781" s="39"/>
      <c r="B4781" s="40"/>
      <c r="C4781" s="41"/>
      <c r="D4781" s="41"/>
      <c r="E4781" s="41"/>
      <c r="F4781" s="41"/>
      <c r="G4781" s="41"/>
      <c r="H4781" s="41"/>
      <c r="I4781" s="41"/>
      <c r="J4781" s="41"/>
      <c r="K4781" s="41"/>
      <c r="L4781" s="41"/>
      <c r="M4781" s="41"/>
      <c r="N4781" s="41"/>
      <c r="O4781" s="41"/>
    </row>
    <row r="4782" spans="1:15">
      <c r="A4782" s="39"/>
      <c r="B4782" s="40"/>
      <c r="C4782" s="41"/>
      <c r="D4782" s="41"/>
      <c r="E4782" s="41"/>
      <c r="F4782" s="41"/>
      <c r="G4782" s="41"/>
      <c r="H4782" s="41"/>
      <c r="I4782" s="41"/>
      <c r="J4782" s="41"/>
      <c r="K4782" s="41"/>
      <c r="L4782" s="41"/>
      <c r="M4782" s="41"/>
      <c r="N4782" s="41"/>
      <c r="O4782" s="41"/>
    </row>
    <row r="4783" spans="1:15">
      <c r="A4783" s="39"/>
      <c r="B4783" s="40"/>
      <c r="C4783" s="41"/>
      <c r="D4783" s="41"/>
      <c r="E4783" s="41"/>
      <c r="F4783" s="41"/>
      <c r="G4783" s="41"/>
      <c r="H4783" s="41"/>
      <c r="I4783" s="41"/>
      <c r="J4783" s="41"/>
      <c r="K4783" s="41"/>
      <c r="L4783" s="41"/>
      <c r="M4783" s="41"/>
      <c r="N4783" s="41"/>
      <c r="O4783" s="41"/>
    </row>
    <row r="4784" spans="1:15">
      <c r="A4784" s="39"/>
      <c r="B4784" s="40"/>
      <c r="C4784" s="41"/>
      <c r="D4784" s="41"/>
      <c r="E4784" s="41"/>
      <c r="F4784" s="41"/>
      <c r="G4784" s="41"/>
      <c r="H4784" s="41"/>
      <c r="I4784" s="41"/>
      <c r="J4784" s="41"/>
      <c r="K4784" s="41"/>
      <c r="L4784" s="41"/>
      <c r="M4784" s="41"/>
      <c r="N4784" s="41"/>
      <c r="O4784" s="41"/>
    </row>
    <row r="4785" spans="1:15">
      <c r="A4785" s="39"/>
      <c r="B4785" s="40"/>
      <c r="C4785" s="41"/>
      <c r="D4785" s="41"/>
      <c r="E4785" s="41"/>
      <c r="F4785" s="41"/>
      <c r="G4785" s="41"/>
      <c r="H4785" s="41"/>
      <c r="I4785" s="41"/>
      <c r="J4785" s="41"/>
      <c r="K4785" s="41"/>
      <c r="L4785" s="41"/>
      <c r="M4785" s="41"/>
      <c r="N4785" s="41"/>
      <c r="O4785" s="41"/>
    </row>
    <row r="4786" spans="1:15">
      <c r="A4786" s="39"/>
      <c r="B4786" s="40"/>
      <c r="C4786" s="41"/>
      <c r="D4786" s="41"/>
      <c r="E4786" s="41"/>
      <c r="F4786" s="41"/>
      <c r="G4786" s="41"/>
      <c r="H4786" s="41"/>
      <c r="I4786" s="41"/>
      <c r="J4786" s="41"/>
      <c r="K4786" s="41"/>
      <c r="L4786" s="41"/>
      <c r="M4786" s="41"/>
      <c r="N4786" s="41"/>
      <c r="O4786" s="41"/>
    </row>
    <row r="4787" spans="1:15">
      <c r="A4787" s="39"/>
      <c r="B4787" s="40"/>
      <c r="C4787" s="41"/>
      <c r="D4787" s="41"/>
      <c r="E4787" s="41"/>
      <c r="F4787" s="41"/>
      <c r="G4787" s="41"/>
      <c r="H4787" s="41"/>
      <c r="I4787" s="41"/>
      <c r="J4787" s="41"/>
      <c r="K4787" s="41"/>
      <c r="L4787" s="41"/>
      <c r="M4787" s="41"/>
      <c r="N4787" s="41"/>
      <c r="O4787" s="41"/>
    </row>
    <row r="4788" spans="1:15">
      <c r="A4788" s="39"/>
      <c r="B4788" s="40"/>
      <c r="C4788" s="41"/>
      <c r="D4788" s="41"/>
      <c r="E4788" s="41"/>
      <c r="F4788" s="41"/>
      <c r="G4788" s="41"/>
      <c r="H4788" s="41"/>
      <c r="I4788" s="41"/>
      <c r="J4788" s="41"/>
      <c r="K4788" s="41"/>
      <c r="L4788" s="41"/>
      <c r="M4788" s="41"/>
      <c r="N4788" s="41"/>
      <c r="O4788" s="41"/>
    </row>
    <row r="4789" spans="1:15">
      <c r="A4789" s="39"/>
      <c r="B4789" s="40"/>
      <c r="C4789" s="41"/>
      <c r="D4789" s="41"/>
      <c r="E4789" s="41"/>
      <c r="F4789" s="41"/>
      <c r="G4789" s="41"/>
      <c r="H4789" s="41"/>
      <c r="I4789" s="41"/>
      <c r="J4789" s="41"/>
      <c r="K4789" s="41"/>
      <c r="L4789" s="41"/>
      <c r="M4789" s="41"/>
      <c r="N4789" s="41"/>
      <c r="O4789" s="41"/>
    </row>
    <row r="4790" spans="1:15">
      <c r="A4790" s="39"/>
      <c r="B4790" s="40"/>
      <c r="C4790" s="41"/>
      <c r="D4790" s="41"/>
      <c r="E4790" s="41"/>
      <c r="F4790" s="41"/>
      <c r="G4790" s="41"/>
      <c r="H4790" s="41"/>
      <c r="I4790" s="41"/>
      <c r="J4790" s="41"/>
      <c r="K4790" s="41"/>
      <c r="L4790" s="41"/>
      <c r="M4790" s="41"/>
      <c r="N4790" s="41"/>
      <c r="O4790" s="41"/>
    </row>
    <row r="4791" spans="1:15">
      <c r="A4791" s="39"/>
      <c r="B4791" s="40"/>
      <c r="C4791" s="41"/>
      <c r="D4791" s="41"/>
      <c r="E4791" s="41"/>
      <c r="F4791" s="41"/>
      <c r="G4791" s="41"/>
      <c r="H4791" s="41"/>
      <c r="I4791" s="41"/>
      <c r="J4791" s="41"/>
      <c r="K4791" s="41"/>
      <c r="L4791" s="41"/>
      <c r="M4791" s="41"/>
      <c r="N4791" s="41"/>
      <c r="O4791" s="41"/>
    </row>
    <row r="4792" spans="1:15">
      <c r="A4792" s="39"/>
      <c r="B4792" s="40"/>
      <c r="C4792" s="41"/>
      <c r="D4792" s="41"/>
      <c r="E4792" s="41"/>
      <c r="F4792" s="41"/>
      <c r="G4792" s="41"/>
      <c r="H4792" s="41"/>
      <c r="I4792" s="41"/>
      <c r="J4792" s="41"/>
      <c r="K4792" s="41"/>
      <c r="L4792" s="41"/>
      <c r="M4792" s="41"/>
      <c r="N4792" s="41"/>
      <c r="O4792" s="41"/>
    </row>
    <row r="4793" spans="1:15">
      <c r="A4793" s="39"/>
      <c r="B4793" s="40"/>
      <c r="C4793" s="41"/>
      <c r="D4793" s="41"/>
      <c r="E4793" s="41"/>
      <c r="F4793" s="41"/>
      <c r="G4793" s="41"/>
      <c r="H4793" s="41"/>
      <c r="I4793" s="41"/>
      <c r="J4793" s="41"/>
      <c r="K4793" s="41"/>
      <c r="L4793" s="41"/>
      <c r="M4793" s="41"/>
      <c r="N4793" s="41"/>
      <c r="O4793" s="41"/>
    </row>
    <row r="4794" spans="1:15">
      <c r="A4794" s="39"/>
      <c r="B4794" s="40"/>
      <c r="C4794" s="41"/>
      <c r="D4794" s="41"/>
      <c r="E4794" s="41"/>
      <c r="F4794" s="41"/>
      <c r="G4794" s="41"/>
      <c r="H4794" s="41"/>
      <c r="I4794" s="41"/>
      <c r="J4794" s="41"/>
      <c r="K4794" s="41"/>
      <c r="L4794" s="41"/>
      <c r="M4794" s="41"/>
      <c r="N4794" s="41"/>
      <c r="O4794" s="41"/>
    </row>
    <row r="4795" spans="1:15">
      <c r="A4795" s="39"/>
      <c r="B4795" s="40"/>
      <c r="C4795" s="41"/>
      <c r="D4795" s="41"/>
      <c r="E4795" s="41"/>
      <c r="F4795" s="41"/>
      <c r="G4795" s="41"/>
      <c r="H4795" s="41"/>
      <c r="I4795" s="41"/>
      <c r="J4795" s="41"/>
      <c r="K4795" s="41"/>
      <c r="L4795" s="41"/>
      <c r="M4795" s="41"/>
      <c r="N4795" s="41"/>
      <c r="O4795" s="41"/>
    </row>
    <row r="4796" spans="1:15">
      <c r="A4796" s="39"/>
      <c r="B4796" s="40"/>
      <c r="C4796" s="41"/>
      <c r="D4796" s="41"/>
      <c r="E4796" s="41"/>
      <c r="F4796" s="41"/>
      <c r="G4796" s="41"/>
      <c r="H4796" s="41"/>
      <c r="I4796" s="41"/>
      <c r="J4796" s="41"/>
      <c r="K4796" s="41"/>
      <c r="L4796" s="41"/>
      <c r="M4796" s="41"/>
      <c r="N4796" s="41"/>
      <c r="O4796" s="41"/>
    </row>
    <row r="4797" spans="1:15">
      <c r="A4797" s="39"/>
      <c r="B4797" s="40"/>
      <c r="C4797" s="41"/>
      <c r="D4797" s="41"/>
      <c r="E4797" s="41"/>
      <c r="F4797" s="41"/>
      <c r="G4797" s="41"/>
      <c r="H4797" s="41"/>
      <c r="I4797" s="41"/>
      <c r="J4797" s="41"/>
      <c r="K4797" s="41"/>
      <c r="L4797" s="41"/>
      <c r="M4797" s="41"/>
      <c r="N4797" s="41"/>
      <c r="O4797" s="41"/>
    </row>
    <row r="4798" spans="1:15">
      <c r="A4798" s="39"/>
      <c r="B4798" s="40"/>
      <c r="C4798" s="41"/>
      <c r="D4798" s="41"/>
      <c r="E4798" s="41"/>
      <c r="F4798" s="41"/>
      <c r="G4798" s="41"/>
      <c r="H4798" s="41"/>
      <c r="I4798" s="41"/>
      <c r="J4798" s="41"/>
      <c r="K4798" s="41"/>
      <c r="L4798" s="41"/>
      <c r="M4798" s="41"/>
      <c r="N4798" s="41"/>
      <c r="O4798" s="41"/>
    </row>
    <row r="4799" spans="1:15">
      <c r="A4799" s="39"/>
      <c r="B4799" s="40"/>
      <c r="C4799" s="41"/>
      <c r="D4799" s="41"/>
      <c r="E4799" s="41"/>
      <c r="F4799" s="41"/>
      <c r="G4799" s="41"/>
      <c r="H4799" s="41"/>
      <c r="I4799" s="41"/>
      <c r="J4799" s="41"/>
      <c r="K4799" s="41"/>
      <c r="L4799" s="41"/>
      <c r="M4799" s="41"/>
      <c r="N4799" s="41"/>
      <c r="O4799" s="41"/>
    </row>
    <row r="4800" spans="1:15">
      <c r="A4800" s="39"/>
      <c r="B4800" s="40"/>
      <c r="C4800" s="41"/>
      <c r="D4800" s="41"/>
      <c r="E4800" s="41"/>
      <c r="F4800" s="41"/>
      <c r="G4800" s="41"/>
      <c r="H4800" s="41"/>
      <c r="I4800" s="41"/>
      <c r="J4800" s="41"/>
      <c r="K4800" s="41"/>
      <c r="L4800" s="41"/>
      <c r="M4800" s="41"/>
      <c r="N4800" s="41"/>
      <c r="O4800" s="41"/>
    </row>
    <row r="4801" spans="1:15">
      <c r="A4801" s="39"/>
      <c r="B4801" s="40"/>
      <c r="C4801" s="41"/>
      <c r="D4801" s="41"/>
      <c r="E4801" s="41"/>
      <c r="F4801" s="41"/>
      <c r="G4801" s="41"/>
      <c r="H4801" s="41"/>
      <c r="I4801" s="41"/>
      <c r="J4801" s="41"/>
      <c r="K4801" s="41"/>
      <c r="L4801" s="41"/>
      <c r="M4801" s="41"/>
      <c r="N4801" s="41"/>
      <c r="O4801" s="41"/>
    </row>
    <row r="4802" spans="1:15">
      <c r="A4802" s="39"/>
      <c r="B4802" s="40"/>
      <c r="C4802" s="41"/>
      <c r="D4802" s="41"/>
      <c r="E4802" s="41"/>
      <c r="F4802" s="41"/>
      <c r="G4802" s="41"/>
      <c r="H4802" s="41"/>
      <c r="I4802" s="41"/>
      <c r="J4802" s="41"/>
      <c r="K4802" s="41"/>
      <c r="L4802" s="41"/>
      <c r="M4802" s="41"/>
      <c r="N4802" s="41"/>
      <c r="O4802" s="41"/>
    </row>
    <row r="4803" spans="1:15">
      <c r="A4803" s="39"/>
      <c r="B4803" s="40"/>
      <c r="C4803" s="41"/>
      <c r="D4803" s="41"/>
      <c r="E4803" s="41"/>
      <c r="F4803" s="41"/>
      <c r="G4803" s="41"/>
      <c r="H4803" s="41"/>
      <c r="I4803" s="41"/>
      <c r="J4803" s="41"/>
      <c r="K4803" s="41"/>
      <c r="L4803" s="41"/>
      <c r="M4803" s="41"/>
      <c r="N4803" s="41"/>
      <c r="O4803" s="41"/>
    </row>
    <row r="4804" spans="1:15">
      <c r="A4804" s="39"/>
      <c r="B4804" s="40"/>
      <c r="C4804" s="41"/>
      <c r="D4804" s="41"/>
      <c r="E4804" s="41"/>
      <c r="F4804" s="41"/>
      <c r="G4804" s="41"/>
      <c r="H4804" s="41"/>
      <c r="I4804" s="41"/>
      <c r="J4804" s="41"/>
      <c r="K4804" s="41"/>
      <c r="L4804" s="41"/>
      <c r="M4804" s="41"/>
      <c r="N4804" s="41"/>
      <c r="O4804" s="41"/>
    </row>
    <row r="4805" spans="1:15">
      <c r="A4805" s="39"/>
      <c r="B4805" s="40"/>
      <c r="C4805" s="41"/>
      <c r="D4805" s="41"/>
      <c r="E4805" s="41"/>
      <c r="F4805" s="41"/>
      <c r="G4805" s="41"/>
      <c r="H4805" s="41"/>
      <c r="I4805" s="41"/>
      <c r="J4805" s="41"/>
      <c r="K4805" s="41"/>
      <c r="L4805" s="41"/>
      <c r="M4805" s="41"/>
      <c r="N4805" s="41"/>
      <c r="O4805" s="41"/>
    </row>
    <row r="4806" spans="1:15">
      <c r="A4806" s="39"/>
      <c r="B4806" s="40"/>
      <c r="C4806" s="41"/>
      <c r="D4806" s="41"/>
      <c r="E4806" s="41"/>
      <c r="F4806" s="41"/>
      <c r="G4806" s="41"/>
      <c r="H4806" s="41"/>
      <c r="I4806" s="41"/>
      <c r="J4806" s="41"/>
      <c r="K4806" s="41"/>
      <c r="L4806" s="41"/>
      <c r="M4806" s="41"/>
      <c r="N4806" s="41"/>
      <c r="O4806" s="41"/>
    </row>
    <row r="4807" spans="1:15">
      <c r="A4807" s="39"/>
      <c r="B4807" s="40"/>
      <c r="C4807" s="41"/>
      <c r="D4807" s="41"/>
      <c r="E4807" s="41"/>
      <c r="F4807" s="41"/>
      <c r="G4807" s="41"/>
      <c r="H4807" s="41"/>
      <c r="I4807" s="41"/>
      <c r="J4807" s="41"/>
      <c r="K4807" s="41"/>
      <c r="L4807" s="41"/>
      <c r="M4807" s="41"/>
      <c r="N4807" s="41"/>
      <c r="O4807" s="41"/>
    </row>
    <row r="4808" spans="1:15">
      <c r="A4808" s="39"/>
      <c r="B4808" s="40"/>
      <c r="C4808" s="41"/>
      <c r="D4808" s="41"/>
      <c r="E4808" s="41"/>
      <c r="F4808" s="41"/>
      <c r="G4808" s="41"/>
      <c r="H4808" s="41"/>
      <c r="I4808" s="41"/>
      <c r="J4808" s="41"/>
      <c r="K4808" s="41"/>
      <c r="L4808" s="41"/>
      <c r="M4808" s="41"/>
      <c r="N4808" s="41"/>
      <c r="O4808" s="41"/>
    </row>
    <row r="4809" spans="1:15">
      <c r="A4809" s="39"/>
      <c r="B4809" s="40"/>
      <c r="C4809" s="41"/>
      <c r="D4809" s="41"/>
      <c r="E4809" s="41"/>
      <c r="F4809" s="41"/>
      <c r="G4809" s="41"/>
      <c r="H4809" s="41"/>
      <c r="I4809" s="41"/>
      <c r="J4809" s="41"/>
      <c r="K4809" s="41"/>
      <c r="L4809" s="41"/>
      <c r="M4809" s="41"/>
      <c r="N4809" s="41"/>
      <c r="O4809" s="41"/>
    </row>
    <row r="4810" spans="1:15">
      <c r="A4810" s="39"/>
      <c r="B4810" s="40"/>
      <c r="C4810" s="41"/>
      <c r="D4810" s="41"/>
      <c r="E4810" s="41"/>
      <c r="F4810" s="41"/>
      <c r="G4810" s="41"/>
      <c r="H4810" s="41"/>
      <c r="I4810" s="41"/>
      <c r="J4810" s="41"/>
      <c r="K4810" s="41"/>
      <c r="L4810" s="41"/>
      <c r="M4810" s="41"/>
      <c r="N4810" s="41"/>
      <c r="O4810" s="41"/>
    </row>
    <row r="4811" spans="1:15">
      <c r="A4811" s="39"/>
      <c r="B4811" s="40"/>
      <c r="C4811" s="41"/>
      <c r="D4811" s="41"/>
      <c r="E4811" s="41"/>
      <c r="F4811" s="41"/>
      <c r="G4811" s="41"/>
      <c r="H4811" s="41"/>
      <c r="I4811" s="41"/>
      <c r="J4811" s="41"/>
      <c r="K4811" s="41"/>
      <c r="L4811" s="41"/>
      <c r="M4811" s="41"/>
      <c r="N4811" s="41"/>
      <c r="O4811" s="41"/>
    </row>
    <row r="4812" spans="1:15">
      <c r="A4812" s="39"/>
      <c r="B4812" s="40"/>
      <c r="C4812" s="41"/>
      <c r="D4812" s="41"/>
      <c r="E4812" s="41"/>
      <c r="F4812" s="41"/>
      <c r="G4812" s="41"/>
      <c r="H4812" s="41"/>
      <c r="I4812" s="41"/>
      <c r="J4812" s="41"/>
      <c r="K4812" s="41"/>
      <c r="L4812" s="41"/>
      <c r="M4812" s="41"/>
      <c r="N4812" s="41"/>
      <c r="O4812" s="41"/>
    </row>
    <row r="4813" spans="1:15">
      <c r="A4813" s="39"/>
      <c r="B4813" s="40"/>
      <c r="C4813" s="41"/>
      <c r="D4813" s="41"/>
      <c r="E4813" s="41"/>
      <c r="F4813" s="41"/>
      <c r="G4813" s="41"/>
      <c r="H4813" s="41"/>
      <c r="I4813" s="41"/>
      <c r="J4813" s="41"/>
      <c r="K4813" s="41"/>
      <c r="L4813" s="41"/>
      <c r="M4813" s="41"/>
      <c r="N4813" s="41"/>
      <c r="O4813" s="41"/>
    </row>
    <row r="4814" spans="1:15">
      <c r="A4814" s="39"/>
      <c r="B4814" s="40"/>
      <c r="C4814" s="41"/>
      <c r="D4814" s="41"/>
      <c r="E4814" s="41"/>
      <c r="F4814" s="41"/>
      <c r="G4814" s="41"/>
      <c r="H4814" s="41"/>
      <c r="I4814" s="41"/>
      <c r="J4814" s="41"/>
      <c r="K4814" s="41"/>
      <c r="L4814" s="41"/>
      <c r="M4814" s="41"/>
      <c r="N4814" s="41"/>
      <c r="O4814" s="41"/>
    </row>
    <row r="4815" spans="1:15">
      <c r="A4815" s="39"/>
      <c r="B4815" s="40"/>
      <c r="C4815" s="41"/>
      <c r="D4815" s="41"/>
      <c r="E4815" s="41"/>
      <c r="F4815" s="41"/>
      <c r="G4815" s="41"/>
      <c r="H4815" s="41"/>
      <c r="I4815" s="41"/>
      <c r="J4815" s="41"/>
      <c r="K4815" s="41"/>
      <c r="L4815" s="41"/>
      <c r="M4815" s="41"/>
      <c r="N4815" s="41"/>
      <c r="O4815" s="41"/>
    </row>
    <row r="4816" spans="1:15">
      <c r="A4816" s="39"/>
      <c r="B4816" s="40"/>
      <c r="C4816" s="41"/>
      <c r="D4816" s="41"/>
      <c r="E4816" s="41"/>
      <c r="F4816" s="41"/>
      <c r="G4816" s="41"/>
      <c r="H4816" s="41"/>
      <c r="I4816" s="41"/>
      <c r="J4816" s="41"/>
      <c r="K4816" s="41"/>
      <c r="L4816" s="41"/>
      <c r="M4816" s="41"/>
      <c r="N4816" s="41"/>
      <c r="O4816" s="41"/>
    </row>
    <row r="4817" spans="1:15">
      <c r="A4817" s="39"/>
      <c r="B4817" s="40"/>
      <c r="C4817" s="41"/>
      <c r="D4817" s="41"/>
      <c r="E4817" s="41"/>
      <c r="F4817" s="41"/>
      <c r="G4817" s="41"/>
      <c r="H4817" s="41"/>
      <c r="I4817" s="41"/>
      <c r="J4817" s="41"/>
      <c r="K4817" s="41"/>
      <c r="L4817" s="41"/>
      <c r="M4817" s="41"/>
      <c r="N4817" s="41"/>
      <c r="O4817" s="41"/>
    </row>
    <row r="4818" spans="1:15">
      <c r="A4818" s="39"/>
      <c r="B4818" s="40"/>
      <c r="C4818" s="41"/>
      <c r="D4818" s="41"/>
      <c r="E4818" s="41"/>
      <c r="F4818" s="41"/>
      <c r="G4818" s="41"/>
      <c r="H4818" s="41"/>
      <c r="I4818" s="41"/>
      <c r="J4818" s="41"/>
      <c r="K4818" s="41"/>
      <c r="L4818" s="41"/>
      <c r="M4818" s="41"/>
      <c r="N4818" s="41"/>
      <c r="O4818" s="41"/>
    </row>
    <row r="4819" spans="1:15">
      <c r="A4819" s="39"/>
      <c r="B4819" s="40"/>
      <c r="C4819" s="41"/>
      <c r="D4819" s="41"/>
      <c r="E4819" s="41"/>
      <c r="F4819" s="41"/>
      <c r="G4819" s="41"/>
      <c r="H4819" s="41"/>
      <c r="I4819" s="41"/>
      <c r="J4819" s="41"/>
      <c r="K4819" s="41"/>
      <c r="L4819" s="41"/>
      <c r="M4819" s="41"/>
      <c r="N4819" s="41"/>
      <c r="O4819" s="41"/>
    </row>
    <row r="4820" spans="1:15">
      <c r="A4820" s="39"/>
      <c r="B4820" s="40"/>
      <c r="C4820" s="41"/>
      <c r="D4820" s="41"/>
      <c r="E4820" s="41"/>
      <c r="F4820" s="41"/>
      <c r="G4820" s="41"/>
      <c r="H4820" s="41"/>
      <c r="I4820" s="41"/>
      <c r="J4820" s="41"/>
      <c r="K4820" s="41"/>
      <c r="L4820" s="41"/>
      <c r="M4820" s="41"/>
      <c r="N4820" s="41"/>
      <c r="O4820" s="41"/>
    </row>
    <row r="4821" spans="1:15">
      <c r="A4821" s="39"/>
      <c r="B4821" s="40"/>
      <c r="C4821" s="41"/>
      <c r="D4821" s="41"/>
      <c r="E4821" s="41"/>
      <c r="F4821" s="41"/>
      <c r="G4821" s="41"/>
      <c r="H4821" s="41"/>
      <c r="I4821" s="41"/>
      <c r="J4821" s="41"/>
      <c r="K4821" s="41"/>
      <c r="L4821" s="41"/>
      <c r="M4821" s="41"/>
      <c r="N4821" s="41"/>
      <c r="O4821" s="41"/>
    </row>
    <row r="4822" spans="1:15">
      <c r="A4822" s="39"/>
      <c r="B4822" s="40"/>
      <c r="C4822" s="41"/>
      <c r="D4822" s="41"/>
      <c r="E4822" s="41"/>
      <c r="F4822" s="41"/>
      <c r="G4822" s="41"/>
      <c r="H4822" s="41"/>
      <c r="I4822" s="41"/>
      <c r="J4822" s="41"/>
      <c r="K4822" s="41"/>
      <c r="L4822" s="41"/>
      <c r="M4822" s="41"/>
      <c r="N4822" s="41"/>
      <c r="O4822" s="41"/>
    </row>
    <row r="4823" spans="1:15">
      <c r="A4823" s="39"/>
      <c r="B4823" s="40"/>
      <c r="C4823" s="41"/>
      <c r="D4823" s="41"/>
      <c r="E4823" s="41"/>
      <c r="F4823" s="41"/>
      <c r="G4823" s="41"/>
      <c r="H4823" s="41"/>
      <c r="I4823" s="41"/>
      <c r="J4823" s="41"/>
      <c r="K4823" s="41"/>
      <c r="L4823" s="41"/>
      <c r="M4823" s="41"/>
      <c r="N4823" s="41"/>
      <c r="O4823" s="41"/>
    </row>
    <row r="4824" spans="1:15">
      <c r="A4824" s="39"/>
      <c r="B4824" s="40"/>
      <c r="C4824" s="41"/>
      <c r="D4824" s="41"/>
      <c r="E4824" s="41"/>
      <c r="F4824" s="41"/>
      <c r="G4824" s="41"/>
      <c r="H4824" s="41"/>
      <c r="I4824" s="41"/>
      <c r="J4824" s="41"/>
      <c r="K4824" s="41"/>
      <c r="L4824" s="41"/>
      <c r="M4824" s="41"/>
      <c r="N4824" s="41"/>
      <c r="O4824" s="41"/>
    </row>
    <row r="4825" spans="1:15">
      <c r="A4825" s="39"/>
      <c r="B4825" s="40"/>
      <c r="C4825" s="41"/>
      <c r="D4825" s="41"/>
      <c r="E4825" s="41"/>
      <c r="F4825" s="41"/>
      <c r="G4825" s="41"/>
      <c r="H4825" s="41"/>
      <c r="I4825" s="41"/>
      <c r="J4825" s="41"/>
      <c r="K4825" s="41"/>
      <c r="L4825" s="41"/>
      <c r="M4825" s="41"/>
      <c r="N4825" s="41"/>
      <c r="O4825" s="41"/>
    </row>
    <row r="4826" spans="1:15">
      <c r="A4826" s="39"/>
      <c r="B4826" s="40"/>
      <c r="C4826" s="41"/>
      <c r="D4826" s="41"/>
      <c r="E4826" s="41"/>
      <c r="F4826" s="41"/>
      <c r="G4826" s="41"/>
      <c r="H4826" s="41"/>
      <c r="I4826" s="41"/>
      <c r="J4826" s="41"/>
      <c r="K4826" s="41"/>
      <c r="L4826" s="41"/>
      <c r="M4826" s="41"/>
      <c r="N4826" s="41"/>
      <c r="O4826" s="41"/>
    </row>
    <row r="4827" spans="1:15">
      <c r="A4827" s="39"/>
      <c r="B4827" s="40"/>
      <c r="C4827" s="41"/>
      <c r="D4827" s="41"/>
      <c r="E4827" s="41"/>
      <c r="F4827" s="41"/>
      <c r="G4827" s="41"/>
      <c r="H4827" s="41"/>
      <c r="I4827" s="41"/>
      <c r="J4827" s="41"/>
      <c r="K4827" s="41"/>
      <c r="L4827" s="41"/>
      <c r="M4827" s="41"/>
      <c r="N4827" s="41"/>
      <c r="O4827" s="41"/>
    </row>
    <row r="4828" spans="1:15">
      <c r="A4828" s="39"/>
      <c r="B4828" s="40"/>
      <c r="C4828" s="41"/>
      <c r="D4828" s="41"/>
      <c r="E4828" s="41"/>
      <c r="F4828" s="41"/>
      <c r="G4828" s="41"/>
      <c r="H4828" s="41"/>
      <c r="I4828" s="41"/>
      <c r="J4828" s="41"/>
      <c r="K4828" s="41"/>
      <c r="L4828" s="41"/>
      <c r="M4828" s="41"/>
      <c r="N4828" s="41"/>
      <c r="O4828" s="41"/>
    </row>
    <row r="4829" spans="1:15">
      <c r="A4829" s="39"/>
      <c r="B4829" s="40"/>
      <c r="C4829" s="41"/>
      <c r="D4829" s="41"/>
      <c r="E4829" s="41"/>
      <c r="F4829" s="41"/>
      <c r="G4829" s="41"/>
      <c r="H4829" s="41"/>
      <c r="I4829" s="41"/>
      <c r="J4829" s="41"/>
      <c r="K4829" s="41"/>
      <c r="L4829" s="41"/>
      <c r="M4829" s="41"/>
      <c r="N4829" s="41"/>
      <c r="O4829" s="41"/>
    </row>
    <row r="4830" spans="1:15">
      <c r="A4830" s="39"/>
      <c r="B4830" s="40"/>
      <c r="C4830" s="41"/>
      <c r="D4830" s="41"/>
      <c r="E4830" s="41"/>
      <c r="F4830" s="41"/>
      <c r="G4830" s="41"/>
      <c r="H4830" s="41"/>
      <c r="I4830" s="41"/>
      <c r="J4830" s="41"/>
      <c r="K4830" s="41"/>
      <c r="L4830" s="41"/>
      <c r="M4830" s="41"/>
      <c r="N4830" s="41"/>
      <c r="O4830" s="41"/>
    </row>
    <row r="4831" spans="1:15">
      <c r="A4831" s="39"/>
      <c r="B4831" s="40"/>
      <c r="C4831" s="41"/>
      <c r="D4831" s="41"/>
      <c r="E4831" s="41"/>
      <c r="F4831" s="41"/>
      <c r="G4831" s="41"/>
      <c r="H4831" s="41"/>
      <c r="I4831" s="41"/>
      <c r="J4831" s="41"/>
      <c r="K4831" s="41"/>
      <c r="L4831" s="41"/>
      <c r="M4831" s="41"/>
      <c r="N4831" s="41"/>
      <c r="O4831" s="41"/>
    </row>
    <row r="4832" spans="1:15">
      <c r="A4832" s="39"/>
      <c r="B4832" s="40"/>
      <c r="C4832" s="41"/>
      <c r="D4832" s="41"/>
      <c r="E4832" s="41"/>
      <c r="F4832" s="41"/>
      <c r="G4832" s="41"/>
      <c r="H4832" s="41"/>
      <c r="I4832" s="41"/>
      <c r="J4832" s="41"/>
      <c r="K4832" s="41"/>
      <c r="L4832" s="41"/>
      <c r="M4832" s="41"/>
      <c r="N4832" s="41"/>
      <c r="O4832" s="41"/>
    </row>
    <row r="4833" spans="1:15">
      <c r="A4833" s="39"/>
      <c r="B4833" s="40"/>
      <c r="C4833" s="41"/>
      <c r="D4833" s="41"/>
      <c r="E4833" s="41"/>
      <c r="F4833" s="41"/>
      <c r="G4833" s="41"/>
      <c r="H4833" s="41"/>
      <c r="I4833" s="41"/>
      <c r="J4833" s="41"/>
      <c r="K4833" s="41"/>
      <c r="L4833" s="41"/>
      <c r="M4833" s="41"/>
      <c r="N4833" s="41"/>
      <c r="O4833" s="41"/>
    </row>
    <row r="4834" spans="1:15">
      <c r="A4834" s="39"/>
      <c r="B4834" s="40"/>
      <c r="C4834" s="41"/>
      <c r="D4834" s="41"/>
      <c r="E4834" s="41"/>
      <c r="F4834" s="41"/>
      <c r="G4834" s="41"/>
      <c r="H4834" s="41"/>
      <c r="I4834" s="41"/>
      <c r="J4834" s="41"/>
      <c r="K4834" s="41"/>
      <c r="L4834" s="41"/>
      <c r="M4834" s="41"/>
      <c r="N4834" s="41"/>
      <c r="O4834" s="41"/>
    </row>
    <row r="4835" spans="1:15">
      <c r="A4835" s="39"/>
      <c r="B4835" s="40"/>
      <c r="C4835" s="41"/>
      <c r="D4835" s="41"/>
      <c r="E4835" s="41"/>
      <c r="F4835" s="41"/>
      <c r="G4835" s="41"/>
      <c r="H4835" s="41"/>
      <c r="I4835" s="41"/>
      <c r="J4835" s="41"/>
      <c r="K4835" s="41"/>
      <c r="L4835" s="41"/>
      <c r="M4835" s="41"/>
      <c r="N4835" s="41"/>
      <c r="O4835" s="41"/>
    </row>
    <row r="4836" spans="1:15">
      <c r="A4836" s="39"/>
      <c r="B4836" s="40"/>
      <c r="C4836" s="41"/>
      <c r="D4836" s="41"/>
      <c r="E4836" s="41"/>
      <c r="F4836" s="41"/>
      <c r="G4836" s="41"/>
      <c r="H4836" s="41"/>
      <c r="I4836" s="41"/>
      <c r="J4836" s="41"/>
      <c r="K4836" s="41"/>
      <c r="L4836" s="41"/>
      <c r="M4836" s="41"/>
      <c r="N4836" s="41"/>
      <c r="O4836" s="41"/>
    </row>
    <row r="4837" spans="1:15">
      <c r="A4837" s="39"/>
      <c r="B4837" s="40"/>
      <c r="C4837" s="41"/>
      <c r="D4837" s="41"/>
      <c r="E4837" s="41"/>
      <c r="F4837" s="41"/>
      <c r="G4837" s="41"/>
      <c r="H4837" s="41"/>
      <c r="I4837" s="41"/>
      <c r="J4837" s="41"/>
      <c r="K4837" s="41"/>
      <c r="L4837" s="41"/>
      <c r="M4837" s="41"/>
      <c r="N4837" s="41"/>
      <c r="O4837" s="41"/>
    </row>
    <row r="4838" spans="1:15">
      <c r="A4838" s="39"/>
      <c r="B4838" s="40"/>
      <c r="C4838" s="41"/>
      <c r="D4838" s="41"/>
      <c r="E4838" s="41"/>
      <c r="F4838" s="41"/>
      <c r="G4838" s="41"/>
      <c r="H4838" s="41"/>
      <c r="I4838" s="41"/>
      <c r="J4838" s="41"/>
      <c r="K4838" s="41"/>
      <c r="L4838" s="41"/>
      <c r="M4838" s="41"/>
      <c r="N4838" s="41"/>
      <c r="O4838" s="41"/>
    </row>
    <row r="4839" spans="1:15">
      <c r="A4839" s="39"/>
      <c r="B4839" s="40"/>
      <c r="C4839" s="41"/>
      <c r="D4839" s="41"/>
      <c r="E4839" s="41"/>
      <c r="F4839" s="41"/>
      <c r="G4839" s="41"/>
      <c r="H4839" s="41"/>
      <c r="I4839" s="41"/>
      <c r="J4839" s="41"/>
      <c r="K4839" s="41"/>
      <c r="L4839" s="41"/>
      <c r="M4839" s="41"/>
      <c r="N4839" s="41"/>
      <c r="O4839" s="41"/>
    </row>
    <row r="4840" spans="1:15">
      <c r="A4840" s="39"/>
      <c r="B4840" s="40"/>
      <c r="C4840" s="41"/>
      <c r="D4840" s="41"/>
      <c r="E4840" s="41"/>
      <c r="F4840" s="41"/>
      <c r="G4840" s="41"/>
      <c r="H4840" s="41"/>
      <c r="I4840" s="41"/>
      <c r="J4840" s="41"/>
      <c r="K4840" s="41"/>
      <c r="L4840" s="41"/>
      <c r="M4840" s="41"/>
      <c r="N4840" s="41"/>
      <c r="O4840" s="41"/>
    </row>
    <row r="4841" spans="1:15">
      <c r="A4841" s="39"/>
      <c r="B4841" s="40"/>
      <c r="C4841" s="41"/>
      <c r="D4841" s="41"/>
      <c r="E4841" s="41"/>
      <c r="F4841" s="41"/>
      <c r="G4841" s="41"/>
      <c r="H4841" s="41"/>
      <c r="I4841" s="41"/>
      <c r="J4841" s="41"/>
      <c r="K4841" s="41"/>
      <c r="L4841" s="41"/>
      <c r="M4841" s="41"/>
      <c r="N4841" s="41"/>
      <c r="O4841" s="41"/>
    </row>
    <row r="4842" spans="1:15">
      <c r="A4842" s="39"/>
      <c r="B4842" s="40"/>
      <c r="C4842" s="41"/>
      <c r="D4842" s="41"/>
      <c r="E4842" s="41"/>
      <c r="F4842" s="41"/>
      <c r="G4842" s="41"/>
      <c r="H4842" s="41"/>
      <c r="I4842" s="41"/>
      <c r="J4842" s="41"/>
      <c r="K4842" s="41"/>
      <c r="L4842" s="41"/>
      <c r="M4842" s="41"/>
      <c r="N4842" s="41"/>
      <c r="O4842" s="41"/>
    </row>
    <row r="4843" spans="1:15">
      <c r="A4843" s="39"/>
      <c r="B4843" s="40"/>
      <c r="C4843" s="41"/>
      <c r="D4843" s="41"/>
      <c r="E4843" s="41"/>
      <c r="F4843" s="41"/>
      <c r="G4843" s="41"/>
      <c r="H4843" s="41"/>
      <c r="I4843" s="41"/>
      <c r="J4843" s="41"/>
      <c r="K4843" s="41"/>
      <c r="L4843" s="41"/>
      <c r="M4843" s="41"/>
      <c r="N4843" s="41"/>
      <c r="O4843" s="41"/>
    </row>
    <row r="4844" spans="1:15">
      <c r="A4844" s="39"/>
      <c r="B4844" s="40"/>
      <c r="C4844" s="41"/>
      <c r="D4844" s="41"/>
      <c r="E4844" s="41"/>
      <c r="F4844" s="41"/>
      <c r="G4844" s="41"/>
      <c r="H4844" s="41"/>
      <c r="I4844" s="41"/>
      <c r="J4844" s="41"/>
      <c r="K4844" s="41"/>
      <c r="L4844" s="41"/>
      <c r="M4844" s="41"/>
      <c r="N4844" s="41"/>
      <c r="O4844" s="41"/>
    </row>
    <row r="4845" spans="1:15">
      <c r="A4845" s="39"/>
      <c r="B4845" s="40"/>
      <c r="C4845" s="41"/>
      <c r="D4845" s="41"/>
      <c r="E4845" s="41"/>
      <c r="F4845" s="41"/>
      <c r="G4845" s="41"/>
      <c r="H4845" s="41"/>
      <c r="I4845" s="41"/>
      <c r="J4845" s="41"/>
      <c r="K4845" s="41"/>
      <c r="L4845" s="41"/>
      <c r="M4845" s="41"/>
      <c r="N4845" s="41"/>
      <c r="O4845" s="41"/>
    </row>
    <row r="4846" spans="1:15">
      <c r="A4846" s="39"/>
      <c r="B4846" s="40"/>
      <c r="C4846" s="41"/>
      <c r="D4846" s="41"/>
      <c r="E4846" s="41"/>
      <c r="F4846" s="41"/>
      <c r="G4846" s="41"/>
      <c r="H4846" s="41"/>
      <c r="I4846" s="41"/>
      <c r="J4846" s="41"/>
      <c r="K4846" s="41"/>
      <c r="L4846" s="41"/>
      <c r="M4846" s="41"/>
      <c r="N4846" s="41"/>
      <c r="O4846" s="41"/>
    </row>
    <row r="4847" spans="1:15">
      <c r="A4847" s="39"/>
      <c r="B4847" s="40"/>
      <c r="C4847" s="41"/>
      <c r="D4847" s="41"/>
      <c r="E4847" s="41"/>
      <c r="F4847" s="41"/>
      <c r="G4847" s="41"/>
      <c r="H4847" s="41"/>
      <c r="I4847" s="41"/>
      <c r="J4847" s="41"/>
      <c r="K4847" s="41"/>
      <c r="L4847" s="41"/>
      <c r="M4847" s="41"/>
      <c r="N4847" s="41"/>
      <c r="O4847" s="41"/>
    </row>
    <row r="4848" spans="1:15">
      <c r="A4848" s="39"/>
      <c r="B4848" s="40"/>
      <c r="C4848" s="41"/>
      <c r="D4848" s="41"/>
      <c r="E4848" s="41"/>
      <c r="F4848" s="41"/>
      <c r="G4848" s="41"/>
      <c r="H4848" s="41"/>
      <c r="I4848" s="41"/>
      <c r="J4848" s="41"/>
      <c r="K4848" s="41"/>
      <c r="L4848" s="41"/>
      <c r="M4848" s="41"/>
      <c r="N4848" s="41"/>
      <c r="O4848" s="41"/>
    </row>
    <row r="4849" spans="1:15">
      <c r="A4849" s="39"/>
      <c r="B4849" s="40"/>
      <c r="C4849" s="41"/>
      <c r="D4849" s="41"/>
      <c r="E4849" s="41"/>
      <c r="F4849" s="41"/>
      <c r="G4849" s="41"/>
      <c r="H4849" s="41"/>
      <c r="I4849" s="41"/>
      <c r="J4849" s="41"/>
      <c r="K4849" s="41"/>
      <c r="L4849" s="41"/>
      <c r="M4849" s="41"/>
      <c r="N4849" s="41"/>
      <c r="O4849" s="41"/>
    </row>
    <row r="4850" spans="1:15">
      <c r="A4850" s="39"/>
      <c r="B4850" s="40"/>
      <c r="C4850" s="41"/>
      <c r="D4850" s="41"/>
      <c r="E4850" s="41"/>
      <c r="F4850" s="41"/>
      <c r="G4850" s="41"/>
      <c r="H4850" s="41"/>
      <c r="I4850" s="41"/>
      <c r="J4850" s="41"/>
      <c r="K4850" s="41"/>
      <c r="L4850" s="41"/>
      <c r="M4850" s="41"/>
      <c r="N4850" s="41"/>
      <c r="O4850" s="41"/>
    </row>
    <row r="4851" spans="1:15">
      <c r="A4851" s="39"/>
      <c r="B4851" s="40"/>
      <c r="C4851" s="41"/>
      <c r="D4851" s="41"/>
      <c r="E4851" s="41"/>
      <c r="F4851" s="41"/>
      <c r="G4851" s="41"/>
      <c r="H4851" s="41"/>
      <c r="I4851" s="41"/>
      <c r="J4851" s="41"/>
      <c r="K4851" s="41"/>
      <c r="L4851" s="41"/>
      <c r="M4851" s="41"/>
      <c r="N4851" s="41"/>
      <c r="O4851" s="41"/>
    </row>
    <row r="4852" spans="1:15">
      <c r="A4852" s="39"/>
      <c r="B4852" s="40"/>
      <c r="C4852" s="41"/>
      <c r="D4852" s="41"/>
      <c r="E4852" s="41"/>
      <c r="F4852" s="41"/>
      <c r="G4852" s="41"/>
      <c r="H4852" s="41"/>
      <c r="I4852" s="41"/>
      <c r="J4852" s="41"/>
      <c r="K4852" s="41"/>
      <c r="L4852" s="41"/>
      <c r="M4852" s="41"/>
      <c r="N4852" s="41"/>
      <c r="O4852" s="41"/>
    </row>
    <row r="4853" spans="1:15">
      <c r="A4853" s="39"/>
      <c r="B4853" s="40"/>
      <c r="C4853" s="41"/>
      <c r="D4853" s="41"/>
      <c r="E4853" s="41"/>
      <c r="F4853" s="41"/>
      <c r="G4853" s="41"/>
      <c r="H4853" s="41"/>
      <c r="I4853" s="41"/>
      <c r="J4853" s="41"/>
      <c r="K4853" s="41"/>
      <c r="L4853" s="41"/>
      <c r="M4853" s="41"/>
      <c r="N4853" s="41"/>
      <c r="O4853" s="41"/>
    </row>
    <row r="4854" spans="1:15">
      <c r="A4854" s="39"/>
      <c r="B4854" s="40"/>
      <c r="C4854" s="41"/>
      <c r="D4854" s="41"/>
      <c r="E4854" s="41"/>
      <c r="F4854" s="41"/>
      <c r="G4854" s="41"/>
      <c r="H4854" s="41"/>
      <c r="I4854" s="41"/>
      <c r="J4854" s="41"/>
      <c r="K4854" s="41"/>
      <c r="L4854" s="41"/>
      <c r="M4854" s="41"/>
      <c r="N4854" s="41"/>
      <c r="O4854" s="41"/>
    </row>
    <row r="4855" spans="1:15">
      <c r="A4855" s="39"/>
      <c r="B4855" s="40"/>
      <c r="C4855" s="41"/>
      <c r="D4855" s="41"/>
      <c r="E4855" s="41"/>
      <c r="F4855" s="41"/>
      <c r="G4855" s="41"/>
      <c r="H4855" s="41"/>
      <c r="I4855" s="41"/>
      <c r="J4855" s="41"/>
      <c r="K4855" s="41"/>
      <c r="L4855" s="41"/>
      <c r="M4855" s="41"/>
      <c r="N4855" s="41"/>
      <c r="O4855" s="41"/>
    </row>
    <row r="4856" spans="1:15">
      <c r="A4856" s="39"/>
      <c r="B4856" s="40"/>
      <c r="C4856" s="41"/>
      <c r="D4856" s="41"/>
      <c r="E4856" s="41"/>
      <c r="F4856" s="41"/>
      <c r="G4856" s="41"/>
      <c r="H4856" s="41"/>
      <c r="I4856" s="41"/>
      <c r="J4856" s="41"/>
      <c r="K4856" s="41"/>
      <c r="L4856" s="41"/>
      <c r="M4856" s="41"/>
      <c r="N4856" s="41"/>
      <c r="O4856" s="41"/>
    </row>
    <row r="4857" spans="1:15">
      <c r="A4857" s="39"/>
      <c r="B4857" s="40"/>
      <c r="C4857" s="41"/>
      <c r="D4857" s="41"/>
      <c r="E4857" s="41"/>
      <c r="F4857" s="41"/>
      <c r="G4857" s="41"/>
      <c r="H4857" s="41"/>
      <c r="I4857" s="41"/>
      <c r="J4857" s="41"/>
      <c r="K4857" s="41"/>
      <c r="L4857" s="41"/>
      <c r="M4857" s="41"/>
      <c r="N4857" s="41"/>
      <c r="O4857" s="41"/>
    </row>
    <row r="4858" spans="1:15">
      <c r="A4858" s="39"/>
      <c r="B4858" s="40"/>
      <c r="C4858" s="41"/>
      <c r="D4858" s="41"/>
      <c r="E4858" s="41"/>
      <c r="F4858" s="41"/>
      <c r="G4858" s="41"/>
      <c r="H4858" s="41"/>
      <c r="I4858" s="41"/>
      <c r="J4858" s="41"/>
      <c r="K4858" s="41"/>
      <c r="L4858" s="41"/>
      <c r="M4858" s="41"/>
      <c r="N4858" s="41"/>
      <c r="O4858" s="41"/>
    </row>
    <row r="4859" spans="1:15">
      <c r="A4859" s="39"/>
      <c r="B4859" s="40"/>
      <c r="C4859" s="41"/>
      <c r="D4859" s="41"/>
      <c r="E4859" s="41"/>
      <c r="F4859" s="41"/>
      <c r="G4859" s="41"/>
      <c r="H4859" s="41"/>
      <c r="I4859" s="41"/>
      <c r="J4859" s="41"/>
      <c r="K4859" s="41"/>
      <c r="L4859" s="41"/>
      <c r="M4859" s="41"/>
      <c r="N4859" s="41"/>
      <c r="O4859" s="41"/>
    </row>
    <row r="4860" spans="1:15">
      <c r="A4860" s="39"/>
      <c r="B4860" s="40"/>
      <c r="C4860" s="41"/>
      <c r="D4860" s="41"/>
      <c r="E4860" s="41"/>
      <c r="F4860" s="41"/>
      <c r="G4860" s="41"/>
      <c r="H4860" s="41"/>
      <c r="I4860" s="41"/>
      <c r="J4860" s="41"/>
      <c r="K4860" s="41"/>
      <c r="L4860" s="41"/>
      <c r="M4860" s="41"/>
      <c r="N4860" s="41"/>
      <c r="O4860" s="41"/>
    </row>
    <row r="4861" spans="1:15">
      <c r="A4861" s="39"/>
      <c r="B4861" s="40"/>
      <c r="C4861" s="41"/>
      <c r="D4861" s="41"/>
      <c r="E4861" s="41"/>
      <c r="F4861" s="41"/>
      <c r="G4861" s="41"/>
      <c r="H4861" s="41"/>
      <c r="I4861" s="41"/>
      <c r="J4861" s="41"/>
      <c r="K4861" s="41"/>
      <c r="L4861" s="41"/>
      <c r="M4861" s="41"/>
      <c r="N4861" s="41"/>
      <c r="O4861" s="41"/>
    </row>
    <row r="4862" spans="1:15">
      <c r="A4862" s="39"/>
      <c r="B4862" s="40"/>
      <c r="C4862" s="41"/>
      <c r="D4862" s="41"/>
      <c r="E4862" s="41"/>
      <c r="F4862" s="41"/>
      <c r="G4862" s="41"/>
      <c r="H4862" s="41"/>
      <c r="I4862" s="41"/>
      <c r="J4862" s="41"/>
      <c r="K4862" s="41"/>
      <c r="L4862" s="41"/>
      <c r="M4862" s="41"/>
      <c r="N4862" s="41"/>
      <c r="O4862" s="41"/>
    </row>
    <row r="4863" spans="1:15">
      <c r="A4863" s="39"/>
      <c r="B4863" s="40"/>
      <c r="C4863" s="41"/>
      <c r="D4863" s="41"/>
      <c r="E4863" s="41"/>
      <c r="F4863" s="41"/>
      <c r="G4863" s="41"/>
      <c r="H4863" s="41"/>
      <c r="I4863" s="41"/>
      <c r="J4863" s="41"/>
      <c r="K4863" s="41"/>
      <c r="L4863" s="41"/>
      <c r="M4863" s="41"/>
      <c r="N4863" s="41"/>
      <c r="O4863" s="41"/>
    </row>
    <row r="4864" spans="1:15">
      <c r="A4864" s="39"/>
      <c r="B4864" s="40"/>
      <c r="C4864" s="41"/>
      <c r="D4864" s="41"/>
      <c r="E4864" s="41"/>
      <c r="F4864" s="41"/>
      <c r="G4864" s="41"/>
      <c r="H4864" s="41"/>
      <c r="I4864" s="41"/>
      <c r="J4864" s="41"/>
      <c r="K4864" s="41"/>
      <c r="L4864" s="41"/>
      <c r="M4864" s="41"/>
      <c r="N4864" s="41"/>
      <c r="O4864" s="41"/>
    </row>
    <row r="4865" spans="1:15">
      <c r="A4865" s="39"/>
      <c r="B4865" s="40"/>
      <c r="C4865" s="41"/>
      <c r="D4865" s="41"/>
      <c r="E4865" s="41"/>
      <c r="F4865" s="41"/>
      <c r="G4865" s="41"/>
      <c r="H4865" s="41"/>
      <c r="I4865" s="41"/>
      <c r="J4865" s="41"/>
      <c r="K4865" s="41"/>
      <c r="L4865" s="41"/>
      <c r="M4865" s="41"/>
      <c r="N4865" s="41"/>
      <c r="O4865" s="41"/>
    </row>
    <row r="4866" spans="1:15">
      <c r="A4866" s="39"/>
      <c r="B4866" s="40"/>
      <c r="C4866" s="41"/>
      <c r="D4866" s="41"/>
      <c r="E4866" s="41"/>
      <c r="F4866" s="41"/>
      <c r="G4866" s="41"/>
      <c r="H4866" s="41"/>
      <c r="I4866" s="41"/>
      <c r="J4866" s="41"/>
      <c r="K4866" s="41"/>
      <c r="L4866" s="41"/>
      <c r="M4866" s="41"/>
      <c r="N4866" s="41"/>
      <c r="O4866" s="41"/>
    </row>
    <row r="4867" spans="1:15">
      <c r="A4867" s="39"/>
      <c r="B4867" s="40"/>
      <c r="C4867" s="41"/>
      <c r="D4867" s="41"/>
      <c r="E4867" s="41"/>
      <c r="F4867" s="41"/>
      <c r="G4867" s="41"/>
      <c r="H4867" s="41"/>
      <c r="I4867" s="41"/>
      <c r="J4867" s="41"/>
      <c r="K4867" s="41"/>
      <c r="L4867" s="41"/>
      <c r="M4867" s="41"/>
      <c r="N4867" s="41"/>
      <c r="O4867" s="41"/>
    </row>
    <row r="4868" spans="1:15">
      <c r="A4868" s="39"/>
      <c r="B4868" s="40"/>
      <c r="C4868" s="41"/>
      <c r="D4868" s="41"/>
      <c r="E4868" s="41"/>
      <c r="F4868" s="41"/>
      <c r="G4868" s="41"/>
      <c r="H4868" s="41"/>
      <c r="I4868" s="41"/>
      <c r="J4868" s="41"/>
      <c r="K4868" s="41"/>
      <c r="L4868" s="41"/>
      <c r="M4868" s="41"/>
      <c r="N4868" s="41"/>
      <c r="O4868" s="41"/>
    </row>
    <row r="4869" spans="1:15">
      <c r="A4869" s="39"/>
      <c r="B4869" s="40"/>
      <c r="C4869" s="41"/>
      <c r="D4869" s="41"/>
      <c r="E4869" s="41"/>
      <c r="F4869" s="41"/>
      <c r="G4869" s="41"/>
      <c r="H4869" s="41"/>
      <c r="I4869" s="41"/>
      <c r="J4869" s="41"/>
      <c r="K4869" s="41"/>
      <c r="L4869" s="41"/>
      <c r="M4869" s="41"/>
      <c r="N4869" s="41"/>
      <c r="O4869" s="41"/>
    </row>
    <row r="4870" spans="1:15">
      <c r="A4870" s="39"/>
      <c r="B4870" s="40"/>
      <c r="C4870" s="41"/>
      <c r="D4870" s="41"/>
      <c r="E4870" s="41"/>
      <c r="F4870" s="41"/>
      <c r="G4870" s="41"/>
      <c r="H4870" s="41"/>
      <c r="I4870" s="41"/>
      <c r="J4870" s="41"/>
      <c r="K4870" s="41"/>
      <c r="L4870" s="41"/>
      <c r="M4870" s="41"/>
      <c r="N4870" s="41"/>
      <c r="O4870" s="41"/>
    </row>
    <row r="4871" spans="1:15">
      <c r="A4871" s="39"/>
      <c r="B4871" s="40"/>
      <c r="C4871" s="41"/>
      <c r="D4871" s="41"/>
      <c r="E4871" s="41"/>
      <c r="F4871" s="41"/>
      <c r="G4871" s="41"/>
      <c r="H4871" s="41"/>
      <c r="I4871" s="41"/>
      <c r="J4871" s="41"/>
      <c r="K4871" s="41"/>
      <c r="L4871" s="41"/>
      <c r="M4871" s="41"/>
      <c r="N4871" s="41"/>
      <c r="O4871" s="41"/>
    </row>
    <row r="4872" spans="1:15">
      <c r="A4872" s="39"/>
      <c r="B4872" s="40"/>
      <c r="C4872" s="41"/>
      <c r="D4872" s="41"/>
      <c r="E4872" s="41"/>
      <c r="F4872" s="41"/>
      <c r="G4872" s="41"/>
      <c r="H4872" s="41"/>
      <c r="I4872" s="41"/>
      <c r="J4872" s="41"/>
      <c r="K4872" s="41"/>
      <c r="L4872" s="41"/>
      <c r="M4872" s="41"/>
      <c r="N4872" s="41"/>
      <c r="O4872" s="41"/>
    </row>
    <row r="4873" spans="1:15">
      <c r="A4873" s="39"/>
      <c r="B4873" s="40"/>
      <c r="C4873" s="41"/>
      <c r="D4873" s="41"/>
      <c r="E4873" s="41"/>
      <c r="F4873" s="41"/>
      <c r="G4873" s="41"/>
      <c r="H4873" s="41"/>
      <c r="I4873" s="41"/>
      <c r="J4873" s="41"/>
      <c r="K4873" s="41"/>
      <c r="L4873" s="41"/>
      <c r="M4873" s="41"/>
      <c r="N4873" s="41"/>
      <c r="O4873" s="41"/>
    </row>
    <row r="4874" spans="1:15">
      <c r="A4874" s="39"/>
      <c r="B4874" s="40"/>
      <c r="C4874" s="41"/>
      <c r="D4874" s="41"/>
      <c r="E4874" s="41"/>
      <c r="F4874" s="41"/>
      <c r="G4874" s="41"/>
      <c r="H4874" s="41"/>
      <c r="I4874" s="41"/>
      <c r="J4874" s="41"/>
      <c r="K4874" s="41"/>
      <c r="L4874" s="41"/>
      <c r="M4874" s="41"/>
      <c r="N4874" s="41"/>
      <c r="O4874" s="41"/>
    </row>
    <row r="4875" spans="1:15">
      <c r="A4875" s="39"/>
      <c r="B4875" s="40"/>
      <c r="C4875" s="41"/>
      <c r="D4875" s="41"/>
      <c r="E4875" s="41"/>
      <c r="F4875" s="41"/>
      <c r="G4875" s="41"/>
      <c r="H4875" s="41"/>
      <c r="I4875" s="41"/>
      <c r="J4875" s="41"/>
      <c r="K4875" s="41"/>
      <c r="L4875" s="41"/>
      <c r="M4875" s="41"/>
      <c r="N4875" s="41"/>
      <c r="O4875" s="41"/>
    </row>
    <row r="4876" spans="1:15">
      <c r="A4876" s="39"/>
      <c r="B4876" s="40"/>
      <c r="C4876" s="41"/>
      <c r="D4876" s="41"/>
      <c r="E4876" s="41"/>
      <c r="F4876" s="41"/>
      <c r="G4876" s="41"/>
      <c r="H4876" s="41"/>
      <c r="I4876" s="41"/>
      <c r="J4876" s="41"/>
      <c r="K4876" s="41"/>
      <c r="L4876" s="41"/>
      <c r="M4876" s="41"/>
      <c r="N4876" s="41"/>
      <c r="O4876" s="41"/>
    </row>
    <row r="4877" spans="1:15">
      <c r="A4877" s="39"/>
      <c r="B4877" s="40"/>
      <c r="C4877" s="41"/>
      <c r="D4877" s="41"/>
      <c r="E4877" s="41"/>
      <c r="F4877" s="41"/>
      <c r="G4877" s="41"/>
      <c r="H4877" s="41"/>
      <c r="I4877" s="41"/>
      <c r="J4877" s="41"/>
      <c r="K4877" s="41"/>
      <c r="L4877" s="41"/>
      <c r="M4877" s="41"/>
      <c r="N4877" s="41"/>
      <c r="O4877" s="41"/>
    </row>
    <row r="4878" spans="1:15">
      <c r="A4878" s="39"/>
      <c r="B4878" s="40"/>
      <c r="C4878" s="41"/>
      <c r="D4878" s="41"/>
      <c r="E4878" s="41"/>
      <c r="F4878" s="41"/>
      <c r="G4878" s="41"/>
      <c r="H4878" s="41"/>
      <c r="I4878" s="41"/>
      <c r="J4878" s="41"/>
      <c r="K4878" s="41"/>
      <c r="L4878" s="41"/>
      <c r="M4878" s="41"/>
      <c r="N4878" s="41"/>
      <c r="O4878" s="41"/>
    </row>
    <row r="4879" spans="1:15">
      <c r="A4879" s="39"/>
      <c r="B4879" s="40"/>
      <c r="C4879" s="41"/>
      <c r="D4879" s="41"/>
      <c r="E4879" s="41"/>
      <c r="F4879" s="41"/>
      <c r="G4879" s="41"/>
      <c r="H4879" s="41"/>
      <c r="I4879" s="41"/>
      <c r="J4879" s="41"/>
      <c r="K4879" s="41"/>
      <c r="L4879" s="41"/>
      <c r="M4879" s="41"/>
      <c r="N4879" s="41"/>
      <c r="O4879" s="41"/>
    </row>
    <row r="4880" spans="1:15">
      <c r="A4880" s="39"/>
      <c r="B4880" s="40"/>
      <c r="C4880" s="41"/>
      <c r="D4880" s="41"/>
      <c r="E4880" s="41"/>
      <c r="F4880" s="41"/>
      <c r="G4880" s="41"/>
      <c r="H4880" s="41"/>
      <c r="I4880" s="41"/>
      <c r="J4880" s="41"/>
      <c r="K4880" s="41"/>
      <c r="L4880" s="41"/>
      <c r="M4880" s="41"/>
      <c r="N4880" s="41"/>
      <c r="O4880" s="41"/>
    </row>
    <row r="4881" spans="1:15">
      <c r="A4881" s="39"/>
      <c r="B4881" s="40"/>
      <c r="C4881" s="41"/>
      <c r="D4881" s="41"/>
      <c r="E4881" s="41"/>
      <c r="F4881" s="41"/>
      <c r="G4881" s="41"/>
      <c r="H4881" s="41"/>
      <c r="I4881" s="41"/>
      <c r="J4881" s="41"/>
      <c r="K4881" s="41"/>
      <c r="L4881" s="41"/>
      <c r="M4881" s="41"/>
      <c r="N4881" s="41"/>
      <c r="O4881" s="41"/>
    </row>
    <row r="4882" spans="1:15">
      <c r="A4882" s="39"/>
      <c r="B4882" s="40"/>
      <c r="C4882" s="41"/>
      <c r="D4882" s="41"/>
      <c r="E4882" s="41"/>
      <c r="F4882" s="41"/>
      <c r="G4882" s="41"/>
      <c r="H4882" s="41"/>
      <c r="I4882" s="41"/>
      <c r="J4882" s="41"/>
      <c r="K4882" s="41"/>
      <c r="L4882" s="41"/>
      <c r="M4882" s="41"/>
      <c r="N4882" s="41"/>
      <c r="O4882" s="41"/>
    </row>
    <row r="4883" spans="1:15">
      <c r="A4883" s="39"/>
      <c r="B4883" s="40"/>
      <c r="C4883" s="41"/>
      <c r="D4883" s="41"/>
      <c r="E4883" s="41"/>
      <c r="F4883" s="41"/>
      <c r="G4883" s="41"/>
      <c r="H4883" s="41"/>
      <c r="I4883" s="41"/>
      <c r="J4883" s="41"/>
      <c r="K4883" s="41"/>
      <c r="L4883" s="41"/>
      <c r="M4883" s="41"/>
      <c r="N4883" s="41"/>
      <c r="O4883" s="41"/>
    </row>
    <row r="4884" spans="1:15">
      <c r="A4884" s="39"/>
      <c r="B4884" s="40"/>
      <c r="C4884" s="41"/>
      <c r="D4884" s="41"/>
      <c r="E4884" s="41"/>
      <c r="F4884" s="41"/>
      <c r="G4884" s="41"/>
      <c r="H4884" s="41"/>
      <c r="I4884" s="41"/>
      <c r="J4884" s="41"/>
      <c r="K4884" s="41"/>
      <c r="L4884" s="41"/>
      <c r="M4884" s="41"/>
      <c r="N4884" s="41"/>
      <c r="O4884" s="41"/>
    </row>
    <row r="4885" spans="1:15">
      <c r="A4885" s="39"/>
      <c r="B4885" s="40"/>
      <c r="C4885" s="41"/>
      <c r="D4885" s="41"/>
      <c r="E4885" s="41"/>
      <c r="F4885" s="41"/>
      <c r="G4885" s="41"/>
      <c r="H4885" s="41"/>
      <c r="I4885" s="41"/>
      <c r="J4885" s="41"/>
      <c r="K4885" s="41"/>
      <c r="L4885" s="41"/>
      <c r="M4885" s="41"/>
      <c r="N4885" s="41"/>
      <c r="O4885" s="41"/>
    </row>
    <row r="4886" spans="1:15">
      <c r="A4886" s="39"/>
      <c r="B4886" s="40"/>
      <c r="C4886" s="41"/>
      <c r="D4886" s="41"/>
      <c r="E4886" s="41"/>
      <c r="F4886" s="41"/>
      <c r="G4886" s="41"/>
      <c r="H4886" s="41"/>
      <c r="I4886" s="41"/>
      <c r="J4886" s="41"/>
      <c r="K4886" s="41"/>
      <c r="L4886" s="41"/>
      <c r="M4886" s="41"/>
      <c r="N4886" s="41"/>
      <c r="O4886" s="41"/>
    </row>
    <row r="4887" spans="1:15">
      <c r="A4887" s="39"/>
      <c r="B4887" s="40"/>
      <c r="C4887" s="41"/>
      <c r="D4887" s="41"/>
      <c r="E4887" s="41"/>
      <c r="F4887" s="41"/>
      <c r="G4887" s="41"/>
      <c r="H4887" s="41"/>
      <c r="I4887" s="41"/>
      <c r="J4887" s="41"/>
      <c r="K4887" s="41"/>
      <c r="L4887" s="41"/>
      <c r="M4887" s="41"/>
      <c r="N4887" s="41"/>
      <c r="O4887" s="41"/>
    </row>
    <row r="4888" spans="1:15">
      <c r="A4888" s="39"/>
      <c r="B4888" s="40"/>
      <c r="C4888" s="41"/>
      <c r="D4888" s="41"/>
      <c r="E4888" s="41"/>
      <c r="F4888" s="41"/>
      <c r="G4888" s="41"/>
      <c r="H4888" s="41"/>
      <c r="I4888" s="41"/>
      <c r="J4888" s="41"/>
      <c r="K4888" s="41"/>
      <c r="L4888" s="41"/>
      <c r="M4888" s="41"/>
      <c r="N4888" s="41"/>
      <c r="O4888" s="41"/>
    </row>
    <row r="4889" spans="1:15">
      <c r="A4889" s="39"/>
      <c r="B4889" s="40"/>
      <c r="C4889" s="41"/>
      <c r="D4889" s="41"/>
      <c r="E4889" s="41"/>
      <c r="F4889" s="41"/>
      <c r="G4889" s="41"/>
      <c r="H4889" s="41"/>
      <c r="I4889" s="41"/>
      <c r="J4889" s="41"/>
      <c r="K4889" s="41"/>
      <c r="L4889" s="41"/>
      <c r="M4889" s="41"/>
      <c r="N4889" s="41"/>
      <c r="O4889" s="41"/>
    </row>
    <row r="4890" spans="1:15">
      <c r="A4890" s="39"/>
      <c r="B4890" s="40"/>
      <c r="C4890" s="41"/>
      <c r="D4890" s="41"/>
      <c r="E4890" s="41"/>
      <c r="F4890" s="41"/>
      <c r="G4890" s="41"/>
      <c r="H4890" s="41"/>
      <c r="I4890" s="41"/>
      <c r="J4890" s="41"/>
      <c r="K4890" s="41"/>
      <c r="L4890" s="41"/>
      <c r="M4890" s="41"/>
      <c r="N4890" s="41"/>
      <c r="O4890" s="41"/>
    </row>
    <row r="4891" spans="1:15">
      <c r="A4891" s="39"/>
      <c r="B4891" s="40"/>
      <c r="C4891" s="41"/>
      <c r="D4891" s="41"/>
      <c r="E4891" s="41"/>
      <c r="F4891" s="41"/>
      <c r="G4891" s="41"/>
      <c r="H4891" s="41"/>
      <c r="I4891" s="41"/>
      <c r="J4891" s="41"/>
      <c r="K4891" s="41"/>
      <c r="L4891" s="41"/>
      <c r="M4891" s="41"/>
      <c r="N4891" s="41"/>
      <c r="O4891" s="41"/>
    </row>
    <row r="4892" spans="1:15">
      <c r="A4892" s="39"/>
      <c r="B4892" s="40"/>
      <c r="C4892" s="41"/>
      <c r="D4892" s="41"/>
      <c r="E4892" s="41"/>
      <c r="F4892" s="41"/>
      <c r="G4892" s="41"/>
      <c r="H4892" s="41"/>
      <c r="I4892" s="41"/>
      <c r="J4892" s="41"/>
      <c r="K4892" s="41"/>
      <c r="L4892" s="41"/>
      <c r="M4892" s="41"/>
      <c r="N4892" s="41"/>
      <c r="O4892" s="41"/>
    </row>
    <row r="4893" spans="1:15">
      <c r="A4893" s="39"/>
      <c r="B4893" s="40"/>
      <c r="C4893" s="41"/>
      <c r="D4893" s="41"/>
      <c r="E4893" s="41"/>
      <c r="F4893" s="41"/>
      <c r="G4893" s="41"/>
      <c r="H4893" s="41"/>
      <c r="I4893" s="41"/>
      <c r="J4893" s="41"/>
      <c r="K4893" s="41"/>
      <c r="L4893" s="41"/>
      <c r="M4893" s="41"/>
      <c r="N4893" s="41"/>
      <c r="O4893" s="41"/>
    </row>
    <row r="4894" spans="1:15">
      <c r="A4894" s="39"/>
      <c r="B4894" s="40"/>
      <c r="C4894" s="41"/>
      <c r="D4894" s="41"/>
      <c r="E4894" s="41"/>
      <c r="F4894" s="41"/>
      <c r="G4894" s="41"/>
      <c r="H4894" s="41"/>
      <c r="I4894" s="41"/>
      <c r="J4894" s="41"/>
      <c r="K4894" s="41"/>
      <c r="L4894" s="41"/>
      <c r="M4894" s="41"/>
      <c r="N4894" s="41"/>
      <c r="O4894" s="41"/>
    </row>
    <row r="4895" spans="1:15">
      <c r="A4895" s="39"/>
      <c r="B4895" s="40"/>
      <c r="C4895" s="41"/>
      <c r="D4895" s="41"/>
      <c r="E4895" s="41"/>
      <c r="F4895" s="41"/>
      <c r="G4895" s="41"/>
      <c r="H4895" s="41"/>
      <c r="I4895" s="41"/>
      <c r="J4895" s="41"/>
      <c r="K4895" s="41"/>
      <c r="L4895" s="41"/>
      <c r="M4895" s="41"/>
      <c r="N4895" s="41"/>
      <c r="O4895" s="41"/>
    </row>
    <row r="4896" spans="1:15">
      <c r="A4896" s="39"/>
      <c r="B4896" s="40"/>
      <c r="C4896" s="41"/>
      <c r="D4896" s="41"/>
      <c r="E4896" s="41"/>
      <c r="F4896" s="41"/>
      <c r="G4896" s="41"/>
      <c r="H4896" s="41"/>
      <c r="I4896" s="41"/>
      <c r="J4896" s="41"/>
      <c r="K4896" s="41"/>
      <c r="L4896" s="41"/>
      <c r="M4896" s="41"/>
      <c r="N4896" s="41"/>
      <c r="O4896" s="41"/>
    </row>
    <row r="4897" spans="1:15">
      <c r="A4897" s="39"/>
      <c r="B4897" s="40"/>
      <c r="C4897" s="41"/>
      <c r="D4897" s="41"/>
      <c r="E4897" s="41"/>
      <c r="F4897" s="41"/>
      <c r="G4897" s="41"/>
      <c r="H4897" s="41"/>
      <c r="I4897" s="41"/>
      <c r="J4897" s="41"/>
      <c r="K4897" s="41"/>
      <c r="L4897" s="41"/>
      <c r="M4897" s="41"/>
      <c r="N4897" s="41"/>
      <c r="O4897" s="41"/>
    </row>
    <row r="4898" spans="1:15">
      <c r="A4898" s="39"/>
      <c r="B4898" s="40"/>
      <c r="C4898" s="41"/>
      <c r="D4898" s="41"/>
      <c r="E4898" s="41"/>
      <c r="F4898" s="41"/>
      <c r="G4898" s="41"/>
      <c r="H4898" s="41"/>
      <c r="I4898" s="41"/>
      <c r="J4898" s="41"/>
      <c r="K4898" s="41"/>
      <c r="L4898" s="41"/>
      <c r="M4898" s="41"/>
      <c r="N4898" s="41"/>
      <c r="O4898" s="41"/>
    </row>
    <row r="4899" spans="1:15">
      <c r="A4899" s="39"/>
      <c r="B4899" s="40"/>
      <c r="C4899" s="41"/>
      <c r="D4899" s="41"/>
      <c r="E4899" s="41"/>
      <c r="F4899" s="41"/>
      <c r="G4899" s="41"/>
      <c r="H4899" s="41"/>
      <c r="I4899" s="41"/>
      <c r="J4899" s="41"/>
      <c r="K4899" s="41"/>
      <c r="L4899" s="41"/>
      <c r="M4899" s="41"/>
      <c r="N4899" s="41"/>
      <c r="O4899" s="41"/>
    </row>
    <row r="4900" spans="1:15">
      <c r="A4900" s="39"/>
      <c r="B4900" s="40"/>
      <c r="C4900" s="41"/>
      <c r="D4900" s="41"/>
      <c r="E4900" s="41"/>
      <c r="F4900" s="41"/>
      <c r="G4900" s="41"/>
      <c r="H4900" s="41"/>
      <c r="I4900" s="41"/>
      <c r="J4900" s="41"/>
      <c r="K4900" s="41"/>
      <c r="L4900" s="41"/>
      <c r="M4900" s="41"/>
      <c r="N4900" s="41"/>
      <c r="O4900" s="41"/>
    </row>
    <row r="4901" spans="1:15">
      <c r="A4901" s="39"/>
      <c r="B4901" s="40"/>
      <c r="C4901" s="41"/>
      <c r="D4901" s="41"/>
      <c r="E4901" s="41"/>
      <c r="F4901" s="41"/>
      <c r="G4901" s="41"/>
      <c r="H4901" s="41"/>
      <c r="I4901" s="41"/>
      <c r="J4901" s="41"/>
      <c r="K4901" s="41"/>
      <c r="L4901" s="41"/>
      <c r="M4901" s="41"/>
      <c r="N4901" s="41"/>
      <c r="O4901" s="41"/>
    </row>
    <row r="4902" spans="1:15">
      <c r="A4902" s="39"/>
      <c r="B4902" s="40"/>
      <c r="C4902" s="41"/>
      <c r="D4902" s="41"/>
      <c r="E4902" s="41"/>
      <c r="F4902" s="41"/>
      <c r="G4902" s="41"/>
      <c r="H4902" s="41"/>
      <c r="I4902" s="41"/>
      <c r="J4902" s="41"/>
      <c r="K4902" s="41"/>
      <c r="L4902" s="41"/>
      <c r="M4902" s="41"/>
      <c r="N4902" s="41"/>
      <c r="O4902" s="41"/>
    </row>
    <row r="4903" spans="1:15">
      <c r="A4903" s="39"/>
      <c r="B4903" s="40"/>
      <c r="C4903" s="41"/>
      <c r="D4903" s="41"/>
      <c r="E4903" s="41"/>
      <c r="F4903" s="41"/>
      <c r="G4903" s="41"/>
      <c r="H4903" s="41"/>
      <c r="I4903" s="41"/>
      <c r="J4903" s="41"/>
      <c r="K4903" s="41"/>
      <c r="L4903" s="41"/>
      <c r="M4903" s="41"/>
      <c r="N4903" s="41"/>
      <c r="O4903" s="41"/>
    </row>
    <row r="4904" spans="1:15">
      <c r="A4904" s="39"/>
      <c r="B4904" s="40"/>
      <c r="C4904" s="41"/>
      <c r="D4904" s="41"/>
      <c r="E4904" s="41"/>
      <c r="F4904" s="41"/>
      <c r="G4904" s="41"/>
      <c r="H4904" s="41"/>
      <c r="I4904" s="41"/>
      <c r="J4904" s="41"/>
      <c r="K4904" s="41"/>
      <c r="L4904" s="41"/>
      <c r="M4904" s="41"/>
      <c r="N4904" s="41"/>
      <c r="O4904" s="41"/>
    </row>
    <row r="4905" spans="1:15">
      <c r="A4905" s="39"/>
      <c r="B4905" s="40"/>
      <c r="C4905" s="41"/>
      <c r="D4905" s="41"/>
      <c r="E4905" s="41"/>
      <c r="F4905" s="41"/>
      <c r="G4905" s="41"/>
      <c r="H4905" s="41"/>
      <c r="I4905" s="41"/>
      <c r="J4905" s="41"/>
      <c r="K4905" s="41"/>
      <c r="L4905" s="41"/>
      <c r="M4905" s="41"/>
      <c r="N4905" s="41"/>
      <c r="O4905" s="41"/>
    </row>
    <row r="4906" spans="1:15">
      <c r="A4906" s="39"/>
      <c r="B4906" s="40"/>
      <c r="C4906" s="41"/>
      <c r="D4906" s="41"/>
      <c r="E4906" s="41"/>
      <c r="F4906" s="41"/>
      <c r="G4906" s="41"/>
      <c r="H4906" s="41"/>
      <c r="I4906" s="41"/>
      <c r="J4906" s="41"/>
      <c r="K4906" s="41"/>
      <c r="L4906" s="41"/>
      <c r="M4906" s="41"/>
      <c r="N4906" s="41"/>
      <c r="O4906" s="41"/>
    </row>
    <row r="4907" spans="1:15">
      <c r="A4907" s="39"/>
      <c r="B4907" s="40"/>
      <c r="C4907" s="41"/>
      <c r="D4907" s="41"/>
      <c r="E4907" s="41"/>
      <c r="F4907" s="41"/>
      <c r="G4907" s="41"/>
      <c r="H4907" s="41"/>
      <c r="I4907" s="41"/>
      <c r="J4907" s="41"/>
      <c r="K4907" s="41"/>
      <c r="L4907" s="41"/>
      <c r="M4907" s="41"/>
      <c r="N4907" s="41"/>
      <c r="O4907" s="41"/>
    </row>
    <row r="4908" spans="1:15">
      <c r="A4908" s="39"/>
      <c r="B4908" s="40"/>
      <c r="C4908" s="41"/>
      <c r="D4908" s="41"/>
      <c r="E4908" s="41"/>
      <c r="F4908" s="41"/>
      <c r="G4908" s="41"/>
      <c r="H4908" s="41"/>
      <c r="I4908" s="41"/>
      <c r="J4908" s="41"/>
      <c r="K4908" s="41"/>
      <c r="L4908" s="41"/>
      <c r="M4908" s="41"/>
      <c r="N4908" s="41"/>
      <c r="O4908" s="41"/>
    </row>
    <row r="4909" spans="1:15">
      <c r="A4909" s="39"/>
      <c r="B4909" s="40"/>
      <c r="C4909" s="41"/>
      <c r="D4909" s="41"/>
      <c r="E4909" s="41"/>
      <c r="F4909" s="41"/>
      <c r="G4909" s="41"/>
      <c r="H4909" s="41"/>
      <c r="I4909" s="41"/>
      <c r="J4909" s="41"/>
      <c r="K4909" s="41"/>
      <c r="L4909" s="41"/>
      <c r="M4909" s="41"/>
      <c r="N4909" s="41"/>
      <c r="O4909" s="41"/>
    </row>
    <row r="4910" spans="1:15">
      <c r="A4910" s="39"/>
      <c r="B4910" s="40"/>
      <c r="C4910" s="41"/>
      <c r="D4910" s="41"/>
      <c r="E4910" s="41"/>
      <c r="F4910" s="41"/>
      <c r="G4910" s="41"/>
      <c r="H4910" s="41"/>
      <c r="I4910" s="41"/>
      <c r="J4910" s="41"/>
      <c r="K4910" s="41"/>
      <c r="L4910" s="41"/>
      <c r="M4910" s="41"/>
      <c r="N4910" s="41"/>
      <c r="O4910" s="41"/>
    </row>
    <row r="4911" spans="1:15">
      <c r="A4911" s="39"/>
      <c r="B4911" s="40"/>
      <c r="C4911" s="41"/>
      <c r="D4911" s="41"/>
      <c r="E4911" s="41"/>
      <c r="F4911" s="41"/>
      <c r="G4911" s="41"/>
      <c r="H4911" s="41"/>
      <c r="I4911" s="41"/>
      <c r="J4911" s="41"/>
      <c r="K4911" s="41"/>
      <c r="L4911" s="41"/>
      <c r="M4911" s="41"/>
      <c r="N4911" s="41"/>
      <c r="O4911" s="41"/>
    </row>
    <row r="4912" spans="1:15">
      <c r="A4912" s="39"/>
      <c r="B4912" s="40"/>
      <c r="C4912" s="41"/>
      <c r="D4912" s="41"/>
      <c r="E4912" s="41"/>
      <c r="F4912" s="41"/>
      <c r="G4912" s="41"/>
      <c r="H4912" s="41"/>
      <c r="I4912" s="41"/>
      <c r="J4912" s="41"/>
      <c r="K4912" s="41"/>
      <c r="L4912" s="41"/>
      <c r="M4912" s="41"/>
      <c r="N4912" s="41"/>
      <c r="O4912" s="41"/>
    </row>
    <row r="4913" spans="1:15">
      <c r="A4913" s="39"/>
      <c r="B4913" s="40"/>
      <c r="C4913" s="41"/>
      <c r="D4913" s="41"/>
      <c r="E4913" s="41"/>
      <c r="F4913" s="41"/>
      <c r="G4913" s="41"/>
      <c r="H4913" s="41"/>
      <c r="I4913" s="41"/>
      <c r="J4913" s="41"/>
      <c r="K4913" s="41"/>
      <c r="L4913" s="41"/>
      <c r="M4913" s="41"/>
      <c r="N4913" s="41"/>
      <c r="O4913" s="41"/>
    </row>
    <row r="4914" spans="1:15">
      <c r="A4914" s="39"/>
      <c r="B4914" s="40"/>
      <c r="C4914" s="41"/>
      <c r="D4914" s="41"/>
      <c r="E4914" s="41"/>
      <c r="F4914" s="41"/>
      <c r="G4914" s="41"/>
      <c r="H4914" s="41"/>
      <c r="I4914" s="41"/>
      <c r="J4914" s="41"/>
      <c r="K4914" s="41"/>
      <c r="L4914" s="41"/>
      <c r="M4914" s="41"/>
      <c r="N4914" s="41"/>
      <c r="O4914" s="41"/>
    </row>
    <row r="4915" spans="1:15">
      <c r="A4915" s="39"/>
      <c r="B4915" s="40"/>
      <c r="C4915" s="41"/>
      <c r="D4915" s="41"/>
      <c r="E4915" s="41"/>
      <c r="F4915" s="41"/>
      <c r="G4915" s="41"/>
      <c r="H4915" s="41"/>
      <c r="I4915" s="41"/>
      <c r="J4915" s="41"/>
      <c r="K4915" s="41"/>
      <c r="L4915" s="41"/>
      <c r="M4915" s="41"/>
      <c r="N4915" s="41"/>
      <c r="O4915" s="41"/>
    </row>
    <row r="4916" spans="1:15">
      <c r="A4916" s="39"/>
      <c r="B4916" s="40"/>
      <c r="C4916" s="41"/>
      <c r="D4916" s="41"/>
      <c r="E4916" s="41"/>
      <c r="F4916" s="41"/>
      <c r="G4916" s="41"/>
      <c r="H4916" s="41"/>
      <c r="I4916" s="41"/>
      <c r="J4916" s="41"/>
      <c r="K4916" s="41"/>
      <c r="L4916" s="41"/>
      <c r="M4916" s="41"/>
      <c r="N4916" s="41"/>
      <c r="O4916" s="41"/>
    </row>
    <row r="4917" spans="1:15">
      <c r="A4917" s="39"/>
      <c r="B4917" s="40"/>
      <c r="C4917" s="41"/>
      <c r="D4917" s="41"/>
      <c r="E4917" s="41"/>
      <c r="F4917" s="41"/>
      <c r="G4917" s="41"/>
      <c r="H4917" s="41"/>
      <c r="I4917" s="41"/>
      <c r="J4917" s="41"/>
      <c r="K4917" s="41"/>
      <c r="L4917" s="41"/>
      <c r="M4917" s="41"/>
      <c r="N4917" s="41"/>
      <c r="O4917" s="41"/>
    </row>
    <row r="4918" spans="1:15">
      <c r="A4918" s="39"/>
      <c r="B4918" s="40"/>
      <c r="C4918" s="41"/>
      <c r="D4918" s="41"/>
      <c r="E4918" s="41"/>
      <c r="F4918" s="41"/>
      <c r="G4918" s="41"/>
      <c r="H4918" s="41"/>
      <c r="I4918" s="41"/>
      <c r="J4918" s="41"/>
      <c r="K4918" s="41"/>
      <c r="L4918" s="41"/>
      <c r="M4918" s="41"/>
      <c r="N4918" s="41"/>
      <c r="O4918" s="41"/>
    </row>
    <row r="4919" spans="1:15">
      <c r="A4919" s="39"/>
      <c r="B4919" s="40"/>
      <c r="C4919" s="41"/>
      <c r="D4919" s="41"/>
      <c r="E4919" s="41"/>
      <c r="F4919" s="41"/>
      <c r="G4919" s="41"/>
      <c r="H4919" s="41"/>
      <c r="I4919" s="41"/>
      <c r="J4919" s="41"/>
      <c r="K4919" s="41"/>
      <c r="L4919" s="41"/>
      <c r="M4919" s="41"/>
      <c r="N4919" s="41"/>
      <c r="O4919" s="41"/>
    </row>
    <row r="4920" spans="1:15">
      <c r="A4920" s="39"/>
      <c r="B4920" s="40"/>
      <c r="C4920" s="41"/>
      <c r="D4920" s="41"/>
      <c r="E4920" s="41"/>
      <c r="F4920" s="41"/>
      <c r="G4920" s="41"/>
      <c r="H4920" s="41"/>
      <c r="I4920" s="41"/>
      <c r="J4920" s="41"/>
      <c r="K4920" s="41"/>
      <c r="L4920" s="41"/>
      <c r="M4920" s="41"/>
      <c r="N4920" s="41"/>
      <c r="O4920" s="41"/>
    </row>
    <row r="4921" spans="1:15">
      <c r="A4921" s="39"/>
      <c r="B4921" s="40"/>
      <c r="C4921" s="41"/>
      <c r="D4921" s="41"/>
      <c r="E4921" s="41"/>
      <c r="F4921" s="41"/>
      <c r="G4921" s="41"/>
      <c r="H4921" s="41"/>
      <c r="I4921" s="41"/>
      <c r="J4921" s="41"/>
      <c r="K4921" s="41"/>
      <c r="L4921" s="41"/>
      <c r="M4921" s="41"/>
      <c r="N4921" s="41"/>
      <c r="O4921" s="41"/>
    </row>
    <row r="4922" spans="1:15">
      <c r="A4922" s="39"/>
      <c r="B4922" s="40"/>
      <c r="C4922" s="41"/>
      <c r="D4922" s="41"/>
      <c r="E4922" s="41"/>
      <c r="F4922" s="41"/>
      <c r="G4922" s="41"/>
      <c r="H4922" s="41"/>
      <c r="I4922" s="41"/>
      <c r="J4922" s="41"/>
      <c r="K4922" s="41"/>
      <c r="L4922" s="41"/>
      <c r="M4922" s="41"/>
      <c r="N4922" s="41"/>
      <c r="O4922" s="41"/>
    </row>
    <row r="4923" spans="1:15">
      <c r="A4923" s="39"/>
      <c r="B4923" s="40"/>
      <c r="C4923" s="41"/>
      <c r="D4923" s="41"/>
      <c r="E4923" s="41"/>
      <c r="F4923" s="41"/>
      <c r="G4923" s="41"/>
      <c r="H4923" s="41"/>
      <c r="I4923" s="41"/>
      <c r="J4923" s="41"/>
      <c r="K4923" s="41"/>
      <c r="L4923" s="41"/>
      <c r="M4923" s="41"/>
      <c r="N4923" s="41"/>
      <c r="O4923" s="41"/>
    </row>
    <row r="4924" spans="1:15">
      <c r="A4924" s="39"/>
      <c r="B4924" s="40"/>
      <c r="C4924" s="41"/>
      <c r="D4924" s="41"/>
      <c r="E4924" s="41"/>
      <c r="F4924" s="41"/>
      <c r="G4924" s="41"/>
      <c r="H4924" s="41"/>
      <c r="I4924" s="41"/>
      <c r="J4924" s="41"/>
      <c r="K4924" s="41"/>
      <c r="L4924" s="41"/>
      <c r="M4924" s="41"/>
      <c r="N4924" s="41"/>
      <c r="O4924" s="41"/>
    </row>
    <row r="4925" spans="1:15">
      <c r="A4925" s="39"/>
      <c r="B4925" s="40"/>
      <c r="C4925" s="41"/>
      <c r="D4925" s="41"/>
      <c r="E4925" s="41"/>
      <c r="F4925" s="41"/>
      <c r="G4925" s="41"/>
      <c r="H4925" s="41"/>
      <c r="I4925" s="41"/>
      <c r="J4925" s="41"/>
      <c r="K4925" s="41"/>
      <c r="L4925" s="41"/>
      <c r="M4925" s="41"/>
      <c r="N4925" s="41"/>
      <c r="O4925" s="41"/>
    </row>
    <row r="4926" spans="1:15">
      <c r="A4926" s="39"/>
      <c r="B4926" s="40"/>
      <c r="C4926" s="41"/>
      <c r="D4926" s="41"/>
      <c r="E4926" s="41"/>
      <c r="F4926" s="41"/>
      <c r="G4926" s="41"/>
      <c r="H4926" s="41"/>
      <c r="I4926" s="41"/>
      <c r="J4926" s="41"/>
      <c r="K4926" s="41"/>
      <c r="L4926" s="41"/>
      <c r="M4926" s="41"/>
      <c r="N4926" s="41"/>
      <c r="O4926" s="41"/>
    </row>
    <row r="4927" spans="1:15">
      <c r="A4927" s="39"/>
      <c r="B4927" s="40"/>
      <c r="C4927" s="41"/>
      <c r="D4927" s="41"/>
      <c r="E4927" s="41"/>
      <c r="F4927" s="41"/>
      <c r="G4927" s="41"/>
      <c r="H4927" s="41"/>
      <c r="I4927" s="41"/>
      <c r="J4927" s="41"/>
      <c r="K4927" s="41"/>
      <c r="L4927" s="41"/>
      <c r="M4927" s="41"/>
      <c r="N4927" s="41"/>
      <c r="O4927" s="41"/>
    </row>
    <row r="4928" spans="1:15">
      <c r="A4928" s="39"/>
      <c r="B4928" s="40"/>
      <c r="C4928" s="41"/>
      <c r="D4928" s="41"/>
      <c r="E4928" s="41"/>
      <c r="F4928" s="41"/>
      <c r="G4928" s="41"/>
      <c r="H4928" s="41"/>
      <c r="I4928" s="41"/>
      <c r="J4928" s="41"/>
      <c r="K4928" s="41"/>
      <c r="L4928" s="41"/>
      <c r="M4928" s="41"/>
      <c r="N4928" s="41"/>
      <c r="O4928" s="41"/>
    </row>
    <row r="4929" spans="1:15">
      <c r="A4929" s="39"/>
      <c r="B4929" s="40"/>
      <c r="C4929" s="41"/>
      <c r="D4929" s="41"/>
      <c r="E4929" s="41"/>
      <c r="F4929" s="41"/>
      <c r="G4929" s="41"/>
      <c r="H4929" s="41"/>
      <c r="I4929" s="41"/>
      <c r="J4929" s="41"/>
      <c r="K4929" s="41"/>
      <c r="L4929" s="41"/>
      <c r="M4929" s="41"/>
      <c r="N4929" s="41"/>
      <c r="O4929" s="41"/>
    </row>
    <row r="4930" spans="1:15">
      <c r="A4930" s="39"/>
      <c r="B4930" s="40"/>
      <c r="C4930" s="41"/>
      <c r="D4930" s="41"/>
      <c r="E4930" s="41"/>
      <c r="F4930" s="41"/>
      <c r="G4930" s="41"/>
      <c r="H4930" s="41"/>
      <c r="I4930" s="41"/>
      <c r="J4930" s="41"/>
      <c r="K4930" s="41"/>
      <c r="L4930" s="41"/>
      <c r="M4930" s="41"/>
      <c r="N4930" s="41"/>
      <c r="O4930" s="41"/>
    </row>
    <row r="4931" spans="1:15">
      <c r="A4931" s="39"/>
      <c r="B4931" s="40"/>
      <c r="C4931" s="41"/>
      <c r="D4931" s="41"/>
      <c r="E4931" s="41"/>
      <c r="F4931" s="41"/>
      <c r="G4931" s="41"/>
      <c r="H4931" s="41"/>
      <c r="I4931" s="41"/>
      <c r="J4931" s="41"/>
      <c r="K4931" s="41"/>
      <c r="L4931" s="41"/>
      <c r="M4931" s="41"/>
      <c r="N4931" s="41"/>
      <c r="O4931" s="41"/>
    </row>
    <row r="4932" spans="1:15">
      <c r="A4932" s="39"/>
      <c r="B4932" s="40"/>
      <c r="C4932" s="41"/>
      <c r="D4932" s="41"/>
      <c r="E4932" s="41"/>
      <c r="F4932" s="41"/>
      <c r="G4932" s="41"/>
      <c r="H4932" s="41"/>
      <c r="I4932" s="41"/>
      <c r="J4932" s="41"/>
      <c r="K4932" s="41"/>
      <c r="L4932" s="41"/>
      <c r="M4932" s="41"/>
      <c r="N4932" s="41"/>
      <c r="O4932" s="41"/>
    </row>
    <row r="4933" spans="1:15">
      <c r="A4933" s="39"/>
      <c r="B4933" s="40"/>
      <c r="C4933" s="41"/>
      <c r="D4933" s="41"/>
      <c r="E4933" s="41"/>
      <c r="F4933" s="41"/>
      <c r="G4933" s="41"/>
      <c r="H4933" s="41"/>
      <c r="I4933" s="41"/>
      <c r="J4933" s="41"/>
      <c r="K4933" s="41"/>
      <c r="L4933" s="41"/>
      <c r="M4933" s="41"/>
      <c r="N4933" s="41"/>
      <c r="O4933" s="41"/>
    </row>
    <row r="4934" spans="1:15">
      <c r="A4934" s="39"/>
      <c r="B4934" s="40"/>
      <c r="C4934" s="41"/>
      <c r="D4934" s="41"/>
      <c r="E4934" s="41"/>
      <c r="F4934" s="41"/>
      <c r="G4934" s="41"/>
      <c r="H4934" s="41"/>
      <c r="I4934" s="41"/>
      <c r="J4934" s="41"/>
      <c r="K4934" s="41"/>
      <c r="L4934" s="41"/>
      <c r="M4934" s="41"/>
      <c r="N4934" s="41"/>
      <c r="O4934" s="41"/>
    </row>
    <row r="4935" spans="1:15">
      <c r="A4935" s="39"/>
      <c r="B4935" s="40"/>
      <c r="C4935" s="41"/>
      <c r="D4935" s="41"/>
      <c r="E4935" s="41"/>
      <c r="F4935" s="41"/>
      <c r="G4935" s="41"/>
      <c r="H4935" s="41"/>
      <c r="I4935" s="41"/>
      <c r="J4935" s="41"/>
      <c r="K4935" s="41"/>
      <c r="L4935" s="41"/>
      <c r="M4935" s="41"/>
      <c r="N4935" s="41"/>
      <c r="O4935" s="41"/>
    </row>
    <row r="4936" spans="1:15">
      <c r="A4936" s="39"/>
      <c r="B4936" s="40"/>
      <c r="C4936" s="41"/>
      <c r="D4936" s="41"/>
      <c r="E4936" s="41"/>
      <c r="F4936" s="41"/>
      <c r="G4936" s="41"/>
      <c r="H4936" s="41"/>
      <c r="I4936" s="41"/>
      <c r="J4936" s="41"/>
      <c r="K4936" s="41"/>
      <c r="L4936" s="41"/>
      <c r="M4936" s="41"/>
      <c r="N4936" s="41"/>
      <c r="O4936" s="41"/>
    </row>
    <row r="4937" spans="1:15">
      <c r="A4937" s="39"/>
      <c r="B4937" s="40"/>
      <c r="C4937" s="41"/>
      <c r="D4937" s="41"/>
      <c r="E4937" s="41"/>
      <c r="F4937" s="41"/>
      <c r="G4937" s="41"/>
      <c r="H4937" s="41"/>
      <c r="I4937" s="41"/>
      <c r="J4937" s="41"/>
      <c r="K4937" s="41"/>
      <c r="L4937" s="41"/>
      <c r="M4937" s="41"/>
      <c r="N4937" s="41"/>
      <c r="O4937" s="41"/>
    </row>
    <row r="4938" spans="1:15">
      <c r="A4938" s="39"/>
      <c r="B4938" s="40"/>
      <c r="C4938" s="41"/>
      <c r="D4938" s="41"/>
      <c r="E4938" s="41"/>
      <c r="F4938" s="41"/>
      <c r="G4938" s="41"/>
      <c r="H4938" s="41"/>
      <c r="I4938" s="41"/>
      <c r="J4938" s="41"/>
      <c r="K4938" s="41"/>
      <c r="L4938" s="41"/>
      <c r="M4938" s="41"/>
      <c r="N4938" s="41"/>
      <c r="O4938" s="41"/>
    </row>
    <row r="4939" spans="1:15">
      <c r="A4939" s="39"/>
      <c r="B4939" s="40"/>
      <c r="C4939" s="41"/>
      <c r="D4939" s="41"/>
      <c r="E4939" s="41"/>
      <c r="F4939" s="41"/>
      <c r="G4939" s="41"/>
      <c r="H4939" s="41"/>
      <c r="I4939" s="41"/>
      <c r="J4939" s="41"/>
      <c r="K4939" s="41"/>
      <c r="L4939" s="41"/>
      <c r="M4939" s="41"/>
      <c r="N4939" s="41"/>
      <c r="O4939" s="41"/>
    </row>
    <row r="4940" spans="1:15">
      <c r="A4940" s="39"/>
      <c r="B4940" s="40"/>
      <c r="C4940" s="41"/>
      <c r="D4940" s="41"/>
      <c r="E4940" s="41"/>
      <c r="F4940" s="41"/>
      <c r="G4940" s="41"/>
      <c r="H4940" s="41"/>
      <c r="I4940" s="41"/>
      <c r="J4940" s="41"/>
      <c r="K4940" s="41"/>
      <c r="L4940" s="41"/>
      <c r="M4940" s="41"/>
      <c r="N4940" s="41"/>
      <c r="O4940" s="41"/>
    </row>
    <row r="4941" spans="1:15">
      <c r="A4941" s="39"/>
      <c r="B4941" s="40"/>
      <c r="C4941" s="41"/>
      <c r="D4941" s="41"/>
      <c r="E4941" s="41"/>
      <c r="F4941" s="41"/>
      <c r="G4941" s="41"/>
      <c r="H4941" s="41"/>
      <c r="I4941" s="41"/>
      <c r="J4941" s="41"/>
      <c r="K4941" s="41"/>
      <c r="L4941" s="41"/>
      <c r="M4941" s="41"/>
      <c r="N4941" s="41"/>
      <c r="O4941" s="41"/>
    </row>
    <row r="4942" spans="1:15">
      <c r="A4942" s="39"/>
      <c r="B4942" s="40"/>
      <c r="C4942" s="41"/>
      <c r="D4942" s="41"/>
      <c r="E4942" s="41"/>
      <c r="F4942" s="41"/>
      <c r="G4942" s="41"/>
      <c r="H4942" s="41"/>
      <c r="I4942" s="41"/>
      <c r="J4942" s="41"/>
      <c r="K4942" s="41"/>
      <c r="L4942" s="41"/>
      <c r="M4942" s="41"/>
      <c r="N4942" s="41"/>
      <c r="O4942" s="41"/>
    </row>
    <row r="4943" spans="1:15">
      <c r="A4943" s="39"/>
      <c r="B4943" s="40"/>
      <c r="C4943" s="41"/>
      <c r="D4943" s="41"/>
      <c r="E4943" s="41"/>
      <c r="F4943" s="41"/>
      <c r="G4943" s="41"/>
      <c r="H4943" s="41"/>
      <c r="I4943" s="41"/>
      <c r="J4943" s="41"/>
      <c r="K4943" s="41"/>
      <c r="L4943" s="41"/>
      <c r="M4943" s="41"/>
      <c r="N4943" s="41"/>
      <c r="O4943" s="41"/>
    </row>
    <row r="4944" spans="1:15">
      <c r="A4944" s="39"/>
      <c r="B4944" s="40"/>
      <c r="C4944" s="41"/>
      <c r="D4944" s="41"/>
      <c r="E4944" s="41"/>
      <c r="F4944" s="41"/>
      <c r="G4944" s="41"/>
      <c r="H4944" s="41"/>
      <c r="I4944" s="41"/>
      <c r="J4944" s="41"/>
      <c r="K4944" s="41"/>
      <c r="L4944" s="41"/>
      <c r="M4944" s="41"/>
      <c r="N4944" s="41"/>
      <c r="O4944" s="41"/>
    </row>
    <row r="4945" spans="1:15">
      <c r="A4945" s="39"/>
      <c r="B4945" s="40"/>
      <c r="C4945" s="41"/>
      <c r="D4945" s="41"/>
      <c r="E4945" s="41"/>
      <c r="F4945" s="41"/>
      <c r="G4945" s="41"/>
      <c r="H4945" s="41"/>
      <c r="I4945" s="41"/>
      <c r="J4945" s="41"/>
      <c r="K4945" s="41"/>
      <c r="L4945" s="41"/>
      <c r="M4945" s="41"/>
      <c r="N4945" s="41"/>
      <c r="O4945" s="41"/>
    </row>
    <row r="4946" spans="1:15">
      <c r="A4946" s="39"/>
      <c r="B4946" s="40"/>
      <c r="C4946" s="41"/>
      <c r="D4946" s="41"/>
      <c r="E4946" s="41"/>
      <c r="F4946" s="41"/>
      <c r="G4946" s="41"/>
      <c r="H4946" s="41"/>
      <c r="I4946" s="41"/>
      <c r="J4946" s="41"/>
      <c r="K4946" s="41"/>
      <c r="L4946" s="41"/>
      <c r="M4946" s="41"/>
      <c r="N4946" s="41"/>
      <c r="O4946" s="41"/>
    </row>
    <row r="4947" spans="1:15">
      <c r="A4947" s="39"/>
      <c r="B4947" s="40"/>
      <c r="C4947" s="41"/>
      <c r="D4947" s="41"/>
      <c r="E4947" s="41"/>
      <c r="F4947" s="41"/>
      <c r="G4947" s="41"/>
      <c r="H4947" s="41"/>
      <c r="I4947" s="41"/>
      <c r="J4947" s="41"/>
      <c r="K4947" s="41"/>
      <c r="L4947" s="41"/>
      <c r="M4947" s="41"/>
      <c r="N4947" s="41"/>
      <c r="O4947" s="41"/>
    </row>
    <row r="4948" spans="1:15">
      <c r="A4948" s="39"/>
      <c r="B4948" s="40"/>
      <c r="C4948" s="41"/>
      <c r="D4948" s="41"/>
      <c r="E4948" s="41"/>
      <c r="F4948" s="41"/>
      <c r="G4948" s="41"/>
      <c r="H4948" s="41"/>
      <c r="I4948" s="41"/>
      <c r="J4948" s="41"/>
      <c r="K4948" s="41"/>
      <c r="L4948" s="41"/>
      <c r="M4948" s="41"/>
      <c r="N4948" s="41"/>
      <c r="O4948" s="41"/>
    </row>
    <row r="4949" spans="1:15">
      <c r="A4949" s="39"/>
      <c r="B4949" s="40"/>
      <c r="C4949" s="41"/>
      <c r="D4949" s="41"/>
      <c r="E4949" s="41"/>
      <c r="F4949" s="41"/>
      <c r="G4949" s="41"/>
      <c r="H4949" s="41"/>
      <c r="I4949" s="41"/>
      <c r="J4949" s="41"/>
      <c r="K4949" s="41"/>
      <c r="L4949" s="41"/>
      <c r="M4949" s="41"/>
      <c r="N4949" s="41"/>
      <c r="O4949" s="41"/>
    </row>
    <row r="4950" spans="1:15">
      <c r="A4950" s="39"/>
      <c r="B4950" s="40"/>
      <c r="C4950" s="41"/>
      <c r="D4950" s="41"/>
      <c r="E4950" s="41"/>
      <c r="F4950" s="41"/>
      <c r="G4950" s="41"/>
      <c r="H4950" s="41"/>
      <c r="I4950" s="41"/>
      <c r="J4950" s="41"/>
      <c r="K4950" s="41"/>
      <c r="L4950" s="41"/>
      <c r="M4950" s="41"/>
      <c r="N4950" s="41"/>
      <c r="O4950" s="41"/>
    </row>
    <row r="4951" spans="1:15">
      <c r="A4951" s="39"/>
      <c r="B4951" s="40"/>
      <c r="C4951" s="41"/>
      <c r="D4951" s="41"/>
      <c r="E4951" s="41"/>
      <c r="F4951" s="41"/>
      <c r="G4951" s="41"/>
      <c r="H4951" s="41"/>
      <c r="I4951" s="41"/>
      <c r="J4951" s="41"/>
      <c r="K4951" s="41"/>
      <c r="L4951" s="41"/>
      <c r="M4951" s="41"/>
      <c r="N4951" s="41"/>
      <c r="O4951" s="41"/>
    </row>
    <row r="4952" spans="1:15">
      <c r="A4952" s="39"/>
      <c r="B4952" s="40"/>
      <c r="C4952" s="41"/>
      <c r="D4952" s="41"/>
      <c r="E4952" s="41"/>
      <c r="F4952" s="41"/>
      <c r="G4952" s="41"/>
      <c r="H4952" s="41"/>
      <c r="I4952" s="41"/>
      <c r="J4952" s="41"/>
      <c r="K4952" s="41"/>
      <c r="L4952" s="41"/>
      <c r="M4952" s="41"/>
      <c r="N4952" s="41"/>
      <c r="O4952" s="41"/>
    </row>
    <row r="4953" spans="1:15">
      <c r="A4953" s="39"/>
      <c r="B4953" s="40"/>
      <c r="C4953" s="41"/>
      <c r="D4953" s="41"/>
      <c r="E4953" s="41"/>
      <c r="F4953" s="41"/>
      <c r="G4953" s="41"/>
      <c r="H4953" s="41"/>
      <c r="I4953" s="41"/>
      <c r="J4953" s="41"/>
      <c r="K4953" s="41"/>
      <c r="L4953" s="41"/>
      <c r="M4953" s="41"/>
      <c r="N4953" s="41"/>
      <c r="O4953" s="41"/>
    </row>
    <row r="4954" spans="1:15">
      <c r="A4954" s="39"/>
      <c r="B4954" s="40"/>
      <c r="C4954" s="41"/>
      <c r="D4954" s="41"/>
      <c r="E4954" s="41"/>
      <c r="F4954" s="41"/>
      <c r="G4954" s="41"/>
      <c r="H4954" s="41"/>
      <c r="I4954" s="41"/>
      <c r="J4954" s="41"/>
      <c r="K4954" s="41"/>
      <c r="L4954" s="41"/>
      <c r="M4954" s="41"/>
      <c r="N4954" s="41"/>
      <c r="O4954" s="41"/>
    </row>
    <row r="4955" spans="1:15">
      <c r="A4955" s="39"/>
      <c r="B4955" s="40"/>
      <c r="C4955" s="41"/>
      <c r="D4955" s="41"/>
      <c r="E4955" s="41"/>
      <c r="F4955" s="41"/>
      <c r="G4955" s="41"/>
      <c r="H4955" s="41"/>
      <c r="I4955" s="41"/>
      <c r="J4955" s="41"/>
      <c r="K4955" s="41"/>
      <c r="L4955" s="41"/>
      <c r="M4955" s="41"/>
      <c r="N4955" s="41"/>
      <c r="O4955" s="41"/>
    </row>
    <row r="4956" spans="1:15">
      <c r="A4956" s="39"/>
      <c r="B4956" s="40"/>
      <c r="C4956" s="41"/>
      <c r="D4956" s="41"/>
      <c r="E4956" s="41"/>
      <c r="F4956" s="41"/>
      <c r="G4956" s="41"/>
      <c r="H4956" s="41"/>
      <c r="I4956" s="41"/>
      <c r="J4956" s="41"/>
      <c r="K4956" s="41"/>
      <c r="L4956" s="41"/>
      <c r="M4956" s="41"/>
      <c r="N4956" s="41"/>
      <c r="O4956" s="41"/>
    </row>
    <row r="4957" spans="1:15">
      <c r="A4957" s="39"/>
      <c r="B4957" s="40"/>
      <c r="C4957" s="41"/>
      <c r="D4957" s="41"/>
      <c r="E4957" s="41"/>
      <c r="F4957" s="41"/>
      <c r="G4957" s="41"/>
      <c r="H4957" s="41"/>
      <c r="I4957" s="41"/>
      <c r="J4957" s="41"/>
      <c r="K4957" s="41"/>
      <c r="L4957" s="41"/>
      <c r="M4957" s="41"/>
      <c r="N4957" s="41"/>
      <c r="O4957" s="41"/>
    </row>
    <row r="4958" spans="1:15">
      <c r="A4958" s="39"/>
      <c r="B4958" s="40"/>
      <c r="C4958" s="41"/>
      <c r="D4958" s="41"/>
      <c r="E4958" s="41"/>
      <c r="F4958" s="41"/>
      <c r="G4958" s="41"/>
      <c r="H4958" s="41"/>
      <c r="I4958" s="41"/>
      <c r="J4958" s="41"/>
      <c r="K4958" s="41"/>
      <c r="L4958" s="41"/>
      <c r="M4958" s="41"/>
      <c r="N4958" s="41"/>
      <c r="O4958" s="41"/>
    </row>
    <row r="4959" spans="1:15">
      <c r="A4959" s="39"/>
      <c r="B4959" s="40"/>
      <c r="C4959" s="41"/>
      <c r="D4959" s="41"/>
      <c r="E4959" s="41"/>
      <c r="F4959" s="41"/>
      <c r="G4959" s="41"/>
      <c r="H4959" s="41"/>
      <c r="I4959" s="41"/>
      <c r="J4959" s="41"/>
      <c r="K4959" s="41"/>
      <c r="L4959" s="41"/>
      <c r="M4959" s="41"/>
      <c r="N4959" s="41"/>
      <c r="O4959" s="41"/>
    </row>
    <row r="4960" spans="1:15">
      <c r="A4960" s="39"/>
      <c r="B4960" s="40"/>
      <c r="C4960" s="41"/>
      <c r="D4960" s="41"/>
      <c r="E4960" s="41"/>
      <c r="F4960" s="41"/>
      <c r="G4960" s="41"/>
      <c r="H4960" s="41"/>
      <c r="I4960" s="41"/>
      <c r="J4960" s="41"/>
      <c r="K4960" s="41"/>
      <c r="L4960" s="41"/>
      <c r="M4960" s="41"/>
      <c r="N4960" s="41"/>
      <c r="O4960" s="41"/>
    </row>
    <row r="4961" spans="1:15">
      <c r="A4961" s="39"/>
      <c r="B4961" s="40"/>
      <c r="C4961" s="41"/>
      <c r="D4961" s="41"/>
      <c r="E4961" s="41"/>
      <c r="F4961" s="41"/>
      <c r="G4961" s="41"/>
      <c r="H4961" s="41"/>
      <c r="I4961" s="41"/>
      <c r="J4961" s="41"/>
      <c r="K4961" s="41"/>
      <c r="L4961" s="41"/>
      <c r="M4961" s="41"/>
      <c r="N4961" s="41"/>
      <c r="O4961" s="41"/>
    </row>
    <row r="4962" spans="1:15">
      <c r="A4962" s="39"/>
      <c r="B4962" s="40"/>
      <c r="C4962" s="41"/>
      <c r="D4962" s="41"/>
      <c r="E4962" s="41"/>
      <c r="F4962" s="41"/>
      <c r="G4962" s="41"/>
      <c r="H4962" s="41"/>
      <c r="I4962" s="41"/>
      <c r="J4962" s="41"/>
      <c r="K4962" s="41"/>
      <c r="L4962" s="41"/>
      <c r="M4962" s="41"/>
      <c r="N4962" s="41"/>
      <c r="O4962" s="41"/>
    </row>
    <row r="4963" spans="1:15">
      <c r="A4963" s="39"/>
      <c r="B4963" s="40"/>
      <c r="C4963" s="41"/>
      <c r="D4963" s="41"/>
      <c r="E4963" s="41"/>
      <c r="F4963" s="41"/>
      <c r="G4963" s="41"/>
      <c r="H4963" s="41"/>
      <c r="I4963" s="41"/>
      <c r="J4963" s="41"/>
      <c r="K4963" s="41"/>
      <c r="L4963" s="41"/>
      <c r="M4963" s="41"/>
      <c r="N4963" s="41"/>
      <c r="O4963" s="41"/>
    </row>
    <row r="4964" spans="1:15">
      <c r="A4964" s="39"/>
      <c r="B4964" s="40"/>
      <c r="C4964" s="41"/>
      <c r="D4964" s="41"/>
      <c r="E4964" s="41"/>
      <c r="F4964" s="41"/>
      <c r="G4964" s="41"/>
      <c r="H4964" s="41"/>
      <c r="I4964" s="41"/>
      <c r="J4964" s="41"/>
      <c r="K4964" s="41"/>
      <c r="L4964" s="41"/>
      <c r="M4964" s="41"/>
      <c r="N4964" s="41"/>
      <c r="O4964" s="41"/>
    </row>
    <row r="4965" spans="1:15">
      <c r="A4965" s="39"/>
      <c r="B4965" s="40"/>
      <c r="C4965" s="41"/>
      <c r="D4965" s="41"/>
      <c r="E4965" s="41"/>
      <c r="F4965" s="41"/>
      <c r="G4965" s="41"/>
      <c r="H4965" s="41"/>
      <c r="I4965" s="41"/>
      <c r="J4965" s="41"/>
      <c r="K4965" s="41"/>
      <c r="L4965" s="41"/>
      <c r="M4965" s="41"/>
      <c r="N4965" s="41"/>
      <c r="O4965" s="41"/>
    </row>
    <row r="4966" spans="1:15">
      <c r="A4966" s="39"/>
      <c r="B4966" s="40"/>
      <c r="C4966" s="41"/>
      <c r="D4966" s="41"/>
      <c r="E4966" s="41"/>
      <c r="F4966" s="41"/>
      <c r="G4966" s="41"/>
      <c r="H4966" s="41"/>
      <c r="I4966" s="41"/>
      <c r="J4966" s="41"/>
      <c r="K4966" s="41"/>
      <c r="L4966" s="41"/>
      <c r="M4966" s="41"/>
      <c r="N4966" s="41"/>
      <c r="O4966" s="41"/>
    </row>
    <row r="4967" spans="1:15">
      <c r="A4967" s="39"/>
      <c r="B4967" s="40"/>
      <c r="C4967" s="41"/>
      <c r="D4967" s="41"/>
      <c r="E4967" s="41"/>
      <c r="F4967" s="41"/>
      <c r="G4967" s="41"/>
      <c r="H4967" s="41"/>
      <c r="I4967" s="41"/>
      <c r="J4967" s="41"/>
      <c r="K4967" s="41"/>
      <c r="L4967" s="41"/>
      <c r="M4967" s="41"/>
      <c r="N4967" s="41"/>
      <c r="O4967" s="41"/>
    </row>
    <row r="4968" spans="1:15">
      <c r="A4968" s="39"/>
      <c r="B4968" s="40"/>
      <c r="C4968" s="41"/>
      <c r="D4968" s="41"/>
      <c r="E4968" s="41"/>
      <c r="F4968" s="41"/>
      <c r="G4968" s="41"/>
      <c r="H4968" s="41"/>
      <c r="I4968" s="41"/>
      <c r="J4968" s="41"/>
      <c r="K4968" s="41"/>
      <c r="L4968" s="41"/>
      <c r="M4968" s="41"/>
      <c r="N4968" s="41"/>
      <c r="O4968" s="41"/>
    </row>
    <row r="4969" spans="1:15">
      <c r="A4969" s="39"/>
      <c r="B4969" s="40"/>
      <c r="C4969" s="41"/>
      <c r="D4969" s="41"/>
      <c r="E4969" s="41"/>
      <c r="F4969" s="41"/>
      <c r="G4969" s="41"/>
      <c r="H4969" s="41"/>
      <c r="I4969" s="41"/>
      <c r="J4969" s="41"/>
      <c r="K4969" s="41"/>
      <c r="L4969" s="41"/>
      <c r="M4969" s="41"/>
      <c r="N4969" s="41"/>
      <c r="O4969" s="41"/>
    </row>
    <row r="4970" spans="1:15">
      <c r="A4970" s="39"/>
      <c r="B4970" s="40"/>
      <c r="C4970" s="41"/>
      <c r="D4970" s="41"/>
      <c r="E4970" s="41"/>
      <c r="F4970" s="41"/>
      <c r="G4970" s="41"/>
      <c r="H4970" s="41"/>
      <c r="I4970" s="41"/>
      <c r="J4970" s="41"/>
      <c r="K4970" s="41"/>
      <c r="L4970" s="41"/>
      <c r="M4970" s="41"/>
      <c r="N4970" s="41"/>
      <c r="O4970" s="41"/>
    </row>
    <row r="4971" spans="1:15">
      <c r="A4971" s="39"/>
      <c r="B4971" s="40"/>
      <c r="C4971" s="41"/>
      <c r="D4971" s="41"/>
      <c r="E4971" s="41"/>
      <c r="F4971" s="41"/>
      <c r="G4971" s="41"/>
      <c r="H4971" s="41"/>
      <c r="I4971" s="41"/>
      <c r="J4971" s="41"/>
      <c r="K4971" s="41"/>
      <c r="L4971" s="41"/>
      <c r="M4971" s="41"/>
      <c r="N4971" s="41"/>
      <c r="O4971" s="41"/>
    </row>
    <row r="4972" spans="1:15">
      <c r="A4972" s="39"/>
      <c r="B4972" s="40"/>
      <c r="C4972" s="41"/>
      <c r="D4972" s="41"/>
      <c r="E4972" s="41"/>
      <c r="F4972" s="41"/>
      <c r="G4972" s="41"/>
      <c r="H4972" s="41"/>
      <c r="I4972" s="41"/>
      <c r="J4972" s="41"/>
      <c r="K4972" s="41"/>
      <c r="L4972" s="41"/>
      <c r="M4972" s="41"/>
      <c r="N4972" s="41"/>
      <c r="O4972" s="41"/>
    </row>
    <row r="4973" spans="1:15">
      <c r="A4973" s="39"/>
      <c r="B4973" s="40"/>
      <c r="C4973" s="41"/>
      <c r="D4973" s="41"/>
      <c r="E4973" s="41"/>
      <c r="F4973" s="41"/>
      <c r="G4973" s="41"/>
      <c r="H4973" s="41"/>
      <c r="I4973" s="41"/>
      <c r="J4973" s="41"/>
      <c r="K4973" s="41"/>
      <c r="L4973" s="41"/>
      <c r="M4973" s="41"/>
      <c r="N4973" s="41"/>
      <c r="O4973" s="41"/>
    </row>
    <row r="4974" spans="1:15">
      <c r="A4974" s="39"/>
      <c r="B4974" s="40"/>
      <c r="C4974" s="41"/>
      <c r="D4974" s="41"/>
      <c r="E4974" s="41"/>
      <c r="F4974" s="41"/>
      <c r="G4974" s="41"/>
      <c r="H4974" s="41"/>
      <c r="I4974" s="41"/>
      <c r="J4974" s="41"/>
      <c r="K4974" s="41"/>
      <c r="L4974" s="41"/>
      <c r="M4974" s="41"/>
      <c r="N4974" s="41"/>
      <c r="O4974" s="41"/>
    </row>
    <row r="4975" spans="1:15">
      <c r="A4975" s="39"/>
      <c r="B4975" s="40"/>
      <c r="C4975" s="41"/>
      <c r="D4975" s="41"/>
      <c r="E4975" s="41"/>
      <c r="F4975" s="41"/>
      <c r="G4975" s="41"/>
      <c r="H4975" s="41"/>
      <c r="I4975" s="41"/>
      <c r="J4975" s="41"/>
      <c r="K4975" s="41"/>
      <c r="L4975" s="41"/>
      <c r="M4975" s="41"/>
      <c r="N4975" s="41"/>
      <c r="O4975" s="41"/>
    </row>
    <row r="4976" spans="1:15">
      <c r="A4976" s="39"/>
      <c r="B4976" s="40"/>
      <c r="C4976" s="41"/>
      <c r="D4976" s="41"/>
      <c r="E4976" s="41"/>
      <c r="F4976" s="41"/>
      <c r="G4976" s="41"/>
      <c r="H4976" s="41"/>
      <c r="I4976" s="41"/>
      <c r="J4976" s="41"/>
      <c r="K4976" s="41"/>
      <c r="L4976" s="41"/>
      <c r="M4976" s="41"/>
      <c r="N4976" s="41"/>
      <c r="O4976" s="41"/>
    </row>
    <row r="4977" spans="1:15">
      <c r="A4977" s="39"/>
      <c r="B4977" s="40"/>
      <c r="C4977" s="41"/>
      <c r="D4977" s="41"/>
      <c r="E4977" s="41"/>
      <c r="F4977" s="41"/>
      <c r="G4977" s="41"/>
      <c r="H4977" s="41"/>
      <c r="I4977" s="41"/>
      <c r="J4977" s="41"/>
      <c r="K4977" s="41"/>
      <c r="L4977" s="41"/>
      <c r="M4977" s="41"/>
      <c r="N4977" s="41"/>
      <c r="O4977" s="41"/>
    </row>
    <row r="4978" spans="1:15">
      <c r="A4978" s="39"/>
      <c r="B4978" s="40"/>
      <c r="C4978" s="41"/>
      <c r="D4978" s="41"/>
      <c r="E4978" s="41"/>
      <c r="F4978" s="41"/>
      <c r="G4978" s="41"/>
      <c r="H4978" s="41"/>
      <c r="I4978" s="41"/>
      <c r="J4978" s="41"/>
      <c r="K4978" s="41"/>
      <c r="L4978" s="41"/>
      <c r="M4978" s="41"/>
      <c r="N4978" s="41"/>
      <c r="O4978" s="41"/>
    </row>
    <row r="4979" spans="1:15">
      <c r="A4979" s="39"/>
      <c r="B4979" s="40"/>
      <c r="C4979" s="41"/>
      <c r="D4979" s="41"/>
      <c r="E4979" s="41"/>
      <c r="F4979" s="41"/>
      <c r="G4979" s="41"/>
      <c r="H4979" s="41"/>
      <c r="I4979" s="41"/>
      <c r="J4979" s="41"/>
      <c r="K4979" s="41"/>
      <c r="L4979" s="41"/>
      <c r="M4979" s="41"/>
      <c r="N4979" s="41"/>
      <c r="O4979" s="41"/>
    </row>
    <row r="4980" spans="1:15">
      <c r="A4980" s="39"/>
      <c r="B4980" s="40"/>
      <c r="C4980" s="41"/>
      <c r="D4980" s="41"/>
      <c r="E4980" s="41"/>
      <c r="F4980" s="41"/>
      <c r="G4980" s="41"/>
      <c r="H4980" s="41"/>
      <c r="I4980" s="41"/>
      <c r="J4980" s="41"/>
      <c r="K4980" s="41"/>
      <c r="L4980" s="41"/>
      <c r="M4980" s="41"/>
      <c r="N4980" s="41"/>
      <c r="O4980" s="41"/>
    </row>
    <row r="4981" spans="1:15">
      <c r="A4981" s="39"/>
      <c r="B4981" s="40"/>
      <c r="C4981" s="41"/>
      <c r="D4981" s="41"/>
      <c r="E4981" s="41"/>
      <c r="F4981" s="41"/>
      <c r="G4981" s="41"/>
      <c r="H4981" s="41"/>
      <c r="I4981" s="41"/>
      <c r="J4981" s="41"/>
      <c r="K4981" s="41"/>
      <c r="L4981" s="41"/>
      <c r="M4981" s="41"/>
      <c r="N4981" s="41"/>
      <c r="O4981" s="41"/>
    </row>
    <row r="4982" spans="1:15">
      <c r="A4982" s="39"/>
      <c r="B4982" s="40"/>
      <c r="C4982" s="41"/>
      <c r="D4982" s="41"/>
      <c r="E4982" s="41"/>
      <c r="F4982" s="41"/>
      <c r="G4982" s="41"/>
      <c r="H4982" s="41"/>
      <c r="I4982" s="41"/>
      <c r="J4982" s="41"/>
      <c r="K4982" s="41"/>
      <c r="L4982" s="41"/>
      <c r="M4982" s="41"/>
      <c r="N4982" s="41"/>
      <c r="O4982" s="41"/>
    </row>
    <row r="4983" spans="1:15">
      <c r="A4983" s="39"/>
      <c r="B4983" s="40"/>
      <c r="C4983" s="41"/>
      <c r="D4983" s="41"/>
      <c r="E4983" s="41"/>
      <c r="F4983" s="41"/>
      <c r="G4983" s="41"/>
      <c r="H4983" s="41"/>
      <c r="I4983" s="41"/>
      <c r="J4983" s="41"/>
      <c r="K4983" s="41"/>
      <c r="L4983" s="41"/>
      <c r="M4983" s="41"/>
      <c r="N4983" s="41"/>
      <c r="O4983" s="41"/>
    </row>
    <row r="4984" spans="1:15">
      <c r="A4984" s="39"/>
      <c r="B4984" s="40"/>
      <c r="C4984" s="41"/>
      <c r="D4984" s="41"/>
      <c r="E4984" s="41"/>
      <c r="F4984" s="41"/>
      <c r="G4984" s="41"/>
      <c r="H4984" s="41"/>
      <c r="I4984" s="41"/>
      <c r="J4984" s="41"/>
      <c r="K4984" s="41"/>
      <c r="L4984" s="41"/>
      <c r="M4984" s="41"/>
      <c r="N4984" s="41"/>
      <c r="O4984" s="41"/>
    </row>
    <row r="4985" spans="1:15">
      <c r="A4985" s="39"/>
      <c r="B4985" s="40"/>
      <c r="C4985" s="41"/>
      <c r="D4985" s="41"/>
      <c r="E4985" s="41"/>
      <c r="F4985" s="41"/>
      <c r="G4985" s="41"/>
      <c r="H4985" s="41"/>
      <c r="I4985" s="41"/>
      <c r="J4985" s="41"/>
      <c r="K4985" s="41"/>
      <c r="L4985" s="41"/>
      <c r="M4985" s="41"/>
      <c r="N4985" s="41"/>
      <c r="O4985" s="41"/>
    </row>
    <row r="4986" spans="1:15">
      <c r="A4986" s="39"/>
      <c r="B4986" s="40"/>
      <c r="C4986" s="41"/>
      <c r="D4986" s="41"/>
      <c r="E4986" s="41"/>
      <c r="F4986" s="41"/>
      <c r="G4986" s="41"/>
      <c r="H4986" s="41"/>
      <c r="I4986" s="41"/>
      <c r="J4986" s="41"/>
      <c r="K4986" s="41"/>
      <c r="L4986" s="41"/>
      <c r="M4986" s="41"/>
      <c r="N4986" s="41"/>
      <c r="O4986" s="41"/>
    </row>
    <row r="4987" spans="1:15">
      <c r="A4987" s="39"/>
      <c r="B4987" s="40"/>
      <c r="C4987" s="41"/>
      <c r="D4987" s="41"/>
      <c r="E4987" s="41"/>
      <c r="F4987" s="41"/>
      <c r="G4987" s="41"/>
      <c r="H4987" s="41"/>
      <c r="I4987" s="41"/>
      <c r="J4987" s="41"/>
      <c r="K4987" s="41"/>
      <c r="L4987" s="41"/>
      <c r="M4987" s="41"/>
      <c r="N4987" s="41"/>
      <c r="O4987" s="41"/>
    </row>
    <row r="4988" spans="1:15">
      <c r="A4988" s="39"/>
      <c r="B4988" s="40"/>
      <c r="C4988" s="41"/>
      <c r="D4988" s="41"/>
      <c r="E4988" s="41"/>
      <c r="F4988" s="41"/>
      <c r="G4988" s="41"/>
      <c r="H4988" s="41"/>
      <c r="I4988" s="41"/>
      <c r="J4988" s="41"/>
      <c r="K4988" s="41"/>
      <c r="L4988" s="41"/>
      <c r="M4988" s="41"/>
      <c r="N4988" s="41"/>
      <c r="O4988" s="41"/>
    </row>
    <row r="4989" spans="1:15">
      <c r="A4989" s="39"/>
      <c r="B4989" s="40"/>
      <c r="C4989" s="41"/>
      <c r="D4989" s="41"/>
      <c r="E4989" s="41"/>
      <c r="F4989" s="41"/>
      <c r="G4989" s="41"/>
      <c r="H4989" s="41"/>
      <c r="I4989" s="41"/>
      <c r="J4989" s="41"/>
      <c r="K4989" s="41"/>
      <c r="L4989" s="41"/>
      <c r="M4989" s="41"/>
      <c r="N4989" s="41"/>
      <c r="O4989" s="41"/>
    </row>
    <row r="4990" spans="1:15">
      <c r="A4990" s="39"/>
      <c r="B4990" s="40"/>
      <c r="C4990" s="41"/>
      <c r="D4990" s="41"/>
      <c r="E4990" s="41"/>
      <c r="F4990" s="41"/>
      <c r="G4990" s="41"/>
      <c r="H4990" s="41"/>
      <c r="I4990" s="41"/>
      <c r="J4990" s="41"/>
      <c r="K4990" s="41"/>
      <c r="L4990" s="41"/>
      <c r="M4990" s="41"/>
      <c r="N4990" s="41"/>
      <c r="O4990" s="41"/>
    </row>
    <row r="4991" spans="1:15">
      <c r="A4991" s="39"/>
      <c r="B4991" s="40"/>
      <c r="C4991" s="41"/>
      <c r="D4991" s="41"/>
      <c r="E4991" s="41"/>
      <c r="F4991" s="41"/>
      <c r="G4991" s="41"/>
      <c r="H4991" s="41"/>
      <c r="I4991" s="41"/>
      <c r="J4991" s="41"/>
      <c r="K4991" s="41"/>
      <c r="L4991" s="41"/>
      <c r="M4991" s="41"/>
      <c r="N4991" s="41"/>
      <c r="O4991" s="41"/>
    </row>
    <row r="4992" spans="1:15">
      <c r="A4992" s="39"/>
      <c r="B4992" s="40"/>
      <c r="C4992" s="41"/>
      <c r="D4992" s="41"/>
      <c r="E4992" s="41"/>
      <c r="F4992" s="41"/>
      <c r="G4992" s="41"/>
      <c r="H4992" s="41"/>
      <c r="I4992" s="41"/>
      <c r="J4992" s="41"/>
      <c r="K4992" s="41"/>
      <c r="L4992" s="41"/>
      <c r="M4992" s="41"/>
      <c r="N4992" s="41"/>
      <c r="O4992" s="41"/>
    </row>
    <row r="4993" spans="1:15">
      <c r="A4993" s="39"/>
      <c r="B4993" s="40"/>
      <c r="C4993" s="41"/>
      <c r="D4993" s="41"/>
      <c r="E4993" s="41"/>
      <c r="F4993" s="41"/>
      <c r="G4993" s="41"/>
      <c r="H4993" s="41"/>
      <c r="I4993" s="41"/>
      <c r="J4993" s="41"/>
      <c r="K4993" s="41"/>
      <c r="L4993" s="41"/>
      <c r="M4993" s="41"/>
      <c r="N4993" s="41"/>
      <c r="O4993" s="41"/>
    </row>
    <row r="4994" spans="1:15">
      <c r="A4994" s="39"/>
      <c r="B4994" s="40"/>
      <c r="C4994" s="41"/>
      <c r="D4994" s="41"/>
      <c r="E4994" s="41"/>
      <c r="F4994" s="41"/>
      <c r="G4994" s="41"/>
      <c r="H4994" s="41"/>
      <c r="I4994" s="41"/>
      <c r="J4994" s="41"/>
      <c r="K4994" s="41"/>
      <c r="L4994" s="41"/>
      <c r="M4994" s="41"/>
      <c r="N4994" s="41"/>
      <c r="O4994" s="41"/>
    </row>
    <row r="4995" spans="1:15">
      <c r="A4995" s="39"/>
      <c r="B4995" s="40"/>
      <c r="C4995" s="41"/>
      <c r="D4995" s="41"/>
      <c r="E4995" s="41"/>
      <c r="F4995" s="41"/>
      <c r="G4995" s="41"/>
      <c r="H4995" s="41"/>
      <c r="I4995" s="41"/>
      <c r="J4995" s="41"/>
      <c r="K4995" s="41"/>
      <c r="L4995" s="41"/>
      <c r="M4995" s="41"/>
      <c r="N4995" s="41"/>
      <c r="O4995" s="41"/>
    </row>
    <row r="4996" spans="1:15">
      <c r="A4996" s="39"/>
      <c r="B4996" s="40"/>
      <c r="C4996" s="41"/>
      <c r="D4996" s="41"/>
      <c r="E4996" s="41"/>
      <c r="F4996" s="41"/>
      <c r="G4996" s="41"/>
      <c r="H4996" s="41"/>
      <c r="I4996" s="41"/>
      <c r="J4996" s="41"/>
      <c r="K4996" s="41"/>
      <c r="L4996" s="41"/>
      <c r="M4996" s="41"/>
      <c r="N4996" s="41"/>
      <c r="O4996" s="41"/>
    </row>
    <row r="4997" spans="1:15">
      <c r="A4997" s="39"/>
      <c r="B4997" s="40"/>
      <c r="C4997" s="41"/>
      <c r="D4997" s="41"/>
      <c r="E4997" s="41"/>
      <c r="F4997" s="41"/>
      <c r="G4997" s="41"/>
      <c r="H4997" s="41"/>
      <c r="I4997" s="41"/>
      <c r="J4997" s="41"/>
      <c r="K4997" s="41"/>
      <c r="L4997" s="41"/>
      <c r="M4997" s="41"/>
      <c r="N4997" s="41"/>
      <c r="O4997" s="41"/>
    </row>
    <row r="4998" spans="1:15">
      <c r="A4998" s="39"/>
      <c r="B4998" s="40"/>
      <c r="C4998" s="41"/>
      <c r="D4998" s="41"/>
      <c r="E4998" s="41"/>
      <c r="F4998" s="41"/>
      <c r="G4998" s="41"/>
      <c r="H4998" s="41"/>
      <c r="I4998" s="41"/>
      <c r="J4998" s="41"/>
      <c r="K4998" s="41"/>
      <c r="L4998" s="41"/>
      <c r="M4998" s="41"/>
      <c r="N4998" s="41"/>
      <c r="O4998" s="41"/>
    </row>
    <row r="4999" spans="1:15">
      <c r="A4999" s="39"/>
      <c r="B4999" s="40"/>
      <c r="C4999" s="41"/>
      <c r="D4999" s="41"/>
      <c r="E4999" s="41"/>
      <c r="F4999" s="41"/>
      <c r="G4999" s="41"/>
      <c r="H4999" s="41"/>
      <c r="I4999" s="41"/>
      <c r="J4999" s="41"/>
      <c r="K4999" s="41"/>
      <c r="L4999" s="41"/>
      <c r="M4999" s="41"/>
      <c r="N4999" s="41"/>
      <c r="O4999" s="41"/>
    </row>
    <row r="5000" spans="1:15">
      <c r="A5000" s="39"/>
      <c r="B5000" s="40"/>
      <c r="C5000" s="41"/>
      <c r="D5000" s="41"/>
      <c r="E5000" s="41"/>
      <c r="F5000" s="41"/>
      <c r="G5000" s="41"/>
      <c r="H5000" s="41"/>
      <c r="I5000" s="41"/>
      <c r="J5000" s="41"/>
      <c r="K5000" s="41"/>
      <c r="L5000" s="41"/>
      <c r="M5000" s="41"/>
      <c r="N5000" s="41"/>
      <c r="O5000" s="41"/>
    </row>
    <row r="5001" spans="1:15">
      <c r="A5001" s="39"/>
      <c r="B5001" s="40"/>
      <c r="C5001" s="41"/>
      <c r="D5001" s="41"/>
      <c r="E5001" s="41"/>
      <c r="F5001" s="41"/>
      <c r="G5001" s="41"/>
      <c r="H5001" s="41"/>
      <c r="I5001" s="41"/>
      <c r="J5001" s="41"/>
      <c r="K5001" s="41"/>
      <c r="L5001" s="41"/>
      <c r="M5001" s="41"/>
      <c r="N5001" s="41"/>
      <c r="O5001" s="41"/>
    </row>
    <row r="5002" spans="1:15">
      <c r="A5002" s="39"/>
      <c r="B5002" s="40"/>
      <c r="C5002" s="41"/>
      <c r="D5002" s="41"/>
      <c r="E5002" s="41"/>
      <c r="F5002" s="41"/>
      <c r="G5002" s="41"/>
      <c r="H5002" s="41"/>
      <c r="I5002" s="41"/>
      <c r="J5002" s="41"/>
      <c r="K5002" s="41"/>
      <c r="L5002" s="41"/>
      <c r="M5002" s="41"/>
      <c r="N5002" s="41"/>
      <c r="O5002" s="41"/>
    </row>
    <row r="5003" spans="1:15">
      <c r="A5003" s="39"/>
      <c r="B5003" s="40"/>
      <c r="C5003" s="41"/>
      <c r="D5003" s="41"/>
      <c r="E5003" s="41"/>
      <c r="F5003" s="41"/>
      <c r="G5003" s="41"/>
      <c r="H5003" s="41"/>
      <c r="I5003" s="41"/>
      <c r="J5003" s="41"/>
      <c r="K5003" s="41"/>
      <c r="L5003" s="41"/>
      <c r="M5003" s="41"/>
      <c r="N5003" s="41"/>
      <c r="O5003" s="41"/>
    </row>
    <row r="5004" spans="1:15">
      <c r="A5004" s="39"/>
      <c r="B5004" s="40"/>
      <c r="C5004" s="41"/>
      <c r="D5004" s="41"/>
      <c r="E5004" s="41"/>
      <c r="F5004" s="41"/>
      <c r="G5004" s="41"/>
      <c r="H5004" s="41"/>
      <c r="I5004" s="41"/>
      <c r="J5004" s="41"/>
      <c r="K5004" s="41"/>
      <c r="L5004" s="41"/>
      <c r="M5004" s="41"/>
      <c r="N5004" s="41"/>
      <c r="O5004" s="41"/>
    </row>
    <row r="5005" spans="1:15">
      <c r="A5005" s="39"/>
      <c r="B5005" s="40"/>
      <c r="C5005" s="41"/>
      <c r="D5005" s="41"/>
      <c r="E5005" s="41"/>
      <c r="F5005" s="41"/>
      <c r="G5005" s="41"/>
      <c r="H5005" s="41"/>
      <c r="I5005" s="41"/>
      <c r="J5005" s="41"/>
      <c r="K5005" s="41"/>
      <c r="L5005" s="41"/>
      <c r="M5005" s="41"/>
      <c r="N5005" s="41"/>
      <c r="O5005" s="41"/>
    </row>
    <row r="5006" spans="1:15">
      <c r="A5006" s="39"/>
      <c r="B5006" s="40"/>
      <c r="C5006" s="41"/>
      <c r="D5006" s="41"/>
      <c r="E5006" s="41"/>
      <c r="F5006" s="41"/>
      <c r="G5006" s="41"/>
      <c r="H5006" s="41"/>
      <c r="I5006" s="41"/>
      <c r="J5006" s="41"/>
      <c r="K5006" s="41"/>
      <c r="L5006" s="41"/>
      <c r="M5006" s="41"/>
      <c r="N5006" s="41"/>
      <c r="O5006" s="41"/>
    </row>
    <row r="5007" spans="1:15">
      <c r="A5007" s="39"/>
      <c r="B5007" s="40"/>
      <c r="C5007" s="41"/>
      <c r="D5007" s="41"/>
      <c r="E5007" s="41"/>
      <c r="F5007" s="41"/>
      <c r="G5007" s="41"/>
      <c r="H5007" s="41"/>
      <c r="I5007" s="41"/>
      <c r="J5007" s="41"/>
      <c r="K5007" s="41"/>
      <c r="L5007" s="41"/>
      <c r="M5007" s="41"/>
      <c r="N5007" s="41"/>
      <c r="O5007" s="41"/>
    </row>
    <row r="5008" spans="1:15">
      <c r="A5008" s="39"/>
      <c r="B5008" s="40"/>
      <c r="C5008" s="41"/>
      <c r="D5008" s="41"/>
      <c r="E5008" s="41"/>
      <c r="F5008" s="41"/>
      <c r="G5008" s="41"/>
      <c r="H5008" s="41"/>
      <c r="I5008" s="41"/>
      <c r="J5008" s="41"/>
      <c r="K5008" s="41"/>
      <c r="L5008" s="41"/>
      <c r="M5008" s="41"/>
      <c r="N5008" s="41"/>
      <c r="O5008" s="41"/>
    </row>
    <row r="5009" spans="1:15">
      <c r="A5009" s="39"/>
      <c r="B5009" s="40"/>
      <c r="C5009" s="41"/>
      <c r="D5009" s="41"/>
      <c r="E5009" s="41"/>
      <c r="F5009" s="41"/>
      <c r="G5009" s="41"/>
      <c r="H5009" s="41"/>
      <c r="I5009" s="41"/>
      <c r="J5009" s="41"/>
      <c r="K5009" s="41"/>
      <c r="L5009" s="41"/>
      <c r="M5009" s="41"/>
      <c r="N5009" s="41"/>
      <c r="O5009" s="41"/>
    </row>
    <row r="5010" spans="1:15">
      <c r="A5010" s="39"/>
      <c r="B5010" s="40"/>
      <c r="C5010" s="41"/>
      <c r="D5010" s="41"/>
      <c r="E5010" s="41"/>
      <c r="F5010" s="41"/>
      <c r="G5010" s="41"/>
      <c r="H5010" s="41"/>
      <c r="I5010" s="41"/>
      <c r="J5010" s="41"/>
      <c r="K5010" s="41"/>
      <c r="L5010" s="41"/>
      <c r="M5010" s="41"/>
      <c r="N5010" s="41"/>
      <c r="O5010" s="41"/>
    </row>
    <row r="5011" spans="1:15">
      <c r="A5011" s="39"/>
      <c r="B5011" s="40"/>
      <c r="C5011" s="41"/>
      <c r="D5011" s="41"/>
      <c r="E5011" s="41"/>
      <c r="F5011" s="41"/>
      <c r="G5011" s="41"/>
      <c r="H5011" s="41"/>
      <c r="I5011" s="41"/>
      <c r="J5011" s="41"/>
      <c r="K5011" s="41"/>
      <c r="L5011" s="41"/>
      <c r="M5011" s="41"/>
      <c r="N5011" s="41"/>
      <c r="O5011" s="41"/>
    </row>
    <row r="5012" spans="1:15">
      <c r="A5012" s="39"/>
      <c r="B5012" s="40"/>
      <c r="C5012" s="41"/>
      <c r="D5012" s="41"/>
      <c r="E5012" s="41"/>
      <c r="F5012" s="41"/>
      <c r="G5012" s="41"/>
      <c r="H5012" s="41"/>
      <c r="I5012" s="41"/>
      <c r="J5012" s="41"/>
      <c r="K5012" s="41"/>
      <c r="L5012" s="41"/>
      <c r="M5012" s="41"/>
      <c r="N5012" s="41"/>
      <c r="O5012" s="41"/>
    </row>
    <row r="5013" spans="1:15">
      <c r="A5013" s="42"/>
      <c r="B5013" s="43"/>
      <c r="C5013" s="43"/>
      <c r="D5013" s="43"/>
      <c r="E5013" s="43"/>
      <c r="F5013" s="43"/>
      <c r="G5013" s="43"/>
      <c r="H5013" s="43"/>
      <c r="I5013" s="43"/>
      <c r="J5013" s="43"/>
      <c r="K5013" s="43"/>
      <c r="L5013" s="43"/>
      <c r="M5013" s="43"/>
      <c r="N5013" s="43"/>
      <c r="O5013" s="43"/>
    </row>
  </sheetData>
  <mergeCells count="1">
    <mergeCell ref="A1:P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6"/>
  </sheetPr>
  <dimension ref="A1:K503"/>
  <sheetViews>
    <sheetView showGridLines="0" workbookViewId="0">
      <pane ySplit="3" topLeftCell="A4" activePane="bottomLeft" state="frozen"/>
      <selection/>
      <selection pane="bottomLeft" activeCell="F11" sqref="F11"/>
    </sheetView>
  </sheetViews>
  <sheetFormatPr defaultColWidth="9" defaultRowHeight="13.5"/>
  <cols>
    <col min="1" max="1" width="8" customWidth="1"/>
    <col min="2" max="2" width="12" style="6" customWidth="1"/>
    <col min="3" max="3" width="18" style="7" customWidth="1"/>
    <col min="4" max="4" width="14" style="8" customWidth="1"/>
    <col min="5" max="5" width="20" style="7" customWidth="1"/>
    <col min="6" max="6" width="18" style="8" customWidth="1"/>
    <col min="7" max="8" width="12" style="7" customWidth="1"/>
    <col min="9" max="9" width="16" style="7" customWidth="1"/>
    <col min="10" max="10" width="12" style="8" customWidth="1"/>
    <col min="11" max="11" width="7.375" style="9" customWidth="1"/>
    <col min="12" max="16371" width="10" style="5" customWidth="1"/>
    <col min="16372" max="16372" width="10" style="5"/>
    <col min="16373" max="16384" width="9" style="5"/>
  </cols>
  <sheetData>
    <row r="1" s="5" customFormat="1" ht="28" customHeight="1" spans="1:11">
      <c r="A1" s="10" t="s">
        <v>294</v>
      </c>
      <c r="B1" s="11"/>
      <c r="C1" s="12"/>
      <c r="D1" s="12"/>
      <c r="E1" s="12"/>
      <c r="F1" s="12"/>
      <c r="G1" s="12"/>
      <c r="H1" s="12"/>
      <c r="I1" s="12"/>
      <c r="J1" s="12"/>
      <c r="K1" s="13"/>
    </row>
    <row r="2" s="5" customFormat="1" ht="24" customHeight="1" spans="1:11">
      <c r="A2" s="14" t="s">
        <v>295</v>
      </c>
      <c r="B2" s="15" t="s">
        <v>43</v>
      </c>
      <c r="C2" s="16" t="s">
        <v>100</v>
      </c>
      <c r="D2" s="17">
        <f>IFERROR(VLOOKUP($B$2,数据录入!$C$5:$H$18,6,0),0)</f>
        <v>0</v>
      </c>
      <c r="E2" s="16" t="s">
        <v>296</v>
      </c>
      <c r="F2" s="17">
        <f>SUMIFS(数据录入!$F$19:$F$10000,数据录入!$C$19:$C$10000,$B$2)</f>
        <v>0</v>
      </c>
      <c r="G2" s="16" t="s">
        <v>297</v>
      </c>
      <c r="H2" s="17">
        <f>SUMIFS(数据录入!$G$19:$G$10000,数据录入!$C$19:$C$10000,$B$2)</f>
        <v>0</v>
      </c>
      <c r="I2" s="16" t="s">
        <v>298</v>
      </c>
      <c r="J2" s="17">
        <f>D2+F2-H2</f>
        <v>0</v>
      </c>
      <c r="K2" s="18"/>
    </row>
    <row r="3" s="5" customFormat="1" ht="24" customHeight="1" spans="1:11">
      <c r="A3" s="19" t="s">
        <v>92</v>
      </c>
      <c r="B3" s="19" t="s">
        <v>93</v>
      </c>
      <c r="C3" s="19" t="s">
        <v>94</v>
      </c>
      <c r="D3" s="19" t="s">
        <v>38</v>
      </c>
      <c r="E3" s="19" t="s">
        <v>95</v>
      </c>
      <c r="F3" s="19" t="s">
        <v>96</v>
      </c>
      <c r="G3" s="19" t="s">
        <v>97</v>
      </c>
      <c r="H3" s="19" t="s">
        <v>91</v>
      </c>
      <c r="I3" s="20" t="s">
        <v>39</v>
      </c>
      <c r="J3" s="20" t="s">
        <v>41</v>
      </c>
      <c r="K3" s="21" t="s">
        <v>98</v>
      </c>
    </row>
    <row r="4" s="5" customFormat="1" ht="20" customHeight="1" spans="1:11">
      <c r="A4" s="22" vm="1" t="e" cm="1">
        <f t="array" ref="A4">_xlfn._xlws.FILTER(数据录入!$A$19:$K$10000,数据录入!$C$19:$C$10000=$B$2)</f>
        <v>#VALUE!</v>
      </c>
      <c r="B4" s="23"/>
      <c r="C4" s="24"/>
      <c r="D4" s="24"/>
      <c r="E4" s="24"/>
      <c r="F4" s="24"/>
      <c r="G4" s="24"/>
      <c r="H4" s="24"/>
      <c r="I4" s="24"/>
      <c r="J4" s="24"/>
      <c r="K4" s="25"/>
    </row>
    <row r="5" s="5" customFormat="1" ht="20" customHeight="1" spans="1:11">
      <c r="A5" s="22"/>
      <c r="B5" s="23"/>
      <c r="C5" s="24"/>
      <c r="D5" s="24"/>
      <c r="E5" s="24"/>
      <c r="F5" s="24"/>
      <c r="G5" s="24"/>
      <c r="H5" s="24"/>
      <c r="I5" s="24"/>
      <c r="J5" s="24"/>
      <c r="K5" s="25"/>
    </row>
    <row r="6" s="5" customFormat="1" ht="20" customHeight="1" spans="1:11">
      <c r="A6" s="22"/>
      <c r="B6" s="23"/>
      <c r="C6" s="24"/>
      <c r="D6" s="24"/>
      <c r="E6" s="24"/>
      <c r="F6" s="24"/>
      <c r="G6" s="24"/>
      <c r="H6" s="24"/>
      <c r="I6" s="24"/>
      <c r="J6" s="24"/>
      <c r="K6" s="25"/>
    </row>
    <row r="7" s="5" customFormat="1" ht="20" customHeight="1" spans="1:11">
      <c r="A7" s="22"/>
      <c r="B7" s="23"/>
      <c r="C7" s="24"/>
      <c r="D7" s="24"/>
      <c r="E7" s="24"/>
      <c r="F7" s="24"/>
      <c r="G7" s="24"/>
      <c r="H7" s="24"/>
      <c r="I7" s="24"/>
      <c r="J7" s="24"/>
      <c r="K7" s="25"/>
    </row>
    <row r="8" s="5" customFormat="1" ht="20" customHeight="1" spans="1:11">
      <c r="A8" s="22"/>
      <c r="B8" s="23"/>
      <c r="C8" s="24"/>
      <c r="D8" s="24"/>
      <c r="E8" s="24"/>
      <c r="F8" s="24"/>
      <c r="G8" s="24"/>
      <c r="H8" s="24"/>
      <c r="I8" s="24"/>
      <c r="J8" s="24"/>
      <c r="K8" s="25"/>
    </row>
    <row r="9" s="5" customFormat="1" ht="20" customHeight="1" spans="1:11">
      <c r="A9" s="22"/>
      <c r="B9" s="23"/>
      <c r="C9" s="24"/>
      <c r="D9" s="24"/>
      <c r="E9" s="24"/>
      <c r="F9" s="24"/>
      <c r="G9" s="24"/>
      <c r="H9" s="24"/>
      <c r="I9" s="24"/>
      <c r="J9" s="24"/>
      <c r="K9" s="25"/>
    </row>
    <row r="10" s="5" customFormat="1" ht="20" customHeight="1" spans="1:11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5"/>
    </row>
    <row r="11" s="5" customFormat="1" ht="20" customHeight="1" spans="1:11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5"/>
    </row>
    <row r="12" s="5" customFormat="1" ht="20" customHeight="1" spans="1:11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5"/>
    </row>
    <row r="13" s="5" customFormat="1" ht="20" customHeight="1" spans="1:11">
      <c r="A13" s="22"/>
      <c r="B13" s="23"/>
      <c r="C13" s="24"/>
      <c r="D13" s="24"/>
      <c r="E13" s="24"/>
      <c r="F13" s="24"/>
      <c r="G13" s="24"/>
      <c r="H13" s="24"/>
      <c r="I13" s="24"/>
      <c r="J13" s="24"/>
      <c r="K13" s="25"/>
    </row>
    <row r="14" s="5" customFormat="1" ht="20" customHeight="1" spans="1:1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5"/>
    </row>
    <row r="15" s="5" customFormat="1" ht="20" customHeight="1" spans="1:11">
      <c r="A15" s="22"/>
      <c r="B15" s="23"/>
      <c r="C15" s="24"/>
      <c r="D15" s="24"/>
      <c r="E15" s="24"/>
      <c r="F15" s="24"/>
      <c r="G15" s="24"/>
      <c r="H15" s="24"/>
      <c r="I15" s="24"/>
      <c r="J15" s="24"/>
      <c r="K15" s="25"/>
    </row>
    <row r="16" s="5" customFormat="1" ht="20" customHeight="1" spans="1:11">
      <c r="A16" s="22"/>
      <c r="B16" s="23"/>
      <c r="C16" s="24"/>
      <c r="D16" s="24"/>
      <c r="E16" s="24"/>
      <c r="F16" s="24"/>
      <c r="G16" s="24"/>
      <c r="H16" s="24"/>
      <c r="I16" s="24"/>
      <c r="J16" s="24"/>
      <c r="K16" s="25"/>
    </row>
    <row r="17" s="5" customFormat="1" ht="20" customHeight="1" spans="1:11">
      <c r="A17" s="22"/>
      <c r="B17" s="23"/>
      <c r="C17" s="24"/>
      <c r="D17" s="24"/>
      <c r="E17" s="24"/>
      <c r="F17" s="24"/>
      <c r="G17" s="24"/>
      <c r="H17" s="24"/>
      <c r="I17" s="24"/>
      <c r="J17" s="24"/>
      <c r="K17" s="25"/>
    </row>
    <row r="18" s="5" customFormat="1" ht="20" customHeight="1" spans="1:11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5"/>
    </row>
    <row r="19" s="5" customFormat="1" ht="20" customHeight="1" spans="1:11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25"/>
    </row>
    <row r="20" s="5" customFormat="1" ht="20" customHeight="1" spans="1:11">
      <c r="A20" s="22"/>
      <c r="B20" s="23"/>
      <c r="C20" s="24"/>
      <c r="D20" s="24"/>
      <c r="E20" s="24"/>
      <c r="F20" s="24"/>
      <c r="G20" s="24"/>
      <c r="H20" s="24"/>
      <c r="I20" s="24"/>
      <c r="J20" s="24"/>
      <c r="K20" s="25"/>
    </row>
    <row r="21" s="5" customFormat="1" ht="20" customHeight="1" spans="1:11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5"/>
    </row>
    <row r="22" s="5" customFormat="1" ht="20" customHeight="1" spans="1:11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5"/>
    </row>
    <row r="23" s="5" customFormat="1" ht="20" customHeight="1" spans="1:11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5"/>
    </row>
    <row r="24" s="5" customFormat="1" ht="20" customHeight="1" spans="1:11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5"/>
    </row>
    <row r="25" s="5" customFormat="1" ht="20" customHeight="1" spans="1:11">
      <c r="A25" s="22"/>
      <c r="B25" s="23"/>
      <c r="C25" s="24"/>
      <c r="D25" s="24"/>
      <c r="E25" s="24"/>
      <c r="F25" s="24"/>
      <c r="G25" s="24"/>
      <c r="H25" s="24"/>
      <c r="I25" s="24"/>
      <c r="J25" s="24"/>
      <c r="K25" s="25"/>
    </row>
    <row r="26" s="5" customFormat="1" ht="20" customHeight="1" spans="1:11">
      <c r="A26" s="22"/>
      <c r="B26" s="23"/>
      <c r="C26" s="24"/>
      <c r="D26" s="24"/>
      <c r="E26" s="24"/>
      <c r="F26" s="24"/>
      <c r="G26" s="24"/>
      <c r="H26" s="24"/>
      <c r="I26" s="24"/>
      <c r="J26" s="24"/>
      <c r="K26" s="25"/>
    </row>
    <row r="27" s="5" customFormat="1" ht="20" customHeight="1" spans="1:11">
      <c r="A27" s="22"/>
      <c r="B27" s="23"/>
      <c r="C27" s="24"/>
      <c r="D27" s="24"/>
      <c r="E27" s="24"/>
      <c r="F27" s="24"/>
      <c r="G27" s="24"/>
      <c r="H27" s="24"/>
      <c r="I27" s="24"/>
      <c r="J27" s="24"/>
      <c r="K27" s="25"/>
    </row>
    <row r="28" s="5" customFormat="1" ht="20" customHeight="1" spans="1:1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5"/>
    </row>
    <row r="29" s="5" customFormat="1" ht="20" customHeight="1" spans="1:11">
      <c r="A29" s="22"/>
      <c r="B29" s="23"/>
      <c r="C29" s="24"/>
      <c r="D29" s="24"/>
      <c r="E29" s="24"/>
      <c r="F29" s="24"/>
      <c r="G29" s="24"/>
      <c r="H29" s="24"/>
      <c r="I29" s="24"/>
      <c r="J29" s="24"/>
      <c r="K29" s="25"/>
    </row>
    <row r="30" s="5" customFormat="1" ht="20" customHeight="1" spans="1:11">
      <c r="A30" s="22"/>
      <c r="B30" s="23"/>
      <c r="C30" s="24"/>
      <c r="D30" s="24"/>
      <c r="E30" s="24"/>
      <c r="F30" s="24"/>
      <c r="G30" s="24"/>
      <c r="H30" s="24"/>
      <c r="I30" s="24"/>
      <c r="J30" s="24"/>
      <c r="K30" s="25"/>
    </row>
    <row r="31" s="5" customFormat="1" ht="20" customHeight="1" spans="1:11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5"/>
    </row>
    <row r="32" s="5" customFormat="1" ht="20" customHeight="1" spans="1:11">
      <c r="A32" s="22"/>
      <c r="B32" s="23"/>
      <c r="C32" s="24"/>
      <c r="D32" s="24"/>
      <c r="E32" s="24"/>
      <c r="F32" s="24"/>
      <c r="G32" s="24"/>
      <c r="H32" s="24"/>
      <c r="I32" s="24"/>
      <c r="J32" s="24"/>
      <c r="K32" s="25"/>
    </row>
    <row r="33" s="5" customFormat="1" ht="20" customHeight="1" spans="1:11">
      <c r="A33" s="22"/>
      <c r="B33" s="23"/>
      <c r="C33" s="24"/>
      <c r="D33" s="24"/>
      <c r="E33" s="24"/>
      <c r="F33" s="24"/>
      <c r="G33" s="24"/>
      <c r="H33" s="24"/>
      <c r="I33" s="24"/>
      <c r="J33" s="24"/>
      <c r="K33" s="25"/>
    </row>
    <row r="34" s="5" customFormat="1" ht="20" customHeight="1" spans="1:11">
      <c r="A34" s="22"/>
      <c r="B34" s="23"/>
      <c r="C34" s="24"/>
      <c r="D34" s="24"/>
      <c r="E34" s="24"/>
      <c r="F34" s="24"/>
      <c r="G34" s="24"/>
      <c r="H34" s="24"/>
      <c r="I34" s="24"/>
      <c r="J34" s="24"/>
      <c r="K34" s="25"/>
    </row>
    <row r="35" s="5" customFormat="1" ht="20" customHeight="1" spans="1:11">
      <c r="A35" s="22"/>
      <c r="B35" s="23"/>
      <c r="C35" s="24"/>
      <c r="D35" s="24"/>
      <c r="E35" s="24"/>
      <c r="F35" s="24"/>
      <c r="G35" s="24"/>
      <c r="H35" s="24"/>
      <c r="I35" s="24"/>
      <c r="J35" s="24"/>
      <c r="K35" s="25"/>
    </row>
    <row r="36" s="5" customFormat="1" ht="20" customHeight="1" spans="1:11">
      <c r="A36" s="22"/>
      <c r="B36" s="23"/>
      <c r="C36" s="24"/>
      <c r="D36" s="24"/>
      <c r="E36" s="24"/>
      <c r="F36" s="24"/>
      <c r="G36" s="24"/>
      <c r="H36" s="24"/>
      <c r="I36" s="24"/>
      <c r="J36" s="24"/>
      <c r="K36" s="25"/>
    </row>
    <row r="37" s="5" customFormat="1" ht="20" customHeight="1" spans="1:11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5"/>
    </row>
    <row r="38" s="5" customFormat="1" ht="20" customHeight="1" spans="1:11">
      <c r="A38" s="22"/>
      <c r="B38" s="23"/>
      <c r="C38" s="24"/>
      <c r="D38" s="24"/>
      <c r="E38" s="24"/>
      <c r="F38" s="24"/>
      <c r="G38" s="24"/>
      <c r="H38" s="24"/>
      <c r="I38" s="24"/>
      <c r="J38" s="24"/>
      <c r="K38" s="25"/>
    </row>
    <row r="39" s="5" customFormat="1" ht="20" customHeight="1" spans="1:11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5"/>
    </row>
    <row r="40" s="5" customFormat="1" ht="20" customHeight="1" spans="1:11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5"/>
    </row>
    <row r="41" s="5" customFormat="1" ht="20" customHeight="1" spans="1:11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5"/>
    </row>
    <row r="42" s="5" customFormat="1" ht="20" customHeight="1" spans="1:11">
      <c r="A42" s="22"/>
      <c r="B42" s="23"/>
      <c r="C42" s="24"/>
      <c r="D42" s="24"/>
      <c r="E42" s="24"/>
      <c r="F42" s="24"/>
      <c r="G42" s="24"/>
      <c r="H42" s="24"/>
      <c r="I42" s="24"/>
      <c r="J42" s="24"/>
      <c r="K42" s="25"/>
    </row>
    <row r="43" s="5" customFormat="1" ht="20" customHeight="1" spans="1:1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5"/>
    </row>
    <row r="44" s="5" customFormat="1" ht="20" customHeight="1" spans="1:11">
      <c r="A44" s="22"/>
      <c r="B44" s="23"/>
      <c r="C44" s="24"/>
      <c r="D44" s="24"/>
      <c r="E44" s="24"/>
      <c r="F44" s="24"/>
      <c r="G44" s="24"/>
      <c r="H44" s="24"/>
      <c r="I44" s="24"/>
      <c r="J44" s="24"/>
      <c r="K44" s="25"/>
    </row>
    <row r="45" s="5" customFormat="1" ht="20" customHeight="1" spans="1:11">
      <c r="A45" s="22"/>
      <c r="B45" s="23"/>
      <c r="C45" s="24"/>
      <c r="D45" s="24"/>
      <c r="E45" s="24"/>
      <c r="F45" s="24"/>
      <c r="G45" s="24"/>
      <c r="H45" s="24"/>
      <c r="I45" s="24"/>
      <c r="J45" s="24"/>
      <c r="K45" s="25"/>
    </row>
    <row r="46" s="5" customFormat="1" ht="20" customHeight="1" spans="1:11">
      <c r="A46" s="22"/>
      <c r="B46" s="23"/>
      <c r="C46" s="24"/>
      <c r="D46" s="24"/>
      <c r="E46" s="24"/>
      <c r="F46" s="24"/>
      <c r="G46" s="24"/>
      <c r="H46" s="24"/>
      <c r="I46" s="24"/>
      <c r="J46" s="24"/>
      <c r="K46" s="25"/>
    </row>
    <row r="47" s="5" customFormat="1" ht="20" customHeight="1" spans="1:11">
      <c r="A47" s="22"/>
      <c r="B47" s="23"/>
      <c r="C47" s="24"/>
      <c r="D47" s="24"/>
      <c r="E47" s="24"/>
      <c r="F47" s="24"/>
      <c r="G47" s="24"/>
      <c r="H47" s="24"/>
      <c r="I47" s="24"/>
      <c r="J47" s="24"/>
      <c r="K47" s="25"/>
    </row>
    <row r="48" s="5" customFormat="1" ht="20" customHeight="1" spans="1:11">
      <c r="A48" s="22"/>
      <c r="B48" s="23"/>
      <c r="C48" s="24"/>
      <c r="D48" s="24"/>
      <c r="E48" s="24"/>
      <c r="F48" s="24"/>
      <c r="G48" s="24"/>
      <c r="H48" s="24"/>
      <c r="I48" s="24"/>
      <c r="J48" s="24"/>
      <c r="K48" s="25"/>
    </row>
    <row r="49" s="5" customFormat="1" ht="20" customHeight="1" spans="1:11">
      <c r="A49" s="22"/>
      <c r="B49" s="23"/>
      <c r="C49" s="24"/>
      <c r="D49" s="24"/>
      <c r="E49" s="24"/>
      <c r="F49" s="24"/>
      <c r="G49" s="24"/>
      <c r="H49" s="24"/>
      <c r="I49" s="24"/>
      <c r="J49" s="24"/>
      <c r="K49" s="25"/>
    </row>
    <row r="50" s="5" customFormat="1" ht="20" customHeight="1" spans="1:11">
      <c r="A50" s="22"/>
      <c r="B50" s="23"/>
      <c r="C50" s="24"/>
      <c r="D50" s="24"/>
      <c r="E50" s="24"/>
      <c r="F50" s="24"/>
      <c r="G50" s="24"/>
      <c r="H50" s="24"/>
      <c r="I50" s="24"/>
      <c r="J50" s="24"/>
      <c r="K50" s="25"/>
    </row>
    <row r="51" s="5" customFormat="1" ht="20" customHeight="1" spans="1:11">
      <c r="A51" s="22"/>
      <c r="B51" s="23"/>
      <c r="C51" s="24"/>
      <c r="D51" s="24"/>
      <c r="E51" s="24"/>
      <c r="F51" s="24"/>
      <c r="G51" s="24"/>
      <c r="H51" s="24"/>
      <c r="I51" s="24"/>
      <c r="J51" s="24"/>
      <c r="K51" s="25"/>
    </row>
    <row r="52" s="5" customFormat="1" ht="20" customHeight="1" spans="1:11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5"/>
    </row>
    <row r="53" s="5" customFormat="1" ht="20" customHeight="1" spans="1:11">
      <c r="A53" s="22"/>
      <c r="B53" s="23"/>
      <c r="C53" s="24"/>
      <c r="D53" s="24"/>
      <c r="E53" s="24"/>
      <c r="F53" s="24"/>
      <c r="G53" s="24"/>
      <c r="H53" s="24"/>
      <c r="I53" s="24"/>
      <c r="J53" s="24"/>
      <c r="K53" s="25"/>
    </row>
    <row r="54" s="5" customFormat="1" ht="20" customHeight="1" spans="1:11">
      <c r="A54" s="22"/>
      <c r="B54" s="23"/>
      <c r="C54" s="24"/>
      <c r="D54" s="24"/>
      <c r="E54" s="24"/>
      <c r="F54" s="24"/>
      <c r="G54" s="24"/>
      <c r="H54" s="24"/>
      <c r="I54" s="24"/>
      <c r="J54" s="24"/>
      <c r="K54" s="25"/>
    </row>
    <row r="55" s="5" customFormat="1" ht="20" customHeight="1" spans="1:11">
      <c r="A55" s="22"/>
      <c r="B55" s="23"/>
      <c r="C55" s="24"/>
      <c r="D55" s="24"/>
      <c r="E55" s="24"/>
      <c r="F55" s="24"/>
      <c r="G55" s="24"/>
      <c r="H55" s="24"/>
      <c r="I55" s="24"/>
      <c r="J55" s="24"/>
      <c r="K55" s="25"/>
    </row>
    <row r="56" s="5" customFormat="1" ht="20" customHeight="1" spans="1:11">
      <c r="A56" s="22"/>
      <c r="B56" s="23"/>
      <c r="C56" s="24"/>
      <c r="D56" s="24"/>
      <c r="E56" s="24"/>
      <c r="F56" s="24"/>
      <c r="G56" s="24"/>
      <c r="H56" s="24"/>
      <c r="I56" s="24"/>
      <c r="J56" s="24"/>
      <c r="K56" s="25"/>
    </row>
    <row r="57" s="5" customFormat="1" ht="20" customHeight="1" spans="1:11">
      <c r="A57" s="22"/>
      <c r="B57" s="23"/>
      <c r="C57" s="24"/>
      <c r="D57" s="24"/>
      <c r="E57" s="24"/>
      <c r="F57" s="24"/>
      <c r="G57" s="24"/>
      <c r="H57" s="24"/>
      <c r="I57" s="24"/>
      <c r="J57" s="24"/>
      <c r="K57" s="25"/>
    </row>
    <row r="58" s="5" customFormat="1" ht="20" customHeight="1" spans="1:11">
      <c r="A58" s="22"/>
      <c r="B58" s="23"/>
      <c r="C58" s="24"/>
      <c r="D58" s="24"/>
      <c r="E58" s="24"/>
      <c r="F58" s="24"/>
      <c r="G58" s="24"/>
      <c r="H58" s="24"/>
      <c r="I58" s="24"/>
      <c r="J58" s="24"/>
      <c r="K58" s="25"/>
    </row>
    <row r="59" s="5" customFormat="1" ht="20" customHeight="1" spans="1:11">
      <c r="A59" s="22"/>
      <c r="B59" s="23"/>
      <c r="C59" s="24"/>
      <c r="D59" s="24"/>
      <c r="E59" s="24"/>
      <c r="F59" s="24"/>
      <c r="G59" s="24"/>
      <c r="H59" s="24"/>
      <c r="I59" s="24"/>
      <c r="J59" s="24"/>
      <c r="K59" s="25"/>
    </row>
    <row r="60" s="5" customFormat="1" ht="20" customHeight="1" spans="1:11">
      <c r="A60" s="22"/>
      <c r="B60" s="23"/>
      <c r="C60" s="24"/>
      <c r="D60" s="24"/>
      <c r="E60" s="24"/>
      <c r="F60" s="24"/>
      <c r="G60" s="24"/>
      <c r="H60" s="24"/>
      <c r="I60" s="24"/>
      <c r="J60" s="24"/>
      <c r="K60" s="25"/>
    </row>
    <row r="61" s="5" customFormat="1" ht="20" customHeight="1" spans="1:11">
      <c r="A61" s="22"/>
      <c r="B61" s="23"/>
      <c r="C61" s="24"/>
      <c r="D61" s="24"/>
      <c r="E61" s="24"/>
      <c r="F61" s="24"/>
      <c r="G61" s="24"/>
      <c r="H61" s="24"/>
      <c r="I61" s="24"/>
      <c r="J61" s="24"/>
      <c r="K61" s="25"/>
    </row>
    <row r="62" s="5" customFormat="1" ht="20" customHeight="1" spans="1:11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5"/>
    </row>
    <row r="63" s="5" customFormat="1" ht="20" customHeight="1" spans="1:1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5"/>
    </row>
    <row r="64" s="5" customFormat="1" ht="20" customHeight="1" spans="1:11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5"/>
    </row>
    <row r="65" s="5" customFormat="1" ht="20" customHeight="1" spans="1:11">
      <c r="A65" s="22"/>
      <c r="B65" s="23"/>
      <c r="C65" s="24"/>
      <c r="D65" s="24"/>
      <c r="E65" s="24"/>
      <c r="F65" s="24"/>
      <c r="G65" s="24"/>
      <c r="H65" s="24"/>
      <c r="I65" s="24"/>
      <c r="J65" s="24"/>
      <c r="K65" s="25"/>
    </row>
    <row r="66" s="5" customFormat="1" ht="20" customHeight="1" spans="1:11">
      <c r="A66" s="22"/>
      <c r="B66" s="23"/>
      <c r="C66" s="24"/>
      <c r="D66" s="24"/>
      <c r="E66" s="24"/>
      <c r="F66" s="24"/>
      <c r="G66" s="24"/>
      <c r="H66" s="24"/>
      <c r="I66" s="24"/>
      <c r="J66" s="24"/>
      <c r="K66" s="25"/>
    </row>
    <row r="67" s="5" customFormat="1" ht="20" customHeight="1" spans="1:11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5"/>
    </row>
    <row r="68" s="5" customFormat="1" ht="20" customHeight="1" spans="1:11">
      <c r="A68" s="22"/>
      <c r="B68" s="23"/>
      <c r="C68" s="24"/>
      <c r="D68" s="24"/>
      <c r="E68" s="24"/>
      <c r="F68" s="24"/>
      <c r="G68" s="24"/>
      <c r="H68" s="24"/>
      <c r="I68" s="24"/>
      <c r="J68" s="24"/>
      <c r="K68" s="25"/>
    </row>
    <row r="69" s="5" customFormat="1" ht="20" customHeight="1" spans="1:11">
      <c r="A69" s="22"/>
      <c r="B69" s="23"/>
      <c r="C69" s="24"/>
      <c r="D69" s="24"/>
      <c r="E69" s="24"/>
      <c r="F69" s="24"/>
      <c r="G69" s="24"/>
      <c r="H69" s="24"/>
      <c r="I69" s="24"/>
      <c r="J69" s="24"/>
      <c r="K69" s="25"/>
    </row>
    <row r="70" s="5" customFormat="1" ht="20" customHeight="1" spans="1:11">
      <c r="A70" s="22"/>
      <c r="B70" s="23"/>
      <c r="C70" s="24"/>
      <c r="D70" s="24"/>
      <c r="E70" s="24"/>
      <c r="F70" s="24"/>
      <c r="G70" s="24"/>
      <c r="H70" s="24"/>
      <c r="I70" s="24"/>
      <c r="J70" s="24"/>
      <c r="K70" s="25"/>
    </row>
    <row r="71" s="5" customFormat="1" ht="20" customHeight="1" spans="1:11">
      <c r="A71" s="22"/>
      <c r="B71" s="23"/>
      <c r="C71" s="24"/>
      <c r="D71" s="24"/>
      <c r="E71" s="24"/>
      <c r="F71" s="24"/>
      <c r="G71" s="24"/>
      <c r="H71" s="24"/>
      <c r="I71" s="24"/>
      <c r="J71" s="24"/>
      <c r="K71" s="25"/>
    </row>
    <row r="72" s="5" customFormat="1" ht="20" customHeight="1" spans="1:11">
      <c r="A72" s="22"/>
      <c r="B72" s="23"/>
      <c r="C72" s="24"/>
      <c r="D72" s="24"/>
      <c r="E72" s="24"/>
      <c r="F72" s="24"/>
      <c r="G72" s="24"/>
      <c r="H72" s="24"/>
      <c r="I72" s="24"/>
      <c r="J72" s="24"/>
      <c r="K72" s="25"/>
    </row>
    <row r="73" s="5" customFormat="1" ht="20" customHeight="1" spans="1:11">
      <c r="A73" s="22"/>
      <c r="B73" s="23"/>
      <c r="C73" s="24"/>
      <c r="D73" s="24"/>
      <c r="E73" s="24"/>
      <c r="F73" s="24"/>
      <c r="G73" s="24"/>
      <c r="H73" s="24"/>
      <c r="I73" s="24"/>
      <c r="J73" s="24"/>
      <c r="K73" s="25"/>
    </row>
    <row r="74" s="5" customFormat="1" ht="20" customHeight="1" spans="1:11">
      <c r="A74" s="22"/>
      <c r="B74" s="23"/>
      <c r="C74" s="24"/>
      <c r="D74" s="24"/>
      <c r="E74" s="24"/>
      <c r="F74" s="24"/>
      <c r="G74" s="24"/>
      <c r="H74" s="24"/>
      <c r="I74" s="24"/>
      <c r="J74" s="24"/>
      <c r="K74" s="25"/>
    </row>
    <row r="75" s="5" customFormat="1" ht="20" customHeight="1" spans="1:11">
      <c r="A75" s="22"/>
      <c r="B75" s="23"/>
      <c r="C75" s="24"/>
      <c r="D75" s="24"/>
      <c r="E75" s="24"/>
      <c r="F75" s="24"/>
      <c r="G75" s="24"/>
      <c r="H75" s="24"/>
      <c r="I75" s="24"/>
      <c r="J75" s="24"/>
      <c r="K75" s="25"/>
    </row>
    <row r="76" s="5" customFormat="1" ht="20" customHeight="1" spans="1:11">
      <c r="A76" s="22"/>
      <c r="B76" s="23"/>
      <c r="C76" s="24"/>
      <c r="D76" s="24"/>
      <c r="E76" s="24"/>
      <c r="F76" s="24"/>
      <c r="G76" s="24"/>
      <c r="H76" s="24"/>
      <c r="I76" s="24"/>
      <c r="J76" s="24"/>
      <c r="K76" s="25"/>
    </row>
    <row r="77" s="5" customFormat="1" ht="20" customHeight="1" spans="1:11">
      <c r="A77" s="22"/>
      <c r="B77" s="23"/>
      <c r="C77" s="24"/>
      <c r="D77" s="24"/>
      <c r="E77" s="24"/>
      <c r="F77" s="24"/>
      <c r="G77" s="24"/>
      <c r="H77" s="24"/>
      <c r="I77" s="24"/>
      <c r="J77" s="24"/>
      <c r="K77" s="25"/>
    </row>
    <row r="78" s="5" customFormat="1" ht="20" customHeight="1" spans="1:11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5"/>
    </row>
    <row r="79" s="5" customFormat="1" ht="20" customHeight="1" spans="1:11">
      <c r="A79" s="22"/>
      <c r="B79" s="23"/>
      <c r="C79" s="24"/>
      <c r="D79" s="24"/>
      <c r="E79" s="24"/>
      <c r="F79" s="24"/>
      <c r="G79" s="24"/>
      <c r="H79" s="24"/>
      <c r="I79" s="24"/>
      <c r="J79" s="24"/>
      <c r="K79" s="25"/>
    </row>
    <row r="80" s="5" customFormat="1" ht="20" customHeight="1" spans="1:11">
      <c r="A80" s="22"/>
      <c r="B80" s="23"/>
      <c r="C80" s="24"/>
      <c r="D80" s="24"/>
      <c r="E80" s="24"/>
      <c r="F80" s="24"/>
      <c r="G80" s="24"/>
      <c r="H80" s="24"/>
      <c r="I80" s="24"/>
      <c r="J80" s="24"/>
      <c r="K80" s="25"/>
    </row>
    <row r="81" s="5" customFormat="1" ht="20" customHeight="1" spans="1:11">
      <c r="A81" s="22"/>
      <c r="B81" s="23"/>
      <c r="C81" s="24"/>
      <c r="D81" s="24"/>
      <c r="E81" s="24"/>
      <c r="F81" s="24"/>
      <c r="G81" s="24"/>
      <c r="H81" s="24"/>
      <c r="I81" s="24"/>
      <c r="J81" s="24"/>
      <c r="K81" s="25"/>
    </row>
    <row r="82" s="5" customFormat="1" ht="20" customHeight="1" spans="1:11">
      <c r="A82" s="22"/>
      <c r="B82" s="23"/>
      <c r="C82" s="24"/>
      <c r="D82" s="24"/>
      <c r="E82" s="24"/>
      <c r="F82" s="24"/>
      <c r="G82" s="24"/>
      <c r="H82" s="24"/>
      <c r="I82" s="24"/>
      <c r="J82" s="24"/>
      <c r="K82" s="25"/>
    </row>
    <row r="83" s="5" customFormat="1" ht="20" customHeight="1" spans="1:11">
      <c r="A83" s="22"/>
      <c r="B83" s="23"/>
      <c r="C83" s="24"/>
      <c r="D83" s="24"/>
      <c r="E83" s="24"/>
      <c r="F83" s="24"/>
      <c r="G83" s="24"/>
      <c r="H83" s="24"/>
      <c r="I83" s="24"/>
      <c r="J83" s="24"/>
      <c r="K83" s="25"/>
    </row>
    <row r="84" s="5" customFormat="1" ht="20" customHeight="1" spans="1:11">
      <c r="A84" s="22"/>
      <c r="B84" s="23"/>
      <c r="C84" s="24"/>
      <c r="D84" s="24"/>
      <c r="E84" s="24"/>
      <c r="F84" s="24"/>
      <c r="G84" s="24"/>
      <c r="H84" s="24"/>
      <c r="I84" s="24"/>
      <c r="J84" s="24"/>
      <c r="K84" s="25"/>
    </row>
    <row r="85" s="5" customFormat="1" ht="20" customHeight="1" spans="1:11">
      <c r="A85" s="22"/>
      <c r="B85" s="23"/>
      <c r="C85" s="24"/>
      <c r="D85" s="24"/>
      <c r="E85" s="24"/>
      <c r="F85" s="24"/>
      <c r="G85" s="24"/>
      <c r="H85" s="24"/>
      <c r="I85" s="24"/>
      <c r="J85" s="24"/>
      <c r="K85" s="25"/>
    </row>
    <row r="86" s="5" customFormat="1" ht="20" customHeight="1" spans="1:11">
      <c r="A86" s="22"/>
      <c r="B86" s="23"/>
      <c r="C86" s="24"/>
      <c r="D86" s="24"/>
      <c r="E86" s="24"/>
      <c r="F86" s="24"/>
      <c r="G86" s="24"/>
      <c r="H86" s="24"/>
      <c r="I86" s="24"/>
      <c r="J86" s="24"/>
      <c r="K86" s="25"/>
    </row>
    <row r="87" s="5" customFormat="1" ht="20" customHeight="1" spans="1:11">
      <c r="A87" s="22"/>
      <c r="B87" s="23"/>
      <c r="C87" s="24"/>
      <c r="D87" s="24"/>
      <c r="E87" s="24"/>
      <c r="F87" s="24"/>
      <c r="G87" s="24"/>
      <c r="H87" s="24"/>
      <c r="I87" s="24"/>
      <c r="J87" s="24"/>
      <c r="K87" s="25"/>
    </row>
    <row r="88" s="5" customFormat="1" ht="20" customHeight="1" spans="1:11">
      <c r="A88" s="22"/>
      <c r="B88" s="23"/>
      <c r="C88" s="24"/>
      <c r="D88" s="24"/>
      <c r="E88" s="24"/>
      <c r="F88" s="24"/>
      <c r="G88" s="24"/>
      <c r="H88" s="24"/>
      <c r="I88" s="24"/>
      <c r="J88" s="24"/>
      <c r="K88" s="25"/>
    </row>
    <row r="89" s="5" customFormat="1" ht="20" customHeight="1" spans="1:11">
      <c r="A89" s="22"/>
      <c r="B89" s="23"/>
      <c r="C89" s="24"/>
      <c r="D89" s="24"/>
      <c r="E89" s="24"/>
      <c r="F89" s="24"/>
      <c r="G89" s="24"/>
      <c r="H89" s="24"/>
      <c r="I89" s="24"/>
      <c r="J89" s="24"/>
      <c r="K89" s="25"/>
    </row>
    <row r="90" s="5" customFormat="1" ht="20" customHeight="1" spans="1:11">
      <c r="A90" s="22"/>
      <c r="B90" s="23"/>
      <c r="C90" s="24"/>
      <c r="D90" s="24"/>
      <c r="E90" s="24"/>
      <c r="F90" s="24"/>
      <c r="G90" s="24"/>
      <c r="H90" s="24"/>
      <c r="I90" s="24"/>
      <c r="J90" s="24"/>
      <c r="K90" s="25"/>
    </row>
    <row r="91" s="5" customFormat="1" ht="20" customHeight="1" spans="1:11">
      <c r="A91" s="22"/>
      <c r="B91" s="23"/>
      <c r="C91" s="24"/>
      <c r="D91" s="24"/>
      <c r="E91" s="24"/>
      <c r="F91" s="24"/>
      <c r="G91" s="24"/>
      <c r="H91" s="24"/>
      <c r="I91" s="24"/>
      <c r="J91" s="24"/>
      <c r="K91" s="25"/>
    </row>
    <row r="92" s="5" customFormat="1" ht="20" customHeight="1" spans="1:11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5"/>
    </row>
    <row r="93" s="5" customFormat="1" ht="20" customHeight="1" spans="1:11">
      <c r="A93" s="22"/>
      <c r="B93" s="23"/>
      <c r="C93" s="24"/>
      <c r="D93" s="24"/>
      <c r="E93" s="24"/>
      <c r="F93" s="24"/>
      <c r="G93" s="24"/>
      <c r="H93" s="24"/>
      <c r="I93" s="24"/>
      <c r="J93" s="24"/>
      <c r="K93" s="25"/>
    </row>
    <row r="94" s="5" customFormat="1" ht="20" customHeight="1" spans="1:11">
      <c r="A94" s="22"/>
      <c r="B94" s="23"/>
      <c r="C94" s="24"/>
      <c r="D94" s="24"/>
      <c r="E94" s="24"/>
      <c r="F94" s="24"/>
      <c r="G94" s="24"/>
      <c r="H94" s="24"/>
      <c r="I94" s="24"/>
      <c r="J94" s="24"/>
      <c r="K94" s="25"/>
    </row>
    <row r="95" s="5" customFormat="1" ht="20" customHeight="1" spans="1:11">
      <c r="A95" s="22"/>
      <c r="B95" s="23"/>
      <c r="C95" s="24"/>
      <c r="D95" s="24"/>
      <c r="E95" s="24"/>
      <c r="F95" s="24"/>
      <c r="G95" s="24"/>
      <c r="H95" s="24"/>
      <c r="I95" s="24"/>
      <c r="J95" s="24"/>
      <c r="K95" s="25"/>
    </row>
    <row r="96" s="5" customFormat="1" ht="20" customHeight="1" spans="1:11">
      <c r="A96" s="22"/>
      <c r="B96" s="23"/>
      <c r="C96" s="24"/>
      <c r="D96" s="24"/>
      <c r="E96" s="24"/>
      <c r="F96" s="24"/>
      <c r="G96" s="24"/>
      <c r="H96" s="24"/>
      <c r="I96" s="24"/>
      <c r="J96" s="24"/>
      <c r="K96" s="25"/>
    </row>
    <row r="97" s="5" customFormat="1" ht="20" customHeight="1" spans="1:11">
      <c r="A97" s="22"/>
      <c r="B97" s="23"/>
      <c r="C97" s="24"/>
      <c r="D97" s="24"/>
      <c r="E97" s="24"/>
      <c r="F97" s="24"/>
      <c r="G97" s="24"/>
      <c r="H97" s="24"/>
      <c r="I97" s="24"/>
      <c r="J97" s="24"/>
      <c r="K97" s="25"/>
    </row>
    <row r="98" s="5" customFormat="1" ht="20" customHeight="1" spans="1:11">
      <c r="A98" s="22"/>
      <c r="B98" s="23"/>
      <c r="C98" s="24"/>
      <c r="D98" s="24"/>
      <c r="E98" s="24"/>
      <c r="F98" s="24"/>
      <c r="G98" s="24"/>
      <c r="H98" s="24"/>
      <c r="I98" s="24"/>
      <c r="J98" s="24"/>
      <c r="K98" s="25"/>
    </row>
    <row r="99" s="5" customFormat="1" ht="20" customHeight="1" spans="1:11">
      <c r="A99" s="22"/>
      <c r="B99" s="23"/>
      <c r="C99" s="24"/>
      <c r="D99" s="24"/>
      <c r="E99" s="24"/>
      <c r="F99" s="24"/>
      <c r="G99" s="24"/>
      <c r="H99" s="24"/>
      <c r="I99" s="24"/>
      <c r="J99" s="24"/>
      <c r="K99" s="25"/>
    </row>
    <row r="100" s="5" customFormat="1" ht="20" customHeight="1" spans="1:11">
      <c r="A100" s="22"/>
      <c r="B100" s="23"/>
      <c r="C100" s="24"/>
      <c r="D100" s="24"/>
      <c r="E100" s="24"/>
      <c r="F100" s="24"/>
      <c r="G100" s="24"/>
      <c r="H100" s="24"/>
      <c r="I100" s="24"/>
      <c r="J100" s="24"/>
      <c r="K100" s="25"/>
    </row>
    <row r="101" s="5" customFormat="1" ht="20" customHeight="1" spans="1:11">
      <c r="A101" s="22"/>
      <c r="B101" s="23"/>
      <c r="C101" s="24"/>
      <c r="D101" s="24"/>
      <c r="E101" s="24"/>
      <c r="F101" s="24"/>
      <c r="G101" s="24"/>
      <c r="H101" s="24"/>
      <c r="I101" s="24"/>
      <c r="J101" s="24"/>
      <c r="K101" s="25"/>
    </row>
    <row r="102" s="5" customFormat="1" ht="20" customHeight="1" spans="1:11">
      <c r="A102" s="22"/>
      <c r="B102" s="23"/>
      <c r="C102" s="24"/>
      <c r="D102" s="24"/>
      <c r="E102" s="24"/>
      <c r="F102" s="24"/>
      <c r="G102" s="24"/>
      <c r="H102" s="24"/>
      <c r="I102" s="24"/>
      <c r="J102" s="24"/>
      <c r="K102" s="25"/>
    </row>
    <row r="103" s="5" customFormat="1" ht="20" customHeight="1" spans="1:11">
      <c r="A103" s="22"/>
      <c r="B103" s="23"/>
      <c r="C103" s="24"/>
      <c r="D103" s="24"/>
      <c r="E103" s="24"/>
      <c r="F103" s="24"/>
      <c r="G103" s="24"/>
      <c r="H103" s="24"/>
      <c r="I103" s="24"/>
      <c r="J103" s="24"/>
      <c r="K103" s="25"/>
    </row>
    <row r="104" s="5" customFormat="1" ht="20" customHeight="1" spans="1:11">
      <c r="A104" s="22"/>
      <c r="B104" s="23"/>
      <c r="C104" s="24"/>
      <c r="D104" s="24"/>
      <c r="E104" s="24"/>
      <c r="F104" s="24"/>
      <c r="G104" s="24"/>
      <c r="H104" s="24"/>
      <c r="I104" s="24"/>
      <c r="J104" s="24"/>
      <c r="K104" s="25"/>
    </row>
    <row r="105" s="5" customFormat="1" ht="20" customHeight="1" spans="1:11">
      <c r="A105" s="22"/>
      <c r="B105" s="23"/>
      <c r="C105" s="24"/>
      <c r="D105" s="24"/>
      <c r="E105" s="24"/>
      <c r="F105" s="24"/>
      <c r="G105" s="24"/>
      <c r="H105" s="24"/>
      <c r="I105" s="24"/>
      <c r="J105" s="24"/>
      <c r="K105" s="25"/>
    </row>
    <row r="106" s="5" customFormat="1" ht="20" customHeight="1" spans="1:11">
      <c r="A106" s="22"/>
      <c r="B106" s="23"/>
      <c r="C106" s="24"/>
      <c r="D106" s="24"/>
      <c r="E106" s="24"/>
      <c r="F106" s="24"/>
      <c r="G106" s="24"/>
      <c r="H106" s="24"/>
      <c r="I106" s="24"/>
      <c r="J106" s="24"/>
      <c r="K106" s="25"/>
    </row>
    <row r="107" s="5" customFormat="1" ht="20" customHeight="1" spans="1:11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5"/>
    </row>
    <row r="108" s="5" customFormat="1" ht="20" customHeight="1" spans="1:11">
      <c r="A108" s="22"/>
      <c r="B108" s="23"/>
      <c r="C108" s="24"/>
      <c r="D108" s="24"/>
      <c r="E108" s="24"/>
      <c r="F108" s="24"/>
      <c r="G108" s="24"/>
      <c r="H108" s="24"/>
      <c r="I108" s="24"/>
      <c r="J108" s="24"/>
      <c r="K108" s="25"/>
    </row>
    <row r="109" s="5" customFormat="1" ht="20" customHeight="1" spans="1:11">
      <c r="A109" s="22"/>
      <c r="B109" s="23"/>
      <c r="C109" s="24"/>
      <c r="D109" s="24"/>
      <c r="E109" s="24"/>
      <c r="F109" s="24"/>
      <c r="G109" s="24"/>
      <c r="H109" s="24"/>
      <c r="I109" s="24"/>
      <c r="J109" s="24"/>
      <c r="K109" s="25"/>
    </row>
    <row r="110" s="5" customFormat="1" ht="20" customHeight="1" spans="1:11">
      <c r="A110" s="22"/>
      <c r="B110" s="23"/>
      <c r="C110" s="24"/>
      <c r="D110" s="24"/>
      <c r="E110" s="24"/>
      <c r="F110" s="24"/>
      <c r="G110" s="24"/>
      <c r="H110" s="24"/>
      <c r="I110" s="24"/>
      <c r="J110" s="24"/>
      <c r="K110" s="25"/>
    </row>
    <row r="111" s="5" customFormat="1" ht="20" customHeight="1" spans="1:11">
      <c r="A111" s="22"/>
      <c r="B111" s="23"/>
      <c r="C111" s="24"/>
      <c r="D111" s="24"/>
      <c r="E111" s="24"/>
      <c r="F111" s="24"/>
      <c r="G111" s="24"/>
      <c r="H111" s="24"/>
      <c r="I111" s="24"/>
      <c r="J111" s="24"/>
      <c r="K111" s="25"/>
    </row>
    <row r="112" s="5" customFormat="1" ht="20" customHeight="1" spans="1:11">
      <c r="A112" s="22"/>
      <c r="B112" s="23"/>
      <c r="C112" s="24"/>
      <c r="D112" s="24"/>
      <c r="E112" s="24"/>
      <c r="F112" s="24"/>
      <c r="G112" s="24"/>
      <c r="H112" s="24"/>
      <c r="I112" s="24"/>
      <c r="J112" s="24"/>
      <c r="K112" s="25"/>
    </row>
    <row r="113" s="5" customFormat="1" ht="20" customHeight="1" spans="1:11">
      <c r="A113" s="22"/>
      <c r="B113" s="23"/>
      <c r="C113" s="24"/>
      <c r="D113" s="24"/>
      <c r="E113" s="24"/>
      <c r="F113" s="24"/>
      <c r="G113" s="24"/>
      <c r="H113" s="24"/>
      <c r="I113" s="24"/>
      <c r="J113" s="24"/>
      <c r="K113" s="25"/>
    </row>
    <row r="114" s="5" customFormat="1" ht="20" customHeight="1" spans="1:11">
      <c r="A114" s="22"/>
      <c r="B114" s="23"/>
      <c r="C114" s="24"/>
      <c r="D114" s="24"/>
      <c r="E114" s="24"/>
      <c r="F114" s="24"/>
      <c r="G114" s="24"/>
      <c r="H114" s="24"/>
      <c r="I114" s="24"/>
      <c r="J114" s="24"/>
      <c r="K114" s="25"/>
    </row>
    <row r="115" s="5" customFormat="1" ht="20" customHeight="1" spans="1:11">
      <c r="A115" s="22"/>
      <c r="B115" s="23"/>
      <c r="C115" s="24"/>
      <c r="D115" s="24"/>
      <c r="E115" s="24"/>
      <c r="F115" s="24"/>
      <c r="G115" s="24"/>
      <c r="H115" s="24"/>
      <c r="I115" s="24"/>
      <c r="J115" s="24"/>
      <c r="K115" s="25"/>
    </row>
    <row r="116" s="5" customFormat="1" ht="20" customHeight="1" spans="1:11">
      <c r="A116" s="22"/>
      <c r="B116" s="23"/>
      <c r="C116" s="24"/>
      <c r="D116" s="24"/>
      <c r="E116" s="24"/>
      <c r="F116" s="24"/>
      <c r="G116" s="24"/>
      <c r="H116" s="24"/>
      <c r="I116" s="24"/>
      <c r="J116" s="24"/>
      <c r="K116" s="25"/>
    </row>
    <row r="117" s="5" customFormat="1" ht="20" customHeight="1" spans="1:11">
      <c r="A117" s="22"/>
      <c r="B117" s="23"/>
      <c r="C117" s="24"/>
      <c r="D117" s="24"/>
      <c r="E117" s="24"/>
      <c r="F117" s="24"/>
      <c r="G117" s="24"/>
      <c r="H117" s="24"/>
      <c r="I117" s="24"/>
      <c r="J117" s="24"/>
      <c r="K117" s="25"/>
    </row>
    <row r="118" s="5" customFormat="1" ht="20" customHeight="1" spans="1:11">
      <c r="A118" s="22"/>
      <c r="B118" s="23"/>
      <c r="C118" s="24"/>
      <c r="D118" s="24"/>
      <c r="E118" s="24"/>
      <c r="F118" s="24"/>
      <c r="G118" s="24"/>
      <c r="H118" s="24"/>
      <c r="I118" s="24"/>
      <c r="J118" s="24"/>
      <c r="K118" s="25"/>
    </row>
    <row r="119" s="5" customFormat="1" ht="20" customHeight="1" spans="1:11">
      <c r="A119" s="22"/>
      <c r="B119" s="23"/>
      <c r="C119" s="24"/>
      <c r="D119" s="24"/>
      <c r="E119" s="24"/>
      <c r="F119" s="24"/>
      <c r="G119" s="24"/>
      <c r="H119" s="24"/>
      <c r="I119" s="24"/>
      <c r="J119" s="24"/>
      <c r="K119" s="25"/>
    </row>
    <row r="120" s="5" customFormat="1" ht="20" customHeight="1" spans="1:11">
      <c r="A120" s="22"/>
      <c r="B120" s="23"/>
      <c r="C120" s="24"/>
      <c r="D120" s="24"/>
      <c r="E120" s="24"/>
      <c r="F120" s="24"/>
      <c r="G120" s="24"/>
      <c r="H120" s="24"/>
      <c r="I120" s="24"/>
      <c r="J120" s="24"/>
      <c r="K120" s="25"/>
    </row>
    <row r="121" s="5" customFormat="1" ht="20" customHeight="1" spans="1:11">
      <c r="A121" s="22"/>
      <c r="B121" s="23"/>
      <c r="C121" s="24"/>
      <c r="D121" s="24"/>
      <c r="E121" s="24"/>
      <c r="F121" s="24"/>
      <c r="G121" s="24"/>
      <c r="H121" s="24"/>
      <c r="I121" s="24"/>
      <c r="J121" s="24"/>
      <c r="K121" s="25"/>
    </row>
    <row r="122" s="5" customFormat="1" ht="20" customHeight="1" spans="1:11">
      <c r="A122" s="22"/>
      <c r="B122" s="23"/>
      <c r="C122" s="24"/>
      <c r="D122" s="24"/>
      <c r="E122" s="24"/>
      <c r="F122" s="24"/>
      <c r="G122" s="24"/>
      <c r="H122" s="24"/>
      <c r="I122" s="24"/>
      <c r="J122" s="24"/>
      <c r="K122" s="25"/>
    </row>
    <row r="123" s="5" customFormat="1" ht="20" customHeight="1" spans="1:11">
      <c r="A123" s="22"/>
      <c r="B123" s="23"/>
      <c r="C123" s="24"/>
      <c r="D123" s="24"/>
      <c r="E123" s="24"/>
      <c r="F123" s="24"/>
      <c r="G123" s="24"/>
      <c r="H123" s="24"/>
      <c r="I123" s="24"/>
      <c r="J123" s="24"/>
      <c r="K123" s="25"/>
    </row>
    <row r="124" s="5" customFormat="1" ht="20" customHeight="1" spans="1:11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5"/>
    </row>
    <row r="125" s="5" customFormat="1" ht="20" customHeight="1" spans="1:11">
      <c r="A125" s="22"/>
      <c r="B125" s="23"/>
      <c r="C125" s="24"/>
      <c r="D125" s="24"/>
      <c r="E125" s="24"/>
      <c r="F125" s="24"/>
      <c r="G125" s="24"/>
      <c r="H125" s="24"/>
      <c r="I125" s="24"/>
      <c r="J125" s="24"/>
      <c r="K125" s="25"/>
    </row>
    <row r="126" s="5" customFormat="1" ht="20" customHeight="1" spans="1:11">
      <c r="A126" s="22"/>
      <c r="B126" s="23"/>
      <c r="C126" s="24"/>
      <c r="D126" s="24"/>
      <c r="E126" s="24"/>
      <c r="F126" s="24"/>
      <c r="G126" s="24"/>
      <c r="H126" s="24"/>
      <c r="I126" s="24"/>
      <c r="J126" s="24"/>
      <c r="K126" s="25"/>
    </row>
    <row r="127" s="5" customFormat="1" ht="20" customHeight="1" spans="1:11">
      <c r="A127" s="22"/>
      <c r="B127" s="23"/>
      <c r="C127" s="24"/>
      <c r="D127" s="24"/>
      <c r="E127" s="24"/>
      <c r="F127" s="24"/>
      <c r="G127" s="24"/>
      <c r="H127" s="24"/>
      <c r="I127" s="24"/>
      <c r="J127" s="24"/>
      <c r="K127" s="25"/>
    </row>
    <row r="128" s="5" customFormat="1" ht="20" customHeight="1" spans="1:11">
      <c r="A128" s="22"/>
      <c r="B128" s="23"/>
      <c r="C128" s="24"/>
      <c r="D128" s="24"/>
      <c r="E128" s="24"/>
      <c r="F128" s="24"/>
      <c r="G128" s="24"/>
      <c r="H128" s="24"/>
      <c r="I128" s="24"/>
      <c r="J128" s="24"/>
      <c r="K128" s="25"/>
    </row>
    <row r="129" s="5" customFormat="1" ht="20" customHeight="1" spans="1:11">
      <c r="A129" s="22"/>
      <c r="B129" s="23"/>
      <c r="C129" s="24"/>
      <c r="D129" s="24"/>
      <c r="E129" s="24"/>
      <c r="F129" s="24"/>
      <c r="G129" s="24"/>
      <c r="H129" s="24"/>
      <c r="I129" s="24"/>
      <c r="J129" s="24"/>
      <c r="K129" s="25"/>
    </row>
    <row r="130" s="5" customFormat="1" ht="20" customHeight="1" spans="1:11">
      <c r="A130" s="22"/>
      <c r="B130" s="23"/>
      <c r="C130" s="24"/>
      <c r="D130" s="24"/>
      <c r="E130" s="24"/>
      <c r="F130" s="24"/>
      <c r="G130" s="24"/>
      <c r="H130" s="24"/>
      <c r="I130" s="24"/>
      <c r="J130" s="24"/>
      <c r="K130" s="25"/>
    </row>
    <row r="131" s="5" customFormat="1" ht="20" customHeight="1" spans="1:11">
      <c r="A131" s="22"/>
      <c r="B131" s="23"/>
      <c r="C131" s="24"/>
      <c r="D131" s="24"/>
      <c r="E131" s="24"/>
      <c r="F131" s="24"/>
      <c r="G131" s="24"/>
      <c r="H131" s="24"/>
      <c r="I131" s="24"/>
      <c r="J131" s="24"/>
      <c r="K131" s="25"/>
    </row>
    <row r="132" s="5" customFormat="1" ht="20" customHeight="1" spans="1:11">
      <c r="A132" s="22"/>
      <c r="B132" s="23"/>
      <c r="C132" s="24"/>
      <c r="D132" s="24"/>
      <c r="E132" s="24"/>
      <c r="F132" s="24"/>
      <c r="G132" s="24"/>
      <c r="H132" s="24"/>
      <c r="I132" s="24"/>
      <c r="J132" s="24"/>
      <c r="K132" s="25"/>
    </row>
    <row r="133" s="5" customFormat="1" ht="20" customHeight="1" spans="1:11">
      <c r="A133" s="22"/>
      <c r="B133" s="23"/>
      <c r="C133" s="24"/>
      <c r="D133" s="24"/>
      <c r="E133" s="24"/>
      <c r="F133" s="24"/>
      <c r="G133" s="24"/>
      <c r="H133" s="24"/>
      <c r="I133" s="24"/>
      <c r="J133" s="24"/>
      <c r="K133" s="25"/>
    </row>
    <row r="134" s="5" customFormat="1" ht="20" customHeight="1" spans="1:11">
      <c r="A134" s="22"/>
      <c r="B134" s="23"/>
      <c r="C134" s="24"/>
      <c r="D134" s="24"/>
      <c r="E134" s="24"/>
      <c r="F134" s="24"/>
      <c r="G134" s="24"/>
      <c r="H134" s="24"/>
      <c r="I134" s="24"/>
      <c r="J134" s="24"/>
      <c r="K134" s="25"/>
    </row>
    <row r="135" s="5" customFormat="1" ht="20" customHeight="1" spans="1:11">
      <c r="A135" s="22"/>
      <c r="B135" s="23"/>
      <c r="C135" s="24"/>
      <c r="D135" s="24"/>
      <c r="E135" s="24"/>
      <c r="F135" s="24"/>
      <c r="G135" s="24"/>
      <c r="H135" s="24"/>
      <c r="I135" s="24"/>
      <c r="J135" s="24"/>
      <c r="K135" s="25"/>
    </row>
    <row r="136" s="5" customFormat="1" ht="20" customHeight="1" spans="1:11">
      <c r="A136" s="22"/>
      <c r="B136" s="23"/>
      <c r="C136" s="24"/>
      <c r="D136" s="24"/>
      <c r="E136" s="24"/>
      <c r="F136" s="24"/>
      <c r="G136" s="24"/>
      <c r="H136" s="24"/>
      <c r="I136" s="24"/>
      <c r="J136" s="24"/>
      <c r="K136" s="25"/>
    </row>
    <row r="137" s="5" customFormat="1" ht="20" customHeight="1" spans="1:11">
      <c r="A137" s="22"/>
      <c r="B137" s="23"/>
      <c r="C137" s="24"/>
      <c r="D137" s="24"/>
      <c r="E137" s="24"/>
      <c r="F137" s="24"/>
      <c r="G137" s="24"/>
      <c r="H137" s="24"/>
      <c r="I137" s="24"/>
      <c r="J137" s="24"/>
      <c r="K137" s="25"/>
    </row>
    <row r="138" s="5" customFormat="1" ht="20" customHeight="1" spans="1:11">
      <c r="A138" s="22"/>
      <c r="B138" s="23"/>
      <c r="C138" s="24"/>
      <c r="D138" s="24"/>
      <c r="E138" s="24"/>
      <c r="F138" s="24"/>
      <c r="G138" s="24"/>
      <c r="H138" s="24"/>
      <c r="I138" s="24"/>
      <c r="J138" s="24"/>
      <c r="K138" s="25"/>
    </row>
    <row r="139" s="5" customFormat="1" ht="20" customHeight="1" spans="1:11">
      <c r="A139" s="22"/>
      <c r="B139" s="23"/>
      <c r="C139" s="24"/>
      <c r="D139" s="24"/>
      <c r="E139" s="24"/>
      <c r="F139" s="24"/>
      <c r="G139" s="24"/>
      <c r="H139" s="24"/>
      <c r="I139" s="24"/>
      <c r="J139" s="24"/>
      <c r="K139" s="25"/>
    </row>
    <row r="140" s="5" customFormat="1" ht="20" customHeight="1" spans="1:11">
      <c r="A140" s="22"/>
      <c r="B140" s="23"/>
      <c r="C140" s="24"/>
      <c r="D140" s="24"/>
      <c r="E140" s="24"/>
      <c r="F140" s="24"/>
      <c r="G140" s="24"/>
      <c r="H140" s="24"/>
      <c r="I140" s="24"/>
      <c r="J140" s="24"/>
      <c r="K140" s="25"/>
    </row>
    <row r="141" s="5" customFormat="1" ht="20" customHeight="1" spans="1:11">
      <c r="A141" s="22"/>
      <c r="B141" s="23"/>
      <c r="C141" s="24"/>
      <c r="D141" s="24"/>
      <c r="E141" s="24"/>
      <c r="F141" s="24"/>
      <c r="G141" s="24"/>
      <c r="H141" s="24"/>
      <c r="I141" s="24"/>
      <c r="J141" s="24"/>
      <c r="K141" s="25"/>
    </row>
    <row r="142" s="5" customFormat="1" ht="20" customHeight="1" spans="1:11">
      <c r="A142" s="22"/>
      <c r="B142" s="23"/>
      <c r="C142" s="24"/>
      <c r="D142" s="24"/>
      <c r="E142" s="24"/>
      <c r="F142" s="24"/>
      <c r="G142" s="24"/>
      <c r="H142" s="24"/>
      <c r="I142" s="24"/>
      <c r="J142" s="24"/>
      <c r="K142" s="25"/>
    </row>
    <row r="143" s="5" customFormat="1" ht="20" customHeight="1" spans="1:11">
      <c r="A143" s="22"/>
      <c r="B143" s="23"/>
      <c r="C143" s="24"/>
      <c r="D143" s="24"/>
      <c r="E143" s="24"/>
      <c r="F143" s="24"/>
      <c r="G143" s="24"/>
      <c r="H143" s="24"/>
      <c r="I143" s="24"/>
      <c r="J143" s="24"/>
      <c r="K143" s="25"/>
    </row>
    <row r="144" s="5" customFormat="1" ht="20" customHeight="1" spans="1:11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5"/>
    </row>
    <row r="145" s="5" customFormat="1" ht="20" customHeight="1" spans="1:11">
      <c r="A145" s="22"/>
      <c r="B145" s="23"/>
      <c r="C145" s="24"/>
      <c r="D145" s="24"/>
      <c r="E145" s="24"/>
      <c r="F145" s="24"/>
      <c r="G145" s="24"/>
      <c r="H145" s="24"/>
      <c r="I145" s="24"/>
      <c r="J145" s="24"/>
      <c r="K145" s="25"/>
    </row>
    <row r="146" s="5" customFormat="1" ht="20" customHeight="1" spans="1:11">
      <c r="A146" s="22"/>
      <c r="B146" s="23"/>
      <c r="C146" s="24"/>
      <c r="D146" s="24"/>
      <c r="E146" s="24"/>
      <c r="F146" s="24"/>
      <c r="G146" s="24"/>
      <c r="H146" s="24"/>
      <c r="I146" s="24"/>
      <c r="J146" s="24"/>
      <c r="K146" s="25"/>
    </row>
    <row r="147" s="5" customFormat="1" ht="20" customHeight="1" spans="1:11">
      <c r="A147" s="22"/>
      <c r="B147" s="23"/>
      <c r="C147" s="24"/>
      <c r="D147" s="24"/>
      <c r="E147" s="24"/>
      <c r="F147" s="24"/>
      <c r="G147" s="24"/>
      <c r="H147" s="24"/>
      <c r="I147" s="24"/>
      <c r="J147" s="24"/>
      <c r="K147" s="25"/>
    </row>
    <row r="148" s="5" customFormat="1" ht="20" customHeight="1" spans="1:11">
      <c r="A148" s="22"/>
      <c r="B148" s="23"/>
      <c r="C148" s="24"/>
      <c r="D148" s="24"/>
      <c r="E148" s="24"/>
      <c r="F148" s="24"/>
      <c r="G148" s="24"/>
      <c r="H148" s="24"/>
      <c r="I148" s="24"/>
      <c r="J148" s="24"/>
      <c r="K148" s="25"/>
    </row>
    <row r="149" s="5" customFormat="1" ht="20" customHeight="1" spans="1:11">
      <c r="A149" s="22"/>
      <c r="B149" s="23"/>
      <c r="C149" s="24"/>
      <c r="D149" s="24"/>
      <c r="E149" s="24"/>
      <c r="F149" s="24"/>
      <c r="G149" s="24"/>
      <c r="H149" s="24"/>
      <c r="I149" s="24"/>
      <c r="J149" s="24"/>
      <c r="K149" s="25"/>
    </row>
    <row r="150" s="5" customFormat="1" ht="20" customHeight="1" spans="1:11">
      <c r="A150" s="22"/>
      <c r="B150" s="23"/>
      <c r="C150" s="24"/>
      <c r="D150" s="24"/>
      <c r="E150" s="24"/>
      <c r="F150" s="24"/>
      <c r="G150" s="24"/>
      <c r="H150" s="24"/>
      <c r="I150" s="24"/>
      <c r="J150" s="24"/>
      <c r="K150" s="25"/>
    </row>
    <row r="151" s="5" customFormat="1" ht="20" customHeight="1" spans="1:11">
      <c r="A151" s="22"/>
      <c r="B151" s="23"/>
      <c r="C151" s="24"/>
      <c r="D151" s="24"/>
      <c r="E151" s="24"/>
      <c r="F151" s="24"/>
      <c r="G151" s="24"/>
      <c r="H151" s="24"/>
      <c r="I151" s="24"/>
      <c r="J151" s="24"/>
      <c r="K151" s="25"/>
    </row>
    <row r="152" s="5" customFormat="1" ht="20" customHeight="1" spans="1:11">
      <c r="A152" s="22"/>
      <c r="B152" s="23"/>
      <c r="C152" s="24"/>
      <c r="D152" s="24"/>
      <c r="E152" s="24"/>
      <c r="F152" s="24"/>
      <c r="G152" s="24"/>
      <c r="H152" s="24"/>
      <c r="I152" s="24"/>
      <c r="J152" s="24"/>
      <c r="K152" s="25"/>
    </row>
    <row r="153" s="5" customFormat="1" ht="20" customHeight="1" spans="1:11">
      <c r="A153" s="22"/>
      <c r="B153" s="23"/>
      <c r="C153" s="24"/>
      <c r="D153" s="24"/>
      <c r="E153" s="24"/>
      <c r="F153" s="24"/>
      <c r="G153" s="24"/>
      <c r="H153" s="24"/>
      <c r="I153" s="24"/>
      <c r="J153" s="24"/>
      <c r="K153" s="25"/>
    </row>
    <row r="154" s="5" customFormat="1" ht="20" customHeight="1" spans="1:11">
      <c r="A154" s="22"/>
      <c r="B154" s="23"/>
      <c r="C154" s="24"/>
      <c r="D154" s="24"/>
      <c r="E154" s="24"/>
      <c r="F154" s="24"/>
      <c r="G154" s="24"/>
      <c r="H154" s="24"/>
      <c r="I154" s="24"/>
      <c r="J154" s="24"/>
      <c r="K154" s="25"/>
    </row>
    <row r="155" s="5" customFormat="1" ht="20" customHeight="1" spans="1:11">
      <c r="A155" s="22"/>
      <c r="B155" s="23"/>
      <c r="C155" s="24"/>
      <c r="D155" s="24"/>
      <c r="E155" s="24"/>
      <c r="F155" s="24"/>
      <c r="G155" s="24"/>
      <c r="H155" s="24"/>
      <c r="I155" s="24"/>
      <c r="J155" s="24"/>
      <c r="K155" s="25"/>
    </row>
    <row r="156" s="5" customFormat="1" ht="20" customHeight="1" spans="1:11">
      <c r="A156" s="22"/>
      <c r="B156" s="23"/>
      <c r="C156" s="24"/>
      <c r="D156" s="24"/>
      <c r="E156" s="24"/>
      <c r="F156" s="24"/>
      <c r="G156" s="24"/>
      <c r="H156" s="24"/>
      <c r="I156" s="24"/>
      <c r="J156" s="24"/>
      <c r="K156" s="25"/>
    </row>
    <row r="157" s="5" customFormat="1" ht="20" customHeight="1" spans="1:11">
      <c r="A157" s="22"/>
      <c r="B157" s="23"/>
      <c r="C157" s="24"/>
      <c r="D157" s="24"/>
      <c r="E157" s="24"/>
      <c r="F157" s="24"/>
      <c r="G157" s="24"/>
      <c r="H157" s="24"/>
      <c r="I157" s="24"/>
      <c r="J157" s="24"/>
      <c r="K157" s="25"/>
    </row>
    <row r="158" s="5" customFormat="1" ht="20" customHeight="1" spans="1:11">
      <c r="A158" s="22"/>
      <c r="B158" s="23"/>
      <c r="C158" s="24"/>
      <c r="D158" s="24"/>
      <c r="E158" s="24"/>
      <c r="F158" s="24"/>
      <c r="G158" s="24"/>
      <c r="H158" s="24"/>
      <c r="I158" s="24"/>
      <c r="J158" s="24"/>
      <c r="K158" s="25"/>
    </row>
    <row r="159" s="5" customFormat="1" ht="20" customHeight="1" spans="1:11">
      <c r="A159" s="22"/>
      <c r="B159" s="23"/>
      <c r="C159" s="24"/>
      <c r="D159" s="24"/>
      <c r="E159" s="24"/>
      <c r="F159" s="24"/>
      <c r="G159" s="24"/>
      <c r="H159" s="24"/>
      <c r="I159" s="24"/>
      <c r="J159" s="24"/>
      <c r="K159" s="25"/>
    </row>
    <row r="160" s="5" customFormat="1" ht="20" customHeight="1" spans="1:11">
      <c r="A160" s="22"/>
      <c r="B160" s="23"/>
      <c r="C160" s="24"/>
      <c r="D160" s="24"/>
      <c r="E160" s="24"/>
      <c r="F160" s="24"/>
      <c r="G160" s="24"/>
      <c r="H160" s="24"/>
      <c r="I160" s="24"/>
      <c r="J160" s="24"/>
      <c r="K160" s="25"/>
    </row>
    <row r="161" s="5" customFormat="1" ht="20" customHeight="1" spans="1:11">
      <c r="A161" s="22"/>
      <c r="B161" s="23"/>
      <c r="C161" s="24"/>
      <c r="D161" s="24"/>
      <c r="E161" s="24"/>
      <c r="F161" s="24"/>
      <c r="G161" s="24"/>
      <c r="H161" s="24"/>
      <c r="I161" s="24"/>
      <c r="J161" s="24"/>
      <c r="K161" s="25"/>
    </row>
    <row r="162" s="5" customFormat="1" ht="20" customHeight="1" spans="1:11">
      <c r="A162" s="22"/>
      <c r="B162" s="23"/>
      <c r="C162" s="24"/>
      <c r="D162" s="24"/>
      <c r="E162" s="24"/>
      <c r="F162" s="24"/>
      <c r="G162" s="24"/>
      <c r="H162" s="24"/>
      <c r="I162" s="24"/>
      <c r="J162" s="24"/>
      <c r="K162" s="25"/>
    </row>
    <row r="163" s="5" customFormat="1" ht="20" customHeight="1" spans="1:11">
      <c r="A163" s="22"/>
      <c r="B163" s="23"/>
      <c r="C163" s="24"/>
      <c r="D163" s="24"/>
      <c r="E163" s="24"/>
      <c r="F163" s="24"/>
      <c r="G163" s="24"/>
      <c r="H163" s="24"/>
      <c r="I163" s="24"/>
      <c r="J163" s="24"/>
      <c r="K163" s="25"/>
    </row>
    <row r="164" s="5" customFormat="1" ht="20" customHeight="1" spans="1:11">
      <c r="A164" s="22"/>
      <c r="B164" s="23"/>
      <c r="C164" s="24"/>
      <c r="D164" s="24"/>
      <c r="E164" s="24"/>
      <c r="F164" s="24"/>
      <c r="G164" s="24"/>
      <c r="H164" s="24"/>
      <c r="I164" s="24"/>
      <c r="J164" s="24"/>
      <c r="K164" s="25"/>
    </row>
    <row r="165" s="5" customFormat="1" ht="20" customHeight="1" spans="1:11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5"/>
    </row>
    <row r="166" s="5" customFormat="1" ht="20" customHeight="1" spans="1:11">
      <c r="A166" s="22"/>
      <c r="B166" s="23"/>
      <c r="C166" s="24"/>
      <c r="D166" s="24"/>
      <c r="E166" s="24"/>
      <c r="F166" s="24"/>
      <c r="G166" s="24"/>
      <c r="H166" s="24"/>
      <c r="I166" s="24"/>
      <c r="J166" s="24"/>
      <c r="K166" s="25"/>
    </row>
    <row r="167" s="5" customFormat="1" ht="20" customHeight="1" spans="1:11">
      <c r="A167" s="22"/>
      <c r="B167" s="23"/>
      <c r="C167" s="24"/>
      <c r="D167" s="24"/>
      <c r="E167" s="24"/>
      <c r="F167" s="24"/>
      <c r="G167" s="24"/>
      <c r="H167" s="24"/>
      <c r="I167" s="24"/>
      <c r="J167" s="24"/>
      <c r="K167" s="25"/>
    </row>
    <row r="168" s="5" customFormat="1" ht="20" customHeight="1" spans="1:11">
      <c r="A168" s="22"/>
      <c r="B168" s="23"/>
      <c r="C168" s="24"/>
      <c r="D168" s="24"/>
      <c r="E168" s="24"/>
      <c r="F168" s="24"/>
      <c r="G168" s="24"/>
      <c r="H168" s="24"/>
      <c r="I168" s="24"/>
      <c r="J168" s="24"/>
      <c r="K168" s="25"/>
    </row>
    <row r="169" s="5" customFormat="1" ht="20" customHeight="1" spans="1:11">
      <c r="A169" s="22"/>
      <c r="B169" s="23"/>
      <c r="C169" s="24"/>
      <c r="D169" s="24"/>
      <c r="E169" s="24"/>
      <c r="F169" s="24"/>
      <c r="G169" s="24"/>
      <c r="H169" s="24"/>
      <c r="I169" s="24"/>
      <c r="J169" s="24"/>
      <c r="K169" s="25"/>
    </row>
    <row r="170" s="5" customFormat="1" ht="20" customHeight="1" spans="1:11">
      <c r="A170" s="22"/>
      <c r="B170" s="23"/>
      <c r="C170" s="24"/>
      <c r="D170" s="24"/>
      <c r="E170" s="24"/>
      <c r="F170" s="24"/>
      <c r="G170" s="24"/>
      <c r="H170" s="24"/>
      <c r="I170" s="24"/>
      <c r="J170" s="24"/>
      <c r="K170" s="25"/>
    </row>
    <row r="171" s="5" customFormat="1" ht="20" customHeight="1" spans="1:11">
      <c r="A171" s="22"/>
      <c r="B171" s="23"/>
      <c r="C171" s="24"/>
      <c r="D171" s="24"/>
      <c r="E171" s="24"/>
      <c r="F171" s="24"/>
      <c r="G171" s="24"/>
      <c r="H171" s="24"/>
      <c r="I171" s="24"/>
      <c r="J171" s="24"/>
      <c r="K171" s="25"/>
    </row>
    <row r="172" s="5" customFormat="1" ht="20" customHeight="1" spans="1:11">
      <c r="A172" s="22"/>
      <c r="B172" s="23"/>
      <c r="C172" s="24"/>
      <c r="D172" s="24"/>
      <c r="E172" s="24"/>
      <c r="F172" s="24"/>
      <c r="G172" s="24"/>
      <c r="H172" s="24"/>
      <c r="I172" s="24"/>
      <c r="J172" s="24"/>
      <c r="K172" s="25"/>
    </row>
    <row r="173" s="5" customFormat="1" ht="20" customHeight="1" spans="1:11">
      <c r="A173" s="22"/>
      <c r="B173" s="23"/>
      <c r="C173" s="24"/>
      <c r="D173" s="24"/>
      <c r="E173" s="24"/>
      <c r="F173" s="24"/>
      <c r="G173" s="24"/>
      <c r="H173" s="24"/>
      <c r="I173" s="24"/>
      <c r="J173" s="24"/>
      <c r="K173" s="25"/>
    </row>
    <row r="174" s="5" customFormat="1" ht="20" customHeight="1" spans="1:11">
      <c r="A174" s="22"/>
      <c r="B174" s="23"/>
      <c r="C174" s="24"/>
      <c r="D174" s="24"/>
      <c r="E174" s="24"/>
      <c r="F174" s="24"/>
      <c r="G174" s="24"/>
      <c r="H174" s="24"/>
      <c r="I174" s="24"/>
      <c r="J174" s="24"/>
      <c r="K174" s="25"/>
    </row>
    <row r="175" s="5" customFormat="1" ht="20" customHeight="1" spans="1:11">
      <c r="A175" s="22"/>
      <c r="B175" s="23"/>
      <c r="C175" s="24"/>
      <c r="D175" s="24"/>
      <c r="E175" s="24"/>
      <c r="F175" s="24"/>
      <c r="G175" s="24"/>
      <c r="H175" s="24"/>
      <c r="I175" s="24"/>
      <c r="J175" s="24"/>
      <c r="K175" s="25"/>
    </row>
    <row r="176" s="5" customFormat="1" ht="20" customHeight="1" spans="1:11">
      <c r="A176" s="22"/>
      <c r="B176" s="23"/>
      <c r="C176" s="24"/>
      <c r="D176" s="24"/>
      <c r="E176" s="24"/>
      <c r="F176" s="24"/>
      <c r="G176" s="24"/>
      <c r="H176" s="24"/>
      <c r="I176" s="24"/>
      <c r="J176" s="24"/>
      <c r="K176" s="25"/>
    </row>
    <row r="177" s="5" customFormat="1" ht="20" customHeight="1" spans="1:11">
      <c r="A177" s="22"/>
      <c r="B177" s="23"/>
      <c r="C177" s="24"/>
      <c r="D177" s="24"/>
      <c r="E177" s="24"/>
      <c r="F177" s="24"/>
      <c r="G177" s="24"/>
      <c r="H177" s="24"/>
      <c r="I177" s="24"/>
      <c r="J177" s="24"/>
      <c r="K177" s="25"/>
    </row>
    <row r="178" s="5" customFormat="1" ht="20" customHeight="1" spans="1:11">
      <c r="A178" s="22"/>
      <c r="B178" s="23"/>
      <c r="C178" s="24"/>
      <c r="D178" s="24"/>
      <c r="E178" s="24"/>
      <c r="F178" s="24"/>
      <c r="G178" s="24"/>
      <c r="H178" s="24"/>
      <c r="I178" s="24"/>
      <c r="J178" s="24"/>
      <c r="K178" s="25"/>
    </row>
    <row r="179" s="5" customFormat="1" ht="20" customHeight="1" spans="1:11">
      <c r="A179" s="22"/>
      <c r="B179" s="23"/>
      <c r="C179" s="24"/>
      <c r="D179" s="24"/>
      <c r="E179" s="24"/>
      <c r="F179" s="24"/>
      <c r="G179" s="24"/>
      <c r="H179" s="24"/>
      <c r="I179" s="24"/>
      <c r="J179" s="24"/>
      <c r="K179" s="25"/>
    </row>
    <row r="180" s="5" customFormat="1" ht="20" customHeight="1" spans="1:11">
      <c r="A180" s="22"/>
      <c r="B180" s="23"/>
      <c r="C180" s="24"/>
      <c r="D180" s="24"/>
      <c r="E180" s="24"/>
      <c r="F180" s="24"/>
      <c r="G180" s="24"/>
      <c r="H180" s="24"/>
      <c r="I180" s="24"/>
      <c r="J180" s="24"/>
      <c r="K180" s="25"/>
    </row>
    <row r="181" s="5" customFormat="1" ht="20" customHeight="1" spans="1:11">
      <c r="A181" s="22"/>
      <c r="B181" s="23"/>
      <c r="C181" s="24"/>
      <c r="D181" s="24"/>
      <c r="E181" s="24"/>
      <c r="F181" s="24"/>
      <c r="G181" s="24"/>
      <c r="H181" s="24"/>
      <c r="I181" s="24"/>
      <c r="J181" s="24"/>
      <c r="K181" s="25"/>
    </row>
    <row r="182" s="5" customFormat="1" ht="20" customHeight="1" spans="1:11">
      <c r="A182" s="22"/>
      <c r="B182" s="23"/>
      <c r="C182" s="24"/>
      <c r="D182" s="24"/>
      <c r="E182" s="24"/>
      <c r="F182" s="24"/>
      <c r="G182" s="24"/>
      <c r="H182" s="24"/>
      <c r="I182" s="24"/>
      <c r="J182" s="24"/>
      <c r="K182" s="25"/>
    </row>
    <row r="183" s="5" customFormat="1" ht="20" customHeight="1" spans="1:11">
      <c r="A183" s="22"/>
      <c r="B183" s="23"/>
      <c r="C183" s="24"/>
      <c r="D183" s="24"/>
      <c r="E183" s="24"/>
      <c r="F183" s="24"/>
      <c r="G183" s="24"/>
      <c r="H183" s="24"/>
      <c r="I183" s="24"/>
      <c r="J183" s="24"/>
      <c r="K183" s="25"/>
    </row>
    <row r="184" s="5" customFormat="1" ht="20" customHeight="1" spans="1:11">
      <c r="A184" s="22"/>
      <c r="B184" s="23"/>
      <c r="C184" s="24"/>
      <c r="D184" s="24"/>
      <c r="E184" s="24"/>
      <c r="F184" s="24"/>
      <c r="G184" s="24"/>
      <c r="H184" s="24"/>
      <c r="I184" s="24"/>
      <c r="J184" s="24"/>
      <c r="K184" s="25"/>
    </row>
    <row r="185" s="5" customFormat="1" ht="20" customHeight="1" spans="1:11">
      <c r="A185" s="22"/>
      <c r="B185" s="23"/>
      <c r="C185" s="24"/>
      <c r="D185" s="24"/>
      <c r="E185" s="24"/>
      <c r="F185" s="24"/>
      <c r="G185" s="24"/>
      <c r="H185" s="24"/>
      <c r="I185" s="24"/>
      <c r="J185" s="24"/>
      <c r="K185" s="25"/>
    </row>
    <row r="186" s="5" customFormat="1" ht="20" customHeight="1" spans="1:11">
      <c r="A186" s="22"/>
      <c r="B186" s="23"/>
      <c r="C186" s="24"/>
      <c r="D186" s="24"/>
      <c r="E186" s="24"/>
      <c r="F186" s="24"/>
      <c r="G186" s="24"/>
      <c r="H186" s="24"/>
      <c r="I186" s="24"/>
      <c r="J186" s="24"/>
      <c r="K186" s="25"/>
    </row>
    <row r="187" s="5" customFormat="1" ht="20" customHeight="1" spans="1:11">
      <c r="A187" s="22"/>
      <c r="B187" s="23"/>
      <c r="C187" s="24"/>
      <c r="D187" s="24"/>
      <c r="E187" s="24"/>
      <c r="F187" s="24"/>
      <c r="G187" s="24"/>
      <c r="H187" s="24"/>
      <c r="I187" s="24"/>
      <c r="J187" s="24"/>
      <c r="K187" s="25"/>
    </row>
    <row r="188" s="5" customFormat="1" ht="20" customHeight="1" spans="1:11">
      <c r="A188" s="22"/>
      <c r="B188" s="23"/>
      <c r="C188" s="24"/>
      <c r="D188" s="24"/>
      <c r="E188" s="24"/>
      <c r="F188" s="24"/>
      <c r="G188" s="24"/>
      <c r="H188" s="24"/>
      <c r="I188" s="24"/>
      <c r="J188" s="24"/>
      <c r="K188" s="25"/>
    </row>
    <row r="189" s="5" customFormat="1" ht="20" customHeight="1" spans="1:11">
      <c r="A189" s="22"/>
      <c r="B189" s="23"/>
      <c r="C189" s="24"/>
      <c r="D189" s="24"/>
      <c r="E189" s="24"/>
      <c r="F189" s="24"/>
      <c r="G189" s="24"/>
      <c r="H189" s="24"/>
      <c r="I189" s="24"/>
      <c r="J189" s="24"/>
      <c r="K189" s="25"/>
    </row>
    <row r="190" s="5" customFormat="1" ht="20" customHeight="1" spans="1:11">
      <c r="A190" s="22"/>
      <c r="B190" s="23"/>
      <c r="C190" s="24"/>
      <c r="D190" s="24"/>
      <c r="E190" s="24"/>
      <c r="F190" s="24"/>
      <c r="G190" s="24"/>
      <c r="H190" s="24"/>
      <c r="I190" s="24"/>
      <c r="J190" s="24"/>
      <c r="K190" s="25"/>
    </row>
    <row r="191" s="5" customFormat="1" ht="20" customHeight="1" spans="1:11">
      <c r="A191" s="22"/>
      <c r="B191" s="23"/>
      <c r="C191" s="24"/>
      <c r="D191" s="24"/>
      <c r="E191" s="24"/>
      <c r="F191" s="24"/>
      <c r="G191" s="24"/>
      <c r="H191" s="24"/>
      <c r="I191" s="24"/>
      <c r="J191" s="24"/>
      <c r="K191" s="25"/>
    </row>
    <row r="192" s="5" customFormat="1" ht="20" customHeight="1" spans="1:11">
      <c r="A192" s="22"/>
      <c r="B192" s="23"/>
      <c r="C192" s="24"/>
      <c r="D192" s="24"/>
      <c r="E192" s="24"/>
      <c r="F192" s="24"/>
      <c r="G192" s="24"/>
      <c r="H192" s="24"/>
      <c r="I192" s="24"/>
      <c r="J192" s="24"/>
      <c r="K192" s="25"/>
    </row>
    <row r="193" s="5" customFormat="1" ht="20" customHeight="1" spans="1:11">
      <c r="A193" s="22"/>
      <c r="B193" s="23"/>
      <c r="C193" s="24"/>
      <c r="D193" s="24"/>
      <c r="E193" s="24"/>
      <c r="F193" s="24"/>
      <c r="G193" s="24"/>
      <c r="H193" s="24"/>
      <c r="I193" s="24"/>
      <c r="J193" s="24"/>
      <c r="K193" s="25"/>
    </row>
    <row r="194" s="5" customFormat="1" ht="20" customHeight="1" spans="1:11">
      <c r="A194" s="22"/>
      <c r="B194" s="23"/>
      <c r="C194" s="24"/>
      <c r="D194" s="24"/>
      <c r="E194" s="24"/>
      <c r="F194" s="24"/>
      <c r="G194" s="24"/>
      <c r="H194" s="24"/>
      <c r="I194" s="24"/>
      <c r="J194" s="24"/>
      <c r="K194" s="25"/>
    </row>
    <row r="195" s="5" customFormat="1" ht="20" customHeight="1" spans="1:11">
      <c r="A195" s="22"/>
      <c r="B195" s="23"/>
      <c r="C195" s="24"/>
      <c r="D195" s="24"/>
      <c r="E195" s="24"/>
      <c r="F195" s="24"/>
      <c r="G195" s="24"/>
      <c r="H195" s="24"/>
      <c r="I195" s="24"/>
      <c r="J195" s="24"/>
      <c r="K195" s="25"/>
    </row>
    <row r="196" s="5" customFormat="1" ht="20" customHeight="1" spans="1:11">
      <c r="A196" s="22"/>
      <c r="B196" s="23"/>
      <c r="C196" s="24"/>
      <c r="D196" s="24"/>
      <c r="E196" s="24"/>
      <c r="F196" s="24"/>
      <c r="G196" s="24"/>
      <c r="H196" s="24"/>
      <c r="I196" s="24"/>
      <c r="J196" s="24"/>
      <c r="K196" s="25"/>
    </row>
    <row r="197" s="5" customFormat="1" ht="20" customHeight="1" spans="1:11">
      <c r="A197" s="22"/>
      <c r="B197" s="23"/>
      <c r="C197" s="24"/>
      <c r="D197" s="24"/>
      <c r="E197" s="24"/>
      <c r="F197" s="24"/>
      <c r="G197" s="24"/>
      <c r="H197" s="24"/>
      <c r="I197" s="24"/>
      <c r="J197" s="24"/>
      <c r="K197" s="25"/>
    </row>
    <row r="198" s="5" customFormat="1" ht="20" customHeight="1" spans="1:11">
      <c r="A198" s="22"/>
      <c r="B198" s="23"/>
      <c r="C198" s="24"/>
      <c r="D198" s="24"/>
      <c r="E198" s="24"/>
      <c r="F198" s="24"/>
      <c r="G198" s="24"/>
      <c r="H198" s="24"/>
      <c r="I198" s="24"/>
      <c r="J198" s="24"/>
      <c r="K198" s="25"/>
    </row>
    <row r="199" s="5" customFormat="1" ht="20" customHeight="1" spans="1:11">
      <c r="A199" s="22"/>
      <c r="B199" s="23"/>
      <c r="C199" s="24"/>
      <c r="D199" s="24"/>
      <c r="E199" s="24"/>
      <c r="F199" s="24"/>
      <c r="G199" s="24"/>
      <c r="H199" s="24"/>
      <c r="I199" s="24"/>
      <c r="J199" s="24"/>
      <c r="K199" s="25"/>
    </row>
    <row r="200" s="5" customFormat="1" ht="20" customHeight="1" spans="1:11">
      <c r="A200" s="22"/>
      <c r="B200" s="23"/>
      <c r="C200" s="24"/>
      <c r="D200" s="24"/>
      <c r="E200" s="24"/>
      <c r="F200" s="24"/>
      <c r="G200" s="24"/>
      <c r="H200" s="24"/>
      <c r="I200" s="24"/>
      <c r="J200" s="24"/>
      <c r="K200" s="25"/>
    </row>
    <row r="201" s="5" customFormat="1" ht="20" customHeight="1" spans="1:11">
      <c r="A201" s="22"/>
      <c r="B201" s="23"/>
      <c r="C201" s="24"/>
      <c r="D201" s="24"/>
      <c r="E201" s="24"/>
      <c r="F201" s="24"/>
      <c r="G201" s="24"/>
      <c r="H201" s="24"/>
      <c r="I201" s="24"/>
      <c r="J201" s="24"/>
      <c r="K201" s="25"/>
    </row>
    <row r="202" s="5" customFormat="1" ht="20" customHeight="1" spans="1:11">
      <c r="A202" s="22"/>
      <c r="B202" s="23"/>
      <c r="C202" s="24"/>
      <c r="D202" s="24"/>
      <c r="E202" s="24"/>
      <c r="F202" s="24"/>
      <c r="G202" s="24"/>
      <c r="H202" s="24"/>
      <c r="I202" s="24"/>
      <c r="J202" s="24"/>
      <c r="K202" s="25"/>
    </row>
    <row r="203" s="5" customFormat="1" ht="20" customHeight="1" spans="1:11">
      <c r="A203" s="22"/>
      <c r="B203" s="23"/>
      <c r="C203" s="24"/>
      <c r="D203" s="24"/>
      <c r="E203" s="24"/>
      <c r="F203" s="24"/>
      <c r="G203" s="24"/>
      <c r="H203" s="24"/>
      <c r="I203" s="24"/>
      <c r="J203" s="24"/>
      <c r="K203" s="25"/>
    </row>
    <row r="204" s="5" customFormat="1" ht="20" customHeight="1" spans="1:11">
      <c r="A204" s="22"/>
      <c r="B204" s="23"/>
      <c r="C204" s="24"/>
      <c r="D204" s="24"/>
      <c r="E204" s="24"/>
      <c r="F204" s="24"/>
      <c r="G204" s="24"/>
      <c r="H204" s="24"/>
      <c r="I204" s="24"/>
      <c r="J204" s="24"/>
      <c r="K204" s="25"/>
    </row>
    <row r="205" s="5" customFormat="1" ht="20" customHeight="1" spans="1:11">
      <c r="A205" s="22"/>
      <c r="B205" s="23"/>
      <c r="C205" s="24"/>
      <c r="D205" s="24"/>
      <c r="E205" s="24"/>
      <c r="F205" s="24"/>
      <c r="G205" s="24"/>
      <c r="H205" s="24"/>
      <c r="I205" s="24"/>
      <c r="J205" s="24"/>
      <c r="K205" s="25"/>
    </row>
    <row r="206" s="5" customFormat="1" ht="20" customHeight="1" spans="1:11">
      <c r="A206" s="22"/>
      <c r="B206" s="23"/>
      <c r="C206" s="24"/>
      <c r="D206" s="24"/>
      <c r="E206" s="24"/>
      <c r="F206" s="24"/>
      <c r="G206" s="24"/>
      <c r="H206" s="24"/>
      <c r="I206" s="24"/>
      <c r="J206" s="24"/>
      <c r="K206" s="25"/>
    </row>
    <row r="207" s="5" customFormat="1" ht="20" customHeight="1" spans="1:11">
      <c r="A207" s="22"/>
      <c r="B207" s="23"/>
      <c r="C207" s="24"/>
      <c r="D207" s="24"/>
      <c r="E207" s="24"/>
      <c r="F207" s="24"/>
      <c r="G207" s="24"/>
      <c r="H207" s="24"/>
      <c r="I207" s="24"/>
      <c r="J207" s="24"/>
      <c r="K207" s="25"/>
    </row>
    <row r="208" s="5" customFormat="1" ht="20" customHeight="1" spans="1:11">
      <c r="A208" s="22"/>
      <c r="B208" s="23"/>
      <c r="C208" s="24"/>
      <c r="D208" s="24"/>
      <c r="E208" s="24"/>
      <c r="F208" s="24"/>
      <c r="G208" s="24"/>
      <c r="H208" s="24"/>
      <c r="I208" s="24"/>
      <c r="J208" s="24"/>
      <c r="K208" s="25"/>
    </row>
    <row r="209" s="5" customFormat="1" ht="20" customHeight="1" spans="1:11">
      <c r="A209" s="22"/>
      <c r="B209" s="23"/>
      <c r="C209" s="24"/>
      <c r="D209" s="24"/>
      <c r="E209" s="24"/>
      <c r="F209" s="24"/>
      <c r="G209" s="24"/>
      <c r="H209" s="24"/>
      <c r="I209" s="24"/>
      <c r="J209" s="24"/>
      <c r="K209" s="25"/>
    </row>
    <row r="210" s="5" customFormat="1" ht="20" customHeight="1" spans="1:11">
      <c r="A210" s="22"/>
      <c r="B210" s="23"/>
      <c r="C210" s="24"/>
      <c r="D210" s="24"/>
      <c r="E210" s="24"/>
      <c r="F210" s="24"/>
      <c r="G210" s="24"/>
      <c r="H210" s="24"/>
      <c r="I210" s="24"/>
      <c r="J210" s="24"/>
      <c r="K210" s="25"/>
    </row>
    <row r="211" s="5" customFormat="1" ht="20" customHeight="1" spans="1:11">
      <c r="A211" s="22"/>
      <c r="B211" s="23"/>
      <c r="C211" s="24"/>
      <c r="D211" s="24"/>
      <c r="E211" s="24"/>
      <c r="F211" s="24"/>
      <c r="G211" s="24"/>
      <c r="H211" s="24"/>
      <c r="I211" s="24"/>
      <c r="J211" s="24"/>
      <c r="K211" s="25"/>
    </row>
    <row r="212" s="5" customFormat="1" ht="20" customHeight="1" spans="1:11">
      <c r="A212" s="22"/>
      <c r="B212" s="23"/>
      <c r="C212" s="24"/>
      <c r="D212" s="24"/>
      <c r="E212" s="24"/>
      <c r="F212" s="24"/>
      <c r="G212" s="24"/>
      <c r="H212" s="24"/>
      <c r="I212" s="24"/>
      <c r="J212" s="24"/>
      <c r="K212" s="25"/>
    </row>
    <row r="213" s="5" customFormat="1" ht="20" customHeight="1" spans="1:11">
      <c r="A213" s="22"/>
      <c r="B213" s="23"/>
      <c r="C213" s="24"/>
      <c r="D213" s="24"/>
      <c r="E213" s="24"/>
      <c r="F213" s="24"/>
      <c r="G213" s="24"/>
      <c r="H213" s="24"/>
      <c r="I213" s="24"/>
      <c r="J213" s="24"/>
      <c r="K213" s="25"/>
    </row>
    <row r="214" s="5" customFormat="1" ht="20" customHeight="1" spans="1:11">
      <c r="A214" s="22"/>
      <c r="B214" s="23"/>
      <c r="C214" s="24"/>
      <c r="D214" s="24"/>
      <c r="E214" s="24"/>
      <c r="F214" s="24"/>
      <c r="G214" s="24"/>
      <c r="H214" s="24"/>
      <c r="I214" s="24"/>
      <c r="J214" s="24"/>
      <c r="K214" s="25"/>
    </row>
    <row r="215" s="5" customFormat="1" ht="20" customHeight="1" spans="1:11">
      <c r="A215" s="22"/>
      <c r="B215" s="23"/>
      <c r="C215" s="24"/>
      <c r="D215" s="24"/>
      <c r="E215" s="24"/>
      <c r="F215" s="24"/>
      <c r="G215" s="24"/>
      <c r="H215" s="24"/>
      <c r="I215" s="24"/>
      <c r="J215" s="24"/>
      <c r="K215" s="25"/>
    </row>
    <row r="216" s="5" customFormat="1" ht="20" customHeight="1" spans="1:11">
      <c r="A216" s="22"/>
      <c r="B216" s="23"/>
      <c r="C216" s="24"/>
      <c r="D216" s="24"/>
      <c r="E216" s="24"/>
      <c r="F216" s="24"/>
      <c r="G216" s="24"/>
      <c r="H216" s="24"/>
      <c r="I216" s="24"/>
      <c r="J216" s="24"/>
      <c r="K216" s="25"/>
    </row>
    <row r="217" s="5" customFormat="1" ht="20" customHeight="1" spans="1:11">
      <c r="A217" s="22"/>
      <c r="B217" s="23"/>
      <c r="C217" s="24"/>
      <c r="D217" s="24"/>
      <c r="E217" s="24"/>
      <c r="F217" s="24"/>
      <c r="G217" s="24"/>
      <c r="H217" s="24"/>
      <c r="I217" s="24"/>
      <c r="J217" s="24"/>
      <c r="K217" s="25"/>
    </row>
    <row r="218" s="5" customFormat="1" ht="20" customHeight="1" spans="1:11">
      <c r="A218" s="22"/>
      <c r="B218" s="23"/>
      <c r="C218" s="24"/>
      <c r="D218" s="24"/>
      <c r="E218" s="24"/>
      <c r="F218" s="24"/>
      <c r="G218" s="24"/>
      <c r="H218" s="24"/>
      <c r="I218" s="24"/>
      <c r="J218" s="24"/>
      <c r="K218" s="25"/>
    </row>
    <row r="219" s="5" customFormat="1" ht="20" customHeight="1" spans="1:11">
      <c r="A219" s="22"/>
      <c r="B219" s="23"/>
      <c r="C219" s="24"/>
      <c r="D219" s="24"/>
      <c r="E219" s="24"/>
      <c r="F219" s="24"/>
      <c r="G219" s="24"/>
      <c r="H219" s="24"/>
      <c r="I219" s="24"/>
      <c r="J219" s="24"/>
      <c r="K219" s="25"/>
    </row>
    <row r="220" s="5" customFormat="1" ht="20" customHeight="1" spans="1:11">
      <c r="A220" s="22"/>
      <c r="B220" s="23"/>
      <c r="C220" s="24"/>
      <c r="D220" s="24"/>
      <c r="E220" s="24"/>
      <c r="F220" s="24"/>
      <c r="G220" s="24"/>
      <c r="H220" s="24"/>
      <c r="I220" s="24"/>
      <c r="J220" s="24"/>
      <c r="K220" s="25"/>
    </row>
    <row r="221" s="5" customFormat="1" ht="20" customHeight="1" spans="1:11">
      <c r="A221" s="22"/>
      <c r="B221" s="23"/>
      <c r="C221" s="24"/>
      <c r="D221" s="24"/>
      <c r="E221" s="24"/>
      <c r="F221" s="24"/>
      <c r="G221" s="24"/>
      <c r="H221" s="24"/>
      <c r="I221" s="24"/>
      <c r="J221" s="24"/>
      <c r="K221" s="25"/>
    </row>
    <row r="222" s="5" customFormat="1" ht="20" customHeight="1" spans="1:11">
      <c r="A222" s="22"/>
      <c r="B222" s="23"/>
      <c r="C222" s="24"/>
      <c r="D222" s="24"/>
      <c r="E222" s="24"/>
      <c r="F222" s="24"/>
      <c r="G222" s="24"/>
      <c r="H222" s="24"/>
      <c r="I222" s="24"/>
      <c r="J222" s="24"/>
      <c r="K222" s="25"/>
    </row>
    <row r="223" s="5" customFormat="1" ht="20" customHeight="1" spans="1:11">
      <c r="A223" s="22"/>
      <c r="B223" s="23"/>
      <c r="C223" s="24"/>
      <c r="D223" s="24"/>
      <c r="E223" s="24"/>
      <c r="F223" s="24"/>
      <c r="G223" s="24"/>
      <c r="H223" s="24"/>
      <c r="I223" s="24"/>
      <c r="J223" s="24"/>
      <c r="K223" s="25"/>
    </row>
    <row r="224" s="5" customFormat="1" ht="20" customHeight="1" spans="1:11">
      <c r="A224" s="22"/>
      <c r="B224" s="23"/>
      <c r="C224" s="24"/>
      <c r="D224" s="24"/>
      <c r="E224" s="24"/>
      <c r="F224" s="24"/>
      <c r="G224" s="24"/>
      <c r="H224" s="24"/>
      <c r="I224" s="24"/>
      <c r="J224" s="24"/>
      <c r="K224" s="25"/>
    </row>
    <row r="225" s="5" customFormat="1" ht="20" customHeight="1" spans="1:11">
      <c r="A225" s="22"/>
      <c r="B225" s="23"/>
      <c r="C225" s="24"/>
      <c r="D225" s="24"/>
      <c r="E225" s="24"/>
      <c r="F225" s="24"/>
      <c r="G225" s="24"/>
      <c r="H225" s="24"/>
      <c r="I225" s="24"/>
      <c r="J225" s="24"/>
      <c r="K225" s="25"/>
    </row>
    <row r="226" s="5" customFormat="1" ht="20" customHeight="1" spans="1:11">
      <c r="A226" s="22"/>
      <c r="B226" s="23"/>
      <c r="C226" s="24"/>
      <c r="D226" s="24"/>
      <c r="E226" s="24"/>
      <c r="F226" s="24"/>
      <c r="G226" s="24"/>
      <c r="H226" s="24"/>
      <c r="I226" s="24"/>
      <c r="J226" s="24"/>
      <c r="K226" s="25"/>
    </row>
    <row r="227" s="5" customFormat="1" ht="20" customHeight="1" spans="1:11">
      <c r="A227" s="22"/>
      <c r="B227" s="23"/>
      <c r="C227" s="24"/>
      <c r="D227" s="24"/>
      <c r="E227" s="24"/>
      <c r="F227" s="24"/>
      <c r="G227" s="24"/>
      <c r="H227" s="24"/>
      <c r="I227" s="24"/>
      <c r="J227" s="24"/>
      <c r="K227" s="25"/>
    </row>
    <row r="228" s="5" customFormat="1" ht="20" customHeight="1" spans="1:11">
      <c r="A228" s="22"/>
      <c r="B228" s="23"/>
      <c r="C228" s="24"/>
      <c r="D228" s="24"/>
      <c r="E228" s="24"/>
      <c r="F228" s="24"/>
      <c r="G228" s="24"/>
      <c r="H228" s="24"/>
      <c r="I228" s="24"/>
      <c r="J228" s="24"/>
      <c r="K228" s="25"/>
    </row>
    <row r="229" s="5" customFormat="1" ht="20" customHeight="1" spans="1:11">
      <c r="A229" s="22"/>
      <c r="B229" s="23"/>
      <c r="C229" s="24"/>
      <c r="D229" s="24"/>
      <c r="E229" s="24"/>
      <c r="F229" s="24"/>
      <c r="G229" s="24"/>
      <c r="H229" s="24"/>
      <c r="I229" s="24"/>
      <c r="J229" s="24"/>
      <c r="K229" s="25"/>
    </row>
    <row r="230" s="5" customFormat="1" ht="20" customHeight="1" spans="1:11">
      <c r="A230" s="22"/>
      <c r="B230" s="23"/>
      <c r="C230" s="24"/>
      <c r="D230" s="24"/>
      <c r="E230" s="24"/>
      <c r="F230" s="24"/>
      <c r="G230" s="24"/>
      <c r="H230" s="24"/>
      <c r="I230" s="24"/>
      <c r="J230" s="24"/>
      <c r="K230" s="25"/>
    </row>
    <row r="231" s="5" customFormat="1" ht="20" customHeight="1" spans="1:11">
      <c r="A231" s="22"/>
      <c r="B231" s="23"/>
      <c r="C231" s="24"/>
      <c r="D231" s="24"/>
      <c r="E231" s="24"/>
      <c r="F231" s="24"/>
      <c r="G231" s="24"/>
      <c r="H231" s="24"/>
      <c r="I231" s="24"/>
      <c r="J231" s="24"/>
      <c r="K231" s="25"/>
    </row>
    <row r="232" s="5" customFormat="1" ht="20" customHeight="1" spans="1:11">
      <c r="A232" s="22"/>
      <c r="B232" s="23"/>
      <c r="C232" s="24"/>
      <c r="D232" s="24"/>
      <c r="E232" s="24"/>
      <c r="F232" s="24"/>
      <c r="G232" s="24"/>
      <c r="H232" s="24"/>
      <c r="I232" s="24"/>
      <c r="J232" s="24"/>
      <c r="K232" s="25"/>
    </row>
    <row r="233" s="5" customFormat="1" ht="20" customHeight="1" spans="1:11">
      <c r="A233" s="22"/>
      <c r="B233" s="23"/>
      <c r="C233" s="24"/>
      <c r="D233" s="24"/>
      <c r="E233" s="24"/>
      <c r="F233" s="24"/>
      <c r="G233" s="24"/>
      <c r="H233" s="24"/>
      <c r="I233" s="24"/>
      <c r="J233" s="24"/>
      <c r="K233" s="25"/>
    </row>
    <row r="234" s="5" customFormat="1" ht="20" customHeight="1" spans="1:11">
      <c r="A234" s="22"/>
      <c r="B234" s="23"/>
      <c r="C234" s="24"/>
      <c r="D234" s="24"/>
      <c r="E234" s="24"/>
      <c r="F234" s="24"/>
      <c r="G234" s="24"/>
      <c r="H234" s="24"/>
      <c r="I234" s="24"/>
      <c r="J234" s="24"/>
      <c r="K234" s="25"/>
    </row>
    <row r="235" s="5" customFormat="1" ht="20" customHeight="1" spans="1:11">
      <c r="A235" s="22"/>
      <c r="B235" s="23"/>
      <c r="C235" s="24"/>
      <c r="D235" s="24"/>
      <c r="E235" s="24"/>
      <c r="F235" s="24"/>
      <c r="G235" s="24"/>
      <c r="H235" s="24"/>
      <c r="I235" s="24"/>
      <c r="J235" s="24"/>
      <c r="K235" s="25"/>
    </row>
    <row r="236" s="5" customFormat="1" ht="20" customHeight="1" spans="1:11">
      <c r="A236" s="22"/>
      <c r="B236" s="23"/>
      <c r="C236" s="24"/>
      <c r="D236" s="24"/>
      <c r="E236" s="24"/>
      <c r="F236" s="24"/>
      <c r="G236" s="24"/>
      <c r="H236" s="24"/>
      <c r="I236" s="24"/>
      <c r="J236" s="24"/>
      <c r="K236" s="25"/>
    </row>
    <row r="237" s="5" customFormat="1" ht="20" customHeight="1" spans="1:11">
      <c r="A237" s="22"/>
      <c r="B237" s="23"/>
      <c r="C237" s="24"/>
      <c r="D237" s="24"/>
      <c r="E237" s="24"/>
      <c r="F237" s="24"/>
      <c r="G237" s="24"/>
      <c r="H237" s="24"/>
      <c r="I237" s="24"/>
      <c r="J237" s="24"/>
      <c r="K237" s="25"/>
    </row>
    <row r="238" s="5" customFormat="1" ht="20" customHeight="1" spans="1:11">
      <c r="A238" s="22"/>
      <c r="B238" s="23"/>
      <c r="C238" s="24"/>
      <c r="D238" s="24"/>
      <c r="E238" s="24"/>
      <c r="F238" s="24"/>
      <c r="G238" s="24"/>
      <c r="H238" s="24"/>
      <c r="I238" s="24"/>
      <c r="J238" s="24"/>
      <c r="K238" s="25"/>
    </row>
    <row r="239" s="5" customFormat="1" ht="20" customHeight="1" spans="1:11">
      <c r="A239" s="22"/>
      <c r="B239" s="23"/>
      <c r="C239" s="24"/>
      <c r="D239" s="24"/>
      <c r="E239" s="24"/>
      <c r="F239" s="24"/>
      <c r="G239" s="24"/>
      <c r="H239" s="24"/>
      <c r="I239" s="24"/>
      <c r="J239" s="24"/>
      <c r="K239" s="25"/>
    </row>
    <row r="240" s="5" customFormat="1" ht="20" customHeight="1" spans="1:11">
      <c r="A240" s="22"/>
      <c r="B240" s="23"/>
      <c r="C240" s="24"/>
      <c r="D240" s="24"/>
      <c r="E240" s="24"/>
      <c r="F240" s="24"/>
      <c r="G240" s="24"/>
      <c r="H240" s="24"/>
      <c r="I240" s="24"/>
      <c r="J240" s="24"/>
      <c r="K240" s="25"/>
    </row>
    <row r="241" s="5" customFormat="1" ht="20" customHeight="1" spans="1:11">
      <c r="A241" s="22"/>
      <c r="B241" s="23"/>
      <c r="C241" s="24"/>
      <c r="D241" s="24"/>
      <c r="E241" s="24"/>
      <c r="F241" s="24"/>
      <c r="G241" s="24"/>
      <c r="H241" s="24"/>
      <c r="I241" s="24"/>
      <c r="J241" s="24"/>
      <c r="K241" s="25"/>
    </row>
    <row r="242" s="5" customFormat="1" ht="20" customHeight="1" spans="1:11">
      <c r="A242" s="22"/>
      <c r="B242" s="23"/>
      <c r="C242" s="24"/>
      <c r="D242" s="24"/>
      <c r="E242" s="24"/>
      <c r="F242" s="24"/>
      <c r="G242" s="24"/>
      <c r="H242" s="24"/>
      <c r="I242" s="24"/>
      <c r="J242" s="24"/>
      <c r="K242" s="25"/>
    </row>
    <row r="243" s="5" customFormat="1" ht="20" customHeight="1" spans="1:11">
      <c r="A243" s="22"/>
      <c r="B243" s="23"/>
      <c r="C243" s="24"/>
      <c r="D243" s="24"/>
      <c r="E243" s="24"/>
      <c r="F243" s="24"/>
      <c r="G243" s="24"/>
      <c r="H243" s="24"/>
      <c r="I243" s="24"/>
      <c r="J243" s="24"/>
      <c r="K243" s="25"/>
    </row>
    <row r="244" s="5" customFormat="1" ht="20" customHeight="1" spans="1:11">
      <c r="A244" s="22"/>
      <c r="B244" s="23"/>
      <c r="C244" s="24"/>
      <c r="D244" s="24"/>
      <c r="E244" s="24"/>
      <c r="F244" s="24"/>
      <c r="G244" s="24"/>
      <c r="H244" s="24"/>
      <c r="I244" s="24"/>
      <c r="J244" s="24"/>
      <c r="K244" s="25"/>
    </row>
    <row r="245" s="5" customFormat="1" ht="20" customHeight="1" spans="1:11">
      <c r="A245" s="22"/>
      <c r="B245" s="23"/>
      <c r="C245" s="24"/>
      <c r="D245" s="24"/>
      <c r="E245" s="24"/>
      <c r="F245" s="24"/>
      <c r="G245" s="24"/>
      <c r="H245" s="24"/>
      <c r="I245" s="24"/>
      <c r="J245" s="24"/>
      <c r="K245" s="25"/>
    </row>
    <row r="246" s="5" customFormat="1" ht="20" customHeight="1" spans="1:11">
      <c r="A246" s="22"/>
      <c r="B246" s="23"/>
      <c r="C246" s="24"/>
      <c r="D246" s="24"/>
      <c r="E246" s="24"/>
      <c r="F246" s="24"/>
      <c r="G246" s="24"/>
      <c r="H246" s="24"/>
      <c r="I246" s="24"/>
      <c r="J246" s="24"/>
      <c r="K246" s="25"/>
    </row>
    <row r="247" s="5" customFormat="1" ht="20" customHeight="1" spans="1:11">
      <c r="A247" s="22"/>
      <c r="B247" s="23"/>
      <c r="C247" s="24"/>
      <c r="D247" s="24"/>
      <c r="E247" s="24"/>
      <c r="F247" s="24"/>
      <c r="G247" s="24"/>
      <c r="H247" s="24"/>
      <c r="I247" s="24"/>
      <c r="J247" s="24"/>
      <c r="K247" s="25"/>
    </row>
    <row r="248" s="5" customFormat="1" ht="20" customHeight="1" spans="1:11">
      <c r="A248" s="22"/>
      <c r="B248" s="23"/>
      <c r="C248" s="24"/>
      <c r="D248" s="24"/>
      <c r="E248" s="24"/>
      <c r="F248" s="24"/>
      <c r="G248" s="24"/>
      <c r="H248" s="24"/>
      <c r="I248" s="24"/>
      <c r="J248" s="24"/>
      <c r="K248" s="25"/>
    </row>
    <row r="249" s="5" customFormat="1" ht="20" customHeight="1" spans="1:11">
      <c r="A249" s="22"/>
      <c r="B249" s="23"/>
      <c r="C249" s="24"/>
      <c r="D249" s="24"/>
      <c r="E249" s="24"/>
      <c r="F249" s="24"/>
      <c r="G249" s="24"/>
      <c r="H249" s="24"/>
      <c r="I249" s="24"/>
      <c r="J249" s="24"/>
      <c r="K249" s="25"/>
    </row>
    <row r="250" s="5" customFormat="1" ht="20" customHeight="1" spans="1:11">
      <c r="A250" s="22"/>
      <c r="B250" s="23"/>
      <c r="C250" s="24"/>
      <c r="D250" s="24"/>
      <c r="E250" s="24"/>
      <c r="F250" s="24"/>
      <c r="G250" s="24"/>
      <c r="H250" s="24"/>
      <c r="I250" s="24"/>
      <c r="J250" s="24"/>
      <c r="K250" s="25"/>
    </row>
    <row r="251" s="5" customFormat="1" ht="20" customHeight="1" spans="1:11">
      <c r="A251" s="22"/>
      <c r="B251" s="23"/>
      <c r="C251" s="24"/>
      <c r="D251" s="24"/>
      <c r="E251" s="24"/>
      <c r="F251" s="24"/>
      <c r="G251" s="24"/>
      <c r="H251" s="24"/>
      <c r="I251" s="24"/>
      <c r="J251" s="24"/>
      <c r="K251" s="25"/>
    </row>
    <row r="252" ht="16.5" spans="1:11">
      <c r="A252" s="22"/>
      <c r="B252" s="23"/>
      <c r="C252" s="24"/>
      <c r="D252" s="24"/>
      <c r="E252" s="24"/>
      <c r="F252" s="24"/>
      <c r="G252" s="24"/>
      <c r="H252" s="24"/>
      <c r="I252" s="24"/>
      <c r="J252" s="24"/>
      <c r="K252" s="25"/>
    </row>
    <row r="253" ht="16.5" spans="1:11">
      <c r="A253" s="22"/>
      <c r="B253" s="23"/>
      <c r="C253" s="24"/>
      <c r="D253" s="24"/>
      <c r="E253" s="24"/>
      <c r="F253" s="24"/>
      <c r="G253" s="24"/>
      <c r="H253" s="24"/>
      <c r="I253" s="24"/>
      <c r="J253" s="24"/>
      <c r="K253" s="25"/>
    </row>
    <row r="254" ht="16.5" spans="1:11">
      <c r="A254" s="22"/>
      <c r="B254" s="23"/>
      <c r="C254" s="24"/>
      <c r="D254" s="24"/>
      <c r="E254" s="24"/>
      <c r="F254" s="24"/>
      <c r="G254" s="24"/>
      <c r="H254" s="24"/>
      <c r="I254" s="24"/>
      <c r="J254" s="24"/>
      <c r="K254" s="25"/>
    </row>
    <row r="255" ht="16.5" spans="1:11">
      <c r="A255" s="22"/>
      <c r="B255" s="23"/>
      <c r="C255" s="24"/>
      <c r="D255" s="24"/>
      <c r="E255" s="24"/>
      <c r="F255" s="24"/>
      <c r="G255" s="24"/>
      <c r="H255" s="24"/>
      <c r="I255" s="24"/>
      <c r="J255" s="24"/>
      <c r="K255" s="25"/>
    </row>
    <row r="256" ht="16.5" spans="1:11">
      <c r="A256" s="22"/>
      <c r="B256" s="23"/>
      <c r="C256" s="24"/>
      <c r="D256" s="24"/>
      <c r="E256" s="24"/>
      <c r="F256" s="24"/>
      <c r="G256" s="24"/>
      <c r="H256" s="24"/>
      <c r="I256" s="24"/>
      <c r="J256" s="24"/>
      <c r="K256" s="25"/>
    </row>
    <row r="257" ht="16.5" spans="1:11">
      <c r="A257" s="22"/>
      <c r="B257" s="23"/>
      <c r="C257" s="24"/>
      <c r="D257" s="24"/>
      <c r="E257" s="24"/>
      <c r="F257" s="24"/>
      <c r="G257" s="24"/>
      <c r="H257" s="24"/>
      <c r="I257" s="24"/>
      <c r="J257" s="24"/>
      <c r="K257" s="25"/>
    </row>
    <row r="258" ht="16.5" spans="1:11">
      <c r="A258" s="22"/>
      <c r="B258" s="23"/>
      <c r="C258" s="24"/>
      <c r="D258" s="24"/>
      <c r="E258" s="24"/>
      <c r="F258" s="24"/>
      <c r="G258" s="24"/>
      <c r="H258" s="24"/>
      <c r="I258" s="24"/>
      <c r="J258" s="24"/>
      <c r="K258" s="25"/>
    </row>
    <row r="259" ht="16.5" spans="1:11">
      <c r="A259" s="22"/>
      <c r="B259" s="23"/>
      <c r="C259" s="24"/>
      <c r="D259" s="24"/>
      <c r="E259" s="24"/>
      <c r="F259" s="24"/>
      <c r="G259" s="24"/>
      <c r="H259" s="24"/>
      <c r="I259" s="24"/>
      <c r="J259" s="24"/>
      <c r="K259" s="25"/>
    </row>
    <row r="260" ht="16.5" spans="1:11">
      <c r="A260" s="22"/>
      <c r="B260" s="23"/>
      <c r="C260" s="24"/>
      <c r="D260" s="24"/>
      <c r="E260" s="24"/>
      <c r="F260" s="24"/>
      <c r="G260" s="24"/>
      <c r="H260" s="24"/>
      <c r="I260" s="24"/>
      <c r="J260" s="24"/>
      <c r="K260" s="25"/>
    </row>
    <row r="261" ht="16.5" spans="1:11">
      <c r="A261" s="22"/>
      <c r="B261" s="23"/>
      <c r="C261" s="24"/>
      <c r="D261" s="24"/>
      <c r="E261" s="24"/>
      <c r="F261" s="24"/>
      <c r="G261" s="24"/>
      <c r="H261" s="24"/>
      <c r="I261" s="24"/>
      <c r="J261" s="24"/>
      <c r="K261" s="25"/>
    </row>
    <row r="262" ht="16.5" spans="1:11">
      <c r="A262" s="22"/>
      <c r="B262" s="23"/>
      <c r="C262" s="24"/>
      <c r="D262" s="24"/>
      <c r="E262" s="24"/>
      <c r="F262" s="24"/>
      <c r="G262" s="24"/>
      <c r="H262" s="24"/>
      <c r="I262" s="24"/>
      <c r="J262" s="24"/>
      <c r="K262" s="25"/>
    </row>
    <row r="263" ht="16.5" spans="1:11">
      <c r="A263" s="22"/>
      <c r="B263" s="23"/>
      <c r="C263" s="24"/>
      <c r="D263" s="24"/>
      <c r="E263" s="24"/>
      <c r="F263" s="24"/>
      <c r="G263" s="24"/>
      <c r="H263" s="24"/>
      <c r="I263" s="24"/>
      <c r="J263" s="24"/>
      <c r="K263" s="25"/>
    </row>
    <row r="264" ht="16.5" spans="1:11">
      <c r="A264" s="22"/>
      <c r="B264" s="23"/>
      <c r="C264" s="24"/>
      <c r="D264" s="24"/>
      <c r="E264" s="24"/>
      <c r="F264" s="24"/>
      <c r="G264" s="24"/>
      <c r="H264" s="24"/>
      <c r="I264" s="24"/>
      <c r="J264" s="24"/>
      <c r="K264" s="25"/>
    </row>
    <row r="265" ht="16.5" spans="1:11">
      <c r="A265" s="22"/>
      <c r="B265" s="23"/>
      <c r="C265" s="24"/>
      <c r="D265" s="24"/>
      <c r="E265" s="24"/>
      <c r="F265" s="24"/>
      <c r="G265" s="24"/>
      <c r="H265" s="24"/>
      <c r="I265" s="24"/>
      <c r="J265" s="24"/>
      <c r="K265" s="25"/>
    </row>
    <row r="266" ht="16.5" spans="1:11">
      <c r="A266" s="22"/>
      <c r="B266" s="23"/>
      <c r="C266" s="24"/>
      <c r="D266" s="24"/>
      <c r="E266" s="24"/>
      <c r="F266" s="24"/>
      <c r="G266" s="24"/>
      <c r="H266" s="24"/>
      <c r="I266" s="24"/>
      <c r="J266" s="24"/>
      <c r="K266" s="25"/>
    </row>
    <row r="267" ht="16.5" spans="1:11">
      <c r="A267" s="22"/>
      <c r="B267" s="23"/>
      <c r="C267" s="24"/>
      <c r="D267" s="24"/>
      <c r="E267" s="24"/>
      <c r="F267" s="24"/>
      <c r="G267" s="24"/>
      <c r="H267" s="24"/>
      <c r="I267" s="24"/>
      <c r="J267" s="24"/>
      <c r="K267" s="25"/>
    </row>
    <row r="268" ht="16.5" spans="1:11">
      <c r="A268" s="22"/>
      <c r="B268" s="23"/>
      <c r="C268" s="24"/>
      <c r="D268" s="24"/>
      <c r="E268" s="24"/>
      <c r="F268" s="24"/>
      <c r="G268" s="24"/>
      <c r="H268" s="24"/>
      <c r="I268" s="24"/>
      <c r="J268" s="24"/>
      <c r="K268" s="25"/>
    </row>
    <row r="269" ht="16.5" spans="1:11">
      <c r="A269" s="22"/>
      <c r="B269" s="23"/>
      <c r="C269" s="24"/>
      <c r="D269" s="24"/>
      <c r="E269" s="24"/>
      <c r="F269" s="24"/>
      <c r="G269" s="24"/>
      <c r="H269" s="24"/>
      <c r="I269" s="24"/>
      <c r="J269" s="24"/>
      <c r="K269" s="25"/>
    </row>
    <row r="270" ht="16.5" spans="1:11">
      <c r="A270" s="22"/>
      <c r="B270" s="23"/>
      <c r="C270" s="24"/>
      <c r="D270" s="24"/>
      <c r="E270" s="24"/>
      <c r="F270" s="24"/>
      <c r="G270" s="24"/>
      <c r="H270" s="24"/>
      <c r="I270" s="24"/>
      <c r="J270" s="24"/>
      <c r="K270" s="25"/>
    </row>
    <row r="271" ht="16.5" spans="1:11">
      <c r="A271" s="22"/>
      <c r="B271" s="23"/>
      <c r="C271" s="24"/>
      <c r="D271" s="24"/>
      <c r="E271" s="24"/>
      <c r="F271" s="24"/>
      <c r="G271" s="24"/>
      <c r="H271" s="24"/>
      <c r="I271" s="24"/>
      <c r="J271" s="24"/>
      <c r="K271" s="25"/>
    </row>
    <row r="272" ht="16.5" spans="1:11">
      <c r="A272" s="22"/>
      <c r="B272" s="23"/>
      <c r="C272" s="24"/>
      <c r="D272" s="24"/>
      <c r="E272" s="24"/>
      <c r="F272" s="24"/>
      <c r="G272" s="24"/>
      <c r="H272" s="24"/>
      <c r="I272" s="24"/>
      <c r="J272" s="24"/>
      <c r="K272" s="25"/>
    </row>
    <row r="273" ht="16.5" spans="1:11">
      <c r="A273" s="22"/>
      <c r="B273" s="23"/>
      <c r="C273" s="24"/>
      <c r="D273" s="24"/>
      <c r="E273" s="24"/>
      <c r="F273" s="24"/>
      <c r="G273" s="24"/>
      <c r="H273" s="24"/>
      <c r="I273" s="24"/>
      <c r="J273" s="24"/>
      <c r="K273" s="25"/>
    </row>
    <row r="274" ht="16.5" spans="1:11">
      <c r="A274" s="22"/>
      <c r="B274" s="23"/>
      <c r="C274" s="24"/>
      <c r="D274" s="24"/>
      <c r="E274" s="24"/>
      <c r="F274" s="24"/>
      <c r="G274" s="24"/>
      <c r="H274" s="24"/>
      <c r="I274" s="24"/>
      <c r="J274" s="24"/>
      <c r="K274" s="25"/>
    </row>
    <row r="275" ht="16.5" spans="1:11">
      <c r="A275" s="22"/>
      <c r="B275" s="23"/>
      <c r="C275" s="24"/>
      <c r="D275" s="24"/>
      <c r="E275" s="24"/>
      <c r="F275" s="24"/>
      <c r="G275" s="24"/>
      <c r="H275" s="24"/>
      <c r="I275" s="24"/>
      <c r="J275" s="24"/>
      <c r="K275" s="25"/>
    </row>
    <row r="276" ht="16.5" spans="1:11">
      <c r="A276" s="22"/>
      <c r="B276" s="23"/>
      <c r="C276" s="24"/>
      <c r="D276" s="24"/>
      <c r="E276" s="24"/>
      <c r="F276" s="24"/>
      <c r="G276" s="24"/>
      <c r="H276" s="24"/>
      <c r="I276" s="24"/>
      <c r="J276" s="24"/>
      <c r="K276" s="25"/>
    </row>
    <row r="277" ht="16.5" spans="1:11">
      <c r="A277" s="22"/>
      <c r="B277" s="23"/>
      <c r="C277" s="24"/>
      <c r="D277" s="24"/>
      <c r="E277" s="24"/>
      <c r="F277" s="24"/>
      <c r="G277" s="24"/>
      <c r="H277" s="24"/>
      <c r="I277" s="24"/>
      <c r="J277" s="24"/>
      <c r="K277" s="25"/>
    </row>
    <row r="278" ht="16.5" spans="1:11">
      <c r="A278" s="22"/>
      <c r="B278" s="23"/>
      <c r="C278" s="24"/>
      <c r="D278" s="24"/>
      <c r="E278" s="24"/>
      <c r="F278" s="24"/>
      <c r="G278" s="24"/>
      <c r="H278" s="24"/>
      <c r="I278" s="24"/>
      <c r="J278" s="24"/>
      <c r="K278" s="25"/>
    </row>
    <row r="279" ht="16.5" spans="1:11">
      <c r="A279" s="22"/>
      <c r="B279" s="23"/>
      <c r="C279" s="24"/>
      <c r="D279" s="24"/>
      <c r="E279" s="24"/>
      <c r="F279" s="24"/>
      <c r="G279" s="24"/>
      <c r="H279" s="24"/>
      <c r="I279" s="24"/>
      <c r="J279" s="24"/>
      <c r="K279" s="25"/>
    </row>
    <row r="280" ht="16.5" spans="1:11">
      <c r="A280" s="22"/>
      <c r="B280" s="23"/>
      <c r="C280" s="24"/>
      <c r="D280" s="24"/>
      <c r="E280" s="24"/>
      <c r="F280" s="24"/>
      <c r="G280" s="24"/>
      <c r="H280" s="24"/>
      <c r="I280" s="24"/>
      <c r="J280" s="24"/>
      <c r="K280" s="25"/>
    </row>
    <row r="281" ht="16.5" spans="1:11">
      <c r="A281" s="22"/>
      <c r="B281" s="23"/>
      <c r="C281" s="24"/>
      <c r="D281" s="24"/>
      <c r="E281" s="24"/>
      <c r="F281" s="24"/>
      <c r="G281" s="24"/>
      <c r="H281" s="24"/>
      <c r="I281" s="24"/>
      <c r="J281" s="24"/>
      <c r="K281" s="25"/>
    </row>
    <row r="282" ht="16.5" spans="1:11">
      <c r="A282" s="22"/>
      <c r="B282" s="23"/>
      <c r="C282" s="24"/>
      <c r="D282" s="24"/>
      <c r="E282" s="24"/>
      <c r="F282" s="24"/>
      <c r="G282" s="24"/>
      <c r="H282" s="24"/>
      <c r="I282" s="24"/>
      <c r="J282" s="24"/>
      <c r="K282" s="25"/>
    </row>
    <row r="283" ht="16.5" spans="1:11">
      <c r="A283" s="22"/>
      <c r="B283" s="23"/>
      <c r="C283" s="24"/>
      <c r="D283" s="24"/>
      <c r="E283" s="24"/>
      <c r="F283" s="24"/>
      <c r="G283" s="24"/>
      <c r="H283" s="24"/>
      <c r="I283" s="24"/>
      <c r="J283" s="24"/>
      <c r="K283" s="25"/>
    </row>
    <row r="284" ht="16.5" spans="1:11">
      <c r="A284" s="22"/>
      <c r="B284" s="23"/>
      <c r="C284" s="24"/>
      <c r="D284" s="24"/>
      <c r="E284" s="24"/>
      <c r="F284" s="24"/>
      <c r="G284" s="24"/>
      <c r="H284" s="24"/>
      <c r="I284" s="24"/>
      <c r="J284" s="24"/>
      <c r="K284" s="25"/>
    </row>
    <row r="285" ht="16.5" spans="1:11">
      <c r="A285" s="22"/>
      <c r="B285" s="23"/>
      <c r="C285" s="24"/>
      <c r="D285" s="24"/>
      <c r="E285" s="24"/>
      <c r="F285" s="24"/>
      <c r="G285" s="24"/>
      <c r="H285" s="24"/>
      <c r="I285" s="24"/>
      <c r="J285" s="24"/>
      <c r="K285" s="25"/>
    </row>
    <row r="286" ht="16.5" spans="1:11">
      <c r="A286" s="22"/>
      <c r="B286" s="23"/>
      <c r="C286" s="24"/>
      <c r="D286" s="24"/>
      <c r="E286" s="24"/>
      <c r="F286" s="24"/>
      <c r="G286" s="24"/>
      <c r="H286" s="24"/>
      <c r="I286" s="24"/>
      <c r="J286" s="24"/>
      <c r="K286" s="25"/>
    </row>
    <row r="287" ht="16.5" spans="1:11">
      <c r="A287" s="22"/>
      <c r="B287" s="23"/>
      <c r="C287" s="24"/>
      <c r="D287" s="24"/>
      <c r="E287" s="24"/>
      <c r="F287" s="24"/>
      <c r="G287" s="24"/>
      <c r="H287" s="24"/>
      <c r="I287" s="24"/>
      <c r="J287" s="24"/>
      <c r="K287" s="25"/>
    </row>
    <row r="288" ht="16.5" spans="1:11">
      <c r="A288" s="22"/>
      <c r="B288" s="23"/>
      <c r="C288" s="24"/>
      <c r="D288" s="24"/>
      <c r="E288" s="24"/>
      <c r="F288" s="24"/>
      <c r="G288" s="24"/>
      <c r="H288" s="24"/>
      <c r="I288" s="24"/>
      <c r="J288" s="24"/>
      <c r="K288" s="25"/>
    </row>
    <row r="289" ht="16.5" spans="1:11">
      <c r="A289" s="22"/>
      <c r="B289" s="23"/>
      <c r="C289" s="24"/>
      <c r="D289" s="24"/>
      <c r="E289" s="24"/>
      <c r="F289" s="24"/>
      <c r="G289" s="24"/>
      <c r="H289" s="24"/>
      <c r="I289" s="24"/>
      <c r="J289" s="24"/>
      <c r="K289" s="25"/>
    </row>
    <row r="290" ht="16.5" spans="1:11">
      <c r="A290" s="22"/>
      <c r="B290" s="23"/>
      <c r="C290" s="24"/>
      <c r="D290" s="24"/>
      <c r="E290" s="24"/>
      <c r="F290" s="24"/>
      <c r="G290" s="24"/>
      <c r="H290" s="24"/>
      <c r="I290" s="24"/>
      <c r="J290" s="24"/>
      <c r="K290" s="25"/>
    </row>
    <row r="291" ht="16.5" spans="1:11">
      <c r="A291" s="22"/>
      <c r="B291" s="23"/>
      <c r="C291" s="24"/>
      <c r="D291" s="24"/>
      <c r="E291" s="24"/>
      <c r="F291" s="24"/>
      <c r="G291" s="24"/>
      <c r="H291" s="24"/>
      <c r="I291" s="24"/>
      <c r="J291" s="24"/>
      <c r="K291" s="25"/>
    </row>
    <row r="292" ht="16.5" spans="1:11">
      <c r="A292" s="22"/>
      <c r="B292" s="23"/>
      <c r="C292" s="24"/>
      <c r="D292" s="24"/>
      <c r="E292" s="24"/>
      <c r="F292" s="24"/>
      <c r="G292" s="24"/>
      <c r="H292" s="24"/>
      <c r="I292" s="24"/>
      <c r="J292" s="24"/>
      <c r="K292" s="25"/>
    </row>
    <row r="293" ht="16.5" spans="1:11">
      <c r="A293" s="22"/>
      <c r="B293" s="23"/>
      <c r="C293" s="24"/>
      <c r="D293" s="24"/>
      <c r="E293" s="24"/>
      <c r="F293" s="24"/>
      <c r="G293" s="24"/>
      <c r="H293" s="24"/>
      <c r="I293" s="24"/>
      <c r="J293" s="24"/>
      <c r="K293" s="25"/>
    </row>
    <row r="294" ht="16.5" spans="1:11">
      <c r="A294" s="22"/>
      <c r="B294" s="23"/>
      <c r="C294" s="24"/>
      <c r="D294" s="24"/>
      <c r="E294" s="24"/>
      <c r="F294" s="24"/>
      <c r="G294" s="24"/>
      <c r="H294" s="24"/>
      <c r="I294" s="24"/>
      <c r="J294" s="24"/>
      <c r="K294" s="25"/>
    </row>
    <row r="295" ht="16.5" spans="1:11">
      <c r="A295" s="22"/>
      <c r="B295" s="23"/>
      <c r="C295" s="24"/>
      <c r="D295" s="24"/>
      <c r="E295" s="24"/>
      <c r="F295" s="24"/>
      <c r="G295" s="24"/>
      <c r="H295" s="24"/>
      <c r="I295" s="24"/>
      <c r="J295" s="24"/>
      <c r="K295" s="25"/>
    </row>
    <row r="296" ht="16.5" spans="1:11">
      <c r="A296" s="22"/>
      <c r="B296" s="23"/>
      <c r="C296" s="24"/>
      <c r="D296" s="24"/>
      <c r="E296" s="24"/>
      <c r="F296" s="24"/>
      <c r="G296" s="24"/>
      <c r="H296" s="24"/>
      <c r="I296" s="24"/>
      <c r="J296" s="24"/>
      <c r="K296" s="25"/>
    </row>
    <row r="297" ht="16.5" spans="1:11">
      <c r="A297" s="22"/>
      <c r="B297" s="23"/>
      <c r="C297" s="24"/>
      <c r="D297" s="24"/>
      <c r="E297" s="24"/>
      <c r="F297" s="24"/>
      <c r="G297" s="24"/>
      <c r="H297" s="24"/>
      <c r="I297" s="24"/>
      <c r="J297" s="24"/>
      <c r="K297" s="25"/>
    </row>
    <row r="298" ht="16.5" spans="1:11">
      <c r="A298" s="22"/>
      <c r="B298" s="23"/>
      <c r="C298" s="24"/>
      <c r="D298" s="24"/>
      <c r="E298" s="24"/>
      <c r="F298" s="24"/>
      <c r="G298" s="24"/>
      <c r="H298" s="24"/>
      <c r="I298" s="24"/>
      <c r="J298" s="24"/>
      <c r="K298" s="25"/>
    </row>
    <row r="299" ht="16.5" spans="1:11">
      <c r="A299" s="22"/>
      <c r="B299" s="23"/>
      <c r="C299" s="24"/>
      <c r="D299" s="24"/>
      <c r="E299" s="24"/>
      <c r="F299" s="24"/>
      <c r="G299" s="24"/>
      <c r="H299" s="24"/>
      <c r="I299" s="24"/>
      <c r="J299" s="24"/>
      <c r="K299" s="25"/>
    </row>
    <row r="300" ht="16.5" spans="1:11">
      <c r="A300" s="22"/>
      <c r="B300" s="23"/>
      <c r="C300" s="24"/>
      <c r="D300" s="24"/>
      <c r="E300" s="24"/>
      <c r="F300" s="24"/>
      <c r="G300" s="24"/>
      <c r="H300" s="24"/>
      <c r="I300" s="24"/>
      <c r="J300" s="24"/>
      <c r="K300" s="25"/>
    </row>
    <row r="301" ht="16.5" spans="1:11">
      <c r="A301" s="22"/>
      <c r="B301" s="23"/>
      <c r="C301" s="24"/>
      <c r="D301" s="24"/>
      <c r="E301" s="24"/>
      <c r="F301" s="24"/>
      <c r="G301" s="24"/>
      <c r="H301" s="24"/>
      <c r="I301" s="24"/>
      <c r="J301" s="24"/>
      <c r="K301" s="25"/>
    </row>
    <row r="302" ht="16.5" spans="1:11">
      <c r="A302" s="22"/>
      <c r="B302" s="23"/>
      <c r="C302" s="24"/>
      <c r="D302" s="24"/>
      <c r="E302" s="24"/>
      <c r="F302" s="24"/>
      <c r="G302" s="24"/>
      <c r="H302" s="24"/>
      <c r="I302" s="24"/>
      <c r="J302" s="24"/>
      <c r="K302" s="25"/>
    </row>
    <row r="303" ht="16.5" spans="1:11">
      <c r="A303" s="22"/>
      <c r="B303" s="23"/>
      <c r="C303" s="24"/>
      <c r="D303" s="24"/>
      <c r="E303" s="24"/>
      <c r="F303" s="24"/>
      <c r="G303" s="24"/>
      <c r="H303" s="24"/>
      <c r="I303" s="24"/>
      <c r="J303" s="24"/>
      <c r="K303" s="25"/>
    </row>
    <row r="304" ht="16.5" spans="1:11">
      <c r="A304" s="22"/>
      <c r="B304" s="23"/>
      <c r="C304" s="24"/>
      <c r="D304" s="24"/>
      <c r="E304" s="24"/>
      <c r="F304" s="24"/>
      <c r="G304" s="24"/>
      <c r="H304" s="24"/>
      <c r="I304" s="24"/>
      <c r="J304" s="24"/>
      <c r="K304" s="25"/>
    </row>
    <row r="305" ht="16.5" spans="1:11">
      <c r="A305" s="22"/>
      <c r="B305" s="23"/>
      <c r="C305" s="24"/>
      <c r="D305" s="24"/>
      <c r="E305" s="24"/>
      <c r="F305" s="24"/>
      <c r="G305" s="24"/>
      <c r="H305" s="24"/>
      <c r="I305" s="24"/>
      <c r="J305" s="24"/>
      <c r="K305" s="25"/>
    </row>
    <row r="306" ht="16.5" spans="1:11">
      <c r="A306" s="22"/>
      <c r="B306" s="23"/>
      <c r="C306" s="24"/>
      <c r="D306" s="24"/>
      <c r="E306" s="24"/>
      <c r="F306" s="24"/>
      <c r="G306" s="24"/>
      <c r="H306" s="24"/>
      <c r="I306" s="24"/>
      <c r="J306" s="24"/>
      <c r="K306" s="25"/>
    </row>
    <row r="307" ht="16.5" spans="1:11">
      <c r="A307" s="22"/>
      <c r="B307" s="23"/>
      <c r="C307" s="24"/>
      <c r="D307" s="24"/>
      <c r="E307" s="24"/>
      <c r="F307" s="24"/>
      <c r="G307" s="24"/>
      <c r="H307" s="24"/>
      <c r="I307" s="24"/>
      <c r="J307" s="24"/>
      <c r="K307" s="25"/>
    </row>
    <row r="308" ht="16.5" spans="1:11">
      <c r="A308" s="22"/>
      <c r="B308" s="23"/>
      <c r="C308" s="24"/>
      <c r="D308" s="24"/>
      <c r="E308" s="24"/>
      <c r="F308" s="24"/>
      <c r="G308" s="24"/>
      <c r="H308" s="24"/>
      <c r="I308" s="24"/>
      <c r="J308" s="24"/>
      <c r="K308" s="25"/>
    </row>
    <row r="309" ht="16.5" spans="1:11">
      <c r="A309" s="22"/>
      <c r="B309" s="23"/>
      <c r="C309" s="24"/>
      <c r="D309" s="24"/>
      <c r="E309" s="24"/>
      <c r="F309" s="24"/>
      <c r="G309" s="24"/>
      <c r="H309" s="24"/>
      <c r="I309" s="24"/>
      <c r="J309" s="24"/>
      <c r="K309" s="25"/>
    </row>
    <row r="310" ht="16.5" spans="1:11">
      <c r="A310" s="22"/>
      <c r="B310" s="23"/>
      <c r="C310" s="24"/>
      <c r="D310" s="24"/>
      <c r="E310" s="24"/>
      <c r="F310" s="24"/>
      <c r="G310" s="24"/>
      <c r="H310" s="24"/>
      <c r="I310" s="24"/>
      <c r="J310" s="24"/>
      <c r="K310" s="25"/>
    </row>
    <row r="311" ht="16.5" spans="1:11">
      <c r="A311" s="22"/>
      <c r="B311" s="23"/>
      <c r="C311" s="24"/>
      <c r="D311" s="24"/>
      <c r="E311" s="24"/>
      <c r="F311" s="24"/>
      <c r="G311" s="24"/>
      <c r="H311" s="24"/>
      <c r="I311" s="24"/>
      <c r="J311" s="24"/>
      <c r="K311" s="25"/>
    </row>
    <row r="312" ht="16.5" spans="1:11">
      <c r="A312" s="22"/>
      <c r="B312" s="23"/>
      <c r="C312" s="24"/>
      <c r="D312" s="24"/>
      <c r="E312" s="24"/>
      <c r="F312" s="24"/>
      <c r="G312" s="24"/>
      <c r="H312" s="24"/>
      <c r="I312" s="24"/>
      <c r="J312" s="24"/>
      <c r="K312" s="25"/>
    </row>
    <row r="313" ht="16.5" spans="1:11">
      <c r="A313" s="22"/>
      <c r="B313" s="23"/>
      <c r="C313" s="24"/>
      <c r="D313" s="24"/>
      <c r="E313" s="24"/>
      <c r="F313" s="24"/>
      <c r="G313" s="24"/>
      <c r="H313" s="24"/>
      <c r="I313" s="24"/>
      <c r="J313" s="24"/>
      <c r="K313" s="25"/>
    </row>
    <row r="314" ht="16.5" spans="1:11">
      <c r="A314" s="22"/>
      <c r="B314" s="23"/>
      <c r="C314" s="24"/>
      <c r="D314" s="24"/>
      <c r="E314" s="24"/>
      <c r="F314" s="24"/>
      <c r="G314" s="24"/>
      <c r="H314" s="24"/>
      <c r="I314" s="24"/>
      <c r="J314" s="24"/>
      <c r="K314" s="25"/>
    </row>
    <row r="315" ht="16.5" spans="1:11">
      <c r="A315" s="22"/>
      <c r="B315" s="23"/>
      <c r="C315" s="24"/>
      <c r="D315" s="24"/>
      <c r="E315" s="24"/>
      <c r="F315" s="24"/>
      <c r="G315" s="24"/>
      <c r="H315" s="24"/>
      <c r="I315" s="24"/>
      <c r="J315" s="24"/>
      <c r="K315" s="25"/>
    </row>
    <row r="316" ht="16.5" spans="1:11">
      <c r="A316" s="22"/>
      <c r="B316" s="23"/>
      <c r="C316" s="24"/>
      <c r="D316" s="24"/>
      <c r="E316" s="24"/>
      <c r="F316" s="24"/>
      <c r="G316" s="24"/>
      <c r="H316" s="24"/>
      <c r="I316" s="24"/>
      <c r="J316" s="24"/>
      <c r="K316" s="25"/>
    </row>
    <row r="317" ht="16.5" spans="1:11">
      <c r="A317" s="22"/>
      <c r="B317" s="23"/>
      <c r="C317" s="24"/>
      <c r="D317" s="24"/>
      <c r="E317" s="24"/>
      <c r="F317" s="24"/>
      <c r="G317" s="24"/>
      <c r="H317" s="24"/>
      <c r="I317" s="24"/>
      <c r="J317" s="24"/>
      <c r="K317" s="25"/>
    </row>
    <row r="318" ht="16.5" spans="1:11">
      <c r="A318" s="22"/>
      <c r="B318" s="23"/>
      <c r="C318" s="24"/>
      <c r="D318" s="24"/>
      <c r="E318" s="24"/>
      <c r="F318" s="24"/>
      <c r="G318" s="24"/>
      <c r="H318" s="24"/>
      <c r="I318" s="24"/>
      <c r="J318" s="24"/>
      <c r="K318" s="25"/>
    </row>
    <row r="319" ht="16.5" spans="1:11">
      <c r="A319" s="22"/>
      <c r="B319" s="23"/>
      <c r="C319" s="24"/>
      <c r="D319" s="24"/>
      <c r="E319" s="24"/>
      <c r="F319" s="24"/>
      <c r="G319" s="24"/>
      <c r="H319" s="24"/>
      <c r="I319" s="24"/>
      <c r="J319" s="24"/>
      <c r="K319" s="25"/>
    </row>
    <row r="320" ht="16.5" spans="1:11">
      <c r="A320" s="22"/>
      <c r="B320" s="23"/>
      <c r="C320" s="24"/>
      <c r="D320" s="24"/>
      <c r="E320" s="24"/>
      <c r="F320" s="24"/>
      <c r="G320" s="24"/>
      <c r="H320" s="24"/>
      <c r="I320" s="24"/>
      <c r="J320" s="24"/>
      <c r="K320" s="25"/>
    </row>
    <row r="321" ht="16.5" spans="1:11">
      <c r="A321" s="22"/>
      <c r="B321" s="23"/>
      <c r="C321" s="24"/>
      <c r="D321" s="24"/>
      <c r="E321" s="24"/>
      <c r="F321" s="24"/>
      <c r="G321" s="24"/>
      <c r="H321" s="24"/>
      <c r="I321" s="24"/>
      <c r="J321" s="24"/>
      <c r="K321" s="25"/>
    </row>
    <row r="322" ht="16.5" spans="1:11">
      <c r="A322" s="22"/>
      <c r="B322" s="23"/>
      <c r="C322" s="24"/>
      <c r="D322" s="24"/>
      <c r="E322" s="24"/>
      <c r="F322" s="24"/>
      <c r="G322" s="24"/>
      <c r="H322" s="24"/>
      <c r="I322" s="24"/>
      <c r="J322" s="24"/>
      <c r="K322" s="25"/>
    </row>
    <row r="323" ht="16.5" spans="1:11">
      <c r="A323" s="22"/>
      <c r="B323" s="23"/>
      <c r="C323" s="24"/>
      <c r="D323" s="24"/>
      <c r="E323" s="24"/>
      <c r="F323" s="24"/>
      <c r="G323" s="24"/>
      <c r="H323" s="24"/>
      <c r="I323" s="24"/>
      <c r="J323" s="24"/>
      <c r="K323" s="25"/>
    </row>
    <row r="324" ht="16.5" spans="1:11">
      <c r="A324" s="22"/>
      <c r="B324" s="23"/>
      <c r="C324" s="24"/>
      <c r="D324" s="24"/>
      <c r="E324" s="24"/>
      <c r="F324" s="24"/>
      <c r="G324" s="24"/>
      <c r="H324" s="24"/>
      <c r="I324" s="24"/>
      <c r="J324" s="24"/>
      <c r="K324" s="25"/>
    </row>
    <row r="325" ht="16.5" spans="1:11">
      <c r="A325" s="22"/>
      <c r="B325" s="23"/>
      <c r="C325" s="24"/>
      <c r="D325" s="24"/>
      <c r="E325" s="24"/>
      <c r="F325" s="24"/>
      <c r="G325" s="24"/>
      <c r="H325" s="24"/>
      <c r="I325" s="24"/>
      <c r="J325" s="24"/>
      <c r="K325" s="25"/>
    </row>
    <row r="326" ht="16.5" spans="1:11">
      <c r="A326" s="22"/>
      <c r="B326" s="23"/>
      <c r="C326" s="24"/>
      <c r="D326" s="24"/>
      <c r="E326" s="24"/>
      <c r="F326" s="24"/>
      <c r="G326" s="24"/>
      <c r="H326" s="24"/>
      <c r="I326" s="24"/>
      <c r="J326" s="24"/>
      <c r="K326" s="25"/>
    </row>
    <row r="327" ht="16.5" spans="1:11">
      <c r="A327" s="22"/>
      <c r="B327" s="23"/>
      <c r="C327" s="24"/>
      <c r="D327" s="24"/>
      <c r="E327" s="24"/>
      <c r="F327" s="24"/>
      <c r="G327" s="24"/>
      <c r="H327" s="24"/>
      <c r="I327" s="24"/>
      <c r="J327" s="24"/>
      <c r="K327" s="25"/>
    </row>
    <row r="328" ht="16.5" spans="1:11">
      <c r="A328" s="22"/>
      <c r="B328" s="23"/>
      <c r="C328" s="24"/>
      <c r="D328" s="24"/>
      <c r="E328" s="24"/>
      <c r="F328" s="24"/>
      <c r="G328" s="24"/>
      <c r="H328" s="24"/>
      <c r="I328" s="24"/>
      <c r="J328" s="24"/>
      <c r="K328" s="25"/>
    </row>
    <row r="329" ht="16.5" spans="1:11">
      <c r="A329" s="22"/>
      <c r="B329" s="23"/>
      <c r="C329" s="24"/>
      <c r="D329" s="24"/>
      <c r="E329" s="24"/>
      <c r="F329" s="24"/>
      <c r="G329" s="24"/>
      <c r="H329" s="24"/>
      <c r="I329" s="24"/>
      <c r="J329" s="24"/>
      <c r="K329" s="25"/>
    </row>
    <row r="330" ht="16.5" spans="1:11">
      <c r="A330" s="22"/>
      <c r="B330" s="23"/>
      <c r="C330" s="24"/>
      <c r="D330" s="24"/>
      <c r="E330" s="24"/>
      <c r="F330" s="24"/>
      <c r="G330" s="24"/>
      <c r="H330" s="24"/>
      <c r="I330" s="24"/>
      <c r="J330" s="24"/>
      <c r="K330" s="25"/>
    </row>
    <row r="331" ht="16.5" spans="1:11">
      <c r="A331" s="22"/>
      <c r="B331" s="23"/>
      <c r="C331" s="24"/>
      <c r="D331" s="24"/>
      <c r="E331" s="24"/>
      <c r="F331" s="24"/>
      <c r="G331" s="24"/>
      <c r="H331" s="24"/>
      <c r="I331" s="24"/>
      <c r="J331" s="24"/>
      <c r="K331" s="25"/>
    </row>
    <row r="332" ht="16.5" spans="1:11">
      <c r="A332" s="22"/>
      <c r="B332" s="23"/>
      <c r="C332" s="24"/>
      <c r="D332" s="24"/>
      <c r="E332" s="24"/>
      <c r="F332" s="24"/>
      <c r="G332" s="24"/>
      <c r="H332" s="24"/>
      <c r="I332" s="24"/>
      <c r="J332" s="24"/>
      <c r="K332" s="25"/>
    </row>
    <row r="333" ht="16.5" spans="1:11">
      <c r="A333" s="22"/>
      <c r="B333" s="23"/>
      <c r="C333" s="24"/>
      <c r="D333" s="24"/>
      <c r="E333" s="24"/>
      <c r="F333" s="24"/>
      <c r="G333" s="24"/>
      <c r="H333" s="24"/>
      <c r="I333" s="24"/>
      <c r="J333" s="24"/>
      <c r="K333" s="25"/>
    </row>
    <row r="334" ht="16.5" spans="1:11">
      <c r="A334" s="22"/>
      <c r="B334" s="23"/>
      <c r="C334" s="24"/>
      <c r="D334" s="24"/>
      <c r="E334" s="24"/>
      <c r="F334" s="24"/>
      <c r="G334" s="24"/>
      <c r="H334" s="24"/>
      <c r="I334" s="24"/>
      <c r="J334" s="24"/>
      <c r="K334" s="25"/>
    </row>
    <row r="335" ht="16.5" spans="1:11">
      <c r="A335" s="22"/>
      <c r="B335" s="23"/>
      <c r="C335" s="24"/>
      <c r="D335" s="24"/>
      <c r="E335" s="24"/>
      <c r="F335" s="24"/>
      <c r="G335" s="24"/>
      <c r="H335" s="24"/>
      <c r="I335" s="24"/>
      <c r="J335" s="24"/>
      <c r="K335" s="25"/>
    </row>
    <row r="336" ht="16.5" spans="1:11">
      <c r="A336" s="22"/>
      <c r="B336" s="23"/>
      <c r="C336" s="24"/>
      <c r="D336" s="24"/>
      <c r="E336" s="24"/>
      <c r="F336" s="24"/>
      <c r="G336" s="24"/>
      <c r="H336" s="24"/>
      <c r="I336" s="24"/>
      <c r="J336" s="24"/>
      <c r="K336" s="25"/>
    </row>
    <row r="337" ht="16.5" spans="1:11">
      <c r="A337" s="22"/>
      <c r="B337" s="23"/>
      <c r="C337" s="24"/>
      <c r="D337" s="24"/>
      <c r="E337" s="24"/>
      <c r="F337" s="24"/>
      <c r="G337" s="24"/>
      <c r="H337" s="24"/>
      <c r="I337" s="24"/>
      <c r="J337" s="24"/>
      <c r="K337" s="25"/>
    </row>
    <row r="338" ht="16.5" spans="1:11">
      <c r="A338" s="22"/>
      <c r="B338" s="23"/>
      <c r="C338" s="24"/>
      <c r="D338" s="24"/>
      <c r="E338" s="24"/>
      <c r="F338" s="24"/>
      <c r="G338" s="24"/>
      <c r="H338" s="24"/>
      <c r="I338" s="24"/>
      <c r="J338" s="24"/>
      <c r="K338" s="25"/>
    </row>
    <row r="339" ht="16.5" spans="1:11">
      <c r="A339" s="22"/>
      <c r="B339" s="23"/>
      <c r="C339" s="24"/>
      <c r="D339" s="24"/>
      <c r="E339" s="24"/>
      <c r="F339" s="24"/>
      <c r="G339" s="24"/>
      <c r="H339" s="24"/>
      <c r="I339" s="24"/>
      <c r="J339" s="24"/>
      <c r="K339" s="25"/>
    </row>
    <row r="340" ht="16.5" spans="1:11">
      <c r="A340" s="22"/>
      <c r="B340" s="23"/>
      <c r="C340" s="24"/>
      <c r="D340" s="24"/>
      <c r="E340" s="24"/>
      <c r="F340" s="24"/>
      <c r="G340" s="24"/>
      <c r="H340" s="24"/>
      <c r="I340" s="24"/>
      <c r="J340" s="24"/>
      <c r="K340" s="25"/>
    </row>
    <row r="341" ht="16.5" spans="1:11">
      <c r="A341" s="22"/>
      <c r="B341" s="23"/>
      <c r="C341" s="24"/>
      <c r="D341" s="24"/>
      <c r="E341" s="24"/>
      <c r="F341" s="24"/>
      <c r="G341" s="24"/>
      <c r="H341" s="24"/>
      <c r="I341" s="24"/>
      <c r="J341" s="24"/>
      <c r="K341" s="25"/>
    </row>
    <row r="342" ht="16.5" spans="1:11">
      <c r="A342" s="22"/>
      <c r="B342" s="23"/>
      <c r="C342" s="24"/>
      <c r="D342" s="24"/>
      <c r="E342" s="24"/>
      <c r="F342" s="24"/>
      <c r="G342" s="24"/>
      <c r="H342" s="24"/>
      <c r="I342" s="24"/>
      <c r="J342" s="24"/>
      <c r="K342" s="25"/>
    </row>
    <row r="343" ht="16.5" spans="1:11">
      <c r="A343" s="22"/>
      <c r="B343" s="23"/>
      <c r="C343" s="24"/>
      <c r="D343" s="24"/>
      <c r="E343" s="24"/>
      <c r="F343" s="24"/>
      <c r="G343" s="24"/>
      <c r="H343" s="24"/>
      <c r="I343" s="24"/>
      <c r="J343" s="24"/>
      <c r="K343" s="25"/>
    </row>
    <row r="344" ht="16.5" spans="1:11">
      <c r="A344" s="22"/>
      <c r="B344" s="23"/>
      <c r="C344" s="24"/>
      <c r="D344" s="24"/>
      <c r="E344" s="24"/>
      <c r="F344" s="24"/>
      <c r="G344" s="24"/>
      <c r="H344" s="24"/>
      <c r="I344" s="24"/>
      <c r="J344" s="24"/>
      <c r="K344" s="25"/>
    </row>
    <row r="345" ht="16.5" spans="1:11">
      <c r="A345" s="22"/>
      <c r="B345" s="23"/>
      <c r="C345" s="24"/>
      <c r="D345" s="24"/>
      <c r="E345" s="24"/>
      <c r="F345" s="24"/>
      <c r="G345" s="24"/>
      <c r="H345" s="24"/>
      <c r="I345" s="24"/>
      <c r="J345" s="24"/>
      <c r="K345" s="25"/>
    </row>
    <row r="346" ht="16.5" spans="1:11">
      <c r="A346" s="22"/>
      <c r="B346" s="23"/>
      <c r="C346" s="24"/>
      <c r="D346" s="24"/>
      <c r="E346" s="24"/>
      <c r="F346" s="24"/>
      <c r="G346" s="24"/>
      <c r="H346" s="24"/>
      <c r="I346" s="24"/>
      <c r="J346" s="24"/>
      <c r="K346" s="25"/>
    </row>
    <row r="347" ht="16.5" spans="1:11">
      <c r="A347" s="22"/>
      <c r="B347" s="23"/>
      <c r="C347" s="24"/>
      <c r="D347" s="24"/>
      <c r="E347" s="24"/>
      <c r="F347" s="24"/>
      <c r="G347" s="24"/>
      <c r="H347" s="24"/>
      <c r="I347" s="24"/>
      <c r="J347" s="24"/>
      <c r="K347" s="25"/>
    </row>
    <row r="348" ht="16.5" spans="1:11">
      <c r="A348" s="22"/>
      <c r="B348" s="23"/>
      <c r="C348" s="24"/>
      <c r="D348" s="24"/>
      <c r="E348" s="24"/>
      <c r="F348" s="24"/>
      <c r="G348" s="24"/>
      <c r="H348" s="24"/>
      <c r="I348" s="24"/>
      <c r="J348" s="24"/>
      <c r="K348" s="25"/>
    </row>
    <row r="349" ht="16.5" spans="1:11">
      <c r="A349" s="22"/>
      <c r="B349" s="23"/>
      <c r="C349" s="24"/>
      <c r="D349" s="24"/>
      <c r="E349" s="24"/>
      <c r="F349" s="24"/>
      <c r="G349" s="24"/>
      <c r="H349" s="24"/>
      <c r="I349" s="24"/>
      <c r="J349" s="24"/>
      <c r="K349" s="25"/>
    </row>
    <row r="350" ht="16.5" spans="1:11">
      <c r="A350" s="22"/>
      <c r="B350" s="23"/>
      <c r="C350" s="24"/>
      <c r="D350" s="24"/>
      <c r="E350" s="24"/>
      <c r="F350" s="24"/>
      <c r="G350" s="24"/>
      <c r="H350" s="24"/>
      <c r="I350" s="24"/>
      <c r="J350" s="24"/>
      <c r="K350" s="25"/>
    </row>
    <row r="351" ht="16.5" spans="1:11">
      <c r="A351" s="22"/>
      <c r="B351" s="23"/>
      <c r="C351" s="24"/>
      <c r="D351" s="24"/>
      <c r="E351" s="24"/>
      <c r="F351" s="24"/>
      <c r="G351" s="24"/>
      <c r="H351" s="24"/>
      <c r="I351" s="24"/>
      <c r="J351" s="24"/>
      <c r="K351" s="25"/>
    </row>
    <row r="352" ht="16.5" spans="1:11">
      <c r="A352" s="22"/>
      <c r="B352" s="23"/>
      <c r="C352" s="24"/>
      <c r="D352" s="24"/>
      <c r="E352" s="24"/>
      <c r="F352" s="24"/>
      <c r="G352" s="24"/>
      <c r="H352" s="24"/>
      <c r="I352" s="24"/>
      <c r="J352" s="24"/>
      <c r="K352" s="25"/>
    </row>
    <row r="353" ht="16.5" spans="1:11">
      <c r="A353" s="22"/>
      <c r="B353" s="23"/>
      <c r="C353" s="24"/>
      <c r="D353" s="24"/>
      <c r="E353" s="24"/>
      <c r="F353" s="24"/>
      <c r="G353" s="24"/>
      <c r="H353" s="24"/>
      <c r="I353" s="24"/>
      <c r="J353" s="24"/>
      <c r="K353" s="25"/>
    </row>
    <row r="354" ht="16.5" spans="1:11">
      <c r="A354" s="22"/>
      <c r="B354" s="23"/>
      <c r="C354" s="24"/>
      <c r="D354" s="24"/>
      <c r="E354" s="24"/>
      <c r="F354" s="24"/>
      <c r="G354" s="24"/>
      <c r="H354" s="24"/>
      <c r="I354" s="24"/>
      <c r="J354" s="24"/>
      <c r="K354" s="25"/>
    </row>
    <row r="355" ht="16.5" spans="1:11">
      <c r="A355" s="22"/>
      <c r="B355" s="23"/>
      <c r="C355" s="24"/>
      <c r="D355" s="24"/>
      <c r="E355" s="24"/>
      <c r="F355" s="24"/>
      <c r="G355" s="24"/>
      <c r="H355" s="24"/>
      <c r="I355" s="24"/>
      <c r="J355" s="24"/>
      <c r="K355" s="25"/>
    </row>
    <row r="356" ht="16.5" spans="1:11">
      <c r="A356" s="22"/>
      <c r="B356" s="23"/>
      <c r="C356" s="24"/>
      <c r="D356" s="24"/>
      <c r="E356" s="24"/>
      <c r="F356" s="24"/>
      <c r="G356" s="24"/>
      <c r="H356" s="24"/>
      <c r="I356" s="24"/>
      <c r="J356" s="24"/>
      <c r="K356" s="25"/>
    </row>
    <row r="357" ht="16.5" spans="1:11">
      <c r="A357" s="22"/>
      <c r="B357" s="23"/>
      <c r="C357" s="24"/>
      <c r="D357" s="24"/>
      <c r="E357" s="24"/>
      <c r="F357" s="24"/>
      <c r="G357" s="24"/>
      <c r="H357" s="24"/>
      <c r="I357" s="24"/>
      <c r="J357" s="24"/>
      <c r="K357" s="25"/>
    </row>
    <row r="358" ht="16.5" spans="1:11">
      <c r="A358" s="22"/>
      <c r="B358" s="23"/>
      <c r="C358" s="24"/>
      <c r="D358" s="24"/>
      <c r="E358" s="24"/>
      <c r="F358" s="24"/>
      <c r="G358" s="24"/>
      <c r="H358" s="24"/>
      <c r="I358" s="24"/>
      <c r="J358" s="24"/>
      <c r="K358" s="25"/>
    </row>
    <row r="359" ht="16.5" spans="1:11">
      <c r="A359" s="22"/>
      <c r="B359" s="23"/>
      <c r="C359" s="24"/>
      <c r="D359" s="24"/>
      <c r="E359" s="24"/>
      <c r="F359" s="24"/>
      <c r="G359" s="24"/>
      <c r="H359" s="24"/>
      <c r="I359" s="24"/>
      <c r="J359" s="24"/>
      <c r="K359" s="25"/>
    </row>
    <row r="360" ht="16.5" spans="1:11">
      <c r="A360" s="22"/>
      <c r="B360" s="23"/>
      <c r="C360" s="24"/>
      <c r="D360" s="24"/>
      <c r="E360" s="24"/>
      <c r="F360" s="24"/>
      <c r="G360" s="24"/>
      <c r="H360" s="24"/>
      <c r="I360" s="24"/>
      <c r="J360" s="24"/>
      <c r="K360" s="25"/>
    </row>
    <row r="361" ht="16.5" spans="1:11">
      <c r="A361" s="22"/>
      <c r="B361" s="23"/>
      <c r="C361" s="24"/>
      <c r="D361" s="24"/>
      <c r="E361" s="24"/>
      <c r="F361" s="24"/>
      <c r="G361" s="24"/>
      <c r="H361" s="24"/>
      <c r="I361" s="24"/>
      <c r="J361" s="24"/>
      <c r="K361" s="25"/>
    </row>
    <row r="362" ht="16.5" spans="1:11">
      <c r="A362" s="22"/>
      <c r="B362" s="23"/>
      <c r="C362" s="24"/>
      <c r="D362" s="24"/>
      <c r="E362" s="24"/>
      <c r="F362" s="24"/>
      <c r="G362" s="24"/>
      <c r="H362" s="24"/>
      <c r="I362" s="24"/>
      <c r="J362" s="24"/>
      <c r="K362" s="25"/>
    </row>
    <row r="363" ht="16.5" spans="1:11">
      <c r="A363" s="22"/>
      <c r="B363" s="23"/>
      <c r="C363" s="24"/>
      <c r="D363" s="24"/>
      <c r="E363" s="24"/>
      <c r="F363" s="24"/>
      <c r="G363" s="24"/>
      <c r="H363" s="24"/>
      <c r="I363" s="24"/>
      <c r="J363" s="24"/>
      <c r="K363" s="25"/>
    </row>
    <row r="364" ht="16.5" spans="1:11">
      <c r="A364" s="22"/>
      <c r="B364" s="23"/>
      <c r="C364" s="24"/>
      <c r="D364" s="24"/>
      <c r="E364" s="24"/>
      <c r="F364" s="24"/>
      <c r="G364" s="24"/>
      <c r="H364" s="24"/>
      <c r="I364" s="24"/>
      <c r="J364" s="24"/>
      <c r="K364" s="25"/>
    </row>
    <row r="365" ht="16.5" spans="1:11">
      <c r="A365" s="22"/>
      <c r="B365" s="23"/>
      <c r="C365" s="24"/>
      <c r="D365" s="24"/>
      <c r="E365" s="24"/>
      <c r="F365" s="24"/>
      <c r="G365" s="24"/>
      <c r="H365" s="24"/>
      <c r="I365" s="24"/>
      <c r="J365" s="24"/>
      <c r="K365" s="25"/>
    </row>
    <row r="366" ht="16.5" spans="1:11">
      <c r="A366" s="22"/>
      <c r="B366" s="23"/>
      <c r="C366" s="24"/>
      <c r="D366" s="24"/>
      <c r="E366" s="24"/>
      <c r="F366" s="24"/>
      <c r="G366" s="24"/>
      <c r="H366" s="24"/>
      <c r="I366" s="24"/>
      <c r="J366" s="24"/>
      <c r="K366" s="25"/>
    </row>
    <row r="367" ht="16.5" spans="1:11">
      <c r="A367" s="22"/>
      <c r="B367" s="23"/>
      <c r="C367" s="24"/>
      <c r="D367" s="24"/>
      <c r="E367" s="24"/>
      <c r="F367" s="24"/>
      <c r="G367" s="24"/>
      <c r="H367" s="24"/>
      <c r="I367" s="24"/>
      <c r="J367" s="24"/>
      <c r="K367" s="25"/>
    </row>
    <row r="368" ht="16.5" spans="1:11">
      <c r="A368" s="22"/>
      <c r="B368" s="23"/>
      <c r="C368" s="24"/>
      <c r="D368" s="24"/>
      <c r="E368" s="24"/>
      <c r="F368" s="24"/>
      <c r="G368" s="24"/>
      <c r="H368" s="24"/>
      <c r="I368" s="24"/>
      <c r="J368" s="24"/>
      <c r="K368" s="25"/>
    </row>
    <row r="369" ht="16.5" spans="1:11">
      <c r="A369" s="22"/>
      <c r="B369" s="23"/>
      <c r="C369" s="24"/>
      <c r="D369" s="24"/>
      <c r="E369" s="24"/>
      <c r="F369" s="24"/>
      <c r="G369" s="24"/>
      <c r="H369" s="24"/>
      <c r="I369" s="24"/>
      <c r="J369" s="24"/>
      <c r="K369" s="25"/>
    </row>
    <row r="370" ht="16.5" spans="1:11">
      <c r="A370" s="22"/>
      <c r="B370" s="23"/>
      <c r="C370" s="24"/>
      <c r="D370" s="24"/>
      <c r="E370" s="24"/>
      <c r="F370" s="24"/>
      <c r="G370" s="24"/>
      <c r="H370" s="24"/>
      <c r="I370" s="24"/>
      <c r="J370" s="24"/>
      <c r="K370" s="25"/>
    </row>
    <row r="371" ht="16.5" spans="1:11">
      <c r="A371" s="22"/>
      <c r="B371" s="23"/>
      <c r="C371" s="24"/>
      <c r="D371" s="24"/>
      <c r="E371" s="24"/>
      <c r="F371" s="24"/>
      <c r="G371" s="24"/>
      <c r="H371" s="24"/>
      <c r="I371" s="24"/>
      <c r="J371" s="24"/>
      <c r="K371" s="25"/>
    </row>
    <row r="372" ht="16.5" spans="1:11">
      <c r="A372" s="22"/>
      <c r="B372" s="23"/>
      <c r="C372" s="24"/>
      <c r="D372" s="24"/>
      <c r="E372" s="24"/>
      <c r="F372" s="24"/>
      <c r="G372" s="24"/>
      <c r="H372" s="24"/>
      <c r="I372" s="24"/>
      <c r="J372" s="24"/>
      <c r="K372" s="25"/>
    </row>
    <row r="373" ht="16.5" spans="1:11">
      <c r="A373" s="22"/>
      <c r="B373" s="23"/>
      <c r="C373" s="24"/>
      <c r="D373" s="24"/>
      <c r="E373" s="24"/>
      <c r="F373" s="24"/>
      <c r="G373" s="24"/>
      <c r="H373" s="24"/>
      <c r="I373" s="24"/>
      <c r="J373" s="24"/>
      <c r="K373" s="25"/>
    </row>
    <row r="374" ht="16.5" spans="1:11">
      <c r="A374" s="22"/>
      <c r="B374" s="23"/>
      <c r="C374" s="24"/>
      <c r="D374" s="24"/>
      <c r="E374" s="24"/>
      <c r="F374" s="24"/>
      <c r="G374" s="24"/>
      <c r="H374" s="24"/>
      <c r="I374" s="24"/>
      <c r="J374" s="24"/>
      <c r="K374" s="25"/>
    </row>
    <row r="375" ht="16.5" spans="1:11">
      <c r="A375" s="22"/>
      <c r="B375" s="23"/>
      <c r="C375" s="24"/>
      <c r="D375" s="24"/>
      <c r="E375" s="24"/>
      <c r="F375" s="24"/>
      <c r="G375" s="24"/>
      <c r="H375" s="24"/>
      <c r="I375" s="24"/>
      <c r="J375" s="24"/>
      <c r="K375" s="25"/>
    </row>
    <row r="376" ht="16.5" spans="1:11">
      <c r="A376" s="22"/>
      <c r="B376" s="23"/>
      <c r="C376" s="24"/>
      <c r="D376" s="24"/>
      <c r="E376" s="24"/>
      <c r="F376" s="24"/>
      <c r="G376" s="24"/>
      <c r="H376" s="24"/>
      <c r="I376" s="24"/>
      <c r="J376" s="24"/>
      <c r="K376" s="25"/>
    </row>
    <row r="377" ht="16.5" spans="1:11">
      <c r="A377" s="22"/>
      <c r="B377" s="23"/>
      <c r="C377" s="24"/>
      <c r="D377" s="24"/>
      <c r="E377" s="24"/>
      <c r="F377" s="24"/>
      <c r="G377" s="24"/>
      <c r="H377" s="24"/>
      <c r="I377" s="24"/>
      <c r="J377" s="24"/>
      <c r="K377" s="25"/>
    </row>
    <row r="378" ht="16.5" spans="1:11">
      <c r="A378" s="22"/>
      <c r="B378" s="23"/>
      <c r="C378" s="24"/>
      <c r="D378" s="24"/>
      <c r="E378" s="24"/>
      <c r="F378" s="24"/>
      <c r="G378" s="24"/>
      <c r="H378" s="24"/>
      <c r="I378" s="24"/>
      <c r="J378" s="24"/>
      <c r="K378" s="25"/>
    </row>
    <row r="379" ht="16.5" spans="1:11">
      <c r="A379" s="22"/>
      <c r="B379" s="23"/>
      <c r="C379" s="24"/>
      <c r="D379" s="24"/>
      <c r="E379" s="24"/>
      <c r="F379" s="24"/>
      <c r="G379" s="24"/>
      <c r="H379" s="24"/>
      <c r="I379" s="24"/>
      <c r="J379" s="24"/>
      <c r="K379" s="25"/>
    </row>
    <row r="380" ht="16.5" spans="1:11">
      <c r="A380" s="22"/>
      <c r="B380" s="23"/>
      <c r="C380" s="24"/>
      <c r="D380" s="24"/>
      <c r="E380" s="24"/>
      <c r="F380" s="24"/>
      <c r="G380" s="24"/>
      <c r="H380" s="24"/>
      <c r="I380" s="24"/>
      <c r="J380" s="24"/>
      <c r="K380" s="25"/>
    </row>
    <row r="381" ht="16.5" spans="1:11">
      <c r="A381" s="22"/>
      <c r="B381" s="23"/>
      <c r="C381" s="24"/>
      <c r="D381" s="24"/>
      <c r="E381" s="24"/>
      <c r="F381" s="24"/>
      <c r="G381" s="24"/>
      <c r="H381" s="24"/>
      <c r="I381" s="24"/>
      <c r="J381" s="24"/>
      <c r="K381" s="25"/>
    </row>
    <row r="382" ht="16.5" spans="1:11">
      <c r="A382" s="22"/>
      <c r="B382" s="23"/>
      <c r="C382" s="24"/>
      <c r="D382" s="24"/>
      <c r="E382" s="24"/>
      <c r="F382" s="24"/>
      <c r="G382" s="24"/>
      <c r="H382" s="24"/>
      <c r="I382" s="24"/>
      <c r="J382" s="24"/>
      <c r="K382" s="25"/>
    </row>
    <row r="383" ht="16.5" spans="1:11">
      <c r="A383" s="22"/>
      <c r="B383" s="23"/>
      <c r="C383" s="24"/>
      <c r="D383" s="24"/>
      <c r="E383" s="24"/>
      <c r="F383" s="24"/>
      <c r="G383" s="24"/>
      <c r="H383" s="24"/>
      <c r="I383" s="24"/>
      <c r="J383" s="24"/>
      <c r="K383" s="25"/>
    </row>
    <row r="384" ht="16.5" spans="1:11">
      <c r="A384" s="22"/>
      <c r="B384" s="23"/>
      <c r="C384" s="24"/>
      <c r="D384" s="24"/>
      <c r="E384" s="24"/>
      <c r="F384" s="24"/>
      <c r="G384" s="24"/>
      <c r="H384" s="24"/>
      <c r="I384" s="24"/>
      <c r="J384" s="24"/>
      <c r="K384" s="25"/>
    </row>
    <row r="385" ht="16.5" spans="1:11">
      <c r="A385" s="22"/>
      <c r="B385" s="23"/>
      <c r="C385" s="24"/>
      <c r="D385" s="24"/>
      <c r="E385" s="24"/>
      <c r="F385" s="24"/>
      <c r="G385" s="24"/>
      <c r="H385" s="24"/>
      <c r="I385" s="24"/>
      <c r="J385" s="24"/>
      <c r="K385" s="25"/>
    </row>
    <row r="386" ht="16.5" spans="1:11">
      <c r="A386" s="22"/>
      <c r="B386" s="23"/>
      <c r="C386" s="24"/>
      <c r="D386" s="24"/>
      <c r="E386" s="24"/>
      <c r="F386" s="24"/>
      <c r="G386" s="24"/>
      <c r="H386" s="24"/>
      <c r="I386" s="24"/>
      <c r="J386" s="24"/>
      <c r="K386" s="25"/>
    </row>
    <row r="387" ht="16.5" spans="1:11">
      <c r="A387" s="22"/>
      <c r="B387" s="23"/>
      <c r="C387" s="24"/>
      <c r="D387" s="24"/>
      <c r="E387" s="24"/>
      <c r="F387" s="24"/>
      <c r="G387" s="24"/>
      <c r="H387" s="24"/>
      <c r="I387" s="24"/>
      <c r="J387" s="24"/>
      <c r="K387" s="25"/>
    </row>
    <row r="388" ht="16.5" spans="1:11">
      <c r="A388" s="22"/>
      <c r="B388" s="23"/>
      <c r="C388" s="24"/>
      <c r="D388" s="24"/>
      <c r="E388" s="24"/>
      <c r="F388" s="24"/>
      <c r="G388" s="24"/>
      <c r="H388" s="24"/>
      <c r="I388" s="24"/>
      <c r="J388" s="24"/>
      <c r="K388" s="25"/>
    </row>
    <row r="389" ht="16.5" spans="1:11">
      <c r="A389" s="22"/>
      <c r="B389" s="23"/>
      <c r="C389" s="24"/>
      <c r="D389" s="24"/>
      <c r="E389" s="24"/>
      <c r="F389" s="24"/>
      <c r="G389" s="24"/>
      <c r="H389" s="24"/>
      <c r="I389" s="24"/>
      <c r="J389" s="24"/>
      <c r="K389" s="25"/>
    </row>
    <row r="390" ht="16.5" spans="1:11">
      <c r="A390" s="22"/>
      <c r="B390" s="23"/>
      <c r="C390" s="24"/>
      <c r="D390" s="24"/>
      <c r="E390" s="24"/>
      <c r="F390" s="24"/>
      <c r="G390" s="24"/>
      <c r="H390" s="24"/>
      <c r="I390" s="24"/>
      <c r="J390" s="24"/>
      <c r="K390" s="25"/>
    </row>
    <row r="391" ht="16.5" spans="1:11">
      <c r="A391" s="22"/>
      <c r="B391" s="23"/>
      <c r="C391" s="24"/>
      <c r="D391" s="24"/>
      <c r="E391" s="24"/>
      <c r="F391" s="24"/>
      <c r="G391" s="24"/>
      <c r="H391" s="24"/>
      <c r="I391" s="24"/>
      <c r="J391" s="24"/>
      <c r="K391" s="25"/>
    </row>
    <row r="392" ht="16.5" spans="1:11">
      <c r="A392" s="22"/>
      <c r="B392" s="23"/>
      <c r="C392" s="24"/>
      <c r="D392" s="24"/>
      <c r="E392" s="24"/>
      <c r="F392" s="24"/>
      <c r="G392" s="24"/>
      <c r="H392" s="24"/>
      <c r="I392" s="24"/>
      <c r="J392" s="24"/>
      <c r="K392" s="25"/>
    </row>
    <row r="393" ht="16.5" spans="1:11">
      <c r="A393" s="22"/>
      <c r="B393" s="23"/>
      <c r="C393" s="24"/>
      <c r="D393" s="24"/>
      <c r="E393" s="24"/>
      <c r="F393" s="24"/>
      <c r="G393" s="24"/>
      <c r="H393" s="24"/>
      <c r="I393" s="24"/>
      <c r="J393" s="24"/>
      <c r="K393" s="25"/>
    </row>
    <row r="394" ht="16.5" spans="1:11">
      <c r="A394" s="22"/>
      <c r="B394" s="23"/>
      <c r="C394" s="24"/>
      <c r="D394" s="24"/>
      <c r="E394" s="24"/>
      <c r="F394" s="24"/>
      <c r="G394" s="24"/>
      <c r="H394" s="24"/>
      <c r="I394" s="24"/>
      <c r="J394" s="24"/>
      <c r="K394" s="25"/>
    </row>
    <row r="395" ht="16.5" spans="1:11">
      <c r="A395" s="22"/>
      <c r="B395" s="23"/>
      <c r="C395" s="24"/>
      <c r="D395" s="24"/>
      <c r="E395" s="24"/>
      <c r="F395" s="24"/>
      <c r="G395" s="24"/>
      <c r="H395" s="24"/>
      <c r="I395" s="24"/>
      <c r="J395" s="24"/>
      <c r="K395" s="25"/>
    </row>
    <row r="396" ht="16.5" spans="1:11">
      <c r="A396" s="22"/>
      <c r="B396" s="23"/>
      <c r="C396" s="24"/>
      <c r="D396" s="24"/>
      <c r="E396" s="24"/>
      <c r="F396" s="24"/>
      <c r="G396" s="24"/>
      <c r="H396" s="24"/>
      <c r="I396" s="24"/>
      <c r="J396" s="24"/>
      <c r="K396" s="25"/>
    </row>
    <row r="397" ht="16.5" spans="1:11">
      <c r="A397" s="22"/>
      <c r="B397" s="23"/>
      <c r="C397" s="24"/>
      <c r="D397" s="24"/>
      <c r="E397" s="24"/>
      <c r="F397" s="24"/>
      <c r="G397" s="24"/>
      <c r="H397" s="24"/>
      <c r="I397" s="24"/>
      <c r="J397" s="24"/>
      <c r="K397" s="25"/>
    </row>
    <row r="398" ht="16.5" spans="1:11">
      <c r="A398" s="22"/>
      <c r="B398" s="23"/>
      <c r="C398" s="24"/>
      <c r="D398" s="24"/>
      <c r="E398" s="24"/>
      <c r="F398" s="24"/>
      <c r="G398" s="24"/>
      <c r="H398" s="24"/>
      <c r="I398" s="24"/>
      <c r="J398" s="24"/>
      <c r="K398" s="25"/>
    </row>
    <row r="399" ht="16.5" spans="1:11">
      <c r="A399" s="22"/>
      <c r="B399" s="23"/>
      <c r="C399" s="24"/>
      <c r="D399" s="24"/>
      <c r="E399" s="24"/>
      <c r="F399" s="24"/>
      <c r="G399" s="24"/>
      <c r="H399" s="24"/>
      <c r="I399" s="24"/>
      <c r="J399" s="24"/>
      <c r="K399" s="25"/>
    </row>
    <row r="400" ht="16.5" spans="1:11">
      <c r="A400" s="22"/>
      <c r="B400" s="23"/>
      <c r="C400" s="24"/>
      <c r="D400" s="24"/>
      <c r="E400" s="24"/>
      <c r="F400" s="24"/>
      <c r="G400" s="24"/>
      <c r="H400" s="24"/>
      <c r="I400" s="24"/>
      <c r="J400" s="24"/>
      <c r="K400" s="25"/>
    </row>
    <row r="401" ht="16.5" spans="1:11">
      <c r="A401" s="22"/>
      <c r="B401" s="23"/>
      <c r="C401" s="24"/>
      <c r="D401" s="24"/>
      <c r="E401" s="24"/>
      <c r="F401" s="24"/>
      <c r="G401" s="24"/>
      <c r="H401" s="24"/>
      <c r="I401" s="24"/>
      <c r="J401" s="24"/>
      <c r="K401" s="25"/>
    </row>
    <row r="402" ht="16.5" spans="1:11">
      <c r="A402" s="22"/>
      <c r="B402" s="23"/>
      <c r="C402" s="24"/>
      <c r="D402" s="24"/>
      <c r="E402" s="24"/>
      <c r="F402" s="24"/>
      <c r="G402" s="24"/>
      <c r="H402" s="24"/>
      <c r="I402" s="24"/>
      <c r="J402" s="24"/>
      <c r="K402" s="25"/>
    </row>
    <row r="403" ht="16.5" spans="1:11">
      <c r="A403" s="22"/>
      <c r="B403" s="23"/>
      <c r="C403" s="24"/>
      <c r="D403" s="24"/>
      <c r="E403" s="24"/>
      <c r="F403" s="24"/>
      <c r="G403" s="24"/>
      <c r="H403" s="24"/>
      <c r="I403" s="24"/>
      <c r="J403" s="24"/>
      <c r="K403" s="25"/>
    </row>
    <row r="404" ht="16.5" spans="1:11">
      <c r="A404" s="22"/>
      <c r="B404" s="23"/>
      <c r="C404" s="24"/>
      <c r="D404" s="24"/>
      <c r="E404" s="24"/>
      <c r="F404" s="24"/>
      <c r="G404" s="24"/>
      <c r="H404" s="24"/>
      <c r="I404" s="24"/>
      <c r="J404" s="24"/>
      <c r="K404" s="25"/>
    </row>
    <row r="405" ht="16.5" spans="1:11">
      <c r="A405" s="22"/>
      <c r="B405" s="23"/>
      <c r="C405" s="24"/>
      <c r="D405" s="24"/>
      <c r="E405" s="24"/>
      <c r="F405" s="24"/>
      <c r="G405" s="24"/>
      <c r="H405" s="24"/>
      <c r="I405" s="24"/>
      <c r="J405" s="24"/>
      <c r="K405" s="25"/>
    </row>
    <row r="406" ht="16.5" spans="1:11">
      <c r="A406" s="22"/>
      <c r="B406" s="23"/>
      <c r="C406" s="24"/>
      <c r="D406" s="24"/>
      <c r="E406" s="24"/>
      <c r="F406" s="24"/>
      <c r="G406" s="24"/>
      <c r="H406" s="24"/>
      <c r="I406" s="24"/>
      <c r="J406" s="24"/>
      <c r="K406" s="25"/>
    </row>
    <row r="407" ht="16.5" spans="1:11">
      <c r="A407" s="22"/>
      <c r="B407" s="23"/>
      <c r="C407" s="24"/>
      <c r="D407" s="24"/>
      <c r="E407" s="24"/>
      <c r="F407" s="24"/>
      <c r="G407" s="24"/>
      <c r="H407" s="24"/>
      <c r="I407" s="24"/>
      <c r="J407" s="24"/>
      <c r="K407" s="25"/>
    </row>
    <row r="408" ht="16.5" spans="1:11">
      <c r="A408" s="22"/>
      <c r="B408" s="23"/>
      <c r="C408" s="24"/>
      <c r="D408" s="24"/>
      <c r="E408" s="24"/>
      <c r="F408" s="24"/>
      <c r="G408" s="24"/>
      <c r="H408" s="24"/>
      <c r="I408" s="24"/>
      <c r="J408" s="24"/>
      <c r="K408" s="25"/>
    </row>
    <row r="409" ht="16.5" spans="1:11">
      <c r="A409" s="22"/>
      <c r="B409" s="23"/>
      <c r="C409" s="24"/>
      <c r="D409" s="24"/>
      <c r="E409" s="24"/>
      <c r="F409" s="24"/>
      <c r="G409" s="24"/>
      <c r="H409" s="24"/>
      <c r="I409" s="24"/>
      <c r="J409" s="24"/>
      <c r="K409" s="25"/>
    </row>
    <row r="410" ht="16.5" spans="1:11">
      <c r="A410" s="22"/>
      <c r="B410" s="23"/>
      <c r="C410" s="24"/>
      <c r="D410" s="24"/>
      <c r="E410" s="24"/>
      <c r="F410" s="24"/>
      <c r="G410" s="24"/>
      <c r="H410" s="24"/>
      <c r="I410" s="24"/>
      <c r="J410" s="24"/>
      <c r="K410" s="25"/>
    </row>
    <row r="411" ht="16.5" spans="1:11">
      <c r="A411" s="22"/>
      <c r="B411" s="23"/>
      <c r="C411" s="24"/>
      <c r="D411" s="24"/>
      <c r="E411" s="24"/>
      <c r="F411" s="24"/>
      <c r="G411" s="24"/>
      <c r="H411" s="24"/>
      <c r="I411" s="24"/>
      <c r="J411" s="24"/>
      <c r="K411" s="25"/>
    </row>
    <row r="412" ht="16.5" spans="1:11">
      <c r="A412" s="22"/>
      <c r="B412" s="23"/>
      <c r="C412" s="24"/>
      <c r="D412" s="24"/>
      <c r="E412" s="24"/>
      <c r="F412" s="24"/>
      <c r="G412" s="24"/>
      <c r="H412" s="24"/>
      <c r="I412" s="24"/>
      <c r="J412" s="24"/>
      <c r="K412" s="25"/>
    </row>
    <row r="413" ht="16.5" spans="1:11">
      <c r="A413" s="22"/>
      <c r="B413" s="23"/>
      <c r="C413" s="24"/>
      <c r="D413" s="24"/>
      <c r="E413" s="24"/>
      <c r="F413" s="24"/>
      <c r="G413" s="24"/>
      <c r="H413" s="24"/>
      <c r="I413" s="24"/>
      <c r="J413" s="24"/>
      <c r="K413" s="25"/>
    </row>
    <row r="414" ht="16.5" spans="1:11">
      <c r="A414" s="22"/>
      <c r="B414" s="23"/>
      <c r="C414" s="24"/>
      <c r="D414" s="24"/>
      <c r="E414" s="24"/>
      <c r="F414" s="24"/>
      <c r="G414" s="24"/>
      <c r="H414" s="24"/>
      <c r="I414" s="24"/>
      <c r="J414" s="24"/>
      <c r="K414" s="25"/>
    </row>
    <row r="415" ht="16.5" spans="1:11">
      <c r="A415" s="22"/>
      <c r="B415" s="23"/>
      <c r="C415" s="24"/>
      <c r="D415" s="24"/>
      <c r="E415" s="24"/>
      <c r="F415" s="24"/>
      <c r="G415" s="24"/>
      <c r="H415" s="24"/>
      <c r="I415" s="24"/>
      <c r="J415" s="24"/>
      <c r="K415" s="25"/>
    </row>
    <row r="416" ht="16.5" spans="1:11">
      <c r="A416" s="22"/>
      <c r="B416" s="23"/>
      <c r="C416" s="24"/>
      <c r="D416" s="24"/>
      <c r="E416" s="24"/>
      <c r="F416" s="24"/>
      <c r="G416" s="24"/>
      <c r="H416" s="24"/>
      <c r="I416" s="24"/>
      <c r="J416" s="24"/>
      <c r="K416" s="25"/>
    </row>
    <row r="417" ht="16.5" spans="1:11">
      <c r="A417" s="22"/>
      <c r="B417" s="23"/>
      <c r="C417" s="24"/>
      <c r="D417" s="24"/>
      <c r="E417" s="24"/>
      <c r="F417" s="24"/>
      <c r="G417" s="24"/>
      <c r="H417" s="24"/>
      <c r="I417" s="24"/>
      <c r="J417" s="24"/>
      <c r="K417" s="25"/>
    </row>
    <row r="418" ht="16.5" spans="1:11">
      <c r="A418" s="22"/>
      <c r="B418" s="23"/>
      <c r="C418" s="24"/>
      <c r="D418" s="24"/>
      <c r="E418" s="24"/>
      <c r="F418" s="24"/>
      <c r="G418" s="24"/>
      <c r="H418" s="24"/>
      <c r="I418" s="24"/>
      <c r="J418" s="24"/>
      <c r="K418" s="25"/>
    </row>
    <row r="419" ht="16.5" spans="1:11">
      <c r="A419" s="22"/>
      <c r="B419" s="23"/>
      <c r="C419" s="24"/>
      <c r="D419" s="24"/>
      <c r="E419" s="24"/>
      <c r="F419" s="24"/>
      <c r="G419" s="24"/>
      <c r="H419" s="24"/>
      <c r="I419" s="24"/>
      <c r="J419" s="24"/>
      <c r="K419" s="25"/>
    </row>
    <row r="420" ht="16.5" spans="1:11">
      <c r="A420" s="22"/>
      <c r="B420" s="23"/>
      <c r="C420" s="24"/>
      <c r="D420" s="24"/>
      <c r="E420" s="24"/>
      <c r="F420" s="24"/>
      <c r="G420" s="24"/>
      <c r="H420" s="24"/>
      <c r="I420" s="24"/>
      <c r="J420" s="24"/>
      <c r="K420" s="25"/>
    </row>
    <row r="421" ht="16.5" spans="1:11">
      <c r="A421" s="22"/>
      <c r="B421" s="23"/>
      <c r="C421" s="24"/>
      <c r="D421" s="24"/>
      <c r="E421" s="24"/>
      <c r="F421" s="24"/>
      <c r="G421" s="24"/>
      <c r="H421" s="24"/>
      <c r="I421" s="24"/>
      <c r="J421" s="24"/>
      <c r="K421" s="25"/>
    </row>
    <row r="422" ht="16.5" spans="1:11">
      <c r="A422" s="22"/>
      <c r="B422" s="23"/>
      <c r="C422" s="24"/>
      <c r="D422" s="24"/>
      <c r="E422" s="24"/>
      <c r="F422" s="24"/>
      <c r="G422" s="24"/>
      <c r="H422" s="24"/>
      <c r="I422" s="24"/>
      <c r="J422" s="24"/>
      <c r="K422" s="25"/>
    </row>
    <row r="423" ht="16.5" spans="1:11">
      <c r="A423" s="22"/>
      <c r="B423" s="23"/>
      <c r="C423" s="24"/>
      <c r="D423" s="24"/>
      <c r="E423" s="24"/>
      <c r="F423" s="24"/>
      <c r="G423" s="24"/>
      <c r="H423" s="24"/>
      <c r="I423" s="24"/>
      <c r="J423" s="24"/>
      <c r="K423" s="25"/>
    </row>
    <row r="424" ht="16.5" spans="1:11">
      <c r="A424" s="22"/>
      <c r="B424" s="23"/>
      <c r="C424" s="24"/>
      <c r="D424" s="24"/>
      <c r="E424" s="24"/>
      <c r="F424" s="24"/>
      <c r="G424" s="24"/>
      <c r="H424" s="24"/>
      <c r="I424" s="24"/>
      <c r="J424" s="24"/>
      <c r="K424" s="25"/>
    </row>
    <row r="425" ht="16.5" spans="1:11">
      <c r="A425" s="22"/>
      <c r="B425" s="23"/>
      <c r="C425" s="24"/>
      <c r="D425" s="24"/>
      <c r="E425" s="24"/>
      <c r="F425" s="24"/>
      <c r="G425" s="24"/>
      <c r="H425" s="24"/>
      <c r="I425" s="24"/>
      <c r="J425" s="24"/>
      <c r="K425" s="25"/>
    </row>
    <row r="426" ht="16.5" spans="1:11">
      <c r="A426" s="22"/>
      <c r="B426" s="23"/>
      <c r="C426" s="24"/>
      <c r="D426" s="24"/>
      <c r="E426" s="24"/>
      <c r="F426" s="24"/>
      <c r="G426" s="24"/>
      <c r="H426" s="24"/>
      <c r="I426" s="24"/>
      <c r="J426" s="24"/>
      <c r="K426" s="25"/>
    </row>
    <row r="427" ht="16.5" spans="1:11">
      <c r="A427" s="22"/>
      <c r="B427" s="23"/>
      <c r="C427" s="24"/>
      <c r="D427" s="24"/>
      <c r="E427" s="24"/>
      <c r="F427" s="24"/>
      <c r="G427" s="24"/>
      <c r="H427" s="24"/>
      <c r="I427" s="24"/>
      <c r="J427" s="24"/>
      <c r="K427" s="25"/>
    </row>
    <row r="428" ht="16.5" spans="1:11">
      <c r="A428" s="22"/>
      <c r="B428" s="23"/>
      <c r="C428" s="24"/>
      <c r="D428" s="24"/>
      <c r="E428" s="24"/>
      <c r="F428" s="24"/>
      <c r="G428" s="24"/>
      <c r="H428" s="24"/>
      <c r="I428" s="24"/>
      <c r="J428" s="24"/>
      <c r="K428" s="25"/>
    </row>
    <row r="429" ht="16.5" spans="1:11">
      <c r="A429" s="22"/>
      <c r="B429" s="23"/>
      <c r="C429" s="24"/>
      <c r="D429" s="24"/>
      <c r="E429" s="24"/>
      <c r="F429" s="24"/>
      <c r="G429" s="24"/>
      <c r="H429" s="24"/>
      <c r="I429" s="24"/>
      <c r="J429" s="24"/>
      <c r="K429" s="25"/>
    </row>
    <row r="430" ht="16.5" spans="1:11">
      <c r="A430" s="22"/>
      <c r="B430" s="23"/>
      <c r="C430" s="24"/>
      <c r="D430" s="24"/>
      <c r="E430" s="24"/>
      <c r="F430" s="24"/>
      <c r="G430" s="24"/>
      <c r="H430" s="24"/>
      <c r="I430" s="24"/>
      <c r="J430" s="24"/>
      <c r="K430" s="25"/>
    </row>
    <row r="431" ht="16.5" spans="1:11">
      <c r="A431" s="22"/>
      <c r="B431" s="23"/>
      <c r="C431" s="24"/>
      <c r="D431" s="24"/>
      <c r="E431" s="24"/>
      <c r="F431" s="24"/>
      <c r="G431" s="24"/>
      <c r="H431" s="24"/>
      <c r="I431" s="24"/>
      <c r="J431" s="24"/>
      <c r="K431" s="25"/>
    </row>
    <row r="432" ht="16.5" spans="1:11">
      <c r="A432" s="22"/>
      <c r="B432" s="23"/>
      <c r="C432" s="24"/>
      <c r="D432" s="24"/>
      <c r="E432" s="24"/>
      <c r="F432" s="24"/>
      <c r="G432" s="24"/>
      <c r="H432" s="24"/>
      <c r="I432" s="24"/>
      <c r="J432" s="24"/>
      <c r="K432" s="25"/>
    </row>
    <row r="433" ht="16.5" spans="1:11">
      <c r="A433" s="22"/>
      <c r="B433" s="23"/>
      <c r="C433" s="24"/>
      <c r="D433" s="24"/>
      <c r="E433" s="24"/>
      <c r="F433" s="24"/>
      <c r="G433" s="24"/>
      <c r="H433" s="24"/>
      <c r="I433" s="24"/>
      <c r="J433" s="24"/>
      <c r="K433" s="25"/>
    </row>
    <row r="434" ht="16.5" spans="1:11">
      <c r="A434" s="22"/>
      <c r="B434" s="23"/>
      <c r="C434" s="24"/>
      <c r="D434" s="24"/>
      <c r="E434" s="24"/>
      <c r="F434" s="24"/>
      <c r="G434" s="24"/>
      <c r="H434" s="24"/>
      <c r="I434" s="24"/>
      <c r="J434" s="24"/>
      <c r="K434" s="25"/>
    </row>
    <row r="435" ht="16.5" spans="1:11">
      <c r="A435" s="22"/>
      <c r="B435" s="23"/>
      <c r="C435" s="24"/>
      <c r="D435" s="24"/>
      <c r="E435" s="24"/>
      <c r="F435" s="24"/>
      <c r="G435" s="24"/>
      <c r="H435" s="24"/>
      <c r="I435" s="24"/>
      <c r="J435" s="24"/>
      <c r="K435" s="25"/>
    </row>
    <row r="436" ht="16.5" spans="1:11">
      <c r="A436" s="22"/>
      <c r="B436" s="23"/>
      <c r="C436" s="24"/>
      <c r="D436" s="24"/>
      <c r="E436" s="24"/>
      <c r="F436" s="24"/>
      <c r="G436" s="24"/>
      <c r="H436" s="24"/>
      <c r="I436" s="24"/>
      <c r="J436" s="24"/>
      <c r="K436" s="25"/>
    </row>
    <row r="437" ht="16.5" spans="1:11">
      <c r="A437" s="22"/>
      <c r="B437" s="23"/>
      <c r="C437" s="24"/>
      <c r="D437" s="24"/>
      <c r="E437" s="24"/>
      <c r="F437" s="24"/>
      <c r="G437" s="24"/>
      <c r="H437" s="24"/>
      <c r="I437" s="24"/>
      <c r="J437" s="24"/>
      <c r="K437" s="25"/>
    </row>
    <row r="438" ht="16.5" spans="1:11">
      <c r="A438" s="22"/>
      <c r="B438" s="23"/>
      <c r="C438" s="24"/>
      <c r="D438" s="24"/>
      <c r="E438" s="24"/>
      <c r="F438" s="24"/>
      <c r="G438" s="24"/>
      <c r="H438" s="24"/>
      <c r="I438" s="24"/>
      <c r="J438" s="24"/>
      <c r="K438" s="25"/>
    </row>
    <row r="439" ht="16.5" spans="1:11">
      <c r="A439" s="22"/>
      <c r="B439" s="23"/>
      <c r="C439" s="24"/>
      <c r="D439" s="24"/>
      <c r="E439" s="24"/>
      <c r="F439" s="24"/>
      <c r="G439" s="24"/>
      <c r="H439" s="24"/>
      <c r="I439" s="24"/>
      <c r="J439" s="24"/>
      <c r="K439" s="25"/>
    </row>
    <row r="440" ht="16.5" spans="1:11">
      <c r="A440" s="22"/>
      <c r="B440" s="23"/>
      <c r="C440" s="24"/>
      <c r="D440" s="24"/>
      <c r="E440" s="24"/>
      <c r="F440" s="24"/>
      <c r="G440" s="24"/>
      <c r="H440" s="24"/>
      <c r="I440" s="24"/>
      <c r="J440" s="24"/>
      <c r="K440" s="25"/>
    </row>
    <row r="441" ht="16.5" spans="1:11">
      <c r="A441" s="22"/>
      <c r="B441" s="23"/>
      <c r="C441" s="24"/>
      <c r="D441" s="24"/>
      <c r="E441" s="24"/>
      <c r="F441" s="24"/>
      <c r="G441" s="24"/>
      <c r="H441" s="24"/>
      <c r="I441" s="24"/>
      <c r="J441" s="24"/>
      <c r="K441" s="25"/>
    </row>
    <row r="442" ht="16.5" spans="1:11">
      <c r="A442" s="22"/>
      <c r="B442" s="23"/>
      <c r="C442" s="24"/>
      <c r="D442" s="24"/>
      <c r="E442" s="24"/>
      <c r="F442" s="24"/>
      <c r="G442" s="24"/>
      <c r="H442" s="24"/>
      <c r="I442" s="24"/>
      <c r="J442" s="24"/>
      <c r="K442" s="25"/>
    </row>
    <row r="443" ht="16.5" spans="1:11">
      <c r="A443" s="22"/>
      <c r="B443" s="23"/>
      <c r="C443" s="24"/>
      <c r="D443" s="24"/>
      <c r="E443" s="24"/>
      <c r="F443" s="24"/>
      <c r="G443" s="24"/>
      <c r="H443" s="24"/>
      <c r="I443" s="24"/>
      <c r="J443" s="24"/>
      <c r="K443" s="25"/>
    </row>
    <row r="444" ht="16.5" spans="1:11">
      <c r="A444" s="22"/>
      <c r="B444" s="23"/>
      <c r="C444" s="24"/>
      <c r="D444" s="24"/>
      <c r="E444" s="24"/>
      <c r="F444" s="24"/>
      <c r="G444" s="24"/>
      <c r="H444" s="24"/>
      <c r="I444" s="24"/>
      <c r="J444" s="24"/>
      <c r="K444" s="25"/>
    </row>
    <row r="445" ht="16.5" spans="1:11">
      <c r="A445" s="22"/>
      <c r="B445" s="23"/>
      <c r="C445" s="24"/>
      <c r="D445" s="24"/>
      <c r="E445" s="24"/>
      <c r="F445" s="24"/>
      <c r="G445" s="24"/>
      <c r="H445" s="24"/>
      <c r="I445" s="24"/>
      <c r="J445" s="24"/>
      <c r="K445" s="25"/>
    </row>
    <row r="446" ht="16.5" spans="1:11">
      <c r="A446" s="22"/>
      <c r="B446" s="23"/>
      <c r="C446" s="24"/>
      <c r="D446" s="24"/>
      <c r="E446" s="24"/>
      <c r="F446" s="24"/>
      <c r="G446" s="24"/>
      <c r="H446" s="24"/>
      <c r="I446" s="24"/>
      <c r="J446" s="24"/>
      <c r="K446" s="25"/>
    </row>
    <row r="447" ht="16.5" spans="1:11">
      <c r="A447" s="22"/>
      <c r="B447" s="23"/>
      <c r="C447" s="24"/>
      <c r="D447" s="24"/>
      <c r="E447" s="24"/>
      <c r="F447" s="24"/>
      <c r="G447" s="24"/>
      <c r="H447" s="24"/>
      <c r="I447" s="24"/>
      <c r="J447" s="24"/>
      <c r="K447" s="25"/>
    </row>
    <row r="448" ht="16.5" spans="1:11">
      <c r="A448" s="22"/>
      <c r="B448" s="23"/>
      <c r="C448" s="24"/>
      <c r="D448" s="24"/>
      <c r="E448" s="24"/>
      <c r="F448" s="24"/>
      <c r="G448" s="24"/>
      <c r="H448" s="24"/>
      <c r="I448" s="24"/>
      <c r="J448" s="24"/>
      <c r="K448" s="25"/>
    </row>
    <row r="449" ht="16.5" spans="1:11">
      <c r="A449" s="22"/>
      <c r="B449" s="23"/>
      <c r="C449" s="24"/>
      <c r="D449" s="24"/>
      <c r="E449" s="24"/>
      <c r="F449" s="24"/>
      <c r="G449" s="24"/>
      <c r="H449" s="24"/>
      <c r="I449" s="24"/>
      <c r="J449" s="24"/>
      <c r="K449" s="25"/>
    </row>
    <row r="450" ht="16.5" spans="1:11">
      <c r="A450" s="22"/>
      <c r="B450" s="23"/>
      <c r="C450" s="24"/>
      <c r="D450" s="24"/>
      <c r="E450" s="24"/>
      <c r="F450" s="24"/>
      <c r="G450" s="24"/>
      <c r="H450" s="24"/>
      <c r="I450" s="24"/>
      <c r="J450" s="24"/>
      <c r="K450" s="25"/>
    </row>
    <row r="451" ht="16.5" spans="1:11">
      <c r="A451" s="22"/>
      <c r="B451" s="23"/>
      <c r="C451" s="24"/>
      <c r="D451" s="24"/>
      <c r="E451" s="24"/>
      <c r="F451" s="24"/>
      <c r="G451" s="24"/>
      <c r="H451" s="24"/>
      <c r="I451" s="24"/>
      <c r="J451" s="24"/>
      <c r="K451" s="25"/>
    </row>
    <row r="452" ht="16.5" spans="1:11">
      <c r="A452" s="22"/>
      <c r="B452" s="23"/>
      <c r="C452" s="24"/>
      <c r="D452" s="24"/>
      <c r="E452" s="24"/>
      <c r="F452" s="24"/>
      <c r="G452" s="24"/>
      <c r="H452" s="24"/>
      <c r="I452" s="24"/>
      <c r="J452" s="24"/>
      <c r="K452" s="25"/>
    </row>
    <row r="453" ht="16.5" spans="1:11">
      <c r="A453" s="22"/>
      <c r="B453" s="23"/>
      <c r="C453" s="24"/>
      <c r="D453" s="24"/>
      <c r="E453" s="24"/>
      <c r="F453" s="24"/>
      <c r="G453" s="24"/>
      <c r="H453" s="24"/>
      <c r="I453" s="24"/>
      <c r="J453" s="24"/>
      <c r="K453" s="25"/>
    </row>
    <row r="454" ht="16.5" spans="1:11">
      <c r="A454" s="22"/>
      <c r="B454" s="23"/>
      <c r="C454" s="24"/>
      <c r="D454" s="24"/>
      <c r="E454" s="24"/>
      <c r="F454" s="24"/>
      <c r="G454" s="24"/>
      <c r="H454" s="24"/>
      <c r="I454" s="24"/>
      <c r="J454" s="24"/>
      <c r="K454" s="25"/>
    </row>
    <row r="455" ht="16.5" spans="1:11">
      <c r="A455" s="22"/>
      <c r="B455" s="23"/>
      <c r="C455" s="24"/>
      <c r="D455" s="24"/>
      <c r="E455" s="24"/>
      <c r="F455" s="24"/>
      <c r="G455" s="24"/>
      <c r="H455" s="24"/>
      <c r="I455" s="24"/>
      <c r="J455" s="24"/>
      <c r="K455" s="25"/>
    </row>
    <row r="456" ht="16.5" spans="1:11">
      <c r="A456" s="22"/>
      <c r="B456" s="23"/>
      <c r="C456" s="24"/>
      <c r="D456" s="24"/>
      <c r="E456" s="24"/>
      <c r="F456" s="24"/>
      <c r="G456" s="24"/>
      <c r="H456" s="24"/>
      <c r="I456" s="24"/>
      <c r="J456" s="24"/>
      <c r="K456" s="25"/>
    </row>
    <row r="457" ht="16.5" spans="1:11">
      <c r="A457" s="22"/>
      <c r="B457" s="23"/>
      <c r="C457" s="24"/>
      <c r="D457" s="24"/>
      <c r="E457" s="24"/>
      <c r="F457" s="24"/>
      <c r="G457" s="24"/>
      <c r="H457" s="24"/>
      <c r="I457" s="24"/>
      <c r="J457" s="24"/>
      <c r="K457" s="25"/>
    </row>
    <row r="458" ht="16.5" spans="1:11">
      <c r="A458" s="22"/>
      <c r="B458" s="23"/>
      <c r="C458" s="24"/>
      <c r="D458" s="24"/>
      <c r="E458" s="24"/>
      <c r="F458" s="24"/>
      <c r="G458" s="24"/>
      <c r="H458" s="24"/>
      <c r="I458" s="24"/>
      <c r="J458" s="24"/>
      <c r="K458" s="25"/>
    </row>
    <row r="459" ht="16.5" spans="1:11">
      <c r="A459" s="22"/>
      <c r="B459" s="23"/>
      <c r="C459" s="24"/>
      <c r="D459" s="24"/>
      <c r="E459" s="24"/>
      <c r="F459" s="24"/>
      <c r="G459" s="24"/>
      <c r="H459" s="24"/>
      <c r="I459" s="24"/>
      <c r="J459" s="24"/>
      <c r="K459" s="25"/>
    </row>
    <row r="460" ht="16.5" spans="1:11">
      <c r="A460" s="22"/>
      <c r="B460" s="23"/>
      <c r="C460" s="24"/>
      <c r="D460" s="24"/>
      <c r="E460" s="24"/>
      <c r="F460" s="24"/>
      <c r="G460" s="24"/>
      <c r="H460" s="24"/>
      <c r="I460" s="24"/>
      <c r="J460" s="24"/>
      <c r="K460" s="25"/>
    </row>
    <row r="461" ht="16.5" spans="1:11">
      <c r="A461" s="22"/>
      <c r="B461" s="23"/>
      <c r="C461" s="24"/>
      <c r="D461" s="24"/>
      <c r="E461" s="24"/>
      <c r="F461" s="24"/>
      <c r="G461" s="24"/>
      <c r="H461" s="24"/>
      <c r="I461" s="24"/>
      <c r="J461" s="24"/>
      <c r="K461" s="25"/>
    </row>
    <row r="462" ht="16.5" spans="1:11">
      <c r="A462" s="22"/>
      <c r="B462" s="23"/>
      <c r="C462" s="24"/>
      <c r="D462" s="24"/>
      <c r="E462" s="24"/>
      <c r="F462" s="24"/>
      <c r="G462" s="24"/>
      <c r="H462" s="24"/>
      <c r="I462" s="24"/>
      <c r="J462" s="24"/>
      <c r="K462" s="25"/>
    </row>
    <row r="463" ht="16.5" spans="1:11">
      <c r="A463" s="22"/>
      <c r="B463" s="23"/>
      <c r="C463" s="24"/>
      <c r="D463" s="24"/>
      <c r="E463" s="24"/>
      <c r="F463" s="24"/>
      <c r="G463" s="24"/>
      <c r="H463" s="24"/>
      <c r="I463" s="24"/>
      <c r="J463" s="24"/>
      <c r="K463" s="25"/>
    </row>
    <row r="464" ht="16.5" spans="1:11">
      <c r="A464" s="22"/>
      <c r="B464" s="23"/>
      <c r="C464" s="24"/>
      <c r="D464" s="24"/>
      <c r="E464" s="24"/>
      <c r="F464" s="24"/>
      <c r="G464" s="24"/>
      <c r="H464" s="24"/>
      <c r="I464" s="24"/>
      <c r="J464" s="24"/>
      <c r="K464" s="25"/>
    </row>
    <row r="465" ht="16.5" spans="1:11">
      <c r="A465" s="22"/>
      <c r="B465" s="23"/>
      <c r="C465" s="24"/>
      <c r="D465" s="24"/>
      <c r="E465" s="24"/>
      <c r="F465" s="24"/>
      <c r="G465" s="24"/>
      <c r="H465" s="24"/>
      <c r="I465" s="24"/>
      <c r="J465" s="24"/>
      <c r="K465" s="25"/>
    </row>
    <row r="466" ht="16.5" spans="1:11">
      <c r="A466" s="22"/>
      <c r="B466" s="23"/>
      <c r="C466" s="24"/>
      <c r="D466" s="24"/>
      <c r="E466" s="24"/>
      <c r="F466" s="24"/>
      <c r="G466" s="24"/>
      <c r="H466" s="24"/>
      <c r="I466" s="24"/>
      <c r="J466" s="24"/>
      <c r="K466" s="25"/>
    </row>
    <row r="467" ht="16.5" spans="1:11">
      <c r="A467" s="22"/>
      <c r="B467" s="23"/>
      <c r="C467" s="24"/>
      <c r="D467" s="24"/>
      <c r="E467" s="24"/>
      <c r="F467" s="24"/>
      <c r="G467" s="24"/>
      <c r="H467" s="24"/>
      <c r="I467" s="24"/>
      <c r="J467" s="24"/>
      <c r="K467" s="25"/>
    </row>
    <row r="468" ht="16.5" spans="1:11">
      <c r="A468" s="22"/>
      <c r="B468" s="23"/>
      <c r="C468" s="24"/>
      <c r="D468" s="24"/>
      <c r="E468" s="24"/>
      <c r="F468" s="24"/>
      <c r="G468" s="24"/>
      <c r="H468" s="24"/>
      <c r="I468" s="24"/>
      <c r="J468" s="24"/>
      <c r="K468" s="25"/>
    </row>
    <row r="469" ht="16.5" spans="1:11">
      <c r="A469" s="22"/>
      <c r="B469" s="23"/>
      <c r="C469" s="24"/>
      <c r="D469" s="24"/>
      <c r="E469" s="24"/>
      <c r="F469" s="24"/>
      <c r="G469" s="24"/>
      <c r="H469" s="24"/>
      <c r="I469" s="24"/>
      <c r="J469" s="24"/>
      <c r="K469" s="25"/>
    </row>
    <row r="470" ht="16.5" spans="1:11">
      <c r="A470" s="22"/>
      <c r="B470" s="23"/>
      <c r="C470" s="24"/>
      <c r="D470" s="24"/>
      <c r="E470" s="24"/>
      <c r="F470" s="24"/>
      <c r="G470" s="24"/>
      <c r="H470" s="24"/>
      <c r="I470" s="24"/>
      <c r="J470" s="24"/>
      <c r="K470" s="25"/>
    </row>
    <row r="471" ht="16.5" spans="1:11">
      <c r="A471" s="22"/>
      <c r="B471" s="23"/>
      <c r="C471" s="24"/>
      <c r="D471" s="24"/>
      <c r="E471" s="24"/>
      <c r="F471" s="24"/>
      <c r="G471" s="24"/>
      <c r="H471" s="24"/>
      <c r="I471" s="24"/>
      <c r="J471" s="24"/>
      <c r="K471" s="25"/>
    </row>
    <row r="472" ht="16.5" spans="1:11">
      <c r="A472" s="22"/>
      <c r="B472" s="23"/>
      <c r="C472" s="24"/>
      <c r="D472" s="24"/>
      <c r="E472" s="24"/>
      <c r="F472" s="24"/>
      <c r="G472" s="24"/>
      <c r="H472" s="24"/>
      <c r="I472" s="24"/>
      <c r="J472" s="24"/>
      <c r="K472" s="25"/>
    </row>
    <row r="473" ht="16.5" spans="1:11">
      <c r="A473" s="22"/>
      <c r="B473" s="23"/>
      <c r="C473" s="24"/>
      <c r="D473" s="24"/>
      <c r="E473" s="24"/>
      <c r="F473" s="24"/>
      <c r="G473" s="24"/>
      <c r="H473" s="24"/>
      <c r="I473" s="24"/>
      <c r="J473" s="24"/>
      <c r="K473" s="25"/>
    </row>
    <row r="474" ht="16.5" spans="1:11">
      <c r="A474" s="22"/>
      <c r="B474" s="23"/>
      <c r="C474" s="24"/>
      <c r="D474" s="24"/>
      <c r="E474" s="24"/>
      <c r="F474" s="24"/>
      <c r="G474" s="24"/>
      <c r="H474" s="24"/>
      <c r="I474" s="24"/>
      <c r="J474" s="24"/>
      <c r="K474" s="25"/>
    </row>
    <row r="475" ht="16.5" spans="1:11">
      <c r="A475" s="22"/>
      <c r="B475" s="23"/>
      <c r="C475" s="24"/>
      <c r="D475" s="24"/>
      <c r="E475" s="24"/>
      <c r="F475" s="24"/>
      <c r="G475" s="24"/>
      <c r="H475" s="24"/>
      <c r="I475" s="24"/>
      <c r="J475" s="24"/>
      <c r="K475" s="25"/>
    </row>
    <row r="476" ht="16.5" spans="1:11">
      <c r="A476" s="22"/>
      <c r="B476" s="23"/>
      <c r="C476" s="24"/>
      <c r="D476" s="24"/>
      <c r="E476" s="24"/>
      <c r="F476" s="24"/>
      <c r="G476" s="24"/>
      <c r="H476" s="24"/>
      <c r="I476" s="24"/>
      <c r="J476" s="24"/>
      <c r="K476" s="25"/>
    </row>
    <row r="477" ht="16.5" spans="1:11">
      <c r="A477" s="22"/>
      <c r="B477" s="23"/>
      <c r="C477" s="24"/>
      <c r="D477" s="24"/>
      <c r="E477" s="24"/>
      <c r="F477" s="24"/>
      <c r="G477" s="24"/>
      <c r="H477" s="24"/>
      <c r="I477" s="24"/>
      <c r="J477" s="24"/>
      <c r="K477" s="25"/>
    </row>
    <row r="478" ht="16.5" spans="1:11">
      <c r="A478" s="22"/>
      <c r="B478" s="23"/>
      <c r="C478" s="24"/>
      <c r="D478" s="24"/>
      <c r="E478" s="24"/>
      <c r="F478" s="24"/>
      <c r="G478" s="24"/>
      <c r="H478" s="24"/>
      <c r="I478" s="24"/>
      <c r="J478" s="24"/>
      <c r="K478" s="25"/>
    </row>
    <row r="479" ht="16.5" spans="1:11">
      <c r="A479" s="22"/>
      <c r="B479" s="23"/>
      <c r="C479" s="24"/>
      <c r="D479" s="24"/>
      <c r="E479" s="24"/>
      <c r="F479" s="24"/>
      <c r="G479" s="24"/>
      <c r="H479" s="24"/>
      <c r="I479" s="24"/>
      <c r="J479" s="24"/>
      <c r="K479" s="25"/>
    </row>
    <row r="480" ht="16.5" spans="1:11">
      <c r="A480" s="22"/>
      <c r="B480" s="23"/>
      <c r="C480" s="24"/>
      <c r="D480" s="24"/>
      <c r="E480" s="24"/>
      <c r="F480" s="24"/>
      <c r="G480" s="24"/>
      <c r="H480" s="24"/>
      <c r="I480" s="24"/>
      <c r="J480" s="24"/>
      <c r="K480" s="25"/>
    </row>
    <row r="481" ht="16.5" spans="1:11">
      <c r="A481" s="22"/>
      <c r="B481" s="23"/>
      <c r="C481" s="24"/>
      <c r="D481" s="24"/>
      <c r="E481" s="24"/>
      <c r="F481" s="24"/>
      <c r="G481" s="24"/>
      <c r="H481" s="24"/>
      <c r="I481" s="24"/>
      <c r="J481" s="24"/>
      <c r="K481" s="25"/>
    </row>
    <row r="482" ht="16.5" spans="1:11">
      <c r="A482" s="22"/>
      <c r="B482" s="23"/>
      <c r="C482" s="24"/>
      <c r="D482" s="24"/>
      <c r="E482" s="24"/>
      <c r="F482" s="24"/>
      <c r="G482" s="24"/>
      <c r="H482" s="24"/>
      <c r="I482" s="24"/>
      <c r="J482" s="24"/>
      <c r="K482" s="25"/>
    </row>
    <row r="483" ht="16.5" spans="1:11">
      <c r="A483" s="22"/>
      <c r="B483" s="23"/>
      <c r="C483" s="24"/>
      <c r="D483" s="24"/>
      <c r="E483" s="24"/>
      <c r="F483" s="24"/>
      <c r="G483" s="24"/>
      <c r="H483" s="24"/>
      <c r="I483" s="24"/>
      <c r="J483" s="24"/>
      <c r="K483" s="25"/>
    </row>
    <row r="484" ht="16.5" spans="1:11">
      <c r="A484" s="22"/>
      <c r="B484" s="23"/>
      <c r="C484" s="24"/>
      <c r="D484" s="24"/>
      <c r="E484" s="24"/>
      <c r="F484" s="24"/>
      <c r="G484" s="24"/>
      <c r="H484" s="24"/>
      <c r="I484" s="24"/>
      <c r="J484" s="24"/>
      <c r="K484" s="25"/>
    </row>
    <row r="485" ht="16.5" spans="1:11">
      <c r="A485" s="22"/>
      <c r="B485" s="23"/>
      <c r="C485" s="24"/>
      <c r="D485" s="24"/>
      <c r="E485" s="24"/>
      <c r="F485" s="24"/>
      <c r="G485" s="24"/>
      <c r="H485" s="24"/>
      <c r="I485" s="24"/>
      <c r="J485" s="24"/>
      <c r="K485" s="25"/>
    </row>
    <row r="486" ht="16.5" spans="1:11">
      <c r="A486" s="22"/>
      <c r="B486" s="23"/>
      <c r="C486" s="24"/>
      <c r="D486" s="24"/>
      <c r="E486" s="24"/>
      <c r="F486" s="24"/>
      <c r="G486" s="24"/>
      <c r="H486" s="24"/>
      <c r="I486" s="24"/>
      <c r="J486" s="24"/>
      <c r="K486" s="25"/>
    </row>
    <row r="487" ht="16.5" spans="1:11">
      <c r="A487" s="22"/>
      <c r="B487" s="23"/>
      <c r="C487" s="24"/>
      <c r="D487" s="24"/>
      <c r="E487" s="24"/>
      <c r="F487" s="24"/>
      <c r="G487" s="24"/>
      <c r="H487" s="24"/>
      <c r="I487" s="24"/>
      <c r="J487" s="24"/>
      <c r="K487" s="25"/>
    </row>
    <row r="488" ht="16.5" spans="1:11">
      <c r="A488" s="22"/>
      <c r="B488" s="23"/>
      <c r="C488" s="24"/>
      <c r="D488" s="24"/>
      <c r="E488" s="24"/>
      <c r="F488" s="24"/>
      <c r="G488" s="24"/>
      <c r="H488" s="24"/>
      <c r="I488" s="24"/>
      <c r="J488" s="24"/>
      <c r="K488" s="25"/>
    </row>
    <row r="489" ht="16.5" spans="1:11">
      <c r="A489" s="22"/>
      <c r="B489" s="23"/>
      <c r="C489" s="24"/>
      <c r="D489" s="24"/>
      <c r="E489" s="24"/>
      <c r="F489" s="24"/>
      <c r="G489" s="24"/>
      <c r="H489" s="24"/>
      <c r="I489" s="24"/>
      <c r="J489" s="24"/>
      <c r="K489" s="25"/>
    </row>
    <row r="490" ht="16.5" spans="1:11">
      <c r="A490" s="22"/>
      <c r="B490" s="23"/>
      <c r="C490" s="24"/>
      <c r="D490" s="24"/>
      <c r="E490" s="24"/>
      <c r="F490" s="24"/>
      <c r="G490" s="24"/>
      <c r="H490" s="24"/>
      <c r="I490" s="24"/>
      <c r="J490" s="24"/>
      <c r="K490" s="25"/>
    </row>
    <row r="491" ht="16.5" spans="1:11">
      <c r="A491" s="22"/>
      <c r="B491" s="23"/>
      <c r="C491" s="24"/>
      <c r="D491" s="24"/>
      <c r="E491" s="24"/>
      <c r="F491" s="24"/>
      <c r="G491" s="24"/>
      <c r="H491" s="24"/>
      <c r="I491" s="24"/>
      <c r="J491" s="24"/>
      <c r="K491" s="25"/>
    </row>
    <row r="492" ht="16.5" spans="1:11">
      <c r="A492" s="22"/>
      <c r="B492" s="23"/>
      <c r="C492" s="24"/>
      <c r="D492" s="24"/>
      <c r="E492" s="24"/>
      <c r="F492" s="24"/>
      <c r="G492" s="24"/>
      <c r="H492" s="24"/>
      <c r="I492" s="24"/>
      <c r="J492" s="24"/>
      <c r="K492" s="25"/>
    </row>
    <row r="493" ht="16.5" spans="1:11">
      <c r="A493" s="22"/>
      <c r="B493" s="23"/>
      <c r="C493" s="24"/>
      <c r="D493" s="24"/>
      <c r="E493" s="24"/>
      <c r="F493" s="24"/>
      <c r="G493" s="24"/>
      <c r="H493" s="24"/>
      <c r="I493" s="24"/>
      <c r="J493" s="24"/>
      <c r="K493" s="25"/>
    </row>
    <row r="494" ht="16.5" spans="1:11">
      <c r="A494" s="22"/>
      <c r="B494" s="23"/>
      <c r="C494" s="24"/>
      <c r="D494" s="24"/>
      <c r="E494" s="24"/>
      <c r="F494" s="24"/>
      <c r="G494" s="24"/>
      <c r="H494" s="24"/>
      <c r="I494" s="24"/>
      <c r="J494" s="24"/>
      <c r="K494" s="25"/>
    </row>
    <row r="495" ht="16.5" spans="1:11">
      <c r="A495" s="22"/>
      <c r="B495" s="23"/>
      <c r="C495" s="24"/>
      <c r="D495" s="24"/>
      <c r="E495" s="24"/>
      <c r="F495" s="24"/>
      <c r="G495" s="24"/>
      <c r="H495" s="24"/>
      <c r="I495" s="24"/>
      <c r="J495" s="24"/>
      <c r="K495" s="25"/>
    </row>
    <row r="496" ht="16.5" spans="1:11">
      <c r="A496" s="22"/>
      <c r="B496" s="23"/>
      <c r="C496" s="24"/>
      <c r="D496" s="24"/>
      <c r="E496" s="24"/>
      <c r="F496" s="24"/>
      <c r="G496" s="24"/>
      <c r="H496" s="24"/>
      <c r="I496" s="24"/>
      <c r="J496" s="24"/>
      <c r="K496" s="25"/>
    </row>
    <row r="497" ht="16.5" spans="1:11">
      <c r="A497" s="22"/>
      <c r="B497" s="23"/>
      <c r="C497" s="24"/>
      <c r="D497" s="24"/>
      <c r="E497" s="24"/>
      <c r="F497" s="24"/>
      <c r="G497" s="24"/>
      <c r="H497" s="24"/>
      <c r="I497" s="24"/>
      <c r="J497" s="24"/>
      <c r="K497" s="25"/>
    </row>
    <row r="498" ht="16.5" spans="1:11">
      <c r="A498" s="22"/>
      <c r="B498" s="23"/>
      <c r="C498" s="24"/>
      <c r="D498" s="24"/>
      <c r="E498" s="24"/>
      <c r="F498" s="24"/>
      <c r="G498" s="24"/>
      <c r="H498" s="24"/>
      <c r="I498" s="24"/>
      <c r="J498" s="24"/>
      <c r="K498" s="25"/>
    </row>
    <row r="499" ht="16.5" spans="1:11">
      <c r="A499" s="22"/>
      <c r="B499" s="23"/>
      <c r="C499" s="24"/>
      <c r="D499" s="24"/>
      <c r="E499" s="24"/>
      <c r="F499" s="24"/>
      <c r="G499" s="24"/>
      <c r="H499" s="24"/>
      <c r="I499" s="24"/>
      <c r="J499" s="24"/>
      <c r="K499" s="25"/>
    </row>
    <row r="500" ht="16.5" spans="1:11">
      <c r="A500" s="22"/>
      <c r="B500" s="23"/>
      <c r="C500" s="24"/>
      <c r="D500" s="24"/>
      <c r="E500" s="24"/>
      <c r="F500" s="24"/>
      <c r="G500" s="24"/>
      <c r="H500" s="24"/>
      <c r="I500" s="24"/>
      <c r="J500" s="24"/>
      <c r="K500" s="25"/>
    </row>
    <row r="501" ht="16.5" spans="1:11">
      <c r="A501" s="22"/>
      <c r="B501" s="23"/>
      <c r="C501" s="24"/>
      <c r="D501" s="24"/>
      <c r="E501" s="24"/>
      <c r="F501" s="24"/>
      <c r="G501" s="24"/>
      <c r="H501" s="24"/>
      <c r="I501" s="24"/>
      <c r="J501" s="24"/>
      <c r="K501" s="25"/>
    </row>
    <row r="502" ht="16.5" spans="1:11">
      <c r="A502" s="22"/>
      <c r="B502" s="23"/>
      <c r="C502" s="24"/>
      <c r="D502" s="24"/>
      <c r="E502" s="24"/>
      <c r="F502" s="24"/>
      <c r="G502" s="24"/>
      <c r="H502" s="24"/>
      <c r="I502" s="24"/>
      <c r="J502" s="24"/>
      <c r="K502" s="25"/>
    </row>
    <row r="503" ht="16.5" spans="1:11">
      <c r="A503" s="22"/>
      <c r="B503" s="23"/>
      <c r="C503" s="24"/>
      <c r="D503" s="24"/>
      <c r="E503" s="24"/>
      <c r="F503" s="24"/>
      <c r="G503" s="24"/>
      <c r="H503" s="24"/>
      <c r="I503" s="24"/>
      <c r="J503" s="24"/>
      <c r="K503" s="25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K503"/>
  <sheetViews>
    <sheetView showGridLines="0" workbookViewId="0">
      <pane ySplit="3" topLeftCell="A4" activePane="bottomLeft" state="frozen"/>
      <selection/>
      <selection pane="bottomLeft" activeCell="H12" sqref="H12"/>
    </sheetView>
  </sheetViews>
  <sheetFormatPr defaultColWidth="9" defaultRowHeight="13.5"/>
  <cols>
    <col min="1" max="1" width="8" customWidth="1"/>
    <col min="2" max="2" width="12" style="6" customWidth="1"/>
    <col min="3" max="3" width="18" style="7" customWidth="1"/>
    <col min="4" max="4" width="14" style="8" customWidth="1"/>
    <col min="5" max="5" width="20" style="7" customWidth="1"/>
    <col min="6" max="6" width="18" style="8" customWidth="1"/>
    <col min="7" max="8" width="12" style="7" customWidth="1"/>
    <col min="9" max="9" width="16" style="7" customWidth="1"/>
    <col min="10" max="10" width="12" style="8" customWidth="1"/>
    <col min="11" max="11" width="7.375" style="9" customWidth="1"/>
    <col min="12" max="16371" width="10" style="5" customWidth="1"/>
    <col min="16372" max="16372" width="10" style="5"/>
    <col min="16373" max="16376" width="9" style="5"/>
    <col min="16377" max="16377" width="10" style="5"/>
    <col min="16378" max="16384" width="9" style="5"/>
  </cols>
  <sheetData>
    <row r="1" s="5" customFormat="1" ht="28" customHeight="1" spans="1:11">
      <c r="A1" s="10" t="s">
        <v>299</v>
      </c>
      <c r="B1" s="11"/>
      <c r="C1" s="12"/>
      <c r="D1" s="12"/>
      <c r="E1" s="12"/>
      <c r="F1" s="12"/>
      <c r="G1" s="12"/>
      <c r="H1" s="12"/>
      <c r="I1" s="12"/>
      <c r="J1" s="12"/>
      <c r="K1" s="13"/>
    </row>
    <row r="2" s="5" customFormat="1" ht="24" customHeight="1" spans="1:11">
      <c r="A2" s="14" t="s">
        <v>295</v>
      </c>
      <c r="B2" s="15" t="s">
        <v>46</v>
      </c>
      <c r="C2" s="16" t="s">
        <v>100</v>
      </c>
      <c r="D2" s="17">
        <f>IFERROR(VLOOKUP($B$2,数据录入!$C$5:$H$18,6,0),0)</f>
        <v>0</v>
      </c>
      <c r="E2" s="16" t="s">
        <v>296</v>
      </c>
      <c r="F2" s="17">
        <f>SUMIFS(数据录入!$F$19:$F$10000,数据录入!$C$19:$C$10000,$B$2)</f>
        <v>0</v>
      </c>
      <c r="G2" s="16" t="s">
        <v>297</v>
      </c>
      <c r="H2" s="17">
        <f>SUMIFS(数据录入!$G$19:$G$10000,数据录入!$C$19:$C$10000,$B$2)</f>
        <v>0</v>
      </c>
      <c r="I2" s="16" t="s">
        <v>298</v>
      </c>
      <c r="J2" s="17">
        <f>D2+F2-H2</f>
        <v>0</v>
      </c>
      <c r="K2" s="18"/>
    </row>
    <row r="3" s="5" customFormat="1" ht="24" customHeight="1" spans="1:11">
      <c r="A3" s="19" t="s">
        <v>92</v>
      </c>
      <c r="B3" s="19" t="s">
        <v>93</v>
      </c>
      <c r="C3" s="19" t="s">
        <v>94</v>
      </c>
      <c r="D3" s="19" t="s">
        <v>38</v>
      </c>
      <c r="E3" s="19" t="s">
        <v>95</v>
      </c>
      <c r="F3" s="19" t="s">
        <v>96</v>
      </c>
      <c r="G3" s="19" t="s">
        <v>97</v>
      </c>
      <c r="H3" s="19" t="s">
        <v>91</v>
      </c>
      <c r="I3" s="20" t="s">
        <v>39</v>
      </c>
      <c r="J3" s="20" t="s">
        <v>41</v>
      </c>
      <c r="K3" s="21" t="s">
        <v>98</v>
      </c>
    </row>
    <row r="4" s="5" customFormat="1" ht="20" customHeight="1" spans="1:11">
      <c r="A4" s="22" vm="1" t="e" cm="1">
        <f t="array" ref="A4">_xlfn._xlws.FILTER(数据录入!$A$19:$K$10000,数据录入!$C$19:$C$10000=$B$2)</f>
        <v>#VALUE!</v>
      </c>
      <c r="B4" s="23"/>
      <c r="C4" s="24"/>
      <c r="D4" s="24"/>
      <c r="E4" s="24"/>
      <c r="F4" s="24"/>
      <c r="G4" s="24"/>
      <c r="H4" s="24"/>
      <c r="I4" s="24"/>
      <c r="J4" s="24"/>
      <c r="K4" s="25"/>
    </row>
    <row r="5" s="5" customFormat="1" ht="20" customHeight="1" spans="1:11">
      <c r="A5" s="22"/>
      <c r="B5" s="23"/>
      <c r="C5" s="24"/>
      <c r="D5" s="24"/>
      <c r="E5" s="24"/>
      <c r="F5" s="24"/>
      <c r="G5" s="24"/>
      <c r="H5" s="24"/>
      <c r="I5" s="24"/>
      <c r="J5" s="24"/>
      <c r="K5" s="25"/>
    </row>
    <row r="6" s="5" customFormat="1" ht="20" customHeight="1" spans="1:11">
      <c r="A6" s="22"/>
      <c r="B6" s="23"/>
      <c r="C6" s="24"/>
      <c r="D6" s="24"/>
      <c r="E6" s="24"/>
      <c r="F6" s="24"/>
      <c r="G6" s="24"/>
      <c r="H6" s="24"/>
      <c r="I6" s="24"/>
      <c r="J6" s="24"/>
      <c r="K6" s="25"/>
    </row>
    <row r="7" s="5" customFormat="1" ht="20" customHeight="1" spans="1:11">
      <c r="A7" s="22"/>
      <c r="B7" s="23"/>
      <c r="C7" s="24"/>
      <c r="D7" s="24"/>
      <c r="E7" s="24"/>
      <c r="F7" s="24"/>
      <c r="G7" s="24"/>
      <c r="H7" s="24"/>
      <c r="I7" s="24"/>
      <c r="J7" s="24"/>
      <c r="K7" s="25"/>
    </row>
    <row r="8" s="5" customFormat="1" ht="20" customHeight="1" spans="1:11">
      <c r="A8" s="22"/>
      <c r="B8" s="23"/>
      <c r="C8" s="24"/>
      <c r="D8" s="24"/>
      <c r="E8" s="24"/>
      <c r="F8" s="24"/>
      <c r="G8" s="24"/>
      <c r="H8" s="24"/>
      <c r="I8" s="24"/>
      <c r="J8" s="24"/>
      <c r="K8" s="25"/>
    </row>
    <row r="9" s="5" customFormat="1" ht="20" customHeight="1" spans="1:11">
      <c r="A9" s="22"/>
      <c r="B9" s="23"/>
      <c r="C9" s="24"/>
      <c r="D9" s="24"/>
      <c r="E9" s="24"/>
      <c r="F9" s="24"/>
      <c r="G9" s="24"/>
      <c r="H9" s="24"/>
      <c r="I9" s="24"/>
      <c r="J9" s="24"/>
      <c r="K9" s="25"/>
    </row>
    <row r="10" s="5" customFormat="1" ht="20" customHeight="1" spans="1:11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5"/>
    </row>
    <row r="11" s="5" customFormat="1" ht="20" customHeight="1" spans="1:11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5"/>
    </row>
    <row r="12" s="5" customFormat="1" ht="20" customHeight="1" spans="1:11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5"/>
    </row>
    <row r="13" s="5" customFormat="1" ht="20" customHeight="1" spans="1:11">
      <c r="A13" s="22"/>
      <c r="B13" s="23"/>
      <c r="C13" s="24"/>
      <c r="D13" s="24"/>
      <c r="E13" s="24"/>
      <c r="F13" s="24"/>
      <c r="G13" s="24"/>
      <c r="H13" s="24"/>
      <c r="I13" s="24"/>
      <c r="J13" s="24"/>
      <c r="K13" s="25"/>
    </row>
    <row r="14" s="5" customFormat="1" ht="20" customHeight="1" spans="1:1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5"/>
    </row>
    <row r="15" s="5" customFormat="1" ht="20" customHeight="1" spans="1:11">
      <c r="A15" s="22"/>
      <c r="B15" s="23"/>
      <c r="C15" s="24"/>
      <c r="D15" s="24"/>
      <c r="E15" s="24"/>
      <c r="F15" s="24"/>
      <c r="G15" s="24"/>
      <c r="H15" s="24"/>
      <c r="I15" s="24"/>
      <c r="J15" s="24"/>
      <c r="K15" s="25"/>
    </row>
    <row r="16" s="5" customFormat="1" ht="20" customHeight="1" spans="1:11">
      <c r="A16" s="22"/>
      <c r="B16" s="23"/>
      <c r="C16" s="24"/>
      <c r="D16" s="24"/>
      <c r="E16" s="24"/>
      <c r="F16" s="24"/>
      <c r="G16" s="24"/>
      <c r="H16" s="24"/>
      <c r="I16" s="24"/>
      <c r="J16" s="24"/>
      <c r="K16" s="25"/>
    </row>
    <row r="17" s="5" customFormat="1" ht="20" customHeight="1" spans="1:11">
      <c r="A17" s="22"/>
      <c r="B17" s="23"/>
      <c r="C17" s="24"/>
      <c r="D17" s="24"/>
      <c r="E17" s="24"/>
      <c r="F17" s="24"/>
      <c r="G17" s="24"/>
      <c r="H17" s="24"/>
      <c r="I17" s="24"/>
      <c r="J17" s="24"/>
      <c r="K17" s="25"/>
    </row>
    <row r="18" s="5" customFormat="1" ht="20" customHeight="1" spans="1:11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5"/>
    </row>
    <row r="19" s="5" customFormat="1" ht="20" customHeight="1" spans="1:11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25"/>
    </row>
    <row r="20" s="5" customFormat="1" ht="20" customHeight="1" spans="1:11">
      <c r="A20" s="22"/>
      <c r="B20" s="23"/>
      <c r="C20" s="24"/>
      <c r="D20" s="24"/>
      <c r="E20" s="24"/>
      <c r="F20" s="24"/>
      <c r="G20" s="24"/>
      <c r="H20" s="24"/>
      <c r="I20" s="24"/>
      <c r="J20" s="24"/>
      <c r="K20" s="25"/>
    </row>
    <row r="21" s="5" customFormat="1" ht="20" customHeight="1" spans="1:11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5"/>
    </row>
    <row r="22" s="5" customFormat="1" ht="20" customHeight="1" spans="1:11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5"/>
    </row>
    <row r="23" s="5" customFormat="1" ht="20" customHeight="1" spans="1:11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5"/>
    </row>
    <row r="24" s="5" customFormat="1" ht="20" customHeight="1" spans="1:11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5"/>
    </row>
    <row r="25" s="5" customFormat="1" ht="20" customHeight="1" spans="1:11">
      <c r="A25" s="22"/>
      <c r="B25" s="23"/>
      <c r="C25" s="24"/>
      <c r="D25" s="24"/>
      <c r="E25" s="24"/>
      <c r="F25" s="24"/>
      <c r="G25" s="24"/>
      <c r="H25" s="24"/>
      <c r="I25" s="24"/>
      <c r="J25" s="24"/>
      <c r="K25" s="25"/>
    </row>
    <row r="26" s="5" customFormat="1" ht="20" customHeight="1" spans="1:11">
      <c r="A26" s="22"/>
      <c r="B26" s="23"/>
      <c r="C26" s="24"/>
      <c r="D26" s="24"/>
      <c r="E26" s="24"/>
      <c r="F26" s="24"/>
      <c r="G26" s="24"/>
      <c r="H26" s="24"/>
      <c r="I26" s="24"/>
      <c r="J26" s="24"/>
      <c r="K26" s="25"/>
    </row>
    <row r="27" s="5" customFormat="1" ht="20" customHeight="1" spans="1:11">
      <c r="A27" s="22"/>
      <c r="B27" s="23"/>
      <c r="C27" s="24"/>
      <c r="D27" s="24"/>
      <c r="E27" s="24"/>
      <c r="F27" s="24"/>
      <c r="G27" s="24"/>
      <c r="H27" s="24"/>
      <c r="I27" s="24"/>
      <c r="J27" s="24"/>
      <c r="K27" s="25"/>
    </row>
    <row r="28" s="5" customFormat="1" ht="20" customHeight="1" spans="1:1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5"/>
    </row>
    <row r="29" s="5" customFormat="1" ht="20" customHeight="1" spans="1:11">
      <c r="A29" s="22"/>
      <c r="B29" s="23"/>
      <c r="C29" s="24"/>
      <c r="D29" s="24"/>
      <c r="E29" s="24"/>
      <c r="F29" s="24"/>
      <c r="G29" s="24"/>
      <c r="H29" s="24"/>
      <c r="I29" s="24"/>
      <c r="J29" s="24"/>
      <c r="K29" s="25"/>
    </row>
    <row r="30" s="5" customFormat="1" ht="20" customHeight="1" spans="1:11">
      <c r="A30" s="22"/>
      <c r="B30" s="23"/>
      <c r="C30" s="24"/>
      <c r="D30" s="24"/>
      <c r="E30" s="24"/>
      <c r="F30" s="24"/>
      <c r="G30" s="24"/>
      <c r="H30" s="24"/>
      <c r="I30" s="24"/>
      <c r="J30" s="24"/>
      <c r="K30" s="25"/>
    </row>
    <row r="31" s="5" customFormat="1" ht="20" customHeight="1" spans="1:11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5"/>
    </row>
    <row r="32" s="5" customFormat="1" ht="20" customHeight="1" spans="1:11">
      <c r="A32" s="22"/>
      <c r="B32" s="23"/>
      <c r="C32" s="24"/>
      <c r="D32" s="24"/>
      <c r="E32" s="24"/>
      <c r="F32" s="24"/>
      <c r="G32" s="24"/>
      <c r="H32" s="24"/>
      <c r="I32" s="24"/>
      <c r="J32" s="24"/>
      <c r="K32" s="25"/>
    </row>
    <row r="33" s="5" customFormat="1" ht="20" customHeight="1" spans="1:11">
      <c r="A33" s="22"/>
      <c r="B33" s="23"/>
      <c r="C33" s="24"/>
      <c r="D33" s="24"/>
      <c r="E33" s="24"/>
      <c r="F33" s="24"/>
      <c r="G33" s="24"/>
      <c r="H33" s="24"/>
      <c r="I33" s="24"/>
      <c r="J33" s="24"/>
      <c r="K33" s="25"/>
    </row>
    <row r="34" s="5" customFormat="1" ht="20" customHeight="1" spans="1:11">
      <c r="A34" s="22"/>
      <c r="B34" s="23"/>
      <c r="C34" s="24"/>
      <c r="D34" s="24"/>
      <c r="E34" s="24"/>
      <c r="F34" s="24"/>
      <c r="G34" s="24"/>
      <c r="H34" s="24"/>
      <c r="I34" s="24"/>
      <c r="J34" s="24"/>
      <c r="K34" s="25"/>
    </row>
    <row r="35" s="5" customFormat="1" ht="20" customHeight="1" spans="1:11">
      <c r="A35" s="22"/>
      <c r="B35" s="23"/>
      <c r="C35" s="24"/>
      <c r="D35" s="24"/>
      <c r="E35" s="24"/>
      <c r="F35" s="24"/>
      <c r="G35" s="24"/>
      <c r="H35" s="24"/>
      <c r="I35" s="24"/>
      <c r="J35" s="24"/>
      <c r="K35" s="25"/>
    </row>
    <row r="36" s="5" customFormat="1" ht="20" customHeight="1" spans="1:11">
      <c r="A36" s="22"/>
      <c r="B36" s="23"/>
      <c r="C36" s="24"/>
      <c r="D36" s="24"/>
      <c r="E36" s="24"/>
      <c r="F36" s="24"/>
      <c r="G36" s="24"/>
      <c r="H36" s="24"/>
      <c r="I36" s="24"/>
      <c r="J36" s="24"/>
      <c r="K36" s="25"/>
    </row>
    <row r="37" s="5" customFormat="1" ht="20" customHeight="1" spans="1:11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5"/>
    </row>
    <row r="38" s="5" customFormat="1" ht="20" customHeight="1" spans="1:11">
      <c r="A38" s="22"/>
      <c r="B38" s="23"/>
      <c r="C38" s="24"/>
      <c r="D38" s="24"/>
      <c r="E38" s="24"/>
      <c r="F38" s="24"/>
      <c r="G38" s="24"/>
      <c r="H38" s="24"/>
      <c r="I38" s="24"/>
      <c r="J38" s="24"/>
      <c r="K38" s="25"/>
    </row>
    <row r="39" s="5" customFormat="1" ht="20" customHeight="1" spans="1:11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5"/>
    </row>
    <row r="40" s="5" customFormat="1" ht="20" customHeight="1" spans="1:11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5"/>
    </row>
    <row r="41" s="5" customFormat="1" ht="20" customHeight="1" spans="1:11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5"/>
    </row>
    <row r="42" s="5" customFormat="1" ht="20" customHeight="1" spans="1:11">
      <c r="A42" s="22"/>
      <c r="B42" s="23"/>
      <c r="C42" s="24"/>
      <c r="D42" s="24"/>
      <c r="E42" s="24"/>
      <c r="F42" s="24"/>
      <c r="G42" s="24"/>
      <c r="H42" s="24"/>
      <c r="I42" s="24"/>
      <c r="J42" s="24"/>
      <c r="K42" s="25"/>
    </row>
    <row r="43" s="5" customFormat="1" ht="20" customHeight="1" spans="1:1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5"/>
    </row>
    <row r="44" s="5" customFormat="1" ht="20" customHeight="1" spans="1:11">
      <c r="A44" s="22"/>
      <c r="B44" s="23"/>
      <c r="C44" s="24"/>
      <c r="D44" s="24"/>
      <c r="E44" s="24"/>
      <c r="F44" s="24"/>
      <c r="G44" s="24"/>
      <c r="H44" s="24"/>
      <c r="I44" s="24"/>
      <c r="J44" s="24"/>
      <c r="K44" s="25"/>
    </row>
    <row r="45" s="5" customFormat="1" ht="20" customHeight="1" spans="1:11">
      <c r="A45" s="22"/>
      <c r="B45" s="23"/>
      <c r="C45" s="24"/>
      <c r="D45" s="24"/>
      <c r="E45" s="24"/>
      <c r="F45" s="24"/>
      <c r="G45" s="24"/>
      <c r="H45" s="24"/>
      <c r="I45" s="24"/>
      <c r="J45" s="24"/>
      <c r="K45" s="25"/>
    </row>
    <row r="46" s="5" customFormat="1" ht="20" customHeight="1" spans="1:11">
      <c r="A46" s="22"/>
      <c r="B46" s="23"/>
      <c r="C46" s="24"/>
      <c r="D46" s="24"/>
      <c r="E46" s="24"/>
      <c r="F46" s="24"/>
      <c r="G46" s="24"/>
      <c r="H46" s="24"/>
      <c r="I46" s="24"/>
      <c r="J46" s="24"/>
      <c r="K46" s="25"/>
    </row>
    <row r="47" s="5" customFormat="1" ht="20" customHeight="1" spans="1:11">
      <c r="A47" s="22"/>
      <c r="B47" s="23"/>
      <c r="C47" s="24"/>
      <c r="D47" s="24"/>
      <c r="E47" s="24"/>
      <c r="F47" s="24"/>
      <c r="G47" s="24"/>
      <c r="H47" s="24"/>
      <c r="I47" s="24"/>
      <c r="J47" s="24"/>
      <c r="K47" s="25"/>
    </row>
    <row r="48" s="5" customFormat="1" ht="20" customHeight="1" spans="1:11">
      <c r="A48" s="22"/>
      <c r="B48" s="23"/>
      <c r="C48" s="24"/>
      <c r="D48" s="24"/>
      <c r="E48" s="24"/>
      <c r="F48" s="24"/>
      <c r="G48" s="24"/>
      <c r="H48" s="24"/>
      <c r="I48" s="24"/>
      <c r="J48" s="24"/>
      <c r="K48" s="25"/>
    </row>
    <row r="49" s="5" customFormat="1" ht="20" customHeight="1" spans="1:11">
      <c r="A49" s="22"/>
      <c r="B49" s="23"/>
      <c r="C49" s="24"/>
      <c r="D49" s="24"/>
      <c r="E49" s="24"/>
      <c r="F49" s="24"/>
      <c r="G49" s="24"/>
      <c r="H49" s="24"/>
      <c r="I49" s="24"/>
      <c r="J49" s="24"/>
      <c r="K49" s="25"/>
    </row>
    <row r="50" s="5" customFormat="1" ht="20" customHeight="1" spans="1:11">
      <c r="A50" s="22"/>
      <c r="B50" s="23"/>
      <c r="C50" s="24"/>
      <c r="D50" s="24"/>
      <c r="E50" s="24"/>
      <c r="F50" s="24"/>
      <c r="G50" s="24"/>
      <c r="H50" s="24"/>
      <c r="I50" s="24"/>
      <c r="J50" s="24"/>
      <c r="K50" s="25"/>
    </row>
    <row r="51" s="5" customFormat="1" ht="20" customHeight="1" spans="1:11">
      <c r="A51" s="22"/>
      <c r="B51" s="23"/>
      <c r="C51" s="24"/>
      <c r="D51" s="24"/>
      <c r="E51" s="24"/>
      <c r="F51" s="24"/>
      <c r="G51" s="24"/>
      <c r="H51" s="24"/>
      <c r="I51" s="24"/>
      <c r="J51" s="24"/>
      <c r="K51" s="25"/>
    </row>
    <row r="52" s="5" customFormat="1" ht="20" customHeight="1" spans="1:11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5"/>
    </row>
    <row r="53" s="5" customFormat="1" ht="20" customHeight="1" spans="1:11">
      <c r="A53" s="22"/>
      <c r="B53" s="23"/>
      <c r="C53" s="24"/>
      <c r="D53" s="24"/>
      <c r="E53" s="24"/>
      <c r="F53" s="24"/>
      <c r="G53" s="24"/>
      <c r="H53" s="24"/>
      <c r="I53" s="24"/>
      <c r="J53" s="24"/>
      <c r="K53" s="25"/>
    </row>
    <row r="54" s="5" customFormat="1" ht="20" customHeight="1" spans="1:11">
      <c r="A54" s="22"/>
      <c r="B54" s="23"/>
      <c r="C54" s="24"/>
      <c r="D54" s="24"/>
      <c r="E54" s="24"/>
      <c r="F54" s="24"/>
      <c r="G54" s="24"/>
      <c r="H54" s="24"/>
      <c r="I54" s="24"/>
      <c r="J54" s="24"/>
      <c r="K54" s="25"/>
    </row>
    <row r="55" s="5" customFormat="1" ht="20" customHeight="1" spans="1:11">
      <c r="A55" s="22"/>
      <c r="B55" s="23"/>
      <c r="C55" s="24"/>
      <c r="D55" s="24"/>
      <c r="E55" s="24"/>
      <c r="F55" s="24"/>
      <c r="G55" s="24"/>
      <c r="H55" s="24"/>
      <c r="I55" s="24"/>
      <c r="J55" s="24"/>
      <c r="K55" s="25"/>
    </row>
    <row r="56" s="5" customFormat="1" ht="20" customHeight="1" spans="1:11">
      <c r="A56" s="22"/>
      <c r="B56" s="23"/>
      <c r="C56" s="24"/>
      <c r="D56" s="24"/>
      <c r="E56" s="24"/>
      <c r="F56" s="24"/>
      <c r="G56" s="24"/>
      <c r="H56" s="24"/>
      <c r="I56" s="24"/>
      <c r="J56" s="24"/>
      <c r="K56" s="25"/>
    </row>
    <row r="57" s="5" customFormat="1" ht="20" customHeight="1" spans="1:11">
      <c r="A57" s="22"/>
      <c r="B57" s="23"/>
      <c r="C57" s="24"/>
      <c r="D57" s="24"/>
      <c r="E57" s="24"/>
      <c r="F57" s="24"/>
      <c r="G57" s="24"/>
      <c r="H57" s="24"/>
      <c r="I57" s="24"/>
      <c r="J57" s="24"/>
      <c r="K57" s="25"/>
    </row>
    <row r="58" s="5" customFormat="1" ht="20" customHeight="1" spans="1:11">
      <c r="A58" s="22"/>
      <c r="B58" s="23"/>
      <c r="C58" s="24"/>
      <c r="D58" s="24"/>
      <c r="E58" s="24"/>
      <c r="F58" s="24"/>
      <c r="G58" s="24"/>
      <c r="H58" s="24"/>
      <c r="I58" s="24"/>
      <c r="J58" s="24"/>
      <c r="K58" s="25"/>
    </row>
    <row r="59" s="5" customFormat="1" ht="20" customHeight="1" spans="1:11">
      <c r="A59" s="22"/>
      <c r="B59" s="23"/>
      <c r="C59" s="24"/>
      <c r="D59" s="24"/>
      <c r="E59" s="24"/>
      <c r="F59" s="24"/>
      <c r="G59" s="24"/>
      <c r="H59" s="24"/>
      <c r="I59" s="24"/>
      <c r="J59" s="24"/>
      <c r="K59" s="25"/>
    </row>
    <row r="60" s="5" customFormat="1" ht="20" customHeight="1" spans="1:11">
      <c r="A60" s="22"/>
      <c r="B60" s="23"/>
      <c r="C60" s="24"/>
      <c r="D60" s="24"/>
      <c r="E60" s="24"/>
      <c r="F60" s="24"/>
      <c r="G60" s="24"/>
      <c r="H60" s="24"/>
      <c r="I60" s="24"/>
      <c r="J60" s="24"/>
      <c r="K60" s="25"/>
    </row>
    <row r="61" s="5" customFormat="1" ht="20" customHeight="1" spans="1:11">
      <c r="A61" s="22"/>
      <c r="B61" s="23"/>
      <c r="C61" s="24"/>
      <c r="D61" s="24"/>
      <c r="E61" s="24"/>
      <c r="F61" s="24"/>
      <c r="G61" s="24"/>
      <c r="H61" s="24"/>
      <c r="I61" s="24"/>
      <c r="J61" s="24"/>
      <c r="K61" s="25"/>
    </row>
    <row r="62" s="5" customFormat="1" ht="20" customHeight="1" spans="1:11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5"/>
    </row>
    <row r="63" s="5" customFormat="1" ht="20" customHeight="1" spans="1:1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5"/>
    </row>
    <row r="64" s="5" customFormat="1" ht="20" customHeight="1" spans="1:11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5"/>
    </row>
    <row r="65" s="5" customFormat="1" ht="20" customHeight="1" spans="1:11">
      <c r="A65" s="22"/>
      <c r="B65" s="23"/>
      <c r="C65" s="24"/>
      <c r="D65" s="24"/>
      <c r="E65" s="24"/>
      <c r="F65" s="24"/>
      <c r="G65" s="24"/>
      <c r="H65" s="24"/>
      <c r="I65" s="24"/>
      <c r="J65" s="24"/>
      <c r="K65" s="25"/>
    </row>
    <row r="66" s="5" customFormat="1" ht="20" customHeight="1" spans="1:11">
      <c r="A66" s="22"/>
      <c r="B66" s="23"/>
      <c r="C66" s="24"/>
      <c r="D66" s="24"/>
      <c r="E66" s="24"/>
      <c r="F66" s="24"/>
      <c r="G66" s="24"/>
      <c r="H66" s="24"/>
      <c r="I66" s="24"/>
      <c r="J66" s="24"/>
      <c r="K66" s="25"/>
    </row>
    <row r="67" s="5" customFormat="1" ht="20" customHeight="1" spans="1:11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5"/>
    </row>
    <row r="68" s="5" customFormat="1" ht="20" customHeight="1" spans="1:11">
      <c r="A68" s="22"/>
      <c r="B68" s="23"/>
      <c r="C68" s="24"/>
      <c r="D68" s="24"/>
      <c r="E68" s="24"/>
      <c r="F68" s="24"/>
      <c r="G68" s="24"/>
      <c r="H68" s="24"/>
      <c r="I68" s="24"/>
      <c r="J68" s="24"/>
      <c r="K68" s="25"/>
    </row>
    <row r="69" s="5" customFormat="1" ht="20" customHeight="1" spans="1:11">
      <c r="A69" s="22"/>
      <c r="B69" s="23"/>
      <c r="C69" s="24"/>
      <c r="D69" s="24"/>
      <c r="E69" s="24"/>
      <c r="F69" s="24"/>
      <c r="G69" s="24"/>
      <c r="H69" s="24"/>
      <c r="I69" s="24"/>
      <c r="J69" s="24"/>
      <c r="K69" s="25"/>
    </row>
    <row r="70" s="5" customFormat="1" ht="20" customHeight="1" spans="1:11">
      <c r="A70" s="22"/>
      <c r="B70" s="23"/>
      <c r="C70" s="24"/>
      <c r="D70" s="24"/>
      <c r="E70" s="24"/>
      <c r="F70" s="24"/>
      <c r="G70" s="24"/>
      <c r="H70" s="24"/>
      <c r="I70" s="24"/>
      <c r="J70" s="24"/>
      <c r="K70" s="25"/>
    </row>
    <row r="71" s="5" customFormat="1" ht="20" customHeight="1" spans="1:11">
      <c r="A71" s="22"/>
      <c r="B71" s="23"/>
      <c r="C71" s="24"/>
      <c r="D71" s="24"/>
      <c r="E71" s="24"/>
      <c r="F71" s="24"/>
      <c r="G71" s="24"/>
      <c r="H71" s="24"/>
      <c r="I71" s="24"/>
      <c r="J71" s="24"/>
      <c r="K71" s="25"/>
    </row>
    <row r="72" s="5" customFormat="1" ht="20" customHeight="1" spans="1:11">
      <c r="A72" s="22"/>
      <c r="B72" s="23"/>
      <c r="C72" s="24"/>
      <c r="D72" s="24"/>
      <c r="E72" s="24"/>
      <c r="F72" s="24"/>
      <c r="G72" s="24"/>
      <c r="H72" s="24"/>
      <c r="I72" s="24"/>
      <c r="J72" s="24"/>
      <c r="K72" s="25"/>
    </row>
    <row r="73" s="5" customFormat="1" ht="20" customHeight="1" spans="1:11">
      <c r="A73" s="22"/>
      <c r="B73" s="23"/>
      <c r="C73" s="24"/>
      <c r="D73" s="24"/>
      <c r="E73" s="24"/>
      <c r="F73" s="24"/>
      <c r="G73" s="24"/>
      <c r="H73" s="24"/>
      <c r="I73" s="24"/>
      <c r="J73" s="24"/>
      <c r="K73" s="25"/>
    </row>
    <row r="74" s="5" customFormat="1" ht="20" customHeight="1" spans="1:11">
      <c r="A74" s="22"/>
      <c r="B74" s="23"/>
      <c r="C74" s="24"/>
      <c r="D74" s="24"/>
      <c r="E74" s="24"/>
      <c r="F74" s="24"/>
      <c r="G74" s="24"/>
      <c r="H74" s="24"/>
      <c r="I74" s="24"/>
      <c r="J74" s="24"/>
      <c r="K74" s="25"/>
    </row>
    <row r="75" s="5" customFormat="1" ht="20" customHeight="1" spans="1:11">
      <c r="A75" s="22"/>
      <c r="B75" s="23"/>
      <c r="C75" s="24"/>
      <c r="D75" s="24"/>
      <c r="E75" s="24"/>
      <c r="F75" s="24"/>
      <c r="G75" s="24"/>
      <c r="H75" s="24"/>
      <c r="I75" s="24"/>
      <c r="J75" s="24"/>
      <c r="K75" s="25"/>
    </row>
    <row r="76" s="5" customFormat="1" ht="20" customHeight="1" spans="1:11">
      <c r="A76" s="22"/>
      <c r="B76" s="23"/>
      <c r="C76" s="24"/>
      <c r="D76" s="24"/>
      <c r="E76" s="24"/>
      <c r="F76" s="24"/>
      <c r="G76" s="24"/>
      <c r="H76" s="24"/>
      <c r="I76" s="24"/>
      <c r="J76" s="24"/>
      <c r="K76" s="25"/>
    </row>
    <row r="77" s="5" customFormat="1" ht="20" customHeight="1" spans="1:11">
      <c r="A77" s="22"/>
      <c r="B77" s="23"/>
      <c r="C77" s="24"/>
      <c r="D77" s="24"/>
      <c r="E77" s="24"/>
      <c r="F77" s="24"/>
      <c r="G77" s="24"/>
      <c r="H77" s="24"/>
      <c r="I77" s="24"/>
      <c r="J77" s="24"/>
      <c r="K77" s="25"/>
    </row>
    <row r="78" s="5" customFormat="1" ht="20" customHeight="1" spans="1:11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5"/>
    </row>
    <row r="79" s="5" customFormat="1" ht="20" customHeight="1" spans="1:11">
      <c r="A79" s="22"/>
      <c r="B79" s="23"/>
      <c r="C79" s="24"/>
      <c r="D79" s="24"/>
      <c r="E79" s="24"/>
      <c r="F79" s="24"/>
      <c r="G79" s="24"/>
      <c r="H79" s="24"/>
      <c r="I79" s="24"/>
      <c r="J79" s="24"/>
      <c r="K79" s="25"/>
    </row>
    <row r="80" s="5" customFormat="1" ht="20" customHeight="1" spans="1:11">
      <c r="A80" s="22"/>
      <c r="B80" s="23"/>
      <c r="C80" s="24"/>
      <c r="D80" s="24"/>
      <c r="E80" s="24"/>
      <c r="F80" s="24"/>
      <c r="G80" s="24"/>
      <c r="H80" s="24"/>
      <c r="I80" s="24"/>
      <c r="J80" s="24"/>
      <c r="K80" s="25"/>
    </row>
    <row r="81" s="5" customFormat="1" ht="20" customHeight="1" spans="1:11">
      <c r="A81" s="22"/>
      <c r="B81" s="23"/>
      <c r="C81" s="24"/>
      <c r="D81" s="24"/>
      <c r="E81" s="24"/>
      <c r="F81" s="24"/>
      <c r="G81" s="24"/>
      <c r="H81" s="24"/>
      <c r="I81" s="24"/>
      <c r="J81" s="24"/>
      <c r="K81" s="25"/>
    </row>
    <row r="82" s="5" customFormat="1" ht="20" customHeight="1" spans="1:11">
      <c r="A82" s="22"/>
      <c r="B82" s="23"/>
      <c r="C82" s="24"/>
      <c r="D82" s="24"/>
      <c r="E82" s="24"/>
      <c r="F82" s="24"/>
      <c r="G82" s="24"/>
      <c r="H82" s="24"/>
      <c r="I82" s="24"/>
      <c r="J82" s="24"/>
      <c r="K82" s="25"/>
    </row>
    <row r="83" s="5" customFormat="1" ht="20" customHeight="1" spans="1:11">
      <c r="A83" s="22"/>
      <c r="B83" s="23"/>
      <c r="C83" s="24"/>
      <c r="D83" s="24"/>
      <c r="E83" s="24"/>
      <c r="F83" s="24"/>
      <c r="G83" s="24"/>
      <c r="H83" s="24"/>
      <c r="I83" s="24"/>
      <c r="J83" s="24"/>
      <c r="K83" s="25"/>
    </row>
    <row r="84" s="5" customFormat="1" ht="20" customHeight="1" spans="1:11">
      <c r="A84" s="22"/>
      <c r="B84" s="23"/>
      <c r="C84" s="24"/>
      <c r="D84" s="24"/>
      <c r="E84" s="24"/>
      <c r="F84" s="24"/>
      <c r="G84" s="24"/>
      <c r="H84" s="24"/>
      <c r="I84" s="24"/>
      <c r="J84" s="24"/>
      <c r="K84" s="25"/>
    </row>
    <row r="85" s="5" customFormat="1" ht="20" customHeight="1" spans="1:11">
      <c r="A85" s="22"/>
      <c r="B85" s="23"/>
      <c r="C85" s="24"/>
      <c r="D85" s="24"/>
      <c r="E85" s="24"/>
      <c r="F85" s="24"/>
      <c r="G85" s="24"/>
      <c r="H85" s="24"/>
      <c r="I85" s="24"/>
      <c r="J85" s="24"/>
      <c r="K85" s="25"/>
    </row>
    <row r="86" s="5" customFormat="1" ht="20" customHeight="1" spans="1:11">
      <c r="A86" s="22"/>
      <c r="B86" s="23"/>
      <c r="C86" s="24"/>
      <c r="D86" s="24"/>
      <c r="E86" s="24"/>
      <c r="F86" s="24"/>
      <c r="G86" s="24"/>
      <c r="H86" s="24"/>
      <c r="I86" s="24"/>
      <c r="J86" s="24"/>
      <c r="K86" s="25"/>
    </row>
    <row r="87" s="5" customFormat="1" ht="20" customHeight="1" spans="1:11">
      <c r="A87" s="22"/>
      <c r="B87" s="23"/>
      <c r="C87" s="24"/>
      <c r="D87" s="24"/>
      <c r="E87" s="24"/>
      <c r="F87" s="24"/>
      <c r="G87" s="24"/>
      <c r="H87" s="24"/>
      <c r="I87" s="24"/>
      <c r="J87" s="24"/>
      <c r="K87" s="25"/>
    </row>
    <row r="88" s="5" customFormat="1" ht="20" customHeight="1" spans="1:11">
      <c r="A88" s="22"/>
      <c r="B88" s="23"/>
      <c r="C88" s="24"/>
      <c r="D88" s="24"/>
      <c r="E88" s="24"/>
      <c r="F88" s="24"/>
      <c r="G88" s="24"/>
      <c r="H88" s="24"/>
      <c r="I88" s="24"/>
      <c r="J88" s="24"/>
      <c r="K88" s="25"/>
    </row>
    <row r="89" s="5" customFormat="1" ht="20" customHeight="1" spans="1:11">
      <c r="A89" s="22"/>
      <c r="B89" s="23"/>
      <c r="C89" s="24"/>
      <c r="D89" s="24"/>
      <c r="E89" s="24"/>
      <c r="F89" s="24"/>
      <c r="G89" s="24"/>
      <c r="H89" s="24"/>
      <c r="I89" s="24"/>
      <c r="J89" s="24"/>
      <c r="K89" s="25"/>
    </row>
    <row r="90" s="5" customFormat="1" ht="20" customHeight="1" spans="1:11">
      <c r="A90" s="22"/>
      <c r="B90" s="23"/>
      <c r="C90" s="24"/>
      <c r="D90" s="24"/>
      <c r="E90" s="24"/>
      <c r="F90" s="24"/>
      <c r="G90" s="24"/>
      <c r="H90" s="24"/>
      <c r="I90" s="24"/>
      <c r="J90" s="24"/>
      <c r="K90" s="25"/>
    </row>
    <row r="91" s="5" customFormat="1" ht="20" customHeight="1" spans="1:11">
      <c r="A91" s="22"/>
      <c r="B91" s="23"/>
      <c r="C91" s="24"/>
      <c r="D91" s="24"/>
      <c r="E91" s="24"/>
      <c r="F91" s="24"/>
      <c r="G91" s="24"/>
      <c r="H91" s="24"/>
      <c r="I91" s="24"/>
      <c r="J91" s="24"/>
      <c r="K91" s="25"/>
    </row>
    <row r="92" s="5" customFormat="1" ht="20" customHeight="1" spans="1:11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5"/>
    </row>
    <row r="93" s="5" customFormat="1" ht="20" customHeight="1" spans="1:11">
      <c r="A93" s="22"/>
      <c r="B93" s="23"/>
      <c r="C93" s="24"/>
      <c r="D93" s="24"/>
      <c r="E93" s="24"/>
      <c r="F93" s="24"/>
      <c r="G93" s="24"/>
      <c r="H93" s="24"/>
      <c r="I93" s="24"/>
      <c r="J93" s="24"/>
      <c r="K93" s="25"/>
    </row>
    <row r="94" s="5" customFormat="1" ht="20" customHeight="1" spans="1:11">
      <c r="A94" s="22"/>
      <c r="B94" s="23"/>
      <c r="C94" s="24"/>
      <c r="D94" s="24"/>
      <c r="E94" s="24"/>
      <c r="F94" s="24"/>
      <c r="G94" s="24"/>
      <c r="H94" s="24"/>
      <c r="I94" s="24"/>
      <c r="J94" s="24"/>
      <c r="K94" s="25"/>
    </row>
    <row r="95" s="5" customFormat="1" ht="20" customHeight="1" spans="1:11">
      <c r="A95" s="22"/>
      <c r="B95" s="23"/>
      <c r="C95" s="24"/>
      <c r="D95" s="24"/>
      <c r="E95" s="24"/>
      <c r="F95" s="24"/>
      <c r="G95" s="24"/>
      <c r="H95" s="24"/>
      <c r="I95" s="24"/>
      <c r="J95" s="24"/>
      <c r="K95" s="25"/>
    </row>
    <row r="96" s="5" customFormat="1" ht="20" customHeight="1" spans="1:11">
      <c r="A96" s="22"/>
      <c r="B96" s="23"/>
      <c r="C96" s="24"/>
      <c r="D96" s="24"/>
      <c r="E96" s="24"/>
      <c r="F96" s="24"/>
      <c r="G96" s="24"/>
      <c r="H96" s="24"/>
      <c r="I96" s="24"/>
      <c r="J96" s="24"/>
      <c r="K96" s="25"/>
    </row>
    <row r="97" s="5" customFormat="1" ht="20" customHeight="1" spans="1:11">
      <c r="A97" s="22"/>
      <c r="B97" s="23"/>
      <c r="C97" s="24"/>
      <c r="D97" s="24"/>
      <c r="E97" s="24"/>
      <c r="F97" s="24"/>
      <c r="G97" s="24"/>
      <c r="H97" s="24"/>
      <c r="I97" s="24"/>
      <c r="J97" s="24"/>
      <c r="K97" s="25"/>
    </row>
    <row r="98" s="5" customFormat="1" ht="20" customHeight="1" spans="1:11">
      <c r="A98" s="22"/>
      <c r="B98" s="23"/>
      <c r="C98" s="24"/>
      <c r="D98" s="24"/>
      <c r="E98" s="24"/>
      <c r="F98" s="24"/>
      <c r="G98" s="24"/>
      <c r="H98" s="24"/>
      <c r="I98" s="24"/>
      <c r="J98" s="24"/>
      <c r="K98" s="25"/>
    </row>
    <row r="99" s="5" customFormat="1" ht="20" customHeight="1" spans="1:11">
      <c r="A99" s="22"/>
      <c r="B99" s="23"/>
      <c r="C99" s="24"/>
      <c r="D99" s="24"/>
      <c r="E99" s="24"/>
      <c r="F99" s="24"/>
      <c r="G99" s="24"/>
      <c r="H99" s="24"/>
      <c r="I99" s="24"/>
      <c r="J99" s="24"/>
      <c r="K99" s="25"/>
    </row>
    <row r="100" s="5" customFormat="1" ht="20" customHeight="1" spans="1:11">
      <c r="A100" s="22"/>
      <c r="B100" s="23"/>
      <c r="C100" s="24"/>
      <c r="D100" s="24"/>
      <c r="E100" s="24"/>
      <c r="F100" s="24"/>
      <c r="G100" s="24"/>
      <c r="H100" s="24"/>
      <c r="I100" s="24"/>
      <c r="J100" s="24"/>
      <c r="K100" s="25"/>
    </row>
    <row r="101" s="5" customFormat="1" ht="20" customHeight="1" spans="1:11">
      <c r="A101" s="22"/>
      <c r="B101" s="23"/>
      <c r="C101" s="24"/>
      <c r="D101" s="24"/>
      <c r="E101" s="24"/>
      <c r="F101" s="24"/>
      <c r="G101" s="24"/>
      <c r="H101" s="24"/>
      <c r="I101" s="24"/>
      <c r="J101" s="24"/>
      <c r="K101" s="25"/>
    </row>
    <row r="102" s="5" customFormat="1" ht="20" customHeight="1" spans="1:11">
      <c r="A102" s="22"/>
      <c r="B102" s="23"/>
      <c r="C102" s="24"/>
      <c r="D102" s="24"/>
      <c r="E102" s="24"/>
      <c r="F102" s="24"/>
      <c r="G102" s="24"/>
      <c r="H102" s="24"/>
      <c r="I102" s="24"/>
      <c r="J102" s="24"/>
      <c r="K102" s="25"/>
    </row>
    <row r="103" s="5" customFormat="1" ht="20" customHeight="1" spans="1:11">
      <c r="A103" s="22"/>
      <c r="B103" s="23"/>
      <c r="C103" s="24"/>
      <c r="D103" s="24"/>
      <c r="E103" s="24"/>
      <c r="F103" s="24"/>
      <c r="G103" s="24"/>
      <c r="H103" s="24"/>
      <c r="I103" s="24"/>
      <c r="J103" s="24"/>
      <c r="K103" s="25"/>
    </row>
    <row r="104" s="5" customFormat="1" ht="20" customHeight="1" spans="1:11">
      <c r="A104" s="22"/>
      <c r="B104" s="23"/>
      <c r="C104" s="24"/>
      <c r="D104" s="24"/>
      <c r="E104" s="24"/>
      <c r="F104" s="24"/>
      <c r="G104" s="24"/>
      <c r="H104" s="24"/>
      <c r="I104" s="24"/>
      <c r="J104" s="24"/>
      <c r="K104" s="25"/>
    </row>
    <row r="105" s="5" customFormat="1" ht="20" customHeight="1" spans="1:11">
      <c r="A105" s="22"/>
      <c r="B105" s="23"/>
      <c r="C105" s="24"/>
      <c r="D105" s="24"/>
      <c r="E105" s="24"/>
      <c r="F105" s="24"/>
      <c r="G105" s="24"/>
      <c r="H105" s="24"/>
      <c r="I105" s="24"/>
      <c r="J105" s="24"/>
      <c r="K105" s="25"/>
    </row>
    <row r="106" s="5" customFormat="1" ht="20" customHeight="1" spans="1:11">
      <c r="A106" s="22"/>
      <c r="B106" s="23"/>
      <c r="C106" s="24"/>
      <c r="D106" s="24"/>
      <c r="E106" s="24"/>
      <c r="F106" s="24"/>
      <c r="G106" s="24"/>
      <c r="H106" s="24"/>
      <c r="I106" s="24"/>
      <c r="J106" s="24"/>
      <c r="K106" s="25"/>
    </row>
    <row r="107" s="5" customFormat="1" ht="20" customHeight="1" spans="1:11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5"/>
    </row>
    <row r="108" s="5" customFormat="1" ht="20" customHeight="1" spans="1:11">
      <c r="A108" s="22"/>
      <c r="B108" s="23"/>
      <c r="C108" s="24"/>
      <c r="D108" s="24"/>
      <c r="E108" s="24"/>
      <c r="F108" s="24"/>
      <c r="G108" s="24"/>
      <c r="H108" s="24"/>
      <c r="I108" s="24"/>
      <c r="J108" s="24"/>
      <c r="K108" s="25"/>
    </row>
    <row r="109" s="5" customFormat="1" ht="20" customHeight="1" spans="1:11">
      <c r="A109" s="22"/>
      <c r="B109" s="23"/>
      <c r="C109" s="24"/>
      <c r="D109" s="24"/>
      <c r="E109" s="24"/>
      <c r="F109" s="24"/>
      <c r="G109" s="24"/>
      <c r="H109" s="24"/>
      <c r="I109" s="24"/>
      <c r="J109" s="24"/>
      <c r="K109" s="25"/>
    </row>
    <row r="110" s="5" customFormat="1" ht="20" customHeight="1" spans="1:11">
      <c r="A110" s="22"/>
      <c r="B110" s="23"/>
      <c r="C110" s="24"/>
      <c r="D110" s="24"/>
      <c r="E110" s="24"/>
      <c r="F110" s="24"/>
      <c r="G110" s="24"/>
      <c r="H110" s="24"/>
      <c r="I110" s="24"/>
      <c r="J110" s="24"/>
      <c r="K110" s="25"/>
    </row>
    <row r="111" s="5" customFormat="1" ht="20" customHeight="1" spans="1:11">
      <c r="A111" s="22"/>
      <c r="B111" s="23"/>
      <c r="C111" s="24"/>
      <c r="D111" s="24"/>
      <c r="E111" s="24"/>
      <c r="F111" s="24"/>
      <c r="G111" s="24"/>
      <c r="H111" s="24"/>
      <c r="I111" s="24"/>
      <c r="J111" s="24"/>
      <c r="K111" s="25"/>
    </row>
    <row r="112" s="5" customFormat="1" ht="20" customHeight="1" spans="1:11">
      <c r="A112" s="22"/>
      <c r="B112" s="23"/>
      <c r="C112" s="24"/>
      <c r="D112" s="24"/>
      <c r="E112" s="24"/>
      <c r="F112" s="24"/>
      <c r="G112" s="24"/>
      <c r="H112" s="24"/>
      <c r="I112" s="24"/>
      <c r="J112" s="24"/>
      <c r="K112" s="25"/>
    </row>
    <row r="113" s="5" customFormat="1" ht="20" customHeight="1" spans="1:11">
      <c r="A113" s="22"/>
      <c r="B113" s="23"/>
      <c r="C113" s="24"/>
      <c r="D113" s="24"/>
      <c r="E113" s="24"/>
      <c r="F113" s="24"/>
      <c r="G113" s="24"/>
      <c r="H113" s="24"/>
      <c r="I113" s="24"/>
      <c r="J113" s="24"/>
      <c r="K113" s="25"/>
    </row>
    <row r="114" s="5" customFormat="1" ht="20" customHeight="1" spans="1:11">
      <c r="A114" s="22"/>
      <c r="B114" s="23"/>
      <c r="C114" s="24"/>
      <c r="D114" s="24"/>
      <c r="E114" s="24"/>
      <c r="F114" s="24"/>
      <c r="G114" s="24"/>
      <c r="H114" s="24"/>
      <c r="I114" s="24"/>
      <c r="J114" s="24"/>
      <c r="K114" s="25"/>
    </row>
    <row r="115" s="5" customFormat="1" ht="20" customHeight="1" spans="1:11">
      <c r="A115" s="22"/>
      <c r="B115" s="23"/>
      <c r="C115" s="24"/>
      <c r="D115" s="24"/>
      <c r="E115" s="24"/>
      <c r="F115" s="24"/>
      <c r="G115" s="24"/>
      <c r="H115" s="24"/>
      <c r="I115" s="24"/>
      <c r="J115" s="24"/>
      <c r="K115" s="25"/>
    </row>
    <row r="116" s="5" customFormat="1" ht="20" customHeight="1" spans="1:11">
      <c r="A116" s="22"/>
      <c r="B116" s="23"/>
      <c r="C116" s="24"/>
      <c r="D116" s="24"/>
      <c r="E116" s="24"/>
      <c r="F116" s="24"/>
      <c r="G116" s="24"/>
      <c r="H116" s="24"/>
      <c r="I116" s="24"/>
      <c r="J116" s="24"/>
      <c r="K116" s="25"/>
    </row>
    <row r="117" s="5" customFormat="1" ht="20" customHeight="1" spans="1:11">
      <c r="A117" s="22"/>
      <c r="B117" s="23"/>
      <c r="C117" s="24"/>
      <c r="D117" s="24"/>
      <c r="E117" s="24"/>
      <c r="F117" s="24"/>
      <c r="G117" s="24"/>
      <c r="H117" s="24"/>
      <c r="I117" s="24"/>
      <c r="J117" s="24"/>
      <c r="K117" s="25"/>
    </row>
    <row r="118" s="5" customFormat="1" ht="20" customHeight="1" spans="1:11">
      <c r="A118" s="22"/>
      <c r="B118" s="23"/>
      <c r="C118" s="24"/>
      <c r="D118" s="24"/>
      <c r="E118" s="24"/>
      <c r="F118" s="24"/>
      <c r="G118" s="24"/>
      <c r="H118" s="24"/>
      <c r="I118" s="24"/>
      <c r="J118" s="24"/>
      <c r="K118" s="25"/>
    </row>
    <row r="119" s="5" customFormat="1" ht="20" customHeight="1" spans="1:11">
      <c r="A119" s="22"/>
      <c r="B119" s="23"/>
      <c r="C119" s="24"/>
      <c r="D119" s="24"/>
      <c r="E119" s="24"/>
      <c r="F119" s="24"/>
      <c r="G119" s="24"/>
      <c r="H119" s="24"/>
      <c r="I119" s="24"/>
      <c r="J119" s="24"/>
      <c r="K119" s="25"/>
    </row>
    <row r="120" s="5" customFormat="1" ht="20" customHeight="1" spans="1:11">
      <c r="A120" s="22"/>
      <c r="B120" s="23"/>
      <c r="C120" s="24"/>
      <c r="D120" s="24"/>
      <c r="E120" s="24"/>
      <c r="F120" s="24"/>
      <c r="G120" s="24"/>
      <c r="H120" s="24"/>
      <c r="I120" s="24"/>
      <c r="J120" s="24"/>
      <c r="K120" s="25"/>
    </row>
    <row r="121" s="5" customFormat="1" ht="20" customHeight="1" spans="1:11">
      <c r="A121" s="22"/>
      <c r="B121" s="23"/>
      <c r="C121" s="24"/>
      <c r="D121" s="24"/>
      <c r="E121" s="24"/>
      <c r="F121" s="24"/>
      <c r="G121" s="24"/>
      <c r="H121" s="24"/>
      <c r="I121" s="24"/>
      <c r="J121" s="24"/>
      <c r="K121" s="25"/>
    </row>
    <row r="122" s="5" customFormat="1" ht="20" customHeight="1" spans="1:11">
      <c r="A122" s="22"/>
      <c r="B122" s="23"/>
      <c r="C122" s="24"/>
      <c r="D122" s="24"/>
      <c r="E122" s="24"/>
      <c r="F122" s="24"/>
      <c r="G122" s="24"/>
      <c r="H122" s="24"/>
      <c r="I122" s="24"/>
      <c r="J122" s="24"/>
      <c r="K122" s="25"/>
    </row>
    <row r="123" s="5" customFormat="1" ht="20" customHeight="1" spans="1:11">
      <c r="A123" s="22"/>
      <c r="B123" s="23"/>
      <c r="C123" s="24"/>
      <c r="D123" s="24"/>
      <c r="E123" s="24"/>
      <c r="F123" s="24"/>
      <c r="G123" s="24"/>
      <c r="H123" s="24"/>
      <c r="I123" s="24"/>
      <c r="J123" s="24"/>
      <c r="K123" s="25"/>
    </row>
    <row r="124" s="5" customFormat="1" ht="20" customHeight="1" spans="1:11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5"/>
    </row>
    <row r="125" s="5" customFormat="1" ht="20" customHeight="1" spans="1:11">
      <c r="A125" s="22"/>
      <c r="B125" s="23"/>
      <c r="C125" s="24"/>
      <c r="D125" s="24"/>
      <c r="E125" s="24"/>
      <c r="F125" s="24"/>
      <c r="G125" s="24"/>
      <c r="H125" s="24"/>
      <c r="I125" s="24"/>
      <c r="J125" s="24"/>
      <c r="K125" s="25"/>
    </row>
    <row r="126" s="5" customFormat="1" ht="20" customHeight="1" spans="1:11">
      <c r="A126" s="22"/>
      <c r="B126" s="23"/>
      <c r="C126" s="24"/>
      <c r="D126" s="24"/>
      <c r="E126" s="24"/>
      <c r="F126" s="24"/>
      <c r="G126" s="24"/>
      <c r="H126" s="24"/>
      <c r="I126" s="24"/>
      <c r="J126" s="24"/>
      <c r="K126" s="25"/>
    </row>
    <row r="127" s="5" customFormat="1" ht="20" customHeight="1" spans="1:11">
      <c r="A127" s="22"/>
      <c r="B127" s="23"/>
      <c r="C127" s="24"/>
      <c r="D127" s="24"/>
      <c r="E127" s="24"/>
      <c r="F127" s="24"/>
      <c r="G127" s="24"/>
      <c r="H127" s="24"/>
      <c r="I127" s="24"/>
      <c r="J127" s="24"/>
      <c r="K127" s="25"/>
    </row>
    <row r="128" s="5" customFormat="1" ht="20" customHeight="1" spans="1:11">
      <c r="A128" s="22"/>
      <c r="B128" s="23"/>
      <c r="C128" s="24"/>
      <c r="D128" s="24"/>
      <c r="E128" s="24"/>
      <c r="F128" s="24"/>
      <c r="G128" s="24"/>
      <c r="H128" s="24"/>
      <c r="I128" s="24"/>
      <c r="J128" s="24"/>
      <c r="K128" s="25"/>
    </row>
    <row r="129" s="5" customFormat="1" ht="20" customHeight="1" spans="1:11">
      <c r="A129" s="22"/>
      <c r="B129" s="23"/>
      <c r="C129" s="24"/>
      <c r="D129" s="24"/>
      <c r="E129" s="24"/>
      <c r="F129" s="24"/>
      <c r="G129" s="24"/>
      <c r="H129" s="24"/>
      <c r="I129" s="24"/>
      <c r="J129" s="24"/>
      <c r="K129" s="25"/>
    </row>
    <row r="130" s="5" customFormat="1" ht="20" customHeight="1" spans="1:11">
      <c r="A130" s="22"/>
      <c r="B130" s="23"/>
      <c r="C130" s="24"/>
      <c r="D130" s="24"/>
      <c r="E130" s="24"/>
      <c r="F130" s="24"/>
      <c r="G130" s="24"/>
      <c r="H130" s="24"/>
      <c r="I130" s="24"/>
      <c r="J130" s="24"/>
      <c r="K130" s="25"/>
    </row>
    <row r="131" s="5" customFormat="1" ht="20" customHeight="1" spans="1:11">
      <c r="A131" s="22"/>
      <c r="B131" s="23"/>
      <c r="C131" s="24"/>
      <c r="D131" s="24"/>
      <c r="E131" s="24"/>
      <c r="F131" s="24"/>
      <c r="G131" s="24"/>
      <c r="H131" s="24"/>
      <c r="I131" s="24"/>
      <c r="J131" s="24"/>
      <c r="K131" s="25"/>
    </row>
    <row r="132" s="5" customFormat="1" ht="20" customHeight="1" spans="1:11">
      <c r="A132" s="22"/>
      <c r="B132" s="23"/>
      <c r="C132" s="24"/>
      <c r="D132" s="24"/>
      <c r="E132" s="24"/>
      <c r="F132" s="24"/>
      <c r="G132" s="24"/>
      <c r="H132" s="24"/>
      <c r="I132" s="24"/>
      <c r="J132" s="24"/>
      <c r="K132" s="25"/>
    </row>
    <row r="133" s="5" customFormat="1" ht="20" customHeight="1" spans="1:11">
      <c r="A133" s="22"/>
      <c r="B133" s="23"/>
      <c r="C133" s="24"/>
      <c r="D133" s="24"/>
      <c r="E133" s="24"/>
      <c r="F133" s="24"/>
      <c r="G133" s="24"/>
      <c r="H133" s="24"/>
      <c r="I133" s="24"/>
      <c r="J133" s="24"/>
      <c r="K133" s="25"/>
    </row>
    <row r="134" s="5" customFormat="1" ht="20" customHeight="1" spans="1:11">
      <c r="A134" s="22"/>
      <c r="B134" s="23"/>
      <c r="C134" s="24"/>
      <c r="D134" s="24"/>
      <c r="E134" s="24"/>
      <c r="F134" s="24"/>
      <c r="G134" s="24"/>
      <c r="H134" s="24"/>
      <c r="I134" s="24"/>
      <c r="J134" s="24"/>
      <c r="K134" s="25"/>
    </row>
    <row r="135" s="5" customFormat="1" ht="20" customHeight="1" spans="1:11">
      <c r="A135" s="22"/>
      <c r="B135" s="23"/>
      <c r="C135" s="24"/>
      <c r="D135" s="24"/>
      <c r="E135" s="24"/>
      <c r="F135" s="24"/>
      <c r="G135" s="24"/>
      <c r="H135" s="24"/>
      <c r="I135" s="24"/>
      <c r="J135" s="24"/>
      <c r="K135" s="25"/>
    </row>
    <row r="136" s="5" customFormat="1" ht="20" customHeight="1" spans="1:11">
      <c r="A136" s="22"/>
      <c r="B136" s="23"/>
      <c r="C136" s="24"/>
      <c r="D136" s="24"/>
      <c r="E136" s="24"/>
      <c r="F136" s="24"/>
      <c r="G136" s="24"/>
      <c r="H136" s="24"/>
      <c r="I136" s="24"/>
      <c r="J136" s="24"/>
      <c r="K136" s="25"/>
    </row>
    <row r="137" s="5" customFormat="1" ht="20" customHeight="1" spans="1:11">
      <c r="A137" s="22"/>
      <c r="B137" s="23"/>
      <c r="C137" s="24"/>
      <c r="D137" s="24"/>
      <c r="E137" s="24"/>
      <c r="F137" s="24"/>
      <c r="G137" s="24"/>
      <c r="H137" s="24"/>
      <c r="I137" s="24"/>
      <c r="J137" s="24"/>
      <c r="K137" s="25"/>
    </row>
    <row r="138" s="5" customFormat="1" ht="20" customHeight="1" spans="1:11">
      <c r="A138" s="22"/>
      <c r="B138" s="23"/>
      <c r="C138" s="24"/>
      <c r="D138" s="24"/>
      <c r="E138" s="24"/>
      <c r="F138" s="24"/>
      <c r="G138" s="24"/>
      <c r="H138" s="24"/>
      <c r="I138" s="24"/>
      <c r="J138" s="24"/>
      <c r="K138" s="25"/>
    </row>
    <row r="139" s="5" customFormat="1" ht="20" customHeight="1" spans="1:11">
      <c r="A139" s="22"/>
      <c r="B139" s="23"/>
      <c r="C139" s="24"/>
      <c r="D139" s="24"/>
      <c r="E139" s="24"/>
      <c r="F139" s="24"/>
      <c r="G139" s="24"/>
      <c r="H139" s="24"/>
      <c r="I139" s="24"/>
      <c r="J139" s="24"/>
      <c r="K139" s="25"/>
    </row>
    <row r="140" s="5" customFormat="1" ht="20" customHeight="1" spans="1:11">
      <c r="A140" s="22"/>
      <c r="B140" s="23"/>
      <c r="C140" s="24"/>
      <c r="D140" s="24"/>
      <c r="E140" s="24"/>
      <c r="F140" s="24"/>
      <c r="G140" s="24"/>
      <c r="H140" s="24"/>
      <c r="I140" s="24"/>
      <c r="J140" s="24"/>
      <c r="K140" s="25"/>
    </row>
    <row r="141" s="5" customFormat="1" ht="20" customHeight="1" spans="1:11">
      <c r="A141" s="22"/>
      <c r="B141" s="23"/>
      <c r="C141" s="24"/>
      <c r="D141" s="24"/>
      <c r="E141" s="24"/>
      <c r="F141" s="24"/>
      <c r="G141" s="24"/>
      <c r="H141" s="24"/>
      <c r="I141" s="24"/>
      <c r="J141" s="24"/>
      <c r="K141" s="25"/>
    </row>
    <row r="142" s="5" customFormat="1" ht="20" customHeight="1" spans="1:11">
      <c r="A142" s="22"/>
      <c r="B142" s="23"/>
      <c r="C142" s="24"/>
      <c r="D142" s="24"/>
      <c r="E142" s="24"/>
      <c r="F142" s="24"/>
      <c r="G142" s="24"/>
      <c r="H142" s="24"/>
      <c r="I142" s="24"/>
      <c r="J142" s="24"/>
      <c r="K142" s="25"/>
    </row>
    <row r="143" s="5" customFormat="1" ht="20" customHeight="1" spans="1:11">
      <c r="A143" s="22"/>
      <c r="B143" s="23"/>
      <c r="C143" s="24"/>
      <c r="D143" s="24"/>
      <c r="E143" s="24"/>
      <c r="F143" s="24"/>
      <c r="G143" s="24"/>
      <c r="H143" s="24"/>
      <c r="I143" s="24"/>
      <c r="J143" s="24"/>
      <c r="K143" s="25"/>
    </row>
    <row r="144" s="5" customFormat="1" ht="20" customHeight="1" spans="1:11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5"/>
    </row>
    <row r="145" s="5" customFormat="1" ht="20" customHeight="1" spans="1:11">
      <c r="A145" s="22"/>
      <c r="B145" s="23"/>
      <c r="C145" s="24"/>
      <c r="D145" s="24"/>
      <c r="E145" s="24"/>
      <c r="F145" s="24"/>
      <c r="G145" s="24"/>
      <c r="H145" s="24"/>
      <c r="I145" s="24"/>
      <c r="J145" s="24"/>
      <c r="K145" s="25"/>
    </row>
    <row r="146" s="5" customFormat="1" ht="20" customHeight="1" spans="1:11">
      <c r="A146" s="22"/>
      <c r="B146" s="23"/>
      <c r="C146" s="24"/>
      <c r="D146" s="24"/>
      <c r="E146" s="24"/>
      <c r="F146" s="24"/>
      <c r="G146" s="24"/>
      <c r="H146" s="24"/>
      <c r="I146" s="24"/>
      <c r="J146" s="24"/>
      <c r="K146" s="25"/>
    </row>
    <row r="147" s="5" customFormat="1" ht="20" customHeight="1" spans="1:11">
      <c r="A147" s="22"/>
      <c r="B147" s="23"/>
      <c r="C147" s="24"/>
      <c r="D147" s="24"/>
      <c r="E147" s="24"/>
      <c r="F147" s="24"/>
      <c r="G147" s="24"/>
      <c r="H147" s="24"/>
      <c r="I147" s="24"/>
      <c r="J147" s="24"/>
      <c r="K147" s="25"/>
    </row>
    <row r="148" s="5" customFormat="1" ht="20" customHeight="1" spans="1:11">
      <c r="A148" s="22"/>
      <c r="B148" s="23"/>
      <c r="C148" s="24"/>
      <c r="D148" s="24"/>
      <c r="E148" s="24"/>
      <c r="F148" s="24"/>
      <c r="G148" s="24"/>
      <c r="H148" s="24"/>
      <c r="I148" s="24"/>
      <c r="J148" s="24"/>
      <c r="K148" s="25"/>
    </row>
    <row r="149" s="5" customFormat="1" ht="20" customHeight="1" spans="1:11">
      <c r="A149" s="22"/>
      <c r="B149" s="23"/>
      <c r="C149" s="24"/>
      <c r="D149" s="24"/>
      <c r="E149" s="24"/>
      <c r="F149" s="24"/>
      <c r="G149" s="24"/>
      <c r="H149" s="24"/>
      <c r="I149" s="24"/>
      <c r="J149" s="24"/>
      <c r="K149" s="25"/>
    </row>
    <row r="150" s="5" customFormat="1" ht="20" customHeight="1" spans="1:11">
      <c r="A150" s="22"/>
      <c r="B150" s="23"/>
      <c r="C150" s="24"/>
      <c r="D150" s="24"/>
      <c r="E150" s="24"/>
      <c r="F150" s="24"/>
      <c r="G150" s="24"/>
      <c r="H150" s="24"/>
      <c r="I150" s="24"/>
      <c r="J150" s="24"/>
      <c r="K150" s="25"/>
    </row>
    <row r="151" s="5" customFormat="1" ht="20" customHeight="1" spans="1:11">
      <c r="A151" s="22"/>
      <c r="B151" s="23"/>
      <c r="C151" s="24"/>
      <c r="D151" s="24"/>
      <c r="E151" s="24"/>
      <c r="F151" s="24"/>
      <c r="G151" s="24"/>
      <c r="H151" s="24"/>
      <c r="I151" s="24"/>
      <c r="J151" s="24"/>
      <c r="K151" s="25"/>
    </row>
    <row r="152" s="5" customFormat="1" ht="20" customHeight="1" spans="1:11">
      <c r="A152" s="22"/>
      <c r="B152" s="23"/>
      <c r="C152" s="24"/>
      <c r="D152" s="24"/>
      <c r="E152" s="24"/>
      <c r="F152" s="24"/>
      <c r="G152" s="24"/>
      <c r="H152" s="24"/>
      <c r="I152" s="24"/>
      <c r="J152" s="24"/>
      <c r="K152" s="25"/>
    </row>
    <row r="153" s="5" customFormat="1" ht="20" customHeight="1" spans="1:11">
      <c r="A153" s="22"/>
      <c r="B153" s="23"/>
      <c r="C153" s="24"/>
      <c r="D153" s="24"/>
      <c r="E153" s="24"/>
      <c r="F153" s="24"/>
      <c r="G153" s="24"/>
      <c r="H153" s="24"/>
      <c r="I153" s="24"/>
      <c r="J153" s="24"/>
      <c r="K153" s="25"/>
    </row>
    <row r="154" s="5" customFormat="1" ht="20" customHeight="1" spans="1:11">
      <c r="A154" s="22"/>
      <c r="B154" s="23"/>
      <c r="C154" s="24"/>
      <c r="D154" s="24"/>
      <c r="E154" s="24"/>
      <c r="F154" s="24"/>
      <c r="G154" s="24"/>
      <c r="H154" s="24"/>
      <c r="I154" s="24"/>
      <c r="J154" s="24"/>
      <c r="K154" s="25"/>
    </row>
    <row r="155" s="5" customFormat="1" ht="20" customHeight="1" spans="1:11">
      <c r="A155" s="22"/>
      <c r="B155" s="23"/>
      <c r="C155" s="24"/>
      <c r="D155" s="24"/>
      <c r="E155" s="24"/>
      <c r="F155" s="24"/>
      <c r="G155" s="24"/>
      <c r="H155" s="24"/>
      <c r="I155" s="24"/>
      <c r="J155" s="24"/>
      <c r="K155" s="25"/>
    </row>
    <row r="156" s="5" customFormat="1" ht="20" customHeight="1" spans="1:11">
      <c r="A156" s="22"/>
      <c r="B156" s="23"/>
      <c r="C156" s="24"/>
      <c r="D156" s="24"/>
      <c r="E156" s="24"/>
      <c r="F156" s="24"/>
      <c r="G156" s="24"/>
      <c r="H156" s="24"/>
      <c r="I156" s="24"/>
      <c r="J156" s="24"/>
      <c r="K156" s="25"/>
    </row>
    <row r="157" s="5" customFormat="1" ht="20" customHeight="1" spans="1:11">
      <c r="A157" s="22"/>
      <c r="B157" s="23"/>
      <c r="C157" s="24"/>
      <c r="D157" s="24"/>
      <c r="E157" s="24"/>
      <c r="F157" s="24"/>
      <c r="G157" s="24"/>
      <c r="H157" s="24"/>
      <c r="I157" s="24"/>
      <c r="J157" s="24"/>
      <c r="K157" s="25"/>
    </row>
    <row r="158" s="5" customFormat="1" ht="20" customHeight="1" spans="1:11">
      <c r="A158" s="22"/>
      <c r="B158" s="23"/>
      <c r="C158" s="24"/>
      <c r="D158" s="24"/>
      <c r="E158" s="24"/>
      <c r="F158" s="24"/>
      <c r="G158" s="24"/>
      <c r="H158" s="24"/>
      <c r="I158" s="24"/>
      <c r="J158" s="24"/>
      <c r="K158" s="25"/>
    </row>
    <row r="159" s="5" customFormat="1" ht="20" customHeight="1" spans="1:11">
      <c r="A159" s="22"/>
      <c r="B159" s="23"/>
      <c r="C159" s="24"/>
      <c r="D159" s="24"/>
      <c r="E159" s="24"/>
      <c r="F159" s="24"/>
      <c r="G159" s="24"/>
      <c r="H159" s="24"/>
      <c r="I159" s="24"/>
      <c r="J159" s="24"/>
      <c r="K159" s="25"/>
    </row>
    <row r="160" s="5" customFormat="1" ht="20" customHeight="1" spans="1:11">
      <c r="A160" s="22"/>
      <c r="B160" s="23"/>
      <c r="C160" s="24"/>
      <c r="D160" s="24"/>
      <c r="E160" s="24"/>
      <c r="F160" s="24"/>
      <c r="G160" s="24"/>
      <c r="H160" s="24"/>
      <c r="I160" s="24"/>
      <c r="J160" s="24"/>
      <c r="K160" s="25"/>
    </row>
    <row r="161" s="5" customFormat="1" ht="20" customHeight="1" spans="1:11">
      <c r="A161" s="22"/>
      <c r="B161" s="23"/>
      <c r="C161" s="24"/>
      <c r="D161" s="24"/>
      <c r="E161" s="24"/>
      <c r="F161" s="24"/>
      <c r="G161" s="24"/>
      <c r="H161" s="24"/>
      <c r="I161" s="24"/>
      <c r="J161" s="24"/>
      <c r="K161" s="25"/>
    </row>
    <row r="162" s="5" customFormat="1" ht="20" customHeight="1" spans="1:11">
      <c r="A162" s="22"/>
      <c r="B162" s="23"/>
      <c r="C162" s="24"/>
      <c r="D162" s="24"/>
      <c r="E162" s="24"/>
      <c r="F162" s="24"/>
      <c r="G162" s="24"/>
      <c r="H162" s="24"/>
      <c r="I162" s="24"/>
      <c r="J162" s="24"/>
      <c r="K162" s="25"/>
    </row>
    <row r="163" s="5" customFormat="1" ht="20" customHeight="1" spans="1:11">
      <c r="A163" s="22"/>
      <c r="B163" s="23"/>
      <c r="C163" s="24"/>
      <c r="D163" s="24"/>
      <c r="E163" s="24"/>
      <c r="F163" s="24"/>
      <c r="G163" s="24"/>
      <c r="H163" s="24"/>
      <c r="I163" s="24"/>
      <c r="J163" s="24"/>
      <c r="K163" s="25"/>
    </row>
    <row r="164" s="5" customFormat="1" ht="20" customHeight="1" spans="1:11">
      <c r="A164" s="22"/>
      <c r="B164" s="23"/>
      <c r="C164" s="24"/>
      <c r="D164" s="24"/>
      <c r="E164" s="24"/>
      <c r="F164" s="24"/>
      <c r="G164" s="24"/>
      <c r="H164" s="24"/>
      <c r="I164" s="24"/>
      <c r="J164" s="24"/>
      <c r="K164" s="25"/>
    </row>
    <row r="165" s="5" customFormat="1" ht="20" customHeight="1" spans="1:11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5"/>
    </row>
    <row r="166" s="5" customFormat="1" ht="20" customHeight="1" spans="1:11">
      <c r="A166" s="22"/>
      <c r="B166" s="23"/>
      <c r="C166" s="24"/>
      <c r="D166" s="24"/>
      <c r="E166" s="24"/>
      <c r="F166" s="24"/>
      <c r="G166" s="24"/>
      <c r="H166" s="24"/>
      <c r="I166" s="24"/>
      <c r="J166" s="24"/>
      <c r="K166" s="25"/>
    </row>
    <row r="167" s="5" customFormat="1" ht="20" customHeight="1" spans="1:11">
      <c r="A167" s="22"/>
      <c r="B167" s="23"/>
      <c r="C167" s="24"/>
      <c r="D167" s="24"/>
      <c r="E167" s="24"/>
      <c r="F167" s="24"/>
      <c r="G167" s="24"/>
      <c r="H167" s="24"/>
      <c r="I167" s="24"/>
      <c r="J167" s="24"/>
      <c r="K167" s="25"/>
    </row>
    <row r="168" s="5" customFormat="1" ht="20" customHeight="1" spans="1:11">
      <c r="A168" s="22"/>
      <c r="B168" s="23"/>
      <c r="C168" s="24"/>
      <c r="D168" s="24"/>
      <c r="E168" s="24"/>
      <c r="F168" s="24"/>
      <c r="G168" s="24"/>
      <c r="H168" s="24"/>
      <c r="I168" s="24"/>
      <c r="J168" s="24"/>
      <c r="K168" s="25"/>
    </row>
    <row r="169" s="5" customFormat="1" ht="20" customHeight="1" spans="1:11">
      <c r="A169" s="22"/>
      <c r="B169" s="23"/>
      <c r="C169" s="24"/>
      <c r="D169" s="24"/>
      <c r="E169" s="24"/>
      <c r="F169" s="24"/>
      <c r="G169" s="24"/>
      <c r="H169" s="24"/>
      <c r="I169" s="24"/>
      <c r="J169" s="24"/>
      <c r="K169" s="25"/>
    </row>
    <row r="170" s="5" customFormat="1" ht="20" customHeight="1" spans="1:11">
      <c r="A170" s="22"/>
      <c r="B170" s="23"/>
      <c r="C170" s="24"/>
      <c r="D170" s="24"/>
      <c r="E170" s="24"/>
      <c r="F170" s="24"/>
      <c r="G170" s="24"/>
      <c r="H170" s="24"/>
      <c r="I170" s="24"/>
      <c r="J170" s="24"/>
      <c r="K170" s="25"/>
    </row>
    <row r="171" s="5" customFormat="1" ht="20" customHeight="1" spans="1:11">
      <c r="A171" s="22"/>
      <c r="B171" s="23"/>
      <c r="C171" s="24"/>
      <c r="D171" s="24"/>
      <c r="E171" s="24"/>
      <c r="F171" s="24"/>
      <c r="G171" s="24"/>
      <c r="H171" s="24"/>
      <c r="I171" s="24"/>
      <c r="J171" s="24"/>
      <c r="K171" s="25"/>
    </row>
    <row r="172" s="5" customFormat="1" ht="20" customHeight="1" spans="1:11">
      <c r="A172" s="22"/>
      <c r="B172" s="23"/>
      <c r="C172" s="24"/>
      <c r="D172" s="24"/>
      <c r="E172" s="24"/>
      <c r="F172" s="24"/>
      <c r="G172" s="24"/>
      <c r="H172" s="24"/>
      <c r="I172" s="24"/>
      <c r="J172" s="24"/>
      <c r="K172" s="25"/>
    </row>
    <row r="173" s="5" customFormat="1" ht="20" customHeight="1" spans="1:11">
      <c r="A173" s="22"/>
      <c r="B173" s="23"/>
      <c r="C173" s="24"/>
      <c r="D173" s="24"/>
      <c r="E173" s="24"/>
      <c r="F173" s="24"/>
      <c r="G173" s="24"/>
      <c r="H173" s="24"/>
      <c r="I173" s="24"/>
      <c r="J173" s="24"/>
      <c r="K173" s="25"/>
    </row>
    <row r="174" s="5" customFormat="1" ht="20" customHeight="1" spans="1:11">
      <c r="A174" s="22"/>
      <c r="B174" s="23"/>
      <c r="C174" s="24"/>
      <c r="D174" s="24"/>
      <c r="E174" s="24"/>
      <c r="F174" s="24"/>
      <c r="G174" s="24"/>
      <c r="H174" s="24"/>
      <c r="I174" s="24"/>
      <c r="J174" s="24"/>
      <c r="K174" s="25"/>
    </row>
    <row r="175" s="5" customFormat="1" ht="20" customHeight="1" spans="1:11">
      <c r="A175" s="22"/>
      <c r="B175" s="23"/>
      <c r="C175" s="24"/>
      <c r="D175" s="24"/>
      <c r="E175" s="24"/>
      <c r="F175" s="24"/>
      <c r="G175" s="24"/>
      <c r="H175" s="24"/>
      <c r="I175" s="24"/>
      <c r="J175" s="24"/>
      <c r="K175" s="25"/>
    </row>
    <row r="176" s="5" customFormat="1" ht="20" customHeight="1" spans="1:11">
      <c r="A176" s="22"/>
      <c r="B176" s="23"/>
      <c r="C176" s="24"/>
      <c r="D176" s="24"/>
      <c r="E176" s="24"/>
      <c r="F176" s="24"/>
      <c r="G176" s="24"/>
      <c r="H176" s="24"/>
      <c r="I176" s="24"/>
      <c r="J176" s="24"/>
      <c r="K176" s="25"/>
    </row>
    <row r="177" s="5" customFormat="1" ht="20" customHeight="1" spans="1:11">
      <c r="A177" s="22"/>
      <c r="B177" s="23"/>
      <c r="C177" s="24"/>
      <c r="D177" s="24"/>
      <c r="E177" s="24"/>
      <c r="F177" s="24"/>
      <c r="G177" s="24"/>
      <c r="H177" s="24"/>
      <c r="I177" s="24"/>
      <c r="J177" s="24"/>
      <c r="K177" s="25"/>
    </row>
    <row r="178" s="5" customFormat="1" ht="20" customHeight="1" spans="1:11">
      <c r="A178" s="22"/>
      <c r="B178" s="23"/>
      <c r="C178" s="24"/>
      <c r="D178" s="24"/>
      <c r="E178" s="24"/>
      <c r="F178" s="24"/>
      <c r="G178" s="24"/>
      <c r="H178" s="24"/>
      <c r="I178" s="24"/>
      <c r="J178" s="24"/>
      <c r="K178" s="25"/>
    </row>
    <row r="179" s="5" customFormat="1" ht="20" customHeight="1" spans="1:11">
      <c r="A179" s="22"/>
      <c r="B179" s="23"/>
      <c r="C179" s="24"/>
      <c r="D179" s="24"/>
      <c r="E179" s="24"/>
      <c r="F179" s="24"/>
      <c r="G179" s="24"/>
      <c r="H179" s="24"/>
      <c r="I179" s="24"/>
      <c r="J179" s="24"/>
      <c r="K179" s="25"/>
    </row>
    <row r="180" s="5" customFormat="1" ht="20" customHeight="1" spans="1:11">
      <c r="A180" s="22"/>
      <c r="B180" s="23"/>
      <c r="C180" s="24"/>
      <c r="D180" s="24"/>
      <c r="E180" s="24"/>
      <c r="F180" s="24"/>
      <c r="G180" s="24"/>
      <c r="H180" s="24"/>
      <c r="I180" s="24"/>
      <c r="J180" s="24"/>
      <c r="K180" s="25"/>
    </row>
    <row r="181" s="5" customFormat="1" ht="20" customHeight="1" spans="1:11">
      <c r="A181" s="22"/>
      <c r="B181" s="23"/>
      <c r="C181" s="24"/>
      <c r="D181" s="24"/>
      <c r="E181" s="24"/>
      <c r="F181" s="24"/>
      <c r="G181" s="24"/>
      <c r="H181" s="24"/>
      <c r="I181" s="24"/>
      <c r="J181" s="24"/>
      <c r="K181" s="25"/>
    </row>
    <row r="182" s="5" customFormat="1" ht="20" customHeight="1" spans="1:11">
      <c r="A182" s="22"/>
      <c r="B182" s="23"/>
      <c r="C182" s="24"/>
      <c r="D182" s="24"/>
      <c r="E182" s="24"/>
      <c r="F182" s="24"/>
      <c r="G182" s="24"/>
      <c r="H182" s="24"/>
      <c r="I182" s="24"/>
      <c r="J182" s="24"/>
      <c r="K182" s="25"/>
    </row>
    <row r="183" s="5" customFormat="1" ht="20" customHeight="1" spans="1:11">
      <c r="A183" s="22"/>
      <c r="B183" s="23"/>
      <c r="C183" s="24"/>
      <c r="D183" s="24"/>
      <c r="E183" s="24"/>
      <c r="F183" s="24"/>
      <c r="G183" s="24"/>
      <c r="H183" s="24"/>
      <c r="I183" s="24"/>
      <c r="J183" s="24"/>
      <c r="K183" s="25"/>
    </row>
    <row r="184" s="5" customFormat="1" ht="20" customHeight="1" spans="1:11">
      <c r="A184" s="22"/>
      <c r="B184" s="23"/>
      <c r="C184" s="24"/>
      <c r="D184" s="24"/>
      <c r="E184" s="24"/>
      <c r="F184" s="24"/>
      <c r="G184" s="24"/>
      <c r="H184" s="24"/>
      <c r="I184" s="24"/>
      <c r="J184" s="24"/>
      <c r="K184" s="25"/>
    </row>
    <row r="185" s="5" customFormat="1" ht="20" customHeight="1" spans="1:11">
      <c r="A185" s="22"/>
      <c r="B185" s="23"/>
      <c r="C185" s="24"/>
      <c r="D185" s="24"/>
      <c r="E185" s="24"/>
      <c r="F185" s="24"/>
      <c r="G185" s="24"/>
      <c r="H185" s="24"/>
      <c r="I185" s="24"/>
      <c r="J185" s="24"/>
      <c r="K185" s="25"/>
    </row>
    <row r="186" s="5" customFormat="1" ht="20" customHeight="1" spans="1:11">
      <c r="A186" s="22"/>
      <c r="B186" s="23"/>
      <c r="C186" s="24"/>
      <c r="D186" s="24"/>
      <c r="E186" s="24"/>
      <c r="F186" s="24"/>
      <c r="G186" s="24"/>
      <c r="H186" s="24"/>
      <c r="I186" s="24"/>
      <c r="J186" s="24"/>
      <c r="K186" s="25"/>
    </row>
    <row r="187" s="5" customFormat="1" ht="20" customHeight="1" spans="1:11">
      <c r="A187" s="22"/>
      <c r="B187" s="23"/>
      <c r="C187" s="24"/>
      <c r="D187" s="24"/>
      <c r="E187" s="24"/>
      <c r="F187" s="24"/>
      <c r="G187" s="24"/>
      <c r="H187" s="24"/>
      <c r="I187" s="24"/>
      <c r="J187" s="24"/>
      <c r="K187" s="25"/>
    </row>
    <row r="188" s="5" customFormat="1" ht="20" customHeight="1" spans="1:11">
      <c r="A188" s="22"/>
      <c r="B188" s="23"/>
      <c r="C188" s="24"/>
      <c r="D188" s="24"/>
      <c r="E188" s="24"/>
      <c r="F188" s="24"/>
      <c r="G188" s="24"/>
      <c r="H188" s="24"/>
      <c r="I188" s="24"/>
      <c r="J188" s="24"/>
      <c r="K188" s="25"/>
    </row>
    <row r="189" s="5" customFormat="1" ht="20" customHeight="1" spans="1:11">
      <c r="A189" s="22"/>
      <c r="B189" s="23"/>
      <c r="C189" s="24"/>
      <c r="D189" s="24"/>
      <c r="E189" s="24"/>
      <c r="F189" s="24"/>
      <c r="G189" s="24"/>
      <c r="H189" s="24"/>
      <c r="I189" s="24"/>
      <c r="J189" s="24"/>
      <c r="K189" s="25"/>
    </row>
    <row r="190" s="5" customFormat="1" ht="20" customHeight="1" spans="1:11">
      <c r="A190" s="22"/>
      <c r="B190" s="23"/>
      <c r="C190" s="24"/>
      <c r="D190" s="24"/>
      <c r="E190" s="24"/>
      <c r="F190" s="24"/>
      <c r="G190" s="24"/>
      <c r="H190" s="24"/>
      <c r="I190" s="24"/>
      <c r="J190" s="24"/>
      <c r="K190" s="25"/>
    </row>
    <row r="191" s="5" customFormat="1" ht="20" customHeight="1" spans="1:11">
      <c r="A191" s="22"/>
      <c r="B191" s="23"/>
      <c r="C191" s="24"/>
      <c r="D191" s="24"/>
      <c r="E191" s="24"/>
      <c r="F191" s="24"/>
      <c r="G191" s="24"/>
      <c r="H191" s="24"/>
      <c r="I191" s="24"/>
      <c r="J191" s="24"/>
      <c r="K191" s="25"/>
    </row>
    <row r="192" s="5" customFormat="1" ht="20" customHeight="1" spans="1:11">
      <c r="A192" s="22"/>
      <c r="B192" s="23"/>
      <c r="C192" s="24"/>
      <c r="D192" s="24"/>
      <c r="E192" s="24"/>
      <c r="F192" s="24"/>
      <c r="G192" s="24"/>
      <c r="H192" s="24"/>
      <c r="I192" s="24"/>
      <c r="J192" s="24"/>
      <c r="K192" s="25"/>
    </row>
    <row r="193" s="5" customFormat="1" ht="20" customHeight="1" spans="1:11">
      <c r="A193" s="22"/>
      <c r="B193" s="23"/>
      <c r="C193" s="24"/>
      <c r="D193" s="24"/>
      <c r="E193" s="24"/>
      <c r="F193" s="24"/>
      <c r="G193" s="24"/>
      <c r="H193" s="24"/>
      <c r="I193" s="24"/>
      <c r="J193" s="24"/>
      <c r="K193" s="25"/>
    </row>
    <row r="194" s="5" customFormat="1" ht="20" customHeight="1" spans="1:11">
      <c r="A194" s="22"/>
      <c r="B194" s="23"/>
      <c r="C194" s="24"/>
      <c r="D194" s="24"/>
      <c r="E194" s="24"/>
      <c r="F194" s="24"/>
      <c r="G194" s="24"/>
      <c r="H194" s="24"/>
      <c r="I194" s="24"/>
      <c r="J194" s="24"/>
      <c r="K194" s="25"/>
    </row>
    <row r="195" s="5" customFormat="1" ht="20" customHeight="1" spans="1:11">
      <c r="A195" s="22"/>
      <c r="B195" s="23"/>
      <c r="C195" s="24"/>
      <c r="D195" s="24"/>
      <c r="E195" s="24"/>
      <c r="F195" s="24"/>
      <c r="G195" s="24"/>
      <c r="H195" s="24"/>
      <c r="I195" s="24"/>
      <c r="J195" s="24"/>
      <c r="K195" s="25"/>
    </row>
    <row r="196" s="5" customFormat="1" ht="20" customHeight="1" spans="1:11">
      <c r="A196" s="22"/>
      <c r="B196" s="23"/>
      <c r="C196" s="24"/>
      <c r="D196" s="24"/>
      <c r="E196" s="24"/>
      <c r="F196" s="24"/>
      <c r="G196" s="24"/>
      <c r="H196" s="24"/>
      <c r="I196" s="24"/>
      <c r="J196" s="24"/>
      <c r="K196" s="25"/>
    </row>
    <row r="197" s="5" customFormat="1" ht="20" customHeight="1" spans="1:11">
      <c r="A197" s="22"/>
      <c r="B197" s="23"/>
      <c r="C197" s="24"/>
      <c r="D197" s="24"/>
      <c r="E197" s="24"/>
      <c r="F197" s="24"/>
      <c r="G197" s="24"/>
      <c r="H197" s="24"/>
      <c r="I197" s="24"/>
      <c r="J197" s="24"/>
      <c r="K197" s="25"/>
    </row>
    <row r="198" s="5" customFormat="1" ht="20" customHeight="1" spans="1:11">
      <c r="A198" s="22"/>
      <c r="B198" s="23"/>
      <c r="C198" s="24"/>
      <c r="D198" s="24"/>
      <c r="E198" s="24"/>
      <c r="F198" s="24"/>
      <c r="G198" s="24"/>
      <c r="H198" s="24"/>
      <c r="I198" s="24"/>
      <c r="J198" s="24"/>
      <c r="K198" s="25"/>
    </row>
    <row r="199" s="5" customFormat="1" ht="20" customHeight="1" spans="1:11">
      <c r="A199" s="22"/>
      <c r="B199" s="23"/>
      <c r="C199" s="24"/>
      <c r="D199" s="24"/>
      <c r="E199" s="24"/>
      <c r="F199" s="24"/>
      <c r="G199" s="24"/>
      <c r="H199" s="24"/>
      <c r="I199" s="24"/>
      <c r="J199" s="24"/>
      <c r="K199" s="25"/>
    </row>
    <row r="200" s="5" customFormat="1" ht="20" customHeight="1" spans="1:11">
      <c r="A200" s="22"/>
      <c r="B200" s="23"/>
      <c r="C200" s="24"/>
      <c r="D200" s="24"/>
      <c r="E200" s="24"/>
      <c r="F200" s="24"/>
      <c r="G200" s="24"/>
      <c r="H200" s="24"/>
      <c r="I200" s="24"/>
      <c r="J200" s="24"/>
      <c r="K200" s="25"/>
    </row>
    <row r="201" s="5" customFormat="1" ht="20" customHeight="1" spans="1:11">
      <c r="A201" s="22"/>
      <c r="B201" s="23"/>
      <c r="C201" s="24"/>
      <c r="D201" s="24"/>
      <c r="E201" s="24"/>
      <c r="F201" s="24"/>
      <c r="G201" s="24"/>
      <c r="H201" s="24"/>
      <c r="I201" s="24"/>
      <c r="J201" s="24"/>
      <c r="K201" s="25"/>
    </row>
    <row r="202" s="5" customFormat="1" ht="20" customHeight="1" spans="1:11">
      <c r="A202" s="22"/>
      <c r="B202" s="23"/>
      <c r="C202" s="24"/>
      <c r="D202" s="24"/>
      <c r="E202" s="24"/>
      <c r="F202" s="24"/>
      <c r="G202" s="24"/>
      <c r="H202" s="24"/>
      <c r="I202" s="24"/>
      <c r="J202" s="24"/>
      <c r="K202" s="25"/>
    </row>
    <row r="203" s="5" customFormat="1" ht="20" customHeight="1" spans="1:11">
      <c r="A203" s="22"/>
      <c r="B203" s="23"/>
      <c r="C203" s="24"/>
      <c r="D203" s="24"/>
      <c r="E203" s="24"/>
      <c r="F203" s="24"/>
      <c r="G203" s="24"/>
      <c r="H203" s="24"/>
      <c r="I203" s="24"/>
      <c r="J203" s="24"/>
      <c r="K203" s="25"/>
    </row>
    <row r="204" s="5" customFormat="1" ht="20" customHeight="1" spans="1:11">
      <c r="A204" s="22"/>
      <c r="B204" s="23"/>
      <c r="C204" s="24"/>
      <c r="D204" s="24"/>
      <c r="E204" s="24"/>
      <c r="F204" s="24"/>
      <c r="G204" s="24"/>
      <c r="H204" s="24"/>
      <c r="I204" s="24"/>
      <c r="J204" s="24"/>
      <c r="K204" s="25"/>
    </row>
    <row r="205" s="5" customFormat="1" ht="20" customHeight="1" spans="1:11">
      <c r="A205" s="22"/>
      <c r="B205" s="23"/>
      <c r="C205" s="24"/>
      <c r="D205" s="24"/>
      <c r="E205" s="24"/>
      <c r="F205" s="24"/>
      <c r="G205" s="24"/>
      <c r="H205" s="24"/>
      <c r="I205" s="24"/>
      <c r="J205" s="24"/>
      <c r="K205" s="25"/>
    </row>
    <row r="206" s="5" customFormat="1" ht="20" customHeight="1" spans="1:11">
      <c r="A206" s="22"/>
      <c r="B206" s="23"/>
      <c r="C206" s="24"/>
      <c r="D206" s="24"/>
      <c r="E206" s="24"/>
      <c r="F206" s="24"/>
      <c r="G206" s="24"/>
      <c r="H206" s="24"/>
      <c r="I206" s="24"/>
      <c r="J206" s="24"/>
      <c r="K206" s="25"/>
    </row>
    <row r="207" s="5" customFormat="1" ht="20" customHeight="1" spans="1:11">
      <c r="A207" s="22"/>
      <c r="B207" s="23"/>
      <c r="C207" s="24"/>
      <c r="D207" s="24"/>
      <c r="E207" s="24"/>
      <c r="F207" s="24"/>
      <c r="G207" s="24"/>
      <c r="H207" s="24"/>
      <c r="I207" s="24"/>
      <c r="J207" s="24"/>
      <c r="K207" s="25"/>
    </row>
    <row r="208" s="5" customFormat="1" ht="20" customHeight="1" spans="1:11">
      <c r="A208" s="22"/>
      <c r="B208" s="23"/>
      <c r="C208" s="24"/>
      <c r="D208" s="24"/>
      <c r="E208" s="24"/>
      <c r="F208" s="24"/>
      <c r="G208" s="24"/>
      <c r="H208" s="24"/>
      <c r="I208" s="24"/>
      <c r="J208" s="24"/>
      <c r="K208" s="25"/>
    </row>
    <row r="209" s="5" customFormat="1" ht="20" customHeight="1" spans="1:11">
      <c r="A209" s="22"/>
      <c r="B209" s="23"/>
      <c r="C209" s="24"/>
      <c r="D209" s="24"/>
      <c r="E209" s="24"/>
      <c r="F209" s="24"/>
      <c r="G209" s="24"/>
      <c r="H209" s="24"/>
      <c r="I209" s="24"/>
      <c r="J209" s="24"/>
      <c r="K209" s="25"/>
    </row>
    <row r="210" s="5" customFormat="1" ht="20" customHeight="1" spans="1:11">
      <c r="A210" s="22"/>
      <c r="B210" s="23"/>
      <c r="C210" s="24"/>
      <c r="D210" s="24"/>
      <c r="E210" s="24"/>
      <c r="F210" s="24"/>
      <c r="G210" s="24"/>
      <c r="H210" s="24"/>
      <c r="I210" s="24"/>
      <c r="J210" s="24"/>
      <c r="K210" s="25"/>
    </row>
    <row r="211" s="5" customFormat="1" ht="20" customHeight="1" spans="1:11">
      <c r="A211" s="22"/>
      <c r="B211" s="23"/>
      <c r="C211" s="24"/>
      <c r="D211" s="24"/>
      <c r="E211" s="24"/>
      <c r="F211" s="24"/>
      <c r="G211" s="24"/>
      <c r="H211" s="24"/>
      <c r="I211" s="24"/>
      <c r="J211" s="24"/>
      <c r="K211" s="25"/>
    </row>
    <row r="212" s="5" customFormat="1" ht="20" customHeight="1" spans="1:11">
      <c r="A212" s="22"/>
      <c r="B212" s="23"/>
      <c r="C212" s="24"/>
      <c r="D212" s="24"/>
      <c r="E212" s="24"/>
      <c r="F212" s="24"/>
      <c r="G212" s="24"/>
      <c r="H212" s="24"/>
      <c r="I212" s="24"/>
      <c r="J212" s="24"/>
      <c r="K212" s="25"/>
    </row>
    <row r="213" s="5" customFormat="1" ht="20" customHeight="1" spans="1:11">
      <c r="A213" s="22"/>
      <c r="B213" s="23"/>
      <c r="C213" s="24"/>
      <c r="D213" s="24"/>
      <c r="E213" s="24"/>
      <c r="F213" s="24"/>
      <c r="G213" s="24"/>
      <c r="H213" s="24"/>
      <c r="I213" s="24"/>
      <c r="J213" s="24"/>
      <c r="K213" s="25"/>
    </row>
    <row r="214" s="5" customFormat="1" ht="20" customHeight="1" spans="1:11">
      <c r="A214" s="22"/>
      <c r="B214" s="23"/>
      <c r="C214" s="24"/>
      <c r="D214" s="24"/>
      <c r="E214" s="24"/>
      <c r="F214" s="24"/>
      <c r="G214" s="24"/>
      <c r="H214" s="24"/>
      <c r="I214" s="24"/>
      <c r="J214" s="24"/>
      <c r="K214" s="25"/>
    </row>
    <row r="215" s="5" customFormat="1" ht="20" customHeight="1" spans="1:11">
      <c r="A215" s="22"/>
      <c r="B215" s="23"/>
      <c r="C215" s="24"/>
      <c r="D215" s="24"/>
      <c r="E215" s="24"/>
      <c r="F215" s="24"/>
      <c r="G215" s="24"/>
      <c r="H215" s="24"/>
      <c r="I215" s="24"/>
      <c r="J215" s="24"/>
      <c r="K215" s="25"/>
    </row>
    <row r="216" s="5" customFormat="1" ht="20" customHeight="1" spans="1:11">
      <c r="A216" s="22"/>
      <c r="B216" s="23"/>
      <c r="C216" s="24"/>
      <c r="D216" s="24"/>
      <c r="E216" s="24"/>
      <c r="F216" s="24"/>
      <c r="G216" s="24"/>
      <c r="H216" s="24"/>
      <c r="I216" s="24"/>
      <c r="J216" s="24"/>
      <c r="K216" s="25"/>
    </row>
    <row r="217" s="5" customFormat="1" ht="20" customHeight="1" spans="1:11">
      <c r="A217" s="22"/>
      <c r="B217" s="23"/>
      <c r="C217" s="24"/>
      <c r="D217" s="24"/>
      <c r="E217" s="24"/>
      <c r="F217" s="24"/>
      <c r="G217" s="24"/>
      <c r="H217" s="24"/>
      <c r="I217" s="24"/>
      <c r="J217" s="24"/>
      <c r="K217" s="25"/>
    </row>
    <row r="218" s="5" customFormat="1" ht="20" customHeight="1" spans="1:11">
      <c r="A218" s="22"/>
      <c r="B218" s="23"/>
      <c r="C218" s="24"/>
      <c r="D218" s="24"/>
      <c r="E218" s="24"/>
      <c r="F218" s="24"/>
      <c r="G218" s="24"/>
      <c r="H218" s="24"/>
      <c r="I218" s="24"/>
      <c r="J218" s="24"/>
      <c r="K218" s="25"/>
    </row>
    <row r="219" s="5" customFormat="1" ht="20" customHeight="1" spans="1:11">
      <c r="A219" s="22"/>
      <c r="B219" s="23"/>
      <c r="C219" s="24"/>
      <c r="D219" s="24"/>
      <c r="E219" s="24"/>
      <c r="F219" s="24"/>
      <c r="G219" s="24"/>
      <c r="H219" s="24"/>
      <c r="I219" s="24"/>
      <c r="J219" s="24"/>
      <c r="K219" s="25"/>
    </row>
    <row r="220" s="5" customFormat="1" ht="20" customHeight="1" spans="1:11">
      <c r="A220" s="22"/>
      <c r="B220" s="23"/>
      <c r="C220" s="24"/>
      <c r="D220" s="24"/>
      <c r="E220" s="24"/>
      <c r="F220" s="24"/>
      <c r="G220" s="24"/>
      <c r="H220" s="24"/>
      <c r="I220" s="24"/>
      <c r="J220" s="24"/>
      <c r="K220" s="25"/>
    </row>
    <row r="221" s="5" customFormat="1" ht="20" customHeight="1" spans="1:11">
      <c r="A221" s="22"/>
      <c r="B221" s="23"/>
      <c r="C221" s="24"/>
      <c r="D221" s="24"/>
      <c r="E221" s="24"/>
      <c r="F221" s="24"/>
      <c r="G221" s="24"/>
      <c r="H221" s="24"/>
      <c r="I221" s="24"/>
      <c r="J221" s="24"/>
      <c r="K221" s="25"/>
    </row>
    <row r="222" s="5" customFormat="1" ht="20" customHeight="1" spans="1:11">
      <c r="A222" s="22"/>
      <c r="B222" s="23"/>
      <c r="C222" s="24"/>
      <c r="D222" s="24"/>
      <c r="E222" s="24"/>
      <c r="F222" s="24"/>
      <c r="G222" s="24"/>
      <c r="H222" s="24"/>
      <c r="I222" s="24"/>
      <c r="J222" s="24"/>
      <c r="K222" s="25"/>
    </row>
    <row r="223" s="5" customFormat="1" ht="20" customHeight="1" spans="1:11">
      <c r="A223" s="22"/>
      <c r="B223" s="23"/>
      <c r="C223" s="24"/>
      <c r="D223" s="24"/>
      <c r="E223" s="24"/>
      <c r="F223" s="24"/>
      <c r="G223" s="24"/>
      <c r="H223" s="24"/>
      <c r="I223" s="24"/>
      <c r="J223" s="24"/>
      <c r="K223" s="25"/>
    </row>
    <row r="224" s="5" customFormat="1" ht="20" customHeight="1" spans="1:11">
      <c r="A224" s="22"/>
      <c r="B224" s="23"/>
      <c r="C224" s="24"/>
      <c r="D224" s="24"/>
      <c r="E224" s="24"/>
      <c r="F224" s="24"/>
      <c r="G224" s="24"/>
      <c r="H224" s="24"/>
      <c r="I224" s="24"/>
      <c r="J224" s="24"/>
      <c r="K224" s="25"/>
    </row>
    <row r="225" s="5" customFormat="1" ht="20" customHeight="1" spans="1:11">
      <c r="A225" s="22"/>
      <c r="B225" s="23"/>
      <c r="C225" s="24"/>
      <c r="D225" s="24"/>
      <c r="E225" s="24"/>
      <c r="F225" s="24"/>
      <c r="G225" s="24"/>
      <c r="H225" s="24"/>
      <c r="I225" s="24"/>
      <c r="J225" s="24"/>
      <c r="K225" s="25"/>
    </row>
    <row r="226" s="5" customFormat="1" ht="20" customHeight="1" spans="1:11">
      <c r="A226" s="22"/>
      <c r="B226" s="23"/>
      <c r="C226" s="24"/>
      <c r="D226" s="24"/>
      <c r="E226" s="24"/>
      <c r="F226" s="24"/>
      <c r="G226" s="24"/>
      <c r="H226" s="24"/>
      <c r="I226" s="24"/>
      <c r="J226" s="24"/>
      <c r="K226" s="25"/>
    </row>
    <row r="227" s="5" customFormat="1" ht="20" customHeight="1" spans="1:11">
      <c r="A227" s="22"/>
      <c r="B227" s="23"/>
      <c r="C227" s="24"/>
      <c r="D227" s="24"/>
      <c r="E227" s="24"/>
      <c r="F227" s="24"/>
      <c r="G227" s="24"/>
      <c r="H227" s="24"/>
      <c r="I227" s="24"/>
      <c r="J227" s="24"/>
      <c r="K227" s="25"/>
    </row>
    <row r="228" s="5" customFormat="1" ht="20" customHeight="1" spans="1:11">
      <c r="A228" s="22"/>
      <c r="B228" s="23"/>
      <c r="C228" s="24"/>
      <c r="D228" s="24"/>
      <c r="E228" s="24"/>
      <c r="F228" s="24"/>
      <c r="G228" s="24"/>
      <c r="H228" s="24"/>
      <c r="I228" s="24"/>
      <c r="J228" s="24"/>
      <c r="K228" s="25"/>
    </row>
    <row r="229" s="5" customFormat="1" ht="20" customHeight="1" spans="1:11">
      <c r="A229" s="22"/>
      <c r="B229" s="23"/>
      <c r="C229" s="24"/>
      <c r="D229" s="24"/>
      <c r="E229" s="24"/>
      <c r="F229" s="24"/>
      <c r="G229" s="24"/>
      <c r="H229" s="24"/>
      <c r="I229" s="24"/>
      <c r="J229" s="24"/>
      <c r="K229" s="25"/>
    </row>
    <row r="230" s="5" customFormat="1" ht="20" customHeight="1" spans="1:11">
      <c r="A230" s="22"/>
      <c r="B230" s="23"/>
      <c r="C230" s="24"/>
      <c r="D230" s="24"/>
      <c r="E230" s="24"/>
      <c r="F230" s="24"/>
      <c r="G230" s="24"/>
      <c r="H230" s="24"/>
      <c r="I230" s="24"/>
      <c r="J230" s="24"/>
      <c r="K230" s="25"/>
    </row>
    <row r="231" s="5" customFormat="1" ht="20" customHeight="1" spans="1:11">
      <c r="A231" s="22"/>
      <c r="B231" s="23"/>
      <c r="C231" s="24"/>
      <c r="D231" s="24"/>
      <c r="E231" s="24"/>
      <c r="F231" s="24"/>
      <c r="G231" s="24"/>
      <c r="H231" s="24"/>
      <c r="I231" s="24"/>
      <c r="J231" s="24"/>
      <c r="K231" s="25"/>
    </row>
    <row r="232" s="5" customFormat="1" ht="20" customHeight="1" spans="1:11">
      <c r="A232" s="22"/>
      <c r="B232" s="23"/>
      <c r="C232" s="24"/>
      <c r="D232" s="24"/>
      <c r="E232" s="24"/>
      <c r="F232" s="24"/>
      <c r="G232" s="24"/>
      <c r="H232" s="24"/>
      <c r="I232" s="24"/>
      <c r="J232" s="24"/>
      <c r="K232" s="25"/>
    </row>
    <row r="233" s="5" customFormat="1" ht="20" customHeight="1" spans="1:11">
      <c r="A233" s="22"/>
      <c r="B233" s="23"/>
      <c r="C233" s="24"/>
      <c r="D233" s="24"/>
      <c r="E233" s="24"/>
      <c r="F233" s="24"/>
      <c r="G233" s="24"/>
      <c r="H233" s="24"/>
      <c r="I233" s="24"/>
      <c r="J233" s="24"/>
      <c r="K233" s="25"/>
    </row>
    <row r="234" s="5" customFormat="1" ht="20" customHeight="1" spans="1:11">
      <c r="A234" s="22"/>
      <c r="B234" s="23"/>
      <c r="C234" s="24"/>
      <c r="D234" s="24"/>
      <c r="E234" s="24"/>
      <c r="F234" s="24"/>
      <c r="G234" s="24"/>
      <c r="H234" s="24"/>
      <c r="I234" s="24"/>
      <c r="J234" s="24"/>
      <c r="K234" s="25"/>
    </row>
    <row r="235" s="5" customFormat="1" ht="20" customHeight="1" spans="1:11">
      <c r="A235" s="22"/>
      <c r="B235" s="23"/>
      <c r="C235" s="24"/>
      <c r="D235" s="24"/>
      <c r="E235" s="24"/>
      <c r="F235" s="24"/>
      <c r="G235" s="24"/>
      <c r="H235" s="24"/>
      <c r="I235" s="24"/>
      <c r="J235" s="24"/>
      <c r="K235" s="25"/>
    </row>
    <row r="236" s="5" customFormat="1" ht="20" customHeight="1" spans="1:11">
      <c r="A236" s="22"/>
      <c r="B236" s="23"/>
      <c r="C236" s="24"/>
      <c r="D236" s="24"/>
      <c r="E236" s="24"/>
      <c r="F236" s="24"/>
      <c r="G236" s="24"/>
      <c r="H236" s="24"/>
      <c r="I236" s="24"/>
      <c r="J236" s="24"/>
      <c r="K236" s="25"/>
    </row>
    <row r="237" s="5" customFormat="1" ht="20" customHeight="1" spans="1:11">
      <c r="A237" s="22"/>
      <c r="B237" s="23"/>
      <c r="C237" s="24"/>
      <c r="D237" s="24"/>
      <c r="E237" s="24"/>
      <c r="F237" s="24"/>
      <c r="G237" s="24"/>
      <c r="H237" s="24"/>
      <c r="I237" s="24"/>
      <c r="J237" s="24"/>
      <c r="K237" s="25"/>
    </row>
    <row r="238" s="5" customFormat="1" ht="20" customHeight="1" spans="1:11">
      <c r="A238" s="22"/>
      <c r="B238" s="23"/>
      <c r="C238" s="24"/>
      <c r="D238" s="24"/>
      <c r="E238" s="24"/>
      <c r="F238" s="24"/>
      <c r="G238" s="24"/>
      <c r="H238" s="24"/>
      <c r="I238" s="24"/>
      <c r="J238" s="24"/>
      <c r="K238" s="25"/>
    </row>
    <row r="239" s="5" customFormat="1" ht="20" customHeight="1" spans="1:11">
      <c r="A239" s="22"/>
      <c r="B239" s="23"/>
      <c r="C239" s="24"/>
      <c r="D239" s="24"/>
      <c r="E239" s="24"/>
      <c r="F239" s="24"/>
      <c r="G239" s="24"/>
      <c r="H239" s="24"/>
      <c r="I239" s="24"/>
      <c r="J239" s="24"/>
      <c r="K239" s="25"/>
    </row>
    <row r="240" s="5" customFormat="1" ht="20" customHeight="1" spans="1:11">
      <c r="A240" s="22"/>
      <c r="B240" s="23"/>
      <c r="C240" s="24"/>
      <c r="D240" s="24"/>
      <c r="E240" s="24"/>
      <c r="F240" s="24"/>
      <c r="G240" s="24"/>
      <c r="H240" s="24"/>
      <c r="I240" s="24"/>
      <c r="J240" s="24"/>
      <c r="K240" s="25"/>
    </row>
    <row r="241" s="5" customFormat="1" ht="20" customHeight="1" spans="1:11">
      <c r="A241" s="22"/>
      <c r="B241" s="23"/>
      <c r="C241" s="24"/>
      <c r="D241" s="24"/>
      <c r="E241" s="24"/>
      <c r="F241" s="24"/>
      <c r="G241" s="24"/>
      <c r="H241" s="24"/>
      <c r="I241" s="24"/>
      <c r="J241" s="24"/>
      <c r="K241" s="25"/>
    </row>
    <row r="242" s="5" customFormat="1" ht="20" customHeight="1" spans="1:11">
      <c r="A242" s="22"/>
      <c r="B242" s="23"/>
      <c r="C242" s="24"/>
      <c r="D242" s="24"/>
      <c r="E242" s="24"/>
      <c r="F242" s="24"/>
      <c r="G242" s="24"/>
      <c r="H242" s="24"/>
      <c r="I242" s="24"/>
      <c r="J242" s="24"/>
      <c r="K242" s="25"/>
    </row>
    <row r="243" s="5" customFormat="1" ht="20" customHeight="1" spans="1:11">
      <c r="A243" s="22"/>
      <c r="B243" s="23"/>
      <c r="C243" s="24"/>
      <c r="D243" s="24"/>
      <c r="E243" s="24"/>
      <c r="F243" s="24"/>
      <c r="G243" s="24"/>
      <c r="H243" s="24"/>
      <c r="I243" s="24"/>
      <c r="J243" s="24"/>
      <c r="K243" s="25"/>
    </row>
    <row r="244" s="5" customFormat="1" ht="20" customHeight="1" spans="1:11">
      <c r="A244" s="22"/>
      <c r="B244" s="23"/>
      <c r="C244" s="24"/>
      <c r="D244" s="24"/>
      <c r="E244" s="24"/>
      <c r="F244" s="24"/>
      <c r="G244" s="24"/>
      <c r="H244" s="24"/>
      <c r="I244" s="24"/>
      <c r="J244" s="24"/>
      <c r="K244" s="25"/>
    </row>
    <row r="245" s="5" customFormat="1" ht="20" customHeight="1" spans="1:11">
      <c r="A245" s="22"/>
      <c r="B245" s="23"/>
      <c r="C245" s="24"/>
      <c r="D245" s="24"/>
      <c r="E245" s="24"/>
      <c r="F245" s="24"/>
      <c r="G245" s="24"/>
      <c r="H245" s="24"/>
      <c r="I245" s="24"/>
      <c r="J245" s="24"/>
      <c r="K245" s="25"/>
    </row>
    <row r="246" s="5" customFormat="1" ht="20" customHeight="1" spans="1:11">
      <c r="A246" s="22"/>
      <c r="B246" s="23"/>
      <c r="C246" s="24"/>
      <c r="D246" s="24"/>
      <c r="E246" s="24"/>
      <c r="F246" s="24"/>
      <c r="G246" s="24"/>
      <c r="H246" s="24"/>
      <c r="I246" s="24"/>
      <c r="J246" s="24"/>
      <c r="K246" s="25"/>
    </row>
    <row r="247" s="5" customFormat="1" ht="20" customHeight="1" spans="1:11">
      <c r="A247" s="22"/>
      <c r="B247" s="23"/>
      <c r="C247" s="24"/>
      <c r="D247" s="24"/>
      <c r="E247" s="24"/>
      <c r="F247" s="24"/>
      <c r="G247" s="24"/>
      <c r="H247" s="24"/>
      <c r="I247" s="24"/>
      <c r="J247" s="24"/>
      <c r="K247" s="25"/>
    </row>
    <row r="248" s="5" customFormat="1" ht="20" customHeight="1" spans="1:11">
      <c r="A248" s="22"/>
      <c r="B248" s="23"/>
      <c r="C248" s="24"/>
      <c r="D248" s="24"/>
      <c r="E248" s="24"/>
      <c r="F248" s="24"/>
      <c r="G248" s="24"/>
      <c r="H248" s="24"/>
      <c r="I248" s="24"/>
      <c r="J248" s="24"/>
      <c r="K248" s="25"/>
    </row>
    <row r="249" s="5" customFormat="1" ht="20" customHeight="1" spans="1:11">
      <c r="A249" s="22"/>
      <c r="B249" s="23"/>
      <c r="C249" s="24"/>
      <c r="D249" s="24"/>
      <c r="E249" s="24"/>
      <c r="F249" s="24"/>
      <c r="G249" s="24"/>
      <c r="H249" s="24"/>
      <c r="I249" s="24"/>
      <c r="J249" s="24"/>
      <c r="K249" s="25"/>
    </row>
    <row r="250" s="5" customFormat="1" ht="20" customHeight="1" spans="1:11">
      <c r="A250" s="22"/>
      <c r="B250" s="23"/>
      <c r="C250" s="24"/>
      <c r="D250" s="24"/>
      <c r="E250" s="24"/>
      <c r="F250" s="24"/>
      <c r="G250" s="24"/>
      <c r="H250" s="24"/>
      <c r="I250" s="24"/>
      <c r="J250" s="24"/>
      <c r="K250" s="25"/>
    </row>
    <row r="251" s="5" customFormat="1" ht="20" customHeight="1" spans="1:11">
      <c r="A251" s="22"/>
      <c r="B251" s="23"/>
      <c r="C251" s="24"/>
      <c r="D251" s="24"/>
      <c r="E251" s="24"/>
      <c r="F251" s="24"/>
      <c r="G251" s="24"/>
      <c r="H251" s="24"/>
      <c r="I251" s="24"/>
      <c r="J251" s="24"/>
      <c r="K251" s="25"/>
    </row>
    <row r="252" s="5" customFormat="1" ht="16.5" spans="1:11">
      <c r="A252" s="22"/>
      <c r="B252" s="23"/>
      <c r="C252" s="24"/>
      <c r="D252" s="24"/>
      <c r="E252" s="24"/>
      <c r="F252" s="24"/>
      <c r="G252" s="24"/>
      <c r="H252" s="24"/>
      <c r="I252" s="24"/>
      <c r="J252" s="24"/>
      <c r="K252" s="25"/>
    </row>
    <row r="253" s="5" customFormat="1" ht="16.5" spans="1:11">
      <c r="A253" s="22"/>
      <c r="B253" s="23"/>
      <c r="C253" s="24"/>
      <c r="D253" s="24"/>
      <c r="E253" s="24"/>
      <c r="F253" s="24"/>
      <c r="G253" s="24"/>
      <c r="H253" s="24"/>
      <c r="I253" s="24"/>
      <c r="J253" s="24"/>
      <c r="K253" s="25"/>
    </row>
    <row r="254" s="5" customFormat="1" ht="16.5" spans="1:11">
      <c r="A254" s="22"/>
      <c r="B254" s="23"/>
      <c r="C254" s="24"/>
      <c r="D254" s="24"/>
      <c r="E254" s="24"/>
      <c r="F254" s="24"/>
      <c r="G254" s="24"/>
      <c r="H254" s="24"/>
      <c r="I254" s="24"/>
      <c r="J254" s="24"/>
      <c r="K254" s="25"/>
    </row>
    <row r="255" s="5" customFormat="1" ht="16.5" spans="1:11">
      <c r="A255" s="22"/>
      <c r="B255" s="23"/>
      <c r="C255" s="24"/>
      <c r="D255" s="24"/>
      <c r="E255" s="24"/>
      <c r="F255" s="24"/>
      <c r="G255" s="24"/>
      <c r="H255" s="24"/>
      <c r="I255" s="24"/>
      <c r="J255" s="24"/>
      <c r="K255" s="25"/>
    </row>
    <row r="256" s="5" customFormat="1" ht="16.5" spans="1:11">
      <c r="A256" s="22"/>
      <c r="B256" s="23"/>
      <c r="C256" s="24"/>
      <c r="D256" s="24"/>
      <c r="E256" s="24"/>
      <c r="F256" s="24"/>
      <c r="G256" s="24"/>
      <c r="H256" s="24"/>
      <c r="I256" s="24"/>
      <c r="J256" s="24"/>
      <c r="K256" s="25"/>
    </row>
    <row r="257" s="5" customFormat="1" ht="16.5" spans="1:11">
      <c r="A257" s="22"/>
      <c r="B257" s="23"/>
      <c r="C257" s="24"/>
      <c r="D257" s="24"/>
      <c r="E257" s="24"/>
      <c r="F257" s="24"/>
      <c r="G257" s="24"/>
      <c r="H257" s="24"/>
      <c r="I257" s="24"/>
      <c r="J257" s="24"/>
      <c r="K257" s="25"/>
    </row>
    <row r="258" s="5" customFormat="1" ht="16.5" spans="1:11">
      <c r="A258" s="22"/>
      <c r="B258" s="23"/>
      <c r="C258" s="24"/>
      <c r="D258" s="24"/>
      <c r="E258" s="24"/>
      <c r="F258" s="24"/>
      <c r="G258" s="24"/>
      <c r="H258" s="24"/>
      <c r="I258" s="24"/>
      <c r="J258" s="24"/>
      <c r="K258" s="25"/>
    </row>
    <row r="259" s="5" customFormat="1" ht="16.5" spans="1:11">
      <c r="A259" s="22"/>
      <c r="B259" s="23"/>
      <c r="C259" s="24"/>
      <c r="D259" s="24"/>
      <c r="E259" s="24"/>
      <c r="F259" s="24"/>
      <c r="G259" s="24"/>
      <c r="H259" s="24"/>
      <c r="I259" s="24"/>
      <c r="J259" s="24"/>
      <c r="K259" s="25"/>
    </row>
    <row r="260" s="5" customFormat="1" ht="16.5" spans="1:11">
      <c r="A260" s="22"/>
      <c r="B260" s="23"/>
      <c r="C260" s="24"/>
      <c r="D260" s="24"/>
      <c r="E260" s="24"/>
      <c r="F260" s="24"/>
      <c r="G260" s="24"/>
      <c r="H260" s="24"/>
      <c r="I260" s="24"/>
      <c r="J260" s="24"/>
      <c r="K260" s="25"/>
    </row>
    <row r="261" s="5" customFormat="1" ht="16.5" spans="1:11">
      <c r="A261" s="22"/>
      <c r="B261" s="23"/>
      <c r="C261" s="24"/>
      <c r="D261" s="24"/>
      <c r="E261" s="24"/>
      <c r="F261" s="24"/>
      <c r="G261" s="24"/>
      <c r="H261" s="24"/>
      <c r="I261" s="24"/>
      <c r="J261" s="24"/>
      <c r="K261" s="25"/>
    </row>
    <row r="262" s="5" customFormat="1" ht="16.5" spans="1:11">
      <c r="A262" s="22"/>
      <c r="B262" s="23"/>
      <c r="C262" s="24"/>
      <c r="D262" s="24"/>
      <c r="E262" s="24"/>
      <c r="F262" s="24"/>
      <c r="G262" s="24"/>
      <c r="H262" s="24"/>
      <c r="I262" s="24"/>
      <c r="J262" s="24"/>
      <c r="K262" s="25"/>
    </row>
    <row r="263" s="5" customFormat="1" ht="16.5" spans="1:11">
      <c r="A263" s="22"/>
      <c r="B263" s="23"/>
      <c r="C263" s="24"/>
      <c r="D263" s="24"/>
      <c r="E263" s="24"/>
      <c r="F263" s="24"/>
      <c r="G263" s="24"/>
      <c r="H263" s="24"/>
      <c r="I263" s="24"/>
      <c r="J263" s="24"/>
      <c r="K263" s="25"/>
    </row>
    <row r="264" s="5" customFormat="1" ht="16.5" spans="1:11">
      <c r="A264" s="22"/>
      <c r="B264" s="23"/>
      <c r="C264" s="24"/>
      <c r="D264" s="24"/>
      <c r="E264" s="24"/>
      <c r="F264" s="24"/>
      <c r="G264" s="24"/>
      <c r="H264" s="24"/>
      <c r="I264" s="24"/>
      <c r="J264" s="24"/>
      <c r="K264" s="25"/>
    </row>
    <row r="265" s="5" customFormat="1" ht="16.5" spans="1:11">
      <c r="A265" s="22"/>
      <c r="B265" s="23"/>
      <c r="C265" s="24"/>
      <c r="D265" s="24"/>
      <c r="E265" s="24"/>
      <c r="F265" s="24"/>
      <c r="G265" s="24"/>
      <c r="H265" s="24"/>
      <c r="I265" s="24"/>
      <c r="J265" s="24"/>
      <c r="K265" s="25"/>
    </row>
    <row r="266" s="5" customFormat="1" ht="16.5" spans="1:11">
      <c r="A266" s="22"/>
      <c r="B266" s="23"/>
      <c r="C266" s="24"/>
      <c r="D266" s="24"/>
      <c r="E266" s="24"/>
      <c r="F266" s="24"/>
      <c r="G266" s="24"/>
      <c r="H266" s="24"/>
      <c r="I266" s="24"/>
      <c r="J266" s="24"/>
      <c r="K266" s="25"/>
    </row>
    <row r="267" s="5" customFormat="1" ht="16.5" spans="1:11">
      <c r="A267" s="22"/>
      <c r="B267" s="23"/>
      <c r="C267" s="24"/>
      <c r="D267" s="24"/>
      <c r="E267" s="24"/>
      <c r="F267" s="24"/>
      <c r="G267" s="24"/>
      <c r="H267" s="24"/>
      <c r="I267" s="24"/>
      <c r="J267" s="24"/>
      <c r="K267" s="25"/>
    </row>
    <row r="268" s="5" customFormat="1" ht="16.5" spans="1:11">
      <c r="A268" s="22"/>
      <c r="B268" s="23"/>
      <c r="C268" s="24"/>
      <c r="D268" s="24"/>
      <c r="E268" s="24"/>
      <c r="F268" s="24"/>
      <c r="G268" s="24"/>
      <c r="H268" s="24"/>
      <c r="I268" s="24"/>
      <c r="J268" s="24"/>
      <c r="K268" s="25"/>
    </row>
    <row r="269" s="5" customFormat="1" ht="16.5" spans="1:11">
      <c r="A269" s="22"/>
      <c r="B269" s="23"/>
      <c r="C269" s="24"/>
      <c r="D269" s="24"/>
      <c r="E269" s="24"/>
      <c r="F269" s="24"/>
      <c r="G269" s="24"/>
      <c r="H269" s="24"/>
      <c r="I269" s="24"/>
      <c r="J269" s="24"/>
      <c r="K269" s="25"/>
    </row>
    <row r="270" s="5" customFormat="1" ht="16.5" spans="1:11">
      <c r="A270" s="22"/>
      <c r="B270" s="23"/>
      <c r="C270" s="24"/>
      <c r="D270" s="24"/>
      <c r="E270" s="24"/>
      <c r="F270" s="24"/>
      <c r="G270" s="24"/>
      <c r="H270" s="24"/>
      <c r="I270" s="24"/>
      <c r="J270" s="24"/>
      <c r="K270" s="25"/>
    </row>
    <row r="271" s="5" customFormat="1" ht="16.5" spans="1:11">
      <c r="A271" s="22"/>
      <c r="B271" s="23"/>
      <c r="C271" s="24"/>
      <c r="D271" s="24"/>
      <c r="E271" s="24"/>
      <c r="F271" s="24"/>
      <c r="G271" s="24"/>
      <c r="H271" s="24"/>
      <c r="I271" s="24"/>
      <c r="J271" s="24"/>
      <c r="K271" s="25"/>
    </row>
    <row r="272" s="5" customFormat="1" ht="16.5" spans="1:11">
      <c r="A272" s="22"/>
      <c r="B272" s="23"/>
      <c r="C272" s="24"/>
      <c r="D272" s="24"/>
      <c r="E272" s="24"/>
      <c r="F272" s="24"/>
      <c r="G272" s="24"/>
      <c r="H272" s="24"/>
      <c r="I272" s="24"/>
      <c r="J272" s="24"/>
      <c r="K272" s="25"/>
    </row>
    <row r="273" s="5" customFormat="1" ht="16.5" spans="1:11">
      <c r="A273" s="22"/>
      <c r="B273" s="23"/>
      <c r="C273" s="24"/>
      <c r="D273" s="24"/>
      <c r="E273" s="24"/>
      <c r="F273" s="24"/>
      <c r="G273" s="24"/>
      <c r="H273" s="24"/>
      <c r="I273" s="24"/>
      <c r="J273" s="24"/>
      <c r="K273" s="25"/>
    </row>
    <row r="274" s="5" customFormat="1" ht="16.5" spans="1:11">
      <c r="A274" s="22"/>
      <c r="B274" s="23"/>
      <c r="C274" s="24"/>
      <c r="D274" s="24"/>
      <c r="E274" s="24"/>
      <c r="F274" s="24"/>
      <c r="G274" s="24"/>
      <c r="H274" s="24"/>
      <c r="I274" s="24"/>
      <c r="J274" s="24"/>
      <c r="K274" s="25"/>
    </row>
    <row r="275" s="5" customFormat="1" ht="16.5" spans="1:11">
      <c r="A275" s="22"/>
      <c r="B275" s="23"/>
      <c r="C275" s="24"/>
      <c r="D275" s="24"/>
      <c r="E275" s="24"/>
      <c r="F275" s="24"/>
      <c r="G275" s="24"/>
      <c r="H275" s="24"/>
      <c r="I275" s="24"/>
      <c r="J275" s="24"/>
      <c r="K275" s="25"/>
    </row>
    <row r="276" s="5" customFormat="1" ht="16.5" spans="1:11">
      <c r="A276" s="22"/>
      <c r="B276" s="23"/>
      <c r="C276" s="24"/>
      <c r="D276" s="24"/>
      <c r="E276" s="24"/>
      <c r="F276" s="24"/>
      <c r="G276" s="24"/>
      <c r="H276" s="24"/>
      <c r="I276" s="24"/>
      <c r="J276" s="24"/>
      <c r="K276" s="25"/>
    </row>
    <row r="277" s="5" customFormat="1" ht="16.5" spans="1:11">
      <c r="A277" s="22"/>
      <c r="B277" s="23"/>
      <c r="C277" s="24"/>
      <c r="D277" s="24"/>
      <c r="E277" s="24"/>
      <c r="F277" s="24"/>
      <c r="G277" s="24"/>
      <c r="H277" s="24"/>
      <c r="I277" s="24"/>
      <c r="J277" s="24"/>
      <c r="K277" s="25"/>
    </row>
    <row r="278" s="5" customFormat="1" ht="16.5" spans="1:11">
      <c r="A278" s="22"/>
      <c r="B278" s="23"/>
      <c r="C278" s="24"/>
      <c r="D278" s="24"/>
      <c r="E278" s="24"/>
      <c r="F278" s="24"/>
      <c r="G278" s="24"/>
      <c r="H278" s="24"/>
      <c r="I278" s="24"/>
      <c r="J278" s="24"/>
      <c r="K278" s="25"/>
    </row>
    <row r="279" s="5" customFormat="1" ht="16.5" spans="1:11">
      <c r="A279" s="22"/>
      <c r="B279" s="23"/>
      <c r="C279" s="24"/>
      <c r="D279" s="24"/>
      <c r="E279" s="24"/>
      <c r="F279" s="24"/>
      <c r="G279" s="24"/>
      <c r="H279" s="24"/>
      <c r="I279" s="24"/>
      <c r="J279" s="24"/>
      <c r="K279" s="25"/>
    </row>
    <row r="280" s="5" customFormat="1" ht="16.5" spans="1:11">
      <c r="A280" s="22"/>
      <c r="B280" s="23"/>
      <c r="C280" s="24"/>
      <c r="D280" s="24"/>
      <c r="E280" s="24"/>
      <c r="F280" s="24"/>
      <c r="G280" s="24"/>
      <c r="H280" s="24"/>
      <c r="I280" s="24"/>
      <c r="J280" s="24"/>
      <c r="K280" s="25"/>
    </row>
    <row r="281" s="5" customFormat="1" ht="16.5" spans="1:11">
      <c r="A281" s="22"/>
      <c r="B281" s="23"/>
      <c r="C281" s="24"/>
      <c r="D281" s="24"/>
      <c r="E281" s="24"/>
      <c r="F281" s="24"/>
      <c r="G281" s="24"/>
      <c r="H281" s="24"/>
      <c r="I281" s="24"/>
      <c r="J281" s="24"/>
      <c r="K281" s="25"/>
    </row>
    <row r="282" s="5" customFormat="1" ht="16.5" spans="1:11">
      <c r="A282" s="22"/>
      <c r="B282" s="23"/>
      <c r="C282" s="24"/>
      <c r="D282" s="24"/>
      <c r="E282" s="24"/>
      <c r="F282" s="24"/>
      <c r="G282" s="24"/>
      <c r="H282" s="24"/>
      <c r="I282" s="24"/>
      <c r="J282" s="24"/>
      <c r="K282" s="25"/>
    </row>
    <row r="283" s="5" customFormat="1" ht="16.5" spans="1:11">
      <c r="A283" s="22"/>
      <c r="B283" s="23"/>
      <c r="C283" s="24"/>
      <c r="D283" s="24"/>
      <c r="E283" s="24"/>
      <c r="F283" s="24"/>
      <c r="G283" s="24"/>
      <c r="H283" s="24"/>
      <c r="I283" s="24"/>
      <c r="J283" s="24"/>
      <c r="K283" s="25"/>
    </row>
    <row r="284" s="5" customFormat="1" ht="16.5" spans="1:11">
      <c r="A284" s="22"/>
      <c r="B284" s="23"/>
      <c r="C284" s="24"/>
      <c r="D284" s="24"/>
      <c r="E284" s="24"/>
      <c r="F284" s="24"/>
      <c r="G284" s="24"/>
      <c r="H284" s="24"/>
      <c r="I284" s="24"/>
      <c r="J284" s="24"/>
      <c r="K284" s="25"/>
    </row>
    <row r="285" s="5" customFormat="1" ht="16.5" spans="1:11">
      <c r="A285" s="22"/>
      <c r="B285" s="23"/>
      <c r="C285" s="24"/>
      <c r="D285" s="24"/>
      <c r="E285" s="24"/>
      <c r="F285" s="24"/>
      <c r="G285" s="24"/>
      <c r="H285" s="24"/>
      <c r="I285" s="24"/>
      <c r="J285" s="24"/>
      <c r="K285" s="25"/>
    </row>
    <row r="286" s="5" customFormat="1" ht="16.5" spans="1:11">
      <c r="A286" s="22"/>
      <c r="B286" s="23"/>
      <c r="C286" s="24"/>
      <c r="D286" s="24"/>
      <c r="E286" s="24"/>
      <c r="F286" s="24"/>
      <c r="G286" s="24"/>
      <c r="H286" s="24"/>
      <c r="I286" s="24"/>
      <c r="J286" s="24"/>
      <c r="K286" s="25"/>
    </row>
    <row r="287" s="5" customFormat="1" ht="16.5" spans="1:11">
      <c r="A287" s="22"/>
      <c r="B287" s="23"/>
      <c r="C287" s="24"/>
      <c r="D287" s="24"/>
      <c r="E287" s="24"/>
      <c r="F287" s="24"/>
      <c r="G287" s="24"/>
      <c r="H287" s="24"/>
      <c r="I287" s="24"/>
      <c r="J287" s="24"/>
      <c r="K287" s="25"/>
    </row>
    <row r="288" s="5" customFormat="1" ht="16.5" spans="1:11">
      <c r="A288" s="22"/>
      <c r="B288" s="23"/>
      <c r="C288" s="24"/>
      <c r="D288" s="24"/>
      <c r="E288" s="24"/>
      <c r="F288" s="24"/>
      <c r="G288" s="24"/>
      <c r="H288" s="24"/>
      <c r="I288" s="24"/>
      <c r="J288" s="24"/>
      <c r="K288" s="25"/>
    </row>
    <row r="289" s="5" customFormat="1" ht="16.5" spans="1:11">
      <c r="A289" s="22"/>
      <c r="B289" s="23"/>
      <c r="C289" s="24"/>
      <c r="D289" s="24"/>
      <c r="E289" s="24"/>
      <c r="F289" s="24"/>
      <c r="G289" s="24"/>
      <c r="H289" s="24"/>
      <c r="I289" s="24"/>
      <c r="J289" s="24"/>
      <c r="K289" s="25"/>
    </row>
    <row r="290" s="5" customFormat="1" ht="16.5" spans="1:11">
      <c r="A290" s="22"/>
      <c r="B290" s="23"/>
      <c r="C290" s="24"/>
      <c r="D290" s="24"/>
      <c r="E290" s="24"/>
      <c r="F290" s="24"/>
      <c r="G290" s="24"/>
      <c r="H290" s="24"/>
      <c r="I290" s="24"/>
      <c r="J290" s="24"/>
      <c r="K290" s="25"/>
    </row>
    <row r="291" s="5" customFormat="1" ht="16.5" spans="1:11">
      <c r="A291" s="22"/>
      <c r="B291" s="23"/>
      <c r="C291" s="24"/>
      <c r="D291" s="24"/>
      <c r="E291" s="24"/>
      <c r="F291" s="24"/>
      <c r="G291" s="24"/>
      <c r="H291" s="24"/>
      <c r="I291" s="24"/>
      <c r="J291" s="24"/>
      <c r="K291" s="25"/>
    </row>
    <row r="292" s="5" customFormat="1" ht="16.5" spans="1:11">
      <c r="A292" s="22"/>
      <c r="B292" s="23"/>
      <c r="C292" s="24"/>
      <c r="D292" s="24"/>
      <c r="E292" s="24"/>
      <c r="F292" s="24"/>
      <c r="G292" s="24"/>
      <c r="H292" s="24"/>
      <c r="I292" s="24"/>
      <c r="J292" s="24"/>
      <c r="K292" s="25"/>
    </row>
    <row r="293" s="5" customFormat="1" ht="16.5" spans="1:11">
      <c r="A293" s="22"/>
      <c r="B293" s="23"/>
      <c r="C293" s="24"/>
      <c r="D293" s="24"/>
      <c r="E293" s="24"/>
      <c r="F293" s="24"/>
      <c r="G293" s="24"/>
      <c r="H293" s="24"/>
      <c r="I293" s="24"/>
      <c r="J293" s="24"/>
      <c r="K293" s="25"/>
    </row>
    <row r="294" s="5" customFormat="1" ht="16.5" spans="1:11">
      <c r="A294" s="22"/>
      <c r="B294" s="23"/>
      <c r="C294" s="24"/>
      <c r="D294" s="24"/>
      <c r="E294" s="24"/>
      <c r="F294" s="24"/>
      <c r="G294" s="24"/>
      <c r="H294" s="24"/>
      <c r="I294" s="24"/>
      <c r="J294" s="24"/>
      <c r="K294" s="25"/>
    </row>
    <row r="295" s="5" customFormat="1" ht="16.5" spans="1:11">
      <c r="A295" s="22"/>
      <c r="B295" s="23"/>
      <c r="C295" s="24"/>
      <c r="D295" s="24"/>
      <c r="E295" s="24"/>
      <c r="F295" s="24"/>
      <c r="G295" s="24"/>
      <c r="H295" s="24"/>
      <c r="I295" s="24"/>
      <c r="J295" s="24"/>
      <c r="K295" s="25"/>
    </row>
    <row r="296" s="5" customFormat="1" ht="16.5" spans="1:11">
      <c r="A296" s="22"/>
      <c r="B296" s="23"/>
      <c r="C296" s="24"/>
      <c r="D296" s="24"/>
      <c r="E296" s="24"/>
      <c r="F296" s="24"/>
      <c r="G296" s="24"/>
      <c r="H296" s="24"/>
      <c r="I296" s="24"/>
      <c r="J296" s="24"/>
      <c r="K296" s="25"/>
    </row>
    <row r="297" s="5" customFormat="1" ht="16.5" spans="1:11">
      <c r="A297" s="22"/>
      <c r="B297" s="23"/>
      <c r="C297" s="24"/>
      <c r="D297" s="24"/>
      <c r="E297" s="24"/>
      <c r="F297" s="24"/>
      <c r="G297" s="24"/>
      <c r="H297" s="24"/>
      <c r="I297" s="24"/>
      <c r="J297" s="24"/>
      <c r="K297" s="25"/>
    </row>
    <row r="298" s="5" customFormat="1" ht="16.5" spans="1:11">
      <c r="A298" s="22"/>
      <c r="B298" s="23"/>
      <c r="C298" s="24"/>
      <c r="D298" s="24"/>
      <c r="E298" s="24"/>
      <c r="F298" s="24"/>
      <c r="G298" s="24"/>
      <c r="H298" s="24"/>
      <c r="I298" s="24"/>
      <c r="J298" s="24"/>
      <c r="K298" s="25"/>
    </row>
    <row r="299" s="5" customFormat="1" ht="16.5" spans="1:11">
      <c r="A299" s="22"/>
      <c r="B299" s="23"/>
      <c r="C299" s="24"/>
      <c r="D299" s="24"/>
      <c r="E299" s="24"/>
      <c r="F299" s="24"/>
      <c r="G299" s="24"/>
      <c r="H299" s="24"/>
      <c r="I299" s="24"/>
      <c r="J299" s="24"/>
      <c r="K299" s="25"/>
    </row>
    <row r="300" s="5" customFormat="1" ht="16.5" spans="1:11">
      <c r="A300" s="22"/>
      <c r="B300" s="23"/>
      <c r="C300" s="24"/>
      <c r="D300" s="24"/>
      <c r="E300" s="24"/>
      <c r="F300" s="24"/>
      <c r="G300" s="24"/>
      <c r="H300" s="24"/>
      <c r="I300" s="24"/>
      <c r="J300" s="24"/>
      <c r="K300" s="25"/>
    </row>
    <row r="301" s="5" customFormat="1" ht="16.5" spans="1:11">
      <c r="A301" s="22"/>
      <c r="B301" s="23"/>
      <c r="C301" s="24"/>
      <c r="D301" s="24"/>
      <c r="E301" s="24"/>
      <c r="F301" s="24"/>
      <c r="G301" s="24"/>
      <c r="H301" s="24"/>
      <c r="I301" s="24"/>
      <c r="J301" s="24"/>
      <c r="K301" s="25"/>
    </row>
    <row r="302" s="5" customFormat="1" ht="16.5" spans="1:11">
      <c r="A302" s="22"/>
      <c r="B302" s="23"/>
      <c r="C302" s="24"/>
      <c r="D302" s="24"/>
      <c r="E302" s="24"/>
      <c r="F302" s="24"/>
      <c r="G302" s="24"/>
      <c r="H302" s="24"/>
      <c r="I302" s="24"/>
      <c r="J302" s="24"/>
      <c r="K302" s="25"/>
    </row>
    <row r="303" s="5" customFormat="1" ht="16.5" spans="1:11">
      <c r="A303" s="22"/>
      <c r="B303" s="23"/>
      <c r="C303" s="24"/>
      <c r="D303" s="24"/>
      <c r="E303" s="24"/>
      <c r="F303" s="24"/>
      <c r="G303" s="24"/>
      <c r="H303" s="24"/>
      <c r="I303" s="24"/>
      <c r="J303" s="24"/>
      <c r="K303" s="25"/>
    </row>
    <row r="304" s="5" customFormat="1" ht="16.5" spans="1:11">
      <c r="A304" s="22"/>
      <c r="B304" s="23"/>
      <c r="C304" s="24"/>
      <c r="D304" s="24"/>
      <c r="E304" s="24"/>
      <c r="F304" s="24"/>
      <c r="G304" s="24"/>
      <c r="H304" s="24"/>
      <c r="I304" s="24"/>
      <c r="J304" s="24"/>
      <c r="K304" s="25"/>
    </row>
    <row r="305" s="5" customFormat="1" ht="16.5" spans="1:11">
      <c r="A305" s="22"/>
      <c r="B305" s="23"/>
      <c r="C305" s="24"/>
      <c r="D305" s="24"/>
      <c r="E305" s="24"/>
      <c r="F305" s="24"/>
      <c r="G305" s="24"/>
      <c r="H305" s="24"/>
      <c r="I305" s="24"/>
      <c r="J305" s="24"/>
      <c r="K305" s="25"/>
    </row>
    <row r="306" s="5" customFormat="1" ht="16.5" spans="1:11">
      <c r="A306" s="22"/>
      <c r="B306" s="23"/>
      <c r="C306" s="24"/>
      <c r="D306" s="24"/>
      <c r="E306" s="24"/>
      <c r="F306" s="24"/>
      <c r="G306" s="24"/>
      <c r="H306" s="24"/>
      <c r="I306" s="24"/>
      <c r="J306" s="24"/>
      <c r="K306" s="25"/>
    </row>
    <row r="307" s="5" customFormat="1" ht="16.5" spans="1:11">
      <c r="A307" s="22"/>
      <c r="B307" s="23"/>
      <c r="C307" s="24"/>
      <c r="D307" s="24"/>
      <c r="E307" s="24"/>
      <c r="F307" s="24"/>
      <c r="G307" s="24"/>
      <c r="H307" s="24"/>
      <c r="I307" s="24"/>
      <c r="J307" s="24"/>
      <c r="K307" s="25"/>
    </row>
    <row r="308" s="5" customFormat="1" ht="16.5" spans="1:11">
      <c r="A308" s="22"/>
      <c r="B308" s="23"/>
      <c r="C308" s="24"/>
      <c r="D308" s="24"/>
      <c r="E308" s="24"/>
      <c r="F308" s="24"/>
      <c r="G308" s="24"/>
      <c r="H308" s="24"/>
      <c r="I308" s="24"/>
      <c r="J308" s="24"/>
      <c r="K308" s="25"/>
    </row>
    <row r="309" s="5" customFormat="1" ht="16.5" spans="1:11">
      <c r="A309" s="22"/>
      <c r="B309" s="23"/>
      <c r="C309" s="24"/>
      <c r="D309" s="24"/>
      <c r="E309" s="24"/>
      <c r="F309" s="24"/>
      <c r="G309" s="24"/>
      <c r="H309" s="24"/>
      <c r="I309" s="24"/>
      <c r="J309" s="24"/>
      <c r="K309" s="25"/>
    </row>
    <row r="310" s="5" customFormat="1" ht="16.5" spans="1:11">
      <c r="A310" s="22"/>
      <c r="B310" s="23"/>
      <c r="C310" s="24"/>
      <c r="D310" s="24"/>
      <c r="E310" s="24"/>
      <c r="F310" s="24"/>
      <c r="G310" s="24"/>
      <c r="H310" s="24"/>
      <c r="I310" s="24"/>
      <c r="J310" s="24"/>
      <c r="K310" s="25"/>
    </row>
    <row r="311" s="5" customFormat="1" ht="16.5" spans="1:11">
      <c r="A311" s="22"/>
      <c r="B311" s="23"/>
      <c r="C311" s="24"/>
      <c r="D311" s="24"/>
      <c r="E311" s="24"/>
      <c r="F311" s="24"/>
      <c r="G311" s="24"/>
      <c r="H311" s="24"/>
      <c r="I311" s="24"/>
      <c r="J311" s="24"/>
      <c r="K311" s="25"/>
    </row>
    <row r="312" s="5" customFormat="1" ht="16.5" spans="1:11">
      <c r="A312" s="22"/>
      <c r="B312" s="23"/>
      <c r="C312" s="24"/>
      <c r="D312" s="24"/>
      <c r="E312" s="24"/>
      <c r="F312" s="24"/>
      <c r="G312" s="24"/>
      <c r="H312" s="24"/>
      <c r="I312" s="24"/>
      <c r="J312" s="24"/>
      <c r="K312" s="25"/>
    </row>
    <row r="313" s="5" customFormat="1" ht="16.5" spans="1:11">
      <c r="A313" s="22"/>
      <c r="B313" s="23"/>
      <c r="C313" s="24"/>
      <c r="D313" s="24"/>
      <c r="E313" s="24"/>
      <c r="F313" s="24"/>
      <c r="G313" s="24"/>
      <c r="H313" s="24"/>
      <c r="I313" s="24"/>
      <c r="J313" s="24"/>
      <c r="K313" s="25"/>
    </row>
    <row r="314" s="5" customFormat="1" ht="16.5" spans="1:11">
      <c r="A314" s="22"/>
      <c r="B314" s="23"/>
      <c r="C314" s="24"/>
      <c r="D314" s="24"/>
      <c r="E314" s="24"/>
      <c r="F314" s="24"/>
      <c r="G314" s="24"/>
      <c r="H314" s="24"/>
      <c r="I314" s="24"/>
      <c r="J314" s="24"/>
      <c r="K314" s="25"/>
    </row>
    <row r="315" s="5" customFormat="1" ht="16.5" spans="1:11">
      <c r="A315" s="22"/>
      <c r="B315" s="23"/>
      <c r="C315" s="24"/>
      <c r="D315" s="24"/>
      <c r="E315" s="24"/>
      <c r="F315" s="24"/>
      <c r="G315" s="24"/>
      <c r="H315" s="24"/>
      <c r="I315" s="24"/>
      <c r="J315" s="24"/>
      <c r="K315" s="25"/>
    </row>
    <row r="316" s="5" customFormat="1" ht="16.5" spans="1:11">
      <c r="A316" s="22"/>
      <c r="B316" s="23"/>
      <c r="C316" s="24"/>
      <c r="D316" s="24"/>
      <c r="E316" s="24"/>
      <c r="F316" s="24"/>
      <c r="G316" s="24"/>
      <c r="H316" s="24"/>
      <c r="I316" s="24"/>
      <c r="J316" s="24"/>
      <c r="K316" s="25"/>
    </row>
    <row r="317" s="5" customFormat="1" ht="16.5" spans="1:11">
      <c r="A317" s="22"/>
      <c r="B317" s="23"/>
      <c r="C317" s="24"/>
      <c r="D317" s="24"/>
      <c r="E317" s="24"/>
      <c r="F317" s="24"/>
      <c r="G317" s="24"/>
      <c r="H317" s="24"/>
      <c r="I317" s="24"/>
      <c r="J317" s="24"/>
      <c r="K317" s="25"/>
    </row>
    <row r="318" s="5" customFormat="1" ht="16.5" spans="1:11">
      <c r="A318" s="22"/>
      <c r="B318" s="23"/>
      <c r="C318" s="24"/>
      <c r="D318" s="24"/>
      <c r="E318" s="24"/>
      <c r="F318" s="24"/>
      <c r="G318" s="24"/>
      <c r="H318" s="24"/>
      <c r="I318" s="24"/>
      <c r="J318" s="24"/>
      <c r="K318" s="25"/>
    </row>
    <row r="319" s="5" customFormat="1" ht="16.5" spans="1:11">
      <c r="A319" s="22"/>
      <c r="B319" s="23"/>
      <c r="C319" s="24"/>
      <c r="D319" s="24"/>
      <c r="E319" s="24"/>
      <c r="F319" s="24"/>
      <c r="G319" s="24"/>
      <c r="H319" s="24"/>
      <c r="I319" s="24"/>
      <c r="J319" s="24"/>
      <c r="K319" s="25"/>
    </row>
    <row r="320" s="5" customFormat="1" ht="16.5" spans="1:11">
      <c r="A320" s="22"/>
      <c r="B320" s="23"/>
      <c r="C320" s="24"/>
      <c r="D320" s="24"/>
      <c r="E320" s="24"/>
      <c r="F320" s="24"/>
      <c r="G320" s="24"/>
      <c r="H320" s="24"/>
      <c r="I320" s="24"/>
      <c r="J320" s="24"/>
      <c r="K320" s="25"/>
    </row>
    <row r="321" s="5" customFormat="1" ht="16.5" spans="1:11">
      <c r="A321" s="22"/>
      <c r="B321" s="23"/>
      <c r="C321" s="24"/>
      <c r="D321" s="24"/>
      <c r="E321" s="24"/>
      <c r="F321" s="24"/>
      <c r="G321" s="24"/>
      <c r="H321" s="24"/>
      <c r="I321" s="24"/>
      <c r="J321" s="24"/>
      <c r="K321" s="25"/>
    </row>
    <row r="322" s="5" customFormat="1" ht="16.5" spans="1:11">
      <c r="A322" s="22"/>
      <c r="B322" s="23"/>
      <c r="C322" s="24"/>
      <c r="D322" s="24"/>
      <c r="E322" s="24"/>
      <c r="F322" s="24"/>
      <c r="G322" s="24"/>
      <c r="H322" s="24"/>
      <c r="I322" s="24"/>
      <c r="J322" s="24"/>
      <c r="K322" s="25"/>
    </row>
    <row r="323" s="5" customFormat="1" ht="16.5" spans="1:11">
      <c r="A323" s="22"/>
      <c r="B323" s="23"/>
      <c r="C323" s="24"/>
      <c r="D323" s="24"/>
      <c r="E323" s="24"/>
      <c r="F323" s="24"/>
      <c r="G323" s="24"/>
      <c r="H323" s="24"/>
      <c r="I323" s="24"/>
      <c r="J323" s="24"/>
      <c r="K323" s="25"/>
    </row>
    <row r="324" s="5" customFormat="1" ht="16.5" spans="1:11">
      <c r="A324" s="22"/>
      <c r="B324" s="23"/>
      <c r="C324" s="24"/>
      <c r="D324" s="24"/>
      <c r="E324" s="24"/>
      <c r="F324" s="24"/>
      <c r="G324" s="24"/>
      <c r="H324" s="24"/>
      <c r="I324" s="24"/>
      <c r="J324" s="24"/>
      <c r="K324" s="25"/>
    </row>
    <row r="325" s="5" customFormat="1" ht="16.5" spans="1:11">
      <c r="A325" s="22"/>
      <c r="B325" s="23"/>
      <c r="C325" s="24"/>
      <c r="D325" s="24"/>
      <c r="E325" s="24"/>
      <c r="F325" s="24"/>
      <c r="G325" s="24"/>
      <c r="H325" s="24"/>
      <c r="I325" s="24"/>
      <c r="J325" s="24"/>
      <c r="K325" s="25"/>
    </row>
    <row r="326" s="5" customFormat="1" ht="16.5" spans="1:11">
      <c r="A326" s="22"/>
      <c r="B326" s="23"/>
      <c r="C326" s="24"/>
      <c r="D326" s="24"/>
      <c r="E326" s="24"/>
      <c r="F326" s="24"/>
      <c r="G326" s="24"/>
      <c r="H326" s="24"/>
      <c r="I326" s="24"/>
      <c r="J326" s="24"/>
      <c r="K326" s="25"/>
    </row>
    <row r="327" s="5" customFormat="1" ht="16.5" spans="1:11">
      <c r="A327" s="22"/>
      <c r="B327" s="23"/>
      <c r="C327" s="24"/>
      <c r="D327" s="24"/>
      <c r="E327" s="24"/>
      <c r="F327" s="24"/>
      <c r="G327" s="24"/>
      <c r="H327" s="24"/>
      <c r="I327" s="24"/>
      <c r="J327" s="24"/>
      <c r="K327" s="25"/>
    </row>
    <row r="328" s="5" customFormat="1" ht="16.5" spans="1:11">
      <c r="A328" s="22"/>
      <c r="B328" s="23"/>
      <c r="C328" s="24"/>
      <c r="D328" s="24"/>
      <c r="E328" s="24"/>
      <c r="F328" s="24"/>
      <c r="G328" s="24"/>
      <c r="H328" s="24"/>
      <c r="I328" s="24"/>
      <c r="J328" s="24"/>
      <c r="K328" s="25"/>
    </row>
    <row r="329" s="5" customFormat="1" ht="16.5" spans="1:11">
      <c r="A329" s="22"/>
      <c r="B329" s="23"/>
      <c r="C329" s="24"/>
      <c r="D329" s="24"/>
      <c r="E329" s="24"/>
      <c r="F329" s="24"/>
      <c r="G329" s="24"/>
      <c r="H329" s="24"/>
      <c r="I329" s="24"/>
      <c r="J329" s="24"/>
      <c r="K329" s="25"/>
    </row>
    <row r="330" s="5" customFormat="1" ht="16.5" spans="1:11">
      <c r="A330" s="22"/>
      <c r="B330" s="23"/>
      <c r="C330" s="24"/>
      <c r="D330" s="24"/>
      <c r="E330" s="24"/>
      <c r="F330" s="24"/>
      <c r="G330" s="24"/>
      <c r="H330" s="24"/>
      <c r="I330" s="24"/>
      <c r="J330" s="24"/>
      <c r="K330" s="25"/>
    </row>
    <row r="331" s="5" customFormat="1" ht="16.5" spans="1:11">
      <c r="A331" s="22"/>
      <c r="B331" s="23"/>
      <c r="C331" s="24"/>
      <c r="D331" s="24"/>
      <c r="E331" s="24"/>
      <c r="F331" s="24"/>
      <c r="G331" s="24"/>
      <c r="H331" s="24"/>
      <c r="I331" s="24"/>
      <c r="J331" s="24"/>
      <c r="K331" s="25"/>
    </row>
    <row r="332" s="5" customFormat="1" ht="16.5" spans="1:11">
      <c r="A332" s="22"/>
      <c r="B332" s="23"/>
      <c r="C332" s="24"/>
      <c r="D332" s="24"/>
      <c r="E332" s="24"/>
      <c r="F332" s="24"/>
      <c r="G332" s="24"/>
      <c r="H332" s="24"/>
      <c r="I332" s="24"/>
      <c r="J332" s="24"/>
      <c r="K332" s="25"/>
    </row>
    <row r="333" s="5" customFormat="1" ht="16.5" spans="1:11">
      <c r="A333" s="22"/>
      <c r="B333" s="23"/>
      <c r="C333" s="24"/>
      <c r="D333" s="24"/>
      <c r="E333" s="24"/>
      <c r="F333" s="24"/>
      <c r="G333" s="24"/>
      <c r="H333" s="24"/>
      <c r="I333" s="24"/>
      <c r="J333" s="24"/>
      <c r="K333" s="25"/>
    </row>
    <row r="334" s="5" customFormat="1" ht="16.5" spans="1:11">
      <c r="A334" s="22"/>
      <c r="B334" s="23"/>
      <c r="C334" s="24"/>
      <c r="D334" s="24"/>
      <c r="E334" s="24"/>
      <c r="F334" s="24"/>
      <c r="G334" s="24"/>
      <c r="H334" s="24"/>
      <c r="I334" s="24"/>
      <c r="J334" s="24"/>
      <c r="K334" s="25"/>
    </row>
    <row r="335" s="5" customFormat="1" ht="16.5" spans="1:11">
      <c r="A335" s="22"/>
      <c r="B335" s="23"/>
      <c r="C335" s="24"/>
      <c r="D335" s="24"/>
      <c r="E335" s="24"/>
      <c r="F335" s="24"/>
      <c r="G335" s="24"/>
      <c r="H335" s="24"/>
      <c r="I335" s="24"/>
      <c r="J335" s="24"/>
      <c r="K335" s="25"/>
    </row>
    <row r="336" s="5" customFormat="1" ht="16.5" spans="1:11">
      <c r="A336" s="22"/>
      <c r="B336" s="23"/>
      <c r="C336" s="24"/>
      <c r="D336" s="24"/>
      <c r="E336" s="24"/>
      <c r="F336" s="24"/>
      <c r="G336" s="24"/>
      <c r="H336" s="24"/>
      <c r="I336" s="24"/>
      <c r="J336" s="24"/>
      <c r="K336" s="25"/>
    </row>
    <row r="337" s="5" customFormat="1" ht="16.5" spans="1:11">
      <c r="A337" s="22"/>
      <c r="B337" s="23"/>
      <c r="C337" s="24"/>
      <c r="D337" s="24"/>
      <c r="E337" s="24"/>
      <c r="F337" s="24"/>
      <c r="G337" s="24"/>
      <c r="H337" s="24"/>
      <c r="I337" s="24"/>
      <c r="J337" s="24"/>
      <c r="K337" s="25"/>
    </row>
    <row r="338" s="5" customFormat="1" ht="16.5" spans="1:11">
      <c r="A338" s="22"/>
      <c r="B338" s="23"/>
      <c r="C338" s="24"/>
      <c r="D338" s="24"/>
      <c r="E338" s="24"/>
      <c r="F338" s="24"/>
      <c r="G338" s="24"/>
      <c r="H338" s="24"/>
      <c r="I338" s="24"/>
      <c r="J338" s="24"/>
      <c r="K338" s="25"/>
    </row>
    <row r="339" s="5" customFormat="1" ht="16.5" spans="1:11">
      <c r="A339" s="22"/>
      <c r="B339" s="23"/>
      <c r="C339" s="24"/>
      <c r="D339" s="24"/>
      <c r="E339" s="24"/>
      <c r="F339" s="24"/>
      <c r="G339" s="24"/>
      <c r="H339" s="24"/>
      <c r="I339" s="24"/>
      <c r="J339" s="24"/>
      <c r="K339" s="25"/>
    </row>
    <row r="340" s="5" customFormat="1" ht="16.5" spans="1:11">
      <c r="A340" s="22"/>
      <c r="B340" s="23"/>
      <c r="C340" s="24"/>
      <c r="D340" s="24"/>
      <c r="E340" s="24"/>
      <c r="F340" s="24"/>
      <c r="G340" s="24"/>
      <c r="H340" s="24"/>
      <c r="I340" s="24"/>
      <c r="J340" s="24"/>
      <c r="K340" s="25"/>
    </row>
    <row r="341" s="5" customFormat="1" ht="16.5" spans="1:11">
      <c r="A341" s="22"/>
      <c r="B341" s="23"/>
      <c r="C341" s="24"/>
      <c r="D341" s="24"/>
      <c r="E341" s="24"/>
      <c r="F341" s="24"/>
      <c r="G341" s="24"/>
      <c r="H341" s="24"/>
      <c r="I341" s="24"/>
      <c r="J341" s="24"/>
      <c r="K341" s="25"/>
    </row>
    <row r="342" s="5" customFormat="1" ht="16.5" spans="1:11">
      <c r="A342" s="22"/>
      <c r="B342" s="23"/>
      <c r="C342" s="24"/>
      <c r="D342" s="24"/>
      <c r="E342" s="24"/>
      <c r="F342" s="24"/>
      <c r="G342" s="24"/>
      <c r="H342" s="24"/>
      <c r="I342" s="24"/>
      <c r="J342" s="24"/>
      <c r="K342" s="25"/>
    </row>
    <row r="343" s="5" customFormat="1" ht="16.5" spans="1:11">
      <c r="A343" s="22"/>
      <c r="B343" s="23"/>
      <c r="C343" s="24"/>
      <c r="D343" s="24"/>
      <c r="E343" s="24"/>
      <c r="F343" s="24"/>
      <c r="G343" s="24"/>
      <c r="H343" s="24"/>
      <c r="I343" s="24"/>
      <c r="J343" s="24"/>
      <c r="K343" s="25"/>
    </row>
    <row r="344" s="5" customFormat="1" ht="16.5" spans="1:11">
      <c r="A344" s="22"/>
      <c r="B344" s="23"/>
      <c r="C344" s="24"/>
      <c r="D344" s="24"/>
      <c r="E344" s="24"/>
      <c r="F344" s="24"/>
      <c r="G344" s="24"/>
      <c r="H344" s="24"/>
      <c r="I344" s="24"/>
      <c r="J344" s="24"/>
      <c r="K344" s="25"/>
    </row>
    <row r="345" s="5" customFormat="1" ht="16.5" spans="1:11">
      <c r="A345" s="22"/>
      <c r="B345" s="23"/>
      <c r="C345" s="24"/>
      <c r="D345" s="24"/>
      <c r="E345" s="24"/>
      <c r="F345" s="24"/>
      <c r="G345" s="24"/>
      <c r="H345" s="24"/>
      <c r="I345" s="24"/>
      <c r="J345" s="24"/>
      <c r="K345" s="25"/>
    </row>
    <row r="346" s="5" customFormat="1" ht="16.5" spans="1:11">
      <c r="A346" s="22"/>
      <c r="B346" s="23"/>
      <c r="C346" s="24"/>
      <c r="D346" s="24"/>
      <c r="E346" s="24"/>
      <c r="F346" s="24"/>
      <c r="G346" s="24"/>
      <c r="H346" s="24"/>
      <c r="I346" s="24"/>
      <c r="J346" s="24"/>
      <c r="K346" s="25"/>
    </row>
    <row r="347" s="5" customFormat="1" ht="16.5" spans="1:11">
      <c r="A347" s="22"/>
      <c r="B347" s="23"/>
      <c r="C347" s="24"/>
      <c r="D347" s="24"/>
      <c r="E347" s="24"/>
      <c r="F347" s="24"/>
      <c r="G347" s="24"/>
      <c r="H347" s="24"/>
      <c r="I347" s="24"/>
      <c r="J347" s="24"/>
      <c r="K347" s="25"/>
    </row>
    <row r="348" s="5" customFormat="1" ht="16.5" spans="1:11">
      <c r="A348" s="22"/>
      <c r="B348" s="23"/>
      <c r="C348" s="24"/>
      <c r="D348" s="24"/>
      <c r="E348" s="24"/>
      <c r="F348" s="24"/>
      <c r="G348" s="24"/>
      <c r="H348" s="24"/>
      <c r="I348" s="24"/>
      <c r="J348" s="24"/>
      <c r="K348" s="25"/>
    </row>
    <row r="349" s="5" customFormat="1" ht="16.5" spans="1:11">
      <c r="A349" s="22"/>
      <c r="B349" s="23"/>
      <c r="C349" s="24"/>
      <c r="D349" s="24"/>
      <c r="E349" s="24"/>
      <c r="F349" s="24"/>
      <c r="G349" s="24"/>
      <c r="H349" s="24"/>
      <c r="I349" s="24"/>
      <c r="J349" s="24"/>
      <c r="K349" s="25"/>
    </row>
    <row r="350" s="5" customFormat="1" ht="16.5" spans="1:11">
      <c r="A350" s="22"/>
      <c r="B350" s="23"/>
      <c r="C350" s="24"/>
      <c r="D350" s="24"/>
      <c r="E350" s="24"/>
      <c r="F350" s="24"/>
      <c r="G350" s="24"/>
      <c r="H350" s="24"/>
      <c r="I350" s="24"/>
      <c r="J350" s="24"/>
      <c r="K350" s="25"/>
    </row>
    <row r="351" s="5" customFormat="1" ht="16.5" spans="1:11">
      <c r="A351" s="22"/>
      <c r="B351" s="23"/>
      <c r="C351" s="24"/>
      <c r="D351" s="24"/>
      <c r="E351" s="24"/>
      <c r="F351" s="24"/>
      <c r="G351" s="24"/>
      <c r="H351" s="24"/>
      <c r="I351" s="24"/>
      <c r="J351" s="24"/>
      <c r="K351" s="25"/>
    </row>
    <row r="352" s="5" customFormat="1" ht="16.5" spans="1:11">
      <c r="A352" s="22"/>
      <c r="B352" s="23"/>
      <c r="C352" s="24"/>
      <c r="D352" s="24"/>
      <c r="E352" s="24"/>
      <c r="F352" s="24"/>
      <c r="G352" s="24"/>
      <c r="H352" s="24"/>
      <c r="I352" s="24"/>
      <c r="J352" s="24"/>
      <c r="K352" s="25"/>
    </row>
    <row r="353" s="5" customFormat="1" ht="16.5" spans="1:11">
      <c r="A353" s="22"/>
      <c r="B353" s="23"/>
      <c r="C353" s="24"/>
      <c r="D353" s="24"/>
      <c r="E353" s="24"/>
      <c r="F353" s="24"/>
      <c r="G353" s="24"/>
      <c r="H353" s="24"/>
      <c r="I353" s="24"/>
      <c r="J353" s="24"/>
      <c r="K353" s="25"/>
    </row>
    <row r="354" s="5" customFormat="1" ht="16.5" spans="1:11">
      <c r="A354" s="22"/>
      <c r="B354" s="23"/>
      <c r="C354" s="24"/>
      <c r="D354" s="24"/>
      <c r="E354" s="24"/>
      <c r="F354" s="24"/>
      <c r="G354" s="24"/>
      <c r="H354" s="24"/>
      <c r="I354" s="24"/>
      <c r="J354" s="24"/>
      <c r="K354" s="25"/>
    </row>
    <row r="355" s="5" customFormat="1" ht="16.5" spans="1:11">
      <c r="A355" s="22"/>
      <c r="B355" s="23"/>
      <c r="C355" s="24"/>
      <c r="D355" s="24"/>
      <c r="E355" s="24"/>
      <c r="F355" s="24"/>
      <c r="G355" s="24"/>
      <c r="H355" s="24"/>
      <c r="I355" s="24"/>
      <c r="J355" s="24"/>
      <c r="K355" s="25"/>
    </row>
    <row r="356" s="5" customFormat="1" ht="16.5" spans="1:11">
      <c r="A356" s="22"/>
      <c r="B356" s="23"/>
      <c r="C356" s="24"/>
      <c r="D356" s="24"/>
      <c r="E356" s="24"/>
      <c r="F356" s="24"/>
      <c r="G356" s="24"/>
      <c r="H356" s="24"/>
      <c r="I356" s="24"/>
      <c r="J356" s="24"/>
      <c r="K356" s="25"/>
    </row>
    <row r="357" s="5" customFormat="1" ht="16.5" spans="1:11">
      <c r="A357" s="22"/>
      <c r="B357" s="23"/>
      <c r="C357" s="24"/>
      <c r="D357" s="24"/>
      <c r="E357" s="24"/>
      <c r="F357" s="24"/>
      <c r="G357" s="24"/>
      <c r="H357" s="24"/>
      <c r="I357" s="24"/>
      <c r="J357" s="24"/>
      <c r="K357" s="25"/>
    </row>
    <row r="358" s="5" customFormat="1" ht="16.5" spans="1:11">
      <c r="A358" s="22"/>
      <c r="B358" s="23"/>
      <c r="C358" s="24"/>
      <c r="D358" s="24"/>
      <c r="E358" s="24"/>
      <c r="F358" s="24"/>
      <c r="G358" s="24"/>
      <c r="H358" s="24"/>
      <c r="I358" s="24"/>
      <c r="J358" s="24"/>
      <c r="K358" s="25"/>
    </row>
    <row r="359" s="5" customFormat="1" ht="16.5" spans="1:11">
      <c r="A359" s="22"/>
      <c r="B359" s="23"/>
      <c r="C359" s="24"/>
      <c r="D359" s="24"/>
      <c r="E359" s="24"/>
      <c r="F359" s="24"/>
      <c r="G359" s="24"/>
      <c r="H359" s="24"/>
      <c r="I359" s="24"/>
      <c r="J359" s="24"/>
      <c r="K359" s="25"/>
    </row>
    <row r="360" s="5" customFormat="1" ht="16.5" spans="1:11">
      <c r="A360" s="22"/>
      <c r="B360" s="23"/>
      <c r="C360" s="24"/>
      <c r="D360" s="24"/>
      <c r="E360" s="24"/>
      <c r="F360" s="24"/>
      <c r="G360" s="24"/>
      <c r="H360" s="24"/>
      <c r="I360" s="24"/>
      <c r="J360" s="24"/>
      <c r="K360" s="25"/>
    </row>
    <row r="361" s="5" customFormat="1" ht="16.5" spans="1:11">
      <c r="A361" s="22"/>
      <c r="B361" s="23"/>
      <c r="C361" s="24"/>
      <c r="D361" s="24"/>
      <c r="E361" s="24"/>
      <c r="F361" s="24"/>
      <c r="G361" s="24"/>
      <c r="H361" s="24"/>
      <c r="I361" s="24"/>
      <c r="J361" s="24"/>
      <c r="K361" s="25"/>
    </row>
    <row r="362" s="5" customFormat="1" ht="16.5" spans="1:11">
      <c r="A362" s="22"/>
      <c r="B362" s="23"/>
      <c r="C362" s="24"/>
      <c r="D362" s="24"/>
      <c r="E362" s="24"/>
      <c r="F362" s="24"/>
      <c r="G362" s="24"/>
      <c r="H362" s="24"/>
      <c r="I362" s="24"/>
      <c r="J362" s="24"/>
      <c r="K362" s="25"/>
    </row>
    <row r="363" s="5" customFormat="1" ht="16.5" spans="1:11">
      <c r="A363" s="22"/>
      <c r="B363" s="23"/>
      <c r="C363" s="24"/>
      <c r="D363" s="24"/>
      <c r="E363" s="24"/>
      <c r="F363" s="24"/>
      <c r="G363" s="24"/>
      <c r="H363" s="24"/>
      <c r="I363" s="24"/>
      <c r="J363" s="24"/>
      <c r="K363" s="25"/>
    </row>
    <row r="364" s="5" customFormat="1" ht="16.5" spans="1:11">
      <c r="A364" s="22"/>
      <c r="B364" s="23"/>
      <c r="C364" s="24"/>
      <c r="D364" s="24"/>
      <c r="E364" s="24"/>
      <c r="F364" s="24"/>
      <c r="G364" s="24"/>
      <c r="H364" s="24"/>
      <c r="I364" s="24"/>
      <c r="J364" s="24"/>
      <c r="K364" s="25"/>
    </row>
    <row r="365" s="5" customFormat="1" ht="16.5" spans="1:11">
      <c r="A365" s="22"/>
      <c r="B365" s="23"/>
      <c r="C365" s="24"/>
      <c r="D365" s="24"/>
      <c r="E365" s="24"/>
      <c r="F365" s="24"/>
      <c r="G365" s="24"/>
      <c r="H365" s="24"/>
      <c r="I365" s="24"/>
      <c r="J365" s="24"/>
      <c r="K365" s="25"/>
    </row>
    <row r="366" s="5" customFormat="1" ht="16.5" spans="1:11">
      <c r="A366" s="22"/>
      <c r="B366" s="23"/>
      <c r="C366" s="24"/>
      <c r="D366" s="24"/>
      <c r="E366" s="24"/>
      <c r="F366" s="24"/>
      <c r="G366" s="24"/>
      <c r="H366" s="24"/>
      <c r="I366" s="24"/>
      <c r="J366" s="24"/>
      <c r="K366" s="25"/>
    </row>
    <row r="367" s="5" customFormat="1" ht="16.5" spans="1:11">
      <c r="A367" s="22"/>
      <c r="B367" s="23"/>
      <c r="C367" s="24"/>
      <c r="D367" s="24"/>
      <c r="E367" s="24"/>
      <c r="F367" s="24"/>
      <c r="G367" s="24"/>
      <c r="H367" s="24"/>
      <c r="I367" s="24"/>
      <c r="J367" s="24"/>
      <c r="K367" s="25"/>
    </row>
    <row r="368" s="5" customFormat="1" ht="16.5" spans="1:11">
      <c r="A368" s="22"/>
      <c r="B368" s="23"/>
      <c r="C368" s="24"/>
      <c r="D368" s="24"/>
      <c r="E368" s="24"/>
      <c r="F368" s="24"/>
      <c r="G368" s="24"/>
      <c r="H368" s="24"/>
      <c r="I368" s="24"/>
      <c r="J368" s="24"/>
      <c r="K368" s="25"/>
    </row>
    <row r="369" s="5" customFormat="1" ht="16.5" spans="1:11">
      <c r="A369" s="22"/>
      <c r="B369" s="23"/>
      <c r="C369" s="24"/>
      <c r="D369" s="24"/>
      <c r="E369" s="24"/>
      <c r="F369" s="24"/>
      <c r="G369" s="24"/>
      <c r="H369" s="24"/>
      <c r="I369" s="24"/>
      <c r="J369" s="24"/>
      <c r="K369" s="25"/>
    </row>
    <row r="370" s="5" customFormat="1" ht="16.5" spans="1:11">
      <c r="A370" s="22"/>
      <c r="B370" s="23"/>
      <c r="C370" s="24"/>
      <c r="D370" s="24"/>
      <c r="E370" s="24"/>
      <c r="F370" s="24"/>
      <c r="G370" s="24"/>
      <c r="H370" s="24"/>
      <c r="I370" s="24"/>
      <c r="J370" s="24"/>
      <c r="K370" s="25"/>
    </row>
    <row r="371" s="5" customFormat="1" ht="16.5" spans="1:11">
      <c r="A371" s="22"/>
      <c r="B371" s="23"/>
      <c r="C371" s="24"/>
      <c r="D371" s="24"/>
      <c r="E371" s="24"/>
      <c r="F371" s="24"/>
      <c r="G371" s="24"/>
      <c r="H371" s="24"/>
      <c r="I371" s="24"/>
      <c r="J371" s="24"/>
      <c r="K371" s="25"/>
    </row>
    <row r="372" s="5" customFormat="1" ht="16.5" spans="1:11">
      <c r="A372" s="22"/>
      <c r="B372" s="23"/>
      <c r="C372" s="24"/>
      <c r="D372" s="24"/>
      <c r="E372" s="24"/>
      <c r="F372" s="24"/>
      <c r="G372" s="24"/>
      <c r="H372" s="24"/>
      <c r="I372" s="24"/>
      <c r="J372" s="24"/>
      <c r="K372" s="25"/>
    </row>
    <row r="373" s="5" customFormat="1" ht="16.5" spans="1:11">
      <c r="A373" s="22"/>
      <c r="B373" s="23"/>
      <c r="C373" s="24"/>
      <c r="D373" s="24"/>
      <c r="E373" s="24"/>
      <c r="F373" s="24"/>
      <c r="G373" s="24"/>
      <c r="H373" s="24"/>
      <c r="I373" s="24"/>
      <c r="J373" s="24"/>
      <c r="K373" s="25"/>
    </row>
    <row r="374" s="5" customFormat="1" ht="16.5" spans="1:11">
      <c r="A374" s="22"/>
      <c r="B374" s="23"/>
      <c r="C374" s="24"/>
      <c r="D374" s="24"/>
      <c r="E374" s="24"/>
      <c r="F374" s="24"/>
      <c r="G374" s="24"/>
      <c r="H374" s="24"/>
      <c r="I374" s="24"/>
      <c r="J374" s="24"/>
      <c r="K374" s="25"/>
    </row>
    <row r="375" s="5" customFormat="1" ht="16.5" spans="1:11">
      <c r="A375" s="22"/>
      <c r="B375" s="23"/>
      <c r="C375" s="24"/>
      <c r="D375" s="24"/>
      <c r="E375" s="24"/>
      <c r="F375" s="24"/>
      <c r="G375" s="24"/>
      <c r="H375" s="24"/>
      <c r="I375" s="24"/>
      <c r="J375" s="24"/>
      <c r="K375" s="25"/>
    </row>
    <row r="376" s="5" customFormat="1" ht="16.5" spans="1:11">
      <c r="A376" s="22"/>
      <c r="B376" s="23"/>
      <c r="C376" s="24"/>
      <c r="D376" s="24"/>
      <c r="E376" s="24"/>
      <c r="F376" s="24"/>
      <c r="G376" s="24"/>
      <c r="H376" s="24"/>
      <c r="I376" s="24"/>
      <c r="J376" s="24"/>
      <c r="K376" s="25"/>
    </row>
    <row r="377" s="5" customFormat="1" ht="16.5" spans="1:11">
      <c r="A377" s="22"/>
      <c r="B377" s="23"/>
      <c r="C377" s="24"/>
      <c r="D377" s="24"/>
      <c r="E377" s="24"/>
      <c r="F377" s="24"/>
      <c r="G377" s="24"/>
      <c r="H377" s="24"/>
      <c r="I377" s="24"/>
      <c r="J377" s="24"/>
      <c r="K377" s="25"/>
    </row>
    <row r="378" s="5" customFormat="1" ht="16.5" spans="1:11">
      <c r="A378" s="22"/>
      <c r="B378" s="23"/>
      <c r="C378" s="24"/>
      <c r="D378" s="24"/>
      <c r="E378" s="24"/>
      <c r="F378" s="24"/>
      <c r="G378" s="24"/>
      <c r="H378" s="24"/>
      <c r="I378" s="24"/>
      <c r="J378" s="24"/>
      <c r="K378" s="25"/>
    </row>
    <row r="379" s="5" customFormat="1" ht="16.5" spans="1:11">
      <c r="A379" s="22"/>
      <c r="B379" s="23"/>
      <c r="C379" s="24"/>
      <c r="D379" s="24"/>
      <c r="E379" s="24"/>
      <c r="F379" s="24"/>
      <c r="G379" s="24"/>
      <c r="H379" s="24"/>
      <c r="I379" s="24"/>
      <c r="J379" s="24"/>
      <c r="K379" s="25"/>
    </row>
    <row r="380" s="5" customFormat="1" ht="16.5" spans="1:11">
      <c r="A380" s="22"/>
      <c r="B380" s="23"/>
      <c r="C380" s="24"/>
      <c r="D380" s="24"/>
      <c r="E380" s="24"/>
      <c r="F380" s="24"/>
      <c r="G380" s="24"/>
      <c r="H380" s="24"/>
      <c r="I380" s="24"/>
      <c r="J380" s="24"/>
      <c r="K380" s="25"/>
    </row>
    <row r="381" s="5" customFormat="1" ht="16.5" spans="1:11">
      <c r="A381" s="22"/>
      <c r="B381" s="23"/>
      <c r="C381" s="24"/>
      <c r="D381" s="24"/>
      <c r="E381" s="24"/>
      <c r="F381" s="24"/>
      <c r="G381" s="24"/>
      <c r="H381" s="24"/>
      <c r="I381" s="24"/>
      <c r="J381" s="24"/>
      <c r="K381" s="25"/>
    </row>
    <row r="382" s="5" customFormat="1" ht="16.5" spans="1:11">
      <c r="A382" s="22"/>
      <c r="B382" s="23"/>
      <c r="C382" s="24"/>
      <c r="D382" s="24"/>
      <c r="E382" s="24"/>
      <c r="F382" s="24"/>
      <c r="G382" s="24"/>
      <c r="H382" s="24"/>
      <c r="I382" s="24"/>
      <c r="J382" s="24"/>
      <c r="K382" s="25"/>
    </row>
    <row r="383" s="5" customFormat="1" ht="16.5" spans="1:11">
      <c r="A383" s="22"/>
      <c r="B383" s="23"/>
      <c r="C383" s="24"/>
      <c r="D383" s="24"/>
      <c r="E383" s="24"/>
      <c r="F383" s="24"/>
      <c r="G383" s="24"/>
      <c r="H383" s="24"/>
      <c r="I383" s="24"/>
      <c r="J383" s="24"/>
      <c r="K383" s="25"/>
    </row>
    <row r="384" s="5" customFormat="1" ht="16.5" spans="1:11">
      <c r="A384" s="22"/>
      <c r="B384" s="23"/>
      <c r="C384" s="24"/>
      <c r="D384" s="24"/>
      <c r="E384" s="24"/>
      <c r="F384" s="24"/>
      <c r="G384" s="24"/>
      <c r="H384" s="24"/>
      <c r="I384" s="24"/>
      <c r="J384" s="24"/>
      <c r="K384" s="25"/>
    </row>
    <row r="385" s="5" customFormat="1" ht="16.5" spans="1:11">
      <c r="A385" s="22"/>
      <c r="B385" s="23"/>
      <c r="C385" s="24"/>
      <c r="D385" s="24"/>
      <c r="E385" s="24"/>
      <c r="F385" s="24"/>
      <c r="G385" s="24"/>
      <c r="H385" s="24"/>
      <c r="I385" s="24"/>
      <c r="J385" s="24"/>
      <c r="K385" s="25"/>
    </row>
    <row r="386" s="5" customFormat="1" ht="16.5" spans="1:11">
      <c r="A386" s="22"/>
      <c r="B386" s="23"/>
      <c r="C386" s="24"/>
      <c r="D386" s="24"/>
      <c r="E386" s="24"/>
      <c r="F386" s="24"/>
      <c r="G386" s="24"/>
      <c r="H386" s="24"/>
      <c r="I386" s="24"/>
      <c r="J386" s="24"/>
      <c r="K386" s="25"/>
    </row>
    <row r="387" s="5" customFormat="1" ht="16.5" spans="1:11">
      <c r="A387" s="22"/>
      <c r="B387" s="23"/>
      <c r="C387" s="24"/>
      <c r="D387" s="24"/>
      <c r="E387" s="24"/>
      <c r="F387" s="24"/>
      <c r="G387" s="24"/>
      <c r="H387" s="24"/>
      <c r="I387" s="24"/>
      <c r="J387" s="24"/>
      <c r="K387" s="25"/>
    </row>
    <row r="388" s="5" customFormat="1" ht="16.5" spans="1:11">
      <c r="A388" s="22"/>
      <c r="B388" s="23"/>
      <c r="C388" s="24"/>
      <c r="D388" s="24"/>
      <c r="E388" s="24"/>
      <c r="F388" s="24"/>
      <c r="G388" s="24"/>
      <c r="H388" s="24"/>
      <c r="I388" s="24"/>
      <c r="J388" s="24"/>
      <c r="K388" s="25"/>
    </row>
    <row r="389" s="5" customFormat="1" ht="16.5" spans="1:11">
      <c r="A389" s="22"/>
      <c r="B389" s="23"/>
      <c r="C389" s="24"/>
      <c r="D389" s="24"/>
      <c r="E389" s="24"/>
      <c r="F389" s="24"/>
      <c r="G389" s="24"/>
      <c r="H389" s="24"/>
      <c r="I389" s="24"/>
      <c r="J389" s="24"/>
      <c r="K389" s="25"/>
    </row>
    <row r="390" s="5" customFormat="1" ht="16.5" spans="1:11">
      <c r="A390" s="22"/>
      <c r="B390" s="23"/>
      <c r="C390" s="24"/>
      <c r="D390" s="24"/>
      <c r="E390" s="24"/>
      <c r="F390" s="24"/>
      <c r="G390" s="24"/>
      <c r="H390" s="24"/>
      <c r="I390" s="24"/>
      <c r="J390" s="24"/>
      <c r="K390" s="25"/>
    </row>
    <row r="391" s="5" customFormat="1" ht="16.5" spans="1:11">
      <c r="A391" s="22"/>
      <c r="B391" s="23"/>
      <c r="C391" s="24"/>
      <c r="D391" s="24"/>
      <c r="E391" s="24"/>
      <c r="F391" s="24"/>
      <c r="G391" s="24"/>
      <c r="H391" s="24"/>
      <c r="I391" s="24"/>
      <c r="J391" s="24"/>
      <c r="K391" s="25"/>
    </row>
    <row r="392" s="5" customFormat="1" ht="16.5" spans="1:11">
      <c r="A392" s="22"/>
      <c r="B392" s="23"/>
      <c r="C392" s="24"/>
      <c r="D392" s="24"/>
      <c r="E392" s="24"/>
      <c r="F392" s="24"/>
      <c r="G392" s="24"/>
      <c r="H392" s="24"/>
      <c r="I392" s="24"/>
      <c r="J392" s="24"/>
      <c r="K392" s="25"/>
    </row>
    <row r="393" s="5" customFormat="1" ht="16.5" spans="1:11">
      <c r="A393" s="22"/>
      <c r="B393" s="23"/>
      <c r="C393" s="24"/>
      <c r="D393" s="24"/>
      <c r="E393" s="24"/>
      <c r="F393" s="24"/>
      <c r="G393" s="24"/>
      <c r="H393" s="24"/>
      <c r="I393" s="24"/>
      <c r="J393" s="24"/>
      <c r="K393" s="25"/>
    </row>
    <row r="394" s="5" customFormat="1" ht="16.5" spans="1:11">
      <c r="A394" s="22"/>
      <c r="B394" s="23"/>
      <c r="C394" s="24"/>
      <c r="D394" s="24"/>
      <c r="E394" s="24"/>
      <c r="F394" s="24"/>
      <c r="G394" s="24"/>
      <c r="H394" s="24"/>
      <c r="I394" s="24"/>
      <c r="J394" s="24"/>
      <c r="K394" s="25"/>
    </row>
    <row r="395" s="5" customFormat="1" ht="16.5" spans="1:11">
      <c r="A395" s="22"/>
      <c r="B395" s="23"/>
      <c r="C395" s="24"/>
      <c r="D395" s="24"/>
      <c r="E395" s="24"/>
      <c r="F395" s="24"/>
      <c r="G395" s="24"/>
      <c r="H395" s="24"/>
      <c r="I395" s="24"/>
      <c r="J395" s="24"/>
      <c r="K395" s="25"/>
    </row>
    <row r="396" s="5" customFormat="1" ht="16.5" spans="1:11">
      <c r="A396" s="22"/>
      <c r="B396" s="23"/>
      <c r="C396" s="24"/>
      <c r="D396" s="24"/>
      <c r="E396" s="24"/>
      <c r="F396" s="24"/>
      <c r="G396" s="24"/>
      <c r="H396" s="24"/>
      <c r="I396" s="24"/>
      <c r="J396" s="24"/>
      <c r="K396" s="25"/>
    </row>
    <row r="397" s="5" customFormat="1" ht="16.5" spans="1:11">
      <c r="A397" s="22"/>
      <c r="B397" s="23"/>
      <c r="C397" s="24"/>
      <c r="D397" s="24"/>
      <c r="E397" s="24"/>
      <c r="F397" s="24"/>
      <c r="G397" s="24"/>
      <c r="H397" s="24"/>
      <c r="I397" s="24"/>
      <c r="J397" s="24"/>
      <c r="K397" s="25"/>
    </row>
    <row r="398" s="5" customFormat="1" ht="16.5" spans="1:11">
      <c r="A398" s="22"/>
      <c r="B398" s="23"/>
      <c r="C398" s="24"/>
      <c r="D398" s="24"/>
      <c r="E398" s="24"/>
      <c r="F398" s="24"/>
      <c r="G398" s="24"/>
      <c r="H398" s="24"/>
      <c r="I398" s="24"/>
      <c r="J398" s="24"/>
      <c r="K398" s="25"/>
    </row>
    <row r="399" s="5" customFormat="1" ht="16.5" spans="1:11">
      <c r="A399" s="22"/>
      <c r="B399" s="23"/>
      <c r="C399" s="24"/>
      <c r="D399" s="24"/>
      <c r="E399" s="24"/>
      <c r="F399" s="24"/>
      <c r="G399" s="24"/>
      <c r="H399" s="24"/>
      <c r="I399" s="24"/>
      <c r="J399" s="24"/>
      <c r="K399" s="25"/>
    </row>
    <row r="400" s="5" customFormat="1" ht="16.5" spans="1:11">
      <c r="A400" s="22"/>
      <c r="B400" s="23"/>
      <c r="C400" s="24"/>
      <c r="D400" s="24"/>
      <c r="E400" s="24"/>
      <c r="F400" s="24"/>
      <c r="G400" s="24"/>
      <c r="H400" s="24"/>
      <c r="I400" s="24"/>
      <c r="J400" s="24"/>
      <c r="K400" s="25"/>
    </row>
    <row r="401" s="5" customFormat="1" ht="16.5" spans="1:11">
      <c r="A401" s="22"/>
      <c r="B401" s="23"/>
      <c r="C401" s="24"/>
      <c r="D401" s="24"/>
      <c r="E401" s="24"/>
      <c r="F401" s="24"/>
      <c r="G401" s="24"/>
      <c r="H401" s="24"/>
      <c r="I401" s="24"/>
      <c r="J401" s="24"/>
      <c r="K401" s="25"/>
    </row>
    <row r="402" s="5" customFormat="1" ht="16.5" spans="1:11">
      <c r="A402" s="22"/>
      <c r="B402" s="23"/>
      <c r="C402" s="24"/>
      <c r="D402" s="24"/>
      <c r="E402" s="24"/>
      <c r="F402" s="24"/>
      <c r="G402" s="24"/>
      <c r="H402" s="24"/>
      <c r="I402" s="24"/>
      <c r="J402" s="24"/>
      <c r="K402" s="25"/>
    </row>
    <row r="403" s="5" customFormat="1" ht="16.5" spans="1:11">
      <c r="A403" s="22"/>
      <c r="B403" s="23"/>
      <c r="C403" s="24"/>
      <c r="D403" s="24"/>
      <c r="E403" s="24"/>
      <c r="F403" s="24"/>
      <c r="G403" s="24"/>
      <c r="H403" s="24"/>
      <c r="I403" s="24"/>
      <c r="J403" s="24"/>
      <c r="K403" s="25"/>
    </row>
    <row r="404" s="5" customFormat="1" ht="16.5" spans="1:11">
      <c r="A404" s="22"/>
      <c r="B404" s="23"/>
      <c r="C404" s="24"/>
      <c r="D404" s="24"/>
      <c r="E404" s="24"/>
      <c r="F404" s="24"/>
      <c r="G404" s="24"/>
      <c r="H404" s="24"/>
      <c r="I404" s="24"/>
      <c r="J404" s="24"/>
      <c r="K404" s="25"/>
    </row>
    <row r="405" s="5" customFormat="1" ht="16.5" spans="1:11">
      <c r="A405" s="22"/>
      <c r="B405" s="23"/>
      <c r="C405" s="24"/>
      <c r="D405" s="24"/>
      <c r="E405" s="24"/>
      <c r="F405" s="24"/>
      <c r="G405" s="24"/>
      <c r="H405" s="24"/>
      <c r="I405" s="24"/>
      <c r="J405" s="24"/>
      <c r="K405" s="25"/>
    </row>
    <row r="406" s="5" customFormat="1" ht="16.5" spans="1:11">
      <c r="A406" s="22"/>
      <c r="B406" s="23"/>
      <c r="C406" s="24"/>
      <c r="D406" s="24"/>
      <c r="E406" s="24"/>
      <c r="F406" s="24"/>
      <c r="G406" s="24"/>
      <c r="H406" s="24"/>
      <c r="I406" s="24"/>
      <c r="J406" s="24"/>
      <c r="K406" s="25"/>
    </row>
    <row r="407" s="5" customFormat="1" ht="16.5" spans="1:11">
      <c r="A407" s="22"/>
      <c r="B407" s="23"/>
      <c r="C407" s="24"/>
      <c r="D407" s="24"/>
      <c r="E407" s="24"/>
      <c r="F407" s="24"/>
      <c r="G407" s="24"/>
      <c r="H407" s="24"/>
      <c r="I407" s="24"/>
      <c r="J407" s="24"/>
      <c r="K407" s="25"/>
    </row>
    <row r="408" s="5" customFormat="1" ht="16.5" spans="1:11">
      <c r="A408" s="22"/>
      <c r="B408" s="23"/>
      <c r="C408" s="24"/>
      <c r="D408" s="24"/>
      <c r="E408" s="24"/>
      <c r="F408" s="24"/>
      <c r="G408" s="24"/>
      <c r="H408" s="24"/>
      <c r="I408" s="24"/>
      <c r="J408" s="24"/>
      <c r="K408" s="25"/>
    </row>
    <row r="409" s="5" customFormat="1" ht="16.5" spans="1:11">
      <c r="A409" s="22"/>
      <c r="B409" s="23"/>
      <c r="C409" s="24"/>
      <c r="D409" s="24"/>
      <c r="E409" s="24"/>
      <c r="F409" s="24"/>
      <c r="G409" s="24"/>
      <c r="H409" s="24"/>
      <c r="I409" s="24"/>
      <c r="J409" s="24"/>
      <c r="K409" s="25"/>
    </row>
    <row r="410" s="5" customFormat="1" ht="16.5" spans="1:11">
      <c r="A410" s="22"/>
      <c r="B410" s="23"/>
      <c r="C410" s="24"/>
      <c r="D410" s="24"/>
      <c r="E410" s="24"/>
      <c r="F410" s="24"/>
      <c r="G410" s="24"/>
      <c r="H410" s="24"/>
      <c r="I410" s="24"/>
      <c r="J410" s="24"/>
      <c r="K410" s="25"/>
    </row>
    <row r="411" s="5" customFormat="1" ht="16.5" spans="1:11">
      <c r="A411" s="22"/>
      <c r="B411" s="23"/>
      <c r="C411" s="24"/>
      <c r="D411" s="24"/>
      <c r="E411" s="24"/>
      <c r="F411" s="24"/>
      <c r="G411" s="24"/>
      <c r="H411" s="24"/>
      <c r="I411" s="24"/>
      <c r="J411" s="24"/>
      <c r="K411" s="25"/>
    </row>
    <row r="412" s="5" customFormat="1" ht="16.5" spans="1:11">
      <c r="A412" s="22"/>
      <c r="B412" s="23"/>
      <c r="C412" s="24"/>
      <c r="D412" s="24"/>
      <c r="E412" s="24"/>
      <c r="F412" s="24"/>
      <c r="G412" s="24"/>
      <c r="H412" s="24"/>
      <c r="I412" s="24"/>
      <c r="J412" s="24"/>
      <c r="K412" s="25"/>
    </row>
    <row r="413" s="5" customFormat="1" ht="16.5" spans="1:11">
      <c r="A413" s="22"/>
      <c r="B413" s="23"/>
      <c r="C413" s="24"/>
      <c r="D413" s="24"/>
      <c r="E413" s="24"/>
      <c r="F413" s="24"/>
      <c r="G413" s="24"/>
      <c r="H413" s="24"/>
      <c r="I413" s="24"/>
      <c r="J413" s="24"/>
      <c r="K413" s="25"/>
    </row>
    <row r="414" s="5" customFormat="1" ht="16.5" spans="1:11">
      <c r="A414" s="22"/>
      <c r="B414" s="23"/>
      <c r="C414" s="24"/>
      <c r="D414" s="24"/>
      <c r="E414" s="24"/>
      <c r="F414" s="24"/>
      <c r="G414" s="24"/>
      <c r="H414" s="24"/>
      <c r="I414" s="24"/>
      <c r="J414" s="24"/>
      <c r="K414" s="25"/>
    </row>
    <row r="415" s="5" customFormat="1" ht="16.5" spans="1:11">
      <c r="A415" s="22"/>
      <c r="B415" s="23"/>
      <c r="C415" s="24"/>
      <c r="D415" s="24"/>
      <c r="E415" s="24"/>
      <c r="F415" s="24"/>
      <c r="G415" s="24"/>
      <c r="H415" s="24"/>
      <c r="I415" s="24"/>
      <c r="J415" s="24"/>
      <c r="K415" s="25"/>
    </row>
    <row r="416" s="5" customFormat="1" ht="16.5" spans="1:11">
      <c r="A416" s="22"/>
      <c r="B416" s="23"/>
      <c r="C416" s="24"/>
      <c r="D416" s="24"/>
      <c r="E416" s="24"/>
      <c r="F416" s="24"/>
      <c r="G416" s="24"/>
      <c r="H416" s="24"/>
      <c r="I416" s="24"/>
      <c r="J416" s="24"/>
      <c r="K416" s="25"/>
    </row>
    <row r="417" s="5" customFormat="1" ht="16.5" spans="1:11">
      <c r="A417" s="22"/>
      <c r="B417" s="23"/>
      <c r="C417" s="24"/>
      <c r="D417" s="24"/>
      <c r="E417" s="24"/>
      <c r="F417" s="24"/>
      <c r="G417" s="24"/>
      <c r="H417" s="24"/>
      <c r="I417" s="24"/>
      <c r="J417" s="24"/>
      <c r="K417" s="25"/>
    </row>
    <row r="418" s="5" customFormat="1" ht="16.5" spans="1:11">
      <c r="A418" s="22"/>
      <c r="B418" s="23"/>
      <c r="C418" s="24"/>
      <c r="D418" s="24"/>
      <c r="E418" s="24"/>
      <c r="F418" s="24"/>
      <c r="G418" s="24"/>
      <c r="H418" s="24"/>
      <c r="I418" s="24"/>
      <c r="J418" s="24"/>
      <c r="K418" s="25"/>
    </row>
    <row r="419" s="5" customFormat="1" ht="16.5" spans="1:11">
      <c r="A419" s="22"/>
      <c r="B419" s="23"/>
      <c r="C419" s="24"/>
      <c r="D419" s="24"/>
      <c r="E419" s="24"/>
      <c r="F419" s="24"/>
      <c r="G419" s="24"/>
      <c r="H419" s="24"/>
      <c r="I419" s="24"/>
      <c r="J419" s="24"/>
      <c r="K419" s="25"/>
    </row>
    <row r="420" s="5" customFormat="1" ht="16.5" spans="1:11">
      <c r="A420" s="22"/>
      <c r="B420" s="23"/>
      <c r="C420" s="24"/>
      <c r="D420" s="24"/>
      <c r="E420" s="24"/>
      <c r="F420" s="24"/>
      <c r="G420" s="24"/>
      <c r="H420" s="24"/>
      <c r="I420" s="24"/>
      <c r="J420" s="24"/>
      <c r="K420" s="25"/>
    </row>
    <row r="421" s="5" customFormat="1" ht="16.5" spans="1:11">
      <c r="A421" s="22"/>
      <c r="B421" s="23"/>
      <c r="C421" s="24"/>
      <c r="D421" s="24"/>
      <c r="E421" s="24"/>
      <c r="F421" s="24"/>
      <c r="G421" s="24"/>
      <c r="H421" s="24"/>
      <c r="I421" s="24"/>
      <c r="J421" s="24"/>
      <c r="K421" s="25"/>
    </row>
    <row r="422" s="5" customFormat="1" ht="16.5" spans="1:11">
      <c r="A422" s="22"/>
      <c r="B422" s="23"/>
      <c r="C422" s="24"/>
      <c r="D422" s="24"/>
      <c r="E422" s="24"/>
      <c r="F422" s="24"/>
      <c r="G422" s="24"/>
      <c r="H422" s="24"/>
      <c r="I422" s="24"/>
      <c r="J422" s="24"/>
      <c r="K422" s="25"/>
    </row>
    <row r="423" s="5" customFormat="1" ht="16.5" spans="1:11">
      <c r="A423" s="22"/>
      <c r="B423" s="23"/>
      <c r="C423" s="24"/>
      <c r="D423" s="24"/>
      <c r="E423" s="24"/>
      <c r="F423" s="24"/>
      <c r="G423" s="24"/>
      <c r="H423" s="24"/>
      <c r="I423" s="24"/>
      <c r="J423" s="24"/>
      <c r="K423" s="25"/>
    </row>
    <row r="424" s="5" customFormat="1" ht="16.5" spans="1:11">
      <c r="A424" s="22"/>
      <c r="B424" s="23"/>
      <c r="C424" s="24"/>
      <c r="D424" s="24"/>
      <c r="E424" s="24"/>
      <c r="F424" s="24"/>
      <c r="G424" s="24"/>
      <c r="H424" s="24"/>
      <c r="I424" s="24"/>
      <c r="J424" s="24"/>
      <c r="K424" s="25"/>
    </row>
    <row r="425" s="5" customFormat="1" ht="16.5" spans="1:11">
      <c r="A425" s="22"/>
      <c r="B425" s="23"/>
      <c r="C425" s="24"/>
      <c r="D425" s="24"/>
      <c r="E425" s="24"/>
      <c r="F425" s="24"/>
      <c r="G425" s="24"/>
      <c r="H425" s="24"/>
      <c r="I425" s="24"/>
      <c r="J425" s="24"/>
      <c r="K425" s="25"/>
    </row>
    <row r="426" s="5" customFormat="1" ht="16.5" spans="1:11">
      <c r="A426" s="22"/>
      <c r="B426" s="23"/>
      <c r="C426" s="24"/>
      <c r="D426" s="24"/>
      <c r="E426" s="24"/>
      <c r="F426" s="24"/>
      <c r="G426" s="24"/>
      <c r="H426" s="24"/>
      <c r="I426" s="24"/>
      <c r="J426" s="24"/>
      <c r="K426" s="25"/>
    </row>
    <row r="427" s="5" customFormat="1" ht="16.5" spans="1:11">
      <c r="A427" s="22"/>
      <c r="B427" s="23"/>
      <c r="C427" s="24"/>
      <c r="D427" s="24"/>
      <c r="E427" s="24"/>
      <c r="F427" s="24"/>
      <c r="G427" s="24"/>
      <c r="H427" s="24"/>
      <c r="I427" s="24"/>
      <c r="J427" s="24"/>
      <c r="K427" s="25"/>
    </row>
    <row r="428" s="5" customFormat="1" ht="16.5" spans="1:11">
      <c r="A428" s="22"/>
      <c r="B428" s="23"/>
      <c r="C428" s="24"/>
      <c r="D428" s="24"/>
      <c r="E428" s="24"/>
      <c r="F428" s="24"/>
      <c r="G428" s="24"/>
      <c r="H428" s="24"/>
      <c r="I428" s="24"/>
      <c r="J428" s="24"/>
      <c r="K428" s="25"/>
    </row>
    <row r="429" s="5" customFormat="1" ht="16.5" spans="1:11">
      <c r="A429" s="22"/>
      <c r="B429" s="23"/>
      <c r="C429" s="24"/>
      <c r="D429" s="24"/>
      <c r="E429" s="24"/>
      <c r="F429" s="24"/>
      <c r="G429" s="24"/>
      <c r="H429" s="24"/>
      <c r="I429" s="24"/>
      <c r="J429" s="24"/>
      <c r="K429" s="25"/>
    </row>
    <row r="430" s="5" customFormat="1" ht="16.5" spans="1:11">
      <c r="A430" s="22"/>
      <c r="B430" s="23"/>
      <c r="C430" s="24"/>
      <c r="D430" s="24"/>
      <c r="E430" s="24"/>
      <c r="F430" s="24"/>
      <c r="G430" s="24"/>
      <c r="H430" s="24"/>
      <c r="I430" s="24"/>
      <c r="J430" s="24"/>
      <c r="K430" s="25"/>
    </row>
    <row r="431" s="5" customFormat="1" ht="16.5" spans="1:11">
      <c r="A431" s="22"/>
      <c r="B431" s="23"/>
      <c r="C431" s="24"/>
      <c r="D431" s="24"/>
      <c r="E431" s="24"/>
      <c r="F431" s="24"/>
      <c r="G431" s="24"/>
      <c r="H431" s="24"/>
      <c r="I431" s="24"/>
      <c r="J431" s="24"/>
      <c r="K431" s="25"/>
    </row>
    <row r="432" s="5" customFormat="1" ht="16.5" spans="1:11">
      <c r="A432" s="22"/>
      <c r="B432" s="23"/>
      <c r="C432" s="24"/>
      <c r="D432" s="24"/>
      <c r="E432" s="24"/>
      <c r="F432" s="24"/>
      <c r="G432" s="24"/>
      <c r="H432" s="24"/>
      <c r="I432" s="24"/>
      <c r="J432" s="24"/>
      <c r="K432" s="25"/>
    </row>
    <row r="433" s="5" customFormat="1" ht="16.5" spans="1:11">
      <c r="A433" s="22"/>
      <c r="B433" s="23"/>
      <c r="C433" s="24"/>
      <c r="D433" s="24"/>
      <c r="E433" s="24"/>
      <c r="F433" s="24"/>
      <c r="G433" s="24"/>
      <c r="H433" s="24"/>
      <c r="I433" s="24"/>
      <c r="J433" s="24"/>
      <c r="K433" s="25"/>
    </row>
    <row r="434" s="5" customFormat="1" ht="16.5" spans="1:11">
      <c r="A434" s="22"/>
      <c r="B434" s="23"/>
      <c r="C434" s="24"/>
      <c r="D434" s="24"/>
      <c r="E434" s="24"/>
      <c r="F434" s="24"/>
      <c r="G434" s="24"/>
      <c r="H434" s="24"/>
      <c r="I434" s="24"/>
      <c r="J434" s="24"/>
      <c r="K434" s="25"/>
    </row>
    <row r="435" s="5" customFormat="1" ht="16.5" spans="1:11">
      <c r="A435" s="22"/>
      <c r="B435" s="23"/>
      <c r="C435" s="24"/>
      <c r="D435" s="24"/>
      <c r="E435" s="24"/>
      <c r="F435" s="24"/>
      <c r="G435" s="24"/>
      <c r="H435" s="24"/>
      <c r="I435" s="24"/>
      <c r="J435" s="24"/>
      <c r="K435" s="25"/>
    </row>
    <row r="436" s="5" customFormat="1" ht="16.5" spans="1:11">
      <c r="A436" s="22"/>
      <c r="B436" s="23"/>
      <c r="C436" s="24"/>
      <c r="D436" s="24"/>
      <c r="E436" s="24"/>
      <c r="F436" s="24"/>
      <c r="G436" s="24"/>
      <c r="H436" s="24"/>
      <c r="I436" s="24"/>
      <c r="J436" s="24"/>
      <c r="K436" s="25"/>
    </row>
    <row r="437" s="5" customFormat="1" ht="16.5" spans="1:11">
      <c r="A437" s="22"/>
      <c r="B437" s="23"/>
      <c r="C437" s="24"/>
      <c r="D437" s="24"/>
      <c r="E437" s="24"/>
      <c r="F437" s="24"/>
      <c r="G437" s="24"/>
      <c r="H437" s="24"/>
      <c r="I437" s="24"/>
      <c r="J437" s="24"/>
      <c r="K437" s="25"/>
    </row>
    <row r="438" s="5" customFormat="1" ht="16.5" spans="1:11">
      <c r="A438" s="22"/>
      <c r="B438" s="23"/>
      <c r="C438" s="24"/>
      <c r="D438" s="24"/>
      <c r="E438" s="24"/>
      <c r="F438" s="24"/>
      <c r="G438" s="24"/>
      <c r="H438" s="24"/>
      <c r="I438" s="24"/>
      <c r="J438" s="24"/>
      <c r="K438" s="25"/>
    </row>
    <row r="439" s="5" customFormat="1" ht="16.5" spans="1:11">
      <c r="A439" s="22"/>
      <c r="B439" s="23"/>
      <c r="C439" s="24"/>
      <c r="D439" s="24"/>
      <c r="E439" s="24"/>
      <c r="F439" s="24"/>
      <c r="G439" s="24"/>
      <c r="H439" s="24"/>
      <c r="I439" s="24"/>
      <c r="J439" s="24"/>
      <c r="K439" s="25"/>
    </row>
    <row r="440" s="5" customFormat="1" ht="16.5" spans="1:11">
      <c r="A440" s="22"/>
      <c r="B440" s="23"/>
      <c r="C440" s="24"/>
      <c r="D440" s="24"/>
      <c r="E440" s="24"/>
      <c r="F440" s="24"/>
      <c r="G440" s="24"/>
      <c r="H440" s="24"/>
      <c r="I440" s="24"/>
      <c r="J440" s="24"/>
      <c r="K440" s="25"/>
    </row>
    <row r="441" s="5" customFormat="1" ht="16.5" spans="1:11">
      <c r="A441" s="22"/>
      <c r="B441" s="23"/>
      <c r="C441" s="24"/>
      <c r="D441" s="24"/>
      <c r="E441" s="24"/>
      <c r="F441" s="24"/>
      <c r="G441" s="24"/>
      <c r="H441" s="24"/>
      <c r="I441" s="24"/>
      <c r="J441" s="24"/>
      <c r="K441" s="25"/>
    </row>
    <row r="442" s="5" customFormat="1" ht="16.5" spans="1:11">
      <c r="A442" s="22"/>
      <c r="B442" s="23"/>
      <c r="C442" s="24"/>
      <c r="D442" s="24"/>
      <c r="E442" s="24"/>
      <c r="F442" s="24"/>
      <c r="G442" s="24"/>
      <c r="H442" s="24"/>
      <c r="I442" s="24"/>
      <c r="J442" s="24"/>
      <c r="K442" s="25"/>
    </row>
    <row r="443" s="5" customFormat="1" ht="16.5" spans="1:11">
      <c r="A443" s="22"/>
      <c r="B443" s="23"/>
      <c r="C443" s="24"/>
      <c r="D443" s="24"/>
      <c r="E443" s="24"/>
      <c r="F443" s="24"/>
      <c r="G443" s="24"/>
      <c r="H443" s="24"/>
      <c r="I443" s="24"/>
      <c r="J443" s="24"/>
      <c r="K443" s="25"/>
    </row>
    <row r="444" s="5" customFormat="1" ht="16.5" spans="1:11">
      <c r="A444" s="22"/>
      <c r="B444" s="23"/>
      <c r="C444" s="24"/>
      <c r="D444" s="24"/>
      <c r="E444" s="24"/>
      <c r="F444" s="24"/>
      <c r="G444" s="24"/>
      <c r="H444" s="24"/>
      <c r="I444" s="24"/>
      <c r="J444" s="24"/>
      <c r="K444" s="25"/>
    </row>
    <row r="445" s="5" customFormat="1" ht="16.5" spans="1:11">
      <c r="A445" s="22"/>
      <c r="B445" s="23"/>
      <c r="C445" s="24"/>
      <c r="D445" s="24"/>
      <c r="E445" s="24"/>
      <c r="F445" s="24"/>
      <c r="G445" s="24"/>
      <c r="H445" s="24"/>
      <c r="I445" s="24"/>
      <c r="J445" s="24"/>
      <c r="K445" s="25"/>
    </row>
    <row r="446" s="5" customFormat="1" ht="16.5" spans="1:11">
      <c r="A446" s="22"/>
      <c r="B446" s="23"/>
      <c r="C446" s="24"/>
      <c r="D446" s="24"/>
      <c r="E446" s="24"/>
      <c r="F446" s="24"/>
      <c r="G446" s="24"/>
      <c r="H446" s="24"/>
      <c r="I446" s="24"/>
      <c r="J446" s="24"/>
      <c r="K446" s="25"/>
    </row>
    <row r="447" s="5" customFormat="1" ht="16.5" spans="1:11">
      <c r="A447" s="22"/>
      <c r="B447" s="23"/>
      <c r="C447" s="24"/>
      <c r="D447" s="24"/>
      <c r="E447" s="24"/>
      <c r="F447" s="24"/>
      <c r="G447" s="24"/>
      <c r="H447" s="24"/>
      <c r="I447" s="24"/>
      <c r="J447" s="24"/>
      <c r="K447" s="25"/>
    </row>
    <row r="448" s="5" customFormat="1" ht="16.5" spans="1:11">
      <c r="A448" s="22"/>
      <c r="B448" s="23"/>
      <c r="C448" s="24"/>
      <c r="D448" s="24"/>
      <c r="E448" s="24"/>
      <c r="F448" s="24"/>
      <c r="G448" s="24"/>
      <c r="H448" s="24"/>
      <c r="I448" s="24"/>
      <c r="J448" s="24"/>
      <c r="K448" s="25"/>
    </row>
    <row r="449" s="5" customFormat="1" ht="16.5" spans="1:11">
      <c r="A449" s="22"/>
      <c r="B449" s="23"/>
      <c r="C449" s="24"/>
      <c r="D449" s="24"/>
      <c r="E449" s="24"/>
      <c r="F449" s="24"/>
      <c r="G449" s="24"/>
      <c r="H449" s="24"/>
      <c r="I449" s="24"/>
      <c r="J449" s="24"/>
      <c r="K449" s="25"/>
    </row>
    <row r="450" s="5" customFormat="1" ht="16.5" spans="1:11">
      <c r="A450" s="22"/>
      <c r="B450" s="23"/>
      <c r="C450" s="24"/>
      <c r="D450" s="24"/>
      <c r="E450" s="24"/>
      <c r="F450" s="24"/>
      <c r="G450" s="24"/>
      <c r="H450" s="24"/>
      <c r="I450" s="24"/>
      <c r="J450" s="24"/>
      <c r="K450" s="25"/>
    </row>
    <row r="451" s="5" customFormat="1" ht="16.5" spans="1:11">
      <c r="A451" s="22"/>
      <c r="B451" s="23"/>
      <c r="C451" s="24"/>
      <c r="D451" s="24"/>
      <c r="E451" s="24"/>
      <c r="F451" s="24"/>
      <c r="G451" s="24"/>
      <c r="H451" s="24"/>
      <c r="I451" s="24"/>
      <c r="J451" s="24"/>
      <c r="K451" s="25"/>
    </row>
    <row r="452" s="5" customFormat="1" ht="16.5" spans="1:11">
      <c r="A452" s="22"/>
      <c r="B452" s="23"/>
      <c r="C452" s="24"/>
      <c r="D452" s="24"/>
      <c r="E452" s="24"/>
      <c r="F452" s="24"/>
      <c r="G452" s="24"/>
      <c r="H452" s="24"/>
      <c r="I452" s="24"/>
      <c r="J452" s="24"/>
      <c r="K452" s="25"/>
    </row>
    <row r="453" s="5" customFormat="1" ht="16.5" spans="1:11">
      <c r="A453" s="22"/>
      <c r="B453" s="23"/>
      <c r="C453" s="24"/>
      <c r="D453" s="24"/>
      <c r="E453" s="24"/>
      <c r="F453" s="24"/>
      <c r="G453" s="24"/>
      <c r="H453" s="24"/>
      <c r="I453" s="24"/>
      <c r="J453" s="24"/>
      <c r="K453" s="25"/>
    </row>
    <row r="454" s="5" customFormat="1" ht="16.5" spans="1:11">
      <c r="A454" s="22"/>
      <c r="B454" s="23"/>
      <c r="C454" s="24"/>
      <c r="D454" s="24"/>
      <c r="E454" s="24"/>
      <c r="F454" s="24"/>
      <c r="G454" s="24"/>
      <c r="H454" s="24"/>
      <c r="I454" s="24"/>
      <c r="J454" s="24"/>
      <c r="K454" s="25"/>
    </row>
    <row r="455" s="5" customFormat="1" ht="16.5" spans="1:11">
      <c r="A455" s="22"/>
      <c r="B455" s="23"/>
      <c r="C455" s="24"/>
      <c r="D455" s="24"/>
      <c r="E455" s="24"/>
      <c r="F455" s="24"/>
      <c r="G455" s="24"/>
      <c r="H455" s="24"/>
      <c r="I455" s="24"/>
      <c r="J455" s="24"/>
      <c r="K455" s="25"/>
    </row>
    <row r="456" s="5" customFormat="1" ht="16.5" spans="1:11">
      <c r="A456" s="22"/>
      <c r="B456" s="23"/>
      <c r="C456" s="24"/>
      <c r="D456" s="24"/>
      <c r="E456" s="24"/>
      <c r="F456" s="24"/>
      <c r="G456" s="24"/>
      <c r="H456" s="24"/>
      <c r="I456" s="24"/>
      <c r="J456" s="24"/>
      <c r="K456" s="25"/>
    </row>
    <row r="457" s="5" customFormat="1" ht="16.5" spans="1:11">
      <c r="A457" s="22"/>
      <c r="B457" s="23"/>
      <c r="C457" s="24"/>
      <c r="D457" s="24"/>
      <c r="E457" s="24"/>
      <c r="F457" s="24"/>
      <c r="G457" s="24"/>
      <c r="H457" s="24"/>
      <c r="I457" s="24"/>
      <c r="J457" s="24"/>
      <c r="K457" s="25"/>
    </row>
    <row r="458" s="5" customFormat="1" ht="16.5" spans="1:11">
      <c r="A458" s="22"/>
      <c r="B458" s="23"/>
      <c r="C458" s="24"/>
      <c r="D458" s="24"/>
      <c r="E458" s="24"/>
      <c r="F458" s="24"/>
      <c r="G458" s="24"/>
      <c r="H458" s="24"/>
      <c r="I458" s="24"/>
      <c r="J458" s="24"/>
      <c r="K458" s="25"/>
    </row>
    <row r="459" s="5" customFormat="1" ht="16.5" spans="1:11">
      <c r="A459" s="22"/>
      <c r="B459" s="23"/>
      <c r="C459" s="24"/>
      <c r="D459" s="24"/>
      <c r="E459" s="24"/>
      <c r="F459" s="24"/>
      <c r="G459" s="24"/>
      <c r="H459" s="24"/>
      <c r="I459" s="24"/>
      <c r="J459" s="24"/>
      <c r="K459" s="25"/>
    </row>
    <row r="460" s="5" customFormat="1" ht="16.5" spans="1:11">
      <c r="A460" s="22"/>
      <c r="B460" s="23"/>
      <c r="C460" s="24"/>
      <c r="D460" s="24"/>
      <c r="E460" s="24"/>
      <c r="F460" s="24"/>
      <c r="G460" s="24"/>
      <c r="H460" s="24"/>
      <c r="I460" s="24"/>
      <c r="J460" s="24"/>
      <c r="K460" s="25"/>
    </row>
    <row r="461" s="5" customFormat="1" ht="16.5" spans="1:11">
      <c r="A461" s="22"/>
      <c r="B461" s="23"/>
      <c r="C461" s="24"/>
      <c r="D461" s="24"/>
      <c r="E461" s="24"/>
      <c r="F461" s="24"/>
      <c r="G461" s="24"/>
      <c r="H461" s="24"/>
      <c r="I461" s="24"/>
      <c r="J461" s="24"/>
      <c r="K461" s="25"/>
    </row>
    <row r="462" s="5" customFormat="1" ht="16.5" spans="1:11">
      <c r="A462" s="22"/>
      <c r="B462" s="23"/>
      <c r="C462" s="24"/>
      <c r="D462" s="24"/>
      <c r="E462" s="24"/>
      <c r="F462" s="24"/>
      <c r="G462" s="24"/>
      <c r="H462" s="24"/>
      <c r="I462" s="24"/>
      <c r="J462" s="24"/>
      <c r="K462" s="25"/>
    </row>
    <row r="463" s="5" customFormat="1" ht="16.5" spans="1:11">
      <c r="A463" s="22"/>
      <c r="B463" s="23"/>
      <c r="C463" s="24"/>
      <c r="D463" s="24"/>
      <c r="E463" s="24"/>
      <c r="F463" s="24"/>
      <c r="G463" s="24"/>
      <c r="H463" s="24"/>
      <c r="I463" s="24"/>
      <c r="J463" s="24"/>
      <c r="K463" s="25"/>
    </row>
    <row r="464" s="5" customFormat="1" ht="16.5" spans="1:11">
      <c r="A464" s="22"/>
      <c r="B464" s="23"/>
      <c r="C464" s="24"/>
      <c r="D464" s="24"/>
      <c r="E464" s="24"/>
      <c r="F464" s="24"/>
      <c r="G464" s="24"/>
      <c r="H464" s="24"/>
      <c r="I464" s="24"/>
      <c r="J464" s="24"/>
      <c r="K464" s="25"/>
    </row>
    <row r="465" s="5" customFormat="1" ht="16.5" spans="1:11">
      <c r="A465" s="22"/>
      <c r="B465" s="23"/>
      <c r="C465" s="24"/>
      <c r="D465" s="24"/>
      <c r="E465" s="24"/>
      <c r="F465" s="24"/>
      <c r="G465" s="24"/>
      <c r="H465" s="24"/>
      <c r="I465" s="24"/>
      <c r="J465" s="24"/>
      <c r="K465" s="25"/>
    </row>
    <row r="466" s="5" customFormat="1" ht="16.5" spans="1:11">
      <c r="A466" s="22"/>
      <c r="B466" s="23"/>
      <c r="C466" s="24"/>
      <c r="D466" s="24"/>
      <c r="E466" s="24"/>
      <c r="F466" s="24"/>
      <c r="G466" s="24"/>
      <c r="H466" s="24"/>
      <c r="I466" s="24"/>
      <c r="J466" s="24"/>
      <c r="K466" s="25"/>
    </row>
    <row r="467" s="5" customFormat="1" ht="16.5" spans="1:11">
      <c r="A467" s="22"/>
      <c r="B467" s="23"/>
      <c r="C467" s="24"/>
      <c r="D467" s="24"/>
      <c r="E467" s="24"/>
      <c r="F467" s="24"/>
      <c r="G467" s="24"/>
      <c r="H467" s="24"/>
      <c r="I467" s="24"/>
      <c r="J467" s="24"/>
      <c r="K467" s="25"/>
    </row>
    <row r="468" s="5" customFormat="1" ht="16.5" spans="1:11">
      <c r="A468" s="22"/>
      <c r="B468" s="23"/>
      <c r="C468" s="24"/>
      <c r="D468" s="24"/>
      <c r="E468" s="24"/>
      <c r="F468" s="24"/>
      <c r="G468" s="24"/>
      <c r="H468" s="24"/>
      <c r="I468" s="24"/>
      <c r="J468" s="24"/>
      <c r="K468" s="25"/>
    </row>
    <row r="469" s="5" customFormat="1" ht="16.5" spans="1:11">
      <c r="A469" s="22"/>
      <c r="B469" s="23"/>
      <c r="C469" s="24"/>
      <c r="D469" s="24"/>
      <c r="E469" s="24"/>
      <c r="F469" s="24"/>
      <c r="G469" s="24"/>
      <c r="H469" s="24"/>
      <c r="I469" s="24"/>
      <c r="J469" s="24"/>
      <c r="K469" s="25"/>
    </row>
    <row r="470" s="5" customFormat="1" ht="16.5" spans="1:11">
      <c r="A470" s="22"/>
      <c r="B470" s="23"/>
      <c r="C470" s="24"/>
      <c r="D470" s="24"/>
      <c r="E470" s="24"/>
      <c r="F470" s="24"/>
      <c r="G470" s="24"/>
      <c r="H470" s="24"/>
      <c r="I470" s="24"/>
      <c r="J470" s="24"/>
      <c r="K470" s="25"/>
    </row>
    <row r="471" s="5" customFormat="1" ht="16.5" spans="1:11">
      <c r="A471" s="22"/>
      <c r="B471" s="23"/>
      <c r="C471" s="24"/>
      <c r="D471" s="24"/>
      <c r="E471" s="24"/>
      <c r="F471" s="24"/>
      <c r="G471" s="24"/>
      <c r="H471" s="24"/>
      <c r="I471" s="24"/>
      <c r="J471" s="24"/>
      <c r="K471" s="25"/>
    </row>
    <row r="472" s="5" customFormat="1" ht="16.5" spans="1:11">
      <c r="A472" s="22"/>
      <c r="B472" s="23"/>
      <c r="C472" s="24"/>
      <c r="D472" s="24"/>
      <c r="E472" s="24"/>
      <c r="F472" s="24"/>
      <c r="G472" s="24"/>
      <c r="H472" s="24"/>
      <c r="I472" s="24"/>
      <c r="J472" s="24"/>
      <c r="K472" s="25"/>
    </row>
    <row r="473" s="5" customFormat="1" ht="16.5" spans="1:11">
      <c r="A473" s="22"/>
      <c r="B473" s="23"/>
      <c r="C473" s="24"/>
      <c r="D473" s="24"/>
      <c r="E473" s="24"/>
      <c r="F473" s="24"/>
      <c r="G473" s="24"/>
      <c r="H473" s="24"/>
      <c r="I473" s="24"/>
      <c r="J473" s="24"/>
      <c r="K473" s="25"/>
    </row>
    <row r="474" s="5" customFormat="1" ht="16.5" spans="1:11">
      <c r="A474" s="22"/>
      <c r="B474" s="23"/>
      <c r="C474" s="24"/>
      <c r="D474" s="24"/>
      <c r="E474" s="24"/>
      <c r="F474" s="24"/>
      <c r="G474" s="24"/>
      <c r="H474" s="24"/>
      <c r="I474" s="24"/>
      <c r="J474" s="24"/>
      <c r="K474" s="25"/>
    </row>
    <row r="475" s="5" customFormat="1" ht="16.5" spans="1:11">
      <c r="A475" s="22"/>
      <c r="B475" s="23"/>
      <c r="C475" s="24"/>
      <c r="D475" s="24"/>
      <c r="E475" s="24"/>
      <c r="F475" s="24"/>
      <c r="G475" s="24"/>
      <c r="H475" s="24"/>
      <c r="I475" s="24"/>
      <c r="J475" s="24"/>
      <c r="K475" s="25"/>
    </row>
    <row r="476" s="5" customFormat="1" ht="16.5" spans="1:11">
      <c r="A476" s="22"/>
      <c r="B476" s="23"/>
      <c r="C476" s="24"/>
      <c r="D476" s="24"/>
      <c r="E476" s="24"/>
      <c r="F476" s="24"/>
      <c r="G476" s="24"/>
      <c r="H476" s="24"/>
      <c r="I476" s="24"/>
      <c r="J476" s="24"/>
      <c r="K476" s="25"/>
    </row>
    <row r="477" s="5" customFormat="1" ht="16.5" spans="1:11">
      <c r="A477" s="22"/>
      <c r="B477" s="23"/>
      <c r="C477" s="24"/>
      <c r="D477" s="24"/>
      <c r="E477" s="24"/>
      <c r="F477" s="24"/>
      <c r="G477" s="24"/>
      <c r="H477" s="24"/>
      <c r="I477" s="24"/>
      <c r="J477" s="24"/>
      <c r="K477" s="25"/>
    </row>
    <row r="478" s="5" customFormat="1" ht="16.5" spans="1:11">
      <c r="A478" s="22"/>
      <c r="B478" s="23"/>
      <c r="C478" s="24"/>
      <c r="D478" s="24"/>
      <c r="E478" s="24"/>
      <c r="F478" s="24"/>
      <c r="G478" s="24"/>
      <c r="H478" s="24"/>
      <c r="I478" s="24"/>
      <c r="J478" s="24"/>
      <c r="K478" s="25"/>
    </row>
    <row r="479" s="5" customFormat="1" ht="16.5" spans="1:11">
      <c r="A479" s="22"/>
      <c r="B479" s="23"/>
      <c r="C479" s="24"/>
      <c r="D479" s="24"/>
      <c r="E479" s="24"/>
      <c r="F479" s="24"/>
      <c r="G479" s="24"/>
      <c r="H479" s="24"/>
      <c r="I479" s="24"/>
      <c r="J479" s="24"/>
      <c r="K479" s="25"/>
    </row>
    <row r="480" s="5" customFormat="1" ht="16.5" spans="1:11">
      <c r="A480" s="22"/>
      <c r="B480" s="23"/>
      <c r="C480" s="24"/>
      <c r="D480" s="24"/>
      <c r="E480" s="24"/>
      <c r="F480" s="24"/>
      <c r="G480" s="24"/>
      <c r="H480" s="24"/>
      <c r="I480" s="24"/>
      <c r="J480" s="24"/>
      <c r="K480" s="25"/>
    </row>
    <row r="481" s="5" customFormat="1" ht="16.5" spans="1:11">
      <c r="A481" s="22"/>
      <c r="B481" s="23"/>
      <c r="C481" s="24"/>
      <c r="D481" s="24"/>
      <c r="E481" s="24"/>
      <c r="F481" s="24"/>
      <c r="G481" s="24"/>
      <c r="H481" s="24"/>
      <c r="I481" s="24"/>
      <c r="J481" s="24"/>
      <c r="K481" s="25"/>
    </row>
    <row r="482" s="5" customFormat="1" ht="16.5" spans="1:11">
      <c r="A482" s="22"/>
      <c r="B482" s="23"/>
      <c r="C482" s="24"/>
      <c r="D482" s="24"/>
      <c r="E482" s="24"/>
      <c r="F482" s="24"/>
      <c r="G482" s="24"/>
      <c r="H482" s="24"/>
      <c r="I482" s="24"/>
      <c r="J482" s="24"/>
      <c r="K482" s="25"/>
    </row>
    <row r="483" s="5" customFormat="1" ht="16.5" spans="1:11">
      <c r="A483" s="22"/>
      <c r="B483" s="23"/>
      <c r="C483" s="24"/>
      <c r="D483" s="24"/>
      <c r="E483" s="24"/>
      <c r="F483" s="24"/>
      <c r="G483" s="24"/>
      <c r="H483" s="24"/>
      <c r="I483" s="24"/>
      <c r="J483" s="24"/>
      <c r="K483" s="25"/>
    </row>
    <row r="484" s="5" customFormat="1" ht="16.5" spans="1:11">
      <c r="A484" s="22"/>
      <c r="B484" s="23"/>
      <c r="C484" s="24"/>
      <c r="D484" s="24"/>
      <c r="E484" s="24"/>
      <c r="F484" s="24"/>
      <c r="G484" s="24"/>
      <c r="H484" s="24"/>
      <c r="I484" s="24"/>
      <c r="J484" s="24"/>
      <c r="K484" s="25"/>
    </row>
    <row r="485" s="5" customFormat="1" ht="16.5" spans="1:11">
      <c r="A485" s="22"/>
      <c r="B485" s="23"/>
      <c r="C485" s="24"/>
      <c r="D485" s="24"/>
      <c r="E485" s="24"/>
      <c r="F485" s="24"/>
      <c r="G485" s="24"/>
      <c r="H485" s="24"/>
      <c r="I485" s="24"/>
      <c r="J485" s="24"/>
      <c r="K485" s="25"/>
    </row>
    <row r="486" s="5" customFormat="1" ht="16.5" spans="1:11">
      <c r="A486" s="22"/>
      <c r="B486" s="23"/>
      <c r="C486" s="24"/>
      <c r="D486" s="24"/>
      <c r="E486" s="24"/>
      <c r="F486" s="24"/>
      <c r="G486" s="24"/>
      <c r="H486" s="24"/>
      <c r="I486" s="24"/>
      <c r="J486" s="24"/>
      <c r="K486" s="25"/>
    </row>
    <row r="487" s="5" customFormat="1" ht="16.5" spans="1:11">
      <c r="A487" s="22"/>
      <c r="B487" s="23"/>
      <c r="C487" s="24"/>
      <c r="D487" s="24"/>
      <c r="E487" s="24"/>
      <c r="F487" s="24"/>
      <c r="G487" s="24"/>
      <c r="H487" s="24"/>
      <c r="I487" s="24"/>
      <c r="J487" s="24"/>
      <c r="K487" s="25"/>
    </row>
    <row r="488" s="5" customFormat="1" ht="16.5" spans="1:11">
      <c r="A488" s="22"/>
      <c r="B488" s="23"/>
      <c r="C488" s="24"/>
      <c r="D488" s="24"/>
      <c r="E488" s="24"/>
      <c r="F488" s="24"/>
      <c r="G488" s="24"/>
      <c r="H488" s="24"/>
      <c r="I488" s="24"/>
      <c r="J488" s="24"/>
      <c r="K488" s="25"/>
    </row>
    <row r="489" s="5" customFormat="1" ht="16.5" spans="1:11">
      <c r="A489" s="22"/>
      <c r="B489" s="23"/>
      <c r="C489" s="24"/>
      <c r="D489" s="24"/>
      <c r="E489" s="24"/>
      <c r="F489" s="24"/>
      <c r="G489" s="24"/>
      <c r="H489" s="24"/>
      <c r="I489" s="24"/>
      <c r="J489" s="24"/>
      <c r="K489" s="25"/>
    </row>
    <row r="490" s="5" customFormat="1" ht="16.5" spans="1:11">
      <c r="A490" s="22"/>
      <c r="B490" s="23"/>
      <c r="C490" s="24"/>
      <c r="D490" s="24"/>
      <c r="E490" s="24"/>
      <c r="F490" s="24"/>
      <c r="G490" s="24"/>
      <c r="H490" s="24"/>
      <c r="I490" s="24"/>
      <c r="J490" s="24"/>
      <c r="K490" s="25"/>
    </row>
    <row r="491" s="5" customFormat="1" ht="16.5" spans="1:11">
      <c r="A491" s="22"/>
      <c r="B491" s="23"/>
      <c r="C491" s="24"/>
      <c r="D491" s="24"/>
      <c r="E491" s="24"/>
      <c r="F491" s="24"/>
      <c r="G491" s="24"/>
      <c r="H491" s="24"/>
      <c r="I491" s="24"/>
      <c r="J491" s="24"/>
      <c r="K491" s="25"/>
    </row>
    <row r="492" s="5" customFormat="1" ht="16.5" spans="1:11">
      <c r="A492" s="22"/>
      <c r="B492" s="23"/>
      <c r="C492" s="24"/>
      <c r="D492" s="24"/>
      <c r="E492" s="24"/>
      <c r="F492" s="24"/>
      <c r="G492" s="24"/>
      <c r="H492" s="24"/>
      <c r="I492" s="24"/>
      <c r="J492" s="24"/>
      <c r="K492" s="25"/>
    </row>
    <row r="493" s="5" customFormat="1" ht="16.5" spans="1:11">
      <c r="A493" s="22"/>
      <c r="B493" s="23"/>
      <c r="C493" s="24"/>
      <c r="D493" s="24"/>
      <c r="E493" s="24"/>
      <c r="F493" s="24"/>
      <c r="G493" s="24"/>
      <c r="H493" s="24"/>
      <c r="I493" s="24"/>
      <c r="J493" s="24"/>
      <c r="K493" s="25"/>
    </row>
    <row r="494" s="5" customFormat="1" ht="16.5" spans="1:11">
      <c r="A494" s="22"/>
      <c r="B494" s="23"/>
      <c r="C494" s="24"/>
      <c r="D494" s="24"/>
      <c r="E494" s="24"/>
      <c r="F494" s="24"/>
      <c r="G494" s="24"/>
      <c r="H494" s="24"/>
      <c r="I494" s="24"/>
      <c r="J494" s="24"/>
      <c r="K494" s="25"/>
    </row>
    <row r="495" s="5" customFormat="1" ht="16.5" spans="1:11">
      <c r="A495" s="22"/>
      <c r="B495" s="23"/>
      <c r="C495" s="24"/>
      <c r="D495" s="24"/>
      <c r="E495" s="24"/>
      <c r="F495" s="24"/>
      <c r="G495" s="24"/>
      <c r="H495" s="24"/>
      <c r="I495" s="24"/>
      <c r="J495" s="24"/>
      <c r="K495" s="25"/>
    </row>
    <row r="496" s="5" customFormat="1" ht="16.5" spans="1:11">
      <c r="A496" s="22"/>
      <c r="B496" s="23"/>
      <c r="C496" s="24"/>
      <c r="D496" s="24"/>
      <c r="E496" s="24"/>
      <c r="F496" s="24"/>
      <c r="G496" s="24"/>
      <c r="H496" s="24"/>
      <c r="I496" s="24"/>
      <c r="J496" s="24"/>
      <c r="K496" s="25"/>
    </row>
    <row r="497" s="5" customFormat="1" ht="16.5" spans="1:11">
      <c r="A497" s="22"/>
      <c r="B497" s="23"/>
      <c r="C497" s="24"/>
      <c r="D497" s="24"/>
      <c r="E497" s="24"/>
      <c r="F497" s="24"/>
      <c r="G497" s="24"/>
      <c r="H497" s="24"/>
      <c r="I497" s="24"/>
      <c r="J497" s="24"/>
      <c r="K497" s="25"/>
    </row>
    <row r="498" s="5" customFormat="1" ht="16.5" spans="1:11">
      <c r="A498" s="22"/>
      <c r="B498" s="23"/>
      <c r="C498" s="24"/>
      <c r="D498" s="24"/>
      <c r="E498" s="24"/>
      <c r="F498" s="24"/>
      <c r="G498" s="24"/>
      <c r="H498" s="24"/>
      <c r="I498" s="24"/>
      <c r="J498" s="24"/>
      <c r="K498" s="25"/>
    </row>
    <row r="499" s="5" customFormat="1" ht="16.5" spans="1:11">
      <c r="A499" s="22"/>
      <c r="B499" s="23"/>
      <c r="C499" s="24"/>
      <c r="D499" s="24"/>
      <c r="E499" s="24"/>
      <c r="F499" s="24"/>
      <c r="G499" s="24"/>
      <c r="H499" s="24"/>
      <c r="I499" s="24"/>
      <c r="J499" s="24"/>
      <c r="K499" s="25"/>
    </row>
    <row r="500" s="5" customFormat="1" ht="16.5" spans="1:11">
      <c r="A500" s="22"/>
      <c r="B500" s="23"/>
      <c r="C500" s="24"/>
      <c r="D500" s="24"/>
      <c r="E500" s="24"/>
      <c r="F500" s="24"/>
      <c r="G500" s="24"/>
      <c r="H500" s="24"/>
      <c r="I500" s="24"/>
      <c r="J500" s="24"/>
      <c r="K500" s="25"/>
    </row>
    <row r="501" s="5" customFormat="1" ht="16.5" spans="1:11">
      <c r="A501" s="22"/>
      <c r="B501" s="23"/>
      <c r="C501" s="24"/>
      <c r="D501" s="24"/>
      <c r="E501" s="24"/>
      <c r="F501" s="24"/>
      <c r="G501" s="24"/>
      <c r="H501" s="24"/>
      <c r="I501" s="24"/>
      <c r="J501" s="24"/>
      <c r="K501" s="25"/>
    </row>
    <row r="502" s="5" customFormat="1" ht="16.5" spans="1:11">
      <c r="A502" s="22"/>
      <c r="B502" s="23"/>
      <c r="C502" s="24"/>
      <c r="D502" s="24"/>
      <c r="E502" s="24"/>
      <c r="F502" s="24"/>
      <c r="G502" s="24"/>
      <c r="H502" s="24"/>
      <c r="I502" s="24"/>
      <c r="J502" s="24"/>
      <c r="K502" s="25"/>
    </row>
    <row r="503" s="5" customFormat="1" ht="16.5" spans="1:11">
      <c r="A503" s="22"/>
      <c r="B503" s="23"/>
      <c r="C503" s="24"/>
      <c r="D503" s="24"/>
      <c r="E503" s="24"/>
      <c r="F503" s="24"/>
      <c r="G503" s="24"/>
      <c r="H503" s="24"/>
      <c r="I503" s="24"/>
      <c r="J503" s="24"/>
      <c r="K503" s="25"/>
    </row>
  </sheetData>
  <autoFilter xmlns:etc="http://www.wps.cn/officeDocument/2017/etCustomData" ref="A3:K5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K4984"/>
  <sheetViews>
    <sheetView showGridLines="0" workbookViewId="0">
      <pane ySplit="3" topLeftCell="A242" activePane="bottomLeft" state="frozen"/>
      <selection/>
      <selection pane="bottomLeft" activeCell="F250" sqref="F250"/>
    </sheetView>
  </sheetViews>
  <sheetFormatPr defaultColWidth="9" defaultRowHeight="13.5"/>
  <cols>
    <col min="1" max="1" width="8.43333333333333" customWidth="1"/>
    <col min="2" max="2" width="12" style="6" customWidth="1"/>
    <col min="3" max="3" width="12.4166666666667" style="7" customWidth="1"/>
    <col min="4" max="4" width="14" style="8" customWidth="1"/>
    <col min="5" max="5" width="28.15" style="7" customWidth="1"/>
    <col min="6" max="6" width="18" style="8" customWidth="1"/>
    <col min="7" max="7" width="12" style="7" customWidth="1"/>
    <col min="8" max="8" width="14.2083333333333" style="7" customWidth="1"/>
    <col min="9" max="9" width="16" style="7" customWidth="1"/>
    <col min="10" max="10" width="12" style="8" customWidth="1"/>
    <col min="11" max="11" width="7.375" style="9" customWidth="1"/>
    <col min="12" max="16373" width="10" style="5" customWidth="1"/>
    <col min="16374" max="16374" width="10" style="5"/>
    <col min="16375" max="16378" width="9" style="5"/>
    <col min="16379" max="16379" width="10" style="5"/>
    <col min="16380" max="16384" width="9" style="5"/>
  </cols>
  <sheetData>
    <row r="1" s="5" customFormat="1" ht="28" customHeight="1" spans="1:11">
      <c r="A1" s="10" t="s">
        <v>300</v>
      </c>
      <c r="B1" s="11"/>
      <c r="C1" s="12"/>
      <c r="D1" s="12"/>
      <c r="E1" s="12"/>
      <c r="F1" s="12"/>
      <c r="G1" s="12"/>
      <c r="H1" s="12"/>
      <c r="I1" s="12"/>
      <c r="J1" s="12"/>
      <c r="K1" s="13"/>
    </row>
    <row r="2" s="5" customFormat="1" ht="24" customHeight="1" spans="1:11">
      <c r="A2" s="14" t="s">
        <v>295</v>
      </c>
      <c r="B2" s="15" t="s">
        <v>49</v>
      </c>
      <c r="C2" s="16" t="s">
        <v>100</v>
      </c>
      <c r="D2" s="17">
        <f>IFERROR(VLOOKUP($B$2,数据录入!$C$5:$H$18,6,0),0)</f>
        <v>0</v>
      </c>
      <c r="E2" s="16" t="s">
        <v>296</v>
      </c>
      <c r="F2" s="17">
        <f>SUMIFS(数据录入!$F$19:$F$10000,数据录入!$C$19:$C$10000,$B$2)</f>
        <v>2183801.56</v>
      </c>
      <c r="G2" s="16" t="s">
        <v>297</v>
      </c>
      <c r="H2" s="17">
        <f>SUMIFS(数据录入!$G$19:$G$10000,数据录入!$C$19:$C$10000,$B$2)</f>
        <v>2102589.74</v>
      </c>
      <c r="I2" s="16" t="s">
        <v>298</v>
      </c>
      <c r="J2" s="17">
        <f>D2+F2-H2</f>
        <v>81211.8199999975</v>
      </c>
      <c r="K2" s="18"/>
    </row>
    <row r="3" s="5" customFormat="1" ht="24" customHeight="1" spans="1:11">
      <c r="A3" s="19" t="s">
        <v>92</v>
      </c>
      <c r="B3" s="19" t="s">
        <v>93</v>
      </c>
      <c r="C3" s="19" t="s">
        <v>94</v>
      </c>
      <c r="D3" s="19" t="s">
        <v>38</v>
      </c>
      <c r="E3" s="19" t="s">
        <v>95</v>
      </c>
      <c r="F3" s="19" t="s">
        <v>96</v>
      </c>
      <c r="G3" s="19" t="s">
        <v>97</v>
      </c>
      <c r="H3" s="19" t="s">
        <v>91</v>
      </c>
      <c r="I3" s="20" t="s">
        <v>39</v>
      </c>
      <c r="J3" s="20" t="s">
        <v>41</v>
      </c>
      <c r="K3" s="21" t="s">
        <v>98</v>
      </c>
    </row>
    <row r="4" s="5" customFormat="1" ht="20" customHeight="1" spans="1:11">
      <c r="A4" s="22" cm="1">
        <f t="array" ref="A4:K4984">_xlfn._xlws.FILTER(数据录入!$A$15:$K$10000,数据录入!$C$15:$C$10000=$B$2)</f>
        <v>15</v>
      </c>
      <c r="B4" s="23">
        <v>46127</v>
      </c>
      <c r="C4" s="24" t="str">
        <v>趣点购浦发</v>
      </c>
      <c r="D4" s="24">
        <v>0</v>
      </c>
      <c r="E4" s="24" t="str">
        <v>银行变更资料</v>
      </c>
      <c r="F4" s="24">
        <v>200</v>
      </c>
      <c r="G4" s="24">
        <v>0</v>
      </c>
      <c r="H4" s="24">
        <v>200</v>
      </c>
      <c r="I4" s="24">
        <v>0</v>
      </c>
      <c r="J4" s="24">
        <v>0</v>
      </c>
      <c r="K4" s="25">
        <v>202604</v>
      </c>
    </row>
    <row r="5" s="5" customFormat="1" ht="20" customHeight="1" spans="1:11">
      <c r="A5" s="22">
        <v>16</v>
      </c>
      <c r="B5" s="23">
        <v>46127</v>
      </c>
      <c r="C5" s="24" t="str">
        <v>趣点购浦发</v>
      </c>
      <c r="D5" s="24" t="str">
        <v>银行手续费</v>
      </c>
      <c r="E5" s="24" t="str">
        <v>公司手机银行服务年费</v>
      </c>
      <c r="F5" s="24">
        <v>0</v>
      </c>
      <c r="G5" s="24">
        <v>43.12</v>
      </c>
      <c r="H5" s="24">
        <v>156.88</v>
      </c>
      <c r="I5" s="24">
        <v>0</v>
      </c>
      <c r="J5" s="24">
        <v>0</v>
      </c>
      <c r="K5" s="25">
        <v>202604</v>
      </c>
    </row>
    <row r="6" s="5" customFormat="1" ht="20" customHeight="1" spans="1:11">
      <c r="A6" s="22">
        <v>17</v>
      </c>
      <c r="B6" s="23">
        <v>46127</v>
      </c>
      <c r="C6" s="24" t="str">
        <v>趣点购浦发</v>
      </c>
      <c r="D6" s="24" t="str">
        <v>银行手续费</v>
      </c>
      <c r="E6" s="24" t="str">
        <v>帐户信息变更</v>
      </c>
      <c r="F6" s="24">
        <v>0</v>
      </c>
      <c r="G6" s="24">
        <v>16</v>
      </c>
      <c r="H6" s="24">
        <v>140.88</v>
      </c>
      <c r="I6" s="24">
        <v>0</v>
      </c>
      <c r="J6" s="24">
        <v>0</v>
      </c>
      <c r="K6" s="25">
        <v>202604</v>
      </c>
    </row>
    <row r="7" s="5" customFormat="1" ht="20" customHeight="1" spans="1:11">
      <c r="A7" s="22">
        <v>18</v>
      </c>
      <c r="B7" s="23">
        <v>46127</v>
      </c>
      <c r="C7" s="24" t="str">
        <v>趣点购浦发</v>
      </c>
      <c r="D7" s="24" t="str">
        <v>银行手续费</v>
      </c>
      <c r="E7" s="24" t="str">
        <v>印鉴变更</v>
      </c>
      <c r="F7" s="24">
        <v>0</v>
      </c>
      <c r="G7" s="24">
        <v>10</v>
      </c>
      <c r="H7" s="24">
        <v>130.88</v>
      </c>
      <c r="I7" s="24">
        <v>0</v>
      </c>
      <c r="J7" s="24">
        <v>0</v>
      </c>
      <c r="K7" s="25">
        <v>202604</v>
      </c>
    </row>
    <row r="8" s="5" customFormat="1" ht="20" customHeight="1" spans="1:11">
      <c r="A8" s="22">
        <v>19</v>
      </c>
      <c r="B8" s="23">
        <v>46128</v>
      </c>
      <c r="C8" s="24" t="str">
        <v>趣点购浦发</v>
      </c>
      <c r="D8" s="24" t="str">
        <v>银行手续费</v>
      </c>
      <c r="E8" s="24" t="str">
        <v>公司网银服务年费,公司手机银行服务年费,公司网银数字证书(2张)</v>
      </c>
      <c r="F8" s="24">
        <v>0</v>
      </c>
      <c r="G8" s="24">
        <v>130.88</v>
      </c>
      <c r="H8" s="24">
        <v>0</v>
      </c>
      <c r="I8" s="24">
        <v>0</v>
      </c>
      <c r="J8" s="24">
        <v>0</v>
      </c>
      <c r="K8" s="25">
        <v>202604</v>
      </c>
    </row>
    <row r="9" s="5" customFormat="1" ht="20" customHeight="1" spans="1:11">
      <c r="A9" s="22">
        <v>20</v>
      </c>
      <c r="B9" s="23">
        <v>46129</v>
      </c>
      <c r="C9" s="24" t="str">
        <v>趣点购浦发</v>
      </c>
      <c r="D9" s="24">
        <v>0</v>
      </c>
      <c r="E9" s="24" t="str">
        <v>入股金</v>
      </c>
      <c r="F9" s="24">
        <v>10000</v>
      </c>
      <c r="G9" s="24">
        <v>0</v>
      </c>
      <c r="H9" s="24">
        <v>10000</v>
      </c>
      <c r="I9" s="24">
        <v>0</v>
      </c>
      <c r="J9" s="24">
        <v>0</v>
      </c>
      <c r="K9" s="25">
        <v>202604</v>
      </c>
    </row>
    <row r="10" s="5" customFormat="1" ht="20" customHeight="1" spans="1:11">
      <c r="A10" s="22">
        <v>21</v>
      </c>
      <c r="B10" s="23">
        <v>46129</v>
      </c>
      <c r="C10" s="24" t="str">
        <v>趣点购浦发</v>
      </c>
      <c r="D10" s="24" t="str">
        <v>银行手续费</v>
      </c>
      <c r="E10" s="24" t="str">
        <v>公司网银数字证书(2张)</v>
      </c>
      <c r="F10" s="24">
        <v>0</v>
      </c>
      <c r="G10" s="24">
        <v>19.12</v>
      </c>
      <c r="H10" s="24">
        <v>9980.88</v>
      </c>
      <c r="I10" s="24">
        <v>0</v>
      </c>
      <c r="J10" s="24">
        <v>0</v>
      </c>
      <c r="K10" s="25">
        <v>202604</v>
      </c>
    </row>
    <row r="11" s="5" customFormat="1" ht="20" customHeight="1" spans="1:11">
      <c r="A11" s="22">
        <v>22</v>
      </c>
      <c r="B11" s="23">
        <v>46129</v>
      </c>
      <c r="C11" s="24" t="str">
        <v>趣点购浦发</v>
      </c>
      <c r="D11" s="24" t="str">
        <v>银行手续费</v>
      </c>
      <c r="E11" s="24" t="str">
        <v>单位结算卡年费金卡</v>
      </c>
      <c r="F11" s="24">
        <v>0</v>
      </c>
      <c r="G11" s="24">
        <v>100</v>
      </c>
      <c r="H11" s="24">
        <v>9880.88</v>
      </c>
      <c r="I11" s="24">
        <v>0</v>
      </c>
      <c r="J11" s="24">
        <v>0</v>
      </c>
      <c r="K11" s="25">
        <v>202604</v>
      </c>
    </row>
    <row r="12" s="5" customFormat="1" ht="20" customHeight="1" spans="1:11">
      <c r="A12" s="22">
        <v>23</v>
      </c>
      <c r="B12" s="23">
        <v>46136</v>
      </c>
      <c r="C12" s="24" t="str">
        <v>趣点购浦发</v>
      </c>
      <c r="D12" s="24" t="str">
        <v>办公费</v>
      </c>
      <c r="E12" s="24" t="str">
        <v>四川CA电子签名认证证书申请验证</v>
      </c>
      <c r="F12" s="24">
        <v>0</v>
      </c>
      <c r="G12" s="24">
        <v>0.05</v>
      </c>
      <c r="H12" s="24">
        <v>9880.83</v>
      </c>
      <c r="I12" s="24">
        <v>0</v>
      </c>
      <c r="J12" s="24">
        <v>0</v>
      </c>
      <c r="K12" s="25">
        <v>202604</v>
      </c>
    </row>
    <row r="13" s="5" customFormat="1" ht="20" customHeight="1" spans="1:11">
      <c r="A13" s="22">
        <v>24</v>
      </c>
      <c r="B13" s="23">
        <v>46136</v>
      </c>
      <c r="C13" s="24" t="str">
        <v>趣点购浦发</v>
      </c>
      <c r="D13" s="24" t="str">
        <v>银行手续费</v>
      </c>
      <c r="E13" s="24" t="str">
        <v>网银互联汇出手续费</v>
      </c>
      <c r="F13" s="24">
        <v>0</v>
      </c>
      <c r="G13" s="24">
        <v>4.5</v>
      </c>
      <c r="H13" s="24">
        <v>9876.33</v>
      </c>
      <c r="I13" s="24">
        <v>0</v>
      </c>
      <c r="J13" s="24">
        <v>0</v>
      </c>
      <c r="K13" s="25">
        <v>202604</v>
      </c>
    </row>
    <row r="14" s="5" customFormat="1" ht="20" customHeight="1" spans="1:11">
      <c r="A14" s="22">
        <v>25</v>
      </c>
      <c r="B14" s="23">
        <v>46140</v>
      </c>
      <c r="C14" s="24" t="str">
        <v>趣点购浦发</v>
      </c>
      <c r="D14" s="24">
        <v>0</v>
      </c>
      <c r="E14" s="24" t="str">
        <v>四川CA电子签名认证证书申请验证退款</v>
      </c>
      <c r="F14" s="24">
        <v>0.05</v>
      </c>
      <c r="G14" s="24">
        <v>0</v>
      </c>
      <c r="H14" s="24">
        <v>9876.38</v>
      </c>
      <c r="I14" s="24">
        <v>0</v>
      </c>
      <c r="J14" s="24">
        <v>0</v>
      </c>
      <c r="K14" s="25">
        <v>202604</v>
      </c>
    </row>
    <row r="15" s="5" customFormat="1" ht="20" customHeight="1" spans="1:11">
      <c r="A15" s="22">
        <v>26</v>
      </c>
      <c r="B15" s="23">
        <v>46142</v>
      </c>
      <c r="C15" s="24" t="str">
        <v>趣点购浦发</v>
      </c>
      <c r="D15" s="24">
        <v>0</v>
      </c>
      <c r="E15" s="24" t="str">
        <v>入股金</v>
      </c>
      <c r="F15" s="24">
        <v>70000</v>
      </c>
      <c r="G15" s="24">
        <v>0</v>
      </c>
      <c r="H15" s="24">
        <v>79876.38</v>
      </c>
      <c r="I15" s="24">
        <v>0</v>
      </c>
      <c r="J15" s="24">
        <v>0</v>
      </c>
      <c r="K15" s="25">
        <v>202604</v>
      </c>
    </row>
    <row r="16" s="5" customFormat="1" ht="20" customHeight="1" spans="1:11">
      <c r="A16" s="22">
        <v>27</v>
      </c>
      <c r="B16" s="23">
        <v>46142</v>
      </c>
      <c r="C16" s="24" t="str">
        <v>趣点购浦发</v>
      </c>
      <c r="D16" s="24">
        <v>0</v>
      </c>
      <c r="E16" s="24" t="str">
        <v>入股金</v>
      </c>
      <c r="F16" s="24">
        <v>50000</v>
      </c>
      <c r="G16" s="24">
        <v>0</v>
      </c>
      <c r="H16" s="24">
        <v>129876.38</v>
      </c>
      <c r="I16" s="24">
        <v>0</v>
      </c>
      <c r="J16" s="24">
        <v>0</v>
      </c>
      <c r="K16" s="25">
        <v>202604</v>
      </c>
    </row>
    <row r="17" s="5" customFormat="1" ht="20" customHeight="1" spans="1:11">
      <c r="A17" s="22">
        <v>28</v>
      </c>
      <c r="B17" s="23">
        <v>46142</v>
      </c>
      <c r="C17" s="24" t="str">
        <v>趣点购浦发</v>
      </c>
      <c r="D17" s="24">
        <v>0</v>
      </c>
      <c r="E17" s="24" t="str">
        <v>雅安趣点购农行互转趣点购浦发</v>
      </c>
      <c r="F17" s="24">
        <v>20500</v>
      </c>
      <c r="G17" s="24">
        <v>0</v>
      </c>
      <c r="H17" s="24">
        <v>150376.38</v>
      </c>
      <c r="I17" s="24">
        <v>0</v>
      </c>
      <c r="J17" s="24">
        <v>0</v>
      </c>
      <c r="K17" s="25">
        <v>202604</v>
      </c>
    </row>
    <row r="18" s="5" customFormat="1" ht="20" customHeight="1" spans="1:11">
      <c r="A18" s="22">
        <v>29</v>
      </c>
      <c r="B18" s="23">
        <v>46142</v>
      </c>
      <c r="C18" s="24" t="str">
        <v>趣点购浦发</v>
      </c>
      <c r="D18" s="24" t="str">
        <v>往来款</v>
      </c>
      <c r="E18" s="24" t="str">
        <v>脉动货款</v>
      </c>
      <c r="F18" s="24">
        <v>0</v>
      </c>
      <c r="G18" s="24">
        <v>150000</v>
      </c>
      <c r="H18" s="24">
        <v>376.379999999976</v>
      </c>
      <c r="I18" s="24">
        <v>0</v>
      </c>
      <c r="J18" s="24" t="str">
        <v>成都鑫鑫向喜商贸有限公司</v>
      </c>
      <c r="K18" s="25">
        <v>202604</v>
      </c>
    </row>
    <row r="19" s="5" customFormat="1" ht="20" customHeight="1" spans="1:11">
      <c r="A19" s="22">
        <v>30</v>
      </c>
      <c r="B19" s="23">
        <v>46142</v>
      </c>
      <c r="C19" s="24" t="str">
        <v>趣点购浦发</v>
      </c>
      <c r="D19" s="24" t="str">
        <v>银行手续费</v>
      </c>
      <c r="E19" s="24" t="str">
        <v>网银互联汇出手续费</v>
      </c>
      <c r="F19" s="24">
        <v>0</v>
      </c>
      <c r="G19" s="24">
        <v>15</v>
      </c>
      <c r="H19" s="24">
        <v>361.379999999976</v>
      </c>
      <c r="I19" s="24">
        <v>0</v>
      </c>
      <c r="J19" s="24">
        <v>0</v>
      </c>
      <c r="K19" s="25">
        <v>202604</v>
      </c>
    </row>
    <row r="20" s="5" customFormat="1" ht="20" customHeight="1" spans="1:11">
      <c r="A20" s="22">
        <v>31</v>
      </c>
      <c r="B20" s="23">
        <v>46146</v>
      </c>
      <c r="C20" s="24" t="str">
        <v>趣点购浦发</v>
      </c>
      <c r="D20" s="24">
        <v>0</v>
      </c>
      <c r="E20" s="24" t="str">
        <v>入股金</v>
      </c>
      <c r="F20" s="24">
        <v>90000</v>
      </c>
      <c r="G20" s="24">
        <v>0</v>
      </c>
      <c r="H20" s="24">
        <v>90361.38</v>
      </c>
      <c r="I20" s="24">
        <v>0</v>
      </c>
      <c r="J20" s="24">
        <v>0</v>
      </c>
      <c r="K20" s="25">
        <v>202605</v>
      </c>
    </row>
    <row r="21" s="5" customFormat="1" ht="20" customHeight="1" spans="1:11">
      <c r="A21" s="22">
        <v>32</v>
      </c>
      <c r="B21" s="23">
        <v>46146</v>
      </c>
      <c r="C21" s="24" t="str">
        <v>趣点购浦发</v>
      </c>
      <c r="D21" s="24" t="str">
        <v>往来款</v>
      </c>
      <c r="E21" s="24" t="str">
        <v>脉动货款</v>
      </c>
      <c r="F21" s="24">
        <v>0</v>
      </c>
      <c r="G21" s="24">
        <v>82400</v>
      </c>
      <c r="H21" s="24">
        <v>7961.37999999998</v>
      </c>
      <c r="I21" s="24">
        <v>0</v>
      </c>
      <c r="J21" s="24" t="str">
        <v>成都鑫鑫向喜商贸有限公司</v>
      </c>
      <c r="K21" s="25">
        <v>202605</v>
      </c>
    </row>
    <row r="22" s="5" customFormat="1" ht="20" customHeight="1" spans="1:11">
      <c r="A22" s="22">
        <v>33</v>
      </c>
      <c r="B22" s="23">
        <v>46146</v>
      </c>
      <c r="C22" s="24" t="str">
        <v>趣点购浦发</v>
      </c>
      <c r="D22" s="24" t="str">
        <v>银行手续费</v>
      </c>
      <c r="E22" s="24" t="str">
        <v>网银互联汇出手续费</v>
      </c>
      <c r="F22" s="24">
        <v>0</v>
      </c>
      <c r="G22" s="24">
        <v>9</v>
      </c>
      <c r="H22" s="24">
        <v>7952.37999999998</v>
      </c>
      <c r="I22" s="24">
        <v>0</v>
      </c>
      <c r="J22" s="24">
        <v>0</v>
      </c>
      <c r="K22" s="25">
        <v>202605</v>
      </c>
    </row>
    <row r="23" s="5" customFormat="1" ht="20" customHeight="1" spans="1:11">
      <c r="A23" s="22">
        <v>34</v>
      </c>
      <c r="B23" s="23">
        <v>46151</v>
      </c>
      <c r="C23" s="24" t="str">
        <v>趣点购浦发</v>
      </c>
      <c r="D23" s="24" t="str">
        <v>税费</v>
      </c>
      <c r="E23" s="24" t="str">
        <v>缴税</v>
      </c>
      <c r="F23" s="24">
        <v>0</v>
      </c>
      <c r="G23" s="24">
        <v>450</v>
      </c>
      <c r="H23" s="24">
        <v>7502.37999999998</v>
      </c>
      <c r="I23" s="24">
        <v>0</v>
      </c>
      <c r="J23" s="24">
        <v>0</v>
      </c>
      <c r="K23" s="25">
        <v>202605</v>
      </c>
    </row>
    <row r="24" s="5" customFormat="1" ht="20" customHeight="1" spans="1:11">
      <c r="A24" s="22">
        <v>35</v>
      </c>
      <c r="B24" s="23">
        <v>46154</v>
      </c>
      <c r="C24" s="24" t="str">
        <v>趣点购浦发</v>
      </c>
      <c r="D24" s="24" t="str">
        <v>工资</v>
      </c>
      <c r="E24" s="24" t="str">
        <v>陈樨</v>
      </c>
      <c r="F24" s="24">
        <v>0</v>
      </c>
      <c r="G24" s="24">
        <v>4500</v>
      </c>
      <c r="H24" s="24">
        <v>3002.37999999998</v>
      </c>
      <c r="I24" s="24">
        <v>0</v>
      </c>
      <c r="J24" s="24">
        <v>0</v>
      </c>
      <c r="K24" s="25">
        <v>202605</v>
      </c>
    </row>
    <row r="25" s="5" customFormat="1" ht="20" customHeight="1" spans="1:11">
      <c r="A25" s="22">
        <v>36</v>
      </c>
      <c r="B25" s="23">
        <v>46154</v>
      </c>
      <c r="C25" s="24" t="str">
        <v>趣点购浦发</v>
      </c>
      <c r="D25" s="24" t="str">
        <v>银行手续费</v>
      </c>
      <c r="E25" s="24" t="str">
        <v>网银互联汇出手续费</v>
      </c>
      <c r="F25" s="24">
        <v>0</v>
      </c>
      <c r="G25" s="24">
        <v>4.5</v>
      </c>
      <c r="H25" s="24">
        <v>2997.87999999998</v>
      </c>
      <c r="I25" s="24">
        <v>0</v>
      </c>
      <c r="J25" s="24">
        <v>0</v>
      </c>
      <c r="K25" s="25">
        <v>202605</v>
      </c>
    </row>
    <row r="26" s="5" customFormat="1" ht="20" customHeight="1" spans="1:11">
      <c r="A26" s="22">
        <v>37</v>
      </c>
      <c r="B26" s="23">
        <v>46158</v>
      </c>
      <c r="C26" s="24" t="str">
        <v>趣点购浦发</v>
      </c>
      <c r="D26" s="24">
        <v>0</v>
      </c>
      <c r="E26" s="24" t="str">
        <v>入股金</v>
      </c>
      <c r="F26" s="24">
        <v>30000</v>
      </c>
      <c r="G26" s="24">
        <v>0</v>
      </c>
      <c r="H26" s="24">
        <v>32997.88</v>
      </c>
      <c r="I26" s="24">
        <v>0</v>
      </c>
      <c r="J26" s="24">
        <v>0</v>
      </c>
      <c r="K26" s="25">
        <v>202605</v>
      </c>
    </row>
    <row r="27" s="5" customFormat="1" ht="20" customHeight="1" spans="1:11">
      <c r="A27" s="22">
        <v>38</v>
      </c>
      <c r="B27" s="23">
        <v>46162</v>
      </c>
      <c r="C27" s="24" t="str">
        <v>趣点购浦发</v>
      </c>
      <c r="D27" s="24">
        <v>0</v>
      </c>
      <c r="E27" s="24" t="str">
        <v>入股金</v>
      </c>
      <c r="F27" s="24">
        <v>20000</v>
      </c>
      <c r="G27" s="24">
        <v>0</v>
      </c>
      <c r="H27" s="24">
        <v>52997.88</v>
      </c>
      <c r="I27" s="24">
        <v>0</v>
      </c>
      <c r="J27" s="24">
        <v>0</v>
      </c>
      <c r="K27" s="25">
        <v>202605</v>
      </c>
    </row>
    <row r="28" s="5" customFormat="1" ht="20" customHeight="1" spans="1:11">
      <c r="A28" s="22">
        <v>39</v>
      </c>
      <c r="B28" s="23">
        <v>46162</v>
      </c>
      <c r="C28" s="24" t="str">
        <v>趣点购浦发</v>
      </c>
      <c r="D28" s="24" t="str">
        <v>设备款</v>
      </c>
      <c r="E28" s="24" t="str">
        <v>购买售货机合同款</v>
      </c>
      <c r="F28" s="24">
        <v>0</v>
      </c>
      <c r="G28" s="24">
        <v>44400</v>
      </c>
      <c r="H28" s="24">
        <v>8597.87999999995</v>
      </c>
      <c r="I28" s="24">
        <v>0</v>
      </c>
      <c r="J28" s="24">
        <v>0</v>
      </c>
      <c r="K28" s="25">
        <v>202605</v>
      </c>
    </row>
    <row r="29" s="5" customFormat="1" ht="20" customHeight="1" spans="1:11">
      <c r="A29" s="22">
        <v>40</v>
      </c>
      <c r="B29" s="23">
        <v>46162</v>
      </c>
      <c r="C29" s="24" t="str">
        <v>趣点购浦发</v>
      </c>
      <c r="D29" s="24" t="str">
        <v>银行手续费</v>
      </c>
      <c r="E29" s="24" t="str">
        <v>网银互联汇出手续费</v>
      </c>
      <c r="F29" s="24">
        <v>0</v>
      </c>
      <c r="G29" s="24">
        <v>9</v>
      </c>
      <c r="H29" s="24">
        <v>8588.87999999995</v>
      </c>
      <c r="I29" s="24">
        <v>0</v>
      </c>
      <c r="J29" s="24">
        <v>0</v>
      </c>
      <c r="K29" s="25">
        <v>202605</v>
      </c>
    </row>
    <row r="30" s="5" customFormat="1" ht="20" customHeight="1" spans="1:11">
      <c r="A30" s="22">
        <v>41</v>
      </c>
      <c r="B30" s="23">
        <v>46163</v>
      </c>
      <c r="C30" s="24" t="str">
        <v>趣点购浦发</v>
      </c>
      <c r="D30" s="24">
        <v>0</v>
      </c>
      <c r="E30" s="24" t="str">
        <v>超市营业款</v>
      </c>
      <c r="F30" s="24">
        <v>9088</v>
      </c>
      <c r="G30" s="24">
        <v>0</v>
      </c>
      <c r="H30" s="24">
        <v>17676.8799999999</v>
      </c>
      <c r="I30" s="24">
        <v>0</v>
      </c>
      <c r="J30" s="24">
        <v>0</v>
      </c>
      <c r="K30" s="25">
        <v>202605</v>
      </c>
    </row>
    <row r="31" s="5" customFormat="1" ht="20" customHeight="1" spans="1:11">
      <c r="A31" s="22">
        <v>42</v>
      </c>
      <c r="B31" s="23">
        <v>46164</v>
      </c>
      <c r="C31" s="24" t="str">
        <v>趣点购浦发</v>
      </c>
      <c r="D31" s="24">
        <v>0</v>
      </c>
      <c r="E31" s="24" t="str">
        <v>超市营业款</v>
      </c>
      <c r="F31" s="24">
        <v>9383.96</v>
      </c>
      <c r="G31" s="24">
        <v>0</v>
      </c>
      <c r="H31" s="24">
        <v>27060.84</v>
      </c>
      <c r="I31" s="24">
        <v>0</v>
      </c>
      <c r="J31" s="24">
        <v>0</v>
      </c>
      <c r="K31" s="25">
        <v>202605</v>
      </c>
    </row>
    <row r="32" s="5" customFormat="1" ht="20" customHeight="1" spans="1:11">
      <c r="A32" s="22">
        <v>43</v>
      </c>
      <c r="B32" s="23">
        <v>46164</v>
      </c>
      <c r="C32" s="24" t="str">
        <v>趣点购浦发</v>
      </c>
      <c r="D32" s="24">
        <v>0</v>
      </c>
      <c r="E32" s="24" t="str">
        <v>入股金</v>
      </c>
      <c r="F32" s="24">
        <v>180000</v>
      </c>
      <c r="G32" s="24">
        <v>0</v>
      </c>
      <c r="H32" s="24">
        <v>207060.84</v>
      </c>
      <c r="I32" s="24">
        <v>0</v>
      </c>
      <c r="J32" s="24">
        <v>0</v>
      </c>
      <c r="K32" s="25">
        <v>202605</v>
      </c>
    </row>
    <row r="33" s="5" customFormat="1" ht="20" customHeight="1" spans="1:11">
      <c r="A33" s="22">
        <v>44</v>
      </c>
      <c r="B33" s="23">
        <v>46164</v>
      </c>
      <c r="C33" s="24" t="str">
        <v>趣点购浦发</v>
      </c>
      <c r="D33" s="24" t="str">
        <v>投标保证金</v>
      </c>
      <c r="E33" s="24" t="str">
        <v>2026年轨道交通自助零售机场地经营项目1标段</v>
      </c>
      <c r="F33" s="24">
        <v>0</v>
      </c>
      <c r="G33" s="24">
        <v>50000</v>
      </c>
      <c r="H33" s="24">
        <v>157060.84</v>
      </c>
      <c r="I33" s="24" t="str">
        <v>成都蓉港商业发展有限公司</v>
      </c>
      <c r="J33" s="24">
        <v>0</v>
      </c>
      <c r="K33" s="25">
        <v>202605</v>
      </c>
    </row>
    <row r="34" s="5" customFormat="1" ht="20" customHeight="1" spans="1:11">
      <c r="A34" s="22">
        <v>45</v>
      </c>
      <c r="B34" s="23">
        <v>46164</v>
      </c>
      <c r="C34" s="24" t="str">
        <v>趣点购浦发</v>
      </c>
      <c r="D34" s="24" t="str">
        <v>银行手续费</v>
      </c>
      <c r="E34" s="24" t="str">
        <v>网银互联汇出手续费</v>
      </c>
      <c r="F34" s="24">
        <v>0</v>
      </c>
      <c r="G34" s="24">
        <v>0.9</v>
      </c>
      <c r="H34" s="24">
        <v>157059.94</v>
      </c>
      <c r="I34" s="24">
        <v>0</v>
      </c>
      <c r="J34" s="24">
        <v>0</v>
      </c>
      <c r="K34" s="25">
        <v>202605</v>
      </c>
    </row>
    <row r="35" s="5" customFormat="1" ht="20" customHeight="1" spans="1:11">
      <c r="A35" s="22">
        <v>46</v>
      </c>
      <c r="B35" s="23">
        <v>46164</v>
      </c>
      <c r="C35" s="24" t="str">
        <v>趣点购浦发</v>
      </c>
      <c r="D35" s="24" t="str">
        <v>投标保证金</v>
      </c>
      <c r="E35" s="24" t="str">
        <v>2026年轨道交通自助零售机场地经营项目2标段</v>
      </c>
      <c r="F35" s="24">
        <v>0</v>
      </c>
      <c r="G35" s="24">
        <v>50000</v>
      </c>
      <c r="H35" s="24">
        <v>107059.94</v>
      </c>
      <c r="I35" s="24" t="str">
        <v>成都蓉港商业发展有限公司</v>
      </c>
      <c r="J35" s="24">
        <v>0</v>
      </c>
      <c r="K35" s="25">
        <v>202605</v>
      </c>
    </row>
    <row r="36" s="5" customFormat="1" ht="20" customHeight="1" spans="1:11">
      <c r="A36" s="22">
        <v>47</v>
      </c>
      <c r="B36" s="23">
        <v>46164</v>
      </c>
      <c r="C36" s="24" t="str">
        <v>趣点购浦发</v>
      </c>
      <c r="D36" s="24" t="str">
        <v>银行手续费</v>
      </c>
      <c r="E36" s="24" t="str">
        <v>网银互联汇出手续费</v>
      </c>
      <c r="F36" s="24">
        <v>0</v>
      </c>
      <c r="G36" s="24">
        <v>0.9</v>
      </c>
      <c r="H36" s="24">
        <v>107059.04</v>
      </c>
      <c r="I36" s="24">
        <v>0</v>
      </c>
      <c r="J36" s="24">
        <v>0</v>
      </c>
      <c r="K36" s="25">
        <v>202605</v>
      </c>
    </row>
    <row r="37" s="5" customFormat="1" ht="20" customHeight="1" spans="1:11">
      <c r="A37" s="22">
        <v>48</v>
      </c>
      <c r="B37" s="23">
        <v>46164</v>
      </c>
      <c r="C37" s="24" t="str">
        <v>趣点购浦发</v>
      </c>
      <c r="D37" s="24" t="str">
        <v>投标保证金</v>
      </c>
      <c r="E37" s="24" t="str">
        <v>2026年轨道交通自助零售机场地经营项目3标段</v>
      </c>
      <c r="F37" s="24">
        <v>0</v>
      </c>
      <c r="G37" s="24">
        <v>50000</v>
      </c>
      <c r="H37" s="24">
        <v>57059.0399999999</v>
      </c>
      <c r="I37" s="24" t="str">
        <v>成都蓉港商业发展有限公司</v>
      </c>
      <c r="J37" s="24">
        <v>0</v>
      </c>
      <c r="K37" s="25">
        <v>202605</v>
      </c>
    </row>
    <row r="38" s="5" customFormat="1" ht="20" customHeight="1" spans="1:11">
      <c r="A38" s="22">
        <v>49</v>
      </c>
      <c r="B38" s="23">
        <v>46164</v>
      </c>
      <c r="C38" s="24" t="str">
        <v>趣点购浦发</v>
      </c>
      <c r="D38" s="24" t="str">
        <v>银行手续费</v>
      </c>
      <c r="E38" s="24" t="str">
        <v>网银互联汇出手续费</v>
      </c>
      <c r="F38" s="24">
        <v>0</v>
      </c>
      <c r="G38" s="24">
        <v>0.9</v>
      </c>
      <c r="H38" s="24">
        <v>57058.1399999999</v>
      </c>
      <c r="I38" s="24">
        <v>0</v>
      </c>
      <c r="J38" s="24">
        <v>0</v>
      </c>
      <c r="K38" s="25">
        <v>202605</v>
      </c>
    </row>
    <row r="39" s="5" customFormat="1" ht="20" customHeight="1" spans="1:11">
      <c r="A39" s="22">
        <v>50</v>
      </c>
      <c r="B39" s="23">
        <v>46165</v>
      </c>
      <c r="C39" s="24" t="str">
        <v>趣点购浦发</v>
      </c>
      <c r="D39" s="24">
        <v>0</v>
      </c>
      <c r="E39" s="24" t="str">
        <v>超市营业款</v>
      </c>
      <c r="F39" s="24">
        <v>8368.85</v>
      </c>
      <c r="G39" s="24">
        <v>0</v>
      </c>
      <c r="H39" s="24">
        <v>65426.9899999999</v>
      </c>
      <c r="I39" s="24">
        <v>0</v>
      </c>
      <c r="J39" s="24">
        <v>0</v>
      </c>
      <c r="K39" s="25">
        <v>202605</v>
      </c>
    </row>
    <row r="40" s="5" customFormat="1" ht="20" customHeight="1" spans="1:11">
      <c r="A40" s="22">
        <v>51</v>
      </c>
      <c r="B40" s="23">
        <v>46165</v>
      </c>
      <c r="C40" s="24" t="str">
        <v>趣点购浦发</v>
      </c>
      <c r="D40" s="24" t="str">
        <v>投标保证金</v>
      </c>
      <c r="E40" s="24" t="str">
        <v>2026年轨道交通自助零售机场地经营项目4标段</v>
      </c>
      <c r="F40" s="24">
        <v>0</v>
      </c>
      <c r="G40" s="24">
        <v>50000</v>
      </c>
      <c r="H40" s="24">
        <v>15426.9899999999</v>
      </c>
      <c r="I40" s="24">
        <v>0</v>
      </c>
      <c r="J40" s="24">
        <v>0</v>
      </c>
      <c r="K40" s="25">
        <v>202605</v>
      </c>
    </row>
    <row r="41" s="5" customFormat="1" ht="20" customHeight="1" spans="1:11">
      <c r="A41" s="22">
        <v>52</v>
      </c>
      <c r="B41" s="23">
        <v>46165</v>
      </c>
      <c r="C41" s="24" t="str">
        <v>趣点购浦发</v>
      </c>
      <c r="D41" s="24" t="str">
        <v>银行手续费</v>
      </c>
      <c r="E41" s="24" t="str">
        <v>网银互联汇出手续费</v>
      </c>
      <c r="F41" s="24">
        <v>0</v>
      </c>
      <c r="G41" s="24">
        <v>0.9</v>
      </c>
      <c r="H41" s="24">
        <v>15426.0899999999</v>
      </c>
      <c r="I41" s="24">
        <v>0</v>
      </c>
      <c r="J41" s="24">
        <v>0</v>
      </c>
      <c r="K41" s="25">
        <v>202605</v>
      </c>
    </row>
    <row r="42" s="5" customFormat="1" ht="20" customHeight="1" spans="1:11">
      <c r="A42" s="22">
        <v>53</v>
      </c>
      <c r="B42" s="23">
        <v>46166</v>
      </c>
      <c r="C42" s="24" t="str">
        <v>趣点购浦发</v>
      </c>
      <c r="D42" s="24">
        <v>0</v>
      </c>
      <c r="E42" s="24" t="str">
        <v>超市营业款</v>
      </c>
      <c r="F42" s="24">
        <v>6442.95</v>
      </c>
      <c r="G42" s="24">
        <v>0</v>
      </c>
      <c r="H42" s="24">
        <v>21869.0399999999</v>
      </c>
      <c r="I42" s="24">
        <v>0</v>
      </c>
      <c r="J42" s="24">
        <v>0</v>
      </c>
      <c r="K42" s="25">
        <v>202605</v>
      </c>
    </row>
    <row r="43" s="5" customFormat="1" ht="20" customHeight="1" spans="1:11">
      <c r="A43" s="22">
        <v>54</v>
      </c>
      <c r="B43" s="23">
        <v>46167</v>
      </c>
      <c r="C43" s="24" t="str">
        <v>趣点购浦发</v>
      </c>
      <c r="D43" s="24">
        <v>0</v>
      </c>
      <c r="E43" s="24" t="str">
        <v>超市营业款</v>
      </c>
      <c r="F43" s="24">
        <v>6494.62</v>
      </c>
      <c r="G43" s="24">
        <v>0</v>
      </c>
      <c r="H43" s="24">
        <v>28363.6599999999</v>
      </c>
      <c r="I43" s="24">
        <v>0</v>
      </c>
      <c r="J43" s="24">
        <v>0</v>
      </c>
      <c r="K43" s="25">
        <v>202605</v>
      </c>
    </row>
    <row r="44" s="5" customFormat="1" ht="20" customHeight="1" spans="1:11">
      <c r="A44" s="22">
        <v>55</v>
      </c>
      <c r="B44" s="23">
        <v>46167</v>
      </c>
      <c r="C44" s="24" t="str">
        <v>趣点购浦发</v>
      </c>
      <c r="D44" s="24" t="str">
        <v>税费</v>
      </c>
      <c r="E44" s="24" t="str">
        <v>缴税</v>
      </c>
      <c r="F44" s="24">
        <v>0</v>
      </c>
      <c r="G44" s="24">
        <v>16.25</v>
      </c>
      <c r="H44" s="24">
        <v>28347.4099999999</v>
      </c>
      <c r="I44" s="24">
        <v>0</v>
      </c>
      <c r="J44" s="24">
        <v>0</v>
      </c>
      <c r="K44" s="25">
        <v>202605</v>
      </c>
    </row>
    <row r="45" s="5" customFormat="1" ht="20" customHeight="1" spans="1:11">
      <c r="A45" s="22">
        <v>56</v>
      </c>
      <c r="B45" s="23">
        <v>46168</v>
      </c>
      <c r="C45" s="24" t="str">
        <v>趣点购浦发</v>
      </c>
      <c r="D45" s="24">
        <v>0</v>
      </c>
      <c r="E45" s="24" t="str">
        <v>超市营业款</v>
      </c>
      <c r="F45" s="24">
        <v>9286.7</v>
      </c>
      <c r="G45" s="24">
        <v>0</v>
      </c>
      <c r="H45" s="24">
        <v>37634.1099999999</v>
      </c>
      <c r="I45" s="24">
        <v>0</v>
      </c>
      <c r="J45" s="24">
        <v>0</v>
      </c>
      <c r="K45" s="25">
        <v>202605</v>
      </c>
    </row>
    <row r="46" s="5" customFormat="1" ht="20" customHeight="1" spans="1:11">
      <c r="A46" s="22">
        <v>57</v>
      </c>
      <c r="B46" s="23">
        <v>46168</v>
      </c>
      <c r="C46" s="24" t="str">
        <v>趣点购浦发</v>
      </c>
      <c r="D46" s="24" t="str">
        <v>车辆费用</v>
      </c>
      <c r="E46" s="24" t="str">
        <v>川A2L3N6车辆保费</v>
      </c>
      <c r="F46" s="24">
        <v>0</v>
      </c>
      <c r="G46" s="24">
        <v>2276</v>
      </c>
      <c r="H46" s="24">
        <v>35358.1099999999</v>
      </c>
      <c r="I46" s="24">
        <v>0</v>
      </c>
      <c r="J46" s="24">
        <v>0</v>
      </c>
      <c r="K46" s="25">
        <v>202605</v>
      </c>
    </row>
    <row r="47" s="5" customFormat="1" ht="20" customHeight="1" spans="1:11">
      <c r="A47" s="22">
        <v>58</v>
      </c>
      <c r="B47" s="23">
        <v>46168</v>
      </c>
      <c r="C47" s="24" t="str">
        <v>趣点购浦发</v>
      </c>
      <c r="D47" s="24" t="str">
        <v>银行手续费</v>
      </c>
      <c r="E47" s="24" t="str">
        <v>网银互联汇出手续费</v>
      </c>
      <c r="F47" s="24">
        <v>0</v>
      </c>
      <c r="G47" s="24">
        <v>4.5</v>
      </c>
      <c r="H47" s="24">
        <v>35353.6099999999</v>
      </c>
      <c r="I47" s="24">
        <v>0</v>
      </c>
      <c r="J47" s="24">
        <v>0</v>
      </c>
      <c r="K47" s="25">
        <v>202605</v>
      </c>
    </row>
    <row r="48" s="5" customFormat="1" ht="20" customHeight="1" spans="1:11">
      <c r="A48" s="22">
        <v>59</v>
      </c>
      <c r="B48" s="23">
        <v>46168</v>
      </c>
      <c r="C48" s="24" t="str">
        <v>趣点购浦发</v>
      </c>
      <c r="D48" s="24" t="str">
        <v>税费</v>
      </c>
      <c r="E48" s="24" t="str">
        <v>缴税</v>
      </c>
      <c r="F48" s="24">
        <v>0</v>
      </c>
      <c r="G48" s="24">
        <v>1605.56</v>
      </c>
      <c r="H48" s="24">
        <v>33748.0499999999</v>
      </c>
      <c r="I48" s="24">
        <v>0</v>
      </c>
      <c r="J48" s="24">
        <v>0</v>
      </c>
      <c r="K48" s="25">
        <v>202605</v>
      </c>
    </row>
    <row r="49" s="5" customFormat="1" ht="20" customHeight="1" spans="1:11">
      <c r="A49" s="22">
        <v>60</v>
      </c>
      <c r="B49" s="23">
        <v>46169</v>
      </c>
      <c r="C49" s="24" t="str">
        <v>趣点购浦发</v>
      </c>
      <c r="D49" s="24">
        <v>0</v>
      </c>
      <c r="E49" s="24" t="str">
        <v>超市营业款</v>
      </c>
      <c r="F49" s="24">
        <v>9388.54</v>
      </c>
      <c r="G49" s="24">
        <v>0</v>
      </c>
      <c r="H49" s="24">
        <v>43136.5899999999</v>
      </c>
      <c r="I49" s="24">
        <v>0</v>
      </c>
      <c r="J49" s="24">
        <v>0</v>
      </c>
      <c r="K49" s="25">
        <v>202605</v>
      </c>
    </row>
    <row r="50" s="5" customFormat="1" ht="20" customHeight="1" spans="1:11">
      <c r="A50" s="22">
        <v>61</v>
      </c>
      <c r="B50" s="23">
        <v>46170</v>
      </c>
      <c r="C50" s="24" t="str">
        <v>趣点购浦发</v>
      </c>
      <c r="D50" s="24">
        <v>0</v>
      </c>
      <c r="E50" s="24" t="str">
        <v>超市营业款</v>
      </c>
      <c r="F50" s="24">
        <v>8734.59</v>
      </c>
      <c r="G50" s="24">
        <v>0</v>
      </c>
      <c r="H50" s="24">
        <v>51871.1799999999</v>
      </c>
      <c r="I50" s="24">
        <v>0</v>
      </c>
      <c r="J50" s="24">
        <v>0</v>
      </c>
      <c r="K50" s="25">
        <v>202605</v>
      </c>
    </row>
    <row r="51" s="5" customFormat="1" ht="20" customHeight="1" spans="1:11">
      <c r="A51" s="22">
        <v>62</v>
      </c>
      <c r="B51" s="23">
        <v>46170</v>
      </c>
      <c r="C51" s="24" t="str">
        <v>趣点购浦发</v>
      </c>
      <c r="D51" s="24" t="str">
        <v>税费</v>
      </c>
      <c r="E51" s="24" t="str">
        <v>缴税</v>
      </c>
      <c r="F51" s="24">
        <v>0</v>
      </c>
      <c r="G51" s="24">
        <v>3928.18</v>
      </c>
      <c r="H51" s="24">
        <v>47942.9999999999</v>
      </c>
      <c r="I51" s="24">
        <v>0</v>
      </c>
      <c r="J51" s="24">
        <v>0</v>
      </c>
      <c r="K51" s="25">
        <v>202605</v>
      </c>
    </row>
    <row r="52" s="5" customFormat="1" ht="20" customHeight="1" spans="1:11">
      <c r="A52" s="22">
        <v>63</v>
      </c>
      <c r="B52" s="23">
        <v>46171</v>
      </c>
      <c r="C52" s="24" t="str">
        <v>趣点购浦发</v>
      </c>
      <c r="D52" s="24">
        <v>0</v>
      </c>
      <c r="E52" s="24" t="str">
        <v>超市营业款</v>
      </c>
      <c r="F52" s="24">
        <v>7792.68</v>
      </c>
      <c r="G52" s="24">
        <v>0</v>
      </c>
      <c r="H52" s="24">
        <v>55735.6799999999</v>
      </c>
      <c r="I52" s="24">
        <v>0</v>
      </c>
      <c r="J52" s="24">
        <v>0</v>
      </c>
      <c r="K52" s="25">
        <v>202605</v>
      </c>
    </row>
    <row r="53" s="5" customFormat="1" ht="20" customHeight="1" spans="1:11">
      <c r="A53" s="22">
        <v>64</v>
      </c>
      <c r="B53" s="23">
        <v>46171</v>
      </c>
      <c r="C53" s="24" t="str">
        <v>趣点购浦发</v>
      </c>
      <c r="D53" s="24">
        <v>0</v>
      </c>
      <c r="E53" s="24" t="str">
        <v>微信支付认证3457</v>
      </c>
      <c r="F53" s="24">
        <v>0.01</v>
      </c>
      <c r="G53" s="24">
        <v>0</v>
      </c>
      <c r="H53" s="24">
        <v>55735.6899999999</v>
      </c>
      <c r="I53" s="24">
        <v>0</v>
      </c>
      <c r="J53" s="24">
        <v>0</v>
      </c>
      <c r="K53" s="25">
        <v>202605</v>
      </c>
    </row>
    <row r="54" s="5" customFormat="1" ht="20" customHeight="1" spans="1:11">
      <c r="A54" s="22">
        <v>65</v>
      </c>
      <c r="B54" s="23">
        <v>46172</v>
      </c>
      <c r="C54" s="24" t="str">
        <v>趣点购浦发</v>
      </c>
      <c r="D54" s="24">
        <v>0</v>
      </c>
      <c r="E54" s="24" t="str">
        <v>超市营业款</v>
      </c>
      <c r="F54" s="24">
        <v>7862.46</v>
      </c>
      <c r="G54" s="24">
        <v>0</v>
      </c>
      <c r="H54" s="24">
        <v>63598.1499999999</v>
      </c>
      <c r="I54" s="24">
        <v>0</v>
      </c>
      <c r="J54" s="24">
        <v>0</v>
      </c>
      <c r="K54" s="25">
        <v>202605</v>
      </c>
    </row>
    <row r="55" s="5" customFormat="1" ht="20" customHeight="1" spans="1:11">
      <c r="A55" s="22">
        <v>66</v>
      </c>
      <c r="B55" s="23">
        <v>46173</v>
      </c>
      <c r="C55" s="24" t="str">
        <v>趣点购浦发</v>
      </c>
      <c r="D55" s="24">
        <v>0</v>
      </c>
      <c r="E55" s="24" t="str">
        <v>超市营业款</v>
      </c>
      <c r="F55" s="24">
        <v>5853.65</v>
      </c>
      <c r="G55" s="24">
        <v>0</v>
      </c>
      <c r="H55" s="24">
        <v>69451.7999999999</v>
      </c>
      <c r="I55" s="24">
        <v>0</v>
      </c>
      <c r="J55" s="24">
        <v>0</v>
      </c>
      <c r="K55" s="25">
        <v>202605</v>
      </c>
    </row>
    <row r="56" s="5" customFormat="1" ht="20" customHeight="1" spans="1:11">
      <c r="A56" s="22">
        <v>67</v>
      </c>
      <c r="B56" s="23">
        <v>46174</v>
      </c>
      <c r="C56" s="24" t="str">
        <v>趣点购浦发</v>
      </c>
      <c r="D56" s="24">
        <v>0</v>
      </c>
      <c r="E56" s="24" t="str">
        <v>超市营业款</v>
      </c>
      <c r="F56" s="24">
        <v>6293.37</v>
      </c>
      <c r="G56" s="24">
        <v>0</v>
      </c>
      <c r="H56" s="24">
        <v>75745.1699999999</v>
      </c>
      <c r="I56" s="24">
        <v>0</v>
      </c>
      <c r="J56" s="24">
        <v>0</v>
      </c>
      <c r="K56" s="25">
        <v>202606</v>
      </c>
    </row>
    <row r="57" s="5" customFormat="1" ht="20" customHeight="1" spans="1:11">
      <c r="A57" s="22">
        <v>68</v>
      </c>
      <c r="B57" s="23">
        <v>46175</v>
      </c>
      <c r="C57" s="24" t="str">
        <v>趣点购浦发</v>
      </c>
      <c r="D57" s="24">
        <v>0</v>
      </c>
      <c r="E57" s="24" t="str">
        <v>超市营业款</v>
      </c>
      <c r="F57" s="24">
        <v>10119.3</v>
      </c>
      <c r="G57" s="24">
        <v>0</v>
      </c>
      <c r="H57" s="24">
        <v>85864.47</v>
      </c>
      <c r="I57" s="24">
        <v>0</v>
      </c>
      <c r="J57" s="24">
        <v>0</v>
      </c>
      <c r="K57" s="25">
        <v>202606</v>
      </c>
    </row>
    <row r="58" s="5" customFormat="1" ht="20" customHeight="1" spans="1:11">
      <c r="A58" s="22">
        <v>69</v>
      </c>
      <c r="B58" s="23">
        <v>46176</v>
      </c>
      <c r="C58" s="24" t="str">
        <v>趣点购浦发</v>
      </c>
      <c r="D58" s="24">
        <v>0</v>
      </c>
      <c r="E58" s="24" t="str">
        <v>超市营业款</v>
      </c>
      <c r="F58" s="24">
        <v>8231.16</v>
      </c>
      <c r="G58" s="24">
        <v>0</v>
      </c>
      <c r="H58" s="24">
        <v>94095.63</v>
      </c>
      <c r="I58" s="24">
        <v>0</v>
      </c>
      <c r="J58" s="24">
        <v>0</v>
      </c>
      <c r="K58" s="25">
        <v>202606</v>
      </c>
    </row>
    <row r="59" s="5" customFormat="1" ht="20" customHeight="1" spans="1:11">
      <c r="A59" s="22">
        <v>70</v>
      </c>
      <c r="B59" s="23">
        <v>46177</v>
      </c>
      <c r="C59" s="24" t="str">
        <v>趣点购浦发</v>
      </c>
      <c r="D59" s="24">
        <v>0</v>
      </c>
      <c r="E59" s="24" t="str">
        <v>超市营业款</v>
      </c>
      <c r="F59" s="24">
        <v>10664.18</v>
      </c>
      <c r="G59" s="24">
        <v>0</v>
      </c>
      <c r="H59" s="24">
        <v>104759.81</v>
      </c>
      <c r="I59" s="24">
        <v>0</v>
      </c>
      <c r="J59" s="24">
        <v>0</v>
      </c>
      <c r="K59" s="25">
        <v>202606</v>
      </c>
    </row>
    <row r="60" s="5" customFormat="1" ht="20" customHeight="1" spans="1:11">
      <c r="A60" s="22">
        <v>71</v>
      </c>
      <c r="B60" s="23">
        <v>46178</v>
      </c>
      <c r="C60" s="24" t="str">
        <v>趣点购浦发</v>
      </c>
      <c r="D60" s="24">
        <v>0</v>
      </c>
      <c r="E60" s="24" t="str">
        <v>超市营业款</v>
      </c>
      <c r="F60" s="24">
        <v>11964.7</v>
      </c>
      <c r="G60" s="24">
        <v>0</v>
      </c>
      <c r="H60" s="24">
        <v>116724.51</v>
      </c>
      <c r="I60" s="24">
        <v>0</v>
      </c>
      <c r="J60" s="24">
        <v>0</v>
      </c>
      <c r="K60" s="25">
        <v>202606</v>
      </c>
    </row>
    <row r="61" s="5" customFormat="1" ht="20" customHeight="1" spans="1:11">
      <c r="A61" s="22">
        <v>72</v>
      </c>
      <c r="B61" s="23">
        <v>46179</v>
      </c>
      <c r="C61" s="24" t="str">
        <v>趣点购浦发</v>
      </c>
      <c r="D61" s="24">
        <v>0</v>
      </c>
      <c r="E61" s="24" t="str">
        <v>超市营业款</v>
      </c>
      <c r="F61" s="24">
        <v>8657.94</v>
      </c>
      <c r="G61" s="24">
        <v>0</v>
      </c>
      <c r="H61" s="24">
        <v>125382.45</v>
      </c>
      <c r="I61" s="24">
        <v>0</v>
      </c>
      <c r="J61" s="24">
        <v>0</v>
      </c>
      <c r="K61" s="25">
        <v>202606</v>
      </c>
    </row>
    <row r="62" s="5" customFormat="1" ht="20" customHeight="1" spans="1:11">
      <c r="A62" s="22">
        <v>73</v>
      </c>
      <c r="B62" s="23">
        <v>46180</v>
      </c>
      <c r="C62" s="24" t="str">
        <v>趣点购浦发</v>
      </c>
      <c r="D62" s="24">
        <v>0</v>
      </c>
      <c r="E62" s="24" t="str">
        <v>超市营业款</v>
      </c>
      <c r="F62" s="24">
        <v>5883.69</v>
      </c>
      <c r="G62" s="24">
        <v>0</v>
      </c>
      <c r="H62" s="24">
        <v>131266.14</v>
      </c>
      <c r="I62" s="24">
        <v>0</v>
      </c>
      <c r="J62" s="24">
        <v>0</v>
      </c>
      <c r="K62" s="25">
        <v>202606</v>
      </c>
    </row>
    <row r="63" s="5" customFormat="1" ht="20" customHeight="1" spans="1:11">
      <c r="A63" s="22">
        <v>74</v>
      </c>
      <c r="B63" s="23">
        <v>46181</v>
      </c>
      <c r="C63" s="24" t="str">
        <v>趣点购浦发</v>
      </c>
      <c r="D63" s="24">
        <v>0</v>
      </c>
      <c r="E63" s="24" t="str">
        <v>超市营业款</v>
      </c>
      <c r="F63" s="24">
        <v>5556.97</v>
      </c>
      <c r="G63" s="24">
        <v>0</v>
      </c>
      <c r="H63" s="24">
        <v>136823.11</v>
      </c>
      <c r="I63" s="24">
        <v>0</v>
      </c>
      <c r="J63" s="24">
        <v>0</v>
      </c>
      <c r="K63" s="25">
        <v>202606</v>
      </c>
    </row>
    <row r="64" s="5" customFormat="1" ht="20" customHeight="1" spans="1:11">
      <c r="A64" s="22">
        <v>75</v>
      </c>
      <c r="B64" s="23">
        <v>46182</v>
      </c>
      <c r="C64" s="24" t="str">
        <v>趣点购浦发</v>
      </c>
      <c r="D64" s="24">
        <v>0</v>
      </c>
      <c r="E64" s="24" t="str">
        <v>超市营业款</v>
      </c>
      <c r="F64" s="24">
        <v>8156.22</v>
      </c>
      <c r="G64" s="24">
        <v>0</v>
      </c>
      <c r="H64" s="24">
        <v>144979.33</v>
      </c>
      <c r="I64" s="24">
        <v>0</v>
      </c>
      <c r="J64" s="24">
        <v>0</v>
      </c>
      <c r="K64" s="25">
        <v>202606</v>
      </c>
    </row>
    <row r="65" s="5" customFormat="1" ht="20" customHeight="1" spans="1:11">
      <c r="A65" s="22">
        <v>76</v>
      </c>
      <c r="B65" s="23">
        <v>46183</v>
      </c>
      <c r="C65" s="24" t="str">
        <v>趣点购浦发</v>
      </c>
      <c r="D65" s="24">
        <v>0</v>
      </c>
      <c r="E65" s="24" t="str">
        <v>超市营业款</v>
      </c>
      <c r="F65" s="24">
        <v>9006.43</v>
      </c>
      <c r="G65" s="24">
        <v>0</v>
      </c>
      <c r="H65" s="24">
        <v>153985.76</v>
      </c>
      <c r="I65" s="24">
        <v>0</v>
      </c>
      <c r="J65" s="24">
        <v>0</v>
      </c>
      <c r="K65" s="25">
        <v>202606</v>
      </c>
    </row>
    <row r="66" s="5" customFormat="1" ht="20" customHeight="1" spans="1:11">
      <c r="A66" s="22">
        <v>77</v>
      </c>
      <c r="B66" s="23">
        <v>46184</v>
      </c>
      <c r="C66" s="24" t="str">
        <v>趣点购浦发</v>
      </c>
      <c r="D66" s="24">
        <v>0</v>
      </c>
      <c r="E66" s="24" t="str">
        <v>超市营业款</v>
      </c>
      <c r="F66" s="24">
        <v>9146.11</v>
      </c>
      <c r="G66" s="24">
        <v>0</v>
      </c>
      <c r="H66" s="24">
        <v>163131.87</v>
      </c>
      <c r="I66" s="24">
        <v>0</v>
      </c>
      <c r="J66" s="24">
        <v>0</v>
      </c>
      <c r="K66" s="25">
        <v>202606</v>
      </c>
    </row>
    <row r="67" s="5" customFormat="1" ht="20" customHeight="1" spans="1:11">
      <c r="A67" s="22">
        <v>78</v>
      </c>
      <c r="B67" s="23">
        <v>46185</v>
      </c>
      <c r="C67" s="24" t="str">
        <v>趣点购浦发</v>
      </c>
      <c r="D67" s="24">
        <v>0</v>
      </c>
      <c r="E67" s="24" t="str">
        <v>超市营业款</v>
      </c>
      <c r="F67" s="24">
        <v>8406.47</v>
      </c>
      <c r="G67" s="24">
        <v>0</v>
      </c>
      <c r="H67" s="24">
        <v>171538.34</v>
      </c>
      <c r="I67" s="24">
        <v>0</v>
      </c>
      <c r="J67" s="24">
        <v>0</v>
      </c>
      <c r="K67" s="25">
        <v>202606</v>
      </c>
    </row>
    <row r="68" s="5" customFormat="1" ht="20" customHeight="1" spans="1:11">
      <c r="A68" s="22">
        <v>79</v>
      </c>
      <c r="B68" s="23">
        <v>46186</v>
      </c>
      <c r="C68" s="24" t="str">
        <v>趣点购浦发</v>
      </c>
      <c r="D68" s="24">
        <v>0</v>
      </c>
      <c r="E68" s="24" t="str">
        <v>超市营业款</v>
      </c>
      <c r="F68" s="24">
        <v>8344.59</v>
      </c>
      <c r="G68" s="24">
        <v>0</v>
      </c>
      <c r="H68" s="24">
        <v>179882.93</v>
      </c>
      <c r="I68" s="24">
        <v>0</v>
      </c>
      <c r="J68" s="24">
        <v>0</v>
      </c>
      <c r="K68" s="25">
        <v>202606</v>
      </c>
    </row>
    <row r="69" s="5" customFormat="1" ht="20" customHeight="1" spans="1:11">
      <c r="A69" s="22">
        <v>80</v>
      </c>
      <c r="B69" s="23">
        <v>46186</v>
      </c>
      <c r="C69" s="24" t="str">
        <v>趣点购浦发</v>
      </c>
      <c r="D69" s="24" t="str">
        <v>工资</v>
      </c>
      <c r="E69" s="24" t="str">
        <v>陈樨</v>
      </c>
      <c r="F69" s="24">
        <v>0</v>
      </c>
      <c r="G69" s="24">
        <v>4000</v>
      </c>
      <c r="H69" s="24">
        <v>175882.93</v>
      </c>
      <c r="I69" s="24">
        <v>0</v>
      </c>
      <c r="J69" s="24">
        <v>0</v>
      </c>
      <c r="K69" s="25">
        <v>202606</v>
      </c>
    </row>
    <row r="70" s="5" customFormat="1" ht="20" customHeight="1" spans="1:11">
      <c r="A70" s="22">
        <v>81</v>
      </c>
      <c r="B70" s="23">
        <v>46186</v>
      </c>
      <c r="C70" s="24" t="str">
        <v>趣点购浦发</v>
      </c>
      <c r="D70" s="24" t="str">
        <v>银行手续费</v>
      </c>
      <c r="E70" s="24" t="str">
        <v>网银互联汇出手续费</v>
      </c>
      <c r="F70" s="24">
        <v>0</v>
      </c>
      <c r="G70" s="24">
        <v>4.5</v>
      </c>
      <c r="H70" s="24">
        <v>175878.43</v>
      </c>
      <c r="I70" s="24">
        <v>0</v>
      </c>
      <c r="J70" s="24">
        <v>0</v>
      </c>
      <c r="K70" s="25">
        <v>202606</v>
      </c>
    </row>
    <row r="71" s="5" customFormat="1" ht="20" customHeight="1" spans="1:11">
      <c r="A71" s="22">
        <v>82</v>
      </c>
      <c r="B71" s="23">
        <v>46187</v>
      </c>
      <c r="C71" s="24" t="str">
        <v>趣点购浦发</v>
      </c>
      <c r="D71" s="24">
        <v>0</v>
      </c>
      <c r="E71" s="24" t="str">
        <v>超市营业款</v>
      </c>
      <c r="F71" s="24">
        <v>6178.11</v>
      </c>
      <c r="G71" s="24">
        <v>0</v>
      </c>
      <c r="H71" s="24">
        <v>182056.54</v>
      </c>
      <c r="I71" s="24">
        <v>0</v>
      </c>
      <c r="J71" s="24">
        <v>0</v>
      </c>
      <c r="K71" s="25">
        <v>202606</v>
      </c>
    </row>
    <row r="72" s="5" customFormat="1" ht="20" customHeight="1" spans="1:11">
      <c r="A72" s="22">
        <v>83</v>
      </c>
      <c r="B72" s="23">
        <v>46188</v>
      </c>
      <c r="C72" s="24" t="str">
        <v>趣点购浦发</v>
      </c>
      <c r="D72" s="24">
        <v>0</v>
      </c>
      <c r="E72" s="24" t="str">
        <v>超市营业款</v>
      </c>
      <c r="F72" s="24">
        <v>6441.22</v>
      </c>
      <c r="G72" s="24">
        <v>0</v>
      </c>
      <c r="H72" s="24">
        <v>188497.76</v>
      </c>
      <c r="I72" s="24">
        <v>0</v>
      </c>
      <c r="J72" s="24">
        <v>0</v>
      </c>
      <c r="K72" s="25">
        <v>202606</v>
      </c>
    </row>
    <row r="73" s="5" customFormat="1" ht="20" customHeight="1" spans="1:11">
      <c r="A73" s="22">
        <v>84</v>
      </c>
      <c r="B73" s="23">
        <v>46188</v>
      </c>
      <c r="C73" s="24" t="str">
        <v>趣点购浦发</v>
      </c>
      <c r="D73" s="24" t="str">
        <v>税费</v>
      </c>
      <c r="E73" s="24" t="str">
        <v>缴税</v>
      </c>
      <c r="F73" s="24">
        <v>0</v>
      </c>
      <c r="G73" s="24">
        <v>40</v>
      </c>
      <c r="H73" s="24">
        <v>188457.76</v>
      </c>
      <c r="I73" s="24">
        <v>0</v>
      </c>
      <c r="J73" s="24">
        <v>0</v>
      </c>
      <c r="K73" s="25">
        <v>202606</v>
      </c>
    </row>
    <row r="74" s="5" customFormat="1" ht="20" customHeight="1" spans="1:11">
      <c r="A74" s="22">
        <v>85</v>
      </c>
      <c r="B74" s="23">
        <v>46188</v>
      </c>
      <c r="C74" s="24" t="str">
        <v>趣点购浦发</v>
      </c>
      <c r="D74" s="24" t="str">
        <v>税费</v>
      </c>
      <c r="E74" s="24" t="str">
        <v>缴税</v>
      </c>
      <c r="F74" s="24">
        <v>0</v>
      </c>
      <c r="G74" s="24">
        <v>450</v>
      </c>
      <c r="H74" s="24">
        <v>188007.76</v>
      </c>
      <c r="I74" s="24">
        <v>0</v>
      </c>
      <c r="J74" s="24">
        <v>0</v>
      </c>
      <c r="K74" s="25">
        <v>202606</v>
      </c>
    </row>
    <row r="75" s="5" customFormat="1" ht="20" customHeight="1" spans="1:11">
      <c r="A75" s="22">
        <v>86</v>
      </c>
      <c r="B75" s="23">
        <v>46189</v>
      </c>
      <c r="C75" s="24" t="str">
        <v>趣点购浦发</v>
      </c>
      <c r="D75" s="24">
        <v>0</v>
      </c>
      <c r="E75" s="24" t="str">
        <v>超市营业款</v>
      </c>
      <c r="F75" s="24">
        <v>8915.36</v>
      </c>
      <c r="G75" s="24">
        <v>0</v>
      </c>
      <c r="H75" s="24">
        <v>196923.12</v>
      </c>
      <c r="I75" s="24">
        <v>0</v>
      </c>
      <c r="J75" s="24">
        <v>0</v>
      </c>
      <c r="K75" s="25">
        <v>202606</v>
      </c>
    </row>
    <row r="76" s="5" customFormat="1" ht="20" customHeight="1" spans="1:11">
      <c r="A76" s="22">
        <v>87</v>
      </c>
      <c r="B76" s="23">
        <v>46190</v>
      </c>
      <c r="C76" s="24" t="str">
        <v>趣点购浦发</v>
      </c>
      <c r="D76" s="24">
        <v>0</v>
      </c>
      <c r="E76" s="24" t="str">
        <v>超市营业款</v>
      </c>
      <c r="F76" s="24">
        <v>8244.76</v>
      </c>
      <c r="G76" s="24">
        <v>0</v>
      </c>
      <c r="H76" s="24">
        <v>205167.88</v>
      </c>
      <c r="I76" s="24">
        <v>0</v>
      </c>
      <c r="J76" s="24">
        <v>0</v>
      </c>
      <c r="K76" s="25">
        <v>202606</v>
      </c>
    </row>
    <row r="77" s="5" customFormat="1" ht="20" customHeight="1" spans="1:11">
      <c r="A77" s="22">
        <v>88</v>
      </c>
      <c r="B77" s="23">
        <v>46190</v>
      </c>
      <c r="C77" s="24" t="str">
        <v>趣点购浦发</v>
      </c>
      <c r="D77" s="24">
        <v>0</v>
      </c>
      <c r="E77" s="24" t="str">
        <v>微信支付认证5708</v>
      </c>
      <c r="F77" s="24">
        <v>0.01</v>
      </c>
      <c r="G77" s="24">
        <v>0</v>
      </c>
      <c r="H77" s="24">
        <v>205167.89</v>
      </c>
      <c r="I77" s="24">
        <v>0</v>
      </c>
      <c r="J77" s="24">
        <v>0</v>
      </c>
      <c r="K77" s="25">
        <v>202606</v>
      </c>
    </row>
    <row r="78" s="5" customFormat="1" ht="20" customHeight="1" spans="1:11">
      <c r="A78" s="22">
        <v>89</v>
      </c>
      <c r="B78" s="23">
        <v>46190</v>
      </c>
      <c r="C78" s="24" t="str">
        <v>趣点购浦发</v>
      </c>
      <c r="D78" s="24">
        <v>0</v>
      </c>
      <c r="E78" s="24" t="str">
        <v>入股金</v>
      </c>
      <c r="F78" s="24">
        <v>400000</v>
      </c>
      <c r="G78" s="24">
        <v>0</v>
      </c>
      <c r="H78" s="24">
        <v>605167.89</v>
      </c>
      <c r="I78" s="24">
        <v>0</v>
      </c>
      <c r="J78" s="24">
        <v>0</v>
      </c>
      <c r="K78" s="25">
        <v>202606</v>
      </c>
    </row>
    <row r="79" s="5" customFormat="1" ht="20" customHeight="1" spans="1:11">
      <c r="A79" s="22">
        <v>90</v>
      </c>
      <c r="B79" s="23">
        <v>46191</v>
      </c>
      <c r="C79" s="24" t="str">
        <v>趣点购浦发</v>
      </c>
      <c r="D79" s="24">
        <v>0</v>
      </c>
      <c r="E79" s="24" t="str">
        <v>超市营业款</v>
      </c>
      <c r="F79" s="24">
        <v>7872.11</v>
      </c>
      <c r="G79" s="24">
        <v>0</v>
      </c>
      <c r="H79" s="24">
        <v>613040</v>
      </c>
      <c r="I79" s="24">
        <v>0</v>
      </c>
      <c r="J79" s="24">
        <v>0</v>
      </c>
      <c r="K79" s="25">
        <v>202606</v>
      </c>
    </row>
    <row r="80" s="5" customFormat="1" ht="20" customHeight="1" spans="1:11">
      <c r="A80" s="22">
        <v>91</v>
      </c>
      <c r="B80" s="23">
        <v>46192</v>
      </c>
      <c r="C80" s="24" t="str">
        <v>趣点购浦发</v>
      </c>
      <c r="D80" s="24">
        <v>0</v>
      </c>
      <c r="E80" s="24" t="str">
        <v>超市营业款</v>
      </c>
      <c r="F80" s="24">
        <v>8137.49</v>
      </c>
      <c r="G80" s="24">
        <v>0</v>
      </c>
      <c r="H80" s="24">
        <v>621177.49</v>
      </c>
      <c r="I80" s="24">
        <v>0</v>
      </c>
      <c r="J80" s="24">
        <v>0</v>
      </c>
      <c r="K80" s="25">
        <v>202606</v>
      </c>
    </row>
    <row r="81" s="5" customFormat="1" ht="20" customHeight="1" spans="1:11">
      <c r="A81" s="22">
        <v>92</v>
      </c>
      <c r="B81" s="23">
        <v>46193</v>
      </c>
      <c r="C81" s="24" t="str">
        <v>趣点购浦发</v>
      </c>
      <c r="D81" s="24">
        <v>0</v>
      </c>
      <c r="E81" s="24" t="str">
        <v>超市营业款</v>
      </c>
      <c r="F81" s="24">
        <v>3985.05</v>
      </c>
      <c r="G81" s="24">
        <v>0</v>
      </c>
      <c r="H81" s="24">
        <v>625162.54</v>
      </c>
      <c r="I81" s="24">
        <v>0</v>
      </c>
      <c r="J81" s="24">
        <v>0</v>
      </c>
      <c r="K81" s="25">
        <v>202606</v>
      </c>
    </row>
    <row r="82" s="5" customFormat="1" ht="20" customHeight="1" spans="1:11">
      <c r="A82" s="22">
        <v>93</v>
      </c>
      <c r="B82" s="23">
        <v>46194</v>
      </c>
      <c r="C82" s="24" t="str">
        <v>趣点购浦发</v>
      </c>
      <c r="D82" s="24">
        <v>0</v>
      </c>
      <c r="E82" s="24" t="str">
        <v>活期存款结息</v>
      </c>
      <c r="F82" s="24">
        <v>7.65</v>
      </c>
      <c r="G82" s="24">
        <v>0</v>
      </c>
      <c r="H82" s="24">
        <v>625170.19</v>
      </c>
      <c r="I82" s="24">
        <v>0</v>
      </c>
      <c r="J82" s="24">
        <v>0</v>
      </c>
      <c r="K82" s="25">
        <v>202606</v>
      </c>
    </row>
    <row r="83" s="5" customFormat="1" ht="20" customHeight="1" spans="1:11">
      <c r="A83" s="22">
        <v>94</v>
      </c>
      <c r="B83" s="23">
        <v>46194</v>
      </c>
      <c r="C83" s="24" t="str">
        <v>趣点购浦发</v>
      </c>
      <c r="D83" s="24">
        <v>0</v>
      </c>
      <c r="E83" s="24" t="str">
        <v>超市营业款</v>
      </c>
      <c r="F83" s="24">
        <v>3890.63</v>
      </c>
      <c r="G83" s="24">
        <v>0</v>
      </c>
      <c r="H83" s="24">
        <v>629060.82</v>
      </c>
      <c r="I83" s="24">
        <v>0</v>
      </c>
      <c r="J83" s="24">
        <v>0</v>
      </c>
      <c r="K83" s="25">
        <v>202606</v>
      </c>
    </row>
    <row r="84" s="5" customFormat="1" ht="20" customHeight="1" spans="1:11">
      <c r="A84" s="22">
        <v>95</v>
      </c>
      <c r="B84" s="23">
        <v>46195</v>
      </c>
      <c r="C84" s="24" t="str">
        <v>趣点购浦发</v>
      </c>
      <c r="D84" s="24">
        <v>0</v>
      </c>
      <c r="E84" s="24" t="str">
        <v>超市营业款</v>
      </c>
      <c r="F84" s="24">
        <v>4835.04</v>
      </c>
      <c r="G84" s="24">
        <v>0</v>
      </c>
      <c r="H84" s="24">
        <v>633895.86</v>
      </c>
      <c r="I84" s="24">
        <v>0</v>
      </c>
      <c r="J84" s="24">
        <v>0</v>
      </c>
      <c r="K84" s="25">
        <v>202606</v>
      </c>
    </row>
    <row r="85" s="5" customFormat="1" ht="20" customHeight="1" spans="1:11">
      <c r="A85" s="22">
        <v>96</v>
      </c>
      <c r="B85" s="23">
        <v>46195</v>
      </c>
      <c r="C85" s="24" t="str">
        <v>趣点购浦发</v>
      </c>
      <c r="D85" s="24">
        <v>0</v>
      </c>
      <c r="E85" s="24" t="str">
        <v>企业实名认证专用，金额请勿泄露</v>
      </c>
      <c r="F85" s="24">
        <v>0.45</v>
      </c>
      <c r="G85" s="24">
        <v>0</v>
      </c>
      <c r="H85" s="24">
        <v>633896.31</v>
      </c>
      <c r="I85" s="24">
        <v>0</v>
      </c>
      <c r="J85" s="24">
        <v>0</v>
      </c>
      <c r="K85" s="25">
        <v>202606</v>
      </c>
    </row>
    <row r="86" s="5" customFormat="1" ht="20" customHeight="1" spans="1:11">
      <c r="A86" s="22">
        <v>97</v>
      </c>
      <c r="B86" s="23">
        <v>46195</v>
      </c>
      <c r="C86" s="24" t="str">
        <v>趣点购浦发</v>
      </c>
      <c r="D86" s="24" t="str">
        <v>合同履约保证金</v>
      </c>
      <c r="E86" s="24" t="str">
        <v>饮料合同保证金</v>
      </c>
      <c r="F86" s="24">
        <v>0</v>
      </c>
      <c r="G86" s="24">
        <v>5000</v>
      </c>
      <c r="H86" s="24">
        <v>628896.31</v>
      </c>
      <c r="I86" s="24">
        <v>0</v>
      </c>
      <c r="J86" s="24" t="str">
        <v>成都统一企业食品有限公司</v>
      </c>
      <c r="K86" s="25">
        <v>202606</v>
      </c>
    </row>
    <row r="87" s="5" customFormat="1" ht="20" customHeight="1" spans="1:11">
      <c r="A87" s="22">
        <v>98</v>
      </c>
      <c r="B87" s="23">
        <v>46195</v>
      </c>
      <c r="C87" s="24" t="str">
        <v>趣点购浦发</v>
      </c>
      <c r="D87" s="24" t="str">
        <v>银行手续费</v>
      </c>
      <c r="E87" s="24" t="str">
        <v>网银互联汇出手续费</v>
      </c>
      <c r="F87" s="24">
        <v>0</v>
      </c>
      <c r="G87" s="24">
        <v>4.5</v>
      </c>
      <c r="H87" s="24">
        <v>628891.81</v>
      </c>
      <c r="I87" s="24">
        <v>0</v>
      </c>
      <c r="J87" s="24">
        <v>0</v>
      </c>
      <c r="K87" s="25">
        <v>202606</v>
      </c>
    </row>
    <row r="88" s="5" customFormat="1" ht="20" customHeight="1" spans="1:11">
      <c r="A88" s="22">
        <v>99</v>
      </c>
      <c r="B88" s="23">
        <v>46196</v>
      </c>
      <c r="C88" s="24" t="str">
        <v>趣点购浦发</v>
      </c>
      <c r="D88" s="24">
        <v>0</v>
      </c>
      <c r="E88" s="24" t="str">
        <v>超市营业款</v>
      </c>
      <c r="F88" s="24">
        <v>9298.21</v>
      </c>
      <c r="G88" s="24">
        <v>0</v>
      </c>
      <c r="H88" s="24">
        <v>638190.02</v>
      </c>
      <c r="I88" s="24">
        <v>0</v>
      </c>
      <c r="J88" s="24">
        <v>0</v>
      </c>
      <c r="K88" s="25">
        <v>202606</v>
      </c>
    </row>
    <row r="89" s="5" customFormat="1" ht="20" customHeight="1" spans="1:11">
      <c r="A89" s="22">
        <v>100</v>
      </c>
      <c r="B89" s="23">
        <v>46197</v>
      </c>
      <c r="C89" s="24" t="str">
        <v>趣点购浦发</v>
      </c>
      <c r="D89" s="24">
        <v>0</v>
      </c>
      <c r="E89" s="24" t="str">
        <v>超市营业款</v>
      </c>
      <c r="F89" s="24">
        <v>9069.14</v>
      </c>
      <c r="G89" s="24">
        <v>0</v>
      </c>
      <c r="H89" s="24">
        <v>647259.16</v>
      </c>
      <c r="I89" s="24">
        <v>0</v>
      </c>
      <c r="J89" s="24">
        <v>0</v>
      </c>
      <c r="K89" s="25">
        <v>202606</v>
      </c>
    </row>
    <row r="90" s="5" customFormat="1" ht="20" customHeight="1" spans="1:11">
      <c r="A90" s="22">
        <v>101</v>
      </c>
      <c r="B90" s="23">
        <v>46197</v>
      </c>
      <c r="C90" s="24" t="str">
        <v>趣点购浦发</v>
      </c>
      <c r="D90" s="24">
        <v>0</v>
      </c>
      <c r="E90" s="24" t="str">
        <v>借款-陈金刚</v>
      </c>
      <c r="F90" s="24">
        <v>260000</v>
      </c>
      <c r="G90" s="24">
        <v>0</v>
      </c>
      <c r="H90" s="24">
        <v>907259.16</v>
      </c>
      <c r="I90" s="24">
        <v>0</v>
      </c>
      <c r="J90" s="24">
        <v>0</v>
      </c>
      <c r="K90" s="25">
        <v>202606</v>
      </c>
    </row>
    <row r="91" s="5" customFormat="1" ht="20" customHeight="1" spans="1:11">
      <c r="A91" s="22">
        <v>102</v>
      </c>
      <c r="B91" s="23">
        <v>46197</v>
      </c>
      <c r="C91" s="24" t="str">
        <v>趣点购浦发</v>
      </c>
      <c r="D91" s="24" t="str">
        <v>供应商</v>
      </c>
      <c r="E91" s="24" t="str">
        <v>统一货款</v>
      </c>
      <c r="F91" s="24">
        <v>0</v>
      </c>
      <c r="G91" s="24">
        <v>103315</v>
      </c>
      <c r="H91" s="24">
        <v>803944.16</v>
      </c>
      <c r="I91" s="24">
        <v>0</v>
      </c>
      <c r="J91" s="24" t="str">
        <v>成都统一企业食品有限公司</v>
      </c>
      <c r="K91" s="25">
        <v>202606</v>
      </c>
    </row>
    <row r="92" s="5" customFormat="1" ht="20" customHeight="1" spans="1:11">
      <c r="A92" s="22">
        <v>103</v>
      </c>
      <c r="B92" s="23">
        <v>46197</v>
      </c>
      <c r="C92" s="24" t="str">
        <v>趣点购浦发</v>
      </c>
      <c r="D92" s="24" t="str">
        <v>银行手续费</v>
      </c>
      <c r="E92" s="24" t="str">
        <v>网银互联汇出手续费</v>
      </c>
      <c r="F92" s="24">
        <v>0</v>
      </c>
      <c r="G92" s="24">
        <v>15</v>
      </c>
      <c r="H92" s="24">
        <v>803929.16</v>
      </c>
      <c r="I92" s="24">
        <v>0</v>
      </c>
      <c r="J92" s="24">
        <v>0</v>
      </c>
      <c r="K92" s="25">
        <v>202606</v>
      </c>
    </row>
    <row r="93" s="5" customFormat="1" ht="20" customHeight="1" spans="1:11">
      <c r="A93" s="22">
        <v>104</v>
      </c>
      <c r="B93" s="23">
        <v>46198</v>
      </c>
      <c r="C93" s="24" t="str">
        <v>趣点购浦发</v>
      </c>
      <c r="D93" s="24">
        <v>0</v>
      </c>
      <c r="E93" s="24" t="str">
        <v>超市营业款</v>
      </c>
      <c r="F93" s="24">
        <v>8665.27</v>
      </c>
      <c r="G93" s="24">
        <v>0</v>
      </c>
      <c r="H93" s="24">
        <v>812594.43</v>
      </c>
      <c r="I93" s="24">
        <v>0</v>
      </c>
      <c r="J93" s="24">
        <v>0</v>
      </c>
      <c r="K93" s="25">
        <v>202606</v>
      </c>
    </row>
    <row r="94" s="5" customFormat="1" ht="20" customHeight="1" spans="1:11">
      <c r="A94" s="22">
        <v>105</v>
      </c>
      <c r="B94" s="23">
        <v>46198</v>
      </c>
      <c r="C94" s="24" t="str">
        <v>趣点购浦发</v>
      </c>
      <c r="D94" s="24">
        <v>0</v>
      </c>
      <c r="E94" s="24" t="str">
        <v>货款</v>
      </c>
      <c r="F94" s="24">
        <v>20000</v>
      </c>
      <c r="G94" s="24">
        <v>0</v>
      </c>
      <c r="H94" s="24">
        <v>832594.43</v>
      </c>
      <c r="I94" s="24" t="str">
        <v>陈金刚</v>
      </c>
      <c r="J94" s="24">
        <v>0</v>
      </c>
      <c r="K94" s="25">
        <v>202606</v>
      </c>
    </row>
    <row r="95" s="5" customFormat="1" ht="20" customHeight="1" spans="1:11">
      <c r="A95" s="22">
        <v>106</v>
      </c>
      <c r="B95" s="23">
        <v>46198</v>
      </c>
      <c r="C95" s="24" t="str">
        <v>趣点购浦发</v>
      </c>
      <c r="D95" s="24" t="str">
        <v>场地租金</v>
      </c>
      <c r="E95" s="24" t="str">
        <v>预付地铁售货机合同执行第一季度租金</v>
      </c>
      <c r="F95" s="24">
        <v>0</v>
      </c>
      <c r="G95" s="24">
        <v>316219</v>
      </c>
      <c r="H95" s="24">
        <v>516375.43</v>
      </c>
      <c r="I95" s="24" t="str">
        <v>成都蓉港商业发展有限公司</v>
      </c>
      <c r="J95" s="24">
        <v>0</v>
      </c>
      <c r="K95" s="25">
        <v>202606</v>
      </c>
    </row>
    <row r="96" s="5" customFormat="1" ht="20" customHeight="1" spans="1:11">
      <c r="A96" s="22">
        <v>107</v>
      </c>
      <c r="B96" s="23">
        <v>46198</v>
      </c>
      <c r="C96" s="24" t="str">
        <v>趣点购浦发</v>
      </c>
      <c r="D96" s="24" t="str">
        <v>银行手续费</v>
      </c>
      <c r="E96" s="24" t="str">
        <v>网银互联汇出手续费</v>
      </c>
      <c r="F96" s="24">
        <v>0</v>
      </c>
      <c r="G96" s="24">
        <v>1</v>
      </c>
      <c r="H96" s="24">
        <v>516374.43</v>
      </c>
      <c r="I96" s="24">
        <v>0</v>
      </c>
      <c r="J96" s="24">
        <v>0</v>
      </c>
      <c r="K96" s="25">
        <v>202606</v>
      </c>
    </row>
    <row r="97" s="5" customFormat="1" ht="20" customHeight="1" spans="1:11">
      <c r="A97" s="22">
        <v>108</v>
      </c>
      <c r="B97" s="23">
        <v>46198</v>
      </c>
      <c r="C97" s="24" t="str">
        <v>趣点购浦发</v>
      </c>
      <c r="D97" s="24" t="str">
        <v>合同履约保证金</v>
      </c>
      <c r="E97" s="24" t="str">
        <v>地铁售货机合同履约保证金</v>
      </c>
      <c r="F97" s="24">
        <v>0</v>
      </c>
      <c r="G97" s="24">
        <v>516000</v>
      </c>
      <c r="H97" s="24">
        <v>374.429999999469</v>
      </c>
      <c r="I97" s="24" t="str">
        <v>成都蓉港商业发展有限公司</v>
      </c>
      <c r="J97" s="24">
        <v>0</v>
      </c>
      <c r="K97" s="25">
        <v>202606</v>
      </c>
    </row>
    <row r="98" s="5" customFormat="1" ht="20" customHeight="1" spans="1:11">
      <c r="A98" s="22">
        <v>109</v>
      </c>
      <c r="B98" s="23">
        <v>46198</v>
      </c>
      <c r="C98" s="24" t="str">
        <v>趣点购浦发</v>
      </c>
      <c r="D98" s="24" t="str">
        <v>银行手续费</v>
      </c>
      <c r="E98" s="24" t="str">
        <v>网银互联汇出手续费</v>
      </c>
      <c r="F98" s="24">
        <v>0</v>
      </c>
      <c r="G98" s="24">
        <v>1</v>
      </c>
      <c r="H98" s="24">
        <v>373.429999999469</v>
      </c>
      <c r="I98" s="24">
        <v>0</v>
      </c>
      <c r="J98" s="24">
        <v>0</v>
      </c>
      <c r="K98" s="25">
        <v>202606</v>
      </c>
    </row>
    <row r="99" s="5" customFormat="1" ht="20" customHeight="1" spans="1:11">
      <c r="A99" s="22">
        <v>110</v>
      </c>
      <c r="B99" s="23">
        <v>46199</v>
      </c>
      <c r="C99" s="24" t="str">
        <v>趣点购浦发</v>
      </c>
      <c r="D99" s="24">
        <v>0</v>
      </c>
      <c r="E99" s="24" t="str">
        <v>超市营业款</v>
      </c>
      <c r="F99" s="24">
        <v>8060.12</v>
      </c>
      <c r="G99" s="24">
        <v>0</v>
      </c>
      <c r="H99" s="24">
        <v>8433.54999999958</v>
      </c>
      <c r="I99" s="24">
        <v>0</v>
      </c>
      <c r="J99" s="24">
        <v>0</v>
      </c>
      <c r="K99" s="25">
        <v>202606</v>
      </c>
    </row>
    <row r="100" s="5" customFormat="1" ht="20" customHeight="1" spans="1:11">
      <c r="A100" s="22">
        <v>111</v>
      </c>
      <c r="B100" s="23">
        <v>46200</v>
      </c>
      <c r="C100" s="24" t="str">
        <v>趣点购浦发</v>
      </c>
      <c r="D100" s="24">
        <v>0</v>
      </c>
      <c r="E100" s="24" t="str">
        <v>超市营业款</v>
      </c>
      <c r="F100" s="24">
        <v>8333.03</v>
      </c>
      <c r="G100" s="24">
        <v>0</v>
      </c>
      <c r="H100" s="24">
        <v>16766.5799999996</v>
      </c>
      <c r="I100" s="24">
        <v>0</v>
      </c>
      <c r="J100" s="24">
        <v>0</v>
      </c>
      <c r="K100" s="25">
        <v>202606</v>
      </c>
    </row>
    <row r="101" s="5" customFormat="1" ht="20" customHeight="1" spans="1:11">
      <c r="A101" s="22">
        <v>112</v>
      </c>
      <c r="B101" s="23">
        <v>46201</v>
      </c>
      <c r="C101" s="24" t="str">
        <v>趣点购浦发</v>
      </c>
      <c r="D101" s="24">
        <v>0</v>
      </c>
      <c r="E101" s="24" t="str">
        <v>超市营业款</v>
      </c>
      <c r="F101" s="24">
        <v>6478.19</v>
      </c>
      <c r="G101" s="24">
        <v>0</v>
      </c>
      <c r="H101" s="24">
        <v>23244.7699999996</v>
      </c>
      <c r="I101" s="24">
        <v>0</v>
      </c>
      <c r="J101" s="24">
        <v>0</v>
      </c>
      <c r="K101" s="25">
        <v>202606</v>
      </c>
    </row>
    <row r="102" s="5" customFormat="1" ht="20" customHeight="1" spans="1:11">
      <c r="A102" s="22">
        <v>113</v>
      </c>
      <c r="B102" s="23">
        <v>46202</v>
      </c>
      <c r="C102" s="24" t="str">
        <v>趣点购浦发</v>
      </c>
      <c r="D102" s="24">
        <v>0</v>
      </c>
      <c r="E102" s="24" t="str">
        <v>超市营业款</v>
      </c>
      <c r="F102" s="24">
        <v>6974.78</v>
      </c>
      <c r="G102" s="24">
        <v>0</v>
      </c>
      <c r="H102" s="24">
        <v>30219.5499999996</v>
      </c>
      <c r="I102" s="24">
        <v>0</v>
      </c>
      <c r="J102" s="24">
        <v>0</v>
      </c>
      <c r="K102" s="25">
        <v>202606</v>
      </c>
    </row>
    <row r="103" s="5" customFormat="1" ht="20" customHeight="1" spans="1:11">
      <c r="A103" s="22">
        <v>114</v>
      </c>
      <c r="B103" s="23">
        <v>46202</v>
      </c>
      <c r="C103" s="24" t="str">
        <v>趣点购浦发</v>
      </c>
      <c r="D103" s="24" t="str">
        <v>工资</v>
      </c>
      <c r="E103" s="24" t="str">
        <v>陈金刚</v>
      </c>
      <c r="F103" s="24">
        <v>0</v>
      </c>
      <c r="G103" s="24">
        <v>20000</v>
      </c>
      <c r="H103" s="24">
        <v>10219.5499999996</v>
      </c>
      <c r="I103" s="24">
        <v>0</v>
      </c>
      <c r="J103" s="24">
        <v>0</v>
      </c>
      <c r="K103" s="25">
        <v>202606</v>
      </c>
    </row>
    <row r="104" s="5" customFormat="1" ht="20" customHeight="1" spans="1:11">
      <c r="A104" s="22">
        <v>115</v>
      </c>
      <c r="B104" s="23">
        <v>46202</v>
      </c>
      <c r="C104" s="24" t="str">
        <v>趣点购浦发</v>
      </c>
      <c r="D104" s="24" t="str">
        <v>银行手续费</v>
      </c>
      <c r="E104" s="24" t="str">
        <v>网银互联汇出手续费</v>
      </c>
      <c r="F104" s="24">
        <v>0</v>
      </c>
      <c r="G104" s="24">
        <v>9</v>
      </c>
      <c r="H104" s="24">
        <v>10210.5499999996</v>
      </c>
      <c r="I104" s="24">
        <v>0</v>
      </c>
      <c r="J104" s="24">
        <v>0</v>
      </c>
      <c r="K104" s="25">
        <v>202606</v>
      </c>
    </row>
    <row r="105" s="5" customFormat="1" ht="20" customHeight="1" spans="1:11">
      <c r="A105" s="22">
        <v>116</v>
      </c>
      <c r="B105" s="23">
        <v>46202</v>
      </c>
      <c r="C105" s="24" t="str">
        <v>趣点购浦发</v>
      </c>
      <c r="D105" s="24" t="str">
        <v>税费</v>
      </c>
      <c r="E105" s="24" t="str">
        <v>缴税</v>
      </c>
      <c r="F105" s="24">
        <v>0</v>
      </c>
      <c r="G105" s="24">
        <v>1605.56</v>
      </c>
      <c r="H105" s="24">
        <v>8604.98999999952</v>
      </c>
      <c r="I105" s="24">
        <v>0</v>
      </c>
      <c r="J105" s="24">
        <v>0</v>
      </c>
      <c r="K105" s="25">
        <v>202606</v>
      </c>
    </row>
    <row r="106" s="5" customFormat="1" ht="20" customHeight="1" spans="1:11">
      <c r="A106" s="22">
        <v>117</v>
      </c>
      <c r="B106" s="23">
        <v>46202</v>
      </c>
      <c r="C106" s="24" t="str">
        <v>趣点购浦发</v>
      </c>
      <c r="D106" s="24" t="str">
        <v>税费</v>
      </c>
      <c r="E106" s="24" t="str">
        <v>缴税</v>
      </c>
      <c r="F106" s="24">
        <v>0</v>
      </c>
      <c r="G106" s="24">
        <v>3928.18</v>
      </c>
      <c r="H106" s="24">
        <v>4676.80999999959</v>
      </c>
      <c r="I106" s="24">
        <v>0</v>
      </c>
      <c r="J106" s="24">
        <v>0</v>
      </c>
      <c r="K106" s="25">
        <v>202606</v>
      </c>
    </row>
    <row r="107" s="5" customFormat="1" ht="20" customHeight="1" spans="1:11">
      <c r="A107" s="22">
        <v>118</v>
      </c>
      <c r="B107" s="23">
        <v>46203</v>
      </c>
      <c r="C107" s="24" t="str">
        <v>趣点购浦发</v>
      </c>
      <c r="D107" s="24">
        <v>0</v>
      </c>
      <c r="E107" s="24" t="str">
        <v>超市营业款</v>
      </c>
      <c r="F107" s="24">
        <v>9746.07</v>
      </c>
      <c r="G107" s="24">
        <v>0</v>
      </c>
      <c r="H107" s="24">
        <v>14422.8799999997</v>
      </c>
      <c r="I107" s="24">
        <v>0</v>
      </c>
      <c r="J107" s="24">
        <v>0</v>
      </c>
      <c r="K107" s="25">
        <v>202606</v>
      </c>
    </row>
    <row r="108" s="5" customFormat="1" ht="20" customHeight="1" spans="1:11">
      <c r="A108" s="22">
        <v>119</v>
      </c>
      <c r="B108" s="23">
        <v>46204</v>
      </c>
      <c r="C108" s="24" t="str">
        <v>趣点购浦发</v>
      </c>
      <c r="D108" s="24">
        <v>0</v>
      </c>
      <c r="E108" s="24" t="str">
        <v>超市营业款</v>
      </c>
      <c r="F108" s="24">
        <v>8773.73</v>
      </c>
      <c r="G108" s="24">
        <v>0</v>
      </c>
      <c r="H108" s="24">
        <v>23196.6099999996</v>
      </c>
      <c r="I108" s="24">
        <v>0</v>
      </c>
      <c r="J108" s="24">
        <v>0</v>
      </c>
      <c r="K108" s="25">
        <v>202607</v>
      </c>
    </row>
    <row r="109" s="5" customFormat="1" ht="20" customHeight="1" spans="1:11">
      <c r="A109" s="22">
        <v>120</v>
      </c>
      <c r="B109" s="23">
        <v>46205</v>
      </c>
      <c r="C109" s="24" t="str">
        <v>趣点购浦发</v>
      </c>
      <c r="D109" s="24">
        <v>0</v>
      </c>
      <c r="E109" s="24" t="str">
        <v>超市营业款</v>
      </c>
      <c r="F109" s="24">
        <v>9065.51</v>
      </c>
      <c r="G109" s="24">
        <v>0</v>
      </c>
      <c r="H109" s="24">
        <v>32262.1199999996</v>
      </c>
      <c r="I109" s="24">
        <v>0</v>
      </c>
      <c r="J109" s="24">
        <v>0</v>
      </c>
      <c r="K109" s="25">
        <v>202607</v>
      </c>
    </row>
    <row r="110" s="5" customFormat="1" ht="20" customHeight="1" spans="1:11">
      <c r="A110" s="22">
        <v>121</v>
      </c>
      <c r="B110" s="23">
        <v>46206</v>
      </c>
      <c r="C110" s="24" t="str">
        <v>趣点购浦发</v>
      </c>
      <c r="D110" s="24">
        <v>0</v>
      </c>
      <c r="E110" s="24" t="str">
        <v>超市营业款</v>
      </c>
      <c r="F110" s="24">
        <v>10916.23</v>
      </c>
      <c r="G110" s="24">
        <v>0</v>
      </c>
      <c r="H110" s="24">
        <v>43178.3499999996</v>
      </c>
      <c r="I110" s="24">
        <v>0</v>
      </c>
      <c r="J110" s="24">
        <v>0</v>
      </c>
      <c r="K110" s="25">
        <v>202607</v>
      </c>
    </row>
    <row r="111" s="5" customFormat="1" ht="20" customHeight="1" spans="1:11">
      <c r="A111" s="22">
        <v>122</v>
      </c>
      <c r="B111" s="23">
        <v>46207</v>
      </c>
      <c r="C111" s="24" t="str">
        <v>趣点购浦发</v>
      </c>
      <c r="D111" s="24">
        <v>0</v>
      </c>
      <c r="E111" s="24" t="str">
        <v>超市营业款</v>
      </c>
      <c r="F111" s="24">
        <v>7444.13</v>
      </c>
      <c r="G111" s="24">
        <v>0</v>
      </c>
      <c r="H111" s="24">
        <v>50622.4799999995</v>
      </c>
      <c r="I111" s="24">
        <v>0</v>
      </c>
      <c r="J111" s="24">
        <v>0</v>
      </c>
      <c r="K111" s="25">
        <v>202607</v>
      </c>
    </row>
    <row r="112" s="5" customFormat="1" ht="20" customHeight="1" spans="1:11">
      <c r="A112" s="22">
        <v>123</v>
      </c>
      <c r="B112" s="23">
        <v>46208</v>
      </c>
      <c r="C112" s="24" t="str">
        <v>趣点购浦发</v>
      </c>
      <c r="D112" s="24">
        <v>0</v>
      </c>
      <c r="E112" s="24" t="str">
        <v>超市营业款</v>
      </c>
      <c r="F112" s="24">
        <v>7407.41</v>
      </c>
      <c r="G112" s="24">
        <v>0</v>
      </c>
      <c r="H112" s="24">
        <v>58029.8899999994</v>
      </c>
      <c r="I112" s="24">
        <v>0</v>
      </c>
      <c r="J112" s="24">
        <v>0</v>
      </c>
      <c r="K112" s="25">
        <v>202607</v>
      </c>
    </row>
    <row r="113" s="5" customFormat="1" ht="20" customHeight="1" spans="1:11">
      <c r="A113" s="22">
        <v>124</v>
      </c>
      <c r="B113" s="23">
        <v>46209</v>
      </c>
      <c r="C113" s="24" t="str">
        <v>趣点购浦发</v>
      </c>
      <c r="D113" s="24">
        <v>0</v>
      </c>
      <c r="E113" s="24" t="str">
        <v>超市营业款</v>
      </c>
      <c r="F113" s="24">
        <v>7817.88</v>
      </c>
      <c r="G113" s="24">
        <v>0</v>
      </c>
      <c r="H113" s="24">
        <v>65847.7699999993</v>
      </c>
      <c r="I113" s="24">
        <v>0</v>
      </c>
      <c r="J113" s="24">
        <v>0</v>
      </c>
      <c r="K113" s="25">
        <v>202607</v>
      </c>
    </row>
    <row r="114" s="5" customFormat="1" ht="20" customHeight="1" spans="1:11">
      <c r="A114" s="22">
        <v>125</v>
      </c>
      <c r="B114" s="23">
        <v>46210</v>
      </c>
      <c r="C114" s="24" t="str">
        <v>趣点购浦发</v>
      </c>
      <c r="D114" s="24">
        <v>0</v>
      </c>
      <c r="E114" s="24" t="str">
        <v>超市营业款</v>
      </c>
      <c r="F114" s="24">
        <v>9230.78</v>
      </c>
      <c r="G114" s="24">
        <v>0</v>
      </c>
      <c r="H114" s="24">
        <v>75078.5499999993</v>
      </c>
      <c r="I114" s="24">
        <v>0</v>
      </c>
      <c r="J114" s="24">
        <v>0</v>
      </c>
      <c r="K114" s="25">
        <v>202607</v>
      </c>
    </row>
    <row r="115" s="5" customFormat="1" ht="20" customHeight="1" spans="1:11">
      <c r="A115" s="22">
        <v>126</v>
      </c>
      <c r="B115" s="23">
        <v>46211</v>
      </c>
      <c r="C115" s="24" t="str">
        <v>趣点购浦发</v>
      </c>
      <c r="D115" s="24">
        <v>0</v>
      </c>
      <c r="E115" s="24" t="str">
        <v>超市营业款</v>
      </c>
      <c r="F115" s="24">
        <v>10776.47</v>
      </c>
      <c r="G115" s="24">
        <v>0</v>
      </c>
      <c r="H115" s="24">
        <v>85855.0199999993</v>
      </c>
      <c r="I115" s="24">
        <v>0</v>
      </c>
      <c r="J115" s="24">
        <v>0</v>
      </c>
      <c r="K115" s="25">
        <v>202607</v>
      </c>
    </row>
    <row r="116" s="5" customFormat="1" ht="20" customHeight="1" spans="1:11">
      <c r="A116" s="22">
        <v>127</v>
      </c>
      <c r="B116" s="23">
        <v>46212</v>
      </c>
      <c r="C116" s="24" t="str">
        <v>趣点购浦发</v>
      </c>
      <c r="D116" s="24">
        <v>0</v>
      </c>
      <c r="E116" s="24" t="str">
        <v>超市营业款</v>
      </c>
      <c r="F116" s="24">
        <v>8987.46</v>
      </c>
      <c r="G116" s="24">
        <v>0</v>
      </c>
      <c r="H116" s="24">
        <v>94842.4799999993</v>
      </c>
      <c r="I116" s="24">
        <v>0</v>
      </c>
      <c r="J116" s="24">
        <v>0</v>
      </c>
      <c r="K116" s="25">
        <v>202607</v>
      </c>
    </row>
    <row r="117" s="5" customFormat="1" ht="20" customHeight="1" spans="1:11">
      <c r="A117" s="22">
        <v>128</v>
      </c>
      <c r="B117" s="23">
        <v>46213</v>
      </c>
      <c r="C117" s="24" t="str">
        <v>趣点购浦发</v>
      </c>
      <c r="D117" s="24">
        <v>0</v>
      </c>
      <c r="E117" s="24" t="str">
        <v>超市营业款</v>
      </c>
      <c r="F117" s="24">
        <v>12722.93</v>
      </c>
      <c r="G117" s="24">
        <v>0</v>
      </c>
      <c r="H117" s="24">
        <v>107565.409999999</v>
      </c>
      <c r="I117" s="24">
        <v>0</v>
      </c>
      <c r="J117" s="24">
        <v>0</v>
      </c>
      <c r="K117" s="25">
        <v>202607</v>
      </c>
    </row>
    <row r="118" s="5" customFormat="1" ht="20" customHeight="1" spans="1:11">
      <c r="A118" s="22">
        <v>129</v>
      </c>
      <c r="B118" s="23">
        <v>46214</v>
      </c>
      <c r="C118" s="24" t="str">
        <v>趣点购浦发</v>
      </c>
      <c r="D118" s="24">
        <v>0</v>
      </c>
      <c r="E118" s="24" t="str">
        <v>超市营业款</v>
      </c>
      <c r="F118" s="24">
        <v>11069.75</v>
      </c>
      <c r="G118" s="24">
        <v>0</v>
      </c>
      <c r="H118" s="24">
        <v>118635.159999999</v>
      </c>
      <c r="I118" s="24">
        <v>0</v>
      </c>
      <c r="J118" s="24">
        <v>0</v>
      </c>
      <c r="K118" s="25">
        <v>202607</v>
      </c>
    </row>
    <row r="119" s="5" customFormat="1" ht="20" customHeight="1" spans="1:11">
      <c r="A119" s="22">
        <v>130</v>
      </c>
      <c r="B119" s="23">
        <v>46214</v>
      </c>
      <c r="C119" s="24" t="str">
        <v>趣点购浦发</v>
      </c>
      <c r="D119" s="24" t="str">
        <v>工资</v>
      </c>
      <c r="E119" s="24" t="str">
        <v>陈樨</v>
      </c>
      <c r="F119" s="24">
        <v>0</v>
      </c>
      <c r="G119" s="24">
        <v>5000</v>
      </c>
      <c r="H119" s="24">
        <v>113635.159999999</v>
      </c>
      <c r="I119" s="24">
        <v>0</v>
      </c>
      <c r="J119" s="24">
        <v>0</v>
      </c>
      <c r="K119" s="25">
        <v>202607</v>
      </c>
    </row>
    <row r="120" s="5" customFormat="1" ht="20" customHeight="1" spans="1:11">
      <c r="A120" s="22">
        <v>131</v>
      </c>
      <c r="B120" s="23">
        <v>46214</v>
      </c>
      <c r="C120" s="24" t="str">
        <v>趣点购浦发</v>
      </c>
      <c r="D120" s="24" t="str">
        <v>银行手续费</v>
      </c>
      <c r="E120" s="24" t="str">
        <v>网银互联汇出手续费</v>
      </c>
      <c r="F120" s="24">
        <v>0</v>
      </c>
      <c r="G120" s="24">
        <v>4.5</v>
      </c>
      <c r="H120" s="24">
        <v>113630.659999999</v>
      </c>
      <c r="I120" s="24">
        <v>0</v>
      </c>
      <c r="J120" s="24">
        <v>0</v>
      </c>
      <c r="K120" s="25">
        <v>202607</v>
      </c>
    </row>
    <row r="121" s="5" customFormat="1" ht="20" customHeight="1" spans="1:11">
      <c r="A121" s="22">
        <v>132</v>
      </c>
      <c r="B121" s="23">
        <v>46214</v>
      </c>
      <c r="C121" s="24" t="str">
        <v>趣点购浦发</v>
      </c>
      <c r="D121" s="24" t="str">
        <v>工资</v>
      </c>
      <c r="E121" s="24" t="str">
        <v>陈金刚</v>
      </c>
      <c r="F121" s="24">
        <v>0</v>
      </c>
      <c r="G121" s="24">
        <v>20480</v>
      </c>
      <c r="H121" s="24">
        <v>93150.6599999992</v>
      </c>
      <c r="I121" s="24">
        <v>0</v>
      </c>
      <c r="J121" s="24">
        <v>0</v>
      </c>
      <c r="K121" s="25">
        <v>202607</v>
      </c>
    </row>
    <row r="122" s="5" customFormat="1" ht="20" customHeight="1" spans="1:11">
      <c r="A122" s="22">
        <v>133</v>
      </c>
      <c r="B122" s="23">
        <v>46214</v>
      </c>
      <c r="C122" s="24" t="str">
        <v>趣点购浦发</v>
      </c>
      <c r="D122" s="24" t="str">
        <v>银行手续费</v>
      </c>
      <c r="E122" s="24" t="str">
        <v>网银互联汇出手续费</v>
      </c>
      <c r="F122" s="24">
        <v>0</v>
      </c>
      <c r="G122" s="24">
        <v>9</v>
      </c>
      <c r="H122" s="24">
        <v>93141.6599999992</v>
      </c>
      <c r="I122" s="24">
        <v>0</v>
      </c>
      <c r="J122" s="24">
        <v>0</v>
      </c>
      <c r="K122" s="25">
        <v>202607</v>
      </c>
    </row>
    <row r="123" s="5" customFormat="1" ht="20" customHeight="1" spans="1:11">
      <c r="A123" s="22">
        <v>134</v>
      </c>
      <c r="B123" s="23">
        <v>46214</v>
      </c>
      <c r="C123" s="24" t="str">
        <v>趣点购浦发</v>
      </c>
      <c r="D123" s="24" t="str">
        <v>工资</v>
      </c>
      <c r="E123" s="24" t="str">
        <v>方中桥</v>
      </c>
      <c r="F123" s="24">
        <v>0</v>
      </c>
      <c r="G123" s="24">
        <v>8526</v>
      </c>
      <c r="H123" s="24">
        <v>84615.6599999992</v>
      </c>
      <c r="I123" s="24">
        <v>0</v>
      </c>
      <c r="J123" s="24">
        <v>0</v>
      </c>
      <c r="K123" s="25">
        <v>202607</v>
      </c>
    </row>
    <row r="124" s="5" customFormat="1" ht="20" customHeight="1" spans="1:11">
      <c r="A124" s="22">
        <v>135</v>
      </c>
      <c r="B124" s="23">
        <v>46214</v>
      </c>
      <c r="C124" s="24" t="str">
        <v>趣点购浦发</v>
      </c>
      <c r="D124" s="24" t="str">
        <v>银行手续费</v>
      </c>
      <c r="E124" s="24" t="str">
        <v>网银互联汇出手续费</v>
      </c>
      <c r="F124" s="24">
        <v>0</v>
      </c>
      <c r="G124" s="24">
        <v>4.5</v>
      </c>
      <c r="H124" s="24">
        <v>84611.1599999992</v>
      </c>
      <c r="I124" s="24">
        <v>0</v>
      </c>
      <c r="J124" s="24">
        <v>0</v>
      </c>
      <c r="K124" s="25">
        <v>202607</v>
      </c>
    </row>
    <row r="125" s="5" customFormat="1" ht="20" customHeight="1" spans="1:11">
      <c r="A125" s="22">
        <v>136</v>
      </c>
      <c r="B125" s="23">
        <v>46214</v>
      </c>
      <c r="C125" s="24" t="str">
        <v>趣点购浦发</v>
      </c>
      <c r="D125" s="24" t="str">
        <v>工资</v>
      </c>
      <c r="E125" s="24" t="str">
        <v>杨维见</v>
      </c>
      <c r="F125" s="24">
        <v>0</v>
      </c>
      <c r="G125" s="24">
        <v>6870</v>
      </c>
      <c r="H125" s="24">
        <v>77741.1599999992</v>
      </c>
      <c r="I125" s="24">
        <v>0</v>
      </c>
      <c r="J125" s="24">
        <v>0</v>
      </c>
      <c r="K125" s="25">
        <v>202607</v>
      </c>
    </row>
    <row r="126" s="5" customFormat="1" ht="20" customHeight="1" spans="1:11">
      <c r="A126" s="22">
        <v>137</v>
      </c>
      <c r="B126" s="23">
        <v>46214</v>
      </c>
      <c r="C126" s="24" t="str">
        <v>趣点购浦发</v>
      </c>
      <c r="D126" s="24" t="str">
        <v>银行手续费</v>
      </c>
      <c r="E126" s="24" t="str">
        <v>网银互联汇出手续费</v>
      </c>
      <c r="F126" s="24">
        <v>0</v>
      </c>
      <c r="G126" s="24">
        <v>4.5</v>
      </c>
      <c r="H126" s="24">
        <v>77736.6599999992</v>
      </c>
      <c r="I126" s="24">
        <v>0</v>
      </c>
      <c r="J126" s="24">
        <v>0</v>
      </c>
      <c r="K126" s="25">
        <v>202607</v>
      </c>
    </row>
    <row r="127" s="5" customFormat="1" ht="20" customHeight="1" spans="1:11">
      <c r="A127" s="22">
        <v>138</v>
      </c>
      <c r="B127" s="23">
        <v>46214</v>
      </c>
      <c r="C127" s="24" t="str">
        <v>趣点购浦发</v>
      </c>
      <c r="D127" s="24" t="str">
        <v>工资</v>
      </c>
      <c r="E127" s="24" t="str">
        <v>王雷</v>
      </c>
      <c r="F127" s="24">
        <v>0</v>
      </c>
      <c r="G127" s="24">
        <v>5677</v>
      </c>
      <c r="H127" s="24">
        <v>72059.6599999992</v>
      </c>
      <c r="I127" s="24">
        <v>0</v>
      </c>
      <c r="J127" s="24">
        <v>0</v>
      </c>
      <c r="K127" s="25">
        <v>202607</v>
      </c>
    </row>
    <row r="128" s="5" customFormat="1" ht="20" customHeight="1" spans="1:11">
      <c r="A128" s="22">
        <v>139</v>
      </c>
      <c r="B128" s="23">
        <v>46214</v>
      </c>
      <c r="C128" s="24" t="str">
        <v>趣点购浦发</v>
      </c>
      <c r="D128" s="24" t="str">
        <v>银行手续费</v>
      </c>
      <c r="E128" s="24" t="str">
        <v>网银互联汇出手续费</v>
      </c>
      <c r="F128" s="24">
        <v>0</v>
      </c>
      <c r="G128" s="24">
        <v>4.5</v>
      </c>
      <c r="H128" s="24">
        <v>72055.1599999992</v>
      </c>
      <c r="I128" s="24">
        <v>0</v>
      </c>
      <c r="J128" s="24">
        <v>0</v>
      </c>
      <c r="K128" s="25">
        <v>202607</v>
      </c>
    </row>
    <row r="129" s="5" customFormat="1" ht="20" customHeight="1" spans="1:11">
      <c r="A129" s="22">
        <v>140</v>
      </c>
      <c r="B129" s="23">
        <v>46214</v>
      </c>
      <c r="C129" s="24" t="str">
        <v>趣点购浦发</v>
      </c>
      <c r="D129" s="24" t="str">
        <v>工资</v>
      </c>
      <c r="E129" s="24" t="str">
        <v>张辉</v>
      </c>
      <c r="F129" s="24">
        <v>0</v>
      </c>
      <c r="G129" s="24">
        <v>9333</v>
      </c>
      <c r="H129" s="24">
        <v>62722.1599999992</v>
      </c>
      <c r="I129" s="24">
        <v>0</v>
      </c>
      <c r="J129" s="24">
        <v>0</v>
      </c>
      <c r="K129" s="25">
        <v>202607</v>
      </c>
    </row>
    <row r="130" s="5" customFormat="1" ht="20" customHeight="1" spans="1:11">
      <c r="A130" s="22">
        <v>141</v>
      </c>
      <c r="B130" s="23">
        <v>46214</v>
      </c>
      <c r="C130" s="24" t="str">
        <v>趣点购浦发</v>
      </c>
      <c r="D130" s="24" t="str">
        <v>银行手续费</v>
      </c>
      <c r="E130" s="24" t="str">
        <v>网银互联汇出手续费</v>
      </c>
      <c r="F130" s="24">
        <v>0</v>
      </c>
      <c r="G130" s="24">
        <v>4.5</v>
      </c>
      <c r="H130" s="24">
        <v>62717.6599999992</v>
      </c>
      <c r="I130" s="24">
        <v>0</v>
      </c>
      <c r="J130" s="24">
        <v>0</v>
      </c>
      <c r="K130" s="25">
        <v>202607</v>
      </c>
    </row>
    <row r="131" s="5" customFormat="1" ht="20" customHeight="1" spans="1:11">
      <c r="A131" s="22">
        <v>142</v>
      </c>
      <c r="B131" s="23">
        <v>46214</v>
      </c>
      <c r="C131" s="24" t="str">
        <v>趣点购浦发</v>
      </c>
      <c r="D131" s="24" t="str">
        <v>工资</v>
      </c>
      <c r="E131" s="24" t="str">
        <v>梁金龙</v>
      </c>
      <c r="F131" s="24">
        <v>0</v>
      </c>
      <c r="G131" s="24">
        <v>6340</v>
      </c>
      <c r="H131" s="24">
        <v>56377.6599999992</v>
      </c>
      <c r="I131" s="24">
        <v>0</v>
      </c>
      <c r="J131" s="24">
        <v>0</v>
      </c>
      <c r="K131" s="25">
        <v>202607</v>
      </c>
    </row>
    <row r="132" s="5" customFormat="1" ht="20" customHeight="1" spans="1:11">
      <c r="A132" s="22">
        <v>143</v>
      </c>
      <c r="B132" s="23">
        <v>46214</v>
      </c>
      <c r="C132" s="24" t="str">
        <v>趣点购浦发</v>
      </c>
      <c r="D132" s="24" t="str">
        <v>银行手续费</v>
      </c>
      <c r="E132" s="24" t="str">
        <v>网银互联汇出手续费</v>
      </c>
      <c r="F132" s="24">
        <v>0</v>
      </c>
      <c r="G132" s="24">
        <v>4.5</v>
      </c>
      <c r="H132" s="24">
        <v>56373.1599999992</v>
      </c>
      <c r="I132" s="24">
        <v>0</v>
      </c>
      <c r="J132" s="24">
        <v>0</v>
      </c>
      <c r="K132" s="25">
        <v>202607</v>
      </c>
    </row>
    <row r="133" s="5" customFormat="1" ht="20" customHeight="1" spans="1:11">
      <c r="A133" s="22">
        <v>144</v>
      </c>
      <c r="B133" s="23">
        <v>46214</v>
      </c>
      <c r="C133" s="24" t="str">
        <v>趣点购浦发</v>
      </c>
      <c r="D133" s="24" t="str">
        <v>工资</v>
      </c>
      <c r="E133" s="24" t="str">
        <v>鲜何</v>
      </c>
      <c r="F133" s="24">
        <v>0</v>
      </c>
      <c r="G133" s="24">
        <v>6220</v>
      </c>
      <c r="H133" s="24">
        <v>50153.1599999992</v>
      </c>
      <c r="I133" s="24">
        <v>0</v>
      </c>
      <c r="J133" s="24">
        <v>0</v>
      </c>
      <c r="K133" s="25">
        <v>202607</v>
      </c>
    </row>
    <row r="134" s="5" customFormat="1" ht="20" customHeight="1" spans="1:11">
      <c r="A134" s="22">
        <v>145</v>
      </c>
      <c r="B134" s="23">
        <v>46214</v>
      </c>
      <c r="C134" s="24" t="str">
        <v>趣点购浦发</v>
      </c>
      <c r="D134" s="24" t="str">
        <v>银行手续费</v>
      </c>
      <c r="E134" s="24" t="str">
        <v>网银互联汇出手续费</v>
      </c>
      <c r="F134" s="24">
        <v>0</v>
      </c>
      <c r="G134" s="24">
        <v>4.5</v>
      </c>
      <c r="H134" s="24">
        <v>50148.6599999992</v>
      </c>
      <c r="I134" s="24">
        <v>0</v>
      </c>
      <c r="J134" s="24">
        <v>0</v>
      </c>
      <c r="K134" s="25">
        <v>202607</v>
      </c>
    </row>
    <row r="135" s="5" customFormat="1" ht="20" customHeight="1" spans="1:11">
      <c r="A135" s="22">
        <v>146</v>
      </c>
      <c r="B135" s="23">
        <v>46214</v>
      </c>
      <c r="C135" s="24" t="str">
        <v>趣点购浦发</v>
      </c>
      <c r="D135" s="24" t="str">
        <v>工资</v>
      </c>
      <c r="E135" s="24" t="str">
        <v>代博</v>
      </c>
      <c r="F135" s="24">
        <v>0</v>
      </c>
      <c r="G135" s="24">
        <v>5968</v>
      </c>
      <c r="H135" s="24">
        <v>44180.6599999992</v>
      </c>
      <c r="I135" s="24">
        <v>0</v>
      </c>
      <c r="J135" s="24">
        <v>0</v>
      </c>
      <c r="K135" s="25">
        <v>202607</v>
      </c>
    </row>
    <row r="136" s="5" customFormat="1" ht="20" customHeight="1" spans="1:11">
      <c r="A136" s="22">
        <v>147</v>
      </c>
      <c r="B136" s="23">
        <v>46214</v>
      </c>
      <c r="C136" s="24" t="str">
        <v>趣点购浦发</v>
      </c>
      <c r="D136" s="24" t="str">
        <v>银行手续费</v>
      </c>
      <c r="E136" s="24" t="str">
        <v>网银互联汇出手续费</v>
      </c>
      <c r="F136" s="24">
        <v>0</v>
      </c>
      <c r="G136" s="24">
        <v>4.5</v>
      </c>
      <c r="H136" s="24">
        <v>44176.1599999992</v>
      </c>
      <c r="I136" s="24">
        <v>0</v>
      </c>
      <c r="J136" s="24">
        <v>0</v>
      </c>
      <c r="K136" s="25">
        <v>202607</v>
      </c>
    </row>
    <row r="137" s="5" customFormat="1" ht="20" customHeight="1" spans="1:11">
      <c r="A137" s="22">
        <v>148</v>
      </c>
      <c r="B137" s="23">
        <v>46214</v>
      </c>
      <c r="C137" s="24" t="str">
        <v>趣点购浦发</v>
      </c>
      <c r="D137" s="24" t="str">
        <v>工资</v>
      </c>
      <c r="E137" s="24" t="str">
        <v>张庚</v>
      </c>
      <c r="F137" s="24">
        <v>0</v>
      </c>
      <c r="G137" s="24">
        <v>8283</v>
      </c>
      <c r="H137" s="24">
        <v>35893.1599999992</v>
      </c>
      <c r="I137" s="24">
        <v>0</v>
      </c>
      <c r="J137" s="24">
        <v>0</v>
      </c>
      <c r="K137" s="25">
        <v>202607</v>
      </c>
    </row>
    <row r="138" s="5" customFormat="1" ht="20" customHeight="1" spans="1:11">
      <c r="A138" s="22">
        <v>149</v>
      </c>
      <c r="B138" s="23">
        <v>46214</v>
      </c>
      <c r="C138" s="24" t="str">
        <v>趣点购浦发</v>
      </c>
      <c r="D138" s="24" t="str">
        <v>银行手续费</v>
      </c>
      <c r="E138" s="24" t="str">
        <v>网银互联汇出手续费</v>
      </c>
      <c r="F138" s="24">
        <v>0</v>
      </c>
      <c r="G138" s="24">
        <v>4.5</v>
      </c>
      <c r="H138" s="24">
        <v>35888.6599999992</v>
      </c>
      <c r="I138" s="24">
        <v>0</v>
      </c>
      <c r="J138" s="24">
        <v>0</v>
      </c>
      <c r="K138" s="25">
        <v>202607</v>
      </c>
    </row>
    <row r="139" s="5" customFormat="1" ht="20" customHeight="1" spans="1:11">
      <c r="A139" s="22">
        <v>150</v>
      </c>
      <c r="B139" s="23">
        <v>46215</v>
      </c>
      <c r="C139" s="24" t="str">
        <v>趣点购浦发</v>
      </c>
      <c r="D139" s="24">
        <v>0</v>
      </c>
      <c r="E139" s="24" t="str">
        <v>超市营业款</v>
      </c>
      <c r="F139" s="24">
        <v>6861.2</v>
      </c>
      <c r="G139" s="24">
        <v>0</v>
      </c>
      <c r="H139" s="24">
        <v>42749.8599999992</v>
      </c>
      <c r="I139" s="24">
        <v>0</v>
      </c>
      <c r="J139" s="24">
        <v>0</v>
      </c>
      <c r="K139" s="25">
        <v>202607</v>
      </c>
    </row>
    <row r="140" s="5" customFormat="1" ht="20" customHeight="1" spans="1:11">
      <c r="A140" s="22">
        <v>151</v>
      </c>
      <c r="B140" s="23">
        <v>46216</v>
      </c>
      <c r="C140" s="24" t="str">
        <v>趣点购浦发</v>
      </c>
      <c r="D140" s="24">
        <v>0</v>
      </c>
      <c r="E140" s="24" t="str">
        <v>超市营业款</v>
      </c>
      <c r="F140" s="24">
        <v>6055.19</v>
      </c>
      <c r="G140" s="24">
        <v>0</v>
      </c>
      <c r="H140" s="24">
        <v>48805.0499999991</v>
      </c>
      <c r="I140" s="24">
        <v>0</v>
      </c>
      <c r="J140" s="24">
        <v>0</v>
      </c>
      <c r="K140" s="25">
        <v>202607</v>
      </c>
    </row>
    <row r="141" s="5" customFormat="1" ht="20" customHeight="1" spans="1:11">
      <c r="A141" s="22">
        <v>152</v>
      </c>
      <c r="B141" s="23">
        <v>46217</v>
      </c>
      <c r="C141" s="24" t="str">
        <v>趣点购浦发</v>
      </c>
      <c r="D141" s="24">
        <v>0</v>
      </c>
      <c r="E141" s="24" t="str">
        <v>超市营业款</v>
      </c>
      <c r="F141" s="24">
        <v>12392.2</v>
      </c>
      <c r="G141" s="24">
        <v>0</v>
      </c>
      <c r="H141" s="24">
        <v>61197.2499999991</v>
      </c>
      <c r="I141" s="24">
        <v>0</v>
      </c>
      <c r="J141" s="24">
        <v>0</v>
      </c>
      <c r="K141" s="25">
        <v>202607</v>
      </c>
    </row>
    <row r="142" s="5" customFormat="1" ht="20" customHeight="1" spans="1:11">
      <c r="A142" s="22">
        <v>153</v>
      </c>
      <c r="B142" s="23">
        <v>46217</v>
      </c>
      <c r="C142" s="24" t="str">
        <v>趣点购浦发</v>
      </c>
      <c r="D142" s="24" t="str">
        <v>税费</v>
      </c>
      <c r="E142" s="24" t="str">
        <v>缴税</v>
      </c>
      <c r="F142" s="24">
        <v>0</v>
      </c>
      <c r="G142" s="24">
        <v>1174.57</v>
      </c>
      <c r="H142" s="24">
        <v>60022.679999999</v>
      </c>
      <c r="I142" s="24">
        <v>0</v>
      </c>
      <c r="J142" s="24">
        <v>0</v>
      </c>
      <c r="K142" s="25">
        <v>202607</v>
      </c>
    </row>
    <row r="143" s="5" customFormat="1" ht="20" customHeight="1" spans="1:11">
      <c r="A143" s="22">
        <v>154</v>
      </c>
      <c r="B143" s="23">
        <v>46217</v>
      </c>
      <c r="C143" s="24" t="str">
        <v>趣点购浦发</v>
      </c>
      <c r="D143" s="24" t="str">
        <v>税费</v>
      </c>
      <c r="E143" s="24" t="str">
        <v>缴税</v>
      </c>
      <c r="F143" s="24">
        <v>0</v>
      </c>
      <c r="G143" s="24">
        <v>1389.52</v>
      </c>
      <c r="H143" s="24">
        <v>58633.159999999</v>
      </c>
      <c r="I143" s="24">
        <v>0</v>
      </c>
      <c r="J143" s="24">
        <v>0</v>
      </c>
      <c r="K143" s="25">
        <v>202607</v>
      </c>
    </row>
    <row r="144" s="5" customFormat="1" ht="20" customHeight="1" spans="1:11">
      <c r="A144" s="22">
        <v>155</v>
      </c>
      <c r="B144" s="23">
        <v>46218</v>
      </c>
      <c r="C144" s="24" t="str">
        <v>趣点购浦发</v>
      </c>
      <c r="D144" s="24">
        <v>0</v>
      </c>
      <c r="E144" s="24" t="str">
        <v>超市营业款</v>
      </c>
      <c r="F144" s="24">
        <v>11733.18</v>
      </c>
      <c r="G144" s="24">
        <v>0</v>
      </c>
      <c r="H144" s="24">
        <v>70366.3399999989</v>
      </c>
      <c r="I144" s="24">
        <v>0</v>
      </c>
      <c r="J144" s="24">
        <v>0</v>
      </c>
      <c r="K144" s="25">
        <v>202607</v>
      </c>
    </row>
    <row r="145" s="5" customFormat="1" ht="20" customHeight="1" spans="1:11">
      <c r="A145" s="22">
        <v>156</v>
      </c>
      <c r="B145" s="23">
        <v>46219</v>
      </c>
      <c r="C145" s="24" t="str">
        <v>趣点购浦发</v>
      </c>
      <c r="D145" s="24">
        <v>0</v>
      </c>
      <c r="E145" s="24" t="str">
        <v>超市营业款</v>
      </c>
      <c r="F145" s="24">
        <v>2403.15</v>
      </c>
      <c r="G145" s="24">
        <v>0</v>
      </c>
      <c r="H145" s="24">
        <v>72769.4899999988</v>
      </c>
      <c r="I145" s="24">
        <v>0</v>
      </c>
      <c r="J145" s="24">
        <v>0</v>
      </c>
      <c r="K145" s="25">
        <v>202607</v>
      </c>
    </row>
    <row r="146" s="5" customFormat="1" ht="20" customHeight="1" spans="1:11">
      <c r="A146" s="22">
        <v>157</v>
      </c>
      <c r="B146" s="23">
        <v>46220</v>
      </c>
      <c r="C146" s="24" t="str">
        <v>趣点购浦发</v>
      </c>
      <c r="D146" s="24">
        <v>0</v>
      </c>
      <c r="E146" s="24" t="str">
        <v>超市营业款</v>
      </c>
      <c r="F146" s="24">
        <v>896.58</v>
      </c>
      <c r="G146" s="24">
        <v>0</v>
      </c>
      <c r="H146" s="24">
        <v>73666.0699999989</v>
      </c>
      <c r="I146" s="24">
        <v>0</v>
      </c>
      <c r="J146" s="24">
        <v>0</v>
      </c>
      <c r="K146" s="25">
        <v>202607</v>
      </c>
    </row>
    <row r="147" s="5" customFormat="1" ht="20" customHeight="1" spans="1:11">
      <c r="A147" s="22">
        <v>158</v>
      </c>
      <c r="B147" s="23">
        <v>46220</v>
      </c>
      <c r="C147" s="24" t="str">
        <v>趣点购浦发</v>
      </c>
      <c r="D147" s="24">
        <v>0</v>
      </c>
      <c r="E147" s="24" t="str">
        <v>微信支付认证1233</v>
      </c>
      <c r="F147" s="24">
        <v>0.01</v>
      </c>
      <c r="G147" s="24">
        <v>0</v>
      </c>
      <c r="H147" s="24">
        <v>73666.0799999989</v>
      </c>
      <c r="I147" s="24">
        <v>0</v>
      </c>
      <c r="J147" s="24">
        <v>0</v>
      </c>
      <c r="K147" s="25">
        <v>202607</v>
      </c>
    </row>
    <row r="148" s="5" customFormat="1" ht="20" customHeight="1" spans="1:11">
      <c r="A148" s="22">
        <v>159</v>
      </c>
      <c r="B148" s="23">
        <v>46221</v>
      </c>
      <c r="C148" s="24" t="str">
        <v>趣点购浦发</v>
      </c>
      <c r="D148" s="24">
        <v>0</v>
      </c>
      <c r="E148" s="24" t="str">
        <v>超市营业款</v>
      </c>
      <c r="F148" s="24">
        <v>269.98</v>
      </c>
      <c r="G148" s="24">
        <v>0</v>
      </c>
      <c r="H148" s="24">
        <v>73936.0599999989</v>
      </c>
      <c r="I148" s="24">
        <v>0</v>
      </c>
      <c r="J148" s="24">
        <v>0</v>
      </c>
      <c r="K148" s="25">
        <v>202607</v>
      </c>
    </row>
    <row r="149" s="5" customFormat="1" ht="20" customHeight="1" spans="1:11">
      <c r="A149" s="22">
        <v>160</v>
      </c>
      <c r="B149" s="23">
        <v>46221</v>
      </c>
      <c r="C149" s="24" t="str">
        <v>趣点购浦发</v>
      </c>
      <c r="D149" s="24" t="str">
        <v>供应商</v>
      </c>
      <c r="E149" s="24" t="str">
        <v>统一货款</v>
      </c>
      <c r="F149" s="24">
        <v>0</v>
      </c>
      <c r="G149" s="24">
        <v>55919</v>
      </c>
      <c r="H149" s="24">
        <v>18017.0599999989</v>
      </c>
      <c r="I149" s="24">
        <v>0</v>
      </c>
      <c r="J149" s="24" t="str">
        <v>成都统一企业食品有限公司</v>
      </c>
      <c r="K149" s="25">
        <v>202607</v>
      </c>
    </row>
    <row r="150" s="5" customFormat="1" ht="20" customHeight="1" spans="1:11">
      <c r="A150" s="22">
        <v>161</v>
      </c>
      <c r="B150" s="23">
        <v>46221</v>
      </c>
      <c r="C150" s="24" t="str">
        <v>趣点购浦发</v>
      </c>
      <c r="D150" s="24" t="str">
        <v>银行手续费</v>
      </c>
      <c r="E150" s="24" t="str">
        <v>网银互联汇出手续费</v>
      </c>
      <c r="F150" s="24">
        <v>0</v>
      </c>
      <c r="G150" s="24">
        <v>9</v>
      </c>
      <c r="H150" s="24">
        <v>18008.0599999989</v>
      </c>
      <c r="I150" s="24">
        <v>0</v>
      </c>
      <c r="J150" s="24">
        <v>0</v>
      </c>
      <c r="K150" s="25">
        <v>202607</v>
      </c>
    </row>
    <row r="151" s="5" customFormat="1" ht="20" customHeight="1" spans="1:11">
      <c r="A151" s="22">
        <v>162</v>
      </c>
      <c r="B151" s="23">
        <v>46227</v>
      </c>
      <c r="C151" s="24" t="str">
        <v>趣点购浦发</v>
      </c>
      <c r="D151" s="24" t="str">
        <v>供应商</v>
      </c>
      <c r="E151" s="24" t="str">
        <v>货款</v>
      </c>
      <c r="F151" s="24">
        <v>0</v>
      </c>
      <c r="G151" s="24">
        <v>2677.85</v>
      </c>
      <c r="H151" s="24">
        <v>15330.2099999988</v>
      </c>
      <c r="I151" s="24">
        <v>0</v>
      </c>
      <c r="J151" s="24" t="str">
        <v>成都勤献食品有限公司</v>
      </c>
      <c r="K151" s="25">
        <v>202607</v>
      </c>
    </row>
    <row r="152" s="5" customFormat="1" ht="20" customHeight="1" spans="1:11">
      <c r="A152" s="22">
        <v>163</v>
      </c>
      <c r="B152" s="23">
        <v>46227</v>
      </c>
      <c r="C152" s="24" t="str">
        <v>趣点购浦发</v>
      </c>
      <c r="D152" s="24" t="str">
        <v>银行手续费</v>
      </c>
      <c r="E152" s="24" t="str">
        <v>网银互联汇出手续费</v>
      </c>
      <c r="F152" s="24">
        <v>0</v>
      </c>
      <c r="G152" s="24">
        <v>4.5</v>
      </c>
      <c r="H152" s="24">
        <v>15325.7099999988</v>
      </c>
      <c r="I152" s="24">
        <v>0</v>
      </c>
      <c r="J152" s="24">
        <v>0</v>
      </c>
      <c r="K152" s="25">
        <v>202607</v>
      </c>
    </row>
    <row r="153" s="5" customFormat="1" ht="20" customHeight="1" spans="1:11">
      <c r="A153" s="22">
        <v>164</v>
      </c>
      <c r="B153" s="23">
        <v>46227</v>
      </c>
      <c r="C153" s="24" t="str">
        <v>趣点购浦发</v>
      </c>
      <c r="D153" s="24" t="str">
        <v>税费</v>
      </c>
      <c r="E153" s="24" t="str">
        <v>缴税</v>
      </c>
      <c r="F153" s="24">
        <v>0</v>
      </c>
      <c r="G153" s="24">
        <v>13302.48</v>
      </c>
      <c r="H153" s="24">
        <v>2023.22999999882</v>
      </c>
      <c r="I153" s="24">
        <v>0</v>
      </c>
      <c r="J153" s="24">
        <v>0</v>
      </c>
      <c r="K153" s="25">
        <v>202607</v>
      </c>
    </row>
    <row r="154" s="5" customFormat="1" ht="20" customHeight="1" spans="1:11">
      <c r="A154" s="22">
        <v>165</v>
      </c>
      <c r="B154" s="23">
        <v>46230</v>
      </c>
      <c r="C154" s="24" t="str">
        <v>趣点购浦发</v>
      </c>
      <c r="D154" s="24">
        <v>0</v>
      </c>
      <c r="E154" s="24" t="str">
        <v>借款-陈金刚</v>
      </c>
      <c r="F154" s="24">
        <v>10000</v>
      </c>
      <c r="G154" s="24">
        <v>0</v>
      </c>
      <c r="H154" s="24">
        <v>12023.2299999988</v>
      </c>
      <c r="I154" s="24">
        <v>0</v>
      </c>
      <c r="J154" s="24">
        <v>0</v>
      </c>
      <c r="K154" s="25">
        <v>202607</v>
      </c>
    </row>
    <row r="155" s="5" customFormat="1" ht="20" customHeight="1" spans="1:11">
      <c r="A155" s="22">
        <v>166</v>
      </c>
      <c r="B155" s="23">
        <v>46230</v>
      </c>
      <c r="C155" s="24" t="str">
        <v>趣点购浦发</v>
      </c>
      <c r="D155" s="24" t="str">
        <v>税费</v>
      </c>
      <c r="E155" s="24" t="str">
        <v>缴税</v>
      </c>
      <c r="F155" s="24">
        <v>0</v>
      </c>
      <c r="G155" s="24">
        <v>5428.48</v>
      </c>
      <c r="H155" s="24">
        <v>6594.74999999884</v>
      </c>
      <c r="I155" s="24">
        <v>0</v>
      </c>
      <c r="J155" s="24">
        <v>0</v>
      </c>
      <c r="K155" s="25">
        <v>202607</v>
      </c>
    </row>
    <row r="156" s="5" customFormat="1" ht="20" customHeight="1" spans="1:11">
      <c r="A156" s="22">
        <v>167</v>
      </c>
      <c r="B156" s="23">
        <v>46230</v>
      </c>
      <c r="C156" s="24" t="str">
        <v>趣点购浦发</v>
      </c>
      <c r="D156" s="24" t="str">
        <v>投标保证金</v>
      </c>
      <c r="E156" s="24" t="str">
        <v>九龙社区公园投标保证金</v>
      </c>
      <c r="F156" s="24">
        <v>0</v>
      </c>
      <c r="G156" s="24">
        <v>1683</v>
      </c>
      <c r="H156" s="24">
        <v>4911.74999999884</v>
      </c>
      <c r="I156" s="24" t="str">
        <v>成都市双流区公共资源交易服务中心</v>
      </c>
      <c r="J156" s="24">
        <v>0</v>
      </c>
      <c r="K156" s="25">
        <v>202607</v>
      </c>
    </row>
    <row r="157" s="5" customFormat="1" ht="20" customHeight="1" spans="1:11">
      <c r="A157" s="22">
        <v>168</v>
      </c>
      <c r="B157" s="23">
        <v>46230</v>
      </c>
      <c r="C157" s="24" t="str">
        <v>趣点购浦发</v>
      </c>
      <c r="D157" s="24" t="str">
        <v>银行手续费</v>
      </c>
      <c r="E157" s="24" t="str">
        <v>网银互联汇出手续费</v>
      </c>
      <c r="F157" s="24">
        <v>0</v>
      </c>
      <c r="G157" s="24">
        <v>4.5</v>
      </c>
      <c r="H157" s="24">
        <v>4907.24999999884</v>
      </c>
      <c r="I157" s="24">
        <v>0</v>
      </c>
      <c r="J157" s="24">
        <v>0</v>
      </c>
      <c r="K157" s="25">
        <v>202607</v>
      </c>
    </row>
    <row r="158" s="5" customFormat="1" ht="20" customHeight="1" spans="1:11">
      <c r="A158" s="22">
        <v>169</v>
      </c>
      <c r="B158" s="23">
        <v>46231</v>
      </c>
      <c r="C158" s="24" t="str">
        <v>趣点购浦发</v>
      </c>
      <c r="D158" s="24" t="str">
        <v>投标保证金</v>
      </c>
      <c r="E158" s="24" t="str">
        <v>公兴场镇公园投标保证金</v>
      </c>
      <c r="F158" s="24">
        <v>0</v>
      </c>
      <c r="G158" s="24">
        <v>4488</v>
      </c>
      <c r="H158" s="24">
        <v>419.249999998836</v>
      </c>
      <c r="I158" s="24" t="str">
        <v>成都市双流区公共资源交易服务中心</v>
      </c>
      <c r="J158" s="24">
        <v>0</v>
      </c>
      <c r="K158" s="25">
        <v>202607</v>
      </c>
    </row>
    <row r="159" s="5" customFormat="1" ht="20" customHeight="1" spans="1:11">
      <c r="A159" s="22">
        <v>170</v>
      </c>
      <c r="B159" s="23">
        <v>46231</v>
      </c>
      <c r="C159" s="24" t="str">
        <v>趣点购浦发</v>
      </c>
      <c r="D159" s="24" t="str">
        <v>银行手续费</v>
      </c>
      <c r="E159" s="24" t="str">
        <v>网银互联汇出手续费</v>
      </c>
      <c r="F159" s="24">
        <v>0</v>
      </c>
      <c r="G159" s="24">
        <v>4.5</v>
      </c>
      <c r="H159" s="24">
        <v>414.749999998836</v>
      </c>
      <c r="I159" s="24">
        <v>0</v>
      </c>
      <c r="J159" s="24">
        <v>0</v>
      </c>
      <c r="K159" s="25">
        <v>202607</v>
      </c>
    </row>
    <row r="160" s="5" customFormat="1" ht="20" customHeight="1" spans="1:11">
      <c r="A160" s="22">
        <v>171</v>
      </c>
      <c r="B160" s="23">
        <v>46242</v>
      </c>
      <c r="C160" s="24" t="str">
        <v>趣点购浦发</v>
      </c>
      <c r="D160" s="24">
        <v>0</v>
      </c>
      <c r="E160" s="24" t="str">
        <v>小麦售货机260808_1233</v>
      </c>
      <c r="F160" s="24">
        <v>901.54</v>
      </c>
      <c r="G160" s="24">
        <v>0</v>
      </c>
      <c r="H160" s="24">
        <v>1316.28999999887</v>
      </c>
      <c r="I160" s="24">
        <v>0</v>
      </c>
      <c r="J160" s="24">
        <v>0</v>
      </c>
      <c r="K160" s="25">
        <v>202608</v>
      </c>
    </row>
    <row r="161" s="5" customFormat="1" ht="20" customHeight="1" spans="1:11">
      <c r="A161" s="22">
        <v>172</v>
      </c>
      <c r="B161" s="23">
        <v>46242</v>
      </c>
      <c r="C161" s="24" t="str">
        <v>趣点购浦发</v>
      </c>
      <c r="D161" s="24">
        <v>0</v>
      </c>
      <c r="E161" s="24" t="str">
        <v>MM哈哈售货机_1746233457</v>
      </c>
      <c r="F161" s="24">
        <v>3827.64</v>
      </c>
      <c r="G161" s="24">
        <v>0</v>
      </c>
      <c r="H161" s="24">
        <v>5143.92999999877</v>
      </c>
      <c r="I161" s="24">
        <v>0</v>
      </c>
      <c r="J161" s="24">
        <v>0</v>
      </c>
      <c r="K161" s="25">
        <v>202608</v>
      </c>
    </row>
    <row r="162" s="5" customFormat="1" ht="20" customHeight="1" spans="1:11">
      <c r="A162" s="22">
        <v>173</v>
      </c>
      <c r="B162" s="23">
        <v>46242</v>
      </c>
      <c r="C162" s="24" t="str">
        <v>趣点购浦发</v>
      </c>
      <c r="D162" s="24">
        <v>0</v>
      </c>
      <c r="E162" s="24" t="str">
        <v>借款-陈金刚</v>
      </c>
      <c r="F162" s="24">
        <v>45000</v>
      </c>
      <c r="G162" s="24">
        <v>0</v>
      </c>
      <c r="H162" s="24">
        <v>50143.9299999988</v>
      </c>
      <c r="I162" s="24">
        <v>0</v>
      </c>
      <c r="J162" s="24">
        <v>0</v>
      </c>
      <c r="K162" s="25">
        <v>202608</v>
      </c>
    </row>
    <row r="163" s="5" customFormat="1" ht="20" customHeight="1" spans="1:11">
      <c r="A163" s="22">
        <v>174</v>
      </c>
      <c r="B163" s="23">
        <v>46242</v>
      </c>
      <c r="C163" s="24" t="str">
        <v>趣点购浦发</v>
      </c>
      <c r="D163" s="24" t="str">
        <v>供应商</v>
      </c>
      <c r="E163" s="24" t="str">
        <v>统一货款</v>
      </c>
      <c r="F163" s="24">
        <v>0</v>
      </c>
      <c r="G163" s="24">
        <v>50000</v>
      </c>
      <c r="H163" s="24">
        <v>143.929999998771</v>
      </c>
      <c r="I163" s="24">
        <v>0</v>
      </c>
      <c r="J163" s="24" t="str">
        <v>成都统一企业食品有限公司</v>
      </c>
      <c r="K163" s="25">
        <v>202608</v>
      </c>
    </row>
    <row r="164" s="5" customFormat="1" ht="20" customHeight="1" spans="1:11">
      <c r="A164" s="22">
        <v>175</v>
      </c>
      <c r="B164" s="23">
        <v>46242</v>
      </c>
      <c r="C164" s="24" t="str">
        <v>趣点购浦发</v>
      </c>
      <c r="D164" s="24" t="str">
        <v>银行手续费</v>
      </c>
      <c r="E164" s="24" t="str">
        <v>网银互联汇出手续费</v>
      </c>
      <c r="F164" s="24">
        <v>0</v>
      </c>
      <c r="G164" s="24">
        <v>9</v>
      </c>
      <c r="H164" s="24">
        <v>134.929999998771</v>
      </c>
      <c r="I164" s="24">
        <v>0</v>
      </c>
      <c r="J164" s="24">
        <v>0</v>
      </c>
      <c r="K164" s="25">
        <v>202608</v>
      </c>
    </row>
    <row r="165" s="5" customFormat="1" ht="20" customHeight="1" spans="1:11">
      <c r="A165" s="22">
        <v>176</v>
      </c>
      <c r="B165" s="23">
        <v>46243</v>
      </c>
      <c r="C165" s="24" t="str">
        <v>趣点购浦发</v>
      </c>
      <c r="D165" s="24">
        <v>0</v>
      </c>
      <c r="E165" s="24" t="str">
        <v>小麦售货机260809_1233</v>
      </c>
      <c r="F165" s="24">
        <v>5868.87</v>
      </c>
      <c r="G165" s="24">
        <v>0</v>
      </c>
      <c r="H165" s="24">
        <v>6003.79999999888</v>
      </c>
      <c r="I165" s="24">
        <v>0</v>
      </c>
      <c r="J165" s="24">
        <v>0</v>
      </c>
      <c r="K165" s="25">
        <v>202608</v>
      </c>
    </row>
    <row r="166" s="5" customFormat="1" ht="20" customHeight="1" spans="1:11">
      <c r="A166" s="22">
        <v>177</v>
      </c>
      <c r="B166" s="23">
        <v>46243</v>
      </c>
      <c r="C166" s="24" t="str">
        <v>趣点购浦发</v>
      </c>
      <c r="D166" s="24">
        <v>0</v>
      </c>
      <c r="E166" s="24" t="str">
        <v>MM哈哈售货机_1746233457</v>
      </c>
      <c r="F166" s="24">
        <v>30.43</v>
      </c>
      <c r="G166" s="24">
        <v>0</v>
      </c>
      <c r="H166" s="24">
        <v>6034.22999999882</v>
      </c>
      <c r="I166" s="24">
        <v>0</v>
      </c>
      <c r="J166" s="24">
        <v>0</v>
      </c>
      <c r="K166" s="25">
        <v>202608</v>
      </c>
    </row>
    <row r="167" s="5" customFormat="1" ht="20" customHeight="1" spans="1:11">
      <c r="A167" s="22">
        <v>178</v>
      </c>
      <c r="B167" s="23">
        <v>46244</v>
      </c>
      <c r="C167" s="24" t="str">
        <v>趣点购浦发</v>
      </c>
      <c r="D167" s="24">
        <v>0</v>
      </c>
      <c r="E167" s="24" t="str">
        <v>小麦售货机260810_1233</v>
      </c>
      <c r="F167" s="24">
        <v>9127.93</v>
      </c>
      <c r="G167" s="24">
        <v>0</v>
      </c>
      <c r="H167" s="24">
        <v>15162.1599999988</v>
      </c>
      <c r="I167" s="24">
        <v>0</v>
      </c>
      <c r="J167" s="24">
        <v>0</v>
      </c>
      <c r="K167" s="25">
        <v>202608</v>
      </c>
    </row>
    <row r="168" s="5" customFormat="1" ht="20" customHeight="1" spans="1:11">
      <c r="A168" s="22">
        <v>179</v>
      </c>
      <c r="B168" s="23">
        <v>46244</v>
      </c>
      <c r="C168" s="24" t="str">
        <v>趣点购浦发</v>
      </c>
      <c r="D168" s="24">
        <v>0</v>
      </c>
      <c r="E168" s="24" t="str">
        <v>MM哈哈售货机_1746233457</v>
      </c>
      <c r="F168" s="24">
        <v>22.87</v>
      </c>
      <c r="G168" s="24">
        <v>0</v>
      </c>
      <c r="H168" s="24">
        <v>15185.0299999989</v>
      </c>
      <c r="I168" s="24">
        <v>0</v>
      </c>
      <c r="J168" s="24">
        <v>0</v>
      </c>
      <c r="K168" s="25">
        <v>202608</v>
      </c>
    </row>
    <row r="169" s="5" customFormat="1" ht="20" customHeight="1" spans="1:11">
      <c r="A169" s="22">
        <v>180</v>
      </c>
      <c r="B169" s="23">
        <v>46245</v>
      </c>
      <c r="C169" s="24" t="str">
        <v>趣点购浦发</v>
      </c>
      <c r="D169" s="24">
        <v>0</v>
      </c>
      <c r="E169" s="24" t="str">
        <v>小麦售货机260811_1233</v>
      </c>
      <c r="F169" s="24">
        <v>2487.36</v>
      </c>
      <c r="G169" s="24">
        <v>0</v>
      </c>
      <c r="H169" s="24">
        <v>17672.389999999</v>
      </c>
      <c r="I169" s="24">
        <v>0</v>
      </c>
      <c r="J169" s="24">
        <v>0</v>
      </c>
      <c r="K169" s="25">
        <v>202608</v>
      </c>
    </row>
    <row r="170" s="5" customFormat="1" ht="20" customHeight="1" spans="1:11">
      <c r="A170" s="22">
        <v>181</v>
      </c>
      <c r="B170" s="23">
        <v>46245</v>
      </c>
      <c r="C170" s="24" t="str">
        <v>趣点购浦发</v>
      </c>
      <c r="D170" s="24">
        <v>0</v>
      </c>
      <c r="E170" s="24" t="str">
        <v>MM哈哈售货机_1746233457</v>
      </c>
      <c r="F170" s="24">
        <v>63.47</v>
      </c>
      <c r="G170" s="24">
        <v>0</v>
      </c>
      <c r="H170" s="24">
        <v>17735.8599999989</v>
      </c>
      <c r="I170" s="24">
        <v>0</v>
      </c>
      <c r="J170" s="24">
        <v>0</v>
      </c>
      <c r="K170" s="25">
        <v>202608</v>
      </c>
    </row>
    <row r="171" s="5" customFormat="1" ht="20" customHeight="1" spans="1:11">
      <c r="A171" s="22">
        <v>182</v>
      </c>
      <c r="B171" s="23">
        <v>46245</v>
      </c>
      <c r="C171" s="24" t="str">
        <v>趣点购浦发</v>
      </c>
      <c r="D171" s="24">
        <v>0</v>
      </c>
      <c r="E171" s="24" t="str">
        <v>入股金</v>
      </c>
      <c r="F171" s="24">
        <v>60000</v>
      </c>
      <c r="G171" s="24">
        <v>0</v>
      </c>
      <c r="H171" s="24">
        <v>77735.8599999989</v>
      </c>
      <c r="I171" s="24">
        <v>0</v>
      </c>
      <c r="J171" s="24">
        <v>0</v>
      </c>
      <c r="K171" s="25">
        <v>202608</v>
      </c>
    </row>
    <row r="172" s="5" customFormat="1" ht="20" customHeight="1" spans="1:11">
      <c r="A172" s="22">
        <v>183</v>
      </c>
      <c r="B172" s="23">
        <v>46245</v>
      </c>
      <c r="C172" s="24" t="str">
        <v>趣点购浦发</v>
      </c>
      <c r="D172" s="24" t="str">
        <v>工资</v>
      </c>
      <c r="E172" s="24" t="str">
        <v>鲜何</v>
      </c>
      <c r="F172" s="24">
        <v>0</v>
      </c>
      <c r="G172" s="24">
        <v>7215</v>
      </c>
      <c r="H172" s="24">
        <v>70520.8599999989</v>
      </c>
      <c r="I172" s="24">
        <v>0</v>
      </c>
      <c r="J172" s="24">
        <v>0</v>
      </c>
      <c r="K172" s="25">
        <v>202608</v>
      </c>
    </row>
    <row r="173" s="5" customFormat="1" ht="20" customHeight="1" spans="1:11">
      <c r="A173" s="22">
        <v>184</v>
      </c>
      <c r="B173" s="23">
        <v>46245</v>
      </c>
      <c r="C173" s="24" t="str">
        <v>趣点购浦发</v>
      </c>
      <c r="D173" s="24" t="str">
        <v>银行手续费</v>
      </c>
      <c r="E173" s="24" t="str">
        <v>网银互联汇出手续费</v>
      </c>
      <c r="F173" s="24">
        <v>0</v>
      </c>
      <c r="G173" s="24">
        <v>4.5</v>
      </c>
      <c r="H173" s="24">
        <v>70516.3599999989</v>
      </c>
      <c r="I173" s="24">
        <v>0</v>
      </c>
      <c r="J173" s="24">
        <v>0</v>
      </c>
      <c r="K173" s="25">
        <v>202608</v>
      </c>
    </row>
    <row r="174" s="5" customFormat="1" ht="20" customHeight="1" spans="1:11">
      <c r="A174" s="22">
        <v>185</v>
      </c>
      <c r="B174" s="23">
        <v>46245</v>
      </c>
      <c r="C174" s="24" t="str">
        <v>趣点购浦发</v>
      </c>
      <c r="D174" s="24" t="str">
        <v>工资</v>
      </c>
      <c r="E174" s="24" t="str">
        <v>张辉</v>
      </c>
      <c r="F174" s="24">
        <v>0</v>
      </c>
      <c r="G174" s="24">
        <v>8862</v>
      </c>
      <c r="H174" s="24">
        <v>61654.3599999989</v>
      </c>
      <c r="I174" s="24">
        <v>0</v>
      </c>
      <c r="J174" s="24">
        <v>0</v>
      </c>
      <c r="K174" s="25">
        <v>202608</v>
      </c>
    </row>
    <row r="175" s="5" customFormat="1" ht="20" customHeight="1" spans="1:11">
      <c r="A175" s="22">
        <v>186</v>
      </c>
      <c r="B175" s="23">
        <v>46245</v>
      </c>
      <c r="C175" s="24" t="str">
        <v>趣点购浦发</v>
      </c>
      <c r="D175" s="24" t="str">
        <v>银行手续费</v>
      </c>
      <c r="E175" s="24" t="str">
        <v>网银互联汇出手续费</v>
      </c>
      <c r="F175" s="24">
        <v>0</v>
      </c>
      <c r="G175" s="24">
        <v>4.5</v>
      </c>
      <c r="H175" s="24">
        <v>61649.8599999989</v>
      </c>
      <c r="I175" s="24">
        <v>0</v>
      </c>
      <c r="J175" s="24">
        <v>0</v>
      </c>
      <c r="K175" s="25">
        <v>202608</v>
      </c>
    </row>
    <row r="176" s="5" customFormat="1" ht="20" customHeight="1" spans="1:11">
      <c r="A176" s="22">
        <v>187</v>
      </c>
      <c r="B176" s="23">
        <v>46245</v>
      </c>
      <c r="C176" s="24" t="str">
        <v>趣点购浦发</v>
      </c>
      <c r="D176" s="24" t="str">
        <v>工资</v>
      </c>
      <c r="E176" s="24" t="str">
        <v>张庚</v>
      </c>
      <c r="F176" s="24">
        <v>0</v>
      </c>
      <c r="G176" s="24">
        <v>5669</v>
      </c>
      <c r="H176" s="24">
        <v>55980.8599999989</v>
      </c>
      <c r="I176" s="24">
        <v>0</v>
      </c>
      <c r="J176" s="24">
        <v>0</v>
      </c>
      <c r="K176" s="25">
        <v>202608</v>
      </c>
    </row>
    <row r="177" s="5" customFormat="1" ht="20" customHeight="1" spans="1:11">
      <c r="A177" s="22">
        <v>188</v>
      </c>
      <c r="B177" s="23">
        <v>46245</v>
      </c>
      <c r="C177" s="24" t="str">
        <v>趣点购浦发</v>
      </c>
      <c r="D177" s="24" t="str">
        <v>银行手续费</v>
      </c>
      <c r="E177" s="24" t="str">
        <v>网银互联汇出手续费</v>
      </c>
      <c r="F177" s="24">
        <v>0</v>
      </c>
      <c r="G177" s="24">
        <v>4.5</v>
      </c>
      <c r="H177" s="24">
        <v>55976.3599999989</v>
      </c>
      <c r="I177" s="24">
        <v>0</v>
      </c>
      <c r="J177" s="24">
        <v>0</v>
      </c>
      <c r="K177" s="25">
        <v>202608</v>
      </c>
    </row>
    <row r="178" s="5" customFormat="1" ht="20" customHeight="1" spans="1:11">
      <c r="A178" s="22">
        <v>189</v>
      </c>
      <c r="B178" s="23">
        <v>46245</v>
      </c>
      <c r="C178" s="24" t="str">
        <v>趣点购浦发</v>
      </c>
      <c r="D178" s="24" t="str">
        <v>工资</v>
      </c>
      <c r="E178" s="24" t="str">
        <v>方中桥</v>
      </c>
      <c r="F178" s="24">
        <v>0</v>
      </c>
      <c r="G178" s="24">
        <v>7093</v>
      </c>
      <c r="H178" s="24">
        <v>48883.3599999989</v>
      </c>
      <c r="I178" s="24">
        <v>0</v>
      </c>
      <c r="J178" s="24">
        <v>0</v>
      </c>
      <c r="K178" s="25">
        <v>202608</v>
      </c>
    </row>
    <row r="179" s="5" customFormat="1" ht="20" customHeight="1" spans="1:11">
      <c r="A179" s="22">
        <v>190</v>
      </c>
      <c r="B179" s="23">
        <v>46245</v>
      </c>
      <c r="C179" s="24" t="str">
        <v>趣点购浦发</v>
      </c>
      <c r="D179" s="24" t="str">
        <v>银行手续费</v>
      </c>
      <c r="E179" s="24" t="str">
        <v>网银互联汇出手续费</v>
      </c>
      <c r="F179" s="24">
        <v>0</v>
      </c>
      <c r="G179" s="24">
        <v>4.5</v>
      </c>
      <c r="H179" s="24">
        <v>48878.8599999989</v>
      </c>
      <c r="I179" s="24">
        <v>0</v>
      </c>
      <c r="J179" s="24">
        <v>0</v>
      </c>
      <c r="K179" s="25">
        <v>202608</v>
      </c>
    </row>
    <row r="180" s="5" customFormat="1" ht="20" customHeight="1" spans="1:11">
      <c r="A180" s="22">
        <v>191</v>
      </c>
      <c r="B180" s="23">
        <v>46245</v>
      </c>
      <c r="C180" s="24" t="str">
        <v>趣点购浦发</v>
      </c>
      <c r="D180" s="24" t="str">
        <v>工资</v>
      </c>
      <c r="E180" s="24" t="str">
        <v>杨维见</v>
      </c>
      <c r="F180" s="24">
        <v>0</v>
      </c>
      <c r="G180" s="24">
        <v>6012</v>
      </c>
      <c r="H180" s="24">
        <v>42866.8599999989</v>
      </c>
      <c r="I180" s="24">
        <v>0</v>
      </c>
      <c r="J180" s="24">
        <v>0</v>
      </c>
      <c r="K180" s="25">
        <v>202608</v>
      </c>
    </row>
    <row r="181" s="5" customFormat="1" ht="20" customHeight="1" spans="1:11">
      <c r="A181" s="22">
        <v>192</v>
      </c>
      <c r="B181" s="23">
        <v>46245</v>
      </c>
      <c r="C181" s="24" t="str">
        <v>趣点购浦发</v>
      </c>
      <c r="D181" s="24" t="str">
        <v>银行手续费</v>
      </c>
      <c r="E181" s="24" t="str">
        <v>网银互联汇出手续费</v>
      </c>
      <c r="F181" s="24">
        <v>0</v>
      </c>
      <c r="G181" s="24">
        <v>4.5</v>
      </c>
      <c r="H181" s="24">
        <v>42862.3599999989</v>
      </c>
      <c r="I181" s="24">
        <v>0</v>
      </c>
      <c r="J181" s="24">
        <v>0</v>
      </c>
      <c r="K181" s="25">
        <v>202608</v>
      </c>
    </row>
    <row r="182" s="5" customFormat="1" ht="20" customHeight="1" spans="1:11">
      <c r="A182" s="22">
        <v>193</v>
      </c>
      <c r="B182" s="23">
        <v>46245</v>
      </c>
      <c r="C182" s="24" t="str">
        <v>趣点购浦发</v>
      </c>
      <c r="D182" s="24" t="str">
        <v>工资</v>
      </c>
      <c r="E182" s="24" t="str">
        <v>王雷</v>
      </c>
      <c r="F182" s="24">
        <v>0</v>
      </c>
      <c r="G182" s="24">
        <v>6123</v>
      </c>
      <c r="H182" s="24">
        <v>36739.3599999989</v>
      </c>
      <c r="I182" s="24">
        <v>0</v>
      </c>
      <c r="J182" s="24">
        <v>0</v>
      </c>
      <c r="K182" s="25">
        <v>202608</v>
      </c>
    </row>
    <row r="183" s="5" customFormat="1" ht="20" customHeight="1" spans="1:11">
      <c r="A183" s="22">
        <v>194</v>
      </c>
      <c r="B183" s="23">
        <v>46245</v>
      </c>
      <c r="C183" s="24" t="str">
        <v>趣点购浦发</v>
      </c>
      <c r="D183" s="24" t="str">
        <v>银行手续费</v>
      </c>
      <c r="E183" s="24" t="str">
        <v>网银互联汇出手续费</v>
      </c>
      <c r="F183" s="24">
        <v>0</v>
      </c>
      <c r="G183" s="24">
        <v>4.5</v>
      </c>
      <c r="H183" s="24">
        <v>36734.8599999989</v>
      </c>
      <c r="I183" s="24">
        <v>0</v>
      </c>
      <c r="J183" s="24">
        <v>0</v>
      </c>
      <c r="K183" s="25">
        <v>202608</v>
      </c>
    </row>
    <row r="184" s="5" customFormat="1" ht="20" customHeight="1" spans="1:11">
      <c r="A184" s="22">
        <v>195</v>
      </c>
      <c r="B184" s="23">
        <v>46245</v>
      </c>
      <c r="C184" s="24" t="str">
        <v>趣点购浦发</v>
      </c>
      <c r="D184" s="24" t="str">
        <v>工资</v>
      </c>
      <c r="E184" s="24" t="str">
        <v>梁金龙</v>
      </c>
      <c r="F184" s="24">
        <v>0</v>
      </c>
      <c r="G184" s="24">
        <v>5942</v>
      </c>
      <c r="H184" s="24">
        <v>30792.8599999989</v>
      </c>
      <c r="I184" s="24">
        <v>0</v>
      </c>
      <c r="J184" s="24">
        <v>0</v>
      </c>
      <c r="K184" s="25">
        <v>202608</v>
      </c>
    </row>
    <row r="185" s="5" customFormat="1" ht="20" customHeight="1" spans="1:11">
      <c r="A185" s="22">
        <v>196</v>
      </c>
      <c r="B185" s="23">
        <v>46245</v>
      </c>
      <c r="C185" s="24" t="str">
        <v>趣点购浦发</v>
      </c>
      <c r="D185" s="24" t="str">
        <v>银行手续费</v>
      </c>
      <c r="E185" s="24" t="str">
        <v>网银互联汇出手续费</v>
      </c>
      <c r="F185" s="24">
        <v>0</v>
      </c>
      <c r="G185" s="24">
        <v>4.5</v>
      </c>
      <c r="H185" s="24">
        <v>30788.3599999989</v>
      </c>
      <c r="I185" s="24">
        <v>0</v>
      </c>
      <c r="J185" s="24">
        <v>0</v>
      </c>
      <c r="K185" s="25">
        <v>202608</v>
      </c>
    </row>
    <row r="186" s="5" customFormat="1" ht="20" customHeight="1" spans="1:11">
      <c r="A186" s="22">
        <v>197</v>
      </c>
      <c r="B186" s="23">
        <v>46245</v>
      </c>
      <c r="C186" s="24" t="str">
        <v>趣点购浦发</v>
      </c>
      <c r="D186" s="24" t="str">
        <v>工资</v>
      </c>
      <c r="E186" s="24" t="str">
        <v>代博</v>
      </c>
      <c r="F186" s="24">
        <v>0</v>
      </c>
      <c r="G186" s="24">
        <v>5861</v>
      </c>
      <c r="H186" s="24">
        <v>24927.3599999989</v>
      </c>
      <c r="I186" s="24">
        <v>0</v>
      </c>
      <c r="J186" s="24">
        <v>0</v>
      </c>
      <c r="K186" s="25">
        <v>202608</v>
      </c>
    </row>
    <row r="187" s="5" customFormat="1" ht="20" customHeight="1" spans="1:11">
      <c r="A187" s="22">
        <v>198</v>
      </c>
      <c r="B187" s="23">
        <v>46245</v>
      </c>
      <c r="C187" s="24" t="str">
        <v>趣点购浦发</v>
      </c>
      <c r="D187" s="24" t="str">
        <v>银行手续费</v>
      </c>
      <c r="E187" s="24" t="str">
        <v>网银互联汇出手续费</v>
      </c>
      <c r="F187" s="24">
        <v>0</v>
      </c>
      <c r="G187" s="24">
        <v>4.5</v>
      </c>
      <c r="H187" s="24">
        <v>24922.8599999989</v>
      </c>
      <c r="I187" s="24">
        <v>0</v>
      </c>
      <c r="J187" s="24">
        <v>0</v>
      </c>
      <c r="K187" s="25">
        <v>202608</v>
      </c>
    </row>
    <row r="188" s="5" customFormat="1" ht="20" customHeight="1" spans="1:11">
      <c r="A188" s="22">
        <v>199</v>
      </c>
      <c r="B188" s="23">
        <v>46245</v>
      </c>
      <c r="C188" s="24" t="str">
        <v>趣点购浦发</v>
      </c>
      <c r="D188" s="24" t="str">
        <v>工资</v>
      </c>
      <c r="E188" s="24" t="str">
        <v>陈超</v>
      </c>
      <c r="F188" s="24">
        <v>0</v>
      </c>
      <c r="G188" s="24">
        <v>5236</v>
      </c>
      <c r="H188" s="24">
        <v>19686.8599999989</v>
      </c>
      <c r="I188" s="24">
        <v>0</v>
      </c>
      <c r="J188" s="24">
        <v>0</v>
      </c>
      <c r="K188" s="25">
        <v>202608</v>
      </c>
    </row>
    <row r="189" s="5" customFormat="1" ht="20" customHeight="1" spans="1:11">
      <c r="A189" s="22">
        <v>200</v>
      </c>
      <c r="B189" s="23">
        <v>46245</v>
      </c>
      <c r="C189" s="24" t="str">
        <v>趣点购浦发</v>
      </c>
      <c r="D189" s="24" t="str">
        <v>银行手续费</v>
      </c>
      <c r="E189" s="24" t="str">
        <v>网银互联汇出手续费</v>
      </c>
      <c r="F189" s="24">
        <v>0</v>
      </c>
      <c r="G189" s="24">
        <v>4.5</v>
      </c>
      <c r="H189" s="24">
        <v>19682.3599999989</v>
      </c>
      <c r="I189" s="24">
        <v>0</v>
      </c>
      <c r="J189" s="24">
        <v>0</v>
      </c>
      <c r="K189" s="25">
        <v>202608</v>
      </c>
    </row>
    <row r="190" s="5" customFormat="1" ht="20" customHeight="1" spans="1:11">
      <c r="A190" s="22">
        <v>201</v>
      </c>
      <c r="B190" s="23">
        <v>46245</v>
      </c>
      <c r="C190" s="24" t="str">
        <v>趣点购浦发</v>
      </c>
      <c r="D190" s="24" t="str">
        <v>工资</v>
      </c>
      <c r="E190" s="24" t="str">
        <v>陈樨</v>
      </c>
      <c r="F190" s="24">
        <v>0</v>
      </c>
      <c r="G190" s="24">
        <v>4479</v>
      </c>
      <c r="H190" s="24">
        <v>15203.3599999989</v>
      </c>
      <c r="I190" s="24">
        <v>0</v>
      </c>
      <c r="J190" s="24">
        <v>0</v>
      </c>
      <c r="K190" s="25">
        <v>202608</v>
      </c>
    </row>
    <row r="191" s="5" customFormat="1" ht="20" customHeight="1" spans="1:11">
      <c r="A191" s="22">
        <v>202</v>
      </c>
      <c r="B191" s="23">
        <v>46245</v>
      </c>
      <c r="C191" s="24" t="str">
        <v>趣点购浦发</v>
      </c>
      <c r="D191" s="24" t="str">
        <v>银行手续费</v>
      </c>
      <c r="E191" s="24" t="str">
        <v>网银互联汇出手续费</v>
      </c>
      <c r="F191" s="24">
        <v>0</v>
      </c>
      <c r="G191" s="24">
        <v>4.5</v>
      </c>
      <c r="H191" s="24">
        <v>15198.8599999989</v>
      </c>
      <c r="I191" s="24">
        <v>0</v>
      </c>
      <c r="J191" s="24">
        <v>0</v>
      </c>
      <c r="K191" s="25">
        <v>202608</v>
      </c>
    </row>
    <row r="192" s="5" customFormat="1" ht="20" customHeight="1" spans="1:11">
      <c r="A192" s="22">
        <v>203</v>
      </c>
      <c r="B192" s="23">
        <v>46245</v>
      </c>
      <c r="C192" s="24" t="str">
        <v>趣点购浦发</v>
      </c>
      <c r="D192" s="24" t="str">
        <v>工资</v>
      </c>
      <c r="E192" s="24" t="str">
        <v>唐顺江</v>
      </c>
      <c r="F192" s="24">
        <v>0</v>
      </c>
      <c r="G192" s="24">
        <v>2252</v>
      </c>
      <c r="H192" s="24">
        <v>12946.8599999989</v>
      </c>
      <c r="I192" s="24">
        <v>0</v>
      </c>
      <c r="J192" s="24">
        <v>0</v>
      </c>
      <c r="K192" s="25">
        <v>202608</v>
      </c>
    </row>
    <row r="193" s="5" customFormat="1" ht="20" customHeight="1" spans="1:11">
      <c r="A193" s="22">
        <v>204</v>
      </c>
      <c r="B193" s="23">
        <v>46245</v>
      </c>
      <c r="C193" s="24" t="str">
        <v>趣点购浦发</v>
      </c>
      <c r="D193" s="24" t="str">
        <v>银行手续费</v>
      </c>
      <c r="E193" s="24" t="str">
        <v>网银互联汇出手续费</v>
      </c>
      <c r="F193" s="24">
        <v>0</v>
      </c>
      <c r="G193" s="24">
        <v>4.5</v>
      </c>
      <c r="H193" s="24">
        <v>12942.3599999989</v>
      </c>
      <c r="I193" s="24">
        <v>0</v>
      </c>
      <c r="J193" s="24">
        <v>0</v>
      </c>
      <c r="K193" s="25">
        <v>202608</v>
      </c>
    </row>
    <row r="194" s="5" customFormat="1" ht="20" customHeight="1" spans="1:11">
      <c r="A194" s="22">
        <v>205</v>
      </c>
      <c r="B194" s="23">
        <v>46245</v>
      </c>
      <c r="C194" s="24" t="str">
        <v>趣点购浦发</v>
      </c>
      <c r="D194" s="24" t="str">
        <v>工资</v>
      </c>
      <c r="E194" s="24" t="str">
        <v>马平</v>
      </c>
      <c r="F194" s="24">
        <v>0</v>
      </c>
      <c r="G194" s="24">
        <v>5047</v>
      </c>
      <c r="H194" s="24">
        <v>7895.35999999894</v>
      </c>
      <c r="I194" s="24">
        <v>0</v>
      </c>
      <c r="J194" s="24">
        <v>0</v>
      </c>
      <c r="K194" s="25">
        <v>202608</v>
      </c>
    </row>
    <row r="195" s="5" customFormat="1" ht="20" customHeight="1" spans="1:11">
      <c r="A195" s="22">
        <v>206</v>
      </c>
      <c r="B195" s="23">
        <v>46245</v>
      </c>
      <c r="C195" s="24" t="str">
        <v>趣点购浦发</v>
      </c>
      <c r="D195" s="24" t="str">
        <v>银行手续费</v>
      </c>
      <c r="E195" s="24" t="str">
        <v>网银互联汇出手续费</v>
      </c>
      <c r="F195" s="24">
        <v>0</v>
      </c>
      <c r="G195" s="24">
        <v>4.5</v>
      </c>
      <c r="H195" s="24">
        <v>7890.85999999894</v>
      </c>
      <c r="I195" s="24">
        <v>0</v>
      </c>
      <c r="J195" s="24">
        <v>0</v>
      </c>
      <c r="K195" s="25">
        <v>202608</v>
      </c>
    </row>
    <row r="196" s="5" customFormat="1" ht="20" customHeight="1" spans="1:11">
      <c r="A196" s="22">
        <v>207</v>
      </c>
      <c r="B196" s="23">
        <v>46245</v>
      </c>
      <c r="C196" s="24" t="str">
        <v>趣点购浦发</v>
      </c>
      <c r="D196" s="24" t="str">
        <v>工资</v>
      </c>
      <c r="E196" s="24" t="str">
        <v>赵坤</v>
      </c>
      <c r="F196" s="24">
        <v>0</v>
      </c>
      <c r="G196" s="24">
        <v>5393</v>
      </c>
      <c r="H196" s="24">
        <v>2497.85999999894</v>
      </c>
      <c r="I196" s="24">
        <v>0</v>
      </c>
      <c r="J196" s="24">
        <v>0</v>
      </c>
      <c r="K196" s="25">
        <v>202608</v>
      </c>
    </row>
    <row r="197" s="5" customFormat="1" ht="20" customHeight="1" spans="1:11">
      <c r="A197" s="22">
        <v>208</v>
      </c>
      <c r="B197" s="23">
        <v>46245</v>
      </c>
      <c r="C197" s="24" t="str">
        <v>趣点购浦发</v>
      </c>
      <c r="D197" s="24" t="str">
        <v>银行手续费</v>
      </c>
      <c r="E197" s="24" t="str">
        <v>网银互联汇出手续费</v>
      </c>
      <c r="F197" s="24">
        <v>0</v>
      </c>
      <c r="G197" s="24">
        <v>4.5</v>
      </c>
      <c r="H197" s="24">
        <v>2493.35999999894</v>
      </c>
      <c r="I197" s="24">
        <v>0</v>
      </c>
      <c r="J197" s="24">
        <v>0</v>
      </c>
      <c r="K197" s="25">
        <v>202608</v>
      </c>
    </row>
    <row r="198" s="5" customFormat="1" ht="20" customHeight="1" spans="1:11">
      <c r="A198" s="22">
        <v>209</v>
      </c>
      <c r="B198" s="23">
        <v>46246</v>
      </c>
      <c r="C198" s="24" t="str">
        <v>趣点购浦发</v>
      </c>
      <c r="D198" s="24">
        <v>0</v>
      </c>
      <c r="E198" s="24" t="str">
        <v>小麦售货机260812_1233</v>
      </c>
      <c r="F198" s="24">
        <v>2160.68</v>
      </c>
      <c r="G198" s="24">
        <v>0</v>
      </c>
      <c r="H198" s="24">
        <v>4654.03999999887</v>
      </c>
      <c r="I198" s="24">
        <v>0</v>
      </c>
      <c r="J198" s="24">
        <v>0</v>
      </c>
      <c r="K198" s="25">
        <v>202608</v>
      </c>
    </row>
    <row r="199" s="5" customFormat="1" ht="20" customHeight="1" spans="1:11">
      <c r="A199" s="22">
        <v>210</v>
      </c>
      <c r="B199" s="23">
        <v>46246</v>
      </c>
      <c r="C199" s="24" t="str">
        <v>趣点购浦发</v>
      </c>
      <c r="D199" s="24">
        <v>0</v>
      </c>
      <c r="E199" s="24" t="str">
        <v>MM哈哈售货机_1746233457</v>
      </c>
      <c r="F199" s="24">
        <v>81.92</v>
      </c>
      <c r="G199" s="24">
        <v>0</v>
      </c>
      <c r="H199" s="24">
        <v>4735.9599999988</v>
      </c>
      <c r="I199" s="24">
        <v>0</v>
      </c>
      <c r="J199" s="24">
        <v>0</v>
      </c>
      <c r="K199" s="25">
        <v>202608</v>
      </c>
    </row>
    <row r="200" s="5" customFormat="1" ht="20" customHeight="1" spans="1:11">
      <c r="A200" s="22">
        <v>211</v>
      </c>
      <c r="B200" s="23">
        <v>46247</v>
      </c>
      <c r="C200" s="24" t="str">
        <v>趣点购浦发</v>
      </c>
      <c r="D200" s="24">
        <v>0</v>
      </c>
      <c r="E200" s="24" t="str">
        <v>小麦售货机260813_1233</v>
      </c>
      <c r="F200" s="24">
        <v>2693.2</v>
      </c>
      <c r="G200" s="24">
        <v>0</v>
      </c>
      <c r="H200" s="24">
        <v>7429.15999999875</v>
      </c>
      <c r="I200" s="24">
        <v>0</v>
      </c>
      <c r="J200" s="24">
        <v>0</v>
      </c>
      <c r="K200" s="25">
        <v>202608</v>
      </c>
    </row>
    <row r="201" s="5" customFormat="1" ht="20" customHeight="1" spans="1:11">
      <c r="A201" s="22">
        <v>212</v>
      </c>
      <c r="B201" s="23">
        <v>46247</v>
      </c>
      <c r="C201" s="24" t="str">
        <v>趣点购浦发</v>
      </c>
      <c r="D201" s="24">
        <v>0</v>
      </c>
      <c r="E201" s="24" t="str">
        <v>MM哈哈售货机_1746233457</v>
      </c>
      <c r="F201" s="24">
        <v>59.78</v>
      </c>
      <c r="G201" s="24">
        <v>0</v>
      </c>
      <c r="H201" s="24">
        <v>7488.93999999878</v>
      </c>
      <c r="I201" s="24">
        <v>0</v>
      </c>
      <c r="J201" s="24">
        <v>0</v>
      </c>
      <c r="K201" s="25">
        <v>202608</v>
      </c>
    </row>
    <row r="202" s="5" customFormat="1" ht="20" customHeight="1" spans="1:11">
      <c r="A202" s="22">
        <v>213</v>
      </c>
      <c r="B202" s="23">
        <v>46248</v>
      </c>
      <c r="C202" s="24" t="str">
        <v>趣点购浦发</v>
      </c>
      <c r="D202" s="24">
        <v>0</v>
      </c>
      <c r="E202" s="24" t="str">
        <v>小麦售货机260814_1233</v>
      </c>
      <c r="F202" s="24">
        <v>2921.66</v>
      </c>
      <c r="G202" s="24">
        <v>0</v>
      </c>
      <c r="H202" s="24">
        <v>10410.5999999987</v>
      </c>
      <c r="I202" s="24">
        <v>0</v>
      </c>
      <c r="J202" s="24">
        <v>0</v>
      </c>
      <c r="K202" s="25">
        <v>202608</v>
      </c>
    </row>
    <row r="203" s="5" customFormat="1" ht="20" customHeight="1" spans="1:11">
      <c r="A203" s="22">
        <v>214</v>
      </c>
      <c r="B203" s="23">
        <v>46248</v>
      </c>
      <c r="C203" s="24" t="str">
        <v>趣点购浦发</v>
      </c>
      <c r="D203" s="24">
        <v>0</v>
      </c>
      <c r="E203" s="24" t="str">
        <v>MM哈哈售货机_1746233457</v>
      </c>
      <c r="F203" s="24">
        <v>20.88</v>
      </c>
      <c r="G203" s="24">
        <v>0</v>
      </c>
      <c r="H203" s="24">
        <v>10431.4799999986</v>
      </c>
      <c r="I203" s="24">
        <v>0</v>
      </c>
      <c r="J203" s="24">
        <v>0</v>
      </c>
      <c r="K203" s="25">
        <v>202608</v>
      </c>
    </row>
    <row r="204" s="5" customFormat="1" ht="20" customHeight="1" spans="1:11">
      <c r="A204" s="22">
        <v>215</v>
      </c>
      <c r="B204" s="23">
        <v>46248</v>
      </c>
      <c r="C204" s="24" t="str">
        <v>趣点购浦发</v>
      </c>
      <c r="D204" s="24" t="str">
        <v>税费</v>
      </c>
      <c r="E204" s="24" t="str">
        <v>缴税</v>
      </c>
      <c r="F204" s="24">
        <v>0</v>
      </c>
      <c r="G204" s="24">
        <v>1966.35</v>
      </c>
      <c r="H204" s="24">
        <v>8465.12999999849</v>
      </c>
      <c r="I204" s="24">
        <v>0</v>
      </c>
      <c r="J204" s="24">
        <v>0</v>
      </c>
      <c r="K204" s="25">
        <v>202608</v>
      </c>
    </row>
    <row r="205" s="5" customFormat="1" ht="20" customHeight="1" spans="1:11">
      <c r="A205" s="22">
        <v>216</v>
      </c>
      <c r="B205" s="23">
        <v>46248</v>
      </c>
      <c r="C205" s="24" t="str">
        <v>趣点购浦发</v>
      </c>
      <c r="D205" s="24" t="str">
        <v>银行手续费</v>
      </c>
      <c r="E205" s="24" t="str">
        <v>网银互联汇出手续费</v>
      </c>
      <c r="F205" s="24">
        <v>0</v>
      </c>
      <c r="G205" s="24">
        <v>7.48</v>
      </c>
      <c r="H205" s="24">
        <v>8457.64999999851</v>
      </c>
      <c r="I205" s="24">
        <v>0</v>
      </c>
      <c r="J205" s="24">
        <v>0</v>
      </c>
      <c r="K205" s="25">
        <v>202608</v>
      </c>
    </row>
    <row r="206" s="5" customFormat="1" ht="20" customHeight="1" spans="1:11">
      <c r="A206" s="22">
        <v>217</v>
      </c>
      <c r="B206" s="23">
        <v>46249</v>
      </c>
      <c r="C206" s="24" t="str">
        <v>趣点购浦发</v>
      </c>
      <c r="D206" s="24">
        <v>0</v>
      </c>
      <c r="E206" s="24" t="str">
        <v>小麦售货机260815_1233</v>
      </c>
      <c r="F206" s="24">
        <v>2393.69</v>
      </c>
      <c r="G206" s="24">
        <v>0</v>
      </c>
      <c r="H206" s="24">
        <v>10851.3399999985</v>
      </c>
      <c r="I206" s="24">
        <v>0</v>
      </c>
      <c r="J206" s="24">
        <v>0</v>
      </c>
      <c r="K206" s="25">
        <v>202608</v>
      </c>
    </row>
    <row r="207" s="5" customFormat="1" ht="20" customHeight="1" spans="1:11">
      <c r="A207" s="22">
        <v>218</v>
      </c>
      <c r="B207" s="23">
        <v>46249</v>
      </c>
      <c r="C207" s="24" t="str">
        <v>趣点购浦发</v>
      </c>
      <c r="D207" s="24">
        <v>0</v>
      </c>
      <c r="E207" s="24" t="str">
        <v>支付宝转账</v>
      </c>
      <c r="F207" s="24">
        <v>3785.8</v>
      </c>
      <c r="G207" s="24">
        <v>0</v>
      </c>
      <c r="H207" s="24">
        <v>14637.1399999985</v>
      </c>
      <c r="I207" s="24">
        <v>0</v>
      </c>
      <c r="J207" s="24">
        <v>0</v>
      </c>
      <c r="K207" s="25">
        <v>202608</v>
      </c>
    </row>
    <row r="208" s="5" customFormat="1" ht="20" customHeight="1" spans="1:11">
      <c r="A208" s="22">
        <v>219</v>
      </c>
      <c r="B208" s="23">
        <v>46249</v>
      </c>
      <c r="C208" s="24" t="str">
        <v>趣点购浦发</v>
      </c>
      <c r="D208" s="24">
        <v>0</v>
      </c>
      <c r="E208" s="24" t="str">
        <v>MM哈哈售货机_1746233457</v>
      </c>
      <c r="F208" s="24">
        <v>20.49</v>
      </c>
      <c r="G208" s="24">
        <v>0</v>
      </c>
      <c r="H208" s="24">
        <v>14657.6299999985</v>
      </c>
      <c r="I208" s="24">
        <v>0</v>
      </c>
      <c r="J208" s="24">
        <v>0</v>
      </c>
      <c r="K208" s="25">
        <v>202608</v>
      </c>
    </row>
    <row r="209" s="5" customFormat="1" ht="20" customHeight="1" spans="1:11">
      <c r="A209" s="22">
        <v>220</v>
      </c>
      <c r="B209" s="23">
        <v>46249</v>
      </c>
      <c r="C209" s="24" t="str">
        <v>趣点购浦发</v>
      </c>
      <c r="D209" s="24">
        <v>0</v>
      </c>
      <c r="E209" s="24" t="str">
        <v>货款</v>
      </c>
      <c r="F209" s="24">
        <v>40000</v>
      </c>
      <c r="G209" s="24">
        <v>0</v>
      </c>
      <c r="H209" s="24">
        <v>54657.6299999985</v>
      </c>
      <c r="I209" s="24" t="str">
        <v>陈金刚</v>
      </c>
      <c r="J209" s="24">
        <v>0</v>
      </c>
      <c r="K209" s="25">
        <v>202608</v>
      </c>
    </row>
    <row r="210" s="5" customFormat="1" ht="20" customHeight="1" spans="1:11">
      <c r="A210" s="22">
        <v>221</v>
      </c>
      <c r="B210" s="23">
        <v>46249</v>
      </c>
      <c r="C210" s="24" t="str">
        <v>趣点购浦发</v>
      </c>
      <c r="D210" s="24" t="str">
        <v>供应商</v>
      </c>
      <c r="E210" s="24" t="str">
        <v>统一货款</v>
      </c>
      <c r="F210" s="24">
        <v>0</v>
      </c>
      <c r="G210" s="24">
        <v>53505</v>
      </c>
      <c r="H210" s="24">
        <v>1152.62999999849</v>
      </c>
      <c r="I210" s="24">
        <v>0</v>
      </c>
      <c r="J210" s="24" t="str">
        <v>成都统一企业食品有限公司</v>
      </c>
      <c r="K210" s="25">
        <v>202608</v>
      </c>
    </row>
    <row r="211" s="5" customFormat="1" ht="20" customHeight="1" spans="1:11">
      <c r="A211" s="22">
        <v>222</v>
      </c>
      <c r="B211" s="23">
        <v>46249</v>
      </c>
      <c r="C211" s="24" t="str">
        <v>趣点购浦发</v>
      </c>
      <c r="D211" s="24" t="str">
        <v>银行手续费</v>
      </c>
      <c r="E211" s="24" t="str">
        <v>网银互联汇出手续费</v>
      </c>
      <c r="F211" s="24">
        <v>0</v>
      </c>
      <c r="G211" s="24">
        <v>9</v>
      </c>
      <c r="H211" s="24">
        <v>1143.62999999849</v>
      </c>
      <c r="I211" s="24">
        <v>0</v>
      </c>
      <c r="J211" s="24">
        <v>0</v>
      </c>
      <c r="K211" s="25">
        <v>202608</v>
      </c>
    </row>
    <row r="212" s="5" customFormat="1" ht="20" customHeight="1" spans="1:11">
      <c r="A212" s="22">
        <v>223</v>
      </c>
      <c r="B212" s="23">
        <v>46250</v>
      </c>
      <c r="C212" s="24" t="str">
        <v>趣点购浦发</v>
      </c>
      <c r="D212" s="24">
        <v>0</v>
      </c>
      <c r="E212" s="24" t="str">
        <v>小麦售货机260816_1233</v>
      </c>
      <c r="F212" s="24">
        <v>8566.82</v>
      </c>
      <c r="G212" s="24">
        <v>0</v>
      </c>
      <c r="H212" s="24">
        <v>9710.44999999856</v>
      </c>
      <c r="I212" s="24">
        <v>0</v>
      </c>
      <c r="J212" s="24">
        <v>0</v>
      </c>
      <c r="K212" s="25">
        <v>202608</v>
      </c>
    </row>
    <row r="213" s="5" customFormat="1" ht="20" customHeight="1" spans="1:11">
      <c r="A213" s="22">
        <v>224</v>
      </c>
      <c r="B213" s="23">
        <v>46251</v>
      </c>
      <c r="C213" s="24" t="str">
        <v>趣点购浦发</v>
      </c>
      <c r="D213" s="24">
        <v>0</v>
      </c>
      <c r="E213" s="24" t="str">
        <v>小麦售货机260817_1233</v>
      </c>
      <c r="F213" s="24">
        <v>6035.27</v>
      </c>
      <c r="G213" s="24">
        <v>0</v>
      </c>
      <c r="H213" s="24">
        <v>15745.7199999986</v>
      </c>
      <c r="I213" s="24">
        <v>0</v>
      </c>
      <c r="J213" s="24">
        <v>0</v>
      </c>
      <c r="K213" s="25">
        <v>202608</v>
      </c>
    </row>
    <row r="214" s="5" customFormat="1" ht="20" customHeight="1" spans="1:11">
      <c r="A214" s="22">
        <v>225</v>
      </c>
      <c r="B214" s="23">
        <v>46252</v>
      </c>
      <c r="C214" s="24" t="str">
        <v>趣点购浦发</v>
      </c>
      <c r="D214" s="24">
        <v>0</v>
      </c>
      <c r="E214" s="24" t="str">
        <v>小麦售货机260818_1233</v>
      </c>
      <c r="F214" s="24">
        <v>151.44</v>
      </c>
      <c r="G214" s="24">
        <v>0</v>
      </c>
      <c r="H214" s="24">
        <v>15897.1599999985</v>
      </c>
      <c r="I214" s="24">
        <v>0</v>
      </c>
      <c r="J214" s="24">
        <v>0</v>
      </c>
      <c r="K214" s="25">
        <v>202608</v>
      </c>
    </row>
    <row r="215" s="5" customFormat="1" ht="20" customHeight="1" spans="1:11">
      <c r="A215" s="22">
        <v>226</v>
      </c>
      <c r="B215" s="23">
        <v>46252</v>
      </c>
      <c r="C215" s="24" t="str">
        <v>趣点购浦发</v>
      </c>
      <c r="D215" s="24">
        <v>0</v>
      </c>
      <c r="E215" s="24" t="str">
        <v>MM哈哈售货机_1746233457</v>
      </c>
      <c r="F215" s="24">
        <v>44.46</v>
      </c>
      <c r="G215" s="24">
        <v>0</v>
      </c>
      <c r="H215" s="24">
        <v>15941.6199999985</v>
      </c>
      <c r="I215" s="24">
        <v>0</v>
      </c>
      <c r="J215" s="24">
        <v>0</v>
      </c>
      <c r="K215" s="25">
        <v>202608</v>
      </c>
    </row>
    <row r="216" s="5" customFormat="1" ht="20" customHeight="1" spans="1:11">
      <c r="A216" s="22">
        <v>227</v>
      </c>
      <c r="B216" s="23">
        <v>46252</v>
      </c>
      <c r="C216" s="24" t="str">
        <v>趣点购浦发</v>
      </c>
      <c r="D216" s="24">
        <v>0</v>
      </c>
      <c r="E216" s="24" t="str">
        <v>自动提现 2026-08-17</v>
      </c>
      <c r="F216" s="24">
        <v>1971.94</v>
      </c>
      <c r="G216" s="24">
        <v>0</v>
      </c>
      <c r="H216" s="24">
        <v>17913.5599999984</v>
      </c>
      <c r="I216" s="24">
        <v>0</v>
      </c>
      <c r="J216" s="24">
        <v>0</v>
      </c>
      <c r="K216" s="25">
        <v>202608</v>
      </c>
    </row>
    <row r="217" s="5" customFormat="1" ht="20" customHeight="1" spans="1:11">
      <c r="A217" s="22">
        <v>228</v>
      </c>
      <c r="B217" s="23">
        <v>46253</v>
      </c>
      <c r="C217" s="24" t="str">
        <v>趣点购浦发</v>
      </c>
      <c r="D217" s="24">
        <v>0</v>
      </c>
      <c r="E217" s="24" t="str">
        <v>小麦售货机260819_1233</v>
      </c>
      <c r="F217" s="24">
        <v>44.36</v>
      </c>
      <c r="G217" s="24">
        <v>0</v>
      </c>
      <c r="H217" s="24">
        <v>17957.9199999985</v>
      </c>
      <c r="I217" s="24">
        <v>0</v>
      </c>
      <c r="J217" s="24">
        <v>0</v>
      </c>
      <c r="K217" s="25">
        <v>202608</v>
      </c>
    </row>
    <row r="218" s="5" customFormat="1" ht="20" customHeight="1" spans="1:11">
      <c r="A218" s="22">
        <v>229</v>
      </c>
      <c r="B218" s="23">
        <v>46253</v>
      </c>
      <c r="C218" s="24" t="str">
        <v>趣点购浦发</v>
      </c>
      <c r="D218" s="24">
        <v>0</v>
      </c>
      <c r="E218" s="24" t="str">
        <v>MM哈哈售货机_1746233457</v>
      </c>
      <c r="F218" s="24">
        <v>31.23</v>
      </c>
      <c r="G218" s="24">
        <v>0</v>
      </c>
      <c r="H218" s="24">
        <v>17989.1499999985</v>
      </c>
      <c r="I218" s="24">
        <v>0</v>
      </c>
      <c r="J218" s="24">
        <v>0</v>
      </c>
      <c r="K218" s="25">
        <v>202608</v>
      </c>
    </row>
    <row r="219" s="5" customFormat="1" ht="20" customHeight="1" spans="1:11">
      <c r="A219" s="22">
        <v>230</v>
      </c>
      <c r="B219" s="23">
        <v>46253</v>
      </c>
      <c r="C219" s="24" t="str">
        <v>趣点购浦发</v>
      </c>
      <c r="D219" s="24">
        <v>0</v>
      </c>
      <c r="E219" s="24" t="str">
        <v>自动提现 2026-08-18</v>
      </c>
      <c r="F219" s="24">
        <v>30.22</v>
      </c>
      <c r="G219" s="24">
        <v>0</v>
      </c>
      <c r="H219" s="24">
        <v>18019.3699999985</v>
      </c>
      <c r="I219" s="24">
        <v>0</v>
      </c>
      <c r="J219" s="24">
        <v>0</v>
      </c>
      <c r="K219" s="25">
        <v>202608</v>
      </c>
    </row>
    <row r="220" s="5" customFormat="1" ht="20" customHeight="1" spans="1:11">
      <c r="A220" s="22">
        <v>231</v>
      </c>
      <c r="B220" s="23">
        <v>46254</v>
      </c>
      <c r="C220" s="24" t="str">
        <v>趣点购浦发</v>
      </c>
      <c r="D220" s="24">
        <v>0</v>
      </c>
      <c r="E220" s="24" t="str">
        <v>小麦售货机260820_1233</v>
      </c>
      <c r="F220" s="24">
        <v>857.5</v>
      </c>
      <c r="G220" s="24">
        <v>0</v>
      </c>
      <c r="H220" s="24">
        <v>18876.8699999985</v>
      </c>
      <c r="I220" s="24">
        <v>0</v>
      </c>
      <c r="J220" s="24">
        <v>0</v>
      </c>
      <c r="K220" s="25">
        <v>202608</v>
      </c>
    </row>
    <row r="221" s="5" customFormat="1" ht="20" customHeight="1" spans="1:11">
      <c r="A221" s="22">
        <v>232</v>
      </c>
      <c r="B221" s="23">
        <v>46254</v>
      </c>
      <c r="C221" s="24" t="str">
        <v>趣点购浦发</v>
      </c>
      <c r="D221" s="24">
        <v>0</v>
      </c>
      <c r="E221" s="24" t="str">
        <v>MM哈哈售货机_1746233457</v>
      </c>
      <c r="F221" s="24">
        <v>41.47</v>
      </c>
      <c r="G221" s="24">
        <v>0</v>
      </c>
      <c r="H221" s="24">
        <v>18918.3399999985</v>
      </c>
      <c r="I221" s="24">
        <v>0</v>
      </c>
      <c r="J221" s="24">
        <v>0</v>
      </c>
      <c r="K221" s="25">
        <v>202608</v>
      </c>
    </row>
    <row r="222" s="5" customFormat="1" ht="20" customHeight="1" spans="1:11">
      <c r="A222" s="22">
        <v>233</v>
      </c>
      <c r="B222" s="23">
        <v>46254</v>
      </c>
      <c r="C222" s="24" t="str">
        <v>趣点购浦发</v>
      </c>
      <c r="D222" s="24">
        <v>0</v>
      </c>
      <c r="E222" s="24" t="str">
        <v>自动提现 2026-08-19</v>
      </c>
      <c r="F222" s="24">
        <v>4.07</v>
      </c>
      <c r="G222" s="24">
        <v>0</v>
      </c>
      <c r="H222" s="24">
        <v>18922.4099999985</v>
      </c>
      <c r="I222" s="24">
        <v>0</v>
      </c>
      <c r="J222" s="24">
        <v>0</v>
      </c>
      <c r="K222" s="25">
        <v>202608</v>
      </c>
    </row>
    <row r="223" s="5" customFormat="1" ht="20" customHeight="1" spans="1:11">
      <c r="A223" s="22">
        <v>234</v>
      </c>
      <c r="B223" s="23">
        <v>46255</v>
      </c>
      <c r="C223" s="24" t="str">
        <v>趣点购浦发</v>
      </c>
      <c r="D223" s="24">
        <v>0</v>
      </c>
      <c r="E223" s="24" t="str">
        <v>小麦售货机260821_1233</v>
      </c>
      <c r="F223" s="24">
        <v>1401.56</v>
      </c>
      <c r="G223" s="24">
        <v>0</v>
      </c>
      <c r="H223" s="24">
        <v>20323.9699999986</v>
      </c>
      <c r="I223" s="24">
        <v>0</v>
      </c>
      <c r="J223" s="24">
        <v>0</v>
      </c>
      <c r="K223" s="25">
        <v>202608</v>
      </c>
    </row>
    <row r="224" s="5" customFormat="1" ht="20" customHeight="1" spans="1:11">
      <c r="A224" s="22">
        <v>235</v>
      </c>
      <c r="B224" s="23">
        <v>46255</v>
      </c>
      <c r="C224" s="24" t="str">
        <v>趣点购浦发</v>
      </c>
      <c r="D224" s="24">
        <v>0</v>
      </c>
      <c r="E224" s="24" t="str">
        <v>MM哈哈售货机_1746233457</v>
      </c>
      <c r="F224" s="24">
        <v>59.38</v>
      </c>
      <c r="G224" s="24">
        <v>0</v>
      </c>
      <c r="H224" s="24">
        <v>20383.3499999985</v>
      </c>
      <c r="I224" s="24">
        <v>0</v>
      </c>
      <c r="J224" s="24">
        <v>0</v>
      </c>
      <c r="K224" s="25">
        <v>202608</v>
      </c>
    </row>
    <row r="225" s="5" customFormat="1" ht="20" customHeight="1" spans="1:11">
      <c r="A225" s="22">
        <v>236</v>
      </c>
      <c r="B225" s="23">
        <v>46255</v>
      </c>
      <c r="C225" s="24" t="str">
        <v>趣点购浦发</v>
      </c>
      <c r="D225" s="24">
        <v>0</v>
      </c>
      <c r="E225" s="24" t="str">
        <v>自动提现 2026-08-20</v>
      </c>
      <c r="F225" s="24">
        <v>130.01</v>
      </c>
      <c r="G225" s="24">
        <v>0</v>
      </c>
      <c r="H225" s="24">
        <v>20513.3599999985</v>
      </c>
      <c r="I225" s="24">
        <v>0</v>
      </c>
      <c r="J225" s="24">
        <v>0</v>
      </c>
      <c r="K225" s="25">
        <v>202608</v>
      </c>
    </row>
    <row r="226" s="5" customFormat="1" ht="20" customHeight="1" spans="1:11">
      <c r="A226" s="22">
        <v>237</v>
      </c>
      <c r="B226" s="23">
        <v>46256</v>
      </c>
      <c r="C226" s="24" t="str">
        <v>趣点购浦发</v>
      </c>
      <c r="D226" s="24">
        <v>0</v>
      </c>
      <c r="E226" s="24" t="str">
        <v>小麦售货机260822_1233</v>
      </c>
      <c r="F226" s="24">
        <v>2350.32</v>
      </c>
      <c r="G226" s="24">
        <v>0</v>
      </c>
      <c r="H226" s="24">
        <v>22863.6799999985</v>
      </c>
      <c r="I226" s="24">
        <v>0</v>
      </c>
      <c r="J226" s="24">
        <v>0</v>
      </c>
      <c r="K226" s="25">
        <v>202608</v>
      </c>
    </row>
    <row r="227" s="5" customFormat="1" ht="20" customHeight="1" spans="1:11">
      <c r="A227" s="22">
        <v>238</v>
      </c>
      <c r="B227" s="23">
        <v>46256</v>
      </c>
      <c r="C227" s="24" t="str">
        <v>趣点购浦发</v>
      </c>
      <c r="D227" s="24">
        <v>0</v>
      </c>
      <c r="E227" s="24" t="str">
        <v>MM哈哈售货机_1746233457</v>
      </c>
      <c r="F227" s="24">
        <v>89.41</v>
      </c>
      <c r="G227" s="24">
        <v>0</v>
      </c>
      <c r="H227" s="24">
        <v>22953.0899999985</v>
      </c>
      <c r="I227" s="24">
        <v>0</v>
      </c>
      <c r="J227" s="24">
        <v>0</v>
      </c>
      <c r="K227" s="25">
        <v>202608</v>
      </c>
    </row>
    <row r="228" s="5" customFormat="1" ht="20" customHeight="1" spans="1:11">
      <c r="A228" s="22">
        <v>239</v>
      </c>
      <c r="B228" s="23">
        <v>46256</v>
      </c>
      <c r="C228" s="24" t="str">
        <v>趣点购浦发</v>
      </c>
      <c r="D228" s="24">
        <v>0</v>
      </c>
      <c r="E228" s="24" t="str">
        <v>自动提现 2026-08-21</v>
      </c>
      <c r="F228" s="24">
        <v>150.59</v>
      </c>
      <c r="G228" s="24">
        <v>0</v>
      </c>
      <c r="H228" s="24">
        <v>23103.6799999985</v>
      </c>
      <c r="I228" s="24">
        <v>0</v>
      </c>
      <c r="J228" s="24">
        <v>0</v>
      </c>
      <c r="K228" s="25">
        <v>202608</v>
      </c>
    </row>
    <row r="229" s="5" customFormat="1" ht="20" customHeight="1" spans="1:11">
      <c r="A229" s="22">
        <v>240</v>
      </c>
      <c r="B229" s="23">
        <v>46257</v>
      </c>
      <c r="C229" s="24" t="str">
        <v>趣点购浦发</v>
      </c>
      <c r="D229" s="24">
        <v>0</v>
      </c>
      <c r="E229" s="24" t="str">
        <v>小麦售货机260823_1233</v>
      </c>
      <c r="F229" s="24">
        <v>5769.25</v>
      </c>
      <c r="G229" s="24">
        <v>0</v>
      </c>
      <c r="H229" s="24">
        <v>28872.9299999985</v>
      </c>
      <c r="I229" s="24">
        <v>0</v>
      </c>
      <c r="J229" s="24">
        <v>0</v>
      </c>
      <c r="K229" s="25">
        <v>202608</v>
      </c>
    </row>
    <row r="230" s="5" customFormat="1" ht="20" customHeight="1" spans="1:11">
      <c r="A230" s="22">
        <v>241</v>
      </c>
      <c r="B230" s="23">
        <v>46257</v>
      </c>
      <c r="C230" s="24" t="str">
        <v>趣点购浦发</v>
      </c>
      <c r="D230" s="24">
        <v>0</v>
      </c>
      <c r="E230" s="24" t="str">
        <v>MM哈哈售货机_1746233457</v>
      </c>
      <c r="F230" s="24">
        <v>27.35</v>
      </c>
      <c r="G230" s="24">
        <v>0</v>
      </c>
      <c r="H230" s="24">
        <v>28900.2799999986</v>
      </c>
      <c r="I230" s="24">
        <v>0</v>
      </c>
      <c r="J230" s="24">
        <v>0</v>
      </c>
      <c r="K230" s="25">
        <v>202608</v>
      </c>
    </row>
    <row r="231" s="5" customFormat="1" ht="20" customHeight="1" spans="1:11">
      <c r="A231" s="22">
        <v>242</v>
      </c>
      <c r="B231" s="23">
        <v>46257</v>
      </c>
      <c r="C231" s="24" t="str">
        <v>趣点购浦发</v>
      </c>
      <c r="D231" s="24">
        <v>0</v>
      </c>
      <c r="E231" s="24" t="str">
        <v>自动提现 2026-08-22</v>
      </c>
      <c r="F231" s="24">
        <v>287.04</v>
      </c>
      <c r="G231" s="24">
        <v>0</v>
      </c>
      <c r="H231" s="24">
        <v>29187.3199999987</v>
      </c>
      <c r="I231" s="24">
        <v>0</v>
      </c>
      <c r="J231" s="24">
        <v>0</v>
      </c>
      <c r="K231" s="25">
        <v>202608</v>
      </c>
    </row>
    <row r="232" s="5" customFormat="1" ht="20" customHeight="1" spans="1:11">
      <c r="A232" s="22">
        <v>243</v>
      </c>
      <c r="B232" s="23">
        <v>46258</v>
      </c>
      <c r="C232" s="24" t="str">
        <v>趣点购浦发</v>
      </c>
      <c r="D232" s="24">
        <v>0</v>
      </c>
      <c r="E232" s="24" t="str">
        <v>小麦售货机260824_1233</v>
      </c>
      <c r="F232" s="24">
        <v>4677.45</v>
      </c>
      <c r="G232" s="24">
        <v>0</v>
      </c>
      <c r="H232" s="24">
        <v>33864.7699999986</v>
      </c>
      <c r="I232" s="24">
        <v>0</v>
      </c>
      <c r="J232" s="24">
        <v>0</v>
      </c>
      <c r="K232" s="25">
        <v>202608</v>
      </c>
    </row>
    <row r="233" s="5" customFormat="1" ht="20" customHeight="1" spans="1:11">
      <c r="A233" s="22">
        <v>244</v>
      </c>
      <c r="B233" s="23">
        <v>46258</v>
      </c>
      <c r="C233" s="24" t="str">
        <v>趣点购浦发</v>
      </c>
      <c r="D233" s="24">
        <v>0</v>
      </c>
      <c r="E233" s="24" t="str">
        <v>MM哈哈售货机_1746233457</v>
      </c>
      <c r="F233" s="24">
        <v>43.07</v>
      </c>
      <c r="G233" s="24">
        <v>0</v>
      </c>
      <c r="H233" s="24">
        <v>33907.8399999987</v>
      </c>
      <c r="I233" s="24">
        <v>0</v>
      </c>
      <c r="J233" s="24">
        <v>0</v>
      </c>
      <c r="K233" s="25">
        <v>202608</v>
      </c>
    </row>
    <row r="234" s="5" customFormat="1" ht="20" customHeight="1" spans="1:11">
      <c r="A234" s="22">
        <v>245</v>
      </c>
      <c r="B234" s="23">
        <v>46258</v>
      </c>
      <c r="C234" s="24" t="str">
        <v>趣点购浦发</v>
      </c>
      <c r="D234" s="24">
        <v>0</v>
      </c>
      <c r="E234" s="24" t="str">
        <v>自动提现 2026-08-23</v>
      </c>
      <c r="F234" s="24">
        <v>609.31</v>
      </c>
      <c r="G234" s="24">
        <v>0</v>
      </c>
      <c r="H234" s="24">
        <v>34517.1499999987</v>
      </c>
      <c r="I234" s="24">
        <v>0</v>
      </c>
      <c r="J234" s="24">
        <v>0</v>
      </c>
      <c r="K234" s="25">
        <v>202608</v>
      </c>
    </row>
    <row r="235" s="5" customFormat="1" ht="20" customHeight="1" spans="1:11">
      <c r="A235" s="22">
        <v>246</v>
      </c>
      <c r="B235" s="23">
        <v>46259</v>
      </c>
      <c r="C235" s="24" t="str">
        <v>趣点购浦发</v>
      </c>
      <c r="D235" s="24">
        <v>0</v>
      </c>
      <c r="E235" s="24" t="str">
        <v>小麦售货机260825_1233</v>
      </c>
      <c r="F235" s="24">
        <v>4319.14</v>
      </c>
      <c r="G235" s="24">
        <v>0</v>
      </c>
      <c r="H235" s="24">
        <v>38836.2899999986</v>
      </c>
      <c r="I235" s="24">
        <v>0</v>
      </c>
      <c r="J235" s="24">
        <v>0</v>
      </c>
      <c r="K235" s="25">
        <v>202608</v>
      </c>
    </row>
    <row r="236" s="5" customFormat="1" ht="20" customHeight="1" spans="1:11">
      <c r="A236" s="22">
        <v>247</v>
      </c>
      <c r="B236" s="23">
        <v>46259</v>
      </c>
      <c r="C236" s="24" t="str">
        <v>趣点购浦发</v>
      </c>
      <c r="D236" s="24">
        <v>0</v>
      </c>
      <c r="E236" s="24" t="str">
        <v>MM哈哈售货机_1746233457</v>
      </c>
      <c r="F236" s="24">
        <v>42.66</v>
      </c>
      <c r="G236" s="24">
        <v>0</v>
      </c>
      <c r="H236" s="24">
        <v>38878.9499999986</v>
      </c>
      <c r="I236" s="24">
        <v>0</v>
      </c>
      <c r="J236" s="24">
        <v>0</v>
      </c>
      <c r="K236" s="25">
        <v>202608</v>
      </c>
    </row>
    <row r="237" s="5" customFormat="1" ht="20" customHeight="1" spans="1:11">
      <c r="A237" s="22">
        <v>248</v>
      </c>
      <c r="B237" s="23">
        <v>46259</v>
      </c>
      <c r="C237" s="24" t="str">
        <v>趣点购浦发</v>
      </c>
      <c r="D237" s="24" t="str">
        <v>供应商</v>
      </c>
      <c r="E237" s="24" t="str">
        <v>统一货款</v>
      </c>
      <c r="F237" s="24">
        <v>0</v>
      </c>
      <c r="G237" s="24">
        <v>35000</v>
      </c>
      <c r="H237" s="24">
        <v>3878.94999999856</v>
      </c>
      <c r="I237" s="24">
        <v>0</v>
      </c>
      <c r="J237" s="24" t="str">
        <v>成都统一企业食品有限公司</v>
      </c>
      <c r="K237" s="25">
        <v>202608</v>
      </c>
    </row>
    <row r="238" s="5" customFormat="1" ht="20" customHeight="1" spans="1:11">
      <c r="A238" s="22">
        <v>249</v>
      </c>
      <c r="B238" s="23">
        <v>46259</v>
      </c>
      <c r="C238" s="24" t="str">
        <v>趣点购浦发</v>
      </c>
      <c r="D238" s="24" t="str">
        <v>银行手续费</v>
      </c>
      <c r="E238" s="24" t="str">
        <v>网银互联汇出手续费</v>
      </c>
      <c r="F238" s="24">
        <v>0</v>
      </c>
      <c r="G238" s="24">
        <v>9</v>
      </c>
      <c r="H238" s="24">
        <v>3869.94999999856</v>
      </c>
      <c r="I238" s="24">
        <v>0</v>
      </c>
      <c r="J238" s="24">
        <v>0</v>
      </c>
      <c r="K238" s="25">
        <v>202608</v>
      </c>
    </row>
    <row r="239" s="5" customFormat="1" ht="20" customHeight="1" spans="1:11">
      <c r="A239" s="22">
        <v>250</v>
      </c>
      <c r="B239" s="23">
        <v>46259</v>
      </c>
      <c r="C239" s="24" t="str">
        <v>趣点购浦发</v>
      </c>
      <c r="D239" s="24">
        <v>0</v>
      </c>
      <c r="E239" s="24" t="str">
        <v>自动提现 2026-08-24</v>
      </c>
      <c r="F239" s="24">
        <v>436.06</v>
      </c>
      <c r="G239" s="24">
        <v>0</v>
      </c>
      <c r="H239" s="24">
        <v>4306.00999999861</v>
      </c>
      <c r="I239" s="24">
        <v>0</v>
      </c>
      <c r="J239" s="24">
        <v>0</v>
      </c>
      <c r="K239" s="25">
        <v>202608</v>
      </c>
    </row>
    <row r="240" s="5" customFormat="1" ht="20" customHeight="1" spans="1:11">
      <c r="A240" s="22">
        <v>251</v>
      </c>
      <c r="B240" s="23">
        <v>46260</v>
      </c>
      <c r="C240" s="24" t="str">
        <v>趣点购浦发</v>
      </c>
      <c r="D240" s="24">
        <v>0</v>
      </c>
      <c r="E240" s="24" t="str">
        <v>小麦售货机260826_1233</v>
      </c>
      <c r="F240" s="24">
        <v>4855.99</v>
      </c>
      <c r="G240" s="24">
        <v>0</v>
      </c>
      <c r="H240" s="24">
        <v>9161.9999999986</v>
      </c>
      <c r="I240" s="24">
        <v>0</v>
      </c>
      <c r="J240" s="24">
        <v>0</v>
      </c>
      <c r="K240" s="25">
        <v>202608</v>
      </c>
    </row>
    <row r="241" s="5" customFormat="1" ht="20" customHeight="1" spans="1:11">
      <c r="A241" s="22">
        <v>252</v>
      </c>
      <c r="B241" s="23">
        <v>46260</v>
      </c>
      <c r="C241" s="24" t="str">
        <v>趣点购浦发</v>
      </c>
      <c r="D241" s="24">
        <v>0</v>
      </c>
      <c r="E241" s="24" t="str">
        <v>超市营业款</v>
      </c>
      <c r="F241" s="24">
        <v>113.87</v>
      </c>
      <c r="G241" s="24">
        <v>0</v>
      </c>
      <c r="H241" s="24">
        <v>9275.86999999871</v>
      </c>
      <c r="I241" s="24">
        <v>0</v>
      </c>
      <c r="J241" s="24">
        <v>0</v>
      </c>
      <c r="K241" s="25">
        <v>202608</v>
      </c>
    </row>
    <row r="242" s="5" customFormat="1" ht="20" customHeight="1" spans="1:11">
      <c r="A242" s="22">
        <v>253</v>
      </c>
      <c r="B242" s="23">
        <v>46260</v>
      </c>
      <c r="C242" s="24" t="str">
        <v>趣点购浦发</v>
      </c>
      <c r="D242" s="24">
        <v>0</v>
      </c>
      <c r="E242" s="24" t="str">
        <v>MM哈哈售货机_1746233457</v>
      </c>
      <c r="F242" s="24">
        <v>51.02</v>
      </c>
      <c r="G242" s="24">
        <v>0</v>
      </c>
      <c r="H242" s="24">
        <v>9326.88999999873</v>
      </c>
      <c r="I242" s="24">
        <v>0</v>
      </c>
      <c r="J242" s="24">
        <v>0</v>
      </c>
      <c r="K242" s="25">
        <v>202608</v>
      </c>
    </row>
    <row r="243" s="5" customFormat="1" ht="20" customHeight="1" spans="1:11">
      <c r="A243" s="22">
        <v>254</v>
      </c>
      <c r="B243" s="23">
        <v>46260</v>
      </c>
      <c r="C243" s="24" t="str">
        <v>趣点购浦发</v>
      </c>
      <c r="D243" s="24">
        <v>0</v>
      </c>
      <c r="E243" s="24" t="str">
        <v>自动提现 2026-08-25</v>
      </c>
      <c r="F243" s="24">
        <v>275.72</v>
      </c>
      <c r="G243" s="24">
        <v>0</v>
      </c>
      <c r="H243" s="24">
        <v>9602.60999999871</v>
      </c>
      <c r="I243" s="24">
        <v>0</v>
      </c>
      <c r="J243" s="24">
        <v>0</v>
      </c>
      <c r="K243" s="25">
        <v>202608</v>
      </c>
    </row>
    <row r="244" s="5" customFormat="1" ht="20" customHeight="1" spans="1:11">
      <c r="A244" s="22">
        <v>255</v>
      </c>
      <c r="B244" s="23">
        <v>46261</v>
      </c>
      <c r="C244" s="24" t="str">
        <v>趣点购浦发</v>
      </c>
      <c r="D244" s="24">
        <v>0</v>
      </c>
      <c r="E244" s="24" t="str">
        <v>小麦售货机260827_1233</v>
      </c>
      <c r="F244" s="24">
        <v>3930.75</v>
      </c>
      <c r="G244" s="24">
        <v>0</v>
      </c>
      <c r="H244" s="24">
        <v>13533.3599999987</v>
      </c>
      <c r="I244" s="24">
        <v>0</v>
      </c>
      <c r="J244" s="24">
        <v>0</v>
      </c>
      <c r="K244" s="25">
        <v>202608</v>
      </c>
    </row>
    <row r="245" s="5" customFormat="1" ht="20" customHeight="1" spans="1:11">
      <c r="A245" s="22">
        <v>256</v>
      </c>
      <c r="B245" s="23">
        <v>46261</v>
      </c>
      <c r="C245" s="24" t="str">
        <v>趣点购浦发</v>
      </c>
      <c r="D245" s="24">
        <v>0</v>
      </c>
      <c r="E245" s="24" t="str">
        <v>超市营业款</v>
      </c>
      <c r="F245" s="24">
        <v>380.61</v>
      </c>
      <c r="G245" s="24">
        <v>0</v>
      </c>
      <c r="H245" s="24">
        <v>13913.9699999988</v>
      </c>
      <c r="I245" s="24">
        <v>0</v>
      </c>
      <c r="J245" s="24">
        <v>0</v>
      </c>
      <c r="K245" s="25">
        <v>202608</v>
      </c>
    </row>
    <row r="246" s="5" customFormat="1" ht="20" customHeight="1" spans="1:11">
      <c r="A246" s="22">
        <v>257</v>
      </c>
      <c r="B246" s="23">
        <v>46261</v>
      </c>
      <c r="C246" s="24" t="str">
        <v>趣点购浦发</v>
      </c>
      <c r="D246" s="24">
        <v>0</v>
      </c>
      <c r="E246" s="24" t="str">
        <v>MM哈哈售货机_1746233457</v>
      </c>
      <c r="F246" s="24">
        <v>80.35</v>
      </c>
      <c r="G246" s="24">
        <v>0</v>
      </c>
      <c r="H246" s="24">
        <v>13994.3199999989</v>
      </c>
      <c r="I246" s="24">
        <v>0</v>
      </c>
      <c r="J246" s="24">
        <v>0</v>
      </c>
      <c r="K246" s="25">
        <v>202608</v>
      </c>
    </row>
    <row r="247" s="5" customFormat="1" ht="20" customHeight="1" spans="1:11">
      <c r="A247" s="22">
        <v>258</v>
      </c>
      <c r="B247" s="23">
        <v>46261</v>
      </c>
      <c r="C247" s="24" t="str">
        <v>趣点购浦发</v>
      </c>
      <c r="D247" s="24">
        <v>0</v>
      </c>
      <c r="E247" s="24" t="str">
        <v>自动提现 2026-08-26</v>
      </c>
      <c r="F247" s="24">
        <v>473.82</v>
      </c>
      <c r="G247" s="24">
        <v>0</v>
      </c>
      <c r="H247" s="24">
        <v>14468.139999999</v>
      </c>
      <c r="I247" s="24">
        <v>0</v>
      </c>
      <c r="J247" s="24">
        <v>0</v>
      </c>
      <c r="K247" s="25">
        <v>202608</v>
      </c>
    </row>
    <row r="248" s="5" customFormat="1" ht="20" customHeight="1" spans="1:11">
      <c r="A248" s="22">
        <v>259</v>
      </c>
      <c r="B248" s="23">
        <v>46261</v>
      </c>
      <c r="C248" s="24" t="str">
        <v>趣点购浦发</v>
      </c>
      <c r="D248" s="24" t="str">
        <v>设备款</v>
      </c>
      <c r="E248" s="24" t="str">
        <v>售货机分期款</v>
      </c>
      <c r="F248" s="24">
        <v>0</v>
      </c>
      <c r="G248" s="24">
        <v>10500</v>
      </c>
      <c r="H248" s="24">
        <v>3968.13999999897</v>
      </c>
      <c r="I248" s="24">
        <v>0</v>
      </c>
      <c r="J248" s="24" t="str">
        <v>武汉小麦便利科技有限公司</v>
      </c>
      <c r="K248" s="25">
        <v>202608</v>
      </c>
    </row>
    <row r="249" s="5" customFormat="1" ht="20" customHeight="1" spans="1:11">
      <c r="A249" s="22">
        <v>260</v>
      </c>
      <c r="B249" s="23">
        <v>46261</v>
      </c>
      <c r="C249" s="24" t="str">
        <v>趣点购浦发</v>
      </c>
      <c r="D249" s="24" t="str">
        <v>银行手续费</v>
      </c>
      <c r="E249" s="24" t="str">
        <v>网银互联汇出手续费</v>
      </c>
      <c r="F249" s="24">
        <v>0</v>
      </c>
      <c r="G249" s="24">
        <v>9</v>
      </c>
      <c r="H249" s="24">
        <v>3959.13999999897</v>
      </c>
      <c r="I249" s="24">
        <v>0</v>
      </c>
      <c r="J249" s="24">
        <v>0</v>
      </c>
      <c r="K249" s="25">
        <v>202608</v>
      </c>
    </row>
    <row r="250" s="5" customFormat="1" ht="20" customHeight="1" spans="1:11">
      <c r="A250" s="22">
        <v>261</v>
      </c>
      <c r="B250" s="23">
        <v>46262</v>
      </c>
      <c r="C250" s="24" t="str">
        <v>趣点购浦发</v>
      </c>
      <c r="D250" s="24">
        <v>0</v>
      </c>
      <c r="E250" s="24" t="str">
        <v>小麦售货机260828_1233</v>
      </c>
      <c r="F250" s="24">
        <v>4367.64</v>
      </c>
      <c r="G250" s="24">
        <v>0</v>
      </c>
      <c r="H250" s="24">
        <v>8326.77999999886</v>
      </c>
      <c r="I250" s="24">
        <v>0</v>
      </c>
      <c r="J250" s="24">
        <v>0</v>
      </c>
      <c r="K250" s="25">
        <v>202608</v>
      </c>
    </row>
    <row r="251" s="5" customFormat="1" ht="20" customHeight="1" spans="1:11">
      <c r="A251" s="22">
        <v>262</v>
      </c>
      <c r="B251" s="23">
        <v>46262</v>
      </c>
      <c r="C251" s="24" t="str">
        <v>趣点购浦发</v>
      </c>
      <c r="D251" s="24">
        <v>0</v>
      </c>
      <c r="E251" s="24" t="str">
        <v>超市营业款</v>
      </c>
      <c r="F251" s="24">
        <v>303.86</v>
      </c>
      <c r="G251" s="24">
        <v>0</v>
      </c>
      <c r="H251" s="24">
        <v>8630.63999999897</v>
      </c>
      <c r="I251" s="24">
        <v>0</v>
      </c>
      <c r="J251" s="24">
        <v>0</v>
      </c>
      <c r="K251" s="25">
        <v>202608</v>
      </c>
    </row>
    <row r="252" s="5" customFormat="1" ht="16.5" spans="1:11">
      <c r="A252" s="22">
        <v>263</v>
      </c>
      <c r="B252" s="23">
        <v>46262</v>
      </c>
      <c r="C252" s="24" t="str">
        <v>趣点购浦发</v>
      </c>
      <c r="D252" s="24">
        <v>0</v>
      </c>
      <c r="E252" s="24" t="str">
        <v>MM哈哈售货机_1746233457</v>
      </c>
      <c r="F252" s="24">
        <v>26.65</v>
      </c>
      <c r="G252" s="24">
        <v>0</v>
      </c>
      <c r="H252" s="24">
        <v>8657.28999999887</v>
      </c>
      <c r="I252" s="24">
        <v>0</v>
      </c>
      <c r="J252" s="24">
        <v>0</v>
      </c>
      <c r="K252" s="25">
        <v>202608</v>
      </c>
    </row>
    <row r="253" s="5" customFormat="1" ht="16.5" spans="1:11">
      <c r="A253" s="22">
        <v>264</v>
      </c>
      <c r="B253" s="23">
        <v>46262</v>
      </c>
      <c r="C253" s="24" t="str">
        <v>趣点购浦发</v>
      </c>
      <c r="D253" s="24">
        <v>0</v>
      </c>
      <c r="E253" s="24" t="str">
        <v>自动提现 2026-08-27</v>
      </c>
      <c r="F253" s="24">
        <v>316.88</v>
      </c>
      <c r="G253" s="24">
        <v>0</v>
      </c>
      <c r="H253" s="24">
        <v>8974.16999999876</v>
      </c>
      <c r="I253" s="24">
        <v>0</v>
      </c>
      <c r="J253" s="24">
        <v>0</v>
      </c>
      <c r="K253" s="25">
        <v>202608</v>
      </c>
    </row>
    <row r="254" s="5" customFormat="1" ht="16.5" spans="1:11">
      <c r="A254" s="22">
        <v>265</v>
      </c>
      <c r="B254" s="23">
        <v>46263</v>
      </c>
      <c r="C254" s="24" t="str">
        <v>趣点购浦发</v>
      </c>
      <c r="D254" s="24">
        <v>0</v>
      </c>
      <c r="E254" s="24" t="str">
        <v>小麦售货机260829_1233</v>
      </c>
      <c r="F254" s="24">
        <v>4448.56</v>
      </c>
      <c r="G254" s="24">
        <v>0</v>
      </c>
      <c r="H254" s="24">
        <v>13422.7299999988</v>
      </c>
      <c r="I254" s="24">
        <v>0</v>
      </c>
      <c r="J254" s="24">
        <v>0</v>
      </c>
      <c r="K254" s="25">
        <v>202608</v>
      </c>
    </row>
    <row r="255" s="5" customFormat="1" ht="16.5" spans="1:11">
      <c r="A255" s="22">
        <v>266</v>
      </c>
      <c r="B255" s="23">
        <v>46263</v>
      </c>
      <c r="C255" s="24" t="str">
        <v>趣点购浦发</v>
      </c>
      <c r="D255" s="24">
        <v>0</v>
      </c>
      <c r="E255" s="24" t="str">
        <v>超市营业款</v>
      </c>
      <c r="F255" s="24">
        <v>1183.06</v>
      </c>
      <c r="G255" s="24">
        <v>0</v>
      </c>
      <c r="H255" s="24">
        <v>14605.7899999989</v>
      </c>
      <c r="I255" s="24">
        <v>0</v>
      </c>
      <c r="J255" s="24">
        <v>0</v>
      </c>
      <c r="K255" s="25">
        <v>202608</v>
      </c>
    </row>
    <row r="256" s="5" customFormat="1" ht="16.5" spans="1:11">
      <c r="A256" s="22">
        <v>267</v>
      </c>
      <c r="B256" s="23">
        <v>46263</v>
      </c>
      <c r="C256" s="24" t="str">
        <v>趣点购浦发</v>
      </c>
      <c r="D256" s="24">
        <v>0</v>
      </c>
      <c r="E256" s="24" t="str">
        <v>MM哈哈售货机_1746233457</v>
      </c>
      <c r="F256" s="24">
        <v>31.72</v>
      </c>
      <c r="G256" s="24">
        <v>0</v>
      </c>
      <c r="H256" s="24">
        <v>14637.5099999988</v>
      </c>
      <c r="I256" s="24">
        <v>0</v>
      </c>
      <c r="J256" s="24">
        <v>0</v>
      </c>
      <c r="K256" s="25">
        <v>202608</v>
      </c>
    </row>
    <row r="257" s="5" customFormat="1" ht="16.5" spans="1:11">
      <c r="A257" s="22">
        <v>268</v>
      </c>
      <c r="B257" s="23">
        <v>46263</v>
      </c>
      <c r="C257" s="24" t="str">
        <v>趣点购浦发</v>
      </c>
      <c r="D257" s="24">
        <v>0</v>
      </c>
      <c r="E257" s="24" t="str">
        <v>自动提现 2026-08-28</v>
      </c>
      <c r="F257" s="24">
        <v>317.05</v>
      </c>
      <c r="G257" s="24">
        <v>0</v>
      </c>
      <c r="H257" s="24">
        <v>14954.5599999989</v>
      </c>
      <c r="I257" s="24">
        <v>0</v>
      </c>
      <c r="J257" s="24">
        <v>0</v>
      </c>
      <c r="K257" s="25">
        <v>202608</v>
      </c>
    </row>
    <row r="258" s="5" customFormat="1" ht="16.5" spans="1:11">
      <c r="A258" s="22">
        <v>269</v>
      </c>
      <c r="B258" s="23">
        <v>46264</v>
      </c>
      <c r="C258" s="24" t="str">
        <v>趣点购浦发</v>
      </c>
      <c r="D258" s="24">
        <v>0</v>
      </c>
      <c r="E258" s="24" t="str">
        <v>小麦售货机260830_1233</v>
      </c>
      <c r="F258" s="24">
        <v>6351.69</v>
      </c>
      <c r="G258" s="24">
        <v>0</v>
      </c>
      <c r="H258" s="24">
        <v>21306.2499999988</v>
      </c>
      <c r="I258" s="24">
        <v>0</v>
      </c>
      <c r="J258" s="24">
        <v>0</v>
      </c>
      <c r="K258" s="25">
        <v>202608</v>
      </c>
    </row>
    <row r="259" s="5" customFormat="1" ht="16.5" spans="1:11">
      <c r="A259" s="22">
        <v>270</v>
      </c>
      <c r="B259" s="23">
        <v>46264</v>
      </c>
      <c r="C259" s="24" t="str">
        <v>趣点购浦发</v>
      </c>
      <c r="D259" s="24">
        <v>0</v>
      </c>
      <c r="E259" s="24" t="str">
        <v>超市营业款</v>
      </c>
      <c r="F259" s="24">
        <v>6362.4</v>
      </c>
      <c r="G259" s="24">
        <v>0</v>
      </c>
      <c r="H259" s="24">
        <v>27668.6499999987</v>
      </c>
      <c r="I259" s="24">
        <v>0</v>
      </c>
      <c r="J259" s="24">
        <v>0</v>
      </c>
      <c r="K259" s="25">
        <v>202608</v>
      </c>
    </row>
    <row r="260" s="5" customFormat="1" ht="16.5" spans="1:11">
      <c r="A260" s="22">
        <v>271</v>
      </c>
      <c r="B260" s="23">
        <v>46264</v>
      </c>
      <c r="C260" s="24" t="str">
        <v>趣点购浦发</v>
      </c>
      <c r="D260" s="24">
        <v>0</v>
      </c>
      <c r="E260" s="24" t="str">
        <v>MM哈哈售货机_1746233457</v>
      </c>
      <c r="F260" s="24">
        <v>50.13</v>
      </c>
      <c r="G260" s="24">
        <v>0</v>
      </c>
      <c r="H260" s="24">
        <v>27718.7799999986</v>
      </c>
      <c r="I260" s="24">
        <v>0</v>
      </c>
      <c r="J260" s="24">
        <v>0</v>
      </c>
      <c r="K260" s="25">
        <v>202608</v>
      </c>
    </row>
    <row r="261" s="5" customFormat="1" ht="16.5" spans="1:11">
      <c r="A261" s="22">
        <v>272</v>
      </c>
      <c r="B261" s="23">
        <v>46264</v>
      </c>
      <c r="C261" s="24" t="str">
        <v>趣点购浦发</v>
      </c>
      <c r="D261" s="24">
        <v>0</v>
      </c>
      <c r="E261" s="24" t="str">
        <v>自动提现 2026-08-29</v>
      </c>
      <c r="F261" s="24">
        <v>324.93</v>
      </c>
      <c r="G261" s="24">
        <v>0</v>
      </c>
      <c r="H261" s="24">
        <v>28043.7099999986</v>
      </c>
      <c r="I261" s="24">
        <v>0</v>
      </c>
      <c r="J261" s="24">
        <v>0</v>
      </c>
      <c r="K261" s="25">
        <v>202608</v>
      </c>
    </row>
    <row r="262" s="5" customFormat="1" ht="16.5" spans="1:11">
      <c r="A262" s="22">
        <v>273</v>
      </c>
      <c r="B262" s="23">
        <v>46264</v>
      </c>
      <c r="C262" s="24" t="str">
        <v>趣点购浦发</v>
      </c>
      <c r="D262" s="24" t="str">
        <v>税费</v>
      </c>
      <c r="E262" s="24" t="str">
        <v>缴税</v>
      </c>
      <c r="F262" s="24">
        <v>0</v>
      </c>
      <c r="G262" s="24">
        <v>13302.48</v>
      </c>
      <c r="H262" s="24">
        <v>14741.2299999986</v>
      </c>
      <c r="I262" s="24">
        <v>0</v>
      </c>
      <c r="J262" s="24">
        <v>0</v>
      </c>
      <c r="K262" s="25">
        <v>202608</v>
      </c>
    </row>
    <row r="263" s="5" customFormat="1" ht="16.5" spans="1:11">
      <c r="A263" s="22">
        <v>274</v>
      </c>
      <c r="B263" s="23">
        <v>46264</v>
      </c>
      <c r="C263" s="24" t="str">
        <v>趣点购浦发</v>
      </c>
      <c r="D263" s="24" t="str">
        <v>税费</v>
      </c>
      <c r="E263" s="24" t="str">
        <v>缴税</v>
      </c>
      <c r="F263" s="24">
        <v>0</v>
      </c>
      <c r="G263" s="24">
        <v>5428.48</v>
      </c>
      <c r="H263" s="24">
        <v>9312.7499999986</v>
      </c>
      <c r="I263" s="24">
        <v>0</v>
      </c>
      <c r="J263" s="24">
        <v>0</v>
      </c>
      <c r="K263" s="25">
        <v>202608</v>
      </c>
    </row>
    <row r="264" s="5" customFormat="1" ht="16.5" spans="1:11">
      <c r="A264" s="22">
        <v>275</v>
      </c>
      <c r="B264" s="23">
        <v>46265</v>
      </c>
      <c r="C264" s="24" t="str">
        <v>趣点购浦发</v>
      </c>
      <c r="D264" s="24">
        <v>0</v>
      </c>
      <c r="E264" s="24" t="str">
        <v>小麦售货机260831_1233</v>
      </c>
      <c r="F264" s="24">
        <v>7334.19</v>
      </c>
      <c r="G264" s="24">
        <v>0</v>
      </c>
      <c r="H264" s="24">
        <v>16646.9399999985</v>
      </c>
      <c r="I264" s="24">
        <v>0</v>
      </c>
      <c r="J264" s="24">
        <v>0</v>
      </c>
      <c r="K264" s="25">
        <v>202608</v>
      </c>
    </row>
    <row r="265" s="5" customFormat="1" ht="16.5" spans="1:11">
      <c r="A265" s="22">
        <v>276</v>
      </c>
      <c r="B265" s="23">
        <v>46265</v>
      </c>
      <c r="C265" s="24" t="str">
        <v>趣点购浦发</v>
      </c>
      <c r="D265" s="24">
        <v>0</v>
      </c>
      <c r="E265" s="24" t="str">
        <v>超市营业款</v>
      </c>
      <c r="F265" s="24">
        <v>8157.4</v>
      </c>
      <c r="G265" s="24">
        <v>0</v>
      </c>
      <c r="H265" s="24">
        <v>24804.3399999985</v>
      </c>
      <c r="I265" s="24">
        <v>0</v>
      </c>
      <c r="J265" s="24">
        <v>0</v>
      </c>
      <c r="K265" s="25">
        <v>202608</v>
      </c>
    </row>
    <row r="266" s="5" customFormat="1" ht="16.5" spans="1:11">
      <c r="A266" s="22">
        <v>277</v>
      </c>
      <c r="B266" s="23">
        <v>46265</v>
      </c>
      <c r="C266" s="24" t="str">
        <v>趣点购浦发</v>
      </c>
      <c r="D266" s="24">
        <v>0</v>
      </c>
      <c r="E266" s="24" t="str">
        <v>MM哈哈售货机_1746233457</v>
      </c>
      <c r="F266" s="24">
        <v>29.53</v>
      </c>
      <c r="G266" s="24">
        <v>0</v>
      </c>
      <c r="H266" s="24">
        <v>24833.8699999985</v>
      </c>
      <c r="I266" s="24">
        <v>0</v>
      </c>
      <c r="J266" s="24">
        <v>0</v>
      </c>
      <c r="K266" s="25">
        <v>202608</v>
      </c>
    </row>
    <row r="267" s="5" customFormat="1" ht="16.5" spans="1:11">
      <c r="A267" s="22">
        <v>278</v>
      </c>
      <c r="B267" s="23">
        <v>46265</v>
      </c>
      <c r="C267" s="24" t="str">
        <v>趣点购浦发</v>
      </c>
      <c r="D267" s="24">
        <v>0</v>
      </c>
      <c r="E267" s="24" t="str">
        <v>自动提现 2026-08-30</v>
      </c>
      <c r="F267" s="24">
        <v>685.39</v>
      </c>
      <c r="G267" s="24">
        <v>0</v>
      </c>
      <c r="H267" s="24">
        <v>25519.2599999984</v>
      </c>
      <c r="I267" s="24">
        <v>0</v>
      </c>
      <c r="J267" s="24">
        <v>0</v>
      </c>
      <c r="K267" s="25">
        <v>202608</v>
      </c>
    </row>
    <row r="268" s="5" customFormat="1" ht="16.5" spans="1:11">
      <c r="A268" s="22">
        <v>279</v>
      </c>
      <c r="B268" s="23">
        <v>46266</v>
      </c>
      <c r="C268" s="24" t="str">
        <v>趣点购浦发</v>
      </c>
      <c r="D268" s="24">
        <v>0</v>
      </c>
      <c r="E268" s="24" t="str">
        <v>小麦售货机260901_1233</v>
      </c>
      <c r="F268" s="24">
        <v>7335.79</v>
      </c>
      <c r="G268" s="24" t="str">
        <v/>
      </c>
      <c r="H268" s="24">
        <v>32855.0499999984</v>
      </c>
      <c r="I268" s="24">
        <v>0</v>
      </c>
      <c r="J268" s="24">
        <v>0</v>
      </c>
      <c r="K268" s="25">
        <v>202609</v>
      </c>
    </row>
    <row r="269" s="5" customFormat="1" ht="16.5" spans="1:11">
      <c r="A269" s="22">
        <v>280</v>
      </c>
      <c r="B269" s="23">
        <v>46266</v>
      </c>
      <c r="C269" s="24" t="str">
        <v>趣点购浦发</v>
      </c>
      <c r="D269" s="24">
        <v>0</v>
      </c>
      <c r="E269" s="24" t="str">
        <v>超市营业款</v>
      </c>
      <c r="F269" s="24">
        <v>6787.71</v>
      </c>
      <c r="G269" s="24" t="str">
        <v/>
      </c>
      <c r="H269" s="24">
        <v>39642.7599999984</v>
      </c>
      <c r="I269" s="24">
        <v>0</v>
      </c>
      <c r="J269" s="24">
        <v>0</v>
      </c>
      <c r="K269" s="25">
        <v>202609</v>
      </c>
    </row>
    <row r="270" s="5" customFormat="1" ht="16.5" spans="1:11">
      <c r="A270" s="22">
        <v>281</v>
      </c>
      <c r="B270" s="23">
        <v>46266</v>
      </c>
      <c r="C270" s="24" t="str">
        <v>趣点购浦发</v>
      </c>
      <c r="D270" s="24">
        <v>0</v>
      </c>
      <c r="E270" s="24" t="str">
        <v>MM哈哈售货机_1746233457</v>
      </c>
      <c r="F270" s="24">
        <v>66.41</v>
      </c>
      <c r="G270" s="24" t="str">
        <v/>
      </c>
      <c r="H270" s="24">
        <v>39709.1699999983</v>
      </c>
      <c r="I270" s="24">
        <v>0</v>
      </c>
      <c r="J270" s="24">
        <v>0</v>
      </c>
      <c r="K270" s="25">
        <v>202609</v>
      </c>
    </row>
    <row r="271" s="5" customFormat="1" ht="16.5" spans="1:11">
      <c r="A271" s="22">
        <v>282</v>
      </c>
      <c r="B271" s="23">
        <v>46266</v>
      </c>
      <c r="C271" s="24" t="str">
        <v>趣点购浦发</v>
      </c>
      <c r="D271" s="24">
        <v>0</v>
      </c>
      <c r="E271" s="24" t="str">
        <v>支付宝-自动提现 2026-08-31</v>
      </c>
      <c r="F271" s="24">
        <v>747.84</v>
      </c>
      <c r="G271" s="24" t="str">
        <v/>
      </c>
      <c r="H271" s="24">
        <v>40457.0099999984</v>
      </c>
      <c r="I271" s="24">
        <v>0</v>
      </c>
      <c r="J271" s="24">
        <v>0</v>
      </c>
      <c r="K271" s="25">
        <v>202609</v>
      </c>
    </row>
    <row r="272" s="5" customFormat="1" ht="16.5" spans="1:11">
      <c r="A272" s="22">
        <v>283</v>
      </c>
      <c r="B272" s="23">
        <v>46267</v>
      </c>
      <c r="C272" s="24" t="str">
        <v>趣点购浦发</v>
      </c>
      <c r="D272" s="24">
        <v>0</v>
      </c>
      <c r="E272" s="24" t="str">
        <v>小麦售货机260902_1233</v>
      </c>
      <c r="F272" s="24">
        <v>7082.22</v>
      </c>
      <c r="G272" s="24" t="str">
        <v/>
      </c>
      <c r="H272" s="24">
        <v>47539.2299999984</v>
      </c>
      <c r="I272" s="24">
        <v>0</v>
      </c>
      <c r="J272" s="24">
        <v>0</v>
      </c>
      <c r="K272" s="25">
        <v>202609</v>
      </c>
    </row>
    <row r="273" s="5" customFormat="1" ht="16.5" spans="1:11">
      <c r="A273" s="22">
        <v>284</v>
      </c>
      <c r="B273" s="23">
        <v>46267</v>
      </c>
      <c r="C273" s="24" t="str">
        <v>趣点购浦发</v>
      </c>
      <c r="D273" s="24">
        <v>0</v>
      </c>
      <c r="E273" s="24" t="str">
        <v>超市营业款</v>
      </c>
      <c r="F273" s="24">
        <v>5470.63</v>
      </c>
      <c r="G273" s="24" t="str">
        <v/>
      </c>
      <c r="H273" s="24">
        <v>53009.8599999982</v>
      </c>
      <c r="I273" s="24">
        <v>0</v>
      </c>
      <c r="J273" s="24">
        <v>0</v>
      </c>
      <c r="K273" s="25">
        <v>202609</v>
      </c>
    </row>
    <row r="274" s="5" customFormat="1" ht="16.5" spans="1:11">
      <c r="A274" s="22">
        <v>285</v>
      </c>
      <c r="B274" s="23">
        <v>46267</v>
      </c>
      <c r="C274" s="24" t="str">
        <v>趣点购浦发</v>
      </c>
      <c r="D274" s="24">
        <v>0</v>
      </c>
      <c r="E274" s="24" t="str">
        <v>MM哈哈售货机_1746233457</v>
      </c>
      <c r="F274" s="24">
        <v>100.45</v>
      </c>
      <c r="G274" s="24" t="str">
        <v/>
      </c>
      <c r="H274" s="24">
        <v>53110.3099999982</v>
      </c>
      <c r="I274" s="24">
        <v>0</v>
      </c>
      <c r="J274" s="24">
        <v>0</v>
      </c>
      <c r="K274" s="25">
        <v>202609</v>
      </c>
    </row>
    <row r="275" s="5" customFormat="1" ht="16.5" spans="1:11">
      <c r="A275" s="22">
        <v>286</v>
      </c>
      <c r="B275" s="23">
        <v>46267</v>
      </c>
      <c r="C275" s="24" t="str">
        <v>趣点购浦发</v>
      </c>
      <c r="D275" s="24" t="str">
        <v>工资</v>
      </c>
      <c r="E275" s="24" t="str">
        <v>陈金刚</v>
      </c>
      <c r="F275" s="24" t="str">
        <v/>
      </c>
      <c r="G275" s="24">
        <v>20480</v>
      </c>
      <c r="H275" s="24">
        <v>32630.3099999982</v>
      </c>
      <c r="I275" s="24">
        <v>0</v>
      </c>
      <c r="J275" s="24">
        <v>0</v>
      </c>
      <c r="K275" s="25">
        <v>202609</v>
      </c>
    </row>
    <row r="276" s="5" customFormat="1" ht="16.5" spans="1:11">
      <c r="A276" s="22">
        <v>287</v>
      </c>
      <c r="B276" s="23">
        <v>46267</v>
      </c>
      <c r="C276" s="24" t="str">
        <v>趣点购浦发</v>
      </c>
      <c r="D276" s="24" t="str">
        <v>银行手续费</v>
      </c>
      <c r="E276" s="24" t="str">
        <v>网银互联汇出手续费</v>
      </c>
      <c r="F276" s="24" t="str">
        <v/>
      </c>
      <c r="G276" s="24">
        <v>9</v>
      </c>
      <c r="H276" s="24">
        <v>32621.3099999982</v>
      </c>
      <c r="I276" s="24">
        <v>0</v>
      </c>
      <c r="J276" s="24">
        <v>0</v>
      </c>
      <c r="K276" s="25">
        <v>202609</v>
      </c>
    </row>
    <row r="277" s="5" customFormat="1" ht="16.5" spans="1:11">
      <c r="A277" s="22">
        <v>288</v>
      </c>
      <c r="B277" s="23">
        <v>46267</v>
      </c>
      <c r="C277" s="24" t="str">
        <v>趣点购浦发</v>
      </c>
      <c r="D277" s="24">
        <v>0</v>
      </c>
      <c r="E277" s="24" t="str">
        <v>自动提现 2026-09-01</v>
      </c>
      <c r="F277" s="24">
        <v>566.41</v>
      </c>
      <c r="G277" s="24" t="str">
        <v/>
      </c>
      <c r="H277" s="24">
        <v>33187.7199999981</v>
      </c>
      <c r="I277" s="24">
        <v>0</v>
      </c>
      <c r="J277" s="24">
        <v>0</v>
      </c>
      <c r="K277" s="25">
        <v>202609</v>
      </c>
    </row>
    <row r="278" s="5" customFormat="1" ht="16.5" spans="1:11">
      <c r="A278" s="22">
        <v>289</v>
      </c>
      <c r="B278" s="23">
        <v>46267</v>
      </c>
      <c r="C278" s="24" t="str">
        <v>趣点购浦发</v>
      </c>
      <c r="D278" s="24" t="str">
        <v>场地租金</v>
      </c>
      <c r="E278" s="24" t="str">
        <v>公兴公园贩卖机租赁合同季度租金</v>
      </c>
      <c r="F278" s="24" t="str">
        <v/>
      </c>
      <c r="G278" s="24">
        <v>13848</v>
      </c>
      <c r="H278" s="24">
        <v>19339.7199999981</v>
      </c>
      <c r="I278" s="24" t="str">
        <v>成都空港公园城市绿道建设投资有限公司</v>
      </c>
      <c r="J278" s="24">
        <v>0</v>
      </c>
      <c r="K278" s="25">
        <v>202609</v>
      </c>
    </row>
    <row r="279" s="5" customFormat="1" ht="16.5" spans="1:11">
      <c r="A279" s="22">
        <v>290</v>
      </c>
      <c r="B279" s="23">
        <v>46267</v>
      </c>
      <c r="C279" s="24" t="str">
        <v>趣点购浦发</v>
      </c>
      <c r="D279" s="24" t="str">
        <v>银行手续费</v>
      </c>
      <c r="E279" s="24" t="str">
        <v>网银互联汇出手续费</v>
      </c>
      <c r="F279" s="24" t="str">
        <v/>
      </c>
      <c r="G279" s="24">
        <v>9</v>
      </c>
      <c r="H279" s="24">
        <v>19330.7199999981</v>
      </c>
      <c r="I279" s="24">
        <v>0</v>
      </c>
      <c r="J279" s="24">
        <v>0</v>
      </c>
      <c r="K279" s="25">
        <v>202609</v>
      </c>
    </row>
    <row r="280" s="5" customFormat="1" ht="16.5" spans="1:11">
      <c r="A280" s="22">
        <v>291</v>
      </c>
      <c r="B280" s="23">
        <v>46267</v>
      </c>
      <c r="C280" s="24" t="str">
        <v>趣点购浦发</v>
      </c>
      <c r="D280" s="24" t="str">
        <v>合同履约保证金</v>
      </c>
      <c r="E280" s="24" t="str">
        <v>公兴公园贩卖机租赁合同履约保证金</v>
      </c>
      <c r="F280" s="24" t="str">
        <v/>
      </c>
      <c r="G280" s="24">
        <v>4616</v>
      </c>
      <c r="H280" s="24">
        <v>14714.7199999981</v>
      </c>
      <c r="I280" s="24" t="str">
        <v>成都空港公园城市绿道建设投资有限公司</v>
      </c>
      <c r="J280" s="24">
        <v>0</v>
      </c>
      <c r="K280" s="25">
        <v>202609</v>
      </c>
    </row>
    <row r="281" s="5" customFormat="1" ht="16.5" spans="1:11">
      <c r="A281" s="22">
        <v>292</v>
      </c>
      <c r="B281" s="23">
        <v>46267</v>
      </c>
      <c r="C281" s="24" t="str">
        <v>趣点购浦发</v>
      </c>
      <c r="D281" s="24" t="str">
        <v>银行手续费</v>
      </c>
      <c r="E281" s="24" t="str">
        <v>网银互联汇出手续费</v>
      </c>
      <c r="F281" s="24" t="str">
        <v/>
      </c>
      <c r="G281" s="24">
        <v>4.5</v>
      </c>
      <c r="H281" s="24">
        <v>14710.2199999981</v>
      </c>
      <c r="I281" s="24">
        <v>0</v>
      </c>
      <c r="J281" s="24">
        <v>0</v>
      </c>
      <c r="K281" s="25">
        <v>202609</v>
      </c>
    </row>
    <row r="282" s="5" customFormat="1" ht="16.5" spans="1:11">
      <c r="A282" s="22">
        <v>293</v>
      </c>
      <c r="B282" s="23">
        <v>46267</v>
      </c>
      <c r="C282" s="24" t="str">
        <v>趣点购浦发</v>
      </c>
      <c r="D282" s="24" t="str">
        <v>合同履约保证金</v>
      </c>
      <c r="E282" s="24" t="str">
        <v>九龙湖社区场地空间租赁合同履约保证金</v>
      </c>
      <c r="F282" s="24" t="str">
        <v/>
      </c>
      <c r="G282" s="24">
        <v>1263</v>
      </c>
      <c r="H282" s="24">
        <v>13447.2199999981</v>
      </c>
      <c r="I282" s="24" t="str">
        <v>成都空港公园城市绿道建设投资有限公司</v>
      </c>
      <c r="J282" s="24">
        <v>0</v>
      </c>
      <c r="K282" s="25">
        <v>202609</v>
      </c>
    </row>
    <row r="283" s="5" customFormat="1" ht="16.5" spans="1:11">
      <c r="A283" s="22">
        <v>294</v>
      </c>
      <c r="B283" s="23">
        <v>46267</v>
      </c>
      <c r="C283" s="24" t="str">
        <v>趣点购浦发</v>
      </c>
      <c r="D283" s="24" t="str">
        <v>银行手续费</v>
      </c>
      <c r="E283" s="24" t="str">
        <v>网银互联汇出手续费</v>
      </c>
      <c r="F283" s="24" t="str">
        <v/>
      </c>
      <c r="G283" s="24">
        <v>4.5</v>
      </c>
      <c r="H283" s="24">
        <v>13442.7199999981</v>
      </c>
      <c r="I283" s="24">
        <v>0</v>
      </c>
      <c r="J283" s="24">
        <v>0</v>
      </c>
      <c r="K283" s="25">
        <v>202609</v>
      </c>
    </row>
    <row r="284" s="5" customFormat="1" ht="16.5" spans="1:11">
      <c r="A284" s="22">
        <v>295</v>
      </c>
      <c r="B284" s="23">
        <v>46267</v>
      </c>
      <c r="C284" s="24" t="str">
        <v>趣点购浦发</v>
      </c>
      <c r="D284" s="24" t="str">
        <v>场地租金</v>
      </c>
      <c r="E284" s="24" t="str">
        <v>九龙湖社区场地空间租赁合同首季度租金</v>
      </c>
      <c r="F284" s="24" t="str">
        <v/>
      </c>
      <c r="G284" s="24">
        <v>3789</v>
      </c>
      <c r="H284" s="24">
        <v>9653.71999999811</v>
      </c>
      <c r="I284" s="24" t="str">
        <v>成都空港公园城市绿道建设投资有限公司</v>
      </c>
      <c r="J284" s="24">
        <v>0</v>
      </c>
      <c r="K284" s="25">
        <v>202609</v>
      </c>
    </row>
    <row r="285" s="5" customFormat="1" ht="16.5" spans="1:11">
      <c r="A285" s="22">
        <v>296</v>
      </c>
      <c r="B285" s="23">
        <v>46267</v>
      </c>
      <c r="C285" s="24" t="str">
        <v>趣点购浦发</v>
      </c>
      <c r="D285" s="24" t="str">
        <v>银行手续费</v>
      </c>
      <c r="E285" s="24" t="str">
        <v>网银互联汇出手续费</v>
      </c>
      <c r="F285" s="24" t="str">
        <v/>
      </c>
      <c r="G285" s="24">
        <v>4.5</v>
      </c>
      <c r="H285" s="24">
        <v>9649.21999999811</v>
      </c>
      <c r="I285" s="24">
        <v>0</v>
      </c>
      <c r="J285" s="24">
        <v>0</v>
      </c>
      <c r="K285" s="25">
        <v>202609</v>
      </c>
    </row>
    <row r="286" s="5" customFormat="1" ht="16.5" spans="1:11">
      <c r="A286" s="22">
        <v>297</v>
      </c>
      <c r="B286" s="23">
        <v>46268</v>
      </c>
      <c r="C286" s="24" t="str">
        <v>趣点购浦发</v>
      </c>
      <c r="D286" s="24">
        <v>0</v>
      </c>
      <c r="E286" s="24" t="str">
        <v>小麦售货机260903_1233</v>
      </c>
      <c r="F286" s="24">
        <v>7116.01</v>
      </c>
      <c r="G286" s="24" t="str">
        <v/>
      </c>
      <c r="H286" s="24">
        <v>16765.2299999981</v>
      </c>
      <c r="I286" s="24">
        <v>0</v>
      </c>
      <c r="J286" s="24">
        <v>0</v>
      </c>
      <c r="K286" s="25">
        <v>202609</v>
      </c>
    </row>
    <row r="287" s="5" customFormat="1" ht="16.5" spans="1:11">
      <c r="A287" s="22">
        <v>298</v>
      </c>
      <c r="B287" s="23">
        <v>46268</v>
      </c>
      <c r="C287" s="24" t="str">
        <v>趣点购浦发</v>
      </c>
      <c r="D287" s="24">
        <v>0</v>
      </c>
      <c r="E287" s="24" t="str">
        <v>超市营业款</v>
      </c>
      <c r="F287" s="24">
        <v>5723.97</v>
      </c>
      <c r="G287" s="24" t="str">
        <v/>
      </c>
      <c r="H287" s="24">
        <v>22489.1999999981</v>
      </c>
      <c r="I287" s="24">
        <v>0</v>
      </c>
      <c r="J287" s="24">
        <v>0</v>
      </c>
      <c r="K287" s="25">
        <v>202609</v>
      </c>
    </row>
    <row r="288" s="5" customFormat="1" ht="16.5" spans="1:11">
      <c r="A288" s="22">
        <v>299</v>
      </c>
      <c r="B288" s="23">
        <v>46268</v>
      </c>
      <c r="C288" s="24" t="str">
        <v>趣点购浦发</v>
      </c>
      <c r="D288" s="24">
        <v>0</v>
      </c>
      <c r="E288" s="24" t="str">
        <v>MM哈哈售货机_1746233457</v>
      </c>
      <c r="F288" s="24">
        <v>79.76</v>
      </c>
      <c r="G288" s="24" t="str">
        <v/>
      </c>
      <c r="H288" s="24">
        <v>22568.9599999981</v>
      </c>
      <c r="I288" s="24">
        <v>0</v>
      </c>
      <c r="J288" s="24">
        <v>0</v>
      </c>
      <c r="K288" s="25">
        <v>202609</v>
      </c>
    </row>
    <row r="289" s="5" customFormat="1" ht="16.5" spans="1:11">
      <c r="A289" s="22">
        <v>300</v>
      </c>
      <c r="B289" s="23">
        <v>46268</v>
      </c>
      <c r="C289" s="24" t="str">
        <v>趣点购浦发</v>
      </c>
      <c r="D289" s="24">
        <v>0</v>
      </c>
      <c r="E289" s="24" t="str">
        <v>自动提现 2026-09-02</v>
      </c>
      <c r="F289" s="24">
        <v>538.73</v>
      </c>
      <c r="G289" s="24" t="str">
        <v/>
      </c>
      <c r="H289" s="24">
        <v>23107.6899999981</v>
      </c>
      <c r="I289" s="24">
        <v>0</v>
      </c>
      <c r="J289" s="24">
        <v>0</v>
      </c>
      <c r="K289" s="25">
        <v>202609</v>
      </c>
    </row>
    <row r="290" s="5" customFormat="1" ht="16.5" spans="1:11">
      <c r="A290" s="22">
        <v>301</v>
      </c>
      <c r="B290" s="23">
        <v>46269</v>
      </c>
      <c r="C290" s="24" t="str">
        <v>趣点购浦发</v>
      </c>
      <c r="D290" s="24">
        <v>0</v>
      </c>
      <c r="E290" s="24" t="str">
        <v>小麦售货机260904_1233</v>
      </c>
      <c r="F290" s="24">
        <v>6576.62</v>
      </c>
      <c r="G290" s="24" t="str">
        <v/>
      </c>
      <c r="H290" s="24">
        <v>29684.3099999982</v>
      </c>
      <c r="I290" s="24">
        <v>0</v>
      </c>
      <c r="J290" s="24">
        <v>0</v>
      </c>
      <c r="K290" s="25">
        <v>202609</v>
      </c>
    </row>
    <row r="291" s="5" customFormat="1" ht="16.5" spans="1:11">
      <c r="A291" s="22">
        <v>302</v>
      </c>
      <c r="B291" s="23">
        <v>46269</v>
      </c>
      <c r="C291" s="24" t="str">
        <v>趣点购浦发</v>
      </c>
      <c r="D291" s="24">
        <v>0</v>
      </c>
      <c r="E291" s="24" t="str">
        <v>超市营业款</v>
      </c>
      <c r="F291" s="24">
        <v>4849.51</v>
      </c>
      <c r="G291" s="24" t="str">
        <v/>
      </c>
      <c r="H291" s="24">
        <v>34533.8199999982</v>
      </c>
      <c r="I291" s="24">
        <v>0</v>
      </c>
      <c r="J291" s="24">
        <v>0</v>
      </c>
      <c r="K291" s="25">
        <v>202609</v>
      </c>
    </row>
    <row r="292" s="5" customFormat="1" ht="16.5" spans="1:11">
      <c r="A292" s="22">
        <v>303</v>
      </c>
      <c r="B292" s="23">
        <v>46269</v>
      </c>
      <c r="C292" s="24" t="str">
        <v>趣点购浦发</v>
      </c>
      <c r="D292" s="24">
        <v>0</v>
      </c>
      <c r="E292" s="24" t="str">
        <v>MM哈哈售货机_1746233457</v>
      </c>
      <c r="F292" s="24">
        <v>35.11</v>
      </c>
      <c r="G292" s="24" t="str">
        <v/>
      </c>
      <c r="H292" s="24">
        <v>34568.9299999983</v>
      </c>
      <c r="I292" s="24">
        <v>0</v>
      </c>
      <c r="J292" s="24">
        <v>0</v>
      </c>
      <c r="K292" s="25">
        <v>202609</v>
      </c>
    </row>
    <row r="293" s="5" customFormat="1" ht="16.5" spans="1:11">
      <c r="A293" s="22">
        <v>304</v>
      </c>
      <c r="B293" s="23">
        <v>46269</v>
      </c>
      <c r="C293" s="24" t="str">
        <v>趣点购浦发</v>
      </c>
      <c r="D293" s="24">
        <v>0</v>
      </c>
      <c r="E293" s="24" t="str">
        <v>自动提现 2026-09-03</v>
      </c>
      <c r="F293" s="24">
        <v>507.71</v>
      </c>
      <c r="G293" s="24" t="str">
        <v/>
      </c>
      <c r="H293" s="24">
        <v>35076.6399999983</v>
      </c>
      <c r="I293" s="24">
        <v>0</v>
      </c>
      <c r="J293" s="24">
        <v>0</v>
      </c>
      <c r="K293" s="25">
        <v>202609</v>
      </c>
    </row>
    <row r="294" s="5" customFormat="1" ht="16.5" spans="1:11">
      <c r="A294" s="22">
        <v>305</v>
      </c>
      <c r="B294" s="23">
        <v>46270</v>
      </c>
      <c r="C294" s="24" t="str">
        <v>趣点购浦发</v>
      </c>
      <c r="D294" s="24">
        <v>0</v>
      </c>
      <c r="E294" s="24" t="str">
        <v>小麦售货机260905_1233</v>
      </c>
      <c r="F294" s="24">
        <v>9131.63</v>
      </c>
      <c r="G294" s="24" t="str">
        <v/>
      </c>
      <c r="H294" s="24">
        <v>44208.2699999982</v>
      </c>
      <c r="I294" s="24">
        <v>0</v>
      </c>
      <c r="J294" s="24">
        <v>0</v>
      </c>
      <c r="K294" s="25">
        <v>202609</v>
      </c>
    </row>
    <row r="295" s="5" customFormat="1" ht="16.5" spans="1:11">
      <c r="A295" s="22">
        <v>306</v>
      </c>
      <c r="B295" s="23">
        <v>46270</v>
      </c>
      <c r="C295" s="24" t="str">
        <v>趣点购浦发</v>
      </c>
      <c r="D295" s="24">
        <v>0</v>
      </c>
      <c r="E295" s="24" t="str">
        <v>超市营业款</v>
      </c>
      <c r="F295" s="24">
        <v>4332.01</v>
      </c>
      <c r="G295" s="24" t="str">
        <v/>
      </c>
      <c r="H295" s="24">
        <v>48540.2799999982</v>
      </c>
      <c r="I295" s="24">
        <v>0</v>
      </c>
      <c r="J295" s="24">
        <v>0</v>
      </c>
      <c r="K295" s="25">
        <v>202609</v>
      </c>
    </row>
    <row r="296" s="5" customFormat="1" ht="16.5" spans="1:11">
      <c r="A296" s="22">
        <v>307</v>
      </c>
      <c r="B296" s="23">
        <v>46270</v>
      </c>
      <c r="C296" s="24" t="str">
        <v>趣点购浦发</v>
      </c>
      <c r="D296" s="24">
        <v>0</v>
      </c>
      <c r="E296" s="24" t="str">
        <v>MM哈哈售货机_1746233457</v>
      </c>
      <c r="F296" s="24">
        <v>30.03</v>
      </c>
      <c r="G296" s="24" t="str">
        <v/>
      </c>
      <c r="H296" s="24">
        <v>48570.3099999982</v>
      </c>
      <c r="I296" s="24">
        <v>0</v>
      </c>
      <c r="J296" s="24">
        <v>0</v>
      </c>
      <c r="K296" s="25">
        <v>202609</v>
      </c>
    </row>
    <row r="297" s="5" customFormat="1" ht="16.5" spans="1:11">
      <c r="A297" s="22">
        <v>308</v>
      </c>
      <c r="B297" s="23">
        <v>46270</v>
      </c>
      <c r="C297" s="24" t="str">
        <v>趣点购浦发</v>
      </c>
      <c r="D297" s="24">
        <v>0</v>
      </c>
      <c r="E297" s="24" t="str">
        <v>自动提现 2026-09-04</v>
      </c>
      <c r="F297" s="24">
        <v>337.76</v>
      </c>
      <c r="G297" s="24" t="str">
        <v/>
      </c>
      <c r="H297" s="24">
        <v>48908.0699999982</v>
      </c>
      <c r="I297" s="24">
        <v>0</v>
      </c>
      <c r="J297" s="24">
        <v>0</v>
      </c>
      <c r="K297" s="25">
        <v>202609</v>
      </c>
    </row>
    <row r="298" s="5" customFormat="1" ht="16.5" spans="1:11">
      <c r="A298" s="22">
        <v>309</v>
      </c>
      <c r="B298" s="23">
        <v>46271</v>
      </c>
      <c r="C298" s="24" t="str">
        <v>趣点购浦发</v>
      </c>
      <c r="D298" s="24">
        <v>0</v>
      </c>
      <c r="E298" s="24" t="str">
        <v>小麦售货机260906_1233</v>
      </c>
      <c r="F298" s="24">
        <v>12489.63</v>
      </c>
      <c r="G298" s="24" t="str">
        <v/>
      </c>
      <c r="H298" s="24">
        <v>61397.6999999981</v>
      </c>
      <c r="I298" s="24">
        <v>0</v>
      </c>
      <c r="J298" s="24">
        <v>0</v>
      </c>
      <c r="K298" s="25">
        <v>202609</v>
      </c>
    </row>
    <row r="299" s="5" customFormat="1" ht="16.5" spans="1:11">
      <c r="A299" s="22">
        <v>310</v>
      </c>
      <c r="B299" s="23">
        <v>46271</v>
      </c>
      <c r="C299" s="24" t="str">
        <v>趣点购浦发</v>
      </c>
      <c r="D299" s="24">
        <v>0</v>
      </c>
      <c r="E299" s="24" t="str">
        <v>超市营业款</v>
      </c>
      <c r="F299" s="24">
        <v>3458.63</v>
      </c>
      <c r="G299" s="24" t="str">
        <v/>
      </c>
      <c r="H299" s="24">
        <v>64856.329999998</v>
      </c>
      <c r="I299" s="24">
        <v>0</v>
      </c>
      <c r="J299" s="24">
        <v>0</v>
      </c>
      <c r="K299" s="25">
        <v>202609</v>
      </c>
    </row>
    <row r="300" s="5" customFormat="1" ht="16.5" spans="1:11">
      <c r="A300" s="22">
        <v>311</v>
      </c>
      <c r="B300" s="23">
        <v>46271</v>
      </c>
      <c r="C300" s="24" t="str">
        <v>趣点购浦发</v>
      </c>
      <c r="D300" s="24">
        <v>0</v>
      </c>
      <c r="E300" s="24" t="str">
        <v>MM哈哈售货机_1746233457</v>
      </c>
      <c r="F300" s="24">
        <v>62.85</v>
      </c>
      <c r="G300" s="24" t="str">
        <v/>
      </c>
      <c r="H300" s="24">
        <v>64919.1799999981</v>
      </c>
      <c r="I300" s="24">
        <v>0</v>
      </c>
      <c r="J300" s="24">
        <v>0</v>
      </c>
      <c r="K300" s="25">
        <v>202609</v>
      </c>
    </row>
    <row r="301" s="5" customFormat="1" ht="16.5" spans="1:11">
      <c r="A301" s="22">
        <v>312</v>
      </c>
      <c r="B301" s="23">
        <v>46271</v>
      </c>
      <c r="C301" s="24" t="str">
        <v>趣点购浦发</v>
      </c>
      <c r="D301" s="24">
        <v>0</v>
      </c>
      <c r="E301" s="24" t="str">
        <v>自动提现 2026-09-05</v>
      </c>
      <c r="F301" s="24">
        <v>766.24</v>
      </c>
      <c r="G301" s="24" t="str">
        <v/>
      </c>
      <c r="H301" s="24">
        <v>65685.4199999981</v>
      </c>
      <c r="I301" s="24">
        <v>0</v>
      </c>
      <c r="J301" s="24">
        <v>0</v>
      </c>
      <c r="K301" s="25">
        <v>202609</v>
      </c>
    </row>
    <row r="302" s="5" customFormat="1" ht="16.5" spans="1:11">
      <c r="A302" s="22">
        <v>313</v>
      </c>
      <c r="B302" s="23">
        <v>46272</v>
      </c>
      <c r="C302" s="24" t="str">
        <v>趣点购浦发</v>
      </c>
      <c r="D302" s="24">
        <v>0</v>
      </c>
      <c r="E302" s="24" t="str">
        <v>小麦售货机260907_1233</v>
      </c>
      <c r="F302" s="24">
        <v>10922.29</v>
      </c>
      <c r="G302" s="24" t="str">
        <v/>
      </c>
      <c r="H302" s="24">
        <v>76607.7099999981</v>
      </c>
      <c r="I302" s="24">
        <v>0</v>
      </c>
      <c r="J302" s="24">
        <v>0</v>
      </c>
      <c r="K302" s="25">
        <v>202609</v>
      </c>
    </row>
    <row r="303" s="5" customFormat="1" ht="16.5" spans="1:11">
      <c r="A303" s="22">
        <v>314</v>
      </c>
      <c r="B303" s="23">
        <v>46272</v>
      </c>
      <c r="C303" s="24" t="str">
        <v>趣点购浦发</v>
      </c>
      <c r="D303" s="24">
        <v>0</v>
      </c>
      <c r="E303" s="24" t="str">
        <v>超市营业款</v>
      </c>
      <c r="F303" s="24">
        <v>5491.15</v>
      </c>
      <c r="G303" s="24" t="str">
        <v/>
      </c>
      <c r="H303" s="24">
        <v>82098.859999998</v>
      </c>
      <c r="I303" s="24">
        <v>0</v>
      </c>
      <c r="J303" s="24">
        <v>0</v>
      </c>
      <c r="K303" s="25">
        <v>202609</v>
      </c>
    </row>
    <row r="304" s="5" customFormat="1" ht="16.5" spans="1:11">
      <c r="A304" s="22">
        <v>315</v>
      </c>
      <c r="B304" s="23">
        <v>46272</v>
      </c>
      <c r="C304" s="24" t="str">
        <v>趣点购浦发</v>
      </c>
      <c r="D304" s="24">
        <v>0</v>
      </c>
      <c r="E304" s="24" t="str">
        <v>MM哈哈售货机_1746233457</v>
      </c>
      <c r="F304" s="24">
        <v>57.38</v>
      </c>
      <c r="G304" s="24" t="str">
        <v/>
      </c>
      <c r="H304" s="24">
        <v>82156.2399999979</v>
      </c>
      <c r="I304" s="24">
        <v>0</v>
      </c>
      <c r="J304" s="24">
        <v>0</v>
      </c>
      <c r="K304" s="25">
        <v>202609</v>
      </c>
    </row>
    <row r="305" s="5" customFormat="1" ht="16.5" spans="1:11">
      <c r="A305" s="22">
        <v>316</v>
      </c>
      <c r="B305" s="23">
        <v>46272</v>
      </c>
      <c r="C305" s="24" t="str">
        <v>趣点购浦发</v>
      </c>
      <c r="D305" s="24">
        <v>0</v>
      </c>
      <c r="E305" s="24" t="str">
        <v>自动提现 2026-09-06</v>
      </c>
      <c r="F305" s="24">
        <v>1022.31</v>
      </c>
      <c r="G305" s="24" t="str">
        <v/>
      </c>
      <c r="H305" s="24">
        <v>83178.549999998</v>
      </c>
      <c r="I305" s="24">
        <v>0</v>
      </c>
      <c r="J305" s="24">
        <v>0</v>
      </c>
      <c r="K305" s="25">
        <v>202609</v>
      </c>
    </row>
    <row r="306" s="5" customFormat="1" ht="16.5" spans="1:11">
      <c r="A306" s="22">
        <v>317</v>
      </c>
      <c r="B306" s="23">
        <v>46272</v>
      </c>
      <c r="C306" s="24" t="str">
        <v>趣点购浦发</v>
      </c>
      <c r="D306" s="24">
        <v>0</v>
      </c>
      <c r="E306" s="24" t="str">
        <v>保证金退款</v>
      </c>
      <c r="F306" s="24">
        <v>4488</v>
      </c>
      <c r="G306" s="24" t="str">
        <v/>
      </c>
      <c r="H306" s="24">
        <v>87666.549999998</v>
      </c>
      <c r="I306" s="24" t="str">
        <v>成都市双流区公共资源交易服务中心</v>
      </c>
      <c r="J306" s="24">
        <v>0</v>
      </c>
      <c r="K306" s="25">
        <v>202609</v>
      </c>
    </row>
    <row r="307" s="5" customFormat="1" ht="16.5" spans="1:11">
      <c r="A307" s="22">
        <v>318</v>
      </c>
      <c r="B307" s="23">
        <v>46272</v>
      </c>
      <c r="C307" s="24" t="str">
        <v>趣点购浦发</v>
      </c>
      <c r="D307" s="24" t="str">
        <v>税费</v>
      </c>
      <c r="E307" s="24" t="str">
        <v>缴税</v>
      </c>
      <c r="F307" s="24" t="str">
        <v/>
      </c>
      <c r="G307" s="24">
        <v>54.05</v>
      </c>
      <c r="H307" s="24">
        <v>87612.4999999979</v>
      </c>
      <c r="I307" s="24">
        <v>0</v>
      </c>
      <c r="J307" s="24">
        <v>0</v>
      </c>
      <c r="K307" s="25">
        <v>202609</v>
      </c>
    </row>
    <row r="308" s="5" customFormat="1" ht="16.5" spans="1:11">
      <c r="A308" s="22">
        <v>319</v>
      </c>
      <c r="B308" s="23">
        <v>46273</v>
      </c>
      <c r="C308" s="24" t="str">
        <v>趣点购浦发</v>
      </c>
      <c r="D308" s="24">
        <v>0</v>
      </c>
      <c r="E308" s="24" t="str">
        <v>小麦售货机260908_1233</v>
      </c>
      <c r="F308" s="24">
        <v>7001.87</v>
      </c>
      <c r="G308" s="24" t="str">
        <v/>
      </c>
      <c r="H308" s="24">
        <v>94614.369999998</v>
      </c>
      <c r="I308" s="24">
        <v>0</v>
      </c>
      <c r="J308" s="24">
        <v>0</v>
      </c>
      <c r="K308" s="25">
        <v>202609</v>
      </c>
    </row>
    <row r="309" s="5" customFormat="1" ht="16.5" spans="1:11">
      <c r="A309" s="22">
        <v>320</v>
      </c>
      <c r="B309" s="23">
        <v>46273</v>
      </c>
      <c r="C309" s="24" t="str">
        <v>趣点购浦发</v>
      </c>
      <c r="D309" s="24">
        <v>0</v>
      </c>
      <c r="E309" s="24" t="str">
        <v>超市营业款</v>
      </c>
      <c r="F309" s="24">
        <v>20024.65</v>
      </c>
      <c r="G309" s="24" t="str">
        <v/>
      </c>
      <c r="H309" s="24">
        <v>114639.019999998</v>
      </c>
      <c r="I309" s="24">
        <v>0</v>
      </c>
      <c r="J309" s="24">
        <v>0</v>
      </c>
      <c r="K309" s="25">
        <v>202609</v>
      </c>
    </row>
    <row r="310" s="5" customFormat="1" ht="16.5" spans="1:11">
      <c r="A310" s="22">
        <v>321</v>
      </c>
      <c r="B310" s="23">
        <v>46273</v>
      </c>
      <c r="C310" s="24" t="str">
        <v>趣点购浦发</v>
      </c>
      <c r="D310" s="24">
        <v>0</v>
      </c>
      <c r="E310" s="24" t="str">
        <v>MM哈哈售货机_1746233457</v>
      </c>
      <c r="F310" s="24">
        <v>34.8</v>
      </c>
      <c r="G310" s="24" t="str">
        <v/>
      </c>
      <c r="H310" s="24">
        <v>114673.819999998</v>
      </c>
      <c r="I310" s="24">
        <v>0</v>
      </c>
      <c r="J310" s="24">
        <v>0</v>
      </c>
      <c r="K310" s="25">
        <v>202609</v>
      </c>
    </row>
    <row r="311" s="5" customFormat="1" ht="16.5" spans="1:11">
      <c r="A311" s="22">
        <v>322</v>
      </c>
      <c r="B311" s="23">
        <v>46273</v>
      </c>
      <c r="C311" s="24" t="str">
        <v>趣点购浦发</v>
      </c>
      <c r="D311" s="24">
        <v>0</v>
      </c>
      <c r="E311" s="24" t="str">
        <v>自动提现 2026-09-07</v>
      </c>
      <c r="F311" s="24">
        <v>897.25</v>
      </c>
      <c r="G311" s="24" t="str">
        <v/>
      </c>
      <c r="H311" s="24">
        <v>115571.069999998</v>
      </c>
      <c r="I311" s="24">
        <v>0</v>
      </c>
      <c r="J311" s="24">
        <v>0</v>
      </c>
      <c r="K311" s="25">
        <v>202609</v>
      </c>
    </row>
    <row r="312" s="5" customFormat="1" ht="16.5" spans="1:11">
      <c r="A312" s="22">
        <v>323</v>
      </c>
      <c r="B312" s="23">
        <v>46273</v>
      </c>
      <c r="C312" s="24" t="str">
        <v>趣点购浦发</v>
      </c>
      <c r="D312" s="24" t="str">
        <v>供应商</v>
      </c>
      <c r="E312" s="24" t="str">
        <v>脉动货款</v>
      </c>
      <c r="F312" s="24" t="str">
        <v/>
      </c>
      <c r="G312" s="24">
        <v>92960</v>
      </c>
      <c r="H312" s="24">
        <v>22611.069999998</v>
      </c>
      <c r="I312" s="24">
        <v>0</v>
      </c>
      <c r="J312" s="24" t="str">
        <v>成都鑫鑫向喜商贸有限公司</v>
      </c>
      <c r="K312" s="25">
        <v>202609</v>
      </c>
    </row>
    <row r="313" s="5" customFormat="1" ht="16.5" spans="1:11">
      <c r="A313" s="22">
        <v>324</v>
      </c>
      <c r="B313" s="23">
        <v>46273</v>
      </c>
      <c r="C313" s="24" t="str">
        <v>趣点购浦发</v>
      </c>
      <c r="D313" s="24" t="str">
        <v>银行手续费</v>
      </c>
      <c r="E313" s="24" t="str">
        <v>网银互联汇出手续费</v>
      </c>
      <c r="F313" s="24" t="str">
        <v/>
      </c>
      <c r="G313" s="24">
        <v>9</v>
      </c>
      <c r="H313" s="24">
        <v>22602.069999998</v>
      </c>
      <c r="I313" s="24">
        <v>0</v>
      </c>
      <c r="J313" s="24">
        <v>0</v>
      </c>
      <c r="K313" s="25">
        <v>202609</v>
      </c>
    </row>
    <row r="314" s="5" customFormat="1" ht="16.5" spans="1:11">
      <c r="A314" s="22">
        <v>325</v>
      </c>
      <c r="B314" s="23">
        <v>46274</v>
      </c>
      <c r="C314" s="24" t="str">
        <v>趣点购浦发</v>
      </c>
      <c r="D314" s="24">
        <v>0</v>
      </c>
      <c r="E314" s="24" t="str">
        <v>小麦售货机260909_1233</v>
      </c>
      <c r="F314" s="24">
        <v>6476.17</v>
      </c>
      <c r="G314" s="24" t="str">
        <v/>
      </c>
      <c r="H314" s="24">
        <v>29078.2399999979</v>
      </c>
      <c r="I314" s="24">
        <v>0</v>
      </c>
      <c r="J314" s="24">
        <v>0</v>
      </c>
      <c r="K314" s="25">
        <v>202609</v>
      </c>
    </row>
    <row r="315" s="5" customFormat="1" ht="16.5" spans="1:11">
      <c r="A315" s="22">
        <v>326</v>
      </c>
      <c r="B315" s="23">
        <v>46274</v>
      </c>
      <c r="C315" s="24" t="str">
        <v>趣点购浦发</v>
      </c>
      <c r="D315" s="24">
        <v>0</v>
      </c>
      <c r="E315" s="24" t="str">
        <v>超市营业款</v>
      </c>
      <c r="F315" s="24">
        <v>65477.69</v>
      </c>
      <c r="G315" s="24" t="str">
        <v/>
      </c>
      <c r="H315" s="24">
        <v>94555.9299999981</v>
      </c>
      <c r="I315" s="24">
        <v>0</v>
      </c>
      <c r="J315" s="24">
        <v>0</v>
      </c>
      <c r="K315" s="25">
        <v>202609</v>
      </c>
    </row>
    <row r="316" s="5" customFormat="1" ht="16.5" spans="1:11">
      <c r="A316" s="22">
        <v>327</v>
      </c>
      <c r="B316" s="23">
        <v>46274</v>
      </c>
      <c r="C316" s="24" t="str">
        <v>趣点购浦发</v>
      </c>
      <c r="D316" s="24">
        <v>0</v>
      </c>
      <c r="E316" s="24" t="str">
        <v>MM哈哈售货机_1746233457</v>
      </c>
      <c r="F316" s="24">
        <v>14.72</v>
      </c>
      <c r="G316" s="24" t="str">
        <v/>
      </c>
      <c r="H316" s="24">
        <v>94570.6499999983</v>
      </c>
      <c r="I316" s="24">
        <v>0</v>
      </c>
      <c r="J316" s="24">
        <v>0</v>
      </c>
      <c r="K316" s="25">
        <v>202609</v>
      </c>
    </row>
    <row r="317" s="5" customFormat="1" ht="16.5" spans="1:11">
      <c r="A317" s="22">
        <v>328</v>
      </c>
      <c r="B317" s="23">
        <v>46274</v>
      </c>
      <c r="C317" s="24" t="str">
        <v>趣点购浦发</v>
      </c>
      <c r="D317" s="24">
        <v>0</v>
      </c>
      <c r="E317" s="24" t="str">
        <v>自动提现 2026-09-08</v>
      </c>
      <c r="F317" s="24">
        <v>511.97</v>
      </c>
      <c r="G317" s="24" t="str">
        <v/>
      </c>
      <c r="H317" s="24">
        <v>95082.6199999985</v>
      </c>
      <c r="I317" s="24">
        <v>0</v>
      </c>
      <c r="J317" s="24">
        <v>0</v>
      </c>
      <c r="K317" s="25">
        <v>202609</v>
      </c>
    </row>
    <row r="318" s="5" customFormat="1" ht="16.5" spans="1:11">
      <c r="A318" s="22">
        <v>329</v>
      </c>
      <c r="B318" s="23">
        <v>46275</v>
      </c>
      <c r="C318" s="24" t="str">
        <v>趣点购浦发</v>
      </c>
      <c r="D318" s="24">
        <v>0</v>
      </c>
      <c r="E318" s="24" t="str">
        <v>小麦售货机260910_1233</v>
      </c>
      <c r="F318" s="24">
        <v>4459.06</v>
      </c>
      <c r="G318" s="24" t="str">
        <v/>
      </c>
      <c r="H318" s="24">
        <v>99541.6799999985</v>
      </c>
      <c r="I318" s="24">
        <v>0</v>
      </c>
      <c r="J318" s="24">
        <v>0</v>
      </c>
      <c r="K318" s="25">
        <v>202609</v>
      </c>
    </row>
    <row r="319" s="5" customFormat="1" ht="16.5" spans="1:11">
      <c r="A319" s="22">
        <v>330</v>
      </c>
      <c r="B319" s="23">
        <v>46275</v>
      </c>
      <c r="C319" s="24" t="str">
        <v>趣点购浦发</v>
      </c>
      <c r="D319" s="24">
        <v>0</v>
      </c>
      <c r="E319" s="24" t="str">
        <v>超市营业款</v>
      </c>
      <c r="F319" s="24">
        <v>30018.28</v>
      </c>
      <c r="G319" s="24" t="str">
        <v/>
      </c>
      <c r="H319" s="24">
        <v>129559.959999998</v>
      </c>
      <c r="I319" s="24">
        <v>0</v>
      </c>
      <c r="J319" s="24">
        <v>0</v>
      </c>
      <c r="K319" s="25">
        <v>202609</v>
      </c>
    </row>
    <row r="320" s="5" customFormat="1" ht="16.5" spans="1:11">
      <c r="A320" s="22">
        <v>331</v>
      </c>
      <c r="B320" s="23">
        <v>46275</v>
      </c>
      <c r="C320" s="24" t="str">
        <v>趣点购浦发</v>
      </c>
      <c r="D320" s="24">
        <v>0</v>
      </c>
      <c r="E320" s="24" t="str">
        <v>MM哈哈售货机_1746233457</v>
      </c>
      <c r="F320" s="24">
        <v>20.38</v>
      </c>
      <c r="G320" s="24" t="str">
        <v/>
      </c>
      <c r="H320" s="24">
        <v>129580.339999998</v>
      </c>
      <c r="I320" s="24">
        <v>0</v>
      </c>
      <c r="J320" s="24">
        <v>0</v>
      </c>
      <c r="K320" s="25">
        <v>202609</v>
      </c>
    </row>
    <row r="321" s="5" customFormat="1" ht="16.5" spans="1:11">
      <c r="A321" s="22">
        <v>332</v>
      </c>
      <c r="B321" s="23">
        <v>46275</v>
      </c>
      <c r="C321" s="24" t="str">
        <v>趣点购浦发</v>
      </c>
      <c r="D321" s="24">
        <v>0</v>
      </c>
      <c r="E321" s="24" t="str">
        <v>自动提现 2026-09-09</v>
      </c>
      <c r="F321" s="24">
        <v>534.82</v>
      </c>
      <c r="G321" s="24" t="str">
        <v/>
      </c>
      <c r="H321" s="24">
        <v>130115.159999998</v>
      </c>
      <c r="I321" s="24">
        <v>0</v>
      </c>
      <c r="J321" s="24">
        <v>0</v>
      </c>
      <c r="K321" s="25">
        <v>202609</v>
      </c>
    </row>
    <row r="322" s="5" customFormat="1" ht="16.5" spans="1:11">
      <c r="A322" s="22">
        <v>333</v>
      </c>
      <c r="B322" s="23">
        <v>46276</v>
      </c>
      <c r="C322" s="24" t="str">
        <v>趣点购浦发</v>
      </c>
      <c r="D322" s="24">
        <v>0</v>
      </c>
      <c r="E322" s="24" t="str">
        <v>小麦售货机260911_1233</v>
      </c>
      <c r="F322" s="24">
        <v>5010.79</v>
      </c>
      <c r="G322" s="24" t="str">
        <v/>
      </c>
      <c r="H322" s="24">
        <v>135125.949999998</v>
      </c>
      <c r="I322" s="24">
        <v>0</v>
      </c>
      <c r="J322" s="24">
        <v>0</v>
      </c>
      <c r="K322" s="25">
        <v>202609</v>
      </c>
    </row>
    <row r="323" s="5" customFormat="1" ht="16.5" spans="1:11">
      <c r="A323" s="22">
        <v>334</v>
      </c>
      <c r="B323" s="23">
        <v>46276</v>
      </c>
      <c r="C323" s="24" t="str">
        <v>趣点购浦发</v>
      </c>
      <c r="D323" s="24">
        <v>0</v>
      </c>
      <c r="E323" s="24" t="str">
        <v>超市营业款</v>
      </c>
      <c r="F323" s="24">
        <v>16060.23</v>
      </c>
      <c r="G323" s="24" t="str">
        <v/>
      </c>
      <c r="H323" s="24">
        <v>151186.179999998</v>
      </c>
      <c r="I323" s="24">
        <v>0</v>
      </c>
      <c r="J323" s="24">
        <v>0</v>
      </c>
      <c r="K323" s="25">
        <v>202609</v>
      </c>
    </row>
    <row r="324" s="5" customFormat="1" ht="16.5" spans="1:11">
      <c r="A324" s="22">
        <v>335</v>
      </c>
      <c r="B324" s="23">
        <v>46276</v>
      </c>
      <c r="C324" s="24" t="str">
        <v>趣点购浦发</v>
      </c>
      <c r="D324" s="24">
        <v>0</v>
      </c>
      <c r="E324" s="24" t="str">
        <v>MM哈哈售货机_1746233457</v>
      </c>
      <c r="F324" s="24">
        <v>29.93</v>
      </c>
      <c r="G324" s="24" t="str">
        <v/>
      </c>
      <c r="H324" s="24">
        <v>151216.109999998</v>
      </c>
      <c r="I324" s="24">
        <v>0</v>
      </c>
      <c r="J324" s="24">
        <v>0</v>
      </c>
      <c r="K324" s="25">
        <v>202609</v>
      </c>
    </row>
    <row r="325" s="5" customFormat="1" ht="16.5" spans="1:11">
      <c r="A325" s="22">
        <v>336</v>
      </c>
      <c r="B325" s="23">
        <v>46276</v>
      </c>
      <c r="C325" s="24" t="str">
        <v>趣点购浦发</v>
      </c>
      <c r="D325" s="24">
        <v>0</v>
      </c>
      <c r="E325" s="24" t="str">
        <v>自动提现 2026-09-10</v>
      </c>
      <c r="F325" s="24">
        <v>358.34</v>
      </c>
      <c r="G325" s="24" t="str">
        <v/>
      </c>
      <c r="H325" s="24">
        <v>151574.449999998</v>
      </c>
      <c r="I325" s="24">
        <v>0</v>
      </c>
      <c r="J325" s="24">
        <v>0</v>
      </c>
      <c r="K325" s="25">
        <v>202609</v>
      </c>
    </row>
    <row r="326" s="5" customFormat="1" ht="16.5" spans="1:11">
      <c r="A326" s="22">
        <v>337</v>
      </c>
      <c r="B326" s="23">
        <v>46277</v>
      </c>
      <c r="C326" s="24" t="str">
        <v>趣点购浦发</v>
      </c>
      <c r="D326" s="24">
        <v>0</v>
      </c>
      <c r="E326" s="24" t="str">
        <v>小麦售货机260912_1233</v>
      </c>
      <c r="F326" s="24">
        <v>6716.76</v>
      </c>
      <c r="G326" s="24" t="str">
        <v/>
      </c>
      <c r="H326" s="24">
        <v>158291.209999998</v>
      </c>
      <c r="I326" s="24">
        <v>0</v>
      </c>
      <c r="J326" s="24">
        <v>0</v>
      </c>
      <c r="K326" s="25">
        <v>202609</v>
      </c>
    </row>
    <row r="327" s="5" customFormat="1" ht="16.5" spans="1:11">
      <c r="A327" s="22">
        <v>338</v>
      </c>
      <c r="B327" s="23">
        <v>46277</v>
      </c>
      <c r="C327" s="24" t="str">
        <v>趣点购浦发</v>
      </c>
      <c r="D327" s="24">
        <v>0</v>
      </c>
      <c r="E327" s="24" t="str">
        <v>超市营业款</v>
      </c>
      <c r="F327" s="24">
        <v>13725.09</v>
      </c>
      <c r="G327" s="24" t="str">
        <v/>
      </c>
      <c r="H327" s="24">
        <v>172016.299999998</v>
      </c>
      <c r="I327" s="24">
        <v>0</v>
      </c>
      <c r="J327" s="24">
        <v>0</v>
      </c>
      <c r="K327" s="25">
        <v>202609</v>
      </c>
    </row>
    <row r="328" s="5" customFormat="1" ht="16.5" spans="1:11">
      <c r="A328" s="22">
        <v>339</v>
      </c>
      <c r="B328" s="23">
        <v>46277</v>
      </c>
      <c r="C328" s="24" t="str">
        <v>趣点购浦发</v>
      </c>
      <c r="D328" s="24">
        <v>0</v>
      </c>
      <c r="E328" s="24" t="str">
        <v>MM哈哈售货机_1746233457</v>
      </c>
      <c r="F328" s="24">
        <v>29.93</v>
      </c>
      <c r="G328" s="24" t="str">
        <v/>
      </c>
      <c r="H328" s="24">
        <v>172046.229999998</v>
      </c>
      <c r="I328" s="24">
        <v>0</v>
      </c>
      <c r="J328" s="24">
        <v>0</v>
      </c>
      <c r="K328" s="25">
        <v>202609</v>
      </c>
    </row>
    <row r="329" s="5" customFormat="1" ht="16.5" spans="1:11">
      <c r="A329" s="22">
        <v>340</v>
      </c>
      <c r="B329" s="23">
        <v>46277</v>
      </c>
      <c r="C329" s="24" t="str">
        <v>趣点购浦发</v>
      </c>
      <c r="D329" s="24">
        <v>0</v>
      </c>
      <c r="E329" s="24" t="str">
        <v>自动提现 2026-09-11</v>
      </c>
      <c r="F329" s="24">
        <v>346.59</v>
      </c>
      <c r="G329" s="24" t="str">
        <v/>
      </c>
      <c r="H329" s="24">
        <v>172392.819999998</v>
      </c>
      <c r="I329" s="24">
        <v>0</v>
      </c>
      <c r="J329" s="24">
        <v>0</v>
      </c>
      <c r="K329" s="25">
        <v>202609</v>
      </c>
    </row>
    <row r="330" s="5" customFormat="1" ht="16.5" spans="1:11">
      <c r="A330" s="22">
        <v>341</v>
      </c>
      <c r="B330" s="23">
        <v>46277</v>
      </c>
      <c r="C330" s="24" t="str">
        <v>趣点购浦发</v>
      </c>
      <c r="D330" s="24" t="str">
        <v>工资</v>
      </c>
      <c r="E330" s="24" t="str">
        <v>方中桥</v>
      </c>
      <c r="F330" s="24" t="str">
        <v/>
      </c>
      <c r="G330" s="24">
        <v>7161</v>
      </c>
      <c r="H330" s="24">
        <v>165231.819999998</v>
      </c>
      <c r="I330" s="24">
        <v>0</v>
      </c>
      <c r="J330" s="24">
        <v>0</v>
      </c>
      <c r="K330" s="25">
        <v>202609</v>
      </c>
    </row>
    <row r="331" s="5" customFormat="1" ht="16.5" spans="1:11">
      <c r="A331" s="22">
        <v>342</v>
      </c>
      <c r="B331" s="23">
        <v>46277</v>
      </c>
      <c r="C331" s="24" t="str">
        <v>趣点购浦发</v>
      </c>
      <c r="D331" s="24" t="str">
        <v>银行手续费</v>
      </c>
      <c r="E331" s="24" t="str">
        <v>网银互联汇出手续费</v>
      </c>
      <c r="F331" s="24" t="str">
        <v/>
      </c>
      <c r="G331" s="24">
        <v>4.5</v>
      </c>
      <c r="H331" s="24">
        <v>165227.319999998</v>
      </c>
      <c r="I331" s="24">
        <v>0</v>
      </c>
      <c r="J331" s="24">
        <v>0</v>
      </c>
      <c r="K331" s="25">
        <v>202609</v>
      </c>
    </row>
    <row r="332" s="5" customFormat="1" ht="16.5" spans="1:11">
      <c r="A332" s="22">
        <v>343</v>
      </c>
      <c r="B332" s="23">
        <v>46277</v>
      </c>
      <c r="C332" s="24" t="str">
        <v>趣点购浦发</v>
      </c>
      <c r="D332" s="24" t="str">
        <v>工资</v>
      </c>
      <c r="E332" s="24" t="str">
        <v>杨维见</v>
      </c>
      <c r="F332" s="24" t="str">
        <v/>
      </c>
      <c r="G332" s="24">
        <v>5485</v>
      </c>
      <c r="H332" s="24">
        <v>159742.319999998</v>
      </c>
      <c r="I332" s="24">
        <v>0</v>
      </c>
      <c r="J332" s="24">
        <v>0</v>
      </c>
      <c r="K332" s="25">
        <v>202609</v>
      </c>
    </row>
    <row r="333" s="5" customFormat="1" ht="16.5" spans="1:11">
      <c r="A333" s="22">
        <v>344</v>
      </c>
      <c r="B333" s="23">
        <v>46277</v>
      </c>
      <c r="C333" s="24" t="str">
        <v>趣点购浦发</v>
      </c>
      <c r="D333" s="24" t="str">
        <v>银行手续费</v>
      </c>
      <c r="E333" s="24" t="str">
        <v>网银互联汇出手续费</v>
      </c>
      <c r="F333" s="24" t="str">
        <v/>
      </c>
      <c r="G333" s="24">
        <v>4.5</v>
      </c>
      <c r="H333" s="24">
        <v>159737.819999998</v>
      </c>
      <c r="I333" s="24">
        <v>0</v>
      </c>
      <c r="J333" s="24">
        <v>0</v>
      </c>
      <c r="K333" s="25">
        <v>202609</v>
      </c>
    </row>
    <row r="334" s="5" customFormat="1" ht="16.5" spans="1:11">
      <c r="A334" s="22">
        <v>345</v>
      </c>
      <c r="B334" s="23">
        <v>46277</v>
      </c>
      <c r="C334" s="24" t="str">
        <v>趣点购浦发</v>
      </c>
      <c r="D334" s="24" t="str">
        <v>工资</v>
      </c>
      <c r="E334" s="24" t="str">
        <v>王雷</v>
      </c>
      <c r="F334" s="24" t="str">
        <v/>
      </c>
      <c r="G334" s="24">
        <v>5900</v>
      </c>
      <c r="H334" s="24">
        <v>153837.819999998</v>
      </c>
      <c r="I334" s="24">
        <v>0</v>
      </c>
      <c r="J334" s="24">
        <v>0</v>
      </c>
      <c r="K334" s="25">
        <v>202609</v>
      </c>
    </row>
    <row r="335" s="5" customFormat="1" ht="16.5" spans="1:11">
      <c r="A335" s="22">
        <v>346</v>
      </c>
      <c r="B335" s="23">
        <v>46277</v>
      </c>
      <c r="C335" s="24" t="str">
        <v>趣点购浦发</v>
      </c>
      <c r="D335" s="24" t="str">
        <v>银行手续费</v>
      </c>
      <c r="E335" s="24" t="str">
        <v>网银互联汇出手续费</v>
      </c>
      <c r="F335" s="24" t="str">
        <v/>
      </c>
      <c r="G335" s="24">
        <v>4.5</v>
      </c>
      <c r="H335" s="24">
        <v>153833.319999998</v>
      </c>
      <c r="I335" s="24">
        <v>0</v>
      </c>
      <c r="J335" s="24">
        <v>0</v>
      </c>
      <c r="K335" s="25">
        <v>202609</v>
      </c>
    </row>
    <row r="336" s="5" customFormat="1" ht="16.5" spans="1:11">
      <c r="A336" s="22">
        <v>347</v>
      </c>
      <c r="B336" s="23">
        <v>46277</v>
      </c>
      <c r="C336" s="24" t="str">
        <v>趣点购浦发</v>
      </c>
      <c r="D336" s="24" t="str">
        <v>工资</v>
      </c>
      <c r="E336" s="24" t="str">
        <v>张辉</v>
      </c>
      <c r="F336" s="24" t="str">
        <v/>
      </c>
      <c r="G336" s="24">
        <v>8268</v>
      </c>
      <c r="H336" s="24">
        <v>145565.319999998</v>
      </c>
      <c r="I336" s="24">
        <v>0</v>
      </c>
      <c r="J336" s="24">
        <v>0</v>
      </c>
      <c r="K336" s="25">
        <v>202609</v>
      </c>
    </row>
    <row r="337" s="5" customFormat="1" ht="16.5" spans="1:11">
      <c r="A337" s="22">
        <v>348</v>
      </c>
      <c r="B337" s="23">
        <v>46277</v>
      </c>
      <c r="C337" s="24" t="str">
        <v>趣点购浦发</v>
      </c>
      <c r="D337" s="24" t="str">
        <v>银行手续费</v>
      </c>
      <c r="E337" s="24" t="str">
        <v>网银互联汇出手续费</v>
      </c>
      <c r="F337" s="24" t="str">
        <v/>
      </c>
      <c r="G337" s="24">
        <v>4.5</v>
      </c>
      <c r="H337" s="24">
        <v>145560.819999998</v>
      </c>
      <c r="I337" s="24">
        <v>0</v>
      </c>
      <c r="J337" s="24">
        <v>0</v>
      </c>
      <c r="K337" s="25">
        <v>202609</v>
      </c>
    </row>
    <row r="338" s="5" customFormat="1" ht="16.5" spans="1:11">
      <c r="A338" s="22">
        <v>349</v>
      </c>
      <c r="B338" s="23">
        <v>46277</v>
      </c>
      <c r="C338" s="24" t="str">
        <v>趣点购浦发</v>
      </c>
      <c r="D338" s="24" t="str">
        <v>工资</v>
      </c>
      <c r="E338" s="24" t="str">
        <v>梁金龙</v>
      </c>
      <c r="F338" s="24" t="str">
        <v/>
      </c>
      <c r="G338" s="24">
        <v>5944</v>
      </c>
      <c r="H338" s="24">
        <v>139616.819999998</v>
      </c>
      <c r="I338" s="24">
        <v>0</v>
      </c>
      <c r="J338" s="24">
        <v>0</v>
      </c>
      <c r="K338" s="25">
        <v>202609</v>
      </c>
    </row>
    <row r="339" s="5" customFormat="1" ht="16.5" spans="1:11">
      <c r="A339" s="22">
        <v>350</v>
      </c>
      <c r="B339" s="23">
        <v>46277</v>
      </c>
      <c r="C339" s="24" t="str">
        <v>趣点购浦发</v>
      </c>
      <c r="D339" s="24" t="str">
        <v>银行手续费</v>
      </c>
      <c r="E339" s="24" t="str">
        <v>网银互联汇出手续费</v>
      </c>
      <c r="F339" s="24" t="str">
        <v/>
      </c>
      <c r="G339" s="24">
        <v>4.5</v>
      </c>
      <c r="H339" s="24">
        <v>139612.319999998</v>
      </c>
      <c r="I339" s="24">
        <v>0</v>
      </c>
      <c r="J339" s="24">
        <v>0</v>
      </c>
      <c r="K339" s="25">
        <v>202609</v>
      </c>
    </row>
    <row r="340" s="5" customFormat="1" ht="16.5" spans="1:11">
      <c r="A340" s="22">
        <v>351</v>
      </c>
      <c r="B340" s="23">
        <v>46277</v>
      </c>
      <c r="C340" s="24" t="str">
        <v>趣点购浦发</v>
      </c>
      <c r="D340" s="24" t="str">
        <v>工资</v>
      </c>
      <c r="E340" s="24" t="str">
        <v>鲜何</v>
      </c>
      <c r="F340" s="24" t="str">
        <v/>
      </c>
      <c r="G340" s="24">
        <v>7824</v>
      </c>
      <c r="H340" s="24">
        <v>131788.319999998</v>
      </c>
      <c r="I340" s="24">
        <v>0</v>
      </c>
      <c r="J340" s="24">
        <v>0</v>
      </c>
      <c r="K340" s="25">
        <v>202609</v>
      </c>
    </row>
    <row r="341" s="5" customFormat="1" ht="16.5" spans="1:11">
      <c r="A341" s="22">
        <v>352</v>
      </c>
      <c r="B341" s="23">
        <v>46277</v>
      </c>
      <c r="C341" s="24" t="str">
        <v>趣点购浦发</v>
      </c>
      <c r="D341" s="24" t="str">
        <v>银行手续费</v>
      </c>
      <c r="E341" s="24" t="str">
        <v>网银互联汇出手续费</v>
      </c>
      <c r="F341" s="24" t="str">
        <v/>
      </c>
      <c r="G341" s="24">
        <v>4.5</v>
      </c>
      <c r="H341" s="24">
        <v>131783.819999998</v>
      </c>
      <c r="I341" s="24">
        <v>0</v>
      </c>
      <c r="J341" s="24">
        <v>0</v>
      </c>
      <c r="K341" s="25">
        <v>202609</v>
      </c>
    </row>
    <row r="342" s="5" customFormat="1" ht="16.5" spans="1:11">
      <c r="A342" s="22">
        <v>353</v>
      </c>
      <c r="B342" s="23">
        <v>46277</v>
      </c>
      <c r="C342" s="24" t="str">
        <v>趣点购浦发</v>
      </c>
      <c r="D342" s="24" t="str">
        <v>工资</v>
      </c>
      <c r="E342" s="24" t="str">
        <v>代博</v>
      </c>
      <c r="F342" s="24" t="str">
        <v/>
      </c>
      <c r="G342" s="24">
        <v>5473</v>
      </c>
      <c r="H342" s="24">
        <v>126310.819999998</v>
      </c>
      <c r="I342" s="24">
        <v>0</v>
      </c>
      <c r="J342" s="24">
        <v>0</v>
      </c>
      <c r="K342" s="25">
        <v>202609</v>
      </c>
    </row>
    <row r="343" s="5" customFormat="1" ht="16.5" spans="1:11">
      <c r="A343" s="22">
        <v>354</v>
      </c>
      <c r="B343" s="23">
        <v>46277</v>
      </c>
      <c r="C343" s="24" t="str">
        <v>趣点购浦发</v>
      </c>
      <c r="D343" s="24" t="str">
        <v>银行手续费</v>
      </c>
      <c r="E343" s="24" t="str">
        <v>网银互联汇出手续费</v>
      </c>
      <c r="F343" s="24" t="str">
        <v/>
      </c>
      <c r="G343" s="24">
        <v>4.5</v>
      </c>
      <c r="H343" s="24">
        <v>126306.319999998</v>
      </c>
      <c r="I343" s="24">
        <v>0</v>
      </c>
      <c r="J343" s="24">
        <v>0</v>
      </c>
      <c r="K343" s="25">
        <v>202609</v>
      </c>
    </row>
    <row r="344" s="5" customFormat="1" ht="16.5" spans="1:11">
      <c r="A344" s="22">
        <v>355</v>
      </c>
      <c r="B344" s="23">
        <v>46277</v>
      </c>
      <c r="C344" s="24" t="str">
        <v>趣点购浦发</v>
      </c>
      <c r="D344" s="24" t="str">
        <v>工资</v>
      </c>
      <c r="E344" s="24" t="str">
        <v>张庚</v>
      </c>
      <c r="F344" s="24" t="str">
        <v/>
      </c>
      <c r="G344" s="24">
        <v>7799</v>
      </c>
      <c r="H344" s="24">
        <v>118507.319999998</v>
      </c>
      <c r="I344" s="24">
        <v>0</v>
      </c>
      <c r="J344" s="24">
        <v>0</v>
      </c>
      <c r="K344" s="25">
        <v>202609</v>
      </c>
    </row>
    <row r="345" s="5" customFormat="1" ht="16.5" spans="1:11">
      <c r="A345" s="22">
        <v>356</v>
      </c>
      <c r="B345" s="23">
        <v>46277</v>
      </c>
      <c r="C345" s="24" t="str">
        <v>趣点购浦发</v>
      </c>
      <c r="D345" s="24" t="str">
        <v>银行手续费</v>
      </c>
      <c r="E345" s="24" t="str">
        <v>网银互联汇出手续费</v>
      </c>
      <c r="F345" s="24" t="str">
        <v/>
      </c>
      <c r="G345" s="24">
        <v>4.5</v>
      </c>
      <c r="H345" s="24">
        <v>118502.819999998</v>
      </c>
      <c r="I345" s="24">
        <v>0</v>
      </c>
      <c r="J345" s="24">
        <v>0</v>
      </c>
      <c r="K345" s="25">
        <v>202609</v>
      </c>
    </row>
    <row r="346" s="5" customFormat="1" ht="16.5" spans="1:11">
      <c r="A346" s="22">
        <v>357</v>
      </c>
      <c r="B346" s="23">
        <v>46277</v>
      </c>
      <c r="C346" s="24" t="str">
        <v>趣点购浦发</v>
      </c>
      <c r="D346" s="24" t="str">
        <v>工资</v>
      </c>
      <c r="E346" s="24" t="str">
        <v>陈樨</v>
      </c>
      <c r="F346" s="24" t="str">
        <v/>
      </c>
      <c r="G346" s="24">
        <v>5000</v>
      </c>
      <c r="H346" s="24">
        <v>113502.819999998</v>
      </c>
      <c r="I346" s="24">
        <v>0</v>
      </c>
      <c r="J346" s="24">
        <v>0</v>
      </c>
      <c r="K346" s="25">
        <v>202609</v>
      </c>
    </row>
    <row r="347" s="5" customFormat="1" ht="16.5" spans="1:11">
      <c r="A347" s="22">
        <v>358</v>
      </c>
      <c r="B347" s="23">
        <v>46277</v>
      </c>
      <c r="C347" s="24" t="str">
        <v>趣点购浦发</v>
      </c>
      <c r="D347" s="24" t="str">
        <v>银行手续费</v>
      </c>
      <c r="E347" s="24" t="str">
        <v>网银互联汇出手续费</v>
      </c>
      <c r="F347" s="24" t="str">
        <v/>
      </c>
      <c r="G347" s="24">
        <v>4.5</v>
      </c>
      <c r="H347" s="24">
        <v>113498.319999998</v>
      </c>
      <c r="I347" s="24">
        <v>0</v>
      </c>
      <c r="J347" s="24">
        <v>0</v>
      </c>
      <c r="K347" s="25">
        <v>202609</v>
      </c>
    </row>
    <row r="348" s="5" customFormat="1" ht="16.5" spans="1:11">
      <c r="A348" s="22">
        <v>359</v>
      </c>
      <c r="B348" s="23">
        <v>46277</v>
      </c>
      <c r="C348" s="24" t="str">
        <v>趣点购浦发</v>
      </c>
      <c r="D348" s="24" t="str">
        <v>工资</v>
      </c>
      <c r="E348" s="24" t="str">
        <v>赵坤</v>
      </c>
      <c r="F348" s="24" t="str">
        <v/>
      </c>
      <c r="G348" s="24">
        <v>3033</v>
      </c>
      <c r="H348" s="24">
        <v>110465.319999998</v>
      </c>
      <c r="I348" s="24">
        <v>0</v>
      </c>
      <c r="J348" s="24">
        <v>0</v>
      </c>
      <c r="K348" s="25">
        <v>202609</v>
      </c>
    </row>
    <row r="349" s="5" customFormat="1" ht="16.5" spans="1:11">
      <c r="A349" s="22">
        <v>360</v>
      </c>
      <c r="B349" s="23">
        <v>46277</v>
      </c>
      <c r="C349" s="24" t="str">
        <v>趣点购浦发</v>
      </c>
      <c r="D349" s="24" t="str">
        <v>银行手续费</v>
      </c>
      <c r="E349" s="24" t="str">
        <v>网银互联汇出手续费</v>
      </c>
      <c r="F349" s="24" t="str">
        <v/>
      </c>
      <c r="G349" s="24">
        <v>4.5</v>
      </c>
      <c r="H349" s="24">
        <v>110460.819999998</v>
      </c>
      <c r="I349" s="24">
        <v>0</v>
      </c>
      <c r="J349" s="24">
        <v>0</v>
      </c>
      <c r="K349" s="25">
        <v>202609</v>
      </c>
    </row>
    <row r="350" s="5" customFormat="1" ht="16.5" spans="1:11">
      <c r="A350" s="22">
        <v>361</v>
      </c>
      <c r="B350" s="23">
        <v>46277</v>
      </c>
      <c r="C350" s="24" t="str">
        <v>趣点购浦发</v>
      </c>
      <c r="D350" s="24" t="str">
        <v>工资</v>
      </c>
      <c r="E350" s="24" t="str">
        <v>陈超</v>
      </c>
      <c r="F350" s="24" t="str">
        <v/>
      </c>
      <c r="G350" s="24">
        <v>5080</v>
      </c>
      <c r="H350" s="24">
        <v>105380.819999998</v>
      </c>
      <c r="I350" s="24">
        <v>0</v>
      </c>
      <c r="J350" s="24">
        <v>0</v>
      </c>
      <c r="K350" s="25">
        <v>202609</v>
      </c>
    </row>
    <row r="351" s="5" customFormat="1" ht="16.5" spans="1:11">
      <c r="A351" s="22">
        <v>362</v>
      </c>
      <c r="B351" s="23">
        <v>46277</v>
      </c>
      <c r="C351" s="24" t="str">
        <v>趣点购浦发</v>
      </c>
      <c r="D351" s="24" t="str">
        <v>银行手续费</v>
      </c>
      <c r="E351" s="24" t="str">
        <v>网银互联汇出手续费</v>
      </c>
      <c r="F351" s="24" t="str">
        <v/>
      </c>
      <c r="G351" s="24">
        <v>4.5</v>
      </c>
      <c r="H351" s="24">
        <v>105376.319999998</v>
      </c>
      <c r="I351" s="24">
        <v>0</v>
      </c>
      <c r="J351" s="24">
        <v>0</v>
      </c>
      <c r="K351" s="25">
        <v>202609</v>
      </c>
    </row>
    <row r="352" s="5" customFormat="1" ht="16.5" spans="1:11">
      <c r="A352" s="22">
        <v>363</v>
      </c>
      <c r="B352" s="23">
        <v>46277</v>
      </c>
      <c r="C352" s="24" t="str">
        <v>趣点购浦发</v>
      </c>
      <c r="D352" s="24" t="str">
        <v>工资</v>
      </c>
      <c r="E352" s="24" t="str">
        <v>马平</v>
      </c>
      <c r="F352" s="24" t="str">
        <v/>
      </c>
      <c r="G352" s="24">
        <v>5036</v>
      </c>
      <c r="H352" s="24">
        <v>100340.319999998</v>
      </c>
      <c r="I352" s="24">
        <v>0</v>
      </c>
      <c r="J352" s="24">
        <v>0</v>
      </c>
      <c r="K352" s="25">
        <v>202609</v>
      </c>
    </row>
    <row r="353" s="5" customFormat="1" ht="16.5" spans="1:11">
      <c r="A353" s="22">
        <v>364</v>
      </c>
      <c r="B353" s="23">
        <v>46277</v>
      </c>
      <c r="C353" s="24" t="str">
        <v>趣点购浦发</v>
      </c>
      <c r="D353" s="24" t="str">
        <v>银行手续费</v>
      </c>
      <c r="E353" s="24" t="str">
        <v>网银互联汇出手续费</v>
      </c>
      <c r="F353" s="24" t="str">
        <v/>
      </c>
      <c r="G353" s="24">
        <v>4.5</v>
      </c>
      <c r="H353" s="24">
        <v>100335.819999998</v>
      </c>
      <c r="I353" s="24">
        <v>0</v>
      </c>
      <c r="J353" s="24">
        <v>0</v>
      </c>
      <c r="K353" s="25">
        <v>202609</v>
      </c>
    </row>
    <row r="354" s="5" customFormat="1" ht="16.5" spans="1:11">
      <c r="A354" s="22">
        <v>365</v>
      </c>
      <c r="B354" s="23">
        <v>46277</v>
      </c>
      <c r="C354" s="24" t="str">
        <v>趣点购浦发</v>
      </c>
      <c r="D354" s="24" t="str">
        <v>工资</v>
      </c>
      <c r="E354" s="24" t="str">
        <v>唐顺江</v>
      </c>
      <c r="F354" s="24" t="str">
        <v/>
      </c>
      <c r="G354" s="24">
        <v>2417</v>
      </c>
      <c r="H354" s="24">
        <v>97918.8199999977</v>
      </c>
      <c r="I354" s="24">
        <v>0</v>
      </c>
      <c r="J354" s="24">
        <v>0</v>
      </c>
      <c r="K354" s="25">
        <v>202609</v>
      </c>
    </row>
    <row r="355" s="5" customFormat="1" ht="16.5" spans="1:11">
      <c r="A355" s="22">
        <v>366</v>
      </c>
      <c r="B355" s="23">
        <v>46277</v>
      </c>
      <c r="C355" s="24" t="str">
        <v>趣点购浦发</v>
      </c>
      <c r="D355" s="24" t="str">
        <v>银行手续费</v>
      </c>
      <c r="E355" s="24" t="str">
        <v>网银互联汇出手续费</v>
      </c>
      <c r="F355" s="24" t="str">
        <v/>
      </c>
      <c r="G355" s="24">
        <v>4.5</v>
      </c>
      <c r="H355" s="24">
        <v>97914.3199999977</v>
      </c>
      <c r="I355" s="24">
        <v>0</v>
      </c>
      <c r="J355" s="24">
        <v>0</v>
      </c>
      <c r="K355" s="25">
        <v>202609</v>
      </c>
    </row>
    <row r="356" s="5" customFormat="1" ht="16.5" spans="1:11">
      <c r="A356" s="22">
        <v>367</v>
      </c>
      <c r="B356" s="23">
        <v>46277</v>
      </c>
      <c r="C356" s="24" t="str">
        <v>趣点购浦发</v>
      </c>
      <c r="D356" s="24" t="str">
        <v>工资</v>
      </c>
      <c r="E356" s="24" t="str">
        <v>黄小龙</v>
      </c>
      <c r="F356" s="24" t="str">
        <v/>
      </c>
      <c r="G356" s="24">
        <v>3351</v>
      </c>
      <c r="H356" s="24">
        <v>94563.3199999977</v>
      </c>
      <c r="I356" s="24">
        <v>0</v>
      </c>
      <c r="J356" s="24">
        <v>0</v>
      </c>
      <c r="K356" s="25">
        <v>202609</v>
      </c>
    </row>
    <row r="357" s="5" customFormat="1" ht="16.5" spans="1:11">
      <c r="A357" s="22">
        <v>368</v>
      </c>
      <c r="B357" s="23">
        <v>46277</v>
      </c>
      <c r="C357" s="24" t="str">
        <v>趣点购浦发</v>
      </c>
      <c r="D357" s="24" t="str">
        <v>银行手续费</v>
      </c>
      <c r="E357" s="24" t="str">
        <v>网银互联汇出手续费</v>
      </c>
      <c r="F357" s="24" t="str">
        <v/>
      </c>
      <c r="G357" s="24">
        <v>4.5</v>
      </c>
      <c r="H357" s="24">
        <v>94558.8199999977</v>
      </c>
      <c r="I357" s="24">
        <v>0</v>
      </c>
      <c r="J357" s="24">
        <v>0</v>
      </c>
      <c r="K357" s="25">
        <v>202609</v>
      </c>
    </row>
    <row r="358" s="5" customFormat="1" ht="16.5" spans="1:11">
      <c r="A358" s="22">
        <v>369</v>
      </c>
      <c r="B358" s="23">
        <v>46277</v>
      </c>
      <c r="C358" s="24" t="str">
        <v>趣点购浦发</v>
      </c>
      <c r="D358" s="24" t="str">
        <v>工资</v>
      </c>
      <c r="E358" s="24" t="str">
        <v>陈梓芸</v>
      </c>
      <c r="F358" s="24" t="str">
        <v/>
      </c>
      <c r="G358" s="24">
        <v>391</v>
      </c>
      <c r="H358" s="24">
        <v>94167.8199999977</v>
      </c>
      <c r="I358" s="24">
        <v>0</v>
      </c>
      <c r="J358" s="24">
        <v>0</v>
      </c>
      <c r="K358" s="25">
        <v>202609</v>
      </c>
    </row>
    <row r="359" s="5" customFormat="1" ht="16.5" spans="1:11">
      <c r="A359" s="22">
        <v>370</v>
      </c>
      <c r="B359" s="23">
        <v>46277</v>
      </c>
      <c r="C359" s="24" t="str">
        <v>趣点购浦发</v>
      </c>
      <c r="D359" s="24" t="str">
        <v>银行手续费</v>
      </c>
      <c r="E359" s="24" t="str">
        <v>网银互联汇出手续费</v>
      </c>
      <c r="F359" s="24" t="str">
        <v/>
      </c>
      <c r="G359" s="24">
        <v>4.5</v>
      </c>
      <c r="H359" s="24">
        <v>94163.3199999977</v>
      </c>
      <c r="I359" s="24">
        <v>0</v>
      </c>
      <c r="J359" s="24">
        <v>0</v>
      </c>
      <c r="K359" s="25">
        <v>202609</v>
      </c>
    </row>
    <row r="360" s="5" customFormat="1" ht="16.5" spans="1:11">
      <c r="A360" s="22">
        <v>371</v>
      </c>
      <c r="B360" s="23">
        <v>46277</v>
      </c>
      <c r="C360" s="24" t="str">
        <v>趣点购浦发</v>
      </c>
      <c r="D360" s="24" t="str">
        <v>工资</v>
      </c>
      <c r="E360" s="24" t="str">
        <v>吴静</v>
      </c>
      <c r="F360" s="24" t="str">
        <v/>
      </c>
      <c r="G360" s="24">
        <v>2384</v>
      </c>
      <c r="H360" s="24">
        <v>91779.3199999977</v>
      </c>
      <c r="I360" s="24">
        <v>0</v>
      </c>
      <c r="J360" s="24">
        <v>0</v>
      </c>
      <c r="K360" s="25">
        <v>202609</v>
      </c>
    </row>
    <row r="361" s="5" customFormat="1" ht="16.5" spans="1:11">
      <c r="A361" s="22">
        <v>372</v>
      </c>
      <c r="B361" s="23">
        <v>46277</v>
      </c>
      <c r="C361" s="24" t="str">
        <v>趣点购浦发</v>
      </c>
      <c r="D361" s="24" t="str">
        <v>银行手续费</v>
      </c>
      <c r="E361" s="24" t="str">
        <v>网银互联汇出手续费</v>
      </c>
      <c r="F361" s="24" t="str">
        <v/>
      </c>
      <c r="G361" s="24">
        <v>4.5</v>
      </c>
      <c r="H361" s="24">
        <v>91774.8199999977</v>
      </c>
      <c r="I361" s="24">
        <v>0</v>
      </c>
      <c r="J361" s="24">
        <v>0</v>
      </c>
      <c r="K361" s="25">
        <v>202609</v>
      </c>
    </row>
    <row r="362" s="5" customFormat="1" ht="16.5" spans="1:11">
      <c r="A362" s="22">
        <v>373</v>
      </c>
      <c r="B362" s="23">
        <v>46277</v>
      </c>
      <c r="C362" s="24" t="str">
        <v>趣点购浦发</v>
      </c>
      <c r="D362" s="24" t="str">
        <v>工资</v>
      </c>
      <c r="E362" s="24" t="str">
        <v>熊科宇</v>
      </c>
      <c r="F362" s="24" t="str">
        <v/>
      </c>
      <c r="G362" s="24">
        <v>4422</v>
      </c>
      <c r="H362" s="24">
        <v>87352.8199999977</v>
      </c>
      <c r="I362" s="24">
        <v>0</v>
      </c>
      <c r="J362" s="24">
        <v>0</v>
      </c>
      <c r="K362" s="25">
        <v>202609</v>
      </c>
    </row>
    <row r="363" s="5" customFormat="1" ht="16.5" spans="1:11">
      <c r="A363" s="22">
        <v>374</v>
      </c>
      <c r="B363" s="23">
        <v>46277</v>
      </c>
      <c r="C363" s="24" t="str">
        <v>趣点购浦发</v>
      </c>
      <c r="D363" s="24" t="str">
        <v>银行手续费</v>
      </c>
      <c r="E363" s="24" t="str">
        <v>网银互联汇出手续费</v>
      </c>
      <c r="F363" s="24" t="str">
        <v/>
      </c>
      <c r="G363" s="24">
        <v>4.5</v>
      </c>
      <c r="H363" s="24">
        <v>87348.3199999977</v>
      </c>
      <c r="I363" s="24">
        <v>0</v>
      </c>
      <c r="J363" s="24">
        <v>0</v>
      </c>
      <c r="K363" s="25">
        <v>202609</v>
      </c>
    </row>
    <row r="364" s="5" customFormat="1" ht="16.5" spans="1:11">
      <c r="A364" s="22">
        <v>375</v>
      </c>
      <c r="B364" s="23">
        <v>46277</v>
      </c>
      <c r="C364" s="24" t="str">
        <v>趣点购浦发</v>
      </c>
      <c r="D364" s="24" t="str">
        <v>工资</v>
      </c>
      <c r="E364" s="24" t="str">
        <v>游先怀</v>
      </c>
      <c r="F364" s="24" t="str">
        <v/>
      </c>
      <c r="G364" s="24">
        <v>522</v>
      </c>
      <c r="H364" s="24">
        <v>86826.3199999977</v>
      </c>
      <c r="I364" s="24">
        <v>0</v>
      </c>
      <c r="J364" s="24">
        <v>0</v>
      </c>
      <c r="K364" s="25">
        <v>202609</v>
      </c>
    </row>
    <row r="365" s="5" customFormat="1" ht="16.5" spans="1:11">
      <c r="A365" s="22">
        <v>376</v>
      </c>
      <c r="B365" s="23">
        <v>46277</v>
      </c>
      <c r="C365" s="24" t="str">
        <v>趣点购浦发</v>
      </c>
      <c r="D365" s="24" t="str">
        <v>银行手续费</v>
      </c>
      <c r="E365" s="24" t="str">
        <v>网银互联汇出手续费</v>
      </c>
      <c r="F365" s="24" t="str">
        <v/>
      </c>
      <c r="G365" s="24">
        <v>4.5</v>
      </c>
      <c r="H365" s="24">
        <v>86821.8199999977</v>
      </c>
      <c r="I365" s="24">
        <v>0</v>
      </c>
      <c r="J365" s="24">
        <v>0</v>
      </c>
      <c r="K365" s="25">
        <v>202609</v>
      </c>
    </row>
    <row r="366" s="5" customFormat="1" ht="16.5" spans="1:11">
      <c r="A366" s="22">
        <v>377</v>
      </c>
      <c r="B366" s="23">
        <v>46277</v>
      </c>
      <c r="C366" s="24" t="str">
        <v>趣点购浦发</v>
      </c>
      <c r="D366" s="24" t="str">
        <v>工资</v>
      </c>
      <c r="E366" s="24" t="str">
        <v>彭金亮</v>
      </c>
      <c r="F366" s="24" t="str">
        <v/>
      </c>
      <c r="G366" s="24">
        <v>2524</v>
      </c>
      <c r="H366" s="24">
        <v>84297.819999998</v>
      </c>
      <c r="I366" s="24">
        <v>0</v>
      </c>
      <c r="J366" s="24">
        <v>0</v>
      </c>
      <c r="K366" s="25">
        <v>202609</v>
      </c>
    </row>
    <row r="367" s="5" customFormat="1" ht="16.5" spans="1:11">
      <c r="A367" s="22">
        <v>378</v>
      </c>
      <c r="B367" s="23">
        <v>46277</v>
      </c>
      <c r="C367" s="24" t="str">
        <v>趣点购浦发</v>
      </c>
      <c r="D367" s="24" t="str">
        <v>银行手续费</v>
      </c>
      <c r="E367" s="24" t="str">
        <v>网银互联汇出手续费</v>
      </c>
      <c r="F367" s="24" t="str">
        <v/>
      </c>
      <c r="G367" s="24">
        <v>4.5</v>
      </c>
      <c r="H367" s="24">
        <v>84293.319999998</v>
      </c>
      <c r="I367" s="24">
        <v>0</v>
      </c>
      <c r="J367" s="24">
        <v>0</v>
      </c>
      <c r="K367" s="25">
        <v>202609</v>
      </c>
    </row>
    <row r="368" s="5" customFormat="1" ht="16.5" spans="1:11">
      <c r="A368" s="22">
        <v>379</v>
      </c>
      <c r="B368" s="23">
        <v>46277</v>
      </c>
      <c r="C368" s="24" t="str">
        <v>趣点购浦发</v>
      </c>
      <c r="D368" s="24" t="str">
        <v>工资</v>
      </c>
      <c r="E368" s="24" t="str">
        <v>吴春容</v>
      </c>
      <c r="F368" s="24" t="str">
        <v/>
      </c>
      <c r="G368" s="24">
        <v>3077</v>
      </c>
      <c r="H368" s="24">
        <v>81216.319999998</v>
      </c>
      <c r="I368" s="24">
        <v>0</v>
      </c>
      <c r="J368" s="24">
        <v>0</v>
      </c>
      <c r="K368" s="25">
        <v>202609</v>
      </c>
    </row>
    <row r="369" s="5" customFormat="1" ht="16.5" spans="1:11">
      <c r="A369" s="22">
        <v>380</v>
      </c>
      <c r="B369" s="23">
        <v>46277</v>
      </c>
      <c r="C369" s="24" t="str">
        <v>趣点购浦发</v>
      </c>
      <c r="D369" s="24" t="str">
        <v>银行手续费</v>
      </c>
      <c r="E369" s="24" t="str">
        <v>网银互联汇出手续费</v>
      </c>
      <c r="F369" s="24" t="str">
        <v/>
      </c>
      <c r="G369" s="24">
        <v>4.5</v>
      </c>
      <c r="H369" s="24">
        <v>81211.819999998</v>
      </c>
      <c r="I369" s="24">
        <v>0</v>
      </c>
      <c r="J369" s="24">
        <v>0</v>
      </c>
      <c r="K369" s="25">
        <v>202609</v>
      </c>
    </row>
    <row r="370" s="5" customFormat="1" ht="16.5" spans="1:11">
      <c r="A370" s="22" t="str">
        <v/>
      </c>
      <c r="B370" s="23">
        <v>0</v>
      </c>
      <c r="C370" s="24" t="str">
        <v>趣点购浦发</v>
      </c>
      <c r="D370" s="24">
        <v>0</v>
      </c>
      <c r="E370" s="24">
        <v>0</v>
      </c>
      <c r="F370" s="24">
        <v>0</v>
      </c>
      <c r="G370" s="24">
        <v>0</v>
      </c>
      <c r="H370" s="24">
        <v>81211.819999998</v>
      </c>
      <c r="I370" s="24">
        <v>0</v>
      </c>
      <c r="J370" s="24">
        <v>0</v>
      </c>
      <c r="K370" s="25" t="str">
        <v/>
      </c>
    </row>
    <row r="371" s="5" customFormat="1" ht="16.5" spans="1:11">
      <c r="A371" s="22" t="str">
        <v/>
      </c>
      <c r="B371" s="23">
        <v>0</v>
      </c>
      <c r="C371" s="24" t="str">
        <v>趣点购浦发</v>
      </c>
      <c r="D371" s="24">
        <v>0</v>
      </c>
      <c r="E371" s="24">
        <v>0</v>
      </c>
      <c r="F371" s="24">
        <v>0</v>
      </c>
      <c r="G371" s="24">
        <v>0</v>
      </c>
      <c r="H371" s="24">
        <v>81211.819999998</v>
      </c>
      <c r="I371" s="24">
        <v>0</v>
      </c>
      <c r="J371" s="24">
        <v>0</v>
      </c>
      <c r="K371" s="25" t="str">
        <v/>
      </c>
    </row>
    <row r="372" s="5" customFormat="1" ht="16.5" spans="1:11">
      <c r="A372" s="22" t="str">
        <v/>
      </c>
      <c r="B372" s="23">
        <v>0</v>
      </c>
      <c r="C372" s="24" t="str">
        <v>趣点购浦发</v>
      </c>
      <c r="D372" s="24">
        <v>0</v>
      </c>
      <c r="E372" s="24">
        <v>0</v>
      </c>
      <c r="F372" s="24">
        <v>0</v>
      </c>
      <c r="G372" s="24">
        <v>0</v>
      </c>
      <c r="H372" s="24">
        <v>81211.819999998</v>
      </c>
      <c r="I372" s="24">
        <v>0</v>
      </c>
      <c r="J372" s="24">
        <v>0</v>
      </c>
      <c r="K372" s="25" t="str">
        <v/>
      </c>
    </row>
    <row r="373" s="5" customFormat="1" ht="16.5" spans="1:11">
      <c r="A373" s="22" t="str">
        <v/>
      </c>
      <c r="B373" s="23">
        <v>0</v>
      </c>
      <c r="C373" s="24" t="str">
        <v>趣点购浦发</v>
      </c>
      <c r="D373" s="24">
        <v>0</v>
      </c>
      <c r="E373" s="24">
        <v>0</v>
      </c>
      <c r="F373" s="24">
        <v>0</v>
      </c>
      <c r="G373" s="24">
        <v>0</v>
      </c>
      <c r="H373" s="24">
        <v>81211.819999998</v>
      </c>
      <c r="I373" s="24">
        <v>0</v>
      </c>
      <c r="J373" s="24">
        <v>0</v>
      </c>
      <c r="K373" s="25" t="str">
        <v/>
      </c>
    </row>
    <row r="374" s="5" customFormat="1" ht="16.5" spans="1:11">
      <c r="A374" s="22" t="str">
        <v/>
      </c>
      <c r="B374" s="23">
        <v>0</v>
      </c>
      <c r="C374" s="24" t="str">
        <v>趣点购浦发</v>
      </c>
      <c r="D374" s="24">
        <v>0</v>
      </c>
      <c r="E374" s="24">
        <v>0</v>
      </c>
      <c r="F374" s="24">
        <v>0</v>
      </c>
      <c r="G374" s="24">
        <v>0</v>
      </c>
      <c r="H374" s="24">
        <v>81211.819999998</v>
      </c>
      <c r="I374" s="24">
        <v>0</v>
      </c>
      <c r="J374" s="24">
        <v>0</v>
      </c>
      <c r="K374" s="25" t="str">
        <v/>
      </c>
    </row>
    <row r="375" s="5" customFormat="1" ht="16.5" spans="1:11">
      <c r="A375" s="22" t="str">
        <v/>
      </c>
      <c r="B375" s="23">
        <v>0</v>
      </c>
      <c r="C375" s="24" t="str">
        <v>趣点购浦发</v>
      </c>
      <c r="D375" s="24">
        <v>0</v>
      </c>
      <c r="E375" s="24">
        <v>0</v>
      </c>
      <c r="F375" s="24">
        <v>0</v>
      </c>
      <c r="G375" s="24">
        <v>0</v>
      </c>
      <c r="H375" s="24">
        <v>81211.819999998</v>
      </c>
      <c r="I375" s="24">
        <v>0</v>
      </c>
      <c r="J375" s="24">
        <v>0</v>
      </c>
      <c r="K375" s="25" t="str">
        <v/>
      </c>
    </row>
    <row r="376" s="5" customFormat="1" ht="16.5" spans="1:11">
      <c r="A376" s="22" t="str">
        <v/>
      </c>
      <c r="B376" s="23">
        <v>0</v>
      </c>
      <c r="C376" s="24" t="str">
        <v>趣点购浦发</v>
      </c>
      <c r="D376" s="24">
        <v>0</v>
      </c>
      <c r="E376" s="24">
        <v>0</v>
      </c>
      <c r="F376" s="24">
        <v>0</v>
      </c>
      <c r="G376" s="24">
        <v>0</v>
      </c>
      <c r="H376" s="24">
        <v>81211.819999998</v>
      </c>
      <c r="I376" s="24">
        <v>0</v>
      </c>
      <c r="J376" s="24">
        <v>0</v>
      </c>
      <c r="K376" s="25" t="str">
        <v/>
      </c>
    </row>
    <row r="377" s="5" customFormat="1" ht="16.5" spans="1:11">
      <c r="A377" s="22" t="str">
        <v/>
      </c>
      <c r="B377" s="23">
        <v>0</v>
      </c>
      <c r="C377" s="24" t="str">
        <v>趣点购浦发</v>
      </c>
      <c r="D377" s="24">
        <v>0</v>
      </c>
      <c r="E377" s="24">
        <v>0</v>
      </c>
      <c r="F377" s="24">
        <v>0</v>
      </c>
      <c r="G377" s="24">
        <v>0</v>
      </c>
      <c r="H377" s="24">
        <v>81211.819999998</v>
      </c>
      <c r="I377" s="24">
        <v>0</v>
      </c>
      <c r="J377" s="24">
        <v>0</v>
      </c>
      <c r="K377" s="25" t="str">
        <v/>
      </c>
    </row>
    <row r="378" s="5" customFormat="1" ht="16.5" spans="1:11">
      <c r="A378" s="22" t="str">
        <v/>
      </c>
      <c r="B378" s="23">
        <v>0</v>
      </c>
      <c r="C378" s="24" t="str">
        <v>趣点购浦发</v>
      </c>
      <c r="D378" s="24">
        <v>0</v>
      </c>
      <c r="E378" s="24">
        <v>0</v>
      </c>
      <c r="F378" s="24">
        <v>0</v>
      </c>
      <c r="G378" s="24">
        <v>0</v>
      </c>
      <c r="H378" s="24">
        <v>81211.819999998</v>
      </c>
      <c r="I378" s="24">
        <v>0</v>
      </c>
      <c r="J378" s="24">
        <v>0</v>
      </c>
      <c r="K378" s="25" t="str">
        <v/>
      </c>
    </row>
    <row r="379" s="5" customFormat="1" ht="16.5" spans="1:11">
      <c r="A379" s="22" t="str">
        <v/>
      </c>
      <c r="B379" s="23">
        <v>0</v>
      </c>
      <c r="C379" s="24" t="str">
        <v>趣点购浦发</v>
      </c>
      <c r="D379" s="24">
        <v>0</v>
      </c>
      <c r="E379" s="24">
        <v>0</v>
      </c>
      <c r="F379" s="24">
        <v>0</v>
      </c>
      <c r="G379" s="24">
        <v>0</v>
      </c>
      <c r="H379" s="24">
        <v>81211.819999998</v>
      </c>
      <c r="I379" s="24">
        <v>0</v>
      </c>
      <c r="J379" s="24">
        <v>0</v>
      </c>
      <c r="K379" s="25" t="str">
        <v/>
      </c>
    </row>
    <row r="380" s="5" customFormat="1" ht="16.5" spans="1:11">
      <c r="A380" s="22" t="str">
        <v/>
      </c>
      <c r="B380" s="23">
        <v>0</v>
      </c>
      <c r="C380" s="24" t="str">
        <v>趣点购浦发</v>
      </c>
      <c r="D380" s="24">
        <v>0</v>
      </c>
      <c r="E380" s="24">
        <v>0</v>
      </c>
      <c r="F380" s="24">
        <v>0</v>
      </c>
      <c r="G380" s="24">
        <v>0</v>
      </c>
      <c r="H380" s="24">
        <v>81211.819999998</v>
      </c>
      <c r="I380" s="24">
        <v>0</v>
      </c>
      <c r="J380" s="24">
        <v>0</v>
      </c>
      <c r="K380" s="25" t="str">
        <v/>
      </c>
    </row>
    <row r="381" s="5" customFormat="1" ht="16.5" spans="1:11">
      <c r="A381" s="22" t="str">
        <v/>
      </c>
      <c r="B381" s="23">
        <v>0</v>
      </c>
      <c r="C381" s="24" t="str">
        <v>趣点购浦发</v>
      </c>
      <c r="D381" s="24">
        <v>0</v>
      </c>
      <c r="E381" s="24">
        <v>0</v>
      </c>
      <c r="F381" s="24">
        <v>0</v>
      </c>
      <c r="G381" s="24">
        <v>0</v>
      </c>
      <c r="H381" s="24">
        <v>81211.819999998</v>
      </c>
      <c r="I381" s="24">
        <v>0</v>
      </c>
      <c r="J381" s="24">
        <v>0</v>
      </c>
      <c r="K381" s="25" t="str">
        <v/>
      </c>
    </row>
    <row r="382" s="5" customFormat="1" ht="16.5" spans="1:11">
      <c r="A382" s="22" t="str">
        <v/>
      </c>
      <c r="B382" s="23">
        <v>0</v>
      </c>
      <c r="C382" s="24" t="str">
        <v>趣点购浦发</v>
      </c>
      <c r="D382" s="24">
        <v>0</v>
      </c>
      <c r="E382" s="24">
        <v>0</v>
      </c>
      <c r="F382" s="24">
        <v>0</v>
      </c>
      <c r="G382" s="24">
        <v>0</v>
      </c>
      <c r="H382" s="24">
        <v>81211.819999998</v>
      </c>
      <c r="I382" s="24">
        <v>0</v>
      </c>
      <c r="J382" s="24">
        <v>0</v>
      </c>
      <c r="K382" s="25" t="str">
        <v/>
      </c>
    </row>
    <row r="383" s="5" customFormat="1" ht="16.5" spans="1:11">
      <c r="A383" s="22" t="str">
        <v/>
      </c>
      <c r="B383" s="23">
        <v>0</v>
      </c>
      <c r="C383" s="24" t="str">
        <v>趣点购浦发</v>
      </c>
      <c r="D383" s="24">
        <v>0</v>
      </c>
      <c r="E383" s="24">
        <v>0</v>
      </c>
      <c r="F383" s="24">
        <v>0</v>
      </c>
      <c r="G383" s="24">
        <v>0</v>
      </c>
      <c r="H383" s="24">
        <v>81211.819999998</v>
      </c>
      <c r="I383" s="24">
        <v>0</v>
      </c>
      <c r="J383" s="24">
        <v>0</v>
      </c>
      <c r="K383" s="25" t="str">
        <v/>
      </c>
    </row>
    <row r="384" s="5" customFormat="1" ht="16.5" spans="1:11">
      <c r="A384" s="22" t="str">
        <v/>
      </c>
      <c r="B384" s="23">
        <v>0</v>
      </c>
      <c r="C384" s="24" t="str">
        <v>趣点购浦发</v>
      </c>
      <c r="D384" s="24">
        <v>0</v>
      </c>
      <c r="E384" s="24">
        <v>0</v>
      </c>
      <c r="F384" s="24">
        <v>0</v>
      </c>
      <c r="G384" s="24">
        <v>0</v>
      </c>
      <c r="H384" s="24">
        <v>81211.819999998</v>
      </c>
      <c r="I384" s="24">
        <v>0</v>
      </c>
      <c r="J384" s="24">
        <v>0</v>
      </c>
      <c r="K384" s="25" t="str">
        <v/>
      </c>
    </row>
    <row r="385" s="5" customFormat="1" ht="16.5" spans="1:11">
      <c r="A385" s="22" t="str">
        <v/>
      </c>
      <c r="B385" s="23">
        <v>0</v>
      </c>
      <c r="C385" s="24" t="str">
        <v>趣点购浦发</v>
      </c>
      <c r="D385" s="24">
        <v>0</v>
      </c>
      <c r="E385" s="24">
        <v>0</v>
      </c>
      <c r="F385" s="24">
        <v>0</v>
      </c>
      <c r="G385" s="24">
        <v>0</v>
      </c>
      <c r="H385" s="24">
        <v>81211.819999998</v>
      </c>
      <c r="I385" s="24">
        <v>0</v>
      </c>
      <c r="J385" s="24">
        <v>0</v>
      </c>
      <c r="K385" s="25" t="str">
        <v/>
      </c>
    </row>
    <row r="386" s="5" customFormat="1" ht="16.5" spans="1:11">
      <c r="A386" s="22" t="str">
        <v/>
      </c>
      <c r="B386" s="23">
        <v>0</v>
      </c>
      <c r="C386" s="24" t="str">
        <v>趣点购浦发</v>
      </c>
      <c r="D386" s="24">
        <v>0</v>
      </c>
      <c r="E386" s="24">
        <v>0</v>
      </c>
      <c r="F386" s="24">
        <v>0</v>
      </c>
      <c r="G386" s="24">
        <v>0</v>
      </c>
      <c r="H386" s="24">
        <v>81211.819999998</v>
      </c>
      <c r="I386" s="24">
        <v>0</v>
      </c>
      <c r="J386" s="24">
        <v>0</v>
      </c>
      <c r="K386" s="25" t="str">
        <v/>
      </c>
    </row>
    <row r="387" s="5" customFormat="1" ht="16.5" spans="1:11">
      <c r="A387" s="22" t="str">
        <v/>
      </c>
      <c r="B387" s="23">
        <v>0</v>
      </c>
      <c r="C387" s="24" t="str">
        <v>趣点购浦发</v>
      </c>
      <c r="D387" s="24">
        <v>0</v>
      </c>
      <c r="E387" s="24">
        <v>0</v>
      </c>
      <c r="F387" s="24">
        <v>0</v>
      </c>
      <c r="G387" s="24">
        <v>0</v>
      </c>
      <c r="H387" s="24">
        <v>81211.819999998</v>
      </c>
      <c r="I387" s="24">
        <v>0</v>
      </c>
      <c r="J387" s="24">
        <v>0</v>
      </c>
      <c r="K387" s="25" t="str">
        <v/>
      </c>
    </row>
    <row r="388" s="5" customFormat="1" ht="16.5" spans="1:11">
      <c r="A388" s="22" t="str">
        <v/>
      </c>
      <c r="B388" s="23">
        <v>0</v>
      </c>
      <c r="C388" s="24" t="str">
        <v>趣点购浦发</v>
      </c>
      <c r="D388" s="24">
        <v>0</v>
      </c>
      <c r="E388" s="24">
        <v>0</v>
      </c>
      <c r="F388" s="24">
        <v>0</v>
      </c>
      <c r="G388" s="24">
        <v>0</v>
      </c>
      <c r="H388" s="24">
        <v>81211.819999998</v>
      </c>
      <c r="I388" s="24">
        <v>0</v>
      </c>
      <c r="J388" s="24">
        <v>0</v>
      </c>
      <c r="K388" s="25" t="str">
        <v/>
      </c>
    </row>
    <row r="389" s="5" customFormat="1" ht="16.5" spans="1:11">
      <c r="A389" s="22" t="str">
        <v/>
      </c>
      <c r="B389" s="23">
        <v>0</v>
      </c>
      <c r="C389" s="24" t="str">
        <v>趣点购浦发</v>
      </c>
      <c r="D389" s="24">
        <v>0</v>
      </c>
      <c r="E389" s="24">
        <v>0</v>
      </c>
      <c r="F389" s="24">
        <v>0</v>
      </c>
      <c r="G389" s="24">
        <v>0</v>
      </c>
      <c r="H389" s="24">
        <v>81211.819999998</v>
      </c>
      <c r="I389" s="24">
        <v>0</v>
      </c>
      <c r="J389" s="24">
        <v>0</v>
      </c>
      <c r="K389" s="25" t="str">
        <v/>
      </c>
    </row>
    <row r="390" s="5" customFormat="1" ht="16.5" spans="1:11">
      <c r="A390" s="22" t="str">
        <v/>
      </c>
      <c r="B390" s="23">
        <v>0</v>
      </c>
      <c r="C390" s="24" t="str">
        <v>趣点购浦发</v>
      </c>
      <c r="D390" s="24">
        <v>0</v>
      </c>
      <c r="E390" s="24">
        <v>0</v>
      </c>
      <c r="F390" s="24">
        <v>0</v>
      </c>
      <c r="G390" s="24">
        <v>0</v>
      </c>
      <c r="H390" s="24">
        <v>81211.819999998</v>
      </c>
      <c r="I390" s="24">
        <v>0</v>
      </c>
      <c r="J390" s="24">
        <v>0</v>
      </c>
      <c r="K390" s="25" t="str">
        <v/>
      </c>
    </row>
    <row r="391" s="5" customFormat="1" ht="16.5" spans="1:11">
      <c r="A391" s="22" t="str">
        <v/>
      </c>
      <c r="B391" s="23">
        <v>0</v>
      </c>
      <c r="C391" s="24" t="str">
        <v>趣点购浦发</v>
      </c>
      <c r="D391" s="24">
        <v>0</v>
      </c>
      <c r="E391" s="24">
        <v>0</v>
      </c>
      <c r="F391" s="24">
        <v>0</v>
      </c>
      <c r="G391" s="24">
        <v>0</v>
      </c>
      <c r="H391" s="24">
        <v>81211.819999998</v>
      </c>
      <c r="I391" s="24">
        <v>0</v>
      </c>
      <c r="J391" s="24">
        <v>0</v>
      </c>
      <c r="K391" s="25" t="str">
        <v/>
      </c>
    </row>
    <row r="392" s="5" customFormat="1" ht="16.5" spans="1:11">
      <c r="A392" s="22" t="str">
        <v/>
      </c>
      <c r="B392" s="23">
        <v>0</v>
      </c>
      <c r="C392" s="24" t="str">
        <v>趣点购浦发</v>
      </c>
      <c r="D392" s="24">
        <v>0</v>
      </c>
      <c r="E392" s="24">
        <v>0</v>
      </c>
      <c r="F392" s="24">
        <v>0</v>
      </c>
      <c r="G392" s="24">
        <v>0</v>
      </c>
      <c r="H392" s="24">
        <v>81211.819999998</v>
      </c>
      <c r="I392" s="24">
        <v>0</v>
      </c>
      <c r="J392" s="24">
        <v>0</v>
      </c>
      <c r="K392" s="25" t="str">
        <v/>
      </c>
    </row>
    <row r="393" s="5" customFormat="1" ht="16.5" spans="1:11">
      <c r="A393" s="22" t="str">
        <v/>
      </c>
      <c r="B393" s="23">
        <v>0</v>
      </c>
      <c r="C393" s="24" t="str">
        <v>趣点购浦发</v>
      </c>
      <c r="D393" s="24">
        <v>0</v>
      </c>
      <c r="E393" s="24">
        <v>0</v>
      </c>
      <c r="F393" s="24">
        <v>0</v>
      </c>
      <c r="G393" s="24">
        <v>0</v>
      </c>
      <c r="H393" s="24">
        <v>81211.819999998</v>
      </c>
      <c r="I393" s="24">
        <v>0</v>
      </c>
      <c r="J393" s="24">
        <v>0</v>
      </c>
      <c r="K393" s="25" t="str">
        <v/>
      </c>
    </row>
    <row r="394" s="5" customFormat="1" ht="16.5" spans="1:11">
      <c r="A394" s="22" t="str">
        <v/>
      </c>
      <c r="B394" s="23">
        <v>0</v>
      </c>
      <c r="C394" s="24" t="str">
        <v>趣点购浦发</v>
      </c>
      <c r="D394" s="24">
        <v>0</v>
      </c>
      <c r="E394" s="24">
        <v>0</v>
      </c>
      <c r="F394" s="24">
        <v>0</v>
      </c>
      <c r="G394" s="24">
        <v>0</v>
      </c>
      <c r="H394" s="24">
        <v>81211.819999998</v>
      </c>
      <c r="I394" s="24">
        <v>0</v>
      </c>
      <c r="J394" s="24">
        <v>0</v>
      </c>
      <c r="K394" s="25" t="str">
        <v/>
      </c>
    </row>
    <row r="395" s="5" customFormat="1" ht="16.5" spans="1:11">
      <c r="A395" s="22" t="str">
        <v/>
      </c>
      <c r="B395" s="23">
        <v>0</v>
      </c>
      <c r="C395" s="24" t="str">
        <v>趣点购浦发</v>
      </c>
      <c r="D395" s="24">
        <v>0</v>
      </c>
      <c r="E395" s="24">
        <v>0</v>
      </c>
      <c r="F395" s="24">
        <v>0</v>
      </c>
      <c r="G395" s="24">
        <v>0</v>
      </c>
      <c r="H395" s="24">
        <v>81211.819999998</v>
      </c>
      <c r="I395" s="24">
        <v>0</v>
      </c>
      <c r="J395" s="24">
        <v>0</v>
      </c>
      <c r="K395" s="25" t="str">
        <v/>
      </c>
    </row>
    <row r="396" s="5" customFormat="1" ht="16.5" spans="1:11">
      <c r="A396" s="22" t="str">
        <v/>
      </c>
      <c r="B396" s="23">
        <v>0</v>
      </c>
      <c r="C396" s="24" t="str">
        <v>趣点购浦发</v>
      </c>
      <c r="D396" s="24">
        <v>0</v>
      </c>
      <c r="E396" s="24">
        <v>0</v>
      </c>
      <c r="F396" s="24">
        <v>0</v>
      </c>
      <c r="G396" s="24">
        <v>0</v>
      </c>
      <c r="H396" s="24">
        <v>81211.819999998</v>
      </c>
      <c r="I396" s="24">
        <v>0</v>
      </c>
      <c r="J396" s="24">
        <v>0</v>
      </c>
      <c r="K396" s="25" t="str">
        <v/>
      </c>
    </row>
    <row r="397" s="5" customFormat="1" ht="16.5" spans="1:11">
      <c r="A397" s="22" t="str">
        <v/>
      </c>
      <c r="B397" s="23">
        <v>0</v>
      </c>
      <c r="C397" s="24" t="str">
        <v>趣点购浦发</v>
      </c>
      <c r="D397" s="24">
        <v>0</v>
      </c>
      <c r="E397" s="24">
        <v>0</v>
      </c>
      <c r="F397" s="24">
        <v>0</v>
      </c>
      <c r="G397" s="24">
        <v>0</v>
      </c>
      <c r="H397" s="24">
        <v>81211.819999998</v>
      </c>
      <c r="I397" s="24">
        <v>0</v>
      </c>
      <c r="J397" s="24">
        <v>0</v>
      </c>
      <c r="K397" s="25" t="str">
        <v/>
      </c>
    </row>
    <row r="398" s="5" customFormat="1" ht="16.5" spans="1:11">
      <c r="A398" s="22" t="str">
        <v/>
      </c>
      <c r="B398" s="23">
        <v>0</v>
      </c>
      <c r="C398" s="24" t="str">
        <v>趣点购浦发</v>
      </c>
      <c r="D398" s="24">
        <v>0</v>
      </c>
      <c r="E398" s="24">
        <v>0</v>
      </c>
      <c r="F398" s="24">
        <v>0</v>
      </c>
      <c r="G398" s="24">
        <v>0</v>
      </c>
      <c r="H398" s="24">
        <v>81211.819999998</v>
      </c>
      <c r="I398" s="24">
        <v>0</v>
      </c>
      <c r="J398" s="24">
        <v>0</v>
      </c>
      <c r="K398" s="25" t="str">
        <v/>
      </c>
    </row>
    <row r="399" s="5" customFormat="1" ht="16.5" spans="1:11">
      <c r="A399" s="22" t="str">
        <v/>
      </c>
      <c r="B399" s="23">
        <v>0</v>
      </c>
      <c r="C399" s="24" t="str">
        <v>趣点购浦发</v>
      </c>
      <c r="D399" s="24">
        <v>0</v>
      </c>
      <c r="E399" s="24">
        <v>0</v>
      </c>
      <c r="F399" s="24">
        <v>0</v>
      </c>
      <c r="G399" s="24">
        <v>0</v>
      </c>
      <c r="H399" s="24">
        <v>81211.819999998</v>
      </c>
      <c r="I399" s="24">
        <v>0</v>
      </c>
      <c r="J399" s="24">
        <v>0</v>
      </c>
      <c r="K399" s="25" t="str">
        <v/>
      </c>
    </row>
    <row r="400" s="5" customFormat="1" ht="16.5" spans="1:11">
      <c r="A400" s="22" t="str">
        <v/>
      </c>
      <c r="B400" s="23">
        <v>0</v>
      </c>
      <c r="C400" s="24" t="str">
        <v>趣点购浦发</v>
      </c>
      <c r="D400" s="24">
        <v>0</v>
      </c>
      <c r="E400" s="24">
        <v>0</v>
      </c>
      <c r="F400" s="24">
        <v>0</v>
      </c>
      <c r="G400" s="24">
        <v>0</v>
      </c>
      <c r="H400" s="24">
        <v>81211.819999998</v>
      </c>
      <c r="I400" s="24">
        <v>0</v>
      </c>
      <c r="J400" s="24">
        <v>0</v>
      </c>
      <c r="K400" s="25" t="str">
        <v/>
      </c>
    </row>
    <row r="401" s="5" customFormat="1" ht="16.5" spans="1:11">
      <c r="A401" s="22" t="str">
        <v/>
      </c>
      <c r="B401" s="23">
        <v>0</v>
      </c>
      <c r="C401" s="24" t="str">
        <v>趣点购浦发</v>
      </c>
      <c r="D401" s="24">
        <v>0</v>
      </c>
      <c r="E401" s="24">
        <v>0</v>
      </c>
      <c r="F401" s="24">
        <v>0</v>
      </c>
      <c r="G401" s="24">
        <v>0</v>
      </c>
      <c r="H401" s="24">
        <v>81211.819999998</v>
      </c>
      <c r="I401" s="24">
        <v>0</v>
      </c>
      <c r="J401" s="24">
        <v>0</v>
      </c>
      <c r="K401" s="25" t="str">
        <v/>
      </c>
    </row>
    <row r="402" s="5" customFormat="1" ht="16.5" spans="1:11">
      <c r="A402" s="22" t="str">
        <v/>
      </c>
      <c r="B402" s="23">
        <v>0</v>
      </c>
      <c r="C402" s="24" t="str">
        <v>趣点购浦发</v>
      </c>
      <c r="D402" s="24">
        <v>0</v>
      </c>
      <c r="E402" s="24">
        <v>0</v>
      </c>
      <c r="F402" s="24">
        <v>0</v>
      </c>
      <c r="G402" s="24">
        <v>0</v>
      </c>
      <c r="H402" s="24">
        <v>81211.819999998</v>
      </c>
      <c r="I402" s="24">
        <v>0</v>
      </c>
      <c r="J402" s="24">
        <v>0</v>
      </c>
      <c r="K402" s="25" t="str">
        <v/>
      </c>
    </row>
    <row r="403" s="5" customFormat="1" ht="16.5" spans="1:11">
      <c r="A403" s="22" t="str">
        <v/>
      </c>
      <c r="B403" s="23">
        <v>0</v>
      </c>
      <c r="C403" s="24" t="str">
        <v>趣点购浦发</v>
      </c>
      <c r="D403" s="24">
        <v>0</v>
      </c>
      <c r="E403" s="24">
        <v>0</v>
      </c>
      <c r="F403" s="24">
        <v>0</v>
      </c>
      <c r="G403" s="24">
        <v>0</v>
      </c>
      <c r="H403" s="24">
        <v>81211.819999998</v>
      </c>
      <c r="I403" s="24">
        <v>0</v>
      </c>
      <c r="J403" s="24">
        <v>0</v>
      </c>
      <c r="K403" s="25" t="str">
        <v/>
      </c>
    </row>
    <row r="404" s="5" customFormat="1" ht="16.5" spans="1:11">
      <c r="A404" s="22" t="str">
        <v/>
      </c>
      <c r="B404" s="23">
        <v>0</v>
      </c>
      <c r="C404" s="24" t="str">
        <v>趣点购浦发</v>
      </c>
      <c r="D404" s="24">
        <v>0</v>
      </c>
      <c r="E404" s="24">
        <v>0</v>
      </c>
      <c r="F404" s="24">
        <v>0</v>
      </c>
      <c r="G404" s="24">
        <v>0</v>
      </c>
      <c r="H404" s="24">
        <v>81211.819999998</v>
      </c>
      <c r="I404" s="24">
        <v>0</v>
      </c>
      <c r="J404" s="24">
        <v>0</v>
      </c>
      <c r="K404" s="25" t="str">
        <v/>
      </c>
    </row>
    <row r="405" s="5" customFormat="1" ht="16.5" spans="1:11">
      <c r="A405" s="22" t="str">
        <v/>
      </c>
      <c r="B405" s="23">
        <v>0</v>
      </c>
      <c r="C405" s="24" t="str">
        <v>趣点购浦发</v>
      </c>
      <c r="D405" s="24">
        <v>0</v>
      </c>
      <c r="E405" s="24">
        <v>0</v>
      </c>
      <c r="F405" s="24">
        <v>0</v>
      </c>
      <c r="G405" s="24">
        <v>0</v>
      </c>
      <c r="H405" s="24">
        <v>81211.819999998</v>
      </c>
      <c r="I405" s="24">
        <v>0</v>
      </c>
      <c r="J405" s="24">
        <v>0</v>
      </c>
      <c r="K405" s="25" t="str">
        <v/>
      </c>
    </row>
    <row r="406" s="5" customFormat="1" ht="16.5" spans="1:11">
      <c r="A406" s="22" t="str">
        <v/>
      </c>
      <c r="B406" s="23">
        <v>0</v>
      </c>
      <c r="C406" s="24" t="str">
        <v>趣点购浦发</v>
      </c>
      <c r="D406" s="24">
        <v>0</v>
      </c>
      <c r="E406" s="24">
        <v>0</v>
      </c>
      <c r="F406" s="24">
        <v>0</v>
      </c>
      <c r="G406" s="24">
        <v>0</v>
      </c>
      <c r="H406" s="24">
        <v>81211.819999998</v>
      </c>
      <c r="I406" s="24">
        <v>0</v>
      </c>
      <c r="J406" s="24">
        <v>0</v>
      </c>
      <c r="K406" s="25" t="str">
        <v/>
      </c>
    </row>
    <row r="407" s="5" customFormat="1" ht="16.5" spans="1:11">
      <c r="A407" s="22" t="str">
        <v/>
      </c>
      <c r="B407" s="23">
        <v>0</v>
      </c>
      <c r="C407" s="24" t="str">
        <v>趣点购浦发</v>
      </c>
      <c r="D407" s="24">
        <v>0</v>
      </c>
      <c r="E407" s="24">
        <v>0</v>
      </c>
      <c r="F407" s="24">
        <v>0</v>
      </c>
      <c r="G407" s="24">
        <v>0</v>
      </c>
      <c r="H407" s="24">
        <v>81211.819999998</v>
      </c>
      <c r="I407" s="24">
        <v>0</v>
      </c>
      <c r="J407" s="24">
        <v>0</v>
      </c>
      <c r="K407" s="25" t="str">
        <v/>
      </c>
    </row>
    <row r="408" s="5" customFormat="1" ht="16.5" spans="1:11">
      <c r="A408" s="22" t="str">
        <v/>
      </c>
      <c r="B408" s="23">
        <v>0</v>
      </c>
      <c r="C408" s="24" t="str">
        <v>趣点购浦发</v>
      </c>
      <c r="D408" s="24">
        <v>0</v>
      </c>
      <c r="E408" s="24">
        <v>0</v>
      </c>
      <c r="F408" s="24">
        <v>0</v>
      </c>
      <c r="G408" s="24">
        <v>0</v>
      </c>
      <c r="H408" s="24">
        <v>81211.819999998</v>
      </c>
      <c r="I408" s="24">
        <v>0</v>
      </c>
      <c r="J408" s="24">
        <v>0</v>
      </c>
      <c r="K408" s="25" t="str">
        <v/>
      </c>
    </row>
    <row r="409" s="5" customFormat="1" ht="16.5" spans="1:11">
      <c r="A409" s="22" t="str">
        <v/>
      </c>
      <c r="B409" s="23">
        <v>0</v>
      </c>
      <c r="C409" s="24" t="str">
        <v>趣点购浦发</v>
      </c>
      <c r="D409" s="24">
        <v>0</v>
      </c>
      <c r="E409" s="24">
        <v>0</v>
      </c>
      <c r="F409" s="24">
        <v>0</v>
      </c>
      <c r="G409" s="24">
        <v>0</v>
      </c>
      <c r="H409" s="24">
        <v>81211.819999998</v>
      </c>
      <c r="I409" s="24">
        <v>0</v>
      </c>
      <c r="J409" s="24">
        <v>0</v>
      </c>
      <c r="K409" s="25" t="str">
        <v/>
      </c>
    </row>
    <row r="410" s="5" customFormat="1" ht="16.5" spans="1:11">
      <c r="A410" s="22" t="str">
        <v/>
      </c>
      <c r="B410" s="23">
        <v>0</v>
      </c>
      <c r="C410" s="24" t="str">
        <v>趣点购浦发</v>
      </c>
      <c r="D410" s="24">
        <v>0</v>
      </c>
      <c r="E410" s="24">
        <v>0</v>
      </c>
      <c r="F410" s="24">
        <v>0</v>
      </c>
      <c r="G410" s="24">
        <v>0</v>
      </c>
      <c r="H410" s="24">
        <v>81211.819999998</v>
      </c>
      <c r="I410" s="24">
        <v>0</v>
      </c>
      <c r="J410" s="24">
        <v>0</v>
      </c>
      <c r="K410" s="25" t="str">
        <v/>
      </c>
    </row>
    <row r="411" s="5" customFormat="1" ht="16.5" spans="1:11">
      <c r="A411" s="22" t="str">
        <v/>
      </c>
      <c r="B411" s="23">
        <v>0</v>
      </c>
      <c r="C411" s="24" t="str">
        <v>趣点购浦发</v>
      </c>
      <c r="D411" s="24">
        <v>0</v>
      </c>
      <c r="E411" s="24">
        <v>0</v>
      </c>
      <c r="F411" s="24">
        <v>0</v>
      </c>
      <c r="G411" s="24">
        <v>0</v>
      </c>
      <c r="H411" s="24">
        <v>81211.819999998</v>
      </c>
      <c r="I411" s="24">
        <v>0</v>
      </c>
      <c r="J411" s="24">
        <v>0</v>
      </c>
      <c r="K411" s="25" t="str">
        <v/>
      </c>
    </row>
    <row r="412" s="5" customFormat="1" ht="16.5" spans="1:11">
      <c r="A412" s="22" t="str">
        <v/>
      </c>
      <c r="B412" s="23">
        <v>0</v>
      </c>
      <c r="C412" s="24" t="str">
        <v>趣点购浦发</v>
      </c>
      <c r="D412" s="24">
        <v>0</v>
      </c>
      <c r="E412" s="24">
        <v>0</v>
      </c>
      <c r="F412" s="24">
        <v>0</v>
      </c>
      <c r="G412" s="24">
        <v>0</v>
      </c>
      <c r="H412" s="24">
        <v>81211.819999998</v>
      </c>
      <c r="I412" s="24">
        <v>0</v>
      </c>
      <c r="J412" s="24">
        <v>0</v>
      </c>
      <c r="K412" s="25" t="str">
        <v/>
      </c>
    </row>
    <row r="413" s="5" customFormat="1" ht="16.5" spans="1:11">
      <c r="A413" s="22" t="str">
        <v/>
      </c>
      <c r="B413" s="23">
        <v>0</v>
      </c>
      <c r="C413" s="24" t="str">
        <v>趣点购浦发</v>
      </c>
      <c r="D413" s="24">
        <v>0</v>
      </c>
      <c r="E413" s="24">
        <v>0</v>
      </c>
      <c r="F413" s="24">
        <v>0</v>
      </c>
      <c r="G413" s="24">
        <v>0</v>
      </c>
      <c r="H413" s="24">
        <v>81211.819999998</v>
      </c>
      <c r="I413" s="24">
        <v>0</v>
      </c>
      <c r="J413" s="24">
        <v>0</v>
      </c>
      <c r="K413" s="25" t="str">
        <v/>
      </c>
    </row>
    <row r="414" s="5" customFormat="1" ht="16.5" spans="1:11">
      <c r="A414" s="22" t="str">
        <v/>
      </c>
      <c r="B414" s="23">
        <v>0</v>
      </c>
      <c r="C414" s="24" t="str">
        <v>趣点购浦发</v>
      </c>
      <c r="D414" s="24">
        <v>0</v>
      </c>
      <c r="E414" s="24">
        <v>0</v>
      </c>
      <c r="F414" s="24">
        <v>0</v>
      </c>
      <c r="G414" s="24">
        <v>0</v>
      </c>
      <c r="H414" s="24">
        <v>81211.819999998</v>
      </c>
      <c r="I414" s="24">
        <v>0</v>
      </c>
      <c r="J414" s="24">
        <v>0</v>
      </c>
      <c r="K414" s="25" t="str">
        <v/>
      </c>
    </row>
    <row r="415" s="5" customFormat="1" ht="16.5" spans="1:11">
      <c r="A415" s="22" t="str">
        <v/>
      </c>
      <c r="B415" s="23">
        <v>0</v>
      </c>
      <c r="C415" s="24" t="str">
        <v>趣点购浦发</v>
      </c>
      <c r="D415" s="24">
        <v>0</v>
      </c>
      <c r="E415" s="24">
        <v>0</v>
      </c>
      <c r="F415" s="24">
        <v>0</v>
      </c>
      <c r="G415" s="24">
        <v>0</v>
      </c>
      <c r="H415" s="24">
        <v>81211.819999998</v>
      </c>
      <c r="I415" s="24">
        <v>0</v>
      </c>
      <c r="J415" s="24">
        <v>0</v>
      </c>
      <c r="K415" s="25" t="str">
        <v/>
      </c>
    </row>
    <row r="416" s="5" customFormat="1" ht="16.5" spans="1:11">
      <c r="A416" s="22" t="str">
        <v/>
      </c>
      <c r="B416" s="23">
        <v>0</v>
      </c>
      <c r="C416" s="24" t="str">
        <v>趣点购浦发</v>
      </c>
      <c r="D416" s="24">
        <v>0</v>
      </c>
      <c r="E416" s="24">
        <v>0</v>
      </c>
      <c r="F416" s="24">
        <v>0</v>
      </c>
      <c r="G416" s="24">
        <v>0</v>
      </c>
      <c r="H416" s="24">
        <v>81211.819999998</v>
      </c>
      <c r="I416" s="24">
        <v>0</v>
      </c>
      <c r="J416" s="24">
        <v>0</v>
      </c>
      <c r="K416" s="25" t="str">
        <v/>
      </c>
    </row>
    <row r="417" s="5" customFormat="1" ht="16.5" spans="1:11">
      <c r="A417" s="22" t="str">
        <v/>
      </c>
      <c r="B417" s="23">
        <v>0</v>
      </c>
      <c r="C417" s="24" t="str">
        <v>趣点购浦发</v>
      </c>
      <c r="D417" s="24">
        <v>0</v>
      </c>
      <c r="E417" s="24">
        <v>0</v>
      </c>
      <c r="F417" s="24">
        <v>0</v>
      </c>
      <c r="G417" s="24">
        <v>0</v>
      </c>
      <c r="H417" s="24">
        <v>81211.819999998</v>
      </c>
      <c r="I417" s="24">
        <v>0</v>
      </c>
      <c r="J417" s="24">
        <v>0</v>
      </c>
      <c r="K417" s="25" t="str">
        <v/>
      </c>
    </row>
    <row r="418" s="5" customFormat="1" ht="16.5" spans="1:11">
      <c r="A418" s="22" t="str">
        <v/>
      </c>
      <c r="B418" s="23">
        <v>0</v>
      </c>
      <c r="C418" s="24" t="str">
        <v>趣点购浦发</v>
      </c>
      <c r="D418" s="24">
        <v>0</v>
      </c>
      <c r="E418" s="24">
        <v>0</v>
      </c>
      <c r="F418" s="24">
        <v>0</v>
      </c>
      <c r="G418" s="24">
        <v>0</v>
      </c>
      <c r="H418" s="24">
        <v>81211.819999998</v>
      </c>
      <c r="I418" s="24">
        <v>0</v>
      </c>
      <c r="J418" s="24">
        <v>0</v>
      </c>
      <c r="K418" s="25" t="str">
        <v/>
      </c>
    </row>
    <row r="419" s="5" customFormat="1" ht="16.5" spans="1:11">
      <c r="A419" s="22" t="str">
        <v/>
      </c>
      <c r="B419" s="23">
        <v>0</v>
      </c>
      <c r="C419" s="24" t="str">
        <v>趣点购浦发</v>
      </c>
      <c r="D419" s="24">
        <v>0</v>
      </c>
      <c r="E419" s="24">
        <v>0</v>
      </c>
      <c r="F419" s="24">
        <v>0</v>
      </c>
      <c r="G419" s="24">
        <v>0</v>
      </c>
      <c r="H419" s="24">
        <v>81211.819999998</v>
      </c>
      <c r="I419" s="24">
        <v>0</v>
      </c>
      <c r="J419" s="24">
        <v>0</v>
      </c>
      <c r="K419" s="25" t="str">
        <v/>
      </c>
    </row>
    <row r="420" s="5" customFormat="1" ht="16.5" spans="1:11">
      <c r="A420" s="22" t="str">
        <v/>
      </c>
      <c r="B420" s="23">
        <v>0</v>
      </c>
      <c r="C420" s="24" t="str">
        <v>趣点购浦发</v>
      </c>
      <c r="D420" s="24">
        <v>0</v>
      </c>
      <c r="E420" s="24">
        <v>0</v>
      </c>
      <c r="F420" s="24">
        <v>0</v>
      </c>
      <c r="G420" s="24">
        <v>0</v>
      </c>
      <c r="H420" s="24">
        <v>81211.819999998</v>
      </c>
      <c r="I420" s="24">
        <v>0</v>
      </c>
      <c r="J420" s="24">
        <v>0</v>
      </c>
      <c r="K420" s="25" t="str">
        <v/>
      </c>
    </row>
    <row r="421" s="5" customFormat="1" ht="16.5" spans="1:11">
      <c r="A421" s="22" t="str">
        <v/>
      </c>
      <c r="B421" s="23">
        <v>0</v>
      </c>
      <c r="C421" s="24" t="str">
        <v>趣点购浦发</v>
      </c>
      <c r="D421" s="24">
        <v>0</v>
      </c>
      <c r="E421" s="24">
        <v>0</v>
      </c>
      <c r="F421" s="24">
        <v>0</v>
      </c>
      <c r="G421" s="24">
        <v>0</v>
      </c>
      <c r="H421" s="24">
        <v>81211.819999998</v>
      </c>
      <c r="I421" s="24">
        <v>0</v>
      </c>
      <c r="J421" s="24">
        <v>0</v>
      </c>
      <c r="K421" s="25" t="str">
        <v/>
      </c>
    </row>
    <row r="422" s="5" customFormat="1" ht="16.5" spans="1:11">
      <c r="A422" s="22" t="str">
        <v/>
      </c>
      <c r="B422" s="23">
        <v>0</v>
      </c>
      <c r="C422" s="24" t="str">
        <v>趣点购浦发</v>
      </c>
      <c r="D422" s="24">
        <v>0</v>
      </c>
      <c r="E422" s="24">
        <v>0</v>
      </c>
      <c r="F422" s="24">
        <v>0</v>
      </c>
      <c r="G422" s="24">
        <v>0</v>
      </c>
      <c r="H422" s="24">
        <v>81211.819999998</v>
      </c>
      <c r="I422" s="24">
        <v>0</v>
      </c>
      <c r="J422" s="24">
        <v>0</v>
      </c>
      <c r="K422" s="25" t="str">
        <v/>
      </c>
    </row>
    <row r="423" s="5" customFormat="1" ht="16.5" spans="1:11">
      <c r="A423" s="22" t="str">
        <v/>
      </c>
      <c r="B423" s="23">
        <v>0</v>
      </c>
      <c r="C423" s="24" t="str">
        <v>趣点购浦发</v>
      </c>
      <c r="D423" s="24">
        <v>0</v>
      </c>
      <c r="E423" s="24">
        <v>0</v>
      </c>
      <c r="F423" s="24">
        <v>0</v>
      </c>
      <c r="G423" s="24">
        <v>0</v>
      </c>
      <c r="H423" s="24">
        <v>81211.819999998</v>
      </c>
      <c r="I423" s="24">
        <v>0</v>
      </c>
      <c r="J423" s="24">
        <v>0</v>
      </c>
      <c r="K423" s="25" t="str">
        <v/>
      </c>
    </row>
    <row r="424" s="5" customFormat="1" ht="16.5" spans="1:11">
      <c r="A424" s="22" t="str">
        <v/>
      </c>
      <c r="B424" s="23">
        <v>0</v>
      </c>
      <c r="C424" s="24" t="str">
        <v>趣点购浦发</v>
      </c>
      <c r="D424" s="24">
        <v>0</v>
      </c>
      <c r="E424" s="24">
        <v>0</v>
      </c>
      <c r="F424" s="24">
        <v>0</v>
      </c>
      <c r="G424" s="24">
        <v>0</v>
      </c>
      <c r="H424" s="24">
        <v>81211.819999998</v>
      </c>
      <c r="I424" s="24">
        <v>0</v>
      </c>
      <c r="J424" s="24">
        <v>0</v>
      </c>
      <c r="K424" s="25" t="str">
        <v/>
      </c>
    </row>
    <row r="425" s="5" customFormat="1" ht="16.5" spans="1:11">
      <c r="A425" s="22" t="str">
        <v/>
      </c>
      <c r="B425" s="23">
        <v>0</v>
      </c>
      <c r="C425" s="24" t="str">
        <v>趣点购浦发</v>
      </c>
      <c r="D425" s="24">
        <v>0</v>
      </c>
      <c r="E425" s="24">
        <v>0</v>
      </c>
      <c r="F425" s="24">
        <v>0</v>
      </c>
      <c r="G425" s="24">
        <v>0</v>
      </c>
      <c r="H425" s="24">
        <v>81211.819999998</v>
      </c>
      <c r="I425" s="24">
        <v>0</v>
      </c>
      <c r="J425" s="24">
        <v>0</v>
      </c>
      <c r="K425" s="25" t="str">
        <v/>
      </c>
    </row>
    <row r="426" s="5" customFormat="1" ht="16.5" spans="1:11">
      <c r="A426" s="22" t="str">
        <v/>
      </c>
      <c r="B426" s="23">
        <v>0</v>
      </c>
      <c r="C426" s="24" t="str">
        <v>趣点购浦发</v>
      </c>
      <c r="D426" s="24">
        <v>0</v>
      </c>
      <c r="E426" s="24">
        <v>0</v>
      </c>
      <c r="F426" s="24">
        <v>0</v>
      </c>
      <c r="G426" s="24">
        <v>0</v>
      </c>
      <c r="H426" s="24">
        <v>81211.819999998</v>
      </c>
      <c r="I426" s="24">
        <v>0</v>
      </c>
      <c r="J426" s="24">
        <v>0</v>
      </c>
      <c r="K426" s="25" t="str">
        <v/>
      </c>
    </row>
    <row r="427" s="5" customFormat="1" ht="16.5" spans="1:11">
      <c r="A427" s="22" t="str">
        <v/>
      </c>
      <c r="B427" s="23">
        <v>0</v>
      </c>
      <c r="C427" s="24" t="str">
        <v>趣点购浦发</v>
      </c>
      <c r="D427" s="24">
        <v>0</v>
      </c>
      <c r="E427" s="24">
        <v>0</v>
      </c>
      <c r="F427" s="24">
        <v>0</v>
      </c>
      <c r="G427" s="24">
        <v>0</v>
      </c>
      <c r="H427" s="24">
        <v>81211.819999998</v>
      </c>
      <c r="I427" s="24">
        <v>0</v>
      </c>
      <c r="J427" s="24">
        <v>0</v>
      </c>
      <c r="K427" s="25" t="str">
        <v/>
      </c>
    </row>
    <row r="428" s="5" customFormat="1" ht="16.5" spans="1:11">
      <c r="A428" s="22" t="str">
        <v/>
      </c>
      <c r="B428" s="23">
        <v>0</v>
      </c>
      <c r="C428" s="24" t="str">
        <v>趣点购浦发</v>
      </c>
      <c r="D428" s="24">
        <v>0</v>
      </c>
      <c r="E428" s="24">
        <v>0</v>
      </c>
      <c r="F428" s="24">
        <v>0</v>
      </c>
      <c r="G428" s="24">
        <v>0</v>
      </c>
      <c r="H428" s="24">
        <v>81211.819999998</v>
      </c>
      <c r="I428" s="24">
        <v>0</v>
      </c>
      <c r="J428" s="24">
        <v>0</v>
      </c>
      <c r="K428" s="25" t="str">
        <v/>
      </c>
    </row>
    <row r="429" s="5" customFormat="1" ht="16.5" spans="1:11">
      <c r="A429" s="22" t="str">
        <v/>
      </c>
      <c r="B429" s="23">
        <v>0</v>
      </c>
      <c r="C429" s="24" t="str">
        <v>趣点购浦发</v>
      </c>
      <c r="D429" s="24">
        <v>0</v>
      </c>
      <c r="E429" s="24">
        <v>0</v>
      </c>
      <c r="F429" s="24">
        <v>0</v>
      </c>
      <c r="G429" s="24">
        <v>0</v>
      </c>
      <c r="H429" s="24">
        <v>81211.819999998</v>
      </c>
      <c r="I429" s="24">
        <v>0</v>
      </c>
      <c r="J429" s="24">
        <v>0</v>
      </c>
      <c r="K429" s="25" t="str">
        <v/>
      </c>
    </row>
    <row r="430" s="5" customFormat="1" ht="16.5" spans="1:11">
      <c r="A430" s="22" t="str">
        <v/>
      </c>
      <c r="B430" s="23">
        <v>0</v>
      </c>
      <c r="C430" s="24" t="str">
        <v>趣点购浦发</v>
      </c>
      <c r="D430" s="24">
        <v>0</v>
      </c>
      <c r="E430" s="24">
        <v>0</v>
      </c>
      <c r="F430" s="24">
        <v>0</v>
      </c>
      <c r="G430" s="24">
        <v>0</v>
      </c>
      <c r="H430" s="24">
        <v>81211.819999998</v>
      </c>
      <c r="I430" s="24">
        <v>0</v>
      </c>
      <c r="J430" s="24">
        <v>0</v>
      </c>
      <c r="K430" s="25" t="str">
        <v/>
      </c>
    </row>
    <row r="431" s="5" customFormat="1" ht="16.5" spans="1:11">
      <c r="A431" s="22" t="str">
        <v/>
      </c>
      <c r="B431" s="23">
        <v>0</v>
      </c>
      <c r="C431" s="24" t="str">
        <v>趣点购浦发</v>
      </c>
      <c r="D431" s="24">
        <v>0</v>
      </c>
      <c r="E431" s="24">
        <v>0</v>
      </c>
      <c r="F431" s="24">
        <v>0</v>
      </c>
      <c r="G431" s="24">
        <v>0</v>
      </c>
      <c r="H431" s="24">
        <v>81211.819999998</v>
      </c>
      <c r="I431" s="24">
        <v>0</v>
      </c>
      <c r="J431" s="24">
        <v>0</v>
      </c>
      <c r="K431" s="25" t="str">
        <v/>
      </c>
    </row>
    <row r="432" s="5" customFormat="1" ht="16.5" spans="1:11">
      <c r="A432" s="22" t="str">
        <v/>
      </c>
      <c r="B432" s="23">
        <v>0</v>
      </c>
      <c r="C432" s="24" t="str">
        <v>趣点购浦发</v>
      </c>
      <c r="D432" s="24">
        <v>0</v>
      </c>
      <c r="E432" s="24">
        <v>0</v>
      </c>
      <c r="F432" s="24">
        <v>0</v>
      </c>
      <c r="G432" s="24">
        <v>0</v>
      </c>
      <c r="H432" s="24">
        <v>81211.819999998</v>
      </c>
      <c r="I432" s="24">
        <v>0</v>
      </c>
      <c r="J432" s="24">
        <v>0</v>
      </c>
      <c r="K432" s="25" t="str">
        <v/>
      </c>
    </row>
    <row r="433" s="5" customFormat="1" ht="16.5" spans="1:11">
      <c r="A433" s="22" t="str">
        <v/>
      </c>
      <c r="B433" s="23">
        <v>0</v>
      </c>
      <c r="C433" s="24" t="str">
        <v>趣点购浦发</v>
      </c>
      <c r="D433" s="24">
        <v>0</v>
      </c>
      <c r="E433" s="24">
        <v>0</v>
      </c>
      <c r="F433" s="24">
        <v>0</v>
      </c>
      <c r="G433" s="24">
        <v>0</v>
      </c>
      <c r="H433" s="24">
        <v>81211.819999998</v>
      </c>
      <c r="I433" s="24">
        <v>0</v>
      </c>
      <c r="J433" s="24">
        <v>0</v>
      </c>
      <c r="K433" s="25" t="str">
        <v/>
      </c>
    </row>
    <row r="434" s="5" customFormat="1" ht="16.5" spans="1:11">
      <c r="A434" s="22" t="str">
        <v/>
      </c>
      <c r="B434" s="23">
        <v>0</v>
      </c>
      <c r="C434" s="24" t="str">
        <v>趣点购浦发</v>
      </c>
      <c r="D434" s="24">
        <v>0</v>
      </c>
      <c r="E434" s="24">
        <v>0</v>
      </c>
      <c r="F434" s="24">
        <v>0</v>
      </c>
      <c r="G434" s="24">
        <v>0</v>
      </c>
      <c r="H434" s="24">
        <v>81211.819999998</v>
      </c>
      <c r="I434" s="24">
        <v>0</v>
      </c>
      <c r="J434" s="24">
        <v>0</v>
      </c>
      <c r="K434" s="25" t="str">
        <v/>
      </c>
    </row>
    <row r="435" s="5" customFormat="1" ht="16.5" spans="1:11">
      <c r="A435" s="22" t="str">
        <v/>
      </c>
      <c r="B435" s="23">
        <v>0</v>
      </c>
      <c r="C435" s="24" t="str">
        <v>趣点购浦发</v>
      </c>
      <c r="D435" s="24">
        <v>0</v>
      </c>
      <c r="E435" s="24">
        <v>0</v>
      </c>
      <c r="F435" s="24">
        <v>0</v>
      </c>
      <c r="G435" s="24">
        <v>0</v>
      </c>
      <c r="H435" s="24">
        <v>81211.819999998</v>
      </c>
      <c r="I435" s="24">
        <v>0</v>
      </c>
      <c r="J435" s="24">
        <v>0</v>
      </c>
      <c r="K435" s="25" t="str">
        <v/>
      </c>
    </row>
    <row r="436" s="5" customFormat="1" ht="16.5" spans="1:11">
      <c r="A436" s="22" t="str">
        <v/>
      </c>
      <c r="B436" s="23">
        <v>0</v>
      </c>
      <c r="C436" s="24" t="str">
        <v>趣点购浦发</v>
      </c>
      <c r="D436" s="24">
        <v>0</v>
      </c>
      <c r="E436" s="24">
        <v>0</v>
      </c>
      <c r="F436" s="24">
        <v>0</v>
      </c>
      <c r="G436" s="24">
        <v>0</v>
      </c>
      <c r="H436" s="24">
        <v>81211.819999998</v>
      </c>
      <c r="I436" s="24">
        <v>0</v>
      </c>
      <c r="J436" s="24">
        <v>0</v>
      </c>
      <c r="K436" s="25" t="str">
        <v/>
      </c>
    </row>
    <row r="437" s="5" customFormat="1" ht="16.5" spans="1:11">
      <c r="A437" s="22" t="str">
        <v/>
      </c>
      <c r="B437" s="23">
        <v>0</v>
      </c>
      <c r="C437" s="24" t="str">
        <v>趣点购浦发</v>
      </c>
      <c r="D437" s="24">
        <v>0</v>
      </c>
      <c r="E437" s="24">
        <v>0</v>
      </c>
      <c r="F437" s="24">
        <v>0</v>
      </c>
      <c r="G437" s="24">
        <v>0</v>
      </c>
      <c r="H437" s="24">
        <v>81211.819999998</v>
      </c>
      <c r="I437" s="24">
        <v>0</v>
      </c>
      <c r="J437" s="24">
        <v>0</v>
      </c>
      <c r="K437" s="25" t="str">
        <v/>
      </c>
    </row>
    <row r="438" s="5" customFormat="1" ht="16.5" spans="1:11">
      <c r="A438" s="22" t="str">
        <v/>
      </c>
      <c r="B438" s="23">
        <v>0</v>
      </c>
      <c r="C438" s="24" t="str">
        <v>趣点购浦发</v>
      </c>
      <c r="D438" s="24">
        <v>0</v>
      </c>
      <c r="E438" s="24">
        <v>0</v>
      </c>
      <c r="F438" s="24">
        <v>0</v>
      </c>
      <c r="G438" s="24">
        <v>0</v>
      </c>
      <c r="H438" s="24">
        <v>81211.819999998</v>
      </c>
      <c r="I438" s="24">
        <v>0</v>
      </c>
      <c r="J438" s="24">
        <v>0</v>
      </c>
      <c r="K438" s="25" t="str">
        <v/>
      </c>
    </row>
    <row r="439" s="5" customFormat="1" ht="16.5" spans="1:11">
      <c r="A439" s="22" t="str">
        <v/>
      </c>
      <c r="B439" s="23">
        <v>0</v>
      </c>
      <c r="C439" s="24" t="str">
        <v>趣点购浦发</v>
      </c>
      <c r="D439" s="24">
        <v>0</v>
      </c>
      <c r="E439" s="24">
        <v>0</v>
      </c>
      <c r="F439" s="24">
        <v>0</v>
      </c>
      <c r="G439" s="24">
        <v>0</v>
      </c>
      <c r="H439" s="24">
        <v>81211.819999998</v>
      </c>
      <c r="I439" s="24">
        <v>0</v>
      </c>
      <c r="J439" s="24">
        <v>0</v>
      </c>
      <c r="K439" s="25" t="str">
        <v/>
      </c>
    </row>
    <row r="440" s="5" customFormat="1" ht="16.5" spans="1:11">
      <c r="A440" s="22" t="str">
        <v/>
      </c>
      <c r="B440" s="23">
        <v>0</v>
      </c>
      <c r="C440" s="24" t="str">
        <v>趣点购浦发</v>
      </c>
      <c r="D440" s="24">
        <v>0</v>
      </c>
      <c r="E440" s="24">
        <v>0</v>
      </c>
      <c r="F440" s="24">
        <v>0</v>
      </c>
      <c r="G440" s="24">
        <v>0</v>
      </c>
      <c r="H440" s="24">
        <v>81211.819999998</v>
      </c>
      <c r="I440" s="24">
        <v>0</v>
      </c>
      <c r="J440" s="24">
        <v>0</v>
      </c>
      <c r="K440" s="25" t="str">
        <v/>
      </c>
    </row>
    <row r="441" s="5" customFormat="1" ht="16.5" spans="1:11">
      <c r="A441" s="22" t="str">
        <v/>
      </c>
      <c r="B441" s="23">
        <v>0</v>
      </c>
      <c r="C441" s="24" t="str">
        <v>趣点购浦发</v>
      </c>
      <c r="D441" s="24">
        <v>0</v>
      </c>
      <c r="E441" s="24">
        <v>0</v>
      </c>
      <c r="F441" s="24">
        <v>0</v>
      </c>
      <c r="G441" s="24">
        <v>0</v>
      </c>
      <c r="H441" s="24">
        <v>81211.819999998</v>
      </c>
      <c r="I441" s="24">
        <v>0</v>
      </c>
      <c r="J441" s="24">
        <v>0</v>
      </c>
      <c r="K441" s="25" t="str">
        <v/>
      </c>
    </row>
    <row r="442" s="5" customFormat="1" ht="16.5" spans="1:11">
      <c r="A442" s="22" t="str">
        <v/>
      </c>
      <c r="B442" s="23">
        <v>0</v>
      </c>
      <c r="C442" s="24" t="str">
        <v>趣点购浦发</v>
      </c>
      <c r="D442" s="24">
        <v>0</v>
      </c>
      <c r="E442" s="24">
        <v>0</v>
      </c>
      <c r="F442" s="24">
        <v>0</v>
      </c>
      <c r="G442" s="24">
        <v>0</v>
      </c>
      <c r="H442" s="24">
        <v>81211.819999998</v>
      </c>
      <c r="I442" s="24">
        <v>0</v>
      </c>
      <c r="J442" s="24">
        <v>0</v>
      </c>
      <c r="K442" s="25" t="str">
        <v/>
      </c>
    </row>
    <row r="443" s="5" customFormat="1" ht="16.5" spans="1:11">
      <c r="A443" s="22" t="str">
        <v/>
      </c>
      <c r="B443" s="23">
        <v>0</v>
      </c>
      <c r="C443" s="24" t="str">
        <v>趣点购浦发</v>
      </c>
      <c r="D443" s="24">
        <v>0</v>
      </c>
      <c r="E443" s="24">
        <v>0</v>
      </c>
      <c r="F443" s="24">
        <v>0</v>
      </c>
      <c r="G443" s="24">
        <v>0</v>
      </c>
      <c r="H443" s="24">
        <v>81211.819999998</v>
      </c>
      <c r="I443" s="24">
        <v>0</v>
      </c>
      <c r="J443" s="24">
        <v>0</v>
      </c>
      <c r="K443" s="25" t="str">
        <v/>
      </c>
    </row>
    <row r="444" s="5" customFormat="1" ht="16.5" spans="1:11">
      <c r="A444" s="22" t="str">
        <v/>
      </c>
      <c r="B444" s="23">
        <v>0</v>
      </c>
      <c r="C444" s="24" t="str">
        <v>趣点购浦发</v>
      </c>
      <c r="D444" s="24">
        <v>0</v>
      </c>
      <c r="E444" s="24">
        <v>0</v>
      </c>
      <c r="F444" s="24">
        <v>0</v>
      </c>
      <c r="G444" s="24">
        <v>0</v>
      </c>
      <c r="H444" s="24">
        <v>81211.819999998</v>
      </c>
      <c r="I444" s="24">
        <v>0</v>
      </c>
      <c r="J444" s="24">
        <v>0</v>
      </c>
      <c r="K444" s="25" t="str">
        <v/>
      </c>
    </row>
    <row r="445" s="5" customFormat="1" ht="16.5" spans="1:11">
      <c r="A445" s="22" t="str">
        <v/>
      </c>
      <c r="B445" s="23">
        <v>0</v>
      </c>
      <c r="C445" s="24" t="str">
        <v>趣点购浦发</v>
      </c>
      <c r="D445" s="24">
        <v>0</v>
      </c>
      <c r="E445" s="24">
        <v>0</v>
      </c>
      <c r="F445" s="24">
        <v>0</v>
      </c>
      <c r="G445" s="24">
        <v>0</v>
      </c>
      <c r="H445" s="24">
        <v>81211.819999998</v>
      </c>
      <c r="I445" s="24">
        <v>0</v>
      </c>
      <c r="J445" s="24">
        <v>0</v>
      </c>
      <c r="K445" s="25" t="str">
        <v/>
      </c>
    </row>
    <row r="446" s="5" customFormat="1" ht="16.5" spans="1:11">
      <c r="A446" s="22" t="str">
        <v/>
      </c>
      <c r="B446" s="23">
        <v>0</v>
      </c>
      <c r="C446" s="24" t="str">
        <v>趣点购浦发</v>
      </c>
      <c r="D446" s="24">
        <v>0</v>
      </c>
      <c r="E446" s="24">
        <v>0</v>
      </c>
      <c r="F446" s="24">
        <v>0</v>
      </c>
      <c r="G446" s="24">
        <v>0</v>
      </c>
      <c r="H446" s="24">
        <v>81211.819999998</v>
      </c>
      <c r="I446" s="24">
        <v>0</v>
      </c>
      <c r="J446" s="24">
        <v>0</v>
      </c>
      <c r="K446" s="25" t="str">
        <v/>
      </c>
    </row>
    <row r="447" s="5" customFormat="1" ht="16.5" spans="1:11">
      <c r="A447" s="22" t="str">
        <v/>
      </c>
      <c r="B447" s="23">
        <v>0</v>
      </c>
      <c r="C447" s="24" t="str">
        <v>趣点购浦发</v>
      </c>
      <c r="D447" s="24">
        <v>0</v>
      </c>
      <c r="E447" s="24">
        <v>0</v>
      </c>
      <c r="F447" s="24">
        <v>0</v>
      </c>
      <c r="G447" s="24">
        <v>0</v>
      </c>
      <c r="H447" s="24">
        <v>81211.819999998</v>
      </c>
      <c r="I447" s="24">
        <v>0</v>
      </c>
      <c r="J447" s="24">
        <v>0</v>
      </c>
      <c r="K447" s="25" t="str">
        <v/>
      </c>
    </row>
    <row r="448" s="5" customFormat="1" ht="16.5" spans="1:11">
      <c r="A448" s="22" t="str">
        <v/>
      </c>
      <c r="B448" s="23">
        <v>0</v>
      </c>
      <c r="C448" s="24" t="str">
        <v>趣点购浦发</v>
      </c>
      <c r="D448" s="24">
        <v>0</v>
      </c>
      <c r="E448" s="24">
        <v>0</v>
      </c>
      <c r="F448" s="24">
        <v>0</v>
      </c>
      <c r="G448" s="24">
        <v>0</v>
      </c>
      <c r="H448" s="24">
        <v>81211.819999998</v>
      </c>
      <c r="I448" s="24">
        <v>0</v>
      </c>
      <c r="J448" s="24">
        <v>0</v>
      </c>
      <c r="K448" s="25" t="str">
        <v/>
      </c>
    </row>
    <row r="449" s="5" customFormat="1" ht="16.5" spans="1:11">
      <c r="A449" s="22" t="str">
        <v/>
      </c>
      <c r="B449" s="23">
        <v>0</v>
      </c>
      <c r="C449" s="24" t="str">
        <v>趣点购浦发</v>
      </c>
      <c r="D449" s="24">
        <v>0</v>
      </c>
      <c r="E449" s="24">
        <v>0</v>
      </c>
      <c r="F449" s="24">
        <v>0</v>
      </c>
      <c r="G449" s="24">
        <v>0</v>
      </c>
      <c r="H449" s="24">
        <v>81211.819999998</v>
      </c>
      <c r="I449" s="24">
        <v>0</v>
      </c>
      <c r="J449" s="24">
        <v>0</v>
      </c>
      <c r="K449" s="25" t="str">
        <v/>
      </c>
    </row>
    <row r="450" s="5" customFormat="1" ht="16.5" spans="1:11">
      <c r="A450" s="22" t="str">
        <v/>
      </c>
      <c r="B450" s="23">
        <v>0</v>
      </c>
      <c r="C450" s="24" t="str">
        <v>趣点购浦发</v>
      </c>
      <c r="D450" s="24">
        <v>0</v>
      </c>
      <c r="E450" s="24">
        <v>0</v>
      </c>
      <c r="F450" s="24">
        <v>0</v>
      </c>
      <c r="G450" s="24">
        <v>0</v>
      </c>
      <c r="H450" s="24">
        <v>81211.819999998</v>
      </c>
      <c r="I450" s="24">
        <v>0</v>
      </c>
      <c r="J450" s="24">
        <v>0</v>
      </c>
      <c r="K450" s="25" t="str">
        <v/>
      </c>
    </row>
    <row r="451" s="5" customFormat="1" ht="16.5" spans="1:11">
      <c r="A451" s="22" t="str">
        <v/>
      </c>
      <c r="B451" s="23">
        <v>0</v>
      </c>
      <c r="C451" s="24" t="str">
        <v>趣点购浦发</v>
      </c>
      <c r="D451" s="24">
        <v>0</v>
      </c>
      <c r="E451" s="24">
        <v>0</v>
      </c>
      <c r="F451" s="24">
        <v>0</v>
      </c>
      <c r="G451" s="24">
        <v>0</v>
      </c>
      <c r="H451" s="24">
        <v>81211.819999998</v>
      </c>
      <c r="I451" s="24">
        <v>0</v>
      </c>
      <c r="J451" s="24">
        <v>0</v>
      </c>
      <c r="K451" s="25" t="str">
        <v/>
      </c>
    </row>
    <row r="452" s="5" customFormat="1" ht="16.5" spans="1:11">
      <c r="A452" s="22" t="str">
        <v/>
      </c>
      <c r="B452" s="23">
        <v>0</v>
      </c>
      <c r="C452" s="24" t="str">
        <v>趣点购浦发</v>
      </c>
      <c r="D452" s="24">
        <v>0</v>
      </c>
      <c r="E452" s="24">
        <v>0</v>
      </c>
      <c r="F452" s="24">
        <v>0</v>
      </c>
      <c r="G452" s="24">
        <v>0</v>
      </c>
      <c r="H452" s="24">
        <v>81211.819999998</v>
      </c>
      <c r="I452" s="24">
        <v>0</v>
      </c>
      <c r="J452" s="24">
        <v>0</v>
      </c>
      <c r="K452" s="25" t="str">
        <v/>
      </c>
    </row>
    <row r="453" s="5" customFormat="1" ht="16.5" spans="1:11">
      <c r="A453" s="22" t="str">
        <v/>
      </c>
      <c r="B453" s="23">
        <v>0</v>
      </c>
      <c r="C453" s="24" t="str">
        <v>趣点购浦发</v>
      </c>
      <c r="D453" s="24">
        <v>0</v>
      </c>
      <c r="E453" s="24">
        <v>0</v>
      </c>
      <c r="F453" s="24">
        <v>0</v>
      </c>
      <c r="G453" s="24">
        <v>0</v>
      </c>
      <c r="H453" s="24">
        <v>81211.819999998</v>
      </c>
      <c r="I453" s="24">
        <v>0</v>
      </c>
      <c r="J453" s="24">
        <v>0</v>
      </c>
      <c r="K453" s="25" t="str">
        <v/>
      </c>
    </row>
    <row r="454" s="5" customFormat="1" ht="16.5" spans="1:11">
      <c r="A454" s="22" t="str">
        <v/>
      </c>
      <c r="B454" s="23">
        <v>0</v>
      </c>
      <c r="C454" s="24" t="str">
        <v>趣点购浦发</v>
      </c>
      <c r="D454" s="24">
        <v>0</v>
      </c>
      <c r="E454" s="24">
        <v>0</v>
      </c>
      <c r="F454" s="24">
        <v>0</v>
      </c>
      <c r="G454" s="24">
        <v>0</v>
      </c>
      <c r="H454" s="24">
        <v>81211.819999998</v>
      </c>
      <c r="I454" s="24">
        <v>0</v>
      </c>
      <c r="J454" s="24">
        <v>0</v>
      </c>
      <c r="K454" s="25" t="str">
        <v/>
      </c>
    </row>
    <row r="455" s="5" customFormat="1" ht="16.5" spans="1:11">
      <c r="A455" s="22" t="str">
        <v/>
      </c>
      <c r="B455" s="23">
        <v>0</v>
      </c>
      <c r="C455" s="24" t="str">
        <v>趣点购浦发</v>
      </c>
      <c r="D455" s="24">
        <v>0</v>
      </c>
      <c r="E455" s="24">
        <v>0</v>
      </c>
      <c r="F455" s="24">
        <v>0</v>
      </c>
      <c r="G455" s="24">
        <v>0</v>
      </c>
      <c r="H455" s="24">
        <v>81211.819999998</v>
      </c>
      <c r="I455" s="24">
        <v>0</v>
      </c>
      <c r="J455" s="24">
        <v>0</v>
      </c>
      <c r="K455" s="25" t="str">
        <v/>
      </c>
    </row>
    <row r="456" s="5" customFormat="1" ht="16.5" spans="1:11">
      <c r="A456" s="22" t="str">
        <v/>
      </c>
      <c r="B456" s="23">
        <v>0</v>
      </c>
      <c r="C456" s="24" t="str">
        <v>趣点购浦发</v>
      </c>
      <c r="D456" s="24">
        <v>0</v>
      </c>
      <c r="E456" s="24">
        <v>0</v>
      </c>
      <c r="F456" s="24">
        <v>0</v>
      </c>
      <c r="G456" s="24">
        <v>0</v>
      </c>
      <c r="H456" s="24">
        <v>81211.819999998</v>
      </c>
      <c r="I456" s="24">
        <v>0</v>
      </c>
      <c r="J456" s="24">
        <v>0</v>
      </c>
      <c r="K456" s="25" t="str">
        <v/>
      </c>
    </row>
    <row r="457" s="5" customFormat="1" ht="16.5" spans="1:11">
      <c r="A457" s="22" t="str">
        <v/>
      </c>
      <c r="B457" s="23">
        <v>0</v>
      </c>
      <c r="C457" s="24" t="str">
        <v>趣点购浦发</v>
      </c>
      <c r="D457" s="24">
        <v>0</v>
      </c>
      <c r="E457" s="24">
        <v>0</v>
      </c>
      <c r="F457" s="24">
        <v>0</v>
      </c>
      <c r="G457" s="24">
        <v>0</v>
      </c>
      <c r="H457" s="24">
        <v>81211.819999998</v>
      </c>
      <c r="I457" s="24">
        <v>0</v>
      </c>
      <c r="J457" s="24">
        <v>0</v>
      </c>
      <c r="K457" s="25" t="str">
        <v/>
      </c>
    </row>
    <row r="458" s="5" customFormat="1" ht="16.5" spans="1:11">
      <c r="A458" s="22" t="str">
        <v/>
      </c>
      <c r="B458" s="23">
        <v>0</v>
      </c>
      <c r="C458" s="24" t="str">
        <v>趣点购浦发</v>
      </c>
      <c r="D458" s="24">
        <v>0</v>
      </c>
      <c r="E458" s="24">
        <v>0</v>
      </c>
      <c r="F458" s="24">
        <v>0</v>
      </c>
      <c r="G458" s="24">
        <v>0</v>
      </c>
      <c r="H458" s="24">
        <v>81211.819999998</v>
      </c>
      <c r="I458" s="24">
        <v>0</v>
      </c>
      <c r="J458" s="24">
        <v>0</v>
      </c>
      <c r="K458" s="25" t="str">
        <v/>
      </c>
    </row>
    <row r="459" s="5" customFormat="1" ht="16.5" spans="1:11">
      <c r="A459" s="22" t="str">
        <v/>
      </c>
      <c r="B459" s="23">
        <v>0</v>
      </c>
      <c r="C459" s="24" t="str">
        <v>趣点购浦发</v>
      </c>
      <c r="D459" s="24">
        <v>0</v>
      </c>
      <c r="E459" s="24">
        <v>0</v>
      </c>
      <c r="F459" s="24">
        <v>0</v>
      </c>
      <c r="G459" s="24">
        <v>0</v>
      </c>
      <c r="H459" s="24">
        <v>81211.819999998</v>
      </c>
      <c r="I459" s="24">
        <v>0</v>
      </c>
      <c r="J459" s="24">
        <v>0</v>
      </c>
      <c r="K459" s="25" t="str">
        <v/>
      </c>
    </row>
    <row r="460" s="5" customFormat="1" ht="16.5" spans="1:11">
      <c r="A460" s="22" t="str">
        <v/>
      </c>
      <c r="B460" s="23">
        <v>0</v>
      </c>
      <c r="C460" s="24" t="str">
        <v>趣点购浦发</v>
      </c>
      <c r="D460" s="24">
        <v>0</v>
      </c>
      <c r="E460" s="24">
        <v>0</v>
      </c>
      <c r="F460" s="24">
        <v>0</v>
      </c>
      <c r="G460" s="24">
        <v>0</v>
      </c>
      <c r="H460" s="24">
        <v>81211.819999998</v>
      </c>
      <c r="I460" s="24">
        <v>0</v>
      </c>
      <c r="J460" s="24">
        <v>0</v>
      </c>
      <c r="K460" s="25" t="str">
        <v/>
      </c>
    </row>
    <row r="461" s="5" customFormat="1" ht="16.5" spans="1:11">
      <c r="A461" s="22" t="str">
        <v/>
      </c>
      <c r="B461" s="23">
        <v>0</v>
      </c>
      <c r="C461" s="24" t="str">
        <v>趣点购浦发</v>
      </c>
      <c r="D461" s="24">
        <v>0</v>
      </c>
      <c r="E461" s="24">
        <v>0</v>
      </c>
      <c r="F461" s="24">
        <v>0</v>
      </c>
      <c r="G461" s="24">
        <v>0</v>
      </c>
      <c r="H461" s="24">
        <v>81211.819999998</v>
      </c>
      <c r="I461" s="24">
        <v>0</v>
      </c>
      <c r="J461" s="24">
        <v>0</v>
      </c>
      <c r="K461" s="25" t="str">
        <v/>
      </c>
    </row>
    <row r="462" s="5" customFormat="1" ht="16.5" spans="1:11">
      <c r="A462" s="22" t="str">
        <v/>
      </c>
      <c r="B462" s="23">
        <v>0</v>
      </c>
      <c r="C462" s="24" t="str">
        <v>趣点购浦发</v>
      </c>
      <c r="D462" s="24">
        <v>0</v>
      </c>
      <c r="E462" s="24">
        <v>0</v>
      </c>
      <c r="F462" s="24">
        <v>0</v>
      </c>
      <c r="G462" s="24">
        <v>0</v>
      </c>
      <c r="H462" s="24">
        <v>81211.819999998</v>
      </c>
      <c r="I462" s="24">
        <v>0</v>
      </c>
      <c r="J462" s="24">
        <v>0</v>
      </c>
      <c r="K462" s="25" t="str">
        <v/>
      </c>
    </row>
    <row r="463" s="5" customFormat="1" ht="16.5" spans="1:11">
      <c r="A463" s="22" t="str">
        <v/>
      </c>
      <c r="B463" s="23">
        <v>0</v>
      </c>
      <c r="C463" s="24" t="str">
        <v>趣点购浦发</v>
      </c>
      <c r="D463" s="24">
        <v>0</v>
      </c>
      <c r="E463" s="24">
        <v>0</v>
      </c>
      <c r="F463" s="24">
        <v>0</v>
      </c>
      <c r="G463" s="24">
        <v>0</v>
      </c>
      <c r="H463" s="24">
        <v>81211.819999998</v>
      </c>
      <c r="I463" s="24">
        <v>0</v>
      </c>
      <c r="J463" s="24">
        <v>0</v>
      </c>
      <c r="K463" s="25" t="str">
        <v/>
      </c>
    </row>
    <row r="464" s="5" customFormat="1" ht="16.5" spans="1:11">
      <c r="A464" s="22" t="str">
        <v/>
      </c>
      <c r="B464" s="23">
        <v>0</v>
      </c>
      <c r="C464" s="24" t="str">
        <v>趣点购浦发</v>
      </c>
      <c r="D464" s="24">
        <v>0</v>
      </c>
      <c r="E464" s="24">
        <v>0</v>
      </c>
      <c r="F464" s="24">
        <v>0</v>
      </c>
      <c r="G464" s="24">
        <v>0</v>
      </c>
      <c r="H464" s="24">
        <v>81211.819999998</v>
      </c>
      <c r="I464" s="24">
        <v>0</v>
      </c>
      <c r="J464" s="24">
        <v>0</v>
      </c>
      <c r="K464" s="25" t="str">
        <v/>
      </c>
    </row>
    <row r="465" s="5" customFormat="1" ht="16.5" spans="1:11">
      <c r="A465" s="22" t="str">
        <v/>
      </c>
      <c r="B465" s="23">
        <v>0</v>
      </c>
      <c r="C465" s="24" t="str">
        <v>趣点购浦发</v>
      </c>
      <c r="D465" s="24">
        <v>0</v>
      </c>
      <c r="E465" s="24">
        <v>0</v>
      </c>
      <c r="F465" s="24">
        <v>0</v>
      </c>
      <c r="G465" s="24">
        <v>0</v>
      </c>
      <c r="H465" s="24">
        <v>81211.819999998</v>
      </c>
      <c r="I465" s="24">
        <v>0</v>
      </c>
      <c r="J465" s="24">
        <v>0</v>
      </c>
      <c r="K465" s="25" t="str">
        <v/>
      </c>
    </row>
    <row r="466" s="5" customFormat="1" ht="16.5" spans="1:11">
      <c r="A466" s="22" t="str">
        <v/>
      </c>
      <c r="B466" s="23">
        <v>0</v>
      </c>
      <c r="C466" s="24" t="str">
        <v>趣点购浦发</v>
      </c>
      <c r="D466" s="24">
        <v>0</v>
      </c>
      <c r="E466" s="24">
        <v>0</v>
      </c>
      <c r="F466" s="24">
        <v>0</v>
      </c>
      <c r="G466" s="24">
        <v>0</v>
      </c>
      <c r="H466" s="24">
        <v>81211.819999998</v>
      </c>
      <c r="I466" s="24">
        <v>0</v>
      </c>
      <c r="J466" s="24">
        <v>0</v>
      </c>
      <c r="K466" s="25" t="str">
        <v/>
      </c>
    </row>
    <row r="467" s="5" customFormat="1" ht="16.5" spans="1:11">
      <c r="A467" s="22" t="str">
        <v/>
      </c>
      <c r="B467" s="23">
        <v>0</v>
      </c>
      <c r="C467" s="24" t="str">
        <v>趣点购浦发</v>
      </c>
      <c r="D467" s="24">
        <v>0</v>
      </c>
      <c r="E467" s="24">
        <v>0</v>
      </c>
      <c r="F467" s="24">
        <v>0</v>
      </c>
      <c r="G467" s="24">
        <v>0</v>
      </c>
      <c r="H467" s="24">
        <v>81211.819999998</v>
      </c>
      <c r="I467" s="24">
        <v>0</v>
      </c>
      <c r="J467" s="24">
        <v>0</v>
      </c>
      <c r="K467" s="25" t="str">
        <v/>
      </c>
    </row>
    <row r="468" s="5" customFormat="1" ht="16.5" spans="1:11">
      <c r="A468" s="22" t="str">
        <v/>
      </c>
      <c r="B468" s="23">
        <v>0</v>
      </c>
      <c r="C468" s="24" t="str">
        <v>趣点购浦发</v>
      </c>
      <c r="D468" s="24">
        <v>0</v>
      </c>
      <c r="E468" s="24">
        <v>0</v>
      </c>
      <c r="F468" s="24">
        <v>0</v>
      </c>
      <c r="G468" s="24">
        <v>0</v>
      </c>
      <c r="H468" s="24">
        <v>81211.819999998</v>
      </c>
      <c r="I468" s="24">
        <v>0</v>
      </c>
      <c r="J468" s="24">
        <v>0</v>
      </c>
      <c r="K468" s="25" t="str">
        <v/>
      </c>
    </row>
    <row r="469" s="5" customFormat="1" ht="16.5" spans="1:11">
      <c r="A469" s="22" t="str">
        <v/>
      </c>
      <c r="B469" s="23">
        <v>0</v>
      </c>
      <c r="C469" s="24" t="str">
        <v>趣点购浦发</v>
      </c>
      <c r="D469" s="24">
        <v>0</v>
      </c>
      <c r="E469" s="24">
        <v>0</v>
      </c>
      <c r="F469" s="24">
        <v>0</v>
      </c>
      <c r="G469" s="24">
        <v>0</v>
      </c>
      <c r="H469" s="24">
        <v>81211.819999998</v>
      </c>
      <c r="I469" s="24">
        <v>0</v>
      </c>
      <c r="J469" s="24">
        <v>0</v>
      </c>
      <c r="K469" s="25" t="str">
        <v/>
      </c>
    </row>
    <row r="470" s="5" customFormat="1" ht="16.5" spans="1:11">
      <c r="A470" s="22" t="str">
        <v/>
      </c>
      <c r="B470" s="23">
        <v>0</v>
      </c>
      <c r="C470" s="24" t="str">
        <v>趣点购浦发</v>
      </c>
      <c r="D470" s="24">
        <v>0</v>
      </c>
      <c r="E470" s="24">
        <v>0</v>
      </c>
      <c r="F470" s="24">
        <v>0</v>
      </c>
      <c r="G470" s="24">
        <v>0</v>
      </c>
      <c r="H470" s="24">
        <v>81211.819999998</v>
      </c>
      <c r="I470" s="24">
        <v>0</v>
      </c>
      <c r="J470" s="24">
        <v>0</v>
      </c>
      <c r="K470" s="25" t="str">
        <v/>
      </c>
    </row>
    <row r="471" s="5" customFormat="1" ht="16.5" spans="1:11">
      <c r="A471" s="22" t="str">
        <v/>
      </c>
      <c r="B471" s="23">
        <v>0</v>
      </c>
      <c r="C471" s="24" t="str">
        <v>趣点购浦发</v>
      </c>
      <c r="D471" s="24">
        <v>0</v>
      </c>
      <c r="E471" s="24">
        <v>0</v>
      </c>
      <c r="F471" s="24">
        <v>0</v>
      </c>
      <c r="G471" s="24">
        <v>0</v>
      </c>
      <c r="H471" s="24">
        <v>81211.819999998</v>
      </c>
      <c r="I471" s="24">
        <v>0</v>
      </c>
      <c r="J471" s="24">
        <v>0</v>
      </c>
      <c r="K471" s="25" t="str">
        <v/>
      </c>
    </row>
    <row r="472" s="5" customFormat="1" ht="16.5" spans="1:11">
      <c r="A472" s="22" t="str">
        <v/>
      </c>
      <c r="B472" s="23">
        <v>0</v>
      </c>
      <c r="C472" s="24" t="str">
        <v>趣点购浦发</v>
      </c>
      <c r="D472" s="24">
        <v>0</v>
      </c>
      <c r="E472" s="24">
        <v>0</v>
      </c>
      <c r="F472" s="24">
        <v>0</v>
      </c>
      <c r="G472" s="24">
        <v>0</v>
      </c>
      <c r="H472" s="24">
        <v>81211.819999998</v>
      </c>
      <c r="I472" s="24">
        <v>0</v>
      </c>
      <c r="J472" s="24">
        <v>0</v>
      </c>
      <c r="K472" s="25" t="str">
        <v/>
      </c>
    </row>
    <row r="473" s="5" customFormat="1" ht="16.5" spans="1:11">
      <c r="A473" s="22" t="str">
        <v/>
      </c>
      <c r="B473" s="23">
        <v>0</v>
      </c>
      <c r="C473" s="24" t="str">
        <v>趣点购浦发</v>
      </c>
      <c r="D473" s="24">
        <v>0</v>
      </c>
      <c r="E473" s="24">
        <v>0</v>
      </c>
      <c r="F473" s="24">
        <v>0</v>
      </c>
      <c r="G473" s="24">
        <v>0</v>
      </c>
      <c r="H473" s="24">
        <v>81211.819999998</v>
      </c>
      <c r="I473" s="24">
        <v>0</v>
      </c>
      <c r="J473" s="24">
        <v>0</v>
      </c>
      <c r="K473" s="25" t="str">
        <v/>
      </c>
    </row>
    <row r="474" s="5" customFormat="1" ht="16.5" spans="1:11">
      <c r="A474" s="22" t="str">
        <v/>
      </c>
      <c r="B474" s="23">
        <v>0</v>
      </c>
      <c r="C474" s="24" t="str">
        <v>趣点购浦发</v>
      </c>
      <c r="D474" s="24">
        <v>0</v>
      </c>
      <c r="E474" s="24">
        <v>0</v>
      </c>
      <c r="F474" s="24">
        <v>0</v>
      </c>
      <c r="G474" s="24">
        <v>0</v>
      </c>
      <c r="H474" s="24">
        <v>81211.819999998</v>
      </c>
      <c r="I474" s="24">
        <v>0</v>
      </c>
      <c r="J474" s="24">
        <v>0</v>
      </c>
      <c r="K474" s="25" t="str">
        <v/>
      </c>
    </row>
    <row r="475" s="5" customFormat="1" ht="16.5" spans="1:11">
      <c r="A475" s="22" t="str">
        <v/>
      </c>
      <c r="B475" s="23">
        <v>0</v>
      </c>
      <c r="C475" s="24" t="str">
        <v>趣点购浦发</v>
      </c>
      <c r="D475" s="24">
        <v>0</v>
      </c>
      <c r="E475" s="24">
        <v>0</v>
      </c>
      <c r="F475" s="24">
        <v>0</v>
      </c>
      <c r="G475" s="24">
        <v>0</v>
      </c>
      <c r="H475" s="24">
        <v>81211.819999998</v>
      </c>
      <c r="I475" s="24">
        <v>0</v>
      </c>
      <c r="J475" s="24">
        <v>0</v>
      </c>
      <c r="K475" s="25" t="str">
        <v/>
      </c>
    </row>
    <row r="476" s="5" customFormat="1" ht="16.5" spans="1:11">
      <c r="A476" s="22" t="str">
        <v/>
      </c>
      <c r="B476" s="23">
        <v>0</v>
      </c>
      <c r="C476" s="24" t="str">
        <v>趣点购浦发</v>
      </c>
      <c r="D476" s="24">
        <v>0</v>
      </c>
      <c r="E476" s="24">
        <v>0</v>
      </c>
      <c r="F476" s="24">
        <v>0</v>
      </c>
      <c r="G476" s="24">
        <v>0</v>
      </c>
      <c r="H476" s="24">
        <v>81211.819999998</v>
      </c>
      <c r="I476" s="24">
        <v>0</v>
      </c>
      <c r="J476" s="24">
        <v>0</v>
      </c>
      <c r="K476" s="25" t="str">
        <v/>
      </c>
    </row>
    <row r="477" s="5" customFormat="1" ht="16.5" spans="1:11">
      <c r="A477" s="22" t="str">
        <v/>
      </c>
      <c r="B477" s="23">
        <v>0</v>
      </c>
      <c r="C477" s="24" t="str">
        <v>趣点购浦发</v>
      </c>
      <c r="D477" s="24">
        <v>0</v>
      </c>
      <c r="E477" s="24">
        <v>0</v>
      </c>
      <c r="F477" s="24">
        <v>0</v>
      </c>
      <c r="G477" s="24">
        <v>0</v>
      </c>
      <c r="H477" s="24">
        <v>81211.819999998</v>
      </c>
      <c r="I477" s="24">
        <v>0</v>
      </c>
      <c r="J477" s="24">
        <v>0</v>
      </c>
      <c r="K477" s="25" t="str">
        <v/>
      </c>
    </row>
    <row r="478" s="5" customFormat="1" ht="16.5" spans="1:11">
      <c r="A478" s="22" t="str">
        <v/>
      </c>
      <c r="B478" s="23">
        <v>0</v>
      </c>
      <c r="C478" s="24" t="str">
        <v>趣点购浦发</v>
      </c>
      <c r="D478" s="24">
        <v>0</v>
      </c>
      <c r="E478" s="24">
        <v>0</v>
      </c>
      <c r="F478" s="24">
        <v>0</v>
      </c>
      <c r="G478" s="24">
        <v>0</v>
      </c>
      <c r="H478" s="24">
        <v>81211.819999998</v>
      </c>
      <c r="I478" s="24">
        <v>0</v>
      </c>
      <c r="J478" s="24">
        <v>0</v>
      </c>
      <c r="K478" s="25" t="str">
        <v/>
      </c>
    </row>
    <row r="479" s="5" customFormat="1" ht="16.5" spans="1:11">
      <c r="A479" s="22" t="str">
        <v/>
      </c>
      <c r="B479" s="23">
        <v>0</v>
      </c>
      <c r="C479" s="24" t="str">
        <v>趣点购浦发</v>
      </c>
      <c r="D479" s="24">
        <v>0</v>
      </c>
      <c r="E479" s="24">
        <v>0</v>
      </c>
      <c r="F479" s="24">
        <v>0</v>
      </c>
      <c r="G479" s="24">
        <v>0</v>
      </c>
      <c r="H479" s="24">
        <v>81211.819999998</v>
      </c>
      <c r="I479" s="24">
        <v>0</v>
      </c>
      <c r="J479" s="24">
        <v>0</v>
      </c>
      <c r="K479" s="25" t="str">
        <v/>
      </c>
    </row>
    <row r="480" s="5" customFormat="1" ht="16.5" spans="1:11">
      <c r="A480" s="22" t="str">
        <v/>
      </c>
      <c r="B480" s="23">
        <v>0</v>
      </c>
      <c r="C480" s="24" t="str">
        <v>趣点购浦发</v>
      </c>
      <c r="D480" s="24">
        <v>0</v>
      </c>
      <c r="E480" s="24">
        <v>0</v>
      </c>
      <c r="F480" s="24">
        <v>0</v>
      </c>
      <c r="G480" s="24">
        <v>0</v>
      </c>
      <c r="H480" s="24">
        <v>81211.819999998</v>
      </c>
      <c r="I480" s="24">
        <v>0</v>
      </c>
      <c r="J480" s="24">
        <v>0</v>
      </c>
      <c r="K480" s="25" t="str">
        <v/>
      </c>
    </row>
    <row r="481" s="5" customFormat="1" ht="16.5" spans="1:11">
      <c r="A481" s="22" t="str">
        <v/>
      </c>
      <c r="B481" s="23">
        <v>0</v>
      </c>
      <c r="C481" s="24" t="str">
        <v>趣点购浦发</v>
      </c>
      <c r="D481" s="24">
        <v>0</v>
      </c>
      <c r="E481" s="24">
        <v>0</v>
      </c>
      <c r="F481" s="24">
        <v>0</v>
      </c>
      <c r="G481" s="24">
        <v>0</v>
      </c>
      <c r="H481" s="24">
        <v>81211.819999998</v>
      </c>
      <c r="I481" s="24">
        <v>0</v>
      </c>
      <c r="J481" s="24">
        <v>0</v>
      </c>
      <c r="K481" s="25" t="str">
        <v/>
      </c>
    </row>
    <row r="482" s="5" customFormat="1" ht="16.5" spans="1:11">
      <c r="A482" s="22" t="str">
        <v/>
      </c>
      <c r="B482" s="23">
        <v>0</v>
      </c>
      <c r="C482" s="24" t="str">
        <v>趣点购浦发</v>
      </c>
      <c r="D482" s="24">
        <v>0</v>
      </c>
      <c r="E482" s="24">
        <v>0</v>
      </c>
      <c r="F482" s="24">
        <v>0</v>
      </c>
      <c r="G482" s="24">
        <v>0</v>
      </c>
      <c r="H482" s="24">
        <v>81211.819999998</v>
      </c>
      <c r="I482" s="24">
        <v>0</v>
      </c>
      <c r="J482" s="24">
        <v>0</v>
      </c>
      <c r="K482" s="25" t="str">
        <v/>
      </c>
    </row>
    <row r="483" s="5" customFormat="1" ht="16.5" spans="1:11">
      <c r="A483" s="22" t="str">
        <v/>
      </c>
      <c r="B483" s="23">
        <v>0</v>
      </c>
      <c r="C483" s="24" t="str">
        <v>趣点购浦发</v>
      </c>
      <c r="D483" s="24">
        <v>0</v>
      </c>
      <c r="E483" s="24">
        <v>0</v>
      </c>
      <c r="F483" s="24">
        <v>0</v>
      </c>
      <c r="G483" s="24">
        <v>0</v>
      </c>
      <c r="H483" s="24">
        <v>81211.819999998</v>
      </c>
      <c r="I483" s="24">
        <v>0</v>
      </c>
      <c r="J483" s="24">
        <v>0</v>
      </c>
      <c r="K483" s="25" t="str">
        <v/>
      </c>
    </row>
    <row r="484" s="5" customFormat="1" ht="16.5" spans="1:11">
      <c r="A484" s="22" t="str">
        <v/>
      </c>
      <c r="B484" s="23">
        <v>0</v>
      </c>
      <c r="C484" s="24" t="str">
        <v>趣点购浦发</v>
      </c>
      <c r="D484" s="24">
        <v>0</v>
      </c>
      <c r="E484" s="24">
        <v>0</v>
      </c>
      <c r="F484" s="24">
        <v>0</v>
      </c>
      <c r="G484" s="24">
        <v>0</v>
      </c>
      <c r="H484" s="24">
        <v>81211.819999998</v>
      </c>
      <c r="I484" s="24">
        <v>0</v>
      </c>
      <c r="J484" s="24">
        <v>0</v>
      </c>
      <c r="K484" s="25" t="str">
        <v/>
      </c>
    </row>
    <row r="485" s="5" customFormat="1" ht="16.5" spans="1:11">
      <c r="A485" s="22" t="str">
        <v/>
      </c>
      <c r="B485" s="23">
        <v>0</v>
      </c>
      <c r="C485" s="24" t="str">
        <v>趣点购浦发</v>
      </c>
      <c r="D485" s="24">
        <v>0</v>
      </c>
      <c r="E485" s="24">
        <v>0</v>
      </c>
      <c r="F485" s="24">
        <v>0</v>
      </c>
      <c r="G485" s="24">
        <v>0</v>
      </c>
      <c r="H485" s="24">
        <v>81211.819999998</v>
      </c>
      <c r="I485" s="24">
        <v>0</v>
      </c>
      <c r="J485" s="24">
        <v>0</v>
      </c>
      <c r="K485" s="25" t="str">
        <v/>
      </c>
    </row>
    <row r="486" s="5" customFormat="1" ht="16.5" spans="1:11">
      <c r="A486" s="22" t="str">
        <v/>
      </c>
      <c r="B486" s="23">
        <v>0</v>
      </c>
      <c r="C486" s="24" t="str">
        <v>趣点购浦发</v>
      </c>
      <c r="D486" s="24">
        <v>0</v>
      </c>
      <c r="E486" s="24">
        <v>0</v>
      </c>
      <c r="F486" s="24">
        <v>0</v>
      </c>
      <c r="G486" s="24">
        <v>0</v>
      </c>
      <c r="H486" s="24">
        <v>81211.819999998</v>
      </c>
      <c r="I486" s="24">
        <v>0</v>
      </c>
      <c r="J486" s="24">
        <v>0</v>
      </c>
      <c r="K486" s="25" t="str">
        <v/>
      </c>
    </row>
    <row r="487" s="5" customFormat="1" ht="16.5" spans="1:11">
      <c r="A487" s="22" t="str">
        <v/>
      </c>
      <c r="B487" s="23">
        <v>0</v>
      </c>
      <c r="C487" s="24" t="str">
        <v>趣点购浦发</v>
      </c>
      <c r="D487" s="24">
        <v>0</v>
      </c>
      <c r="E487" s="24">
        <v>0</v>
      </c>
      <c r="F487" s="24">
        <v>0</v>
      </c>
      <c r="G487" s="24">
        <v>0</v>
      </c>
      <c r="H487" s="24">
        <v>81211.819999998</v>
      </c>
      <c r="I487" s="24">
        <v>0</v>
      </c>
      <c r="J487" s="24">
        <v>0</v>
      </c>
      <c r="K487" s="25" t="str">
        <v/>
      </c>
    </row>
    <row r="488" s="5" customFormat="1" ht="16.5" spans="1:11">
      <c r="A488" s="22" t="str">
        <v/>
      </c>
      <c r="B488" s="23">
        <v>0</v>
      </c>
      <c r="C488" s="24" t="str">
        <v>趣点购浦发</v>
      </c>
      <c r="D488" s="24">
        <v>0</v>
      </c>
      <c r="E488" s="24">
        <v>0</v>
      </c>
      <c r="F488" s="24">
        <v>0</v>
      </c>
      <c r="G488" s="24">
        <v>0</v>
      </c>
      <c r="H488" s="24">
        <v>81211.819999998</v>
      </c>
      <c r="I488" s="24">
        <v>0</v>
      </c>
      <c r="J488" s="24">
        <v>0</v>
      </c>
      <c r="K488" s="25" t="str">
        <v/>
      </c>
    </row>
    <row r="489" s="5" customFormat="1" ht="16.5" spans="1:11">
      <c r="A489" s="22" t="str">
        <v/>
      </c>
      <c r="B489" s="23">
        <v>0</v>
      </c>
      <c r="C489" s="24" t="str">
        <v>趣点购浦发</v>
      </c>
      <c r="D489" s="24">
        <v>0</v>
      </c>
      <c r="E489" s="24">
        <v>0</v>
      </c>
      <c r="F489" s="24">
        <v>0</v>
      </c>
      <c r="G489" s="24">
        <v>0</v>
      </c>
      <c r="H489" s="24">
        <v>81211.819999998</v>
      </c>
      <c r="I489" s="24">
        <v>0</v>
      </c>
      <c r="J489" s="24">
        <v>0</v>
      </c>
      <c r="K489" s="25" t="str">
        <v/>
      </c>
    </row>
    <row r="490" s="5" customFormat="1" ht="16.5" spans="1:11">
      <c r="A490" s="22" t="str">
        <v/>
      </c>
      <c r="B490" s="23">
        <v>0</v>
      </c>
      <c r="C490" s="24" t="str">
        <v>趣点购浦发</v>
      </c>
      <c r="D490" s="24">
        <v>0</v>
      </c>
      <c r="E490" s="24">
        <v>0</v>
      </c>
      <c r="F490" s="24">
        <v>0</v>
      </c>
      <c r="G490" s="24">
        <v>0</v>
      </c>
      <c r="H490" s="24">
        <v>81211.819999998</v>
      </c>
      <c r="I490" s="24">
        <v>0</v>
      </c>
      <c r="J490" s="24">
        <v>0</v>
      </c>
      <c r="K490" s="25" t="str">
        <v/>
      </c>
    </row>
    <row r="491" s="5" customFormat="1" ht="16.5" spans="1:11">
      <c r="A491" s="22" t="str">
        <v/>
      </c>
      <c r="B491" s="23">
        <v>0</v>
      </c>
      <c r="C491" s="24" t="str">
        <v>趣点购浦发</v>
      </c>
      <c r="D491" s="24">
        <v>0</v>
      </c>
      <c r="E491" s="24">
        <v>0</v>
      </c>
      <c r="F491" s="24">
        <v>0</v>
      </c>
      <c r="G491" s="24">
        <v>0</v>
      </c>
      <c r="H491" s="24">
        <v>81211.819999998</v>
      </c>
      <c r="I491" s="24">
        <v>0</v>
      </c>
      <c r="J491" s="24">
        <v>0</v>
      </c>
      <c r="K491" s="25" t="str">
        <v/>
      </c>
    </row>
    <row r="492" s="5" customFormat="1" ht="16.5" spans="1:11">
      <c r="A492" s="22" t="str">
        <v/>
      </c>
      <c r="B492" s="23">
        <v>0</v>
      </c>
      <c r="C492" s="24" t="str">
        <v>趣点购浦发</v>
      </c>
      <c r="D492" s="24">
        <v>0</v>
      </c>
      <c r="E492" s="24">
        <v>0</v>
      </c>
      <c r="F492" s="24">
        <v>0</v>
      </c>
      <c r="G492" s="24">
        <v>0</v>
      </c>
      <c r="H492" s="24">
        <v>81211.819999998</v>
      </c>
      <c r="I492" s="24">
        <v>0</v>
      </c>
      <c r="J492" s="24">
        <v>0</v>
      </c>
      <c r="K492" s="25" t="str">
        <v/>
      </c>
    </row>
    <row r="493" s="5" customFormat="1" ht="16.5" spans="1:11">
      <c r="A493" s="22" t="str">
        <v/>
      </c>
      <c r="B493" s="23">
        <v>0</v>
      </c>
      <c r="C493" s="24" t="str">
        <v>趣点购浦发</v>
      </c>
      <c r="D493" s="24">
        <v>0</v>
      </c>
      <c r="E493" s="24">
        <v>0</v>
      </c>
      <c r="F493" s="24">
        <v>0</v>
      </c>
      <c r="G493" s="24">
        <v>0</v>
      </c>
      <c r="H493" s="24">
        <v>81211.819999998</v>
      </c>
      <c r="I493" s="24">
        <v>0</v>
      </c>
      <c r="J493" s="24">
        <v>0</v>
      </c>
      <c r="K493" s="25" t="str">
        <v/>
      </c>
    </row>
    <row r="494" s="5" customFormat="1" ht="16.5" spans="1:11">
      <c r="A494" s="22" t="str">
        <v/>
      </c>
      <c r="B494" s="23">
        <v>0</v>
      </c>
      <c r="C494" s="24" t="str">
        <v>趣点购浦发</v>
      </c>
      <c r="D494" s="24">
        <v>0</v>
      </c>
      <c r="E494" s="24">
        <v>0</v>
      </c>
      <c r="F494" s="24">
        <v>0</v>
      </c>
      <c r="G494" s="24">
        <v>0</v>
      </c>
      <c r="H494" s="24">
        <v>81211.819999998</v>
      </c>
      <c r="I494" s="24">
        <v>0</v>
      </c>
      <c r="J494" s="24">
        <v>0</v>
      </c>
      <c r="K494" s="25" t="str">
        <v/>
      </c>
    </row>
    <row r="495" s="5" customFormat="1" ht="16.5" spans="1:11">
      <c r="A495" s="22" t="str">
        <v/>
      </c>
      <c r="B495" s="23">
        <v>0</v>
      </c>
      <c r="C495" s="24" t="str">
        <v>趣点购浦发</v>
      </c>
      <c r="D495" s="24">
        <v>0</v>
      </c>
      <c r="E495" s="24">
        <v>0</v>
      </c>
      <c r="F495" s="24">
        <v>0</v>
      </c>
      <c r="G495" s="24">
        <v>0</v>
      </c>
      <c r="H495" s="24">
        <v>81211.819999998</v>
      </c>
      <c r="I495" s="24">
        <v>0</v>
      </c>
      <c r="J495" s="24">
        <v>0</v>
      </c>
      <c r="K495" s="25" t="str">
        <v/>
      </c>
    </row>
    <row r="496" s="5" customFormat="1" ht="16.5" spans="1:11">
      <c r="A496" s="22" t="str">
        <v/>
      </c>
      <c r="B496" s="23">
        <v>0</v>
      </c>
      <c r="C496" s="24" t="str">
        <v>趣点购浦发</v>
      </c>
      <c r="D496" s="24">
        <v>0</v>
      </c>
      <c r="E496" s="24">
        <v>0</v>
      </c>
      <c r="F496" s="24">
        <v>0</v>
      </c>
      <c r="G496" s="24">
        <v>0</v>
      </c>
      <c r="H496" s="24">
        <v>81211.819999998</v>
      </c>
      <c r="I496" s="24">
        <v>0</v>
      </c>
      <c r="J496" s="24">
        <v>0</v>
      </c>
      <c r="K496" s="25" t="str">
        <v/>
      </c>
    </row>
    <row r="497" s="5" customFormat="1" ht="16.5" spans="1:11">
      <c r="A497" s="22" t="str">
        <v/>
      </c>
      <c r="B497" s="23">
        <v>0</v>
      </c>
      <c r="C497" s="24" t="str">
        <v>趣点购浦发</v>
      </c>
      <c r="D497" s="24">
        <v>0</v>
      </c>
      <c r="E497" s="24">
        <v>0</v>
      </c>
      <c r="F497" s="24">
        <v>0</v>
      </c>
      <c r="G497" s="24">
        <v>0</v>
      </c>
      <c r="H497" s="24">
        <v>81211.819999998</v>
      </c>
      <c r="I497" s="24">
        <v>0</v>
      </c>
      <c r="J497" s="24">
        <v>0</v>
      </c>
      <c r="K497" s="25" t="str">
        <v/>
      </c>
    </row>
    <row r="498" s="5" customFormat="1" ht="16.5" spans="1:11">
      <c r="A498" s="22" t="str">
        <v/>
      </c>
      <c r="B498" s="23">
        <v>0</v>
      </c>
      <c r="C498" s="24" t="str">
        <v>趣点购浦发</v>
      </c>
      <c r="D498" s="24">
        <v>0</v>
      </c>
      <c r="E498" s="24">
        <v>0</v>
      </c>
      <c r="F498" s="24">
        <v>0</v>
      </c>
      <c r="G498" s="24">
        <v>0</v>
      </c>
      <c r="H498" s="24">
        <v>81211.819999998</v>
      </c>
      <c r="I498" s="24">
        <v>0</v>
      </c>
      <c r="J498" s="24">
        <v>0</v>
      </c>
      <c r="K498" s="25" t="str">
        <v/>
      </c>
    </row>
    <row r="499" s="5" customFormat="1" ht="16.5" spans="1:11">
      <c r="A499" s="22" t="str">
        <v/>
      </c>
      <c r="B499" s="23">
        <v>0</v>
      </c>
      <c r="C499" s="24" t="str">
        <v>趣点购浦发</v>
      </c>
      <c r="D499" s="24">
        <v>0</v>
      </c>
      <c r="E499" s="24">
        <v>0</v>
      </c>
      <c r="F499" s="24">
        <v>0</v>
      </c>
      <c r="G499" s="24">
        <v>0</v>
      </c>
      <c r="H499" s="24">
        <v>81211.819999998</v>
      </c>
      <c r="I499" s="24">
        <v>0</v>
      </c>
      <c r="J499" s="24">
        <v>0</v>
      </c>
      <c r="K499" s="25" t="str">
        <v/>
      </c>
    </row>
    <row r="500" s="5" customFormat="1" ht="16.5" spans="1:11">
      <c r="A500" s="22" t="str">
        <v/>
      </c>
      <c r="B500" s="23">
        <v>0</v>
      </c>
      <c r="C500" s="24" t="str">
        <v>趣点购浦发</v>
      </c>
      <c r="D500" s="24">
        <v>0</v>
      </c>
      <c r="E500" s="24">
        <v>0</v>
      </c>
      <c r="F500" s="24">
        <v>0</v>
      </c>
      <c r="G500" s="24">
        <v>0</v>
      </c>
      <c r="H500" s="24">
        <v>81211.819999998</v>
      </c>
      <c r="I500" s="24">
        <v>0</v>
      </c>
      <c r="J500" s="24">
        <v>0</v>
      </c>
      <c r="K500" s="25" t="str">
        <v/>
      </c>
    </row>
    <row r="501" s="5" customFormat="1" ht="16.5" spans="1:11">
      <c r="A501" s="22" t="str">
        <v/>
      </c>
      <c r="B501" s="23">
        <v>0</v>
      </c>
      <c r="C501" s="24" t="str">
        <v>趣点购浦发</v>
      </c>
      <c r="D501" s="24">
        <v>0</v>
      </c>
      <c r="E501" s="24">
        <v>0</v>
      </c>
      <c r="F501" s="24">
        <v>0</v>
      </c>
      <c r="G501" s="24">
        <v>0</v>
      </c>
      <c r="H501" s="24">
        <v>81211.819999998</v>
      </c>
      <c r="I501" s="24">
        <v>0</v>
      </c>
      <c r="J501" s="24">
        <v>0</v>
      </c>
      <c r="K501" s="25" t="str">
        <v/>
      </c>
    </row>
    <row r="502" s="5" customFormat="1" ht="16.5" spans="1:11">
      <c r="A502" s="22" t="str">
        <v/>
      </c>
      <c r="B502" s="23">
        <v>0</v>
      </c>
      <c r="C502" s="24" t="str">
        <v>趣点购浦发</v>
      </c>
      <c r="D502" s="24">
        <v>0</v>
      </c>
      <c r="E502" s="24">
        <v>0</v>
      </c>
      <c r="F502" s="24">
        <v>0</v>
      </c>
      <c r="G502" s="24">
        <v>0</v>
      </c>
      <c r="H502" s="24">
        <v>81211.819999998</v>
      </c>
      <c r="I502" s="24">
        <v>0</v>
      </c>
      <c r="J502" s="24">
        <v>0</v>
      </c>
      <c r="K502" s="25" t="str">
        <v/>
      </c>
    </row>
    <row r="503" s="5" customFormat="1" ht="16.5" spans="1:11">
      <c r="A503" s="22" t="str">
        <v/>
      </c>
      <c r="B503" s="23">
        <v>0</v>
      </c>
      <c r="C503" s="24" t="str">
        <v>趣点购浦发</v>
      </c>
      <c r="D503" s="24">
        <v>0</v>
      </c>
      <c r="E503" s="24">
        <v>0</v>
      </c>
      <c r="F503" s="24">
        <v>0</v>
      </c>
      <c r="G503" s="24">
        <v>0</v>
      </c>
      <c r="H503" s="24">
        <v>81211.819999998</v>
      </c>
      <c r="I503" s="24">
        <v>0</v>
      </c>
      <c r="J503" s="24">
        <v>0</v>
      </c>
      <c r="K503" s="25" t="str">
        <v/>
      </c>
    </row>
    <row r="504" spans="1:11">
      <c r="A504" t="str">
        <v/>
      </c>
      <c r="B504" s="6">
        <v>0</v>
      </c>
      <c r="C504" s="7" t="str">
        <v>趣点购浦发</v>
      </c>
      <c r="D504" s="8">
        <v>0</v>
      </c>
      <c r="E504" s="7">
        <v>0</v>
      </c>
      <c r="F504" s="8">
        <v>0</v>
      </c>
      <c r="G504" s="7">
        <v>0</v>
      </c>
      <c r="H504" s="7">
        <v>81211.819999998</v>
      </c>
      <c r="I504" s="7">
        <v>0</v>
      </c>
      <c r="J504" s="8">
        <v>0</v>
      </c>
      <c r="K504" s="9" t="str">
        <v/>
      </c>
    </row>
    <row r="505" spans="1:11">
      <c r="A505" t="str">
        <v/>
      </c>
      <c r="B505" s="6">
        <v>0</v>
      </c>
      <c r="C505" s="7" t="str">
        <v>趣点购浦发</v>
      </c>
      <c r="D505" s="8">
        <v>0</v>
      </c>
      <c r="E505" s="7">
        <v>0</v>
      </c>
      <c r="F505" s="8">
        <v>0</v>
      </c>
      <c r="G505" s="7">
        <v>0</v>
      </c>
      <c r="H505" s="7">
        <v>81211.819999998</v>
      </c>
      <c r="I505" s="7">
        <v>0</v>
      </c>
      <c r="J505" s="8">
        <v>0</v>
      </c>
      <c r="K505" s="9" t="str">
        <v/>
      </c>
    </row>
    <row r="506" spans="1:11">
      <c r="A506" t="str">
        <v/>
      </c>
      <c r="B506" s="6">
        <v>0</v>
      </c>
      <c r="C506" s="7" t="str">
        <v>趣点购浦发</v>
      </c>
      <c r="D506" s="8">
        <v>0</v>
      </c>
      <c r="E506" s="7">
        <v>0</v>
      </c>
      <c r="F506" s="8">
        <v>0</v>
      </c>
      <c r="G506" s="7">
        <v>0</v>
      </c>
      <c r="H506" s="7">
        <v>81211.819999998</v>
      </c>
      <c r="I506" s="7">
        <v>0</v>
      </c>
      <c r="J506" s="8">
        <v>0</v>
      </c>
      <c r="K506" s="9" t="str">
        <v/>
      </c>
    </row>
    <row r="507" spans="1:11">
      <c r="A507" t="str">
        <v/>
      </c>
      <c r="B507" s="6">
        <v>0</v>
      </c>
      <c r="C507" s="7" t="str">
        <v>趣点购浦发</v>
      </c>
      <c r="D507" s="8">
        <v>0</v>
      </c>
      <c r="E507" s="7">
        <v>0</v>
      </c>
      <c r="F507" s="8">
        <v>0</v>
      </c>
      <c r="G507" s="7">
        <v>0</v>
      </c>
      <c r="H507" s="7">
        <v>81211.819999998</v>
      </c>
      <c r="I507" s="7">
        <v>0</v>
      </c>
      <c r="J507" s="8">
        <v>0</v>
      </c>
      <c r="K507" s="9" t="str">
        <v/>
      </c>
    </row>
    <row r="508" spans="1:11">
      <c r="A508" t="str">
        <v/>
      </c>
      <c r="B508" s="6">
        <v>0</v>
      </c>
      <c r="C508" s="7" t="str">
        <v>趣点购浦发</v>
      </c>
      <c r="D508" s="8">
        <v>0</v>
      </c>
      <c r="E508" s="7">
        <v>0</v>
      </c>
      <c r="F508" s="8">
        <v>0</v>
      </c>
      <c r="G508" s="7">
        <v>0</v>
      </c>
      <c r="H508" s="7">
        <v>81211.819999998</v>
      </c>
      <c r="I508" s="7">
        <v>0</v>
      </c>
      <c r="J508" s="8">
        <v>0</v>
      </c>
      <c r="K508" s="9" t="str">
        <v/>
      </c>
    </row>
    <row r="509" spans="1:11">
      <c r="A509" t="str">
        <v/>
      </c>
      <c r="B509" s="6">
        <v>0</v>
      </c>
      <c r="C509" s="7" t="str">
        <v>趣点购浦发</v>
      </c>
      <c r="D509" s="8">
        <v>0</v>
      </c>
      <c r="E509" s="7">
        <v>0</v>
      </c>
      <c r="F509" s="8">
        <v>0</v>
      </c>
      <c r="G509" s="7">
        <v>0</v>
      </c>
      <c r="H509" s="7">
        <v>81211.819999998</v>
      </c>
      <c r="I509" s="7">
        <v>0</v>
      </c>
      <c r="J509" s="8">
        <v>0</v>
      </c>
      <c r="K509" s="9" t="str">
        <v/>
      </c>
    </row>
    <row r="510" spans="1:11">
      <c r="A510" t="str">
        <v/>
      </c>
      <c r="B510" s="6">
        <v>0</v>
      </c>
      <c r="C510" s="7" t="str">
        <v>趣点购浦发</v>
      </c>
      <c r="D510" s="8">
        <v>0</v>
      </c>
      <c r="E510" s="7">
        <v>0</v>
      </c>
      <c r="F510" s="8">
        <v>0</v>
      </c>
      <c r="G510" s="7">
        <v>0</v>
      </c>
      <c r="H510" s="7">
        <v>81211.819999998</v>
      </c>
      <c r="I510" s="7">
        <v>0</v>
      </c>
      <c r="J510" s="8">
        <v>0</v>
      </c>
      <c r="K510" s="9" t="str">
        <v/>
      </c>
    </row>
    <row r="511" spans="1:11">
      <c r="A511" t="str">
        <v/>
      </c>
      <c r="B511" s="6">
        <v>0</v>
      </c>
      <c r="C511" s="7" t="str">
        <v>趣点购浦发</v>
      </c>
      <c r="D511" s="8">
        <v>0</v>
      </c>
      <c r="E511" s="7">
        <v>0</v>
      </c>
      <c r="F511" s="8">
        <v>0</v>
      </c>
      <c r="G511" s="7">
        <v>0</v>
      </c>
      <c r="H511" s="7">
        <v>81211.819999998</v>
      </c>
      <c r="I511" s="7">
        <v>0</v>
      </c>
      <c r="J511" s="8">
        <v>0</v>
      </c>
      <c r="K511" s="9" t="str">
        <v/>
      </c>
    </row>
    <row r="512" spans="1:11">
      <c r="A512" t="str">
        <v/>
      </c>
      <c r="B512" s="6">
        <v>0</v>
      </c>
      <c r="C512" s="7" t="str">
        <v>趣点购浦发</v>
      </c>
      <c r="D512" s="8">
        <v>0</v>
      </c>
      <c r="E512" s="7">
        <v>0</v>
      </c>
      <c r="F512" s="8">
        <v>0</v>
      </c>
      <c r="G512" s="7">
        <v>0</v>
      </c>
      <c r="H512" s="7">
        <v>81211.819999998</v>
      </c>
      <c r="I512" s="7">
        <v>0</v>
      </c>
      <c r="J512" s="8">
        <v>0</v>
      </c>
      <c r="K512" s="9" t="str">
        <v/>
      </c>
    </row>
    <row r="513" spans="1:11">
      <c r="A513" t="str">
        <v/>
      </c>
      <c r="B513" s="6">
        <v>0</v>
      </c>
      <c r="C513" s="7" t="str">
        <v>趣点购浦发</v>
      </c>
      <c r="D513" s="8">
        <v>0</v>
      </c>
      <c r="E513" s="7">
        <v>0</v>
      </c>
      <c r="F513" s="8">
        <v>0</v>
      </c>
      <c r="G513" s="7">
        <v>0</v>
      </c>
      <c r="H513" s="7">
        <v>81211.819999998</v>
      </c>
      <c r="I513" s="7">
        <v>0</v>
      </c>
      <c r="J513" s="8">
        <v>0</v>
      </c>
      <c r="K513" s="9" t="str">
        <v/>
      </c>
    </row>
    <row r="514" spans="1:11">
      <c r="A514" t="str">
        <v/>
      </c>
      <c r="B514" s="6">
        <v>0</v>
      </c>
      <c r="C514" s="7" t="str">
        <v>趣点购浦发</v>
      </c>
      <c r="D514" s="8">
        <v>0</v>
      </c>
      <c r="E514" s="7">
        <v>0</v>
      </c>
      <c r="F514" s="8">
        <v>0</v>
      </c>
      <c r="G514" s="7">
        <v>0</v>
      </c>
      <c r="H514" s="7">
        <v>81211.819999998</v>
      </c>
      <c r="I514" s="7">
        <v>0</v>
      </c>
      <c r="J514" s="8">
        <v>0</v>
      </c>
      <c r="K514" s="9" t="str">
        <v/>
      </c>
    </row>
    <row r="515" spans="1:11">
      <c r="A515" t="str">
        <v/>
      </c>
      <c r="B515" s="6">
        <v>0</v>
      </c>
      <c r="C515" s="7" t="str">
        <v>趣点购浦发</v>
      </c>
      <c r="D515" s="8">
        <v>0</v>
      </c>
      <c r="E515" s="7">
        <v>0</v>
      </c>
      <c r="F515" s="8">
        <v>0</v>
      </c>
      <c r="G515" s="7">
        <v>0</v>
      </c>
      <c r="H515" s="7">
        <v>81211.819999998</v>
      </c>
      <c r="I515" s="7">
        <v>0</v>
      </c>
      <c r="J515" s="8">
        <v>0</v>
      </c>
      <c r="K515" s="9" t="str">
        <v/>
      </c>
    </row>
    <row r="516" spans="1:11">
      <c r="A516" t="str">
        <v/>
      </c>
      <c r="B516" s="6">
        <v>0</v>
      </c>
      <c r="C516" s="7" t="str">
        <v>趣点购浦发</v>
      </c>
      <c r="D516" s="8">
        <v>0</v>
      </c>
      <c r="E516" s="7">
        <v>0</v>
      </c>
      <c r="F516" s="8">
        <v>0</v>
      </c>
      <c r="G516" s="7">
        <v>0</v>
      </c>
      <c r="H516" s="7">
        <v>81211.819999998</v>
      </c>
      <c r="I516" s="7">
        <v>0</v>
      </c>
      <c r="J516" s="8">
        <v>0</v>
      </c>
      <c r="K516" s="9" t="str">
        <v/>
      </c>
    </row>
    <row r="517" spans="1:11">
      <c r="A517" t="str">
        <v/>
      </c>
      <c r="B517" s="6">
        <v>0</v>
      </c>
      <c r="C517" s="7" t="str">
        <v>趣点购浦发</v>
      </c>
      <c r="D517" s="8">
        <v>0</v>
      </c>
      <c r="E517" s="7">
        <v>0</v>
      </c>
      <c r="F517" s="8">
        <v>0</v>
      </c>
      <c r="G517" s="7">
        <v>0</v>
      </c>
      <c r="H517" s="7">
        <v>81211.819999998</v>
      </c>
      <c r="I517" s="7">
        <v>0</v>
      </c>
      <c r="J517" s="8">
        <v>0</v>
      </c>
      <c r="K517" s="9" t="str">
        <v/>
      </c>
    </row>
    <row r="518" spans="1:11">
      <c r="A518" t="str">
        <v/>
      </c>
      <c r="B518" s="6">
        <v>0</v>
      </c>
      <c r="C518" s="7" t="str">
        <v>趣点购浦发</v>
      </c>
      <c r="D518" s="8">
        <v>0</v>
      </c>
      <c r="E518" s="7">
        <v>0</v>
      </c>
      <c r="F518" s="8">
        <v>0</v>
      </c>
      <c r="G518" s="7">
        <v>0</v>
      </c>
      <c r="H518" s="7">
        <v>81211.819999998</v>
      </c>
      <c r="I518" s="7">
        <v>0</v>
      </c>
      <c r="J518" s="8">
        <v>0</v>
      </c>
      <c r="K518" s="9" t="str">
        <v/>
      </c>
    </row>
    <row r="519" spans="1:11">
      <c r="A519" t="str">
        <v/>
      </c>
      <c r="B519" s="6">
        <v>0</v>
      </c>
      <c r="C519" s="7" t="str">
        <v>趣点购浦发</v>
      </c>
      <c r="D519" s="8">
        <v>0</v>
      </c>
      <c r="E519" s="7">
        <v>0</v>
      </c>
      <c r="F519" s="8">
        <v>0</v>
      </c>
      <c r="G519" s="7">
        <v>0</v>
      </c>
      <c r="H519" s="7">
        <v>81211.819999998</v>
      </c>
      <c r="I519" s="7">
        <v>0</v>
      </c>
      <c r="J519" s="8">
        <v>0</v>
      </c>
      <c r="K519" s="9" t="str">
        <v/>
      </c>
    </row>
    <row r="520" spans="1:11">
      <c r="A520" t="str">
        <v/>
      </c>
      <c r="B520" s="6">
        <v>0</v>
      </c>
      <c r="C520" s="7" t="str">
        <v>趣点购浦发</v>
      </c>
      <c r="D520" s="8">
        <v>0</v>
      </c>
      <c r="E520" s="7">
        <v>0</v>
      </c>
      <c r="F520" s="8">
        <v>0</v>
      </c>
      <c r="G520" s="7">
        <v>0</v>
      </c>
      <c r="H520" s="7">
        <v>81211.819999998</v>
      </c>
      <c r="I520" s="7">
        <v>0</v>
      </c>
      <c r="J520" s="8">
        <v>0</v>
      </c>
      <c r="K520" s="9" t="str">
        <v/>
      </c>
    </row>
    <row r="521" spans="1:11">
      <c r="A521" t="str">
        <v/>
      </c>
      <c r="B521" s="6">
        <v>0</v>
      </c>
      <c r="C521" s="7" t="str">
        <v>趣点购浦发</v>
      </c>
      <c r="D521" s="8">
        <v>0</v>
      </c>
      <c r="E521" s="7">
        <v>0</v>
      </c>
      <c r="F521" s="8">
        <v>0</v>
      </c>
      <c r="G521" s="7">
        <v>0</v>
      </c>
      <c r="H521" s="7">
        <v>81211.819999998</v>
      </c>
      <c r="I521" s="7">
        <v>0</v>
      </c>
      <c r="J521" s="8">
        <v>0</v>
      </c>
      <c r="K521" s="9" t="str">
        <v/>
      </c>
    </row>
    <row r="522" spans="1:11">
      <c r="A522" t="str">
        <v/>
      </c>
      <c r="B522" s="6">
        <v>0</v>
      </c>
      <c r="C522" s="7" t="str">
        <v>趣点购浦发</v>
      </c>
      <c r="D522" s="8">
        <v>0</v>
      </c>
      <c r="E522" s="7">
        <v>0</v>
      </c>
      <c r="F522" s="8">
        <v>0</v>
      </c>
      <c r="G522" s="7">
        <v>0</v>
      </c>
      <c r="H522" s="7">
        <v>81211.819999998</v>
      </c>
      <c r="I522" s="7">
        <v>0</v>
      </c>
      <c r="J522" s="8">
        <v>0</v>
      </c>
      <c r="K522" s="9" t="str">
        <v/>
      </c>
    </row>
    <row r="523" spans="1:11">
      <c r="A523" t="str">
        <v/>
      </c>
      <c r="B523" s="6">
        <v>0</v>
      </c>
      <c r="C523" s="7" t="str">
        <v>趣点购浦发</v>
      </c>
      <c r="D523" s="8">
        <v>0</v>
      </c>
      <c r="E523" s="7">
        <v>0</v>
      </c>
      <c r="F523" s="8">
        <v>0</v>
      </c>
      <c r="G523" s="7">
        <v>0</v>
      </c>
      <c r="H523" s="7">
        <v>81211.819999998</v>
      </c>
      <c r="I523" s="7">
        <v>0</v>
      </c>
      <c r="J523" s="8">
        <v>0</v>
      </c>
      <c r="K523" s="9" t="str">
        <v/>
      </c>
    </row>
    <row r="524" spans="1:11">
      <c r="A524" t="str">
        <v/>
      </c>
      <c r="B524" s="6">
        <v>0</v>
      </c>
      <c r="C524" s="7" t="str">
        <v>趣点购浦发</v>
      </c>
      <c r="D524" s="8">
        <v>0</v>
      </c>
      <c r="E524" s="7">
        <v>0</v>
      </c>
      <c r="F524" s="8">
        <v>0</v>
      </c>
      <c r="G524" s="7">
        <v>0</v>
      </c>
      <c r="H524" s="7">
        <v>81211.819999998</v>
      </c>
      <c r="I524" s="7">
        <v>0</v>
      </c>
      <c r="J524" s="8">
        <v>0</v>
      </c>
      <c r="K524" s="9" t="str">
        <v/>
      </c>
    </row>
    <row r="525" spans="1:11">
      <c r="A525" t="str">
        <v/>
      </c>
      <c r="B525" s="6">
        <v>0</v>
      </c>
      <c r="C525" s="7" t="str">
        <v>趣点购浦发</v>
      </c>
      <c r="D525" s="8">
        <v>0</v>
      </c>
      <c r="E525" s="7">
        <v>0</v>
      </c>
      <c r="F525" s="8">
        <v>0</v>
      </c>
      <c r="G525" s="7">
        <v>0</v>
      </c>
      <c r="H525" s="7">
        <v>81211.819999998</v>
      </c>
      <c r="I525" s="7">
        <v>0</v>
      </c>
      <c r="J525" s="8">
        <v>0</v>
      </c>
      <c r="K525" s="9" t="str">
        <v/>
      </c>
    </row>
    <row r="526" spans="1:11">
      <c r="A526" t="str">
        <v/>
      </c>
      <c r="B526" s="6">
        <v>0</v>
      </c>
      <c r="C526" s="7" t="str">
        <v>趣点购浦发</v>
      </c>
      <c r="D526" s="8">
        <v>0</v>
      </c>
      <c r="E526" s="7">
        <v>0</v>
      </c>
      <c r="F526" s="8">
        <v>0</v>
      </c>
      <c r="G526" s="7">
        <v>0</v>
      </c>
      <c r="H526" s="7">
        <v>81211.819999998</v>
      </c>
      <c r="I526" s="7">
        <v>0</v>
      </c>
      <c r="J526" s="8">
        <v>0</v>
      </c>
      <c r="K526" s="9" t="str">
        <v/>
      </c>
    </row>
    <row r="527" spans="1:11">
      <c r="A527" t="str">
        <v/>
      </c>
      <c r="B527" s="6">
        <v>0</v>
      </c>
      <c r="C527" s="7" t="str">
        <v>趣点购浦发</v>
      </c>
      <c r="D527" s="8">
        <v>0</v>
      </c>
      <c r="E527" s="7">
        <v>0</v>
      </c>
      <c r="F527" s="8">
        <v>0</v>
      </c>
      <c r="G527" s="7">
        <v>0</v>
      </c>
      <c r="H527" s="7">
        <v>81211.819999998</v>
      </c>
      <c r="I527" s="7">
        <v>0</v>
      </c>
      <c r="J527" s="8">
        <v>0</v>
      </c>
      <c r="K527" s="9" t="str">
        <v/>
      </c>
    </row>
    <row r="528" spans="1:11">
      <c r="A528" t="str">
        <v/>
      </c>
      <c r="B528" s="6">
        <v>0</v>
      </c>
      <c r="C528" s="7" t="str">
        <v>趣点购浦发</v>
      </c>
      <c r="D528" s="8">
        <v>0</v>
      </c>
      <c r="E528" s="7">
        <v>0</v>
      </c>
      <c r="F528" s="8">
        <v>0</v>
      </c>
      <c r="G528" s="7">
        <v>0</v>
      </c>
      <c r="H528" s="7">
        <v>81211.819999998</v>
      </c>
      <c r="I528" s="7">
        <v>0</v>
      </c>
      <c r="J528" s="8">
        <v>0</v>
      </c>
      <c r="K528" s="9" t="str">
        <v/>
      </c>
    </row>
    <row r="529" spans="1:11">
      <c r="A529" t="str">
        <v/>
      </c>
      <c r="B529" s="6">
        <v>0</v>
      </c>
      <c r="C529" s="7" t="str">
        <v>趣点购浦发</v>
      </c>
      <c r="D529" s="8">
        <v>0</v>
      </c>
      <c r="E529" s="7">
        <v>0</v>
      </c>
      <c r="F529" s="8">
        <v>0</v>
      </c>
      <c r="G529" s="7">
        <v>0</v>
      </c>
      <c r="H529" s="7">
        <v>81211.819999998</v>
      </c>
      <c r="I529" s="7">
        <v>0</v>
      </c>
      <c r="J529" s="8">
        <v>0</v>
      </c>
      <c r="K529" s="9" t="str">
        <v/>
      </c>
    </row>
    <row r="530" spans="1:11">
      <c r="A530" t="str">
        <v/>
      </c>
      <c r="B530" s="6">
        <v>0</v>
      </c>
      <c r="C530" s="7" t="str">
        <v>趣点购浦发</v>
      </c>
      <c r="D530" s="8">
        <v>0</v>
      </c>
      <c r="E530" s="7">
        <v>0</v>
      </c>
      <c r="F530" s="8">
        <v>0</v>
      </c>
      <c r="G530" s="7">
        <v>0</v>
      </c>
      <c r="H530" s="7">
        <v>81211.819999998</v>
      </c>
      <c r="I530" s="7">
        <v>0</v>
      </c>
      <c r="J530" s="8">
        <v>0</v>
      </c>
      <c r="K530" s="9" t="str">
        <v/>
      </c>
    </row>
    <row r="531" spans="1:11">
      <c r="A531" t="str">
        <v/>
      </c>
      <c r="B531" s="6">
        <v>0</v>
      </c>
      <c r="C531" s="7" t="str">
        <v>趣点购浦发</v>
      </c>
      <c r="D531" s="8">
        <v>0</v>
      </c>
      <c r="E531" s="7">
        <v>0</v>
      </c>
      <c r="F531" s="8">
        <v>0</v>
      </c>
      <c r="G531" s="7">
        <v>0</v>
      </c>
      <c r="H531" s="7">
        <v>81211.819999998</v>
      </c>
      <c r="I531" s="7">
        <v>0</v>
      </c>
      <c r="J531" s="8">
        <v>0</v>
      </c>
      <c r="K531" s="9" t="str">
        <v/>
      </c>
    </row>
    <row r="532" spans="1:11">
      <c r="A532" t="str">
        <v/>
      </c>
      <c r="B532" s="6">
        <v>0</v>
      </c>
      <c r="C532" s="7" t="str">
        <v>趣点购浦发</v>
      </c>
      <c r="D532" s="8">
        <v>0</v>
      </c>
      <c r="E532" s="7">
        <v>0</v>
      </c>
      <c r="F532" s="8">
        <v>0</v>
      </c>
      <c r="G532" s="7">
        <v>0</v>
      </c>
      <c r="H532" s="7">
        <v>81211.819999998</v>
      </c>
      <c r="I532" s="7">
        <v>0</v>
      </c>
      <c r="J532" s="8">
        <v>0</v>
      </c>
      <c r="K532" s="9" t="str">
        <v/>
      </c>
    </row>
    <row r="533" spans="1:11">
      <c r="A533" t="str">
        <v/>
      </c>
      <c r="B533" s="6">
        <v>0</v>
      </c>
      <c r="C533" s="7" t="str">
        <v>趣点购浦发</v>
      </c>
      <c r="D533" s="8">
        <v>0</v>
      </c>
      <c r="E533" s="7">
        <v>0</v>
      </c>
      <c r="F533" s="8">
        <v>0</v>
      </c>
      <c r="G533" s="7">
        <v>0</v>
      </c>
      <c r="H533" s="7">
        <v>81211.819999998</v>
      </c>
      <c r="I533" s="7">
        <v>0</v>
      </c>
      <c r="J533" s="8">
        <v>0</v>
      </c>
      <c r="K533" s="9" t="str">
        <v/>
      </c>
    </row>
    <row r="534" spans="1:11">
      <c r="A534" t="str">
        <v/>
      </c>
      <c r="B534" s="6">
        <v>0</v>
      </c>
      <c r="C534" s="7" t="str">
        <v>趣点购浦发</v>
      </c>
      <c r="D534" s="8">
        <v>0</v>
      </c>
      <c r="E534" s="7">
        <v>0</v>
      </c>
      <c r="F534" s="8">
        <v>0</v>
      </c>
      <c r="G534" s="7">
        <v>0</v>
      </c>
      <c r="H534" s="7">
        <v>81211.819999998</v>
      </c>
      <c r="I534" s="7">
        <v>0</v>
      </c>
      <c r="J534" s="8">
        <v>0</v>
      </c>
      <c r="K534" s="9" t="str">
        <v/>
      </c>
    </row>
    <row r="535" spans="1:11">
      <c r="A535" t="str">
        <v/>
      </c>
      <c r="B535" s="6">
        <v>0</v>
      </c>
      <c r="C535" s="7" t="str">
        <v>趣点购浦发</v>
      </c>
      <c r="D535" s="8">
        <v>0</v>
      </c>
      <c r="E535" s="7">
        <v>0</v>
      </c>
      <c r="F535" s="8">
        <v>0</v>
      </c>
      <c r="G535" s="7">
        <v>0</v>
      </c>
      <c r="H535" s="7">
        <v>81211.819999998</v>
      </c>
      <c r="I535" s="7">
        <v>0</v>
      </c>
      <c r="J535" s="8">
        <v>0</v>
      </c>
      <c r="K535" s="9" t="str">
        <v/>
      </c>
    </row>
    <row r="536" spans="1:11">
      <c r="A536" t="str">
        <v/>
      </c>
      <c r="B536" s="6">
        <v>0</v>
      </c>
      <c r="C536" s="7" t="str">
        <v>趣点购浦发</v>
      </c>
      <c r="D536" s="8">
        <v>0</v>
      </c>
      <c r="E536" s="7">
        <v>0</v>
      </c>
      <c r="F536" s="8">
        <v>0</v>
      </c>
      <c r="G536" s="7">
        <v>0</v>
      </c>
      <c r="H536" s="7">
        <v>81211.819999998</v>
      </c>
      <c r="I536" s="7">
        <v>0</v>
      </c>
      <c r="J536" s="8">
        <v>0</v>
      </c>
      <c r="K536" s="9" t="str">
        <v/>
      </c>
    </row>
    <row r="537" spans="1:11">
      <c r="A537" t="str">
        <v/>
      </c>
      <c r="B537" s="6">
        <v>0</v>
      </c>
      <c r="C537" s="7" t="str">
        <v>趣点购浦发</v>
      </c>
      <c r="D537" s="8">
        <v>0</v>
      </c>
      <c r="E537" s="7">
        <v>0</v>
      </c>
      <c r="F537" s="8">
        <v>0</v>
      </c>
      <c r="G537" s="7">
        <v>0</v>
      </c>
      <c r="H537" s="7">
        <v>81211.819999998</v>
      </c>
      <c r="I537" s="7">
        <v>0</v>
      </c>
      <c r="J537" s="8">
        <v>0</v>
      </c>
      <c r="K537" s="9" t="str">
        <v/>
      </c>
    </row>
    <row r="538" spans="1:11">
      <c r="A538" t="str">
        <v/>
      </c>
      <c r="B538" s="6">
        <v>0</v>
      </c>
      <c r="C538" s="7" t="str">
        <v>趣点购浦发</v>
      </c>
      <c r="D538" s="8">
        <v>0</v>
      </c>
      <c r="E538" s="7">
        <v>0</v>
      </c>
      <c r="F538" s="8">
        <v>0</v>
      </c>
      <c r="G538" s="7">
        <v>0</v>
      </c>
      <c r="H538" s="7">
        <v>81211.819999998</v>
      </c>
      <c r="I538" s="7">
        <v>0</v>
      </c>
      <c r="J538" s="8">
        <v>0</v>
      </c>
      <c r="K538" s="9" t="str">
        <v/>
      </c>
    </row>
    <row r="539" spans="1:11">
      <c r="A539" t="str">
        <v/>
      </c>
      <c r="B539" s="6">
        <v>0</v>
      </c>
      <c r="C539" s="7" t="str">
        <v>趣点购浦发</v>
      </c>
      <c r="D539" s="8">
        <v>0</v>
      </c>
      <c r="E539" s="7">
        <v>0</v>
      </c>
      <c r="F539" s="8">
        <v>0</v>
      </c>
      <c r="G539" s="7">
        <v>0</v>
      </c>
      <c r="H539" s="7">
        <v>81211.819999998</v>
      </c>
      <c r="I539" s="7">
        <v>0</v>
      </c>
      <c r="J539" s="8">
        <v>0</v>
      </c>
      <c r="K539" s="9" t="str">
        <v/>
      </c>
    </row>
    <row r="540" spans="1:11">
      <c r="A540" t="str">
        <v/>
      </c>
      <c r="B540" s="6">
        <v>0</v>
      </c>
      <c r="C540" s="7" t="str">
        <v>趣点购浦发</v>
      </c>
      <c r="D540" s="8">
        <v>0</v>
      </c>
      <c r="E540" s="7">
        <v>0</v>
      </c>
      <c r="F540" s="8">
        <v>0</v>
      </c>
      <c r="G540" s="7">
        <v>0</v>
      </c>
      <c r="H540" s="7">
        <v>81211.819999998</v>
      </c>
      <c r="I540" s="7">
        <v>0</v>
      </c>
      <c r="J540" s="8">
        <v>0</v>
      </c>
      <c r="K540" s="9" t="str">
        <v/>
      </c>
    </row>
    <row r="541" spans="1:11">
      <c r="A541" t="str">
        <v/>
      </c>
      <c r="B541" s="6">
        <v>0</v>
      </c>
      <c r="C541" s="7" t="str">
        <v>趣点购浦发</v>
      </c>
      <c r="D541" s="8">
        <v>0</v>
      </c>
      <c r="E541" s="7">
        <v>0</v>
      </c>
      <c r="F541" s="8">
        <v>0</v>
      </c>
      <c r="G541" s="7">
        <v>0</v>
      </c>
      <c r="H541" s="7">
        <v>81211.819999998</v>
      </c>
      <c r="I541" s="7">
        <v>0</v>
      </c>
      <c r="J541" s="8">
        <v>0</v>
      </c>
      <c r="K541" s="9" t="str">
        <v/>
      </c>
    </row>
    <row r="542" spans="1:11">
      <c r="A542" t="str">
        <v/>
      </c>
      <c r="B542" s="6">
        <v>0</v>
      </c>
      <c r="C542" s="7" t="str">
        <v>趣点购浦发</v>
      </c>
      <c r="D542" s="8">
        <v>0</v>
      </c>
      <c r="E542" s="7">
        <v>0</v>
      </c>
      <c r="F542" s="8">
        <v>0</v>
      </c>
      <c r="G542" s="7">
        <v>0</v>
      </c>
      <c r="H542" s="7">
        <v>81211.819999998</v>
      </c>
      <c r="I542" s="7">
        <v>0</v>
      </c>
      <c r="J542" s="8">
        <v>0</v>
      </c>
      <c r="K542" s="9" t="str">
        <v/>
      </c>
    </row>
    <row r="543" spans="1:11">
      <c r="A543" t="str">
        <v/>
      </c>
      <c r="B543" s="6">
        <v>0</v>
      </c>
      <c r="C543" s="7" t="str">
        <v>趣点购浦发</v>
      </c>
      <c r="D543" s="8">
        <v>0</v>
      </c>
      <c r="E543" s="7">
        <v>0</v>
      </c>
      <c r="F543" s="8">
        <v>0</v>
      </c>
      <c r="G543" s="7">
        <v>0</v>
      </c>
      <c r="H543" s="7">
        <v>81211.819999998</v>
      </c>
      <c r="I543" s="7">
        <v>0</v>
      </c>
      <c r="J543" s="8">
        <v>0</v>
      </c>
      <c r="K543" s="9" t="str">
        <v/>
      </c>
    </row>
    <row r="544" spans="1:11">
      <c r="A544" t="str">
        <v/>
      </c>
      <c r="B544" s="6">
        <v>0</v>
      </c>
      <c r="C544" s="7" t="str">
        <v>趣点购浦发</v>
      </c>
      <c r="D544" s="8">
        <v>0</v>
      </c>
      <c r="E544" s="7">
        <v>0</v>
      </c>
      <c r="F544" s="8">
        <v>0</v>
      </c>
      <c r="G544" s="7">
        <v>0</v>
      </c>
      <c r="H544" s="7">
        <v>81211.819999998</v>
      </c>
      <c r="I544" s="7">
        <v>0</v>
      </c>
      <c r="J544" s="8">
        <v>0</v>
      </c>
      <c r="K544" s="9" t="str">
        <v/>
      </c>
    </row>
    <row r="545" spans="1:11">
      <c r="A545" t="str">
        <v/>
      </c>
      <c r="B545" s="6">
        <v>0</v>
      </c>
      <c r="C545" s="7" t="str">
        <v>趣点购浦发</v>
      </c>
      <c r="D545" s="8">
        <v>0</v>
      </c>
      <c r="E545" s="7">
        <v>0</v>
      </c>
      <c r="F545" s="8">
        <v>0</v>
      </c>
      <c r="G545" s="7">
        <v>0</v>
      </c>
      <c r="H545" s="7">
        <v>81211.819999998</v>
      </c>
      <c r="I545" s="7">
        <v>0</v>
      </c>
      <c r="J545" s="8">
        <v>0</v>
      </c>
      <c r="K545" s="9" t="str">
        <v/>
      </c>
    </row>
    <row r="546" spans="1:11">
      <c r="A546" t="str">
        <v/>
      </c>
      <c r="B546" s="6">
        <v>0</v>
      </c>
      <c r="C546" s="7" t="str">
        <v>趣点购浦发</v>
      </c>
      <c r="D546" s="8">
        <v>0</v>
      </c>
      <c r="E546" s="7">
        <v>0</v>
      </c>
      <c r="F546" s="8">
        <v>0</v>
      </c>
      <c r="G546" s="7">
        <v>0</v>
      </c>
      <c r="H546" s="7">
        <v>81211.819999998</v>
      </c>
      <c r="I546" s="7">
        <v>0</v>
      </c>
      <c r="J546" s="8">
        <v>0</v>
      </c>
      <c r="K546" s="9" t="str">
        <v/>
      </c>
    </row>
    <row r="547" spans="1:11">
      <c r="A547" t="str">
        <v/>
      </c>
      <c r="B547" s="6">
        <v>0</v>
      </c>
      <c r="C547" s="7" t="str">
        <v>趣点购浦发</v>
      </c>
      <c r="D547" s="8">
        <v>0</v>
      </c>
      <c r="E547" s="7">
        <v>0</v>
      </c>
      <c r="F547" s="8">
        <v>0</v>
      </c>
      <c r="G547" s="7">
        <v>0</v>
      </c>
      <c r="H547" s="7">
        <v>81211.819999998</v>
      </c>
      <c r="I547" s="7">
        <v>0</v>
      </c>
      <c r="J547" s="8">
        <v>0</v>
      </c>
      <c r="K547" s="9" t="str">
        <v/>
      </c>
    </row>
    <row r="548" spans="1:11">
      <c r="A548" t="str">
        <v/>
      </c>
      <c r="B548" s="6">
        <v>0</v>
      </c>
      <c r="C548" s="7" t="str">
        <v>趣点购浦发</v>
      </c>
      <c r="D548" s="8">
        <v>0</v>
      </c>
      <c r="E548" s="7">
        <v>0</v>
      </c>
      <c r="F548" s="8">
        <v>0</v>
      </c>
      <c r="G548" s="7">
        <v>0</v>
      </c>
      <c r="H548" s="7">
        <v>81211.819999998</v>
      </c>
      <c r="I548" s="7">
        <v>0</v>
      </c>
      <c r="J548" s="8">
        <v>0</v>
      </c>
      <c r="K548" s="9" t="str">
        <v/>
      </c>
    </row>
    <row r="549" spans="1:11">
      <c r="A549" t="str">
        <v/>
      </c>
      <c r="B549" s="6">
        <v>0</v>
      </c>
      <c r="C549" s="7" t="str">
        <v>趣点购浦发</v>
      </c>
      <c r="D549" s="8">
        <v>0</v>
      </c>
      <c r="E549" s="7">
        <v>0</v>
      </c>
      <c r="F549" s="8">
        <v>0</v>
      </c>
      <c r="G549" s="7">
        <v>0</v>
      </c>
      <c r="H549" s="7">
        <v>81211.819999998</v>
      </c>
      <c r="I549" s="7">
        <v>0</v>
      </c>
      <c r="J549" s="8">
        <v>0</v>
      </c>
      <c r="K549" s="9" t="str">
        <v/>
      </c>
    </row>
    <row r="550" spans="1:11">
      <c r="A550" t="str">
        <v/>
      </c>
      <c r="B550" s="6">
        <v>0</v>
      </c>
      <c r="C550" s="7" t="str">
        <v>趣点购浦发</v>
      </c>
      <c r="D550" s="8">
        <v>0</v>
      </c>
      <c r="E550" s="7">
        <v>0</v>
      </c>
      <c r="F550" s="8">
        <v>0</v>
      </c>
      <c r="G550" s="7">
        <v>0</v>
      </c>
      <c r="H550" s="7">
        <v>81211.819999998</v>
      </c>
      <c r="I550" s="7">
        <v>0</v>
      </c>
      <c r="J550" s="8">
        <v>0</v>
      </c>
      <c r="K550" s="9" t="str">
        <v/>
      </c>
    </row>
    <row r="551" spans="1:11">
      <c r="A551" t="str">
        <v/>
      </c>
      <c r="B551" s="6">
        <v>0</v>
      </c>
      <c r="C551" s="7" t="str">
        <v>趣点购浦发</v>
      </c>
      <c r="D551" s="8">
        <v>0</v>
      </c>
      <c r="E551" s="7">
        <v>0</v>
      </c>
      <c r="F551" s="8">
        <v>0</v>
      </c>
      <c r="G551" s="7">
        <v>0</v>
      </c>
      <c r="H551" s="7">
        <v>81211.819999998</v>
      </c>
      <c r="I551" s="7">
        <v>0</v>
      </c>
      <c r="J551" s="8">
        <v>0</v>
      </c>
      <c r="K551" s="9" t="str">
        <v/>
      </c>
    </row>
    <row r="552" spans="1:11">
      <c r="A552" t="str">
        <v/>
      </c>
      <c r="B552" s="6">
        <v>0</v>
      </c>
      <c r="C552" s="7" t="str">
        <v>趣点购浦发</v>
      </c>
      <c r="D552" s="8">
        <v>0</v>
      </c>
      <c r="E552" s="7">
        <v>0</v>
      </c>
      <c r="F552" s="8">
        <v>0</v>
      </c>
      <c r="G552" s="7">
        <v>0</v>
      </c>
      <c r="H552" s="7">
        <v>81211.819999998</v>
      </c>
      <c r="I552" s="7">
        <v>0</v>
      </c>
      <c r="J552" s="8">
        <v>0</v>
      </c>
      <c r="K552" s="9" t="str">
        <v/>
      </c>
    </row>
    <row r="553" spans="1:11">
      <c r="A553" t="str">
        <v/>
      </c>
      <c r="B553" s="6">
        <v>0</v>
      </c>
      <c r="C553" s="7" t="str">
        <v>趣点购浦发</v>
      </c>
      <c r="D553" s="8">
        <v>0</v>
      </c>
      <c r="E553" s="7">
        <v>0</v>
      </c>
      <c r="F553" s="8">
        <v>0</v>
      </c>
      <c r="G553" s="7">
        <v>0</v>
      </c>
      <c r="H553" s="7">
        <v>81211.819999998</v>
      </c>
      <c r="I553" s="7">
        <v>0</v>
      </c>
      <c r="J553" s="8">
        <v>0</v>
      </c>
      <c r="K553" s="9" t="str">
        <v/>
      </c>
    </row>
    <row r="554" spans="1:11">
      <c r="A554" t="str">
        <v/>
      </c>
      <c r="B554" s="6">
        <v>0</v>
      </c>
      <c r="C554" s="7" t="str">
        <v>趣点购浦发</v>
      </c>
      <c r="D554" s="8">
        <v>0</v>
      </c>
      <c r="E554" s="7">
        <v>0</v>
      </c>
      <c r="F554" s="8">
        <v>0</v>
      </c>
      <c r="G554" s="7">
        <v>0</v>
      </c>
      <c r="H554" s="7">
        <v>81211.819999998</v>
      </c>
      <c r="I554" s="7">
        <v>0</v>
      </c>
      <c r="J554" s="8">
        <v>0</v>
      </c>
      <c r="K554" s="9" t="str">
        <v/>
      </c>
    </row>
    <row r="555" spans="1:11">
      <c r="A555" t="str">
        <v/>
      </c>
      <c r="B555" s="6">
        <v>0</v>
      </c>
      <c r="C555" s="7" t="str">
        <v>趣点购浦发</v>
      </c>
      <c r="D555" s="8">
        <v>0</v>
      </c>
      <c r="E555" s="7">
        <v>0</v>
      </c>
      <c r="F555" s="8">
        <v>0</v>
      </c>
      <c r="G555" s="7">
        <v>0</v>
      </c>
      <c r="H555" s="7">
        <v>81211.819999998</v>
      </c>
      <c r="I555" s="7">
        <v>0</v>
      </c>
      <c r="J555" s="8">
        <v>0</v>
      </c>
      <c r="K555" s="9" t="str">
        <v/>
      </c>
    </row>
    <row r="556" spans="1:11">
      <c r="A556" t="str">
        <v/>
      </c>
      <c r="B556" s="6">
        <v>0</v>
      </c>
      <c r="C556" s="7" t="str">
        <v>趣点购浦发</v>
      </c>
      <c r="D556" s="8">
        <v>0</v>
      </c>
      <c r="E556" s="7">
        <v>0</v>
      </c>
      <c r="F556" s="8">
        <v>0</v>
      </c>
      <c r="G556" s="7">
        <v>0</v>
      </c>
      <c r="H556" s="7">
        <v>81211.819999998</v>
      </c>
      <c r="I556" s="7">
        <v>0</v>
      </c>
      <c r="J556" s="8">
        <v>0</v>
      </c>
      <c r="K556" s="9" t="str">
        <v/>
      </c>
    </row>
    <row r="557" spans="1:11">
      <c r="A557" t="str">
        <v/>
      </c>
      <c r="B557" s="6">
        <v>0</v>
      </c>
      <c r="C557" s="7" t="str">
        <v>趣点购浦发</v>
      </c>
      <c r="D557" s="8">
        <v>0</v>
      </c>
      <c r="E557" s="7">
        <v>0</v>
      </c>
      <c r="F557" s="8">
        <v>0</v>
      </c>
      <c r="G557" s="7">
        <v>0</v>
      </c>
      <c r="H557" s="7">
        <v>81211.819999998</v>
      </c>
      <c r="I557" s="7">
        <v>0</v>
      </c>
      <c r="J557" s="8">
        <v>0</v>
      </c>
      <c r="K557" s="9" t="str">
        <v/>
      </c>
    </row>
    <row r="558" spans="1:11">
      <c r="A558" t="str">
        <v/>
      </c>
      <c r="B558" s="6">
        <v>0</v>
      </c>
      <c r="C558" s="7" t="str">
        <v>趣点购浦发</v>
      </c>
      <c r="D558" s="8">
        <v>0</v>
      </c>
      <c r="E558" s="7">
        <v>0</v>
      </c>
      <c r="F558" s="8">
        <v>0</v>
      </c>
      <c r="G558" s="7">
        <v>0</v>
      </c>
      <c r="H558" s="7">
        <v>81211.819999998</v>
      </c>
      <c r="I558" s="7">
        <v>0</v>
      </c>
      <c r="J558" s="8">
        <v>0</v>
      </c>
      <c r="K558" s="9" t="str">
        <v/>
      </c>
    </row>
    <row r="559" spans="1:11">
      <c r="A559" t="str">
        <v/>
      </c>
      <c r="B559" s="6">
        <v>0</v>
      </c>
      <c r="C559" s="7" t="str">
        <v>趣点购浦发</v>
      </c>
      <c r="D559" s="8">
        <v>0</v>
      </c>
      <c r="E559" s="7">
        <v>0</v>
      </c>
      <c r="F559" s="8">
        <v>0</v>
      </c>
      <c r="G559" s="7">
        <v>0</v>
      </c>
      <c r="H559" s="7">
        <v>81211.819999998</v>
      </c>
      <c r="I559" s="7">
        <v>0</v>
      </c>
      <c r="J559" s="8">
        <v>0</v>
      </c>
      <c r="K559" s="9" t="str">
        <v/>
      </c>
    </row>
    <row r="560" spans="1:11">
      <c r="A560" t="str">
        <v/>
      </c>
      <c r="B560" s="6">
        <v>0</v>
      </c>
      <c r="C560" s="7" t="str">
        <v>趣点购浦发</v>
      </c>
      <c r="D560" s="8">
        <v>0</v>
      </c>
      <c r="E560" s="7">
        <v>0</v>
      </c>
      <c r="F560" s="8">
        <v>0</v>
      </c>
      <c r="G560" s="7">
        <v>0</v>
      </c>
      <c r="H560" s="7">
        <v>81211.819999998</v>
      </c>
      <c r="I560" s="7">
        <v>0</v>
      </c>
      <c r="J560" s="8">
        <v>0</v>
      </c>
      <c r="K560" s="9" t="str">
        <v/>
      </c>
    </row>
    <row r="561" spans="1:11">
      <c r="A561" t="str">
        <v/>
      </c>
      <c r="B561" s="6">
        <v>0</v>
      </c>
      <c r="C561" s="7" t="str">
        <v>趣点购浦发</v>
      </c>
      <c r="D561" s="8">
        <v>0</v>
      </c>
      <c r="E561" s="7">
        <v>0</v>
      </c>
      <c r="F561" s="8">
        <v>0</v>
      </c>
      <c r="G561" s="7">
        <v>0</v>
      </c>
      <c r="H561" s="7">
        <v>81211.819999998</v>
      </c>
      <c r="I561" s="7">
        <v>0</v>
      </c>
      <c r="J561" s="8">
        <v>0</v>
      </c>
      <c r="K561" s="9" t="str">
        <v/>
      </c>
    </row>
    <row r="562" spans="1:11">
      <c r="A562" t="str">
        <v/>
      </c>
      <c r="B562" s="6">
        <v>0</v>
      </c>
      <c r="C562" s="7" t="str">
        <v>趣点购浦发</v>
      </c>
      <c r="D562" s="8">
        <v>0</v>
      </c>
      <c r="E562" s="7">
        <v>0</v>
      </c>
      <c r="F562" s="8">
        <v>0</v>
      </c>
      <c r="G562" s="7">
        <v>0</v>
      </c>
      <c r="H562" s="7">
        <v>81211.819999998</v>
      </c>
      <c r="I562" s="7">
        <v>0</v>
      </c>
      <c r="J562" s="8">
        <v>0</v>
      </c>
      <c r="K562" s="9" t="str">
        <v/>
      </c>
    </row>
    <row r="563" spans="1:11">
      <c r="A563" t="str">
        <v/>
      </c>
      <c r="B563" s="6">
        <v>0</v>
      </c>
      <c r="C563" s="7" t="str">
        <v>趣点购浦发</v>
      </c>
      <c r="D563" s="8">
        <v>0</v>
      </c>
      <c r="E563" s="7">
        <v>0</v>
      </c>
      <c r="F563" s="8">
        <v>0</v>
      </c>
      <c r="G563" s="7">
        <v>0</v>
      </c>
      <c r="H563" s="7">
        <v>81211.819999998</v>
      </c>
      <c r="I563" s="7">
        <v>0</v>
      </c>
      <c r="J563" s="8">
        <v>0</v>
      </c>
      <c r="K563" s="9" t="str">
        <v/>
      </c>
    </row>
    <row r="564" spans="1:11">
      <c r="A564" t="str">
        <v/>
      </c>
      <c r="B564" s="6">
        <v>0</v>
      </c>
      <c r="C564" s="7" t="str">
        <v>趣点购浦发</v>
      </c>
      <c r="D564" s="8">
        <v>0</v>
      </c>
      <c r="E564" s="7">
        <v>0</v>
      </c>
      <c r="F564" s="8">
        <v>0</v>
      </c>
      <c r="G564" s="7">
        <v>0</v>
      </c>
      <c r="H564" s="7">
        <v>81211.819999998</v>
      </c>
      <c r="I564" s="7">
        <v>0</v>
      </c>
      <c r="J564" s="8">
        <v>0</v>
      </c>
      <c r="K564" s="9" t="str">
        <v/>
      </c>
    </row>
    <row r="565" spans="1:11">
      <c r="A565" t="str">
        <v/>
      </c>
      <c r="B565" s="6">
        <v>0</v>
      </c>
      <c r="C565" s="7" t="str">
        <v>趣点购浦发</v>
      </c>
      <c r="D565" s="8">
        <v>0</v>
      </c>
      <c r="E565" s="7">
        <v>0</v>
      </c>
      <c r="F565" s="8">
        <v>0</v>
      </c>
      <c r="G565" s="7">
        <v>0</v>
      </c>
      <c r="H565" s="7">
        <v>81211.819999998</v>
      </c>
      <c r="I565" s="7">
        <v>0</v>
      </c>
      <c r="J565" s="8">
        <v>0</v>
      </c>
      <c r="K565" s="9" t="str">
        <v/>
      </c>
    </row>
    <row r="566" spans="1:11">
      <c r="A566" t="str">
        <v/>
      </c>
      <c r="B566" s="6">
        <v>0</v>
      </c>
      <c r="C566" s="7" t="str">
        <v>趣点购浦发</v>
      </c>
      <c r="D566" s="8">
        <v>0</v>
      </c>
      <c r="E566" s="7">
        <v>0</v>
      </c>
      <c r="F566" s="8">
        <v>0</v>
      </c>
      <c r="G566" s="7">
        <v>0</v>
      </c>
      <c r="H566" s="7">
        <v>81211.819999998</v>
      </c>
      <c r="I566" s="7">
        <v>0</v>
      </c>
      <c r="J566" s="8">
        <v>0</v>
      </c>
      <c r="K566" s="9" t="str">
        <v/>
      </c>
    </row>
    <row r="567" spans="1:11">
      <c r="A567" t="str">
        <v/>
      </c>
      <c r="B567" s="6">
        <v>0</v>
      </c>
      <c r="C567" s="7" t="str">
        <v>趣点购浦发</v>
      </c>
      <c r="D567" s="8">
        <v>0</v>
      </c>
      <c r="E567" s="7">
        <v>0</v>
      </c>
      <c r="F567" s="8">
        <v>0</v>
      </c>
      <c r="G567" s="7">
        <v>0</v>
      </c>
      <c r="H567" s="7">
        <v>81211.819999998</v>
      </c>
      <c r="I567" s="7">
        <v>0</v>
      </c>
      <c r="J567" s="8">
        <v>0</v>
      </c>
      <c r="K567" s="9" t="str">
        <v/>
      </c>
    </row>
    <row r="568" spans="1:11">
      <c r="A568" t="str">
        <v/>
      </c>
      <c r="B568" s="6">
        <v>0</v>
      </c>
      <c r="C568" s="7" t="str">
        <v>趣点购浦发</v>
      </c>
      <c r="D568" s="8">
        <v>0</v>
      </c>
      <c r="E568" s="7">
        <v>0</v>
      </c>
      <c r="F568" s="8">
        <v>0</v>
      </c>
      <c r="G568" s="7">
        <v>0</v>
      </c>
      <c r="H568" s="7">
        <v>81211.819999998</v>
      </c>
      <c r="I568" s="7">
        <v>0</v>
      </c>
      <c r="J568" s="8">
        <v>0</v>
      </c>
      <c r="K568" s="9" t="str">
        <v/>
      </c>
    </row>
    <row r="569" spans="1:11">
      <c r="A569" t="str">
        <v/>
      </c>
      <c r="B569" s="6">
        <v>0</v>
      </c>
      <c r="C569" s="7" t="str">
        <v>趣点购浦发</v>
      </c>
      <c r="D569" s="8">
        <v>0</v>
      </c>
      <c r="E569" s="7">
        <v>0</v>
      </c>
      <c r="F569" s="8">
        <v>0</v>
      </c>
      <c r="G569" s="7">
        <v>0</v>
      </c>
      <c r="H569" s="7">
        <v>81211.819999998</v>
      </c>
      <c r="I569" s="7">
        <v>0</v>
      </c>
      <c r="J569" s="8">
        <v>0</v>
      </c>
      <c r="K569" s="9" t="str">
        <v/>
      </c>
    </row>
    <row r="570" spans="1:11">
      <c r="A570" t="str">
        <v/>
      </c>
      <c r="B570" s="6">
        <v>0</v>
      </c>
      <c r="C570" s="7" t="str">
        <v>趣点购浦发</v>
      </c>
      <c r="D570" s="8">
        <v>0</v>
      </c>
      <c r="E570" s="7">
        <v>0</v>
      </c>
      <c r="F570" s="8">
        <v>0</v>
      </c>
      <c r="G570" s="7">
        <v>0</v>
      </c>
      <c r="H570" s="7">
        <v>81211.819999998</v>
      </c>
      <c r="I570" s="7">
        <v>0</v>
      </c>
      <c r="J570" s="8">
        <v>0</v>
      </c>
      <c r="K570" s="9" t="str">
        <v/>
      </c>
    </row>
    <row r="571" spans="1:11">
      <c r="A571" t="str">
        <v/>
      </c>
      <c r="B571" s="6">
        <v>0</v>
      </c>
      <c r="C571" s="7" t="str">
        <v>趣点购浦发</v>
      </c>
      <c r="D571" s="8">
        <v>0</v>
      </c>
      <c r="E571" s="7">
        <v>0</v>
      </c>
      <c r="F571" s="8">
        <v>0</v>
      </c>
      <c r="G571" s="7">
        <v>0</v>
      </c>
      <c r="H571" s="7">
        <v>81211.819999998</v>
      </c>
      <c r="I571" s="7">
        <v>0</v>
      </c>
      <c r="J571" s="8">
        <v>0</v>
      </c>
      <c r="K571" s="9" t="str">
        <v/>
      </c>
    </row>
    <row r="572" spans="1:11">
      <c r="A572" t="str">
        <v/>
      </c>
      <c r="B572" s="6">
        <v>0</v>
      </c>
      <c r="C572" s="7" t="str">
        <v>趣点购浦发</v>
      </c>
      <c r="D572" s="8">
        <v>0</v>
      </c>
      <c r="E572" s="7">
        <v>0</v>
      </c>
      <c r="F572" s="8">
        <v>0</v>
      </c>
      <c r="G572" s="7">
        <v>0</v>
      </c>
      <c r="H572" s="7">
        <v>81211.819999998</v>
      </c>
      <c r="I572" s="7">
        <v>0</v>
      </c>
      <c r="J572" s="8">
        <v>0</v>
      </c>
      <c r="K572" s="9" t="str">
        <v/>
      </c>
    </row>
    <row r="573" spans="1:11">
      <c r="A573" t="str">
        <v/>
      </c>
      <c r="B573" s="6">
        <v>0</v>
      </c>
      <c r="C573" s="7" t="str">
        <v>趣点购浦发</v>
      </c>
      <c r="D573" s="8">
        <v>0</v>
      </c>
      <c r="E573" s="7">
        <v>0</v>
      </c>
      <c r="F573" s="8">
        <v>0</v>
      </c>
      <c r="G573" s="7">
        <v>0</v>
      </c>
      <c r="H573" s="7">
        <v>81211.819999998</v>
      </c>
      <c r="I573" s="7">
        <v>0</v>
      </c>
      <c r="J573" s="8">
        <v>0</v>
      </c>
      <c r="K573" s="9" t="str">
        <v/>
      </c>
    </row>
    <row r="574" spans="1:11">
      <c r="A574" t="str">
        <v/>
      </c>
      <c r="B574" s="6">
        <v>0</v>
      </c>
      <c r="C574" s="7" t="str">
        <v>趣点购浦发</v>
      </c>
      <c r="D574" s="8">
        <v>0</v>
      </c>
      <c r="E574" s="7">
        <v>0</v>
      </c>
      <c r="F574" s="8">
        <v>0</v>
      </c>
      <c r="G574" s="7">
        <v>0</v>
      </c>
      <c r="H574" s="7">
        <v>81211.819999998</v>
      </c>
      <c r="I574" s="7">
        <v>0</v>
      </c>
      <c r="J574" s="8">
        <v>0</v>
      </c>
      <c r="K574" s="9" t="str">
        <v/>
      </c>
    </row>
    <row r="575" spans="1:11">
      <c r="A575" t="str">
        <v/>
      </c>
      <c r="B575" s="6">
        <v>0</v>
      </c>
      <c r="C575" s="7" t="str">
        <v>趣点购浦发</v>
      </c>
      <c r="D575" s="8">
        <v>0</v>
      </c>
      <c r="E575" s="7">
        <v>0</v>
      </c>
      <c r="F575" s="8">
        <v>0</v>
      </c>
      <c r="G575" s="7">
        <v>0</v>
      </c>
      <c r="H575" s="7">
        <v>81211.819999998</v>
      </c>
      <c r="I575" s="7">
        <v>0</v>
      </c>
      <c r="J575" s="8">
        <v>0</v>
      </c>
      <c r="K575" s="9" t="str">
        <v/>
      </c>
    </row>
    <row r="576" spans="1:11">
      <c r="A576" t="str">
        <v/>
      </c>
      <c r="B576" s="6">
        <v>0</v>
      </c>
      <c r="C576" s="7" t="str">
        <v>趣点购浦发</v>
      </c>
      <c r="D576" s="8">
        <v>0</v>
      </c>
      <c r="E576" s="7">
        <v>0</v>
      </c>
      <c r="F576" s="8">
        <v>0</v>
      </c>
      <c r="G576" s="7">
        <v>0</v>
      </c>
      <c r="H576" s="7">
        <v>81211.819999998</v>
      </c>
      <c r="I576" s="7">
        <v>0</v>
      </c>
      <c r="J576" s="8">
        <v>0</v>
      </c>
      <c r="K576" s="9" t="str">
        <v/>
      </c>
    </row>
    <row r="577" spans="1:11">
      <c r="A577" t="str">
        <v/>
      </c>
      <c r="B577" s="6">
        <v>0</v>
      </c>
      <c r="C577" s="7" t="str">
        <v>趣点购浦发</v>
      </c>
      <c r="D577" s="8">
        <v>0</v>
      </c>
      <c r="E577" s="7">
        <v>0</v>
      </c>
      <c r="F577" s="8">
        <v>0</v>
      </c>
      <c r="G577" s="7">
        <v>0</v>
      </c>
      <c r="H577" s="7">
        <v>81211.819999998</v>
      </c>
      <c r="I577" s="7">
        <v>0</v>
      </c>
      <c r="J577" s="8">
        <v>0</v>
      </c>
      <c r="K577" s="9" t="str">
        <v/>
      </c>
    </row>
    <row r="578" spans="1:11">
      <c r="A578" t="str">
        <v/>
      </c>
      <c r="B578" s="6">
        <v>0</v>
      </c>
      <c r="C578" s="7" t="str">
        <v>趣点购浦发</v>
      </c>
      <c r="D578" s="8">
        <v>0</v>
      </c>
      <c r="E578" s="7">
        <v>0</v>
      </c>
      <c r="F578" s="8">
        <v>0</v>
      </c>
      <c r="G578" s="7">
        <v>0</v>
      </c>
      <c r="H578" s="7">
        <v>81211.819999998</v>
      </c>
      <c r="I578" s="7">
        <v>0</v>
      </c>
      <c r="J578" s="8">
        <v>0</v>
      </c>
      <c r="K578" s="9" t="str">
        <v/>
      </c>
    </row>
    <row r="579" spans="1:11">
      <c r="A579" t="str">
        <v/>
      </c>
      <c r="B579" s="6">
        <v>0</v>
      </c>
      <c r="C579" s="7" t="str">
        <v>趣点购浦发</v>
      </c>
      <c r="D579" s="8">
        <v>0</v>
      </c>
      <c r="E579" s="7">
        <v>0</v>
      </c>
      <c r="F579" s="8">
        <v>0</v>
      </c>
      <c r="G579" s="7">
        <v>0</v>
      </c>
      <c r="H579" s="7">
        <v>81211.819999998</v>
      </c>
      <c r="I579" s="7">
        <v>0</v>
      </c>
      <c r="J579" s="8">
        <v>0</v>
      </c>
      <c r="K579" s="9" t="str">
        <v/>
      </c>
    </row>
    <row r="580" spans="1:11">
      <c r="A580" t="str">
        <v/>
      </c>
      <c r="B580" s="6">
        <v>0</v>
      </c>
      <c r="C580" s="7" t="str">
        <v>趣点购浦发</v>
      </c>
      <c r="D580" s="8">
        <v>0</v>
      </c>
      <c r="E580" s="7">
        <v>0</v>
      </c>
      <c r="F580" s="8">
        <v>0</v>
      </c>
      <c r="G580" s="7">
        <v>0</v>
      </c>
      <c r="H580" s="7">
        <v>81211.819999998</v>
      </c>
      <c r="I580" s="7">
        <v>0</v>
      </c>
      <c r="J580" s="8">
        <v>0</v>
      </c>
      <c r="K580" s="9" t="str">
        <v/>
      </c>
    </row>
    <row r="581" spans="1:11">
      <c r="A581" t="str">
        <v/>
      </c>
      <c r="B581" s="6">
        <v>0</v>
      </c>
      <c r="C581" s="7" t="str">
        <v>趣点购浦发</v>
      </c>
      <c r="D581" s="8">
        <v>0</v>
      </c>
      <c r="E581" s="7">
        <v>0</v>
      </c>
      <c r="F581" s="8">
        <v>0</v>
      </c>
      <c r="G581" s="7">
        <v>0</v>
      </c>
      <c r="H581" s="7">
        <v>81211.819999998</v>
      </c>
      <c r="I581" s="7">
        <v>0</v>
      </c>
      <c r="J581" s="8">
        <v>0</v>
      </c>
      <c r="K581" s="9" t="str">
        <v/>
      </c>
    </row>
    <row r="582" spans="1:11">
      <c r="A582" t="str">
        <v/>
      </c>
      <c r="B582" s="6">
        <v>0</v>
      </c>
      <c r="C582" s="7" t="str">
        <v>趣点购浦发</v>
      </c>
      <c r="D582" s="8">
        <v>0</v>
      </c>
      <c r="E582" s="7">
        <v>0</v>
      </c>
      <c r="F582" s="8">
        <v>0</v>
      </c>
      <c r="G582" s="7">
        <v>0</v>
      </c>
      <c r="H582" s="7">
        <v>81211.819999998</v>
      </c>
      <c r="I582" s="7">
        <v>0</v>
      </c>
      <c r="J582" s="8">
        <v>0</v>
      </c>
      <c r="K582" s="9" t="str">
        <v/>
      </c>
    </row>
    <row r="583" spans="1:11">
      <c r="A583" t="str">
        <v/>
      </c>
      <c r="B583" s="6">
        <v>0</v>
      </c>
      <c r="C583" s="7" t="str">
        <v>趣点购浦发</v>
      </c>
      <c r="D583" s="8">
        <v>0</v>
      </c>
      <c r="E583" s="7">
        <v>0</v>
      </c>
      <c r="F583" s="8">
        <v>0</v>
      </c>
      <c r="G583" s="7">
        <v>0</v>
      </c>
      <c r="H583" s="7">
        <v>81211.819999998</v>
      </c>
      <c r="I583" s="7">
        <v>0</v>
      </c>
      <c r="J583" s="8">
        <v>0</v>
      </c>
      <c r="K583" s="9" t="str">
        <v/>
      </c>
    </row>
    <row r="584" spans="1:11">
      <c r="A584" t="str">
        <v/>
      </c>
      <c r="B584" s="6">
        <v>0</v>
      </c>
      <c r="C584" s="7" t="str">
        <v>趣点购浦发</v>
      </c>
      <c r="D584" s="8">
        <v>0</v>
      </c>
      <c r="E584" s="7">
        <v>0</v>
      </c>
      <c r="F584" s="8">
        <v>0</v>
      </c>
      <c r="G584" s="7">
        <v>0</v>
      </c>
      <c r="H584" s="7">
        <v>81211.819999998</v>
      </c>
      <c r="I584" s="7">
        <v>0</v>
      </c>
      <c r="J584" s="8">
        <v>0</v>
      </c>
      <c r="K584" s="9" t="str">
        <v/>
      </c>
    </row>
    <row r="585" spans="1:11">
      <c r="A585" t="str">
        <v/>
      </c>
      <c r="B585" s="6">
        <v>0</v>
      </c>
      <c r="C585" s="7" t="str">
        <v>趣点购浦发</v>
      </c>
      <c r="D585" s="8">
        <v>0</v>
      </c>
      <c r="E585" s="7">
        <v>0</v>
      </c>
      <c r="F585" s="8">
        <v>0</v>
      </c>
      <c r="G585" s="7">
        <v>0</v>
      </c>
      <c r="H585" s="7">
        <v>81211.819999998</v>
      </c>
      <c r="I585" s="7">
        <v>0</v>
      </c>
      <c r="J585" s="8">
        <v>0</v>
      </c>
      <c r="K585" s="9" t="str">
        <v/>
      </c>
    </row>
    <row r="586" spans="1:11">
      <c r="A586" t="str">
        <v/>
      </c>
      <c r="B586" s="6">
        <v>0</v>
      </c>
      <c r="C586" s="7" t="str">
        <v>趣点购浦发</v>
      </c>
      <c r="D586" s="8">
        <v>0</v>
      </c>
      <c r="E586" s="7">
        <v>0</v>
      </c>
      <c r="F586" s="8">
        <v>0</v>
      </c>
      <c r="G586" s="7">
        <v>0</v>
      </c>
      <c r="H586" s="7">
        <v>81211.819999998</v>
      </c>
      <c r="I586" s="7">
        <v>0</v>
      </c>
      <c r="J586" s="8">
        <v>0</v>
      </c>
      <c r="K586" s="9" t="str">
        <v/>
      </c>
    </row>
    <row r="587" spans="1:11">
      <c r="A587" t="str">
        <v/>
      </c>
      <c r="B587" s="6">
        <v>0</v>
      </c>
      <c r="C587" s="7" t="str">
        <v>趣点购浦发</v>
      </c>
      <c r="D587" s="8">
        <v>0</v>
      </c>
      <c r="E587" s="7">
        <v>0</v>
      </c>
      <c r="F587" s="8">
        <v>0</v>
      </c>
      <c r="G587" s="7">
        <v>0</v>
      </c>
      <c r="H587" s="7">
        <v>81211.819999998</v>
      </c>
      <c r="I587" s="7">
        <v>0</v>
      </c>
      <c r="J587" s="8">
        <v>0</v>
      </c>
      <c r="K587" s="9" t="str">
        <v/>
      </c>
    </row>
    <row r="588" spans="1:11">
      <c r="A588" t="str">
        <v/>
      </c>
      <c r="B588" s="6">
        <v>0</v>
      </c>
      <c r="C588" s="7" t="str">
        <v>趣点购浦发</v>
      </c>
      <c r="D588" s="8">
        <v>0</v>
      </c>
      <c r="E588" s="7">
        <v>0</v>
      </c>
      <c r="F588" s="8">
        <v>0</v>
      </c>
      <c r="G588" s="7">
        <v>0</v>
      </c>
      <c r="H588" s="7">
        <v>81211.819999998</v>
      </c>
      <c r="I588" s="7">
        <v>0</v>
      </c>
      <c r="J588" s="8">
        <v>0</v>
      </c>
      <c r="K588" s="9" t="str">
        <v/>
      </c>
    </row>
    <row r="589" spans="1:11">
      <c r="A589" t="str">
        <v/>
      </c>
      <c r="B589" s="6">
        <v>0</v>
      </c>
      <c r="C589" s="7" t="str">
        <v>趣点购浦发</v>
      </c>
      <c r="D589" s="8">
        <v>0</v>
      </c>
      <c r="E589" s="7">
        <v>0</v>
      </c>
      <c r="F589" s="8">
        <v>0</v>
      </c>
      <c r="G589" s="7">
        <v>0</v>
      </c>
      <c r="H589" s="7">
        <v>81211.819999998</v>
      </c>
      <c r="I589" s="7">
        <v>0</v>
      </c>
      <c r="J589" s="8">
        <v>0</v>
      </c>
      <c r="K589" s="9" t="str">
        <v/>
      </c>
    </row>
    <row r="590" spans="1:11">
      <c r="A590" t="str">
        <v/>
      </c>
      <c r="B590" s="6">
        <v>0</v>
      </c>
      <c r="C590" s="7" t="str">
        <v>趣点购浦发</v>
      </c>
      <c r="D590" s="8">
        <v>0</v>
      </c>
      <c r="E590" s="7">
        <v>0</v>
      </c>
      <c r="F590" s="8">
        <v>0</v>
      </c>
      <c r="G590" s="7">
        <v>0</v>
      </c>
      <c r="H590" s="7">
        <v>81211.819999998</v>
      </c>
      <c r="I590" s="7">
        <v>0</v>
      </c>
      <c r="J590" s="8">
        <v>0</v>
      </c>
      <c r="K590" s="9" t="str">
        <v/>
      </c>
    </row>
    <row r="591" spans="1:11">
      <c r="A591" t="str">
        <v/>
      </c>
      <c r="B591" s="6">
        <v>0</v>
      </c>
      <c r="C591" s="7" t="str">
        <v>趣点购浦发</v>
      </c>
      <c r="D591" s="8">
        <v>0</v>
      </c>
      <c r="E591" s="7">
        <v>0</v>
      </c>
      <c r="F591" s="8">
        <v>0</v>
      </c>
      <c r="G591" s="7">
        <v>0</v>
      </c>
      <c r="H591" s="7">
        <v>81211.819999998</v>
      </c>
      <c r="I591" s="7">
        <v>0</v>
      </c>
      <c r="J591" s="8">
        <v>0</v>
      </c>
      <c r="K591" s="9" t="str">
        <v/>
      </c>
    </row>
    <row r="592" spans="1:11">
      <c r="A592" t="str">
        <v/>
      </c>
      <c r="B592" s="6">
        <v>0</v>
      </c>
      <c r="C592" s="7" t="str">
        <v>趣点购浦发</v>
      </c>
      <c r="D592" s="8">
        <v>0</v>
      </c>
      <c r="E592" s="7">
        <v>0</v>
      </c>
      <c r="F592" s="8">
        <v>0</v>
      </c>
      <c r="G592" s="7">
        <v>0</v>
      </c>
      <c r="H592" s="7">
        <v>81211.819999998</v>
      </c>
      <c r="I592" s="7">
        <v>0</v>
      </c>
      <c r="J592" s="8">
        <v>0</v>
      </c>
      <c r="K592" s="9" t="str">
        <v/>
      </c>
    </row>
    <row r="593" spans="1:11">
      <c r="A593" t="str">
        <v/>
      </c>
      <c r="B593" s="6">
        <v>0</v>
      </c>
      <c r="C593" s="7" t="str">
        <v>趣点购浦发</v>
      </c>
      <c r="D593" s="8">
        <v>0</v>
      </c>
      <c r="E593" s="7">
        <v>0</v>
      </c>
      <c r="F593" s="8">
        <v>0</v>
      </c>
      <c r="G593" s="7">
        <v>0</v>
      </c>
      <c r="H593" s="7">
        <v>81211.819999998</v>
      </c>
      <c r="I593" s="7">
        <v>0</v>
      </c>
      <c r="J593" s="8">
        <v>0</v>
      </c>
      <c r="K593" s="9" t="str">
        <v/>
      </c>
    </row>
    <row r="594" spans="1:11">
      <c r="A594" t="str">
        <v/>
      </c>
      <c r="B594" s="6">
        <v>0</v>
      </c>
      <c r="C594" s="7" t="str">
        <v>趣点购浦发</v>
      </c>
      <c r="D594" s="8">
        <v>0</v>
      </c>
      <c r="E594" s="7">
        <v>0</v>
      </c>
      <c r="F594" s="8">
        <v>0</v>
      </c>
      <c r="G594" s="7">
        <v>0</v>
      </c>
      <c r="H594" s="7">
        <v>81211.819999998</v>
      </c>
      <c r="I594" s="7">
        <v>0</v>
      </c>
      <c r="J594" s="8">
        <v>0</v>
      </c>
      <c r="K594" s="9" t="str">
        <v/>
      </c>
    </row>
    <row r="595" spans="1:11">
      <c r="A595" t="str">
        <v/>
      </c>
      <c r="B595" s="6">
        <v>0</v>
      </c>
      <c r="C595" s="7" t="str">
        <v>趣点购浦发</v>
      </c>
      <c r="D595" s="8">
        <v>0</v>
      </c>
      <c r="E595" s="7">
        <v>0</v>
      </c>
      <c r="F595" s="8">
        <v>0</v>
      </c>
      <c r="G595" s="7">
        <v>0</v>
      </c>
      <c r="H595" s="7">
        <v>81211.819999998</v>
      </c>
      <c r="I595" s="7">
        <v>0</v>
      </c>
      <c r="J595" s="8">
        <v>0</v>
      </c>
      <c r="K595" s="9" t="str">
        <v/>
      </c>
    </row>
    <row r="596" spans="1:11">
      <c r="A596" t="str">
        <v/>
      </c>
      <c r="B596" s="6">
        <v>0</v>
      </c>
      <c r="C596" s="7" t="str">
        <v>趣点购浦发</v>
      </c>
      <c r="D596" s="8">
        <v>0</v>
      </c>
      <c r="E596" s="7">
        <v>0</v>
      </c>
      <c r="F596" s="8">
        <v>0</v>
      </c>
      <c r="G596" s="7">
        <v>0</v>
      </c>
      <c r="H596" s="7">
        <v>81211.819999998</v>
      </c>
      <c r="I596" s="7">
        <v>0</v>
      </c>
      <c r="J596" s="8">
        <v>0</v>
      </c>
      <c r="K596" s="9" t="str">
        <v/>
      </c>
    </row>
    <row r="597" spans="1:11">
      <c r="A597" t="str">
        <v/>
      </c>
      <c r="B597" s="6">
        <v>0</v>
      </c>
      <c r="C597" s="7" t="str">
        <v>趣点购浦发</v>
      </c>
      <c r="D597" s="8">
        <v>0</v>
      </c>
      <c r="E597" s="7">
        <v>0</v>
      </c>
      <c r="F597" s="8">
        <v>0</v>
      </c>
      <c r="G597" s="7">
        <v>0</v>
      </c>
      <c r="H597" s="7">
        <v>81211.819999998</v>
      </c>
      <c r="I597" s="7">
        <v>0</v>
      </c>
      <c r="J597" s="8">
        <v>0</v>
      </c>
      <c r="K597" s="9" t="str">
        <v/>
      </c>
    </row>
    <row r="598" spans="1:11">
      <c r="A598" t="str">
        <v/>
      </c>
      <c r="B598" s="6">
        <v>0</v>
      </c>
      <c r="C598" s="7" t="str">
        <v>趣点购浦发</v>
      </c>
      <c r="D598" s="8">
        <v>0</v>
      </c>
      <c r="E598" s="7">
        <v>0</v>
      </c>
      <c r="F598" s="8">
        <v>0</v>
      </c>
      <c r="G598" s="7">
        <v>0</v>
      </c>
      <c r="H598" s="7">
        <v>81211.819999998</v>
      </c>
      <c r="I598" s="7">
        <v>0</v>
      </c>
      <c r="J598" s="8">
        <v>0</v>
      </c>
      <c r="K598" s="9" t="str">
        <v/>
      </c>
    </row>
    <row r="599" spans="1:11">
      <c r="A599" t="str">
        <v/>
      </c>
      <c r="B599" s="6">
        <v>0</v>
      </c>
      <c r="C599" s="7" t="str">
        <v>趣点购浦发</v>
      </c>
      <c r="D599" s="8">
        <v>0</v>
      </c>
      <c r="E599" s="7">
        <v>0</v>
      </c>
      <c r="F599" s="8">
        <v>0</v>
      </c>
      <c r="G599" s="7">
        <v>0</v>
      </c>
      <c r="H599" s="7">
        <v>81211.819999998</v>
      </c>
      <c r="I599" s="7">
        <v>0</v>
      </c>
      <c r="J599" s="8">
        <v>0</v>
      </c>
      <c r="K599" s="9" t="str">
        <v/>
      </c>
    </row>
    <row r="600" spans="1:11">
      <c r="A600" t="str">
        <v/>
      </c>
      <c r="B600" s="6">
        <v>0</v>
      </c>
      <c r="C600" s="7" t="str">
        <v>趣点购浦发</v>
      </c>
      <c r="D600" s="8">
        <v>0</v>
      </c>
      <c r="E600" s="7">
        <v>0</v>
      </c>
      <c r="F600" s="8">
        <v>0</v>
      </c>
      <c r="G600" s="7">
        <v>0</v>
      </c>
      <c r="H600" s="7">
        <v>81211.819999998</v>
      </c>
      <c r="I600" s="7">
        <v>0</v>
      </c>
      <c r="J600" s="8">
        <v>0</v>
      </c>
      <c r="K600" s="9" t="str">
        <v/>
      </c>
    </row>
    <row r="601" spans="1:11">
      <c r="A601" t="str">
        <v/>
      </c>
      <c r="B601" s="6">
        <v>0</v>
      </c>
      <c r="C601" s="7" t="str">
        <v>趣点购浦发</v>
      </c>
      <c r="D601" s="8">
        <v>0</v>
      </c>
      <c r="E601" s="7">
        <v>0</v>
      </c>
      <c r="F601" s="8">
        <v>0</v>
      </c>
      <c r="G601" s="7">
        <v>0</v>
      </c>
      <c r="H601" s="7">
        <v>81211.819999998</v>
      </c>
      <c r="I601" s="7">
        <v>0</v>
      </c>
      <c r="J601" s="8">
        <v>0</v>
      </c>
      <c r="K601" s="9" t="str">
        <v/>
      </c>
    </row>
    <row r="602" spans="1:11">
      <c r="A602" t="str">
        <v/>
      </c>
      <c r="B602" s="6">
        <v>0</v>
      </c>
      <c r="C602" s="7" t="str">
        <v>趣点购浦发</v>
      </c>
      <c r="D602" s="8">
        <v>0</v>
      </c>
      <c r="E602" s="7">
        <v>0</v>
      </c>
      <c r="F602" s="8">
        <v>0</v>
      </c>
      <c r="G602" s="7">
        <v>0</v>
      </c>
      <c r="H602" s="7">
        <v>81211.819999998</v>
      </c>
      <c r="I602" s="7">
        <v>0</v>
      </c>
      <c r="J602" s="8">
        <v>0</v>
      </c>
      <c r="K602" s="9" t="str">
        <v/>
      </c>
    </row>
    <row r="603" spans="1:11">
      <c r="A603" t="str">
        <v/>
      </c>
      <c r="B603" s="6">
        <v>0</v>
      </c>
      <c r="C603" s="7" t="str">
        <v>趣点购浦发</v>
      </c>
      <c r="D603" s="8">
        <v>0</v>
      </c>
      <c r="E603" s="7">
        <v>0</v>
      </c>
      <c r="F603" s="8">
        <v>0</v>
      </c>
      <c r="G603" s="7">
        <v>0</v>
      </c>
      <c r="H603" s="7">
        <v>81211.819999998</v>
      </c>
      <c r="I603" s="7">
        <v>0</v>
      </c>
      <c r="J603" s="8">
        <v>0</v>
      </c>
      <c r="K603" s="9" t="str">
        <v/>
      </c>
    </row>
    <row r="604" spans="1:11">
      <c r="A604" t="str">
        <v/>
      </c>
      <c r="B604" s="6">
        <v>0</v>
      </c>
      <c r="C604" s="7" t="str">
        <v>趣点购浦发</v>
      </c>
      <c r="D604" s="8">
        <v>0</v>
      </c>
      <c r="E604" s="7">
        <v>0</v>
      </c>
      <c r="F604" s="8">
        <v>0</v>
      </c>
      <c r="G604" s="7">
        <v>0</v>
      </c>
      <c r="H604" s="7">
        <v>81211.819999998</v>
      </c>
      <c r="I604" s="7">
        <v>0</v>
      </c>
      <c r="J604" s="8">
        <v>0</v>
      </c>
      <c r="K604" s="9" t="str">
        <v/>
      </c>
    </row>
    <row r="605" spans="1:11">
      <c r="A605" t="str">
        <v/>
      </c>
      <c r="B605" s="6">
        <v>0</v>
      </c>
      <c r="C605" s="7" t="str">
        <v>趣点购浦发</v>
      </c>
      <c r="D605" s="8">
        <v>0</v>
      </c>
      <c r="E605" s="7">
        <v>0</v>
      </c>
      <c r="F605" s="8">
        <v>0</v>
      </c>
      <c r="G605" s="7">
        <v>0</v>
      </c>
      <c r="H605" s="7">
        <v>81211.819999998</v>
      </c>
      <c r="I605" s="7">
        <v>0</v>
      </c>
      <c r="J605" s="8">
        <v>0</v>
      </c>
      <c r="K605" s="9" t="str">
        <v/>
      </c>
    </row>
    <row r="606" spans="1:11">
      <c r="A606" t="str">
        <v/>
      </c>
      <c r="B606" s="6">
        <v>0</v>
      </c>
      <c r="C606" s="7" t="str">
        <v>趣点购浦发</v>
      </c>
      <c r="D606" s="8">
        <v>0</v>
      </c>
      <c r="E606" s="7">
        <v>0</v>
      </c>
      <c r="F606" s="8">
        <v>0</v>
      </c>
      <c r="G606" s="7">
        <v>0</v>
      </c>
      <c r="H606" s="7">
        <v>81211.819999998</v>
      </c>
      <c r="I606" s="7">
        <v>0</v>
      </c>
      <c r="J606" s="8">
        <v>0</v>
      </c>
      <c r="K606" s="9" t="str">
        <v/>
      </c>
    </row>
    <row r="607" spans="1:11">
      <c r="A607" t="str">
        <v/>
      </c>
      <c r="B607" s="6">
        <v>0</v>
      </c>
      <c r="C607" s="7" t="str">
        <v>趣点购浦发</v>
      </c>
      <c r="D607" s="8">
        <v>0</v>
      </c>
      <c r="E607" s="7">
        <v>0</v>
      </c>
      <c r="F607" s="8">
        <v>0</v>
      </c>
      <c r="G607" s="7">
        <v>0</v>
      </c>
      <c r="H607" s="7">
        <v>81211.819999998</v>
      </c>
      <c r="I607" s="7">
        <v>0</v>
      </c>
      <c r="J607" s="8">
        <v>0</v>
      </c>
      <c r="K607" s="9" t="str">
        <v/>
      </c>
    </row>
    <row r="608" spans="1:11">
      <c r="A608" t="str">
        <v/>
      </c>
      <c r="B608" s="6">
        <v>0</v>
      </c>
      <c r="C608" s="7" t="str">
        <v>趣点购浦发</v>
      </c>
      <c r="D608" s="8">
        <v>0</v>
      </c>
      <c r="E608" s="7">
        <v>0</v>
      </c>
      <c r="F608" s="8">
        <v>0</v>
      </c>
      <c r="G608" s="7">
        <v>0</v>
      </c>
      <c r="H608" s="7">
        <v>81211.819999998</v>
      </c>
      <c r="I608" s="7">
        <v>0</v>
      </c>
      <c r="J608" s="8">
        <v>0</v>
      </c>
      <c r="K608" s="9" t="str">
        <v/>
      </c>
    </row>
    <row r="609" spans="1:11">
      <c r="A609" t="str">
        <v/>
      </c>
      <c r="B609" s="6">
        <v>0</v>
      </c>
      <c r="C609" s="7" t="str">
        <v>趣点购浦发</v>
      </c>
      <c r="D609" s="8">
        <v>0</v>
      </c>
      <c r="E609" s="7">
        <v>0</v>
      </c>
      <c r="F609" s="8">
        <v>0</v>
      </c>
      <c r="G609" s="7">
        <v>0</v>
      </c>
      <c r="H609" s="7">
        <v>81211.819999998</v>
      </c>
      <c r="I609" s="7">
        <v>0</v>
      </c>
      <c r="J609" s="8">
        <v>0</v>
      </c>
      <c r="K609" s="9" t="str">
        <v/>
      </c>
    </row>
    <row r="610" spans="1:11">
      <c r="A610" t="str">
        <v/>
      </c>
      <c r="B610" s="6">
        <v>0</v>
      </c>
      <c r="C610" s="7" t="str">
        <v>趣点购浦发</v>
      </c>
      <c r="D610" s="8">
        <v>0</v>
      </c>
      <c r="E610" s="7">
        <v>0</v>
      </c>
      <c r="F610" s="8">
        <v>0</v>
      </c>
      <c r="G610" s="7">
        <v>0</v>
      </c>
      <c r="H610" s="7">
        <v>81211.819999998</v>
      </c>
      <c r="I610" s="7">
        <v>0</v>
      </c>
      <c r="J610" s="8">
        <v>0</v>
      </c>
      <c r="K610" s="9" t="str">
        <v/>
      </c>
    </row>
    <row r="611" spans="1:11">
      <c r="A611" t="str">
        <v/>
      </c>
      <c r="B611" s="6">
        <v>0</v>
      </c>
      <c r="C611" s="7" t="str">
        <v>趣点购浦发</v>
      </c>
      <c r="D611" s="8">
        <v>0</v>
      </c>
      <c r="E611" s="7">
        <v>0</v>
      </c>
      <c r="F611" s="8">
        <v>0</v>
      </c>
      <c r="G611" s="7">
        <v>0</v>
      </c>
      <c r="H611" s="7">
        <v>81211.819999998</v>
      </c>
      <c r="I611" s="7">
        <v>0</v>
      </c>
      <c r="J611" s="8">
        <v>0</v>
      </c>
      <c r="K611" s="9" t="str">
        <v/>
      </c>
    </row>
    <row r="612" spans="1:11">
      <c r="A612" t="str">
        <v/>
      </c>
      <c r="B612" s="6">
        <v>0</v>
      </c>
      <c r="C612" s="7" t="str">
        <v>趣点购浦发</v>
      </c>
      <c r="D612" s="8">
        <v>0</v>
      </c>
      <c r="E612" s="7">
        <v>0</v>
      </c>
      <c r="F612" s="8">
        <v>0</v>
      </c>
      <c r="G612" s="7">
        <v>0</v>
      </c>
      <c r="H612" s="7">
        <v>81211.819999998</v>
      </c>
      <c r="I612" s="7">
        <v>0</v>
      </c>
      <c r="J612" s="8">
        <v>0</v>
      </c>
      <c r="K612" s="9" t="str">
        <v/>
      </c>
    </row>
    <row r="613" spans="1:11">
      <c r="A613" t="str">
        <v/>
      </c>
      <c r="B613" s="6">
        <v>0</v>
      </c>
      <c r="C613" s="7" t="str">
        <v>趣点购浦发</v>
      </c>
      <c r="D613" s="8">
        <v>0</v>
      </c>
      <c r="E613" s="7">
        <v>0</v>
      </c>
      <c r="F613" s="8">
        <v>0</v>
      </c>
      <c r="G613" s="7">
        <v>0</v>
      </c>
      <c r="H613" s="7">
        <v>81211.819999998</v>
      </c>
      <c r="I613" s="7">
        <v>0</v>
      </c>
      <c r="J613" s="8">
        <v>0</v>
      </c>
      <c r="K613" s="9" t="str">
        <v/>
      </c>
    </row>
    <row r="614" spans="1:11">
      <c r="A614" t="str">
        <v/>
      </c>
      <c r="B614" s="6">
        <v>0</v>
      </c>
      <c r="C614" s="7" t="str">
        <v>趣点购浦发</v>
      </c>
      <c r="D614" s="8">
        <v>0</v>
      </c>
      <c r="E614" s="7">
        <v>0</v>
      </c>
      <c r="F614" s="8">
        <v>0</v>
      </c>
      <c r="G614" s="7">
        <v>0</v>
      </c>
      <c r="H614" s="7">
        <v>81211.819999998</v>
      </c>
      <c r="I614" s="7">
        <v>0</v>
      </c>
      <c r="J614" s="8">
        <v>0</v>
      </c>
      <c r="K614" s="9" t="str">
        <v/>
      </c>
    </row>
    <row r="615" spans="1:11">
      <c r="A615" t="str">
        <v/>
      </c>
      <c r="B615" s="6">
        <v>0</v>
      </c>
      <c r="C615" s="7" t="str">
        <v>趣点购浦发</v>
      </c>
      <c r="D615" s="8">
        <v>0</v>
      </c>
      <c r="E615" s="7">
        <v>0</v>
      </c>
      <c r="F615" s="8">
        <v>0</v>
      </c>
      <c r="G615" s="7">
        <v>0</v>
      </c>
      <c r="H615" s="7">
        <v>81211.819999998</v>
      </c>
      <c r="I615" s="7">
        <v>0</v>
      </c>
      <c r="J615" s="8">
        <v>0</v>
      </c>
      <c r="K615" s="9" t="str">
        <v/>
      </c>
    </row>
    <row r="616" spans="1:11">
      <c r="A616" t="str">
        <v/>
      </c>
      <c r="B616" s="6">
        <v>0</v>
      </c>
      <c r="C616" s="7" t="str">
        <v>趣点购浦发</v>
      </c>
      <c r="D616" s="8">
        <v>0</v>
      </c>
      <c r="E616" s="7">
        <v>0</v>
      </c>
      <c r="F616" s="8">
        <v>0</v>
      </c>
      <c r="G616" s="7">
        <v>0</v>
      </c>
      <c r="H616" s="7">
        <v>81211.819999998</v>
      </c>
      <c r="I616" s="7">
        <v>0</v>
      </c>
      <c r="J616" s="8">
        <v>0</v>
      </c>
      <c r="K616" s="9" t="str">
        <v/>
      </c>
    </row>
    <row r="617" spans="1:11">
      <c r="A617" t="str">
        <v/>
      </c>
      <c r="B617" s="6">
        <v>0</v>
      </c>
      <c r="C617" s="7" t="str">
        <v>趣点购浦发</v>
      </c>
      <c r="D617" s="8">
        <v>0</v>
      </c>
      <c r="E617" s="7">
        <v>0</v>
      </c>
      <c r="F617" s="8">
        <v>0</v>
      </c>
      <c r="G617" s="7">
        <v>0</v>
      </c>
      <c r="H617" s="7">
        <v>81211.819999998</v>
      </c>
      <c r="I617" s="7">
        <v>0</v>
      </c>
      <c r="J617" s="8">
        <v>0</v>
      </c>
      <c r="K617" s="9" t="str">
        <v/>
      </c>
    </row>
    <row r="618" spans="1:11">
      <c r="A618" t="str">
        <v/>
      </c>
      <c r="B618" s="6">
        <v>0</v>
      </c>
      <c r="C618" s="7" t="str">
        <v>趣点购浦发</v>
      </c>
      <c r="D618" s="8">
        <v>0</v>
      </c>
      <c r="E618" s="7">
        <v>0</v>
      </c>
      <c r="F618" s="8">
        <v>0</v>
      </c>
      <c r="G618" s="7">
        <v>0</v>
      </c>
      <c r="H618" s="7">
        <v>81211.819999998</v>
      </c>
      <c r="I618" s="7">
        <v>0</v>
      </c>
      <c r="J618" s="8">
        <v>0</v>
      </c>
      <c r="K618" s="9" t="str">
        <v/>
      </c>
    </row>
    <row r="619" spans="1:11">
      <c r="A619" t="str">
        <v/>
      </c>
      <c r="B619" s="6">
        <v>0</v>
      </c>
      <c r="C619" s="7" t="str">
        <v>趣点购浦发</v>
      </c>
      <c r="D619" s="8">
        <v>0</v>
      </c>
      <c r="E619" s="7">
        <v>0</v>
      </c>
      <c r="F619" s="8">
        <v>0</v>
      </c>
      <c r="G619" s="7">
        <v>0</v>
      </c>
      <c r="H619" s="7">
        <v>81211.819999998</v>
      </c>
      <c r="I619" s="7">
        <v>0</v>
      </c>
      <c r="J619" s="8">
        <v>0</v>
      </c>
      <c r="K619" s="9" t="str">
        <v/>
      </c>
    </row>
    <row r="620" spans="1:11">
      <c r="A620" t="str">
        <v/>
      </c>
      <c r="B620" s="6">
        <v>0</v>
      </c>
      <c r="C620" s="7" t="str">
        <v>趣点购浦发</v>
      </c>
      <c r="D620" s="8">
        <v>0</v>
      </c>
      <c r="E620" s="7">
        <v>0</v>
      </c>
      <c r="F620" s="8">
        <v>0</v>
      </c>
      <c r="G620" s="7">
        <v>0</v>
      </c>
      <c r="H620" s="7">
        <v>81211.819999998</v>
      </c>
      <c r="I620" s="7">
        <v>0</v>
      </c>
      <c r="J620" s="8">
        <v>0</v>
      </c>
      <c r="K620" s="9" t="str">
        <v/>
      </c>
    </row>
    <row r="621" spans="1:11">
      <c r="A621" t="str">
        <v/>
      </c>
      <c r="B621" s="6">
        <v>0</v>
      </c>
      <c r="C621" s="7" t="str">
        <v>趣点购浦发</v>
      </c>
      <c r="D621" s="8">
        <v>0</v>
      </c>
      <c r="E621" s="7">
        <v>0</v>
      </c>
      <c r="F621" s="8">
        <v>0</v>
      </c>
      <c r="G621" s="7">
        <v>0</v>
      </c>
      <c r="H621" s="7">
        <v>81211.819999998</v>
      </c>
      <c r="I621" s="7">
        <v>0</v>
      </c>
      <c r="J621" s="8">
        <v>0</v>
      </c>
      <c r="K621" s="9" t="str">
        <v/>
      </c>
    </row>
    <row r="622" spans="1:11">
      <c r="A622" t="str">
        <v/>
      </c>
      <c r="B622" s="6">
        <v>0</v>
      </c>
      <c r="C622" s="7" t="str">
        <v>趣点购浦发</v>
      </c>
      <c r="D622" s="8">
        <v>0</v>
      </c>
      <c r="E622" s="7">
        <v>0</v>
      </c>
      <c r="F622" s="8">
        <v>0</v>
      </c>
      <c r="G622" s="7">
        <v>0</v>
      </c>
      <c r="H622" s="7">
        <v>81211.819999998</v>
      </c>
      <c r="I622" s="7">
        <v>0</v>
      </c>
      <c r="J622" s="8">
        <v>0</v>
      </c>
      <c r="K622" s="9" t="str">
        <v/>
      </c>
    </row>
    <row r="623" spans="1:11">
      <c r="A623" t="str">
        <v/>
      </c>
      <c r="B623" s="6">
        <v>0</v>
      </c>
      <c r="C623" s="7" t="str">
        <v>趣点购浦发</v>
      </c>
      <c r="D623" s="8">
        <v>0</v>
      </c>
      <c r="E623" s="7">
        <v>0</v>
      </c>
      <c r="F623" s="8">
        <v>0</v>
      </c>
      <c r="G623" s="7">
        <v>0</v>
      </c>
      <c r="H623" s="7">
        <v>81211.819999998</v>
      </c>
      <c r="I623" s="7">
        <v>0</v>
      </c>
      <c r="J623" s="8">
        <v>0</v>
      </c>
      <c r="K623" s="9" t="str">
        <v/>
      </c>
    </row>
    <row r="624" spans="1:11">
      <c r="A624" t="str">
        <v/>
      </c>
      <c r="B624" s="6">
        <v>0</v>
      </c>
      <c r="C624" s="7" t="str">
        <v>趣点购浦发</v>
      </c>
      <c r="D624" s="8">
        <v>0</v>
      </c>
      <c r="E624" s="7">
        <v>0</v>
      </c>
      <c r="F624" s="8">
        <v>0</v>
      </c>
      <c r="G624" s="7">
        <v>0</v>
      </c>
      <c r="H624" s="7">
        <v>81211.819999998</v>
      </c>
      <c r="I624" s="7">
        <v>0</v>
      </c>
      <c r="J624" s="8">
        <v>0</v>
      </c>
      <c r="K624" s="9" t="str">
        <v/>
      </c>
    </row>
    <row r="625" spans="1:11">
      <c r="A625" t="str">
        <v/>
      </c>
      <c r="B625" s="6">
        <v>0</v>
      </c>
      <c r="C625" s="7" t="str">
        <v>趣点购浦发</v>
      </c>
      <c r="D625" s="8">
        <v>0</v>
      </c>
      <c r="E625" s="7">
        <v>0</v>
      </c>
      <c r="F625" s="8">
        <v>0</v>
      </c>
      <c r="G625" s="7">
        <v>0</v>
      </c>
      <c r="H625" s="7">
        <v>81211.819999998</v>
      </c>
      <c r="I625" s="7">
        <v>0</v>
      </c>
      <c r="J625" s="8">
        <v>0</v>
      </c>
      <c r="K625" s="9" t="str">
        <v/>
      </c>
    </row>
    <row r="626" spans="1:11">
      <c r="A626" t="str">
        <v/>
      </c>
      <c r="B626" s="6">
        <v>0</v>
      </c>
      <c r="C626" s="7" t="str">
        <v>趣点购浦发</v>
      </c>
      <c r="D626" s="8">
        <v>0</v>
      </c>
      <c r="E626" s="7">
        <v>0</v>
      </c>
      <c r="F626" s="8">
        <v>0</v>
      </c>
      <c r="G626" s="7">
        <v>0</v>
      </c>
      <c r="H626" s="7">
        <v>81211.819999998</v>
      </c>
      <c r="I626" s="7">
        <v>0</v>
      </c>
      <c r="J626" s="8">
        <v>0</v>
      </c>
      <c r="K626" s="9" t="str">
        <v/>
      </c>
    </row>
    <row r="627" spans="1:11">
      <c r="A627" t="str">
        <v/>
      </c>
      <c r="B627" s="6">
        <v>0</v>
      </c>
      <c r="C627" s="7" t="str">
        <v>趣点购浦发</v>
      </c>
      <c r="D627" s="8">
        <v>0</v>
      </c>
      <c r="E627" s="7">
        <v>0</v>
      </c>
      <c r="F627" s="8">
        <v>0</v>
      </c>
      <c r="G627" s="7">
        <v>0</v>
      </c>
      <c r="H627" s="7">
        <v>81211.819999998</v>
      </c>
      <c r="I627" s="7">
        <v>0</v>
      </c>
      <c r="J627" s="8">
        <v>0</v>
      </c>
      <c r="K627" s="9" t="str">
        <v/>
      </c>
    </row>
    <row r="628" spans="1:11">
      <c r="A628" t="str">
        <v/>
      </c>
      <c r="B628" s="6">
        <v>0</v>
      </c>
      <c r="C628" s="7" t="str">
        <v>趣点购浦发</v>
      </c>
      <c r="D628" s="8">
        <v>0</v>
      </c>
      <c r="E628" s="7">
        <v>0</v>
      </c>
      <c r="F628" s="8">
        <v>0</v>
      </c>
      <c r="G628" s="7">
        <v>0</v>
      </c>
      <c r="H628" s="7">
        <v>81211.819999998</v>
      </c>
      <c r="I628" s="7">
        <v>0</v>
      </c>
      <c r="J628" s="8">
        <v>0</v>
      </c>
      <c r="K628" s="9" t="str">
        <v/>
      </c>
    </row>
    <row r="629" spans="1:11">
      <c r="A629" t="str">
        <v/>
      </c>
      <c r="B629" s="6">
        <v>0</v>
      </c>
      <c r="C629" s="7" t="str">
        <v>趣点购浦发</v>
      </c>
      <c r="D629" s="8">
        <v>0</v>
      </c>
      <c r="E629" s="7">
        <v>0</v>
      </c>
      <c r="F629" s="8">
        <v>0</v>
      </c>
      <c r="G629" s="7">
        <v>0</v>
      </c>
      <c r="H629" s="7">
        <v>81211.819999998</v>
      </c>
      <c r="I629" s="7">
        <v>0</v>
      </c>
      <c r="J629" s="8">
        <v>0</v>
      </c>
      <c r="K629" s="9" t="str">
        <v/>
      </c>
    </row>
    <row r="630" spans="1:11">
      <c r="A630" t="str">
        <v/>
      </c>
      <c r="B630" s="6">
        <v>0</v>
      </c>
      <c r="C630" s="7" t="str">
        <v>趣点购浦发</v>
      </c>
      <c r="D630" s="8">
        <v>0</v>
      </c>
      <c r="E630" s="7">
        <v>0</v>
      </c>
      <c r="F630" s="8">
        <v>0</v>
      </c>
      <c r="G630" s="7">
        <v>0</v>
      </c>
      <c r="H630" s="7">
        <v>81211.819999998</v>
      </c>
      <c r="I630" s="7">
        <v>0</v>
      </c>
      <c r="J630" s="8">
        <v>0</v>
      </c>
      <c r="K630" s="9" t="str">
        <v/>
      </c>
    </row>
    <row r="631" spans="1:11">
      <c r="A631" t="str">
        <v/>
      </c>
      <c r="B631" s="6">
        <v>0</v>
      </c>
      <c r="C631" s="7" t="str">
        <v>趣点购浦发</v>
      </c>
      <c r="D631" s="8">
        <v>0</v>
      </c>
      <c r="E631" s="7">
        <v>0</v>
      </c>
      <c r="F631" s="8">
        <v>0</v>
      </c>
      <c r="G631" s="7">
        <v>0</v>
      </c>
      <c r="H631" s="7">
        <v>81211.819999998</v>
      </c>
      <c r="I631" s="7">
        <v>0</v>
      </c>
      <c r="J631" s="8">
        <v>0</v>
      </c>
      <c r="K631" s="9" t="str">
        <v/>
      </c>
    </row>
    <row r="632" spans="1:11">
      <c r="A632" t="str">
        <v/>
      </c>
      <c r="B632" s="6">
        <v>0</v>
      </c>
      <c r="C632" s="7" t="str">
        <v>趣点购浦发</v>
      </c>
      <c r="D632" s="8">
        <v>0</v>
      </c>
      <c r="E632" s="7">
        <v>0</v>
      </c>
      <c r="F632" s="8">
        <v>0</v>
      </c>
      <c r="G632" s="7">
        <v>0</v>
      </c>
      <c r="H632" s="7">
        <v>81211.819999998</v>
      </c>
      <c r="I632" s="7">
        <v>0</v>
      </c>
      <c r="J632" s="8">
        <v>0</v>
      </c>
      <c r="K632" s="9" t="str">
        <v/>
      </c>
    </row>
    <row r="633" spans="1:11">
      <c r="A633" t="str">
        <v/>
      </c>
      <c r="B633" s="6">
        <v>0</v>
      </c>
      <c r="C633" s="7" t="str">
        <v>趣点购浦发</v>
      </c>
      <c r="D633" s="8">
        <v>0</v>
      </c>
      <c r="E633" s="7">
        <v>0</v>
      </c>
      <c r="F633" s="8">
        <v>0</v>
      </c>
      <c r="G633" s="7">
        <v>0</v>
      </c>
      <c r="H633" s="7">
        <v>81211.819999998</v>
      </c>
      <c r="I633" s="7">
        <v>0</v>
      </c>
      <c r="J633" s="8">
        <v>0</v>
      </c>
      <c r="K633" s="9" t="str">
        <v/>
      </c>
    </row>
    <row r="634" spans="1:11">
      <c r="A634" t="str">
        <v/>
      </c>
      <c r="B634" s="6">
        <v>0</v>
      </c>
      <c r="C634" s="7" t="str">
        <v>趣点购浦发</v>
      </c>
      <c r="D634" s="8">
        <v>0</v>
      </c>
      <c r="E634" s="7">
        <v>0</v>
      </c>
      <c r="F634" s="8">
        <v>0</v>
      </c>
      <c r="G634" s="7">
        <v>0</v>
      </c>
      <c r="H634" s="7">
        <v>81211.819999998</v>
      </c>
      <c r="I634" s="7">
        <v>0</v>
      </c>
      <c r="J634" s="8">
        <v>0</v>
      </c>
      <c r="K634" s="9" t="str">
        <v/>
      </c>
    </row>
    <row r="635" spans="1:11">
      <c r="A635" t="str">
        <v/>
      </c>
      <c r="B635" s="6">
        <v>0</v>
      </c>
      <c r="C635" s="7" t="str">
        <v>趣点购浦发</v>
      </c>
      <c r="D635" s="8">
        <v>0</v>
      </c>
      <c r="E635" s="7">
        <v>0</v>
      </c>
      <c r="F635" s="8">
        <v>0</v>
      </c>
      <c r="G635" s="7">
        <v>0</v>
      </c>
      <c r="H635" s="7">
        <v>81211.819999998</v>
      </c>
      <c r="I635" s="7">
        <v>0</v>
      </c>
      <c r="J635" s="8">
        <v>0</v>
      </c>
      <c r="K635" s="9" t="str">
        <v/>
      </c>
    </row>
    <row r="636" spans="1:11">
      <c r="A636" t="str">
        <v/>
      </c>
      <c r="B636" s="6">
        <v>0</v>
      </c>
      <c r="C636" s="7" t="str">
        <v>趣点购浦发</v>
      </c>
      <c r="D636" s="8">
        <v>0</v>
      </c>
      <c r="E636" s="7">
        <v>0</v>
      </c>
      <c r="F636" s="8">
        <v>0</v>
      </c>
      <c r="G636" s="7">
        <v>0</v>
      </c>
      <c r="H636" s="7">
        <v>81211.819999998</v>
      </c>
      <c r="I636" s="7">
        <v>0</v>
      </c>
      <c r="J636" s="8">
        <v>0</v>
      </c>
      <c r="K636" s="9" t="str">
        <v/>
      </c>
    </row>
    <row r="637" spans="1:11">
      <c r="A637" t="str">
        <v/>
      </c>
      <c r="B637" s="6">
        <v>0</v>
      </c>
      <c r="C637" s="7" t="str">
        <v>趣点购浦发</v>
      </c>
      <c r="D637" s="8">
        <v>0</v>
      </c>
      <c r="E637" s="7">
        <v>0</v>
      </c>
      <c r="F637" s="8">
        <v>0</v>
      </c>
      <c r="G637" s="7">
        <v>0</v>
      </c>
      <c r="H637" s="7">
        <v>81211.819999998</v>
      </c>
      <c r="I637" s="7">
        <v>0</v>
      </c>
      <c r="J637" s="8">
        <v>0</v>
      </c>
      <c r="K637" s="9" t="str">
        <v/>
      </c>
    </row>
    <row r="638" spans="1:11">
      <c r="A638" t="str">
        <v/>
      </c>
      <c r="B638" s="6">
        <v>0</v>
      </c>
      <c r="C638" s="7" t="str">
        <v>趣点购浦发</v>
      </c>
      <c r="D638" s="8">
        <v>0</v>
      </c>
      <c r="E638" s="7">
        <v>0</v>
      </c>
      <c r="F638" s="8">
        <v>0</v>
      </c>
      <c r="G638" s="7">
        <v>0</v>
      </c>
      <c r="H638" s="7">
        <v>81211.819999998</v>
      </c>
      <c r="I638" s="7">
        <v>0</v>
      </c>
      <c r="J638" s="8">
        <v>0</v>
      </c>
      <c r="K638" s="9" t="str">
        <v/>
      </c>
    </row>
    <row r="639" spans="1:11">
      <c r="A639" t="str">
        <v/>
      </c>
      <c r="B639" s="6">
        <v>0</v>
      </c>
      <c r="C639" s="7" t="str">
        <v>趣点购浦发</v>
      </c>
      <c r="D639" s="8">
        <v>0</v>
      </c>
      <c r="E639" s="7">
        <v>0</v>
      </c>
      <c r="F639" s="8">
        <v>0</v>
      </c>
      <c r="G639" s="7">
        <v>0</v>
      </c>
      <c r="H639" s="7">
        <v>81211.819999998</v>
      </c>
      <c r="I639" s="7">
        <v>0</v>
      </c>
      <c r="J639" s="8">
        <v>0</v>
      </c>
      <c r="K639" s="9" t="str">
        <v/>
      </c>
    </row>
    <row r="640" spans="1:11">
      <c r="A640" t="str">
        <v/>
      </c>
      <c r="B640" s="6">
        <v>0</v>
      </c>
      <c r="C640" s="7" t="str">
        <v>趣点购浦发</v>
      </c>
      <c r="D640" s="8">
        <v>0</v>
      </c>
      <c r="E640" s="7">
        <v>0</v>
      </c>
      <c r="F640" s="8">
        <v>0</v>
      </c>
      <c r="G640" s="7">
        <v>0</v>
      </c>
      <c r="H640" s="7">
        <v>81211.819999998</v>
      </c>
      <c r="I640" s="7">
        <v>0</v>
      </c>
      <c r="J640" s="8">
        <v>0</v>
      </c>
      <c r="K640" s="9" t="str">
        <v/>
      </c>
    </row>
    <row r="641" spans="1:11">
      <c r="A641" t="str">
        <v/>
      </c>
      <c r="B641" s="6">
        <v>0</v>
      </c>
      <c r="C641" s="7" t="str">
        <v>趣点购浦发</v>
      </c>
      <c r="D641" s="8">
        <v>0</v>
      </c>
      <c r="E641" s="7">
        <v>0</v>
      </c>
      <c r="F641" s="8">
        <v>0</v>
      </c>
      <c r="G641" s="7">
        <v>0</v>
      </c>
      <c r="H641" s="7">
        <v>81211.819999998</v>
      </c>
      <c r="I641" s="7">
        <v>0</v>
      </c>
      <c r="J641" s="8">
        <v>0</v>
      </c>
      <c r="K641" s="9" t="str">
        <v/>
      </c>
    </row>
    <row r="642" spans="1:11">
      <c r="A642" t="str">
        <v/>
      </c>
      <c r="B642" s="6">
        <v>0</v>
      </c>
      <c r="C642" s="7" t="str">
        <v>趣点购浦发</v>
      </c>
      <c r="D642" s="8">
        <v>0</v>
      </c>
      <c r="E642" s="7">
        <v>0</v>
      </c>
      <c r="F642" s="8">
        <v>0</v>
      </c>
      <c r="G642" s="7">
        <v>0</v>
      </c>
      <c r="H642" s="7">
        <v>81211.819999998</v>
      </c>
      <c r="I642" s="7">
        <v>0</v>
      </c>
      <c r="J642" s="8">
        <v>0</v>
      </c>
      <c r="K642" s="9" t="str">
        <v/>
      </c>
    </row>
    <row r="643" spans="1:11">
      <c r="A643" t="str">
        <v/>
      </c>
      <c r="B643" s="6">
        <v>0</v>
      </c>
      <c r="C643" s="7" t="str">
        <v>趣点购浦发</v>
      </c>
      <c r="D643" s="8">
        <v>0</v>
      </c>
      <c r="E643" s="7">
        <v>0</v>
      </c>
      <c r="F643" s="8">
        <v>0</v>
      </c>
      <c r="G643" s="7">
        <v>0</v>
      </c>
      <c r="H643" s="7">
        <v>81211.819999998</v>
      </c>
      <c r="I643" s="7">
        <v>0</v>
      </c>
      <c r="J643" s="8">
        <v>0</v>
      </c>
      <c r="K643" s="9" t="str">
        <v/>
      </c>
    </row>
    <row r="644" spans="1:11">
      <c r="A644" t="str">
        <v/>
      </c>
      <c r="B644" s="6">
        <v>0</v>
      </c>
      <c r="C644" s="7" t="str">
        <v>趣点购浦发</v>
      </c>
      <c r="D644" s="8">
        <v>0</v>
      </c>
      <c r="E644" s="7">
        <v>0</v>
      </c>
      <c r="F644" s="8">
        <v>0</v>
      </c>
      <c r="G644" s="7">
        <v>0</v>
      </c>
      <c r="H644" s="7">
        <v>81211.819999998</v>
      </c>
      <c r="I644" s="7">
        <v>0</v>
      </c>
      <c r="J644" s="8">
        <v>0</v>
      </c>
      <c r="K644" s="9" t="str">
        <v/>
      </c>
    </row>
    <row r="645" spans="1:11">
      <c r="A645" t="str">
        <v/>
      </c>
      <c r="B645" s="6">
        <v>0</v>
      </c>
      <c r="C645" s="7" t="str">
        <v>趣点购浦发</v>
      </c>
      <c r="D645" s="8">
        <v>0</v>
      </c>
      <c r="E645" s="7">
        <v>0</v>
      </c>
      <c r="F645" s="8">
        <v>0</v>
      </c>
      <c r="G645" s="7">
        <v>0</v>
      </c>
      <c r="H645" s="7">
        <v>81211.819999998</v>
      </c>
      <c r="I645" s="7">
        <v>0</v>
      </c>
      <c r="J645" s="8">
        <v>0</v>
      </c>
      <c r="K645" s="9" t="str">
        <v/>
      </c>
    </row>
    <row r="646" spans="1:11">
      <c r="A646" t="str">
        <v/>
      </c>
      <c r="B646" s="6">
        <v>0</v>
      </c>
      <c r="C646" s="7" t="str">
        <v>趣点购浦发</v>
      </c>
      <c r="D646" s="8">
        <v>0</v>
      </c>
      <c r="E646" s="7">
        <v>0</v>
      </c>
      <c r="F646" s="8">
        <v>0</v>
      </c>
      <c r="G646" s="7">
        <v>0</v>
      </c>
      <c r="H646" s="7">
        <v>81211.819999998</v>
      </c>
      <c r="I646" s="7">
        <v>0</v>
      </c>
      <c r="J646" s="8">
        <v>0</v>
      </c>
      <c r="K646" s="9" t="str">
        <v/>
      </c>
    </row>
    <row r="647" spans="1:11">
      <c r="A647" t="str">
        <v/>
      </c>
      <c r="B647" s="6">
        <v>0</v>
      </c>
      <c r="C647" s="7" t="str">
        <v>趣点购浦发</v>
      </c>
      <c r="D647" s="8">
        <v>0</v>
      </c>
      <c r="E647" s="7">
        <v>0</v>
      </c>
      <c r="F647" s="8">
        <v>0</v>
      </c>
      <c r="G647" s="7">
        <v>0</v>
      </c>
      <c r="H647" s="7">
        <v>81211.819999998</v>
      </c>
      <c r="I647" s="7">
        <v>0</v>
      </c>
      <c r="J647" s="8">
        <v>0</v>
      </c>
      <c r="K647" s="9" t="str">
        <v/>
      </c>
    </row>
    <row r="648" spans="1:11">
      <c r="A648" t="str">
        <v/>
      </c>
      <c r="B648" s="6">
        <v>0</v>
      </c>
      <c r="C648" s="7" t="str">
        <v>趣点购浦发</v>
      </c>
      <c r="D648" s="8">
        <v>0</v>
      </c>
      <c r="E648" s="7">
        <v>0</v>
      </c>
      <c r="F648" s="8">
        <v>0</v>
      </c>
      <c r="G648" s="7">
        <v>0</v>
      </c>
      <c r="H648" s="7">
        <v>81211.819999998</v>
      </c>
      <c r="I648" s="7">
        <v>0</v>
      </c>
      <c r="J648" s="8">
        <v>0</v>
      </c>
      <c r="K648" s="9" t="str">
        <v/>
      </c>
    </row>
    <row r="649" spans="1:11">
      <c r="A649" t="str">
        <v/>
      </c>
      <c r="B649" s="6">
        <v>0</v>
      </c>
      <c r="C649" s="7" t="str">
        <v>趣点购浦发</v>
      </c>
      <c r="D649" s="8">
        <v>0</v>
      </c>
      <c r="E649" s="7">
        <v>0</v>
      </c>
      <c r="F649" s="8">
        <v>0</v>
      </c>
      <c r="G649" s="7">
        <v>0</v>
      </c>
      <c r="H649" s="7">
        <v>81211.819999998</v>
      </c>
      <c r="I649" s="7">
        <v>0</v>
      </c>
      <c r="J649" s="8">
        <v>0</v>
      </c>
      <c r="K649" s="9" t="str">
        <v/>
      </c>
    </row>
    <row r="650" spans="1:11">
      <c r="A650" t="str">
        <v/>
      </c>
      <c r="B650" s="6">
        <v>0</v>
      </c>
      <c r="C650" s="7" t="str">
        <v>趣点购浦发</v>
      </c>
      <c r="D650" s="8">
        <v>0</v>
      </c>
      <c r="E650" s="7">
        <v>0</v>
      </c>
      <c r="F650" s="8">
        <v>0</v>
      </c>
      <c r="G650" s="7">
        <v>0</v>
      </c>
      <c r="H650" s="7">
        <v>81211.819999998</v>
      </c>
      <c r="I650" s="7">
        <v>0</v>
      </c>
      <c r="J650" s="8">
        <v>0</v>
      </c>
      <c r="K650" s="9" t="str">
        <v/>
      </c>
    </row>
    <row r="651" spans="1:11">
      <c r="A651" t="str">
        <v/>
      </c>
      <c r="B651" s="6">
        <v>0</v>
      </c>
      <c r="C651" s="7" t="str">
        <v>趣点购浦发</v>
      </c>
      <c r="D651" s="8">
        <v>0</v>
      </c>
      <c r="E651" s="7">
        <v>0</v>
      </c>
      <c r="F651" s="8">
        <v>0</v>
      </c>
      <c r="G651" s="7">
        <v>0</v>
      </c>
      <c r="H651" s="7">
        <v>81211.819999998</v>
      </c>
      <c r="I651" s="7">
        <v>0</v>
      </c>
      <c r="J651" s="8">
        <v>0</v>
      </c>
      <c r="K651" s="9" t="str">
        <v/>
      </c>
    </row>
    <row r="652" spans="1:11">
      <c r="A652" t="str">
        <v/>
      </c>
      <c r="B652" s="6">
        <v>0</v>
      </c>
      <c r="C652" s="7" t="str">
        <v>趣点购浦发</v>
      </c>
      <c r="D652" s="8">
        <v>0</v>
      </c>
      <c r="E652" s="7">
        <v>0</v>
      </c>
      <c r="F652" s="8">
        <v>0</v>
      </c>
      <c r="G652" s="7">
        <v>0</v>
      </c>
      <c r="H652" s="7">
        <v>81211.819999998</v>
      </c>
      <c r="I652" s="7">
        <v>0</v>
      </c>
      <c r="J652" s="8">
        <v>0</v>
      </c>
      <c r="K652" s="9" t="str">
        <v/>
      </c>
    </row>
    <row r="653" spans="1:11">
      <c r="A653" t="str">
        <v/>
      </c>
      <c r="B653" s="6">
        <v>0</v>
      </c>
      <c r="C653" s="7" t="str">
        <v>趣点购浦发</v>
      </c>
      <c r="D653" s="8">
        <v>0</v>
      </c>
      <c r="E653" s="7">
        <v>0</v>
      </c>
      <c r="F653" s="8">
        <v>0</v>
      </c>
      <c r="G653" s="7">
        <v>0</v>
      </c>
      <c r="H653" s="7">
        <v>81211.819999998</v>
      </c>
      <c r="I653" s="7">
        <v>0</v>
      </c>
      <c r="J653" s="8">
        <v>0</v>
      </c>
      <c r="K653" s="9" t="str">
        <v/>
      </c>
    </row>
    <row r="654" spans="1:11">
      <c r="A654" t="str">
        <v/>
      </c>
      <c r="B654" s="6">
        <v>0</v>
      </c>
      <c r="C654" s="7" t="str">
        <v>趣点购浦发</v>
      </c>
      <c r="D654" s="8">
        <v>0</v>
      </c>
      <c r="E654" s="7">
        <v>0</v>
      </c>
      <c r="F654" s="8">
        <v>0</v>
      </c>
      <c r="G654" s="7">
        <v>0</v>
      </c>
      <c r="H654" s="7">
        <v>81211.819999998</v>
      </c>
      <c r="I654" s="7">
        <v>0</v>
      </c>
      <c r="J654" s="8">
        <v>0</v>
      </c>
      <c r="K654" s="9" t="str">
        <v/>
      </c>
    </row>
    <row r="655" spans="1:11">
      <c r="A655" t="str">
        <v/>
      </c>
      <c r="B655" s="6">
        <v>0</v>
      </c>
      <c r="C655" s="7" t="str">
        <v>趣点购浦发</v>
      </c>
      <c r="D655" s="8">
        <v>0</v>
      </c>
      <c r="E655" s="7">
        <v>0</v>
      </c>
      <c r="F655" s="8">
        <v>0</v>
      </c>
      <c r="G655" s="7">
        <v>0</v>
      </c>
      <c r="H655" s="7">
        <v>81211.819999998</v>
      </c>
      <c r="I655" s="7">
        <v>0</v>
      </c>
      <c r="J655" s="8">
        <v>0</v>
      </c>
      <c r="K655" s="9" t="str">
        <v/>
      </c>
    </row>
    <row r="656" spans="1:11">
      <c r="A656" t="str">
        <v/>
      </c>
      <c r="B656" s="6">
        <v>0</v>
      </c>
      <c r="C656" s="7" t="str">
        <v>趣点购浦发</v>
      </c>
      <c r="D656" s="8">
        <v>0</v>
      </c>
      <c r="E656" s="7">
        <v>0</v>
      </c>
      <c r="F656" s="8">
        <v>0</v>
      </c>
      <c r="G656" s="7">
        <v>0</v>
      </c>
      <c r="H656" s="7">
        <v>81211.819999998</v>
      </c>
      <c r="I656" s="7">
        <v>0</v>
      </c>
      <c r="J656" s="8">
        <v>0</v>
      </c>
      <c r="K656" s="9" t="str">
        <v/>
      </c>
    </row>
    <row r="657" spans="1:11">
      <c r="A657" t="str">
        <v/>
      </c>
      <c r="B657" s="6">
        <v>0</v>
      </c>
      <c r="C657" s="7" t="str">
        <v>趣点购浦发</v>
      </c>
      <c r="D657" s="8">
        <v>0</v>
      </c>
      <c r="E657" s="7">
        <v>0</v>
      </c>
      <c r="F657" s="8">
        <v>0</v>
      </c>
      <c r="G657" s="7">
        <v>0</v>
      </c>
      <c r="H657" s="7">
        <v>81211.819999998</v>
      </c>
      <c r="I657" s="7">
        <v>0</v>
      </c>
      <c r="J657" s="8">
        <v>0</v>
      </c>
      <c r="K657" s="9" t="str">
        <v/>
      </c>
    </row>
    <row r="658" spans="1:11">
      <c r="A658" t="str">
        <v/>
      </c>
      <c r="B658" s="6">
        <v>0</v>
      </c>
      <c r="C658" s="7" t="str">
        <v>趣点购浦发</v>
      </c>
      <c r="D658" s="8">
        <v>0</v>
      </c>
      <c r="E658" s="7">
        <v>0</v>
      </c>
      <c r="F658" s="8">
        <v>0</v>
      </c>
      <c r="G658" s="7">
        <v>0</v>
      </c>
      <c r="H658" s="7">
        <v>81211.819999998</v>
      </c>
      <c r="I658" s="7">
        <v>0</v>
      </c>
      <c r="J658" s="8">
        <v>0</v>
      </c>
      <c r="K658" s="9" t="str">
        <v/>
      </c>
    </row>
    <row r="659" spans="1:11">
      <c r="A659" t="str">
        <v/>
      </c>
      <c r="B659" s="6">
        <v>0</v>
      </c>
      <c r="C659" s="7" t="str">
        <v>趣点购浦发</v>
      </c>
      <c r="D659" s="8">
        <v>0</v>
      </c>
      <c r="E659" s="7">
        <v>0</v>
      </c>
      <c r="F659" s="8">
        <v>0</v>
      </c>
      <c r="G659" s="7">
        <v>0</v>
      </c>
      <c r="H659" s="7">
        <v>81211.819999998</v>
      </c>
      <c r="I659" s="7">
        <v>0</v>
      </c>
      <c r="J659" s="8">
        <v>0</v>
      </c>
      <c r="K659" s="9" t="str">
        <v/>
      </c>
    </row>
    <row r="660" spans="1:11">
      <c r="A660" t="str">
        <v/>
      </c>
      <c r="B660" s="6">
        <v>0</v>
      </c>
      <c r="C660" s="7" t="str">
        <v>趣点购浦发</v>
      </c>
      <c r="D660" s="8">
        <v>0</v>
      </c>
      <c r="E660" s="7">
        <v>0</v>
      </c>
      <c r="F660" s="8">
        <v>0</v>
      </c>
      <c r="G660" s="7">
        <v>0</v>
      </c>
      <c r="H660" s="7">
        <v>81211.819999998</v>
      </c>
      <c r="I660" s="7">
        <v>0</v>
      </c>
      <c r="J660" s="8">
        <v>0</v>
      </c>
      <c r="K660" s="9" t="str">
        <v/>
      </c>
    </row>
    <row r="661" spans="1:11">
      <c r="A661" t="str">
        <v/>
      </c>
      <c r="B661" s="6">
        <v>0</v>
      </c>
      <c r="C661" s="7" t="str">
        <v>趣点购浦发</v>
      </c>
      <c r="D661" s="8">
        <v>0</v>
      </c>
      <c r="E661" s="7">
        <v>0</v>
      </c>
      <c r="F661" s="8">
        <v>0</v>
      </c>
      <c r="G661" s="7">
        <v>0</v>
      </c>
      <c r="H661" s="7">
        <v>81211.819999998</v>
      </c>
      <c r="I661" s="7">
        <v>0</v>
      </c>
      <c r="J661" s="8">
        <v>0</v>
      </c>
      <c r="K661" s="9" t="str">
        <v/>
      </c>
    </row>
    <row r="662" spans="1:11">
      <c r="A662" t="str">
        <v/>
      </c>
      <c r="B662" s="6">
        <v>0</v>
      </c>
      <c r="C662" s="7" t="str">
        <v>趣点购浦发</v>
      </c>
      <c r="D662" s="8">
        <v>0</v>
      </c>
      <c r="E662" s="7">
        <v>0</v>
      </c>
      <c r="F662" s="8">
        <v>0</v>
      </c>
      <c r="G662" s="7">
        <v>0</v>
      </c>
      <c r="H662" s="7">
        <v>81211.819999998</v>
      </c>
      <c r="I662" s="7">
        <v>0</v>
      </c>
      <c r="J662" s="8">
        <v>0</v>
      </c>
      <c r="K662" s="9" t="str">
        <v/>
      </c>
    </row>
    <row r="663" spans="1:11">
      <c r="A663" t="str">
        <v/>
      </c>
      <c r="B663" s="6">
        <v>0</v>
      </c>
      <c r="C663" s="7" t="str">
        <v>趣点购浦发</v>
      </c>
      <c r="D663" s="8">
        <v>0</v>
      </c>
      <c r="E663" s="7">
        <v>0</v>
      </c>
      <c r="F663" s="8">
        <v>0</v>
      </c>
      <c r="G663" s="7">
        <v>0</v>
      </c>
      <c r="H663" s="7">
        <v>81211.819999998</v>
      </c>
      <c r="I663" s="7">
        <v>0</v>
      </c>
      <c r="J663" s="8">
        <v>0</v>
      </c>
      <c r="K663" s="9" t="str">
        <v/>
      </c>
    </row>
    <row r="664" spans="1:11">
      <c r="A664" t="str">
        <v/>
      </c>
      <c r="B664" s="6">
        <v>0</v>
      </c>
      <c r="C664" s="7" t="str">
        <v>趣点购浦发</v>
      </c>
      <c r="D664" s="8">
        <v>0</v>
      </c>
      <c r="E664" s="7">
        <v>0</v>
      </c>
      <c r="F664" s="8">
        <v>0</v>
      </c>
      <c r="G664" s="7">
        <v>0</v>
      </c>
      <c r="H664" s="7">
        <v>81211.819999998</v>
      </c>
      <c r="I664" s="7">
        <v>0</v>
      </c>
      <c r="J664" s="8">
        <v>0</v>
      </c>
      <c r="K664" s="9" t="str">
        <v/>
      </c>
    </row>
    <row r="665" spans="1:11">
      <c r="A665" t="str">
        <v/>
      </c>
      <c r="B665" s="6">
        <v>0</v>
      </c>
      <c r="C665" s="7" t="str">
        <v>趣点购浦发</v>
      </c>
      <c r="D665" s="8">
        <v>0</v>
      </c>
      <c r="E665" s="7">
        <v>0</v>
      </c>
      <c r="F665" s="8">
        <v>0</v>
      </c>
      <c r="G665" s="7">
        <v>0</v>
      </c>
      <c r="H665" s="7">
        <v>81211.819999998</v>
      </c>
      <c r="I665" s="7">
        <v>0</v>
      </c>
      <c r="J665" s="8">
        <v>0</v>
      </c>
      <c r="K665" s="9" t="str">
        <v/>
      </c>
    </row>
    <row r="666" spans="1:11">
      <c r="A666" t="str">
        <v/>
      </c>
      <c r="B666" s="6">
        <v>0</v>
      </c>
      <c r="C666" s="7" t="str">
        <v>趣点购浦发</v>
      </c>
      <c r="D666" s="8">
        <v>0</v>
      </c>
      <c r="E666" s="7">
        <v>0</v>
      </c>
      <c r="F666" s="8">
        <v>0</v>
      </c>
      <c r="G666" s="7">
        <v>0</v>
      </c>
      <c r="H666" s="7">
        <v>81211.819999998</v>
      </c>
      <c r="I666" s="7">
        <v>0</v>
      </c>
      <c r="J666" s="8">
        <v>0</v>
      </c>
      <c r="K666" s="9" t="str">
        <v/>
      </c>
    </row>
    <row r="667" spans="1:11">
      <c r="A667" t="str">
        <v/>
      </c>
      <c r="B667" s="6">
        <v>0</v>
      </c>
      <c r="C667" s="7" t="str">
        <v>趣点购浦发</v>
      </c>
      <c r="D667" s="8">
        <v>0</v>
      </c>
      <c r="E667" s="7">
        <v>0</v>
      </c>
      <c r="F667" s="8">
        <v>0</v>
      </c>
      <c r="G667" s="7">
        <v>0</v>
      </c>
      <c r="H667" s="7">
        <v>81211.819999998</v>
      </c>
      <c r="I667" s="7">
        <v>0</v>
      </c>
      <c r="J667" s="8">
        <v>0</v>
      </c>
      <c r="K667" s="9" t="str">
        <v/>
      </c>
    </row>
    <row r="668" spans="1:11">
      <c r="A668" t="str">
        <v/>
      </c>
      <c r="B668" s="6">
        <v>0</v>
      </c>
      <c r="C668" s="7" t="str">
        <v>趣点购浦发</v>
      </c>
      <c r="D668" s="8">
        <v>0</v>
      </c>
      <c r="E668" s="7">
        <v>0</v>
      </c>
      <c r="F668" s="8">
        <v>0</v>
      </c>
      <c r="G668" s="7">
        <v>0</v>
      </c>
      <c r="H668" s="7">
        <v>81211.819999998</v>
      </c>
      <c r="I668" s="7">
        <v>0</v>
      </c>
      <c r="J668" s="8">
        <v>0</v>
      </c>
      <c r="K668" s="9" t="str">
        <v/>
      </c>
    </row>
    <row r="669" spans="1:11">
      <c r="A669" t="str">
        <v/>
      </c>
      <c r="B669" s="6">
        <v>0</v>
      </c>
      <c r="C669" s="7" t="str">
        <v>趣点购浦发</v>
      </c>
      <c r="D669" s="8">
        <v>0</v>
      </c>
      <c r="E669" s="7">
        <v>0</v>
      </c>
      <c r="F669" s="8">
        <v>0</v>
      </c>
      <c r="G669" s="7">
        <v>0</v>
      </c>
      <c r="H669" s="7">
        <v>81211.819999998</v>
      </c>
      <c r="I669" s="7">
        <v>0</v>
      </c>
      <c r="J669" s="8">
        <v>0</v>
      </c>
      <c r="K669" s="9" t="str">
        <v/>
      </c>
    </row>
    <row r="670" spans="1:11">
      <c r="A670" t="str">
        <v/>
      </c>
      <c r="B670" s="6">
        <v>0</v>
      </c>
      <c r="C670" s="7" t="str">
        <v>趣点购浦发</v>
      </c>
      <c r="D670" s="8">
        <v>0</v>
      </c>
      <c r="E670" s="7">
        <v>0</v>
      </c>
      <c r="F670" s="8">
        <v>0</v>
      </c>
      <c r="G670" s="7">
        <v>0</v>
      </c>
      <c r="H670" s="7">
        <v>81211.819999998</v>
      </c>
      <c r="I670" s="7">
        <v>0</v>
      </c>
      <c r="J670" s="8">
        <v>0</v>
      </c>
      <c r="K670" s="9" t="str">
        <v/>
      </c>
    </row>
    <row r="671" spans="1:11">
      <c r="A671" t="str">
        <v/>
      </c>
      <c r="B671" s="6">
        <v>0</v>
      </c>
      <c r="C671" s="7" t="str">
        <v>趣点购浦发</v>
      </c>
      <c r="D671" s="8">
        <v>0</v>
      </c>
      <c r="E671" s="7">
        <v>0</v>
      </c>
      <c r="F671" s="8">
        <v>0</v>
      </c>
      <c r="G671" s="7">
        <v>0</v>
      </c>
      <c r="H671" s="7">
        <v>81211.819999998</v>
      </c>
      <c r="I671" s="7">
        <v>0</v>
      </c>
      <c r="J671" s="8">
        <v>0</v>
      </c>
      <c r="K671" s="9" t="str">
        <v/>
      </c>
    </row>
    <row r="672" spans="1:11">
      <c r="A672" t="str">
        <v/>
      </c>
      <c r="B672" s="6">
        <v>0</v>
      </c>
      <c r="C672" s="7" t="str">
        <v>趣点购浦发</v>
      </c>
      <c r="D672" s="8">
        <v>0</v>
      </c>
      <c r="E672" s="7">
        <v>0</v>
      </c>
      <c r="F672" s="8">
        <v>0</v>
      </c>
      <c r="G672" s="7">
        <v>0</v>
      </c>
      <c r="H672" s="7">
        <v>81211.819999998</v>
      </c>
      <c r="I672" s="7">
        <v>0</v>
      </c>
      <c r="J672" s="8">
        <v>0</v>
      </c>
      <c r="K672" s="9" t="str">
        <v/>
      </c>
    </row>
    <row r="673" spans="1:11">
      <c r="A673" t="str">
        <v/>
      </c>
      <c r="B673" s="6">
        <v>0</v>
      </c>
      <c r="C673" s="7" t="str">
        <v>趣点购浦发</v>
      </c>
      <c r="D673" s="8">
        <v>0</v>
      </c>
      <c r="E673" s="7">
        <v>0</v>
      </c>
      <c r="F673" s="8">
        <v>0</v>
      </c>
      <c r="G673" s="7">
        <v>0</v>
      </c>
      <c r="H673" s="7">
        <v>81211.819999998</v>
      </c>
      <c r="I673" s="7">
        <v>0</v>
      </c>
      <c r="J673" s="8">
        <v>0</v>
      </c>
      <c r="K673" s="9" t="str">
        <v/>
      </c>
    </row>
    <row r="674" spans="1:11">
      <c r="A674" t="str">
        <v/>
      </c>
      <c r="B674" s="6">
        <v>0</v>
      </c>
      <c r="C674" s="7" t="str">
        <v>趣点购浦发</v>
      </c>
      <c r="D674" s="8">
        <v>0</v>
      </c>
      <c r="E674" s="7">
        <v>0</v>
      </c>
      <c r="F674" s="8">
        <v>0</v>
      </c>
      <c r="G674" s="7">
        <v>0</v>
      </c>
      <c r="H674" s="7">
        <v>81211.819999998</v>
      </c>
      <c r="I674" s="7">
        <v>0</v>
      </c>
      <c r="J674" s="8">
        <v>0</v>
      </c>
      <c r="K674" s="9" t="str">
        <v/>
      </c>
    </row>
    <row r="675" spans="1:11">
      <c r="A675" t="str">
        <v/>
      </c>
      <c r="B675" s="6">
        <v>0</v>
      </c>
      <c r="C675" s="7" t="str">
        <v>趣点购浦发</v>
      </c>
      <c r="D675" s="8">
        <v>0</v>
      </c>
      <c r="E675" s="7">
        <v>0</v>
      </c>
      <c r="F675" s="8">
        <v>0</v>
      </c>
      <c r="G675" s="7">
        <v>0</v>
      </c>
      <c r="H675" s="7">
        <v>81211.819999998</v>
      </c>
      <c r="I675" s="7">
        <v>0</v>
      </c>
      <c r="J675" s="8">
        <v>0</v>
      </c>
      <c r="K675" s="9" t="str">
        <v/>
      </c>
    </row>
    <row r="676" spans="1:11">
      <c r="A676" t="str">
        <v/>
      </c>
      <c r="B676" s="6">
        <v>0</v>
      </c>
      <c r="C676" s="7" t="str">
        <v>趣点购浦发</v>
      </c>
      <c r="D676" s="8">
        <v>0</v>
      </c>
      <c r="E676" s="7">
        <v>0</v>
      </c>
      <c r="F676" s="8">
        <v>0</v>
      </c>
      <c r="G676" s="7">
        <v>0</v>
      </c>
      <c r="H676" s="7">
        <v>81211.819999998</v>
      </c>
      <c r="I676" s="7">
        <v>0</v>
      </c>
      <c r="J676" s="8">
        <v>0</v>
      </c>
      <c r="K676" s="9" t="str">
        <v/>
      </c>
    </row>
    <row r="677" spans="1:11">
      <c r="A677" t="str">
        <v/>
      </c>
      <c r="B677" s="6">
        <v>0</v>
      </c>
      <c r="C677" s="7" t="str">
        <v>趣点购浦发</v>
      </c>
      <c r="D677" s="8">
        <v>0</v>
      </c>
      <c r="E677" s="7">
        <v>0</v>
      </c>
      <c r="F677" s="8">
        <v>0</v>
      </c>
      <c r="G677" s="7">
        <v>0</v>
      </c>
      <c r="H677" s="7">
        <v>81211.819999998</v>
      </c>
      <c r="I677" s="7">
        <v>0</v>
      </c>
      <c r="J677" s="8">
        <v>0</v>
      </c>
      <c r="K677" s="9" t="str">
        <v/>
      </c>
    </row>
    <row r="678" spans="1:11">
      <c r="A678" t="str">
        <v/>
      </c>
      <c r="B678" s="6">
        <v>0</v>
      </c>
      <c r="C678" s="7" t="str">
        <v>趣点购浦发</v>
      </c>
      <c r="D678" s="8">
        <v>0</v>
      </c>
      <c r="E678" s="7">
        <v>0</v>
      </c>
      <c r="F678" s="8">
        <v>0</v>
      </c>
      <c r="G678" s="7">
        <v>0</v>
      </c>
      <c r="H678" s="7">
        <v>81211.819999998</v>
      </c>
      <c r="I678" s="7">
        <v>0</v>
      </c>
      <c r="J678" s="8">
        <v>0</v>
      </c>
      <c r="K678" s="9" t="str">
        <v/>
      </c>
    </row>
    <row r="679" spans="1:11">
      <c r="A679" t="str">
        <v/>
      </c>
      <c r="B679" s="6">
        <v>0</v>
      </c>
      <c r="C679" s="7" t="str">
        <v>趣点购浦发</v>
      </c>
      <c r="D679" s="8">
        <v>0</v>
      </c>
      <c r="E679" s="7">
        <v>0</v>
      </c>
      <c r="F679" s="8">
        <v>0</v>
      </c>
      <c r="G679" s="7">
        <v>0</v>
      </c>
      <c r="H679" s="7">
        <v>81211.819999998</v>
      </c>
      <c r="I679" s="7">
        <v>0</v>
      </c>
      <c r="J679" s="8">
        <v>0</v>
      </c>
      <c r="K679" s="9" t="str">
        <v/>
      </c>
    </row>
    <row r="680" spans="1:11">
      <c r="A680" t="str">
        <v/>
      </c>
      <c r="B680" s="6">
        <v>0</v>
      </c>
      <c r="C680" s="7" t="str">
        <v>趣点购浦发</v>
      </c>
      <c r="D680" s="8">
        <v>0</v>
      </c>
      <c r="E680" s="7">
        <v>0</v>
      </c>
      <c r="F680" s="8">
        <v>0</v>
      </c>
      <c r="G680" s="7">
        <v>0</v>
      </c>
      <c r="H680" s="7">
        <v>81211.819999998</v>
      </c>
      <c r="I680" s="7">
        <v>0</v>
      </c>
      <c r="J680" s="8">
        <v>0</v>
      </c>
      <c r="K680" s="9" t="str">
        <v/>
      </c>
    </row>
    <row r="681" spans="1:11">
      <c r="A681" t="str">
        <v/>
      </c>
      <c r="B681" s="6">
        <v>0</v>
      </c>
      <c r="C681" s="7" t="str">
        <v>趣点购浦发</v>
      </c>
      <c r="D681" s="8">
        <v>0</v>
      </c>
      <c r="E681" s="7">
        <v>0</v>
      </c>
      <c r="F681" s="8">
        <v>0</v>
      </c>
      <c r="G681" s="7">
        <v>0</v>
      </c>
      <c r="H681" s="7">
        <v>81211.819999998</v>
      </c>
      <c r="I681" s="7">
        <v>0</v>
      </c>
      <c r="J681" s="8">
        <v>0</v>
      </c>
      <c r="K681" s="9" t="str">
        <v/>
      </c>
    </row>
    <row r="682" spans="1:11">
      <c r="A682" t="str">
        <v/>
      </c>
      <c r="B682" s="6">
        <v>0</v>
      </c>
      <c r="C682" s="7" t="str">
        <v>趣点购浦发</v>
      </c>
      <c r="D682" s="8">
        <v>0</v>
      </c>
      <c r="E682" s="7">
        <v>0</v>
      </c>
      <c r="F682" s="8">
        <v>0</v>
      </c>
      <c r="G682" s="7">
        <v>0</v>
      </c>
      <c r="H682" s="7">
        <v>81211.819999998</v>
      </c>
      <c r="I682" s="7">
        <v>0</v>
      </c>
      <c r="J682" s="8">
        <v>0</v>
      </c>
      <c r="K682" s="9" t="str">
        <v/>
      </c>
    </row>
    <row r="683" spans="1:11">
      <c r="A683" t="str">
        <v/>
      </c>
      <c r="B683" s="6">
        <v>0</v>
      </c>
      <c r="C683" s="7" t="str">
        <v>趣点购浦发</v>
      </c>
      <c r="D683" s="8">
        <v>0</v>
      </c>
      <c r="E683" s="7">
        <v>0</v>
      </c>
      <c r="F683" s="8">
        <v>0</v>
      </c>
      <c r="G683" s="7">
        <v>0</v>
      </c>
      <c r="H683" s="7">
        <v>81211.819999998</v>
      </c>
      <c r="I683" s="7">
        <v>0</v>
      </c>
      <c r="J683" s="8">
        <v>0</v>
      </c>
      <c r="K683" s="9" t="str">
        <v/>
      </c>
    </row>
    <row r="684" spans="1:11">
      <c r="A684" t="str">
        <v/>
      </c>
      <c r="B684" s="6">
        <v>0</v>
      </c>
      <c r="C684" s="7" t="str">
        <v>趣点购浦发</v>
      </c>
      <c r="D684" s="8">
        <v>0</v>
      </c>
      <c r="E684" s="7">
        <v>0</v>
      </c>
      <c r="F684" s="8">
        <v>0</v>
      </c>
      <c r="G684" s="7">
        <v>0</v>
      </c>
      <c r="H684" s="7">
        <v>81211.819999998</v>
      </c>
      <c r="I684" s="7">
        <v>0</v>
      </c>
      <c r="J684" s="8">
        <v>0</v>
      </c>
      <c r="K684" s="9" t="str">
        <v/>
      </c>
    </row>
    <row r="685" spans="1:11">
      <c r="A685" t="str">
        <v/>
      </c>
      <c r="B685" s="6">
        <v>0</v>
      </c>
      <c r="C685" s="7" t="str">
        <v>趣点购浦发</v>
      </c>
      <c r="D685" s="8">
        <v>0</v>
      </c>
      <c r="E685" s="7">
        <v>0</v>
      </c>
      <c r="F685" s="8">
        <v>0</v>
      </c>
      <c r="G685" s="7">
        <v>0</v>
      </c>
      <c r="H685" s="7">
        <v>81211.819999998</v>
      </c>
      <c r="I685" s="7">
        <v>0</v>
      </c>
      <c r="J685" s="8">
        <v>0</v>
      </c>
      <c r="K685" s="9" t="str">
        <v/>
      </c>
    </row>
    <row r="686" spans="1:11">
      <c r="A686" t="str">
        <v/>
      </c>
      <c r="B686" s="6">
        <v>0</v>
      </c>
      <c r="C686" s="7" t="str">
        <v>趣点购浦发</v>
      </c>
      <c r="D686" s="8">
        <v>0</v>
      </c>
      <c r="E686" s="7">
        <v>0</v>
      </c>
      <c r="F686" s="8">
        <v>0</v>
      </c>
      <c r="G686" s="7">
        <v>0</v>
      </c>
      <c r="H686" s="7">
        <v>81211.819999998</v>
      </c>
      <c r="I686" s="7">
        <v>0</v>
      </c>
      <c r="J686" s="8">
        <v>0</v>
      </c>
      <c r="K686" s="9" t="str">
        <v/>
      </c>
    </row>
    <row r="687" spans="1:11">
      <c r="A687" t="str">
        <v/>
      </c>
      <c r="B687" s="6">
        <v>0</v>
      </c>
      <c r="C687" s="7" t="str">
        <v>趣点购浦发</v>
      </c>
      <c r="D687" s="8">
        <v>0</v>
      </c>
      <c r="E687" s="7">
        <v>0</v>
      </c>
      <c r="F687" s="8">
        <v>0</v>
      </c>
      <c r="G687" s="7">
        <v>0</v>
      </c>
      <c r="H687" s="7">
        <v>81211.819999998</v>
      </c>
      <c r="I687" s="7">
        <v>0</v>
      </c>
      <c r="J687" s="8">
        <v>0</v>
      </c>
      <c r="K687" s="9" t="str">
        <v/>
      </c>
    </row>
    <row r="688" spans="1:11">
      <c r="A688" t="str">
        <v/>
      </c>
      <c r="B688" s="6">
        <v>0</v>
      </c>
      <c r="C688" s="7" t="str">
        <v>趣点购浦发</v>
      </c>
      <c r="D688" s="8">
        <v>0</v>
      </c>
      <c r="E688" s="7">
        <v>0</v>
      </c>
      <c r="F688" s="8">
        <v>0</v>
      </c>
      <c r="G688" s="7">
        <v>0</v>
      </c>
      <c r="H688" s="7">
        <v>81211.819999998</v>
      </c>
      <c r="I688" s="7">
        <v>0</v>
      </c>
      <c r="J688" s="8">
        <v>0</v>
      </c>
      <c r="K688" s="9" t="str">
        <v/>
      </c>
    </row>
    <row r="689" spans="1:11">
      <c r="A689" t="str">
        <v/>
      </c>
      <c r="B689" s="6">
        <v>0</v>
      </c>
      <c r="C689" s="7" t="str">
        <v>趣点购浦发</v>
      </c>
      <c r="D689" s="8">
        <v>0</v>
      </c>
      <c r="E689" s="7">
        <v>0</v>
      </c>
      <c r="F689" s="8">
        <v>0</v>
      </c>
      <c r="G689" s="7">
        <v>0</v>
      </c>
      <c r="H689" s="7">
        <v>81211.819999998</v>
      </c>
      <c r="I689" s="7">
        <v>0</v>
      </c>
      <c r="J689" s="8">
        <v>0</v>
      </c>
      <c r="K689" s="9" t="str">
        <v/>
      </c>
    </row>
    <row r="690" spans="1:11">
      <c r="A690" t="str">
        <v/>
      </c>
      <c r="B690" s="6">
        <v>0</v>
      </c>
      <c r="C690" s="7" t="str">
        <v>趣点购浦发</v>
      </c>
      <c r="D690" s="8">
        <v>0</v>
      </c>
      <c r="E690" s="7">
        <v>0</v>
      </c>
      <c r="F690" s="8">
        <v>0</v>
      </c>
      <c r="G690" s="7">
        <v>0</v>
      </c>
      <c r="H690" s="7">
        <v>81211.819999998</v>
      </c>
      <c r="I690" s="7">
        <v>0</v>
      </c>
      <c r="J690" s="8">
        <v>0</v>
      </c>
      <c r="K690" s="9" t="str">
        <v/>
      </c>
    </row>
    <row r="691" spans="1:11">
      <c r="A691" t="str">
        <v/>
      </c>
      <c r="B691" s="6">
        <v>0</v>
      </c>
      <c r="C691" s="7" t="str">
        <v>趣点购浦发</v>
      </c>
      <c r="D691" s="8">
        <v>0</v>
      </c>
      <c r="E691" s="7">
        <v>0</v>
      </c>
      <c r="F691" s="8">
        <v>0</v>
      </c>
      <c r="G691" s="7">
        <v>0</v>
      </c>
      <c r="H691" s="7">
        <v>81211.819999998</v>
      </c>
      <c r="I691" s="7">
        <v>0</v>
      </c>
      <c r="J691" s="8">
        <v>0</v>
      </c>
      <c r="K691" s="9" t="str">
        <v/>
      </c>
    </row>
    <row r="692" spans="1:11">
      <c r="A692" t="str">
        <v/>
      </c>
      <c r="B692" s="6">
        <v>0</v>
      </c>
      <c r="C692" s="7" t="str">
        <v>趣点购浦发</v>
      </c>
      <c r="D692" s="8">
        <v>0</v>
      </c>
      <c r="E692" s="7">
        <v>0</v>
      </c>
      <c r="F692" s="8">
        <v>0</v>
      </c>
      <c r="G692" s="7">
        <v>0</v>
      </c>
      <c r="H692" s="7">
        <v>81211.819999998</v>
      </c>
      <c r="I692" s="7">
        <v>0</v>
      </c>
      <c r="J692" s="8">
        <v>0</v>
      </c>
      <c r="K692" s="9" t="str">
        <v/>
      </c>
    </row>
    <row r="693" spans="1:11">
      <c r="A693" t="str">
        <v/>
      </c>
      <c r="B693" s="6">
        <v>0</v>
      </c>
      <c r="C693" s="7" t="str">
        <v>趣点购浦发</v>
      </c>
      <c r="D693" s="8">
        <v>0</v>
      </c>
      <c r="E693" s="7">
        <v>0</v>
      </c>
      <c r="F693" s="8">
        <v>0</v>
      </c>
      <c r="G693" s="7">
        <v>0</v>
      </c>
      <c r="H693" s="7">
        <v>81211.819999998</v>
      </c>
      <c r="I693" s="7">
        <v>0</v>
      </c>
      <c r="J693" s="8">
        <v>0</v>
      </c>
      <c r="K693" s="9" t="str">
        <v/>
      </c>
    </row>
    <row r="694" spans="1:11">
      <c r="A694" t="str">
        <v/>
      </c>
      <c r="B694" s="6">
        <v>0</v>
      </c>
      <c r="C694" s="7" t="str">
        <v>趣点购浦发</v>
      </c>
      <c r="D694" s="8">
        <v>0</v>
      </c>
      <c r="E694" s="7">
        <v>0</v>
      </c>
      <c r="F694" s="8">
        <v>0</v>
      </c>
      <c r="G694" s="7">
        <v>0</v>
      </c>
      <c r="H694" s="7">
        <v>81211.819999998</v>
      </c>
      <c r="I694" s="7">
        <v>0</v>
      </c>
      <c r="J694" s="8">
        <v>0</v>
      </c>
      <c r="K694" s="9" t="str">
        <v/>
      </c>
    </row>
    <row r="695" spans="1:11">
      <c r="A695" t="str">
        <v/>
      </c>
      <c r="B695" s="6">
        <v>0</v>
      </c>
      <c r="C695" s="7" t="str">
        <v>趣点购浦发</v>
      </c>
      <c r="D695" s="8">
        <v>0</v>
      </c>
      <c r="E695" s="7">
        <v>0</v>
      </c>
      <c r="F695" s="8">
        <v>0</v>
      </c>
      <c r="G695" s="7">
        <v>0</v>
      </c>
      <c r="H695" s="7">
        <v>81211.819999998</v>
      </c>
      <c r="I695" s="7">
        <v>0</v>
      </c>
      <c r="J695" s="8">
        <v>0</v>
      </c>
      <c r="K695" s="9" t="str">
        <v/>
      </c>
    </row>
    <row r="696" spans="1:11">
      <c r="A696" t="str">
        <v/>
      </c>
      <c r="B696" s="6">
        <v>0</v>
      </c>
      <c r="C696" s="7" t="str">
        <v>趣点购浦发</v>
      </c>
      <c r="D696" s="8">
        <v>0</v>
      </c>
      <c r="E696" s="7">
        <v>0</v>
      </c>
      <c r="F696" s="8">
        <v>0</v>
      </c>
      <c r="G696" s="7">
        <v>0</v>
      </c>
      <c r="H696" s="7">
        <v>81211.819999998</v>
      </c>
      <c r="I696" s="7">
        <v>0</v>
      </c>
      <c r="J696" s="8">
        <v>0</v>
      </c>
      <c r="K696" s="9" t="str">
        <v/>
      </c>
    </row>
    <row r="697" spans="1:11">
      <c r="A697" t="str">
        <v/>
      </c>
      <c r="B697" s="6">
        <v>0</v>
      </c>
      <c r="C697" s="7" t="str">
        <v>趣点购浦发</v>
      </c>
      <c r="D697" s="8">
        <v>0</v>
      </c>
      <c r="E697" s="7">
        <v>0</v>
      </c>
      <c r="F697" s="8">
        <v>0</v>
      </c>
      <c r="G697" s="7">
        <v>0</v>
      </c>
      <c r="H697" s="7">
        <v>81211.819999998</v>
      </c>
      <c r="I697" s="7">
        <v>0</v>
      </c>
      <c r="J697" s="8">
        <v>0</v>
      </c>
      <c r="K697" s="9" t="str">
        <v/>
      </c>
    </row>
    <row r="698" spans="1:11">
      <c r="A698" t="str">
        <v/>
      </c>
      <c r="B698" s="6">
        <v>0</v>
      </c>
      <c r="C698" s="7" t="str">
        <v>趣点购浦发</v>
      </c>
      <c r="D698" s="8">
        <v>0</v>
      </c>
      <c r="E698" s="7">
        <v>0</v>
      </c>
      <c r="F698" s="8">
        <v>0</v>
      </c>
      <c r="G698" s="7">
        <v>0</v>
      </c>
      <c r="H698" s="7">
        <v>81211.819999998</v>
      </c>
      <c r="I698" s="7">
        <v>0</v>
      </c>
      <c r="J698" s="8">
        <v>0</v>
      </c>
      <c r="K698" s="9" t="str">
        <v/>
      </c>
    </row>
    <row r="699" spans="1:11">
      <c r="A699" t="str">
        <v/>
      </c>
      <c r="B699" s="6">
        <v>0</v>
      </c>
      <c r="C699" s="7" t="str">
        <v>趣点购浦发</v>
      </c>
      <c r="D699" s="8">
        <v>0</v>
      </c>
      <c r="E699" s="7">
        <v>0</v>
      </c>
      <c r="F699" s="8">
        <v>0</v>
      </c>
      <c r="G699" s="7">
        <v>0</v>
      </c>
      <c r="H699" s="7">
        <v>81211.819999998</v>
      </c>
      <c r="I699" s="7">
        <v>0</v>
      </c>
      <c r="J699" s="8">
        <v>0</v>
      </c>
      <c r="K699" s="9" t="str">
        <v/>
      </c>
    </row>
    <row r="700" spans="1:11">
      <c r="A700" t="str">
        <v/>
      </c>
      <c r="B700" s="6">
        <v>0</v>
      </c>
      <c r="C700" s="7" t="str">
        <v>趣点购浦发</v>
      </c>
      <c r="D700" s="8">
        <v>0</v>
      </c>
      <c r="E700" s="7">
        <v>0</v>
      </c>
      <c r="F700" s="8">
        <v>0</v>
      </c>
      <c r="G700" s="7">
        <v>0</v>
      </c>
      <c r="H700" s="7">
        <v>81211.819999998</v>
      </c>
      <c r="I700" s="7">
        <v>0</v>
      </c>
      <c r="J700" s="8">
        <v>0</v>
      </c>
      <c r="K700" s="9" t="str">
        <v/>
      </c>
    </row>
    <row r="701" spans="1:11">
      <c r="A701" t="str">
        <v/>
      </c>
      <c r="B701" s="6">
        <v>0</v>
      </c>
      <c r="C701" s="7" t="str">
        <v>趣点购浦发</v>
      </c>
      <c r="D701" s="8">
        <v>0</v>
      </c>
      <c r="E701" s="7">
        <v>0</v>
      </c>
      <c r="F701" s="8">
        <v>0</v>
      </c>
      <c r="G701" s="7">
        <v>0</v>
      </c>
      <c r="H701" s="7">
        <v>81211.819999998</v>
      </c>
      <c r="I701" s="7">
        <v>0</v>
      </c>
      <c r="J701" s="8">
        <v>0</v>
      </c>
      <c r="K701" s="9" t="str">
        <v/>
      </c>
    </row>
    <row r="702" spans="1:11">
      <c r="A702" t="str">
        <v/>
      </c>
      <c r="B702" s="6">
        <v>0</v>
      </c>
      <c r="C702" s="7" t="str">
        <v>趣点购浦发</v>
      </c>
      <c r="D702" s="8">
        <v>0</v>
      </c>
      <c r="E702" s="7">
        <v>0</v>
      </c>
      <c r="F702" s="8">
        <v>0</v>
      </c>
      <c r="G702" s="7">
        <v>0</v>
      </c>
      <c r="H702" s="7">
        <v>81211.819999998</v>
      </c>
      <c r="I702" s="7">
        <v>0</v>
      </c>
      <c r="J702" s="8">
        <v>0</v>
      </c>
      <c r="K702" s="9" t="str">
        <v/>
      </c>
    </row>
    <row r="703" spans="1:11">
      <c r="A703" t="str">
        <v/>
      </c>
      <c r="B703" s="6">
        <v>0</v>
      </c>
      <c r="C703" s="7" t="str">
        <v>趣点购浦发</v>
      </c>
      <c r="D703" s="8">
        <v>0</v>
      </c>
      <c r="E703" s="7">
        <v>0</v>
      </c>
      <c r="F703" s="8">
        <v>0</v>
      </c>
      <c r="G703" s="7">
        <v>0</v>
      </c>
      <c r="H703" s="7">
        <v>81211.819999998</v>
      </c>
      <c r="I703" s="7">
        <v>0</v>
      </c>
      <c r="J703" s="8">
        <v>0</v>
      </c>
      <c r="K703" s="9" t="str">
        <v/>
      </c>
    </row>
    <row r="704" spans="1:11">
      <c r="A704" t="str">
        <v/>
      </c>
      <c r="B704" s="6">
        <v>0</v>
      </c>
      <c r="C704" s="7" t="str">
        <v>趣点购浦发</v>
      </c>
      <c r="D704" s="8">
        <v>0</v>
      </c>
      <c r="E704" s="7">
        <v>0</v>
      </c>
      <c r="F704" s="8">
        <v>0</v>
      </c>
      <c r="G704" s="7">
        <v>0</v>
      </c>
      <c r="H704" s="7">
        <v>81211.819999998</v>
      </c>
      <c r="I704" s="7">
        <v>0</v>
      </c>
      <c r="J704" s="8">
        <v>0</v>
      </c>
      <c r="K704" s="9" t="str">
        <v/>
      </c>
    </row>
    <row r="705" spans="1:11">
      <c r="A705" t="str">
        <v/>
      </c>
      <c r="B705" s="6">
        <v>0</v>
      </c>
      <c r="C705" s="7" t="str">
        <v>趣点购浦发</v>
      </c>
      <c r="D705" s="8">
        <v>0</v>
      </c>
      <c r="E705" s="7">
        <v>0</v>
      </c>
      <c r="F705" s="8">
        <v>0</v>
      </c>
      <c r="G705" s="7">
        <v>0</v>
      </c>
      <c r="H705" s="7">
        <v>81211.819999998</v>
      </c>
      <c r="I705" s="7">
        <v>0</v>
      </c>
      <c r="J705" s="8">
        <v>0</v>
      </c>
      <c r="K705" s="9" t="str">
        <v/>
      </c>
    </row>
    <row r="706" spans="1:11">
      <c r="A706" t="str">
        <v/>
      </c>
      <c r="B706" s="6">
        <v>0</v>
      </c>
      <c r="C706" s="7" t="str">
        <v>趣点购浦发</v>
      </c>
      <c r="D706" s="8">
        <v>0</v>
      </c>
      <c r="E706" s="7">
        <v>0</v>
      </c>
      <c r="F706" s="8">
        <v>0</v>
      </c>
      <c r="G706" s="7">
        <v>0</v>
      </c>
      <c r="H706" s="7">
        <v>81211.819999998</v>
      </c>
      <c r="I706" s="7">
        <v>0</v>
      </c>
      <c r="J706" s="8">
        <v>0</v>
      </c>
      <c r="K706" s="9" t="str">
        <v/>
      </c>
    </row>
    <row r="707" spans="1:11">
      <c r="A707" t="str">
        <v/>
      </c>
      <c r="B707" s="6">
        <v>0</v>
      </c>
      <c r="C707" s="7" t="str">
        <v>趣点购浦发</v>
      </c>
      <c r="D707" s="8">
        <v>0</v>
      </c>
      <c r="E707" s="7">
        <v>0</v>
      </c>
      <c r="F707" s="8">
        <v>0</v>
      </c>
      <c r="G707" s="7">
        <v>0</v>
      </c>
      <c r="H707" s="7">
        <v>81211.819999998</v>
      </c>
      <c r="I707" s="7">
        <v>0</v>
      </c>
      <c r="J707" s="8">
        <v>0</v>
      </c>
      <c r="K707" s="9" t="str">
        <v/>
      </c>
    </row>
    <row r="708" spans="1:11">
      <c r="A708" t="str">
        <v/>
      </c>
      <c r="B708" s="6">
        <v>0</v>
      </c>
      <c r="C708" s="7" t="str">
        <v>趣点购浦发</v>
      </c>
      <c r="D708" s="8">
        <v>0</v>
      </c>
      <c r="E708" s="7">
        <v>0</v>
      </c>
      <c r="F708" s="8">
        <v>0</v>
      </c>
      <c r="G708" s="7">
        <v>0</v>
      </c>
      <c r="H708" s="7">
        <v>81211.819999998</v>
      </c>
      <c r="I708" s="7">
        <v>0</v>
      </c>
      <c r="J708" s="8">
        <v>0</v>
      </c>
      <c r="K708" s="9" t="str">
        <v/>
      </c>
    </row>
    <row r="709" spans="1:11">
      <c r="A709" t="str">
        <v/>
      </c>
      <c r="B709" s="6">
        <v>0</v>
      </c>
      <c r="C709" s="7" t="str">
        <v>趣点购浦发</v>
      </c>
      <c r="D709" s="8">
        <v>0</v>
      </c>
      <c r="E709" s="7">
        <v>0</v>
      </c>
      <c r="F709" s="8">
        <v>0</v>
      </c>
      <c r="G709" s="7">
        <v>0</v>
      </c>
      <c r="H709" s="7">
        <v>81211.819999998</v>
      </c>
      <c r="I709" s="7">
        <v>0</v>
      </c>
      <c r="J709" s="8">
        <v>0</v>
      </c>
      <c r="K709" s="9" t="str">
        <v/>
      </c>
    </row>
    <row r="710" spans="1:11">
      <c r="A710" t="str">
        <v/>
      </c>
      <c r="B710" s="6">
        <v>0</v>
      </c>
      <c r="C710" s="7" t="str">
        <v>趣点购浦发</v>
      </c>
      <c r="D710" s="8">
        <v>0</v>
      </c>
      <c r="E710" s="7">
        <v>0</v>
      </c>
      <c r="F710" s="8">
        <v>0</v>
      </c>
      <c r="G710" s="7">
        <v>0</v>
      </c>
      <c r="H710" s="7">
        <v>81211.819999998</v>
      </c>
      <c r="I710" s="7">
        <v>0</v>
      </c>
      <c r="J710" s="8">
        <v>0</v>
      </c>
      <c r="K710" s="9" t="str">
        <v/>
      </c>
    </row>
    <row r="711" spans="1:11">
      <c r="A711" t="str">
        <v/>
      </c>
      <c r="B711" s="6">
        <v>0</v>
      </c>
      <c r="C711" s="7" t="str">
        <v>趣点购浦发</v>
      </c>
      <c r="D711" s="8">
        <v>0</v>
      </c>
      <c r="E711" s="7">
        <v>0</v>
      </c>
      <c r="F711" s="8">
        <v>0</v>
      </c>
      <c r="G711" s="7">
        <v>0</v>
      </c>
      <c r="H711" s="7">
        <v>81211.819999998</v>
      </c>
      <c r="I711" s="7">
        <v>0</v>
      </c>
      <c r="J711" s="8">
        <v>0</v>
      </c>
      <c r="K711" s="9" t="str">
        <v/>
      </c>
    </row>
    <row r="712" spans="1:11">
      <c r="A712" t="str">
        <v/>
      </c>
      <c r="B712" s="6">
        <v>0</v>
      </c>
      <c r="C712" s="7" t="str">
        <v>趣点购浦发</v>
      </c>
      <c r="D712" s="8">
        <v>0</v>
      </c>
      <c r="E712" s="7">
        <v>0</v>
      </c>
      <c r="F712" s="8">
        <v>0</v>
      </c>
      <c r="G712" s="7">
        <v>0</v>
      </c>
      <c r="H712" s="7">
        <v>81211.819999998</v>
      </c>
      <c r="I712" s="7">
        <v>0</v>
      </c>
      <c r="J712" s="8">
        <v>0</v>
      </c>
      <c r="K712" s="9" t="str">
        <v/>
      </c>
    </row>
    <row r="713" spans="1:11">
      <c r="A713" t="str">
        <v/>
      </c>
      <c r="B713" s="6">
        <v>0</v>
      </c>
      <c r="C713" s="7" t="str">
        <v>趣点购浦发</v>
      </c>
      <c r="D713" s="8">
        <v>0</v>
      </c>
      <c r="E713" s="7">
        <v>0</v>
      </c>
      <c r="F713" s="8">
        <v>0</v>
      </c>
      <c r="G713" s="7">
        <v>0</v>
      </c>
      <c r="H713" s="7">
        <v>81211.819999998</v>
      </c>
      <c r="I713" s="7">
        <v>0</v>
      </c>
      <c r="J713" s="8">
        <v>0</v>
      </c>
      <c r="K713" s="9" t="str">
        <v/>
      </c>
    </row>
    <row r="714" spans="1:11">
      <c r="A714" t="str">
        <v/>
      </c>
      <c r="B714" s="6">
        <v>0</v>
      </c>
      <c r="C714" s="7" t="str">
        <v>趣点购浦发</v>
      </c>
      <c r="D714" s="8">
        <v>0</v>
      </c>
      <c r="E714" s="7">
        <v>0</v>
      </c>
      <c r="F714" s="8">
        <v>0</v>
      </c>
      <c r="G714" s="7">
        <v>0</v>
      </c>
      <c r="H714" s="7">
        <v>81211.819999998</v>
      </c>
      <c r="I714" s="7">
        <v>0</v>
      </c>
      <c r="J714" s="8">
        <v>0</v>
      </c>
      <c r="K714" s="9" t="str">
        <v/>
      </c>
    </row>
    <row r="715" spans="1:11">
      <c r="A715" t="str">
        <v/>
      </c>
      <c r="B715" s="6">
        <v>0</v>
      </c>
      <c r="C715" s="7" t="str">
        <v>趣点购浦发</v>
      </c>
      <c r="D715" s="8">
        <v>0</v>
      </c>
      <c r="E715" s="7">
        <v>0</v>
      </c>
      <c r="F715" s="8">
        <v>0</v>
      </c>
      <c r="G715" s="7">
        <v>0</v>
      </c>
      <c r="H715" s="7">
        <v>81211.819999998</v>
      </c>
      <c r="I715" s="7">
        <v>0</v>
      </c>
      <c r="J715" s="8">
        <v>0</v>
      </c>
      <c r="K715" s="9" t="str">
        <v/>
      </c>
    </row>
    <row r="716" spans="1:11">
      <c r="A716" t="str">
        <v/>
      </c>
      <c r="B716" s="6">
        <v>0</v>
      </c>
      <c r="C716" s="7" t="str">
        <v>趣点购浦发</v>
      </c>
      <c r="D716" s="8">
        <v>0</v>
      </c>
      <c r="E716" s="7">
        <v>0</v>
      </c>
      <c r="F716" s="8">
        <v>0</v>
      </c>
      <c r="G716" s="7">
        <v>0</v>
      </c>
      <c r="H716" s="7">
        <v>81211.819999998</v>
      </c>
      <c r="I716" s="7">
        <v>0</v>
      </c>
      <c r="J716" s="8">
        <v>0</v>
      </c>
      <c r="K716" s="9" t="str">
        <v/>
      </c>
    </row>
    <row r="717" spans="1:11">
      <c r="A717" t="str">
        <v/>
      </c>
      <c r="B717" s="6">
        <v>0</v>
      </c>
      <c r="C717" s="7" t="str">
        <v>趣点购浦发</v>
      </c>
      <c r="D717" s="8">
        <v>0</v>
      </c>
      <c r="E717" s="7">
        <v>0</v>
      </c>
      <c r="F717" s="8">
        <v>0</v>
      </c>
      <c r="G717" s="7">
        <v>0</v>
      </c>
      <c r="H717" s="7">
        <v>81211.819999998</v>
      </c>
      <c r="I717" s="7">
        <v>0</v>
      </c>
      <c r="J717" s="8">
        <v>0</v>
      </c>
      <c r="K717" s="9" t="str">
        <v/>
      </c>
    </row>
    <row r="718" spans="1:11">
      <c r="A718" t="str">
        <v/>
      </c>
      <c r="B718" s="6">
        <v>0</v>
      </c>
      <c r="C718" s="7" t="str">
        <v>趣点购浦发</v>
      </c>
      <c r="D718" s="8">
        <v>0</v>
      </c>
      <c r="E718" s="7">
        <v>0</v>
      </c>
      <c r="F718" s="8">
        <v>0</v>
      </c>
      <c r="G718" s="7">
        <v>0</v>
      </c>
      <c r="H718" s="7">
        <v>81211.819999998</v>
      </c>
      <c r="I718" s="7">
        <v>0</v>
      </c>
      <c r="J718" s="8">
        <v>0</v>
      </c>
      <c r="K718" s="9" t="str">
        <v/>
      </c>
    </row>
    <row r="719" spans="1:11">
      <c r="A719" t="str">
        <v/>
      </c>
      <c r="B719" s="6">
        <v>0</v>
      </c>
      <c r="C719" s="7" t="str">
        <v>趣点购浦发</v>
      </c>
      <c r="D719" s="8">
        <v>0</v>
      </c>
      <c r="E719" s="7">
        <v>0</v>
      </c>
      <c r="F719" s="8">
        <v>0</v>
      </c>
      <c r="G719" s="7">
        <v>0</v>
      </c>
      <c r="H719" s="7">
        <v>81211.819999998</v>
      </c>
      <c r="I719" s="7">
        <v>0</v>
      </c>
      <c r="J719" s="8">
        <v>0</v>
      </c>
      <c r="K719" s="9" t="str">
        <v/>
      </c>
    </row>
    <row r="720" spans="1:11">
      <c r="A720" t="str">
        <v/>
      </c>
      <c r="B720" s="6">
        <v>0</v>
      </c>
      <c r="C720" s="7" t="str">
        <v>趣点购浦发</v>
      </c>
      <c r="D720" s="8">
        <v>0</v>
      </c>
      <c r="E720" s="7">
        <v>0</v>
      </c>
      <c r="F720" s="8">
        <v>0</v>
      </c>
      <c r="G720" s="7">
        <v>0</v>
      </c>
      <c r="H720" s="7">
        <v>81211.819999998</v>
      </c>
      <c r="I720" s="7">
        <v>0</v>
      </c>
      <c r="J720" s="8">
        <v>0</v>
      </c>
      <c r="K720" s="9" t="str">
        <v/>
      </c>
    </row>
    <row r="721" spans="1:11">
      <c r="A721" t="str">
        <v/>
      </c>
      <c r="B721" s="6">
        <v>0</v>
      </c>
      <c r="C721" s="7" t="str">
        <v>趣点购浦发</v>
      </c>
      <c r="D721" s="8">
        <v>0</v>
      </c>
      <c r="E721" s="7">
        <v>0</v>
      </c>
      <c r="F721" s="8">
        <v>0</v>
      </c>
      <c r="G721" s="7">
        <v>0</v>
      </c>
      <c r="H721" s="7">
        <v>81211.819999998</v>
      </c>
      <c r="I721" s="7">
        <v>0</v>
      </c>
      <c r="J721" s="8">
        <v>0</v>
      </c>
      <c r="K721" s="9" t="str">
        <v/>
      </c>
    </row>
    <row r="722" spans="1:11">
      <c r="A722" t="str">
        <v/>
      </c>
      <c r="B722" s="6">
        <v>0</v>
      </c>
      <c r="C722" s="7" t="str">
        <v>趣点购浦发</v>
      </c>
      <c r="D722" s="8">
        <v>0</v>
      </c>
      <c r="E722" s="7">
        <v>0</v>
      </c>
      <c r="F722" s="8">
        <v>0</v>
      </c>
      <c r="G722" s="7">
        <v>0</v>
      </c>
      <c r="H722" s="7">
        <v>81211.819999998</v>
      </c>
      <c r="I722" s="7">
        <v>0</v>
      </c>
      <c r="J722" s="8">
        <v>0</v>
      </c>
      <c r="K722" s="9" t="str">
        <v/>
      </c>
    </row>
    <row r="723" spans="1:11">
      <c r="A723" t="str">
        <v/>
      </c>
      <c r="B723" s="6">
        <v>0</v>
      </c>
      <c r="C723" s="7" t="str">
        <v>趣点购浦发</v>
      </c>
      <c r="D723" s="8">
        <v>0</v>
      </c>
      <c r="E723" s="7">
        <v>0</v>
      </c>
      <c r="F723" s="8">
        <v>0</v>
      </c>
      <c r="G723" s="7">
        <v>0</v>
      </c>
      <c r="H723" s="7">
        <v>81211.819999998</v>
      </c>
      <c r="I723" s="7">
        <v>0</v>
      </c>
      <c r="J723" s="8">
        <v>0</v>
      </c>
      <c r="K723" s="9" t="str">
        <v/>
      </c>
    </row>
    <row r="724" spans="1:11">
      <c r="A724" t="str">
        <v/>
      </c>
      <c r="B724" s="6">
        <v>0</v>
      </c>
      <c r="C724" s="7" t="str">
        <v>趣点购浦发</v>
      </c>
      <c r="D724" s="8">
        <v>0</v>
      </c>
      <c r="E724" s="7">
        <v>0</v>
      </c>
      <c r="F724" s="8">
        <v>0</v>
      </c>
      <c r="G724" s="7">
        <v>0</v>
      </c>
      <c r="H724" s="7">
        <v>81211.819999998</v>
      </c>
      <c r="I724" s="7">
        <v>0</v>
      </c>
      <c r="J724" s="8">
        <v>0</v>
      </c>
      <c r="K724" s="9" t="str">
        <v/>
      </c>
    </row>
    <row r="725" spans="1:11">
      <c r="A725" t="str">
        <v/>
      </c>
      <c r="B725" s="6">
        <v>0</v>
      </c>
      <c r="C725" s="7" t="str">
        <v>趣点购浦发</v>
      </c>
      <c r="D725" s="8">
        <v>0</v>
      </c>
      <c r="E725" s="7">
        <v>0</v>
      </c>
      <c r="F725" s="8">
        <v>0</v>
      </c>
      <c r="G725" s="7">
        <v>0</v>
      </c>
      <c r="H725" s="7">
        <v>81211.819999998</v>
      </c>
      <c r="I725" s="7">
        <v>0</v>
      </c>
      <c r="J725" s="8">
        <v>0</v>
      </c>
      <c r="K725" s="9" t="str">
        <v/>
      </c>
    </row>
    <row r="726" spans="1:11">
      <c r="A726" t="str">
        <v/>
      </c>
      <c r="B726" s="6">
        <v>0</v>
      </c>
      <c r="C726" s="7" t="str">
        <v>趣点购浦发</v>
      </c>
      <c r="D726" s="8">
        <v>0</v>
      </c>
      <c r="E726" s="7">
        <v>0</v>
      </c>
      <c r="F726" s="8">
        <v>0</v>
      </c>
      <c r="G726" s="7">
        <v>0</v>
      </c>
      <c r="H726" s="7">
        <v>81211.819999998</v>
      </c>
      <c r="I726" s="7">
        <v>0</v>
      </c>
      <c r="J726" s="8">
        <v>0</v>
      </c>
      <c r="K726" s="9" t="str">
        <v/>
      </c>
    </row>
    <row r="727" spans="1:11">
      <c r="A727" t="str">
        <v/>
      </c>
      <c r="B727" s="6">
        <v>0</v>
      </c>
      <c r="C727" s="7" t="str">
        <v>趣点购浦发</v>
      </c>
      <c r="D727" s="8">
        <v>0</v>
      </c>
      <c r="E727" s="7">
        <v>0</v>
      </c>
      <c r="F727" s="8">
        <v>0</v>
      </c>
      <c r="G727" s="7">
        <v>0</v>
      </c>
      <c r="H727" s="7">
        <v>81211.819999998</v>
      </c>
      <c r="I727" s="7">
        <v>0</v>
      </c>
      <c r="J727" s="8">
        <v>0</v>
      </c>
      <c r="K727" s="9" t="str">
        <v/>
      </c>
    </row>
    <row r="728" spans="1:11">
      <c r="A728" t="str">
        <v/>
      </c>
      <c r="B728" s="6">
        <v>0</v>
      </c>
      <c r="C728" s="7" t="str">
        <v>趣点购浦发</v>
      </c>
      <c r="D728" s="8">
        <v>0</v>
      </c>
      <c r="E728" s="7">
        <v>0</v>
      </c>
      <c r="F728" s="8">
        <v>0</v>
      </c>
      <c r="G728" s="7">
        <v>0</v>
      </c>
      <c r="H728" s="7">
        <v>81211.819999998</v>
      </c>
      <c r="I728" s="7">
        <v>0</v>
      </c>
      <c r="J728" s="8">
        <v>0</v>
      </c>
      <c r="K728" s="9" t="str">
        <v/>
      </c>
    </row>
    <row r="729" spans="1:11">
      <c r="A729" t="str">
        <v/>
      </c>
      <c r="B729" s="6">
        <v>0</v>
      </c>
      <c r="C729" s="7" t="str">
        <v>趣点购浦发</v>
      </c>
      <c r="D729" s="8">
        <v>0</v>
      </c>
      <c r="E729" s="7">
        <v>0</v>
      </c>
      <c r="F729" s="8">
        <v>0</v>
      </c>
      <c r="G729" s="7">
        <v>0</v>
      </c>
      <c r="H729" s="7">
        <v>81211.819999998</v>
      </c>
      <c r="I729" s="7">
        <v>0</v>
      </c>
      <c r="J729" s="8">
        <v>0</v>
      </c>
      <c r="K729" s="9" t="str">
        <v/>
      </c>
    </row>
    <row r="730" spans="1:11">
      <c r="A730" t="str">
        <v/>
      </c>
      <c r="B730" s="6">
        <v>0</v>
      </c>
      <c r="C730" s="7" t="str">
        <v>趣点购浦发</v>
      </c>
      <c r="D730" s="8">
        <v>0</v>
      </c>
      <c r="E730" s="7">
        <v>0</v>
      </c>
      <c r="F730" s="8">
        <v>0</v>
      </c>
      <c r="G730" s="7">
        <v>0</v>
      </c>
      <c r="H730" s="7">
        <v>81211.819999998</v>
      </c>
      <c r="I730" s="7">
        <v>0</v>
      </c>
      <c r="J730" s="8">
        <v>0</v>
      </c>
      <c r="K730" s="9" t="str">
        <v/>
      </c>
    </row>
    <row r="731" spans="1:11">
      <c r="A731" t="str">
        <v/>
      </c>
      <c r="B731" s="6">
        <v>0</v>
      </c>
      <c r="C731" s="7" t="str">
        <v>趣点购浦发</v>
      </c>
      <c r="D731" s="8">
        <v>0</v>
      </c>
      <c r="E731" s="7">
        <v>0</v>
      </c>
      <c r="F731" s="8">
        <v>0</v>
      </c>
      <c r="G731" s="7">
        <v>0</v>
      </c>
      <c r="H731" s="7">
        <v>81211.819999998</v>
      </c>
      <c r="I731" s="7">
        <v>0</v>
      </c>
      <c r="J731" s="8">
        <v>0</v>
      </c>
      <c r="K731" s="9" t="str">
        <v/>
      </c>
    </row>
    <row r="732" spans="1:11">
      <c r="A732" t="str">
        <v/>
      </c>
      <c r="B732" s="6">
        <v>0</v>
      </c>
      <c r="C732" s="7" t="str">
        <v>趣点购浦发</v>
      </c>
      <c r="D732" s="8">
        <v>0</v>
      </c>
      <c r="E732" s="7">
        <v>0</v>
      </c>
      <c r="F732" s="8">
        <v>0</v>
      </c>
      <c r="G732" s="7">
        <v>0</v>
      </c>
      <c r="H732" s="7">
        <v>81211.819999998</v>
      </c>
      <c r="I732" s="7">
        <v>0</v>
      </c>
      <c r="J732" s="8">
        <v>0</v>
      </c>
      <c r="K732" s="9" t="str">
        <v/>
      </c>
    </row>
    <row r="733" spans="1:11">
      <c r="A733" t="str">
        <v/>
      </c>
      <c r="B733" s="6">
        <v>0</v>
      </c>
      <c r="C733" s="7" t="str">
        <v>趣点购浦发</v>
      </c>
      <c r="D733" s="8">
        <v>0</v>
      </c>
      <c r="E733" s="7">
        <v>0</v>
      </c>
      <c r="F733" s="8">
        <v>0</v>
      </c>
      <c r="G733" s="7">
        <v>0</v>
      </c>
      <c r="H733" s="7">
        <v>81211.819999998</v>
      </c>
      <c r="I733" s="7">
        <v>0</v>
      </c>
      <c r="J733" s="8">
        <v>0</v>
      </c>
      <c r="K733" s="9" t="str">
        <v/>
      </c>
    </row>
    <row r="734" spans="1:11">
      <c r="A734" t="str">
        <v/>
      </c>
      <c r="B734" s="6">
        <v>0</v>
      </c>
      <c r="C734" s="7" t="str">
        <v>趣点购浦发</v>
      </c>
      <c r="D734" s="8">
        <v>0</v>
      </c>
      <c r="E734" s="7">
        <v>0</v>
      </c>
      <c r="F734" s="8">
        <v>0</v>
      </c>
      <c r="G734" s="7">
        <v>0</v>
      </c>
      <c r="H734" s="7">
        <v>81211.819999998</v>
      </c>
      <c r="I734" s="7">
        <v>0</v>
      </c>
      <c r="J734" s="8">
        <v>0</v>
      </c>
      <c r="K734" s="9" t="str">
        <v/>
      </c>
    </row>
    <row r="735" spans="1:11">
      <c r="A735" t="str">
        <v/>
      </c>
      <c r="B735" s="6">
        <v>0</v>
      </c>
      <c r="C735" s="7" t="str">
        <v>趣点购浦发</v>
      </c>
      <c r="D735" s="8">
        <v>0</v>
      </c>
      <c r="E735" s="7">
        <v>0</v>
      </c>
      <c r="F735" s="8">
        <v>0</v>
      </c>
      <c r="G735" s="7">
        <v>0</v>
      </c>
      <c r="H735" s="7">
        <v>81211.819999998</v>
      </c>
      <c r="I735" s="7">
        <v>0</v>
      </c>
      <c r="J735" s="8">
        <v>0</v>
      </c>
      <c r="K735" s="9" t="str">
        <v/>
      </c>
    </row>
    <row r="736" spans="1:11">
      <c r="A736" t="str">
        <v/>
      </c>
      <c r="B736" s="6">
        <v>0</v>
      </c>
      <c r="C736" s="7" t="str">
        <v>趣点购浦发</v>
      </c>
      <c r="D736" s="8">
        <v>0</v>
      </c>
      <c r="E736" s="7">
        <v>0</v>
      </c>
      <c r="F736" s="8">
        <v>0</v>
      </c>
      <c r="G736" s="7">
        <v>0</v>
      </c>
      <c r="H736" s="7">
        <v>81211.819999998</v>
      </c>
      <c r="I736" s="7">
        <v>0</v>
      </c>
      <c r="J736" s="8">
        <v>0</v>
      </c>
      <c r="K736" s="9" t="str">
        <v/>
      </c>
    </row>
    <row r="737" spans="1:11">
      <c r="A737" t="str">
        <v/>
      </c>
      <c r="B737" s="6">
        <v>0</v>
      </c>
      <c r="C737" s="7" t="str">
        <v>趣点购浦发</v>
      </c>
      <c r="D737" s="8">
        <v>0</v>
      </c>
      <c r="E737" s="7">
        <v>0</v>
      </c>
      <c r="F737" s="8">
        <v>0</v>
      </c>
      <c r="G737" s="7">
        <v>0</v>
      </c>
      <c r="H737" s="7">
        <v>81211.819999998</v>
      </c>
      <c r="I737" s="7">
        <v>0</v>
      </c>
      <c r="J737" s="8">
        <v>0</v>
      </c>
      <c r="K737" s="9" t="str">
        <v/>
      </c>
    </row>
    <row r="738" spans="1:11">
      <c r="A738" t="str">
        <v/>
      </c>
      <c r="B738" s="6">
        <v>0</v>
      </c>
      <c r="C738" s="7" t="str">
        <v>趣点购浦发</v>
      </c>
      <c r="D738" s="8">
        <v>0</v>
      </c>
      <c r="E738" s="7">
        <v>0</v>
      </c>
      <c r="F738" s="8">
        <v>0</v>
      </c>
      <c r="G738" s="7">
        <v>0</v>
      </c>
      <c r="H738" s="7">
        <v>81211.819999998</v>
      </c>
      <c r="I738" s="7">
        <v>0</v>
      </c>
      <c r="J738" s="8">
        <v>0</v>
      </c>
      <c r="K738" s="9" t="str">
        <v/>
      </c>
    </row>
    <row r="739" spans="1:11">
      <c r="A739" t="str">
        <v/>
      </c>
      <c r="B739" s="6">
        <v>0</v>
      </c>
      <c r="C739" s="7" t="str">
        <v>趣点购浦发</v>
      </c>
      <c r="D739" s="8">
        <v>0</v>
      </c>
      <c r="E739" s="7">
        <v>0</v>
      </c>
      <c r="F739" s="8">
        <v>0</v>
      </c>
      <c r="G739" s="7">
        <v>0</v>
      </c>
      <c r="H739" s="7">
        <v>81211.819999998</v>
      </c>
      <c r="I739" s="7">
        <v>0</v>
      </c>
      <c r="J739" s="8">
        <v>0</v>
      </c>
      <c r="K739" s="9" t="str">
        <v/>
      </c>
    </row>
    <row r="740" spans="1:11">
      <c r="A740" t="str">
        <v/>
      </c>
      <c r="B740" s="6">
        <v>0</v>
      </c>
      <c r="C740" s="7" t="str">
        <v>趣点购浦发</v>
      </c>
      <c r="D740" s="8">
        <v>0</v>
      </c>
      <c r="E740" s="7">
        <v>0</v>
      </c>
      <c r="F740" s="8">
        <v>0</v>
      </c>
      <c r="G740" s="7">
        <v>0</v>
      </c>
      <c r="H740" s="7">
        <v>81211.819999998</v>
      </c>
      <c r="I740" s="7">
        <v>0</v>
      </c>
      <c r="J740" s="8">
        <v>0</v>
      </c>
      <c r="K740" s="9" t="str">
        <v/>
      </c>
    </row>
    <row r="741" spans="1:11">
      <c r="A741" t="str">
        <v/>
      </c>
      <c r="B741" s="6">
        <v>0</v>
      </c>
      <c r="C741" s="7" t="str">
        <v>趣点购浦发</v>
      </c>
      <c r="D741" s="8">
        <v>0</v>
      </c>
      <c r="E741" s="7">
        <v>0</v>
      </c>
      <c r="F741" s="8">
        <v>0</v>
      </c>
      <c r="G741" s="7">
        <v>0</v>
      </c>
      <c r="H741" s="7">
        <v>81211.819999998</v>
      </c>
      <c r="I741" s="7">
        <v>0</v>
      </c>
      <c r="J741" s="8">
        <v>0</v>
      </c>
      <c r="K741" s="9" t="str">
        <v/>
      </c>
    </row>
    <row r="742" spans="1:11">
      <c r="A742" t="str">
        <v/>
      </c>
      <c r="B742" s="6">
        <v>0</v>
      </c>
      <c r="C742" s="7" t="str">
        <v>趣点购浦发</v>
      </c>
      <c r="D742" s="8">
        <v>0</v>
      </c>
      <c r="E742" s="7">
        <v>0</v>
      </c>
      <c r="F742" s="8">
        <v>0</v>
      </c>
      <c r="G742" s="7">
        <v>0</v>
      </c>
      <c r="H742" s="7">
        <v>81211.819999998</v>
      </c>
      <c r="I742" s="7">
        <v>0</v>
      </c>
      <c r="J742" s="8">
        <v>0</v>
      </c>
      <c r="K742" s="9" t="str">
        <v/>
      </c>
    </row>
    <row r="743" spans="1:11">
      <c r="A743" t="str">
        <v/>
      </c>
      <c r="B743" s="6">
        <v>0</v>
      </c>
      <c r="C743" s="7" t="str">
        <v>趣点购浦发</v>
      </c>
      <c r="D743" s="8">
        <v>0</v>
      </c>
      <c r="E743" s="7">
        <v>0</v>
      </c>
      <c r="F743" s="8">
        <v>0</v>
      </c>
      <c r="G743" s="7">
        <v>0</v>
      </c>
      <c r="H743" s="7">
        <v>81211.819999998</v>
      </c>
      <c r="I743" s="7">
        <v>0</v>
      </c>
      <c r="J743" s="8">
        <v>0</v>
      </c>
      <c r="K743" s="9" t="str">
        <v/>
      </c>
    </row>
    <row r="744" spans="1:11">
      <c r="A744" t="str">
        <v/>
      </c>
      <c r="B744" s="6">
        <v>0</v>
      </c>
      <c r="C744" s="7" t="str">
        <v>趣点购浦发</v>
      </c>
      <c r="D744" s="8">
        <v>0</v>
      </c>
      <c r="E744" s="7">
        <v>0</v>
      </c>
      <c r="F744" s="8">
        <v>0</v>
      </c>
      <c r="G744" s="7">
        <v>0</v>
      </c>
      <c r="H744" s="7">
        <v>81211.819999998</v>
      </c>
      <c r="I744" s="7">
        <v>0</v>
      </c>
      <c r="J744" s="8">
        <v>0</v>
      </c>
      <c r="K744" s="9" t="str">
        <v/>
      </c>
    </row>
    <row r="745" spans="1:11">
      <c r="A745" t="str">
        <v/>
      </c>
      <c r="B745" s="6">
        <v>0</v>
      </c>
      <c r="C745" s="7" t="str">
        <v>趣点购浦发</v>
      </c>
      <c r="D745" s="8">
        <v>0</v>
      </c>
      <c r="E745" s="7">
        <v>0</v>
      </c>
      <c r="F745" s="8">
        <v>0</v>
      </c>
      <c r="G745" s="7">
        <v>0</v>
      </c>
      <c r="H745" s="7">
        <v>81211.819999998</v>
      </c>
      <c r="I745" s="7">
        <v>0</v>
      </c>
      <c r="J745" s="8">
        <v>0</v>
      </c>
      <c r="K745" s="9" t="str">
        <v/>
      </c>
    </row>
    <row r="746" spans="1:11">
      <c r="A746" t="str">
        <v/>
      </c>
      <c r="B746" s="6">
        <v>0</v>
      </c>
      <c r="C746" s="7" t="str">
        <v>趣点购浦发</v>
      </c>
      <c r="D746" s="8">
        <v>0</v>
      </c>
      <c r="E746" s="7">
        <v>0</v>
      </c>
      <c r="F746" s="8">
        <v>0</v>
      </c>
      <c r="G746" s="7">
        <v>0</v>
      </c>
      <c r="H746" s="7">
        <v>81211.819999998</v>
      </c>
      <c r="I746" s="7">
        <v>0</v>
      </c>
      <c r="J746" s="8">
        <v>0</v>
      </c>
      <c r="K746" s="9" t="str">
        <v/>
      </c>
    </row>
    <row r="747" spans="1:11">
      <c r="A747" t="str">
        <v/>
      </c>
      <c r="B747" s="6">
        <v>0</v>
      </c>
      <c r="C747" s="7" t="str">
        <v>趣点购浦发</v>
      </c>
      <c r="D747" s="8">
        <v>0</v>
      </c>
      <c r="E747" s="7">
        <v>0</v>
      </c>
      <c r="F747" s="8">
        <v>0</v>
      </c>
      <c r="G747" s="7">
        <v>0</v>
      </c>
      <c r="H747" s="7">
        <v>81211.819999998</v>
      </c>
      <c r="I747" s="7">
        <v>0</v>
      </c>
      <c r="J747" s="8">
        <v>0</v>
      </c>
      <c r="K747" s="9" t="str">
        <v/>
      </c>
    </row>
    <row r="748" spans="1:11">
      <c r="A748" t="str">
        <v/>
      </c>
      <c r="B748" s="6">
        <v>0</v>
      </c>
      <c r="C748" s="7" t="str">
        <v>趣点购浦发</v>
      </c>
      <c r="D748" s="8">
        <v>0</v>
      </c>
      <c r="E748" s="7">
        <v>0</v>
      </c>
      <c r="F748" s="8">
        <v>0</v>
      </c>
      <c r="G748" s="7">
        <v>0</v>
      </c>
      <c r="H748" s="7">
        <v>81211.819999998</v>
      </c>
      <c r="I748" s="7">
        <v>0</v>
      </c>
      <c r="J748" s="8">
        <v>0</v>
      </c>
      <c r="K748" s="9" t="str">
        <v/>
      </c>
    </row>
    <row r="749" spans="1:11">
      <c r="A749" t="str">
        <v/>
      </c>
      <c r="B749" s="6">
        <v>0</v>
      </c>
      <c r="C749" s="7" t="str">
        <v>趣点购浦发</v>
      </c>
      <c r="D749" s="8">
        <v>0</v>
      </c>
      <c r="E749" s="7">
        <v>0</v>
      </c>
      <c r="F749" s="8">
        <v>0</v>
      </c>
      <c r="G749" s="7">
        <v>0</v>
      </c>
      <c r="H749" s="7">
        <v>81211.819999998</v>
      </c>
      <c r="I749" s="7">
        <v>0</v>
      </c>
      <c r="J749" s="8">
        <v>0</v>
      </c>
      <c r="K749" s="9" t="str">
        <v/>
      </c>
    </row>
    <row r="750" spans="1:11">
      <c r="A750" t="str">
        <v/>
      </c>
      <c r="B750" s="6">
        <v>0</v>
      </c>
      <c r="C750" s="7" t="str">
        <v>趣点购浦发</v>
      </c>
      <c r="D750" s="8">
        <v>0</v>
      </c>
      <c r="E750" s="7">
        <v>0</v>
      </c>
      <c r="F750" s="8">
        <v>0</v>
      </c>
      <c r="G750" s="7">
        <v>0</v>
      </c>
      <c r="H750" s="7">
        <v>81211.819999998</v>
      </c>
      <c r="I750" s="7">
        <v>0</v>
      </c>
      <c r="J750" s="8">
        <v>0</v>
      </c>
      <c r="K750" s="9" t="str">
        <v/>
      </c>
    </row>
    <row r="751" spans="1:11">
      <c r="A751" t="str">
        <v/>
      </c>
      <c r="B751" s="6">
        <v>0</v>
      </c>
      <c r="C751" s="7" t="str">
        <v>趣点购浦发</v>
      </c>
      <c r="D751" s="8">
        <v>0</v>
      </c>
      <c r="E751" s="7">
        <v>0</v>
      </c>
      <c r="F751" s="8">
        <v>0</v>
      </c>
      <c r="G751" s="7">
        <v>0</v>
      </c>
      <c r="H751" s="7">
        <v>81211.819999998</v>
      </c>
      <c r="I751" s="7">
        <v>0</v>
      </c>
      <c r="J751" s="8">
        <v>0</v>
      </c>
      <c r="K751" s="9" t="str">
        <v/>
      </c>
    </row>
    <row r="752" spans="1:11">
      <c r="A752" t="str">
        <v/>
      </c>
      <c r="B752" s="6">
        <v>0</v>
      </c>
      <c r="C752" s="7" t="str">
        <v>趣点购浦发</v>
      </c>
      <c r="D752" s="8">
        <v>0</v>
      </c>
      <c r="E752" s="7">
        <v>0</v>
      </c>
      <c r="F752" s="8">
        <v>0</v>
      </c>
      <c r="G752" s="7">
        <v>0</v>
      </c>
      <c r="H752" s="7">
        <v>81211.819999998</v>
      </c>
      <c r="I752" s="7">
        <v>0</v>
      </c>
      <c r="J752" s="8">
        <v>0</v>
      </c>
      <c r="K752" s="9" t="str">
        <v/>
      </c>
    </row>
    <row r="753" spans="1:11">
      <c r="A753" t="str">
        <v/>
      </c>
      <c r="B753" s="6">
        <v>0</v>
      </c>
      <c r="C753" s="7" t="str">
        <v>趣点购浦发</v>
      </c>
      <c r="D753" s="8">
        <v>0</v>
      </c>
      <c r="E753" s="7">
        <v>0</v>
      </c>
      <c r="F753" s="8">
        <v>0</v>
      </c>
      <c r="G753" s="7">
        <v>0</v>
      </c>
      <c r="H753" s="7">
        <v>81211.819999998</v>
      </c>
      <c r="I753" s="7">
        <v>0</v>
      </c>
      <c r="J753" s="8">
        <v>0</v>
      </c>
      <c r="K753" s="9" t="str">
        <v/>
      </c>
    </row>
    <row r="754" spans="1:11">
      <c r="A754" t="str">
        <v/>
      </c>
      <c r="B754" s="6">
        <v>0</v>
      </c>
      <c r="C754" s="7" t="str">
        <v>趣点购浦发</v>
      </c>
      <c r="D754" s="8">
        <v>0</v>
      </c>
      <c r="E754" s="7">
        <v>0</v>
      </c>
      <c r="F754" s="8">
        <v>0</v>
      </c>
      <c r="G754" s="7">
        <v>0</v>
      </c>
      <c r="H754" s="7">
        <v>81211.819999998</v>
      </c>
      <c r="I754" s="7">
        <v>0</v>
      </c>
      <c r="J754" s="8">
        <v>0</v>
      </c>
      <c r="K754" s="9" t="str">
        <v/>
      </c>
    </row>
    <row r="755" spans="1:11">
      <c r="A755" t="str">
        <v/>
      </c>
      <c r="B755" s="6">
        <v>0</v>
      </c>
      <c r="C755" s="7" t="str">
        <v>趣点购浦发</v>
      </c>
      <c r="D755" s="8">
        <v>0</v>
      </c>
      <c r="E755" s="7">
        <v>0</v>
      </c>
      <c r="F755" s="8">
        <v>0</v>
      </c>
      <c r="G755" s="7">
        <v>0</v>
      </c>
      <c r="H755" s="7">
        <v>81211.819999998</v>
      </c>
      <c r="I755" s="7">
        <v>0</v>
      </c>
      <c r="J755" s="8">
        <v>0</v>
      </c>
      <c r="K755" s="9" t="str">
        <v/>
      </c>
    </row>
    <row r="756" spans="1:11">
      <c r="A756" t="str">
        <v/>
      </c>
      <c r="B756" s="6">
        <v>0</v>
      </c>
      <c r="C756" s="7" t="str">
        <v>趣点购浦发</v>
      </c>
      <c r="D756" s="8">
        <v>0</v>
      </c>
      <c r="E756" s="7">
        <v>0</v>
      </c>
      <c r="F756" s="8">
        <v>0</v>
      </c>
      <c r="G756" s="7">
        <v>0</v>
      </c>
      <c r="H756" s="7">
        <v>81211.819999998</v>
      </c>
      <c r="I756" s="7">
        <v>0</v>
      </c>
      <c r="J756" s="8">
        <v>0</v>
      </c>
      <c r="K756" s="9" t="str">
        <v/>
      </c>
    </row>
    <row r="757" spans="1:11">
      <c r="A757" t="str">
        <v/>
      </c>
      <c r="B757" s="6">
        <v>0</v>
      </c>
      <c r="C757" s="7" t="str">
        <v>趣点购浦发</v>
      </c>
      <c r="D757" s="8">
        <v>0</v>
      </c>
      <c r="E757" s="7">
        <v>0</v>
      </c>
      <c r="F757" s="8">
        <v>0</v>
      </c>
      <c r="G757" s="7">
        <v>0</v>
      </c>
      <c r="H757" s="7">
        <v>81211.819999998</v>
      </c>
      <c r="I757" s="7">
        <v>0</v>
      </c>
      <c r="J757" s="8">
        <v>0</v>
      </c>
      <c r="K757" s="9" t="str">
        <v/>
      </c>
    </row>
    <row r="758" spans="1:11">
      <c r="A758" t="str">
        <v/>
      </c>
      <c r="B758" s="6">
        <v>0</v>
      </c>
      <c r="C758" s="7" t="str">
        <v>趣点购浦发</v>
      </c>
      <c r="D758" s="8">
        <v>0</v>
      </c>
      <c r="E758" s="7">
        <v>0</v>
      </c>
      <c r="F758" s="8">
        <v>0</v>
      </c>
      <c r="G758" s="7">
        <v>0</v>
      </c>
      <c r="H758" s="7">
        <v>81211.819999998</v>
      </c>
      <c r="I758" s="7">
        <v>0</v>
      </c>
      <c r="J758" s="8">
        <v>0</v>
      </c>
      <c r="K758" s="9" t="str">
        <v/>
      </c>
    </row>
    <row r="759" spans="1:11">
      <c r="A759" t="str">
        <v/>
      </c>
      <c r="B759" s="6">
        <v>0</v>
      </c>
      <c r="C759" s="7" t="str">
        <v>趣点购浦发</v>
      </c>
      <c r="D759" s="8">
        <v>0</v>
      </c>
      <c r="E759" s="7">
        <v>0</v>
      </c>
      <c r="F759" s="8">
        <v>0</v>
      </c>
      <c r="G759" s="7">
        <v>0</v>
      </c>
      <c r="H759" s="7">
        <v>81211.819999998</v>
      </c>
      <c r="I759" s="7">
        <v>0</v>
      </c>
      <c r="J759" s="8">
        <v>0</v>
      </c>
      <c r="K759" s="9" t="str">
        <v/>
      </c>
    </row>
    <row r="760" spans="1:11">
      <c r="A760" t="str">
        <v/>
      </c>
      <c r="B760" s="6">
        <v>0</v>
      </c>
      <c r="C760" s="7" t="str">
        <v>趣点购浦发</v>
      </c>
      <c r="D760" s="8">
        <v>0</v>
      </c>
      <c r="E760" s="7">
        <v>0</v>
      </c>
      <c r="F760" s="8">
        <v>0</v>
      </c>
      <c r="G760" s="7">
        <v>0</v>
      </c>
      <c r="H760" s="7">
        <v>81211.819999998</v>
      </c>
      <c r="I760" s="7">
        <v>0</v>
      </c>
      <c r="J760" s="8">
        <v>0</v>
      </c>
      <c r="K760" s="9" t="str">
        <v/>
      </c>
    </row>
    <row r="761" spans="1:11">
      <c r="A761" t="str">
        <v/>
      </c>
      <c r="B761" s="6">
        <v>0</v>
      </c>
      <c r="C761" s="7" t="str">
        <v>趣点购浦发</v>
      </c>
      <c r="D761" s="8">
        <v>0</v>
      </c>
      <c r="E761" s="7">
        <v>0</v>
      </c>
      <c r="F761" s="8">
        <v>0</v>
      </c>
      <c r="G761" s="7">
        <v>0</v>
      </c>
      <c r="H761" s="7">
        <v>81211.819999998</v>
      </c>
      <c r="I761" s="7">
        <v>0</v>
      </c>
      <c r="J761" s="8">
        <v>0</v>
      </c>
      <c r="K761" s="9" t="str">
        <v/>
      </c>
    </row>
    <row r="762" spans="1:11">
      <c r="A762" t="str">
        <v/>
      </c>
      <c r="B762" s="6">
        <v>0</v>
      </c>
      <c r="C762" s="7" t="str">
        <v>趣点购浦发</v>
      </c>
      <c r="D762" s="8">
        <v>0</v>
      </c>
      <c r="E762" s="7">
        <v>0</v>
      </c>
      <c r="F762" s="8">
        <v>0</v>
      </c>
      <c r="G762" s="7">
        <v>0</v>
      </c>
      <c r="H762" s="7">
        <v>81211.819999998</v>
      </c>
      <c r="I762" s="7">
        <v>0</v>
      </c>
      <c r="J762" s="8">
        <v>0</v>
      </c>
      <c r="K762" s="9" t="str">
        <v/>
      </c>
    </row>
    <row r="763" spans="1:11">
      <c r="A763" t="str">
        <v/>
      </c>
      <c r="B763" s="6">
        <v>0</v>
      </c>
      <c r="C763" s="7" t="str">
        <v>趣点购浦发</v>
      </c>
      <c r="D763" s="8">
        <v>0</v>
      </c>
      <c r="E763" s="7">
        <v>0</v>
      </c>
      <c r="F763" s="8">
        <v>0</v>
      </c>
      <c r="G763" s="7">
        <v>0</v>
      </c>
      <c r="H763" s="7">
        <v>81211.819999998</v>
      </c>
      <c r="I763" s="7">
        <v>0</v>
      </c>
      <c r="J763" s="8">
        <v>0</v>
      </c>
      <c r="K763" s="9" t="str">
        <v/>
      </c>
    </row>
    <row r="764" spans="1:11">
      <c r="A764" t="str">
        <v/>
      </c>
      <c r="B764" s="6">
        <v>0</v>
      </c>
      <c r="C764" s="7" t="str">
        <v>趣点购浦发</v>
      </c>
      <c r="D764" s="8">
        <v>0</v>
      </c>
      <c r="E764" s="7">
        <v>0</v>
      </c>
      <c r="F764" s="8">
        <v>0</v>
      </c>
      <c r="G764" s="7">
        <v>0</v>
      </c>
      <c r="H764" s="7">
        <v>81211.819999998</v>
      </c>
      <c r="I764" s="7">
        <v>0</v>
      </c>
      <c r="J764" s="8">
        <v>0</v>
      </c>
      <c r="K764" s="9" t="str">
        <v/>
      </c>
    </row>
    <row r="765" spans="1:11">
      <c r="A765" t="str">
        <v/>
      </c>
      <c r="B765" s="6">
        <v>0</v>
      </c>
      <c r="C765" s="7" t="str">
        <v>趣点购浦发</v>
      </c>
      <c r="D765" s="8">
        <v>0</v>
      </c>
      <c r="E765" s="7">
        <v>0</v>
      </c>
      <c r="F765" s="8">
        <v>0</v>
      </c>
      <c r="G765" s="7">
        <v>0</v>
      </c>
      <c r="H765" s="7">
        <v>81211.819999998</v>
      </c>
      <c r="I765" s="7">
        <v>0</v>
      </c>
      <c r="J765" s="8">
        <v>0</v>
      </c>
      <c r="K765" s="9" t="str">
        <v/>
      </c>
    </row>
    <row r="766" spans="1:11">
      <c r="A766" t="str">
        <v/>
      </c>
      <c r="B766" s="6">
        <v>0</v>
      </c>
      <c r="C766" s="7" t="str">
        <v>趣点购浦发</v>
      </c>
      <c r="D766" s="8">
        <v>0</v>
      </c>
      <c r="E766" s="7">
        <v>0</v>
      </c>
      <c r="F766" s="8">
        <v>0</v>
      </c>
      <c r="G766" s="7">
        <v>0</v>
      </c>
      <c r="H766" s="7">
        <v>81211.819999998</v>
      </c>
      <c r="I766" s="7">
        <v>0</v>
      </c>
      <c r="J766" s="8">
        <v>0</v>
      </c>
      <c r="K766" s="9" t="str">
        <v/>
      </c>
    </row>
    <row r="767" spans="1:11">
      <c r="A767" t="str">
        <v/>
      </c>
      <c r="B767" s="6">
        <v>0</v>
      </c>
      <c r="C767" s="7" t="str">
        <v>趣点购浦发</v>
      </c>
      <c r="D767" s="8">
        <v>0</v>
      </c>
      <c r="E767" s="7">
        <v>0</v>
      </c>
      <c r="F767" s="8">
        <v>0</v>
      </c>
      <c r="G767" s="7">
        <v>0</v>
      </c>
      <c r="H767" s="7">
        <v>81211.819999998</v>
      </c>
      <c r="I767" s="7">
        <v>0</v>
      </c>
      <c r="J767" s="8">
        <v>0</v>
      </c>
      <c r="K767" s="9" t="str">
        <v/>
      </c>
    </row>
    <row r="768" spans="1:11">
      <c r="A768" t="str">
        <v/>
      </c>
      <c r="B768" s="6">
        <v>0</v>
      </c>
      <c r="C768" s="7" t="str">
        <v>趣点购浦发</v>
      </c>
      <c r="D768" s="8">
        <v>0</v>
      </c>
      <c r="E768" s="7">
        <v>0</v>
      </c>
      <c r="F768" s="8">
        <v>0</v>
      </c>
      <c r="G768" s="7">
        <v>0</v>
      </c>
      <c r="H768" s="7">
        <v>81211.819999998</v>
      </c>
      <c r="I768" s="7">
        <v>0</v>
      </c>
      <c r="J768" s="8">
        <v>0</v>
      </c>
      <c r="K768" s="9" t="str">
        <v/>
      </c>
    </row>
    <row r="769" spans="1:11">
      <c r="A769" t="str">
        <v/>
      </c>
      <c r="B769" s="6">
        <v>0</v>
      </c>
      <c r="C769" s="7" t="str">
        <v>趣点购浦发</v>
      </c>
      <c r="D769" s="8">
        <v>0</v>
      </c>
      <c r="E769" s="7">
        <v>0</v>
      </c>
      <c r="F769" s="8">
        <v>0</v>
      </c>
      <c r="G769" s="7">
        <v>0</v>
      </c>
      <c r="H769" s="7">
        <v>81211.819999998</v>
      </c>
      <c r="I769" s="7">
        <v>0</v>
      </c>
      <c r="J769" s="8">
        <v>0</v>
      </c>
      <c r="K769" s="9" t="str">
        <v/>
      </c>
    </row>
    <row r="770" spans="1:11">
      <c r="A770" t="str">
        <v/>
      </c>
      <c r="B770" s="6">
        <v>0</v>
      </c>
      <c r="C770" s="7" t="str">
        <v>趣点购浦发</v>
      </c>
      <c r="D770" s="8">
        <v>0</v>
      </c>
      <c r="E770" s="7">
        <v>0</v>
      </c>
      <c r="F770" s="8">
        <v>0</v>
      </c>
      <c r="G770" s="7">
        <v>0</v>
      </c>
      <c r="H770" s="7">
        <v>81211.819999998</v>
      </c>
      <c r="I770" s="7">
        <v>0</v>
      </c>
      <c r="J770" s="8">
        <v>0</v>
      </c>
      <c r="K770" s="9" t="str">
        <v/>
      </c>
    </row>
    <row r="771" spans="1:11">
      <c r="A771" t="str">
        <v/>
      </c>
      <c r="B771" s="6">
        <v>0</v>
      </c>
      <c r="C771" s="7" t="str">
        <v>趣点购浦发</v>
      </c>
      <c r="D771" s="8">
        <v>0</v>
      </c>
      <c r="E771" s="7">
        <v>0</v>
      </c>
      <c r="F771" s="8">
        <v>0</v>
      </c>
      <c r="G771" s="7">
        <v>0</v>
      </c>
      <c r="H771" s="7">
        <v>81211.819999998</v>
      </c>
      <c r="I771" s="7">
        <v>0</v>
      </c>
      <c r="J771" s="8">
        <v>0</v>
      </c>
      <c r="K771" s="9" t="str">
        <v/>
      </c>
    </row>
    <row r="772" spans="1:11">
      <c r="A772" t="str">
        <v/>
      </c>
      <c r="B772" s="6">
        <v>0</v>
      </c>
      <c r="C772" s="7" t="str">
        <v>趣点购浦发</v>
      </c>
      <c r="D772" s="8">
        <v>0</v>
      </c>
      <c r="E772" s="7">
        <v>0</v>
      </c>
      <c r="F772" s="8">
        <v>0</v>
      </c>
      <c r="G772" s="7">
        <v>0</v>
      </c>
      <c r="H772" s="7">
        <v>81211.819999998</v>
      </c>
      <c r="I772" s="7">
        <v>0</v>
      </c>
      <c r="J772" s="8">
        <v>0</v>
      </c>
      <c r="K772" s="9" t="str">
        <v/>
      </c>
    </row>
    <row r="773" spans="1:11">
      <c r="A773" t="str">
        <v/>
      </c>
      <c r="B773" s="6">
        <v>0</v>
      </c>
      <c r="C773" s="7" t="str">
        <v>趣点购浦发</v>
      </c>
      <c r="D773" s="8">
        <v>0</v>
      </c>
      <c r="E773" s="7">
        <v>0</v>
      </c>
      <c r="F773" s="8">
        <v>0</v>
      </c>
      <c r="G773" s="7">
        <v>0</v>
      </c>
      <c r="H773" s="7">
        <v>81211.819999998</v>
      </c>
      <c r="I773" s="7">
        <v>0</v>
      </c>
      <c r="J773" s="8">
        <v>0</v>
      </c>
      <c r="K773" s="9" t="str">
        <v/>
      </c>
    </row>
    <row r="774" spans="1:11">
      <c r="A774" t="str">
        <v/>
      </c>
      <c r="B774" s="6">
        <v>0</v>
      </c>
      <c r="C774" s="7" t="str">
        <v>趣点购浦发</v>
      </c>
      <c r="D774" s="8">
        <v>0</v>
      </c>
      <c r="E774" s="7">
        <v>0</v>
      </c>
      <c r="F774" s="8">
        <v>0</v>
      </c>
      <c r="G774" s="7">
        <v>0</v>
      </c>
      <c r="H774" s="7">
        <v>81211.819999998</v>
      </c>
      <c r="I774" s="7">
        <v>0</v>
      </c>
      <c r="J774" s="8">
        <v>0</v>
      </c>
      <c r="K774" s="9" t="str">
        <v/>
      </c>
    </row>
    <row r="775" spans="1:11">
      <c r="A775" t="str">
        <v/>
      </c>
      <c r="B775" s="6">
        <v>0</v>
      </c>
      <c r="C775" s="7" t="str">
        <v>趣点购浦发</v>
      </c>
      <c r="D775" s="8">
        <v>0</v>
      </c>
      <c r="E775" s="7">
        <v>0</v>
      </c>
      <c r="F775" s="8">
        <v>0</v>
      </c>
      <c r="G775" s="7">
        <v>0</v>
      </c>
      <c r="H775" s="7">
        <v>81211.819999998</v>
      </c>
      <c r="I775" s="7">
        <v>0</v>
      </c>
      <c r="J775" s="8">
        <v>0</v>
      </c>
      <c r="K775" s="9" t="str">
        <v/>
      </c>
    </row>
    <row r="776" spans="1:11">
      <c r="A776" t="str">
        <v/>
      </c>
      <c r="B776" s="6">
        <v>0</v>
      </c>
      <c r="C776" s="7" t="str">
        <v>趣点购浦发</v>
      </c>
      <c r="D776" s="8">
        <v>0</v>
      </c>
      <c r="E776" s="7">
        <v>0</v>
      </c>
      <c r="F776" s="8">
        <v>0</v>
      </c>
      <c r="G776" s="7">
        <v>0</v>
      </c>
      <c r="H776" s="7">
        <v>81211.819999998</v>
      </c>
      <c r="I776" s="7">
        <v>0</v>
      </c>
      <c r="J776" s="8">
        <v>0</v>
      </c>
      <c r="K776" s="9" t="str">
        <v/>
      </c>
    </row>
    <row r="777" spans="1:11">
      <c r="A777" t="str">
        <v/>
      </c>
      <c r="B777" s="6">
        <v>0</v>
      </c>
      <c r="C777" s="7" t="str">
        <v>趣点购浦发</v>
      </c>
      <c r="D777" s="8">
        <v>0</v>
      </c>
      <c r="E777" s="7">
        <v>0</v>
      </c>
      <c r="F777" s="8">
        <v>0</v>
      </c>
      <c r="G777" s="7">
        <v>0</v>
      </c>
      <c r="H777" s="7">
        <v>81211.819999998</v>
      </c>
      <c r="I777" s="7">
        <v>0</v>
      </c>
      <c r="J777" s="8">
        <v>0</v>
      </c>
      <c r="K777" s="9" t="str">
        <v/>
      </c>
    </row>
    <row r="778" spans="1:11">
      <c r="A778" t="str">
        <v/>
      </c>
      <c r="B778" s="6">
        <v>0</v>
      </c>
      <c r="C778" s="7" t="str">
        <v>趣点购浦发</v>
      </c>
      <c r="D778" s="8">
        <v>0</v>
      </c>
      <c r="E778" s="7">
        <v>0</v>
      </c>
      <c r="F778" s="8">
        <v>0</v>
      </c>
      <c r="G778" s="7">
        <v>0</v>
      </c>
      <c r="H778" s="7">
        <v>81211.819999998</v>
      </c>
      <c r="I778" s="7">
        <v>0</v>
      </c>
      <c r="J778" s="8">
        <v>0</v>
      </c>
      <c r="K778" s="9" t="str">
        <v/>
      </c>
    </row>
    <row r="779" spans="1:11">
      <c r="A779" t="str">
        <v/>
      </c>
      <c r="B779" s="6">
        <v>0</v>
      </c>
      <c r="C779" s="7" t="str">
        <v>趣点购浦发</v>
      </c>
      <c r="D779" s="8">
        <v>0</v>
      </c>
      <c r="E779" s="7">
        <v>0</v>
      </c>
      <c r="F779" s="8">
        <v>0</v>
      </c>
      <c r="G779" s="7">
        <v>0</v>
      </c>
      <c r="H779" s="7">
        <v>81211.819999998</v>
      </c>
      <c r="I779" s="7">
        <v>0</v>
      </c>
      <c r="J779" s="8">
        <v>0</v>
      </c>
      <c r="K779" s="9" t="str">
        <v/>
      </c>
    </row>
    <row r="780" spans="1:11">
      <c r="A780" t="str">
        <v/>
      </c>
      <c r="B780" s="6">
        <v>0</v>
      </c>
      <c r="C780" s="7" t="str">
        <v>趣点购浦发</v>
      </c>
      <c r="D780" s="8">
        <v>0</v>
      </c>
      <c r="E780" s="7">
        <v>0</v>
      </c>
      <c r="F780" s="8">
        <v>0</v>
      </c>
      <c r="G780" s="7">
        <v>0</v>
      </c>
      <c r="H780" s="7">
        <v>81211.819999998</v>
      </c>
      <c r="I780" s="7">
        <v>0</v>
      </c>
      <c r="J780" s="8">
        <v>0</v>
      </c>
      <c r="K780" s="9" t="str">
        <v/>
      </c>
    </row>
    <row r="781" spans="1:11">
      <c r="A781" t="str">
        <v/>
      </c>
      <c r="B781" s="6">
        <v>0</v>
      </c>
      <c r="C781" s="7" t="str">
        <v>趣点购浦发</v>
      </c>
      <c r="D781" s="8">
        <v>0</v>
      </c>
      <c r="E781" s="7">
        <v>0</v>
      </c>
      <c r="F781" s="8">
        <v>0</v>
      </c>
      <c r="G781" s="7">
        <v>0</v>
      </c>
      <c r="H781" s="7">
        <v>81211.819999998</v>
      </c>
      <c r="I781" s="7">
        <v>0</v>
      </c>
      <c r="J781" s="8">
        <v>0</v>
      </c>
      <c r="K781" s="9" t="str">
        <v/>
      </c>
    </row>
    <row r="782" spans="1:11">
      <c r="A782" t="str">
        <v/>
      </c>
      <c r="B782" s="6">
        <v>0</v>
      </c>
      <c r="C782" s="7" t="str">
        <v>趣点购浦发</v>
      </c>
      <c r="D782" s="8">
        <v>0</v>
      </c>
      <c r="E782" s="7">
        <v>0</v>
      </c>
      <c r="F782" s="8">
        <v>0</v>
      </c>
      <c r="G782" s="7">
        <v>0</v>
      </c>
      <c r="H782" s="7">
        <v>81211.819999998</v>
      </c>
      <c r="I782" s="7">
        <v>0</v>
      </c>
      <c r="J782" s="8">
        <v>0</v>
      </c>
      <c r="K782" s="9" t="str">
        <v/>
      </c>
    </row>
    <row r="783" spans="1:11">
      <c r="A783" t="str">
        <v/>
      </c>
      <c r="B783" s="6">
        <v>0</v>
      </c>
      <c r="C783" s="7" t="str">
        <v>趣点购浦发</v>
      </c>
      <c r="D783" s="8">
        <v>0</v>
      </c>
      <c r="E783" s="7">
        <v>0</v>
      </c>
      <c r="F783" s="8">
        <v>0</v>
      </c>
      <c r="G783" s="7">
        <v>0</v>
      </c>
      <c r="H783" s="7">
        <v>81211.819999998</v>
      </c>
      <c r="I783" s="7">
        <v>0</v>
      </c>
      <c r="J783" s="8">
        <v>0</v>
      </c>
      <c r="K783" s="9" t="str">
        <v/>
      </c>
    </row>
    <row r="784" spans="1:11">
      <c r="A784" t="str">
        <v/>
      </c>
      <c r="B784" s="6">
        <v>0</v>
      </c>
      <c r="C784" s="7" t="str">
        <v>趣点购浦发</v>
      </c>
      <c r="D784" s="8">
        <v>0</v>
      </c>
      <c r="E784" s="7">
        <v>0</v>
      </c>
      <c r="F784" s="8">
        <v>0</v>
      </c>
      <c r="G784" s="7">
        <v>0</v>
      </c>
      <c r="H784" s="7">
        <v>81211.819999998</v>
      </c>
      <c r="I784" s="7">
        <v>0</v>
      </c>
      <c r="J784" s="8">
        <v>0</v>
      </c>
      <c r="K784" s="9" t="str">
        <v/>
      </c>
    </row>
    <row r="785" spans="1:11">
      <c r="A785" t="str">
        <v/>
      </c>
      <c r="B785" s="6">
        <v>0</v>
      </c>
      <c r="C785" s="7" t="str">
        <v>趣点购浦发</v>
      </c>
      <c r="D785" s="8">
        <v>0</v>
      </c>
      <c r="E785" s="7">
        <v>0</v>
      </c>
      <c r="F785" s="8">
        <v>0</v>
      </c>
      <c r="G785" s="7">
        <v>0</v>
      </c>
      <c r="H785" s="7">
        <v>81211.819999998</v>
      </c>
      <c r="I785" s="7">
        <v>0</v>
      </c>
      <c r="J785" s="8">
        <v>0</v>
      </c>
      <c r="K785" s="9" t="str">
        <v/>
      </c>
    </row>
    <row r="786" spans="1:11">
      <c r="A786" t="str">
        <v/>
      </c>
      <c r="B786" s="6">
        <v>0</v>
      </c>
      <c r="C786" s="7" t="str">
        <v>趣点购浦发</v>
      </c>
      <c r="D786" s="8">
        <v>0</v>
      </c>
      <c r="E786" s="7">
        <v>0</v>
      </c>
      <c r="F786" s="8">
        <v>0</v>
      </c>
      <c r="G786" s="7">
        <v>0</v>
      </c>
      <c r="H786" s="7">
        <v>81211.819999998</v>
      </c>
      <c r="I786" s="7">
        <v>0</v>
      </c>
      <c r="J786" s="8">
        <v>0</v>
      </c>
      <c r="K786" s="9" t="str">
        <v/>
      </c>
    </row>
    <row r="787" spans="1:11">
      <c r="A787" t="str">
        <v/>
      </c>
      <c r="B787" s="6">
        <v>0</v>
      </c>
      <c r="C787" s="7" t="str">
        <v>趣点购浦发</v>
      </c>
      <c r="D787" s="8">
        <v>0</v>
      </c>
      <c r="E787" s="7">
        <v>0</v>
      </c>
      <c r="F787" s="8">
        <v>0</v>
      </c>
      <c r="G787" s="7">
        <v>0</v>
      </c>
      <c r="H787" s="7">
        <v>81211.819999998</v>
      </c>
      <c r="I787" s="7">
        <v>0</v>
      </c>
      <c r="J787" s="8">
        <v>0</v>
      </c>
      <c r="K787" s="9" t="str">
        <v/>
      </c>
    </row>
    <row r="788" spans="1:11">
      <c r="A788" t="str">
        <v/>
      </c>
      <c r="B788" s="6">
        <v>0</v>
      </c>
      <c r="C788" s="7" t="str">
        <v>趣点购浦发</v>
      </c>
      <c r="D788" s="8">
        <v>0</v>
      </c>
      <c r="E788" s="7">
        <v>0</v>
      </c>
      <c r="F788" s="8">
        <v>0</v>
      </c>
      <c r="G788" s="7">
        <v>0</v>
      </c>
      <c r="H788" s="7">
        <v>81211.819999998</v>
      </c>
      <c r="I788" s="7">
        <v>0</v>
      </c>
      <c r="J788" s="8">
        <v>0</v>
      </c>
      <c r="K788" s="9" t="str">
        <v/>
      </c>
    </row>
    <row r="789" spans="1:11">
      <c r="A789" t="str">
        <v/>
      </c>
      <c r="B789" s="6">
        <v>0</v>
      </c>
      <c r="C789" s="7" t="str">
        <v>趣点购浦发</v>
      </c>
      <c r="D789" s="8">
        <v>0</v>
      </c>
      <c r="E789" s="7">
        <v>0</v>
      </c>
      <c r="F789" s="8">
        <v>0</v>
      </c>
      <c r="G789" s="7">
        <v>0</v>
      </c>
      <c r="H789" s="7">
        <v>81211.819999998</v>
      </c>
      <c r="I789" s="7">
        <v>0</v>
      </c>
      <c r="J789" s="8">
        <v>0</v>
      </c>
      <c r="K789" s="9" t="str">
        <v/>
      </c>
    </row>
    <row r="790" spans="1:11">
      <c r="A790" t="str">
        <v/>
      </c>
      <c r="B790" s="6">
        <v>0</v>
      </c>
      <c r="C790" s="7" t="str">
        <v>趣点购浦发</v>
      </c>
      <c r="D790" s="8">
        <v>0</v>
      </c>
      <c r="E790" s="7">
        <v>0</v>
      </c>
      <c r="F790" s="8">
        <v>0</v>
      </c>
      <c r="G790" s="7">
        <v>0</v>
      </c>
      <c r="H790" s="7">
        <v>81211.819999998</v>
      </c>
      <c r="I790" s="7">
        <v>0</v>
      </c>
      <c r="J790" s="8">
        <v>0</v>
      </c>
      <c r="K790" s="9" t="str">
        <v/>
      </c>
    </row>
    <row r="791" spans="1:11">
      <c r="A791" t="str">
        <v/>
      </c>
      <c r="B791" s="6">
        <v>0</v>
      </c>
      <c r="C791" s="7" t="str">
        <v>趣点购浦发</v>
      </c>
      <c r="D791" s="8">
        <v>0</v>
      </c>
      <c r="E791" s="7">
        <v>0</v>
      </c>
      <c r="F791" s="8">
        <v>0</v>
      </c>
      <c r="G791" s="7">
        <v>0</v>
      </c>
      <c r="H791" s="7">
        <v>81211.819999998</v>
      </c>
      <c r="I791" s="7">
        <v>0</v>
      </c>
      <c r="J791" s="8">
        <v>0</v>
      </c>
      <c r="K791" s="9" t="str">
        <v/>
      </c>
    </row>
    <row r="792" spans="1:11">
      <c r="A792" t="str">
        <v/>
      </c>
      <c r="B792" s="6">
        <v>0</v>
      </c>
      <c r="C792" s="7" t="str">
        <v>趣点购浦发</v>
      </c>
      <c r="D792" s="8">
        <v>0</v>
      </c>
      <c r="E792" s="7">
        <v>0</v>
      </c>
      <c r="F792" s="8">
        <v>0</v>
      </c>
      <c r="G792" s="7">
        <v>0</v>
      </c>
      <c r="H792" s="7">
        <v>81211.819999998</v>
      </c>
      <c r="I792" s="7">
        <v>0</v>
      </c>
      <c r="J792" s="8">
        <v>0</v>
      </c>
      <c r="K792" s="9" t="str">
        <v/>
      </c>
    </row>
    <row r="793" spans="1:11">
      <c r="A793" t="str">
        <v/>
      </c>
      <c r="B793" s="6">
        <v>0</v>
      </c>
      <c r="C793" s="7" t="str">
        <v>趣点购浦发</v>
      </c>
      <c r="D793" s="8">
        <v>0</v>
      </c>
      <c r="E793" s="7">
        <v>0</v>
      </c>
      <c r="F793" s="8">
        <v>0</v>
      </c>
      <c r="G793" s="7">
        <v>0</v>
      </c>
      <c r="H793" s="7">
        <v>81211.819999998</v>
      </c>
      <c r="I793" s="7">
        <v>0</v>
      </c>
      <c r="J793" s="8">
        <v>0</v>
      </c>
      <c r="K793" s="9" t="str">
        <v/>
      </c>
    </row>
    <row r="794" spans="1:11">
      <c r="A794" t="str">
        <v/>
      </c>
      <c r="B794" s="6">
        <v>0</v>
      </c>
      <c r="C794" s="7" t="str">
        <v>趣点购浦发</v>
      </c>
      <c r="D794" s="8">
        <v>0</v>
      </c>
      <c r="E794" s="7">
        <v>0</v>
      </c>
      <c r="F794" s="8">
        <v>0</v>
      </c>
      <c r="G794" s="7">
        <v>0</v>
      </c>
      <c r="H794" s="7">
        <v>81211.819999998</v>
      </c>
      <c r="I794" s="7">
        <v>0</v>
      </c>
      <c r="J794" s="8">
        <v>0</v>
      </c>
      <c r="K794" s="9" t="str">
        <v/>
      </c>
    </row>
    <row r="795" spans="1:11">
      <c r="A795" t="str">
        <v/>
      </c>
      <c r="B795" s="6">
        <v>0</v>
      </c>
      <c r="C795" s="7" t="str">
        <v>趣点购浦发</v>
      </c>
      <c r="D795" s="8">
        <v>0</v>
      </c>
      <c r="E795" s="7">
        <v>0</v>
      </c>
      <c r="F795" s="8">
        <v>0</v>
      </c>
      <c r="G795" s="7">
        <v>0</v>
      </c>
      <c r="H795" s="7">
        <v>81211.819999998</v>
      </c>
      <c r="I795" s="7">
        <v>0</v>
      </c>
      <c r="J795" s="8">
        <v>0</v>
      </c>
      <c r="K795" s="9" t="str">
        <v/>
      </c>
    </row>
    <row r="796" spans="1:11">
      <c r="A796" t="str">
        <v/>
      </c>
      <c r="B796" s="6">
        <v>0</v>
      </c>
      <c r="C796" s="7" t="str">
        <v>趣点购浦发</v>
      </c>
      <c r="D796" s="8">
        <v>0</v>
      </c>
      <c r="E796" s="7">
        <v>0</v>
      </c>
      <c r="F796" s="8">
        <v>0</v>
      </c>
      <c r="G796" s="7">
        <v>0</v>
      </c>
      <c r="H796" s="7">
        <v>81211.819999998</v>
      </c>
      <c r="I796" s="7">
        <v>0</v>
      </c>
      <c r="J796" s="8">
        <v>0</v>
      </c>
      <c r="K796" s="9" t="str">
        <v/>
      </c>
    </row>
    <row r="797" spans="1:11">
      <c r="A797" t="str">
        <v/>
      </c>
      <c r="B797" s="6">
        <v>0</v>
      </c>
      <c r="C797" s="7" t="str">
        <v>趣点购浦发</v>
      </c>
      <c r="D797" s="8">
        <v>0</v>
      </c>
      <c r="E797" s="7">
        <v>0</v>
      </c>
      <c r="F797" s="8">
        <v>0</v>
      </c>
      <c r="G797" s="7">
        <v>0</v>
      </c>
      <c r="H797" s="7">
        <v>81211.819999998</v>
      </c>
      <c r="I797" s="7">
        <v>0</v>
      </c>
      <c r="J797" s="8">
        <v>0</v>
      </c>
      <c r="K797" s="9" t="str">
        <v/>
      </c>
    </row>
    <row r="798" spans="1:11">
      <c r="A798" t="str">
        <v/>
      </c>
      <c r="B798" s="6">
        <v>0</v>
      </c>
      <c r="C798" s="7" t="str">
        <v>趣点购浦发</v>
      </c>
      <c r="D798" s="8">
        <v>0</v>
      </c>
      <c r="E798" s="7">
        <v>0</v>
      </c>
      <c r="F798" s="8">
        <v>0</v>
      </c>
      <c r="G798" s="7">
        <v>0</v>
      </c>
      <c r="H798" s="7">
        <v>81211.819999998</v>
      </c>
      <c r="I798" s="7">
        <v>0</v>
      </c>
      <c r="J798" s="8">
        <v>0</v>
      </c>
      <c r="K798" s="9" t="str">
        <v/>
      </c>
    </row>
    <row r="799" spans="1:11">
      <c r="A799" t="str">
        <v/>
      </c>
      <c r="B799" s="6">
        <v>0</v>
      </c>
      <c r="C799" s="7" t="str">
        <v>趣点购浦发</v>
      </c>
      <c r="D799" s="8">
        <v>0</v>
      </c>
      <c r="E799" s="7">
        <v>0</v>
      </c>
      <c r="F799" s="8">
        <v>0</v>
      </c>
      <c r="G799" s="7">
        <v>0</v>
      </c>
      <c r="H799" s="7">
        <v>81211.819999998</v>
      </c>
      <c r="I799" s="7">
        <v>0</v>
      </c>
      <c r="J799" s="8">
        <v>0</v>
      </c>
      <c r="K799" s="9" t="str">
        <v/>
      </c>
    </row>
    <row r="800" spans="1:11">
      <c r="A800" t="str">
        <v/>
      </c>
      <c r="B800" s="6">
        <v>0</v>
      </c>
      <c r="C800" s="7" t="str">
        <v>趣点购浦发</v>
      </c>
      <c r="D800" s="8">
        <v>0</v>
      </c>
      <c r="E800" s="7">
        <v>0</v>
      </c>
      <c r="F800" s="8">
        <v>0</v>
      </c>
      <c r="G800" s="7">
        <v>0</v>
      </c>
      <c r="H800" s="7">
        <v>81211.819999998</v>
      </c>
      <c r="I800" s="7">
        <v>0</v>
      </c>
      <c r="J800" s="8">
        <v>0</v>
      </c>
      <c r="K800" s="9" t="str">
        <v/>
      </c>
    </row>
    <row r="801" spans="1:11">
      <c r="A801" t="str">
        <v/>
      </c>
      <c r="B801" s="6">
        <v>0</v>
      </c>
      <c r="C801" s="7" t="str">
        <v>趣点购浦发</v>
      </c>
      <c r="D801" s="8">
        <v>0</v>
      </c>
      <c r="E801" s="7">
        <v>0</v>
      </c>
      <c r="F801" s="8">
        <v>0</v>
      </c>
      <c r="G801" s="7">
        <v>0</v>
      </c>
      <c r="H801" s="7">
        <v>81211.819999998</v>
      </c>
      <c r="I801" s="7">
        <v>0</v>
      </c>
      <c r="J801" s="8">
        <v>0</v>
      </c>
      <c r="K801" s="9" t="str">
        <v/>
      </c>
    </row>
    <row r="802" spans="1:11">
      <c r="A802" t="str">
        <v/>
      </c>
      <c r="B802" s="6">
        <v>0</v>
      </c>
      <c r="C802" s="7" t="str">
        <v>趣点购浦发</v>
      </c>
      <c r="D802" s="8">
        <v>0</v>
      </c>
      <c r="E802" s="7">
        <v>0</v>
      </c>
      <c r="F802" s="8">
        <v>0</v>
      </c>
      <c r="G802" s="7">
        <v>0</v>
      </c>
      <c r="H802" s="7">
        <v>81211.819999998</v>
      </c>
      <c r="I802" s="7">
        <v>0</v>
      </c>
      <c r="J802" s="8">
        <v>0</v>
      </c>
      <c r="K802" s="9" t="str">
        <v/>
      </c>
    </row>
    <row r="803" spans="1:11">
      <c r="A803" t="str">
        <v/>
      </c>
      <c r="B803" s="6">
        <v>0</v>
      </c>
      <c r="C803" s="7" t="str">
        <v>趣点购浦发</v>
      </c>
      <c r="D803" s="8">
        <v>0</v>
      </c>
      <c r="E803" s="7">
        <v>0</v>
      </c>
      <c r="F803" s="8">
        <v>0</v>
      </c>
      <c r="G803" s="7">
        <v>0</v>
      </c>
      <c r="H803" s="7">
        <v>81211.819999998</v>
      </c>
      <c r="I803" s="7">
        <v>0</v>
      </c>
      <c r="J803" s="8">
        <v>0</v>
      </c>
      <c r="K803" s="9" t="str">
        <v/>
      </c>
    </row>
    <row r="804" spans="1:11">
      <c r="A804" t="str">
        <v/>
      </c>
      <c r="B804" s="6">
        <v>0</v>
      </c>
      <c r="C804" s="7" t="str">
        <v>趣点购浦发</v>
      </c>
      <c r="D804" s="8">
        <v>0</v>
      </c>
      <c r="E804" s="7">
        <v>0</v>
      </c>
      <c r="F804" s="8">
        <v>0</v>
      </c>
      <c r="G804" s="7">
        <v>0</v>
      </c>
      <c r="H804" s="7">
        <v>81211.819999998</v>
      </c>
      <c r="I804" s="7">
        <v>0</v>
      </c>
      <c r="J804" s="8">
        <v>0</v>
      </c>
      <c r="K804" s="9" t="str">
        <v/>
      </c>
    </row>
    <row r="805" spans="1:11">
      <c r="A805" t="str">
        <v/>
      </c>
      <c r="B805" s="6">
        <v>0</v>
      </c>
      <c r="C805" s="7" t="str">
        <v>趣点购浦发</v>
      </c>
      <c r="D805" s="8">
        <v>0</v>
      </c>
      <c r="E805" s="7">
        <v>0</v>
      </c>
      <c r="F805" s="8">
        <v>0</v>
      </c>
      <c r="G805" s="7">
        <v>0</v>
      </c>
      <c r="H805" s="7">
        <v>81211.819999998</v>
      </c>
      <c r="I805" s="7">
        <v>0</v>
      </c>
      <c r="J805" s="8">
        <v>0</v>
      </c>
      <c r="K805" s="9" t="str">
        <v/>
      </c>
    </row>
    <row r="806" spans="1:11">
      <c r="A806" t="str">
        <v/>
      </c>
      <c r="B806" s="6">
        <v>0</v>
      </c>
      <c r="C806" s="7" t="str">
        <v>趣点购浦发</v>
      </c>
      <c r="D806" s="8">
        <v>0</v>
      </c>
      <c r="E806" s="7">
        <v>0</v>
      </c>
      <c r="F806" s="8">
        <v>0</v>
      </c>
      <c r="G806" s="7">
        <v>0</v>
      </c>
      <c r="H806" s="7">
        <v>81211.819999998</v>
      </c>
      <c r="I806" s="7">
        <v>0</v>
      </c>
      <c r="J806" s="8">
        <v>0</v>
      </c>
      <c r="K806" s="9" t="str">
        <v/>
      </c>
    </row>
    <row r="807" spans="1:11">
      <c r="A807" t="str">
        <v/>
      </c>
      <c r="B807" s="6">
        <v>0</v>
      </c>
      <c r="C807" s="7" t="str">
        <v>趣点购浦发</v>
      </c>
      <c r="D807" s="8">
        <v>0</v>
      </c>
      <c r="E807" s="7">
        <v>0</v>
      </c>
      <c r="F807" s="8">
        <v>0</v>
      </c>
      <c r="G807" s="7">
        <v>0</v>
      </c>
      <c r="H807" s="7">
        <v>81211.819999998</v>
      </c>
      <c r="I807" s="7">
        <v>0</v>
      </c>
      <c r="J807" s="8">
        <v>0</v>
      </c>
      <c r="K807" s="9" t="str">
        <v/>
      </c>
    </row>
    <row r="808" spans="1:11">
      <c r="A808" t="str">
        <v/>
      </c>
      <c r="B808" s="6">
        <v>0</v>
      </c>
      <c r="C808" s="7" t="str">
        <v>趣点购浦发</v>
      </c>
      <c r="D808" s="8">
        <v>0</v>
      </c>
      <c r="E808" s="7">
        <v>0</v>
      </c>
      <c r="F808" s="8">
        <v>0</v>
      </c>
      <c r="G808" s="7">
        <v>0</v>
      </c>
      <c r="H808" s="7">
        <v>81211.819999998</v>
      </c>
      <c r="I808" s="7">
        <v>0</v>
      </c>
      <c r="J808" s="8">
        <v>0</v>
      </c>
      <c r="K808" s="9" t="str">
        <v/>
      </c>
    </row>
    <row r="809" spans="1:11">
      <c r="A809" t="str">
        <v/>
      </c>
      <c r="B809" s="6">
        <v>0</v>
      </c>
      <c r="C809" s="7" t="str">
        <v>趣点购浦发</v>
      </c>
      <c r="D809" s="8">
        <v>0</v>
      </c>
      <c r="E809" s="7">
        <v>0</v>
      </c>
      <c r="F809" s="8">
        <v>0</v>
      </c>
      <c r="G809" s="7">
        <v>0</v>
      </c>
      <c r="H809" s="7">
        <v>81211.819999998</v>
      </c>
      <c r="I809" s="7">
        <v>0</v>
      </c>
      <c r="J809" s="8">
        <v>0</v>
      </c>
      <c r="K809" s="9" t="str">
        <v/>
      </c>
    </row>
    <row r="810" spans="1:11">
      <c r="A810" t="str">
        <v/>
      </c>
      <c r="B810" s="6">
        <v>0</v>
      </c>
      <c r="C810" s="7" t="str">
        <v>趣点购浦发</v>
      </c>
      <c r="D810" s="8">
        <v>0</v>
      </c>
      <c r="E810" s="7">
        <v>0</v>
      </c>
      <c r="F810" s="8">
        <v>0</v>
      </c>
      <c r="G810" s="7">
        <v>0</v>
      </c>
      <c r="H810" s="7">
        <v>81211.819999998</v>
      </c>
      <c r="I810" s="7">
        <v>0</v>
      </c>
      <c r="J810" s="8">
        <v>0</v>
      </c>
      <c r="K810" s="9" t="str">
        <v/>
      </c>
    </row>
    <row r="811" spans="1:11">
      <c r="A811" t="str">
        <v/>
      </c>
      <c r="B811" s="6">
        <v>0</v>
      </c>
      <c r="C811" s="7" t="str">
        <v>趣点购浦发</v>
      </c>
      <c r="D811" s="8">
        <v>0</v>
      </c>
      <c r="E811" s="7">
        <v>0</v>
      </c>
      <c r="F811" s="8">
        <v>0</v>
      </c>
      <c r="G811" s="7">
        <v>0</v>
      </c>
      <c r="H811" s="7">
        <v>81211.819999998</v>
      </c>
      <c r="I811" s="7">
        <v>0</v>
      </c>
      <c r="J811" s="8">
        <v>0</v>
      </c>
      <c r="K811" s="9" t="str">
        <v/>
      </c>
    </row>
    <row r="812" spans="1:11">
      <c r="A812" t="str">
        <v/>
      </c>
      <c r="B812" s="6">
        <v>0</v>
      </c>
      <c r="C812" s="7" t="str">
        <v>趣点购浦发</v>
      </c>
      <c r="D812" s="8">
        <v>0</v>
      </c>
      <c r="E812" s="7">
        <v>0</v>
      </c>
      <c r="F812" s="8">
        <v>0</v>
      </c>
      <c r="G812" s="7">
        <v>0</v>
      </c>
      <c r="H812" s="7">
        <v>81211.819999998</v>
      </c>
      <c r="I812" s="7">
        <v>0</v>
      </c>
      <c r="J812" s="8">
        <v>0</v>
      </c>
      <c r="K812" s="9" t="str">
        <v/>
      </c>
    </row>
    <row r="813" spans="1:11">
      <c r="A813" t="str">
        <v/>
      </c>
      <c r="B813" s="6">
        <v>0</v>
      </c>
      <c r="C813" s="7" t="str">
        <v>趣点购浦发</v>
      </c>
      <c r="D813" s="8">
        <v>0</v>
      </c>
      <c r="E813" s="7">
        <v>0</v>
      </c>
      <c r="F813" s="8">
        <v>0</v>
      </c>
      <c r="G813" s="7">
        <v>0</v>
      </c>
      <c r="H813" s="7">
        <v>81211.819999998</v>
      </c>
      <c r="I813" s="7">
        <v>0</v>
      </c>
      <c r="J813" s="8">
        <v>0</v>
      </c>
      <c r="K813" s="9" t="str">
        <v/>
      </c>
    </row>
    <row r="814" spans="1:11">
      <c r="A814" t="str">
        <v/>
      </c>
      <c r="B814" s="6">
        <v>0</v>
      </c>
      <c r="C814" s="7" t="str">
        <v>趣点购浦发</v>
      </c>
      <c r="D814" s="8">
        <v>0</v>
      </c>
      <c r="E814" s="7">
        <v>0</v>
      </c>
      <c r="F814" s="8">
        <v>0</v>
      </c>
      <c r="G814" s="7">
        <v>0</v>
      </c>
      <c r="H814" s="7">
        <v>81211.819999998</v>
      </c>
      <c r="I814" s="7">
        <v>0</v>
      </c>
      <c r="J814" s="8">
        <v>0</v>
      </c>
      <c r="K814" s="9" t="str">
        <v/>
      </c>
    </row>
    <row r="815" spans="1:11">
      <c r="A815" t="str">
        <v/>
      </c>
      <c r="B815" s="6">
        <v>0</v>
      </c>
      <c r="C815" s="7" t="str">
        <v>趣点购浦发</v>
      </c>
      <c r="D815" s="8">
        <v>0</v>
      </c>
      <c r="E815" s="7">
        <v>0</v>
      </c>
      <c r="F815" s="8">
        <v>0</v>
      </c>
      <c r="G815" s="7">
        <v>0</v>
      </c>
      <c r="H815" s="7">
        <v>81211.819999998</v>
      </c>
      <c r="I815" s="7">
        <v>0</v>
      </c>
      <c r="J815" s="8">
        <v>0</v>
      </c>
      <c r="K815" s="9" t="str">
        <v/>
      </c>
    </row>
    <row r="816" spans="1:11">
      <c r="A816" t="str">
        <v/>
      </c>
      <c r="B816" s="6">
        <v>0</v>
      </c>
      <c r="C816" s="7" t="str">
        <v>趣点购浦发</v>
      </c>
      <c r="D816" s="8">
        <v>0</v>
      </c>
      <c r="E816" s="7">
        <v>0</v>
      </c>
      <c r="F816" s="8">
        <v>0</v>
      </c>
      <c r="G816" s="7">
        <v>0</v>
      </c>
      <c r="H816" s="7">
        <v>81211.819999998</v>
      </c>
      <c r="I816" s="7">
        <v>0</v>
      </c>
      <c r="J816" s="8">
        <v>0</v>
      </c>
      <c r="K816" s="9" t="str">
        <v/>
      </c>
    </row>
    <row r="817" spans="1:11">
      <c r="A817" t="str">
        <v/>
      </c>
      <c r="B817" s="6">
        <v>0</v>
      </c>
      <c r="C817" s="7" t="str">
        <v>趣点购浦发</v>
      </c>
      <c r="D817" s="8">
        <v>0</v>
      </c>
      <c r="E817" s="7">
        <v>0</v>
      </c>
      <c r="F817" s="8">
        <v>0</v>
      </c>
      <c r="G817" s="7">
        <v>0</v>
      </c>
      <c r="H817" s="7">
        <v>81211.819999998</v>
      </c>
      <c r="I817" s="7">
        <v>0</v>
      </c>
      <c r="J817" s="8">
        <v>0</v>
      </c>
      <c r="K817" s="9" t="str">
        <v/>
      </c>
    </row>
    <row r="818" spans="1:11">
      <c r="A818" t="str">
        <v/>
      </c>
      <c r="B818" s="6">
        <v>0</v>
      </c>
      <c r="C818" s="7" t="str">
        <v>趣点购浦发</v>
      </c>
      <c r="D818" s="8">
        <v>0</v>
      </c>
      <c r="E818" s="7">
        <v>0</v>
      </c>
      <c r="F818" s="8">
        <v>0</v>
      </c>
      <c r="G818" s="7">
        <v>0</v>
      </c>
      <c r="H818" s="7">
        <v>81211.819999998</v>
      </c>
      <c r="I818" s="7">
        <v>0</v>
      </c>
      <c r="J818" s="8">
        <v>0</v>
      </c>
      <c r="K818" s="9" t="str">
        <v/>
      </c>
    </row>
    <row r="819" spans="1:11">
      <c r="A819" t="str">
        <v/>
      </c>
      <c r="B819" s="6">
        <v>0</v>
      </c>
      <c r="C819" s="7" t="str">
        <v>趣点购浦发</v>
      </c>
      <c r="D819" s="8">
        <v>0</v>
      </c>
      <c r="E819" s="7">
        <v>0</v>
      </c>
      <c r="F819" s="8">
        <v>0</v>
      </c>
      <c r="G819" s="7">
        <v>0</v>
      </c>
      <c r="H819" s="7">
        <v>81211.819999998</v>
      </c>
      <c r="I819" s="7">
        <v>0</v>
      </c>
      <c r="J819" s="8">
        <v>0</v>
      </c>
      <c r="K819" s="9" t="str">
        <v/>
      </c>
    </row>
    <row r="820" spans="1:11">
      <c r="A820" t="str">
        <v/>
      </c>
      <c r="B820" s="6">
        <v>0</v>
      </c>
      <c r="C820" s="7" t="str">
        <v>趣点购浦发</v>
      </c>
      <c r="D820" s="8">
        <v>0</v>
      </c>
      <c r="E820" s="7">
        <v>0</v>
      </c>
      <c r="F820" s="8">
        <v>0</v>
      </c>
      <c r="G820" s="7">
        <v>0</v>
      </c>
      <c r="H820" s="7">
        <v>81211.819999998</v>
      </c>
      <c r="I820" s="7">
        <v>0</v>
      </c>
      <c r="J820" s="8">
        <v>0</v>
      </c>
      <c r="K820" s="9" t="str">
        <v/>
      </c>
    </row>
    <row r="821" spans="1:11">
      <c r="A821" t="str">
        <v/>
      </c>
      <c r="B821" s="6">
        <v>0</v>
      </c>
      <c r="C821" s="7" t="str">
        <v>趣点购浦发</v>
      </c>
      <c r="D821" s="8">
        <v>0</v>
      </c>
      <c r="E821" s="7">
        <v>0</v>
      </c>
      <c r="F821" s="8">
        <v>0</v>
      </c>
      <c r="G821" s="7">
        <v>0</v>
      </c>
      <c r="H821" s="7">
        <v>81211.819999998</v>
      </c>
      <c r="I821" s="7">
        <v>0</v>
      </c>
      <c r="J821" s="8">
        <v>0</v>
      </c>
      <c r="K821" s="9" t="str">
        <v/>
      </c>
    </row>
    <row r="822" spans="1:11">
      <c r="A822" t="str">
        <v/>
      </c>
      <c r="B822" s="6">
        <v>0</v>
      </c>
      <c r="C822" s="7" t="str">
        <v>趣点购浦发</v>
      </c>
      <c r="D822" s="8">
        <v>0</v>
      </c>
      <c r="E822" s="7">
        <v>0</v>
      </c>
      <c r="F822" s="8">
        <v>0</v>
      </c>
      <c r="G822" s="7">
        <v>0</v>
      </c>
      <c r="H822" s="7">
        <v>81211.819999998</v>
      </c>
      <c r="I822" s="7">
        <v>0</v>
      </c>
      <c r="J822" s="8">
        <v>0</v>
      </c>
      <c r="K822" s="9" t="str">
        <v/>
      </c>
    </row>
    <row r="823" spans="1:11">
      <c r="A823" t="str">
        <v/>
      </c>
      <c r="B823" s="6">
        <v>0</v>
      </c>
      <c r="C823" s="7" t="str">
        <v>趣点购浦发</v>
      </c>
      <c r="D823" s="8">
        <v>0</v>
      </c>
      <c r="E823" s="7">
        <v>0</v>
      </c>
      <c r="F823" s="8">
        <v>0</v>
      </c>
      <c r="G823" s="7">
        <v>0</v>
      </c>
      <c r="H823" s="7">
        <v>81211.819999998</v>
      </c>
      <c r="I823" s="7">
        <v>0</v>
      </c>
      <c r="J823" s="8">
        <v>0</v>
      </c>
      <c r="K823" s="9" t="str">
        <v/>
      </c>
    </row>
    <row r="824" spans="1:11">
      <c r="A824" t="str">
        <v/>
      </c>
      <c r="B824" s="6">
        <v>0</v>
      </c>
      <c r="C824" s="7" t="str">
        <v>趣点购浦发</v>
      </c>
      <c r="D824" s="8">
        <v>0</v>
      </c>
      <c r="E824" s="7">
        <v>0</v>
      </c>
      <c r="F824" s="8">
        <v>0</v>
      </c>
      <c r="G824" s="7">
        <v>0</v>
      </c>
      <c r="H824" s="7">
        <v>81211.819999998</v>
      </c>
      <c r="I824" s="7">
        <v>0</v>
      </c>
      <c r="J824" s="8">
        <v>0</v>
      </c>
      <c r="K824" s="9" t="str">
        <v/>
      </c>
    </row>
    <row r="825" spans="1:11">
      <c r="A825" t="str">
        <v/>
      </c>
      <c r="B825" s="6">
        <v>0</v>
      </c>
      <c r="C825" s="7" t="str">
        <v>趣点购浦发</v>
      </c>
      <c r="D825" s="8">
        <v>0</v>
      </c>
      <c r="E825" s="7">
        <v>0</v>
      </c>
      <c r="F825" s="8">
        <v>0</v>
      </c>
      <c r="G825" s="7">
        <v>0</v>
      </c>
      <c r="H825" s="7">
        <v>81211.819999998</v>
      </c>
      <c r="I825" s="7">
        <v>0</v>
      </c>
      <c r="J825" s="8">
        <v>0</v>
      </c>
      <c r="K825" s="9" t="str">
        <v/>
      </c>
    </row>
    <row r="826" spans="1:11">
      <c r="A826" t="str">
        <v/>
      </c>
      <c r="B826" s="6">
        <v>0</v>
      </c>
      <c r="C826" s="7" t="str">
        <v>趣点购浦发</v>
      </c>
      <c r="D826" s="8">
        <v>0</v>
      </c>
      <c r="E826" s="7">
        <v>0</v>
      </c>
      <c r="F826" s="8">
        <v>0</v>
      </c>
      <c r="G826" s="7">
        <v>0</v>
      </c>
      <c r="H826" s="7">
        <v>81211.819999998</v>
      </c>
      <c r="I826" s="7">
        <v>0</v>
      </c>
      <c r="J826" s="8">
        <v>0</v>
      </c>
      <c r="K826" s="9" t="str">
        <v/>
      </c>
    </row>
    <row r="827" spans="1:11">
      <c r="A827" t="str">
        <v/>
      </c>
      <c r="B827" s="6">
        <v>0</v>
      </c>
      <c r="C827" s="7" t="str">
        <v>趣点购浦发</v>
      </c>
      <c r="D827" s="8">
        <v>0</v>
      </c>
      <c r="E827" s="7">
        <v>0</v>
      </c>
      <c r="F827" s="8">
        <v>0</v>
      </c>
      <c r="G827" s="7">
        <v>0</v>
      </c>
      <c r="H827" s="7">
        <v>81211.819999998</v>
      </c>
      <c r="I827" s="7">
        <v>0</v>
      </c>
      <c r="J827" s="8">
        <v>0</v>
      </c>
      <c r="K827" s="9" t="str">
        <v/>
      </c>
    </row>
    <row r="828" spans="1:11">
      <c r="A828" t="str">
        <v/>
      </c>
      <c r="B828" s="6">
        <v>0</v>
      </c>
      <c r="C828" s="7" t="str">
        <v>趣点购浦发</v>
      </c>
      <c r="D828" s="8">
        <v>0</v>
      </c>
      <c r="E828" s="7">
        <v>0</v>
      </c>
      <c r="F828" s="8">
        <v>0</v>
      </c>
      <c r="G828" s="7">
        <v>0</v>
      </c>
      <c r="H828" s="7">
        <v>81211.819999998</v>
      </c>
      <c r="I828" s="7">
        <v>0</v>
      </c>
      <c r="J828" s="8">
        <v>0</v>
      </c>
      <c r="K828" s="9" t="str">
        <v/>
      </c>
    </row>
    <row r="829" spans="1:11">
      <c r="A829" t="str">
        <v/>
      </c>
      <c r="B829" s="6">
        <v>0</v>
      </c>
      <c r="C829" s="7" t="str">
        <v>趣点购浦发</v>
      </c>
      <c r="D829" s="8">
        <v>0</v>
      </c>
      <c r="E829" s="7">
        <v>0</v>
      </c>
      <c r="F829" s="8">
        <v>0</v>
      </c>
      <c r="G829" s="7">
        <v>0</v>
      </c>
      <c r="H829" s="7">
        <v>81211.819999998</v>
      </c>
      <c r="I829" s="7">
        <v>0</v>
      </c>
      <c r="J829" s="8">
        <v>0</v>
      </c>
      <c r="K829" s="9" t="str">
        <v/>
      </c>
    </row>
    <row r="830" spans="1:11">
      <c r="A830" t="str">
        <v/>
      </c>
      <c r="B830" s="6">
        <v>0</v>
      </c>
      <c r="C830" s="7" t="str">
        <v>趣点购浦发</v>
      </c>
      <c r="D830" s="8">
        <v>0</v>
      </c>
      <c r="E830" s="7">
        <v>0</v>
      </c>
      <c r="F830" s="8">
        <v>0</v>
      </c>
      <c r="G830" s="7">
        <v>0</v>
      </c>
      <c r="H830" s="7">
        <v>81211.819999998</v>
      </c>
      <c r="I830" s="7">
        <v>0</v>
      </c>
      <c r="J830" s="8">
        <v>0</v>
      </c>
      <c r="K830" s="9" t="str">
        <v/>
      </c>
    </row>
    <row r="831" spans="1:11">
      <c r="A831" t="str">
        <v/>
      </c>
      <c r="B831" s="6">
        <v>0</v>
      </c>
      <c r="C831" s="7" t="str">
        <v>趣点购浦发</v>
      </c>
      <c r="D831" s="8">
        <v>0</v>
      </c>
      <c r="E831" s="7">
        <v>0</v>
      </c>
      <c r="F831" s="8">
        <v>0</v>
      </c>
      <c r="G831" s="7">
        <v>0</v>
      </c>
      <c r="H831" s="7">
        <v>81211.819999998</v>
      </c>
      <c r="I831" s="7">
        <v>0</v>
      </c>
      <c r="J831" s="8">
        <v>0</v>
      </c>
      <c r="K831" s="9" t="str">
        <v/>
      </c>
    </row>
    <row r="832" spans="1:11">
      <c r="A832" t="str">
        <v/>
      </c>
      <c r="B832" s="6">
        <v>0</v>
      </c>
      <c r="C832" s="7" t="str">
        <v>趣点购浦发</v>
      </c>
      <c r="D832" s="8">
        <v>0</v>
      </c>
      <c r="E832" s="7">
        <v>0</v>
      </c>
      <c r="F832" s="8">
        <v>0</v>
      </c>
      <c r="G832" s="7">
        <v>0</v>
      </c>
      <c r="H832" s="7">
        <v>81211.819999998</v>
      </c>
      <c r="I832" s="7">
        <v>0</v>
      </c>
      <c r="J832" s="8">
        <v>0</v>
      </c>
      <c r="K832" s="9" t="str">
        <v/>
      </c>
    </row>
    <row r="833" spans="1:11">
      <c r="A833" t="str">
        <v/>
      </c>
      <c r="B833" s="6">
        <v>0</v>
      </c>
      <c r="C833" s="7" t="str">
        <v>趣点购浦发</v>
      </c>
      <c r="D833" s="8">
        <v>0</v>
      </c>
      <c r="E833" s="7">
        <v>0</v>
      </c>
      <c r="F833" s="8">
        <v>0</v>
      </c>
      <c r="G833" s="7">
        <v>0</v>
      </c>
      <c r="H833" s="7">
        <v>81211.819999998</v>
      </c>
      <c r="I833" s="7">
        <v>0</v>
      </c>
      <c r="J833" s="8">
        <v>0</v>
      </c>
      <c r="K833" s="9" t="str">
        <v/>
      </c>
    </row>
    <row r="834" spans="1:11">
      <c r="A834" t="str">
        <v/>
      </c>
      <c r="B834" s="6">
        <v>0</v>
      </c>
      <c r="C834" s="7" t="str">
        <v>趣点购浦发</v>
      </c>
      <c r="D834" s="8">
        <v>0</v>
      </c>
      <c r="E834" s="7">
        <v>0</v>
      </c>
      <c r="F834" s="8">
        <v>0</v>
      </c>
      <c r="G834" s="7">
        <v>0</v>
      </c>
      <c r="H834" s="7">
        <v>81211.819999998</v>
      </c>
      <c r="I834" s="7">
        <v>0</v>
      </c>
      <c r="J834" s="8">
        <v>0</v>
      </c>
      <c r="K834" s="9" t="str">
        <v/>
      </c>
    </row>
    <row r="835" spans="1:11">
      <c r="A835" t="str">
        <v/>
      </c>
      <c r="B835" s="6">
        <v>0</v>
      </c>
      <c r="C835" s="7" t="str">
        <v>趣点购浦发</v>
      </c>
      <c r="D835" s="8">
        <v>0</v>
      </c>
      <c r="E835" s="7">
        <v>0</v>
      </c>
      <c r="F835" s="8">
        <v>0</v>
      </c>
      <c r="G835" s="7">
        <v>0</v>
      </c>
      <c r="H835" s="7">
        <v>81211.819999998</v>
      </c>
      <c r="I835" s="7">
        <v>0</v>
      </c>
      <c r="J835" s="8">
        <v>0</v>
      </c>
      <c r="K835" s="9" t="str">
        <v/>
      </c>
    </row>
    <row r="836" spans="1:11">
      <c r="A836" t="str">
        <v/>
      </c>
      <c r="B836" s="6">
        <v>0</v>
      </c>
      <c r="C836" s="7" t="str">
        <v>趣点购浦发</v>
      </c>
      <c r="D836" s="8">
        <v>0</v>
      </c>
      <c r="E836" s="7">
        <v>0</v>
      </c>
      <c r="F836" s="8">
        <v>0</v>
      </c>
      <c r="G836" s="7">
        <v>0</v>
      </c>
      <c r="H836" s="7">
        <v>81211.819999998</v>
      </c>
      <c r="I836" s="7">
        <v>0</v>
      </c>
      <c r="J836" s="8">
        <v>0</v>
      </c>
      <c r="K836" s="9" t="str">
        <v/>
      </c>
    </row>
    <row r="837" spans="1:11">
      <c r="A837" t="str">
        <v/>
      </c>
      <c r="B837" s="6">
        <v>0</v>
      </c>
      <c r="C837" s="7" t="str">
        <v>趣点购浦发</v>
      </c>
      <c r="D837" s="8">
        <v>0</v>
      </c>
      <c r="E837" s="7">
        <v>0</v>
      </c>
      <c r="F837" s="8">
        <v>0</v>
      </c>
      <c r="G837" s="7">
        <v>0</v>
      </c>
      <c r="H837" s="7">
        <v>81211.819999998</v>
      </c>
      <c r="I837" s="7">
        <v>0</v>
      </c>
      <c r="J837" s="8">
        <v>0</v>
      </c>
      <c r="K837" s="9" t="str">
        <v/>
      </c>
    </row>
    <row r="838" spans="1:11">
      <c r="A838" t="str">
        <v/>
      </c>
      <c r="B838" s="6">
        <v>0</v>
      </c>
      <c r="C838" s="7" t="str">
        <v>趣点购浦发</v>
      </c>
      <c r="D838" s="8">
        <v>0</v>
      </c>
      <c r="E838" s="7">
        <v>0</v>
      </c>
      <c r="F838" s="8">
        <v>0</v>
      </c>
      <c r="G838" s="7">
        <v>0</v>
      </c>
      <c r="H838" s="7">
        <v>81211.819999998</v>
      </c>
      <c r="I838" s="7">
        <v>0</v>
      </c>
      <c r="J838" s="8">
        <v>0</v>
      </c>
      <c r="K838" s="9" t="str">
        <v/>
      </c>
    </row>
    <row r="839" spans="1:11">
      <c r="A839" t="str">
        <v/>
      </c>
      <c r="B839" s="6">
        <v>0</v>
      </c>
      <c r="C839" s="7" t="str">
        <v>趣点购浦发</v>
      </c>
      <c r="D839" s="8">
        <v>0</v>
      </c>
      <c r="E839" s="7">
        <v>0</v>
      </c>
      <c r="F839" s="8">
        <v>0</v>
      </c>
      <c r="G839" s="7">
        <v>0</v>
      </c>
      <c r="H839" s="7">
        <v>81211.819999998</v>
      </c>
      <c r="I839" s="7">
        <v>0</v>
      </c>
      <c r="J839" s="8">
        <v>0</v>
      </c>
      <c r="K839" s="9" t="str">
        <v/>
      </c>
    </row>
    <row r="840" spans="1:11">
      <c r="A840" t="str">
        <v/>
      </c>
      <c r="B840" s="6">
        <v>0</v>
      </c>
      <c r="C840" s="7" t="str">
        <v>趣点购浦发</v>
      </c>
      <c r="D840" s="8">
        <v>0</v>
      </c>
      <c r="E840" s="7">
        <v>0</v>
      </c>
      <c r="F840" s="8">
        <v>0</v>
      </c>
      <c r="G840" s="7">
        <v>0</v>
      </c>
      <c r="H840" s="7">
        <v>81211.819999998</v>
      </c>
      <c r="I840" s="7">
        <v>0</v>
      </c>
      <c r="J840" s="8">
        <v>0</v>
      </c>
      <c r="K840" s="9" t="str">
        <v/>
      </c>
    </row>
    <row r="841" spans="1:11">
      <c r="A841" t="str">
        <v/>
      </c>
      <c r="B841" s="6">
        <v>0</v>
      </c>
      <c r="C841" s="7" t="str">
        <v>趣点购浦发</v>
      </c>
      <c r="D841" s="8">
        <v>0</v>
      </c>
      <c r="E841" s="7">
        <v>0</v>
      </c>
      <c r="F841" s="8">
        <v>0</v>
      </c>
      <c r="G841" s="7">
        <v>0</v>
      </c>
      <c r="H841" s="7">
        <v>81211.819999998</v>
      </c>
      <c r="I841" s="7">
        <v>0</v>
      </c>
      <c r="J841" s="8">
        <v>0</v>
      </c>
      <c r="K841" s="9" t="str">
        <v/>
      </c>
    </row>
    <row r="842" spans="1:11">
      <c r="A842" t="str">
        <v/>
      </c>
      <c r="B842" s="6">
        <v>0</v>
      </c>
      <c r="C842" s="7" t="str">
        <v>趣点购浦发</v>
      </c>
      <c r="D842" s="8">
        <v>0</v>
      </c>
      <c r="E842" s="7">
        <v>0</v>
      </c>
      <c r="F842" s="8">
        <v>0</v>
      </c>
      <c r="G842" s="7">
        <v>0</v>
      </c>
      <c r="H842" s="7">
        <v>81211.819999998</v>
      </c>
      <c r="I842" s="7">
        <v>0</v>
      </c>
      <c r="J842" s="8">
        <v>0</v>
      </c>
      <c r="K842" s="9" t="str">
        <v/>
      </c>
    </row>
    <row r="843" spans="1:11">
      <c r="A843" t="str">
        <v/>
      </c>
      <c r="B843" s="6">
        <v>0</v>
      </c>
      <c r="C843" s="7" t="str">
        <v>趣点购浦发</v>
      </c>
      <c r="D843" s="8">
        <v>0</v>
      </c>
      <c r="E843" s="7">
        <v>0</v>
      </c>
      <c r="F843" s="8">
        <v>0</v>
      </c>
      <c r="G843" s="7">
        <v>0</v>
      </c>
      <c r="H843" s="7">
        <v>81211.819999998</v>
      </c>
      <c r="I843" s="7">
        <v>0</v>
      </c>
      <c r="J843" s="8">
        <v>0</v>
      </c>
      <c r="K843" s="9" t="str">
        <v/>
      </c>
    </row>
    <row r="844" spans="1:11">
      <c r="A844" t="str">
        <v/>
      </c>
      <c r="B844" s="6">
        <v>0</v>
      </c>
      <c r="C844" s="7" t="str">
        <v>趣点购浦发</v>
      </c>
      <c r="D844" s="8">
        <v>0</v>
      </c>
      <c r="E844" s="7">
        <v>0</v>
      </c>
      <c r="F844" s="8">
        <v>0</v>
      </c>
      <c r="G844" s="7">
        <v>0</v>
      </c>
      <c r="H844" s="7">
        <v>81211.819999998</v>
      </c>
      <c r="I844" s="7">
        <v>0</v>
      </c>
      <c r="J844" s="8">
        <v>0</v>
      </c>
      <c r="K844" s="9" t="str">
        <v/>
      </c>
    </row>
    <row r="845" spans="1:11">
      <c r="A845" t="str">
        <v/>
      </c>
      <c r="B845" s="6">
        <v>0</v>
      </c>
      <c r="C845" s="7" t="str">
        <v>趣点购浦发</v>
      </c>
      <c r="D845" s="8">
        <v>0</v>
      </c>
      <c r="E845" s="7">
        <v>0</v>
      </c>
      <c r="F845" s="8">
        <v>0</v>
      </c>
      <c r="G845" s="7">
        <v>0</v>
      </c>
      <c r="H845" s="7">
        <v>81211.819999998</v>
      </c>
      <c r="I845" s="7">
        <v>0</v>
      </c>
      <c r="J845" s="8">
        <v>0</v>
      </c>
      <c r="K845" s="9" t="str">
        <v/>
      </c>
    </row>
    <row r="846" spans="1:11">
      <c r="A846" t="str">
        <v/>
      </c>
      <c r="B846" s="6">
        <v>0</v>
      </c>
      <c r="C846" s="7" t="str">
        <v>趣点购浦发</v>
      </c>
      <c r="D846" s="8">
        <v>0</v>
      </c>
      <c r="E846" s="7">
        <v>0</v>
      </c>
      <c r="F846" s="8">
        <v>0</v>
      </c>
      <c r="G846" s="7">
        <v>0</v>
      </c>
      <c r="H846" s="7">
        <v>81211.819999998</v>
      </c>
      <c r="I846" s="7">
        <v>0</v>
      </c>
      <c r="J846" s="8">
        <v>0</v>
      </c>
      <c r="K846" s="9" t="str">
        <v/>
      </c>
    </row>
    <row r="847" spans="1:11">
      <c r="A847" t="str">
        <v/>
      </c>
      <c r="B847" s="6">
        <v>0</v>
      </c>
      <c r="C847" s="7" t="str">
        <v>趣点购浦发</v>
      </c>
      <c r="D847" s="8">
        <v>0</v>
      </c>
      <c r="E847" s="7">
        <v>0</v>
      </c>
      <c r="F847" s="8">
        <v>0</v>
      </c>
      <c r="G847" s="7">
        <v>0</v>
      </c>
      <c r="H847" s="7">
        <v>81211.819999998</v>
      </c>
      <c r="I847" s="7">
        <v>0</v>
      </c>
      <c r="J847" s="8">
        <v>0</v>
      </c>
      <c r="K847" s="9" t="str">
        <v/>
      </c>
    </row>
    <row r="848" spans="1:11">
      <c r="A848" t="str">
        <v/>
      </c>
      <c r="B848" s="6">
        <v>0</v>
      </c>
      <c r="C848" s="7" t="str">
        <v>趣点购浦发</v>
      </c>
      <c r="D848" s="8">
        <v>0</v>
      </c>
      <c r="E848" s="7">
        <v>0</v>
      </c>
      <c r="F848" s="8">
        <v>0</v>
      </c>
      <c r="G848" s="7">
        <v>0</v>
      </c>
      <c r="H848" s="7">
        <v>81211.819999998</v>
      </c>
      <c r="I848" s="7">
        <v>0</v>
      </c>
      <c r="J848" s="8">
        <v>0</v>
      </c>
      <c r="K848" s="9" t="str">
        <v/>
      </c>
    </row>
    <row r="849" spans="1:11">
      <c r="A849" t="str">
        <v/>
      </c>
      <c r="B849" s="6">
        <v>0</v>
      </c>
      <c r="C849" s="7" t="str">
        <v>趣点购浦发</v>
      </c>
      <c r="D849" s="8">
        <v>0</v>
      </c>
      <c r="E849" s="7">
        <v>0</v>
      </c>
      <c r="F849" s="8">
        <v>0</v>
      </c>
      <c r="G849" s="7">
        <v>0</v>
      </c>
      <c r="H849" s="7">
        <v>81211.819999998</v>
      </c>
      <c r="I849" s="7">
        <v>0</v>
      </c>
      <c r="J849" s="8">
        <v>0</v>
      </c>
      <c r="K849" s="9" t="str">
        <v/>
      </c>
    </row>
    <row r="850" spans="1:11">
      <c r="A850" t="str">
        <v/>
      </c>
      <c r="B850" s="6">
        <v>0</v>
      </c>
      <c r="C850" s="7" t="str">
        <v>趣点购浦发</v>
      </c>
      <c r="D850" s="8">
        <v>0</v>
      </c>
      <c r="E850" s="7">
        <v>0</v>
      </c>
      <c r="F850" s="8">
        <v>0</v>
      </c>
      <c r="G850" s="7">
        <v>0</v>
      </c>
      <c r="H850" s="7">
        <v>81211.819999998</v>
      </c>
      <c r="I850" s="7">
        <v>0</v>
      </c>
      <c r="J850" s="8">
        <v>0</v>
      </c>
      <c r="K850" s="9" t="str">
        <v/>
      </c>
    </row>
    <row r="851" spans="1:11">
      <c r="A851" t="str">
        <v/>
      </c>
      <c r="B851" s="6">
        <v>0</v>
      </c>
      <c r="C851" s="7" t="str">
        <v>趣点购浦发</v>
      </c>
      <c r="D851" s="8">
        <v>0</v>
      </c>
      <c r="E851" s="7">
        <v>0</v>
      </c>
      <c r="F851" s="8">
        <v>0</v>
      </c>
      <c r="G851" s="7">
        <v>0</v>
      </c>
      <c r="H851" s="7">
        <v>81211.819999998</v>
      </c>
      <c r="I851" s="7">
        <v>0</v>
      </c>
      <c r="J851" s="8">
        <v>0</v>
      </c>
      <c r="K851" s="9" t="str">
        <v/>
      </c>
    </row>
    <row r="852" spans="1:11">
      <c r="A852" t="str">
        <v/>
      </c>
      <c r="B852" s="6">
        <v>0</v>
      </c>
      <c r="C852" s="7" t="str">
        <v>趣点购浦发</v>
      </c>
      <c r="D852" s="8">
        <v>0</v>
      </c>
      <c r="E852" s="7">
        <v>0</v>
      </c>
      <c r="F852" s="8">
        <v>0</v>
      </c>
      <c r="G852" s="7">
        <v>0</v>
      </c>
      <c r="H852" s="7">
        <v>81211.819999998</v>
      </c>
      <c r="I852" s="7">
        <v>0</v>
      </c>
      <c r="J852" s="8">
        <v>0</v>
      </c>
      <c r="K852" s="9" t="str">
        <v/>
      </c>
    </row>
    <row r="853" spans="1:11">
      <c r="A853" t="str">
        <v/>
      </c>
      <c r="B853" s="6">
        <v>0</v>
      </c>
      <c r="C853" s="7" t="str">
        <v>趣点购浦发</v>
      </c>
      <c r="D853" s="8">
        <v>0</v>
      </c>
      <c r="E853" s="7">
        <v>0</v>
      </c>
      <c r="F853" s="8">
        <v>0</v>
      </c>
      <c r="G853" s="7">
        <v>0</v>
      </c>
      <c r="H853" s="7">
        <v>81211.819999998</v>
      </c>
      <c r="I853" s="7">
        <v>0</v>
      </c>
      <c r="J853" s="8">
        <v>0</v>
      </c>
      <c r="K853" s="9" t="str">
        <v/>
      </c>
    </row>
    <row r="854" spans="1:11">
      <c r="A854" t="str">
        <v/>
      </c>
      <c r="B854" s="6">
        <v>0</v>
      </c>
      <c r="C854" s="7" t="str">
        <v>趣点购浦发</v>
      </c>
      <c r="D854" s="8">
        <v>0</v>
      </c>
      <c r="E854" s="7">
        <v>0</v>
      </c>
      <c r="F854" s="8">
        <v>0</v>
      </c>
      <c r="G854" s="7">
        <v>0</v>
      </c>
      <c r="H854" s="7">
        <v>81211.819999998</v>
      </c>
      <c r="I854" s="7">
        <v>0</v>
      </c>
      <c r="J854" s="8">
        <v>0</v>
      </c>
      <c r="K854" s="9" t="str">
        <v/>
      </c>
    </row>
    <row r="855" spans="1:11">
      <c r="A855" t="str">
        <v/>
      </c>
      <c r="B855" s="6">
        <v>0</v>
      </c>
      <c r="C855" s="7" t="str">
        <v>趣点购浦发</v>
      </c>
      <c r="D855" s="8">
        <v>0</v>
      </c>
      <c r="E855" s="7">
        <v>0</v>
      </c>
      <c r="F855" s="8">
        <v>0</v>
      </c>
      <c r="G855" s="7">
        <v>0</v>
      </c>
      <c r="H855" s="7">
        <v>81211.819999998</v>
      </c>
      <c r="I855" s="7">
        <v>0</v>
      </c>
      <c r="J855" s="8">
        <v>0</v>
      </c>
      <c r="K855" s="9" t="str">
        <v/>
      </c>
    </row>
    <row r="856" spans="1:11">
      <c r="A856" t="str">
        <v/>
      </c>
      <c r="B856" s="6">
        <v>0</v>
      </c>
      <c r="C856" s="7" t="str">
        <v>趣点购浦发</v>
      </c>
      <c r="D856" s="8">
        <v>0</v>
      </c>
      <c r="E856" s="7">
        <v>0</v>
      </c>
      <c r="F856" s="8">
        <v>0</v>
      </c>
      <c r="G856" s="7">
        <v>0</v>
      </c>
      <c r="H856" s="7">
        <v>81211.819999998</v>
      </c>
      <c r="I856" s="7">
        <v>0</v>
      </c>
      <c r="J856" s="8">
        <v>0</v>
      </c>
      <c r="K856" s="9" t="str">
        <v/>
      </c>
    </row>
    <row r="857" spans="1:11">
      <c r="A857" t="str">
        <v/>
      </c>
      <c r="B857" s="6">
        <v>0</v>
      </c>
      <c r="C857" s="7" t="str">
        <v>趣点购浦发</v>
      </c>
      <c r="D857" s="8">
        <v>0</v>
      </c>
      <c r="E857" s="7">
        <v>0</v>
      </c>
      <c r="F857" s="8">
        <v>0</v>
      </c>
      <c r="G857" s="7">
        <v>0</v>
      </c>
      <c r="H857" s="7">
        <v>81211.819999998</v>
      </c>
      <c r="I857" s="7">
        <v>0</v>
      </c>
      <c r="J857" s="8">
        <v>0</v>
      </c>
      <c r="K857" s="9" t="str">
        <v/>
      </c>
    </row>
    <row r="858" spans="1:11">
      <c r="A858" t="str">
        <v/>
      </c>
      <c r="B858" s="6">
        <v>0</v>
      </c>
      <c r="C858" s="7" t="str">
        <v>趣点购浦发</v>
      </c>
      <c r="D858" s="8">
        <v>0</v>
      </c>
      <c r="E858" s="7">
        <v>0</v>
      </c>
      <c r="F858" s="8">
        <v>0</v>
      </c>
      <c r="G858" s="7">
        <v>0</v>
      </c>
      <c r="H858" s="7">
        <v>81211.819999998</v>
      </c>
      <c r="I858" s="7">
        <v>0</v>
      </c>
      <c r="J858" s="8">
        <v>0</v>
      </c>
      <c r="K858" s="9" t="str">
        <v/>
      </c>
    </row>
    <row r="859" spans="1:11">
      <c r="A859" t="str">
        <v/>
      </c>
      <c r="B859" s="6">
        <v>0</v>
      </c>
      <c r="C859" s="7" t="str">
        <v>趣点购浦发</v>
      </c>
      <c r="D859" s="8">
        <v>0</v>
      </c>
      <c r="E859" s="7">
        <v>0</v>
      </c>
      <c r="F859" s="8">
        <v>0</v>
      </c>
      <c r="G859" s="7">
        <v>0</v>
      </c>
      <c r="H859" s="7">
        <v>81211.819999998</v>
      </c>
      <c r="I859" s="7">
        <v>0</v>
      </c>
      <c r="J859" s="8">
        <v>0</v>
      </c>
      <c r="K859" s="9" t="str">
        <v/>
      </c>
    </row>
    <row r="860" spans="1:11">
      <c r="A860" t="str">
        <v/>
      </c>
      <c r="B860" s="6">
        <v>0</v>
      </c>
      <c r="C860" s="7" t="str">
        <v>趣点购浦发</v>
      </c>
      <c r="D860" s="8">
        <v>0</v>
      </c>
      <c r="E860" s="7">
        <v>0</v>
      </c>
      <c r="F860" s="8">
        <v>0</v>
      </c>
      <c r="G860" s="7">
        <v>0</v>
      </c>
      <c r="H860" s="7">
        <v>81211.819999998</v>
      </c>
      <c r="I860" s="7">
        <v>0</v>
      </c>
      <c r="J860" s="8">
        <v>0</v>
      </c>
      <c r="K860" s="9" t="str">
        <v/>
      </c>
    </row>
    <row r="861" spans="1:11">
      <c r="A861" t="str">
        <v/>
      </c>
      <c r="B861" s="6">
        <v>0</v>
      </c>
      <c r="C861" s="7" t="str">
        <v>趣点购浦发</v>
      </c>
      <c r="D861" s="8">
        <v>0</v>
      </c>
      <c r="E861" s="7">
        <v>0</v>
      </c>
      <c r="F861" s="8">
        <v>0</v>
      </c>
      <c r="G861" s="7">
        <v>0</v>
      </c>
      <c r="H861" s="7">
        <v>81211.819999998</v>
      </c>
      <c r="I861" s="7">
        <v>0</v>
      </c>
      <c r="J861" s="8">
        <v>0</v>
      </c>
      <c r="K861" s="9" t="str">
        <v/>
      </c>
    </row>
    <row r="862" spans="1:11">
      <c r="A862" t="str">
        <v/>
      </c>
      <c r="B862" s="6">
        <v>0</v>
      </c>
      <c r="C862" s="7" t="str">
        <v>趣点购浦发</v>
      </c>
      <c r="D862" s="8">
        <v>0</v>
      </c>
      <c r="E862" s="7">
        <v>0</v>
      </c>
      <c r="F862" s="8">
        <v>0</v>
      </c>
      <c r="G862" s="7">
        <v>0</v>
      </c>
      <c r="H862" s="7">
        <v>81211.819999998</v>
      </c>
      <c r="I862" s="7">
        <v>0</v>
      </c>
      <c r="J862" s="8">
        <v>0</v>
      </c>
      <c r="K862" s="9" t="str">
        <v/>
      </c>
    </row>
    <row r="863" spans="1:11">
      <c r="A863" t="str">
        <v/>
      </c>
      <c r="B863" s="6">
        <v>0</v>
      </c>
      <c r="C863" s="7" t="str">
        <v>趣点购浦发</v>
      </c>
      <c r="D863" s="8">
        <v>0</v>
      </c>
      <c r="E863" s="7">
        <v>0</v>
      </c>
      <c r="F863" s="8">
        <v>0</v>
      </c>
      <c r="G863" s="7">
        <v>0</v>
      </c>
      <c r="H863" s="7">
        <v>81211.819999998</v>
      </c>
      <c r="I863" s="7">
        <v>0</v>
      </c>
      <c r="J863" s="8">
        <v>0</v>
      </c>
      <c r="K863" s="9" t="str">
        <v/>
      </c>
    </row>
    <row r="864" spans="1:11">
      <c r="A864" t="str">
        <v/>
      </c>
      <c r="B864" s="6">
        <v>0</v>
      </c>
      <c r="C864" s="7" t="str">
        <v>趣点购浦发</v>
      </c>
      <c r="D864" s="8">
        <v>0</v>
      </c>
      <c r="E864" s="7">
        <v>0</v>
      </c>
      <c r="F864" s="8">
        <v>0</v>
      </c>
      <c r="G864" s="7">
        <v>0</v>
      </c>
      <c r="H864" s="7">
        <v>81211.819999998</v>
      </c>
      <c r="I864" s="7">
        <v>0</v>
      </c>
      <c r="J864" s="8">
        <v>0</v>
      </c>
      <c r="K864" s="9" t="str">
        <v/>
      </c>
    </row>
    <row r="865" spans="1:11">
      <c r="A865" t="str">
        <v/>
      </c>
      <c r="B865" s="6">
        <v>0</v>
      </c>
      <c r="C865" s="7" t="str">
        <v>趣点购浦发</v>
      </c>
      <c r="D865" s="8">
        <v>0</v>
      </c>
      <c r="E865" s="7">
        <v>0</v>
      </c>
      <c r="F865" s="8">
        <v>0</v>
      </c>
      <c r="G865" s="7">
        <v>0</v>
      </c>
      <c r="H865" s="7">
        <v>81211.819999998</v>
      </c>
      <c r="I865" s="7">
        <v>0</v>
      </c>
      <c r="J865" s="8">
        <v>0</v>
      </c>
      <c r="K865" s="9" t="str">
        <v/>
      </c>
    </row>
    <row r="866" spans="1:11">
      <c r="A866" t="str">
        <v/>
      </c>
      <c r="B866" s="6">
        <v>0</v>
      </c>
      <c r="C866" s="7" t="str">
        <v>趣点购浦发</v>
      </c>
      <c r="D866" s="8">
        <v>0</v>
      </c>
      <c r="E866" s="7">
        <v>0</v>
      </c>
      <c r="F866" s="8">
        <v>0</v>
      </c>
      <c r="G866" s="7">
        <v>0</v>
      </c>
      <c r="H866" s="7">
        <v>81211.819999998</v>
      </c>
      <c r="I866" s="7">
        <v>0</v>
      </c>
      <c r="J866" s="8">
        <v>0</v>
      </c>
      <c r="K866" s="9" t="str">
        <v/>
      </c>
    </row>
    <row r="867" spans="1:11">
      <c r="A867" t="str">
        <v/>
      </c>
      <c r="B867" s="6">
        <v>0</v>
      </c>
      <c r="C867" s="7" t="str">
        <v>趣点购浦发</v>
      </c>
      <c r="D867" s="8">
        <v>0</v>
      </c>
      <c r="E867" s="7">
        <v>0</v>
      </c>
      <c r="F867" s="8">
        <v>0</v>
      </c>
      <c r="G867" s="7">
        <v>0</v>
      </c>
      <c r="H867" s="7">
        <v>81211.819999998</v>
      </c>
      <c r="I867" s="7">
        <v>0</v>
      </c>
      <c r="J867" s="8">
        <v>0</v>
      </c>
      <c r="K867" s="9" t="str">
        <v/>
      </c>
    </row>
    <row r="868" spans="1:11">
      <c r="A868" t="str">
        <v/>
      </c>
      <c r="B868" s="6">
        <v>0</v>
      </c>
      <c r="C868" s="7" t="str">
        <v>趣点购浦发</v>
      </c>
      <c r="D868" s="8">
        <v>0</v>
      </c>
      <c r="E868" s="7">
        <v>0</v>
      </c>
      <c r="F868" s="8">
        <v>0</v>
      </c>
      <c r="G868" s="7">
        <v>0</v>
      </c>
      <c r="H868" s="7">
        <v>81211.819999998</v>
      </c>
      <c r="I868" s="7">
        <v>0</v>
      </c>
      <c r="J868" s="8">
        <v>0</v>
      </c>
      <c r="K868" s="9" t="str">
        <v/>
      </c>
    </row>
    <row r="869" spans="1:11">
      <c r="A869" t="str">
        <v/>
      </c>
      <c r="B869" s="6">
        <v>0</v>
      </c>
      <c r="C869" s="7" t="str">
        <v>趣点购浦发</v>
      </c>
      <c r="D869" s="8">
        <v>0</v>
      </c>
      <c r="E869" s="7">
        <v>0</v>
      </c>
      <c r="F869" s="8">
        <v>0</v>
      </c>
      <c r="G869" s="7">
        <v>0</v>
      </c>
      <c r="H869" s="7">
        <v>81211.819999998</v>
      </c>
      <c r="I869" s="7">
        <v>0</v>
      </c>
      <c r="J869" s="8">
        <v>0</v>
      </c>
      <c r="K869" s="9" t="str">
        <v/>
      </c>
    </row>
    <row r="870" spans="1:11">
      <c r="A870" t="str">
        <v/>
      </c>
      <c r="B870" s="6">
        <v>0</v>
      </c>
      <c r="C870" s="7" t="str">
        <v>趣点购浦发</v>
      </c>
      <c r="D870" s="8">
        <v>0</v>
      </c>
      <c r="E870" s="7">
        <v>0</v>
      </c>
      <c r="F870" s="8">
        <v>0</v>
      </c>
      <c r="G870" s="7">
        <v>0</v>
      </c>
      <c r="H870" s="7">
        <v>81211.819999998</v>
      </c>
      <c r="I870" s="7">
        <v>0</v>
      </c>
      <c r="J870" s="8">
        <v>0</v>
      </c>
      <c r="K870" s="9" t="str">
        <v/>
      </c>
    </row>
    <row r="871" spans="1:11">
      <c r="A871" t="str">
        <v/>
      </c>
      <c r="B871" s="6">
        <v>0</v>
      </c>
      <c r="C871" s="7" t="str">
        <v>趣点购浦发</v>
      </c>
      <c r="D871" s="8">
        <v>0</v>
      </c>
      <c r="E871" s="7">
        <v>0</v>
      </c>
      <c r="F871" s="8">
        <v>0</v>
      </c>
      <c r="G871" s="7">
        <v>0</v>
      </c>
      <c r="H871" s="7">
        <v>81211.819999998</v>
      </c>
      <c r="I871" s="7">
        <v>0</v>
      </c>
      <c r="J871" s="8">
        <v>0</v>
      </c>
      <c r="K871" s="9" t="str">
        <v/>
      </c>
    </row>
    <row r="872" spans="1:11">
      <c r="A872" t="str">
        <v/>
      </c>
      <c r="B872" s="6">
        <v>0</v>
      </c>
      <c r="C872" s="7" t="str">
        <v>趣点购浦发</v>
      </c>
      <c r="D872" s="8">
        <v>0</v>
      </c>
      <c r="E872" s="7">
        <v>0</v>
      </c>
      <c r="F872" s="8">
        <v>0</v>
      </c>
      <c r="G872" s="7">
        <v>0</v>
      </c>
      <c r="H872" s="7">
        <v>81211.819999998</v>
      </c>
      <c r="I872" s="7">
        <v>0</v>
      </c>
      <c r="J872" s="8">
        <v>0</v>
      </c>
      <c r="K872" s="9" t="str">
        <v/>
      </c>
    </row>
    <row r="873" spans="1:11">
      <c r="A873" t="str">
        <v/>
      </c>
      <c r="B873" s="6">
        <v>0</v>
      </c>
      <c r="C873" s="7" t="str">
        <v>趣点购浦发</v>
      </c>
      <c r="D873" s="8">
        <v>0</v>
      </c>
      <c r="E873" s="7">
        <v>0</v>
      </c>
      <c r="F873" s="8">
        <v>0</v>
      </c>
      <c r="G873" s="7">
        <v>0</v>
      </c>
      <c r="H873" s="7">
        <v>81211.819999998</v>
      </c>
      <c r="I873" s="7">
        <v>0</v>
      </c>
      <c r="J873" s="8">
        <v>0</v>
      </c>
      <c r="K873" s="9" t="str">
        <v/>
      </c>
    </row>
    <row r="874" spans="1:11">
      <c r="A874" t="str">
        <v/>
      </c>
      <c r="B874" s="6">
        <v>0</v>
      </c>
      <c r="C874" s="7" t="str">
        <v>趣点购浦发</v>
      </c>
      <c r="D874" s="8">
        <v>0</v>
      </c>
      <c r="E874" s="7">
        <v>0</v>
      </c>
      <c r="F874" s="8">
        <v>0</v>
      </c>
      <c r="G874" s="7">
        <v>0</v>
      </c>
      <c r="H874" s="7">
        <v>81211.819999998</v>
      </c>
      <c r="I874" s="7">
        <v>0</v>
      </c>
      <c r="J874" s="8">
        <v>0</v>
      </c>
      <c r="K874" s="9" t="str">
        <v/>
      </c>
    </row>
    <row r="875" spans="1:11">
      <c r="A875" t="str">
        <v/>
      </c>
      <c r="B875" s="6">
        <v>0</v>
      </c>
      <c r="C875" s="7" t="str">
        <v>趣点购浦发</v>
      </c>
      <c r="D875" s="8">
        <v>0</v>
      </c>
      <c r="E875" s="7">
        <v>0</v>
      </c>
      <c r="F875" s="8">
        <v>0</v>
      </c>
      <c r="G875" s="7">
        <v>0</v>
      </c>
      <c r="H875" s="7">
        <v>81211.819999998</v>
      </c>
      <c r="I875" s="7">
        <v>0</v>
      </c>
      <c r="J875" s="8">
        <v>0</v>
      </c>
      <c r="K875" s="9" t="str">
        <v/>
      </c>
    </row>
    <row r="876" spans="1:11">
      <c r="A876" t="str">
        <v/>
      </c>
      <c r="B876" s="6">
        <v>0</v>
      </c>
      <c r="C876" s="7" t="str">
        <v>趣点购浦发</v>
      </c>
      <c r="D876" s="8">
        <v>0</v>
      </c>
      <c r="E876" s="7">
        <v>0</v>
      </c>
      <c r="F876" s="8">
        <v>0</v>
      </c>
      <c r="G876" s="7">
        <v>0</v>
      </c>
      <c r="H876" s="7">
        <v>81211.819999998</v>
      </c>
      <c r="I876" s="7">
        <v>0</v>
      </c>
      <c r="J876" s="8">
        <v>0</v>
      </c>
      <c r="K876" s="9" t="str">
        <v/>
      </c>
    </row>
    <row r="877" spans="1:11">
      <c r="A877" t="str">
        <v/>
      </c>
      <c r="B877" s="6">
        <v>0</v>
      </c>
      <c r="C877" s="7" t="str">
        <v>趣点购浦发</v>
      </c>
      <c r="D877" s="8">
        <v>0</v>
      </c>
      <c r="E877" s="7">
        <v>0</v>
      </c>
      <c r="F877" s="8">
        <v>0</v>
      </c>
      <c r="G877" s="7">
        <v>0</v>
      </c>
      <c r="H877" s="7">
        <v>81211.819999998</v>
      </c>
      <c r="I877" s="7">
        <v>0</v>
      </c>
      <c r="J877" s="8">
        <v>0</v>
      </c>
      <c r="K877" s="9" t="str">
        <v/>
      </c>
    </row>
    <row r="878" spans="1:11">
      <c r="A878" t="str">
        <v/>
      </c>
      <c r="B878" s="6">
        <v>0</v>
      </c>
      <c r="C878" s="7" t="str">
        <v>趣点购浦发</v>
      </c>
      <c r="D878" s="8">
        <v>0</v>
      </c>
      <c r="E878" s="7">
        <v>0</v>
      </c>
      <c r="F878" s="8">
        <v>0</v>
      </c>
      <c r="G878" s="7">
        <v>0</v>
      </c>
      <c r="H878" s="7">
        <v>81211.819999998</v>
      </c>
      <c r="I878" s="7">
        <v>0</v>
      </c>
      <c r="J878" s="8">
        <v>0</v>
      </c>
      <c r="K878" s="9" t="str">
        <v/>
      </c>
    </row>
    <row r="879" spans="1:11">
      <c r="A879" t="str">
        <v/>
      </c>
      <c r="B879" s="6">
        <v>0</v>
      </c>
      <c r="C879" s="7" t="str">
        <v>趣点购浦发</v>
      </c>
      <c r="D879" s="8">
        <v>0</v>
      </c>
      <c r="E879" s="7">
        <v>0</v>
      </c>
      <c r="F879" s="8">
        <v>0</v>
      </c>
      <c r="G879" s="7">
        <v>0</v>
      </c>
      <c r="H879" s="7">
        <v>81211.819999998</v>
      </c>
      <c r="I879" s="7">
        <v>0</v>
      </c>
      <c r="J879" s="8">
        <v>0</v>
      </c>
      <c r="K879" s="9" t="str">
        <v/>
      </c>
    </row>
    <row r="880" spans="1:11">
      <c r="A880" t="str">
        <v/>
      </c>
      <c r="B880" s="6">
        <v>0</v>
      </c>
      <c r="C880" s="7" t="str">
        <v>趣点购浦发</v>
      </c>
      <c r="D880" s="8">
        <v>0</v>
      </c>
      <c r="E880" s="7">
        <v>0</v>
      </c>
      <c r="F880" s="8">
        <v>0</v>
      </c>
      <c r="G880" s="7">
        <v>0</v>
      </c>
      <c r="H880" s="7">
        <v>81211.819999998</v>
      </c>
      <c r="I880" s="7">
        <v>0</v>
      </c>
      <c r="J880" s="8">
        <v>0</v>
      </c>
      <c r="K880" s="9" t="str">
        <v/>
      </c>
    </row>
    <row r="881" spans="1:11">
      <c r="A881" t="str">
        <v/>
      </c>
      <c r="B881" s="6">
        <v>0</v>
      </c>
      <c r="C881" s="7" t="str">
        <v>趣点购浦发</v>
      </c>
      <c r="D881" s="8">
        <v>0</v>
      </c>
      <c r="E881" s="7">
        <v>0</v>
      </c>
      <c r="F881" s="8">
        <v>0</v>
      </c>
      <c r="G881" s="7">
        <v>0</v>
      </c>
      <c r="H881" s="7">
        <v>81211.819999998</v>
      </c>
      <c r="I881" s="7">
        <v>0</v>
      </c>
      <c r="J881" s="8">
        <v>0</v>
      </c>
      <c r="K881" s="9" t="str">
        <v/>
      </c>
    </row>
    <row r="882" spans="1:11">
      <c r="A882" t="str">
        <v/>
      </c>
      <c r="B882" s="6">
        <v>0</v>
      </c>
      <c r="C882" s="7" t="str">
        <v>趣点购浦发</v>
      </c>
      <c r="D882" s="8">
        <v>0</v>
      </c>
      <c r="E882" s="7">
        <v>0</v>
      </c>
      <c r="F882" s="8">
        <v>0</v>
      </c>
      <c r="G882" s="7">
        <v>0</v>
      </c>
      <c r="H882" s="7">
        <v>81211.819999998</v>
      </c>
      <c r="I882" s="7">
        <v>0</v>
      </c>
      <c r="J882" s="8">
        <v>0</v>
      </c>
      <c r="K882" s="9" t="str">
        <v/>
      </c>
    </row>
    <row r="883" spans="1:11">
      <c r="A883" t="str">
        <v/>
      </c>
      <c r="B883" s="6">
        <v>0</v>
      </c>
      <c r="C883" s="7" t="str">
        <v>趣点购浦发</v>
      </c>
      <c r="D883" s="8">
        <v>0</v>
      </c>
      <c r="E883" s="7">
        <v>0</v>
      </c>
      <c r="F883" s="8">
        <v>0</v>
      </c>
      <c r="G883" s="7">
        <v>0</v>
      </c>
      <c r="H883" s="7">
        <v>81211.819999998</v>
      </c>
      <c r="I883" s="7">
        <v>0</v>
      </c>
      <c r="J883" s="8">
        <v>0</v>
      </c>
      <c r="K883" s="9" t="str">
        <v/>
      </c>
    </row>
    <row r="884" spans="1:11">
      <c r="A884" t="str">
        <v/>
      </c>
      <c r="B884" s="6">
        <v>0</v>
      </c>
      <c r="C884" s="7" t="str">
        <v>趣点购浦发</v>
      </c>
      <c r="D884" s="8">
        <v>0</v>
      </c>
      <c r="E884" s="7">
        <v>0</v>
      </c>
      <c r="F884" s="8">
        <v>0</v>
      </c>
      <c r="G884" s="7">
        <v>0</v>
      </c>
      <c r="H884" s="7">
        <v>81211.819999998</v>
      </c>
      <c r="I884" s="7">
        <v>0</v>
      </c>
      <c r="J884" s="8">
        <v>0</v>
      </c>
      <c r="K884" s="9" t="str">
        <v/>
      </c>
    </row>
    <row r="885" spans="1:11">
      <c r="A885" t="str">
        <v/>
      </c>
      <c r="B885" s="6">
        <v>0</v>
      </c>
      <c r="C885" s="7" t="str">
        <v>趣点购浦发</v>
      </c>
      <c r="D885" s="8">
        <v>0</v>
      </c>
      <c r="E885" s="7">
        <v>0</v>
      </c>
      <c r="F885" s="8">
        <v>0</v>
      </c>
      <c r="G885" s="7">
        <v>0</v>
      </c>
      <c r="H885" s="7">
        <v>81211.819999998</v>
      </c>
      <c r="I885" s="7">
        <v>0</v>
      </c>
      <c r="J885" s="8">
        <v>0</v>
      </c>
      <c r="K885" s="9" t="str">
        <v/>
      </c>
    </row>
    <row r="886" spans="1:11">
      <c r="A886" t="str">
        <v/>
      </c>
      <c r="B886" s="6">
        <v>0</v>
      </c>
      <c r="C886" s="7" t="str">
        <v>趣点购浦发</v>
      </c>
      <c r="D886" s="8">
        <v>0</v>
      </c>
      <c r="E886" s="7">
        <v>0</v>
      </c>
      <c r="F886" s="8">
        <v>0</v>
      </c>
      <c r="G886" s="7">
        <v>0</v>
      </c>
      <c r="H886" s="7">
        <v>81211.819999998</v>
      </c>
      <c r="I886" s="7">
        <v>0</v>
      </c>
      <c r="J886" s="8">
        <v>0</v>
      </c>
      <c r="K886" s="9" t="str">
        <v/>
      </c>
    </row>
    <row r="887" spans="1:11">
      <c r="A887" t="str">
        <v/>
      </c>
      <c r="B887" s="6">
        <v>0</v>
      </c>
      <c r="C887" s="7" t="str">
        <v>趣点购浦发</v>
      </c>
      <c r="D887" s="8">
        <v>0</v>
      </c>
      <c r="E887" s="7">
        <v>0</v>
      </c>
      <c r="F887" s="8">
        <v>0</v>
      </c>
      <c r="G887" s="7">
        <v>0</v>
      </c>
      <c r="H887" s="7">
        <v>81211.819999998</v>
      </c>
      <c r="I887" s="7">
        <v>0</v>
      </c>
      <c r="J887" s="8">
        <v>0</v>
      </c>
      <c r="K887" s="9" t="str">
        <v/>
      </c>
    </row>
    <row r="888" spans="1:11">
      <c r="A888" t="str">
        <v/>
      </c>
      <c r="B888" s="6">
        <v>0</v>
      </c>
      <c r="C888" s="7" t="str">
        <v>趣点购浦发</v>
      </c>
      <c r="D888" s="8">
        <v>0</v>
      </c>
      <c r="E888" s="7">
        <v>0</v>
      </c>
      <c r="F888" s="8">
        <v>0</v>
      </c>
      <c r="G888" s="7">
        <v>0</v>
      </c>
      <c r="H888" s="7">
        <v>81211.819999998</v>
      </c>
      <c r="I888" s="7">
        <v>0</v>
      </c>
      <c r="J888" s="8">
        <v>0</v>
      </c>
      <c r="K888" s="9" t="str">
        <v/>
      </c>
    </row>
    <row r="889" spans="1:11">
      <c r="A889" t="str">
        <v/>
      </c>
      <c r="B889" s="6">
        <v>0</v>
      </c>
      <c r="C889" s="7" t="str">
        <v>趣点购浦发</v>
      </c>
      <c r="D889" s="8">
        <v>0</v>
      </c>
      <c r="E889" s="7">
        <v>0</v>
      </c>
      <c r="F889" s="8">
        <v>0</v>
      </c>
      <c r="G889" s="7">
        <v>0</v>
      </c>
      <c r="H889" s="7">
        <v>81211.819999998</v>
      </c>
      <c r="I889" s="7">
        <v>0</v>
      </c>
      <c r="J889" s="8">
        <v>0</v>
      </c>
      <c r="K889" s="9" t="str">
        <v/>
      </c>
    </row>
    <row r="890" spans="1:11">
      <c r="A890" t="str">
        <v/>
      </c>
      <c r="B890" s="6">
        <v>0</v>
      </c>
      <c r="C890" s="7" t="str">
        <v>趣点购浦发</v>
      </c>
      <c r="D890" s="8">
        <v>0</v>
      </c>
      <c r="E890" s="7">
        <v>0</v>
      </c>
      <c r="F890" s="8">
        <v>0</v>
      </c>
      <c r="G890" s="7">
        <v>0</v>
      </c>
      <c r="H890" s="7">
        <v>81211.819999998</v>
      </c>
      <c r="I890" s="7">
        <v>0</v>
      </c>
      <c r="J890" s="8">
        <v>0</v>
      </c>
      <c r="K890" s="9" t="str">
        <v/>
      </c>
    </row>
    <row r="891" spans="1:11">
      <c r="A891" t="str">
        <v/>
      </c>
      <c r="B891" s="6">
        <v>0</v>
      </c>
      <c r="C891" s="7" t="str">
        <v>趣点购浦发</v>
      </c>
      <c r="D891" s="8">
        <v>0</v>
      </c>
      <c r="E891" s="7">
        <v>0</v>
      </c>
      <c r="F891" s="8">
        <v>0</v>
      </c>
      <c r="G891" s="7">
        <v>0</v>
      </c>
      <c r="H891" s="7">
        <v>81211.819999998</v>
      </c>
      <c r="I891" s="7">
        <v>0</v>
      </c>
      <c r="J891" s="8">
        <v>0</v>
      </c>
      <c r="K891" s="9" t="str">
        <v/>
      </c>
    </row>
    <row r="892" spans="1:11">
      <c r="A892" t="str">
        <v/>
      </c>
      <c r="B892" s="6">
        <v>0</v>
      </c>
      <c r="C892" s="7" t="str">
        <v>趣点购浦发</v>
      </c>
      <c r="D892" s="8">
        <v>0</v>
      </c>
      <c r="E892" s="7">
        <v>0</v>
      </c>
      <c r="F892" s="8">
        <v>0</v>
      </c>
      <c r="G892" s="7">
        <v>0</v>
      </c>
      <c r="H892" s="7">
        <v>81211.819999998</v>
      </c>
      <c r="I892" s="7">
        <v>0</v>
      </c>
      <c r="J892" s="8">
        <v>0</v>
      </c>
      <c r="K892" s="9" t="str">
        <v/>
      </c>
    </row>
    <row r="893" spans="1:11">
      <c r="A893" t="str">
        <v/>
      </c>
      <c r="B893" s="6">
        <v>0</v>
      </c>
      <c r="C893" s="7" t="str">
        <v>趣点购浦发</v>
      </c>
      <c r="D893" s="8">
        <v>0</v>
      </c>
      <c r="E893" s="7">
        <v>0</v>
      </c>
      <c r="F893" s="8">
        <v>0</v>
      </c>
      <c r="G893" s="7">
        <v>0</v>
      </c>
      <c r="H893" s="7">
        <v>81211.819999998</v>
      </c>
      <c r="I893" s="7">
        <v>0</v>
      </c>
      <c r="J893" s="8">
        <v>0</v>
      </c>
      <c r="K893" s="9" t="str">
        <v/>
      </c>
    </row>
    <row r="894" spans="1:11">
      <c r="A894" t="str">
        <v/>
      </c>
      <c r="B894" s="6">
        <v>0</v>
      </c>
      <c r="C894" s="7" t="str">
        <v>趣点购浦发</v>
      </c>
      <c r="D894" s="8">
        <v>0</v>
      </c>
      <c r="E894" s="7">
        <v>0</v>
      </c>
      <c r="F894" s="8">
        <v>0</v>
      </c>
      <c r="G894" s="7">
        <v>0</v>
      </c>
      <c r="H894" s="7">
        <v>81211.819999998</v>
      </c>
      <c r="I894" s="7">
        <v>0</v>
      </c>
      <c r="J894" s="8">
        <v>0</v>
      </c>
      <c r="K894" s="9" t="str">
        <v/>
      </c>
    </row>
    <row r="895" spans="1:11">
      <c r="A895" t="str">
        <v/>
      </c>
      <c r="B895" s="6">
        <v>0</v>
      </c>
      <c r="C895" s="7" t="str">
        <v>趣点购浦发</v>
      </c>
      <c r="D895" s="8">
        <v>0</v>
      </c>
      <c r="E895" s="7">
        <v>0</v>
      </c>
      <c r="F895" s="8">
        <v>0</v>
      </c>
      <c r="G895" s="7">
        <v>0</v>
      </c>
      <c r="H895" s="7">
        <v>81211.819999998</v>
      </c>
      <c r="I895" s="7">
        <v>0</v>
      </c>
      <c r="J895" s="8">
        <v>0</v>
      </c>
      <c r="K895" s="9" t="str">
        <v/>
      </c>
    </row>
    <row r="896" spans="1:11">
      <c r="A896" t="str">
        <v/>
      </c>
      <c r="B896" s="6">
        <v>0</v>
      </c>
      <c r="C896" s="7" t="str">
        <v>趣点购浦发</v>
      </c>
      <c r="D896" s="8">
        <v>0</v>
      </c>
      <c r="E896" s="7">
        <v>0</v>
      </c>
      <c r="F896" s="8">
        <v>0</v>
      </c>
      <c r="G896" s="7">
        <v>0</v>
      </c>
      <c r="H896" s="7">
        <v>81211.819999998</v>
      </c>
      <c r="I896" s="7">
        <v>0</v>
      </c>
      <c r="J896" s="8">
        <v>0</v>
      </c>
      <c r="K896" s="9" t="str">
        <v/>
      </c>
    </row>
    <row r="897" spans="1:11">
      <c r="A897" t="str">
        <v/>
      </c>
      <c r="B897" s="6">
        <v>0</v>
      </c>
      <c r="C897" s="7" t="str">
        <v>趣点购浦发</v>
      </c>
      <c r="D897" s="8">
        <v>0</v>
      </c>
      <c r="E897" s="7">
        <v>0</v>
      </c>
      <c r="F897" s="8">
        <v>0</v>
      </c>
      <c r="G897" s="7">
        <v>0</v>
      </c>
      <c r="H897" s="7">
        <v>81211.819999998</v>
      </c>
      <c r="I897" s="7">
        <v>0</v>
      </c>
      <c r="J897" s="8">
        <v>0</v>
      </c>
      <c r="K897" s="9" t="str">
        <v/>
      </c>
    </row>
    <row r="898" spans="1:11">
      <c r="A898" t="str">
        <v/>
      </c>
      <c r="B898" s="6">
        <v>0</v>
      </c>
      <c r="C898" s="7" t="str">
        <v>趣点购浦发</v>
      </c>
      <c r="D898" s="8">
        <v>0</v>
      </c>
      <c r="E898" s="7">
        <v>0</v>
      </c>
      <c r="F898" s="8">
        <v>0</v>
      </c>
      <c r="G898" s="7">
        <v>0</v>
      </c>
      <c r="H898" s="7">
        <v>81211.819999998</v>
      </c>
      <c r="I898" s="7">
        <v>0</v>
      </c>
      <c r="J898" s="8">
        <v>0</v>
      </c>
      <c r="K898" s="9" t="str">
        <v/>
      </c>
    </row>
    <row r="899" spans="1:11">
      <c r="A899" t="str">
        <v/>
      </c>
      <c r="B899" s="6">
        <v>0</v>
      </c>
      <c r="C899" s="7" t="str">
        <v>趣点购浦发</v>
      </c>
      <c r="D899" s="8">
        <v>0</v>
      </c>
      <c r="E899" s="7">
        <v>0</v>
      </c>
      <c r="F899" s="8">
        <v>0</v>
      </c>
      <c r="G899" s="7">
        <v>0</v>
      </c>
      <c r="H899" s="7">
        <v>81211.819999998</v>
      </c>
      <c r="I899" s="7">
        <v>0</v>
      </c>
      <c r="J899" s="8">
        <v>0</v>
      </c>
      <c r="K899" s="9" t="str">
        <v/>
      </c>
    </row>
    <row r="900" spans="1:11">
      <c r="A900" t="str">
        <v/>
      </c>
      <c r="B900" s="6">
        <v>0</v>
      </c>
      <c r="C900" s="7" t="str">
        <v>趣点购浦发</v>
      </c>
      <c r="D900" s="8">
        <v>0</v>
      </c>
      <c r="E900" s="7">
        <v>0</v>
      </c>
      <c r="F900" s="8">
        <v>0</v>
      </c>
      <c r="G900" s="7">
        <v>0</v>
      </c>
      <c r="H900" s="7">
        <v>81211.819999998</v>
      </c>
      <c r="I900" s="7">
        <v>0</v>
      </c>
      <c r="J900" s="8">
        <v>0</v>
      </c>
      <c r="K900" s="9" t="str">
        <v/>
      </c>
    </row>
    <row r="901" spans="1:11">
      <c r="A901" t="str">
        <v/>
      </c>
      <c r="B901" s="6">
        <v>0</v>
      </c>
      <c r="C901" s="7" t="str">
        <v>趣点购浦发</v>
      </c>
      <c r="D901" s="8">
        <v>0</v>
      </c>
      <c r="E901" s="7">
        <v>0</v>
      </c>
      <c r="F901" s="8">
        <v>0</v>
      </c>
      <c r="G901" s="7">
        <v>0</v>
      </c>
      <c r="H901" s="7">
        <v>81211.819999998</v>
      </c>
      <c r="I901" s="7">
        <v>0</v>
      </c>
      <c r="J901" s="8">
        <v>0</v>
      </c>
      <c r="K901" s="9" t="str">
        <v/>
      </c>
    </row>
    <row r="902" spans="1:11">
      <c r="A902" t="str">
        <v/>
      </c>
      <c r="B902" s="6">
        <v>0</v>
      </c>
      <c r="C902" s="7" t="str">
        <v>趣点购浦发</v>
      </c>
      <c r="D902" s="8">
        <v>0</v>
      </c>
      <c r="E902" s="7">
        <v>0</v>
      </c>
      <c r="F902" s="8">
        <v>0</v>
      </c>
      <c r="G902" s="7">
        <v>0</v>
      </c>
      <c r="H902" s="7">
        <v>81211.819999998</v>
      </c>
      <c r="I902" s="7">
        <v>0</v>
      </c>
      <c r="J902" s="8">
        <v>0</v>
      </c>
      <c r="K902" s="9" t="str">
        <v/>
      </c>
    </row>
    <row r="903" spans="1:11">
      <c r="A903" t="str">
        <v/>
      </c>
      <c r="B903" s="6">
        <v>0</v>
      </c>
      <c r="C903" s="7" t="str">
        <v>趣点购浦发</v>
      </c>
      <c r="D903" s="8">
        <v>0</v>
      </c>
      <c r="E903" s="7">
        <v>0</v>
      </c>
      <c r="F903" s="8">
        <v>0</v>
      </c>
      <c r="G903" s="7">
        <v>0</v>
      </c>
      <c r="H903" s="7">
        <v>81211.819999998</v>
      </c>
      <c r="I903" s="7">
        <v>0</v>
      </c>
      <c r="J903" s="8">
        <v>0</v>
      </c>
      <c r="K903" s="9" t="str">
        <v/>
      </c>
    </row>
    <row r="904" spans="1:11">
      <c r="A904" t="str">
        <v/>
      </c>
      <c r="B904" s="6">
        <v>0</v>
      </c>
      <c r="C904" s="7" t="str">
        <v>趣点购浦发</v>
      </c>
      <c r="D904" s="8">
        <v>0</v>
      </c>
      <c r="E904" s="7">
        <v>0</v>
      </c>
      <c r="F904" s="8">
        <v>0</v>
      </c>
      <c r="G904" s="7">
        <v>0</v>
      </c>
      <c r="H904" s="7">
        <v>81211.819999998</v>
      </c>
      <c r="I904" s="7">
        <v>0</v>
      </c>
      <c r="J904" s="8">
        <v>0</v>
      </c>
      <c r="K904" s="9" t="str">
        <v/>
      </c>
    </row>
    <row r="905" spans="1:11">
      <c r="A905" t="str">
        <v/>
      </c>
      <c r="B905" s="6">
        <v>0</v>
      </c>
      <c r="C905" s="7" t="str">
        <v>趣点购浦发</v>
      </c>
      <c r="D905" s="8">
        <v>0</v>
      </c>
      <c r="E905" s="7">
        <v>0</v>
      </c>
      <c r="F905" s="8">
        <v>0</v>
      </c>
      <c r="G905" s="7">
        <v>0</v>
      </c>
      <c r="H905" s="7">
        <v>81211.819999998</v>
      </c>
      <c r="I905" s="7">
        <v>0</v>
      </c>
      <c r="J905" s="8">
        <v>0</v>
      </c>
      <c r="K905" s="9" t="str">
        <v/>
      </c>
    </row>
    <row r="906" spans="1:11">
      <c r="A906" t="str">
        <v/>
      </c>
      <c r="B906" s="6">
        <v>0</v>
      </c>
      <c r="C906" s="7" t="str">
        <v>趣点购浦发</v>
      </c>
      <c r="D906" s="8">
        <v>0</v>
      </c>
      <c r="E906" s="7">
        <v>0</v>
      </c>
      <c r="F906" s="8">
        <v>0</v>
      </c>
      <c r="G906" s="7">
        <v>0</v>
      </c>
      <c r="H906" s="7">
        <v>81211.819999998</v>
      </c>
      <c r="I906" s="7">
        <v>0</v>
      </c>
      <c r="J906" s="8">
        <v>0</v>
      </c>
      <c r="K906" s="9" t="str">
        <v/>
      </c>
    </row>
    <row r="907" spans="1:11">
      <c r="A907" t="str">
        <v/>
      </c>
      <c r="B907" s="6">
        <v>0</v>
      </c>
      <c r="C907" s="7" t="str">
        <v>趣点购浦发</v>
      </c>
      <c r="D907" s="8">
        <v>0</v>
      </c>
      <c r="E907" s="7">
        <v>0</v>
      </c>
      <c r="F907" s="8">
        <v>0</v>
      </c>
      <c r="G907" s="7">
        <v>0</v>
      </c>
      <c r="H907" s="7">
        <v>81211.819999998</v>
      </c>
      <c r="I907" s="7">
        <v>0</v>
      </c>
      <c r="J907" s="8">
        <v>0</v>
      </c>
      <c r="K907" s="9" t="str">
        <v/>
      </c>
    </row>
    <row r="908" spans="1:11">
      <c r="A908" t="str">
        <v/>
      </c>
      <c r="B908" s="6">
        <v>0</v>
      </c>
      <c r="C908" s="7" t="str">
        <v>趣点购浦发</v>
      </c>
      <c r="D908" s="8">
        <v>0</v>
      </c>
      <c r="E908" s="7">
        <v>0</v>
      </c>
      <c r="F908" s="8">
        <v>0</v>
      </c>
      <c r="G908" s="7">
        <v>0</v>
      </c>
      <c r="H908" s="7">
        <v>81211.819999998</v>
      </c>
      <c r="I908" s="7">
        <v>0</v>
      </c>
      <c r="J908" s="8">
        <v>0</v>
      </c>
      <c r="K908" s="9" t="str">
        <v/>
      </c>
    </row>
    <row r="909" spans="1:11">
      <c r="A909" t="str">
        <v/>
      </c>
      <c r="B909" s="6">
        <v>0</v>
      </c>
      <c r="C909" s="7" t="str">
        <v>趣点购浦发</v>
      </c>
      <c r="D909" s="8">
        <v>0</v>
      </c>
      <c r="E909" s="7">
        <v>0</v>
      </c>
      <c r="F909" s="8">
        <v>0</v>
      </c>
      <c r="G909" s="7">
        <v>0</v>
      </c>
      <c r="H909" s="7">
        <v>81211.819999998</v>
      </c>
      <c r="I909" s="7">
        <v>0</v>
      </c>
      <c r="J909" s="8">
        <v>0</v>
      </c>
      <c r="K909" s="9" t="str">
        <v/>
      </c>
    </row>
    <row r="910" spans="1:11">
      <c r="A910" t="str">
        <v/>
      </c>
      <c r="B910" s="6">
        <v>0</v>
      </c>
      <c r="C910" s="7" t="str">
        <v>趣点购浦发</v>
      </c>
      <c r="D910" s="8">
        <v>0</v>
      </c>
      <c r="E910" s="7">
        <v>0</v>
      </c>
      <c r="F910" s="8">
        <v>0</v>
      </c>
      <c r="G910" s="7">
        <v>0</v>
      </c>
      <c r="H910" s="7">
        <v>81211.819999998</v>
      </c>
      <c r="I910" s="7">
        <v>0</v>
      </c>
      <c r="J910" s="8">
        <v>0</v>
      </c>
      <c r="K910" s="9" t="str">
        <v/>
      </c>
    </row>
    <row r="911" spans="1:11">
      <c r="A911" t="str">
        <v/>
      </c>
      <c r="B911" s="6">
        <v>0</v>
      </c>
      <c r="C911" s="7" t="str">
        <v>趣点购浦发</v>
      </c>
      <c r="D911" s="8">
        <v>0</v>
      </c>
      <c r="E911" s="7">
        <v>0</v>
      </c>
      <c r="F911" s="8">
        <v>0</v>
      </c>
      <c r="G911" s="7">
        <v>0</v>
      </c>
      <c r="H911" s="7">
        <v>81211.819999998</v>
      </c>
      <c r="I911" s="7">
        <v>0</v>
      </c>
      <c r="J911" s="8">
        <v>0</v>
      </c>
      <c r="K911" s="9" t="str">
        <v/>
      </c>
    </row>
    <row r="912" spans="1:11">
      <c r="A912" t="str">
        <v/>
      </c>
      <c r="B912" s="6">
        <v>0</v>
      </c>
      <c r="C912" s="7" t="str">
        <v>趣点购浦发</v>
      </c>
      <c r="D912" s="8">
        <v>0</v>
      </c>
      <c r="E912" s="7">
        <v>0</v>
      </c>
      <c r="F912" s="8">
        <v>0</v>
      </c>
      <c r="G912" s="7">
        <v>0</v>
      </c>
      <c r="H912" s="7">
        <v>81211.819999998</v>
      </c>
      <c r="I912" s="7">
        <v>0</v>
      </c>
      <c r="J912" s="8">
        <v>0</v>
      </c>
      <c r="K912" s="9" t="str">
        <v/>
      </c>
    </row>
    <row r="913" spans="1:11">
      <c r="A913" t="str">
        <v/>
      </c>
      <c r="B913" s="6">
        <v>0</v>
      </c>
      <c r="C913" s="7" t="str">
        <v>趣点购浦发</v>
      </c>
      <c r="D913" s="8">
        <v>0</v>
      </c>
      <c r="E913" s="7">
        <v>0</v>
      </c>
      <c r="F913" s="8">
        <v>0</v>
      </c>
      <c r="G913" s="7">
        <v>0</v>
      </c>
      <c r="H913" s="7">
        <v>81211.819999998</v>
      </c>
      <c r="I913" s="7">
        <v>0</v>
      </c>
      <c r="J913" s="8">
        <v>0</v>
      </c>
      <c r="K913" s="9" t="str">
        <v/>
      </c>
    </row>
    <row r="914" spans="1:11">
      <c r="A914" t="str">
        <v/>
      </c>
      <c r="B914" s="6">
        <v>0</v>
      </c>
      <c r="C914" s="7" t="str">
        <v>趣点购浦发</v>
      </c>
      <c r="D914" s="8">
        <v>0</v>
      </c>
      <c r="E914" s="7">
        <v>0</v>
      </c>
      <c r="F914" s="8">
        <v>0</v>
      </c>
      <c r="G914" s="7">
        <v>0</v>
      </c>
      <c r="H914" s="7">
        <v>81211.819999998</v>
      </c>
      <c r="I914" s="7">
        <v>0</v>
      </c>
      <c r="J914" s="8">
        <v>0</v>
      </c>
      <c r="K914" s="9" t="str">
        <v/>
      </c>
    </row>
    <row r="915" spans="1:11">
      <c r="A915" t="str">
        <v/>
      </c>
      <c r="B915" s="6">
        <v>0</v>
      </c>
      <c r="C915" s="7" t="str">
        <v>趣点购浦发</v>
      </c>
      <c r="D915" s="8">
        <v>0</v>
      </c>
      <c r="E915" s="7">
        <v>0</v>
      </c>
      <c r="F915" s="8">
        <v>0</v>
      </c>
      <c r="G915" s="7">
        <v>0</v>
      </c>
      <c r="H915" s="7">
        <v>81211.819999998</v>
      </c>
      <c r="I915" s="7">
        <v>0</v>
      </c>
      <c r="J915" s="8">
        <v>0</v>
      </c>
      <c r="K915" s="9" t="str">
        <v/>
      </c>
    </row>
    <row r="916" spans="1:11">
      <c r="A916" t="str">
        <v/>
      </c>
      <c r="B916" s="6">
        <v>0</v>
      </c>
      <c r="C916" s="7" t="str">
        <v>趣点购浦发</v>
      </c>
      <c r="D916" s="8">
        <v>0</v>
      </c>
      <c r="E916" s="7">
        <v>0</v>
      </c>
      <c r="F916" s="8">
        <v>0</v>
      </c>
      <c r="G916" s="7">
        <v>0</v>
      </c>
      <c r="H916" s="7">
        <v>81211.819999998</v>
      </c>
      <c r="I916" s="7">
        <v>0</v>
      </c>
      <c r="J916" s="8">
        <v>0</v>
      </c>
      <c r="K916" s="9" t="str">
        <v/>
      </c>
    </row>
    <row r="917" spans="1:11">
      <c r="A917" t="str">
        <v/>
      </c>
      <c r="B917" s="6">
        <v>0</v>
      </c>
      <c r="C917" s="7" t="str">
        <v>趣点购浦发</v>
      </c>
      <c r="D917" s="8">
        <v>0</v>
      </c>
      <c r="E917" s="7">
        <v>0</v>
      </c>
      <c r="F917" s="8">
        <v>0</v>
      </c>
      <c r="G917" s="7">
        <v>0</v>
      </c>
      <c r="H917" s="7">
        <v>81211.819999998</v>
      </c>
      <c r="I917" s="7">
        <v>0</v>
      </c>
      <c r="J917" s="8">
        <v>0</v>
      </c>
      <c r="K917" s="9" t="str">
        <v/>
      </c>
    </row>
    <row r="918" spans="1:11">
      <c r="A918" t="str">
        <v/>
      </c>
      <c r="B918" s="6">
        <v>0</v>
      </c>
      <c r="C918" s="7" t="str">
        <v>趣点购浦发</v>
      </c>
      <c r="D918" s="8">
        <v>0</v>
      </c>
      <c r="E918" s="7">
        <v>0</v>
      </c>
      <c r="F918" s="8">
        <v>0</v>
      </c>
      <c r="G918" s="7">
        <v>0</v>
      </c>
      <c r="H918" s="7">
        <v>81211.819999998</v>
      </c>
      <c r="I918" s="7">
        <v>0</v>
      </c>
      <c r="J918" s="8">
        <v>0</v>
      </c>
      <c r="K918" s="9" t="str">
        <v/>
      </c>
    </row>
    <row r="919" spans="1:11">
      <c r="A919" t="str">
        <v/>
      </c>
      <c r="B919" s="6">
        <v>0</v>
      </c>
      <c r="C919" s="7" t="str">
        <v>趣点购浦发</v>
      </c>
      <c r="D919" s="8">
        <v>0</v>
      </c>
      <c r="E919" s="7">
        <v>0</v>
      </c>
      <c r="F919" s="8">
        <v>0</v>
      </c>
      <c r="G919" s="7">
        <v>0</v>
      </c>
      <c r="H919" s="7">
        <v>81211.819999998</v>
      </c>
      <c r="I919" s="7">
        <v>0</v>
      </c>
      <c r="J919" s="8">
        <v>0</v>
      </c>
      <c r="K919" s="9" t="str">
        <v/>
      </c>
    </row>
    <row r="920" spans="1:11">
      <c r="A920" t="str">
        <v/>
      </c>
      <c r="B920" s="6">
        <v>0</v>
      </c>
      <c r="C920" s="7" t="str">
        <v>趣点购浦发</v>
      </c>
      <c r="D920" s="8">
        <v>0</v>
      </c>
      <c r="E920" s="7">
        <v>0</v>
      </c>
      <c r="F920" s="8">
        <v>0</v>
      </c>
      <c r="G920" s="7">
        <v>0</v>
      </c>
      <c r="H920" s="7">
        <v>81211.819999998</v>
      </c>
      <c r="I920" s="7">
        <v>0</v>
      </c>
      <c r="J920" s="8">
        <v>0</v>
      </c>
      <c r="K920" s="9" t="str">
        <v/>
      </c>
    </row>
    <row r="921" spans="1:11">
      <c r="A921" t="str">
        <v/>
      </c>
      <c r="B921" s="6">
        <v>0</v>
      </c>
      <c r="C921" s="7" t="str">
        <v>趣点购浦发</v>
      </c>
      <c r="D921" s="8">
        <v>0</v>
      </c>
      <c r="E921" s="7">
        <v>0</v>
      </c>
      <c r="F921" s="8">
        <v>0</v>
      </c>
      <c r="G921" s="7">
        <v>0</v>
      </c>
      <c r="H921" s="7">
        <v>81211.819999998</v>
      </c>
      <c r="I921" s="7">
        <v>0</v>
      </c>
      <c r="J921" s="8">
        <v>0</v>
      </c>
      <c r="K921" s="9" t="str">
        <v/>
      </c>
    </row>
    <row r="922" spans="1:11">
      <c r="A922" t="str">
        <v/>
      </c>
      <c r="B922" s="6">
        <v>0</v>
      </c>
      <c r="C922" s="7" t="str">
        <v>趣点购浦发</v>
      </c>
      <c r="D922" s="8">
        <v>0</v>
      </c>
      <c r="E922" s="7">
        <v>0</v>
      </c>
      <c r="F922" s="8">
        <v>0</v>
      </c>
      <c r="G922" s="7">
        <v>0</v>
      </c>
      <c r="H922" s="7">
        <v>81211.819999998</v>
      </c>
      <c r="I922" s="7">
        <v>0</v>
      </c>
      <c r="J922" s="8">
        <v>0</v>
      </c>
      <c r="K922" s="9" t="str">
        <v/>
      </c>
    </row>
    <row r="923" spans="1:11">
      <c r="A923" t="str">
        <v/>
      </c>
      <c r="B923" s="6">
        <v>0</v>
      </c>
      <c r="C923" s="7" t="str">
        <v>趣点购浦发</v>
      </c>
      <c r="D923" s="8">
        <v>0</v>
      </c>
      <c r="E923" s="7">
        <v>0</v>
      </c>
      <c r="F923" s="8">
        <v>0</v>
      </c>
      <c r="G923" s="7">
        <v>0</v>
      </c>
      <c r="H923" s="7">
        <v>81211.819999998</v>
      </c>
      <c r="I923" s="7">
        <v>0</v>
      </c>
      <c r="J923" s="8">
        <v>0</v>
      </c>
      <c r="K923" s="9" t="str">
        <v/>
      </c>
    </row>
    <row r="924" spans="1:11">
      <c r="A924" t="str">
        <v/>
      </c>
      <c r="B924" s="6">
        <v>0</v>
      </c>
      <c r="C924" s="7" t="str">
        <v>趣点购浦发</v>
      </c>
      <c r="D924" s="8">
        <v>0</v>
      </c>
      <c r="E924" s="7">
        <v>0</v>
      </c>
      <c r="F924" s="8">
        <v>0</v>
      </c>
      <c r="G924" s="7">
        <v>0</v>
      </c>
      <c r="H924" s="7">
        <v>81211.819999998</v>
      </c>
      <c r="I924" s="7">
        <v>0</v>
      </c>
      <c r="J924" s="8">
        <v>0</v>
      </c>
      <c r="K924" s="9" t="str">
        <v/>
      </c>
    </row>
    <row r="925" spans="1:11">
      <c r="A925" t="str">
        <v/>
      </c>
      <c r="B925" s="6">
        <v>0</v>
      </c>
      <c r="C925" s="7" t="str">
        <v>趣点购浦发</v>
      </c>
      <c r="D925" s="8">
        <v>0</v>
      </c>
      <c r="E925" s="7">
        <v>0</v>
      </c>
      <c r="F925" s="8">
        <v>0</v>
      </c>
      <c r="G925" s="7">
        <v>0</v>
      </c>
      <c r="H925" s="7">
        <v>81211.819999998</v>
      </c>
      <c r="I925" s="7">
        <v>0</v>
      </c>
      <c r="J925" s="8">
        <v>0</v>
      </c>
      <c r="K925" s="9" t="str">
        <v/>
      </c>
    </row>
    <row r="926" spans="1:11">
      <c r="A926" t="str">
        <v/>
      </c>
      <c r="B926" s="6">
        <v>0</v>
      </c>
      <c r="C926" s="7" t="str">
        <v>趣点购浦发</v>
      </c>
      <c r="D926" s="8">
        <v>0</v>
      </c>
      <c r="E926" s="7">
        <v>0</v>
      </c>
      <c r="F926" s="8">
        <v>0</v>
      </c>
      <c r="G926" s="7">
        <v>0</v>
      </c>
      <c r="H926" s="7">
        <v>81211.819999998</v>
      </c>
      <c r="I926" s="7">
        <v>0</v>
      </c>
      <c r="J926" s="8">
        <v>0</v>
      </c>
      <c r="K926" s="9" t="str">
        <v/>
      </c>
    </row>
    <row r="927" spans="1:11">
      <c r="A927" t="str">
        <v/>
      </c>
      <c r="B927" s="6">
        <v>0</v>
      </c>
      <c r="C927" s="7" t="str">
        <v>趣点购浦发</v>
      </c>
      <c r="D927" s="8">
        <v>0</v>
      </c>
      <c r="E927" s="7">
        <v>0</v>
      </c>
      <c r="F927" s="8">
        <v>0</v>
      </c>
      <c r="G927" s="7">
        <v>0</v>
      </c>
      <c r="H927" s="7">
        <v>81211.819999998</v>
      </c>
      <c r="I927" s="7">
        <v>0</v>
      </c>
      <c r="J927" s="8">
        <v>0</v>
      </c>
      <c r="K927" s="9" t="str">
        <v/>
      </c>
    </row>
    <row r="928" spans="1:11">
      <c r="A928" t="str">
        <v/>
      </c>
      <c r="B928" s="6">
        <v>0</v>
      </c>
      <c r="C928" s="7" t="str">
        <v>趣点购浦发</v>
      </c>
      <c r="D928" s="8">
        <v>0</v>
      </c>
      <c r="E928" s="7">
        <v>0</v>
      </c>
      <c r="F928" s="8">
        <v>0</v>
      </c>
      <c r="G928" s="7">
        <v>0</v>
      </c>
      <c r="H928" s="7">
        <v>81211.819999998</v>
      </c>
      <c r="I928" s="7">
        <v>0</v>
      </c>
      <c r="J928" s="8">
        <v>0</v>
      </c>
      <c r="K928" s="9" t="str">
        <v/>
      </c>
    </row>
    <row r="929" spans="1:11">
      <c r="A929" t="str">
        <v/>
      </c>
      <c r="B929" s="6">
        <v>0</v>
      </c>
      <c r="C929" s="7" t="str">
        <v>趣点购浦发</v>
      </c>
      <c r="D929" s="8">
        <v>0</v>
      </c>
      <c r="E929" s="7">
        <v>0</v>
      </c>
      <c r="F929" s="8">
        <v>0</v>
      </c>
      <c r="G929" s="7">
        <v>0</v>
      </c>
      <c r="H929" s="7">
        <v>81211.819999998</v>
      </c>
      <c r="I929" s="7">
        <v>0</v>
      </c>
      <c r="J929" s="8">
        <v>0</v>
      </c>
      <c r="K929" s="9" t="str">
        <v/>
      </c>
    </row>
    <row r="930" spans="1:11">
      <c r="A930" t="str">
        <v/>
      </c>
      <c r="B930" s="6">
        <v>0</v>
      </c>
      <c r="C930" s="7" t="str">
        <v>趣点购浦发</v>
      </c>
      <c r="D930" s="8">
        <v>0</v>
      </c>
      <c r="E930" s="7">
        <v>0</v>
      </c>
      <c r="F930" s="8">
        <v>0</v>
      </c>
      <c r="G930" s="7">
        <v>0</v>
      </c>
      <c r="H930" s="7">
        <v>81211.819999998</v>
      </c>
      <c r="I930" s="7">
        <v>0</v>
      </c>
      <c r="J930" s="8">
        <v>0</v>
      </c>
      <c r="K930" s="9" t="str">
        <v/>
      </c>
    </row>
    <row r="931" spans="1:11">
      <c r="A931" t="str">
        <v/>
      </c>
      <c r="B931" s="6">
        <v>0</v>
      </c>
      <c r="C931" s="7" t="str">
        <v>趣点购浦发</v>
      </c>
      <c r="D931" s="8">
        <v>0</v>
      </c>
      <c r="E931" s="7">
        <v>0</v>
      </c>
      <c r="F931" s="8">
        <v>0</v>
      </c>
      <c r="G931" s="7">
        <v>0</v>
      </c>
      <c r="H931" s="7">
        <v>81211.819999998</v>
      </c>
      <c r="I931" s="7">
        <v>0</v>
      </c>
      <c r="J931" s="8">
        <v>0</v>
      </c>
      <c r="K931" s="9" t="str">
        <v/>
      </c>
    </row>
    <row r="932" spans="1:11">
      <c r="A932" t="str">
        <v/>
      </c>
      <c r="B932" s="6">
        <v>0</v>
      </c>
      <c r="C932" s="7" t="str">
        <v>趣点购浦发</v>
      </c>
      <c r="D932" s="8">
        <v>0</v>
      </c>
      <c r="E932" s="7">
        <v>0</v>
      </c>
      <c r="F932" s="8">
        <v>0</v>
      </c>
      <c r="G932" s="7">
        <v>0</v>
      </c>
      <c r="H932" s="7">
        <v>81211.819999998</v>
      </c>
      <c r="I932" s="7">
        <v>0</v>
      </c>
      <c r="J932" s="8">
        <v>0</v>
      </c>
      <c r="K932" s="9" t="str">
        <v/>
      </c>
    </row>
    <row r="933" spans="1:11">
      <c r="A933" t="str">
        <v/>
      </c>
      <c r="B933" s="6">
        <v>0</v>
      </c>
      <c r="C933" s="7" t="str">
        <v>趣点购浦发</v>
      </c>
      <c r="D933" s="8">
        <v>0</v>
      </c>
      <c r="E933" s="7">
        <v>0</v>
      </c>
      <c r="F933" s="8">
        <v>0</v>
      </c>
      <c r="G933" s="7">
        <v>0</v>
      </c>
      <c r="H933" s="7">
        <v>81211.819999998</v>
      </c>
      <c r="I933" s="7">
        <v>0</v>
      </c>
      <c r="J933" s="8">
        <v>0</v>
      </c>
      <c r="K933" s="9" t="str">
        <v/>
      </c>
    </row>
    <row r="934" spans="1:11">
      <c r="A934" t="str">
        <v/>
      </c>
      <c r="B934" s="6">
        <v>0</v>
      </c>
      <c r="C934" s="7" t="str">
        <v>趣点购浦发</v>
      </c>
      <c r="D934" s="8">
        <v>0</v>
      </c>
      <c r="E934" s="7">
        <v>0</v>
      </c>
      <c r="F934" s="8">
        <v>0</v>
      </c>
      <c r="G934" s="7">
        <v>0</v>
      </c>
      <c r="H934" s="7">
        <v>81211.819999998</v>
      </c>
      <c r="I934" s="7">
        <v>0</v>
      </c>
      <c r="J934" s="8">
        <v>0</v>
      </c>
      <c r="K934" s="9" t="str">
        <v/>
      </c>
    </row>
    <row r="935" spans="1:11">
      <c r="A935" t="str">
        <v/>
      </c>
      <c r="B935" s="6">
        <v>0</v>
      </c>
      <c r="C935" s="7" t="str">
        <v>趣点购浦发</v>
      </c>
      <c r="D935" s="8">
        <v>0</v>
      </c>
      <c r="E935" s="7">
        <v>0</v>
      </c>
      <c r="F935" s="8">
        <v>0</v>
      </c>
      <c r="G935" s="7">
        <v>0</v>
      </c>
      <c r="H935" s="7">
        <v>81211.819999998</v>
      </c>
      <c r="I935" s="7">
        <v>0</v>
      </c>
      <c r="J935" s="8">
        <v>0</v>
      </c>
      <c r="K935" s="9" t="str">
        <v/>
      </c>
    </row>
    <row r="936" spans="1:11">
      <c r="A936" t="str">
        <v/>
      </c>
      <c r="B936" s="6">
        <v>0</v>
      </c>
      <c r="C936" s="7" t="str">
        <v>趣点购浦发</v>
      </c>
      <c r="D936" s="8">
        <v>0</v>
      </c>
      <c r="E936" s="7">
        <v>0</v>
      </c>
      <c r="F936" s="8">
        <v>0</v>
      </c>
      <c r="G936" s="7">
        <v>0</v>
      </c>
      <c r="H936" s="7">
        <v>81211.819999998</v>
      </c>
      <c r="I936" s="7">
        <v>0</v>
      </c>
      <c r="J936" s="8">
        <v>0</v>
      </c>
      <c r="K936" s="9" t="str">
        <v/>
      </c>
    </row>
    <row r="937" spans="1:11">
      <c r="A937" t="str">
        <v/>
      </c>
      <c r="B937" s="6">
        <v>0</v>
      </c>
      <c r="C937" s="7" t="str">
        <v>趣点购浦发</v>
      </c>
      <c r="D937" s="8">
        <v>0</v>
      </c>
      <c r="E937" s="7">
        <v>0</v>
      </c>
      <c r="F937" s="8">
        <v>0</v>
      </c>
      <c r="G937" s="7">
        <v>0</v>
      </c>
      <c r="H937" s="7">
        <v>81211.819999998</v>
      </c>
      <c r="I937" s="7">
        <v>0</v>
      </c>
      <c r="J937" s="8">
        <v>0</v>
      </c>
      <c r="K937" s="9" t="str">
        <v/>
      </c>
    </row>
    <row r="938" spans="1:11">
      <c r="A938" t="str">
        <v/>
      </c>
      <c r="B938" s="6">
        <v>0</v>
      </c>
      <c r="C938" s="7" t="str">
        <v>趣点购浦发</v>
      </c>
      <c r="D938" s="8">
        <v>0</v>
      </c>
      <c r="E938" s="7">
        <v>0</v>
      </c>
      <c r="F938" s="8">
        <v>0</v>
      </c>
      <c r="G938" s="7">
        <v>0</v>
      </c>
      <c r="H938" s="7">
        <v>81211.819999998</v>
      </c>
      <c r="I938" s="7">
        <v>0</v>
      </c>
      <c r="J938" s="8">
        <v>0</v>
      </c>
      <c r="K938" s="9" t="str">
        <v/>
      </c>
    </row>
    <row r="939" spans="1:11">
      <c r="A939" t="str">
        <v/>
      </c>
      <c r="B939" s="6">
        <v>0</v>
      </c>
      <c r="C939" s="7" t="str">
        <v>趣点购浦发</v>
      </c>
      <c r="D939" s="8">
        <v>0</v>
      </c>
      <c r="E939" s="7">
        <v>0</v>
      </c>
      <c r="F939" s="8">
        <v>0</v>
      </c>
      <c r="G939" s="7">
        <v>0</v>
      </c>
      <c r="H939" s="7">
        <v>81211.819999998</v>
      </c>
      <c r="I939" s="7">
        <v>0</v>
      </c>
      <c r="J939" s="8">
        <v>0</v>
      </c>
      <c r="K939" s="9" t="str">
        <v/>
      </c>
    </row>
    <row r="940" spans="1:11">
      <c r="A940" t="str">
        <v/>
      </c>
      <c r="B940" s="6">
        <v>0</v>
      </c>
      <c r="C940" s="7" t="str">
        <v>趣点购浦发</v>
      </c>
      <c r="D940" s="8">
        <v>0</v>
      </c>
      <c r="E940" s="7">
        <v>0</v>
      </c>
      <c r="F940" s="8">
        <v>0</v>
      </c>
      <c r="G940" s="7">
        <v>0</v>
      </c>
      <c r="H940" s="7">
        <v>81211.819999998</v>
      </c>
      <c r="I940" s="7">
        <v>0</v>
      </c>
      <c r="J940" s="8">
        <v>0</v>
      </c>
      <c r="K940" s="9" t="str">
        <v/>
      </c>
    </row>
    <row r="941" spans="1:11">
      <c r="A941" t="str">
        <v/>
      </c>
      <c r="B941" s="6">
        <v>0</v>
      </c>
      <c r="C941" s="7" t="str">
        <v>趣点购浦发</v>
      </c>
      <c r="D941" s="8">
        <v>0</v>
      </c>
      <c r="E941" s="7">
        <v>0</v>
      </c>
      <c r="F941" s="8">
        <v>0</v>
      </c>
      <c r="G941" s="7">
        <v>0</v>
      </c>
      <c r="H941" s="7">
        <v>81211.819999998</v>
      </c>
      <c r="I941" s="7">
        <v>0</v>
      </c>
      <c r="J941" s="8">
        <v>0</v>
      </c>
      <c r="K941" s="9" t="str">
        <v/>
      </c>
    </row>
    <row r="942" spans="1:11">
      <c r="A942" t="str">
        <v/>
      </c>
      <c r="B942" s="6">
        <v>0</v>
      </c>
      <c r="C942" s="7" t="str">
        <v>趣点购浦发</v>
      </c>
      <c r="D942" s="8">
        <v>0</v>
      </c>
      <c r="E942" s="7">
        <v>0</v>
      </c>
      <c r="F942" s="8">
        <v>0</v>
      </c>
      <c r="G942" s="7">
        <v>0</v>
      </c>
      <c r="H942" s="7">
        <v>81211.819999998</v>
      </c>
      <c r="I942" s="7">
        <v>0</v>
      </c>
      <c r="J942" s="8">
        <v>0</v>
      </c>
      <c r="K942" s="9" t="str">
        <v/>
      </c>
    </row>
    <row r="943" spans="1:11">
      <c r="A943" t="str">
        <v/>
      </c>
      <c r="B943" s="6">
        <v>0</v>
      </c>
      <c r="C943" s="7" t="str">
        <v>趣点购浦发</v>
      </c>
      <c r="D943" s="8">
        <v>0</v>
      </c>
      <c r="E943" s="7">
        <v>0</v>
      </c>
      <c r="F943" s="8">
        <v>0</v>
      </c>
      <c r="G943" s="7">
        <v>0</v>
      </c>
      <c r="H943" s="7">
        <v>81211.819999998</v>
      </c>
      <c r="I943" s="7">
        <v>0</v>
      </c>
      <c r="J943" s="8">
        <v>0</v>
      </c>
      <c r="K943" s="9" t="str">
        <v/>
      </c>
    </row>
    <row r="944" spans="1:11">
      <c r="A944" t="str">
        <v/>
      </c>
      <c r="B944" s="6">
        <v>0</v>
      </c>
      <c r="C944" s="7" t="str">
        <v>趣点购浦发</v>
      </c>
      <c r="D944" s="8">
        <v>0</v>
      </c>
      <c r="E944" s="7">
        <v>0</v>
      </c>
      <c r="F944" s="8">
        <v>0</v>
      </c>
      <c r="G944" s="7">
        <v>0</v>
      </c>
      <c r="H944" s="7">
        <v>81211.819999998</v>
      </c>
      <c r="I944" s="7">
        <v>0</v>
      </c>
      <c r="J944" s="8">
        <v>0</v>
      </c>
      <c r="K944" s="9" t="str">
        <v/>
      </c>
    </row>
    <row r="945" spans="1:11">
      <c r="A945" t="str">
        <v/>
      </c>
      <c r="B945" s="6">
        <v>0</v>
      </c>
      <c r="C945" s="7" t="str">
        <v>趣点购浦发</v>
      </c>
      <c r="D945" s="8">
        <v>0</v>
      </c>
      <c r="E945" s="7">
        <v>0</v>
      </c>
      <c r="F945" s="8">
        <v>0</v>
      </c>
      <c r="G945" s="7">
        <v>0</v>
      </c>
      <c r="H945" s="7">
        <v>81211.819999998</v>
      </c>
      <c r="I945" s="7">
        <v>0</v>
      </c>
      <c r="J945" s="8">
        <v>0</v>
      </c>
      <c r="K945" s="9" t="str">
        <v/>
      </c>
    </row>
    <row r="946" spans="1:11">
      <c r="A946" t="str">
        <v/>
      </c>
      <c r="B946" s="6">
        <v>0</v>
      </c>
      <c r="C946" s="7" t="str">
        <v>趣点购浦发</v>
      </c>
      <c r="D946" s="8">
        <v>0</v>
      </c>
      <c r="E946" s="7">
        <v>0</v>
      </c>
      <c r="F946" s="8">
        <v>0</v>
      </c>
      <c r="G946" s="7">
        <v>0</v>
      </c>
      <c r="H946" s="7">
        <v>81211.819999998</v>
      </c>
      <c r="I946" s="7">
        <v>0</v>
      </c>
      <c r="J946" s="8">
        <v>0</v>
      </c>
      <c r="K946" s="9" t="str">
        <v/>
      </c>
    </row>
    <row r="947" spans="1:11">
      <c r="A947" t="str">
        <v/>
      </c>
      <c r="B947" s="6">
        <v>0</v>
      </c>
      <c r="C947" s="7" t="str">
        <v>趣点购浦发</v>
      </c>
      <c r="D947" s="8">
        <v>0</v>
      </c>
      <c r="E947" s="7">
        <v>0</v>
      </c>
      <c r="F947" s="8">
        <v>0</v>
      </c>
      <c r="G947" s="7">
        <v>0</v>
      </c>
      <c r="H947" s="7">
        <v>81211.819999998</v>
      </c>
      <c r="I947" s="7">
        <v>0</v>
      </c>
      <c r="J947" s="8">
        <v>0</v>
      </c>
      <c r="K947" s="9" t="str">
        <v/>
      </c>
    </row>
    <row r="948" spans="1:11">
      <c r="A948" t="str">
        <v/>
      </c>
      <c r="B948" s="6">
        <v>0</v>
      </c>
      <c r="C948" s="7" t="str">
        <v>趣点购浦发</v>
      </c>
      <c r="D948" s="8">
        <v>0</v>
      </c>
      <c r="E948" s="7">
        <v>0</v>
      </c>
      <c r="F948" s="8">
        <v>0</v>
      </c>
      <c r="G948" s="7">
        <v>0</v>
      </c>
      <c r="H948" s="7">
        <v>81211.819999998</v>
      </c>
      <c r="I948" s="7">
        <v>0</v>
      </c>
      <c r="J948" s="8">
        <v>0</v>
      </c>
      <c r="K948" s="9" t="str">
        <v/>
      </c>
    </row>
    <row r="949" spans="1:11">
      <c r="A949" t="str">
        <v/>
      </c>
      <c r="B949" s="6">
        <v>0</v>
      </c>
      <c r="C949" s="7" t="str">
        <v>趣点购浦发</v>
      </c>
      <c r="D949" s="8">
        <v>0</v>
      </c>
      <c r="E949" s="7">
        <v>0</v>
      </c>
      <c r="F949" s="8">
        <v>0</v>
      </c>
      <c r="G949" s="7">
        <v>0</v>
      </c>
      <c r="H949" s="7">
        <v>81211.819999998</v>
      </c>
      <c r="I949" s="7">
        <v>0</v>
      </c>
      <c r="J949" s="8">
        <v>0</v>
      </c>
      <c r="K949" s="9" t="str">
        <v/>
      </c>
    </row>
    <row r="950" spans="1:11">
      <c r="A950" t="str">
        <v/>
      </c>
      <c r="B950" s="6">
        <v>0</v>
      </c>
      <c r="C950" s="7" t="str">
        <v>趣点购浦发</v>
      </c>
      <c r="D950" s="8">
        <v>0</v>
      </c>
      <c r="E950" s="7">
        <v>0</v>
      </c>
      <c r="F950" s="8">
        <v>0</v>
      </c>
      <c r="G950" s="7">
        <v>0</v>
      </c>
      <c r="H950" s="7">
        <v>81211.819999998</v>
      </c>
      <c r="I950" s="7">
        <v>0</v>
      </c>
      <c r="J950" s="8">
        <v>0</v>
      </c>
      <c r="K950" s="9" t="str">
        <v/>
      </c>
    </row>
    <row r="951" spans="1:11">
      <c r="A951" t="str">
        <v/>
      </c>
      <c r="B951" s="6">
        <v>0</v>
      </c>
      <c r="C951" s="7" t="str">
        <v>趣点购浦发</v>
      </c>
      <c r="D951" s="8">
        <v>0</v>
      </c>
      <c r="E951" s="7">
        <v>0</v>
      </c>
      <c r="F951" s="8">
        <v>0</v>
      </c>
      <c r="G951" s="7">
        <v>0</v>
      </c>
      <c r="H951" s="7">
        <v>81211.819999998</v>
      </c>
      <c r="I951" s="7">
        <v>0</v>
      </c>
      <c r="J951" s="8">
        <v>0</v>
      </c>
      <c r="K951" s="9" t="str">
        <v/>
      </c>
    </row>
    <row r="952" spans="1:11">
      <c r="A952" t="str">
        <v/>
      </c>
      <c r="B952" s="6">
        <v>0</v>
      </c>
      <c r="C952" s="7" t="str">
        <v>趣点购浦发</v>
      </c>
      <c r="D952" s="8">
        <v>0</v>
      </c>
      <c r="E952" s="7">
        <v>0</v>
      </c>
      <c r="F952" s="8">
        <v>0</v>
      </c>
      <c r="G952" s="7">
        <v>0</v>
      </c>
      <c r="H952" s="7">
        <v>81211.819999998</v>
      </c>
      <c r="I952" s="7">
        <v>0</v>
      </c>
      <c r="J952" s="8">
        <v>0</v>
      </c>
      <c r="K952" s="9" t="str">
        <v/>
      </c>
    </row>
    <row r="953" spans="1:11">
      <c r="A953" t="str">
        <v/>
      </c>
      <c r="B953" s="6">
        <v>0</v>
      </c>
      <c r="C953" s="7" t="str">
        <v>趣点购浦发</v>
      </c>
      <c r="D953" s="8">
        <v>0</v>
      </c>
      <c r="E953" s="7">
        <v>0</v>
      </c>
      <c r="F953" s="8">
        <v>0</v>
      </c>
      <c r="G953" s="7">
        <v>0</v>
      </c>
      <c r="H953" s="7">
        <v>81211.819999998</v>
      </c>
      <c r="I953" s="7">
        <v>0</v>
      </c>
      <c r="J953" s="8">
        <v>0</v>
      </c>
      <c r="K953" s="9" t="str">
        <v/>
      </c>
    </row>
    <row r="954" spans="1:11">
      <c r="A954" t="str">
        <v/>
      </c>
      <c r="B954" s="6">
        <v>0</v>
      </c>
      <c r="C954" s="7" t="str">
        <v>趣点购浦发</v>
      </c>
      <c r="D954" s="8">
        <v>0</v>
      </c>
      <c r="E954" s="7">
        <v>0</v>
      </c>
      <c r="F954" s="8">
        <v>0</v>
      </c>
      <c r="G954" s="7">
        <v>0</v>
      </c>
      <c r="H954" s="7">
        <v>81211.819999998</v>
      </c>
      <c r="I954" s="7">
        <v>0</v>
      </c>
      <c r="J954" s="8">
        <v>0</v>
      </c>
      <c r="K954" s="9" t="str">
        <v/>
      </c>
    </row>
    <row r="955" spans="1:11">
      <c r="A955" t="str">
        <v/>
      </c>
      <c r="B955" s="6">
        <v>0</v>
      </c>
      <c r="C955" s="7" t="str">
        <v>趣点购浦发</v>
      </c>
      <c r="D955" s="8">
        <v>0</v>
      </c>
      <c r="E955" s="7">
        <v>0</v>
      </c>
      <c r="F955" s="8">
        <v>0</v>
      </c>
      <c r="G955" s="7">
        <v>0</v>
      </c>
      <c r="H955" s="7">
        <v>81211.819999998</v>
      </c>
      <c r="I955" s="7">
        <v>0</v>
      </c>
      <c r="J955" s="8">
        <v>0</v>
      </c>
      <c r="K955" s="9" t="str">
        <v/>
      </c>
    </row>
    <row r="956" spans="1:11">
      <c r="A956" t="str">
        <v/>
      </c>
      <c r="B956" s="6">
        <v>0</v>
      </c>
      <c r="C956" s="7" t="str">
        <v>趣点购浦发</v>
      </c>
      <c r="D956" s="8">
        <v>0</v>
      </c>
      <c r="E956" s="7">
        <v>0</v>
      </c>
      <c r="F956" s="8">
        <v>0</v>
      </c>
      <c r="G956" s="7">
        <v>0</v>
      </c>
      <c r="H956" s="7">
        <v>81211.819999998</v>
      </c>
      <c r="I956" s="7">
        <v>0</v>
      </c>
      <c r="J956" s="8">
        <v>0</v>
      </c>
      <c r="K956" s="9" t="str">
        <v/>
      </c>
    </row>
    <row r="957" spans="1:11">
      <c r="A957" t="str">
        <v/>
      </c>
      <c r="B957" s="6">
        <v>0</v>
      </c>
      <c r="C957" s="7" t="str">
        <v>趣点购浦发</v>
      </c>
      <c r="D957" s="8">
        <v>0</v>
      </c>
      <c r="E957" s="7">
        <v>0</v>
      </c>
      <c r="F957" s="8">
        <v>0</v>
      </c>
      <c r="G957" s="7">
        <v>0</v>
      </c>
      <c r="H957" s="7">
        <v>81211.819999998</v>
      </c>
      <c r="I957" s="7">
        <v>0</v>
      </c>
      <c r="J957" s="8">
        <v>0</v>
      </c>
      <c r="K957" s="9" t="str">
        <v/>
      </c>
    </row>
    <row r="958" spans="1:11">
      <c r="A958" t="str">
        <v/>
      </c>
      <c r="B958" s="6">
        <v>0</v>
      </c>
      <c r="C958" s="7" t="str">
        <v>趣点购浦发</v>
      </c>
      <c r="D958" s="8">
        <v>0</v>
      </c>
      <c r="E958" s="7">
        <v>0</v>
      </c>
      <c r="F958" s="8">
        <v>0</v>
      </c>
      <c r="G958" s="7">
        <v>0</v>
      </c>
      <c r="H958" s="7">
        <v>81211.819999998</v>
      </c>
      <c r="I958" s="7">
        <v>0</v>
      </c>
      <c r="J958" s="8">
        <v>0</v>
      </c>
      <c r="K958" s="9" t="str">
        <v/>
      </c>
    </row>
    <row r="959" spans="1:11">
      <c r="A959" t="str">
        <v/>
      </c>
      <c r="B959" s="6">
        <v>0</v>
      </c>
      <c r="C959" s="7" t="str">
        <v>趣点购浦发</v>
      </c>
      <c r="D959" s="8">
        <v>0</v>
      </c>
      <c r="E959" s="7">
        <v>0</v>
      </c>
      <c r="F959" s="8">
        <v>0</v>
      </c>
      <c r="G959" s="7">
        <v>0</v>
      </c>
      <c r="H959" s="7">
        <v>81211.819999998</v>
      </c>
      <c r="I959" s="7">
        <v>0</v>
      </c>
      <c r="J959" s="8">
        <v>0</v>
      </c>
      <c r="K959" s="9" t="str">
        <v/>
      </c>
    </row>
    <row r="960" spans="1:11">
      <c r="A960" t="str">
        <v/>
      </c>
      <c r="B960" s="6">
        <v>0</v>
      </c>
      <c r="C960" s="7" t="str">
        <v>趣点购浦发</v>
      </c>
      <c r="D960" s="8">
        <v>0</v>
      </c>
      <c r="E960" s="7">
        <v>0</v>
      </c>
      <c r="F960" s="8">
        <v>0</v>
      </c>
      <c r="G960" s="7">
        <v>0</v>
      </c>
      <c r="H960" s="7">
        <v>81211.819999998</v>
      </c>
      <c r="I960" s="7">
        <v>0</v>
      </c>
      <c r="J960" s="8">
        <v>0</v>
      </c>
      <c r="K960" s="9" t="str">
        <v/>
      </c>
    </row>
    <row r="961" spans="1:11">
      <c r="A961" t="str">
        <v/>
      </c>
      <c r="B961" s="6">
        <v>0</v>
      </c>
      <c r="C961" s="7" t="str">
        <v>趣点购浦发</v>
      </c>
      <c r="D961" s="8">
        <v>0</v>
      </c>
      <c r="E961" s="7">
        <v>0</v>
      </c>
      <c r="F961" s="8">
        <v>0</v>
      </c>
      <c r="G961" s="7">
        <v>0</v>
      </c>
      <c r="H961" s="7">
        <v>81211.819999998</v>
      </c>
      <c r="I961" s="7">
        <v>0</v>
      </c>
      <c r="J961" s="8">
        <v>0</v>
      </c>
      <c r="K961" s="9" t="str">
        <v/>
      </c>
    </row>
    <row r="962" spans="1:11">
      <c r="A962" t="str">
        <v/>
      </c>
      <c r="B962" s="6">
        <v>0</v>
      </c>
      <c r="C962" s="7" t="str">
        <v>趣点购浦发</v>
      </c>
      <c r="D962" s="8">
        <v>0</v>
      </c>
      <c r="E962" s="7">
        <v>0</v>
      </c>
      <c r="F962" s="8">
        <v>0</v>
      </c>
      <c r="G962" s="7">
        <v>0</v>
      </c>
      <c r="H962" s="7">
        <v>81211.819999998</v>
      </c>
      <c r="I962" s="7">
        <v>0</v>
      </c>
      <c r="J962" s="8">
        <v>0</v>
      </c>
      <c r="K962" s="9" t="str">
        <v/>
      </c>
    </row>
    <row r="963" spans="1:11">
      <c r="A963" t="str">
        <v/>
      </c>
      <c r="B963" s="6">
        <v>0</v>
      </c>
      <c r="C963" s="7" t="str">
        <v>趣点购浦发</v>
      </c>
      <c r="D963" s="8">
        <v>0</v>
      </c>
      <c r="E963" s="7">
        <v>0</v>
      </c>
      <c r="F963" s="8">
        <v>0</v>
      </c>
      <c r="G963" s="7">
        <v>0</v>
      </c>
      <c r="H963" s="7">
        <v>81211.819999998</v>
      </c>
      <c r="I963" s="7">
        <v>0</v>
      </c>
      <c r="J963" s="8">
        <v>0</v>
      </c>
      <c r="K963" s="9" t="str">
        <v/>
      </c>
    </row>
    <row r="964" spans="1:11">
      <c r="A964" t="str">
        <v/>
      </c>
      <c r="B964" s="6">
        <v>0</v>
      </c>
      <c r="C964" s="7" t="str">
        <v>趣点购浦发</v>
      </c>
      <c r="D964" s="8">
        <v>0</v>
      </c>
      <c r="E964" s="7">
        <v>0</v>
      </c>
      <c r="F964" s="8">
        <v>0</v>
      </c>
      <c r="G964" s="7">
        <v>0</v>
      </c>
      <c r="H964" s="7">
        <v>81211.819999998</v>
      </c>
      <c r="I964" s="7">
        <v>0</v>
      </c>
      <c r="J964" s="8">
        <v>0</v>
      </c>
      <c r="K964" s="9" t="str">
        <v/>
      </c>
    </row>
    <row r="965" spans="1:11">
      <c r="A965" t="str">
        <v/>
      </c>
      <c r="B965" s="6">
        <v>0</v>
      </c>
      <c r="C965" s="7" t="str">
        <v>趣点购浦发</v>
      </c>
      <c r="D965" s="8">
        <v>0</v>
      </c>
      <c r="E965" s="7">
        <v>0</v>
      </c>
      <c r="F965" s="8">
        <v>0</v>
      </c>
      <c r="G965" s="7">
        <v>0</v>
      </c>
      <c r="H965" s="7">
        <v>81211.819999998</v>
      </c>
      <c r="I965" s="7">
        <v>0</v>
      </c>
      <c r="J965" s="8">
        <v>0</v>
      </c>
      <c r="K965" s="9" t="str">
        <v/>
      </c>
    </row>
    <row r="966" spans="1:11">
      <c r="A966" t="str">
        <v/>
      </c>
      <c r="B966" s="6">
        <v>0</v>
      </c>
      <c r="C966" s="7" t="str">
        <v>趣点购浦发</v>
      </c>
      <c r="D966" s="8">
        <v>0</v>
      </c>
      <c r="E966" s="7">
        <v>0</v>
      </c>
      <c r="F966" s="8">
        <v>0</v>
      </c>
      <c r="G966" s="7">
        <v>0</v>
      </c>
      <c r="H966" s="7">
        <v>81211.819999998</v>
      </c>
      <c r="I966" s="7">
        <v>0</v>
      </c>
      <c r="J966" s="8">
        <v>0</v>
      </c>
      <c r="K966" s="9" t="str">
        <v/>
      </c>
    </row>
    <row r="967" spans="1:11">
      <c r="A967" t="str">
        <v/>
      </c>
      <c r="B967" s="6">
        <v>0</v>
      </c>
      <c r="C967" s="7" t="str">
        <v>趣点购浦发</v>
      </c>
      <c r="D967" s="8">
        <v>0</v>
      </c>
      <c r="E967" s="7">
        <v>0</v>
      </c>
      <c r="F967" s="8">
        <v>0</v>
      </c>
      <c r="G967" s="7">
        <v>0</v>
      </c>
      <c r="H967" s="7">
        <v>81211.819999998</v>
      </c>
      <c r="I967" s="7">
        <v>0</v>
      </c>
      <c r="J967" s="8">
        <v>0</v>
      </c>
      <c r="K967" s="9" t="str">
        <v/>
      </c>
    </row>
    <row r="968" spans="1:11">
      <c r="A968" t="str">
        <v/>
      </c>
      <c r="B968" s="6">
        <v>0</v>
      </c>
      <c r="C968" s="7" t="str">
        <v>趣点购浦发</v>
      </c>
      <c r="D968" s="8">
        <v>0</v>
      </c>
      <c r="E968" s="7">
        <v>0</v>
      </c>
      <c r="F968" s="8">
        <v>0</v>
      </c>
      <c r="G968" s="7">
        <v>0</v>
      </c>
      <c r="H968" s="7">
        <v>81211.819999998</v>
      </c>
      <c r="I968" s="7">
        <v>0</v>
      </c>
      <c r="J968" s="8">
        <v>0</v>
      </c>
      <c r="K968" s="9" t="str">
        <v/>
      </c>
    </row>
    <row r="969" spans="1:11">
      <c r="A969" t="str">
        <v/>
      </c>
      <c r="B969" s="6">
        <v>0</v>
      </c>
      <c r="C969" s="7" t="str">
        <v>趣点购浦发</v>
      </c>
      <c r="D969" s="8">
        <v>0</v>
      </c>
      <c r="E969" s="7">
        <v>0</v>
      </c>
      <c r="F969" s="8">
        <v>0</v>
      </c>
      <c r="G969" s="7">
        <v>0</v>
      </c>
      <c r="H969" s="7">
        <v>81211.819999998</v>
      </c>
      <c r="I969" s="7">
        <v>0</v>
      </c>
      <c r="J969" s="8">
        <v>0</v>
      </c>
      <c r="K969" s="9" t="str">
        <v/>
      </c>
    </row>
    <row r="970" spans="1:11">
      <c r="A970" t="str">
        <v/>
      </c>
      <c r="B970" s="6">
        <v>0</v>
      </c>
      <c r="C970" s="7" t="str">
        <v>趣点购浦发</v>
      </c>
      <c r="D970" s="8">
        <v>0</v>
      </c>
      <c r="E970" s="7">
        <v>0</v>
      </c>
      <c r="F970" s="8">
        <v>0</v>
      </c>
      <c r="G970" s="7">
        <v>0</v>
      </c>
      <c r="H970" s="7">
        <v>81211.819999998</v>
      </c>
      <c r="I970" s="7">
        <v>0</v>
      </c>
      <c r="J970" s="8">
        <v>0</v>
      </c>
      <c r="K970" s="9" t="str">
        <v/>
      </c>
    </row>
    <row r="971" spans="1:11">
      <c r="A971" t="str">
        <v/>
      </c>
      <c r="B971" s="6">
        <v>0</v>
      </c>
      <c r="C971" s="7" t="str">
        <v>趣点购浦发</v>
      </c>
      <c r="D971" s="8">
        <v>0</v>
      </c>
      <c r="E971" s="7">
        <v>0</v>
      </c>
      <c r="F971" s="8">
        <v>0</v>
      </c>
      <c r="G971" s="7">
        <v>0</v>
      </c>
      <c r="H971" s="7">
        <v>81211.819999998</v>
      </c>
      <c r="I971" s="7">
        <v>0</v>
      </c>
      <c r="J971" s="8">
        <v>0</v>
      </c>
      <c r="K971" s="9" t="str">
        <v/>
      </c>
    </row>
    <row r="972" spans="1:11">
      <c r="A972" t="str">
        <v/>
      </c>
      <c r="B972" s="6">
        <v>0</v>
      </c>
      <c r="C972" s="7" t="str">
        <v>趣点购浦发</v>
      </c>
      <c r="D972" s="8">
        <v>0</v>
      </c>
      <c r="E972" s="7">
        <v>0</v>
      </c>
      <c r="F972" s="8">
        <v>0</v>
      </c>
      <c r="G972" s="7">
        <v>0</v>
      </c>
      <c r="H972" s="7">
        <v>81211.819999998</v>
      </c>
      <c r="I972" s="7">
        <v>0</v>
      </c>
      <c r="J972" s="8">
        <v>0</v>
      </c>
      <c r="K972" s="9" t="str">
        <v/>
      </c>
    </row>
    <row r="973" spans="1:11">
      <c r="A973" t="str">
        <v/>
      </c>
      <c r="B973" s="6">
        <v>0</v>
      </c>
      <c r="C973" s="7" t="str">
        <v>趣点购浦发</v>
      </c>
      <c r="D973" s="8">
        <v>0</v>
      </c>
      <c r="E973" s="7">
        <v>0</v>
      </c>
      <c r="F973" s="8">
        <v>0</v>
      </c>
      <c r="G973" s="7">
        <v>0</v>
      </c>
      <c r="H973" s="7">
        <v>81211.819999998</v>
      </c>
      <c r="I973" s="7">
        <v>0</v>
      </c>
      <c r="J973" s="8">
        <v>0</v>
      </c>
      <c r="K973" s="9" t="str">
        <v/>
      </c>
    </row>
    <row r="974" spans="1:11">
      <c r="A974" t="str">
        <v/>
      </c>
      <c r="B974" s="6">
        <v>0</v>
      </c>
      <c r="C974" s="7" t="str">
        <v>趣点购浦发</v>
      </c>
      <c r="D974" s="8">
        <v>0</v>
      </c>
      <c r="E974" s="7">
        <v>0</v>
      </c>
      <c r="F974" s="8">
        <v>0</v>
      </c>
      <c r="G974" s="7">
        <v>0</v>
      </c>
      <c r="H974" s="7">
        <v>81211.819999998</v>
      </c>
      <c r="I974" s="7">
        <v>0</v>
      </c>
      <c r="J974" s="8">
        <v>0</v>
      </c>
      <c r="K974" s="9" t="str">
        <v/>
      </c>
    </row>
    <row r="975" spans="1:11">
      <c r="A975" t="str">
        <v/>
      </c>
      <c r="B975" s="6">
        <v>0</v>
      </c>
      <c r="C975" s="7" t="str">
        <v>趣点购浦发</v>
      </c>
      <c r="D975" s="8">
        <v>0</v>
      </c>
      <c r="E975" s="7">
        <v>0</v>
      </c>
      <c r="F975" s="8">
        <v>0</v>
      </c>
      <c r="G975" s="7">
        <v>0</v>
      </c>
      <c r="H975" s="7">
        <v>81211.819999998</v>
      </c>
      <c r="I975" s="7">
        <v>0</v>
      </c>
      <c r="J975" s="8">
        <v>0</v>
      </c>
      <c r="K975" s="9" t="str">
        <v/>
      </c>
    </row>
    <row r="976" spans="1:11">
      <c r="A976" t="str">
        <v/>
      </c>
      <c r="B976" s="6">
        <v>0</v>
      </c>
      <c r="C976" s="7" t="str">
        <v>趣点购浦发</v>
      </c>
      <c r="D976" s="8">
        <v>0</v>
      </c>
      <c r="E976" s="7">
        <v>0</v>
      </c>
      <c r="F976" s="8">
        <v>0</v>
      </c>
      <c r="G976" s="7">
        <v>0</v>
      </c>
      <c r="H976" s="7">
        <v>81211.819999998</v>
      </c>
      <c r="I976" s="7">
        <v>0</v>
      </c>
      <c r="J976" s="8">
        <v>0</v>
      </c>
      <c r="K976" s="9" t="str">
        <v/>
      </c>
    </row>
    <row r="977" spans="1:11">
      <c r="A977" t="str">
        <v/>
      </c>
      <c r="B977" s="6">
        <v>0</v>
      </c>
      <c r="C977" s="7" t="str">
        <v>趣点购浦发</v>
      </c>
      <c r="D977" s="8">
        <v>0</v>
      </c>
      <c r="E977" s="7">
        <v>0</v>
      </c>
      <c r="F977" s="8">
        <v>0</v>
      </c>
      <c r="G977" s="7">
        <v>0</v>
      </c>
      <c r="H977" s="7">
        <v>81211.819999998</v>
      </c>
      <c r="I977" s="7">
        <v>0</v>
      </c>
      <c r="J977" s="8">
        <v>0</v>
      </c>
      <c r="K977" s="9" t="str">
        <v/>
      </c>
    </row>
    <row r="978" spans="1:11">
      <c r="A978" t="str">
        <v/>
      </c>
      <c r="B978" s="6">
        <v>0</v>
      </c>
      <c r="C978" s="7" t="str">
        <v>趣点购浦发</v>
      </c>
      <c r="D978" s="8">
        <v>0</v>
      </c>
      <c r="E978" s="7">
        <v>0</v>
      </c>
      <c r="F978" s="8">
        <v>0</v>
      </c>
      <c r="G978" s="7">
        <v>0</v>
      </c>
      <c r="H978" s="7">
        <v>81211.819999998</v>
      </c>
      <c r="I978" s="7">
        <v>0</v>
      </c>
      <c r="J978" s="8">
        <v>0</v>
      </c>
      <c r="K978" s="9" t="str">
        <v/>
      </c>
    </row>
    <row r="979" spans="1:11">
      <c r="A979" t="str">
        <v/>
      </c>
      <c r="B979" s="6">
        <v>0</v>
      </c>
      <c r="C979" s="7" t="str">
        <v>趣点购浦发</v>
      </c>
      <c r="D979" s="8">
        <v>0</v>
      </c>
      <c r="E979" s="7">
        <v>0</v>
      </c>
      <c r="F979" s="8">
        <v>0</v>
      </c>
      <c r="G979" s="7">
        <v>0</v>
      </c>
      <c r="H979" s="7">
        <v>81211.819999998</v>
      </c>
      <c r="I979" s="7">
        <v>0</v>
      </c>
      <c r="J979" s="8">
        <v>0</v>
      </c>
      <c r="K979" s="9" t="str">
        <v/>
      </c>
    </row>
    <row r="980" spans="1:11">
      <c r="A980" t="str">
        <v/>
      </c>
      <c r="B980" s="6">
        <v>0</v>
      </c>
      <c r="C980" s="7" t="str">
        <v>趣点购浦发</v>
      </c>
      <c r="D980" s="8">
        <v>0</v>
      </c>
      <c r="E980" s="7">
        <v>0</v>
      </c>
      <c r="F980" s="8">
        <v>0</v>
      </c>
      <c r="G980" s="7">
        <v>0</v>
      </c>
      <c r="H980" s="7">
        <v>81211.819999998</v>
      </c>
      <c r="I980" s="7">
        <v>0</v>
      </c>
      <c r="J980" s="8">
        <v>0</v>
      </c>
      <c r="K980" s="9" t="str">
        <v/>
      </c>
    </row>
    <row r="981" spans="1:11">
      <c r="A981" t="str">
        <v/>
      </c>
      <c r="B981" s="6">
        <v>0</v>
      </c>
      <c r="C981" s="7" t="str">
        <v>趣点购浦发</v>
      </c>
      <c r="D981" s="8">
        <v>0</v>
      </c>
      <c r="E981" s="7">
        <v>0</v>
      </c>
      <c r="F981" s="8">
        <v>0</v>
      </c>
      <c r="G981" s="7">
        <v>0</v>
      </c>
      <c r="H981" s="7">
        <v>81211.819999998</v>
      </c>
      <c r="I981" s="7">
        <v>0</v>
      </c>
      <c r="J981" s="8">
        <v>0</v>
      </c>
      <c r="K981" s="9" t="str">
        <v/>
      </c>
    </row>
    <row r="982" spans="1:11">
      <c r="A982" t="str">
        <v/>
      </c>
      <c r="B982" s="6">
        <v>0</v>
      </c>
      <c r="C982" s="7" t="str">
        <v>趣点购浦发</v>
      </c>
      <c r="D982" s="8">
        <v>0</v>
      </c>
      <c r="E982" s="7">
        <v>0</v>
      </c>
      <c r="F982" s="8">
        <v>0</v>
      </c>
      <c r="G982" s="7">
        <v>0</v>
      </c>
      <c r="H982" s="7">
        <v>81211.819999998</v>
      </c>
      <c r="I982" s="7">
        <v>0</v>
      </c>
      <c r="J982" s="8">
        <v>0</v>
      </c>
      <c r="K982" s="9" t="str">
        <v/>
      </c>
    </row>
    <row r="983" spans="1:11">
      <c r="A983" t="str">
        <v/>
      </c>
      <c r="B983" s="6">
        <v>0</v>
      </c>
      <c r="C983" s="7" t="str">
        <v>趣点购浦发</v>
      </c>
      <c r="D983" s="8">
        <v>0</v>
      </c>
      <c r="E983" s="7">
        <v>0</v>
      </c>
      <c r="F983" s="8">
        <v>0</v>
      </c>
      <c r="G983" s="7">
        <v>0</v>
      </c>
      <c r="H983" s="7">
        <v>81211.819999998</v>
      </c>
      <c r="I983" s="7">
        <v>0</v>
      </c>
      <c r="J983" s="8">
        <v>0</v>
      </c>
      <c r="K983" s="9" t="str">
        <v/>
      </c>
    </row>
    <row r="984" spans="1:11">
      <c r="A984" t="str">
        <v/>
      </c>
      <c r="B984" s="6">
        <v>0</v>
      </c>
      <c r="C984" s="7" t="str">
        <v>趣点购浦发</v>
      </c>
      <c r="D984" s="8">
        <v>0</v>
      </c>
      <c r="E984" s="7">
        <v>0</v>
      </c>
      <c r="F984" s="8">
        <v>0</v>
      </c>
      <c r="G984" s="7">
        <v>0</v>
      </c>
      <c r="H984" s="7">
        <v>81211.819999998</v>
      </c>
      <c r="I984" s="7">
        <v>0</v>
      </c>
      <c r="J984" s="8">
        <v>0</v>
      </c>
      <c r="K984" s="9" t="str">
        <v/>
      </c>
    </row>
    <row r="985" spans="1:11">
      <c r="A985" t="str">
        <v/>
      </c>
      <c r="B985" s="6">
        <v>0</v>
      </c>
      <c r="C985" s="7" t="str">
        <v>趣点购浦发</v>
      </c>
      <c r="D985" s="8">
        <v>0</v>
      </c>
      <c r="E985" s="7">
        <v>0</v>
      </c>
      <c r="F985" s="8">
        <v>0</v>
      </c>
      <c r="G985" s="7">
        <v>0</v>
      </c>
      <c r="H985" s="7">
        <v>81211.819999998</v>
      </c>
      <c r="I985" s="7">
        <v>0</v>
      </c>
      <c r="J985" s="8">
        <v>0</v>
      </c>
      <c r="K985" s="9" t="str">
        <v/>
      </c>
    </row>
    <row r="986" spans="1:11">
      <c r="A986" t="str">
        <v/>
      </c>
      <c r="B986" s="6">
        <v>0</v>
      </c>
      <c r="C986" s="7" t="str">
        <v>趣点购浦发</v>
      </c>
      <c r="D986" s="8">
        <v>0</v>
      </c>
      <c r="E986" s="7">
        <v>0</v>
      </c>
      <c r="F986" s="8">
        <v>0</v>
      </c>
      <c r="G986" s="7">
        <v>0</v>
      </c>
      <c r="H986" s="7">
        <v>81211.819999998</v>
      </c>
      <c r="I986" s="7">
        <v>0</v>
      </c>
      <c r="J986" s="8">
        <v>0</v>
      </c>
      <c r="K986" s="9" t="str">
        <v/>
      </c>
    </row>
    <row r="987" spans="1:11">
      <c r="A987" t="str">
        <v/>
      </c>
      <c r="B987" s="6">
        <v>0</v>
      </c>
      <c r="C987" s="7" t="str">
        <v>趣点购浦发</v>
      </c>
      <c r="D987" s="8">
        <v>0</v>
      </c>
      <c r="E987" s="7">
        <v>0</v>
      </c>
      <c r="F987" s="8">
        <v>0</v>
      </c>
      <c r="G987" s="7">
        <v>0</v>
      </c>
      <c r="H987" s="7">
        <v>81211.819999998</v>
      </c>
      <c r="I987" s="7">
        <v>0</v>
      </c>
      <c r="J987" s="8">
        <v>0</v>
      </c>
      <c r="K987" s="9" t="str">
        <v/>
      </c>
    </row>
    <row r="988" spans="1:11">
      <c r="A988" t="str">
        <v/>
      </c>
      <c r="B988" s="6">
        <v>0</v>
      </c>
      <c r="C988" s="7" t="str">
        <v>趣点购浦发</v>
      </c>
      <c r="D988" s="8">
        <v>0</v>
      </c>
      <c r="E988" s="7">
        <v>0</v>
      </c>
      <c r="F988" s="8">
        <v>0</v>
      </c>
      <c r="G988" s="7">
        <v>0</v>
      </c>
      <c r="H988" s="7">
        <v>81211.819999998</v>
      </c>
      <c r="I988" s="7">
        <v>0</v>
      </c>
      <c r="J988" s="8">
        <v>0</v>
      </c>
      <c r="K988" s="9" t="str">
        <v/>
      </c>
    </row>
    <row r="989" spans="1:11">
      <c r="A989" t="str">
        <v/>
      </c>
      <c r="B989" s="6">
        <v>0</v>
      </c>
      <c r="C989" s="7" t="str">
        <v>趣点购浦发</v>
      </c>
      <c r="D989" s="8">
        <v>0</v>
      </c>
      <c r="E989" s="7">
        <v>0</v>
      </c>
      <c r="F989" s="8">
        <v>0</v>
      </c>
      <c r="G989" s="7">
        <v>0</v>
      </c>
      <c r="H989" s="7">
        <v>81211.819999998</v>
      </c>
      <c r="I989" s="7">
        <v>0</v>
      </c>
      <c r="J989" s="8">
        <v>0</v>
      </c>
      <c r="K989" s="9" t="str">
        <v/>
      </c>
    </row>
    <row r="990" spans="1:11">
      <c r="A990" t="str">
        <v/>
      </c>
      <c r="B990" s="6">
        <v>0</v>
      </c>
      <c r="C990" s="7" t="str">
        <v>趣点购浦发</v>
      </c>
      <c r="D990" s="8">
        <v>0</v>
      </c>
      <c r="E990" s="7">
        <v>0</v>
      </c>
      <c r="F990" s="8">
        <v>0</v>
      </c>
      <c r="G990" s="7">
        <v>0</v>
      </c>
      <c r="H990" s="7">
        <v>81211.819999998</v>
      </c>
      <c r="I990" s="7">
        <v>0</v>
      </c>
      <c r="J990" s="8">
        <v>0</v>
      </c>
      <c r="K990" s="9" t="str">
        <v/>
      </c>
    </row>
    <row r="991" spans="1:11">
      <c r="A991" t="str">
        <v/>
      </c>
      <c r="B991" s="6">
        <v>0</v>
      </c>
      <c r="C991" s="7" t="str">
        <v>趣点购浦发</v>
      </c>
      <c r="D991" s="8">
        <v>0</v>
      </c>
      <c r="E991" s="7">
        <v>0</v>
      </c>
      <c r="F991" s="8">
        <v>0</v>
      </c>
      <c r="G991" s="7">
        <v>0</v>
      </c>
      <c r="H991" s="7">
        <v>81211.819999998</v>
      </c>
      <c r="I991" s="7">
        <v>0</v>
      </c>
      <c r="J991" s="8">
        <v>0</v>
      </c>
      <c r="K991" s="9" t="str">
        <v/>
      </c>
    </row>
    <row r="992" spans="1:11">
      <c r="A992" t="str">
        <v/>
      </c>
      <c r="B992" s="6">
        <v>0</v>
      </c>
      <c r="C992" s="7" t="str">
        <v>趣点购浦发</v>
      </c>
      <c r="D992" s="8">
        <v>0</v>
      </c>
      <c r="E992" s="7">
        <v>0</v>
      </c>
      <c r="F992" s="8">
        <v>0</v>
      </c>
      <c r="G992" s="7">
        <v>0</v>
      </c>
      <c r="H992" s="7">
        <v>81211.819999998</v>
      </c>
      <c r="I992" s="7">
        <v>0</v>
      </c>
      <c r="J992" s="8">
        <v>0</v>
      </c>
      <c r="K992" s="9" t="str">
        <v/>
      </c>
    </row>
    <row r="993" spans="1:11">
      <c r="A993" t="str">
        <v/>
      </c>
      <c r="B993" s="6">
        <v>0</v>
      </c>
      <c r="C993" s="7" t="str">
        <v>趣点购浦发</v>
      </c>
      <c r="D993" s="8">
        <v>0</v>
      </c>
      <c r="E993" s="7">
        <v>0</v>
      </c>
      <c r="F993" s="8">
        <v>0</v>
      </c>
      <c r="G993" s="7">
        <v>0</v>
      </c>
      <c r="H993" s="7">
        <v>81211.819999998</v>
      </c>
      <c r="I993" s="7">
        <v>0</v>
      </c>
      <c r="J993" s="8">
        <v>0</v>
      </c>
      <c r="K993" s="9" t="str">
        <v/>
      </c>
    </row>
    <row r="994" spans="1:11">
      <c r="A994" t="str">
        <v/>
      </c>
      <c r="B994" s="6">
        <v>0</v>
      </c>
      <c r="C994" s="7" t="str">
        <v>趣点购浦发</v>
      </c>
      <c r="D994" s="8">
        <v>0</v>
      </c>
      <c r="E994" s="7">
        <v>0</v>
      </c>
      <c r="F994" s="8">
        <v>0</v>
      </c>
      <c r="G994" s="7">
        <v>0</v>
      </c>
      <c r="H994" s="7">
        <v>81211.819999998</v>
      </c>
      <c r="I994" s="7">
        <v>0</v>
      </c>
      <c r="J994" s="8">
        <v>0</v>
      </c>
      <c r="K994" s="9" t="str">
        <v/>
      </c>
    </row>
    <row r="995" spans="1:11">
      <c r="A995" t="str">
        <v/>
      </c>
      <c r="B995" s="6">
        <v>0</v>
      </c>
      <c r="C995" s="7" t="str">
        <v>趣点购浦发</v>
      </c>
      <c r="D995" s="8">
        <v>0</v>
      </c>
      <c r="E995" s="7">
        <v>0</v>
      </c>
      <c r="F995" s="8">
        <v>0</v>
      </c>
      <c r="G995" s="7">
        <v>0</v>
      </c>
      <c r="H995" s="7">
        <v>81211.819999998</v>
      </c>
      <c r="I995" s="7">
        <v>0</v>
      </c>
      <c r="J995" s="8">
        <v>0</v>
      </c>
      <c r="K995" s="9" t="str">
        <v/>
      </c>
    </row>
    <row r="996" spans="1:11">
      <c r="A996" t="str">
        <v/>
      </c>
      <c r="B996" s="6">
        <v>0</v>
      </c>
      <c r="C996" s="7" t="str">
        <v>趣点购浦发</v>
      </c>
      <c r="D996" s="8">
        <v>0</v>
      </c>
      <c r="E996" s="7">
        <v>0</v>
      </c>
      <c r="F996" s="8">
        <v>0</v>
      </c>
      <c r="G996" s="7">
        <v>0</v>
      </c>
      <c r="H996" s="7">
        <v>81211.819999998</v>
      </c>
      <c r="I996" s="7">
        <v>0</v>
      </c>
      <c r="J996" s="8">
        <v>0</v>
      </c>
      <c r="K996" s="9" t="str">
        <v/>
      </c>
    </row>
    <row r="997" spans="1:11">
      <c r="A997" t="str">
        <v/>
      </c>
      <c r="B997" s="6">
        <v>0</v>
      </c>
      <c r="C997" s="7" t="str">
        <v>趣点购浦发</v>
      </c>
      <c r="D997" s="8">
        <v>0</v>
      </c>
      <c r="E997" s="7">
        <v>0</v>
      </c>
      <c r="F997" s="8">
        <v>0</v>
      </c>
      <c r="G997" s="7">
        <v>0</v>
      </c>
      <c r="H997" s="7">
        <v>81211.819999998</v>
      </c>
      <c r="I997" s="7">
        <v>0</v>
      </c>
      <c r="J997" s="8">
        <v>0</v>
      </c>
      <c r="K997" s="9" t="str">
        <v/>
      </c>
    </row>
    <row r="998" spans="1:11">
      <c r="A998" t="str">
        <v/>
      </c>
      <c r="B998" s="6">
        <v>0</v>
      </c>
      <c r="C998" s="7" t="str">
        <v>趣点购浦发</v>
      </c>
      <c r="D998" s="8">
        <v>0</v>
      </c>
      <c r="E998" s="7">
        <v>0</v>
      </c>
      <c r="F998" s="8">
        <v>0</v>
      </c>
      <c r="G998" s="7">
        <v>0</v>
      </c>
      <c r="H998" s="7">
        <v>81211.819999998</v>
      </c>
      <c r="I998" s="7">
        <v>0</v>
      </c>
      <c r="J998" s="8">
        <v>0</v>
      </c>
      <c r="K998" s="9" t="str">
        <v/>
      </c>
    </row>
    <row r="999" spans="1:11">
      <c r="A999" t="str">
        <v/>
      </c>
      <c r="B999" s="6">
        <v>0</v>
      </c>
      <c r="C999" s="7" t="str">
        <v>趣点购浦发</v>
      </c>
      <c r="D999" s="8">
        <v>0</v>
      </c>
      <c r="E999" s="7">
        <v>0</v>
      </c>
      <c r="F999" s="8">
        <v>0</v>
      </c>
      <c r="G999" s="7">
        <v>0</v>
      </c>
      <c r="H999" s="7">
        <v>81211.819999998</v>
      </c>
      <c r="I999" s="7">
        <v>0</v>
      </c>
      <c r="J999" s="8">
        <v>0</v>
      </c>
      <c r="K999" s="9" t="str">
        <v/>
      </c>
    </row>
    <row r="1000" spans="1:11">
      <c r="A1000" t="str">
        <v/>
      </c>
      <c r="B1000" s="6">
        <v>0</v>
      </c>
      <c r="C1000" s="7" t="str">
        <v>趣点购浦发</v>
      </c>
      <c r="D1000" s="8">
        <v>0</v>
      </c>
      <c r="E1000" s="7">
        <v>0</v>
      </c>
      <c r="F1000" s="8">
        <v>0</v>
      </c>
      <c r="G1000" s="7">
        <v>0</v>
      </c>
      <c r="H1000" s="7">
        <v>81211.819999998</v>
      </c>
      <c r="I1000" s="7">
        <v>0</v>
      </c>
      <c r="J1000" s="8">
        <v>0</v>
      </c>
      <c r="K1000" s="9" t="str">
        <v/>
      </c>
    </row>
    <row r="1001" spans="1:11">
      <c r="A1001" t="str">
        <v/>
      </c>
      <c r="B1001" s="6">
        <v>0</v>
      </c>
      <c r="C1001" s="7" t="str">
        <v>趣点购浦发</v>
      </c>
      <c r="D1001" s="8">
        <v>0</v>
      </c>
      <c r="E1001" s="7">
        <v>0</v>
      </c>
      <c r="F1001" s="8">
        <v>0</v>
      </c>
      <c r="G1001" s="7">
        <v>0</v>
      </c>
      <c r="H1001" s="7">
        <v>81211.819999998</v>
      </c>
      <c r="I1001" s="7">
        <v>0</v>
      </c>
      <c r="J1001" s="8">
        <v>0</v>
      </c>
      <c r="K1001" s="9" t="str">
        <v/>
      </c>
    </row>
    <row r="1002" spans="1:11">
      <c r="A1002" t="str">
        <v/>
      </c>
      <c r="B1002" s="6">
        <v>0</v>
      </c>
      <c r="C1002" s="7" t="str">
        <v>趣点购浦发</v>
      </c>
      <c r="D1002" s="8">
        <v>0</v>
      </c>
      <c r="E1002" s="7">
        <v>0</v>
      </c>
      <c r="F1002" s="8">
        <v>0</v>
      </c>
      <c r="G1002" s="7">
        <v>0</v>
      </c>
      <c r="H1002" s="7">
        <v>81211.819999998</v>
      </c>
      <c r="I1002" s="7">
        <v>0</v>
      </c>
      <c r="J1002" s="8">
        <v>0</v>
      </c>
      <c r="K1002" s="9" t="str">
        <v/>
      </c>
    </row>
    <row r="1003" spans="1:11">
      <c r="A1003" t="str">
        <v/>
      </c>
      <c r="B1003" s="6">
        <v>0</v>
      </c>
      <c r="C1003" s="7" t="str">
        <v>趣点购浦发</v>
      </c>
      <c r="D1003" s="8">
        <v>0</v>
      </c>
      <c r="E1003" s="7">
        <v>0</v>
      </c>
      <c r="F1003" s="8">
        <v>0</v>
      </c>
      <c r="G1003" s="7">
        <v>0</v>
      </c>
      <c r="H1003" s="7">
        <v>81211.819999998</v>
      </c>
      <c r="I1003" s="7">
        <v>0</v>
      </c>
      <c r="J1003" s="8">
        <v>0</v>
      </c>
      <c r="K1003" s="9" t="str">
        <v/>
      </c>
    </row>
    <row r="1004" spans="1:11">
      <c r="A1004" t="str">
        <v/>
      </c>
      <c r="B1004" s="6">
        <v>0</v>
      </c>
      <c r="C1004" s="7" t="str">
        <v>趣点购浦发</v>
      </c>
      <c r="D1004" s="8">
        <v>0</v>
      </c>
      <c r="E1004" s="7">
        <v>0</v>
      </c>
      <c r="F1004" s="8">
        <v>0</v>
      </c>
      <c r="G1004" s="7">
        <v>0</v>
      </c>
      <c r="H1004" s="7">
        <v>81211.819999998</v>
      </c>
      <c r="I1004" s="7">
        <v>0</v>
      </c>
      <c r="J1004" s="8">
        <v>0</v>
      </c>
      <c r="K1004" s="9" t="str">
        <v/>
      </c>
    </row>
    <row r="1005" spans="1:11">
      <c r="A1005" t="str">
        <v/>
      </c>
      <c r="B1005" s="6">
        <v>0</v>
      </c>
      <c r="C1005" s="7" t="str">
        <v>趣点购浦发</v>
      </c>
      <c r="D1005" s="8">
        <v>0</v>
      </c>
      <c r="E1005" s="7">
        <v>0</v>
      </c>
      <c r="F1005" s="8">
        <v>0</v>
      </c>
      <c r="G1005" s="7">
        <v>0</v>
      </c>
      <c r="H1005" s="7">
        <v>81211.819999998</v>
      </c>
      <c r="I1005" s="7">
        <v>0</v>
      </c>
      <c r="J1005" s="8">
        <v>0</v>
      </c>
      <c r="K1005" s="9" t="str">
        <v/>
      </c>
    </row>
    <row r="1006" spans="1:11">
      <c r="A1006" t="str">
        <v/>
      </c>
      <c r="B1006" s="6">
        <v>0</v>
      </c>
      <c r="C1006" s="7" t="str">
        <v>趣点购浦发</v>
      </c>
      <c r="D1006" s="8">
        <v>0</v>
      </c>
      <c r="E1006" s="7">
        <v>0</v>
      </c>
      <c r="F1006" s="8">
        <v>0</v>
      </c>
      <c r="G1006" s="7">
        <v>0</v>
      </c>
      <c r="H1006" s="7">
        <v>81211.819999998</v>
      </c>
      <c r="I1006" s="7">
        <v>0</v>
      </c>
      <c r="J1006" s="8">
        <v>0</v>
      </c>
      <c r="K1006" s="9" t="str">
        <v/>
      </c>
    </row>
    <row r="1007" spans="1:11">
      <c r="A1007" t="str">
        <v/>
      </c>
      <c r="B1007" s="6">
        <v>0</v>
      </c>
      <c r="C1007" s="7" t="str">
        <v>趣点购浦发</v>
      </c>
      <c r="D1007" s="8">
        <v>0</v>
      </c>
      <c r="E1007" s="7">
        <v>0</v>
      </c>
      <c r="F1007" s="8">
        <v>0</v>
      </c>
      <c r="G1007" s="7">
        <v>0</v>
      </c>
      <c r="H1007" s="7">
        <v>81211.819999998</v>
      </c>
      <c r="I1007" s="7">
        <v>0</v>
      </c>
      <c r="J1007" s="8">
        <v>0</v>
      </c>
      <c r="K1007" s="9" t="str">
        <v/>
      </c>
    </row>
    <row r="1008" spans="1:11">
      <c r="A1008" t="str">
        <v/>
      </c>
      <c r="B1008" s="6">
        <v>0</v>
      </c>
      <c r="C1008" s="7" t="str">
        <v>趣点购浦发</v>
      </c>
      <c r="D1008" s="8">
        <v>0</v>
      </c>
      <c r="E1008" s="7">
        <v>0</v>
      </c>
      <c r="F1008" s="8">
        <v>0</v>
      </c>
      <c r="G1008" s="7">
        <v>0</v>
      </c>
      <c r="H1008" s="7">
        <v>81211.819999998</v>
      </c>
      <c r="I1008" s="7">
        <v>0</v>
      </c>
      <c r="J1008" s="8">
        <v>0</v>
      </c>
      <c r="K1008" s="9" t="str">
        <v/>
      </c>
    </row>
    <row r="1009" spans="1:11">
      <c r="A1009" t="str">
        <v/>
      </c>
      <c r="B1009" s="6">
        <v>0</v>
      </c>
      <c r="C1009" s="7" t="str">
        <v>趣点购浦发</v>
      </c>
      <c r="D1009" s="8">
        <v>0</v>
      </c>
      <c r="E1009" s="7">
        <v>0</v>
      </c>
      <c r="F1009" s="8">
        <v>0</v>
      </c>
      <c r="G1009" s="7">
        <v>0</v>
      </c>
      <c r="H1009" s="7">
        <v>81211.819999998</v>
      </c>
      <c r="I1009" s="7">
        <v>0</v>
      </c>
      <c r="J1009" s="8">
        <v>0</v>
      </c>
      <c r="K1009" s="9" t="str">
        <v/>
      </c>
    </row>
    <row r="1010" spans="1:11">
      <c r="A1010" t="str">
        <v/>
      </c>
      <c r="B1010" s="6">
        <v>0</v>
      </c>
      <c r="C1010" s="7" t="str">
        <v>趣点购浦发</v>
      </c>
      <c r="D1010" s="8">
        <v>0</v>
      </c>
      <c r="E1010" s="7">
        <v>0</v>
      </c>
      <c r="F1010" s="8">
        <v>0</v>
      </c>
      <c r="G1010" s="7">
        <v>0</v>
      </c>
      <c r="H1010" s="7">
        <v>81211.819999998</v>
      </c>
      <c r="I1010" s="7">
        <v>0</v>
      </c>
      <c r="J1010" s="8">
        <v>0</v>
      </c>
      <c r="K1010" s="9" t="str">
        <v/>
      </c>
    </row>
    <row r="1011" spans="1:11">
      <c r="A1011" t="str">
        <v/>
      </c>
      <c r="B1011" s="6">
        <v>0</v>
      </c>
      <c r="C1011" s="7" t="str">
        <v>趣点购浦发</v>
      </c>
      <c r="D1011" s="8">
        <v>0</v>
      </c>
      <c r="E1011" s="7">
        <v>0</v>
      </c>
      <c r="F1011" s="8">
        <v>0</v>
      </c>
      <c r="G1011" s="7">
        <v>0</v>
      </c>
      <c r="H1011" s="7">
        <v>81211.819999998</v>
      </c>
      <c r="I1011" s="7">
        <v>0</v>
      </c>
      <c r="J1011" s="8">
        <v>0</v>
      </c>
      <c r="K1011" s="9" t="str">
        <v/>
      </c>
    </row>
    <row r="1012" spans="1:11">
      <c r="A1012" t="str">
        <v/>
      </c>
      <c r="B1012" s="6">
        <v>0</v>
      </c>
      <c r="C1012" s="7" t="str">
        <v>趣点购浦发</v>
      </c>
      <c r="D1012" s="8">
        <v>0</v>
      </c>
      <c r="E1012" s="7">
        <v>0</v>
      </c>
      <c r="F1012" s="8">
        <v>0</v>
      </c>
      <c r="G1012" s="7">
        <v>0</v>
      </c>
      <c r="H1012" s="7">
        <v>81211.819999998</v>
      </c>
      <c r="I1012" s="7">
        <v>0</v>
      </c>
      <c r="J1012" s="8">
        <v>0</v>
      </c>
      <c r="K1012" s="9" t="str">
        <v/>
      </c>
    </row>
    <row r="1013" spans="1:11">
      <c r="A1013" t="str">
        <v/>
      </c>
      <c r="B1013" s="6">
        <v>0</v>
      </c>
      <c r="C1013" s="7" t="str">
        <v>趣点购浦发</v>
      </c>
      <c r="D1013" s="8">
        <v>0</v>
      </c>
      <c r="E1013" s="7">
        <v>0</v>
      </c>
      <c r="F1013" s="8">
        <v>0</v>
      </c>
      <c r="G1013" s="7">
        <v>0</v>
      </c>
      <c r="H1013" s="7">
        <v>81211.819999998</v>
      </c>
      <c r="I1013" s="7">
        <v>0</v>
      </c>
      <c r="J1013" s="8">
        <v>0</v>
      </c>
      <c r="K1013" s="9" t="str">
        <v/>
      </c>
    </row>
    <row r="1014" spans="1:11">
      <c r="A1014" t="str">
        <v/>
      </c>
      <c r="B1014" s="6">
        <v>0</v>
      </c>
      <c r="C1014" s="7" t="str">
        <v>趣点购浦发</v>
      </c>
      <c r="D1014" s="8">
        <v>0</v>
      </c>
      <c r="E1014" s="7">
        <v>0</v>
      </c>
      <c r="F1014" s="8">
        <v>0</v>
      </c>
      <c r="G1014" s="7">
        <v>0</v>
      </c>
      <c r="H1014" s="7">
        <v>81211.819999998</v>
      </c>
      <c r="I1014" s="7">
        <v>0</v>
      </c>
      <c r="J1014" s="8">
        <v>0</v>
      </c>
      <c r="K1014" s="9" t="str">
        <v/>
      </c>
    </row>
    <row r="1015" spans="1:11">
      <c r="A1015" t="str">
        <v/>
      </c>
      <c r="B1015" s="6">
        <v>0</v>
      </c>
      <c r="C1015" s="7" t="str">
        <v>趣点购浦发</v>
      </c>
      <c r="D1015" s="8">
        <v>0</v>
      </c>
      <c r="E1015" s="7">
        <v>0</v>
      </c>
      <c r="F1015" s="8">
        <v>0</v>
      </c>
      <c r="G1015" s="7">
        <v>0</v>
      </c>
      <c r="H1015" s="7">
        <v>81211.819999998</v>
      </c>
      <c r="I1015" s="7">
        <v>0</v>
      </c>
      <c r="J1015" s="8">
        <v>0</v>
      </c>
      <c r="K1015" s="9" t="str">
        <v/>
      </c>
    </row>
    <row r="1016" spans="1:11">
      <c r="A1016" t="str">
        <v/>
      </c>
      <c r="B1016" s="6">
        <v>0</v>
      </c>
      <c r="C1016" s="7" t="str">
        <v>趣点购浦发</v>
      </c>
      <c r="D1016" s="8">
        <v>0</v>
      </c>
      <c r="E1016" s="7">
        <v>0</v>
      </c>
      <c r="F1016" s="8">
        <v>0</v>
      </c>
      <c r="G1016" s="7">
        <v>0</v>
      </c>
      <c r="H1016" s="7">
        <v>81211.819999998</v>
      </c>
      <c r="I1016" s="7">
        <v>0</v>
      </c>
      <c r="J1016" s="8">
        <v>0</v>
      </c>
      <c r="K1016" s="9" t="str">
        <v/>
      </c>
    </row>
    <row r="1017" spans="1:11">
      <c r="A1017" t="str">
        <v/>
      </c>
      <c r="B1017" s="6">
        <v>0</v>
      </c>
      <c r="C1017" s="7" t="str">
        <v>趣点购浦发</v>
      </c>
      <c r="D1017" s="8">
        <v>0</v>
      </c>
      <c r="E1017" s="7">
        <v>0</v>
      </c>
      <c r="F1017" s="8">
        <v>0</v>
      </c>
      <c r="G1017" s="7">
        <v>0</v>
      </c>
      <c r="H1017" s="7">
        <v>81211.819999998</v>
      </c>
      <c r="I1017" s="7">
        <v>0</v>
      </c>
      <c r="J1017" s="8">
        <v>0</v>
      </c>
      <c r="K1017" s="9" t="str">
        <v/>
      </c>
    </row>
    <row r="1018" spans="1:11">
      <c r="A1018" t="str">
        <v/>
      </c>
      <c r="B1018" s="6">
        <v>0</v>
      </c>
      <c r="C1018" s="7" t="str">
        <v>趣点购浦发</v>
      </c>
      <c r="D1018" s="8">
        <v>0</v>
      </c>
      <c r="E1018" s="7">
        <v>0</v>
      </c>
      <c r="F1018" s="8">
        <v>0</v>
      </c>
      <c r="G1018" s="7">
        <v>0</v>
      </c>
      <c r="H1018" s="7">
        <v>81211.819999998</v>
      </c>
      <c r="I1018" s="7">
        <v>0</v>
      </c>
      <c r="J1018" s="8">
        <v>0</v>
      </c>
      <c r="K1018" s="9" t="str">
        <v/>
      </c>
    </row>
    <row r="1019" spans="1:11">
      <c r="A1019" t="str">
        <v/>
      </c>
      <c r="B1019" s="6">
        <v>0</v>
      </c>
      <c r="C1019" s="7" t="str">
        <v>趣点购浦发</v>
      </c>
      <c r="D1019" s="8">
        <v>0</v>
      </c>
      <c r="E1019" s="7">
        <v>0</v>
      </c>
      <c r="F1019" s="8">
        <v>0</v>
      </c>
      <c r="G1019" s="7">
        <v>0</v>
      </c>
      <c r="H1019" s="7">
        <v>81211.819999998</v>
      </c>
      <c r="I1019" s="7">
        <v>0</v>
      </c>
      <c r="J1019" s="8">
        <v>0</v>
      </c>
      <c r="K1019" s="9" t="str">
        <v/>
      </c>
    </row>
    <row r="1020" spans="1:11">
      <c r="A1020" t="str">
        <v/>
      </c>
      <c r="B1020" s="6">
        <v>0</v>
      </c>
      <c r="C1020" s="7" t="str">
        <v>趣点购浦发</v>
      </c>
      <c r="D1020" s="8">
        <v>0</v>
      </c>
      <c r="E1020" s="7">
        <v>0</v>
      </c>
      <c r="F1020" s="8">
        <v>0</v>
      </c>
      <c r="G1020" s="7">
        <v>0</v>
      </c>
      <c r="H1020" s="7">
        <v>81211.819999998</v>
      </c>
      <c r="I1020" s="7">
        <v>0</v>
      </c>
      <c r="J1020" s="8">
        <v>0</v>
      </c>
      <c r="K1020" s="9" t="str">
        <v/>
      </c>
    </row>
    <row r="1021" spans="1:11">
      <c r="A1021" t="str">
        <v/>
      </c>
      <c r="B1021" s="6">
        <v>0</v>
      </c>
      <c r="C1021" s="7" t="str">
        <v>趣点购浦发</v>
      </c>
      <c r="D1021" s="8">
        <v>0</v>
      </c>
      <c r="E1021" s="7">
        <v>0</v>
      </c>
      <c r="F1021" s="8">
        <v>0</v>
      </c>
      <c r="G1021" s="7">
        <v>0</v>
      </c>
      <c r="H1021" s="7">
        <v>81211.819999998</v>
      </c>
      <c r="I1021" s="7">
        <v>0</v>
      </c>
      <c r="J1021" s="8">
        <v>0</v>
      </c>
      <c r="K1021" s="9" t="str">
        <v/>
      </c>
    </row>
    <row r="1022" spans="1:11">
      <c r="A1022" t="str">
        <v/>
      </c>
      <c r="B1022" s="6">
        <v>0</v>
      </c>
      <c r="C1022" s="7" t="str">
        <v>趣点购浦发</v>
      </c>
      <c r="D1022" s="8">
        <v>0</v>
      </c>
      <c r="E1022" s="7">
        <v>0</v>
      </c>
      <c r="F1022" s="8">
        <v>0</v>
      </c>
      <c r="G1022" s="7">
        <v>0</v>
      </c>
      <c r="H1022" s="7">
        <v>81211.819999998</v>
      </c>
      <c r="I1022" s="7">
        <v>0</v>
      </c>
      <c r="J1022" s="8">
        <v>0</v>
      </c>
      <c r="K1022" s="9" t="str">
        <v/>
      </c>
    </row>
    <row r="1023" spans="1:11">
      <c r="A1023" t="str">
        <v/>
      </c>
      <c r="B1023" s="6">
        <v>0</v>
      </c>
      <c r="C1023" s="7" t="str">
        <v>趣点购浦发</v>
      </c>
      <c r="D1023" s="8">
        <v>0</v>
      </c>
      <c r="E1023" s="7">
        <v>0</v>
      </c>
      <c r="F1023" s="8">
        <v>0</v>
      </c>
      <c r="G1023" s="7">
        <v>0</v>
      </c>
      <c r="H1023" s="7">
        <v>81211.819999998</v>
      </c>
      <c r="I1023" s="7">
        <v>0</v>
      </c>
      <c r="J1023" s="8">
        <v>0</v>
      </c>
      <c r="K1023" s="9" t="str">
        <v/>
      </c>
    </row>
    <row r="1024" spans="1:11">
      <c r="A1024" t="str">
        <v/>
      </c>
      <c r="B1024" s="6">
        <v>0</v>
      </c>
      <c r="C1024" s="7" t="str">
        <v>趣点购浦发</v>
      </c>
      <c r="D1024" s="8">
        <v>0</v>
      </c>
      <c r="E1024" s="7">
        <v>0</v>
      </c>
      <c r="F1024" s="8">
        <v>0</v>
      </c>
      <c r="G1024" s="7">
        <v>0</v>
      </c>
      <c r="H1024" s="7">
        <v>81211.819999998</v>
      </c>
      <c r="I1024" s="7">
        <v>0</v>
      </c>
      <c r="J1024" s="8">
        <v>0</v>
      </c>
      <c r="K1024" s="9" t="str">
        <v/>
      </c>
    </row>
    <row r="1025" spans="1:11">
      <c r="A1025" t="str">
        <v/>
      </c>
      <c r="B1025" s="6">
        <v>0</v>
      </c>
      <c r="C1025" s="7" t="str">
        <v>趣点购浦发</v>
      </c>
      <c r="D1025" s="8">
        <v>0</v>
      </c>
      <c r="E1025" s="7">
        <v>0</v>
      </c>
      <c r="F1025" s="8">
        <v>0</v>
      </c>
      <c r="G1025" s="7">
        <v>0</v>
      </c>
      <c r="H1025" s="7">
        <v>81211.819999998</v>
      </c>
      <c r="I1025" s="7">
        <v>0</v>
      </c>
      <c r="J1025" s="8">
        <v>0</v>
      </c>
      <c r="K1025" s="9" t="str">
        <v/>
      </c>
    </row>
    <row r="1026" spans="1:11">
      <c r="A1026" t="str">
        <v/>
      </c>
      <c r="B1026" s="6">
        <v>0</v>
      </c>
      <c r="C1026" s="7" t="str">
        <v>趣点购浦发</v>
      </c>
      <c r="D1026" s="8">
        <v>0</v>
      </c>
      <c r="E1026" s="7">
        <v>0</v>
      </c>
      <c r="F1026" s="8">
        <v>0</v>
      </c>
      <c r="G1026" s="7">
        <v>0</v>
      </c>
      <c r="H1026" s="7">
        <v>81211.819999998</v>
      </c>
      <c r="I1026" s="7">
        <v>0</v>
      </c>
      <c r="J1026" s="8">
        <v>0</v>
      </c>
      <c r="K1026" s="9" t="str">
        <v/>
      </c>
    </row>
    <row r="1027" spans="1:11">
      <c r="A1027" t="str">
        <v/>
      </c>
      <c r="B1027" s="6">
        <v>0</v>
      </c>
      <c r="C1027" s="7" t="str">
        <v>趣点购浦发</v>
      </c>
      <c r="D1027" s="8">
        <v>0</v>
      </c>
      <c r="E1027" s="7">
        <v>0</v>
      </c>
      <c r="F1027" s="8">
        <v>0</v>
      </c>
      <c r="G1027" s="7">
        <v>0</v>
      </c>
      <c r="H1027" s="7">
        <v>81211.819999998</v>
      </c>
      <c r="I1027" s="7">
        <v>0</v>
      </c>
      <c r="J1027" s="8">
        <v>0</v>
      </c>
      <c r="K1027" s="9" t="str">
        <v/>
      </c>
    </row>
    <row r="1028" spans="1:11">
      <c r="A1028" t="str">
        <v/>
      </c>
      <c r="B1028" s="6">
        <v>0</v>
      </c>
      <c r="C1028" s="7" t="str">
        <v>趣点购浦发</v>
      </c>
      <c r="D1028" s="8">
        <v>0</v>
      </c>
      <c r="E1028" s="7">
        <v>0</v>
      </c>
      <c r="F1028" s="8">
        <v>0</v>
      </c>
      <c r="G1028" s="7">
        <v>0</v>
      </c>
      <c r="H1028" s="7">
        <v>81211.819999998</v>
      </c>
      <c r="I1028" s="7">
        <v>0</v>
      </c>
      <c r="J1028" s="8">
        <v>0</v>
      </c>
      <c r="K1028" s="9" t="str">
        <v/>
      </c>
    </row>
    <row r="1029" spans="1:11">
      <c r="A1029" t="str">
        <v/>
      </c>
      <c r="B1029" s="6">
        <v>0</v>
      </c>
      <c r="C1029" s="7" t="str">
        <v>趣点购浦发</v>
      </c>
      <c r="D1029" s="8">
        <v>0</v>
      </c>
      <c r="E1029" s="7">
        <v>0</v>
      </c>
      <c r="F1029" s="8">
        <v>0</v>
      </c>
      <c r="G1029" s="7">
        <v>0</v>
      </c>
      <c r="H1029" s="7">
        <v>81211.819999998</v>
      </c>
      <c r="I1029" s="7">
        <v>0</v>
      </c>
      <c r="J1029" s="8">
        <v>0</v>
      </c>
      <c r="K1029" s="9" t="str">
        <v/>
      </c>
    </row>
    <row r="1030" spans="1:11">
      <c r="A1030" t="str">
        <v/>
      </c>
      <c r="B1030" s="6">
        <v>0</v>
      </c>
      <c r="C1030" s="7" t="str">
        <v>趣点购浦发</v>
      </c>
      <c r="D1030" s="8">
        <v>0</v>
      </c>
      <c r="E1030" s="7">
        <v>0</v>
      </c>
      <c r="F1030" s="8">
        <v>0</v>
      </c>
      <c r="G1030" s="7">
        <v>0</v>
      </c>
      <c r="H1030" s="7">
        <v>81211.819999998</v>
      </c>
      <c r="I1030" s="7">
        <v>0</v>
      </c>
      <c r="J1030" s="8">
        <v>0</v>
      </c>
      <c r="K1030" s="9" t="str">
        <v/>
      </c>
    </row>
    <row r="1031" spans="1:11">
      <c r="A1031" t="str">
        <v/>
      </c>
      <c r="B1031" s="6">
        <v>0</v>
      </c>
      <c r="C1031" s="7" t="str">
        <v>趣点购浦发</v>
      </c>
      <c r="D1031" s="8">
        <v>0</v>
      </c>
      <c r="E1031" s="7">
        <v>0</v>
      </c>
      <c r="F1031" s="8">
        <v>0</v>
      </c>
      <c r="G1031" s="7">
        <v>0</v>
      </c>
      <c r="H1031" s="7">
        <v>81211.819999998</v>
      </c>
      <c r="I1031" s="7">
        <v>0</v>
      </c>
      <c r="J1031" s="8">
        <v>0</v>
      </c>
      <c r="K1031" s="9" t="str">
        <v/>
      </c>
    </row>
    <row r="1032" spans="1:11">
      <c r="A1032" t="str">
        <v/>
      </c>
      <c r="B1032" s="6">
        <v>0</v>
      </c>
      <c r="C1032" s="7" t="str">
        <v>趣点购浦发</v>
      </c>
      <c r="D1032" s="8">
        <v>0</v>
      </c>
      <c r="E1032" s="7">
        <v>0</v>
      </c>
      <c r="F1032" s="8">
        <v>0</v>
      </c>
      <c r="G1032" s="7">
        <v>0</v>
      </c>
      <c r="H1032" s="7">
        <v>81211.819999998</v>
      </c>
      <c r="I1032" s="7">
        <v>0</v>
      </c>
      <c r="J1032" s="8">
        <v>0</v>
      </c>
      <c r="K1032" s="9" t="str">
        <v/>
      </c>
    </row>
    <row r="1033" spans="1:11">
      <c r="A1033" t="str">
        <v/>
      </c>
      <c r="B1033" s="6">
        <v>0</v>
      </c>
      <c r="C1033" s="7" t="str">
        <v>趣点购浦发</v>
      </c>
      <c r="D1033" s="8">
        <v>0</v>
      </c>
      <c r="E1033" s="7">
        <v>0</v>
      </c>
      <c r="F1033" s="8">
        <v>0</v>
      </c>
      <c r="G1033" s="7">
        <v>0</v>
      </c>
      <c r="H1033" s="7">
        <v>81211.819999998</v>
      </c>
      <c r="I1033" s="7">
        <v>0</v>
      </c>
      <c r="J1033" s="8">
        <v>0</v>
      </c>
      <c r="K1033" s="9" t="str">
        <v/>
      </c>
    </row>
    <row r="1034" spans="1:11">
      <c r="A1034" t="str">
        <v/>
      </c>
      <c r="B1034" s="6">
        <v>0</v>
      </c>
      <c r="C1034" s="7" t="str">
        <v>趣点购浦发</v>
      </c>
      <c r="D1034" s="8">
        <v>0</v>
      </c>
      <c r="E1034" s="7">
        <v>0</v>
      </c>
      <c r="F1034" s="8">
        <v>0</v>
      </c>
      <c r="G1034" s="7">
        <v>0</v>
      </c>
      <c r="H1034" s="7">
        <v>81211.819999998</v>
      </c>
      <c r="I1034" s="7">
        <v>0</v>
      </c>
      <c r="J1034" s="8">
        <v>0</v>
      </c>
      <c r="K1034" s="9" t="str">
        <v/>
      </c>
    </row>
    <row r="1035" spans="1:11">
      <c r="A1035" t="str">
        <v/>
      </c>
      <c r="B1035" s="6">
        <v>0</v>
      </c>
      <c r="C1035" s="7" t="str">
        <v>趣点购浦发</v>
      </c>
      <c r="D1035" s="8">
        <v>0</v>
      </c>
      <c r="E1035" s="7">
        <v>0</v>
      </c>
      <c r="F1035" s="8">
        <v>0</v>
      </c>
      <c r="G1035" s="7">
        <v>0</v>
      </c>
      <c r="H1035" s="7">
        <v>81211.819999998</v>
      </c>
      <c r="I1035" s="7">
        <v>0</v>
      </c>
      <c r="J1035" s="8">
        <v>0</v>
      </c>
      <c r="K1035" s="9" t="str">
        <v/>
      </c>
    </row>
    <row r="1036" spans="1:11">
      <c r="A1036" t="str">
        <v/>
      </c>
      <c r="B1036" s="6">
        <v>0</v>
      </c>
      <c r="C1036" s="7" t="str">
        <v>趣点购浦发</v>
      </c>
      <c r="D1036" s="8">
        <v>0</v>
      </c>
      <c r="E1036" s="7">
        <v>0</v>
      </c>
      <c r="F1036" s="8">
        <v>0</v>
      </c>
      <c r="G1036" s="7">
        <v>0</v>
      </c>
      <c r="H1036" s="7">
        <v>81211.819999998</v>
      </c>
      <c r="I1036" s="7">
        <v>0</v>
      </c>
      <c r="J1036" s="8">
        <v>0</v>
      </c>
      <c r="K1036" s="9" t="str">
        <v/>
      </c>
    </row>
    <row r="1037" spans="1:11">
      <c r="A1037" t="str">
        <v/>
      </c>
      <c r="B1037" s="6">
        <v>0</v>
      </c>
      <c r="C1037" s="7" t="str">
        <v>趣点购浦发</v>
      </c>
      <c r="D1037" s="8">
        <v>0</v>
      </c>
      <c r="E1037" s="7">
        <v>0</v>
      </c>
      <c r="F1037" s="8">
        <v>0</v>
      </c>
      <c r="G1037" s="7">
        <v>0</v>
      </c>
      <c r="H1037" s="7">
        <v>81211.819999998</v>
      </c>
      <c r="I1037" s="7">
        <v>0</v>
      </c>
      <c r="J1037" s="8">
        <v>0</v>
      </c>
      <c r="K1037" s="9" t="str">
        <v/>
      </c>
    </row>
    <row r="1038" spans="1:11">
      <c r="A1038" t="str">
        <v/>
      </c>
      <c r="B1038" s="6">
        <v>0</v>
      </c>
      <c r="C1038" s="7" t="str">
        <v>趣点购浦发</v>
      </c>
      <c r="D1038" s="8">
        <v>0</v>
      </c>
      <c r="E1038" s="7">
        <v>0</v>
      </c>
      <c r="F1038" s="8">
        <v>0</v>
      </c>
      <c r="G1038" s="7">
        <v>0</v>
      </c>
      <c r="H1038" s="7">
        <v>81211.819999998</v>
      </c>
      <c r="I1038" s="7">
        <v>0</v>
      </c>
      <c r="J1038" s="8">
        <v>0</v>
      </c>
      <c r="K1038" s="9" t="str">
        <v/>
      </c>
    </row>
    <row r="1039" spans="1:11">
      <c r="A1039" t="str">
        <v/>
      </c>
      <c r="B1039" s="6">
        <v>0</v>
      </c>
      <c r="C1039" s="7" t="str">
        <v>趣点购浦发</v>
      </c>
      <c r="D1039" s="8">
        <v>0</v>
      </c>
      <c r="E1039" s="7">
        <v>0</v>
      </c>
      <c r="F1039" s="8">
        <v>0</v>
      </c>
      <c r="G1039" s="7">
        <v>0</v>
      </c>
      <c r="H1039" s="7">
        <v>81211.819999998</v>
      </c>
      <c r="I1039" s="7">
        <v>0</v>
      </c>
      <c r="J1039" s="8">
        <v>0</v>
      </c>
      <c r="K1039" s="9" t="str">
        <v/>
      </c>
    </row>
    <row r="1040" spans="1:11">
      <c r="A1040" t="str">
        <v/>
      </c>
      <c r="B1040" s="6">
        <v>0</v>
      </c>
      <c r="C1040" s="7" t="str">
        <v>趣点购浦发</v>
      </c>
      <c r="D1040" s="8">
        <v>0</v>
      </c>
      <c r="E1040" s="7">
        <v>0</v>
      </c>
      <c r="F1040" s="8">
        <v>0</v>
      </c>
      <c r="G1040" s="7">
        <v>0</v>
      </c>
      <c r="H1040" s="7">
        <v>81211.819999998</v>
      </c>
      <c r="I1040" s="7">
        <v>0</v>
      </c>
      <c r="J1040" s="8">
        <v>0</v>
      </c>
      <c r="K1040" s="9" t="str">
        <v/>
      </c>
    </row>
    <row r="1041" spans="1:11">
      <c r="A1041" t="str">
        <v/>
      </c>
      <c r="B1041" s="6">
        <v>0</v>
      </c>
      <c r="C1041" s="7" t="str">
        <v>趣点购浦发</v>
      </c>
      <c r="D1041" s="8">
        <v>0</v>
      </c>
      <c r="E1041" s="7">
        <v>0</v>
      </c>
      <c r="F1041" s="8">
        <v>0</v>
      </c>
      <c r="G1041" s="7">
        <v>0</v>
      </c>
      <c r="H1041" s="7">
        <v>81211.819999998</v>
      </c>
      <c r="I1041" s="7">
        <v>0</v>
      </c>
      <c r="J1041" s="8">
        <v>0</v>
      </c>
      <c r="K1041" s="9" t="str">
        <v/>
      </c>
    </row>
    <row r="1042" spans="1:11">
      <c r="A1042" t="str">
        <v/>
      </c>
      <c r="B1042" s="6">
        <v>0</v>
      </c>
      <c r="C1042" s="7" t="str">
        <v>趣点购浦发</v>
      </c>
      <c r="D1042" s="8">
        <v>0</v>
      </c>
      <c r="E1042" s="7">
        <v>0</v>
      </c>
      <c r="F1042" s="8">
        <v>0</v>
      </c>
      <c r="G1042" s="7">
        <v>0</v>
      </c>
      <c r="H1042" s="7">
        <v>81211.819999998</v>
      </c>
      <c r="I1042" s="7">
        <v>0</v>
      </c>
      <c r="J1042" s="8">
        <v>0</v>
      </c>
      <c r="K1042" s="9" t="str">
        <v/>
      </c>
    </row>
    <row r="1043" spans="1:11">
      <c r="A1043" t="str">
        <v/>
      </c>
      <c r="B1043" s="6">
        <v>0</v>
      </c>
      <c r="C1043" s="7" t="str">
        <v>趣点购浦发</v>
      </c>
      <c r="D1043" s="8">
        <v>0</v>
      </c>
      <c r="E1043" s="7">
        <v>0</v>
      </c>
      <c r="F1043" s="8">
        <v>0</v>
      </c>
      <c r="G1043" s="7">
        <v>0</v>
      </c>
      <c r="H1043" s="7">
        <v>81211.819999998</v>
      </c>
      <c r="I1043" s="7">
        <v>0</v>
      </c>
      <c r="J1043" s="8">
        <v>0</v>
      </c>
      <c r="K1043" s="9" t="str">
        <v/>
      </c>
    </row>
    <row r="1044" spans="1:11">
      <c r="A1044" t="str">
        <v/>
      </c>
      <c r="B1044" s="6">
        <v>0</v>
      </c>
      <c r="C1044" s="7" t="str">
        <v>趣点购浦发</v>
      </c>
      <c r="D1044" s="8">
        <v>0</v>
      </c>
      <c r="E1044" s="7">
        <v>0</v>
      </c>
      <c r="F1044" s="8">
        <v>0</v>
      </c>
      <c r="G1044" s="7">
        <v>0</v>
      </c>
      <c r="H1044" s="7">
        <v>81211.819999998</v>
      </c>
      <c r="I1044" s="7">
        <v>0</v>
      </c>
      <c r="J1044" s="8">
        <v>0</v>
      </c>
      <c r="K1044" s="9" t="str">
        <v/>
      </c>
    </row>
    <row r="1045" spans="1:11">
      <c r="A1045" t="str">
        <v/>
      </c>
      <c r="B1045" s="6">
        <v>0</v>
      </c>
      <c r="C1045" s="7" t="str">
        <v>趣点购浦发</v>
      </c>
      <c r="D1045" s="8">
        <v>0</v>
      </c>
      <c r="E1045" s="7">
        <v>0</v>
      </c>
      <c r="F1045" s="8">
        <v>0</v>
      </c>
      <c r="G1045" s="7">
        <v>0</v>
      </c>
      <c r="H1045" s="7">
        <v>81211.819999998</v>
      </c>
      <c r="I1045" s="7">
        <v>0</v>
      </c>
      <c r="J1045" s="8">
        <v>0</v>
      </c>
      <c r="K1045" s="9" t="str">
        <v/>
      </c>
    </row>
    <row r="1046" spans="1:11">
      <c r="A1046" t="str">
        <v/>
      </c>
      <c r="B1046" s="6">
        <v>0</v>
      </c>
      <c r="C1046" s="7" t="str">
        <v>趣点购浦发</v>
      </c>
      <c r="D1046" s="8">
        <v>0</v>
      </c>
      <c r="E1046" s="7">
        <v>0</v>
      </c>
      <c r="F1046" s="8">
        <v>0</v>
      </c>
      <c r="G1046" s="7">
        <v>0</v>
      </c>
      <c r="H1046" s="7">
        <v>81211.819999998</v>
      </c>
      <c r="I1046" s="7">
        <v>0</v>
      </c>
      <c r="J1046" s="8">
        <v>0</v>
      </c>
      <c r="K1046" s="9" t="str">
        <v/>
      </c>
    </row>
    <row r="1047" spans="1:11">
      <c r="A1047" t="str">
        <v/>
      </c>
      <c r="B1047" s="6">
        <v>0</v>
      </c>
      <c r="C1047" s="7" t="str">
        <v>趣点购浦发</v>
      </c>
      <c r="D1047" s="8">
        <v>0</v>
      </c>
      <c r="E1047" s="7">
        <v>0</v>
      </c>
      <c r="F1047" s="8">
        <v>0</v>
      </c>
      <c r="G1047" s="7">
        <v>0</v>
      </c>
      <c r="H1047" s="7">
        <v>81211.819999998</v>
      </c>
      <c r="I1047" s="7">
        <v>0</v>
      </c>
      <c r="J1047" s="8">
        <v>0</v>
      </c>
      <c r="K1047" s="9" t="str">
        <v/>
      </c>
    </row>
    <row r="1048" spans="1:11">
      <c r="A1048" t="str">
        <v/>
      </c>
      <c r="B1048" s="6">
        <v>0</v>
      </c>
      <c r="C1048" s="7" t="str">
        <v>趣点购浦发</v>
      </c>
      <c r="D1048" s="8">
        <v>0</v>
      </c>
      <c r="E1048" s="7">
        <v>0</v>
      </c>
      <c r="F1048" s="8">
        <v>0</v>
      </c>
      <c r="G1048" s="7">
        <v>0</v>
      </c>
      <c r="H1048" s="7">
        <v>81211.819999998</v>
      </c>
      <c r="I1048" s="7">
        <v>0</v>
      </c>
      <c r="J1048" s="8">
        <v>0</v>
      </c>
      <c r="K1048" s="9" t="str">
        <v/>
      </c>
    </row>
    <row r="1049" spans="1:11">
      <c r="A1049" t="str">
        <v/>
      </c>
      <c r="B1049" s="6">
        <v>0</v>
      </c>
      <c r="C1049" s="7" t="str">
        <v>趣点购浦发</v>
      </c>
      <c r="D1049" s="8">
        <v>0</v>
      </c>
      <c r="E1049" s="7">
        <v>0</v>
      </c>
      <c r="F1049" s="8">
        <v>0</v>
      </c>
      <c r="G1049" s="7">
        <v>0</v>
      </c>
      <c r="H1049" s="7">
        <v>81211.819999998</v>
      </c>
      <c r="I1049" s="7">
        <v>0</v>
      </c>
      <c r="J1049" s="8">
        <v>0</v>
      </c>
      <c r="K1049" s="9" t="str">
        <v/>
      </c>
    </row>
    <row r="1050" spans="1:11">
      <c r="A1050" t="str">
        <v/>
      </c>
      <c r="B1050" s="6">
        <v>0</v>
      </c>
      <c r="C1050" s="7" t="str">
        <v>趣点购浦发</v>
      </c>
      <c r="D1050" s="8">
        <v>0</v>
      </c>
      <c r="E1050" s="7">
        <v>0</v>
      </c>
      <c r="F1050" s="8">
        <v>0</v>
      </c>
      <c r="G1050" s="7">
        <v>0</v>
      </c>
      <c r="H1050" s="7">
        <v>81211.819999998</v>
      </c>
      <c r="I1050" s="7">
        <v>0</v>
      </c>
      <c r="J1050" s="8">
        <v>0</v>
      </c>
      <c r="K1050" s="9" t="str">
        <v/>
      </c>
    </row>
    <row r="1051" spans="1:11">
      <c r="A1051" t="str">
        <v/>
      </c>
      <c r="B1051" s="6">
        <v>0</v>
      </c>
      <c r="C1051" s="7" t="str">
        <v>趣点购浦发</v>
      </c>
      <c r="D1051" s="8">
        <v>0</v>
      </c>
      <c r="E1051" s="7">
        <v>0</v>
      </c>
      <c r="F1051" s="8">
        <v>0</v>
      </c>
      <c r="G1051" s="7">
        <v>0</v>
      </c>
      <c r="H1051" s="7">
        <v>81211.819999998</v>
      </c>
      <c r="I1051" s="7">
        <v>0</v>
      </c>
      <c r="J1051" s="8">
        <v>0</v>
      </c>
      <c r="K1051" s="9" t="str">
        <v/>
      </c>
    </row>
    <row r="1052" spans="1:11">
      <c r="A1052" t="str">
        <v/>
      </c>
      <c r="B1052" s="6">
        <v>0</v>
      </c>
      <c r="C1052" s="7" t="str">
        <v>趣点购浦发</v>
      </c>
      <c r="D1052" s="8">
        <v>0</v>
      </c>
      <c r="E1052" s="7">
        <v>0</v>
      </c>
      <c r="F1052" s="8">
        <v>0</v>
      </c>
      <c r="G1052" s="7">
        <v>0</v>
      </c>
      <c r="H1052" s="7">
        <v>81211.819999998</v>
      </c>
      <c r="I1052" s="7">
        <v>0</v>
      </c>
      <c r="J1052" s="8">
        <v>0</v>
      </c>
      <c r="K1052" s="9" t="str">
        <v/>
      </c>
    </row>
    <row r="1053" spans="1:11">
      <c r="A1053" t="str">
        <v/>
      </c>
      <c r="B1053" s="6">
        <v>0</v>
      </c>
      <c r="C1053" s="7" t="str">
        <v>趣点购浦发</v>
      </c>
      <c r="D1053" s="8">
        <v>0</v>
      </c>
      <c r="E1053" s="7">
        <v>0</v>
      </c>
      <c r="F1053" s="8">
        <v>0</v>
      </c>
      <c r="G1053" s="7">
        <v>0</v>
      </c>
      <c r="H1053" s="7">
        <v>81211.819999998</v>
      </c>
      <c r="I1053" s="7">
        <v>0</v>
      </c>
      <c r="J1053" s="8">
        <v>0</v>
      </c>
      <c r="K1053" s="9" t="str">
        <v/>
      </c>
    </row>
    <row r="1054" spans="1:11">
      <c r="A1054" t="str">
        <v/>
      </c>
      <c r="B1054" s="6">
        <v>0</v>
      </c>
      <c r="C1054" s="7" t="str">
        <v>趣点购浦发</v>
      </c>
      <c r="D1054" s="8">
        <v>0</v>
      </c>
      <c r="E1054" s="7">
        <v>0</v>
      </c>
      <c r="F1054" s="8">
        <v>0</v>
      </c>
      <c r="G1054" s="7">
        <v>0</v>
      </c>
      <c r="H1054" s="7">
        <v>81211.819999998</v>
      </c>
      <c r="I1054" s="7">
        <v>0</v>
      </c>
      <c r="J1054" s="8">
        <v>0</v>
      </c>
      <c r="K1054" s="9" t="str">
        <v/>
      </c>
    </row>
    <row r="1055" spans="1:11">
      <c r="A1055" t="str">
        <v/>
      </c>
      <c r="B1055" s="6">
        <v>0</v>
      </c>
      <c r="C1055" s="7" t="str">
        <v>趣点购浦发</v>
      </c>
      <c r="D1055" s="8">
        <v>0</v>
      </c>
      <c r="E1055" s="7">
        <v>0</v>
      </c>
      <c r="F1055" s="8">
        <v>0</v>
      </c>
      <c r="G1055" s="7">
        <v>0</v>
      </c>
      <c r="H1055" s="7">
        <v>81211.819999998</v>
      </c>
      <c r="I1055" s="7">
        <v>0</v>
      </c>
      <c r="J1055" s="8">
        <v>0</v>
      </c>
      <c r="K1055" s="9" t="str">
        <v/>
      </c>
    </row>
    <row r="1056" spans="1:11">
      <c r="A1056" t="str">
        <v/>
      </c>
      <c r="B1056" s="6">
        <v>0</v>
      </c>
      <c r="C1056" s="7" t="str">
        <v>趣点购浦发</v>
      </c>
      <c r="D1056" s="8">
        <v>0</v>
      </c>
      <c r="E1056" s="7">
        <v>0</v>
      </c>
      <c r="F1056" s="8">
        <v>0</v>
      </c>
      <c r="G1056" s="7">
        <v>0</v>
      </c>
      <c r="H1056" s="7">
        <v>81211.819999998</v>
      </c>
      <c r="I1056" s="7">
        <v>0</v>
      </c>
      <c r="J1056" s="8">
        <v>0</v>
      </c>
      <c r="K1056" s="9" t="str">
        <v/>
      </c>
    </row>
    <row r="1057" spans="1:11">
      <c r="A1057" t="str">
        <v/>
      </c>
      <c r="B1057" s="6">
        <v>0</v>
      </c>
      <c r="C1057" s="7" t="str">
        <v>趣点购浦发</v>
      </c>
      <c r="D1057" s="8">
        <v>0</v>
      </c>
      <c r="E1057" s="7">
        <v>0</v>
      </c>
      <c r="F1057" s="8">
        <v>0</v>
      </c>
      <c r="G1057" s="7">
        <v>0</v>
      </c>
      <c r="H1057" s="7">
        <v>81211.819999998</v>
      </c>
      <c r="I1057" s="7">
        <v>0</v>
      </c>
      <c r="J1057" s="8">
        <v>0</v>
      </c>
      <c r="K1057" s="9" t="str">
        <v/>
      </c>
    </row>
    <row r="1058" spans="1:11">
      <c r="A1058" t="str">
        <v/>
      </c>
      <c r="B1058" s="6">
        <v>0</v>
      </c>
      <c r="C1058" s="7" t="str">
        <v>趣点购浦发</v>
      </c>
      <c r="D1058" s="8">
        <v>0</v>
      </c>
      <c r="E1058" s="7">
        <v>0</v>
      </c>
      <c r="F1058" s="8">
        <v>0</v>
      </c>
      <c r="G1058" s="7">
        <v>0</v>
      </c>
      <c r="H1058" s="7">
        <v>81211.819999998</v>
      </c>
      <c r="I1058" s="7">
        <v>0</v>
      </c>
      <c r="J1058" s="8">
        <v>0</v>
      </c>
      <c r="K1058" s="9" t="str">
        <v/>
      </c>
    </row>
    <row r="1059" spans="1:11">
      <c r="A1059" t="str">
        <v/>
      </c>
      <c r="B1059" s="6">
        <v>0</v>
      </c>
      <c r="C1059" s="7" t="str">
        <v>趣点购浦发</v>
      </c>
      <c r="D1059" s="8">
        <v>0</v>
      </c>
      <c r="E1059" s="7">
        <v>0</v>
      </c>
      <c r="F1059" s="8">
        <v>0</v>
      </c>
      <c r="G1059" s="7">
        <v>0</v>
      </c>
      <c r="H1059" s="7">
        <v>81211.819999998</v>
      </c>
      <c r="I1059" s="7">
        <v>0</v>
      </c>
      <c r="J1059" s="8">
        <v>0</v>
      </c>
      <c r="K1059" s="9" t="str">
        <v/>
      </c>
    </row>
    <row r="1060" spans="1:11">
      <c r="A1060" t="str">
        <v/>
      </c>
      <c r="B1060" s="6">
        <v>0</v>
      </c>
      <c r="C1060" s="7" t="str">
        <v>趣点购浦发</v>
      </c>
      <c r="D1060" s="8">
        <v>0</v>
      </c>
      <c r="E1060" s="7">
        <v>0</v>
      </c>
      <c r="F1060" s="8">
        <v>0</v>
      </c>
      <c r="G1060" s="7">
        <v>0</v>
      </c>
      <c r="H1060" s="7">
        <v>81211.819999998</v>
      </c>
      <c r="I1060" s="7">
        <v>0</v>
      </c>
      <c r="J1060" s="8">
        <v>0</v>
      </c>
      <c r="K1060" s="9" t="str">
        <v/>
      </c>
    </row>
    <row r="1061" spans="1:11">
      <c r="A1061" t="str">
        <v/>
      </c>
      <c r="B1061" s="6">
        <v>0</v>
      </c>
      <c r="C1061" s="7" t="str">
        <v>趣点购浦发</v>
      </c>
      <c r="D1061" s="8">
        <v>0</v>
      </c>
      <c r="E1061" s="7">
        <v>0</v>
      </c>
      <c r="F1061" s="8">
        <v>0</v>
      </c>
      <c r="G1061" s="7">
        <v>0</v>
      </c>
      <c r="H1061" s="7">
        <v>81211.819999998</v>
      </c>
      <c r="I1061" s="7">
        <v>0</v>
      </c>
      <c r="J1061" s="8">
        <v>0</v>
      </c>
      <c r="K1061" s="9" t="str">
        <v/>
      </c>
    </row>
    <row r="1062" spans="1:11">
      <c r="A1062" t="str">
        <v/>
      </c>
      <c r="B1062" s="6">
        <v>0</v>
      </c>
      <c r="C1062" s="7" t="str">
        <v>趣点购浦发</v>
      </c>
      <c r="D1062" s="8">
        <v>0</v>
      </c>
      <c r="E1062" s="7">
        <v>0</v>
      </c>
      <c r="F1062" s="8">
        <v>0</v>
      </c>
      <c r="G1062" s="7">
        <v>0</v>
      </c>
      <c r="H1062" s="7">
        <v>81211.819999998</v>
      </c>
      <c r="I1062" s="7">
        <v>0</v>
      </c>
      <c r="J1062" s="8">
        <v>0</v>
      </c>
      <c r="K1062" s="9" t="str">
        <v/>
      </c>
    </row>
    <row r="1063" spans="1:11">
      <c r="A1063" t="str">
        <v/>
      </c>
      <c r="B1063" s="6">
        <v>0</v>
      </c>
      <c r="C1063" s="7" t="str">
        <v>趣点购浦发</v>
      </c>
      <c r="D1063" s="8">
        <v>0</v>
      </c>
      <c r="E1063" s="7">
        <v>0</v>
      </c>
      <c r="F1063" s="8">
        <v>0</v>
      </c>
      <c r="G1063" s="7">
        <v>0</v>
      </c>
      <c r="H1063" s="7">
        <v>81211.819999998</v>
      </c>
      <c r="I1063" s="7">
        <v>0</v>
      </c>
      <c r="J1063" s="8">
        <v>0</v>
      </c>
      <c r="K1063" s="9" t="str">
        <v/>
      </c>
    </row>
    <row r="1064" spans="1:11">
      <c r="A1064" t="str">
        <v/>
      </c>
      <c r="B1064" s="6">
        <v>0</v>
      </c>
      <c r="C1064" s="7" t="str">
        <v>趣点购浦发</v>
      </c>
      <c r="D1064" s="8">
        <v>0</v>
      </c>
      <c r="E1064" s="7">
        <v>0</v>
      </c>
      <c r="F1064" s="8">
        <v>0</v>
      </c>
      <c r="G1064" s="7">
        <v>0</v>
      </c>
      <c r="H1064" s="7">
        <v>81211.819999998</v>
      </c>
      <c r="I1064" s="7">
        <v>0</v>
      </c>
      <c r="J1064" s="8">
        <v>0</v>
      </c>
      <c r="K1064" s="9" t="str">
        <v/>
      </c>
    </row>
    <row r="1065" spans="1:11">
      <c r="A1065" t="str">
        <v/>
      </c>
      <c r="B1065" s="6">
        <v>0</v>
      </c>
      <c r="C1065" s="7" t="str">
        <v>趣点购浦发</v>
      </c>
      <c r="D1065" s="8">
        <v>0</v>
      </c>
      <c r="E1065" s="7">
        <v>0</v>
      </c>
      <c r="F1065" s="8">
        <v>0</v>
      </c>
      <c r="G1065" s="7">
        <v>0</v>
      </c>
      <c r="H1065" s="7">
        <v>81211.819999998</v>
      </c>
      <c r="I1065" s="7">
        <v>0</v>
      </c>
      <c r="J1065" s="8">
        <v>0</v>
      </c>
      <c r="K1065" s="9" t="str">
        <v/>
      </c>
    </row>
    <row r="1066" spans="1:11">
      <c r="A1066" t="str">
        <v/>
      </c>
      <c r="B1066" s="6">
        <v>0</v>
      </c>
      <c r="C1066" s="7" t="str">
        <v>趣点购浦发</v>
      </c>
      <c r="D1066" s="8">
        <v>0</v>
      </c>
      <c r="E1066" s="7">
        <v>0</v>
      </c>
      <c r="F1066" s="8">
        <v>0</v>
      </c>
      <c r="G1066" s="7">
        <v>0</v>
      </c>
      <c r="H1066" s="7">
        <v>81211.819999998</v>
      </c>
      <c r="I1066" s="7">
        <v>0</v>
      </c>
      <c r="J1066" s="8">
        <v>0</v>
      </c>
      <c r="K1066" s="9" t="str">
        <v/>
      </c>
    </row>
    <row r="1067" spans="1:11">
      <c r="A1067" t="str">
        <v/>
      </c>
      <c r="B1067" s="6">
        <v>0</v>
      </c>
      <c r="C1067" s="7" t="str">
        <v>趣点购浦发</v>
      </c>
      <c r="D1067" s="8">
        <v>0</v>
      </c>
      <c r="E1067" s="7">
        <v>0</v>
      </c>
      <c r="F1067" s="8">
        <v>0</v>
      </c>
      <c r="G1067" s="7">
        <v>0</v>
      </c>
      <c r="H1067" s="7">
        <v>81211.819999998</v>
      </c>
      <c r="I1067" s="7">
        <v>0</v>
      </c>
      <c r="J1067" s="8">
        <v>0</v>
      </c>
      <c r="K1067" s="9" t="str">
        <v/>
      </c>
    </row>
    <row r="1068" spans="1:11">
      <c r="A1068" t="str">
        <v/>
      </c>
      <c r="B1068" s="6">
        <v>0</v>
      </c>
      <c r="C1068" s="7" t="str">
        <v>趣点购浦发</v>
      </c>
      <c r="D1068" s="8">
        <v>0</v>
      </c>
      <c r="E1068" s="7">
        <v>0</v>
      </c>
      <c r="F1068" s="8">
        <v>0</v>
      </c>
      <c r="G1068" s="7">
        <v>0</v>
      </c>
      <c r="H1068" s="7">
        <v>81211.819999998</v>
      </c>
      <c r="I1068" s="7">
        <v>0</v>
      </c>
      <c r="J1068" s="8">
        <v>0</v>
      </c>
      <c r="K1068" s="9" t="str">
        <v/>
      </c>
    </row>
    <row r="1069" spans="1:11">
      <c r="A1069" t="str">
        <v/>
      </c>
      <c r="B1069" s="6">
        <v>0</v>
      </c>
      <c r="C1069" s="7" t="str">
        <v>趣点购浦发</v>
      </c>
      <c r="D1069" s="8">
        <v>0</v>
      </c>
      <c r="E1069" s="7">
        <v>0</v>
      </c>
      <c r="F1069" s="8">
        <v>0</v>
      </c>
      <c r="G1069" s="7">
        <v>0</v>
      </c>
      <c r="H1069" s="7">
        <v>81211.819999998</v>
      </c>
      <c r="I1069" s="7">
        <v>0</v>
      </c>
      <c r="J1069" s="8">
        <v>0</v>
      </c>
      <c r="K1069" s="9" t="str">
        <v/>
      </c>
    </row>
    <row r="1070" spans="1:11">
      <c r="A1070" t="str">
        <v/>
      </c>
      <c r="B1070" s="6">
        <v>0</v>
      </c>
      <c r="C1070" s="7" t="str">
        <v>趣点购浦发</v>
      </c>
      <c r="D1070" s="8">
        <v>0</v>
      </c>
      <c r="E1070" s="7">
        <v>0</v>
      </c>
      <c r="F1070" s="8">
        <v>0</v>
      </c>
      <c r="G1070" s="7">
        <v>0</v>
      </c>
      <c r="H1070" s="7">
        <v>81211.819999998</v>
      </c>
      <c r="I1070" s="7">
        <v>0</v>
      </c>
      <c r="J1070" s="8">
        <v>0</v>
      </c>
      <c r="K1070" s="9" t="str">
        <v/>
      </c>
    </row>
    <row r="1071" spans="1:11">
      <c r="A1071" t="str">
        <v/>
      </c>
      <c r="B1071" s="6">
        <v>0</v>
      </c>
      <c r="C1071" s="7" t="str">
        <v>趣点购浦发</v>
      </c>
      <c r="D1071" s="8">
        <v>0</v>
      </c>
      <c r="E1071" s="7">
        <v>0</v>
      </c>
      <c r="F1071" s="8">
        <v>0</v>
      </c>
      <c r="G1071" s="7">
        <v>0</v>
      </c>
      <c r="H1071" s="7">
        <v>81211.819999998</v>
      </c>
      <c r="I1071" s="7">
        <v>0</v>
      </c>
      <c r="J1071" s="8">
        <v>0</v>
      </c>
      <c r="K1071" s="9" t="str">
        <v/>
      </c>
    </row>
    <row r="1072" spans="1:11">
      <c r="A1072" t="str">
        <v/>
      </c>
      <c r="B1072" s="6">
        <v>0</v>
      </c>
      <c r="C1072" s="7" t="str">
        <v>趣点购浦发</v>
      </c>
      <c r="D1072" s="8">
        <v>0</v>
      </c>
      <c r="E1072" s="7">
        <v>0</v>
      </c>
      <c r="F1072" s="8">
        <v>0</v>
      </c>
      <c r="G1072" s="7">
        <v>0</v>
      </c>
      <c r="H1072" s="7">
        <v>81211.819999998</v>
      </c>
      <c r="I1072" s="7">
        <v>0</v>
      </c>
      <c r="J1072" s="8">
        <v>0</v>
      </c>
      <c r="K1072" s="9" t="str">
        <v/>
      </c>
    </row>
    <row r="1073" spans="1:11">
      <c r="A1073" t="str">
        <v/>
      </c>
      <c r="B1073" s="6">
        <v>0</v>
      </c>
      <c r="C1073" s="7" t="str">
        <v>趣点购浦发</v>
      </c>
      <c r="D1073" s="8">
        <v>0</v>
      </c>
      <c r="E1073" s="7">
        <v>0</v>
      </c>
      <c r="F1073" s="8">
        <v>0</v>
      </c>
      <c r="G1073" s="7">
        <v>0</v>
      </c>
      <c r="H1073" s="7">
        <v>81211.819999998</v>
      </c>
      <c r="I1073" s="7">
        <v>0</v>
      </c>
      <c r="J1073" s="8">
        <v>0</v>
      </c>
      <c r="K1073" s="9" t="str">
        <v/>
      </c>
    </row>
    <row r="1074" spans="1:11">
      <c r="A1074" t="str">
        <v/>
      </c>
      <c r="B1074" s="6">
        <v>0</v>
      </c>
      <c r="C1074" s="7" t="str">
        <v>趣点购浦发</v>
      </c>
      <c r="D1074" s="8">
        <v>0</v>
      </c>
      <c r="E1074" s="7">
        <v>0</v>
      </c>
      <c r="F1074" s="8">
        <v>0</v>
      </c>
      <c r="G1074" s="7">
        <v>0</v>
      </c>
      <c r="H1074" s="7">
        <v>81211.819999998</v>
      </c>
      <c r="I1074" s="7">
        <v>0</v>
      </c>
      <c r="J1074" s="8">
        <v>0</v>
      </c>
      <c r="K1074" s="9" t="str">
        <v/>
      </c>
    </row>
    <row r="1075" spans="1:11">
      <c r="A1075" t="str">
        <v/>
      </c>
      <c r="B1075" s="6">
        <v>0</v>
      </c>
      <c r="C1075" s="7" t="str">
        <v>趣点购浦发</v>
      </c>
      <c r="D1075" s="8">
        <v>0</v>
      </c>
      <c r="E1075" s="7">
        <v>0</v>
      </c>
      <c r="F1075" s="8">
        <v>0</v>
      </c>
      <c r="G1075" s="7">
        <v>0</v>
      </c>
      <c r="H1075" s="7">
        <v>81211.819999998</v>
      </c>
      <c r="I1075" s="7">
        <v>0</v>
      </c>
      <c r="J1075" s="8">
        <v>0</v>
      </c>
      <c r="K1075" s="9" t="str">
        <v/>
      </c>
    </row>
    <row r="1076" spans="1:11">
      <c r="A1076" t="str">
        <v/>
      </c>
      <c r="B1076" s="6">
        <v>0</v>
      </c>
      <c r="C1076" s="7" t="str">
        <v>趣点购浦发</v>
      </c>
      <c r="D1076" s="8">
        <v>0</v>
      </c>
      <c r="E1076" s="7">
        <v>0</v>
      </c>
      <c r="F1076" s="8">
        <v>0</v>
      </c>
      <c r="G1076" s="7">
        <v>0</v>
      </c>
      <c r="H1076" s="7">
        <v>81211.819999998</v>
      </c>
      <c r="I1076" s="7">
        <v>0</v>
      </c>
      <c r="J1076" s="8">
        <v>0</v>
      </c>
      <c r="K1076" s="9" t="str">
        <v/>
      </c>
    </row>
    <row r="1077" spans="1:11">
      <c r="A1077" t="str">
        <v/>
      </c>
      <c r="B1077" s="6">
        <v>0</v>
      </c>
      <c r="C1077" s="7" t="str">
        <v>趣点购浦发</v>
      </c>
      <c r="D1077" s="8">
        <v>0</v>
      </c>
      <c r="E1077" s="7">
        <v>0</v>
      </c>
      <c r="F1077" s="8">
        <v>0</v>
      </c>
      <c r="G1077" s="7">
        <v>0</v>
      </c>
      <c r="H1077" s="7">
        <v>81211.819999998</v>
      </c>
      <c r="I1077" s="7">
        <v>0</v>
      </c>
      <c r="J1077" s="8">
        <v>0</v>
      </c>
      <c r="K1077" s="9" t="str">
        <v/>
      </c>
    </row>
    <row r="1078" spans="1:11">
      <c r="A1078" t="str">
        <v/>
      </c>
      <c r="B1078" s="6">
        <v>0</v>
      </c>
      <c r="C1078" s="7" t="str">
        <v>趣点购浦发</v>
      </c>
      <c r="D1078" s="8">
        <v>0</v>
      </c>
      <c r="E1078" s="7">
        <v>0</v>
      </c>
      <c r="F1078" s="8">
        <v>0</v>
      </c>
      <c r="G1078" s="7">
        <v>0</v>
      </c>
      <c r="H1078" s="7">
        <v>81211.819999998</v>
      </c>
      <c r="I1078" s="7">
        <v>0</v>
      </c>
      <c r="J1078" s="8">
        <v>0</v>
      </c>
      <c r="K1078" s="9" t="str">
        <v/>
      </c>
    </row>
    <row r="1079" spans="1:11">
      <c r="A1079" t="str">
        <v/>
      </c>
      <c r="B1079" s="6">
        <v>0</v>
      </c>
      <c r="C1079" s="7" t="str">
        <v>趣点购浦发</v>
      </c>
      <c r="D1079" s="8">
        <v>0</v>
      </c>
      <c r="E1079" s="7">
        <v>0</v>
      </c>
      <c r="F1079" s="8">
        <v>0</v>
      </c>
      <c r="G1079" s="7">
        <v>0</v>
      </c>
      <c r="H1079" s="7">
        <v>81211.819999998</v>
      </c>
      <c r="I1079" s="7">
        <v>0</v>
      </c>
      <c r="J1079" s="8">
        <v>0</v>
      </c>
      <c r="K1079" s="9" t="str">
        <v/>
      </c>
    </row>
    <row r="1080" spans="1:11">
      <c r="A1080" t="str">
        <v/>
      </c>
      <c r="B1080" s="6">
        <v>0</v>
      </c>
      <c r="C1080" s="7" t="str">
        <v>趣点购浦发</v>
      </c>
      <c r="D1080" s="8">
        <v>0</v>
      </c>
      <c r="E1080" s="7">
        <v>0</v>
      </c>
      <c r="F1080" s="8">
        <v>0</v>
      </c>
      <c r="G1080" s="7">
        <v>0</v>
      </c>
      <c r="H1080" s="7">
        <v>81211.819999998</v>
      </c>
      <c r="I1080" s="7">
        <v>0</v>
      </c>
      <c r="J1080" s="8">
        <v>0</v>
      </c>
      <c r="K1080" s="9" t="str">
        <v/>
      </c>
    </row>
    <row r="1081" spans="1:11">
      <c r="A1081" t="str">
        <v/>
      </c>
      <c r="B1081" s="6">
        <v>0</v>
      </c>
      <c r="C1081" s="7" t="str">
        <v>趣点购浦发</v>
      </c>
      <c r="D1081" s="8">
        <v>0</v>
      </c>
      <c r="E1081" s="7">
        <v>0</v>
      </c>
      <c r="F1081" s="8">
        <v>0</v>
      </c>
      <c r="G1081" s="7">
        <v>0</v>
      </c>
      <c r="H1081" s="7">
        <v>81211.819999998</v>
      </c>
      <c r="I1081" s="7">
        <v>0</v>
      </c>
      <c r="J1081" s="8">
        <v>0</v>
      </c>
      <c r="K1081" s="9" t="str">
        <v/>
      </c>
    </row>
    <row r="1082" spans="1:11">
      <c r="A1082" t="str">
        <v/>
      </c>
      <c r="B1082" s="6">
        <v>0</v>
      </c>
      <c r="C1082" s="7" t="str">
        <v>趣点购浦发</v>
      </c>
      <c r="D1082" s="8">
        <v>0</v>
      </c>
      <c r="E1082" s="7">
        <v>0</v>
      </c>
      <c r="F1082" s="8">
        <v>0</v>
      </c>
      <c r="G1082" s="7">
        <v>0</v>
      </c>
      <c r="H1082" s="7">
        <v>81211.819999998</v>
      </c>
      <c r="I1082" s="7">
        <v>0</v>
      </c>
      <c r="J1082" s="8">
        <v>0</v>
      </c>
      <c r="K1082" s="9" t="str">
        <v/>
      </c>
    </row>
    <row r="1083" spans="1:11">
      <c r="A1083" t="str">
        <v/>
      </c>
      <c r="B1083" s="6">
        <v>0</v>
      </c>
      <c r="C1083" s="7" t="str">
        <v>趣点购浦发</v>
      </c>
      <c r="D1083" s="8">
        <v>0</v>
      </c>
      <c r="E1083" s="7">
        <v>0</v>
      </c>
      <c r="F1083" s="8">
        <v>0</v>
      </c>
      <c r="G1083" s="7">
        <v>0</v>
      </c>
      <c r="H1083" s="7">
        <v>81211.819999998</v>
      </c>
      <c r="I1083" s="7">
        <v>0</v>
      </c>
      <c r="J1083" s="8">
        <v>0</v>
      </c>
      <c r="K1083" s="9" t="str">
        <v/>
      </c>
    </row>
    <row r="1084" spans="1:11">
      <c r="A1084" t="str">
        <v/>
      </c>
      <c r="B1084" s="6">
        <v>0</v>
      </c>
      <c r="C1084" s="7" t="str">
        <v>趣点购浦发</v>
      </c>
      <c r="D1084" s="8">
        <v>0</v>
      </c>
      <c r="E1084" s="7">
        <v>0</v>
      </c>
      <c r="F1084" s="8">
        <v>0</v>
      </c>
      <c r="G1084" s="7">
        <v>0</v>
      </c>
      <c r="H1084" s="7">
        <v>81211.819999998</v>
      </c>
      <c r="I1084" s="7">
        <v>0</v>
      </c>
      <c r="J1084" s="8">
        <v>0</v>
      </c>
      <c r="K1084" s="9" t="str">
        <v/>
      </c>
    </row>
    <row r="1085" spans="1:11">
      <c r="A1085" t="str">
        <v/>
      </c>
      <c r="B1085" s="6">
        <v>0</v>
      </c>
      <c r="C1085" s="7" t="str">
        <v>趣点购浦发</v>
      </c>
      <c r="D1085" s="8">
        <v>0</v>
      </c>
      <c r="E1085" s="7">
        <v>0</v>
      </c>
      <c r="F1085" s="8">
        <v>0</v>
      </c>
      <c r="G1085" s="7">
        <v>0</v>
      </c>
      <c r="H1085" s="7">
        <v>81211.819999998</v>
      </c>
      <c r="I1085" s="7">
        <v>0</v>
      </c>
      <c r="J1085" s="8">
        <v>0</v>
      </c>
      <c r="K1085" s="9" t="str">
        <v/>
      </c>
    </row>
    <row r="1086" spans="1:11">
      <c r="A1086" t="str">
        <v/>
      </c>
      <c r="B1086" s="6">
        <v>0</v>
      </c>
      <c r="C1086" s="7" t="str">
        <v>趣点购浦发</v>
      </c>
      <c r="D1086" s="8">
        <v>0</v>
      </c>
      <c r="E1086" s="7">
        <v>0</v>
      </c>
      <c r="F1086" s="8">
        <v>0</v>
      </c>
      <c r="G1086" s="7">
        <v>0</v>
      </c>
      <c r="H1086" s="7">
        <v>81211.819999998</v>
      </c>
      <c r="I1086" s="7">
        <v>0</v>
      </c>
      <c r="J1086" s="8">
        <v>0</v>
      </c>
      <c r="K1086" s="9" t="str">
        <v/>
      </c>
    </row>
    <row r="1087" spans="1:11">
      <c r="A1087" t="str">
        <v/>
      </c>
      <c r="B1087" s="6">
        <v>0</v>
      </c>
      <c r="C1087" s="7" t="str">
        <v>趣点购浦发</v>
      </c>
      <c r="D1087" s="8">
        <v>0</v>
      </c>
      <c r="E1087" s="7">
        <v>0</v>
      </c>
      <c r="F1087" s="8">
        <v>0</v>
      </c>
      <c r="G1087" s="7">
        <v>0</v>
      </c>
      <c r="H1087" s="7">
        <v>81211.819999998</v>
      </c>
      <c r="I1087" s="7">
        <v>0</v>
      </c>
      <c r="J1087" s="8">
        <v>0</v>
      </c>
      <c r="K1087" s="9" t="str">
        <v/>
      </c>
    </row>
    <row r="1088" spans="1:11">
      <c r="A1088" t="str">
        <v/>
      </c>
      <c r="B1088" s="6">
        <v>0</v>
      </c>
      <c r="C1088" s="7" t="str">
        <v>趣点购浦发</v>
      </c>
      <c r="D1088" s="8">
        <v>0</v>
      </c>
      <c r="E1088" s="7">
        <v>0</v>
      </c>
      <c r="F1088" s="8">
        <v>0</v>
      </c>
      <c r="G1088" s="7">
        <v>0</v>
      </c>
      <c r="H1088" s="7">
        <v>81211.819999998</v>
      </c>
      <c r="I1088" s="7">
        <v>0</v>
      </c>
      <c r="J1088" s="8">
        <v>0</v>
      </c>
      <c r="K1088" s="9" t="str">
        <v/>
      </c>
    </row>
    <row r="1089" spans="1:11">
      <c r="A1089" t="str">
        <v/>
      </c>
      <c r="B1089" s="6">
        <v>0</v>
      </c>
      <c r="C1089" s="7" t="str">
        <v>趣点购浦发</v>
      </c>
      <c r="D1089" s="8">
        <v>0</v>
      </c>
      <c r="E1089" s="7">
        <v>0</v>
      </c>
      <c r="F1089" s="8">
        <v>0</v>
      </c>
      <c r="G1089" s="7">
        <v>0</v>
      </c>
      <c r="H1089" s="7">
        <v>81211.819999998</v>
      </c>
      <c r="I1089" s="7">
        <v>0</v>
      </c>
      <c r="J1089" s="8">
        <v>0</v>
      </c>
      <c r="K1089" s="9" t="str">
        <v/>
      </c>
    </row>
    <row r="1090" spans="1:11">
      <c r="A1090" t="str">
        <v/>
      </c>
      <c r="B1090" s="6">
        <v>0</v>
      </c>
      <c r="C1090" s="7" t="str">
        <v>趣点购浦发</v>
      </c>
      <c r="D1090" s="8">
        <v>0</v>
      </c>
      <c r="E1090" s="7">
        <v>0</v>
      </c>
      <c r="F1090" s="8">
        <v>0</v>
      </c>
      <c r="G1090" s="7">
        <v>0</v>
      </c>
      <c r="H1090" s="7">
        <v>81211.819999998</v>
      </c>
      <c r="I1090" s="7">
        <v>0</v>
      </c>
      <c r="J1090" s="8">
        <v>0</v>
      </c>
      <c r="K1090" s="9" t="str">
        <v/>
      </c>
    </row>
    <row r="1091" spans="1:11">
      <c r="A1091" t="str">
        <v/>
      </c>
      <c r="B1091" s="6">
        <v>0</v>
      </c>
      <c r="C1091" s="7" t="str">
        <v>趣点购浦发</v>
      </c>
      <c r="D1091" s="8">
        <v>0</v>
      </c>
      <c r="E1091" s="7">
        <v>0</v>
      </c>
      <c r="F1091" s="8">
        <v>0</v>
      </c>
      <c r="G1091" s="7">
        <v>0</v>
      </c>
      <c r="H1091" s="7">
        <v>81211.819999998</v>
      </c>
      <c r="I1091" s="7">
        <v>0</v>
      </c>
      <c r="J1091" s="8">
        <v>0</v>
      </c>
      <c r="K1091" s="9" t="str">
        <v/>
      </c>
    </row>
    <row r="1092" spans="1:11">
      <c r="A1092" t="str">
        <v/>
      </c>
      <c r="B1092" s="6">
        <v>0</v>
      </c>
      <c r="C1092" s="7" t="str">
        <v>趣点购浦发</v>
      </c>
      <c r="D1092" s="8">
        <v>0</v>
      </c>
      <c r="E1092" s="7">
        <v>0</v>
      </c>
      <c r="F1092" s="8">
        <v>0</v>
      </c>
      <c r="G1092" s="7">
        <v>0</v>
      </c>
      <c r="H1092" s="7">
        <v>81211.819999998</v>
      </c>
      <c r="I1092" s="7">
        <v>0</v>
      </c>
      <c r="J1092" s="8">
        <v>0</v>
      </c>
      <c r="K1092" s="9" t="str">
        <v/>
      </c>
    </row>
    <row r="1093" spans="1:11">
      <c r="A1093" t="str">
        <v/>
      </c>
      <c r="B1093" s="6">
        <v>0</v>
      </c>
      <c r="C1093" s="7" t="str">
        <v>趣点购浦发</v>
      </c>
      <c r="D1093" s="8">
        <v>0</v>
      </c>
      <c r="E1093" s="7">
        <v>0</v>
      </c>
      <c r="F1093" s="8">
        <v>0</v>
      </c>
      <c r="G1093" s="7">
        <v>0</v>
      </c>
      <c r="H1093" s="7">
        <v>81211.819999998</v>
      </c>
      <c r="I1093" s="7">
        <v>0</v>
      </c>
      <c r="J1093" s="8">
        <v>0</v>
      </c>
      <c r="K1093" s="9" t="str">
        <v/>
      </c>
    </row>
    <row r="1094" spans="1:11">
      <c r="A1094" t="str">
        <v/>
      </c>
      <c r="B1094" s="6">
        <v>0</v>
      </c>
      <c r="C1094" s="7" t="str">
        <v>趣点购浦发</v>
      </c>
      <c r="D1094" s="8">
        <v>0</v>
      </c>
      <c r="E1094" s="7">
        <v>0</v>
      </c>
      <c r="F1094" s="8">
        <v>0</v>
      </c>
      <c r="G1094" s="7">
        <v>0</v>
      </c>
      <c r="H1094" s="7">
        <v>81211.819999998</v>
      </c>
      <c r="I1094" s="7">
        <v>0</v>
      </c>
      <c r="J1094" s="8">
        <v>0</v>
      </c>
      <c r="K1094" s="9" t="str">
        <v/>
      </c>
    </row>
    <row r="1095" spans="1:11">
      <c r="A1095" t="str">
        <v/>
      </c>
      <c r="B1095" s="6">
        <v>0</v>
      </c>
      <c r="C1095" s="7" t="str">
        <v>趣点购浦发</v>
      </c>
      <c r="D1095" s="8">
        <v>0</v>
      </c>
      <c r="E1095" s="7">
        <v>0</v>
      </c>
      <c r="F1095" s="8">
        <v>0</v>
      </c>
      <c r="G1095" s="7">
        <v>0</v>
      </c>
      <c r="H1095" s="7">
        <v>81211.819999998</v>
      </c>
      <c r="I1095" s="7">
        <v>0</v>
      </c>
      <c r="J1095" s="8">
        <v>0</v>
      </c>
      <c r="K1095" s="9" t="str">
        <v/>
      </c>
    </row>
    <row r="1096" spans="1:11">
      <c r="A1096" t="str">
        <v/>
      </c>
      <c r="B1096" s="6">
        <v>0</v>
      </c>
      <c r="C1096" s="7" t="str">
        <v>趣点购浦发</v>
      </c>
      <c r="D1096" s="8">
        <v>0</v>
      </c>
      <c r="E1096" s="7">
        <v>0</v>
      </c>
      <c r="F1096" s="8">
        <v>0</v>
      </c>
      <c r="G1096" s="7">
        <v>0</v>
      </c>
      <c r="H1096" s="7">
        <v>81211.819999998</v>
      </c>
      <c r="I1096" s="7">
        <v>0</v>
      </c>
      <c r="J1096" s="8">
        <v>0</v>
      </c>
      <c r="K1096" s="9" t="str">
        <v/>
      </c>
    </row>
    <row r="1097" spans="1:11">
      <c r="A1097" t="str">
        <v/>
      </c>
      <c r="B1097" s="6">
        <v>0</v>
      </c>
      <c r="C1097" s="7" t="str">
        <v>趣点购浦发</v>
      </c>
      <c r="D1097" s="8">
        <v>0</v>
      </c>
      <c r="E1097" s="7">
        <v>0</v>
      </c>
      <c r="F1097" s="8">
        <v>0</v>
      </c>
      <c r="G1097" s="7">
        <v>0</v>
      </c>
      <c r="H1097" s="7">
        <v>81211.819999998</v>
      </c>
      <c r="I1097" s="7">
        <v>0</v>
      </c>
      <c r="J1097" s="8">
        <v>0</v>
      </c>
      <c r="K1097" s="9" t="str">
        <v/>
      </c>
    </row>
    <row r="1098" spans="1:11">
      <c r="A1098" t="str">
        <v/>
      </c>
      <c r="B1098" s="6">
        <v>0</v>
      </c>
      <c r="C1098" s="7" t="str">
        <v>趣点购浦发</v>
      </c>
      <c r="D1098" s="8">
        <v>0</v>
      </c>
      <c r="E1098" s="7">
        <v>0</v>
      </c>
      <c r="F1098" s="8">
        <v>0</v>
      </c>
      <c r="G1098" s="7">
        <v>0</v>
      </c>
      <c r="H1098" s="7">
        <v>81211.819999998</v>
      </c>
      <c r="I1098" s="7">
        <v>0</v>
      </c>
      <c r="J1098" s="8">
        <v>0</v>
      </c>
      <c r="K1098" s="9" t="str">
        <v/>
      </c>
    </row>
    <row r="1099" spans="1:11">
      <c r="A1099" t="str">
        <v/>
      </c>
      <c r="B1099" s="6">
        <v>0</v>
      </c>
      <c r="C1099" s="7" t="str">
        <v>趣点购浦发</v>
      </c>
      <c r="D1099" s="8">
        <v>0</v>
      </c>
      <c r="E1099" s="7">
        <v>0</v>
      </c>
      <c r="F1099" s="8">
        <v>0</v>
      </c>
      <c r="G1099" s="7">
        <v>0</v>
      </c>
      <c r="H1099" s="7">
        <v>81211.819999998</v>
      </c>
      <c r="I1099" s="7">
        <v>0</v>
      </c>
      <c r="J1099" s="8">
        <v>0</v>
      </c>
      <c r="K1099" s="9" t="str">
        <v/>
      </c>
    </row>
    <row r="1100" spans="1:11">
      <c r="A1100" t="str">
        <v/>
      </c>
      <c r="B1100" s="6">
        <v>0</v>
      </c>
      <c r="C1100" s="7" t="str">
        <v>趣点购浦发</v>
      </c>
      <c r="D1100" s="8">
        <v>0</v>
      </c>
      <c r="E1100" s="7">
        <v>0</v>
      </c>
      <c r="F1100" s="8">
        <v>0</v>
      </c>
      <c r="G1100" s="7">
        <v>0</v>
      </c>
      <c r="H1100" s="7">
        <v>81211.819999998</v>
      </c>
      <c r="I1100" s="7">
        <v>0</v>
      </c>
      <c r="J1100" s="8">
        <v>0</v>
      </c>
      <c r="K1100" s="9" t="str">
        <v/>
      </c>
    </row>
    <row r="1101" spans="1:11">
      <c r="A1101" t="str">
        <v/>
      </c>
      <c r="B1101" s="6">
        <v>0</v>
      </c>
      <c r="C1101" s="7" t="str">
        <v>趣点购浦发</v>
      </c>
      <c r="D1101" s="8">
        <v>0</v>
      </c>
      <c r="E1101" s="7">
        <v>0</v>
      </c>
      <c r="F1101" s="8">
        <v>0</v>
      </c>
      <c r="G1101" s="7">
        <v>0</v>
      </c>
      <c r="H1101" s="7">
        <v>81211.819999998</v>
      </c>
      <c r="I1101" s="7">
        <v>0</v>
      </c>
      <c r="J1101" s="8">
        <v>0</v>
      </c>
      <c r="K1101" s="9" t="str">
        <v/>
      </c>
    </row>
    <row r="1102" spans="1:11">
      <c r="A1102" t="str">
        <v/>
      </c>
      <c r="B1102" s="6">
        <v>0</v>
      </c>
      <c r="C1102" s="7" t="str">
        <v>趣点购浦发</v>
      </c>
      <c r="D1102" s="8">
        <v>0</v>
      </c>
      <c r="E1102" s="7">
        <v>0</v>
      </c>
      <c r="F1102" s="8">
        <v>0</v>
      </c>
      <c r="G1102" s="7">
        <v>0</v>
      </c>
      <c r="H1102" s="7">
        <v>81211.819999998</v>
      </c>
      <c r="I1102" s="7">
        <v>0</v>
      </c>
      <c r="J1102" s="8">
        <v>0</v>
      </c>
      <c r="K1102" s="9" t="str">
        <v/>
      </c>
    </row>
    <row r="1103" spans="1:11">
      <c r="A1103" t="str">
        <v/>
      </c>
      <c r="B1103" s="6">
        <v>0</v>
      </c>
      <c r="C1103" s="7" t="str">
        <v>趣点购浦发</v>
      </c>
      <c r="D1103" s="8">
        <v>0</v>
      </c>
      <c r="E1103" s="7">
        <v>0</v>
      </c>
      <c r="F1103" s="8">
        <v>0</v>
      </c>
      <c r="G1103" s="7">
        <v>0</v>
      </c>
      <c r="H1103" s="7">
        <v>81211.819999998</v>
      </c>
      <c r="I1103" s="7">
        <v>0</v>
      </c>
      <c r="J1103" s="8">
        <v>0</v>
      </c>
      <c r="K1103" s="9" t="str">
        <v/>
      </c>
    </row>
    <row r="1104" spans="1:11">
      <c r="A1104" t="str">
        <v/>
      </c>
      <c r="B1104" s="6">
        <v>0</v>
      </c>
      <c r="C1104" s="7" t="str">
        <v>趣点购浦发</v>
      </c>
      <c r="D1104" s="8">
        <v>0</v>
      </c>
      <c r="E1104" s="7">
        <v>0</v>
      </c>
      <c r="F1104" s="8">
        <v>0</v>
      </c>
      <c r="G1104" s="7">
        <v>0</v>
      </c>
      <c r="H1104" s="7">
        <v>81211.819999998</v>
      </c>
      <c r="I1104" s="7">
        <v>0</v>
      </c>
      <c r="J1104" s="8">
        <v>0</v>
      </c>
      <c r="K1104" s="9" t="str">
        <v/>
      </c>
    </row>
    <row r="1105" spans="1:11">
      <c r="A1105" t="str">
        <v/>
      </c>
      <c r="B1105" s="6">
        <v>0</v>
      </c>
      <c r="C1105" s="7" t="str">
        <v>趣点购浦发</v>
      </c>
      <c r="D1105" s="8">
        <v>0</v>
      </c>
      <c r="E1105" s="7">
        <v>0</v>
      </c>
      <c r="F1105" s="8">
        <v>0</v>
      </c>
      <c r="G1105" s="7">
        <v>0</v>
      </c>
      <c r="H1105" s="7">
        <v>81211.819999998</v>
      </c>
      <c r="I1105" s="7">
        <v>0</v>
      </c>
      <c r="J1105" s="8">
        <v>0</v>
      </c>
      <c r="K1105" s="9" t="str">
        <v/>
      </c>
    </row>
    <row r="1106" spans="1:11">
      <c r="A1106" t="str">
        <v/>
      </c>
      <c r="B1106" s="6">
        <v>0</v>
      </c>
      <c r="C1106" s="7" t="str">
        <v>趣点购浦发</v>
      </c>
      <c r="D1106" s="8">
        <v>0</v>
      </c>
      <c r="E1106" s="7">
        <v>0</v>
      </c>
      <c r="F1106" s="8">
        <v>0</v>
      </c>
      <c r="G1106" s="7">
        <v>0</v>
      </c>
      <c r="H1106" s="7">
        <v>81211.819999998</v>
      </c>
      <c r="I1106" s="7">
        <v>0</v>
      </c>
      <c r="J1106" s="8">
        <v>0</v>
      </c>
      <c r="K1106" s="9" t="str">
        <v/>
      </c>
    </row>
    <row r="1107" spans="1:11">
      <c r="A1107" t="str">
        <v/>
      </c>
      <c r="B1107" s="6">
        <v>0</v>
      </c>
      <c r="C1107" s="7" t="str">
        <v>趣点购浦发</v>
      </c>
      <c r="D1107" s="8">
        <v>0</v>
      </c>
      <c r="E1107" s="7">
        <v>0</v>
      </c>
      <c r="F1107" s="8">
        <v>0</v>
      </c>
      <c r="G1107" s="7">
        <v>0</v>
      </c>
      <c r="H1107" s="7">
        <v>81211.819999998</v>
      </c>
      <c r="I1107" s="7">
        <v>0</v>
      </c>
      <c r="J1107" s="8">
        <v>0</v>
      </c>
      <c r="K1107" s="9" t="str">
        <v/>
      </c>
    </row>
    <row r="1108" spans="1:11">
      <c r="A1108" t="str">
        <v/>
      </c>
      <c r="B1108" s="6">
        <v>0</v>
      </c>
      <c r="C1108" s="7" t="str">
        <v>趣点购浦发</v>
      </c>
      <c r="D1108" s="8">
        <v>0</v>
      </c>
      <c r="E1108" s="7">
        <v>0</v>
      </c>
      <c r="F1108" s="8">
        <v>0</v>
      </c>
      <c r="G1108" s="7">
        <v>0</v>
      </c>
      <c r="H1108" s="7">
        <v>81211.819999998</v>
      </c>
      <c r="I1108" s="7">
        <v>0</v>
      </c>
      <c r="J1108" s="8">
        <v>0</v>
      </c>
      <c r="K1108" s="9" t="str">
        <v/>
      </c>
    </row>
    <row r="1109" spans="1:11">
      <c r="A1109" t="str">
        <v/>
      </c>
      <c r="B1109" s="6">
        <v>0</v>
      </c>
      <c r="C1109" s="7" t="str">
        <v>趣点购浦发</v>
      </c>
      <c r="D1109" s="8">
        <v>0</v>
      </c>
      <c r="E1109" s="7">
        <v>0</v>
      </c>
      <c r="F1109" s="8">
        <v>0</v>
      </c>
      <c r="G1109" s="7">
        <v>0</v>
      </c>
      <c r="H1109" s="7">
        <v>81211.819999998</v>
      </c>
      <c r="I1109" s="7">
        <v>0</v>
      </c>
      <c r="J1109" s="8">
        <v>0</v>
      </c>
      <c r="K1109" s="9" t="str">
        <v/>
      </c>
    </row>
    <row r="1110" spans="1:11">
      <c r="A1110" t="str">
        <v/>
      </c>
      <c r="B1110" s="6">
        <v>0</v>
      </c>
      <c r="C1110" s="7" t="str">
        <v>趣点购浦发</v>
      </c>
      <c r="D1110" s="8">
        <v>0</v>
      </c>
      <c r="E1110" s="7">
        <v>0</v>
      </c>
      <c r="F1110" s="8">
        <v>0</v>
      </c>
      <c r="G1110" s="7">
        <v>0</v>
      </c>
      <c r="H1110" s="7">
        <v>81211.819999998</v>
      </c>
      <c r="I1110" s="7">
        <v>0</v>
      </c>
      <c r="J1110" s="8">
        <v>0</v>
      </c>
      <c r="K1110" s="9" t="str">
        <v/>
      </c>
    </row>
    <row r="1111" spans="1:11">
      <c r="A1111" t="str">
        <v/>
      </c>
      <c r="B1111" s="6">
        <v>0</v>
      </c>
      <c r="C1111" s="7" t="str">
        <v>趣点购浦发</v>
      </c>
      <c r="D1111" s="8">
        <v>0</v>
      </c>
      <c r="E1111" s="7">
        <v>0</v>
      </c>
      <c r="F1111" s="8">
        <v>0</v>
      </c>
      <c r="G1111" s="7">
        <v>0</v>
      </c>
      <c r="H1111" s="7">
        <v>81211.819999998</v>
      </c>
      <c r="I1111" s="7">
        <v>0</v>
      </c>
      <c r="J1111" s="8">
        <v>0</v>
      </c>
      <c r="K1111" s="9" t="str">
        <v/>
      </c>
    </row>
    <row r="1112" spans="1:11">
      <c r="A1112" t="str">
        <v/>
      </c>
      <c r="B1112" s="6">
        <v>0</v>
      </c>
      <c r="C1112" s="7" t="str">
        <v>趣点购浦发</v>
      </c>
      <c r="D1112" s="8">
        <v>0</v>
      </c>
      <c r="E1112" s="7">
        <v>0</v>
      </c>
      <c r="F1112" s="8">
        <v>0</v>
      </c>
      <c r="G1112" s="7">
        <v>0</v>
      </c>
      <c r="H1112" s="7">
        <v>81211.819999998</v>
      </c>
      <c r="I1112" s="7">
        <v>0</v>
      </c>
      <c r="J1112" s="8">
        <v>0</v>
      </c>
      <c r="K1112" s="9" t="str">
        <v/>
      </c>
    </row>
    <row r="1113" spans="1:11">
      <c r="A1113" t="str">
        <v/>
      </c>
      <c r="B1113" s="6">
        <v>0</v>
      </c>
      <c r="C1113" s="7" t="str">
        <v>趣点购浦发</v>
      </c>
      <c r="D1113" s="8">
        <v>0</v>
      </c>
      <c r="E1113" s="7">
        <v>0</v>
      </c>
      <c r="F1113" s="8">
        <v>0</v>
      </c>
      <c r="G1113" s="7">
        <v>0</v>
      </c>
      <c r="H1113" s="7">
        <v>81211.819999998</v>
      </c>
      <c r="I1113" s="7">
        <v>0</v>
      </c>
      <c r="J1113" s="8">
        <v>0</v>
      </c>
      <c r="K1113" s="9" t="str">
        <v/>
      </c>
    </row>
    <row r="1114" spans="1:11">
      <c r="A1114" t="str">
        <v/>
      </c>
      <c r="B1114" s="6">
        <v>0</v>
      </c>
      <c r="C1114" s="7" t="str">
        <v>趣点购浦发</v>
      </c>
      <c r="D1114" s="8">
        <v>0</v>
      </c>
      <c r="E1114" s="7">
        <v>0</v>
      </c>
      <c r="F1114" s="8">
        <v>0</v>
      </c>
      <c r="G1114" s="7">
        <v>0</v>
      </c>
      <c r="H1114" s="7">
        <v>81211.819999998</v>
      </c>
      <c r="I1114" s="7">
        <v>0</v>
      </c>
      <c r="J1114" s="8">
        <v>0</v>
      </c>
      <c r="K1114" s="9" t="str">
        <v/>
      </c>
    </row>
    <row r="1115" spans="1:11">
      <c r="A1115" t="str">
        <v/>
      </c>
      <c r="B1115" s="6">
        <v>0</v>
      </c>
      <c r="C1115" s="7" t="str">
        <v>趣点购浦发</v>
      </c>
      <c r="D1115" s="8">
        <v>0</v>
      </c>
      <c r="E1115" s="7">
        <v>0</v>
      </c>
      <c r="F1115" s="8">
        <v>0</v>
      </c>
      <c r="G1115" s="7">
        <v>0</v>
      </c>
      <c r="H1115" s="7">
        <v>81211.819999998</v>
      </c>
      <c r="I1115" s="7">
        <v>0</v>
      </c>
      <c r="J1115" s="8">
        <v>0</v>
      </c>
      <c r="K1115" s="9" t="str">
        <v/>
      </c>
    </row>
    <row r="1116" spans="1:11">
      <c r="A1116" t="str">
        <v/>
      </c>
      <c r="B1116" s="6">
        <v>0</v>
      </c>
      <c r="C1116" s="7" t="str">
        <v>趣点购浦发</v>
      </c>
      <c r="D1116" s="8">
        <v>0</v>
      </c>
      <c r="E1116" s="7">
        <v>0</v>
      </c>
      <c r="F1116" s="8">
        <v>0</v>
      </c>
      <c r="G1116" s="7">
        <v>0</v>
      </c>
      <c r="H1116" s="7">
        <v>81211.819999998</v>
      </c>
      <c r="I1116" s="7">
        <v>0</v>
      </c>
      <c r="J1116" s="8">
        <v>0</v>
      </c>
      <c r="K1116" s="9" t="str">
        <v/>
      </c>
    </row>
    <row r="1117" spans="1:11">
      <c r="A1117" t="str">
        <v/>
      </c>
      <c r="B1117" s="6">
        <v>0</v>
      </c>
      <c r="C1117" s="7" t="str">
        <v>趣点购浦发</v>
      </c>
      <c r="D1117" s="8">
        <v>0</v>
      </c>
      <c r="E1117" s="7">
        <v>0</v>
      </c>
      <c r="F1117" s="8">
        <v>0</v>
      </c>
      <c r="G1117" s="7">
        <v>0</v>
      </c>
      <c r="H1117" s="7">
        <v>81211.819999998</v>
      </c>
      <c r="I1117" s="7">
        <v>0</v>
      </c>
      <c r="J1117" s="8">
        <v>0</v>
      </c>
      <c r="K1117" s="9" t="str">
        <v/>
      </c>
    </row>
    <row r="1118" spans="1:11">
      <c r="A1118" t="str">
        <v/>
      </c>
      <c r="B1118" s="6">
        <v>0</v>
      </c>
      <c r="C1118" s="7" t="str">
        <v>趣点购浦发</v>
      </c>
      <c r="D1118" s="8">
        <v>0</v>
      </c>
      <c r="E1118" s="7">
        <v>0</v>
      </c>
      <c r="F1118" s="8">
        <v>0</v>
      </c>
      <c r="G1118" s="7">
        <v>0</v>
      </c>
      <c r="H1118" s="7">
        <v>81211.819999998</v>
      </c>
      <c r="I1118" s="7">
        <v>0</v>
      </c>
      <c r="J1118" s="8">
        <v>0</v>
      </c>
      <c r="K1118" s="9" t="str">
        <v/>
      </c>
    </row>
    <row r="1119" spans="1:11">
      <c r="A1119" t="str">
        <v/>
      </c>
      <c r="B1119" s="6">
        <v>0</v>
      </c>
      <c r="C1119" s="7" t="str">
        <v>趣点购浦发</v>
      </c>
      <c r="D1119" s="8">
        <v>0</v>
      </c>
      <c r="E1119" s="7">
        <v>0</v>
      </c>
      <c r="F1119" s="8">
        <v>0</v>
      </c>
      <c r="G1119" s="7">
        <v>0</v>
      </c>
      <c r="H1119" s="7">
        <v>81211.819999998</v>
      </c>
      <c r="I1119" s="7">
        <v>0</v>
      </c>
      <c r="J1119" s="8">
        <v>0</v>
      </c>
      <c r="K1119" s="9" t="str">
        <v/>
      </c>
    </row>
    <row r="1120" spans="1:11">
      <c r="A1120" t="str">
        <v/>
      </c>
      <c r="B1120" s="6">
        <v>0</v>
      </c>
      <c r="C1120" s="7" t="str">
        <v>趣点购浦发</v>
      </c>
      <c r="D1120" s="8">
        <v>0</v>
      </c>
      <c r="E1120" s="7">
        <v>0</v>
      </c>
      <c r="F1120" s="8">
        <v>0</v>
      </c>
      <c r="G1120" s="7">
        <v>0</v>
      </c>
      <c r="H1120" s="7">
        <v>81211.819999998</v>
      </c>
      <c r="I1120" s="7">
        <v>0</v>
      </c>
      <c r="J1120" s="8">
        <v>0</v>
      </c>
      <c r="K1120" s="9" t="str">
        <v/>
      </c>
    </row>
    <row r="1121" spans="1:11">
      <c r="A1121" t="str">
        <v/>
      </c>
      <c r="B1121" s="6">
        <v>0</v>
      </c>
      <c r="C1121" s="7" t="str">
        <v>趣点购浦发</v>
      </c>
      <c r="D1121" s="8">
        <v>0</v>
      </c>
      <c r="E1121" s="7">
        <v>0</v>
      </c>
      <c r="F1121" s="8">
        <v>0</v>
      </c>
      <c r="G1121" s="7">
        <v>0</v>
      </c>
      <c r="H1121" s="7">
        <v>81211.819999998</v>
      </c>
      <c r="I1121" s="7">
        <v>0</v>
      </c>
      <c r="J1121" s="8">
        <v>0</v>
      </c>
      <c r="K1121" s="9" t="str">
        <v/>
      </c>
    </row>
    <row r="1122" spans="1:11">
      <c r="A1122" t="str">
        <v/>
      </c>
      <c r="B1122" s="6">
        <v>0</v>
      </c>
      <c r="C1122" s="7" t="str">
        <v>趣点购浦发</v>
      </c>
      <c r="D1122" s="8">
        <v>0</v>
      </c>
      <c r="E1122" s="7">
        <v>0</v>
      </c>
      <c r="F1122" s="8">
        <v>0</v>
      </c>
      <c r="G1122" s="7">
        <v>0</v>
      </c>
      <c r="H1122" s="7">
        <v>81211.819999998</v>
      </c>
      <c r="I1122" s="7">
        <v>0</v>
      </c>
      <c r="J1122" s="8">
        <v>0</v>
      </c>
      <c r="K1122" s="9" t="str">
        <v/>
      </c>
    </row>
    <row r="1123" spans="1:11">
      <c r="A1123" t="str">
        <v/>
      </c>
      <c r="B1123" s="6">
        <v>0</v>
      </c>
      <c r="C1123" s="7" t="str">
        <v>趣点购浦发</v>
      </c>
      <c r="D1123" s="8">
        <v>0</v>
      </c>
      <c r="E1123" s="7">
        <v>0</v>
      </c>
      <c r="F1123" s="8">
        <v>0</v>
      </c>
      <c r="G1123" s="7">
        <v>0</v>
      </c>
      <c r="H1123" s="7">
        <v>81211.819999998</v>
      </c>
      <c r="I1123" s="7">
        <v>0</v>
      </c>
      <c r="J1123" s="8">
        <v>0</v>
      </c>
      <c r="K1123" s="9" t="str">
        <v/>
      </c>
    </row>
    <row r="1124" spans="1:11">
      <c r="A1124" t="str">
        <v/>
      </c>
      <c r="B1124" s="6">
        <v>0</v>
      </c>
      <c r="C1124" s="7" t="str">
        <v>趣点购浦发</v>
      </c>
      <c r="D1124" s="8">
        <v>0</v>
      </c>
      <c r="E1124" s="7">
        <v>0</v>
      </c>
      <c r="F1124" s="8">
        <v>0</v>
      </c>
      <c r="G1124" s="7">
        <v>0</v>
      </c>
      <c r="H1124" s="7">
        <v>81211.819999998</v>
      </c>
      <c r="I1124" s="7">
        <v>0</v>
      </c>
      <c r="J1124" s="8">
        <v>0</v>
      </c>
      <c r="K1124" s="9" t="str">
        <v/>
      </c>
    </row>
    <row r="1125" spans="1:11">
      <c r="A1125" t="str">
        <v/>
      </c>
      <c r="B1125" s="6">
        <v>0</v>
      </c>
      <c r="C1125" s="7" t="str">
        <v>趣点购浦发</v>
      </c>
      <c r="D1125" s="8">
        <v>0</v>
      </c>
      <c r="E1125" s="7">
        <v>0</v>
      </c>
      <c r="F1125" s="8">
        <v>0</v>
      </c>
      <c r="G1125" s="7">
        <v>0</v>
      </c>
      <c r="H1125" s="7">
        <v>81211.819999998</v>
      </c>
      <c r="I1125" s="7">
        <v>0</v>
      </c>
      <c r="J1125" s="8">
        <v>0</v>
      </c>
      <c r="K1125" s="9" t="str">
        <v/>
      </c>
    </row>
    <row r="1126" spans="1:11">
      <c r="A1126" t="str">
        <v/>
      </c>
      <c r="B1126" s="6">
        <v>0</v>
      </c>
      <c r="C1126" s="7" t="str">
        <v>趣点购浦发</v>
      </c>
      <c r="D1126" s="8">
        <v>0</v>
      </c>
      <c r="E1126" s="7">
        <v>0</v>
      </c>
      <c r="F1126" s="8">
        <v>0</v>
      </c>
      <c r="G1126" s="7">
        <v>0</v>
      </c>
      <c r="H1126" s="7">
        <v>81211.819999998</v>
      </c>
      <c r="I1126" s="7">
        <v>0</v>
      </c>
      <c r="J1126" s="8">
        <v>0</v>
      </c>
      <c r="K1126" s="9" t="str">
        <v/>
      </c>
    </row>
    <row r="1127" spans="1:11">
      <c r="A1127" t="str">
        <v/>
      </c>
      <c r="B1127" s="6">
        <v>0</v>
      </c>
      <c r="C1127" s="7" t="str">
        <v>趣点购浦发</v>
      </c>
      <c r="D1127" s="8">
        <v>0</v>
      </c>
      <c r="E1127" s="7">
        <v>0</v>
      </c>
      <c r="F1127" s="8">
        <v>0</v>
      </c>
      <c r="G1127" s="7">
        <v>0</v>
      </c>
      <c r="H1127" s="7">
        <v>81211.819999998</v>
      </c>
      <c r="I1127" s="7">
        <v>0</v>
      </c>
      <c r="J1127" s="8">
        <v>0</v>
      </c>
      <c r="K1127" s="9" t="str">
        <v/>
      </c>
    </row>
    <row r="1128" spans="1:11">
      <c r="A1128" t="str">
        <v/>
      </c>
      <c r="B1128" s="6">
        <v>0</v>
      </c>
      <c r="C1128" s="7" t="str">
        <v>趣点购浦发</v>
      </c>
      <c r="D1128" s="8">
        <v>0</v>
      </c>
      <c r="E1128" s="7">
        <v>0</v>
      </c>
      <c r="F1128" s="8">
        <v>0</v>
      </c>
      <c r="G1128" s="7">
        <v>0</v>
      </c>
      <c r="H1128" s="7">
        <v>81211.819999998</v>
      </c>
      <c r="I1128" s="7">
        <v>0</v>
      </c>
      <c r="J1128" s="8">
        <v>0</v>
      </c>
      <c r="K1128" s="9" t="str">
        <v/>
      </c>
    </row>
    <row r="1129" spans="1:11">
      <c r="A1129" t="str">
        <v/>
      </c>
      <c r="B1129" s="6">
        <v>0</v>
      </c>
      <c r="C1129" s="7" t="str">
        <v>趣点购浦发</v>
      </c>
      <c r="D1129" s="8">
        <v>0</v>
      </c>
      <c r="E1129" s="7">
        <v>0</v>
      </c>
      <c r="F1129" s="8">
        <v>0</v>
      </c>
      <c r="G1129" s="7">
        <v>0</v>
      </c>
      <c r="H1129" s="7">
        <v>81211.819999998</v>
      </c>
      <c r="I1129" s="7">
        <v>0</v>
      </c>
      <c r="J1129" s="8">
        <v>0</v>
      </c>
      <c r="K1129" s="9" t="str">
        <v/>
      </c>
    </row>
    <row r="1130" spans="1:11">
      <c r="A1130" t="str">
        <v/>
      </c>
      <c r="B1130" s="6">
        <v>0</v>
      </c>
      <c r="C1130" s="7" t="str">
        <v>趣点购浦发</v>
      </c>
      <c r="D1130" s="8">
        <v>0</v>
      </c>
      <c r="E1130" s="7">
        <v>0</v>
      </c>
      <c r="F1130" s="8">
        <v>0</v>
      </c>
      <c r="G1130" s="7">
        <v>0</v>
      </c>
      <c r="H1130" s="7">
        <v>81211.819999998</v>
      </c>
      <c r="I1130" s="7">
        <v>0</v>
      </c>
      <c r="J1130" s="8">
        <v>0</v>
      </c>
      <c r="K1130" s="9" t="str">
        <v/>
      </c>
    </row>
    <row r="1131" spans="1:11">
      <c r="A1131" t="str">
        <v/>
      </c>
      <c r="B1131" s="6">
        <v>0</v>
      </c>
      <c r="C1131" s="7" t="str">
        <v>趣点购浦发</v>
      </c>
      <c r="D1131" s="8">
        <v>0</v>
      </c>
      <c r="E1131" s="7">
        <v>0</v>
      </c>
      <c r="F1131" s="8">
        <v>0</v>
      </c>
      <c r="G1131" s="7">
        <v>0</v>
      </c>
      <c r="H1131" s="7">
        <v>81211.819999998</v>
      </c>
      <c r="I1131" s="7">
        <v>0</v>
      </c>
      <c r="J1131" s="8">
        <v>0</v>
      </c>
      <c r="K1131" s="9" t="str">
        <v/>
      </c>
    </row>
    <row r="1132" spans="1:11">
      <c r="A1132" t="str">
        <v/>
      </c>
      <c r="B1132" s="6">
        <v>0</v>
      </c>
      <c r="C1132" s="7" t="str">
        <v>趣点购浦发</v>
      </c>
      <c r="D1132" s="8">
        <v>0</v>
      </c>
      <c r="E1132" s="7">
        <v>0</v>
      </c>
      <c r="F1132" s="8">
        <v>0</v>
      </c>
      <c r="G1132" s="7">
        <v>0</v>
      </c>
      <c r="H1132" s="7">
        <v>81211.819999998</v>
      </c>
      <c r="I1132" s="7">
        <v>0</v>
      </c>
      <c r="J1132" s="8">
        <v>0</v>
      </c>
      <c r="K1132" s="9" t="str">
        <v/>
      </c>
    </row>
    <row r="1133" spans="1:11">
      <c r="A1133" t="str">
        <v/>
      </c>
      <c r="B1133" s="6">
        <v>0</v>
      </c>
      <c r="C1133" s="7" t="str">
        <v>趣点购浦发</v>
      </c>
      <c r="D1133" s="8">
        <v>0</v>
      </c>
      <c r="E1133" s="7">
        <v>0</v>
      </c>
      <c r="F1133" s="8">
        <v>0</v>
      </c>
      <c r="G1133" s="7">
        <v>0</v>
      </c>
      <c r="H1133" s="7">
        <v>81211.819999998</v>
      </c>
      <c r="I1133" s="7">
        <v>0</v>
      </c>
      <c r="J1133" s="8">
        <v>0</v>
      </c>
      <c r="K1133" s="9" t="str">
        <v/>
      </c>
    </row>
    <row r="1134" spans="1:11">
      <c r="A1134" t="str">
        <v/>
      </c>
      <c r="B1134" s="6">
        <v>0</v>
      </c>
      <c r="C1134" s="7" t="str">
        <v>趣点购浦发</v>
      </c>
      <c r="D1134" s="8">
        <v>0</v>
      </c>
      <c r="E1134" s="7">
        <v>0</v>
      </c>
      <c r="F1134" s="8">
        <v>0</v>
      </c>
      <c r="G1134" s="7">
        <v>0</v>
      </c>
      <c r="H1134" s="7">
        <v>81211.819999998</v>
      </c>
      <c r="I1134" s="7">
        <v>0</v>
      </c>
      <c r="J1134" s="8">
        <v>0</v>
      </c>
      <c r="K1134" s="9" t="str">
        <v/>
      </c>
    </row>
    <row r="1135" spans="1:11">
      <c r="A1135" t="str">
        <v/>
      </c>
      <c r="B1135" s="6">
        <v>0</v>
      </c>
      <c r="C1135" s="7" t="str">
        <v>趣点购浦发</v>
      </c>
      <c r="D1135" s="8">
        <v>0</v>
      </c>
      <c r="E1135" s="7">
        <v>0</v>
      </c>
      <c r="F1135" s="8">
        <v>0</v>
      </c>
      <c r="G1135" s="7">
        <v>0</v>
      </c>
      <c r="H1135" s="7">
        <v>81211.819999998</v>
      </c>
      <c r="I1135" s="7">
        <v>0</v>
      </c>
      <c r="J1135" s="8">
        <v>0</v>
      </c>
      <c r="K1135" s="9" t="str">
        <v/>
      </c>
    </row>
    <row r="1136" spans="1:11">
      <c r="A1136" t="str">
        <v/>
      </c>
      <c r="B1136" s="6">
        <v>0</v>
      </c>
      <c r="C1136" s="7" t="str">
        <v>趣点购浦发</v>
      </c>
      <c r="D1136" s="8">
        <v>0</v>
      </c>
      <c r="E1136" s="7">
        <v>0</v>
      </c>
      <c r="F1136" s="8">
        <v>0</v>
      </c>
      <c r="G1136" s="7">
        <v>0</v>
      </c>
      <c r="H1136" s="7">
        <v>81211.819999998</v>
      </c>
      <c r="I1136" s="7">
        <v>0</v>
      </c>
      <c r="J1136" s="8">
        <v>0</v>
      </c>
      <c r="K1136" s="9" t="str">
        <v/>
      </c>
    </row>
    <row r="1137" spans="1:11">
      <c r="A1137" t="str">
        <v/>
      </c>
      <c r="B1137" s="6">
        <v>0</v>
      </c>
      <c r="C1137" s="7" t="str">
        <v>趣点购浦发</v>
      </c>
      <c r="D1137" s="8">
        <v>0</v>
      </c>
      <c r="E1137" s="7">
        <v>0</v>
      </c>
      <c r="F1137" s="8">
        <v>0</v>
      </c>
      <c r="G1137" s="7">
        <v>0</v>
      </c>
      <c r="H1137" s="7">
        <v>81211.819999998</v>
      </c>
      <c r="I1137" s="7">
        <v>0</v>
      </c>
      <c r="J1137" s="8">
        <v>0</v>
      </c>
      <c r="K1137" s="9" t="str">
        <v/>
      </c>
    </row>
    <row r="1138" spans="1:11">
      <c r="A1138" t="str">
        <v/>
      </c>
      <c r="B1138" s="6">
        <v>0</v>
      </c>
      <c r="C1138" s="7" t="str">
        <v>趣点购浦发</v>
      </c>
      <c r="D1138" s="8">
        <v>0</v>
      </c>
      <c r="E1138" s="7">
        <v>0</v>
      </c>
      <c r="F1138" s="8">
        <v>0</v>
      </c>
      <c r="G1138" s="7">
        <v>0</v>
      </c>
      <c r="H1138" s="7">
        <v>81211.819999998</v>
      </c>
      <c r="I1138" s="7">
        <v>0</v>
      </c>
      <c r="J1138" s="8">
        <v>0</v>
      </c>
      <c r="K1138" s="9" t="str">
        <v/>
      </c>
    </row>
    <row r="1139" spans="1:11">
      <c r="A1139" t="str">
        <v/>
      </c>
      <c r="B1139" s="6">
        <v>0</v>
      </c>
      <c r="C1139" s="7" t="str">
        <v>趣点购浦发</v>
      </c>
      <c r="D1139" s="8">
        <v>0</v>
      </c>
      <c r="E1139" s="7">
        <v>0</v>
      </c>
      <c r="F1139" s="8">
        <v>0</v>
      </c>
      <c r="G1139" s="7">
        <v>0</v>
      </c>
      <c r="H1139" s="7">
        <v>81211.819999998</v>
      </c>
      <c r="I1139" s="7">
        <v>0</v>
      </c>
      <c r="J1139" s="8">
        <v>0</v>
      </c>
      <c r="K1139" s="9" t="str">
        <v/>
      </c>
    </row>
    <row r="1140" spans="1:11">
      <c r="A1140" t="str">
        <v/>
      </c>
      <c r="B1140" s="6">
        <v>0</v>
      </c>
      <c r="C1140" s="7" t="str">
        <v>趣点购浦发</v>
      </c>
      <c r="D1140" s="8">
        <v>0</v>
      </c>
      <c r="E1140" s="7">
        <v>0</v>
      </c>
      <c r="F1140" s="8">
        <v>0</v>
      </c>
      <c r="G1140" s="7">
        <v>0</v>
      </c>
      <c r="H1140" s="7">
        <v>81211.819999998</v>
      </c>
      <c r="I1140" s="7">
        <v>0</v>
      </c>
      <c r="J1140" s="8">
        <v>0</v>
      </c>
      <c r="K1140" s="9" t="str">
        <v/>
      </c>
    </row>
    <row r="1141" spans="1:11">
      <c r="A1141" t="str">
        <v/>
      </c>
      <c r="B1141" s="6">
        <v>0</v>
      </c>
      <c r="C1141" s="7" t="str">
        <v>趣点购浦发</v>
      </c>
      <c r="D1141" s="8">
        <v>0</v>
      </c>
      <c r="E1141" s="7">
        <v>0</v>
      </c>
      <c r="F1141" s="8">
        <v>0</v>
      </c>
      <c r="G1141" s="7">
        <v>0</v>
      </c>
      <c r="H1141" s="7">
        <v>81211.819999998</v>
      </c>
      <c r="I1141" s="7">
        <v>0</v>
      </c>
      <c r="J1141" s="8">
        <v>0</v>
      </c>
      <c r="K1141" s="9" t="str">
        <v/>
      </c>
    </row>
    <row r="1142" spans="1:11">
      <c r="A1142" t="str">
        <v/>
      </c>
      <c r="B1142" s="6">
        <v>0</v>
      </c>
      <c r="C1142" s="7" t="str">
        <v>趣点购浦发</v>
      </c>
      <c r="D1142" s="8">
        <v>0</v>
      </c>
      <c r="E1142" s="7">
        <v>0</v>
      </c>
      <c r="F1142" s="8">
        <v>0</v>
      </c>
      <c r="G1142" s="7">
        <v>0</v>
      </c>
      <c r="H1142" s="7">
        <v>81211.819999998</v>
      </c>
      <c r="I1142" s="7">
        <v>0</v>
      </c>
      <c r="J1142" s="8">
        <v>0</v>
      </c>
      <c r="K1142" s="9" t="str">
        <v/>
      </c>
    </row>
    <row r="1143" spans="1:11">
      <c r="A1143" t="str">
        <v/>
      </c>
      <c r="B1143" s="6">
        <v>0</v>
      </c>
      <c r="C1143" s="7" t="str">
        <v>趣点购浦发</v>
      </c>
      <c r="D1143" s="8">
        <v>0</v>
      </c>
      <c r="E1143" s="7">
        <v>0</v>
      </c>
      <c r="F1143" s="8">
        <v>0</v>
      </c>
      <c r="G1143" s="7">
        <v>0</v>
      </c>
      <c r="H1143" s="7">
        <v>81211.819999998</v>
      </c>
      <c r="I1143" s="7">
        <v>0</v>
      </c>
      <c r="J1143" s="8">
        <v>0</v>
      </c>
      <c r="K1143" s="9" t="str">
        <v/>
      </c>
    </row>
    <row r="1144" spans="1:11">
      <c r="A1144" t="str">
        <v/>
      </c>
      <c r="B1144" s="6">
        <v>0</v>
      </c>
      <c r="C1144" s="7" t="str">
        <v>趣点购浦发</v>
      </c>
      <c r="D1144" s="8">
        <v>0</v>
      </c>
      <c r="E1144" s="7">
        <v>0</v>
      </c>
      <c r="F1144" s="8">
        <v>0</v>
      </c>
      <c r="G1144" s="7">
        <v>0</v>
      </c>
      <c r="H1144" s="7">
        <v>81211.819999998</v>
      </c>
      <c r="I1144" s="7">
        <v>0</v>
      </c>
      <c r="J1144" s="8">
        <v>0</v>
      </c>
      <c r="K1144" s="9" t="str">
        <v/>
      </c>
    </row>
    <row r="1145" spans="1:11">
      <c r="A1145" t="str">
        <v/>
      </c>
      <c r="B1145" s="6">
        <v>0</v>
      </c>
      <c r="C1145" s="7" t="str">
        <v>趣点购浦发</v>
      </c>
      <c r="D1145" s="8">
        <v>0</v>
      </c>
      <c r="E1145" s="7">
        <v>0</v>
      </c>
      <c r="F1145" s="8">
        <v>0</v>
      </c>
      <c r="G1145" s="7">
        <v>0</v>
      </c>
      <c r="H1145" s="7">
        <v>81211.819999998</v>
      </c>
      <c r="I1145" s="7">
        <v>0</v>
      </c>
      <c r="J1145" s="8">
        <v>0</v>
      </c>
      <c r="K1145" s="9" t="str">
        <v/>
      </c>
    </row>
    <row r="1146" spans="1:11">
      <c r="A1146" t="str">
        <v/>
      </c>
      <c r="B1146" s="6">
        <v>0</v>
      </c>
      <c r="C1146" s="7" t="str">
        <v>趣点购浦发</v>
      </c>
      <c r="D1146" s="8">
        <v>0</v>
      </c>
      <c r="E1146" s="7">
        <v>0</v>
      </c>
      <c r="F1146" s="8">
        <v>0</v>
      </c>
      <c r="G1146" s="7">
        <v>0</v>
      </c>
      <c r="H1146" s="7">
        <v>81211.819999998</v>
      </c>
      <c r="I1146" s="7">
        <v>0</v>
      </c>
      <c r="J1146" s="8">
        <v>0</v>
      </c>
      <c r="K1146" s="9" t="str">
        <v/>
      </c>
    </row>
    <row r="1147" spans="1:11">
      <c r="A1147" t="str">
        <v/>
      </c>
      <c r="B1147" s="6">
        <v>0</v>
      </c>
      <c r="C1147" s="7" t="str">
        <v>趣点购浦发</v>
      </c>
      <c r="D1147" s="8">
        <v>0</v>
      </c>
      <c r="E1147" s="7">
        <v>0</v>
      </c>
      <c r="F1147" s="8">
        <v>0</v>
      </c>
      <c r="G1147" s="7">
        <v>0</v>
      </c>
      <c r="H1147" s="7">
        <v>81211.819999998</v>
      </c>
      <c r="I1147" s="7">
        <v>0</v>
      </c>
      <c r="J1147" s="8">
        <v>0</v>
      </c>
      <c r="K1147" s="9" t="str">
        <v/>
      </c>
    </row>
    <row r="1148" spans="1:11">
      <c r="A1148" t="str">
        <v/>
      </c>
      <c r="B1148" s="6">
        <v>0</v>
      </c>
      <c r="C1148" s="7" t="str">
        <v>趣点购浦发</v>
      </c>
      <c r="D1148" s="8">
        <v>0</v>
      </c>
      <c r="E1148" s="7">
        <v>0</v>
      </c>
      <c r="F1148" s="8">
        <v>0</v>
      </c>
      <c r="G1148" s="7">
        <v>0</v>
      </c>
      <c r="H1148" s="7">
        <v>81211.819999998</v>
      </c>
      <c r="I1148" s="7">
        <v>0</v>
      </c>
      <c r="J1148" s="8">
        <v>0</v>
      </c>
      <c r="K1148" s="9" t="str">
        <v/>
      </c>
    </row>
    <row r="1149" spans="1:11">
      <c r="A1149" t="str">
        <v/>
      </c>
      <c r="B1149" s="6">
        <v>0</v>
      </c>
      <c r="C1149" s="7" t="str">
        <v>趣点购浦发</v>
      </c>
      <c r="D1149" s="8">
        <v>0</v>
      </c>
      <c r="E1149" s="7">
        <v>0</v>
      </c>
      <c r="F1149" s="8">
        <v>0</v>
      </c>
      <c r="G1149" s="7">
        <v>0</v>
      </c>
      <c r="H1149" s="7">
        <v>81211.819999998</v>
      </c>
      <c r="I1149" s="7">
        <v>0</v>
      </c>
      <c r="J1149" s="8">
        <v>0</v>
      </c>
      <c r="K1149" s="9" t="str">
        <v/>
      </c>
    </row>
    <row r="1150" spans="1:11">
      <c r="A1150" t="str">
        <v/>
      </c>
      <c r="B1150" s="6">
        <v>0</v>
      </c>
      <c r="C1150" s="7" t="str">
        <v>趣点购浦发</v>
      </c>
      <c r="D1150" s="8">
        <v>0</v>
      </c>
      <c r="E1150" s="7">
        <v>0</v>
      </c>
      <c r="F1150" s="8">
        <v>0</v>
      </c>
      <c r="G1150" s="7">
        <v>0</v>
      </c>
      <c r="H1150" s="7">
        <v>81211.819999998</v>
      </c>
      <c r="I1150" s="7">
        <v>0</v>
      </c>
      <c r="J1150" s="8">
        <v>0</v>
      </c>
      <c r="K1150" s="9" t="str">
        <v/>
      </c>
    </row>
    <row r="1151" spans="1:11">
      <c r="A1151" t="str">
        <v/>
      </c>
      <c r="B1151" s="6">
        <v>0</v>
      </c>
      <c r="C1151" s="7" t="str">
        <v>趣点购浦发</v>
      </c>
      <c r="D1151" s="8">
        <v>0</v>
      </c>
      <c r="E1151" s="7">
        <v>0</v>
      </c>
      <c r="F1151" s="8">
        <v>0</v>
      </c>
      <c r="G1151" s="7">
        <v>0</v>
      </c>
      <c r="H1151" s="7">
        <v>81211.819999998</v>
      </c>
      <c r="I1151" s="7">
        <v>0</v>
      </c>
      <c r="J1151" s="8">
        <v>0</v>
      </c>
      <c r="K1151" s="9" t="str">
        <v/>
      </c>
    </row>
    <row r="1152" spans="1:11">
      <c r="A1152" t="str">
        <v/>
      </c>
      <c r="B1152" s="6">
        <v>0</v>
      </c>
      <c r="C1152" s="7" t="str">
        <v>趣点购浦发</v>
      </c>
      <c r="D1152" s="8">
        <v>0</v>
      </c>
      <c r="E1152" s="7">
        <v>0</v>
      </c>
      <c r="F1152" s="8">
        <v>0</v>
      </c>
      <c r="G1152" s="7">
        <v>0</v>
      </c>
      <c r="H1152" s="7">
        <v>81211.819999998</v>
      </c>
      <c r="I1152" s="7">
        <v>0</v>
      </c>
      <c r="J1152" s="8">
        <v>0</v>
      </c>
      <c r="K1152" s="9" t="str">
        <v/>
      </c>
    </row>
    <row r="1153" spans="1:11">
      <c r="A1153" t="str">
        <v/>
      </c>
      <c r="B1153" s="6">
        <v>0</v>
      </c>
      <c r="C1153" s="7" t="str">
        <v>趣点购浦发</v>
      </c>
      <c r="D1153" s="8">
        <v>0</v>
      </c>
      <c r="E1153" s="7">
        <v>0</v>
      </c>
      <c r="F1153" s="8">
        <v>0</v>
      </c>
      <c r="G1153" s="7">
        <v>0</v>
      </c>
      <c r="H1153" s="7">
        <v>81211.819999998</v>
      </c>
      <c r="I1153" s="7">
        <v>0</v>
      </c>
      <c r="J1153" s="8">
        <v>0</v>
      </c>
      <c r="K1153" s="9" t="str">
        <v/>
      </c>
    </row>
    <row r="1154" spans="1:11">
      <c r="A1154" t="str">
        <v/>
      </c>
      <c r="B1154" s="6">
        <v>0</v>
      </c>
      <c r="C1154" s="7" t="str">
        <v>趣点购浦发</v>
      </c>
      <c r="D1154" s="8">
        <v>0</v>
      </c>
      <c r="E1154" s="7">
        <v>0</v>
      </c>
      <c r="F1154" s="8">
        <v>0</v>
      </c>
      <c r="G1154" s="7">
        <v>0</v>
      </c>
      <c r="H1154" s="7">
        <v>81211.819999998</v>
      </c>
      <c r="I1154" s="7">
        <v>0</v>
      </c>
      <c r="J1154" s="8">
        <v>0</v>
      </c>
      <c r="K1154" s="9" t="str">
        <v/>
      </c>
    </row>
    <row r="1155" spans="1:11">
      <c r="A1155" t="str">
        <v/>
      </c>
      <c r="B1155" s="6">
        <v>0</v>
      </c>
      <c r="C1155" s="7" t="str">
        <v>趣点购浦发</v>
      </c>
      <c r="D1155" s="8">
        <v>0</v>
      </c>
      <c r="E1155" s="7">
        <v>0</v>
      </c>
      <c r="F1155" s="8">
        <v>0</v>
      </c>
      <c r="G1155" s="7">
        <v>0</v>
      </c>
      <c r="H1155" s="7">
        <v>81211.819999998</v>
      </c>
      <c r="I1155" s="7">
        <v>0</v>
      </c>
      <c r="J1155" s="8">
        <v>0</v>
      </c>
      <c r="K1155" s="9" t="str">
        <v/>
      </c>
    </row>
    <row r="1156" spans="1:11">
      <c r="A1156" t="str">
        <v/>
      </c>
      <c r="B1156" s="6">
        <v>0</v>
      </c>
      <c r="C1156" s="7" t="str">
        <v>趣点购浦发</v>
      </c>
      <c r="D1156" s="8">
        <v>0</v>
      </c>
      <c r="E1156" s="7">
        <v>0</v>
      </c>
      <c r="F1156" s="8">
        <v>0</v>
      </c>
      <c r="G1156" s="7">
        <v>0</v>
      </c>
      <c r="H1156" s="7">
        <v>81211.819999998</v>
      </c>
      <c r="I1156" s="7">
        <v>0</v>
      </c>
      <c r="J1156" s="8">
        <v>0</v>
      </c>
      <c r="K1156" s="9" t="str">
        <v/>
      </c>
    </row>
    <row r="1157" spans="1:11">
      <c r="A1157" t="str">
        <v/>
      </c>
      <c r="B1157" s="6">
        <v>0</v>
      </c>
      <c r="C1157" s="7" t="str">
        <v>趣点购浦发</v>
      </c>
      <c r="D1157" s="8">
        <v>0</v>
      </c>
      <c r="E1157" s="7">
        <v>0</v>
      </c>
      <c r="F1157" s="8">
        <v>0</v>
      </c>
      <c r="G1157" s="7">
        <v>0</v>
      </c>
      <c r="H1157" s="7">
        <v>81211.819999998</v>
      </c>
      <c r="I1157" s="7">
        <v>0</v>
      </c>
      <c r="J1157" s="8">
        <v>0</v>
      </c>
      <c r="K1157" s="9" t="str">
        <v/>
      </c>
    </row>
    <row r="1158" spans="1:11">
      <c r="A1158" t="str">
        <v/>
      </c>
      <c r="B1158" s="6">
        <v>0</v>
      </c>
      <c r="C1158" s="7" t="str">
        <v>趣点购浦发</v>
      </c>
      <c r="D1158" s="8">
        <v>0</v>
      </c>
      <c r="E1158" s="7">
        <v>0</v>
      </c>
      <c r="F1158" s="8">
        <v>0</v>
      </c>
      <c r="G1158" s="7">
        <v>0</v>
      </c>
      <c r="H1158" s="7">
        <v>81211.819999998</v>
      </c>
      <c r="I1158" s="7">
        <v>0</v>
      </c>
      <c r="J1158" s="8">
        <v>0</v>
      </c>
      <c r="K1158" s="9" t="str">
        <v/>
      </c>
    </row>
    <row r="1159" spans="1:11">
      <c r="A1159" t="str">
        <v/>
      </c>
      <c r="B1159" s="6">
        <v>0</v>
      </c>
      <c r="C1159" s="7" t="str">
        <v>趣点购浦发</v>
      </c>
      <c r="D1159" s="8">
        <v>0</v>
      </c>
      <c r="E1159" s="7">
        <v>0</v>
      </c>
      <c r="F1159" s="8">
        <v>0</v>
      </c>
      <c r="G1159" s="7">
        <v>0</v>
      </c>
      <c r="H1159" s="7">
        <v>81211.819999998</v>
      </c>
      <c r="I1159" s="7">
        <v>0</v>
      </c>
      <c r="J1159" s="8">
        <v>0</v>
      </c>
      <c r="K1159" s="9" t="str">
        <v/>
      </c>
    </row>
    <row r="1160" spans="1:11">
      <c r="A1160" t="str">
        <v/>
      </c>
      <c r="B1160" s="6">
        <v>0</v>
      </c>
      <c r="C1160" s="7" t="str">
        <v>趣点购浦发</v>
      </c>
      <c r="D1160" s="8">
        <v>0</v>
      </c>
      <c r="E1160" s="7">
        <v>0</v>
      </c>
      <c r="F1160" s="8">
        <v>0</v>
      </c>
      <c r="G1160" s="7">
        <v>0</v>
      </c>
      <c r="H1160" s="7">
        <v>81211.819999998</v>
      </c>
      <c r="I1160" s="7">
        <v>0</v>
      </c>
      <c r="J1160" s="8">
        <v>0</v>
      </c>
      <c r="K1160" s="9" t="str">
        <v/>
      </c>
    </row>
    <row r="1161" spans="1:11">
      <c r="A1161" t="str">
        <v/>
      </c>
      <c r="B1161" s="6">
        <v>0</v>
      </c>
      <c r="C1161" s="7" t="str">
        <v>趣点购浦发</v>
      </c>
      <c r="D1161" s="8">
        <v>0</v>
      </c>
      <c r="E1161" s="7">
        <v>0</v>
      </c>
      <c r="F1161" s="8">
        <v>0</v>
      </c>
      <c r="G1161" s="7">
        <v>0</v>
      </c>
      <c r="H1161" s="7">
        <v>81211.819999998</v>
      </c>
      <c r="I1161" s="7">
        <v>0</v>
      </c>
      <c r="J1161" s="8">
        <v>0</v>
      </c>
      <c r="K1161" s="9" t="str">
        <v/>
      </c>
    </row>
    <row r="1162" spans="1:11">
      <c r="A1162" t="str">
        <v/>
      </c>
      <c r="B1162" s="6">
        <v>0</v>
      </c>
      <c r="C1162" s="7" t="str">
        <v>趣点购浦发</v>
      </c>
      <c r="D1162" s="8">
        <v>0</v>
      </c>
      <c r="E1162" s="7">
        <v>0</v>
      </c>
      <c r="F1162" s="8">
        <v>0</v>
      </c>
      <c r="G1162" s="7">
        <v>0</v>
      </c>
      <c r="H1162" s="7">
        <v>81211.819999998</v>
      </c>
      <c r="I1162" s="7">
        <v>0</v>
      </c>
      <c r="J1162" s="8">
        <v>0</v>
      </c>
      <c r="K1162" s="9" t="str">
        <v/>
      </c>
    </row>
    <row r="1163" spans="1:11">
      <c r="A1163" t="str">
        <v/>
      </c>
      <c r="B1163" s="6">
        <v>0</v>
      </c>
      <c r="C1163" s="7" t="str">
        <v>趣点购浦发</v>
      </c>
      <c r="D1163" s="8">
        <v>0</v>
      </c>
      <c r="E1163" s="7">
        <v>0</v>
      </c>
      <c r="F1163" s="8">
        <v>0</v>
      </c>
      <c r="G1163" s="7">
        <v>0</v>
      </c>
      <c r="H1163" s="7">
        <v>81211.819999998</v>
      </c>
      <c r="I1163" s="7">
        <v>0</v>
      </c>
      <c r="J1163" s="8">
        <v>0</v>
      </c>
      <c r="K1163" s="9" t="str">
        <v/>
      </c>
    </row>
    <row r="1164" spans="1:11">
      <c r="A1164" t="str">
        <v/>
      </c>
      <c r="B1164" s="6">
        <v>0</v>
      </c>
      <c r="C1164" s="7" t="str">
        <v>趣点购浦发</v>
      </c>
      <c r="D1164" s="8">
        <v>0</v>
      </c>
      <c r="E1164" s="7">
        <v>0</v>
      </c>
      <c r="F1164" s="8">
        <v>0</v>
      </c>
      <c r="G1164" s="7">
        <v>0</v>
      </c>
      <c r="H1164" s="7">
        <v>81211.819999998</v>
      </c>
      <c r="I1164" s="7">
        <v>0</v>
      </c>
      <c r="J1164" s="8">
        <v>0</v>
      </c>
      <c r="K1164" s="9" t="str">
        <v/>
      </c>
    </row>
    <row r="1165" spans="1:11">
      <c r="A1165" t="str">
        <v/>
      </c>
      <c r="B1165" s="6">
        <v>0</v>
      </c>
      <c r="C1165" s="7" t="str">
        <v>趣点购浦发</v>
      </c>
      <c r="D1165" s="8">
        <v>0</v>
      </c>
      <c r="E1165" s="7">
        <v>0</v>
      </c>
      <c r="F1165" s="8">
        <v>0</v>
      </c>
      <c r="G1165" s="7">
        <v>0</v>
      </c>
      <c r="H1165" s="7">
        <v>81211.819999998</v>
      </c>
      <c r="I1165" s="7">
        <v>0</v>
      </c>
      <c r="J1165" s="8">
        <v>0</v>
      </c>
      <c r="K1165" s="9" t="str">
        <v/>
      </c>
    </row>
    <row r="1166" spans="1:11">
      <c r="A1166" t="str">
        <v/>
      </c>
      <c r="B1166" s="6">
        <v>0</v>
      </c>
      <c r="C1166" s="7" t="str">
        <v>趣点购浦发</v>
      </c>
      <c r="D1166" s="8">
        <v>0</v>
      </c>
      <c r="E1166" s="7">
        <v>0</v>
      </c>
      <c r="F1166" s="8">
        <v>0</v>
      </c>
      <c r="G1166" s="7">
        <v>0</v>
      </c>
      <c r="H1166" s="7">
        <v>81211.819999998</v>
      </c>
      <c r="I1166" s="7">
        <v>0</v>
      </c>
      <c r="J1166" s="8">
        <v>0</v>
      </c>
      <c r="K1166" s="9" t="str">
        <v/>
      </c>
    </row>
    <row r="1167" spans="1:11">
      <c r="A1167" t="str">
        <v/>
      </c>
      <c r="B1167" s="6">
        <v>0</v>
      </c>
      <c r="C1167" s="7" t="str">
        <v>趣点购浦发</v>
      </c>
      <c r="D1167" s="8">
        <v>0</v>
      </c>
      <c r="E1167" s="7">
        <v>0</v>
      </c>
      <c r="F1167" s="8">
        <v>0</v>
      </c>
      <c r="G1167" s="7">
        <v>0</v>
      </c>
      <c r="H1167" s="7">
        <v>81211.819999998</v>
      </c>
      <c r="I1167" s="7">
        <v>0</v>
      </c>
      <c r="J1167" s="8">
        <v>0</v>
      </c>
      <c r="K1167" s="9" t="str">
        <v/>
      </c>
    </row>
    <row r="1168" spans="1:11">
      <c r="A1168" t="str">
        <v/>
      </c>
      <c r="B1168" s="6">
        <v>0</v>
      </c>
      <c r="C1168" s="7" t="str">
        <v>趣点购浦发</v>
      </c>
      <c r="D1168" s="8">
        <v>0</v>
      </c>
      <c r="E1168" s="7">
        <v>0</v>
      </c>
      <c r="F1168" s="8">
        <v>0</v>
      </c>
      <c r="G1168" s="7">
        <v>0</v>
      </c>
      <c r="H1168" s="7">
        <v>81211.819999998</v>
      </c>
      <c r="I1168" s="7">
        <v>0</v>
      </c>
      <c r="J1168" s="8">
        <v>0</v>
      </c>
      <c r="K1168" s="9" t="str">
        <v/>
      </c>
    </row>
    <row r="1169" spans="1:11">
      <c r="A1169" t="str">
        <v/>
      </c>
      <c r="B1169" s="6">
        <v>0</v>
      </c>
      <c r="C1169" s="7" t="str">
        <v>趣点购浦发</v>
      </c>
      <c r="D1169" s="8">
        <v>0</v>
      </c>
      <c r="E1169" s="7">
        <v>0</v>
      </c>
      <c r="F1169" s="8">
        <v>0</v>
      </c>
      <c r="G1169" s="7">
        <v>0</v>
      </c>
      <c r="H1169" s="7">
        <v>81211.819999998</v>
      </c>
      <c r="I1169" s="7">
        <v>0</v>
      </c>
      <c r="J1169" s="8">
        <v>0</v>
      </c>
      <c r="K1169" s="9" t="str">
        <v/>
      </c>
    </row>
    <row r="1170" spans="1:11">
      <c r="A1170" t="str">
        <v/>
      </c>
      <c r="B1170" s="6">
        <v>0</v>
      </c>
      <c r="C1170" s="7" t="str">
        <v>趣点购浦发</v>
      </c>
      <c r="D1170" s="8">
        <v>0</v>
      </c>
      <c r="E1170" s="7">
        <v>0</v>
      </c>
      <c r="F1170" s="8">
        <v>0</v>
      </c>
      <c r="G1170" s="7">
        <v>0</v>
      </c>
      <c r="H1170" s="7">
        <v>81211.819999998</v>
      </c>
      <c r="I1170" s="7">
        <v>0</v>
      </c>
      <c r="J1170" s="8">
        <v>0</v>
      </c>
      <c r="K1170" s="9" t="str">
        <v/>
      </c>
    </row>
    <row r="1171" spans="1:11">
      <c r="A1171" t="str">
        <v/>
      </c>
      <c r="B1171" s="6">
        <v>0</v>
      </c>
      <c r="C1171" s="7" t="str">
        <v>趣点购浦发</v>
      </c>
      <c r="D1171" s="8">
        <v>0</v>
      </c>
      <c r="E1171" s="7">
        <v>0</v>
      </c>
      <c r="F1171" s="8">
        <v>0</v>
      </c>
      <c r="G1171" s="7">
        <v>0</v>
      </c>
      <c r="H1171" s="7">
        <v>81211.819999998</v>
      </c>
      <c r="I1171" s="7">
        <v>0</v>
      </c>
      <c r="J1171" s="8">
        <v>0</v>
      </c>
      <c r="K1171" s="9" t="str">
        <v/>
      </c>
    </row>
    <row r="1172" spans="1:11">
      <c r="A1172" t="str">
        <v/>
      </c>
      <c r="B1172" s="6">
        <v>0</v>
      </c>
      <c r="C1172" s="7" t="str">
        <v>趣点购浦发</v>
      </c>
      <c r="D1172" s="8">
        <v>0</v>
      </c>
      <c r="E1172" s="7">
        <v>0</v>
      </c>
      <c r="F1172" s="8">
        <v>0</v>
      </c>
      <c r="G1172" s="7">
        <v>0</v>
      </c>
      <c r="H1172" s="7">
        <v>81211.819999998</v>
      </c>
      <c r="I1172" s="7">
        <v>0</v>
      </c>
      <c r="J1172" s="8">
        <v>0</v>
      </c>
      <c r="K1172" s="9" t="str">
        <v/>
      </c>
    </row>
    <row r="1173" spans="1:11">
      <c r="A1173" t="str">
        <v/>
      </c>
      <c r="B1173" s="6">
        <v>0</v>
      </c>
      <c r="C1173" s="7" t="str">
        <v>趣点购浦发</v>
      </c>
      <c r="D1173" s="8">
        <v>0</v>
      </c>
      <c r="E1173" s="7">
        <v>0</v>
      </c>
      <c r="F1173" s="8">
        <v>0</v>
      </c>
      <c r="G1173" s="7">
        <v>0</v>
      </c>
      <c r="H1173" s="7">
        <v>81211.819999998</v>
      </c>
      <c r="I1173" s="7">
        <v>0</v>
      </c>
      <c r="J1173" s="8">
        <v>0</v>
      </c>
      <c r="K1173" s="9" t="str">
        <v/>
      </c>
    </row>
    <row r="1174" spans="1:11">
      <c r="A1174" t="str">
        <v/>
      </c>
      <c r="B1174" s="6">
        <v>0</v>
      </c>
      <c r="C1174" s="7" t="str">
        <v>趣点购浦发</v>
      </c>
      <c r="D1174" s="8">
        <v>0</v>
      </c>
      <c r="E1174" s="7">
        <v>0</v>
      </c>
      <c r="F1174" s="8">
        <v>0</v>
      </c>
      <c r="G1174" s="7">
        <v>0</v>
      </c>
      <c r="H1174" s="7">
        <v>81211.819999998</v>
      </c>
      <c r="I1174" s="7">
        <v>0</v>
      </c>
      <c r="J1174" s="8">
        <v>0</v>
      </c>
      <c r="K1174" s="9" t="str">
        <v/>
      </c>
    </row>
    <row r="1175" spans="1:11">
      <c r="A1175" t="str">
        <v/>
      </c>
      <c r="B1175" s="6">
        <v>0</v>
      </c>
      <c r="C1175" s="7" t="str">
        <v>趣点购浦发</v>
      </c>
      <c r="D1175" s="8">
        <v>0</v>
      </c>
      <c r="E1175" s="7">
        <v>0</v>
      </c>
      <c r="F1175" s="8">
        <v>0</v>
      </c>
      <c r="G1175" s="7">
        <v>0</v>
      </c>
      <c r="H1175" s="7">
        <v>81211.819999998</v>
      </c>
      <c r="I1175" s="7">
        <v>0</v>
      </c>
      <c r="J1175" s="8">
        <v>0</v>
      </c>
      <c r="K1175" s="9" t="str">
        <v/>
      </c>
    </row>
    <row r="1176" spans="1:11">
      <c r="A1176" t="str">
        <v/>
      </c>
      <c r="B1176" s="6">
        <v>0</v>
      </c>
      <c r="C1176" s="7" t="str">
        <v>趣点购浦发</v>
      </c>
      <c r="D1176" s="8">
        <v>0</v>
      </c>
      <c r="E1176" s="7">
        <v>0</v>
      </c>
      <c r="F1176" s="8">
        <v>0</v>
      </c>
      <c r="G1176" s="7">
        <v>0</v>
      </c>
      <c r="H1176" s="7">
        <v>81211.819999998</v>
      </c>
      <c r="I1176" s="7">
        <v>0</v>
      </c>
      <c r="J1176" s="8">
        <v>0</v>
      </c>
      <c r="K1176" s="9" t="str">
        <v/>
      </c>
    </row>
    <row r="1177" spans="1:11">
      <c r="A1177" t="str">
        <v/>
      </c>
      <c r="B1177" s="6">
        <v>0</v>
      </c>
      <c r="C1177" s="7" t="str">
        <v>趣点购浦发</v>
      </c>
      <c r="D1177" s="8">
        <v>0</v>
      </c>
      <c r="E1177" s="7">
        <v>0</v>
      </c>
      <c r="F1177" s="8">
        <v>0</v>
      </c>
      <c r="G1177" s="7">
        <v>0</v>
      </c>
      <c r="H1177" s="7">
        <v>81211.819999998</v>
      </c>
      <c r="I1177" s="7">
        <v>0</v>
      </c>
      <c r="J1177" s="8">
        <v>0</v>
      </c>
      <c r="K1177" s="9" t="str">
        <v/>
      </c>
    </row>
    <row r="1178" spans="1:11">
      <c r="A1178" t="str">
        <v/>
      </c>
      <c r="B1178" s="6">
        <v>0</v>
      </c>
      <c r="C1178" s="7" t="str">
        <v>趣点购浦发</v>
      </c>
      <c r="D1178" s="8">
        <v>0</v>
      </c>
      <c r="E1178" s="7">
        <v>0</v>
      </c>
      <c r="F1178" s="8">
        <v>0</v>
      </c>
      <c r="G1178" s="7">
        <v>0</v>
      </c>
      <c r="H1178" s="7">
        <v>81211.819999998</v>
      </c>
      <c r="I1178" s="7">
        <v>0</v>
      </c>
      <c r="J1178" s="8">
        <v>0</v>
      </c>
      <c r="K1178" s="9" t="str">
        <v/>
      </c>
    </row>
    <row r="1179" spans="1:11">
      <c r="A1179" t="str">
        <v/>
      </c>
      <c r="B1179" s="6">
        <v>0</v>
      </c>
      <c r="C1179" s="7" t="str">
        <v>趣点购浦发</v>
      </c>
      <c r="D1179" s="8">
        <v>0</v>
      </c>
      <c r="E1179" s="7">
        <v>0</v>
      </c>
      <c r="F1179" s="8">
        <v>0</v>
      </c>
      <c r="G1179" s="7">
        <v>0</v>
      </c>
      <c r="H1179" s="7">
        <v>81211.819999998</v>
      </c>
      <c r="I1179" s="7">
        <v>0</v>
      </c>
      <c r="J1179" s="8">
        <v>0</v>
      </c>
      <c r="K1179" s="9" t="str">
        <v/>
      </c>
    </row>
    <row r="1180" spans="1:11">
      <c r="A1180" t="str">
        <v/>
      </c>
      <c r="B1180" s="6">
        <v>0</v>
      </c>
      <c r="C1180" s="7" t="str">
        <v>趣点购浦发</v>
      </c>
      <c r="D1180" s="8">
        <v>0</v>
      </c>
      <c r="E1180" s="7">
        <v>0</v>
      </c>
      <c r="F1180" s="8">
        <v>0</v>
      </c>
      <c r="G1180" s="7">
        <v>0</v>
      </c>
      <c r="H1180" s="7">
        <v>81211.819999998</v>
      </c>
      <c r="I1180" s="7">
        <v>0</v>
      </c>
      <c r="J1180" s="8">
        <v>0</v>
      </c>
      <c r="K1180" s="9" t="str">
        <v/>
      </c>
    </row>
    <row r="1181" spans="1:11">
      <c r="A1181" t="str">
        <v/>
      </c>
      <c r="B1181" s="6">
        <v>0</v>
      </c>
      <c r="C1181" s="7" t="str">
        <v>趣点购浦发</v>
      </c>
      <c r="D1181" s="8">
        <v>0</v>
      </c>
      <c r="E1181" s="7">
        <v>0</v>
      </c>
      <c r="F1181" s="8">
        <v>0</v>
      </c>
      <c r="G1181" s="7">
        <v>0</v>
      </c>
      <c r="H1181" s="7">
        <v>81211.819999998</v>
      </c>
      <c r="I1181" s="7">
        <v>0</v>
      </c>
      <c r="J1181" s="8">
        <v>0</v>
      </c>
      <c r="K1181" s="9" t="str">
        <v/>
      </c>
    </row>
    <row r="1182" spans="1:11">
      <c r="A1182" t="str">
        <v/>
      </c>
      <c r="B1182" s="6">
        <v>0</v>
      </c>
      <c r="C1182" s="7" t="str">
        <v>趣点购浦发</v>
      </c>
      <c r="D1182" s="8">
        <v>0</v>
      </c>
      <c r="E1182" s="7">
        <v>0</v>
      </c>
      <c r="F1182" s="8">
        <v>0</v>
      </c>
      <c r="G1182" s="7">
        <v>0</v>
      </c>
      <c r="H1182" s="7">
        <v>81211.819999998</v>
      </c>
      <c r="I1182" s="7">
        <v>0</v>
      </c>
      <c r="J1182" s="8">
        <v>0</v>
      </c>
      <c r="K1182" s="9" t="str">
        <v/>
      </c>
    </row>
    <row r="1183" spans="1:11">
      <c r="A1183" t="str">
        <v/>
      </c>
      <c r="B1183" s="6">
        <v>0</v>
      </c>
      <c r="C1183" s="7" t="str">
        <v>趣点购浦发</v>
      </c>
      <c r="D1183" s="8">
        <v>0</v>
      </c>
      <c r="E1183" s="7">
        <v>0</v>
      </c>
      <c r="F1183" s="8">
        <v>0</v>
      </c>
      <c r="G1183" s="7">
        <v>0</v>
      </c>
      <c r="H1183" s="7">
        <v>81211.819999998</v>
      </c>
      <c r="I1183" s="7">
        <v>0</v>
      </c>
      <c r="J1183" s="8">
        <v>0</v>
      </c>
      <c r="K1183" s="9" t="str">
        <v/>
      </c>
    </row>
    <row r="1184" spans="1:11">
      <c r="A1184" t="str">
        <v/>
      </c>
      <c r="B1184" s="6">
        <v>0</v>
      </c>
      <c r="C1184" s="7" t="str">
        <v>趣点购浦发</v>
      </c>
      <c r="D1184" s="8">
        <v>0</v>
      </c>
      <c r="E1184" s="7">
        <v>0</v>
      </c>
      <c r="F1184" s="8">
        <v>0</v>
      </c>
      <c r="G1184" s="7">
        <v>0</v>
      </c>
      <c r="H1184" s="7">
        <v>81211.819999998</v>
      </c>
      <c r="I1184" s="7">
        <v>0</v>
      </c>
      <c r="J1184" s="8">
        <v>0</v>
      </c>
      <c r="K1184" s="9" t="str">
        <v/>
      </c>
    </row>
    <row r="1185" spans="1:11">
      <c r="A1185" t="str">
        <v/>
      </c>
      <c r="B1185" s="6">
        <v>0</v>
      </c>
      <c r="C1185" s="7" t="str">
        <v>趣点购浦发</v>
      </c>
      <c r="D1185" s="8">
        <v>0</v>
      </c>
      <c r="E1185" s="7">
        <v>0</v>
      </c>
      <c r="F1185" s="8">
        <v>0</v>
      </c>
      <c r="G1185" s="7">
        <v>0</v>
      </c>
      <c r="H1185" s="7">
        <v>81211.819999998</v>
      </c>
      <c r="I1185" s="7">
        <v>0</v>
      </c>
      <c r="J1185" s="8">
        <v>0</v>
      </c>
      <c r="K1185" s="9" t="str">
        <v/>
      </c>
    </row>
    <row r="1186" spans="1:11">
      <c r="A1186" t="str">
        <v/>
      </c>
      <c r="B1186" s="6">
        <v>0</v>
      </c>
      <c r="C1186" s="7" t="str">
        <v>趣点购浦发</v>
      </c>
      <c r="D1186" s="8">
        <v>0</v>
      </c>
      <c r="E1186" s="7">
        <v>0</v>
      </c>
      <c r="F1186" s="8">
        <v>0</v>
      </c>
      <c r="G1186" s="7">
        <v>0</v>
      </c>
      <c r="H1186" s="7">
        <v>81211.819999998</v>
      </c>
      <c r="I1186" s="7">
        <v>0</v>
      </c>
      <c r="J1186" s="8">
        <v>0</v>
      </c>
      <c r="K1186" s="9" t="str">
        <v/>
      </c>
    </row>
    <row r="1187" spans="1:11">
      <c r="A1187" t="str">
        <v/>
      </c>
      <c r="B1187" s="6">
        <v>0</v>
      </c>
      <c r="C1187" s="7" t="str">
        <v>趣点购浦发</v>
      </c>
      <c r="D1187" s="8">
        <v>0</v>
      </c>
      <c r="E1187" s="7">
        <v>0</v>
      </c>
      <c r="F1187" s="8">
        <v>0</v>
      </c>
      <c r="G1187" s="7">
        <v>0</v>
      </c>
      <c r="H1187" s="7">
        <v>81211.819999998</v>
      </c>
      <c r="I1187" s="7">
        <v>0</v>
      </c>
      <c r="J1187" s="8">
        <v>0</v>
      </c>
      <c r="K1187" s="9" t="str">
        <v/>
      </c>
    </row>
    <row r="1188" spans="1:11">
      <c r="A1188" t="str">
        <v/>
      </c>
      <c r="B1188" s="6">
        <v>0</v>
      </c>
      <c r="C1188" s="7" t="str">
        <v>趣点购浦发</v>
      </c>
      <c r="D1188" s="8">
        <v>0</v>
      </c>
      <c r="E1188" s="7">
        <v>0</v>
      </c>
      <c r="F1188" s="8">
        <v>0</v>
      </c>
      <c r="G1188" s="7">
        <v>0</v>
      </c>
      <c r="H1188" s="7">
        <v>81211.819999998</v>
      </c>
      <c r="I1188" s="7">
        <v>0</v>
      </c>
      <c r="J1188" s="8">
        <v>0</v>
      </c>
      <c r="K1188" s="9" t="str">
        <v/>
      </c>
    </row>
    <row r="1189" spans="1:11">
      <c r="A1189" t="str">
        <v/>
      </c>
      <c r="B1189" s="6">
        <v>0</v>
      </c>
      <c r="C1189" s="7" t="str">
        <v>趣点购浦发</v>
      </c>
      <c r="D1189" s="8">
        <v>0</v>
      </c>
      <c r="E1189" s="7">
        <v>0</v>
      </c>
      <c r="F1189" s="8">
        <v>0</v>
      </c>
      <c r="G1189" s="7">
        <v>0</v>
      </c>
      <c r="H1189" s="7">
        <v>81211.819999998</v>
      </c>
      <c r="I1189" s="7">
        <v>0</v>
      </c>
      <c r="J1189" s="8">
        <v>0</v>
      </c>
      <c r="K1189" s="9" t="str">
        <v/>
      </c>
    </row>
    <row r="1190" spans="1:11">
      <c r="A1190" t="str">
        <v/>
      </c>
      <c r="B1190" s="6">
        <v>0</v>
      </c>
      <c r="C1190" s="7" t="str">
        <v>趣点购浦发</v>
      </c>
      <c r="D1190" s="8">
        <v>0</v>
      </c>
      <c r="E1190" s="7">
        <v>0</v>
      </c>
      <c r="F1190" s="8">
        <v>0</v>
      </c>
      <c r="G1190" s="7">
        <v>0</v>
      </c>
      <c r="H1190" s="7">
        <v>81211.819999998</v>
      </c>
      <c r="I1190" s="7">
        <v>0</v>
      </c>
      <c r="J1190" s="8">
        <v>0</v>
      </c>
      <c r="K1190" s="9" t="str">
        <v/>
      </c>
    </row>
    <row r="1191" spans="1:11">
      <c r="A1191" t="str">
        <v/>
      </c>
      <c r="B1191" s="6">
        <v>0</v>
      </c>
      <c r="C1191" s="7" t="str">
        <v>趣点购浦发</v>
      </c>
      <c r="D1191" s="8">
        <v>0</v>
      </c>
      <c r="E1191" s="7">
        <v>0</v>
      </c>
      <c r="F1191" s="8">
        <v>0</v>
      </c>
      <c r="G1191" s="7">
        <v>0</v>
      </c>
      <c r="H1191" s="7">
        <v>81211.819999998</v>
      </c>
      <c r="I1191" s="7">
        <v>0</v>
      </c>
      <c r="J1191" s="8">
        <v>0</v>
      </c>
      <c r="K1191" s="9" t="str">
        <v/>
      </c>
    </row>
    <row r="1192" spans="1:11">
      <c r="A1192" t="str">
        <v/>
      </c>
      <c r="B1192" s="6">
        <v>0</v>
      </c>
      <c r="C1192" s="7" t="str">
        <v>趣点购浦发</v>
      </c>
      <c r="D1192" s="8">
        <v>0</v>
      </c>
      <c r="E1192" s="7">
        <v>0</v>
      </c>
      <c r="F1192" s="8">
        <v>0</v>
      </c>
      <c r="G1192" s="7">
        <v>0</v>
      </c>
      <c r="H1192" s="7">
        <v>81211.819999998</v>
      </c>
      <c r="I1192" s="7">
        <v>0</v>
      </c>
      <c r="J1192" s="8">
        <v>0</v>
      </c>
      <c r="K1192" s="9" t="str">
        <v/>
      </c>
    </row>
    <row r="1193" spans="1:11">
      <c r="A1193" t="str">
        <v/>
      </c>
      <c r="B1193" s="6">
        <v>0</v>
      </c>
      <c r="C1193" s="7" t="str">
        <v>趣点购浦发</v>
      </c>
      <c r="D1193" s="8">
        <v>0</v>
      </c>
      <c r="E1193" s="7">
        <v>0</v>
      </c>
      <c r="F1193" s="8">
        <v>0</v>
      </c>
      <c r="G1193" s="7">
        <v>0</v>
      </c>
      <c r="H1193" s="7">
        <v>81211.819999998</v>
      </c>
      <c r="I1193" s="7">
        <v>0</v>
      </c>
      <c r="J1193" s="8">
        <v>0</v>
      </c>
      <c r="K1193" s="9" t="str">
        <v/>
      </c>
    </row>
    <row r="1194" spans="1:11">
      <c r="A1194" t="str">
        <v/>
      </c>
      <c r="B1194" s="6">
        <v>0</v>
      </c>
      <c r="C1194" s="7" t="str">
        <v>趣点购浦发</v>
      </c>
      <c r="D1194" s="8">
        <v>0</v>
      </c>
      <c r="E1194" s="7">
        <v>0</v>
      </c>
      <c r="F1194" s="8">
        <v>0</v>
      </c>
      <c r="G1194" s="7">
        <v>0</v>
      </c>
      <c r="H1194" s="7">
        <v>81211.819999998</v>
      </c>
      <c r="I1194" s="7">
        <v>0</v>
      </c>
      <c r="J1194" s="8">
        <v>0</v>
      </c>
      <c r="K1194" s="9" t="str">
        <v/>
      </c>
    </row>
    <row r="1195" spans="1:11">
      <c r="A1195" t="str">
        <v/>
      </c>
      <c r="B1195" s="6">
        <v>0</v>
      </c>
      <c r="C1195" s="7" t="str">
        <v>趣点购浦发</v>
      </c>
      <c r="D1195" s="8">
        <v>0</v>
      </c>
      <c r="E1195" s="7">
        <v>0</v>
      </c>
      <c r="F1195" s="8">
        <v>0</v>
      </c>
      <c r="G1195" s="7">
        <v>0</v>
      </c>
      <c r="H1195" s="7">
        <v>81211.819999998</v>
      </c>
      <c r="I1195" s="7">
        <v>0</v>
      </c>
      <c r="J1195" s="8">
        <v>0</v>
      </c>
      <c r="K1195" s="9" t="str">
        <v/>
      </c>
    </row>
    <row r="1196" spans="1:11">
      <c r="A1196" t="str">
        <v/>
      </c>
      <c r="B1196" s="6">
        <v>0</v>
      </c>
      <c r="C1196" s="7" t="str">
        <v>趣点购浦发</v>
      </c>
      <c r="D1196" s="8">
        <v>0</v>
      </c>
      <c r="E1196" s="7">
        <v>0</v>
      </c>
      <c r="F1196" s="8">
        <v>0</v>
      </c>
      <c r="G1196" s="7">
        <v>0</v>
      </c>
      <c r="H1196" s="7">
        <v>81211.819999998</v>
      </c>
      <c r="I1196" s="7">
        <v>0</v>
      </c>
      <c r="J1196" s="8">
        <v>0</v>
      </c>
      <c r="K1196" s="9" t="str">
        <v/>
      </c>
    </row>
    <row r="1197" spans="1:11">
      <c r="A1197" t="str">
        <v/>
      </c>
      <c r="B1197" s="6">
        <v>0</v>
      </c>
      <c r="C1197" s="7" t="str">
        <v>趣点购浦发</v>
      </c>
      <c r="D1197" s="8">
        <v>0</v>
      </c>
      <c r="E1197" s="7">
        <v>0</v>
      </c>
      <c r="F1197" s="8">
        <v>0</v>
      </c>
      <c r="G1197" s="7">
        <v>0</v>
      </c>
      <c r="H1197" s="7">
        <v>81211.819999998</v>
      </c>
      <c r="I1197" s="7">
        <v>0</v>
      </c>
      <c r="J1197" s="8">
        <v>0</v>
      </c>
      <c r="K1197" s="9" t="str">
        <v/>
      </c>
    </row>
    <row r="1198" spans="1:11">
      <c r="A1198" t="str">
        <v/>
      </c>
      <c r="B1198" s="6">
        <v>0</v>
      </c>
      <c r="C1198" s="7" t="str">
        <v>趣点购浦发</v>
      </c>
      <c r="D1198" s="8">
        <v>0</v>
      </c>
      <c r="E1198" s="7">
        <v>0</v>
      </c>
      <c r="F1198" s="8">
        <v>0</v>
      </c>
      <c r="G1198" s="7">
        <v>0</v>
      </c>
      <c r="H1198" s="7">
        <v>81211.819999998</v>
      </c>
      <c r="I1198" s="7">
        <v>0</v>
      </c>
      <c r="J1198" s="8">
        <v>0</v>
      </c>
      <c r="K1198" s="9" t="str">
        <v/>
      </c>
    </row>
    <row r="1199" spans="1:11">
      <c r="A1199" t="str">
        <v/>
      </c>
      <c r="B1199" s="6">
        <v>0</v>
      </c>
      <c r="C1199" s="7" t="str">
        <v>趣点购浦发</v>
      </c>
      <c r="D1199" s="8">
        <v>0</v>
      </c>
      <c r="E1199" s="7">
        <v>0</v>
      </c>
      <c r="F1199" s="8">
        <v>0</v>
      </c>
      <c r="G1199" s="7">
        <v>0</v>
      </c>
      <c r="H1199" s="7">
        <v>81211.819999998</v>
      </c>
      <c r="I1199" s="7">
        <v>0</v>
      </c>
      <c r="J1199" s="8">
        <v>0</v>
      </c>
      <c r="K1199" s="9" t="str">
        <v/>
      </c>
    </row>
    <row r="1200" spans="1:11">
      <c r="A1200" t="str">
        <v/>
      </c>
      <c r="B1200" s="6">
        <v>0</v>
      </c>
      <c r="C1200" s="7" t="str">
        <v>趣点购浦发</v>
      </c>
      <c r="D1200" s="8">
        <v>0</v>
      </c>
      <c r="E1200" s="7">
        <v>0</v>
      </c>
      <c r="F1200" s="8">
        <v>0</v>
      </c>
      <c r="G1200" s="7">
        <v>0</v>
      </c>
      <c r="H1200" s="7">
        <v>81211.819999998</v>
      </c>
      <c r="I1200" s="7">
        <v>0</v>
      </c>
      <c r="J1200" s="8">
        <v>0</v>
      </c>
      <c r="K1200" s="9" t="str">
        <v/>
      </c>
    </row>
    <row r="1201" spans="1:11">
      <c r="A1201" t="str">
        <v/>
      </c>
      <c r="B1201" s="6">
        <v>0</v>
      </c>
      <c r="C1201" s="7" t="str">
        <v>趣点购浦发</v>
      </c>
      <c r="D1201" s="8">
        <v>0</v>
      </c>
      <c r="E1201" s="7">
        <v>0</v>
      </c>
      <c r="F1201" s="8">
        <v>0</v>
      </c>
      <c r="G1201" s="7">
        <v>0</v>
      </c>
      <c r="H1201" s="7">
        <v>81211.819999998</v>
      </c>
      <c r="I1201" s="7">
        <v>0</v>
      </c>
      <c r="J1201" s="8">
        <v>0</v>
      </c>
      <c r="K1201" s="9" t="str">
        <v/>
      </c>
    </row>
    <row r="1202" spans="1:11">
      <c r="A1202" t="str">
        <v/>
      </c>
      <c r="B1202" s="6">
        <v>0</v>
      </c>
      <c r="C1202" s="7" t="str">
        <v>趣点购浦发</v>
      </c>
      <c r="D1202" s="8">
        <v>0</v>
      </c>
      <c r="E1202" s="7">
        <v>0</v>
      </c>
      <c r="F1202" s="8">
        <v>0</v>
      </c>
      <c r="G1202" s="7">
        <v>0</v>
      </c>
      <c r="H1202" s="7">
        <v>81211.819999998</v>
      </c>
      <c r="I1202" s="7">
        <v>0</v>
      </c>
      <c r="J1202" s="8">
        <v>0</v>
      </c>
      <c r="K1202" s="9" t="str">
        <v/>
      </c>
    </row>
    <row r="1203" spans="1:11">
      <c r="A1203" t="str">
        <v/>
      </c>
      <c r="B1203" s="6">
        <v>0</v>
      </c>
      <c r="C1203" s="7" t="str">
        <v>趣点购浦发</v>
      </c>
      <c r="D1203" s="8">
        <v>0</v>
      </c>
      <c r="E1203" s="7">
        <v>0</v>
      </c>
      <c r="F1203" s="8">
        <v>0</v>
      </c>
      <c r="G1203" s="7">
        <v>0</v>
      </c>
      <c r="H1203" s="7">
        <v>81211.819999998</v>
      </c>
      <c r="I1203" s="7">
        <v>0</v>
      </c>
      <c r="J1203" s="8">
        <v>0</v>
      </c>
      <c r="K1203" s="9" t="str">
        <v/>
      </c>
    </row>
    <row r="1204" spans="1:11">
      <c r="A1204" t="str">
        <v/>
      </c>
      <c r="B1204" s="6">
        <v>0</v>
      </c>
      <c r="C1204" s="7" t="str">
        <v>趣点购浦发</v>
      </c>
      <c r="D1204" s="8">
        <v>0</v>
      </c>
      <c r="E1204" s="7">
        <v>0</v>
      </c>
      <c r="F1204" s="8">
        <v>0</v>
      </c>
      <c r="G1204" s="7">
        <v>0</v>
      </c>
      <c r="H1204" s="7">
        <v>81211.819999998</v>
      </c>
      <c r="I1204" s="7">
        <v>0</v>
      </c>
      <c r="J1204" s="8">
        <v>0</v>
      </c>
      <c r="K1204" s="9" t="str">
        <v/>
      </c>
    </row>
    <row r="1205" spans="1:11">
      <c r="A1205" t="str">
        <v/>
      </c>
      <c r="B1205" s="6">
        <v>0</v>
      </c>
      <c r="C1205" s="7" t="str">
        <v>趣点购浦发</v>
      </c>
      <c r="D1205" s="8">
        <v>0</v>
      </c>
      <c r="E1205" s="7">
        <v>0</v>
      </c>
      <c r="F1205" s="8">
        <v>0</v>
      </c>
      <c r="G1205" s="7">
        <v>0</v>
      </c>
      <c r="H1205" s="7">
        <v>81211.819999998</v>
      </c>
      <c r="I1205" s="7">
        <v>0</v>
      </c>
      <c r="J1205" s="8">
        <v>0</v>
      </c>
      <c r="K1205" s="9" t="str">
        <v/>
      </c>
    </row>
    <row r="1206" spans="1:11">
      <c r="A1206" t="str">
        <v/>
      </c>
      <c r="B1206" s="6">
        <v>0</v>
      </c>
      <c r="C1206" s="7" t="str">
        <v>趣点购浦发</v>
      </c>
      <c r="D1206" s="8">
        <v>0</v>
      </c>
      <c r="E1206" s="7">
        <v>0</v>
      </c>
      <c r="F1206" s="8">
        <v>0</v>
      </c>
      <c r="G1206" s="7">
        <v>0</v>
      </c>
      <c r="H1206" s="7">
        <v>81211.819999998</v>
      </c>
      <c r="I1206" s="7">
        <v>0</v>
      </c>
      <c r="J1206" s="8">
        <v>0</v>
      </c>
      <c r="K1206" s="9" t="str">
        <v/>
      </c>
    </row>
    <row r="1207" spans="1:11">
      <c r="A1207" t="str">
        <v/>
      </c>
      <c r="B1207" s="6">
        <v>0</v>
      </c>
      <c r="C1207" s="7" t="str">
        <v>趣点购浦发</v>
      </c>
      <c r="D1207" s="8">
        <v>0</v>
      </c>
      <c r="E1207" s="7">
        <v>0</v>
      </c>
      <c r="F1207" s="8">
        <v>0</v>
      </c>
      <c r="G1207" s="7">
        <v>0</v>
      </c>
      <c r="H1207" s="7">
        <v>81211.819999998</v>
      </c>
      <c r="I1207" s="7">
        <v>0</v>
      </c>
      <c r="J1207" s="8">
        <v>0</v>
      </c>
      <c r="K1207" s="9" t="str">
        <v/>
      </c>
    </row>
    <row r="1208" spans="1:11">
      <c r="A1208" t="str">
        <v/>
      </c>
      <c r="B1208" s="6">
        <v>0</v>
      </c>
      <c r="C1208" s="7" t="str">
        <v>趣点购浦发</v>
      </c>
      <c r="D1208" s="8">
        <v>0</v>
      </c>
      <c r="E1208" s="7">
        <v>0</v>
      </c>
      <c r="F1208" s="8">
        <v>0</v>
      </c>
      <c r="G1208" s="7">
        <v>0</v>
      </c>
      <c r="H1208" s="7">
        <v>81211.819999998</v>
      </c>
      <c r="I1208" s="7">
        <v>0</v>
      </c>
      <c r="J1208" s="8">
        <v>0</v>
      </c>
      <c r="K1208" s="9" t="str">
        <v/>
      </c>
    </row>
    <row r="1209" spans="1:11">
      <c r="A1209" t="str">
        <v/>
      </c>
      <c r="B1209" s="6">
        <v>0</v>
      </c>
      <c r="C1209" s="7" t="str">
        <v>趣点购浦发</v>
      </c>
      <c r="D1209" s="8">
        <v>0</v>
      </c>
      <c r="E1209" s="7">
        <v>0</v>
      </c>
      <c r="F1209" s="8">
        <v>0</v>
      </c>
      <c r="G1209" s="7">
        <v>0</v>
      </c>
      <c r="H1209" s="7">
        <v>81211.819999998</v>
      </c>
      <c r="I1209" s="7">
        <v>0</v>
      </c>
      <c r="J1209" s="8">
        <v>0</v>
      </c>
      <c r="K1209" s="9" t="str">
        <v/>
      </c>
    </row>
    <row r="1210" spans="1:11">
      <c r="A1210" t="str">
        <v/>
      </c>
      <c r="B1210" s="6">
        <v>0</v>
      </c>
      <c r="C1210" s="7" t="str">
        <v>趣点购浦发</v>
      </c>
      <c r="D1210" s="8">
        <v>0</v>
      </c>
      <c r="E1210" s="7">
        <v>0</v>
      </c>
      <c r="F1210" s="8">
        <v>0</v>
      </c>
      <c r="G1210" s="7">
        <v>0</v>
      </c>
      <c r="H1210" s="7">
        <v>81211.819999998</v>
      </c>
      <c r="I1210" s="7">
        <v>0</v>
      </c>
      <c r="J1210" s="8">
        <v>0</v>
      </c>
      <c r="K1210" s="9" t="str">
        <v/>
      </c>
    </row>
    <row r="1211" spans="1:11">
      <c r="A1211" t="str">
        <v/>
      </c>
      <c r="B1211" s="6">
        <v>0</v>
      </c>
      <c r="C1211" s="7" t="str">
        <v>趣点购浦发</v>
      </c>
      <c r="D1211" s="8">
        <v>0</v>
      </c>
      <c r="E1211" s="7">
        <v>0</v>
      </c>
      <c r="F1211" s="8">
        <v>0</v>
      </c>
      <c r="G1211" s="7">
        <v>0</v>
      </c>
      <c r="H1211" s="7">
        <v>81211.819999998</v>
      </c>
      <c r="I1211" s="7">
        <v>0</v>
      </c>
      <c r="J1211" s="8">
        <v>0</v>
      </c>
      <c r="K1211" s="9" t="str">
        <v/>
      </c>
    </row>
    <row r="1212" spans="1:11">
      <c r="A1212" t="str">
        <v/>
      </c>
      <c r="B1212" s="6">
        <v>0</v>
      </c>
      <c r="C1212" s="7" t="str">
        <v>趣点购浦发</v>
      </c>
      <c r="D1212" s="8">
        <v>0</v>
      </c>
      <c r="E1212" s="7">
        <v>0</v>
      </c>
      <c r="F1212" s="8">
        <v>0</v>
      </c>
      <c r="G1212" s="7">
        <v>0</v>
      </c>
      <c r="H1212" s="7">
        <v>81211.819999998</v>
      </c>
      <c r="I1212" s="7">
        <v>0</v>
      </c>
      <c r="J1212" s="8">
        <v>0</v>
      </c>
      <c r="K1212" s="9" t="str">
        <v/>
      </c>
    </row>
    <row r="1213" spans="1:11">
      <c r="A1213" t="str">
        <v/>
      </c>
      <c r="B1213" s="6">
        <v>0</v>
      </c>
      <c r="C1213" s="7" t="str">
        <v>趣点购浦发</v>
      </c>
      <c r="D1213" s="8">
        <v>0</v>
      </c>
      <c r="E1213" s="7">
        <v>0</v>
      </c>
      <c r="F1213" s="8">
        <v>0</v>
      </c>
      <c r="G1213" s="7">
        <v>0</v>
      </c>
      <c r="H1213" s="7">
        <v>81211.819999998</v>
      </c>
      <c r="I1213" s="7">
        <v>0</v>
      </c>
      <c r="J1213" s="8">
        <v>0</v>
      </c>
      <c r="K1213" s="9" t="str">
        <v/>
      </c>
    </row>
    <row r="1214" spans="1:11">
      <c r="A1214" t="str">
        <v/>
      </c>
      <c r="B1214" s="6">
        <v>0</v>
      </c>
      <c r="C1214" s="7" t="str">
        <v>趣点购浦发</v>
      </c>
      <c r="D1214" s="8">
        <v>0</v>
      </c>
      <c r="E1214" s="7">
        <v>0</v>
      </c>
      <c r="F1214" s="8">
        <v>0</v>
      </c>
      <c r="G1214" s="7">
        <v>0</v>
      </c>
      <c r="H1214" s="7">
        <v>81211.819999998</v>
      </c>
      <c r="I1214" s="7">
        <v>0</v>
      </c>
      <c r="J1214" s="8">
        <v>0</v>
      </c>
      <c r="K1214" s="9" t="str">
        <v/>
      </c>
    </row>
    <row r="1215" spans="1:11">
      <c r="A1215" t="str">
        <v/>
      </c>
      <c r="B1215" s="6">
        <v>0</v>
      </c>
      <c r="C1215" s="7" t="str">
        <v>趣点购浦发</v>
      </c>
      <c r="D1215" s="8">
        <v>0</v>
      </c>
      <c r="E1215" s="7">
        <v>0</v>
      </c>
      <c r="F1215" s="8">
        <v>0</v>
      </c>
      <c r="G1215" s="7">
        <v>0</v>
      </c>
      <c r="H1215" s="7">
        <v>81211.819999998</v>
      </c>
      <c r="I1215" s="7">
        <v>0</v>
      </c>
      <c r="J1215" s="8">
        <v>0</v>
      </c>
      <c r="K1215" s="9" t="str">
        <v/>
      </c>
    </row>
    <row r="1216" spans="1:11">
      <c r="A1216" t="str">
        <v/>
      </c>
      <c r="B1216" s="6">
        <v>0</v>
      </c>
      <c r="C1216" s="7" t="str">
        <v>趣点购浦发</v>
      </c>
      <c r="D1216" s="8">
        <v>0</v>
      </c>
      <c r="E1216" s="7">
        <v>0</v>
      </c>
      <c r="F1216" s="8">
        <v>0</v>
      </c>
      <c r="G1216" s="7">
        <v>0</v>
      </c>
      <c r="H1216" s="7">
        <v>81211.819999998</v>
      </c>
      <c r="I1216" s="7">
        <v>0</v>
      </c>
      <c r="J1216" s="8">
        <v>0</v>
      </c>
      <c r="K1216" s="9" t="str">
        <v/>
      </c>
    </row>
    <row r="1217" spans="1:11">
      <c r="A1217" t="str">
        <v/>
      </c>
      <c r="B1217" s="6">
        <v>0</v>
      </c>
      <c r="C1217" s="7" t="str">
        <v>趣点购浦发</v>
      </c>
      <c r="D1217" s="8">
        <v>0</v>
      </c>
      <c r="E1217" s="7">
        <v>0</v>
      </c>
      <c r="F1217" s="8">
        <v>0</v>
      </c>
      <c r="G1217" s="7">
        <v>0</v>
      </c>
      <c r="H1217" s="7">
        <v>81211.819999998</v>
      </c>
      <c r="I1217" s="7">
        <v>0</v>
      </c>
      <c r="J1217" s="8">
        <v>0</v>
      </c>
      <c r="K1217" s="9" t="str">
        <v/>
      </c>
    </row>
    <row r="1218" spans="1:11">
      <c r="A1218" t="str">
        <v/>
      </c>
      <c r="B1218" s="6">
        <v>0</v>
      </c>
      <c r="C1218" s="7" t="str">
        <v>趣点购浦发</v>
      </c>
      <c r="D1218" s="8">
        <v>0</v>
      </c>
      <c r="E1218" s="7">
        <v>0</v>
      </c>
      <c r="F1218" s="8">
        <v>0</v>
      </c>
      <c r="G1218" s="7">
        <v>0</v>
      </c>
      <c r="H1218" s="7">
        <v>81211.819999998</v>
      </c>
      <c r="I1218" s="7">
        <v>0</v>
      </c>
      <c r="J1218" s="8">
        <v>0</v>
      </c>
      <c r="K1218" s="9" t="str">
        <v/>
      </c>
    </row>
    <row r="1219" spans="1:11">
      <c r="A1219" t="str">
        <v/>
      </c>
      <c r="B1219" s="6">
        <v>0</v>
      </c>
      <c r="C1219" s="7" t="str">
        <v>趣点购浦发</v>
      </c>
      <c r="D1219" s="8">
        <v>0</v>
      </c>
      <c r="E1219" s="7">
        <v>0</v>
      </c>
      <c r="F1219" s="8">
        <v>0</v>
      </c>
      <c r="G1219" s="7">
        <v>0</v>
      </c>
      <c r="H1219" s="7">
        <v>81211.819999998</v>
      </c>
      <c r="I1219" s="7">
        <v>0</v>
      </c>
      <c r="J1219" s="8">
        <v>0</v>
      </c>
      <c r="K1219" s="9" t="str">
        <v/>
      </c>
    </row>
    <row r="1220" spans="1:11">
      <c r="A1220" t="str">
        <v/>
      </c>
      <c r="B1220" s="6">
        <v>0</v>
      </c>
      <c r="C1220" s="7" t="str">
        <v>趣点购浦发</v>
      </c>
      <c r="D1220" s="8">
        <v>0</v>
      </c>
      <c r="E1220" s="7">
        <v>0</v>
      </c>
      <c r="F1220" s="8">
        <v>0</v>
      </c>
      <c r="G1220" s="7">
        <v>0</v>
      </c>
      <c r="H1220" s="7">
        <v>81211.819999998</v>
      </c>
      <c r="I1220" s="7">
        <v>0</v>
      </c>
      <c r="J1220" s="8">
        <v>0</v>
      </c>
      <c r="K1220" s="9" t="str">
        <v/>
      </c>
    </row>
    <row r="1221" spans="1:11">
      <c r="A1221" t="str">
        <v/>
      </c>
      <c r="B1221" s="6">
        <v>0</v>
      </c>
      <c r="C1221" s="7" t="str">
        <v>趣点购浦发</v>
      </c>
      <c r="D1221" s="8">
        <v>0</v>
      </c>
      <c r="E1221" s="7">
        <v>0</v>
      </c>
      <c r="F1221" s="8">
        <v>0</v>
      </c>
      <c r="G1221" s="7">
        <v>0</v>
      </c>
      <c r="H1221" s="7">
        <v>81211.819999998</v>
      </c>
      <c r="I1221" s="7">
        <v>0</v>
      </c>
      <c r="J1221" s="8">
        <v>0</v>
      </c>
      <c r="K1221" s="9" t="str">
        <v/>
      </c>
    </row>
    <row r="1222" spans="1:11">
      <c r="A1222" t="str">
        <v/>
      </c>
      <c r="B1222" s="6">
        <v>0</v>
      </c>
      <c r="C1222" s="7" t="str">
        <v>趣点购浦发</v>
      </c>
      <c r="D1222" s="8">
        <v>0</v>
      </c>
      <c r="E1222" s="7">
        <v>0</v>
      </c>
      <c r="F1222" s="8">
        <v>0</v>
      </c>
      <c r="G1222" s="7">
        <v>0</v>
      </c>
      <c r="H1222" s="7">
        <v>81211.819999998</v>
      </c>
      <c r="I1222" s="7">
        <v>0</v>
      </c>
      <c r="J1222" s="8">
        <v>0</v>
      </c>
      <c r="K1222" s="9" t="str">
        <v/>
      </c>
    </row>
    <row r="1223" spans="1:11">
      <c r="A1223" t="str">
        <v/>
      </c>
      <c r="B1223" s="6">
        <v>0</v>
      </c>
      <c r="C1223" s="7" t="str">
        <v>趣点购浦发</v>
      </c>
      <c r="D1223" s="8">
        <v>0</v>
      </c>
      <c r="E1223" s="7">
        <v>0</v>
      </c>
      <c r="F1223" s="8">
        <v>0</v>
      </c>
      <c r="G1223" s="7">
        <v>0</v>
      </c>
      <c r="H1223" s="7">
        <v>81211.819999998</v>
      </c>
      <c r="I1223" s="7">
        <v>0</v>
      </c>
      <c r="J1223" s="8">
        <v>0</v>
      </c>
      <c r="K1223" s="9" t="str">
        <v/>
      </c>
    </row>
    <row r="1224" spans="1:11">
      <c r="A1224" t="str">
        <v/>
      </c>
      <c r="B1224" s="6">
        <v>0</v>
      </c>
      <c r="C1224" s="7" t="str">
        <v>趣点购浦发</v>
      </c>
      <c r="D1224" s="8">
        <v>0</v>
      </c>
      <c r="E1224" s="7">
        <v>0</v>
      </c>
      <c r="F1224" s="8">
        <v>0</v>
      </c>
      <c r="G1224" s="7">
        <v>0</v>
      </c>
      <c r="H1224" s="7">
        <v>81211.819999998</v>
      </c>
      <c r="I1224" s="7">
        <v>0</v>
      </c>
      <c r="J1224" s="8">
        <v>0</v>
      </c>
      <c r="K1224" s="9" t="str">
        <v/>
      </c>
    </row>
    <row r="1225" spans="1:11">
      <c r="A1225" t="str">
        <v/>
      </c>
      <c r="B1225" s="6">
        <v>0</v>
      </c>
      <c r="C1225" s="7" t="str">
        <v>趣点购浦发</v>
      </c>
      <c r="D1225" s="8">
        <v>0</v>
      </c>
      <c r="E1225" s="7">
        <v>0</v>
      </c>
      <c r="F1225" s="8">
        <v>0</v>
      </c>
      <c r="G1225" s="7">
        <v>0</v>
      </c>
      <c r="H1225" s="7">
        <v>81211.819999998</v>
      </c>
      <c r="I1225" s="7">
        <v>0</v>
      </c>
      <c r="J1225" s="8">
        <v>0</v>
      </c>
      <c r="K1225" s="9" t="str">
        <v/>
      </c>
    </row>
    <row r="1226" spans="1:11">
      <c r="A1226" t="str">
        <v/>
      </c>
      <c r="B1226" s="6">
        <v>0</v>
      </c>
      <c r="C1226" s="7" t="str">
        <v>趣点购浦发</v>
      </c>
      <c r="D1226" s="8">
        <v>0</v>
      </c>
      <c r="E1226" s="7">
        <v>0</v>
      </c>
      <c r="F1226" s="8">
        <v>0</v>
      </c>
      <c r="G1226" s="7">
        <v>0</v>
      </c>
      <c r="H1226" s="7">
        <v>81211.819999998</v>
      </c>
      <c r="I1226" s="7">
        <v>0</v>
      </c>
      <c r="J1226" s="8">
        <v>0</v>
      </c>
      <c r="K1226" s="9" t="str">
        <v/>
      </c>
    </row>
    <row r="1227" spans="1:11">
      <c r="A1227" t="str">
        <v/>
      </c>
      <c r="B1227" s="6">
        <v>0</v>
      </c>
      <c r="C1227" s="7" t="str">
        <v>趣点购浦发</v>
      </c>
      <c r="D1227" s="8">
        <v>0</v>
      </c>
      <c r="E1227" s="7">
        <v>0</v>
      </c>
      <c r="F1227" s="8">
        <v>0</v>
      </c>
      <c r="G1227" s="7">
        <v>0</v>
      </c>
      <c r="H1227" s="7">
        <v>81211.819999998</v>
      </c>
      <c r="I1227" s="7">
        <v>0</v>
      </c>
      <c r="J1227" s="8">
        <v>0</v>
      </c>
      <c r="K1227" s="9" t="str">
        <v/>
      </c>
    </row>
    <row r="1228" spans="1:11">
      <c r="A1228" t="str">
        <v/>
      </c>
      <c r="B1228" s="6">
        <v>0</v>
      </c>
      <c r="C1228" s="7" t="str">
        <v>趣点购浦发</v>
      </c>
      <c r="D1228" s="8">
        <v>0</v>
      </c>
      <c r="E1228" s="7">
        <v>0</v>
      </c>
      <c r="F1228" s="8">
        <v>0</v>
      </c>
      <c r="G1228" s="7">
        <v>0</v>
      </c>
      <c r="H1228" s="7">
        <v>81211.819999998</v>
      </c>
      <c r="I1228" s="7">
        <v>0</v>
      </c>
      <c r="J1228" s="8">
        <v>0</v>
      </c>
      <c r="K1228" s="9" t="str">
        <v/>
      </c>
    </row>
    <row r="1229" spans="1:11">
      <c r="A1229" t="str">
        <v/>
      </c>
      <c r="B1229" s="6">
        <v>0</v>
      </c>
      <c r="C1229" s="7" t="str">
        <v>趣点购浦发</v>
      </c>
      <c r="D1229" s="8">
        <v>0</v>
      </c>
      <c r="E1229" s="7">
        <v>0</v>
      </c>
      <c r="F1229" s="8">
        <v>0</v>
      </c>
      <c r="G1229" s="7">
        <v>0</v>
      </c>
      <c r="H1229" s="7">
        <v>81211.819999998</v>
      </c>
      <c r="I1229" s="7">
        <v>0</v>
      </c>
      <c r="J1229" s="8">
        <v>0</v>
      </c>
      <c r="K1229" s="9" t="str">
        <v/>
      </c>
    </row>
    <row r="1230" spans="1:11">
      <c r="A1230" t="str">
        <v/>
      </c>
      <c r="B1230" s="6">
        <v>0</v>
      </c>
      <c r="C1230" s="7" t="str">
        <v>趣点购浦发</v>
      </c>
      <c r="D1230" s="8">
        <v>0</v>
      </c>
      <c r="E1230" s="7">
        <v>0</v>
      </c>
      <c r="F1230" s="8">
        <v>0</v>
      </c>
      <c r="G1230" s="7">
        <v>0</v>
      </c>
      <c r="H1230" s="7">
        <v>81211.819999998</v>
      </c>
      <c r="I1230" s="7">
        <v>0</v>
      </c>
      <c r="J1230" s="8">
        <v>0</v>
      </c>
      <c r="K1230" s="9" t="str">
        <v/>
      </c>
    </row>
    <row r="1231" spans="1:11">
      <c r="A1231" t="str">
        <v/>
      </c>
      <c r="B1231" s="6">
        <v>0</v>
      </c>
      <c r="C1231" s="7" t="str">
        <v>趣点购浦发</v>
      </c>
      <c r="D1231" s="8">
        <v>0</v>
      </c>
      <c r="E1231" s="7">
        <v>0</v>
      </c>
      <c r="F1231" s="8">
        <v>0</v>
      </c>
      <c r="G1231" s="7">
        <v>0</v>
      </c>
      <c r="H1231" s="7">
        <v>81211.819999998</v>
      </c>
      <c r="I1231" s="7">
        <v>0</v>
      </c>
      <c r="J1231" s="8">
        <v>0</v>
      </c>
      <c r="K1231" s="9" t="str">
        <v/>
      </c>
    </row>
    <row r="1232" spans="1:11">
      <c r="A1232" t="str">
        <v/>
      </c>
      <c r="B1232" s="6">
        <v>0</v>
      </c>
      <c r="C1232" s="7" t="str">
        <v>趣点购浦发</v>
      </c>
      <c r="D1232" s="8">
        <v>0</v>
      </c>
      <c r="E1232" s="7">
        <v>0</v>
      </c>
      <c r="F1232" s="8">
        <v>0</v>
      </c>
      <c r="G1232" s="7">
        <v>0</v>
      </c>
      <c r="H1232" s="7">
        <v>81211.819999998</v>
      </c>
      <c r="I1232" s="7">
        <v>0</v>
      </c>
      <c r="J1232" s="8">
        <v>0</v>
      </c>
      <c r="K1232" s="9" t="str">
        <v/>
      </c>
    </row>
    <row r="1233" spans="1:11">
      <c r="A1233" t="str">
        <v/>
      </c>
      <c r="B1233" s="6">
        <v>0</v>
      </c>
      <c r="C1233" s="7" t="str">
        <v>趣点购浦发</v>
      </c>
      <c r="D1233" s="8">
        <v>0</v>
      </c>
      <c r="E1233" s="7">
        <v>0</v>
      </c>
      <c r="F1233" s="8">
        <v>0</v>
      </c>
      <c r="G1233" s="7">
        <v>0</v>
      </c>
      <c r="H1233" s="7">
        <v>81211.819999998</v>
      </c>
      <c r="I1233" s="7">
        <v>0</v>
      </c>
      <c r="J1233" s="8">
        <v>0</v>
      </c>
      <c r="K1233" s="9" t="str">
        <v/>
      </c>
    </row>
    <row r="1234" spans="1:11">
      <c r="A1234" t="str">
        <v/>
      </c>
      <c r="B1234" s="6">
        <v>0</v>
      </c>
      <c r="C1234" s="7" t="str">
        <v>趣点购浦发</v>
      </c>
      <c r="D1234" s="8">
        <v>0</v>
      </c>
      <c r="E1234" s="7">
        <v>0</v>
      </c>
      <c r="F1234" s="8">
        <v>0</v>
      </c>
      <c r="G1234" s="7">
        <v>0</v>
      </c>
      <c r="H1234" s="7">
        <v>81211.819999998</v>
      </c>
      <c r="I1234" s="7">
        <v>0</v>
      </c>
      <c r="J1234" s="8">
        <v>0</v>
      </c>
      <c r="K1234" s="9" t="str">
        <v/>
      </c>
    </row>
    <row r="1235" spans="1:11">
      <c r="A1235" t="str">
        <v/>
      </c>
      <c r="B1235" s="6">
        <v>0</v>
      </c>
      <c r="C1235" s="7" t="str">
        <v>趣点购浦发</v>
      </c>
      <c r="D1235" s="8">
        <v>0</v>
      </c>
      <c r="E1235" s="7">
        <v>0</v>
      </c>
      <c r="F1235" s="8">
        <v>0</v>
      </c>
      <c r="G1235" s="7">
        <v>0</v>
      </c>
      <c r="H1235" s="7">
        <v>81211.819999998</v>
      </c>
      <c r="I1235" s="7">
        <v>0</v>
      </c>
      <c r="J1235" s="8">
        <v>0</v>
      </c>
      <c r="K1235" s="9" t="str">
        <v/>
      </c>
    </row>
    <row r="1236" spans="1:11">
      <c r="A1236" t="str">
        <v/>
      </c>
      <c r="B1236" s="6">
        <v>0</v>
      </c>
      <c r="C1236" s="7" t="str">
        <v>趣点购浦发</v>
      </c>
      <c r="D1236" s="8">
        <v>0</v>
      </c>
      <c r="E1236" s="7">
        <v>0</v>
      </c>
      <c r="F1236" s="8">
        <v>0</v>
      </c>
      <c r="G1236" s="7">
        <v>0</v>
      </c>
      <c r="H1236" s="7">
        <v>81211.819999998</v>
      </c>
      <c r="I1236" s="7">
        <v>0</v>
      </c>
      <c r="J1236" s="8">
        <v>0</v>
      </c>
      <c r="K1236" s="9" t="str">
        <v/>
      </c>
    </row>
    <row r="1237" spans="1:11">
      <c r="A1237" t="str">
        <v/>
      </c>
      <c r="B1237" s="6">
        <v>0</v>
      </c>
      <c r="C1237" s="7" t="str">
        <v>趣点购浦发</v>
      </c>
      <c r="D1237" s="8">
        <v>0</v>
      </c>
      <c r="E1237" s="7">
        <v>0</v>
      </c>
      <c r="F1237" s="8">
        <v>0</v>
      </c>
      <c r="G1237" s="7">
        <v>0</v>
      </c>
      <c r="H1237" s="7">
        <v>81211.819999998</v>
      </c>
      <c r="I1237" s="7">
        <v>0</v>
      </c>
      <c r="J1237" s="8">
        <v>0</v>
      </c>
      <c r="K1237" s="9" t="str">
        <v/>
      </c>
    </row>
    <row r="1238" spans="1:11">
      <c r="A1238" t="str">
        <v/>
      </c>
      <c r="B1238" s="6">
        <v>0</v>
      </c>
      <c r="C1238" s="7" t="str">
        <v>趣点购浦发</v>
      </c>
      <c r="D1238" s="8">
        <v>0</v>
      </c>
      <c r="E1238" s="7">
        <v>0</v>
      </c>
      <c r="F1238" s="8">
        <v>0</v>
      </c>
      <c r="G1238" s="7">
        <v>0</v>
      </c>
      <c r="H1238" s="7">
        <v>81211.819999998</v>
      </c>
      <c r="I1238" s="7">
        <v>0</v>
      </c>
      <c r="J1238" s="8">
        <v>0</v>
      </c>
      <c r="K1238" s="9" t="str">
        <v/>
      </c>
    </row>
    <row r="1239" spans="1:11">
      <c r="A1239" t="str">
        <v/>
      </c>
      <c r="B1239" s="6">
        <v>0</v>
      </c>
      <c r="C1239" s="7" t="str">
        <v>趣点购浦发</v>
      </c>
      <c r="D1239" s="8">
        <v>0</v>
      </c>
      <c r="E1239" s="7">
        <v>0</v>
      </c>
      <c r="F1239" s="8">
        <v>0</v>
      </c>
      <c r="G1239" s="7">
        <v>0</v>
      </c>
      <c r="H1239" s="7">
        <v>81211.819999998</v>
      </c>
      <c r="I1239" s="7">
        <v>0</v>
      </c>
      <c r="J1239" s="8">
        <v>0</v>
      </c>
      <c r="K1239" s="9" t="str">
        <v/>
      </c>
    </row>
    <row r="1240" spans="1:11">
      <c r="A1240" t="str">
        <v/>
      </c>
      <c r="B1240" s="6">
        <v>0</v>
      </c>
      <c r="C1240" s="7" t="str">
        <v>趣点购浦发</v>
      </c>
      <c r="D1240" s="8">
        <v>0</v>
      </c>
      <c r="E1240" s="7">
        <v>0</v>
      </c>
      <c r="F1240" s="8">
        <v>0</v>
      </c>
      <c r="G1240" s="7">
        <v>0</v>
      </c>
      <c r="H1240" s="7">
        <v>81211.819999998</v>
      </c>
      <c r="I1240" s="7">
        <v>0</v>
      </c>
      <c r="J1240" s="8">
        <v>0</v>
      </c>
      <c r="K1240" s="9" t="str">
        <v/>
      </c>
    </row>
    <row r="1241" spans="1:11">
      <c r="A1241" t="str">
        <v/>
      </c>
      <c r="B1241" s="6">
        <v>0</v>
      </c>
      <c r="C1241" s="7" t="str">
        <v>趣点购浦发</v>
      </c>
      <c r="D1241" s="8">
        <v>0</v>
      </c>
      <c r="E1241" s="7">
        <v>0</v>
      </c>
      <c r="F1241" s="8">
        <v>0</v>
      </c>
      <c r="G1241" s="7">
        <v>0</v>
      </c>
      <c r="H1241" s="7">
        <v>81211.819999998</v>
      </c>
      <c r="I1241" s="7">
        <v>0</v>
      </c>
      <c r="J1241" s="8">
        <v>0</v>
      </c>
      <c r="K1241" s="9" t="str">
        <v/>
      </c>
    </row>
    <row r="1242" spans="1:11">
      <c r="A1242" t="str">
        <v/>
      </c>
      <c r="B1242" s="6">
        <v>0</v>
      </c>
      <c r="C1242" s="7" t="str">
        <v>趣点购浦发</v>
      </c>
      <c r="D1242" s="8">
        <v>0</v>
      </c>
      <c r="E1242" s="7">
        <v>0</v>
      </c>
      <c r="F1242" s="8">
        <v>0</v>
      </c>
      <c r="G1242" s="7">
        <v>0</v>
      </c>
      <c r="H1242" s="7">
        <v>81211.819999998</v>
      </c>
      <c r="I1242" s="7">
        <v>0</v>
      </c>
      <c r="J1242" s="8">
        <v>0</v>
      </c>
      <c r="K1242" s="9" t="str">
        <v/>
      </c>
    </row>
    <row r="1243" spans="1:11">
      <c r="A1243" t="str">
        <v/>
      </c>
      <c r="B1243" s="6">
        <v>0</v>
      </c>
      <c r="C1243" s="7" t="str">
        <v>趣点购浦发</v>
      </c>
      <c r="D1243" s="8">
        <v>0</v>
      </c>
      <c r="E1243" s="7">
        <v>0</v>
      </c>
      <c r="F1243" s="8">
        <v>0</v>
      </c>
      <c r="G1243" s="7">
        <v>0</v>
      </c>
      <c r="H1243" s="7">
        <v>81211.819999998</v>
      </c>
      <c r="I1243" s="7">
        <v>0</v>
      </c>
      <c r="J1243" s="8">
        <v>0</v>
      </c>
      <c r="K1243" s="9" t="str">
        <v/>
      </c>
    </row>
    <row r="1244" spans="1:11">
      <c r="A1244" t="str">
        <v/>
      </c>
      <c r="B1244" s="6">
        <v>0</v>
      </c>
      <c r="C1244" s="7" t="str">
        <v>趣点购浦发</v>
      </c>
      <c r="D1244" s="8">
        <v>0</v>
      </c>
      <c r="E1244" s="7">
        <v>0</v>
      </c>
      <c r="F1244" s="8">
        <v>0</v>
      </c>
      <c r="G1244" s="7">
        <v>0</v>
      </c>
      <c r="H1244" s="7">
        <v>81211.819999998</v>
      </c>
      <c r="I1244" s="7">
        <v>0</v>
      </c>
      <c r="J1244" s="8">
        <v>0</v>
      </c>
      <c r="K1244" s="9" t="str">
        <v/>
      </c>
    </row>
    <row r="1245" spans="1:11">
      <c r="A1245" t="str">
        <v/>
      </c>
      <c r="B1245" s="6">
        <v>0</v>
      </c>
      <c r="C1245" s="7" t="str">
        <v>趣点购浦发</v>
      </c>
      <c r="D1245" s="8">
        <v>0</v>
      </c>
      <c r="E1245" s="7">
        <v>0</v>
      </c>
      <c r="F1245" s="8">
        <v>0</v>
      </c>
      <c r="G1245" s="7">
        <v>0</v>
      </c>
      <c r="H1245" s="7">
        <v>81211.819999998</v>
      </c>
      <c r="I1245" s="7">
        <v>0</v>
      </c>
      <c r="J1245" s="8">
        <v>0</v>
      </c>
      <c r="K1245" s="9" t="str">
        <v/>
      </c>
    </row>
    <row r="1246" spans="1:11">
      <c r="A1246" t="str">
        <v/>
      </c>
      <c r="B1246" s="6">
        <v>0</v>
      </c>
      <c r="C1246" s="7" t="str">
        <v>趣点购浦发</v>
      </c>
      <c r="D1246" s="8">
        <v>0</v>
      </c>
      <c r="E1246" s="7">
        <v>0</v>
      </c>
      <c r="F1246" s="8">
        <v>0</v>
      </c>
      <c r="G1246" s="7">
        <v>0</v>
      </c>
      <c r="H1246" s="7">
        <v>81211.819999998</v>
      </c>
      <c r="I1246" s="7">
        <v>0</v>
      </c>
      <c r="J1246" s="8">
        <v>0</v>
      </c>
      <c r="K1246" s="9" t="str">
        <v/>
      </c>
    </row>
    <row r="1247" spans="1:11">
      <c r="A1247" t="str">
        <v/>
      </c>
      <c r="B1247" s="6">
        <v>0</v>
      </c>
      <c r="C1247" s="7" t="str">
        <v>趣点购浦发</v>
      </c>
      <c r="D1247" s="8">
        <v>0</v>
      </c>
      <c r="E1247" s="7">
        <v>0</v>
      </c>
      <c r="F1247" s="8">
        <v>0</v>
      </c>
      <c r="G1247" s="7">
        <v>0</v>
      </c>
      <c r="H1247" s="7">
        <v>81211.819999998</v>
      </c>
      <c r="I1247" s="7">
        <v>0</v>
      </c>
      <c r="J1247" s="8">
        <v>0</v>
      </c>
      <c r="K1247" s="9" t="str">
        <v/>
      </c>
    </row>
    <row r="1248" spans="1:11">
      <c r="A1248" t="str">
        <v/>
      </c>
      <c r="B1248" s="6">
        <v>0</v>
      </c>
      <c r="C1248" s="7" t="str">
        <v>趣点购浦发</v>
      </c>
      <c r="D1248" s="8">
        <v>0</v>
      </c>
      <c r="E1248" s="7">
        <v>0</v>
      </c>
      <c r="F1248" s="8">
        <v>0</v>
      </c>
      <c r="G1248" s="7">
        <v>0</v>
      </c>
      <c r="H1248" s="7">
        <v>81211.819999998</v>
      </c>
      <c r="I1248" s="7">
        <v>0</v>
      </c>
      <c r="J1248" s="8">
        <v>0</v>
      </c>
      <c r="K1248" s="9" t="str">
        <v/>
      </c>
    </row>
    <row r="1249" spans="1:11">
      <c r="A1249" t="str">
        <v/>
      </c>
      <c r="B1249" s="6">
        <v>0</v>
      </c>
      <c r="C1249" s="7" t="str">
        <v>趣点购浦发</v>
      </c>
      <c r="D1249" s="8">
        <v>0</v>
      </c>
      <c r="E1249" s="7">
        <v>0</v>
      </c>
      <c r="F1249" s="8">
        <v>0</v>
      </c>
      <c r="G1249" s="7">
        <v>0</v>
      </c>
      <c r="H1249" s="7">
        <v>81211.819999998</v>
      </c>
      <c r="I1249" s="7">
        <v>0</v>
      </c>
      <c r="J1249" s="8">
        <v>0</v>
      </c>
      <c r="K1249" s="9" t="str">
        <v/>
      </c>
    </row>
    <row r="1250" spans="1:11">
      <c r="A1250" t="str">
        <v/>
      </c>
      <c r="B1250" s="6">
        <v>0</v>
      </c>
      <c r="C1250" s="7" t="str">
        <v>趣点购浦发</v>
      </c>
      <c r="D1250" s="8">
        <v>0</v>
      </c>
      <c r="E1250" s="7">
        <v>0</v>
      </c>
      <c r="F1250" s="8">
        <v>0</v>
      </c>
      <c r="G1250" s="7">
        <v>0</v>
      </c>
      <c r="H1250" s="7">
        <v>81211.819999998</v>
      </c>
      <c r="I1250" s="7">
        <v>0</v>
      </c>
      <c r="J1250" s="8">
        <v>0</v>
      </c>
      <c r="K1250" s="9" t="str">
        <v/>
      </c>
    </row>
    <row r="1251" spans="1:11">
      <c r="A1251" t="str">
        <v/>
      </c>
      <c r="B1251" s="6">
        <v>0</v>
      </c>
      <c r="C1251" s="7" t="str">
        <v>趣点购浦发</v>
      </c>
      <c r="D1251" s="8">
        <v>0</v>
      </c>
      <c r="E1251" s="7">
        <v>0</v>
      </c>
      <c r="F1251" s="8">
        <v>0</v>
      </c>
      <c r="G1251" s="7">
        <v>0</v>
      </c>
      <c r="H1251" s="7">
        <v>81211.819999998</v>
      </c>
      <c r="I1251" s="7">
        <v>0</v>
      </c>
      <c r="J1251" s="8">
        <v>0</v>
      </c>
      <c r="K1251" s="9" t="str">
        <v/>
      </c>
    </row>
    <row r="1252" spans="1:11">
      <c r="A1252" t="str">
        <v/>
      </c>
      <c r="B1252" s="6">
        <v>0</v>
      </c>
      <c r="C1252" s="7" t="str">
        <v>趣点购浦发</v>
      </c>
      <c r="D1252" s="8">
        <v>0</v>
      </c>
      <c r="E1252" s="7">
        <v>0</v>
      </c>
      <c r="F1252" s="8">
        <v>0</v>
      </c>
      <c r="G1252" s="7">
        <v>0</v>
      </c>
      <c r="H1252" s="7">
        <v>81211.819999998</v>
      </c>
      <c r="I1252" s="7">
        <v>0</v>
      </c>
      <c r="J1252" s="8">
        <v>0</v>
      </c>
      <c r="K1252" s="9" t="str">
        <v/>
      </c>
    </row>
    <row r="1253" spans="1:11">
      <c r="A1253" t="str">
        <v/>
      </c>
      <c r="B1253" s="6">
        <v>0</v>
      </c>
      <c r="C1253" s="7" t="str">
        <v>趣点购浦发</v>
      </c>
      <c r="D1253" s="8">
        <v>0</v>
      </c>
      <c r="E1253" s="7">
        <v>0</v>
      </c>
      <c r="F1253" s="8">
        <v>0</v>
      </c>
      <c r="G1253" s="7">
        <v>0</v>
      </c>
      <c r="H1253" s="7">
        <v>81211.819999998</v>
      </c>
      <c r="I1253" s="7">
        <v>0</v>
      </c>
      <c r="J1253" s="8">
        <v>0</v>
      </c>
      <c r="K1253" s="9" t="str">
        <v/>
      </c>
    </row>
    <row r="1254" spans="1:11">
      <c r="A1254" t="str">
        <v/>
      </c>
      <c r="B1254" s="6">
        <v>0</v>
      </c>
      <c r="C1254" s="7" t="str">
        <v>趣点购浦发</v>
      </c>
      <c r="D1254" s="8">
        <v>0</v>
      </c>
      <c r="E1254" s="7">
        <v>0</v>
      </c>
      <c r="F1254" s="8">
        <v>0</v>
      </c>
      <c r="G1254" s="7">
        <v>0</v>
      </c>
      <c r="H1254" s="7">
        <v>81211.819999998</v>
      </c>
      <c r="I1254" s="7">
        <v>0</v>
      </c>
      <c r="J1254" s="8">
        <v>0</v>
      </c>
      <c r="K1254" s="9" t="str">
        <v/>
      </c>
    </row>
    <row r="1255" spans="1:11">
      <c r="A1255" t="str">
        <v/>
      </c>
      <c r="B1255" s="6">
        <v>0</v>
      </c>
      <c r="C1255" s="7" t="str">
        <v>趣点购浦发</v>
      </c>
      <c r="D1255" s="8">
        <v>0</v>
      </c>
      <c r="E1255" s="7">
        <v>0</v>
      </c>
      <c r="F1255" s="8">
        <v>0</v>
      </c>
      <c r="G1255" s="7">
        <v>0</v>
      </c>
      <c r="H1255" s="7">
        <v>81211.819999998</v>
      </c>
      <c r="I1255" s="7">
        <v>0</v>
      </c>
      <c r="J1255" s="8">
        <v>0</v>
      </c>
      <c r="K1255" s="9" t="str">
        <v/>
      </c>
    </row>
    <row r="1256" spans="1:11">
      <c r="A1256" t="str">
        <v/>
      </c>
      <c r="B1256" s="6">
        <v>0</v>
      </c>
      <c r="C1256" s="7" t="str">
        <v>趣点购浦发</v>
      </c>
      <c r="D1256" s="8">
        <v>0</v>
      </c>
      <c r="E1256" s="7">
        <v>0</v>
      </c>
      <c r="F1256" s="8">
        <v>0</v>
      </c>
      <c r="G1256" s="7">
        <v>0</v>
      </c>
      <c r="H1256" s="7">
        <v>81211.819999998</v>
      </c>
      <c r="I1256" s="7">
        <v>0</v>
      </c>
      <c r="J1256" s="8">
        <v>0</v>
      </c>
      <c r="K1256" s="9" t="str">
        <v/>
      </c>
    </row>
    <row r="1257" spans="1:11">
      <c r="A1257" t="str">
        <v/>
      </c>
      <c r="B1257" s="6">
        <v>0</v>
      </c>
      <c r="C1257" s="7" t="str">
        <v>趣点购浦发</v>
      </c>
      <c r="D1257" s="8">
        <v>0</v>
      </c>
      <c r="E1257" s="7">
        <v>0</v>
      </c>
      <c r="F1257" s="8">
        <v>0</v>
      </c>
      <c r="G1257" s="7">
        <v>0</v>
      </c>
      <c r="H1257" s="7">
        <v>81211.819999998</v>
      </c>
      <c r="I1257" s="7">
        <v>0</v>
      </c>
      <c r="J1257" s="8">
        <v>0</v>
      </c>
      <c r="K1257" s="9" t="str">
        <v/>
      </c>
    </row>
    <row r="1258" spans="1:11">
      <c r="A1258" t="str">
        <v/>
      </c>
      <c r="B1258" s="6">
        <v>0</v>
      </c>
      <c r="C1258" s="7" t="str">
        <v>趣点购浦发</v>
      </c>
      <c r="D1258" s="8">
        <v>0</v>
      </c>
      <c r="E1258" s="7">
        <v>0</v>
      </c>
      <c r="F1258" s="8">
        <v>0</v>
      </c>
      <c r="G1258" s="7">
        <v>0</v>
      </c>
      <c r="H1258" s="7">
        <v>81211.819999998</v>
      </c>
      <c r="I1258" s="7">
        <v>0</v>
      </c>
      <c r="J1258" s="8">
        <v>0</v>
      </c>
      <c r="K1258" s="9" t="str">
        <v/>
      </c>
    </row>
    <row r="1259" spans="1:11">
      <c r="A1259" t="str">
        <v/>
      </c>
      <c r="B1259" s="6">
        <v>0</v>
      </c>
      <c r="C1259" s="7" t="str">
        <v>趣点购浦发</v>
      </c>
      <c r="D1259" s="8">
        <v>0</v>
      </c>
      <c r="E1259" s="7">
        <v>0</v>
      </c>
      <c r="F1259" s="8">
        <v>0</v>
      </c>
      <c r="G1259" s="7">
        <v>0</v>
      </c>
      <c r="H1259" s="7">
        <v>81211.819999998</v>
      </c>
      <c r="I1259" s="7">
        <v>0</v>
      </c>
      <c r="J1259" s="8">
        <v>0</v>
      </c>
      <c r="K1259" s="9" t="str">
        <v/>
      </c>
    </row>
    <row r="1260" spans="1:11">
      <c r="A1260" t="str">
        <v/>
      </c>
      <c r="B1260" s="6">
        <v>0</v>
      </c>
      <c r="C1260" s="7" t="str">
        <v>趣点购浦发</v>
      </c>
      <c r="D1260" s="8">
        <v>0</v>
      </c>
      <c r="E1260" s="7">
        <v>0</v>
      </c>
      <c r="F1260" s="8">
        <v>0</v>
      </c>
      <c r="G1260" s="7">
        <v>0</v>
      </c>
      <c r="H1260" s="7">
        <v>81211.819999998</v>
      </c>
      <c r="I1260" s="7">
        <v>0</v>
      </c>
      <c r="J1260" s="8">
        <v>0</v>
      </c>
      <c r="K1260" s="9" t="str">
        <v/>
      </c>
    </row>
    <row r="1261" spans="1:11">
      <c r="A1261" t="str">
        <v/>
      </c>
      <c r="B1261" s="6">
        <v>0</v>
      </c>
      <c r="C1261" s="7" t="str">
        <v>趣点购浦发</v>
      </c>
      <c r="D1261" s="8">
        <v>0</v>
      </c>
      <c r="E1261" s="7">
        <v>0</v>
      </c>
      <c r="F1261" s="8">
        <v>0</v>
      </c>
      <c r="G1261" s="7">
        <v>0</v>
      </c>
      <c r="H1261" s="7">
        <v>81211.819999998</v>
      </c>
      <c r="I1261" s="7">
        <v>0</v>
      </c>
      <c r="J1261" s="8">
        <v>0</v>
      </c>
      <c r="K1261" s="9" t="str">
        <v/>
      </c>
    </row>
    <row r="1262" spans="1:11">
      <c r="A1262" t="str">
        <v/>
      </c>
      <c r="B1262" s="6">
        <v>0</v>
      </c>
      <c r="C1262" s="7" t="str">
        <v>趣点购浦发</v>
      </c>
      <c r="D1262" s="8">
        <v>0</v>
      </c>
      <c r="E1262" s="7">
        <v>0</v>
      </c>
      <c r="F1262" s="8">
        <v>0</v>
      </c>
      <c r="G1262" s="7">
        <v>0</v>
      </c>
      <c r="H1262" s="7">
        <v>81211.819999998</v>
      </c>
      <c r="I1262" s="7">
        <v>0</v>
      </c>
      <c r="J1262" s="8">
        <v>0</v>
      </c>
      <c r="K1262" s="9" t="str">
        <v/>
      </c>
    </row>
    <row r="1263" spans="1:11">
      <c r="A1263" t="str">
        <v/>
      </c>
      <c r="B1263" s="6">
        <v>0</v>
      </c>
      <c r="C1263" s="7" t="str">
        <v>趣点购浦发</v>
      </c>
      <c r="D1263" s="8">
        <v>0</v>
      </c>
      <c r="E1263" s="7">
        <v>0</v>
      </c>
      <c r="F1263" s="8">
        <v>0</v>
      </c>
      <c r="G1263" s="7">
        <v>0</v>
      </c>
      <c r="H1263" s="7">
        <v>81211.819999998</v>
      </c>
      <c r="I1263" s="7">
        <v>0</v>
      </c>
      <c r="J1263" s="8">
        <v>0</v>
      </c>
      <c r="K1263" s="9" t="str">
        <v/>
      </c>
    </row>
    <row r="1264" spans="1:11">
      <c r="A1264" t="str">
        <v/>
      </c>
      <c r="B1264" s="6">
        <v>0</v>
      </c>
      <c r="C1264" s="7" t="str">
        <v>趣点购浦发</v>
      </c>
      <c r="D1264" s="8">
        <v>0</v>
      </c>
      <c r="E1264" s="7">
        <v>0</v>
      </c>
      <c r="F1264" s="8">
        <v>0</v>
      </c>
      <c r="G1264" s="7">
        <v>0</v>
      </c>
      <c r="H1264" s="7">
        <v>81211.819999998</v>
      </c>
      <c r="I1264" s="7">
        <v>0</v>
      </c>
      <c r="J1264" s="8">
        <v>0</v>
      </c>
      <c r="K1264" s="9" t="str">
        <v/>
      </c>
    </row>
    <row r="1265" spans="1:11">
      <c r="A1265" t="str">
        <v/>
      </c>
      <c r="B1265" s="6">
        <v>0</v>
      </c>
      <c r="C1265" s="7" t="str">
        <v>趣点购浦发</v>
      </c>
      <c r="D1265" s="8">
        <v>0</v>
      </c>
      <c r="E1265" s="7">
        <v>0</v>
      </c>
      <c r="F1265" s="8">
        <v>0</v>
      </c>
      <c r="G1265" s="7">
        <v>0</v>
      </c>
      <c r="H1265" s="7">
        <v>81211.819999998</v>
      </c>
      <c r="I1265" s="7">
        <v>0</v>
      </c>
      <c r="J1265" s="8">
        <v>0</v>
      </c>
      <c r="K1265" s="9" t="str">
        <v/>
      </c>
    </row>
    <row r="1266" spans="1:11">
      <c r="A1266" t="str">
        <v/>
      </c>
      <c r="B1266" s="6">
        <v>0</v>
      </c>
      <c r="C1266" s="7" t="str">
        <v>趣点购浦发</v>
      </c>
      <c r="D1266" s="8">
        <v>0</v>
      </c>
      <c r="E1266" s="7">
        <v>0</v>
      </c>
      <c r="F1266" s="8">
        <v>0</v>
      </c>
      <c r="G1266" s="7">
        <v>0</v>
      </c>
      <c r="H1266" s="7">
        <v>81211.819999998</v>
      </c>
      <c r="I1266" s="7">
        <v>0</v>
      </c>
      <c r="J1266" s="8">
        <v>0</v>
      </c>
      <c r="K1266" s="9" t="str">
        <v/>
      </c>
    </row>
    <row r="1267" spans="1:11">
      <c r="A1267" t="str">
        <v/>
      </c>
      <c r="B1267" s="6">
        <v>0</v>
      </c>
      <c r="C1267" s="7" t="str">
        <v>趣点购浦发</v>
      </c>
      <c r="D1267" s="8">
        <v>0</v>
      </c>
      <c r="E1267" s="7">
        <v>0</v>
      </c>
      <c r="F1267" s="8">
        <v>0</v>
      </c>
      <c r="G1267" s="7">
        <v>0</v>
      </c>
      <c r="H1267" s="7">
        <v>81211.819999998</v>
      </c>
      <c r="I1267" s="7">
        <v>0</v>
      </c>
      <c r="J1267" s="8">
        <v>0</v>
      </c>
      <c r="K1267" s="9" t="str">
        <v/>
      </c>
    </row>
    <row r="1268" spans="1:11">
      <c r="A1268" t="str">
        <v/>
      </c>
      <c r="B1268" s="6">
        <v>0</v>
      </c>
      <c r="C1268" s="7" t="str">
        <v>趣点购浦发</v>
      </c>
      <c r="D1268" s="8">
        <v>0</v>
      </c>
      <c r="E1268" s="7">
        <v>0</v>
      </c>
      <c r="F1268" s="8">
        <v>0</v>
      </c>
      <c r="G1268" s="7">
        <v>0</v>
      </c>
      <c r="H1268" s="7">
        <v>81211.819999998</v>
      </c>
      <c r="I1268" s="7">
        <v>0</v>
      </c>
      <c r="J1268" s="8">
        <v>0</v>
      </c>
      <c r="K1268" s="9" t="str">
        <v/>
      </c>
    </row>
    <row r="1269" spans="1:11">
      <c r="A1269" t="str">
        <v/>
      </c>
      <c r="B1269" s="6">
        <v>0</v>
      </c>
      <c r="C1269" s="7" t="str">
        <v>趣点购浦发</v>
      </c>
      <c r="D1269" s="8">
        <v>0</v>
      </c>
      <c r="E1269" s="7">
        <v>0</v>
      </c>
      <c r="F1269" s="8">
        <v>0</v>
      </c>
      <c r="G1269" s="7">
        <v>0</v>
      </c>
      <c r="H1269" s="7">
        <v>81211.819999998</v>
      </c>
      <c r="I1269" s="7">
        <v>0</v>
      </c>
      <c r="J1269" s="8">
        <v>0</v>
      </c>
      <c r="K1269" s="9" t="str">
        <v/>
      </c>
    </row>
    <row r="1270" spans="1:11">
      <c r="A1270" t="str">
        <v/>
      </c>
      <c r="B1270" s="6">
        <v>0</v>
      </c>
      <c r="C1270" s="7" t="str">
        <v>趣点购浦发</v>
      </c>
      <c r="D1270" s="8">
        <v>0</v>
      </c>
      <c r="E1270" s="7">
        <v>0</v>
      </c>
      <c r="F1270" s="8">
        <v>0</v>
      </c>
      <c r="G1270" s="7">
        <v>0</v>
      </c>
      <c r="H1270" s="7">
        <v>81211.819999998</v>
      </c>
      <c r="I1270" s="7">
        <v>0</v>
      </c>
      <c r="J1270" s="8">
        <v>0</v>
      </c>
      <c r="K1270" s="9" t="str">
        <v/>
      </c>
    </row>
    <row r="1271" spans="1:11">
      <c r="A1271" t="str">
        <v/>
      </c>
      <c r="B1271" s="6">
        <v>0</v>
      </c>
      <c r="C1271" s="7" t="str">
        <v>趣点购浦发</v>
      </c>
      <c r="D1271" s="8">
        <v>0</v>
      </c>
      <c r="E1271" s="7">
        <v>0</v>
      </c>
      <c r="F1271" s="8">
        <v>0</v>
      </c>
      <c r="G1271" s="7">
        <v>0</v>
      </c>
      <c r="H1271" s="7">
        <v>81211.819999998</v>
      </c>
      <c r="I1271" s="7">
        <v>0</v>
      </c>
      <c r="J1271" s="8">
        <v>0</v>
      </c>
      <c r="K1271" s="9" t="str">
        <v/>
      </c>
    </row>
    <row r="1272" spans="1:11">
      <c r="A1272" t="str">
        <v/>
      </c>
      <c r="B1272" s="6">
        <v>0</v>
      </c>
      <c r="C1272" s="7" t="str">
        <v>趣点购浦发</v>
      </c>
      <c r="D1272" s="8">
        <v>0</v>
      </c>
      <c r="E1272" s="7">
        <v>0</v>
      </c>
      <c r="F1272" s="8">
        <v>0</v>
      </c>
      <c r="G1272" s="7">
        <v>0</v>
      </c>
      <c r="H1272" s="7">
        <v>81211.819999998</v>
      </c>
      <c r="I1272" s="7">
        <v>0</v>
      </c>
      <c r="J1272" s="8">
        <v>0</v>
      </c>
      <c r="K1272" s="9" t="str">
        <v/>
      </c>
    </row>
    <row r="1273" spans="1:11">
      <c r="A1273" t="str">
        <v/>
      </c>
      <c r="B1273" s="6">
        <v>0</v>
      </c>
      <c r="C1273" s="7" t="str">
        <v>趣点购浦发</v>
      </c>
      <c r="D1273" s="8">
        <v>0</v>
      </c>
      <c r="E1273" s="7">
        <v>0</v>
      </c>
      <c r="F1273" s="8">
        <v>0</v>
      </c>
      <c r="G1273" s="7">
        <v>0</v>
      </c>
      <c r="H1273" s="7">
        <v>81211.819999998</v>
      </c>
      <c r="I1273" s="7">
        <v>0</v>
      </c>
      <c r="J1273" s="8">
        <v>0</v>
      </c>
      <c r="K1273" s="9" t="str">
        <v/>
      </c>
    </row>
    <row r="1274" spans="1:11">
      <c r="A1274" t="str">
        <v/>
      </c>
      <c r="B1274" s="6">
        <v>0</v>
      </c>
      <c r="C1274" s="7" t="str">
        <v>趣点购浦发</v>
      </c>
      <c r="D1274" s="8">
        <v>0</v>
      </c>
      <c r="E1274" s="7">
        <v>0</v>
      </c>
      <c r="F1274" s="8">
        <v>0</v>
      </c>
      <c r="G1274" s="7">
        <v>0</v>
      </c>
      <c r="H1274" s="7">
        <v>81211.819999998</v>
      </c>
      <c r="I1274" s="7">
        <v>0</v>
      </c>
      <c r="J1274" s="8">
        <v>0</v>
      </c>
      <c r="K1274" s="9" t="str">
        <v/>
      </c>
    </row>
    <row r="1275" spans="1:11">
      <c r="A1275" t="str">
        <v/>
      </c>
      <c r="B1275" s="6">
        <v>0</v>
      </c>
      <c r="C1275" s="7" t="str">
        <v>趣点购浦发</v>
      </c>
      <c r="D1275" s="8">
        <v>0</v>
      </c>
      <c r="E1275" s="7">
        <v>0</v>
      </c>
      <c r="F1275" s="8">
        <v>0</v>
      </c>
      <c r="G1275" s="7">
        <v>0</v>
      </c>
      <c r="H1275" s="7">
        <v>81211.819999998</v>
      </c>
      <c r="I1275" s="7">
        <v>0</v>
      </c>
      <c r="J1275" s="8">
        <v>0</v>
      </c>
      <c r="K1275" s="9" t="str">
        <v/>
      </c>
    </row>
    <row r="1276" spans="1:11">
      <c r="A1276" t="str">
        <v/>
      </c>
      <c r="B1276" s="6">
        <v>0</v>
      </c>
      <c r="C1276" s="7" t="str">
        <v>趣点购浦发</v>
      </c>
      <c r="D1276" s="8">
        <v>0</v>
      </c>
      <c r="E1276" s="7">
        <v>0</v>
      </c>
      <c r="F1276" s="8">
        <v>0</v>
      </c>
      <c r="G1276" s="7">
        <v>0</v>
      </c>
      <c r="H1276" s="7">
        <v>81211.819999998</v>
      </c>
      <c r="I1276" s="7">
        <v>0</v>
      </c>
      <c r="J1276" s="8">
        <v>0</v>
      </c>
      <c r="K1276" s="9" t="str">
        <v/>
      </c>
    </row>
    <row r="1277" spans="1:11">
      <c r="A1277" t="str">
        <v/>
      </c>
      <c r="B1277" s="6">
        <v>0</v>
      </c>
      <c r="C1277" s="7" t="str">
        <v>趣点购浦发</v>
      </c>
      <c r="D1277" s="8">
        <v>0</v>
      </c>
      <c r="E1277" s="7">
        <v>0</v>
      </c>
      <c r="F1277" s="8">
        <v>0</v>
      </c>
      <c r="G1277" s="7">
        <v>0</v>
      </c>
      <c r="H1277" s="7">
        <v>81211.819999998</v>
      </c>
      <c r="I1277" s="7">
        <v>0</v>
      </c>
      <c r="J1277" s="8">
        <v>0</v>
      </c>
      <c r="K1277" s="9" t="str">
        <v/>
      </c>
    </row>
    <row r="1278" spans="1:11">
      <c r="A1278" t="str">
        <v/>
      </c>
      <c r="B1278" s="6">
        <v>0</v>
      </c>
      <c r="C1278" s="7" t="str">
        <v>趣点购浦发</v>
      </c>
      <c r="D1278" s="8">
        <v>0</v>
      </c>
      <c r="E1278" s="7">
        <v>0</v>
      </c>
      <c r="F1278" s="8">
        <v>0</v>
      </c>
      <c r="G1278" s="7">
        <v>0</v>
      </c>
      <c r="H1278" s="7">
        <v>81211.819999998</v>
      </c>
      <c r="I1278" s="7">
        <v>0</v>
      </c>
      <c r="J1278" s="8">
        <v>0</v>
      </c>
      <c r="K1278" s="9" t="str">
        <v/>
      </c>
    </row>
    <row r="1279" spans="1:11">
      <c r="A1279" t="str">
        <v/>
      </c>
      <c r="B1279" s="6">
        <v>0</v>
      </c>
      <c r="C1279" s="7" t="str">
        <v>趣点购浦发</v>
      </c>
      <c r="D1279" s="8">
        <v>0</v>
      </c>
      <c r="E1279" s="7">
        <v>0</v>
      </c>
      <c r="F1279" s="8">
        <v>0</v>
      </c>
      <c r="G1279" s="7">
        <v>0</v>
      </c>
      <c r="H1279" s="7">
        <v>81211.819999998</v>
      </c>
      <c r="I1279" s="7">
        <v>0</v>
      </c>
      <c r="J1279" s="8">
        <v>0</v>
      </c>
      <c r="K1279" s="9" t="str">
        <v/>
      </c>
    </row>
    <row r="1280" spans="1:11">
      <c r="A1280" t="str">
        <v/>
      </c>
      <c r="B1280" s="6">
        <v>0</v>
      </c>
      <c r="C1280" s="7" t="str">
        <v>趣点购浦发</v>
      </c>
      <c r="D1280" s="8">
        <v>0</v>
      </c>
      <c r="E1280" s="7">
        <v>0</v>
      </c>
      <c r="F1280" s="8">
        <v>0</v>
      </c>
      <c r="G1280" s="7">
        <v>0</v>
      </c>
      <c r="H1280" s="7">
        <v>81211.819999998</v>
      </c>
      <c r="I1280" s="7">
        <v>0</v>
      </c>
      <c r="J1280" s="8">
        <v>0</v>
      </c>
      <c r="K1280" s="9" t="str">
        <v/>
      </c>
    </row>
    <row r="1281" spans="1:11">
      <c r="A1281" t="str">
        <v/>
      </c>
      <c r="B1281" s="6">
        <v>0</v>
      </c>
      <c r="C1281" s="7" t="str">
        <v>趣点购浦发</v>
      </c>
      <c r="D1281" s="8">
        <v>0</v>
      </c>
      <c r="E1281" s="7">
        <v>0</v>
      </c>
      <c r="F1281" s="8">
        <v>0</v>
      </c>
      <c r="G1281" s="7">
        <v>0</v>
      </c>
      <c r="H1281" s="7">
        <v>81211.819999998</v>
      </c>
      <c r="I1281" s="7">
        <v>0</v>
      </c>
      <c r="J1281" s="8">
        <v>0</v>
      </c>
      <c r="K1281" s="9" t="str">
        <v/>
      </c>
    </row>
    <row r="1282" spans="1:11">
      <c r="A1282" t="str">
        <v/>
      </c>
      <c r="B1282" s="6">
        <v>0</v>
      </c>
      <c r="C1282" s="7" t="str">
        <v>趣点购浦发</v>
      </c>
      <c r="D1282" s="8">
        <v>0</v>
      </c>
      <c r="E1282" s="7">
        <v>0</v>
      </c>
      <c r="F1282" s="8">
        <v>0</v>
      </c>
      <c r="G1282" s="7">
        <v>0</v>
      </c>
      <c r="H1282" s="7">
        <v>81211.819999998</v>
      </c>
      <c r="I1282" s="7">
        <v>0</v>
      </c>
      <c r="J1282" s="8">
        <v>0</v>
      </c>
      <c r="K1282" s="9" t="str">
        <v/>
      </c>
    </row>
    <row r="1283" spans="1:11">
      <c r="A1283" t="str">
        <v/>
      </c>
      <c r="B1283" s="6">
        <v>0</v>
      </c>
      <c r="C1283" s="7" t="str">
        <v>趣点购浦发</v>
      </c>
      <c r="D1283" s="8">
        <v>0</v>
      </c>
      <c r="E1283" s="7">
        <v>0</v>
      </c>
      <c r="F1283" s="8">
        <v>0</v>
      </c>
      <c r="G1283" s="7">
        <v>0</v>
      </c>
      <c r="H1283" s="7">
        <v>81211.819999998</v>
      </c>
      <c r="I1283" s="7">
        <v>0</v>
      </c>
      <c r="J1283" s="8">
        <v>0</v>
      </c>
      <c r="K1283" s="9" t="str">
        <v/>
      </c>
    </row>
    <row r="1284" spans="1:11">
      <c r="A1284" t="str">
        <v/>
      </c>
      <c r="B1284" s="6">
        <v>0</v>
      </c>
      <c r="C1284" s="7" t="str">
        <v>趣点购浦发</v>
      </c>
      <c r="D1284" s="8">
        <v>0</v>
      </c>
      <c r="E1284" s="7">
        <v>0</v>
      </c>
      <c r="F1284" s="8">
        <v>0</v>
      </c>
      <c r="G1284" s="7">
        <v>0</v>
      </c>
      <c r="H1284" s="7">
        <v>81211.819999998</v>
      </c>
      <c r="I1284" s="7">
        <v>0</v>
      </c>
      <c r="J1284" s="8">
        <v>0</v>
      </c>
      <c r="K1284" s="9" t="str">
        <v/>
      </c>
    </row>
    <row r="1285" spans="1:11">
      <c r="A1285" t="str">
        <v/>
      </c>
      <c r="B1285" s="6">
        <v>0</v>
      </c>
      <c r="C1285" s="7" t="str">
        <v>趣点购浦发</v>
      </c>
      <c r="D1285" s="8">
        <v>0</v>
      </c>
      <c r="E1285" s="7">
        <v>0</v>
      </c>
      <c r="F1285" s="8">
        <v>0</v>
      </c>
      <c r="G1285" s="7">
        <v>0</v>
      </c>
      <c r="H1285" s="7">
        <v>81211.819999998</v>
      </c>
      <c r="I1285" s="7">
        <v>0</v>
      </c>
      <c r="J1285" s="8">
        <v>0</v>
      </c>
      <c r="K1285" s="9" t="str">
        <v/>
      </c>
    </row>
    <row r="1286" spans="1:11">
      <c r="A1286" t="str">
        <v/>
      </c>
      <c r="B1286" s="6">
        <v>0</v>
      </c>
      <c r="C1286" s="7" t="str">
        <v>趣点购浦发</v>
      </c>
      <c r="D1286" s="8">
        <v>0</v>
      </c>
      <c r="E1286" s="7">
        <v>0</v>
      </c>
      <c r="F1286" s="8">
        <v>0</v>
      </c>
      <c r="G1286" s="7">
        <v>0</v>
      </c>
      <c r="H1286" s="7">
        <v>81211.819999998</v>
      </c>
      <c r="I1286" s="7">
        <v>0</v>
      </c>
      <c r="J1286" s="8">
        <v>0</v>
      </c>
      <c r="K1286" s="9" t="str">
        <v/>
      </c>
    </row>
    <row r="1287" spans="1:11">
      <c r="A1287" t="str">
        <v/>
      </c>
      <c r="B1287" s="6">
        <v>0</v>
      </c>
      <c r="C1287" s="7" t="str">
        <v>趣点购浦发</v>
      </c>
      <c r="D1287" s="8">
        <v>0</v>
      </c>
      <c r="E1287" s="7">
        <v>0</v>
      </c>
      <c r="F1287" s="8">
        <v>0</v>
      </c>
      <c r="G1287" s="7">
        <v>0</v>
      </c>
      <c r="H1287" s="7">
        <v>81211.819999998</v>
      </c>
      <c r="I1287" s="7">
        <v>0</v>
      </c>
      <c r="J1287" s="8">
        <v>0</v>
      </c>
      <c r="K1287" s="9" t="str">
        <v/>
      </c>
    </row>
    <row r="1288" spans="1:11">
      <c r="A1288" t="str">
        <v/>
      </c>
      <c r="B1288" s="6">
        <v>0</v>
      </c>
      <c r="C1288" s="7" t="str">
        <v>趣点购浦发</v>
      </c>
      <c r="D1288" s="8">
        <v>0</v>
      </c>
      <c r="E1288" s="7">
        <v>0</v>
      </c>
      <c r="F1288" s="8">
        <v>0</v>
      </c>
      <c r="G1288" s="7">
        <v>0</v>
      </c>
      <c r="H1288" s="7">
        <v>81211.819999998</v>
      </c>
      <c r="I1288" s="7">
        <v>0</v>
      </c>
      <c r="J1288" s="8">
        <v>0</v>
      </c>
      <c r="K1288" s="9" t="str">
        <v/>
      </c>
    </row>
    <row r="1289" spans="1:11">
      <c r="A1289" t="str">
        <v/>
      </c>
      <c r="B1289" s="6">
        <v>0</v>
      </c>
      <c r="C1289" s="7" t="str">
        <v>趣点购浦发</v>
      </c>
      <c r="D1289" s="8">
        <v>0</v>
      </c>
      <c r="E1289" s="7">
        <v>0</v>
      </c>
      <c r="F1289" s="8">
        <v>0</v>
      </c>
      <c r="G1289" s="7">
        <v>0</v>
      </c>
      <c r="H1289" s="7">
        <v>81211.819999998</v>
      </c>
      <c r="I1289" s="7">
        <v>0</v>
      </c>
      <c r="J1289" s="8">
        <v>0</v>
      </c>
      <c r="K1289" s="9" t="str">
        <v/>
      </c>
    </row>
    <row r="1290" spans="1:11">
      <c r="A1290" t="str">
        <v/>
      </c>
      <c r="B1290" s="6">
        <v>0</v>
      </c>
      <c r="C1290" s="7" t="str">
        <v>趣点购浦发</v>
      </c>
      <c r="D1290" s="8">
        <v>0</v>
      </c>
      <c r="E1290" s="7">
        <v>0</v>
      </c>
      <c r="F1290" s="8">
        <v>0</v>
      </c>
      <c r="G1290" s="7">
        <v>0</v>
      </c>
      <c r="H1290" s="7">
        <v>81211.819999998</v>
      </c>
      <c r="I1290" s="7">
        <v>0</v>
      </c>
      <c r="J1290" s="8">
        <v>0</v>
      </c>
      <c r="K1290" s="9" t="str">
        <v/>
      </c>
    </row>
    <row r="1291" spans="1:11">
      <c r="A1291" t="str">
        <v/>
      </c>
      <c r="B1291" s="6">
        <v>0</v>
      </c>
      <c r="C1291" s="7" t="str">
        <v>趣点购浦发</v>
      </c>
      <c r="D1291" s="8">
        <v>0</v>
      </c>
      <c r="E1291" s="7">
        <v>0</v>
      </c>
      <c r="F1291" s="8">
        <v>0</v>
      </c>
      <c r="G1291" s="7">
        <v>0</v>
      </c>
      <c r="H1291" s="7">
        <v>81211.819999998</v>
      </c>
      <c r="I1291" s="7">
        <v>0</v>
      </c>
      <c r="J1291" s="8">
        <v>0</v>
      </c>
      <c r="K1291" s="9" t="str">
        <v/>
      </c>
    </row>
    <row r="1292" spans="1:11">
      <c r="A1292" t="str">
        <v/>
      </c>
      <c r="B1292" s="6">
        <v>0</v>
      </c>
      <c r="C1292" s="7" t="str">
        <v>趣点购浦发</v>
      </c>
      <c r="D1292" s="8">
        <v>0</v>
      </c>
      <c r="E1292" s="7">
        <v>0</v>
      </c>
      <c r="F1292" s="8">
        <v>0</v>
      </c>
      <c r="G1292" s="7">
        <v>0</v>
      </c>
      <c r="H1292" s="7">
        <v>81211.819999998</v>
      </c>
      <c r="I1292" s="7">
        <v>0</v>
      </c>
      <c r="J1292" s="8">
        <v>0</v>
      </c>
      <c r="K1292" s="9" t="str">
        <v/>
      </c>
    </row>
    <row r="1293" spans="1:11">
      <c r="A1293" t="str">
        <v/>
      </c>
      <c r="B1293" s="6">
        <v>0</v>
      </c>
      <c r="C1293" s="7" t="str">
        <v>趣点购浦发</v>
      </c>
      <c r="D1293" s="8">
        <v>0</v>
      </c>
      <c r="E1293" s="7">
        <v>0</v>
      </c>
      <c r="F1293" s="8">
        <v>0</v>
      </c>
      <c r="G1293" s="7">
        <v>0</v>
      </c>
      <c r="H1293" s="7">
        <v>81211.819999998</v>
      </c>
      <c r="I1293" s="7">
        <v>0</v>
      </c>
      <c r="J1293" s="8">
        <v>0</v>
      </c>
      <c r="K1293" s="9" t="str">
        <v/>
      </c>
    </row>
    <row r="1294" spans="1:11">
      <c r="A1294" t="str">
        <v/>
      </c>
      <c r="B1294" s="6">
        <v>0</v>
      </c>
      <c r="C1294" s="7" t="str">
        <v>趣点购浦发</v>
      </c>
      <c r="D1294" s="8">
        <v>0</v>
      </c>
      <c r="E1294" s="7">
        <v>0</v>
      </c>
      <c r="F1294" s="8">
        <v>0</v>
      </c>
      <c r="G1294" s="7">
        <v>0</v>
      </c>
      <c r="H1294" s="7">
        <v>81211.819999998</v>
      </c>
      <c r="I1294" s="7">
        <v>0</v>
      </c>
      <c r="J1294" s="8">
        <v>0</v>
      </c>
      <c r="K1294" s="9" t="str">
        <v/>
      </c>
    </row>
    <row r="1295" spans="1:11">
      <c r="A1295" t="str">
        <v/>
      </c>
      <c r="B1295" s="6">
        <v>0</v>
      </c>
      <c r="C1295" s="7" t="str">
        <v>趣点购浦发</v>
      </c>
      <c r="D1295" s="8">
        <v>0</v>
      </c>
      <c r="E1295" s="7">
        <v>0</v>
      </c>
      <c r="F1295" s="8">
        <v>0</v>
      </c>
      <c r="G1295" s="7">
        <v>0</v>
      </c>
      <c r="H1295" s="7">
        <v>81211.819999998</v>
      </c>
      <c r="I1295" s="7">
        <v>0</v>
      </c>
      <c r="J1295" s="8">
        <v>0</v>
      </c>
      <c r="K1295" s="9" t="str">
        <v/>
      </c>
    </row>
    <row r="1296" spans="1:11">
      <c r="A1296" t="str">
        <v/>
      </c>
      <c r="B1296" s="6">
        <v>0</v>
      </c>
      <c r="C1296" s="7" t="str">
        <v>趣点购浦发</v>
      </c>
      <c r="D1296" s="8">
        <v>0</v>
      </c>
      <c r="E1296" s="7">
        <v>0</v>
      </c>
      <c r="F1296" s="8">
        <v>0</v>
      </c>
      <c r="G1296" s="7">
        <v>0</v>
      </c>
      <c r="H1296" s="7">
        <v>81211.819999998</v>
      </c>
      <c r="I1296" s="7">
        <v>0</v>
      </c>
      <c r="J1296" s="8">
        <v>0</v>
      </c>
      <c r="K1296" s="9" t="str">
        <v/>
      </c>
    </row>
    <row r="1297" spans="1:11">
      <c r="A1297" t="str">
        <v/>
      </c>
      <c r="B1297" s="6">
        <v>0</v>
      </c>
      <c r="C1297" s="7" t="str">
        <v>趣点购浦发</v>
      </c>
      <c r="D1297" s="8">
        <v>0</v>
      </c>
      <c r="E1297" s="7">
        <v>0</v>
      </c>
      <c r="F1297" s="8">
        <v>0</v>
      </c>
      <c r="G1297" s="7">
        <v>0</v>
      </c>
      <c r="H1297" s="7">
        <v>81211.819999998</v>
      </c>
      <c r="I1297" s="7">
        <v>0</v>
      </c>
      <c r="J1297" s="8">
        <v>0</v>
      </c>
      <c r="K1297" s="9" t="str">
        <v/>
      </c>
    </row>
    <row r="1298" spans="1:11">
      <c r="A1298" t="str">
        <v/>
      </c>
      <c r="B1298" s="6">
        <v>0</v>
      </c>
      <c r="C1298" s="7" t="str">
        <v>趣点购浦发</v>
      </c>
      <c r="D1298" s="8">
        <v>0</v>
      </c>
      <c r="E1298" s="7">
        <v>0</v>
      </c>
      <c r="F1298" s="8">
        <v>0</v>
      </c>
      <c r="G1298" s="7">
        <v>0</v>
      </c>
      <c r="H1298" s="7">
        <v>81211.819999998</v>
      </c>
      <c r="I1298" s="7">
        <v>0</v>
      </c>
      <c r="J1298" s="8">
        <v>0</v>
      </c>
      <c r="K1298" s="9" t="str">
        <v/>
      </c>
    </row>
    <row r="1299" spans="1:11">
      <c r="A1299" t="str">
        <v/>
      </c>
      <c r="B1299" s="6">
        <v>0</v>
      </c>
      <c r="C1299" s="7" t="str">
        <v>趣点购浦发</v>
      </c>
      <c r="D1299" s="8">
        <v>0</v>
      </c>
      <c r="E1299" s="7">
        <v>0</v>
      </c>
      <c r="F1299" s="8">
        <v>0</v>
      </c>
      <c r="G1299" s="7">
        <v>0</v>
      </c>
      <c r="H1299" s="7">
        <v>81211.819999998</v>
      </c>
      <c r="I1299" s="7">
        <v>0</v>
      </c>
      <c r="J1299" s="8">
        <v>0</v>
      </c>
      <c r="K1299" s="9" t="str">
        <v/>
      </c>
    </row>
    <row r="1300" spans="1:11">
      <c r="A1300" t="str">
        <v/>
      </c>
      <c r="B1300" s="6">
        <v>0</v>
      </c>
      <c r="C1300" s="7" t="str">
        <v>趣点购浦发</v>
      </c>
      <c r="D1300" s="8">
        <v>0</v>
      </c>
      <c r="E1300" s="7">
        <v>0</v>
      </c>
      <c r="F1300" s="8">
        <v>0</v>
      </c>
      <c r="G1300" s="7">
        <v>0</v>
      </c>
      <c r="H1300" s="7">
        <v>81211.819999998</v>
      </c>
      <c r="I1300" s="7">
        <v>0</v>
      </c>
      <c r="J1300" s="8">
        <v>0</v>
      </c>
      <c r="K1300" s="9" t="str">
        <v/>
      </c>
    </row>
    <row r="1301" spans="1:11">
      <c r="A1301" t="str">
        <v/>
      </c>
      <c r="B1301" s="6">
        <v>0</v>
      </c>
      <c r="C1301" s="7" t="str">
        <v>趣点购浦发</v>
      </c>
      <c r="D1301" s="8">
        <v>0</v>
      </c>
      <c r="E1301" s="7">
        <v>0</v>
      </c>
      <c r="F1301" s="8">
        <v>0</v>
      </c>
      <c r="G1301" s="7">
        <v>0</v>
      </c>
      <c r="H1301" s="7">
        <v>81211.819999998</v>
      </c>
      <c r="I1301" s="7">
        <v>0</v>
      </c>
      <c r="J1301" s="8">
        <v>0</v>
      </c>
      <c r="K1301" s="9" t="str">
        <v/>
      </c>
    </row>
    <row r="1302" spans="1:11">
      <c r="A1302" t="str">
        <v/>
      </c>
      <c r="B1302" s="6">
        <v>0</v>
      </c>
      <c r="C1302" s="7" t="str">
        <v>趣点购浦发</v>
      </c>
      <c r="D1302" s="8">
        <v>0</v>
      </c>
      <c r="E1302" s="7">
        <v>0</v>
      </c>
      <c r="F1302" s="8">
        <v>0</v>
      </c>
      <c r="G1302" s="7">
        <v>0</v>
      </c>
      <c r="H1302" s="7">
        <v>81211.819999998</v>
      </c>
      <c r="I1302" s="7">
        <v>0</v>
      </c>
      <c r="J1302" s="8">
        <v>0</v>
      </c>
      <c r="K1302" s="9" t="str">
        <v/>
      </c>
    </row>
    <row r="1303" spans="1:11">
      <c r="A1303" t="str">
        <v/>
      </c>
      <c r="B1303" s="6">
        <v>0</v>
      </c>
      <c r="C1303" s="7" t="str">
        <v>趣点购浦发</v>
      </c>
      <c r="D1303" s="8">
        <v>0</v>
      </c>
      <c r="E1303" s="7">
        <v>0</v>
      </c>
      <c r="F1303" s="8">
        <v>0</v>
      </c>
      <c r="G1303" s="7">
        <v>0</v>
      </c>
      <c r="H1303" s="7">
        <v>81211.819999998</v>
      </c>
      <c r="I1303" s="7">
        <v>0</v>
      </c>
      <c r="J1303" s="8">
        <v>0</v>
      </c>
      <c r="K1303" s="9" t="str">
        <v/>
      </c>
    </row>
    <row r="1304" spans="1:11">
      <c r="A1304" t="str">
        <v/>
      </c>
      <c r="B1304" s="6">
        <v>0</v>
      </c>
      <c r="C1304" s="7" t="str">
        <v>趣点购浦发</v>
      </c>
      <c r="D1304" s="8">
        <v>0</v>
      </c>
      <c r="E1304" s="7">
        <v>0</v>
      </c>
      <c r="F1304" s="8">
        <v>0</v>
      </c>
      <c r="G1304" s="7">
        <v>0</v>
      </c>
      <c r="H1304" s="7">
        <v>81211.819999998</v>
      </c>
      <c r="I1304" s="7">
        <v>0</v>
      </c>
      <c r="J1304" s="8">
        <v>0</v>
      </c>
      <c r="K1304" s="9" t="str">
        <v/>
      </c>
    </row>
    <row r="1305" spans="1:11">
      <c r="A1305" t="str">
        <v/>
      </c>
      <c r="B1305" s="6">
        <v>0</v>
      </c>
      <c r="C1305" s="7" t="str">
        <v>趣点购浦发</v>
      </c>
      <c r="D1305" s="8">
        <v>0</v>
      </c>
      <c r="E1305" s="7">
        <v>0</v>
      </c>
      <c r="F1305" s="8">
        <v>0</v>
      </c>
      <c r="G1305" s="7">
        <v>0</v>
      </c>
      <c r="H1305" s="7">
        <v>81211.819999998</v>
      </c>
      <c r="I1305" s="7">
        <v>0</v>
      </c>
      <c r="J1305" s="8">
        <v>0</v>
      </c>
      <c r="K1305" s="9" t="str">
        <v/>
      </c>
    </row>
    <row r="1306" spans="1:11">
      <c r="A1306" t="str">
        <v/>
      </c>
      <c r="B1306" s="6">
        <v>0</v>
      </c>
      <c r="C1306" s="7" t="str">
        <v>趣点购浦发</v>
      </c>
      <c r="D1306" s="8">
        <v>0</v>
      </c>
      <c r="E1306" s="7">
        <v>0</v>
      </c>
      <c r="F1306" s="8">
        <v>0</v>
      </c>
      <c r="G1306" s="7">
        <v>0</v>
      </c>
      <c r="H1306" s="7">
        <v>81211.819999998</v>
      </c>
      <c r="I1306" s="7">
        <v>0</v>
      </c>
      <c r="J1306" s="8">
        <v>0</v>
      </c>
      <c r="K1306" s="9" t="str">
        <v/>
      </c>
    </row>
    <row r="1307" spans="1:11">
      <c r="A1307" t="str">
        <v/>
      </c>
      <c r="B1307" s="6">
        <v>0</v>
      </c>
      <c r="C1307" s="7" t="str">
        <v>趣点购浦发</v>
      </c>
      <c r="D1307" s="8">
        <v>0</v>
      </c>
      <c r="E1307" s="7">
        <v>0</v>
      </c>
      <c r="F1307" s="8">
        <v>0</v>
      </c>
      <c r="G1307" s="7">
        <v>0</v>
      </c>
      <c r="H1307" s="7">
        <v>81211.819999998</v>
      </c>
      <c r="I1307" s="7">
        <v>0</v>
      </c>
      <c r="J1307" s="8">
        <v>0</v>
      </c>
      <c r="K1307" s="9" t="str">
        <v/>
      </c>
    </row>
    <row r="1308" spans="1:11">
      <c r="A1308" t="str">
        <v/>
      </c>
      <c r="B1308" s="6">
        <v>0</v>
      </c>
      <c r="C1308" s="7" t="str">
        <v>趣点购浦发</v>
      </c>
      <c r="D1308" s="8">
        <v>0</v>
      </c>
      <c r="E1308" s="7">
        <v>0</v>
      </c>
      <c r="F1308" s="8">
        <v>0</v>
      </c>
      <c r="G1308" s="7">
        <v>0</v>
      </c>
      <c r="H1308" s="7">
        <v>81211.819999998</v>
      </c>
      <c r="I1308" s="7">
        <v>0</v>
      </c>
      <c r="J1308" s="8">
        <v>0</v>
      </c>
      <c r="K1308" s="9" t="str">
        <v/>
      </c>
    </row>
    <row r="1309" spans="1:11">
      <c r="A1309" t="str">
        <v/>
      </c>
      <c r="B1309" s="6">
        <v>0</v>
      </c>
      <c r="C1309" s="7" t="str">
        <v>趣点购浦发</v>
      </c>
      <c r="D1309" s="8">
        <v>0</v>
      </c>
      <c r="E1309" s="7">
        <v>0</v>
      </c>
      <c r="F1309" s="8">
        <v>0</v>
      </c>
      <c r="G1309" s="7">
        <v>0</v>
      </c>
      <c r="H1309" s="7">
        <v>81211.819999998</v>
      </c>
      <c r="I1309" s="7">
        <v>0</v>
      </c>
      <c r="J1309" s="8">
        <v>0</v>
      </c>
      <c r="K1309" s="9" t="str">
        <v/>
      </c>
    </row>
    <row r="1310" spans="1:11">
      <c r="A1310" t="str">
        <v/>
      </c>
      <c r="B1310" s="6">
        <v>0</v>
      </c>
      <c r="C1310" s="7" t="str">
        <v>趣点购浦发</v>
      </c>
      <c r="D1310" s="8">
        <v>0</v>
      </c>
      <c r="E1310" s="7">
        <v>0</v>
      </c>
      <c r="F1310" s="8">
        <v>0</v>
      </c>
      <c r="G1310" s="7">
        <v>0</v>
      </c>
      <c r="H1310" s="7">
        <v>81211.819999998</v>
      </c>
      <c r="I1310" s="7">
        <v>0</v>
      </c>
      <c r="J1310" s="8">
        <v>0</v>
      </c>
      <c r="K1310" s="9" t="str">
        <v/>
      </c>
    </row>
    <row r="1311" spans="1:11">
      <c r="A1311" t="str">
        <v/>
      </c>
      <c r="B1311" s="6">
        <v>0</v>
      </c>
      <c r="C1311" s="7" t="str">
        <v>趣点购浦发</v>
      </c>
      <c r="D1311" s="8">
        <v>0</v>
      </c>
      <c r="E1311" s="7">
        <v>0</v>
      </c>
      <c r="F1311" s="8">
        <v>0</v>
      </c>
      <c r="G1311" s="7">
        <v>0</v>
      </c>
      <c r="H1311" s="7">
        <v>81211.819999998</v>
      </c>
      <c r="I1311" s="7">
        <v>0</v>
      </c>
      <c r="J1311" s="8">
        <v>0</v>
      </c>
      <c r="K1311" s="9" t="str">
        <v/>
      </c>
    </row>
    <row r="1312" spans="1:11">
      <c r="A1312" t="str">
        <v/>
      </c>
      <c r="B1312" s="6">
        <v>0</v>
      </c>
      <c r="C1312" s="7" t="str">
        <v>趣点购浦发</v>
      </c>
      <c r="D1312" s="8">
        <v>0</v>
      </c>
      <c r="E1312" s="7">
        <v>0</v>
      </c>
      <c r="F1312" s="8">
        <v>0</v>
      </c>
      <c r="G1312" s="7">
        <v>0</v>
      </c>
      <c r="H1312" s="7">
        <v>81211.819999998</v>
      </c>
      <c r="I1312" s="7">
        <v>0</v>
      </c>
      <c r="J1312" s="8">
        <v>0</v>
      </c>
      <c r="K1312" s="9" t="str">
        <v/>
      </c>
    </row>
    <row r="1313" spans="1:11">
      <c r="A1313" t="str">
        <v/>
      </c>
      <c r="B1313" s="6">
        <v>0</v>
      </c>
      <c r="C1313" s="7" t="str">
        <v>趣点购浦发</v>
      </c>
      <c r="D1313" s="8">
        <v>0</v>
      </c>
      <c r="E1313" s="7">
        <v>0</v>
      </c>
      <c r="F1313" s="8">
        <v>0</v>
      </c>
      <c r="G1313" s="7">
        <v>0</v>
      </c>
      <c r="H1313" s="7">
        <v>81211.819999998</v>
      </c>
      <c r="I1313" s="7">
        <v>0</v>
      </c>
      <c r="J1313" s="8">
        <v>0</v>
      </c>
      <c r="K1313" s="9" t="str">
        <v/>
      </c>
    </row>
    <row r="1314" spans="1:11">
      <c r="A1314" t="str">
        <v/>
      </c>
      <c r="B1314" s="6">
        <v>0</v>
      </c>
      <c r="C1314" s="7" t="str">
        <v>趣点购浦发</v>
      </c>
      <c r="D1314" s="8">
        <v>0</v>
      </c>
      <c r="E1314" s="7">
        <v>0</v>
      </c>
      <c r="F1314" s="8">
        <v>0</v>
      </c>
      <c r="G1314" s="7">
        <v>0</v>
      </c>
      <c r="H1314" s="7">
        <v>81211.819999998</v>
      </c>
      <c r="I1314" s="7">
        <v>0</v>
      </c>
      <c r="J1314" s="8">
        <v>0</v>
      </c>
      <c r="K1314" s="9" t="str">
        <v/>
      </c>
    </row>
    <row r="1315" spans="1:11">
      <c r="A1315" t="str">
        <v/>
      </c>
      <c r="B1315" s="6">
        <v>0</v>
      </c>
      <c r="C1315" s="7" t="str">
        <v>趣点购浦发</v>
      </c>
      <c r="D1315" s="8">
        <v>0</v>
      </c>
      <c r="E1315" s="7">
        <v>0</v>
      </c>
      <c r="F1315" s="8">
        <v>0</v>
      </c>
      <c r="G1315" s="7">
        <v>0</v>
      </c>
      <c r="H1315" s="7">
        <v>81211.819999998</v>
      </c>
      <c r="I1315" s="7">
        <v>0</v>
      </c>
      <c r="J1315" s="8">
        <v>0</v>
      </c>
      <c r="K1315" s="9" t="str">
        <v/>
      </c>
    </row>
    <row r="1316" spans="1:11">
      <c r="A1316" t="str">
        <v/>
      </c>
      <c r="B1316" s="6">
        <v>0</v>
      </c>
      <c r="C1316" s="7" t="str">
        <v>趣点购浦发</v>
      </c>
      <c r="D1316" s="8">
        <v>0</v>
      </c>
      <c r="E1316" s="7">
        <v>0</v>
      </c>
      <c r="F1316" s="8">
        <v>0</v>
      </c>
      <c r="G1316" s="7">
        <v>0</v>
      </c>
      <c r="H1316" s="7">
        <v>81211.819999998</v>
      </c>
      <c r="I1316" s="7">
        <v>0</v>
      </c>
      <c r="J1316" s="8">
        <v>0</v>
      </c>
      <c r="K1316" s="9" t="str">
        <v/>
      </c>
    </row>
    <row r="1317" spans="1:11">
      <c r="A1317" t="str">
        <v/>
      </c>
      <c r="B1317" s="6">
        <v>0</v>
      </c>
      <c r="C1317" s="7" t="str">
        <v>趣点购浦发</v>
      </c>
      <c r="D1317" s="8">
        <v>0</v>
      </c>
      <c r="E1317" s="7">
        <v>0</v>
      </c>
      <c r="F1317" s="8">
        <v>0</v>
      </c>
      <c r="G1317" s="7">
        <v>0</v>
      </c>
      <c r="H1317" s="7">
        <v>81211.819999998</v>
      </c>
      <c r="I1317" s="7">
        <v>0</v>
      </c>
      <c r="J1317" s="8">
        <v>0</v>
      </c>
      <c r="K1317" s="9" t="str">
        <v/>
      </c>
    </row>
    <row r="1318" spans="1:11">
      <c r="A1318" t="str">
        <v/>
      </c>
      <c r="B1318" s="6">
        <v>0</v>
      </c>
      <c r="C1318" s="7" t="str">
        <v>趣点购浦发</v>
      </c>
      <c r="D1318" s="8">
        <v>0</v>
      </c>
      <c r="E1318" s="7">
        <v>0</v>
      </c>
      <c r="F1318" s="8">
        <v>0</v>
      </c>
      <c r="G1318" s="7">
        <v>0</v>
      </c>
      <c r="H1318" s="7">
        <v>81211.819999998</v>
      </c>
      <c r="I1318" s="7">
        <v>0</v>
      </c>
      <c r="J1318" s="8">
        <v>0</v>
      </c>
      <c r="K1318" s="9" t="str">
        <v/>
      </c>
    </row>
    <row r="1319" spans="1:11">
      <c r="A1319" t="str">
        <v/>
      </c>
      <c r="B1319" s="6">
        <v>0</v>
      </c>
      <c r="C1319" s="7" t="str">
        <v>趣点购浦发</v>
      </c>
      <c r="D1319" s="8">
        <v>0</v>
      </c>
      <c r="E1319" s="7">
        <v>0</v>
      </c>
      <c r="F1319" s="8">
        <v>0</v>
      </c>
      <c r="G1319" s="7">
        <v>0</v>
      </c>
      <c r="H1319" s="7">
        <v>81211.819999998</v>
      </c>
      <c r="I1319" s="7">
        <v>0</v>
      </c>
      <c r="J1319" s="8">
        <v>0</v>
      </c>
      <c r="K1319" s="9" t="str">
        <v/>
      </c>
    </row>
    <row r="1320" spans="1:11">
      <c r="A1320" t="str">
        <v/>
      </c>
      <c r="B1320" s="6">
        <v>0</v>
      </c>
      <c r="C1320" s="7" t="str">
        <v>趣点购浦发</v>
      </c>
      <c r="D1320" s="8">
        <v>0</v>
      </c>
      <c r="E1320" s="7">
        <v>0</v>
      </c>
      <c r="F1320" s="8">
        <v>0</v>
      </c>
      <c r="G1320" s="7">
        <v>0</v>
      </c>
      <c r="H1320" s="7">
        <v>81211.819999998</v>
      </c>
      <c r="I1320" s="7">
        <v>0</v>
      </c>
      <c r="J1320" s="8">
        <v>0</v>
      </c>
      <c r="K1320" s="9" t="str">
        <v/>
      </c>
    </row>
    <row r="1321" spans="1:11">
      <c r="A1321" t="str">
        <v/>
      </c>
      <c r="B1321" s="6">
        <v>0</v>
      </c>
      <c r="C1321" s="7" t="str">
        <v>趣点购浦发</v>
      </c>
      <c r="D1321" s="8">
        <v>0</v>
      </c>
      <c r="E1321" s="7">
        <v>0</v>
      </c>
      <c r="F1321" s="8">
        <v>0</v>
      </c>
      <c r="G1321" s="7">
        <v>0</v>
      </c>
      <c r="H1321" s="7">
        <v>81211.819999998</v>
      </c>
      <c r="I1321" s="7">
        <v>0</v>
      </c>
      <c r="J1321" s="8">
        <v>0</v>
      </c>
      <c r="K1321" s="9" t="str">
        <v/>
      </c>
    </row>
    <row r="1322" spans="1:11">
      <c r="A1322" t="str">
        <v/>
      </c>
      <c r="B1322" s="6">
        <v>0</v>
      </c>
      <c r="C1322" s="7" t="str">
        <v>趣点购浦发</v>
      </c>
      <c r="D1322" s="8">
        <v>0</v>
      </c>
      <c r="E1322" s="7">
        <v>0</v>
      </c>
      <c r="F1322" s="8">
        <v>0</v>
      </c>
      <c r="G1322" s="7">
        <v>0</v>
      </c>
      <c r="H1322" s="7">
        <v>81211.819999998</v>
      </c>
      <c r="I1322" s="7">
        <v>0</v>
      </c>
      <c r="J1322" s="8">
        <v>0</v>
      </c>
      <c r="K1322" s="9" t="str">
        <v/>
      </c>
    </row>
    <row r="1323" spans="1:11">
      <c r="A1323" t="str">
        <v/>
      </c>
      <c r="B1323" s="6">
        <v>0</v>
      </c>
      <c r="C1323" s="7" t="str">
        <v>趣点购浦发</v>
      </c>
      <c r="D1323" s="8">
        <v>0</v>
      </c>
      <c r="E1323" s="7">
        <v>0</v>
      </c>
      <c r="F1323" s="8">
        <v>0</v>
      </c>
      <c r="G1323" s="7">
        <v>0</v>
      </c>
      <c r="H1323" s="7">
        <v>81211.819999998</v>
      </c>
      <c r="I1323" s="7">
        <v>0</v>
      </c>
      <c r="J1323" s="8">
        <v>0</v>
      </c>
      <c r="K1323" s="9" t="str">
        <v/>
      </c>
    </row>
    <row r="1324" spans="1:11">
      <c r="A1324" t="str">
        <v/>
      </c>
      <c r="B1324" s="6">
        <v>0</v>
      </c>
      <c r="C1324" s="7" t="str">
        <v>趣点购浦发</v>
      </c>
      <c r="D1324" s="8">
        <v>0</v>
      </c>
      <c r="E1324" s="7">
        <v>0</v>
      </c>
      <c r="F1324" s="8">
        <v>0</v>
      </c>
      <c r="G1324" s="7">
        <v>0</v>
      </c>
      <c r="H1324" s="7">
        <v>81211.819999998</v>
      </c>
      <c r="I1324" s="7">
        <v>0</v>
      </c>
      <c r="J1324" s="8">
        <v>0</v>
      </c>
      <c r="K1324" s="9" t="str">
        <v/>
      </c>
    </row>
    <row r="1325" spans="1:11">
      <c r="A1325" t="str">
        <v/>
      </c>
      <c r="B1325" s="6">
        <v>0</v>
      </c>
      <c r="C1325" s="7" t="str">
        <v>趣点购浦发</v>
      </c>
      <c r="D1325" s="8">
        <v>0</v>
      </c>
      <c r="E1325" s="7">
        <v>0</v>
      </c>
      <c r="F1325" s="8">
        <v>0</v>
      </c>
      <c r="G1325" s="7">
        <v>0</v>
      </c>
      <c r="H1325" s="7">
        <v>81211.819999998</v>
      </c>
      <c r="I1325" s="7">
        <v>0</v>
      </c>
      <c r="J1325" s="8">
        <v>0</v>
      </c>
      <c r="K1325" s="9" t="str">
        <v/>
      </c>
    </row>
    <row r="1326" spans="1:11">
      <c r="A1326" t="str">
        <v/>
      </c>
      <c r="B1326" s="6">
        <v>0</v>
      </c>
      <c r="C1326" s="7" t="str">
        <v>趣点购浦发</v>
      </c>
      <c r="D1326" s="8">
        <v>0</v>
      </c>
      <c r="E1326" s="7">
        <v>0</v>
      </c>
      <c r="F1326" s="8">
        <v>0</v>
      </c>
      <c r="G1326" s="7">
        <v>0</v>
      </c>
      <c r="H1326" s="7">
        <v>81211.819999998</v>
      </c>
      <c r="I1326" s="7">
        <v>0</v>
      </c>
      <c r="J1326" s="8">
        <v>0</v>
      </c>
      <c r="K1326" s="9" t="str">
        <v/>
      </c>
    </row>
    <row r="1327" spans="1:11">
      <c r="A1327" t="str">
        <v/>
      </c>
      <c r="B1327" s="6">
        <v>0</v>
      </c>
      <c r="C1327" s="7" t="str">
        <v>趣点购浦发</v>
      </c>
      <c r="D1327" s="8">
        <v>0</v>
      </c>
      <c r="E1327" s="7">
        <v>0</v>
      </c>
      <c r="F1327" s="8">
        <v>0</v>
      </c>
      <c r="G1327" s="7">
        <v>0</v>
      </c>
      <c r="H1327" s="7">
        <v>81211.819999998</v>
      </c>
      <c r="I1327" s="7">
        <v>0</v>
      </c>
      <c r="J1327" s="8">
        <v>0</v>
      </c>
      <c r="K1327" s="9" t="str">
        <v/>
      </c>
    </row>
    <row r="1328" spans="1:11">
      <c r="A1328" t="str">
        <v/>
      </c>
      <c r="B1328" s="6">
        <v>0</v>
      </c>
      <c r="C1328" s="7" t="str">
        <v>趣点购浦发</v>
      </c>
      <c r="D1328" s="8">
        <v>0</v>
      </c>
      <c r="E1328" s="7">
        <v>0</v>
      </c>
      <c r="F1328" s="8">
        <v>0</v>
      </c>
      <c r="G1328" s="7">
        <v>0</v>
      </c>
      <c r="H1328" s="7">
        <v>81211.819999998</v>
      </c>
      <c r="I1328" s="7">
        <v>0</v>
      </c>
      <c r="J1328" s="8">
        <v>0</v>
      </c>
      <c r="K1328" s="9" t="str">
        <v/>
      </c>
    </row>
    <row r="1329" spans="1:11">
      <c r="A1329" t="str">
        <v/>
      </c>
      <c r="B1329" s="6">
        <v>0</v>
      </c>
      <c r="C1329" s="7" t="str">
        <v>趣点购浦发</v>
      </c>
      <c r="D1329" s="8">
        <v>0</v>
      </c>
      <c r="E1329" s="7">
        <v>0</v>
      </c>
      <c r="F1329" s="8">
        <v>0</v>
      </c>
      <c r="G1329" s="7">
        <v>0</v>
      </c>
      <c r="H1329" s="7">
        <v>81211.819999998</v>
      </c>
      <c r="I1329" s="7">
        <v>0</v>
      </c>
      <c r="J1329" s="8">
        <v>0</v>
      </c>
      <c r="K1329" s="9" t="str">
        <v/>
      </c>
    </row>
    <row r="1330" spans="1:11">
      <c r="A1330" t="str">
        <v/>
      </c>
      <c r="B1330" s="6">
        <v>0</v>
      </c>
      <c r="C1330" s="7" t="str">
        <v>趣点购浦发</v>
      </c>
      <c r="D1330" s="8">
        <v>0</v>
      </c>
      <c r="E1330" s="7">
        <v>0</v>
      </c>
      <c r="F1330" s="8">
        <v>0</v>
      </c>
      <c r="G1330" s="7">
        <v>0</v>
      </c>
      <c r="H1330" s="7">
        <v>81211.819999998</v>
      </c>
      <c r="I1330" s="7">
        <v>0</v>
      </c>
      <c r="J1330" s="8">
        <v>0</v>
      </c>
      <c r="K1330" s="9" t="str">
        <v/>
      </c>
    </row>
    <row r="1331" spans="1:11">
      <c r="A1331" t="str">
        <v/>
      </c>
      <c r="B1331" s="6">
        <v>0</v>
      </c>
      <c r="C1331" s="7" t="str">
        <v>趣点购浦发</v>
      </c>
      <c r="D1331" s="8">
        <v>0</v>
      </c>
      <c r="E1331" s="7">
        <v>0</v>
      </c>
      <c r="F1331" s="8">
        <v>0</v>
      </c>
      <c r="G1331" s="7">
        <v>0</v>
      </c>
      <c r="H1331" s="7">
        <v>81211.819999998</v>
      </c>
      <c r="I1331" s="7">
        <v>0</v>
      </c>
      <c r="J1331" s="8">
        <v>0</v>
      </c>
      <c r="K1331" s="9" t="str">
        <v/>
      </c>
    </row>
    <row r="1332" spans="1:11">
      <c r="A1332" t="str">
        <v/>
      </c>
      <c r="B1332" s="6">
        <v>0</v>
      </c>
      <c r="C1332" s="7" t="str">
        <v>趣点购浦发</v>
      </c>
      <c r="D1332" s="8">
        <v>0</v>
      </c>
      <c r="E1332" s="7">
        <v>0</v>
      </c>
      <c r="F1332" s="8">
        <v>0</v>
      </c>
      <c r="G1332" s="7">
        <v>0</v>
      </c>
      <c r="H1332" s="7">
        <v>81211.819999998</v>
      </c>
      <c r="I1332" s="7">
        <v>0</v>
      </c>
      <c r="J1332" s="8">
        <v>0</v>
      </c>
      <c r="K1332" s="9" t="str">
        <v/>
      </c>
    </row>
    <row r="1333" spans="1:11">
      <c r="A1333" t="str">
        <v/>
      </c>
      <c r="B1333" s="6">
        <v>0</v>
      </c>
      <c r="C1333" s="7" t="str">
        <v>趣点购浦发</v>
      </c>
      <c r="D1333" s="8">
        <v>0</v>
      </c>
      <c r="E1333" s="7">
        <v>0</v>
      </c>
      <c r="F1333" s="8">
        <v>0</v>
      </c>
      <c r="G1333" s="7">
        <v>0</v>
      </c>
      <c r="H1333" s="7">
        <v>81211.819999998</v>
      </c>
      <c r="I1333" s="7">
        <v>0</v>
      </c>
      <c r="J1333" s="8">
        <v>0</v>
      </c>
      <c r="K1333" s="9" t="str">
        <v/>
      </c>
    </row>
    <row r="1334" spans="1:11">
      <c r="A1334" t="str">
        <v/>
      </c>
      <c r="B1334" s="6">
        <v>0</v>
      </c>
      <c r="C1334" s="7" t="str">
        <v>趣点购浦发</v>
      </c>
      <c r="D1334" s="8">
        <v>0</v>
      </c>
      <c r="E1334" s="7">
        <v>0</v>
      </c>
      <c r="F1334" s="8">
        <v>0</v>
      </c>
      <c r="G1334" s="7">
        <v>0</v>
      </c>
      <c r="H1334" s="7">
        <v>81211.819999998</v>
      </c>
      <c r="I1334" s="7">
        <v>0</v>
      </c>
      <c r="J1334" s="8">
        <v>0</v>
      </c>
      <c r="K1334" s="9" t="str">
        <v/>
      </c>
    </row>
    <row r="1335" spans="1:11">
      <c r="A1335" t="str">
        <v/>
      </c>
      <c r="B1335" s="6">
        <v>0</v>
      </c>
      <c r="C1335" s="7" t="str">
        <v>趣点购浦发</v>
      </c>
      <c r="D1335" s="8">
        <v>0</v>
      </c>
      <c r="E1335" s="7">
        <v>0</v>
      </c>
      <c r="F1335" s="8">
        <v>0</v>
      </c>
      <c r="G1335" s="7">
        <v>0</v>
      </c>
      <c r="H1335" s="7">
        <v>81211.819999998</v>
      </c>
      <c r="I1335" s="7">
        <v>0</v>
      </c>
      <c r="J1335" s="8">
        <v>0</v>
      </c>
      <c r="K1335" s="9" t="str">
        <v/>
      </c>
    </row>
    <row r="1336" spans="1:11">
      <c r="A1336" t="str">
        <v/>
      </c>
      <c r="B1336" s="6">
        <v>0</v>
      </c>
      <c r="C1336" s="7" t="str">
        <v>趣点购浦发</v>
      </c>
      <c r="D1336" s="8">
        <v>0</v>
      </c>
      <c r="E1336" s="7">
        <v>0</v>
      </c>
      <c r="F1336" s="8">
        <v>0</v>
      </c>
      <c r="G1336" s="7">
        <v>0</v>
      </c>
      <c r="H1336" s="7">
        <v>81211.819999998</v>
      </c>
      <c r="I1336" s="7">
        <v>0</v>
      </c>
      <c r="J1336" s="8">
        <v>0</v>
      </c>
      <c r="K1336" s="9" t="str">
        <v/>
      </c>
    </row>
    <row r="1337" spans="1:11">
      <c r="A1337" t="str">
        <v/>
      </c>
      <c r="B1337" s="6">
        <v>0</v>
      </c>
      <c r="C1337" s="7" t="str">
        <v>趣点购浦发</v>
      </c>
      <c r="D1337" s="8">
        <v>0</v>
      </c>
      <c r="E1337" s="7">
        <v>0</v>
      </c>
      <c r="F1337" s="8">
        <v>0</v>
      </c>
      <c r="G1337" s="7">
        <v>0</v>
      </c>
      <c r="H1337" s="7">
        <v>81211.819999998</v>
      </c>
      <c r="I1337" s="7">
        <v>0</v>
      </c>
      <c r="J1337" s="8">
        <v>0</v>
      </c>
      <c r="K1337" s="9" t="str">
        <v/>
      </c>
    </row>
    <row r="1338" spans="1:11">
      <c r="A1338" t="str">
        <v/>
      </c>
      <c r="B1338" s="6">
        <v>0</v>
      </c>
      <c r="C1338" s="7" t="str">
        <v>趣点购浦发</v>
      </c>
      <c r="D1338" s="8">
        <v>0</v>
      </c>
      <c r="E1338" s="7">
        <v>0</v>
      </c>
      <c r="F1338" s="8">
        <v>0</v>
      </c>
      <c r="G1338" s="7">
        <v>0</v>
      </c>
      <c r="H1338" s="7">
        <v>81211.819999998</v>
      </c>
      <c r="I1338" s="7">
        <v>0</v>
      </c>
      <c r="J1338" s="8">
        <v>0</v>
      </c>
      <c r="K1338" s="9" t="str">
        <v/>
      </c>
    </row>
    <row r="1339" spans="1:11">
      <c r="A1339" t="str">
        <v/>
      </c>
      <c r="B1339" s="6">
        <v>0</v>
      </c>
      <c r="C1339" s="7" t="str">
        <v>趣点购浦发</v>
      </c>
      <c r="D1339" s="8">
        <v>0</v>
      </c>
      <c r="E1339" s="7">
        <v>0</v>
      </c>
      <c r="F1339" s="8">
        <v>0</v>
      </c>
      <c r="G1339" s="7">
        <v>0</v>
      </c>
      <c r="H1339" s="7">
        <v>81211.819999998</v>
      </c>
      <c r="I1339" s="7">
        <v>0</v>
      </c>
      <c r="J1339" s="8">
        <v>0</v>
      </c>
      <c r="K1339" s="9" t="str">
        <v/>
      </c>
    </row>
    <row r="1340" spans="1:11">
      <c r="A1340" t="str">
        <v/>
      </c>
      <c r="B1340" s="6">
        <v>0</v>
      </c>
      <c r="C1340" s="7" t="str">
        <v>趣点购浦发</v>
      </c>
      <c r="D1340" s="8">
        <v>0</v>
      </c>
      <c r="E1340" s="7">
        <v>0</v>
      </c>
      <c r="F1340" s="8">
        <v>0</v>
      </c>
      <c r="G1340" s="7">
        <v>0</v>
      </c>
      <c r="H1340" s="7">
        <v>81211.819999998</v>
      </c>
      <c r="I1340" s="7">
        <v>0</v>
      </c>
      <c r="J1340" s="8">
        <v>0</v>
      </c>
      <c r="K1340" s="9" t="str">
        <v/>
      </c>
    </row>
    <row r="1341" spans="1:11">
      <c r="A1341" t="str">
        <v/>
      </c>
      <c r="B1341" s="6">
        <v>0</v>
      </c>
      <c r="C1341" s="7" t="str">
        <v>趣点购浦发</v>
      </c>
      <c r="D1341" s="8">
        <v>0</v>
      </c>
      <c r="E1341" s="7">
        <v>0</v>
      </c>
      <c r="F1341" s="8">
        <v>0</v>
      </c>
      <c r="G1341" s="7">
        <v>0</v>
      </c>
      <c r="H1341" s="7">
        <v>81211.819999998</v>
      </c>
      <c r="I1341" s="7">
        <v>0</v>
      </c>
      <c r="J1341" s="8">
        <v>0</v>
      </c>
      <c r="K1341" s="9" t="str">
        <v/>
      </c>
    </row>
    <row r="1342" spans="1:11">
      <c r="A1342" t="str">
        <v/>
      </c>
      <c r="B1342" s="6">
        <v>0</v>
      </c>
      <c r="C1342" s="7" t="str">
        <v>趣点购浦发</v>
      </c>
      <c r="D1342" s="8">
        <v>0</v>
      </c>
      <c r="E1342" s="7">
        <v>0</v>
      </c>
      <c r="F1342" s="8">
        <v>0</v>
      </c>
      <c r="G1342" s="7">
        <v>0</v>
      </c>
      <c r="H1342" s="7">
        <v>81211.819999998</v>
      </c>
      <c r="I1342" s="7">
        <v>0</v>
      </c>
      <c r="J1342" s="8">
        <v>0</v>
      </c>
      <c r="K1342" s="9" t="str">
        <v/>
      </c>
    </row>
    <row r="1343" spans="1:11">
      <c r="A1343" t="str">
        <v/>
      </c>
      <c r="B1343" s="6">
        <v>0</v>
      </c>
      <c r="C1343" s="7" t="str">
        <v>趣点购浦发</v>
      </c>
      <c r="D1343" s="8">
        <v>0</v>
      </c>
      <c r="E1343" s="7">
        <v>0</v>
      </c>
      <c r="F1343" s="8">
        <v>0</v>
      </c>
      <c r="G1343" s="7">
        <v>0</v>
      </c>
      <c r="H1343" s="7">
        <v>81211.819999998</v>
      </c>
      <c r="I1343" s="7">
        <v>0</v>
      </c>
      <c r="J1343" s="8">
        <v>0</v>
      </c>
      <c r="K1343" s="9" t="str">
        <v/>
      </c>
    </row>
    <row r="1344" spans="1:11">
      <c r="A1344" t="str">
        <v/>
      </c>
      <c r="B1344" s="6">
        <v>0</v>
      </c>
      <c r="C1344" s="7" t="str">
        <v>趣点购浦发</v>
      </c>
      <c r="D1344" s="8">
        <v>0</v>
      </c>
      <c r="E1344" s="7">
        <v>0</v>
      </c>
      <c r="F1344" s="8">
        <v>0</v>
      </c>
      <c r="G1344" s="7">
        <v>0</v>
      </c>
      <c r="H1344" s="7">
        <v>81211.819999998</v>
      </c>
      <c r="I1344" s="7">
        <v>0</v>
      </c>
      <c r="J1344" s="8">
        <v>0</v>
      </c>
      <c r="K1344" s="9" t="str">
        <v/>
      </c>
    </row>
    <row r="1345" spans="1:11">
      <c r="A1345" t="str">
        <v/>
      </c>
      <c r="B1345" s="6">
        <v>0</v>
      </c>
      <c r="C1345" s="7" t="str">
        <v>趣点购浦发</v>
      </c>
      <c r="D1345" s="8">
        <v>0</v>
      </c>
      <c r="E1345" s="7">
        <v>0</v>
      </c>
      <c r="F1345" s="8">
        <v>0</v>
      </c>
      <c r="G1345" s="7">
        <v>0</v>
      </c>
      <c r="H1345" s="7">
        <v>81211.819999998</v>
      </c>
      <c r="I1345" s="7">
        <v>0</v>
      </c>
      <c r="J1345" s="8">
        <v>0</v>
      </c>
      <c r="K1345" s="9" t="str">
        <v/>
      </c>
    </row>
    <row r="1346" spans="1:11">
      <c r="A1346" t="str">
        <v/>
      </c>
      <c r="B1346" s="6">
        <v>0</v>
      </c>
      <c r="C1346" s="7" t="str">
        <v>趣点购浦发</v>
      </c>
      <c r="D1346" s="8">
        <v>0</v>
      </c>
      <c r="E1346" s="7">
        <v>0</v>
      </c>
      <c r="F1346" s="8">
        <v>0</v>
      </c>
      <c r="G1346" s="7">
        <v>0</v>
      </c>
      <c r="H1346" s="7">
        <v>81211.819999998</v>
      </c>
      <c r="I1346" s="7">
        <v>0</v>
      </c>
      <c r="J1346" s="8">
        <v>0</v>
      </c>
      <c r="K1346" s="9" t="str">
        <v/>
      </c>
    </row>
    <row r="1347" spans="1:11">
      <c r="A1347" t="str">
        <v/>
      </c>
      <c r="B1347" s="6">
        <v>0</v>
      </c>
      <c r="C1347" s="7" t="str">
        <v>趣点购浦发</v>
      </c>
      <c r="D1347" s="8">
        <v>0</v>
      </c>
      <c r="E1347" s="7">
        <v>0</v>
      </c>
      <c r="F1347" s="8">
        <v>0</v>
      </c>
      <c r="G1347" s="7">
        <v>0</v>
      </c>
      <c r="H1347" s="7">
        <v>81211.819999998</v>
      </c>
      <c r="I1347" s="7">
        <v>0</v>
      </c>
      <c r="J1347" s="8">
        <v>0</v>
      </c>
      <c r="K1347" s="9" t="str">
        <v/>
      </c>
    </row>
    <row r="1348" spans="1:11">
      <c r="A1348" t="str">
        <v/>
      </c>
      <c r="B1348" s="6">
        <v>0</v>
      </c>
      <c r="C1348" s="7" t="str">
        <v>趣点购浦发</v>
      </c>
      <c r="D1348" s="8">
        <v>0</v>
      </c>
      <c r="E1348" s="7">
        <v>0</v>
      </c>
      <c r="F1348" s="8">
        <v>0</v>
      </c>
      <c r="G1348" s="7">
        <v>0</v>
      </c>
      <c r="H1348" s="7">
        <v>81211.819999998</v>
      </c>
      <c r="I1348" s="7">
        <v>0</v>
      </c>
      <c r="J1348" s="8">
        <v>0</v>
      </c>
      <c r="K1348" s="9" t="str">
        <v/>
      </c>
    </row>
    <row r="1349" spans="1:11">
      <c r="A1349" t="str">
        <v/>
      </c>
      <c r="B1349" s="6">
        <v>0</v>
      </c>
      <c r="C1349" s="7" t="str">
        <v>趣点购浦发</v>
      </c>
      <c r="D1349" s="8">
        <v>0</v>
      </c>
      <c r="E1349" s="7">
        <v>0</v>
      </c>
      <c r="F1349" s="8">
        <v>0</v>
      </c>
      <c r="G1349" s="7">
        <v>0</v>
      </c>
      <c r="H1349" s="7">
        <v>81211.819999998</v>
      </c>
      <c r="I1349" s="7">
        <v>0</v>
      </c>
      <c r="J1349" s="8">
        <v>0</v>
      </c>
      <c r="K1349" s="9" t="str">
        <v/>
      </c>
    </row>
    <row r="1350" spans="1:11">
      <c r="A1350" t="str">
        <v/>
      </c>
      <c r="B1350" s="6">
        <v>0</v>
      </c>
      <c r="C1350" s="7" t="str">
        <v>趣点购浦发</v>
      </c>
      <c r="D1350" s="8">
        <v>0</v>
      </c>
      <c r="E1350" s="7">
        <v>0</v>
      </c>
      <c r="F1350" s="8">
        <v>0</v>
      </c>
      <c r="G1350" s="7">
        <v>0</v>
      </c>
      <c r="H1350" s="7">
        <v>81211.819999998</v>
      </c>
      <c r="I1350" s="7">
        <v>0</v>
      </c>
      <c r="J1350" s="8">
        <v>0</v>
      </c>
      <c r="K1350" s="9" t="str">
        <v/>
      </c>
    </row>
    <row r="1351" spans="1:11">
      <c r="A1351" t="str">
        <v/>
      </c>
      <c r="B1351" s="6">
        <v>0</v>
      </c>
      <c r="C1351" s="7" t="str">
        <v>趣点购浦发</v>
      </c>
      <c r="D1351" s="8">
        <v>0</v>
      </c>
      <c r="E1351" s="7">
        <v>0</v>
      </c>
      <c r="F1351" s="8">
        <v>0</v>
      </c>
      <c r="G1351" s="7">
        <v>0</v>
      </c>
      <c r="H1351" s="7">
        <v>81211.819999998</v>
      </c>
      <c r="I1351" s="7">
        <v>0</v>
      </c>
      <c r="J1351" s="8">
        <v>0</v>
      </c>
      <c r="K1351" s="9" t="str">
        <v/>
      </c>
    </row>
    <row r="1352" spans="1:11">
      <c r="A1352" t="str">
        <v/>
      </c>
      <c r="B1352" s="6">
        <v>0</v>
      </c>
      <c r="C1352" s="7" t="str">
        <v>趣点购浦发</v>
      </c>
      <c r="D1352" s="8">
        <v>0</v>
      </c>
      <c r="E1352" s="7">
        <v>0</v>
      </c>
      <c r="F1352" s="8">
        <v>0</v>
      </c>
      <c r="G1352" s="7">
        <v>0</v>
      </c>
      <c r="H1352" s="7">
        <v>81211.819999998</v>
      </c>
      <c r="I1352" s="7">
        <v>0</v>
      </c>
      <c r="J1352" s="8">
        <v>0</v>
      </c>
      <c r="K1352" s="9" t="str">
        <v/>
      </c>
    </row>
    <row r="1353" spans="1:11">
      <c r="A1353" t="str">
        <v/>
      </c>
      <c r="B1353" s="6">
        <v>0</v>
      </c>
      <c r="C1353" s="7" t="str">
        <v>趣点购浦发</v>
      </c>
      <c r="D1353" s="8">
        <v>0</v>
      </c>
      <c r="E1353" s="7">
        <v>0</v>
      </c>
      <c r="F1353" s="8">
        <v>0</v>
      </c>
      <c r="G1353" s="7">
        <v>0</v>
      </c>
      <c r="H1353" s="7">
        <v>81211.819999998</v>
      </c>
      <c r="I1353" s="7">
        <v>0</v>
      </c>
      <c r="J1353" s="8">
        <v>0</v>
      </c>
      <c r="K1353" s="9" t="str">
        <v/>
      </c>
    </row>
    <row r="1354" spans="1:11">
      <c r="A1354" t="str">
        <v/>
      </c>
      <c r="B1354" s="6">
        <v>0</v>
      </c>
      <c r="C1354" s="7" t="str">
        <v>趣点购浦发</v>
      </c>
      <c r="D1354" s="8">
        <v>0</v>
      </c>
      <c r="E1354" s="7">
        <v>0</v>
      </c>
      <c r="F1354" s="8">
        <v>0</v>
      </c>
      <c r="G1354" s="7">
        <v>0</v>
      </c>
      <c r="H1354" s="7">
        <v>81211.819999998</v>
      </c>
      <c r="I1354" s="7">
        <v>0</v>
      </c>
      <c r="J1354" s="8">
        <v>0</v>
      </c>
      <c r="K1354" s="9" t="str">
        <v/>
      </c>
    </row>
    <row r="1355" spans="1:11">
      <c r="A1355" t="str">
        <v/>
      </c>
      <c r="B1355" s="6">
        <v>0</v>
      </c>
      <c r="C1355" s="7" t="str">
        <v>趣点购浦发</v>
      </c>
      <c r="D1355" s="8">
        <v>0</v>
      </c>
      <c r="E1355" s="7">
        <v>0</v>
      </c>
      <c r="F1355" s="8">
        <v>0</v>
      </c>
      <c r="G1355" s="7">
        <v>0</v>
      </c>
      <c r="H1355" s="7">
        <v>81211.819999998</v>
      </c>
      <c r="I1355" s="7">
        <v>0</v>
      </c>
      <c r="J1355" s="8">
        <v>0</v>
      </c>
      <c r="K1355" s="9" t="str">
        <v/>
      </c>
    </row>
    <row r="1356" spans="1:11">
      <c r="A1356" t="str">
        <v/>
      </c>
      <c r="B1356" s="6">
        <v>0</v>
      </c>
      <c r="C1356" s="7" t="str">
        <v>趣点购浦发</v>
      </c>
      <c r="D1356" s="8">
        <v>0</v>
      </c>
      <c r="E1356" s="7">
        <v>0</v>
      </c>
      <c r="F1356" s="8">
        <v>0</v>
      </c>
      <c r="G1356" s="7">
        <v>0</v>
      </c>
      <c r="H1356" s="7">
        <v>81211.819999998</v>
      </c>
      <c r="I1356" s="7">
        <v>0</v>
      </c>
      <c r="J1356" s="8">
        <v>0</v>
      </c>
      <c r="K1356" s="9" t="str">
        <v/>
      </c>
    </row>
    <row r="1357" spans="1:11">
      <c r="A1357" t="str">
        <v/>
      </c>
      <c r="B1357" s="6">
        <v>0</v>
      </c>
      <c r="C1357" s="7" t="str">
        <v>趣点购浦发</v>
      </c>
      <c r="D1357" s="8">
        <v>0</v>
      </c>
      <c r="E1357" s="7">
        <v>0</v>
      </c>
      <c r="F1357" s="8">
        <v>0</v>
      </c>
      <c r="G1357" s="7">
        <v>0</v>
      </c>
      <c r="H1357" s="7">
        <v>81211.819999998</v>
      </c>
      <c r="I1357" s="7">
        <v>0</v>
      </c>
      <c r="J1357" s="8">
        <v>0</v>
      </c>
      <c r="K1357" s="9" t="str">
        <v/>
      </c>
    </row>
    <row r="1358" spans="1:11">
      <c r="A1358" t="str">
        <v/>
      </c>
      <c r="B1358" s="6">
        <v>0</v>
      </c>
      <c r="C1358" s="7" t="str">
        <v>趣点购浦发</v>
      </c>
      <c r="D1358" s="8">
        <v>0</v>
      </c>
      <c r="E1358" s="7">
        <v>0</v>
      </c>
      <c r="F1358" s="8">
        <v>0</v>
      </c>
      <c r="G1358" s="7">
        <v>0</v>
      </c>
      <c r="H1358" s="7">
        <v>81211.819999998</v>
      </c>
      <c r="I1358" s="7">
        <v>0</v>
      </c>
      <c r="J1358" s="8">
        <v>0</v>
      </c>
      <c r="K1358" s="9" t="str">
        <v/>
      </c>
    </row>
    <row r="1359" spans="1:11">
      <c r="A1359" t="str">
        <v/>
      </c>
      <c r="B1359" s="6">
        <v>0</v>
      </c>
      <c r="C1359" s="7" t="str">
        <v>趣点购浦发</v>
      </c>
      <c r="D1359" s="8">
        <v>0</v>
      </c>
      <c r="E1359" s="7">
        <v>0</v>
      </c>
      <c r="F1359" s="8">
        <v>0</v>
      </c>
      <c r="G1359" s="7">
        <v>0</v>
      </c>
      <c r="H1359" s="7">
        <v>81211.819999998</v>
      </c>
      <c r="I1359" s="7">
        <v>0</v>
      </c>
      <c r="J1359" s="8">
        <v>0</v>
      </c>
      <c r="K1359" s="9" t="str">
        <v/>
      </c>
    </row>
    <row r="1360" spans="1:11">
      <c r="A1360" t="str">
        <v/>
      </c>
      <c r="B1360" s="6">
        <v>0</v>
      </c>
      <c r="C1360" s="7" t="str">
        <v>趣点购浦发</v>
      </c>
      <c r="D1360" s="8">
        <v>0</v>
      </c>
      <c r="E1360" s="7">
        <v>0</v>
      </c>
      <c r="F1360" s="8">
        <v>0</v>
      </c>
      <c r="G1360" s="7">
        <v>0</v>
      </c>
      <c r="H1360" s="7">
        <v>81211.819999998</v>
      </c>
      <c r="I1360" s="7">
        <v>0</v>
      </c>
      <c r="J1360" s="8">
        <v>0</v>
      </c>
      <c r="K1360" s="9" t="str">
        <v/>
      </c>
    </row>
    <row r="1361" spans="1:11">
      <c r="A1361" t="str">
        <v/>
      </c>
      <c r="B1361" s="6">
        <v>0</v>
      </c>
      <c r="C1361" s="7" t="str">
        <v>趣点购浦发</v>
      </c>
      <c r="D1361" s="8">
        <v>0</v>
      </c>
      <c r="E1361" s="7">
        <v>0</v>
      </c>
      <c r="F1361" s="8">
        <v>0</v>
      </c>
      <c r="G1361" s="7">
        <v>0</v>
      </c>
      <c r="H1361" s="7">
        <v>81211.819999998</v>
      </c>
      <c r="I1361" s="7">
        <v>0</v>
      </c>
      <c r="J1361" s="8">
        <v>0</v>
      </c>
      <c r="K1361" s="9" t="str">
        <v/>
      </c>
    </row>
    <row r="1362" spans="1:11">
      <c r="A1362" t="str">
        <v/>
      </c>
      <c r="B1362" s="6">
        <v>0</v>
      </c>
      <c r="C1362" s="7" t="str">
        <v>趣点购浦发</v>
      </c>
      <c r="D1362" s="8">
        <v>0</v>
      </c>
      <c r="E1362" s="7">
        <v>0</v>
      </c>
      <c r="F1362" s="8">
        <v>0</v>
      </c>
      <c r="G1362" s="7">
        <v>0</v>
      </c>
      <c r="H1362" s="7">
        <v>81211.819999998</v>
      </c>
      <c r="I1362" s="7">
        <v>0</v>
      </c>
      <c r="J1362" s="8">
        <v>0</v>
      </c>
      <c r="K1362" s="9" t="str">
        <v/>
      </c>
    </row>
    <row r="1363" spans="1:11">
      <c r="A1363" t="str">
        <v/>
      </c>
      <c r="B1363" s="6">
        <v>0</v>
      </c>
      <c r="C1363" s="7" t="str">
        <v>趣点购浦发</v>
      </c>
      <c r="D1363" s="8">
        <v>0</v>
      </c>
      <c r="E1363" s="7">
        <v>0</v>
      </c>
      <c r="F1363" s="8">
        <v>0</v>
      </c>
      <c r="G1363" s="7">
        <v>0</v>
      </c>
      <c r="H1363" s="7">
        <v>81211.819999998</v>
      </c>
      <c r="I1363" s="7">
        <v>0</v>
      </c>
      <c r="J1363" s="8">
        <v>0</v>
      </c>
      <c r="K1363" s="9" t="str">
        <v/>
      </c>
    </row>
    <row r="1364" spans="1:11">
      <c r="A1364" t="str">
        <v/>
      </c>
      <c r="B1364" s="6">
        <v>0</v>
      </c>
      <c r="C1364" s="7" t="str">
        <v>趣点购浦发</v>
      </c>
      <c r="D1364" s="8">
        <v>0</v>
      </c>
      <c r="E1364" s="7">
        <v>0</v>
      </c>
      <c r="F1364" s="8">
        <v>0</v>
      </c>
      <c r="G1364" s="7">
        <v>0</v>
      </c>
      <c r="H1364" s="7">
        <v>81211.819999998</v>
      </c>
      <c r="I1364" s="7">
        <v>0</v>
      </c>
      <c r="J1364" s="8">
        <v>0</v>
      </c>
      <c r="K1364" s="9" t="str">
        <v/>
      </c>
    </row>
    <row r="1365" spans="1:11">
      <c r="A1365" t="str">
        <v/>
      </c>
      <c r="B1365" s="6">
        <v>0</v>
      </c>
      <c r="C1365" s="7" t="str">
        <v>趣点购浦发</v>
      </c>
      <c r="D1365" s="8">
        <v>0</v>
      </c>
      <c r="E1365" s="7">
        <v>0</v>
      </c>
      <c r="F1365" s="8">
        <v>0</v>
      </c>
      <c r="G1365" s="7">
        <v>0</v>
      </c>
      <c r="H1365" s="7">
        <v>81211.819999998</v>
      </c>
      <c r="I1365" s="7">
        <v>0</v>
      </c>
      <c r="J1365" s="8">
        <v>0</v>
      </c>
      <c r="K1365" s="9" t="str">
        <v/>
      </c>
    </row>
    <row r="1366" spans="1:11">
      <c r="A1366" t="str">
        <v/>
      </c>
      <c r="B1366" s="6">
        <v>0</v>
      </c>
      <c r="C1366" s="7" t="str">
        <v>趣点购浦发</v>
      </c>
      <c r="D1366" s="8">
        <v>0</v>
      </c>
      <c r="E1366" s="7">
        <v>0</v>
      </c>
      <c r="F1366" s="8">
        <v>0</v>
      </c>
      <c r="G1366" s="7">
        <v>0</v>
      </c>
      <c r="H1366" s="7">
        <v>81211.819999998</v>
      </c>
      <c r="I1366" s="7">
        <v>0</v>
      </c>
      <c r="J1366" s="8">
        <v>0</v>
      </c>
      <c r="K1366" s="9" t="str">
        <v/>
      </c>
    </row>
    <row r="1367" spans="1:11">
      <c r="A1367" t="str">
        <v/>
      </c>
      <c r="B1367" s="6">
        <v>0</v>
      </c>
      <c r="C1367" s="7" t="str">
        <v>趣点购浦发</v>
      </c>
      <c r="D1367" s="8">
        <v>0</v>
      </c>
      <c r="E1367" s="7">
        <v>0</v>
      </c>
      <c r="F1367" s="8">
        <v>0</v>
      </c>
      <c r="G1367" s="7">
        <v>0</v>
      </c>
      <c r="H1367" s="7">
        <v>81211.819999998</v>
      </c>
      <c r="I1367" s="7">
        <v>0</v>
      </c>
      <c r="J1367" s="8">
        <v>0</v>
      </c>
      <c r="K1367" s="9" t="str">
        <v/>
      </c>
    </row>
    <row r="1368" spans="1:11">
      <c r="A1368" t="str">
        <v/>
      </c>
      <c r="B1368" s="6">
        <v>0</v>
      </c>
      <c r="C1368" s="7" t="str">
        <v>趣点购浦发</v>
      </c>
      <c r="D1368" s="8">
        <v>0</v>
      </c>
      <c r="E1368" s="7">
        <v>0</v>
      </c>
      <c r="F1368" s="8">
        <v>0</v>
      </c>
      <c r="G1368" s="7">
        <v>0</v>
      </c>
      <c r="H1368" s="7">
        <v>81211.819999998</v>
      </c>
      <c r="I1368" s="7">
        <v>0</v>
      </c>
      <c r="J1368" s="8">
        <v>0</v>
      </c>
      <c r="K1368" s="9" t="str">
        <v/>
      </c>
    </row>
    <row r="1369" spans="1:11">
      <c r="A1369" t="str">
        <v/>
      </c>
      <c r="B1369" s="6">
        <v>0</v>
      </c>
      <c r="C1369" s="7" t="str">
        <v>趣点购浦发</v>
      </c>
      <c r="D1369" s="8">
        <v>0</v>
      </c>
      <c r="E1369" s="7">
        <v>0</v>
      </c>
      <c r="F1369" s="8">
        <v>0</v>
      </c>
      <c r="G1369" s="7">
        <v>0</v>
      </c>
      <c r="H1369" s="7">
        <v>81211.819999998</v>
      </c>
      <c r="I1369" s="7">
        <v>0</v>
      </c>
      <c r="J1369" s="8">
        <v>0</v>
      </c>
      <c r="K1369" s="9" t="str">
        <v/>
      </c>
    </row>
    <row r="1370" spans="1:11">
      <c r="A1370" t="str">
        <v/>
      </c>
      <c r="B1370" s="6">
        <v>0</v>
      </c>
      <c r="C1370" s="7" t="str">
        <v>趣点购浦发</v>
      </c>
      <c r="D1370" s="8">
        <v>0</v>
      </c>
      <c r="E1370" s="7">
        <v>0</v>
      </c>
      <c r="F1370" s="8">
        <v>0</v>
      </c>
      <c r="G1370" s="7">
        <v>0</v>
      </c>
      <c r="H1370" s="7">
        <v>81211.819999998</v>
      </c>
      <c r="I1370" s="7">
        <v>0</v>
      </c>
      <c r="J1370" s="8">
        <v>0</v>
      </c>
      <c r="K1370" s="9" t="str">
        <v/>
      </c>
    </row>
    <row r="1371" spans="1:11">
      <c r="A1371" t="str">
        <v/>
      </c>
      <c r="B1371" s="6">
        <v>0</v>
      </c>
      <c r="C1371" s="7" t="str">
        <v>趣点购浦发</v>
      </c>
      <c r="D1371" s="8">
        <v>0</v>
      </c>
      <c r="E1371" s="7">
        <v>0</v>
      </c>
      <c r="F1371" s="8">
        <v>0</v>
      </c>
      <c r="G1371" s="7">
        <v>0</v>
      </c>
      <c r="H1371" s="7">
        <v>81211.819999998</v>
      </c>
      <c r="I1371" s="7">
        <v>0</v>
      </c>
      <c r="J1371" s="8">
        <v>0</v>
      </c>
      <c r="K1371" s="9" t="str">
        <v/>
      </c>
    </row>
    <row r="1372" spans="1:11">
      <c r="A1372" t="str">
        <v/>
      </c>
      <c r="B1372" s="6">
        <v>0</v>
      </c>
      <c r="C1372" s="7" t="str">
        <v>趣点购浦发</v>
      </c>
      <c r="D1372" s="8">
        <v>0</v>
      </c>
      <c r="E1372" s="7">
        <v>0</v>
      </c>
      <c r="F1372" s="8">
        <v>0</v>
      </c>
      <c r="G1372" s="7">
        <v>0</v>
      </c>
      <c r="H1372" s="7">
        <v>81211.819999998</v>
      </c>
      <c r="I1372" s="7">
        <v>0</v>
      </c>
      <c r="J1372" s="8">
        <v>0</v>
      </c>
      <c r="K1372" s="9" t="str">
        <v/>
      </c>
    </row>
    <row r="1373" spans="1:11">
      <c r="A1373" t="str">
        <v/>
      </c>
      <c r="B1373" s="6">
        <v>0</v>
      </c>
      <c r="C1373" s="7" t="str">
        <v>趣点购浦发</v>
      </c>
      <c r="D1373" s="8">
        <v>0</v>
      </c>
      <c r="E1373" s="7">
        <v>0</v>
      </c>
      <c r="F1373" s="8">
        <v>0</v>
      </c>
      <c r="G1373" s="7">
        <v>0</v>
      </c>
      <c r="H1373" s="7">
        <v>81211.819999998</v>
      </c>
      <c r="I1373" s="7">
        <v>0</v>
      </c>
      <c r="J1373" s="8">
        <v>0</v>
      </c>
      <c r="K1373" s="9" t="str">
        <v/>
      </c>
    </row>
    <row r="1374" spans="1:11">
      <c r="A1374" t="str">
        <v/>
      </c>
      <c r="B1374" s="6">
        <v>0</v>
      </c>
      <c r="C1374" s="7" t="str">
        <v>趣点购浦发</v>
      </c>
      <c r="D1374" s="8">
        <v>0</v>
      </c>
      <c r="E1374" s="7">
        <v>0</v>
      </c>
      <c r="F1374" s="8">
        <v>0</v>
      </c>
      <c r="G1374" s="7">
        <v>0</v>
      </c>
      <c r="H1374" s="7">
        <v>81211.819999998</v>
      </c>
      <c r="I1374" s="7">
        <v>0</v>
      </c>
      <c r="J1374" s="8">
        <v>0</v>
      </c>
      <c r="K1374" s="9" t="str">
        <v/>
      </c>
    </row>
    <row r="1375" spans="1:11">
      <c r="A1375" t="str">
        <v/>
      </c>
      <c r="B1375" s="6">
        <v>0</v>
      </c>
      <c r="C1375" s="7" t="str">
        <v>趣点购浦发</v>
      </c>
      <c r="D1375" s="8">
        <v>0</v>
      </c>
      <c r="E1375" s="7">
        <v>0</v>
      </c>
      <c r="F1375" s="8">
        <v>0</v>
      </c>
      <c r="G1375" s="7">
        <v>0</v>
      </c>
      <c r="H1375" s="7">
        <v>81211.819999998</v>
      </c>
      <c r="I1375" s="7">
        <v>0</v>
      </c>
      <c r="J1375" s="8">
        <v>0</v>
      </c>
      <c r="K1375" s="9" t="str">
        <v/>
      </c>
    </row>
    <row r="1376" spans="1:11">
      <c r="A1376" t="str">
        <v/>
      </c>
      <c r="B1376" s="6">
        <v>0</v>
      </c>
      <c r="C1376" s="7" t="str">
        <v>趣点购浦发</v>
      </c>
      <c r="D1376" s="8">
        <v>0</v>
      </c>
      <c r="E1376" s="7">
        <v>0</v>
      </c>
      <c r="F1376" s="8">
        <v>0</v>
      </c>
      <c r="G1376" s="7">
        <v>0</v>
      </c>
      <c r="H1376" s="7">
        <v>81211.819999998</v>
      </c>
      <c r="I1376" s="7">
        <v>0</v>
      </c>
      <c r="J1376" s="8">
        <v>0</v>
      </c>
      <c r="K1376" s="9" t="str">
        <v/>
      </c>
    </row>
    <row r="1377" spans="1:11">
      <c r="A1377" t="str">
        <v/>
      </c>
      <c r="B1377" s="6">
        <v>0</v>
      </c>
      <c r="C1377" s="7" t="str">
        <v>趣点购浦发</v>
      </c>
      <c r="D1377" s="8">
        <v>0</v>
      </c>
      <c r="E1377" s="7">
        <v>0</v>
      </c>
      <c r="F1377" s="8">
        <v>0</v>
      </c>
      <c r="G1377" s="7">
        <v>0</v>
      </c>
      <c r="H1377" s="7">
        <v>81211.819999998</v>
      </c>
      <c r="I1377" s="7">
        <v>0</v>
      </c>
      <c r="J1377" s="8">
        <v>0</v>
      </c>
      <c r="K1377" s="9" t="str">
        <v/>
      </c>
    </row>
    <row r="1378" spans="1:11">
      <c r="A1378" t="str">
        <v/>
      </c>
      <c r="B1378" s="6">
        <v>0</v>
      </c>
      <c r="C1378" s="7" t="str">
        <v>趣点购浦发</v>
      </c>
      <c r="D1378" s="8">
        <v>0</v>
      </c>
      <c r="E1378" s="7">
        <v>0</v>
      </c>
      <c r="F1378" s="8">
        <v>0</v>
      </c>
      <c r="G1378" s="7">
        <v>0</v>
      </c>
      <c r="H1378" s="7">
        <v>81211.819999998</v>
      </c>
      <c r="I1378" s="7">
        <v>0</v>
      </c>
      <c r="J1378" s="8">
        <v>0</v>
      </c>
      <c r="K1378" s="9" t="str">
        <v/>
      </c>
    </row>
    <row r="1379" spans="1:11">
      <c r="A1379" t="str">
        <v/>
      </c>
      <c r="B1379" s="6">
        <v>0</v>
      </c>
      <c r="C1379" s="7" t="str">
        <v>趣点购浦发</v>
      </c>
      <c r="D1379" s="8">
        <v>0</v>
      </c>
      <c r="E1379" s="7">
        <v>0</v>
      </c>
      <c r="F1379" s="8">
        <v>0</v>
      </c>
      <c r="G1379" s="7">
        <v>0</v>
      </c>
      <c r="H1379" s="7">
        <v>81211.819999998</v>
      </c>
      <c r="I1379" s="7">
        <v>0</v>
      </c>
      <c r="J1379" s="8">
        <v>0</v>
      </c>
      <c r="K1379" s="9" t="str">
        <v/>
      </c>
    </row>
    <row r="1380" spans="1:11">
      <c r="A1380" t="str">
        <v/>
      </c>
      <c r="B1380" s="6">
        <v>0</v>
      </c>
      <c r="C1380" s="7" t="str">
        <v>趣点购浦发</v>
      </c>
      <c r="D1380" s="8">
        <v>0</v>
      </c>
      <c r="E1380" s="7">
        <v>0</v>
      </c>
      <c r="F1380" s="8">
        <v>0</v>
      </c>
      <c r="G1380" s="7">
        <v>0</v>
      </c>
      <c r="H1380" s="7">
        <v>81211.819999998</v>
      </c>
      <c r="I1380" s="7">
        <v>0</v>
      </c>
      <c r="J1380" s="8">
        <v>0</v>
      </c>
      <c r="K1380" s="9" t="str">
        <v/>
      </c>
    </row>
    <row r="1381" spans="1:11">
      <c r="A1381" t="str">
        <v/>
      </c>
      <c r="B1381" s="6">
        <v>0</v>
      </c>
      <c r="C1381" s="7" t="str">
        <v>趣点购浦发</v>
      </c>
      <c r="D1381" s="8">
        <v>0</v>
      </c>
      <c r="E1381" s="7">
        <v>0</v>
      </c>
      <c r="F1381" s="8">
        <v>0</v>
      </c>
      <c r="G1381" s="7">
        <v>0</v>
      </c>
      <c r="H1381" s="7">
        <v>81211.819999998</v>
      </c>
      <c r="I1381" s="7">
        <v>0</v>
      </c>
      <c r="J1381" s="8">
        <v>0</v>
      </c>
      <c r="K1381" s="9" t="str">
        <v/>
      </c>
    </row>
    <row r="1382" spans="1:11">
      <c r="A1382" t="str">
        <v/>
      </c>
      <c r="B1382" s="6">
        <v>0</v>
      </c>
      <c r="C1382" s="7" t="str">
        <v>趣点购浦发</v>
      </c>
      <c r="D1382" s="8">
        <v>0</v>
      </c>
      <c r="E1382" s="7">
        <v>0</v>
      </c>
      <c r="F1382" s="8">
        <v>0</v>
      </c>
      <c r="G1382" s="7">
        <v>0</v>
      </c>
      <c r="H1382" s="7">
        <v>81211.819999998</v>
      </c>
      <c r="I1382" s="7">
        <v>0</v>
      </c>
      <c r="J1382" s="8">
        <v>0</v>
      </c>
      <c r="K1382" s="9" t="str">
        <v/>
      </c>
    </row>
    <row r="1383" spans="1:11">
      <c r="A1383" t="str">
        <v/>
      </c>
      <c r="B1383" s="6">
        <v>0</v>
      </c>
      <c r="C1383" s="7" t="str">
        <v>趣点购浦发</v>
      </c>
      <c r="D1383" s="8">
        <v>0</v>
      </c>
      <c r="E1383" s="7">
        <v>0</v>
      </c>
      <c r="F1383" s="8">
        <v>0</v>
      </c>
      <c r="G1383" s="7">
        <v>0</v>
      </c>
      <c r="H1383" s="7">
        <v>81211.819999998</v>
      </c>
      <c r="I1383" s="7">
        <v>0</v>
      </c>
      <c r="J1383" s="8">
        <v>0</v>
      </c>
      <c r="K1383" s="9" t="str">
        <v/>
      </c>
    </row>
    <row r="1384" spans="1:11">
      <c r="A1384" t="str">
        <v/>
      </c>
      <c r="B1384" s="6">
        <v>0</v>
      </c>
      <c r="C1384" s="7" t="str">
        <v>趣点购浦发</v>
      </c>
      <c r="D1384" s="8">
        <v>0</v>
      </c>
      <c r="E1384" s="7">
        <v>0</v>
      </c>
      <c r="F1384" s="8">
        <v>0</v>
      </c>
      <c r="G1384" s="7">
        <v>0</v>
      </c>
      <c r="H1384" s="7">
        <v>81211.819999998</v>
      </c>
      <c r="I1384" s="7">
        <v>0</v>
      </c>
      <c r="J1384" s="8">
        <v>0</v>
      </c>
      <c r="K1384" s="9" t="str">
        <v/>
      </c>
    </row>
    <row r="1385" spans="1:11">
      <c r="A1385" t="str">
        <v/>
      </c>
      <c r="B1385" s="6">
        <v>0</v>
      </c>
      <c r="C1385" s="7" t="str">
        <v>趣点购浦发</v>
      </c>
      <c r="D1385" s="8">
        <v>0</v>
      </c>
      <c r="E1385" s="7">
        <v>0</v>
      </c>
      <c r="F1385" s="8">
        <v>0</v>
      </c>
      <c r="G1385" s="7">
        <v>0</v>
      </c>
      <c r="H1385" s="7">
        <v>81211.819999998</v>
      </c>
      <c r="I1385" s="7">
        <v>0</v>
      </c>
      <c r="J1385" s="8">
        <v>0</v>
      </c>
      <c r="K1385" s="9" t="str">
        <v/>
      </c>
    </row>
    <row r="1386" spans="1:11">
      <c r="A1386" t="str">
        <v/>
      </c>
      <c r="B1386" s="6">
        <v>0</v>
      </c>
      <c r="C1386" s="7" t="str">
        <v>趣点购浦发</v>
      </c>
      <c r="D1386" s="8">
        <v>0</v>
      </c>
      <c r="E1386" s="7">
        <v>0</v>
      </c>
      <c r="F1386" s="8">
        <v>0</v>
      </c>
      <c r="G1386" s="7">
        <v>0</v>
      </c>
      <c r="H1386" s="7">
        <v>81211.819999998</v>
      </c>
      <c r="I1386" s="7">
        <v>0</v>
      </c>
      <c r="J1386" s="8">
        <v>0</v>
      </c>
      <c r="K1386" s="9" t="str">
        <v/>
      </c>
    </row>
    <row r="1387" spans="1:11">
      <c r="A1387" t="str">
        <v/>
      </c>
      <c r="B1387" s="6">
        <v>0</v>
      </c>
      <c r="C1387" s="7" t="str">
        <v>趣点购浦发</v>
      </c>
      <c r="D1387" s="8">
        <v>0</v>
      </c>
      <c r="E1387" s="7">
        <v>0</v>
      </c>
      <c r="F1387" s="8">
        <v>0</v>
      </c>
      <c r="G1387" s="7">
        <v>0</v>
      </c>
      <c r="H1387" s="7">
        <v>81211.819999998</v>
      </c>
      <c r="I1387" s="7">
        <v>0</v>
      </c>
      <c r="J1387" s="8">
        <v>0</v>
      </c>
      <c r="K1387" s="9" t="str">
        <v/>
      </c>
    </row>
    <row r="1388" spans="1:11">
      <c r="A1388" t="str">
        <v/>
      </c>
      <c r="B1388" s="6">
        <v>0</v>
      </c>
      <c r="C1388" s="7" t="str">
        <v>趣点购浦发</v>
      </c>
      <c r="D1388" s="8">
        <v>0</v>
      </c>
      <c r="E1388" s="7">
        <v>0</v>
      </c>
      <c r="F1388" s="8">
        <v>0</v>
      </c>
      <c r="G1388" s="7">
        <v>0</v>
      </c>
      <c r="H1388" s="7">
        <v>81211.819999998</v>
      </c>
      <c r="I1388" s="7">
        <v>0</v>
      </c>
      <c r="J1388" s="8">
        <v>0</v>
      </c>
      <c r="K1388" s="9" t="str">
        <v/>
      </c>
    </row>
    <row r="1389" spans="1:11">
      <c r="A1389" t="str">
        <v/>
      </c>
      <c r="B1389" s="6">
        <v>0</v>
      </c>
      <c r="C1389" s="7" t="str">
        <v>趣点购浦发</v>
      </c>
      <c r="D1389" s="8">
        <v>0</v>
      </c>
      <c r="E1389" s="7">
        <v>0</v>
      </c>
      <c r="F1389" s="8">
        <v>0</v>
      </c>
      <c r="G1389" s="7">
        <v>0</v>
      </c>
      <c r="H1389" s="7">
        <v>81211.819999998</v>
      </c>
      <c r="I1389" s="7">
        <v>0</v>
      </c>
      <c r="J1389" s="8">
        <v>0</v>
      </c>
      <c r="K1389" s="9" t="str">
        <v/>
      </c>
    </row>
    <row r="1390" spans="1:11">
      <c r="A1390" t="str">
        <v/>
      </c>
      <c r="B1390" s="6">
        <v>0</v>
      </c>
      <c r="C1390" s="7" t="str">
        <v>趣点购浦发</v>
      </c>
      <c r="D1390" s="8">
        <v>0</v>
      </c>
      <c r="E1390" s="7">
        <v>0</v>
      </c>
      <c r="F1390" s="8">
        <v>0</v>
      </c>
      <c r="G1390" s="7">
        <v>0</v>
      </c>
      <c r="H1390" s="7">
        <v>81211.819999998</v>
      </c>
      <c r="I1390" s="7">
        <v>0</v>
      </c>
      <c r="J1390" s="8">
        <v>0</v>
      </c>
      <c r="K1390" s="9" t="str">
        <v/>
      </c>
    </row>
    <row r="1391" spans="1:11">
      <c r="A1391" t="str">
        <v/>
      </c>
      <c r="B1391" s="6">
        <v>0</v>
      </c>
      <c r="C1391" s="7" t="str">
        <v>趣点购浦发</v>
      </c>
      <c r="D1391" s="8">
        <v>0</v>
      </c>
      <c r="E1391" s="7">
        <v>0</v>
      </c>
      <c r="F1391" s="8">
        <v>0</v>
      </c>
      <c r="G1391" s="7">
        <v>0</v>
      </c>
      <c r="H1391" s="7">
        <v>81211.819999998</v>
      </c>
      <c r="I1391" s="7">
        <v>0</v>
      </c>
      <c r="J1391" s="8">
        <v>0</v>
      </c>
      <c r="K1391" s="9" t="str">
        <v/>
      </c>
    </row>
    <row r="1392" spans="1:11">
      <c r="A1392" t="str">
        <v/>
      </c>
      <c r="B1392" s="6">
        <v>0</v>
      </c>
      <c r="C1392" s="7" t="str">
        <v>趣点购浦发</v>
      </c>
      <c r="D1392" s="8">
        <v>0</v>
      </c>
      <c r="E1392" s="7">
        <v>0</v>
      </c>
      <c r="F1392" s="8">
        <v>0</v>
      </c>
      <c r="G1392" s="7">
        <v>0</v>
      </c>
      <c r="H1392" s="7">
        <v>81211.819999998</v>
      </c>
      <c r="I1392" s="7">
        <v>0</v>
      </c>
      <c r="J1392" s="8">
        <v>0</v>
      </c>
      <c r="K1392" s="9" t="str">
        <v/>
      </c>
    </row>
    <row r="1393" spans="1:11">
      <c r="A1393" t="str">
        <v/>
      </c>
      <c r="B1393" s="6">
        <v>0</v>
      </c>
      <c r="C1393" s="7" t="str">
        <v>趣点购浦发</v>
      </c>
      <c r="D1393" s="8">
        <v>0</v>
      </c>
      <c r="E1393" s="7">
        <v>0</v>
      </c>
      <c r="F1393" s="8">
        <v>0</v>
      </c>
      <c r="G1393" s="7">
        <v>0</v>
      </c>
      <c r="H1393" s="7">
        <v>81211.819999998</v>
      </c>
      <c r="I1393" s="7">
        <v>0</v>
      </c>
      <c r="J1393" s="8">
        <v>0</v>
      </c>
      <c r="K1393" s="9" t="str">
        <v/>
      </c>
    </row>
    <row r="1394" spans="1:11">
      <c r="A1394" t="str">
        <v/>
      </c>
      <c r="B1394" s="6">
        <v>0</v>
      </c>
      <c r="C1394" s="7" t="str">
        <v>趣点购浦发</v>
      </c>
      <c r="D1394" s="8">
        <v>0</v>
      </c>
      <c r="E1394" s="7">
        <v>0</v>
      </c>
      <c r="F1394" s="8">
        <v>0</v>
      </c>
      <c r="G1394" s="7">
        <v>0</v>
      </c>
      <c r="H1394" s="7">
        <v>81211.819999998</v>
      </c>
      <c r="I1394" s="7">
        <v>0</v>
      </c>
      <c r="J1394" s="8">
        <v>0</v>
      </c>
      <c r="K1394" s="9" t="str">
        <v/>
      </c>
    </row>
    <row r="1395" spans="1:11">
      <c r="A1395" t="str">
        <v/>
      </c>
      <c r="B1395" s="6">
        <v>0</v>
      </c>
      <c r="C1395" s="7" t="str">
        <v>趣点购浦发</v>
      </c>
      <c r="D1395" s="8">
        <v>0</v>
      </c>
      <c r="E1395" s="7">
        <v>0</v>
      </c>
      <c r="F1395" s="8">
        <v>0</v>
      </c>
      <c r="G1395" s="7">
        <v>0</v>
      </c>
      <c r="H1395" s="7">
        <v>81211.819999998</v>
      </c>
      <c r="I1395" s="7">
        <v>0</v>
      </c>
      <c r="J1395" s="8">
        <v>0</v>
      </c>
      <c r="K1395" s="9" t="str">
        <v/>
      </c>
    </row>
    <row r="1396" spans="1:11">
      <c r="A1396" t="str">
        <v/>
      </c>
      <c r="B1396" s="6">
        <v>0</v>
      </c>
      <c r="C1396" s="7" t="str">
        <v>趣点购浦发</v>
      </c>
      <c r="D1396" s="8">
        <v>0</v>
      </c>
      <c r="E1396" s="7">
        <v>0</v>
      </c>
      <c r="F1396" s="8">
        <v>0</v>
      </c>
      <c r="G1396" s="7">
        <v>0</v>
      </c>
      <c r="H1396" s="7">
        <v>81211.819999998</v>
      </c>
      <c r="I1396" s="7">
        <v>0</v>
      </c>
      <c r="J1396" s="8">
        <v>0</v>
      </c>
      <c r="K1396" s="9" t="str">
        <v/>
      </c>
    </row>
    <row r="1397" spans="1:11">
      <c r="A1397" t="str">
        <v/>
      </c>
      <c r="B1397" s="6">
        <v>0</v>
      </c>
      <c r="C1397" s="7" t="str">
        <v>趣点购浦发</v>
      </c>
      <c r="D1397" s="8">
        <v>0</v>
      </c>
      <c r="E1397" s="7">
        <v>0</v>
      </c>
      <c r="F1397" s="8">
        <v>0</v>
      </c>
      <c r="G1397" s="7">
        <v>0</v>
      </c>
      <c r="H1397" s="7">
        <v>81211.819999998</v>
      </c>
      <c r="I1397" s="7">
        <v>0</v>
      </c>
      <c r="J1397" s="8">
        <v>0</v>
      </c>
      <c r="K1397" s="9" t="str">
        <v/>
      </c>
    </row>
    <row r="1398" spans="1:11">
      <c r="A1398" t="str">
        <v/>
      </c>
      <c r="B1398" s="6">
        <v>0</v>
      </c>
      <c r="C1398" s="7" t="str">
        <v>趣点购浦发</v>
      </c>
      <c r="D1398" s="8">
        <v>0</v>
      </c>
      <c r="E1398" s="7">
        <v>0</v>
      </c>
      <c r="F1398" s="8">
        <v>0</v>
      </c>
      <c r="G1398" s="7">
        <v>0</v>
      </c>
      <c r="H1398" s="7">
        <v>81211.819999998</v>
      </c>
      <c r="I1398" s="7">
        <v>0</v>
      </c>
      <c r="J1398" s="8">
        <v>0</v>
      </c>
      <c r="K1398" s="9" t="str">
        <v/>
      </c>
    </row>
    <row r="1399" spans="1:11">
      <c r="A1399" t="str">
        <v/>
      </c>
      <c r="B1399" s="6">
        <v>0</v>
      </c>
      <c r="C1399" s="7" t="str">
        <v>趣点购浦发</v>
      </c>
      <c r="D1399" s="8">
        <v>0</v>
      </c>
      <c r="E1399" s="7">
        <v>0</v>
      </c>
      <c r="F1399" s="8">
        <v>0</v>
      </c>
      <c r="G1399" s="7">
        <v>0</v>
      </c>
      <c r="H1399" s="7">
        <v>81211.819999998</v>
      </c>
      <c r="I1399" s="7">
        <v>0</v>
      </c>
      <c r="J1399" s="8">
        <v>0</v>
      </c>
      <c r="K1399" s="9" t="str">
        <v/>
      </c>
    </row>
    <row r="1400" spans="1:11">
      <c r="A1400" t="str">
        <v/>
      </c>
      <c r="B1400" s="6">
        <v>0</v>
      </c>
      <c r="C1400" s="7" t="str">
        <v>趣点购浦发</v>
      </c>
      <c r="D1400" s="8">
        <v>0</v>
      </c>
      <c r="E1400" s="7">
        <v>0</v>
      </c>
      <c r="F1400" s="8">
        <v>0</v>
      </c>
      <c r="G1400" s="7">
        <v>0</v>
      </c>
      <c r="H1400" s="7">
        <v>81211.819999998</v>
      </c>
      <c r="I1400" s="7">
        <v>0</v>
      </c>
      <c r="J1400" s="8">
        <v>0</v>
      </c>
      <c r="K1400" s="9" t="str">
        <v/>
      </c>
    </row>
    <row r="1401" spans="1:11">
      <c r="A1401" t="str">
        <v/>
      </c>
      <c r="B1401" s="6">
        <v>0</v>
      </c>
      <c r="C1401" s="7" t="str">
        <v>趣点购浦发</v>
      </c>
      <c r="D1401" s="8">
        <v>0</v>
      </c>
      <c r="E1401" s="7">
        <v>0</v>
      </c>
      <c r="F1401" s="8">
        <v>0</v>
      </c>
      <c r="G1401" s="7">
        <v>0</v>
      </c>
      <c r="H1401" s="7">
        <v>81211.819999998</v>
      </c>
      <c r="I1401" s="7">
        <v>0</v>
      </c>
      <c r="J1401" s="8">
        <v>0</v>
      </c>
      <c r="K1401" s="9" t="str">
        <v/>
      </c>
    </row>
    <row r="1402" spans="1:11">
      <c r="A1402" t="str">
        <v/>
      </c>
      <c r="B1402" s="6">
        <v>0</v>
      </c>
      <c r="C1402" s="7" t="str">
        <v>趣点购浦发</v>
      </c>
      <c r="D1402" s="8">
        <v>0</v>
      </c>
      <c r="E1402" s="7">
        <v>0</v>
      </c>
      <c r="F1402" s="8">
        <v>0</v>
      </c>
      <c r="G1402" s="7">
        <v>0</v>
      </c>
      <c r="H1402" s="7">
        <v>81211.819999998</v>
      </c>
      <c r="I1402" s="7">
        <v>0</v>
      </c>
      <c r="J1402" s="8">
        <v>0</v>
      </c>
      <c r="K1402" s="9" t="str">
        <v/>
      </c>
    </row>
    <row r="1403" spans="1:11">
      <c r="A1403" t="str">
        <v/>
      </c>
      <c r="B1403" s="6">
        <v>0</v>
      </c>
      <c r="C1403" s="7" t="str">
        <v>趣点购浦发</v>
      </c>
      <c r="D1403" s="8">
        <v>0</v>
      </c>
      <c r="E1403" s="7">
        <v>0</v>
      </c>
      <c r="F1403" s="8">
        <v>0</v>
      </c>
      <c r="G1403" s="7">
        <v>0</v>
      </c>
      <c r="H1403" s="7">
        <v>81211.819999998</v>
      </c>
      <c r="I1403" s="7">
        <v>0</v>
      </c>
      <c r="J1403" s="8">
        <v>0</v>
      </c>
      <c r="K1403" s="9" t="str">
        <v/>
      </c>
    </row>
    <row r="1404" spans="1:11">
      <c r="A1404" t="str">
        <v/>
      </c>
      <c r="B1404" s="6">
        <v>0</v>
      </c>
      <c r="C1404" s="7" t="str">
        <v>趣点购浦发</v>
      </c>
      <c r="D1404" s="8">
        <v>0</v>
      </c>
      <c r="E1404" s="7">
        <v>0</v>
      </c>
      <c r="F1404" s="8">
        <v>0</v>
      </c>
      <c r="G1404" s="7">
        <v>0</v>
      </c>
      <c r="H1404" s="7">
        <v>81211.819999998</v>
      </c>
      <c r="I1404" s="7">
        <v>0</v>
      </c>
      <c r="J1404" s="8">
        <v>0</v>
      </c>
      <c r="K1404" s="9" t="str">
        <v/>
      </c>
    </row>
    <row r="1405" spans="1:11">
      <c r="A1405" t="str">
        <v/>
      </c>
      <c r="B1405" s="6">
        <v>0</v>
      </c>
      <c r="C1405" s="7" t="str">
        <v>趣点购浦发</v>
      </c>
      <c r="D1405" s="8">
        <v>0</v>
      </c>
      <c r="E1405" s="7">
        <v>0</v>
      </c>
      <c r="F1405" s="8">
        <v>0</v>
      </c>
      <c r="G1405" s="7">
        <v>0</v>
      </c>
      <c r="H1405" s="7">
        <v>81211.819999998</v>
      </c>
      <c r="I1405" s="7">
        <v>0</v>
      </c>
      <c r="J1405" s="8">
        <v>0</v>
      </c>
      <c r="K1405" s="9" t="str">
        <v/>
      </c>
    </row>
    <row r="1406" spans="1:11">
      <c r="A1406" t="str">
        <v/>
      </c>
      <c r="B1406" s="6">
        <v>0</v>
      </c>
      <c r="C1406" s="7" t="str">
        <v>趣点购浦发</v>
      </c>
      <c r="D1406" s="8">
        <v>0</v>
      </c>
      <c r="E1406" s="7">
        <v>0</v>
      </c>
      <c r="F1406" s="8">
        <v>0</v>
      </c>
      <c r="G1406" s="7">
        <v>0</v>
      </c>
      <c r="H1406" s="7">
        <v>81211.819999998</v>
      </c>
      <c r="I1406" s="7">
        <v>0</v>
      </c>
      <c r="J1406" s="8">
        <v>0</v>
      </c>
      <c r="K1406" s="9" t="str">
        <v/>
      </c>
    </row>
    <row r="1407" spans="1:11">
      <c r="A1407" t="str">
        <v/>
      </c>
      <c r="B1407" s="6">
        <v>0</v>
      </c>
      <c r="C1407" s="7" t="str">
        <v>趣点购浦发</v>
      </c>
      <c r="D1407" s="8">
        <v>0</v>
      </c>
      <c r="E1407" s="7">
        <v>0</v>
      </c>
      <c r="F1407" s="8">
        <v>0</v>
      </c>
      <c r="G1407" s="7">
        <v>0</v>
      </c>
      <c r="H1407" s="7">
        <v>81211.819999998</v>
      </c>
      <c r="I1407" s="7">
        <v>0</v>
      </c>
      <c r="J1407" s="8">
        <v>0</v>
      </c>
      <c r="K1407" s="9" t="str">
        <v/>
      </c>
    </row>
    <row r="1408" spans="1:11">
      <c r="A1408" t="str">
        <v/>
      </c>
      <c r="B1408" s="6">
        <v>0</v>
      </c>
      <c r="C1408" s="7" t="str">
        <v>趣点购浦发</v>
      </c>
      <c r="D1408" s="8">
        <v>0</v>
      </c>
      <c r="E1408" s="7">
        <v>0</v>
      </c>
      <c r="F1408" s="8">
        <v>0</v>
      </c>
      <c r="G1408" s="7">
        <v>0</v>
      </c>
      <c r="H1408" s="7">
        <v>81211.819999998</v>
      </c>
      <c r="I1408" s="7">
        <v>0</v>
      </c>
      <c r="J1408" s="8">
        <v>0</v>
      </c>
      <c r="K1408" s="9" t="str">
        <v/>
      </c>
    </row>
    <row r="1409" spans="1:11">
      <c r="A1409" t="str">
        <v/>
      </c>
      <c r="B1409" s="6">
        <v>0</v>
      </c>
      <c r="C1409" s="7" t="str">
        <v>趣点购浦发</v>
      </c>
      <c r="D1409" s="8">
        <v>0</v>
      </c>
      <c r="E1409" s="7">
        <v>0</v>
      </c>
      <c r="F1409" s="8">
        <v>0</v>
      </c>
      <c r="G1409" s="7">
        <v>0</v>
      </c>
      <c r="H1409" s="7">
        <v>81211.819999998</v>
      </c>
      <c r="I1409" s="7">
        <v>0</v>
      </c>
      <c r="J1409" s="8">
        <v>0</v>
      </c>
      <c r="K1409" s="9" t="str">
        <v/>
      </c>
    </row>
    <row r="1410" spans="1:11">
      <c r="A1410" t="str">
        <v/>
      </c>
      <c r="B1410" s="6">
        <v>0</v>
      </c>
      <c r="C1410" s="7" t="str">
        <v>趣点购浦发</v>
      </c>
      <c r="D1410" s="8">
        <v>0</v>
      </c>
      <c r="E1410" s="7">
        <v>0</v>
      </c>
      <c r="F1410" s="8">
        <v>0</v>
      </c>
      <c r="G1410" s="7">
        <v>0</v>
      </c>
      <c r="H1410" s="7">
        <v>81211.819999998</v>
      </c>
      <c r="I1410" s="7">
        <v>0</v>
      </c>
      <c r="J1410" s="8">
        <v>0</v>
      </c>
      <c r="K1410" s="9" t="str">
        <v/>
      </c>
    </row>
    <row r="1411" spans="1:11">
      <c r="A1411" t="str">
        <v/>
      </c>
      <c r="B1411" s="6">
        <v>0</v>
      </c>
      <c r="C1411" s="7" t="str">
        <v>趣点购浦发</v>
      </c>
      <c r="D1411" s="8">
        <v>0</v>
      </c>
      <c r="E1411" s="7">
        <v>0</v>
      </c>
      <c r="F1411" s="8">
        <v>0</v>
      </c>
      <c r="G1411" s="7">
        <v>0</v>
      </c>
      <c r="H1411" s="7">
        <v>81211.819999998</v>
      </c>
      <c r="I1411" s="7">
        <v>0</v>
      </c>
      <c r="J1411" s="8">
        <v>0</v>
      </c>
      <c r="K1411" s="9" t="str">
        <v/>
      </c>
    </row>
    <row r="1412" spans="1:11">
      <c r="A1412" t="str">
        <v/>
      </c>
      <c r="B1412" s="6">
        <v>0</v>
      </c>
      <c r="C1412" s="7" t="str">
        <v>趣点购浦发</v>
      </c>
      <c r="D1412" s="8">
        <v>0</v>
      </c>
      <c r="E1412" s="7">
        <v>0</v>
      </c>
      <c r="F1412" s="8">
        <v>0</v>
      </c>
      <c r="G1412" s="7">
        <v>0</v>
      </c>
      <c r="H1412" s="7">
        <v>81211.819999998</v>
      </c>
      <c r="I1412" s="7">
        <v>0</v>
      </c>
      <c r="J1412" s="8">
        <v>0</v>
      </c>
      <c r="K1412" s="9" t="str">
        <v/>
      </c>
    </row>
    <row r="1413" spans="1:11">
      <c r="A1413" t="str">
        <v/>
      </c>
      <c r="B1413" s="6">
        <v>0</v>
      </c>
      <c r="C1413" s="7" t="str">
        <v>趣点购浦发</v>
      </c>
      <c r="D1413" s="8">
        <v>0</v>
      </c>
      <c r="E1413" s="7">
        <v>0</v>
      </c>
      <c r="F1413" s="8">
        <v>0</v>
      </c>
      <c r="G1413" s="7">
        <v>0</v>
      </c>
      <c r="H1413" s="7">
        <v>81211.819999998</v>
      </c>
      <c r="I1413" s="7">
        <v>0</v>
      </c>
      <c r="J1413" s="8">
        <v>0</v>
      </c>
      <c r="K1413" s="9" t="str">
        <v/>
      </c>
    </row>
    <row r="1414" spans="1:11">
      <c r="A1414" t="str">
        <v/>
      </c>
      <c r="B1414" s="6">
        <v>0</v>
      </c>
      <c r="C1414" s="7" t="str">
        <v>趣点购浦发</v>
      </c>
      <c r="D1414" s="8">
        <v>0</v>
      </c>
      <c r="E1414" s="7">
        <v>0</v>
      </c>
      <c r="F1414" s="8">
        <v>0</v>
      </c>
      <c r="G1414" s="7">
        <v>0</v>
      </c>
      <c r="H1414" s="7">
        <v>81211.819999998</v>
      </c>
      <c r="I1414" s="7">
        <v>0</v>
      </c>
      <c r="J1414" s="8">
        <v>0</v>
      </c>
      <c r="K1414" s="9" t="str">
        <v/>
      </c>
    </row>
    <row r="1415" spans="1:11">
      <c r="A1415" t="str">
        <v/>
      </c>
      <c r="B1415" s="6">
        <v>0</v>
      </c>
      <c r="C1415" s="7" t="str">
        <v>趣点购浦发</v>
      </c>
      <c r="D1415" s="8">
        <v>0</v>
      </c>
      <c r="E1415" s="7">
        <v>0</v>
      </c>
      <c r="F1415" s="8">
        <v>0</v>
      </c>
      <c r="G1415" s="7">
        <v>0</v>
      </c>
      <c r="H1415" s="7">
        <v>81211.819999998</v>
      </c>
      <c r="I1415" s="7">
        <v>0</v>
      </c>
      <c r="J1415" s="8">
        <v>0</v>
      </c>
      <c r="K1415" s="9" t="str">
        <v/>
      </c>
    </row>
    <row r="1416" spans="1:11">
      <c r="A1416" t="str">
        <v/>
      </c>
      <c r="B1416" s="6">
        <v>0</v>
      </c>
      <c r="C1416" s="7" t="str">
        <v>趣点购浦发</v>
      </c>
      <c r="D1416" s="8">
        <v>0</v>
      </c>
      <c r="E1416" s="7">
        <v>0</v>
      </c>
      <c r="F1416" s="8">
        <v>0</v>
      </c>
      <c r="G1416" s="7">
        <v>0</v>
      </c>
      <c r="H1416" s="7">
        <v>81211.819999998</v>
      </c>
      <c r="I1416" s="7">
        <v>0</v>
      </c>
      <c r="J1416" s="8">
        <v>0</v>
      </c>
      <c r="K1416" s="9" t="str">
        <v/>
      </c>
    </row>
    <row r="1417" spans="1:11">
      <c r="A1417" t="str">
        <v/>
      </c>
      <c r="B1417" s="6">
        <v>0</v>
      </c>
      <c r="C1417" s="7" t="str">
        <v>趣点购浦发</v>
      </c>
      <c r="D1417" s="8">
        <v>0</v>
      </c>
      <c r="E1417" s="7">
        <v>0</v>
      </c>
      <c r="F1417" s="8">
        <v>0</v>
      </c>
      <c r="G1417" s="7">
        <v>0</v>
      </c>
      <c r="H1417" s="7">
        <v>81211.819999998</v>
      </c>
      <c r="I1417" s="7">
        <v>0</v>
      </c>
      <c r="J1417" s="8">
        <v>0</v>
      </c>
      <c r="K1417" s="9" t="str">
        <v/>
      </c>
    </row>
    <row r="1418" spans="1:11">
      <c r="A1418" t="str">
        <v/>
      </c>
      <c r="B1418" s="6">
        <v>0</v>
      </c>
      <c r="C1418" s="7" t="str">
        <v>趣点购浦发</v>
      </c>
      <c r="D1418" s="8">
        <v>0</v>
      </c>
      <c r="E1418" s="7">
        <v>0</v>
      </c>
      <c r="F1418" s="8">
        <v>0</v>
      </c>
      <c r="G1418" s="7">
        <v>0</v>
      </c>
      <c r="H1418" s="7">
        <v>81211.819999998</v>
      </c>
      <c r="I1418" s="7">
        <v>0</v>
      </c>
      <c r="J1418" s="8">
        <v>0</v>
      </c>
      <c r="K1418" s="9" t="str">
        <v/>
      </c>
    </row>
    <row r="1419" spans="1:11">
      <c r="A1419" t="str">
        <v/>
      </c>
      <c r="B1419" s="6">
        <v>0</v>
      </c>
      <c r="C1419" s="7" t="str">
        <v>趣点购浦发</v>
      </c>
      <c r="D1419" s="8">
        <v>0</v>
      </c>
      <c r="E1419" s="7">
        <v>0</v>
      </c>
      <c r="F1419" s="8">
        <v>0</v>
      </c>
      <c r="G1419" s="7">
        <v>0</v>
      </c>
      <c r="H1419" s="7">
        <v>81211.819999998</v>
      </c>
      <c r="I1419" s="7">
        <v>0</v>
      </c>
      <c r="J1419" s="8">
        <v>0</v>
      </c>
      <c r="K1419" s="9" t="str">
        <v/>
      </c>
    </row>
    <row r="1420" spans="1:11">
      <c r="A1420" t="str">
        <v/>
      </c>
      <c r="B1420" s="6">
        <v>0</v>
      </c>
      <c r="C1420" s="7" t="str">
        <v>趣点购浦发</v>
      </c>
      <c r="D1420" s="8">
        <v>0</v>
      </c>
      <c r="E1420" s="7">
        <v>0</v>
      </c>
      <c r="F1420" s="8">
        <v>0</v>
      </c>
      <c r="G1420" s="7">
        <v>0</v>
      </c>
      <c r="H1420" s="7">
        <v>81211.819999998</v>
      </c>
      <c r="I1420" s="7">
        <v>0</v>
      </c>
      <c r="J1420" s="8">
        <v>0</v>
      </c>
      <c r="K1420" s="9" t="str">
        <v/>
      </c>
    </row>
    <row r="1421" spans="1:11">
      <c r="A1421" t="str">
        <v/>
      </c>
      <c r="B1421" s="6">
        <v>0</v>
      </c>
      <c r="C1421" s="7" t="str">
        <v>趣点购浦发</v>
      </c>
      <c r="D1421" s="8">
        <v>0</v>
      </c>
      <c r="E1421" s="7">
        <v>0</v>
      </c>
      <c r="F1421" s="8">
        <v>0</v>
      </c>
      <c r="G1421" s="7">
        <v>0</v>
      </c>
      <c r="H1421" s="7">
        <v>81211.819999998</v>
      </c>
      <c r="I1421" s="7">
        <v>0</v>
      </c>
      <c r="J1421" s="8">
        <v>0</v>
      </c>
      <c r="K1421" s="9" t="str">
        <v/>
      </c>
    </row>
    <row r="1422" spans="1:11">
      <c r="A1422" t="str">
        <v/>
      </c>
      <c r="B1422" s="6">
        <v>0</v>
      </c>
      <c r="C1422" s="7" t="str">
        <v>趣点购浦发</v>
      </c>
      <c r="D1422" s="8">
        <v>0</v>
      </c>
      <c r="E1422" s="7">
        <v>0</v>
      </c>
      <c r="F1422" s="8">
        <v>0</v>
      </c>
      <c r="G1422" s="7">
        <v>0</v>
      </c>
      <c r="H1422" s="7">
        <v>81211.819999998</v>
      </c>
      <c r="I1422" s="7">
        <v>0</v>
      </c>
      <c r="J1422" s="8">
        <v>0</v>
      </c>
      <c r="K1422" s="9" t="str">
        <v/>
      </c>
    </row>
    <row r="1423" spans="1:11">
      <c r="A1423" t="str">
        <v/>
      </c>
      <c r="B1423" s="6">
        <v>0</v>
      </c>
      <c r="C1423" s="7" t="str">
        <v>趣点购浦发</v>
      </c>
      <c r="D1423" s="8">
        <v>0</v>
      </c>
      <c r="E1423" s="7">
        <v>0</v>
      </c>
      <c r="F1423" s="8">
        <v>0</v>
      </c>
      <c r="G1423" s="7">
        <v>0</v>
      </c>
      <c r="H1423" s="7">
        <v>81211.819999998</v>
      </c>
      <c r="I1423" s="7">
        <v>0</v>
      </c>
      <c r="J1423" s="8">
        <v>0</v>
      </c>
      <c r="K1423" s="9" t="str">
        <v/>
      </c>
    </row>
    <row r="1424" spans="1:11">
      <c r="A1424" t="str">
        <v/>
      </c>
      <c r="B1424" s="6">
        <v>0</v>
      </c>
      <c r="C1424" s="7" t="str">
        <v>趣点购浦发</v>
      </c>
      <c r="D1424" s="8">
        <v>0</v>
      </c>
      <c r="E1424" s="7">
        <v>0</v>
      </c>
      <c r="F1424" s="8">
        <v>0</v>
      </c>
      <c r="G1424" s="7">
        <v>0</v>
      </c>
      <c r="H1424" s="7">
        <v>81211.819999998</v>
      </c>
      <c r="I1424" s="7">
        <v>0</v>
      </c>
      <c r="J1424" s="8">
        <v>0</v>
      </c>
      <c r="K1424" s="9" t="str">
        <v/>
      </c>
    </row>
    <row r="1425" spans="1:11">
      <c r="A1425" t="str">
        <v/>
      </c>
      <c r="B1425" s="6">
        <v>0</v>
      </c>
      <c r="C1425" s="7" t="str">
        <v>趣点购浦发</v>
      </c>
      <c r="D1425" s="8">
        <v>0</v>
      </c>
      <c r="E1425" s="7">
        <v>0</v>
      </c>
      <c r="F1425" s="8">
        <v>0</v>
      </c>
      <c r="G1425" s="7">
        <v>0</v>
      </c>
      <c r="H1425" s="7">
        <v>81211.819999998</v>
      </c>
      <c r="I1425" s="7">
        <v>0</v>
      </c>
      <c r="J1425" s="8">
        <v>0</v>
      </c>
      <c r="K1425" s="9" t="str">
        <v/>
      </c>
    </row>
    <row r="1426" spans="1:11">
      <c r="A1426" t="str">
        <v/>
      </c>
      <c r="B1426" s="6">
        <v>0</v>
      </c>
      <c r="C1426" s="7" t="str">
        <v>趣点购浦发</v>
      </c>
      <c r="D1426" s="8">
        <v>0</v>
      </c>
      <c r="E1426" s="7">
        <v>0</v>
      </c>
      <c r="F1426" s="8">
        <v>0</v>
      </c>
      <c r="G1426" s="7">
        <v>0</v>
      </c>
      <c r="H1426" s="7">
        <v>81211.819999998</v>
      </c>
      <c r="I1426" s="7">
        <v>0</v>
      </c>
      <c r="J1426" s="8">
        <v>0</v>
      </c>
      <c r="K1426" s="9" t="str">
        <v/>
      </c>
    </row>
    <row r="1427" spans="1:11">
      <c r="A1427" t="str">
        <v/>
      </c>
      <c r="B1427" s="6">
        <v>0</v>
      </c>
      <c r="C1427" s="7" t="str">
        <v>趣点购浦发</v>
      </c>
      <c r="D1427" s="8">
        <v>0</v>
      </c>
      <c r="E1427" s="7">
        <v>0</v>
      </c>
      <c r="F1427" s="8">
        <v>0</v>
      </c>
      <c r="G1427" s="7">
        <v>0</v>
      </c>
      <c r="H1427" s="7">
        <v>81211.819999998</v>
      </c>
      <c r="I1427" s="7">
        <v>0</v>
      </c>
      <c r="J1427" s="8">
        <v>0</v>
      </c>
      <c r="K1427" s="9" t="str">
        <v/>
      </c>
    </row>
    <row r="1428" spans="1:11">
      <c r="A1428" t="str">
        <v/>
      </c>
      <c r="B1428" s="6">
        <v>0</v>
      </c>
      <c r="C1428" s="7" t="str">
        <v>趣点购浦发</v>
      </c>
      <c r="D1428" s="8">
        <v>0</v>
      </c>
      <c r="E1428" s="7">
        <v>0</v>
      </c>
      <c r="F1428" s="8">
        <v>0</v>
      </c>
      <c r="G1428" s="7">
        <v>0</v>
      </c>
      <c r="H1428" s="7">
        <v>81211.819999998</v>
      </c>
      <c r="I1428" s="7">
        <v>0</v>
      </c>
      <c r="J1428" s="8">
        <v>0</v>
      </c>
      <c r="K1428" s="9" t="str">
        <v/>
      </c>
    </row>
    <row r="1429" spans="1:11">
      <c r="A1429" t="str">
        <v/>
      </c>
      <c r="B1429" s="6">
        <v>0</v>
      </c>
      <c r="C1429" s="7" t="str">
        <v>趣点购浦发</v>
      </c>
      <c r="D1429" s="8">
        <v>0</v>
      </c>
      <c r="E1429" s="7">
        <v>0</v>
      </c>
      <c r="F1429" s="8">
        <v>0</v>
      </c>
      <c r="G1429" s="7">
        <v>0</v>
      </c>
      <c r="H1429" s="7">
        <v>81211.819999998</v>
      </c>
      <c r="I1429" s="7">
        <v>0</v>
      </c>
      <c r="J1429" s="8">
        <v>0</v>
      </c>
      <c r="K1429" s="9" t="str">
        <v/>
      </c>
    </row>
    <row r="1430" spans="1:11">
      <c r="A1430" t="str">
        <v/>
      </c>
      <c r="B1430" s="6">
        <v>0</v>
      </c>
      <c r="C1430" s="7" t="str">
        <v>趣点购浦发</v>
      </c>
      <c r="D1430" s="8">
        <v>0</v>
      </c>
      <c r="E1430" s="7">
        <v>0</v>
      </c>
      <c r="F1430" s="8">
        <v>0</v>
      </c>
      <c r="G1430" s="7">
        <v>0</v>
      </c>
      <c r="H1430" s="7">
        <v>81211.819999998</v>
      </c>
      <c r="I1430" s="7">
        <v>0</v>
      </c>
      <c r="J1430" s="8">
        <v>0</v>
      </c>
      <c r="K1430" s="9" t="str">
        <v/>
      </c>
    </row>
    <row r="1431" spans="1:11">
      <c r="A1431" t="str">
        <v/>
      </c>
      <c r="B1431" s="6">
        <v>0</v>
      </c>
      <c r="C1431" s="7" t="str">
        <v>趣点购浦发</v>
      </c>
      <c r="D1431" s="8">
        <v>0</v>
      </c>
      <c r="E1431" s="7">
        <v>0</v>
      </c>
      <c r="F1431" s="8">
        <v>0</v>
      </c>
      <c r="G1431" s="7">
        <v>0</v>
      </c>
      <c r="H1431" s="7">
        <v>81211.819999998</v>
      </c>
      <c r="I1431" s="7">
        <v>0</v>
      </c>
      <c r="J1431" s="8">
        <v>0</v>
      </c>
      <c r="K1431" s="9" t="str">
        <v/>
      </c>
    </row>
    <row r="1432" spans="1:11">
      <c r="A1432" t="str">
        <v/>
      </c>
      <c r="B1432" s="6">
        <v>0</v>
      </c>
      <c r="C1432" s="7" t="str">
        <v>趣点购浦发</v>
      </c>
      <c r="D1432" s="8">
        <v>0</v>
      </c>
      <c r="E1432" s="7">
        <v>0</v>
      </c>
      <c r="F1432" s="8">
        <v>0</v>
      </c>
      <c r="G1432" s="7">
        <v>0</v>
      </c>
      <c r="H1432" s="7">
        <v>81211.819999998</v>
      </c>
      <c r="I1432" s="7">
        <v>0</v>
      </c>
      <c r="J1432" s="8">
        <v>0</v>
      </c>
      <c r="K1432" s="9" t="str">
        <v/>
      </c>
    </row>
    <row r="1433" spans="1:11">
      <c r="A1433" t="str">
        <v/>
      </c>
      <c r="B1433" s="6">
        <v>0</v>
      </c>
      <c r="C1433" s="7" t="str">
        <v>趣点购浦发</v>
      </c>
      <c r="D1433" s="8">
        <v>0</v>
      </c>
      <c r="E1433" s="7">
        <v>0</v>
      </c>
      <c r="F1433" s="8">
        <v>0</v>
      </c>
      <c r="G1433" s="7">
        <v>0</v>
      </c>
      <c r="H1433" s="7">
        <v>81211.819999998</v>
      </c>
      <c r="I1433" s="7">
        <v>0</v>
      </c>
      <c r="J1433" s="8">
        <v>0</v>
      </c>
      <c r="K1433" s="9" t="str">
        <v/>
      </c>
    </row>
    <row r="1434" spans="1:11">
      <c r="A1434" t="str">
        <v/>
      </c>
      <c r="B1434" s="6">
        <v>0</v>
      </c>
      <c r="C1434" s="7" t="str">
        <v>趣点购浦发</v>
      </c>
      <c r="D1434" s="8">
        <v>0</v>
      </c>
      <c r="E1434" s="7">
        <v>0</v>
      </c>
      <c r="F1434" s="8">
        <v>0</v>
      </c>
      <c r="G1434" s="7">
        <v>0</v>
      </c>
      <c r="H1434" s="7">
        <v>81211.819999998</v>
      </c>
      <c r="I1434" s="7">
        <v>0</v>
      </c>
      <c r="J1434" s="8">
        <v>0</v>
      </c>
      <c r="K1434" s="9" t="str">
        <v/>
      </c>
    </row>
    <row r="1435" spans="1:11">
      <c r="A1435" t="str">
        <v/>
      </c>
      <c r="B1435" s="6">
        <v>0</v>
      </c>
      <c r="C1435" s="7" t="str">
        <v>趣点购浦发</v>
      </c>
      <c r="D1435" s="8">
        <v>0</v>
      </c>
      <c r="E1435" s="7">
        <v>0</v>
      </c>
      <c r="F1435" s="8">
        <v>0</v>
      </c>
      <c r="G1435" s="7">
        <v>0</v>
      </c>
      <c r="H1435" s="7">
        <v>81211.819999998</v>
      </c>
      <c r="I1435" s="7">
        <v>0</v>
      </c>
      <c r="J1435" s="8">
        <v>0</v>
      </c>
      <c r="K1435" s="9" t="str">
        <v/>
      </c>
    </row>
    <row r="1436" spans="1:11">
      <c r="A1436" t="str">
        <v/>
      </c>
      <c r="B1436" s="6">
        <v>0</v>
      </c>
      <c r="C1436" s="7" t="str">
        <v>趣点购浦发</v>
      </c>
      <c r="D1436" s="8">
        <v>0</v>
      </c>
      <c r="E1436" s="7">
        <v>0</v>
      </c>
      <c r="F1436" s="8">
        <v>0</v>
      </c>
      <c r="G1436" s="7">
        <v>0</v>
      </c>
      <c r="H1436" s="7">
        <v>81211.819999998</v>
      </c>
      <c r="I1436" s="7">
        <v>0</v>
      </c>
      <c r="J1436" s="8">
        <v>0</v>
      </c>
      <c r="K1436" s="9" t="str">
        <v/>
      </c>
    </row>
    <row r="1437" spans="1:11">
      <c r="A1437" t="str">
        <v/>
      </c>
      <c r="B1437" s="6">
        <v>0</v>
      </c>
      <c r="C1437" s="7" t="str">
        <v>趣点购浦发</v>
      </c>
      <c r="D1437" s="8">
        <v>0</v>
      </c>
      <c r="E1437" s="7">
        <v>0</v>
      </c>
      <c r="F1437" s="8">
        <v>0</v>
      </c>
      <c r="G1437" s="7">
        <v>0</v>
      </c>
      <c r="H1437" s="7">
        <v>81211.819999998</v>
      </c>
      <c r="I1437" s="7">
        <v>0</v>
      </c>
      <c r="J1437" s="8">
        <v>0</v>
      </c>
      <c r="K1437" s="9" t="str">
        <v/>
      </c>
    </row>
    <row r="1438" spans="1:11">
      <c r="A1438" t="str">
        <v/>
      </c>
      <c r="B1438" s="6">
        <v>0</v>
      </c>
      <c r="C1438" s="7" t="str">
        <v>趣点购浦发</v>
      </c>
      <c r="D1438" s="8">
        <v>0</v>
      </c>
      <c r="E1438" s="7">
        <v>0</v>
      </c>
      <c r="F1438" s="8">
        <v>0</v>
      </c>
      <c r="G1438" s="7">
        <v>0</v>
      </c>
      <c r="H1438" s="7">
        <v>81211.819999998</v>
      </c>
      <c r="I1438" s="7">
        <v>0</v>
      </c>
      <c r="J1438" s="8">
        <v>0</v>
      </c>
      <c r="K1438" s="9" t="str">
        <v/>
      </c>
    </row>
    <row r="1439" spans="1:11">
      <c r="A1439" t="str">
        <v/>
      </c>
      <c r="B1439" s="6">
        <v>0</v>
      </c>
      <c r="C1439" s="7" t="str">
        <v>趣点购浦发</v>
      </c>
      <c r="D1439" s="8">
        <v>0</v>
      </c>
      <c r="E1439" s="7">
        <v>0</v>
      </c>
      <c r="F1439" s="8">
        <v>0</v>
      </c>
      <c r="G1439" s="7">
        <v>0</v>
      </c>
      <c r="H1439" s="7">
        <v>81211.819999998</v>
      </c>
      <c r="I1439" s="7">
        <v>0</v>
      </c>
      <c r="J1439" s="8">
        <v>0</v>
      </c>
      <c r="K1439" s="9" t="str">
        <v/>
      </c>
    </row>
    <row r="1440" spans="1:11">
      <c r="A1440" t="str">
        <v/>
      </c>
      <c r="B1440" s="6">
        <v>0</v>
      </c>
      <c r="C1440" s="7" t="str">
        <v>趣点购浦发</v>
      </c>
      <c r="D1440" s="8">
        <v>0</v>
      </c>
      <c r="E1440" s="7">
        <v>0</v>
      </c>
      <c r="F1440" s="8">
        <v>0</v>
      </c>
      <c r="G1440" s="7">
        <v>0</v>
      </c>
      <c r="H1440" s="7">
        <v>81211.819999998</v>
      </c>
      <c r="I1440" s="7">
        <v>0</v>
      </c>
      <c r="J1440" s="8">
        <v>0</v>
      </c>
      <c r="K1440" s="9" t="str">
        <v/>
      </c>
    </row>
    <row r="1441" spans="1:11">
      <c r="A1441" t="str">
        <v/>
      </c>
      <c r="B1441" s="6">
        <v>0</v>
      </c>
      <c r="C1441" s="7" t="str">
        <v>趣点购浦发</v>
      </c>
      <c r="D1441" s="8">
        <v>0</v>
      </c>
      <c r="E1441" s="7">
        <v>0</v>
      </c>
      <c r="F1441" s="8">
        <v>0</v>
      </c>
      <c r="G1441" s="7">
        <v>0</v>
      </c>
      <c r="H1441" s="7">
        <v>81211.819999998</v>
      </c>
      <c r="I1441" s="7">
        <v>0</v>
      </c>
      <c r="J1441" s="8">
        <v>0</v>
      </c>
      <c r="K1441" s="9" t="str">
        <v/>
      </c>
    </row>
    <row r="1442" spans="1:11">
      <c r="A1442" t="str">
        <v/>
      </c>
      <c r="B1442" s="6">
        <v>0</v>
      </c>
      <c r="C1442" s="7" t="str">
        <v>趣点购浦发</v>
      </c>
      <c r="D1442" s="8">
        <v>0</v>
      </c>
      <c r="E1442" s="7">
        <v>0</v>
      </c>
      <c r="F1442" s="8">
        <v>0</v>
      </c>
      <c r="G1442" s="7">
        <v>0</v>
      </c>
      <c r="H1442" s="7">
        <v>81211.819999998</v>
      </c>
      <c r="I1442" s="7">
        <v>0</v>
      </c>
      <c r="J1442" s="8">
        <v>0</v>
      </c>
      <c r="K1442" s="9" t="str">
        <v/>
      </c>
    </row>
    <row r="1443" spans="1:11">
      <c r="A1443" t="str">
        <v/>
      </c>
      <c r="B1443" s="6">
        <v>0</v>
      </c>
      <c r="C1443" s="7" t="str">
        <v>趣点购浦发</v>
      </c>
      <c r="D1443" s="8">
        <v>0</v>
      </c>
      <c r="E1443" s="7">
        <v>0</v>
      </c>
      <c r="F1443" s="8">
        <v>0</v>
      </c>
      <c r="G1443" s="7">
        <v>0</v>
      </c>
      <c r="H1443" s="7">
        <v>81211.819999998</v>
      </c>
      <c r="I1443" s="7">
        <v>0</v>
      </c>
      <c r="J1443" s="8">
        <v>0</v>
      </c>
      <c r="K1443" s="9" t="str">
        <v/>
      </c>
    </row>
    <row r="1444" spans="1:11">
      <c r="A1444" t="str">
        <v/>
      </c>
      <c r="B1444" s="6">
        <v>0</v>
      </c>
      <c r="C1444" s="7" t="str">
        <v>趣点购浦发</v>
      </c>
      <c r="D1444" s="8">
        <v>0</v>
      </c>
      <c r="E1444" s="7">
        <v>0</v>
      </c>
      <c r="F1444" s="8">
        <v>0</v>
      </c>
      <c r="G1444" s="7">
        <v>0</v>
      </c>
      <c r="H1444" s="7">
        <v>81211.819999998</v>
      </c>
      <c r="I1444" s="7">
        <v>0</v>
      </c>
      <c r="J1444" s="8">
        <v>0</v>
      </c>
      <c r="K1444" s="9" t="str">
        <v/>
      </c>
    </row>
    <row r="1445" spans="1:11">
      <c r="A1445" t="str">
        <v/>
      </c>
      <c r="B1445" s="6">
        <v>0</v>
      </c>
      <c r="C1445" s="7" t="str">
        <v>趣点购浦发</v>
      </c>
      <c r="D1445" s="8">
        <v>0</v>
      </c>
      <c r="E1445" s="7">
        <v>0</v>
      </c>
      <c r="F1445" s="8">
        <v>0</v>
      </c>
      <c r="G1445" s="7">
        <v>0</v>
      </c>
      <c r="H1445" s="7">
        <v>81211.819999998</v>
      </c>
      <c r="I1445" s="7">
        <v>0</v>
      </c>
      <c r="J1445" s="8">
        <v>0</v>
      </c>
      <c r="K1445" s="9" t="str">
        <v/>
      </c>
    </row>
    <row r="1446" spans="1:11">
      <c r="A1446" t="str">
        <v/>
      </c>
      <c r="B1446" s="6">
        <v>0</v>
      </c>
      <c r="C1446" s="7" t="str">
        <v>趣点购浦发</v>
      </c>
      <c r="D1446" s="8">
        <v>0</v>
      </c>
      <c r="E1446" s="7">
        <v>0</v>
      </c>
      <c r="F1446" s="8">
        <v>0</v>
      </c>
      <c r="G1446" s="7">
        <v>0</v>
      </c>
      <c r="H1446" s="7">
        <v>81211.819999998</v>
      </c>
      <c r="I1446" s="7">
        <v>0</v>
      </c>
      <c r="J1446" s="8">
        <v>0</v>
      </c>
      <c r="K1446" s="9" t="str">
        <v/>
      </c>
    </row>
    <row r="1447" spans="1:11">
      <c r="A1447" t="str">
        <v/>
      </c>
      <c r="B1447" s="6">
        <v>0</v>
      </c>
      <c r="C1447" s="7" t="str">
        <v>趣点购浦发</v>
      </c>
      <c r="D1447" s="8">
        <v>0</v>
      </c>
      <c r="E1447" s="7">
        <v>0</v>
      </c>
      <c r="F1447" s="8">
        <v>0</v>
      </c>
      <c r="G1447" s="7">
        <v>0</v>
      </c>
      <c r="H1447" s="7">
        <v>81211.819999998</v>
      </c>
      <c r="I1447" s="7">
        <v>0</v>
      </c>
      <c r="J1447" s="8">
        <v>0</v>
      </c>
      <c r="K1447" s="9" t="str">
        <v/>
      </c>
    </row>
    <row r="1448" spans="1:11">
      <c r="A1448" t="str">
        <v/>
      </c>
      <c r="B1448" s="6">
        <v>0</v>
      </c>
      <c r="C1448" s="7" t="str">
        <v>趣点购浦发</v>
      </c>
      <c r="D1448" s="8">
        <v>0</v>
      </c>
      <c r="E1448" s="7">
        <v>0</v>
      </c>
      <c r="F1448" s="8">
        <v>0</v>
      </c>
      <c r="G1448" s="7">
        <v>0</v>
      </c>
      <c r="H1448" s="7">
        <v>81211.819999998</v>
      </c>
      <c r="I1448" s="7">
        <v>0</v>
      </c>
      <c r="J1448" s="8">
        <v>0</v>
      </c>
      <c r="K1448" s="9" t="str">
        <v/>
      </c>
    </row>
    <row r="1449" spans="1:11">
      <c r="A1449" t="str">
        <v/>
      </c>
      <c r="B1449" s="6">
        <v>0</v>
      </c>
      <c r="C1449" s="7" t="str">
        <v>趣点购浦发</v>
      </c>
      <c r="D1449" s="8">
        <v>0</v>
      </c>
      <c r="E1449" s="7">
        <v>0</v>
      </c>
      <c r="F1449" s="8">
        <v>0</v>
      </c>
      <c r="G1449" s="7">
        <v>0</v>
      </c>
      <c r="H1449" s="7">
        <v>81211.819999998</v>
      </c>
      <c r="I1449" s="7">
        <v>0</v>
      </c>
      <c r="J1449" s="8">
        <v>0</v>
      </c>
      <c r="K1449" s="9" t="str">
        <v/>
      </c>
    </row>
    <row r="1450" spans="1:11">
      <c r="A1450" t="str">
        <v/>
      </c>
      <c r="B1450" s="6">
        <v>0</v>
      </c>
      <c r="C1450" s="7" t="str">
        <v>趣点购浦发</v>
      </c>
      <c r="D1450" s="8">
        <v>0</v>
      </c>
      <c r="E1450" s="7">
        <v>0</v>
      </c>
      <c r="F1450" s="8">
        <v>0</v>
      </c>
      <c r="G1450" s="7">
        <v>0</v>
      </c>
      <c r="H1450" s="7">
        <v>81211.819999998</v>
      </c>
      <c r="I1450" s="7">
        <v>0</v>
      </c>
      <c r="J1450" s="8">
        <v>0</v>
      </c>
      <c r="K1450" s="9" t="str">
        <v/>
      </c>
    </row>
    <row r="1451" spans="1:11">
      <c r="A1451" t="str">
        <v/>
      </c>
      <c r="B1451" s="6">
        <v>0</v>
      </c>
      <c r="C1451" s="7" t="str">
        <v>趣点购浦发</v>
      </c>
      <c r="D1451" s="8">
        <v>0</v>
      </c>
      <c r="E1451" s="7">
        <v>0</v>
      </c>
      <c r="F1451" s="8">
        <v>0</v>
      </c>
      <c r="G1451" s="7">
        <v>0</v>
      </c>
      <c r="H1451" s="7">
        <v>81211.819999998</v>
      </c>
      <c r="I1451" s="7">
        <v>0</v>
      </c>
      <c r="J1451" s="8">
        <v>0</v>
      </c>
      <c r="K1451" s="9" t="str">
        <v/>
      </c>
    </row>
    <row r="1452" spans="1:11">
      <c r="A1452" t="str">
        <v/>
      </c>
      <c r="B1452" s="6">
        <v>0</v>
      </c>
      <c r="C1452" s="7" t="str">
        <v>趣点购浦发</v>
      </c>
      <c r="D1452" s="8">
        <v>0</v>
      </c>
      <c r="E1452" s="7">
        <v>0</v>
      </c>
      <c r="F1452" s="8">
        <v>0</v>
      </c>
      <c r="G1452" s="7">
        <v>0</v>
      </c>
      <c r="H1452" s="7">
        <v>81211.819999998</v>
      </c>
      <c r="I1452" s="7">
        <v>0</v>
      </c>
      <c r="J1452" s="8">
        <v>0</v>
      </c>
      <c r="K1452" s="9" t="str">
        <v/>
      </c>
    </row>
    <row r="1453" spans="1:11">
      <c r="A1453" t="str">
        <v/>
      </c>
      <c r="B1453" s="6">
        <v>0</v>
      </c>
      <c r="C1453" s="7" t="str">
        <v>趣点购浦发</v>
      </c>
      <c r="D1453" s="8">
        <v>0</v>
      </c>
      <c r="E1453" s="7">
        <v>0</v>
      </c>
      <c r="F1453" s="8">
        <v>0</v>
      </c>
      <c r="G1453" s="7">
        <v>0</v>
      </c>
      <c r="H1453" s="7">
        <v>81211.819999998</v>
      </c>
      <c r="I1453" s="7">
        <v>0</v>
      </c>
      <c r="J1453" s="8">
        <v>0</v>
      </c>
      <c r="K1453" s="9" t="str">
        <v/>
      </c>
    </row>
    <row r="1454" spans="1:11">
      <c r="A1454" t="str">
        <v/>
      </c>
      <c r="B1454" s="6">
        <v>0</v>
      </c>
      <c r="C1454" s="7" t="str">
        <v>趣点购浦发</v>
      </c>
      <c r="D1454" s="8">
        <v>0</v>
      </c>
      <c r="E1454" s="7">
        <v>0</v>
      </c>
      <c r="F1454" s="8">
        <v>0</v>
      </c>
      <c r="G1454" s="7">
        <v>0</v>
      </c>
      <c r="H1454" s="7">
        <v>81211.819999998</v>
      </c>
      <c r="I1454" s="7">
        <v>0</v>
      </c>
      <c r="J1454" s="8">
        <v>0</v>
      </c>
      <c r="K1454" s="9" t="str">
        <v/>
      </c>
    </row>
    <row r="1455" spans="1:11">
      <c r="A1455" t="str">
        <v/>
      </c>
      <c r="B1455" s="6">
        <v>0</v>
      </c>
      <c r="C1455" s="7" t="str">
        <v>趣点购浦发</v>
      </c>
      <c r="D1455" s="8">
        <v>0</v>
      </c>
      <c r="E1455" s="7">
        <v>0</v>
      </c>
      <c r="F1455" s="8">
        <v>0</v>
      </c>
      <c r="G1455" s="7">
        <v>0</v>
      </c>
      <c r="H1455" s="7">
        <v>81211.819999998</v>
      </c>
      <c r="I1455" s="7">
        <v>0</v>
      </c>
      <c r="J1455" s="8">
        <v>0</v>
      </c>
      <c r="K1455" s="9" t="str">
        <v/>
      </c>
    </row>
    <row r="1456" spans="1:11">
      <c r="A1456" t="str">
        <v/>
      </c>
      <c r="B1456" s="6">
        <v>0</v>
      </c>
      <c r="C1456" s="7" t="str">
        <v>趣点购浦发</v>
      </c>
      <c r="D1456" s="8">
        <v>0</v>
      </c>
      <c r="E1456" s="7">
        <v>0</v>
      </c>
      <c r="F1456" s="8">
        <v>0</v>
      </c>
      <c r="G1456" s="7">
        <v>0</v>
      </c>
      <c r="H1456" s="7">
        <v>81211.819999998</v>
      </c>
      <c r="I1456" s="7">
        <v>0</v>
      </c>
      <c r="J1456" s="8">
        <v>0</v>
      </c>
      <c r="K1456" s="9" t="str">
        <v/>
      </c>
    </row>
    <row r="1457" spans="1:11">
      <c r="A1457" t="str">
        <v/>
      </c>
      <c r="B1457" s="6">
        <v>0</v>
      </c>
      <c r="C1457" s="7" t="str">
        <v>趣点购浦发</v>
      </c>
      <c r="D1457" s="8">
        <v>0</v>
      </c>
      <c r="E1457" s="7">
        <v>0</v>
      </c>
      <c r="F1457" s="8">
        <v>0</v>
      </c>
      <c r="G1457" s="7">
        <v>0</v>
      </c>
      <c r="H1457" s="7">
        <v>81211.819999998</v>
      </c>
      <c r="I1457" s="7">
        <v>0</v>
      </c>
      <c r="J1457" s="8">
        <v>0</v>
      </c>
      <c r="K1457" s="9" t="str">
        <v/>
      </c>
    </row>
    <row r="1458" spans="1:11">
      <c r="A1458" t="str">
        <v/>
      </c>
      <c r="B1458" s="6">
        <v>0</v>
      </c>
      <c r="C1458" s="7" t="str">
        <v>趣点购浦发</v>
      </c>
      <c r="D1458" s="8">
        <v>0</v>
      </c>
      <c r="E1458" s="7">
        <v>0</v>
      </c>
      <c r="F1458" s="8">
        <v>0</v>
      </c>
      <c r="G1458" s="7">
        <v>0</v>
      </c>
      <c r="H1458" s="7">
        <v>81211.819999998</v>
      </c>
      <c r="I1458" s="7">
        <v>0</v>
      </c>
      <c r="J1458" s="8">
        <v>0</v>
      </c>
      <c r="K1458" s="9" t="str">
        <v/>
      </c>
    </row>
    <row r="1459" spans="1:11">
      <c r="A1459" t="str">
        <v/>
      </c>
      <c r="B1459" s="6">
        <v>0</v>
      </c>
      <c r="C1459" s="7" t="str">
        <v>趣点购浦发</v>
      </c>
      <c r="D1459" s="8">
        <v>0</v>
      </c>
      <c r="E1459" s="7">
        <v>0</v>
      </c>
      <c r="F1459" s="8">
        <v>0</v>
      </c>
      <c r="G1459" s="7">
        <v>0</v>
      </c>
      <c r="H1459" s="7">
        <v>81211.819999998</v>
      </c>
      <c r="I1459" s="7">
        <v>0</v>
      </c>
      <c r="J1459" s="8">
        <v>0</v>
      </c>
      <c r="K1459" s="9" t="str">
        <v/>
      </c>
    </row>
    <row r="1460" spans="1:11">
      <c r="A1460" t="str">
        <v/>
      </c>
      <c r="B1460" s="6">
        <v>0</v>
      </c>
      <c r="C1460" s="7" t="str">
        <v>趣点购浦发</v>
      </c>
      <c r="D1460" s="8">
        <v>0</v>
      </c>
      <c r="E1460" s="7">
        <v>0</v>
      </c>
      <c r="F1460" s="8">
        <v>0</v>
      </c>
      <c r="G1460" s="7">
        <v>0</v>
      </c>
      <c r="H1460" s="7">
        <v>81211.819999998</v>
      </c>
      <c r="I1460" s="7">
        <v>0</v>
      </c>
      <c r="J1460" s="8">
        <v>0</v>
      </c>
      <c r="K1460" s="9" t="str">
        <v/>
      </c>
    </row>
    <row r="1461" spans="1:11">
      <c r="A1461" t="str">
        <v/>
      </c>
      <c r="B1461" s="6">
        <v>0</v>
      </c>
      <c r="C1461" s="7" t="str">
        <v>趣点购浦发</v>
      </c>
      <c r="D1461" s="8">
        <v>0</v>
      </c>
      <c r="E1461" s="7">
        <v>0</v>
      </c>
      <c r="F1461" s="8">
        <v>0</v>
      </c>
      <c r="G1461" s="7">
        <v>0</v>
      </c>
      <c r="H1461" s="7">
        <v>81211.819999998</v>
      </c>
      <c r="I1461" s="7">
        <v>0</v>
      </c>
      <c r="J1461" s="8">
        <v>0</v>
      </c>
      <c r="K1461" s="9" t="str">
        <v/>
      </c>
    </row>
    <row r="1462" spans="1:11">
      <c r="A1462" t="str">
        <v/>
      </c>
      <c r="B1462" s="6">
        <v>0</v>
      </c>
      <c r="C1462" s="7" t="str">
        <v>趣点购浦发</v>
      </c>
      <c r="D1462" s="8">
        <v>0</v>
      </c>
      <c r="E1462" s="7">
        <v>0</v>
      </c>
      <c r="F1462" s="8">
        <v>0</v>
      </c>
      <c r="G1462" s="7">
        <v>0</v>
      </c>
      <c r="H1462" s="7">
        <v>81211.819999998</v>
      </c>
      <c r="I1462" s="7">
        <v>0</v>
      </c>
      <c r="J1462" s="8">
        <v>0</v>
      </c>
      <c r="K1462" s="9" t="str">
        <v/>
      </c>
    </row>
    <row r="1463" spans="1:11">
      <c r="A1463" t="str">
        <v/>
      </c>
      <c r="B1463" s="6">
        <v>0</v>
      </c>
      <c r="C1463" s="7" t="str">
        <v>趣点购浦发</v>
      </c>
      <c r="D1463" s="8">
        <v>0</v>
      </c>
      <c r="E1463" s="7">
        <v>0</v>
      </c>
      <c r="F1463" s="8">
        <v>0</v>
      </c>
      <c r="G1463" s="7">
        <v>0</v>
      </c>
      <c r="H1463" s="7">
        <v>81211.819999998</v>
      </c>
      <c r="I1463" s="7">
        <v>0</v>
      </c>
      <c r="J1463" s="8">
        <v>0</v>
      </c>
      <c r="K1463" s="9" t="str">
        <v/>
      </c>
    </row>
    <row r="1464" spans="1:11">
      <c r="A1464" t="str">
        <v/>
      </c>
      <c r="B1464" s="6">
        <v>0</v>
      </c>
      <c r="C1464" s="7" t="str">
        <v>趣点购浦发</v>
      </c>
      <c r="D1464" s="8">
        <v>0</v>
      </c>
      <c r="E1464" s="7">
        <v>0</v>
      </c>
      <c r="F1464" s="8">
        <v>0</v>
      </c>
      <c r="G1464" s="7">
        <v>0</v>
      </c>
      <c r="H1464" s="7">
        <v>81211.819999998</v>
      </c>
      <c r="I1464" s="7">
        <v>0</v>
      </c>
      <c r="J1464" s="8">
        <v>0</v>
      </c>
      <c r="K1464" s="9" t="str">
        <v/>
      </c>
    </row>
    <row r="1465" spans="1:11">
      <c r="A1465" t="str">
        <v/>
      </c>
      <c r="B1465" s="6">
        <v>0</v>
      </c>
      <c r="C1465" s="7" t="str">
        <v>趣点购浦发</v>
      </c>
      <c r="D1465" s="8">
        <v>0</v>
      </c>
      <c r="E1465" s="7">
        <v>0</v>
      </c>
      <c r="F1465" s="8">
        <v>0</v>
      </c>
      <c r="G1465" s="7">
        <v>0</v>
      </c>
      <c r="H1465" s="7">
        <v>81211.819999998</v>
      </c>
      <c r="I1465" s="7">
        <v>0</v>
      </c>
      <c r="J1465" s="8">
        <v>0</v>
      </c>
      <c r="K1465" s="9" t="str">
        <v/>
      </c>
    </row>
    <row r="1466" spans="1:11">
      <c r="A1466" t="str">
        <v/>
      </c>
      <c r="B1466" s="6">
        <v>0</v>
      </c>
      <c r="C1466" s="7" t="str">
        <v>趣点购浦发</v>
      </c>
      <c r="D1466" s="8">
        <v>0</v>
      </c>
      <c r="E1466" s="7">
        <v>0</v>
      </c>
      <c r="F1466" s="8">
        <v>0</v>
      </c>
      <c r="G1466" s="7">
        <v>0</v>
      </c>
      <c r="H1466" s="7">
        <v>81211.819999998</v>
      </c>
      <c r="I1466" s="7">
        <v>0</v>
      </c>
      <c r="J1466" s="8">
        <v>0</v>
      </c>
      <c r="K1466" s="9" t="str">
        <v/>
      </c>
    </row>
    <row r="1467" spans="1:11">
      <c r="A1467" t="str">
        <v/>
      </c>
      <c r="B1467" s="6">
        <v>0</v>
      </c>
      <c r="C1467" s="7" t="str">
        <v>趣点购浦发</v>
      </c>
      <c r="D1467" s="8">
        <v>0</v>
      </c>
      <c r="E1467" s="7">
        <v>0</v>
      </c>
      <c r="F1467" s="8">
        <v>0</v>
      </c>
      <c r="G1467" s="7">
        <v>0</v>
      </c>
      <c r="H1467" s="7">
        <v>81211.819999998</v>
      </c>
      <c r="I1467" s="7">
        <v>0</v>
      </c>
      <c r="J1467" s="8">
        <v>0</v>
      </c>
      <c r="K1467" s="9" t="str">
        <v/>
      </c>
    </row>
    <row r="1468" spans="1:11">
      <c r="A1468" t="str">
        <v/>
      </c>
      <c r="B1468" s="6">
        <v>0</v>
      </c>
      <c r="C1468" s="7" t="str">
        <v>趣点购浦发</v>
      </c>
      <c r="D1468" s="8">
        <v>0</v>
      </c>
      <c r="E1468" s="7">
        <v>0</v>
      </c>
      <c r="F1468" s="8">
        <v>0</v>
      </c>
      <c r="G1468" s="7">
        <v>0</v>
      </c>
      <c r="H1468" s="7">
        <v>81211.819999998</v>
      </c>
      <c r="I1468" s="7">
        <v>0</v>
      </c>
      <c r="J1468" s="8">
        <v>0</v>
      </c>
      <c r="K1468" s="9" t="str">
        <v/>
      </c>
    </row>
    <row r="1469" spans="1:11">
      <c r="A1469" t="str">
        <v/>
      </c>
      <c r="B1469" s="6">
        <v>0</v>
      </c>
      <c r="C1469" s="7" t="str">
        <v>趣点购浦发</v>
      </c>
      <c r="D1469" s="8">
        <v>0</v>
      </c>
      <c r="E1469" s="7">
        <v>0</v>
      </c>
      <c r="F1469" s="8">
        <v>0</v>
      </c>
      <c r="G1469" s="7">
        <v>0</v>
      </c>
      <c r="H1469" s="7">
        <v>81211.819999998</v>
      </c>
      <c r="I1469" s="7">
        <v>0</v>
      </c>
      <c r="J1469" s="8">
        <v>0</v>
      </c>
      <c r="K1469" s="9" t="str">
        <v/>
      </c>
    </row>
    <row r="1470" spans="1:11">
      <c r="A1470" t="str">
        <v/>
      </c>
      <c r="B1470" s="6">
        <v>0</v>
      </c>
      <c r="C1470" s="7" t="str">
        <v>趣点购浦发</v>
      </c>
      <c r="D1470" s="8">
        <v>0</v>
      </c>
      <c r="E1470" s="7">
        <v>0</v>
      </c>
      <c r="F1470" s="8">
        <v>0</v>
      </c>
      <c r="G1470" s="7">
        <v>0</v>
      </c>
      <c r="H1470" s="7">
        <v>81211.819999998</v>
      </c>
      <c r="I1470" s="7">
        <v>0</v>
      </c>
      <c r="J1470" s="8">
        <v>0</v>
      </c>
      <c r="K1470" s="9" t="str">
        <v/>
      </c>
    </row>
    <row r="1471" spans="1:11">
      <c r="A1471" t="str">
        <v/>
      </c>
      <c r="B1471" s="6">
        <v>0</v>
      </c>
      <c r="C1471" s="7" t="str">
        <v>趣点购浦发</v>
      </c>
      <c r="D1471" s="8">
        <v>0</v>
      </c>
      <c r="E1471" s="7">
        <v>0</v>
      </c>
      <c r="F1471" s="8">
        <v>0</v>
      </c>
      <c r="G1471" s="7">
        <v>0</v>
      </c>
      <c r="H1471" s="7">
        <v>81211.819999998</v>
      </c>
      <c r="I1471" s="7">
        <v>0</v>
      </c>
      <c r="J1471" s="8">
        <v>0</v>
      </c>
      <c r="K1471" s="9" t="str">
        <v/>
      </c>
    </row>
    <row r="1472" spans="1:11">
      <c r="A1472" t="str">
        <v/>
      </c>
      <c r="B1472" s="6">
        <v>0</v>
      </c>
      <c r="C1472" s="7" t="str">
        <v>趣点购浦发</v>
      </c>
      <c r="D1472" s="8">
        <v>0</v>
      </c>
      <c r="E1472" s="7">
        <v>0</v>
      </c>
      <c r="F1472" s="8">
        <v>0</v>
      </c>
      <c r="G1472" s="7">
        <v>0</v>
      </c>
      <c r="H1472" s="7">
        <v>81211.819999998</v>
      </c>
      <c r="I1472" s="7">
        <v>0</v>
      </c>
      <c r="J1472" s="8">
        <v>0</v>
      </c>
      <c r="K1472" s="9" t="str">
        <v/>
      </c>
    </row>
    <row r="1473" spans="1:11">
      <c r="A1473" t="str">
        <v/>
      </c>
      <c r="B1473" s="6">
        <v>0</v>
      </c>
      <c r="C1473" s="7" t="str">
        <v>趣点购浦发</v>
      </c>
      <c r="D1473" s="8">
        <v>0</v>
      </c>
      <c r="E1473" s="7">
        <v>0</v>
      </c>
      <c r="F1473" s="8">
        <v>0</v>
      </c>
      <c r="G1473" s="7">
        <v>0</v>
      </c>
      <c r="H1473" s="7">
        <v>81211.819999998</v>
      </c>
      <c r="I1473" s="7">
        <v>0</v>
      </c>
      <c r="J1473" s="8">
        <v>0</v>
      </c>
      <c r="K1473" s="9" t="str">
        <v/>
      </c>
    </row>
    <row r="1474" spans="1:11">
      <c r="A1474" t="str">
        <v/>
      </c>
      <c r="B1474" s="6">
        <v>0</v>
      </c>
      <c r="C1474" s="7" t="str">
        <v>趣点购浦发</v>
      </c>
      <c r="D1474" s="8">
        <v>0</v>
      </c>
      <c r="E1474" s="7">
        <v>0</v>
      </c>
      <c r="F1474" s="8">
        <v>0</v>
      </c>
      <c r="G1474" s="7">
        <v>0</v>
      </c>
      <c r="H1474" s="7">
        <v>81211.819999998</v>
      </c>
      <c r="I1474" s="7">
        <v>0</v>
      </c>
      <c r="J1474" s="8">
        <v>0</v>
      </c>
      <c r="K1474" s="9" t="str">
        <v/>
      </c>
    </row>
    <row r="1475" spans="1:11">
      <c r="A1475" t="str">
        <v/>
      </c>
      <c r="B1475" s="6">
        <v>0</v>
      </c>
      <c r="C1475" s="7" t="str">
        <v>趣点购浦发</v>
      </c>
      <c r="D1475" s="8">
        <v>0</v>
      </c>
      <c r="E1475" s="7">
        <v>0</v>
      </c>
      <c r="F1475" s="8">
        <v>0</v>
      </c>
      <c r="G1475" s="7">
        <v>0</v>
      </c>
      <c r="H1475" s="7">
        <v>81211.819999998</v>
      </c>
      <c r="I1475" s="7">
        <v>0</v>
      </c>
      <c r="J1475" s="8">
        <v>0</v>
      </c>
      <c r="K1475" s="9" t="str">
        <v/>
      </c>
    </row>
    <row r="1476" spans="1:11">
      <c r="A1476" t="str">
        <v/>
      </c>
      <c r="B1476" s="6">
        <v>0</v>
      </c>
      <c r="C1476" s="7" t="str">
        <v>趣点购浦发</v>
      </c>
      <c r="D1476" s="8">
        <v>0</v>
      </c>
      <c r="E1476" s="7">
        <v>0</v>
      </c>
      <c r="F1476" s="8">
        <v>0</v>
      </c>
      <c r="G1476" s="7">
        <v>0</v>
      </c>
      <c r="H1476" s="7">
        <v>81211.819999998</v>
      </c>
      <c r="I1476" s="7">
        <v>0</v>
      </c>
      <c r="J1476" s="8">
        <v>0</v>
      </c>
      <c r="K1476" s="9" t="str">
        <v/>
      </c>
    </row>
    <row r="1477" spans="1:11">
      <c r="A1477" t="str">
        <v/>
      </c>
      <c r="B1477" s="6">
        <v>0</v>
      </c>
      <c r="C1477" s="7" t="str">
        <v>趣点购浦发</v>
      </c>
      <c r="D1477" s="8">
        <v>0</v>
      </c>
      <c r="E1477" s="7">
        <v>0</v>
      </c>
      <c r="F1477" s="8">
        <v>0</v>
      </c>
      <c r="G1477" s="7">
        <v>0</v>
      </c>
      <c r="H1477" s="7">
        <v>81211.819999998</v>
      </c>
      <c r="I1477" s="7">
        <v>0</v>
      </c>
      <c r="J1477" s="8">
        <v>0</v>
      </c>
      <c r="K1477" s="9" t="str">
        <v/>
      </c>
    </row>
    <row r="1478" spans="1:11">
      <c r="A1478" t="str">
        <v/>
      </c>
      <c r="B1478" s="6">
        <v>0</v>
      </c>
      <c r="C1478" s="7" t="str">
        <v>趣点购浦发</v>
      </c>
      <c r="D1478" s="8">
        <v>0</v>
      </c>
      <c r="E1478" s="7">
        <v>0</v>
      </c>
      <c r="F1478" s="8">
        <v>0</v>
      </c>
      <c r="G1478" s="7">
        <v>0</v>
      </c>
      <c r="H1478" s="7">
        <v>81211.819999998</v>
      </c>
      <c r="I1478" s="7">
        <v>0</v>
      </c>
      <c r="J1478" s="8">
        <v>0</v>
      </c>
      <c r="K1478" s="9" t="str">
        <v/>
      </c>
    </row>
    <row r="1479" spans="1:11">
      <c r="A1479" t="str">
        <v/>
      </c>
      <c r="B1479" s="6">
        <v>0</v>
      </c>
      <c r="C1479" s="7" t="str">
        <v>趣点购浦发</v>
      </c>
      <c r="D1479" s="8">
        <v>0</v>
      </c>
      <c r="E1479" s="7">
        <v>0</v>
      </c>
      <c r="F1479" s="8">
        <v>0</v>
      </c>
      <c r="G1479" s="7">
        <v>0</v>
      </c>
      <c r="H1479" s="7">
        <v>81211.819999998</v>
      </c>
      <c r="I1479" s="7">
        <v>0</v>
      </c>
      <c r="J1479" s="8">
        <v>0</v>
      </c>
      <c r="K1479" s="9" t="str">
        <v/>
      </c>
    </row>
    <row r="1480" spans="1:11">
      <c r="A1480" t="str">
        <v/>
      </c>
      <c r="B1480" s="6">
        <v>0</v>
      </c>
      <c r="C1480" s="7" t="str">
        <v>趣点购浦发</v>
      </c>
      <c r="D1480" s="8">
        <v>0</v>
      </c>
      <c r="E1480" s="7">
        <v>0</v>
      </c>
      <c r="F1480" s="8">
        <v>0</v>
      </c>
      <c r="G1480" s="7">
        <v>0</v>
      </c>
      <c r="H1480" s="7">
        <v>81211.819999998</v>
      </c>
      <c r="I1480" s="7">
        <v>0</v>
      </c>
      <c r="J1480" s="8">
        <v>0</v>
      </c>
      <c r="K1480" s="9" t="str">
        <v/>
      </c>
    </row>
    <row r="1481" spans="1:11">
      <c r="A1481" t="str">
        <v/>
      </c>
      <c r="B1481" s="6">
        <v>0</v>
      </c>
      <c r="C1481" s="7" t="str">
        <v>趣点购浦发</v>
      </c>
      <c r="D1481" s="8">
        <v>0</v>
      </c>
      <c r="E1481" s="7">
        <v>0</v>
      </c>
      <c r="F1481" s="8">
        <v>0</v>
      </c>
      <c r="G1481" s="7">
        <v>0</v>
      </c>
      <c r="H1481" s="7">
        <v>81211.819999998</v>
      </c>
      <c r="I1481" s="7">
        <v>0</v>
      </c>
      <c r="J1481" s="8">
        <v>0</v>
      </c>
      <c r="K1481" s="9" t="str">
        <v/>
      </c>
    </row>
    <row r="1482" spans="1:11">
      <c r="A1482" t="str">
        <v/>
      </c>
      <c r="B1482" s="6">
        <v>0</v>
      </c>
      <c r="C1482" s="7" t="str">
        <v>趣点购浦发</v>
      </c>
      <c r="D1482" s="8">
        <v>0</v>
      </c>
      <c r="E1482" s="7">
        <v>0</v>
      </c>
      <c r="F1482" s="8">
        <v>0</v>
      </c>
      <c r="G1482" s="7">
        <v>0</v>
      </c>
      <c r="H1482" s="7">
        <v>81211.819999998</v>
      </c>
      <c r="I1482" s="7">
        <v>0</v>
      </c>
      <c r="J1482" s="8">
        <v>0</v>
      </c>
      <c r="K1482" s="9" t="str">
        <v/>
      </c>
    </row>
    <row r="1483" spans="1:11">
      <c r="A1483" t="str">
        <v/>
      </c>
      <c r="B1483" s="6">
        <v>0</v>
      </c>
      <c r="C1483" s="7" t="str">
        <v>趣点购浦发</v>
      </c>
      <c r="D1483" s="8">
        <v>0</v>
      </c>
      <c r="E1483" s="7">
        <v>0</v>
      </c>
      <c r="F1483" s="8">
        <v>0</v>
      </c>
      <c r="G1483" s="7">
        <v>0</v>
      </c>
      <c r="H1483" s="7">
        <v>81211.819999998</v>
      </c>
      <c r="I1483" s="7">
        <v>0</v>
      </c>
      <c r="J1483" s="8">
        <v>0</v>
      </c>
      <c r="K1483" s="9" t="str">
        <v/>
      </c>
    </row>
    <row r="1484" spans="1:11">
      <c r="A1484" t="str">
        <v/>
      </c>
      <c r="B1484" s="6">
        <v>0</v>
      </c>
      <c r="C1484" s="7" t="str">
        <v>趣点购浦发</v>
      </c>
      <c r="D1484" s="8">
        <v>0</v>
      </c>
      <c r="E1484" s="7">
        <v>0</v>
      </c>
      <c r="F1484" s="8">
        <v>0</v>
      </c>
      <c r="G1484" s="7">
        <v>0</v>
      </c>
      <c r="H1484" s="7">
        <v>81211.819999998</v>
      </c>
      <c r="I1484" s="7">
        <v>0</v>
      </c>
      <c r="J1484" s="8">
        <v>0</v>
      </c>
      <c r="K1484" s="9" t="str">
        <v/>
      </c>
    </row>
    <row r="1485" spans="1:11">
      <c r="A1485" t="str">
        <v/>
      </c>
      <c r="B1485" s="6">
        <v>0</v>
      </c>
      <c r="C1485" s="7" t="str">
        <v>趣点购浦发</v>
      </c>
      <c r="D1485" s="8">
        <v>0</v>
      </c>
      <c r="E1485" s="7">
        <v>0</v>
      </c>
      <c r="F1485" s="8">
        <v>0</v>
      </c>
      <c r="G1485" s="7">
        <v>0</v>
      </c>
      <c r="H1485" s="7">
        <v>81211.819999998</v>
      </c>
      <c r="I1485" s="7">
        <v>0</v>
      </c>
      <c r="J1485" s="8">
        <v>0</v>
      </c>
      <c r="K1485" s="9" t="str">
        <v/>
      </c>
    </row>
    <row r="1486" spans="1:11">
      <c r="A1486" t="str">
        <v/>
      </c>
      <c r="B1486" s="6">
        <v>0</v>
      </c>
      <c r="C1486" s="7" t="str">
        <v>趣点购浦发</v>
      </c>
      <c r="D1486" s="8">
        <v>0</v>
      </c>
      <c r="E1486" s="7">
        <v>0</v>
      </c>
      <c r="F1486" s="8">
        <v>0</v>
      </c>
      <c r="G1486" s="7">
        <v>0</v>
      </c>
      <c r="H1486" s="7">
        <v>81211.819999998</v>
      </c>
      <c r="I1486" s="7">
        <v>0</v>
      </c>
      <c r="J1486" s="8">
        <v>0</v>
      </c>
      <c r="K1486" s="9" t="str">
        <v/>
      </c>
    </row>
    <row r="1487" spans="1:11">
      <c r="A1487" t="str">
        <v/>
      </c>
      <c r="B1487" s="6">
        <v>0</v>
      </c>
      <c r="C1487" s="7" t="str">
        <v>趣点购浦发</v>
      </c>
      <c r="D1487" s="8">
        <v>0</v>
      </c>
      <c r="E1487" s="7">
        <v>0</v>
      </c>
      <c r="F1487" s="8">
        <v>0</v>
      </c>
      <c r="G1487" s="7">
        <v>0</v>
      </c>
      <c r="H1487" s="7">
        <v>81211.819999998</v>
      </c>
      <c r="I1487" s="7">
        <v>0</v>
      </c>
      <c r="J1487" s="8">
        <v>0</v>
      </c>
      <c r="K1487" s="9" t="str">
        <v/>
      </c>
    </row>
    <row r="1488" spans="1:11">
      <c r="A1488" t="str">
        <v/>
      </c>
      <c r="B1488" s="6">
        <v>0</v>
      </c>
      <c r="C1488" s="7" t="str">
        <v>趣点购浦发</v>
      </c>
      <c r="D1488" s="8">
        <v>0</v>
      </c>
      <c r="E1488" s="7">
        <v>0</v>
      </c>
      <c r="F1488" s="8">
        <v>0</v>
      </c>
      <c r="G1488" s="7">
        <v>0</v>
      </c>
      <c r="H1488" s="7">
        <v>81211.819999998</v>
      </c>
      <c r="I1488" s="7">
        <v>0</v>
      </c>
      <c r="J1488" s="8">
        <v>0</v>
      </c>
      <c r="K1488" s="9" t="str">
        <v/>
      </c>
    </row>
    <row r="1489" spans="1:11">
      <c r="A1489" t="str">
        <v/>
      </c>
      <c r="B1489" s="6">
        <v>0</v>
      </c>
      <c r="C1489" s="7" t="str">
        <v>趣点购浦发</v>
      </c>
      <c r="D1489" s="8">
        <v>0</v>
      </c>
      <c r="E1489" s="7">
        <v>0</v>
      </c>
      <c r="F1489" s="8">
        <v>0</v>
      </c>
      <c r="G1489" s="7">
        <v>0</v>
      </c>
      <c r="H1489" s="7">
        <v>81211.819999998</v>
      </c>
      <c r="I1489" s="7">
        <v>0</v>
      </c>
      <c r="J1489" s="8">
        <v>0</v>
      </c>
      <c r="K1489" s="9" t="str">
        <v/>
      </c>
    </row>
    <row r="1490" spans="1:11">
      <c r="A1490" t="str">
        <v/>
      </c>
      <c r="B1490" s="6">
        <v>0</v>
      </c>
      <c r="C1490" s="7" t="str">
        <v>趣点购浦发</v>
      </c>
      <c r="D1490" s="8">
        <v>0</v>
      </c>
      <c r="E1490" s="7">
        <v>0</v>
      </c>
      <c r="F1490" s="8">
        <v>0</v>
      </c>
      <c r="G1490" s="7">
        <v>0</v>
      </c>
      <c r="H1490" s="7">
        <v>81211.819999998</v>
      </c>
      <c r="I1490" s="7">
        <v>0</v>
      </c>
      <c r="J1490" s="8">
        <v>0</v>
      </c>
      <c r="K1490" s="9" t="str">
        <v/>
      </c>
    </row>
    <row r="1491" spans="1:11">
      <c r="A1491" t="str">
        <v/>
      </c>
      <c r="B1491" s="6">
        <v>0</v>
      </c>
      <c r="C1491" s="7" t="str">
        <v>趣点购浦发</v>
      </c>
      <c r="D1491" s="8">
        <v>0</v>
      </c>
      <c r="E1491" s="7">
        <v>0</v>
      </c>
      <c r="F1491" s="8">
        <v>0</v>
      </c>
      <c r="G1491" s="7">
        <v>0</v>
      </c>
      <c r="H1491" s="7">
        <v>81211.819999998</v>
      </c>
      <c r="I1491" s="7">
        <v>0</v>
      </c>
      <c r="J1491" s="8">
        <v>0</v>
      </c>
      <c r="K1491" s="9" t="str">
        <v/>
      </c>
    </row>
    <row r="1492" spans="1:11">
      <c r="A1492" t="str">
        <v/>
      </c>
      <c r="B1492" s="6">
        <v>0</v>
      </c>
      <c r="C1492" s="7" t="str">
        <v>趣点购浦发</v>
      </c>
      <c r="D1492" s="8">
        <v>0</v>
      </c>
      <c r="E1492" s="7">
        <v>0</v>
      </c>
      <c r="F1492" s="8">
        <v>0</v>
      </c>
      <c r="G1492" s="7">
        <v>0</v>
      </c>
      <c r="H1492" s="7">
        <v>81211.819999998</v>
      </c>
      <c r="I1492" s="7">
        <v>0</v>
      </c>
      <c r="J1492" s="8">
        <v>0</v>
      </c>
      <c r="K1492" s="9" t="str">
        <v/>
      </c>
    </row>
    <row r="1493" spans="1:11">
      <c r="A1493" t="str">
        <v/>
      </c>
      <c r="B1493" s="6">
        <v>0</v>
      </c>
      <c r="C1493" s="7" t="str">
        <v>趣点购浦发</v>
      </c>
      <c r="D1493" s="8">
        <v>0</v>
      </c>
      <c r="E1493" s="7">
        <v>0</v>
      </c>
      <c r="F1493" s="8">
        <v>0</v>
      </c>
      <c r="G1493" s="7">
        <v>0</v>
      </c>
      <c r="H1493" s="7">
        <v>81211.819999998</v>
      </c>
      <c r="I1493" s="7">
        <v>0</v>
      </c>
      <c r="J1493" s="8">
        <v>0</v>
      </c>
      <c r="K1493" s="9" t="str">
        <v/>
      </c>
    </row>
    <row r="1494" spans="1:11">
      <c r="A1494" t="str">
        <v/>
      </c>
      <c r="B1494" s="6">
        <v>0</v>
      </c>
      <c r="C1494" s="7" t="str">
        <v>趣点购浦发</v>
      </c>
      <c r="D1494" s="8">
        <v>0</v>
      </c>
      <c r="E1494" s="7">
        <v>0</v>
      </c>
      <c r="F1494" s="8">
        <v>0</v>
      </c>
      <c r="G1494" s="7">
        <v>0</v>
      </c>
      <c r="H1494" s="7">
        <v>81211.819999998</v>
      </c>
      <c r="I1494" s="7">
        <v>0</v>
      </c>
      <c r="J1494" s="8">
        <v>0</v>
      </c>
      <c r="K1494" s="9" t="str">
        <v/>
      </c>
    </row>
    <row r="1495" spans="1:11">
      <c r="A1495" t="str">
        <v/>
      </c>
      <c r="B1495" s="6">
        <v>0</v>
      </c>
      <c r="C1495" s="7" t="str">
        <v>趣点购浦发</v>
      </c>
      <c r="D1495" s="8">
        <v>0</v>
      </c>
      <c r="E1495" s="7">
        <v>0</v>
      </c>
      <c r="F1495" s="8">
        <v>0</v>
      </c>
      <c r="G1495" s="7">
        <v>0</v>
      </c>
      <c r="H1495" s="7">
        <v>81211.819999998</v>
      </c>
      <c r="I1495" s="7">
        <v>0</v>
      </c>
      <c r="J1495" s="8">
        <v>0</v>
      </c>
      <c r="K1495" s="9" t="str">
        <v/>
      </c>
    </row>
    <row r="1496" spans="1:11">
      <c r="A1496" t="str">
        <v/>
      </c>
      <c r="B1496" s="6">
        <v>0</v>
      </c>
      <c r="C1496" s="7" t="str">
        <v>趣点购浦发</v>
      </c>
      <c r="D1496" s="8">
        <v>0</v>
      </c>
      <c r="E1496" s="7">
        <v>0</v>
      </c>
      <c r="F1496" s="8">
        <v>0</v>
      </c>
      <c r="G1496" s="7">
        <v>0</v>
      </c>
      <c r="H1496" s="7">
        <v>81211.819999998</v>
      </c>
      <c r="I1496" s="7">
        <v>0</v>
      </c>
      <c r="J1496" s="8">
        <v>0</v>
      </c>
      <c r="K1496" s="9" t="str">
        <v/>
      </c>
    </row>
    <row r="1497" spans="1:11">
      <c r="A1497" t="str">
        <v/>
      </c>
      <c r="B1497" s="6">
        <v>0</v>
      </c>
      <c r="C1497" s="7" t="str">
        <v>趣点购浦发</v>
      </c>
      <c r="D1497" s="8">
        <v>0</v>
      </c>
      <c r="E1497" s="7">
        <v>0</v>
      </c>
      <c r="F1497" s="8">
        <v>0</v>
      </c>
      <c r="G1497" s="7">
        <v>0</v>
      </c>
      <c r="H1497" s="7">
        <v>81211.819999998</v>
      </c>
      <c r="I1497" s="7">
        <v>0</v>
      </c>
      <c r="J1497" s="8">
        <v>0</v>
      </c>
      <c r="K1497" s="9" t="str">
        <v/>
      </c>
    </row>
    <row r="1498" spans="1:11">
      <c r="A1498" t="str">
        <v/>
      </c>
      <c r="B1498" s="6">
        <v>0</v>
      </c>
      <c r="C1498" s="7" t="str">
        <v>趣点购浦发</v>
      </c>
      <c r="D1498" s="8">
        <v>0</v>
      </c>
      <c r="E1498" s="7">
        <v>0</v>
      </c>
      <c r="F1498" s="8">
        <v>0</v>
      </c>
      <c r="G1498" s="7">
        <v>0</v>
      </c>
      <c r="H1498" s="7">
        <v>81211.819999998</v>
      </c>
      <c r="I1498" s="7">
        <v>0</v>
      </c>
      <c r="J1498" s="8">
        <v>0</v>
      </c>
      <c r="K1498" s="9" t="str">
        <v/>
      </c>
    </row>
    <row r="1499" spans="1:11">
      <c r="A1499" t="str">
        <v/>
      </c>
      <c r="B1499" s="6">
        <v>0</v>
      </c>
      <c r="C1499" s="7" t="str">
        <v>趣点购浦发</v>
      </c>
      <c r="D1499" s="8">
        <v>0</v>
      </c>
      <c r="E1499" s="7">
        <v>0</v>
      </c>
      <c r="F1499" s="8">
        <v>0</v>
      </c>
      <c r="G1499" s="7">
        <v>0</v>
      </c>
      <c r="H1499" s="7">
        <v>81211.819999998</v>
      </c>
      <c r="I1499" s="7">
        <v>0</v>
      </c>
      <c r="J1499" s="8">
        <v>0</v>
      </c>
      <c r="K1499" s="9" t="str">
        <v/>
      </c>
    </row>
    <row r="1500" spans="1:11">
      <c r="A1500" t="str">
        <v/>
      </c>
      <c r="B1500" s="6">
        <v>0</v>
      </c>
      <c r="C1500" s="7" t="str">
        <v>趣点购浦发</v>
      </c>
      <c r="D1500" s="8">
        <v>0</v>
      </c>
      <c r="E1500" s="7">
        <v>0</v>
      </c>
      <c r="F1500" s="8">
        <v>0</v>
      </c>
      <c r="G1500" s="7">
        <v>0</v>
      </c>
      <c r="H1500" s="7">
        <v>81211.819999998</v>
      </c>
      <c r="I1500" s="7">
        <v>0</v>
      </c>
      <c r="J1500" s="8">
        <v>0</v>
      </c>
      <c r="K1500" s="9" t="str">
        <v/>
      </c>
    </row>
    <row r="1501" spans="1:11">
      <c r="A1501" t="str">
        <v/>
      </c>
      <c r="B1501" s="6">
        <v>0</v>
      </c>
      <c r="C1501" s="7" t="str">
        <v>趣点购浦发</v>
      </c>
      <c r="D1501" s="8">
        <v>0</v>
      </c>
      <c r="E1501" s="7">
        <v>0</v>
      </c>
      <c r="F1501" s="8">
        <v>0</v>
      </c>
      <c r="G1501" s="7">
        <v>0</v>
      </c>
      <c r="H1501" s="7">
        <v>81211.819999998</v>
      </c>
      <c r="I1501" s="7">
        <v>0</v>
      </c>
      <c r="J1501" s="8">
        <v>0</v>
      </c>
      <c r="K1501" s="9" t="str">
        <v/>
      </c>
    </row>
    <row r="1502" spans="1:11">
      <c r="A1502" t="str">
        <v/>
      </c>
      <c r="B1502" s="6">
        <v>0</v>
      </c>
      <c r="C1502" s="7" t="str">
        <v>趣点购浦发</v>
      </c>
      <c r="D1502" s="8">
        <v>0</v>
      </c>
      <c r="E1502" s="7">
        <v>0</v>
      </c>
      <c r="F1502" s="8">
        <v>0</v>
      </c>
      <c r="G1502" s="7">
        <v>0</v>
      </c>
      <c r="H1502" s="7">
        <v>81211.819999998</v>
      </c>
      <c r="I1502" s="7">
        <v>0</v>
      </c>
      <c r="J1502" s="8">
        <v>0</v>
      </c>
      <c r="K1502" s="9" t="str">
        <v/>
      </c>
    </row>
    <row r="1503" spans="1:11">
      <c r="A1503" t="str">
        <v/>
      </c>
      <c r="B1503" s="6">
        <v>0</v>
      </c>
      <c r="C1503" s="7" t="str">
        <v>趣点购浦发</v>
      </c>
      <c r="D1503" s="8">
        <v>0</v>
      </c>
      <c r="E1503" s="7">
        <v>0</v>
      </c>
      <c r="F1503" s="8">
        <v>0</v>
      </c>
      <c r="G1503" s="7">
        <v>0</v>
      </c>
      <c r="H1503" s="7">
        <v>81211.819999998</v>
      </c>
      <c r="I1503" s="7">
        <v>0</v>
      </c>
      <c r="J1503" s="8">
        <v>0</v>
      </c>
      <c r="K1503" s="9" t="str">
        <v/>
      </c>
    </row>
    <row r="1504" spans="1:11">
      <c r="A1504" t="str">
        <v/>
      </c>
      <c r="B1504" s="6">
        <v>0</v>
      </c>
      <c r="C1504" s="7" t="str">
        <v>趣点购浦发</v>
      </c>
      <c r="D1504" s="8">
        <v>0</v>
      </c>
      <c r="E1504" s="7">
        <v>0</v>
      </c>
      <c r="F1504" s="8">
        <v>0</v>
      </c>
      <c r="G1504" s="7">
        <v>0</v>
      </c>
      <c r="H1504" s="7">
        <v>81211.819999998</v>
      </c>
      <c r="I1504" s="7">
        <v>0</v>
      </c>
      <c r="J1504" s="8">
        <v>0</v>
      </c>
      <c r="K1504" s="9" t="str">
        <v/>
      </c>
    </row>
    <row r="1505" spans="1:11">
      <c r="A1505" t="str">
        <v/>
      </c>
      <c r="B1505" s="6">
        <v>0</v>
      </c>
      <c r="C1505" s="7" t="str">
        <v>趣点购浦发</v>
      </c>
      <c r="D1505" s="8">
        <v>0</v>
      </c>
      <c r="E1505" s="7">
        <v>0</v>
      </c>
      <c r="F1505" s="8">
        <v>0</v>
      </c>
      <c r="G1505" s="7">
        <v>0</v>
      </c>
      <c r="H1505" s="7">
        <v>81211.819999998</v>
      </c>
      <c r="I1505" s="7">
        <v>0</v>
      </c>
      <c r="J1505" s="8">
        <v>0</v>
      </c>
      <c r="K1505" s="9" t="str">
        <v/>
      </c>
    </row>
    <row r="1506" spans="1:11">
      <c r="A1506" t="str">
        <v/>
      </c>
      <c r="B1506" s="6">
        <v>0</v>
      </c>
      <c r="C1506" s="7" t="str">
        <v>趣点购浦发</v>
      </c>
      <c r="D1506" s="8">
        <v>0</v>
      </c>
      <c r="E1506" s="7">
        <v>0</v>
      </c>
      <c r="F1506" s="8">
        <v>0</v>
      </c>
      <c r="G1506" s="7">
        <v>0</v>
      </c>
      <c r="H1506" s="7">
        <v>81211.819999998</v>
      </c>
      <c r="I1506" s="7">
        <v>0</v>
      </c>
      <c r="J1506" s="8">
        <v>0</v>
      </c>
      <c r="K1506" s="9" t="str">
        <v/>
      </c>
    </row>
    <row r="1507" spans="1:11">
      <c r="A1507" t="str">
        <v/>
      </c>
      <c r="B1507" s="6">
        <v>0</v>
      </c>
      <c r="C1507" s="7" t="str">
        <v>趣点购浦发</v>
      </c>
      <c r="D1507" s="8">
        <v>0</v>
      </c>
      <c r="E1507" s="7">
        <v>0</v>
      </c>
      <c r="F1507" s="8">
        <v>0</v>
      </c>
      <c r="G1507" s="7">
        <v>0</v>
      </c>
      <c r="H1507" s="7">
        <v>81211.819999998</v>
      </c>
      <c r="I1507" s="7">
        <v>0</v>
      </c>
      <c r="J1507" s="8">
        <v>0</v>
      </c>
      <c r="K1507" s="9" t="str">
        <v/>
      </c>
    </row>
    <row r="1508" spans="1:11">
      <c r="A1508" t="str">
        <v/>
      </c>
      <c r="B1508" s="6">
        <v>0</v>
      </c>
      <c r="C1508" s="7" t="str">
        <v>趣点购浦发</v>
      </c>
      <c r="D1508" s="8">
        <v>0</v>
      </c>
      <c r="E1508" s="7">
        <v>0</v>
      </c>
      <c r="F1508" s="8">
        <v>0</v>
      </c>
      <c r="G1508" s="7">
        <v>0</v>
      </c>
      <c r="H1508" s="7">
        <v>81211.819999998</v>
      </c>
      <c r="I1508" s="7">
        <v>0</v>
      </c>
      <c r="J1508" s="8">
        <v>0</v>
      </c>
      <c r="K1508" s="9" t="str">
        <v/>
      </c>
    </row>
    <row r="1509" spans="1:11">
      <c r="A1509" t="str">
        <v/>
      </c>
      <c r="B1509" s="6">
        <v>0</v>
      </c>
      <c r="C1509" s="7" t="str">
        <v>趣点购浦发</v>
      </c>
      <c r="D1509" s="8">
        <v>0</v>
      </c>
      <c r="E1509" s="7">
        <v>0</v>
      </c>
      <c r="F1509" s="8">
        <v>0</v>
      </c>
      <c r="G1509" s="7">
        <v>0</v>
      </c>
      <c r="H1509" s="7">
        <v>81211.819999998</v>
      </c>
      <c r="I1509" s="7">
        <v>0</v>
      </c>
      <c r="J1509" s="8">
        <v>0</v>
      </c>
      <c r="K1509" s="9" t="str">
        <v/>
      </c>
    </row>
    <row r="1510" spans="1:11">
      <c r="A1510" t="str">
        <v/>
      </c>
      <c r="B1510" s="6">
        <v>0</v>
      </c>
      <c r="C1510" s="7" t="str">
        <v>趣点购浦发</v>
      </c>
      <c r="D1510" s="8">
        <v>0</v>
      </c>
      <c r="E1510" s="7">
        <v>0</v>
      </c>
      <c r="F1510" s="8">
        <v>0</v>
      </c>
      <c r="G1510" s="7">
        <v>0</v>
      </c>
      <c r="H1510" s="7">
        <v>81211.819999998</v>
      </c>
      <c r="I1510" s="7">
        <v>0</v>
      </c>
      <c r="J1510" s="8">
        <v>0</v>
      </c>
      <c r="K1510" s="9" t="str">
        <v/>
      </c>
    </row>
    <row r="1511" spans="1:11">
      <c r="A1511" t="str">
        <v/>
      </c>
      <c r="B1511" s="6">
        <v>0</v>
      </c>
      <c r="C1511" s="7" t="str">
        <v>趣点购浦发</v>
      </c>
      <c r="D1511" s="8">
        <v>0</v>
      </c>
      <c r="E1511" s="7">
        <v>0</v>
      </c>
      <c r="F1511" s="8">
        <v>0</v>
      </c>
      <c r="G1511" s="7">
        <v>0</v>
      </c>
      <c r="H1511" s="7">
        <v>81211.819999998</v>
      </c>
      <c r="I1511" s="7">
        <v>0</v>
      </c>
      <c r="J1511" s="8">
        <v>0</v>
      </c>
      <c r="K1511" s="9" t="str">
        <v/>
      </c>
    </row>
    <row r="1512" spans="1:11">
      <c r="A1512" t="str">
        <v/>
      </c>
      <c r="B1512" s="6">
        <v>0</v>
      </c>
      <c r="C1512" s="7" t="str">
        <v>趣点购浦发</v>
      </c>
      <c r="D1512" s="8">
        <v>0</v>
      </c>
      <c r="E1512" s="7">
        <v>0</v>
      </c>
      <c r="F1512" s="8">
        <v>0</v>
      </c>
      <c r="G1512" s="7">
        <v>0</v>
      </c>
      <c r="H1512" s="7">
        <v>81211.819999998</v>
      </c>
      <c r="I1512" s="7">
        <v>0</v>
      </c>
      <c r="J1512" s="8">
        <v>0</v>
      </c>
      <c r="K1512" s="9" t="str">
        <v/>
      </c>
    </row>
    <row r="1513" spans="1:11">
      <c r="A1513" t="str">
        <v/>
      </c>
      <c r="B1513" s="6">
        <v>0</v>
      </c>
      <c r="C1513" s="7" t="str">
        <v>趣点购浦发</v>
      </c>
      <c r="D1513" s="8">
        <v>0</v>
      </c>
      <c r="E1513" s="7">
        <v>0</v>
      </c>
      <c r="F1513" s="8">
        <v>0</v>
      </c>
      <c r="G1513" s="7">
        <v>0</v>
      </c>
      <c r="H1513" s="7">
        <v>81211.819999998</v>
      </c>
      <c r="I1513" s="7">
        <v>0</v>
      </c>
      <c r="J1513" s="8">
        <v>0</v>
      </c>
      <c r="K1513" s="9" t="str">
        <v/>
      </c>
    </row>
    <row r="1514" spans="1:11">
      <c r="A1514" t="str">
        <v/>
      </c>
      <c r="B1514" s="6">
        <v>0</v>
      </c>
      <c r="C1514" s="7" t="str">
        <v>趣点购浦发</v>
      </c>
      <c r="D1514" s="8">
        <v>0</v>
      </c>
      <c r="E1514" s="7">
        <v>0</v>
      </c>
      <c r="F1514" s="8">
        <v>0</v>
      </c>
      <c r="G1514" s="7">
        <v>0</v>
      </c>
      <c r="H1514" s="7">
        <v>81211.819999998</v>
      </c>
      <c r="I1514" s="7">
        <v>0</v>
      </c>
      <c r="J1514" s="8">
        <v>0</v>
      </c>
      <c r="K1514" s="9" t="str">
        <v/>
      </c>
    </row>
    <row r="1515" spans="1:11">
      <c r="A1515" t="str">
        <v/>
      </c>
      <c r="B1515" s="6">
        <v>0</v>
      </c>
      <c r="C1515" s="7" t="str">
        <v>趣点购浦发</v>
      </c>
      <c r="D1515" s="8">
        <v>0</v>
      </c>
      <c r="E1515" s="7">
        <v>0</v>
      </c>
      <c r="F1515" s="8">
        <v>0</v>
      </c>
      <c r="G1515" s="7">
        <v>0</v>
      </c>
      <c r="H1515" s="7">
        <v>81211.819999998</v>
      </c>
      <c r="I1515" s="7">
        <v>0</v>
      </c>
      <c r="J1515" s="8">
        <v>0</v>
      </c>
      <c r="K1515" s="9" t="str">
        <v/>
      </c>
    </row>
    <row r="1516" spans="1:11">
      <c r="A1516" t="str">
        <v/>
      </c>
      <c r="B1516" s="6">
        <v>0</v>
      </c>
      <c r="C1516" s="7" t="str">
        <v>趣点购浦发</v>
      </c>
      <c r="D1516" s="8">
        <v>0</v>
      </c>
      <c r="E1516" s="7">
        <v>0</v>
      </c>
      <c r="F1516" s="8">
        <v>0</v>
      </c>
      <c r="G1516" s="7">
        <v>0</v>
      </c>
      <c r="H1516" s="7">
        <v>81211.819999998</v>
      </c>
      <c r="I1516" s="7">
        <v>0</v>
      </c>
      <c r="J1516" s="8">
        <v>0</v>
      </c>
      <c r="K1516" s="9" t="str">
        <v/>
      </c>
    </row>
    <row r="1517" spans="1:11">
      <c r="A1517" t="str">
        <v/>
      </c>
      <c r="B1517" s="6">
        <v>0</v>
      </c>
      <c r="C1517" s="7" t="str">
        <v>趣点购浦发</v>
      </c>
      <c r="D1517" s="8">
        <v>0</v>
      </c>
      <c r="E1517" s="7">
        <v>0</v>
      </c>
      <c r="F1517" s="8">
        <v>0</v>
      </c>
      <c r="G1517" s="7">
        <v>0</v>
      </c>
      <c r="H1517" s="7">
        <v>81211.819999998</v>
      </c>
      <c r="I1517" s="7">
        <v>0</v>
      </c>
      <c r="J1517" s="8">
        <v>0</v>
      </c>
      <c r="K1517" s="9" t="str">
        <v/>
      </c>
    </row>
    <row r="1518" spans="1:11">
      <c r="A1518" t="str">
        <v/>
      </c>
      <c r="B1518" s="6">
        <v>0</v>
      </c>
      <c r="C1518" s="7" t="str">
        <v>趣点购浦发</v>
      </c>
      <c r="D1518" s="8">
        <v>0</v>
      </c>
      <c r="E1518" s="7">
        <v>0</v>
      </c>
      <c r="F1518" s="8">
        <v>0</v>
      </c>
      <c r="G1518" s="7">
        <v>0</v>
      </c>
      <c r="H1518" s="7">
        <v>81211.819999998</v>
      </c>
      <c r="I1518" s="7">
        <v>0</v>
      </c>
      <c r="J1518" s="8">
        <v>0</v>
      </c>
      <c r="K1518" s="9" t="str">
        <v/>
      </c>
    </row>
    <row r="1519" spans="1:11">
      <c r="A1519" t="str">
        <v/>
      </c>
      <c r="B1519" s="6">
        <v>0</v>
      </c>
      <c r="C1519" s="7" t="str">
        <v>趣点购浦发</v>
      </c>
      <c r="D1519" s="8">
        <v>0</v>
      </c>
      <c r="E1519" s="7">
        <v>0</v>
      </c>
      <c r="F1519" s="8">
        <v>0</v>
      </c>
      <c r="G1519" s="7">
        <v>0</v>
      </c>
      <c r="H1519" s="7">
        <v>81211.819999998</v>
      </c>
      <c r="I1519" s="7">
        <v>0</v>
      </c>
      <c r="J1519" s="8">
        <v>0</v>
      </c>
      <c r="K1519" s="9" t="str">
        <v/>
      </c>
    </row>
    <row r="1520" spans="1:11">
      <c r="A1520" t="str">
        <v/>
      </c>
      <c r="B1520" s="6">
        <v>0</v>
      </c>
      <c r="C1520" s="7" t="str">
        <v>趣点购浦发</v>
      </c>
      <c r="D1520" s="8">
        <v>0</v>
      </c>
      <c r="E1520" s="7">
        <v>0</v>
      </c>
      <c r="F1520" s="8">
        <v>0</v>
      </c>
      <c r="G1520" s="7">
        <v>0</v>
      </c>
      <c r="H1520" s="7">
        <v>81211.819999998</v>
      </c>
      <c r="I1520" s="7">
        <v>0</v>
      </c>
      <c r="J1520" s="8">
        <v>0</v>
      </c>
      <c r="K1520" s="9" t="str">
        <v/>
      </c>
    </row>
    <row r="1521" spans="1:11">
      <c r="A1521" t="str">
        <v/>
      </c>
      <c r="B1521" s="6">
        <v>0</v>
      </c>
      <c r="C1521" s="7" t="str">
        <v>趣点购浦发</v>
      </c>
      <c r="D1521" s="8">
        <v>0</v>
      </c>
      <c r="E1521" s="7">
        <v>0</v>
      </c>
      <c r="F1521" s="8">
        <v>0</v>
      </c>
      <c r="G1521" s="7">
        <v>0</v>
      </c>
      <c r="H1521" s="7">
        <v>81211.819999998</v>
      </c>
      <c r="I1521" s="7">
        <v>0</v>
      </c>
      <c r="J1521" s="8">
        <v>0</v>
      </c>
      <c r="K1521" s="9" t="str">
        <v/>
      </c>
    </row>
    <row r="1522" spans="1:11">
      <c r="A1522" t="str">
        <v/>
      </c>
      <c r="B1522" s="6">
        <v>0</v>
      </c>
      <c r="C1522" s="7" t="str">
        <v>趣点购浦发</v>
      </c>
      <c r="D1522" s="8">
        <v>0</v>
      </c>
      <c r="E1522" s="7">
        <v>0</v>
      </c>
      <c r="F1522" s="8">
        <v>0</v>
      </c>
      <c r="G1522" s="7">
        <v>0</v>
      </c>
      <c r="H1522" s="7">
        <v>81211.819999998</v>
      </c>
      <c r="I1522" s="7">
        <v>0</v>
      </c>
      <c r="J1522" s="8">
        <v>0</v>
      </c>
      <c r="K1522" s="9" t="str">
        <v/>
      </c>
    </row>
    <row r="1523" spans="1:11">
      <c r="A1523" t="str">
        <v/>
      </c>
      <c r="B1523" s="6">
        <v>0</v>
      </c>
      <c r="C1523" s="7" t="str">
        <v>趣点购浦发</v>
      </c>
      <c r="D1523" s="8">
        <v>0</v>
      </c>
      <c r="E1523" s="7">
        <v>0</v>
      </c>
      <c r="F1523" s="8">
        <v>0</v>
      </c>
      <c r="G1523" s="7">
        <v>0</v>
      </c>
      <c r="H1523" s="7">
        <v>81211.819999998</v>
      </c>
      <c r="I1523" s="7">
        <v>0</v>
      </c>
      <c r="J1523" s="8">
        <v>0</v>
      </c>
      <c r="K1523" s="9" t="str">
        <v/>
      </c>
    </row>
    <row r="1524" spans="1:11">
      <c r="A1524" t="str">
        <v/>
      </c>
      <c r="B1524" s="6">
        <v>0</v>
      </c>
      <c r="C1524" s="7" t="str">
        <v>趣点购浦发</v>
      </c>
      <c r="D1524" s="8">
        <v>0</v>
      </c>
      <c r="E1524" s="7">
        <v>0</v>
      </c>
      <c r="F1524" s="8">
        <v>0</v>
      </c>
      <c r="G1524" s="7">
        <v>0</v>
      </c>
      <c r="H1524" s="7">
        <v>81211.819999998</v>
      </c>
      <c r="I1524" s="7">
        <v>0</v>
      </c>
      <c r="J1524" s="8">
        <v>0</v>
      </c>
      <c r="K1524" s="9" t="str">
        <v/>
      </c>
    </row>
    <row r="1525" spans="1:11">
      <c r="A1525" t="str">
        <v/>
      </c>
      <c r="B1525" s="6">
        <v>0</v>
      </c>
      <c r="C1525" s="7" t="str">
        <v>趣点购浦发</v>
      </c>
      <c r="D1525" s="8">
        <v>0</v>
      </c>
      <c r="E1525" s="7">
        <v>0</v>
      </c>
      <c r="F1525" s="8">
        <v>0</v>
      </c>
      <c r="G1525" s="7">
        <v>0</v>
      </c>
      <c r="H1525" s="7">
        <v>81211.819999998</v>
      </c>
      <c r="I1525" s="7">
        <v>0</v>
      </c>
      <c r="J1525" s="8">
        <v>0</v>
      </c>
      <c r="K1525" s="9" t="str">
        <v/>
      </c>
    </row>
    <row r="1526" spans="1:11">
      <c r="A1526" t="str">
        <v/>
      </c>
      <c r="B1526" s="6">
        <v>0</v>
      </c>
      <c r="C1526" s="7" t="str">
        <v>趣点购浦发</v>
      </c>
      <c r="D1526" s="8">
        <v>0</v>
      </c>
      <c r="E1526" s="7">
        <v>0</v>
      </c>
      <c r="F1526" s="8">
        <v>0</v>
      </c>
      <c r="G1526" s="7">
        <v>0</v>
      </c>
      <c r="H1526" s="7">
        <v>81211.819999998</v>
      </c>
      <c r="I1526" s="7">
        <v>0</v>
      </c>
      <c r="J1526" s="8">
        <v>0</v>
      </c>
      <c r="K1526" s="9" t="str">
        <v/>
      </c>
    </row>
    <row r="1527" spans="1:11">
      <c r="A1527" t="str">
        <v/>
      </c>
      <c r="B1527" s="6">
        <v>0</v>
      </c>
      <c r="C1527" s="7" t="str">
        <v>趣点购浦发</v>
      </c>
      <c r="D1527" s="8">
        <v>0</v>
      </c>
      <c r="E1527" s="7">
        <v>0</v>
      </c>
      <c r="F1527" s="8">
        <v>0</v>
      </c>
      <c r="G1527" s="7">
        <v>0</v>
      </c>
      <c r="H1527" s="7">
        <v>81211.819999998</v>
      </c>
      <c r="I1527" s="7">
        <v>0</v>
      </c>
      <c r="J1527" s="8">
        <v>0</v>
      </c>
      <c r="K1527" s="9" t="str">
        <v/>
      </c>
    </row>
    <row r="1528" spans="1:11">
      <c r="A1528" t="str">
        <v/>
      </c>
      <c r="B1528" s="6">
        <v>0</v>
      </c>
      <c r="C1528" s="7" t="str">
        <v>趣点购浦发</v>
      </c>
      <c r="D1528" s="8">
        <v>0</v>
      </c>
      <c r="E1528" s="7">
        <v>0</v>
      </c>
      <c r="F1528" s="8">
        <v>0</v>
      </c>
      <c r="G1528" s="7">
        <v>0</v>
      </c>
      <c r="H1528" s="7">
        <v>81211.819999998</v>
      </c>
      <c r="I1528" s="7">
        <v>0</v>
      </c>
      <c r="J1528" s="8">
        <v>0</v>
      </c>
      <c r="K1528" s="9" t="str">
        <v/>
      </c>
    </row>
    <row r="1529" spans="1:11">
      <c r="A1529" t="str">
        <v/>
      </c>
      <c r="B1529" s="6">
        <v>0</v>
      </c>
      <c r="C1529" s="7" t="str">
        <v>趣点购浦发</v>
      </c>
      <c r="D1529" s="8">
        <v>0</v>
      </c>
      <c r="E1529" s="7">
        <v>0</v>
      </c>
      <c r="F1529" s="8">
        <v>0</v>
      </c>
      <c r="G1529" s="7">
        <v>0</v>
      </c>
      <c r="H1529" s="7">
        <v>81211.819999998</v>
      </c>
      <c r="I1529" s="7">
        <v>0</v>
      </c>
      <c r="J1529" s="8">
        <v>0</v>
      </c>
      <c r="K1529" s="9" t="str">
        <v/>
      </c>
    </row>
    <row r="1530" spans="1:11">
      <c r="A1530" t="str">
        <v/>
      </c>
      <c r="B1530" s="6">
        <v>0</v>
      </c>
      <c r="C1530" s="7" t="str">
        <v>趣点购浦发</v>
      </c>
      <c r="D1530" s="8">
        <v>0</v>
      </c>
      <c r="E1530" s="7">
        <v>0</v>
      </c>
      <c r="F1530" s="8">
        <v>0</v>
      </c>
      <c r="G1530" s="7">
        <v>0</v>
      </c>
      <c r="H1530" s="7">
        <v>81211.819999998</v>
      </c>
      <c r="I1530" s="7">
        <v>0</v>
      </c>
      <c r="J1530" s="8">
        <v>0</v>
      </c>
      <c r="K1530" s="9" t="str">
        <v/>
      </c>
    </row>
    <row r="1531" spans="1:11">
      <c r="A1531" t="str">
        <v/>
      </c>
      <c r="B1531" s="6">
        <v>0</v>
      </c>
      <c r="C1531" s="7" t="str">
        <v>趣点购浦发</v>
      </c>
      <c r="D1531" s="8">
        <v>0</v>
      </c>
      <c r="E1531" s="7">
        <v>0</v>
      </c>
      <c r="F1531" s="8">
        <v>0</v>
      </c>
      <c r="G1531" s="7">
        <v>0</v>
      </c>
      <c r="H1531" s="7">
        <v>81211.819999998</v>
      </c>
      <c r="I1531" s="7">
        <v>0</v>
      </c>
      <c r="J1531" s="8">
        <v>0</v>
      </c>
      <c r="K1531" s="9" t="str">
        <v/>
      </c>
    </row>
    <row r="1532" spans="1:11">
      <c r="A1532" t="str">
        <v/>
      </c>
      <c r="B1532" s="6">
        <v>0</v>
      </c>
      <c r="C1532" s="7" t="str">
        <v>趣点购浦发</v>
      </c>
      <c r="D1532" s="8">
        <v>0</v>
      </c>
      <c r="E1532" s="7">
        <v>0</v>
      </c>
      <c r="F1532" s="8">
        <v>0</v>
      </c>
      <c r="G1532" s="7">
        <v>0</v>
      </c>
      <c r="H1532" s="7">
        <v>81211.819999998</v>
      </c>
      <c r="I1532" s="7">
        <v>0</v>
      </c>
      <c r="J1532" s="8">
        <v>0</v>
      </c>
      <c r="K1532" s="9" t="str">
        <v/>
      </c>
    </row>
    <row r="1533" spans="1:11">
      <c r="A1533" t="str">
        <v/>
      </c>
      <c r="B1533" s="6">
        <v>0</v>
      </c>
      <c r="C1533" s="7" t="str">
        <v>趣点购浦发</v>
      </c>
      <c r="D1533" s="8">
        <v>0</v>
      </c>
      <c r="E1533" s="7">
        <v>0</v>
      </c>
      <c r="F1533" s="8">
        <v>0</v>
      </c>
      <c r="G1533" s="7">
        <v>0</v>
      </c>
      <c r="H1533" s="7">
        <v>81211.819999998</v>
      </c>
      <c r="I1533" s="7">
        <v>0</v>
      </c>
      <c r="J1533" s="8">
        <v>0</v>
      </c>
      <c r="K1533" s="9" t="str">
        <v/>
      </c>
    </row>
    <row r="1534" spans="1:11">
      <c r="A1534" t="str">
        <v/>
      </c>
      <c r="B1534" s="6">
        <v>0</v>
      </c>
      <c r="C1534" s="7" t="str">
        <v>趣点购浦发</v>
      </c>
      <c r="D1534" s="8">
        <v>0</v>
      </c>
      <c r="E1534" s="7">
        <v>0</v>
      </c>
      <c r="F1534" s="8">
        <v>0</v>
      </c>
      <c r="G1534" s="7">
        <v>0</v>
      </c>
      <c r="H1534" s="7">
        <v>81211.819999998</v>
      </c>
      <c r="I1534" s="7">
        <v>0</v>
      </c>
      <c r="J1534" s="8">
        <v>0</v>
      </c>
      <c r="K1534" s="9" t="str">
        <v/>
      </c>
    </row>
    <row r="1535" spans="1:11">
      <c r="A1535" t="str">
        <v/>
      </c>
      <c r="B1535" s="6">
        <v>0</v>
      </c>
      <c r="C1535" s="7" t="str">
        <v>趣点购浦发</v>
      </c>
      <c r="D1535" s="8">
        <v>0</v>
      </c>
      <c r="E1535" s="7">
        <v>0</v>
      </c>
      <c r="F1535" s="8">
        <v>0</v>
      </c>
      <c r="G1535" s="7">
        <v>0</v>
      </c>
      <c r="H1535" s="7">
        <v>81211.819999998</v>
      </c>
      <c r="I1535" s="7">
        <v>0</v>
      </c>
      <c r="J1535" s="8">
        <v>0</v>
      </c>
      <c r="K1535" s="9" t="str">
        <v/>
      </c>
    </row>
    <row r="1536" spans="1:11">
      <c r="A1536" t="str">
        <v/>
      </c>
      <c r="B1536" s="6">
        <v>0</v>
      </c>
      <c r="C1536" s="7" t="str">
        <v>趣点购浦发</v>
      </c>
      <c r="D1536" s="8">
        <v>0</v>
      </c>
      <c r="E1536" s="7">
        <v>0</v>
      </c>
      <c r="F1536" s="8">
        <v>0</v>
      </c>
      <c r="G1536" s="7">
        <v>0</v>
      </c>
      <c r="H1536" s="7">
        <v>81211.819999998</v>
      </c>
      <c r="I1536" s="7">
        <v>0</v>
      </c>
      <c r="J1536" s="8">
        <v>0</v>
      </c>
      <c r="K1536" s="9" t="str">
        <v/>
      </c>
    </row>
    <row r="1537" spans="1:11">
      <c r="A1537" t="str">
        <v/>
      </c>
      <c r="B1537" s="6">
        <v>0</v>
      </c>
      <c r="C1537" s="7" t="str">
        <v>趣点购浦发</v>
      </c>
      <c r="D1537" s="8">
        <v>0</v>
      </c>
      <c r="E1537" s="7">
        <v>0</v>
      </c>
      <c r="F1537" s="8">
        <v>0</v>
      </c>
      <c r="G1537" s="7">
        <v>0</v>
      </c>
      <c r="H1537" s="7">
        <v>81211.819999998</v>
      </c>
      <c r="I1537" s="7">
        <v>0</v>
      </c>
      <c r="J1537" s="8">
        <v>0</v>
      </c>
      <c r="K1537" s="9" t="str">
        <v/>
      </c>
    </row>
    <row r="1538" spans="1:11">
      <c r="A1538" t="str">
        <v/>
      </c>
      <c r="B1538" s="6">
        <v>0</v>
      </c>
      <c r="C1538" s="7" t="str">
        <v>趣点购浦发</v>
      </c>
      <c r="D1538" s="8">
        <v>0</v>
      </c>
      <c r="E1538" s="7">
        <v>0</v>
      </c>
      <c r="F1538" s="8">
        <v>0</v>
      </c>
      <c r="G1538" s="7">
        <v>0</v>
      </c>
      <c r="H1538" s="7">
        <v>81211.819999998</v>
      </c>
      <c r="I1538" s="7">
        <v>0</v>
      </c>
      <c r="J1538" s="8">
        <v>0</v>
      </c>
      <c r="K1538" s="9" t="str">
        <v/>
      </c>
    </row>
    <row r="1539" spans="1:11">
      <c r="A1539" t="str">
        <v/>
      </c>
      <c r="B1539" s="6">
        <v>0</v>
      </c>
      <c r="C1539" s="7" t="str">
        <v>趣点购浦发</v>
      </c>
      <c r="D1539" s="8">
        <v>0</v>
      </c>
      <c r="E1539" s="7">
        <v>0</v>
      </c>
      <c r="F1539" s="8">
        <v>0</v>
      </c>
      <c r="G1539" s="7">
        <v>0</v>
      </c>
      <c r="H1539" s="7">
        <v>81211.819999998</v>
      </c>
      <c r="I1539" s="7">
        <v>0</v>
      </c>
      <c r="J1539" s="8">
        <v>0</v>
      </c>
      <c r="K1539" s="9" t="str">
        <v/>
      </c>
    </row>
    <row r="1540" spans="1:11">
      <c r="A1540" t="str">
        <v/>
      </c>
      <c r="B1540" s="6">
        <v>0</v>
      </c>
      <c r="C1540" s="7" t="str">
        <v>趣点购浦发</v>
      </c>
      <c r="D1540" s="8">
        <v>0</v>
      </c>
      <c r="E1540" s="7">
        <v>0</v>
      </c>
      <c r="F1540" s="8">
        <v>0</v>
      </c>
      <c r="G1540" s="7">
        <v>0</v>
      </c>
      <c r="H1540" s="7">
        <v>81211.819999998</v>
      </c>
      <c r="I1540" s="7">
        <v>0</v>
      </c>
      <c r="J1540" s="8">
        <v>0</v>
      </c>
      <c r="K1540" s="9" t="str">
        <v/>
      </c>
    </row>
    <row r="1541" spans="1:11">
      <c r="A1541" t="str">
        <v/>
      </c>
      <c r="B1541" s="6">
        <v>0</v>
      </c>
      <c r="C1541" s="7" t="str">
        <v>趣点购浦发</v>
      </c>
      <c r="D1541" s="8">
        <v>0</v>
      </c>
      <c r="E1541" s="7">
        <v>0</v>
      </c>
      <c r="F1541" s="8">
        <v>0</v>
      </c>
      <c r="G1541" s="7">
        <v>0</v>
      </c>
      <c r="H1541" s="7">
        <v>81211.819999998</v>
      </c>
      <c r="I1541" s="7">
        <v>0</v>
      </c>
      <c r="J1541" s="8">
        <v>0</v>
      </c>
      <c r="K1541" s="9" t="str">
        <v/>
      </c>
    </row>
    <row r="1542" spans="1:11">
      <c r="A1542" t="str">
        <v/>
      </c>
      <c r="B1542" s="6">
        <v>0</v>
      </c>
      <c r="C1542" s="7" t="str">
        <v>趣点购浦发</v>
      </c>
      <c r="D1542" s="8">
        <v>0</v>
      </c>
      <c r="E1542" s="7">
        <v>0</v>
      </c>
      <c r="F1542" s="8">
        <v>0</v>
      </c>
      <c r="G1542" s="7">
        <v>0</v>
      </c>
      <c r="H1542" s="7">
        <v>81211.819999998</v>
      </c>
      <c r="I1542" s="7">
        <v>0</v>
      </c>
      <c r="J1542" s="8">
        <v>0</v>
      </c>
      <c r="K1542" s="9" t="str">
        <v/>
      </c>
    </row>
    <row r="1543" spans="1:11">
      <c r="A1543" t="str">
        <v/>
      </c>
      <c r="B1543" s="6">
        <v>0</v>
      </c>
      <c r="C1543" s="7" t="str">
        <v>趣点购浦发</v>
      </c>
      <c r="D1543" s="8">
        <v>0</v>
      </c>
      <c r="E1543" s="7">
        <v>0</v>
      </c>
      <c r="F1543" s="8">
        <v>0</v>
      </c>
      <c r="G1543" s="7">
        <v>0</v>
      </c>
      <c r="H1543" s="7">
        <v>81211.819999998</v>
      </c>
      <c r="I1543" s="7">
        <v>0</v>
      </c>
      <c r="J1543" s="8">
        <v>0</v>
      </c>
      <c r="K1543" s="9" t="str">
        <v/>
      </c>
    </row>
    <row r="1544" spans="1:11">
      <c r="A1544" t="str">
        <v/>
      </c>
      <c r="B1544" s="6">
        <v>0</v>
      </c>
      <c r="C1544" s="7" t="str">
        <v>趣点购浦发</v>
      </c>
      <c r="D1544" s="8">
        <v>0</v>
      </c>
      <c r="E1544" s="7">
        <v>0</v>
      </c>
      <c r="F1544" s="8">
        <v>0</v>
      </c>
      <c r="G1544" s="7">
        <v>0</v>
      </c>
      <c r="H1544" s="7">
        <v>81211.819999998</v>
      </c>
      <c r="I1544" s="7">
        <v>0</v>
      </c>
      <c r="J1544" s="8">
        <v>0</v>
      </c>
      <c r="K1544" s="9" t="str">
        <v/>
      </c>
    </row>
    <row r="1545" spans="1:11">
      <c r="A1545" t="str">
        <v/>
      </c>
      <c r="B1545" s="6">
        <v>0</v>
      </c>
      <c r="C1545" s="7" t="str">
        <v>趣点购浦发</v>
      </c>
      <c r="D1545" s="8">
        <v>0</v>
      </c>
      <c r="E1545" s="7">
        <v>0</v>
      </c>
      <c r="F1545" s="8">
        <v>0</v>
      </c>
      <c r="G1545" s="7">
        <v>0</v>
      </c>
      <c r="H1545" s="7">
        <v>81211.819999998</v>
      </c>
      <c r="I1545" s="7">
        <v>0</v>
      </c>
      <c r="J1545" s="8">
        <v>0</v>
      </c>
      <c r="K1545" s="9" t="str">
        <v/>
      </c>
    </row>
    <row r="1546" spans="1:11">
      <c r="A1546" t="str">
        <v/>
      </c>
      <c r="B1546" s="6">
        <v>0</v>
      </c>
      <c r="C1546" s="7" t="str">
        <v>趣点购浦发</v>
      </c>
      <c r="D1546" s="8">
        <v>0</v>
      </c>
      <c r="E1546" s="7">
        <v>0</v>
      </c>
      <c r="F1546" s="8">
        <v>0</v>
      </c>
      <c r="G1546" s="7">
        <v>0</v>
      </c>
      <c r="H1546" s="7">
        <v>81211.819999998</v>
      </c>
      <c r="I1546" s="7">
        <v>0</v>
      </c>
      <c r="J1546" s="8">
        <v>0</v>
      </c>
      <c r="K1546" s="9" t="str">
        <v/>
      </c>
    </row>
    <row r="1547" spans="1:11">
      <c r="A1547" t="str">
        <v/>
      </c>
      <c r="B1547" s="6">
        <v>0</v>
      </c>
      <c r="C1547" s="7" t="str">
        <v>趣点购浦发</v>
      </c>
      <c r="D1547" s="8">
        <v>0</v>
      </c>
      <c r="E1547" s="7">
        <v>0</v>
      </c>
      <c r="F1547" s="8">
        <v>0</v>
      </c>
      <c r="G1547" s="7">
        <v>0</v>
      </c>
      <c r="H1547" s="7">
        <v>81211.819999998</v>
      </c>
      <c r="I1547" s="7">
        <v>0</v>
      </c>
      <c r="J1547" s="8">
        <v>0</v>
      </c>
      <c r="K1547" s="9" t="str">
        <v/>
      </c>
    </row>
    <row r="1548" spans="1:11">
      <c r="A1548" t="str">
        <v/>
      </c>
      <c r="B1548" s="6">
        <v>0</v>
      </c>
      <c r="C1548" s="7" t="str">
        <v>趣点购浦发</v>
      </c>
      <c r="D1548" s="8">
        <v>0</v>
      </c>
      <c r="E1548" s="7">
        <v>0</v>
      </c>
      <c r="F1548" s="8">
        <v>0</v>
      </c>
      <c r="G1548" s="7">
        <v>0</v>
      </c>
      <c r="H1548" s="7">
        <v>81211.819999998</v>
      </c>
      <c r="I1548" s="7">
        <v>0</v>
      </c>
      <c r="J1548" s="8">
        <v>0</v>
      </c>
      <c r="K1548" s="9" t="str">
        <v/>
      </c>
    </row>
    <row r="1549" spans="1:11">
      <c r="A1549" t="str">
        <v/>
      </c>
      <c r="B1549" s="6">
        <v>0</v>
      </c>
      <c r="C1549" s="7" t="str">
        <v>趣点购浦发</v>
      </c>
      <c r="D1549" s="8">
        <v>0</v>
      </c>
      <c r="E1549" s="7">
        <v>0</v>
      </c>
      <c r="F1549" s="8">
        <v>0</v>
      </c>
      <c r="G1549" s="7">
        <v>0</v>
      </c>
      <c r="H1549" s="7">
        <v>81211.819999998</v>
      </c>
      <c r="I1549" s="7">
        <v>0</v>
      </c>
      <c r="J1549" s="8">
        <v>0</v>
      </c>
      <c r="K1549" s="9" t="str">
        <v/>
      </c>
    </row>
    <row r="1550" spans="1:11">
      <c r="A1550" t="str">
        <v/>
      </c>
      <c r="B1550" s="6">
        <v>0</v>
      </c>
      <c r="C1550" s="7" t="str">
        <v>趣点购浦发</v>
      </c>
      <c r="D1550" s="8">
        <v>0</v>
      </c>
      <c r="E1550" s="7">
        <v>0</v>
      </c>
      <c r="F1550" s="8">
        <v>0</v>
      </c>
      <c r="G1550" s="7">
        <v>0</v>
      </c>
      <c r="H1550" s="7">
        <v>81211.819999998</v>
      </c>
      <c r="I1550" s="7">
        <v>0</v>
      </c>
      <c r="J1550" s="8">
        <v>0</v>
      </c>
      <c r="K1550" s="9" t="str">
        <v/>
      </c>
    </row>
    <row r="1551" spans="1:11">
      <c r="A1551" t="str">
        <v/>
      </c>
      <c r="B1551" s="6">
        <v>0</v>
      </c>
      <c r="C1551" s="7" t="str">
        <v>趣点购浦发</v>
      </c>
      <c r="D1551" s="8">
        <v>0</v>
      </c>
      <c r="E1551" s="7">
        <v>0</v>
      </c>
      <c r="F1551" s="8">
        <v>0</v>
      </c>
      <c r="G1551" s="7">
        <v>0</v>
      </c>
      <c r="H1551" s="7">
        <v>81211.819999998</v>
      </c>
      <c r="I1551" s="7">
        <v>0</v>
      </c>
      <c r="J1551" s="8">
        <v>0</v>
      </c>
      <c r="K1551" s="9" t="str">
        <v/>
      </c>
    </row>
    <row r="1552" spans="1:11">
      <c r="A1552" t="str">
        <v/>
      </c>
      <c r="B1552" s="6">
        <v>0</v>
      </c>
      <c r="C1552" s="7" t="str">
        <v>趣点购浦发</v>
      </c>
      <c r="D1552" s="8">
        <v>0</v>
      </c>
      <c r="E1552" s="7">
        <v>0</v>
      </c>
      <c r="F1552" s="8">
        <v>0</v>
      </c>
      <c r="G1552" s="7">
        <v>0</v>
      </c>
      <c r="H1552" s="7">
        <v>81211.819999998</v>
      </c>
      <c r="I1552" s="7">
        <v>0</v>
      </c>
      <c r="J1552" s="8">
        <v>0</v>
      </c>
      <c r="K1552" s="9" t="str">
        <v/>
      </c>
    </row>
    <row r="1553" spans="1:11">
      <c r="A1553" t="str">
        <v/>
      </c>
      <c r="B1553" s="6">
        <v>0</v>
      </c>
      <c r="C1553" s="7" t="str">
        <v>趣点购浦发</v>
      </c>
      <c r="D1553" s="8">
        <v>0</v>
      </c>
      <c r="E1553" s="7">
        <v>0</v>
      </c>
      <c r="F1553" s="8">
        <v>0</v>
      </c>
      <c r="G1553" s="7">
        <v>0</v>
      </c>
      <c r="H1553" s="7">
        <v>81211.819999998</v>
      </c>
      <c r="I1553" s="7">
        <v>0</v>
      </c>
      <c r="J1553" s="8">
        <v>0</v>
      </c>
      <c r="K1553" s="9" t="str">
        <v/>
      </c>
    </row>
    <row r="1554" spans="1:11">
      <c r="A1554" t="str">
        <v/>
      </c>
      <c r="B1554" s="6">
        <v>0</v>
      </c>
      <c r="C1554" s="7" t="str">
        <v>趣点购浦发</v>
      </c>
      <c r="D1554" s="8">
        <v>0</v>
      </c>
      <c r="E1554" s="7">
        <v>0</v>
      </c>
      <c r="F1554" s="8">
        <v>0</v>
      </c>
      <c r="G1554" s="7">
        <v>0</v>
      </c>
      <c r="H1554" s="7">
        <v>81211.819999998</v>
      </c>
      <c r="I1554" s="7">
        <v>0</v>
      </c>
      <c r="J1554" s="8">
        <v>0</v>
      </c>
      <c r="K1554" s="9" t="str">
        <v/>
      </c>
    </row>
    <row r="1555" spans="1:11">
      <c r="A1555" t="str">
        <v/>
      </c>
      <c r="B1555" s="6">
        <v>0</v>
      </c>
      <c r="C1555" s="7" t="str">
        <v>趣点购浦发</v>
      </c>
      <c r="D1555" s="8">
        <v>0</v>
      </c>
      <c r="E1555" s="7">
        <v>0</v>
      </c>
      <c r="F1555" s="8">
        <v>0</v>
      </c>
      <c r="G1555" s="7">
        <v>0</v>
      </c>
      <c r="H1555" s="7">
        <v>81211.819999998</v>
      </c>
      <c r="I1555" s="7">
        <v>0</v>
      </c>
      <c r="J1555" s="8">
        <v>0</v>
      </c>
      <c r="K1555" s="9" t="str">
        <v/>
      </c>
    </row>
    <row r="1556" spans="1:11">
      <c r="A1556" t="str">
        <v/>
      </c>
      <c r="B1556" s="6">
        <v>0</v>
      </c>
      <c r="C1556" s="7" t="str">
        <v>趣点购浦发</v>
      </c>
      <c r="D1556" s="8">
        <v>0</v>
      </c>
      <c r="E1556" s="7">
        <v>0</v>
      </c>
      <c r="F1556" s="8">
        <v>0</v>
      </c>
      <c r="G1556" s="7">
        <v>0</v>
      </c>
      <c r="H1556" s="7">
        <v>81211.819999998</v>
      </c>
      <c r="I1556" s="7">
        <v>0</v>
      </c>
      <c r="J1556" s="8">
        <v>0</v>
      </c>
      <c r="K1556" s="9" t="str">
        <v/>
      </c>
    </row>
    <row r="1557" spans="1:11">
      <c r="A1557" t="str">
        <v/>
      </c>
      <c r="B1557" s="6">
        <v>0</v>
      </c>
      <c r="C1557" s="7" t="str">
        <v>趣点购浦发</v>
      </c>
      <c r="D1557" s="8">
        <v>0</v>
      </c>
      <c r="E1557" s="7">
        <v>0</v>
      </c>
      <c r="F1557" s="8">
        <v>0</v>
      </c>
      <c r="G1557" s="7">
        <v>0</v>
      </c>
      <c r="H1557" s="7">
        <v>81211.819999998</v>
      </c>
      <c r="I1557" s="7">
        <v>0</v>
      </c>
      <c r="J1557" s="8">
        <v>0</v>
      </c>
      <c r="K1557" s="9" t="str">
        <v/>
      </c>
    </row>
    <row r="1558" spans="1:11">
      <c r="A1558" t="str">
        <v/>
      </c>
      <c r="B1558" s="6">
        <v>0</v>
      </c>
      <c r="C1558" s="7" t="str">
        <v>趣点购浦发</v>
      </c>
      <c r="D1558" s="8">
        <v>0</v>
      </c>
      <c r="E1558" s="7">
        <v>0</v>
      </c>
      <c r="F1558" s="8">
        <v>0</v>
      </c>
      <c r="G1558" s="7">
        <v>0</v>
      </c>
      <c r="H1558" s="7">
        <v>81211.819999998</v>
      </c>
      <c r="I1558" s="7">
        <v>0</v>
      </c>
      <c r="J1558" s="8">
        <v>0</v>
      </c>
      <c r="K1558" s="9" t="str">
        <v/>
      </c>
    </row>
    <row r="1559" spans="1:11">
      <c r="A1559" t="str">
        <v/>
      </c>
      <c r="B1559" s="6">
        <v>0</v>
      </c>
      <c r="C1559" s="7" t="str">
        <v>趣点购浦发</v>
      </c>
      <c r="D1559" s="8">
        <v>0</v>
      </c>
      <c r="E1559" s="7">
        <v>0</v>
      </c>
      <c r="F1559" s="8">
        <v>0</v>
      </c>
      <c r="G1559" s="7">
        <v>0</v>
      </c>
      <c r="H1559" s="7">
        <v>81211.819999998</v>
      </c>
      <c r="I1559" s="7">
        <v>0</v>
      </c>
      <c r="J1559" s="8">
        <v>0</v>
      </c>
      <c r="K1559" s="9" t="str">
        <v/>
      </c>
    </row>
    <row r="1560" spans="1:11">
      <c r="A1560" t="str">
        <v/>
      </c>
      <c r="B1560" s="6">
        <v>0</v>
      </c>
      <c r="C1560" s="7" t="str">
        <v>趣点购浦发</v>
      </c>
      <c r="D1560" s="8">
        <v>0</v>
      </c>
      <c r="E1560" s="7">
        <v>0</v>
      </c>
      <c r="F1560" s="8">
        <v>0</v>
      </c>
      <c r="G1560" s="7">
        <v>0</v>
      </c>
      <c r="H1560" s="7">
        <v>81211.819999998</v>
      </c>
      <c r="I1560" s="7">
        <v>0</v>
      </c>
      <c r="J1560" s="8">
        <v>0</v>
      </c>
      <c r="K1560" s="9" t="str">
        <v/>
      </c>
    </row>
    <row r="1561" spans="1:11">
      <c r="A1561" t="str">
        <v/>
      </c>
      <c r="B1561" s="6">
        <v>0</v>
      </c>
      <c r="C1561" s="7" t="str">
        <v>趣点购浦发</v>
      </c>
      <c r="D1561" s="8">
        <v>0</v>
      </c>
      <c r="E1561" s="7">
        <v>0</v>
      </c>
      <c r="F1561" s="8">
        <v>0</v>
      </c>
      <c r="G1561" s="7">
        <v>0</v>
      </c>
      <c r="H1561" s="7">
        <v>81211.819999998</v>
      </c>
      <c r="I1561" s="7">
        <v>0</v>
      </c>
      <c r="J1561" s="8">
        <v>0</v>
      </c>
      <c r="K1561" s="9" t="str">
        <v/>
      </c>
    </row>
    <row r="1562" spans="1:11">
      <c r="A1562" t="str">
        <v/>
      </c>
      <c r="B1562" s="6">
        <v>0</v>
      </c>
      <c r="C1562" s="7" t="str">
        <v>趣点购浦发</v>
      </c>
      <c r="D1562" s="8">
        <v>0</v>
      </c>
      <c r="E1562" s="7">
        <v>0</v>
      </c>
      <c r="F1562" s="8">
        <v>0</v>
      </c>
      <c r="G1562" s="7">
        <v>0</v>
      </c>
      <c r="H1562" s="7">
        <v>81211.819999998</v>
      </c>
      <c r="I1562" s="7">
        <v>0</v>
      </c>
      <c r="J1562" s="8">
        <v>0</v>
      </c>
      <c r="K1562" s="9" t="str">
        <v/>
      </c>
    </row>
    <row r="1563" spans="1:11">
      <c r="A1563" t="str">
        <v/>
      </c>
      <c r="B1563" s="6">
        <v>0</v>
      </c>
      <c r="C1563" s="7" t="str">
        <v>趣点购浦发</v>
      </c>
      <c r="D1563" s="8">
        <v>0</v>
      </c>
      <c r="E1563" s="7">
        <v>0</v>
      </c>
      <c r="F1563" s="8">
        <v>0</v>
      </c>
      <c r="G1563" s="7">
        <v>0</v>
      </c>
      <c r="H1563" s="7">
        <v>81211.819999998</v>
      </c>
      <c r="I1563" s="7">
        <v>0</v>
      </c>
      <c r="J1563" s="8">
        <v>0</v>
      </c>
      <c r="K1563" s="9" t="str">
        <v/>
      </c>
    </row>
    <row r="1564" spans="1:11">
      <c r="A1564" t="str">
        <v/>
      </c>
      <c r="B1564" s="6">
        <v>0</v>
      </c>
      <c r="C1564" s="7" t="str">
        <v>趣点购浦发</v>
      </c>
      <c r="D1564" s="8">
        <v>0</v>
      </c>
      <c r="E1564" s="7">
        <v>0</v>
      </c>
      <c r="F1564" s="8">
        <v>0</v>
      </c>
      <c r="G1564" s="7">
        <v>0</v>
      </c>
      <c r="H1564" s="7">
        <v>81211.819999998</v>
      </c>
      <c r="I1564" s="7">
        <v>0</v>
      </c>
      <c r="J1564" s="8">
        <v>0</v>
      </c>
      <c r="K1564" s="9" t="str">
        <v/>
      </c>
    </row>
    <row r="1565" spans="1:11">
      <c r="A1565" t="str">
        <v/>
      </c>
      <c r="B1565" s="6">
        <v>0</v>
      </c>
      <c r="C1565" s="7" t="str">
        <v>趣点购浦发</v>
      </c>
      <c r="D1565" s="8">
        <v>0</v>
      </c>
      <c r="E1565" s="7">
        <v>0</v>
      </c>
      <c r="F1565" s="8">
        <v>0</v>
      </c>
      <c r="G1565" s="7">
        <v>0</v>
      </c>
      <c r="H1565" s="7">
        <v>81211.819999998</v>
      </c>
      <c r="I1565" s="7">
        <v>0</v>
      </c>
      <c r="J1565" s="8">
        <v>0</v>
      </c>
      <c r="K1565" s="9" t="str">
        <v/>
      </c>
    </row>
    <row r="1566" spans="1:11">
      <c r="A1566" t="str">
        <v/>
      </c>
      <c r="B1566" s="6">
        <v>0</v>
      </c>
      <c r="C1566" s="7" t="str">
        <v>趣点购浦发</v>
      </c>
      <c r="D1566" s="8">
        <v>0</v>
      </c>
      <c r="E1566" s="7">
        <v>0</v>
      </c>
      <c r="F1566" s="8">
        <v>0</v>
      </c>
      <c r="G1566" s="7">
        <v>0</v>
      </c>
      <c r="H1566" s="7">
        <v>81211.819999998</v>
      </c>
      <c r="I1566" s="7">
        <v>0</v>
      </c>
      <c r="J1566" s="8">
        <v>0</v>
      </c>
      <c r="K1566" s="9" t="str">
        <v/>
      </c>
    </row>
    <row r="1567" spans="1:11">
      <c r="A1567" t="str">
        <v/>
      </c>
      <c r="B1567" s="6">
        <v>0</v>
      </c>
      <c r="C1567" s="7" t="str">
        <v>趣点购浦发</v>
      </c>
      <c r="D1567" s="8">
        <v>0</v>
      </c>
      <c r="E1567" s="7">
        <v>0</v>
      </c>
      <c r="F1567" s="8">
        <v>0</v>
      </c>
      <c r="G1567" s="7">
        <v>0</v>
      </c>
      <c r="H1567" s="7">
        <v>81211.819999998</v>
      </c>
      <c r="I1567" s="7">
        <v>0</v>
      </c>
      <c r="J1567" s="8">
        <v>0</v>
      </c>
      <c r="K1567" s="9" t="str">
        <v/>
      </c>
    </row>
    <row r="1568" spans="1:11">
      <c r="A1568" t="str">
        <v/>
      </c>
      <c r="B1568" s="6">
        <v>0</v>
      </c>
      <c r="C1568" s="7" t="str">
        <v>趣点购浦发</v>
      </c>
      <c r="D1568" s="8">
        <v>0</v>
      </c>
      <c r="E1568" s="7">
        <v>0</v>
      </c>
      <c r="F1568" s="8">
        <v>0</v>
      </c>
      <c r="G1568" s="7">
        <v>0</v>
      </c>
      <c r="H1568" s="7">
        <v>81211.819999998</v>
      </c>
      <c r="I1568" s="7">
        <v>0</v>
      </c>
      <c r="J1568" s="8">
        <v>0</v>
      </c>
      <c r="K1568" s="9" t="str">
        <v/>
      </c>
    </row>
    <row r="1569" spans="1:11">
      <c r="A1569" t="str">
        <v/>
      </c>
      <c r="B1569" s="6">
        <v>0</v>
      </c>
      <c r="C1569" s="7" t="str">
        <v>趣点购浦发</v>
      </c>
      <c r="D1569" s="8">
        <v>0</v>
      </c>
      <c r="E1569" s="7">
        <v>0</v>
      </c>
      <c r="F1569" s="8">
        <v>0</v>
      </c>
      <c r="G1569" s="7">
        <v>0</v>
      </c>
      <c r="H1569" s="7">
        <v>81211.819999998</v>
      </c>
      <c r="I1569" s="7">
        <v>0</v>
      </c>
      <c r="J1569" s="8">
        <v>0</v>
      </c>
      <c r="K1569" s="9" t="str">
        <v/>
      </c>
    </row>
    <row r="1570" spans="1:11">
      <c r="A1570" t="str">
        <v/>
      </c>
      <c r="B1570" s="6">
        <v>0</v>
      </c>
      <c r="C1570" s="7" t="str">
        <v>趣点购浦发</v>
      </c>
      <c r="D1570" s="8">
        <v>0</v>
      </c>
      <c r="E1570" s="7">
        <v>0</v>
      </c>
      <c r="F1570" s="8">
        <v>0</v>
      </c>
      <c r="G1570" s="7">
        <v>0</v>
      </c>
      <c r="H1570" s="7">
        <v>81211.819999998</v>
      </c>
      <c r="I1570" s="7">
        <v>0</v>
      </c>
      <c r="J1570" s="8">
        <v>0</v>
      </c>
      <c r="K1570" s="9" t="str">
        <v/>
      </c>
    </row>
    <row r="1571" spans="1:11">
      <c r="A1571" t="str">
        <v/>
      </c>
      <c r="B1571" s="6">
        <v>0</v>
      </c>
      <c r="C1571" s="7" t="str">
        <v>趣点购浦发</v>
      </c>
      <c r="D1571" s="8">
        <v>0</v>
      </c>
      <c r="E1571" s="7">
        <v>0</v>
      </c>
      <c r="F1571" s="8">
        <v>0</v>
      </c>
      <c r="G1571" s="7">
        <v>0</v>
      </c>
      <c r="H1571" s="7">
        <v>81211.819999998</v>
      </c>
      <c r="I1571" s="7">
        <v>0</v>
      </c>
      <c r="J1571" s="8">
        <v>0</v>
      </c>
      <c r="K1571" s="9" t="str">
        <v/>
      </c>
    </row>
    <row r="1572" spans="1:11">
      <c r="A1572" t="str">
        <v/>
      </c>
      <c r="B1572" s="6">
        <v>0</v>
      </c>
      <c r="C1572" s="7" t="str">
        <v>趣点购浦发</v>
      </c>
      <c r="D1572" s="8">
        <v>0</v>
      </c>
      <c r="E1572" s="7">
        <v>0</v>
      </c>
      <c r="F1572" s="8">
        <v>0</v>
      </c>
      <c r="G1572" s="7">
        <v>0</v>
      </c>
      <c r="H1572" s="7">
        <v>81211.819999998</v>
      </c>
      <c r="I1572" s="7">
        <v>0</v>
      </c>
      <c r="J1572" s="8">
        <v>0</v>
      </c>
      <c r="K1572" s="9" t="str">
        <v/>
      </c>
    </row>
    <row r="1573" spans="1:11">
      <c r="A1573" t="str">
        <v/>
      </c>
      <c r="B1573" s="6">
        <v>0</v>
      </c>
      <c r="C1573" s="7" t="str">
        <v>趣点购浦发</v>
      </c>
      <c r="D1573" s="8">
        <v>0</v>
      </c>
      <c r="E1573" s="7">
        <v>0</v>
      </c>
      <c r="F1573" s="8">
        <v>0</v>
      </c>
      <c r="G1573" s="7">
        <v>0</v>
      </c>
      <c r="H1573" s="7">
        <v>81211.819999998</v>
      </c>
      <c r="I1573" s="7">
        <v>0</v>
      </c>
      <c r="J1573" s="8">
        <v>0</v>
      </c>
      <c r="K1573" s="9" t="str">
        <v/>
      </c>
    </row>
    <row r="1574" spans="1:11">
      <c r="A1574" t="str">
        <v/>
      </c>
      <c r="B1574" s="6">
        <v>0</v>
      </c>
      <c r="C1574" s="7" t="str">
        <v>趣点购浦发</v>
      </c>
      <c r="D1574" s="8">
        <v>0</v>
      </c>
      <c r="E1574" s="7">
        <v>0</v>
      </c>
      <c r="F1574" s="8">
        <v>0</v>
      </c>
      <c r="G1574" s="7">
        <v>0</v>
      </c>
      <c r="H1574" s="7">
        <v>81211.819999998</v>
      </c>
      <c r="I1574" s="7">
        <v>0</v>
      </c>
      <c r="J1574" s="8">
        <v>0</v>
      </c>
      <c r="K1574" s="9" t="str">
        <v/>
      </c>
    </row>
    <row r="1575" spans="1:11">
      <c r="A1575" t="str">
        <v/>
      </c>
      <c r="B1575" s="6">
        <v>0</v>
      </c>
      <c r="C1575" s="7" t="str">
        <v>趣点购浦发</v>
      </c>
      <c r="D1575" s="8">
        <v>0</v>
      </c>
      <c r="E1575" s="7">
        <v>0</v>
      </c>
      <c r="F1575" s="8">
        <v>0</v>
      </c>
      <c r="G1575" s="7">
        <v>0</v>
      </c>
      <c r="H1575" s="7">
        <v>81211.819999998</v>
      </c>
      <c r="I1575" s="7">
        <v>0</v>
      </c>
      <c r="J1575" s="8">
        <v>0</v>
      </c>
      <c r="K1575" s="9" t="str">
        <v/>
      </c>
    </row>
    <row r="1576" spans="1:11">
      <c r="A1576" t="str">
        <v/>
      </c>
      <c r="B1576" s="6">
        <v>0</v>
      </c>
      <c r="C1576" s="7" t="str">
        <v>趣点购浦发</v>
      </c>
      <c r="D1576" s="8">
        <v>0</v>
      </c>
      <c r="E1576" s="7">
        <v>0</v>
      </c>
      <c r="F1576" s="8">
        <v>0</v>
      </c>
      <c r="G1576" s="7">
        <v>0</v>
      </c>
      <c r="H1576" s="7">
        <v>81211.819999998</v>
      </c>
      <c r="I1576" s="7">
        <v>0</v>
      </c>
      <c r="J1576" s="8">
        <v>0</v>
      </c>
      <c r="K1576" s="9" t="str">
        <v/>
      </c>
    </row>
    <row r="1577" spans="1:11">
      <c r="A1577" t="str">
        <v/>
      </c>
      <c r="B1577" s="6">
        <v>0</v>
      </c>
      <c r="C1577" s="7" t="str">
        <v>趣点购浦发</v>
      </c>
      <c r="D1577" s="8">
        <v>0</v>
      </c>
      <c r="E1577" s="7">
        <v>0</v>
      </c>
      <c r="F1577" s="8">
        <v>0</v>
      </c>
      <c r="G1577" s="7">
        <v>0</v>
      </c>
      <c r="H1577" s="7">
        <v>81211.819999998</v>
      </c>
      <c r="I1577" s="7">
        <v>0</v>
      </c>
      <c r="J1577" s="8">
        <v>0</v>
      </c>
      <c r="K1577" s="9" t="str">
        <v/>
      </c>
    </row>
    <row r="1578" spans="1:11">
      <c r="A1578" t="str">
        <v/>
      </c>
      <c r="B1578" s="6">
        <v>0</v>
      </c>
      <c r="C1578" s="7" t="str">
        <v>趣点购浦发</v>
      </c>
      <c r="D1578" s="8">
        <v>0</v>
      </c>
      <c r="E1578" s="7">
        <v>0</v>
      </c>
      <c r="F1578" s="8">
        <v>0</v>
      </c>
      <c r="G1578" s="7">
        <v>0</v>
      </c>
      <c r="H1578" s="7">
        <v>81211.819999998</v>
      </c>
      <c r="I1578" s="7">
        <v>0</v>
      </c>
      <c r="J1578" s="8">
        <v>0</v>
      </c>
      <c r="K1578" s="9" t="str">
        <v/>
      </c>
    </row>
    <row r="1579" spans="1:11">
      <c r="A1579" t="str">
        <v/>
      </c>
      <c r="B1579" s="6">
        <v>0</v>
      </c>
      <c r="C1579" s="7" t="str">
        <v>趣点购浦发</v>
      </c>
      <c r="D1579" s="8">
        <v>0</v>
      </c>
      <c r="E1579" s="7">
        <v>0</v>
      </c>
      <c r="F1579" s="8">
        <v>0</v>
      </c>
      <c r="G1579" s="7">
        <v>0</v>
      </c>
      <c r="H1579" s="7">
        <v>81211.819999998</v>
      </c>
      <c r="I1579" s="7">
        <v>0</v>
      </c>
      <c r="J1579" s="8">
        <v>0</v>
      </c>
      <c r="K1579" s="9" t="str">
        <v/>
      </c>
    </row>
    <row r="1580" spans="1:11">
      <c r="A1580" t="str">
        <v/>
      </c>
      <c r="B1580" s="6">
        <v>0</v>
      </c>
      <c r="C1580" s="7" t="str">
        <v>趣点购浦发</v>
      </c>
      <c r="D1580" s="8">
        <v>0</v>
      </c>
      <c r="E1580" s="7">
        <v>0</v>
      </c>
      <c r="F1580" s="8">
        <v>0</v>
      </c>
      <c r="G1580" s="7">
        <v>0</v>
      </c>
      <c r="H1580" s="7">
        <v>81211.819999998</v>
      </c>
      <c r="I1580" s="7">
        <v>0</v>
      </c>
      <c r="J1580" s="8">
        <v>0</v>
      </c>
      <c r="K1580" s="9" t="str">
        <v/>
      </c>
    </row>
    <row r="1581" spans="1:11">
      <c r="A1581" t="str">
        <v/>
      </c>
      <c r="B1581" s="6">
        <v>0</v>
      </c>
      <c r="C1581" s="7" t="str">
        <v>趣点购浦发</v>
      </c>
      <c r="D1581" s="8">
        <v>0</v>
      </c>
      <c r="E1581" s="7">
        <v>0</v>
      </c>
      <c r="F1581" s="8">
        <v>0</v>
      </c>
      <c r="G1581" s="7">
        <v>0</v>
      </c>
      <c r="H1581" s="7">
        <v>81211.819999998</v>
      </c>
      <c r="I1581" s="7">
        <v>0</v>
      </c>
      <c r="J1581" s="8">
        <v>0</v>
      </c>
      <c r="K1581" s="9" t="str">
        <v/>
      </c>
    </row>
    <row r="1582" spans="1:11">
      <c r="A1582" t="str">
        <v/>
      </c>
      <c r="B1582" s="6">
        <v>0</v>
      </c>
      <c r="C1582" s="7" t="str">
        <v>趣点购浦发</v>
      </c>
      <c r="D1582" s="8">
        <v>0</v>
      </c>
      <c r="E1582" s="7">
        <v>0</v>
      </c>
      <c r="F1582" s="8">
        <v>0</v>
      </c>
      <c r="G1582" s="7">
        <v>0</v>
      </c>
      <c r="H1582" s="7">
        <v>81211.819999998</v>
      </c>
      <c r="I1582" s="7">
        <v>0</v>
      </c>
      <c r="J1582" s="8">
        <v>0</v>
      </c>
      <c r="K1582" s="9" t="str">
        <v/>
      </c>
    </row>
    <row r="1583" spans="1:11">
      <c r="A1583" t="str">
        <v/>
      </c>
      <c r="B1583" s="6">
        <v>0</v>
      </c>
      <c r="C1583" s="7" t="str">
        <v>趣点购浦发</v>
      </c>
      <c r="D1583" s="8">
        <v>0</v>
      </c>
      <c r="E1583" s="7">
        <v>0</v>
      </c>
      <c r="F1583" s="8">
        <v>0</v>
      </c>
      <c r="G1583" s="7">
        <v>0</v>
      </c>
      <c r="H1583" s="7">
        <v>81211.819999998</v>
      </c>
      <c r="I1583" s="7">
        <v>0</v>
      </c>
      <c r="J1583" s="8">
        <v>0</v>
      </c>
      <c r="K1583" s="9" t="str">
        <v/>
      </c>
    </row>
    <row r="1584" spans="1:11">
      <c r="A1584" t="str">
        <v/>
      </c>
      <c r="B1584" s="6">
        <v>0</v>
      </c>
      <c r="C1584" s="7" t="str">
        <v>趣点购浦发</v>
      </c>
      <c r="D1584" s="8">
        <v>0</v>
      </c>
      <c r="E1584" s="7">
        <v>0</v>
      </c>
      <c r="F1584" s="8">
        <v>0</v>
      </c>
      <c r="G1584" s="7">
        <v>0</v>
      </c>
      <c r="H1584" s="7">
        <v>81211.819999998</v>
      </c>
      <c r="I1584" s="7">
        <v>0</v>
      </c>
      <c r="J1584" s="8">
        <v>0</v>
      </c>
      <c r="K1584" s="9" t="str">
        <v/>
      </c>
    </row>
    <row r="1585" spans="1:11">
      <c r="A1585" t="str">
        <v/>
      </c>
      <c r="B1585" s="6">
        <v>0</v>
      </c>
      <c r="C1585" s="7" t="str">
        <v>趣点购浦发</v>
      </c>
      <c r="D1585" s="8">
        <v>0</v>
      </c>
      <c r="E1585" s="7">
        <v>0</v>
      </c>
      <c r="F1585" s="8">
        <v>0</v>
      </c>
      <c r="G1585" s="7">
        <v>0</v>
      </c>
      <c r="H1585" s="7">
        <v>81211.819999998</v>
      </c>
      <c r="I1585" s="7">
        <v>0</v>
      </c>
      <c r="J1585" s="8">
        <v>0</v>
      </c>
      <c r="K1585" s="9" t="str">
        <v/>
      </c>
    </row>
    <row r="1586" spans="1:11">
      <c r="A1586" t="str">
        <v/>
      </c>
      <c r="B1586" s="6">
        <v>0</v>
      </c>
      <c r="C1586" s="7" t="str">
        <v>趣点购浦发</v>
      </c>
      <c r="D1586" s="8">
        <v>0</v>
      </c>
      <c r="E1586" s="7">
        <v>0</v>
      </c>
      <c r="F1586" s="8">
        <v>0</v>
      </c>
      <c r="G1586" s="7">
        <v>0</v>
      </c>
      <c r="H1586" s="7">
        <v>81211.819999998</v>
      </c>
      <c r="I1586" s="7">
        <v>0</v>
      </c>
      <c r="J1586" s="8">
        <v>0</v>
      </c>
      <c r="K1586" s="9" t="str">
        <v/>
      </c>
    </row>
    <row r="1587" spans="1:11">
      <c r="A1587" t="str">
        <v/>
      </c>
      <c r="B1587" s="6">
        <v>0</v>
      </c>
      <c r="C1587" s="7" t="str">
        <v>趣点购浦发</v>
      </c>
      <c r="D1587" s="8">
        <v>0</v>
      </c>
      <c r="E1587" s="7">
        <v>0</v>
      </c>
      <c r="F1587" s="8">
        <v>0</v>
      </c>
      <c r="G1587" s="7">
        <v>0</v>
      </c>
      <c r="H1587" s="7">
        <v>81211.819999998</v>
      </c>
      <c r="I1587" s="7">
        <v>0</v>
      </c>
      <c r="J1587" s="8">
        <v>0</v>
      </c>
      <c r="K1587" s="9" t="str">
        <v/>
      </c>
    </row>
    <row r="1588" spans="1:11">
      <c r="A1588" t="str">
        <v/>
      </c>
      <c r="B1588" s="6">
        <v>0</v>
      </c>
      <c r="C1588" s="7" t="str">
        <v>趣点购浦发</v>
      </c>
      <c r="D1588" s="8">
        <v>0</v>
      </c>
      <c r="E1588" s="7">
        <v>0</v>
      </c>
      <c r="F1588" s="8">
        <v>0</v>
      </c>
      <c r="G1588" s="7">
        <v>0</v>
      </c>
      <c r="H1588" s="7">
        <v>81211.819999998</v>
      </c>
      <c r="I1588" s="7">
        <v>0</v>
      </c>
      <c r="J1588" s="8">
        <v>0</v>
      </c>
      <c r="K1588" s="9" t="str">
        <v/>
      </c>
    </row>
    <row r="1589" spans="1:11">
      <c r="A1589" t="str">
        <v/>
      </c>
      <c r="B1589" s="6">
        <v>0</v>
      </c>
      <c r="C1589" s="7" t="str">
        <v>趣点购浦发</v>
      </c>
      <c r="D1589" s="8">
        <v>0</v>
      </c>
      <c r="E1589" s="7">
        <v>0</v>
      </c>
      <c r="F1589" s="8">
        <v>0</v>
      </c>
      <c r="G1589" s="7">
        <v>0</v>
      </c>
      <c r="H1589" s="7">
        <v>81211.819999998</v>
      </c>
      <c r="I1589" s="7">
        <v>0</v>
      </c>
      <c r="J1589" s="8">
        <v>0</v>
      </c>
      <c r="K1589" s="9" t="str">
        <v/>
      </c>
    </row>
    <row r="1590" spans="1:11">
      <c r="A1590" t="str">
        <v/>
      </c>
      <c r="B1590" s="6">
        <v>0</v>
      </c>
      <c r="C1590" s="7" t="str">
        <v>趣点购浦发</v>
      </c>
      <c r="D1590" s="8">
        <v>0</v>
      </c>
      <c r="E1590" s="7">
        <v>0</v>
      </c>
      <c r="F1590" s="8">
        <v>0</v>
      </c>
      <c r="G1590" s="7">
        <v>0</v>
      </c>
      <c r="H1590" s="7">
        <v>81211.819999998</v>
      </c>
      <c r="I1590" s="7">
        <v>0</v>
      </c>
      <c r="J1590" s="8">
        <v>0</v>
      </c>
      <c r="K1590" s="9" t="str">
        <v/>
      </c>
    </row>
    <row r="1591" spans="1:11">
      <c r="A1591" t="str">
        <v/>
      </c>
      <c r="B1591" s="6">
        <v>0</v>
      </c>
      <c r="C1591" s="7" t="str">
        <v>趣点购浦发</v>
      </c>
      <c r="D1591" s="8">
        <v>0</v>
      </c>
      <c r="E1591" s="7">
        <v>0</v>
      </c>
      <c r="F1591" s="8">
        <v>0</v>
      </c>
      <c r="G1591" s="7">
        <v>0</v>
      </c>
      <c r="H1591" s="7">
        <v>81211.819999998</v>
      </c>
      <c r="I1591" s="7">
        <v>0</v>
      </c>
      <c r="J1591" s="8">
        <v>0</v>
      </c>
      <c r="K1591" s="9" t="str">
        <v/>
      </c>
    </row>
    <row r="1592" spans="1:11">
      <c r="A1592" t="str">
        <v/>
      </c>
      <c r="B1592" s="6">
        <v>0</v>
      </c>
      <c r="C1592" s="7" t="str">
        <v>趣点购浦发</v>
      </c>
      <c r="D1592" s="8">
        <v>0</v>
      </c>
      <c r="E1592" s="7">
        <v>0</v>
      </c>
      <c r="F1592" s="8">
        <v>0</v>
      </c>
      <c r="G1592" s="7">
        <v>0</v>
      </c>
      <c r="H1592" s="7">
        <v>81211.819999998</v>
      </c>
      <c r="I1592" s="7">
        <v>0</v>
      </c>
      <c r="J1592" s="8">
        <v>0</v>
      </c>
      <c r="K1592" s="9" t="str">
        <v/>
      </c>
    </row>
    <row r="1593" spans="1:11">
      <c r="A1593" t="str">
        <v/>
      </c>
      <c r="B1593" s="6">
        <v>0</v>
      </c>
      <c r="C1593" s="7" t="str">
        <v>趣点购浦发</v>
      </c>
      <c r="D1593" s="8">
        <v>0</v>
      </c>
      <c r="E1593" s="7">
        <v>0</v>
      </c>
      <c r="F1593" s="8">
        <v>0</v>
      </c>
      <c r="G1593" s="7">
        <v>0</v>
      </c>
      <c r="H1593" s="7">
        <v>81211.819999998</v>
      </c>
      <c r="I1593" s="7">
        <v>0</v>
      </c>
      <c r="J1593" s="8">
        <v>0</v>
      </c>
      <c r="K1593" s="9" t="str">
        <v/>
      </c>
    </row>
    <row r="1594" spans="1:11">
      <c r="A1594" t="str">
        <v/>
      </c>
      <c r="B1594" s="6">
        <v>0</v>
      </c>
      <c r="C1594" s="7" t="str">
        <v>趣点购浦发</v>
      </c>
      <c r="D1594" s="8">
        <v>0</v>
      </c>
      <c r="E1594" s="7">
        <v>0</v>
      </c>
      <c r="F1594" s="8">
        <v>0</v>
      </c>
      <c r="G1594" s="7">
        <v>0</v>
      </c>
      <c r="H1594" s="7">
        <v>81211.819999998</v>
      </c>
      <c r="I1594" s="7">
        <v>0</v>
      </c>
      <c r="J1594" s="8">
        <v>0</v>
      </c>
      <c r="K1594" s="9" t="str">
        <v/>
      </c>
    </row>
    <row r="1595" spans="1:11">
      <c r="A1595" t="str">
        <v/>
      </c>
      <c r="B1595" s="6">
        <v>0</v>
      </c>
      <c r="C1595" s="7" t="str">
        <v>趣点购浦发</v>
      </c>
      <c r="D1595" s="8">
        <v>0</v>
      </c>
      <c r="E1595" s="7">
        <v>0</v>
      </c>
      <c r="F1595" s="8">
        <v>0</v>
      </c>
      <c r="G1595" s="7">
        <v>0</v>
      </c>
      <c r="H1595" s="7">
        <v>81211.819999998</v>
      </c>
      <c r="I1595" s="7">
        <v>0</v>
      </c>
      <c r="J1595" s="8">
        <v>0</v>
      </c>
      <c r="K1595" s="9" t="str">
        <v/>
      </c>
    </row>
    <row r="1596" spans="1:11">
      <c r="A1596" t="str">
        <v/>
      </c>
      <c r="B1596" s="6">
        <v>0</v>
      </c>
      <c r="C1596" s="7" t="str">
        <v>趣点购浦发</v>
      </c>
      <c r="D1596" s="8">
        <v>0</v>
      </c>
      <c r="E1596" s="7">
        <v>0</v>
      </c>
      <c r="F1596" s="8">
        <v>0</v>
      </c>
      <c r="G1596" s="7">
        <v>0</v>
      </c>
      <c r="H1596" s="7">
        <v>81211.819999998</v>
      </c>
      <c r="I1596" s="7">
        <v>0</v>
      </c>
      <c r="J1596" s="8">
        <v>0</v>
      </c>
      <c r="K1596" s="9" t="str">
        <v/>
      </c>
    </row>
    <row r="1597" spans="1:11">
      <c r="A1597" t="str">
        <v/>
      </c>
      <c r="B1597" s="6">
        <v>0</v>
      </c>
      <c r="C1597" s="7" t="str">
        <v>趣点购浦发</v>
      </c>
      <c r="D1597" s="8">
        <v>0</v>
      </c>
      <c r="E1597" s="7">
        <v>0</v>
      </c>
      <c r="F1597" s="8">
        <v>0</v>
      </c>
      <c r="G1597" s="7">
        <v>0</v>
      </c>
      <c r="H1597" s="7">
        <v>81211.819999998</v>
      </c>
      <c r="I1597" s="7">
        <v>0</v>
      </c>
      <c r="J1597" s="8">
        <v>0</v>
      </c>
      <c r="K1597" s="9" t="str">
        <v/>
      </c>
    </row>
    <row r="1598" spans="1:11">
      <c r="A1598" t="str">
        <v/>
      </c>
      <c r="B1598" s="6">
        <v>0</v>
      </c>
      <c r="C1598" s="7" t="str">
        <v>趣点购浦发</v>
      </c>
      <c r="D1598" s="8">
        <v>0</v>
      </c>
      <c r="E1598" s="7">
        <v>0</v>
      </c>
      <c r="F1598" s="8">
        <v>0</v>
      </c>
      <c r="G1598" s="7">
        <v>0</v>
      </c>
      <c r="H1598" s="7">
        <v>81211.819999998</v>
      </c>
      <c r="I1598" s="7">
        <v>0</v>
      </c>
      <c r="J1598" s="8">
        <v>0</v>
      </c>
      <c r="K1598" s="9" t="str">
        <v/>
      </c>
    </row>
    <row r="1599" spans="1:11">
      <c r="A1599" t="str">
        <v/>
      </c>
      <c r="B1599" s="6">
        <v>0</v>
      </c>
      <c r="C1599" s="7" t="str">
        <v>趣点购浦发</v>
      </c>
      <c r="D1599" s="8">
        <v>0</v>
      </c>
      <c r="E1599" s="7">
        <v>0</v>
      </c>
      <c r="F1599" s="8">
        <v>0</v>
      </c>
      <c r="G1599" s="7">
        <v>0</v>
      </c>
      <c r="H1599" s="7">
        <v>81211.819999998</v>
      </c>
      <c r="I1599" s="7">
        <v>0</v>
      </c>
      <c r="J1599" s="8">
        <v>0</v>
      </c>
      <c r="K1599" s="9" t="str">
        <v/>
      </c>
    </row>
    <row r="1600" spans="1:11">
      <c r="A1600" t="str">
        <v/>
      </c>
      <c r="B1600" s="6">
        <v>0</v>
      </c>
      <c r="C1600" s="7" t="str">
        <v>趣点购浦发</v>
      </c>
      <c r="D1600" s="8">
        <v>0</v>
      </c>
      <c r="E1600" s="7">
        <v>0</v>
      </c>
      <c r="F1600" s="8">
        <v>0</v>
      </c>
      <c r="G1600" s="7">
        <v>0</v>
      </c>
      <c r="H1600" s="7">
        <v>81211.819999998</v>
      </c>
      <c r="I1600" s="7">
        <v>0</v>
      </c>
      <c r="J1600" s="8">
        <v>0</v>
      </c>
      <c r="K1600" s="9" t="str">
        <v/>
      </c>
    </row>
    <row r="1601" spans="1:11">
      <c r="A1601" t="str">
        <v/>
      </c>
      <c r="B1601" s="6">
        <v>0</v>
      </c>
      <c r="C1601" s="7" t="str">
        <v>趣点购浦发</v>
      </c>
      <c r="D1601" s="8">
        <v>0</v>
      </c>
      <c r="E1601" s="7">
        <v>0</v>
      </c>
      <c r="F1601" s="8">
        <v>0</v>
      </c>
      <c r="G1601" s="7">
        <v>0</v>
      </c>
      <c r="H1601" s="7">
        <v>81211.819999998</v>
      </c>
      <c r="I1601" s="7">
        <v>0</v>
      </c>
      <c r="J1601" s="8">
        <v>0</v>
      </c>
      <c r="K1601" s="9" t="str">
        <v/>
      </c>
    </row>
    <row r="1602" spans="1:11">
      <c r="A1602" t="str">
        <v/>
      </c>
      <c r="B1602" s="6">
        <v>0</v>
      </c>
      <c r="C1602" s="7" t="str">
        <v>趣点购浦发</v>
      </c>
      <c r="D1602" s="8">
        <v>0</v>
      </c>
      <c r="E1602" s="7">
        <v>0</v>
      </c>
      <c r="F1602" s="8">
        <v>0</v>
      </c>
      <c r="G1602" s="7">
        <v>0</v>
      </c>
      <c r="H1602" s="7">
        <v>81211.819999998</v>
      </c>
      <c r="I1602" s="7">
        <v>0</v>
      </c>
      <c r="J1602" s="8">
        <v>0</v>
      </c>
      <c r="K1602" s="9" t="str">
        <v/>
      </c>
    </row>
    <row r="1603" spans="1:11">
      <c r="A1603" t="str">
        <v/>
      </c>
      <c r="B1603" s="6">
        <v>0</v>
      </c>
      <c r="C1603" s="7" t="str">
        <v>趣点购浦发</v>
      </c>
      <c r="D1603" s="8">
        <v>0</v>
      </c>
      <c r="E1603" s="7">
        <v>0</v>
      </c>
      <c r="F1603" s="8">
        <v>0</v>
      </c>
      <c r="G1603" s="7">
        <v>0</v>
      </c>
      <c r="H1603" s="7">
        <v>81211.819999998</v>
      </c>
      <c r="I1603" s="7">
        <v>0</v>
      </c>
      <c r="J1603" s="8">
        <v>0</v>
      </c>
      <c r="K1603" s="9" t="str">
        <v/>
      </c>
    </row>
    <row r="1604" spans="1:11">
      <c r="A1604" t="str">
        <v/>
      </c>
      <c r="B1604" s="6">
        <v>0</v>
      </c>
      <c r="C1604" s="7" t="str">
        <v>趣点购浦发</v>
      </c>
      <c r="D1604" s="8">
        <v>0</v>
      </c>
      <c r="E1604" s="7">
        <v>0</v>
      </c>
      <c r="F1604" s="8">
        <v>0</v>
      </c>
      <c r="G1604" s="7">
        <v>0</v>
      </c>
      <c r="H1604" s="7">
        <v>81211.819999998</v>
      </c>
      <c r="I1604" s="7">
        <v>0</v>
      </c>
      <c r="J1604" s="8">
        <v>0</v>
      </c>
      <c r="K1604" s="9" t="str">
        <v/>
      </c>
    </row>
    <row r="1605" spans="1:11">
      <c r="A1605" t="str">
        <v/>
      </c>
      <c r="B1605" s="6">
        <v>0</v>
      </c>
      <c r="C1605" s="7" t="str">
        <v>趣点购浦发</v>
      </c>
      <c r="D1605" s="8">
        <v>0</v>
      </c>
      <c r="E1605" s="7">
        <v>0</v>
      </c>
      <c r="F1605" s="8">
        <v>0</v>
      </c>
      <c r="G1605" s="7">
        <v>0</v>
      </c>
      <c r="H1605" s="7">
        <v>81211.819999998</v>
      </c>
      <c r="I1605" s="7">
        <v>0</v>
      </c>
      <c r="J1605" s="8">
        <v>0</v>
      </c>
      <c r="K1605" s="9" t="str">
        <v/>
      </c>
    </row>
    <row r="1606" spans="1:11">
      <c r="A1606" t="str">
        <v/>
      </c>
      <c r="B1606" s="6">
        <v>0</v>
      </c>
      <c r="C1606" s="7" t="str">
        <v>趣点购浦发</v>
      </c>
      <c r="D1606" s="8">
        <v>0</v>
      </c>
      <c r="E1606" s="7">
        <v>0</v>
      </c>
      <c r="F1606" s="8">
        <v>0</v>
      </c>
      <c r="G1606" s="7">
        <v>0</v>
      </c>
      <c r="H1606" s="7">
        <v>81211.819999998</v>
      </c>
      <c r="I1606" s="7">
        <v>0</v>
      </c>
      <c r="J1606" s="8">
        <v>0</v>
      </c>
      <c r="K1606" s="9" t="str">
        <v/>
      </c>
    </row>
    <row r="1607" spans="1:11">
      <c r="A1607" t="str">
        <v/>
      </c>
      <c r="B1607" s="6">
        <v>0</v>
      </c>
      <c r="C1607" s="7" t="str">
        <v>趣点购浦发</v>
      </c>
      <c r="D1607" s="8">
        <v>0</v>
      </c>
      <c r="E1607" s="7">
        <v>0</v>
      </c>
      <c r="F1607" s="8">
        <v>0</v>
      </c>
      <c r="G1607" s="7">
        <v>0</v>
      </c>
      <c r="H1607" s="7">
        <v>81211.819999998</v>
      </c>
      <c r="I1607" s="7">
        <v>0</v>
      </c>
      <c r="J1607" s="8">
        <v>0</v>
      </c>
      <c r="K1607" s="9" t="str">
        <v/>
      </c>
    </row>
    <row r="1608" spans="1:11">
      <c r="A1608" t="str">
        <v/>
      </c>
      <c r="B1608" s="6">
        <v>0</v>
      </c>
      <c r="C1608" s="7" t="str">
        <v>趣点购浦发</v>
      </c>
      <c r="D1608" s="8">
        <v>0</v>
      </c>
      <c r="E1608" s="7">
        <v>0</v>
      </c>
      <c r="F1608" s="8">
        <v>0</v>
      </c>
      <c r="G1608" s="7">
        <v>0</v>
      </c>
      <c r="H1608" s="7">
        <v>81211.819999998</v>
      </c>
      <c r="I1608" s="7">
        <v>0</v>
      </c>
      <c r="J1608" s="8">
        <v>0</v>
      </c>
      <c r="K1608" s="9" t="str">
        <v/>
      </c>
    </row>
    <row r="1609" spans="1:11">
      <c r="A1609" t="str">
        <v/>
      </c>
      <c r="B1609" s="6">
        <v>0</v>
      </c>
      <c r="C1609" s="7" t="str">
        <v>趣点购浦发</v>
      </c>
      <c r="D1609" s="8">
        <v>0</v>
      </c>
      <c r="E1609" s="7">
        <v>0</v>
      </c>
      <c r="F1609" s="8">
        <v>0</v>
      </c>
      <c r="G1609" s="7">
        <v>0</v>
      </c>
      <c r="H1609" s="7">
        <v>81211.819999998</v>
      </c>
      <c r="I1609" s="7">
        <v>0</v>
      </c>
      <c r="J1609" s="8">
        <v>0</v>
      </c>
      <c r="K1609" s="9" t="str">
        <v/>
      </c>
    </row>
    <row r="1610" spans="1:11">
      <c r="A1610" t="str">
        <v/>
      </c>
      <c r="B1610" s="6">
        <v>0</v>
      </c>
      <c r="C1610" s="7" t="str">
        <v>趣点购浦发</v>
      </c>
      <c r="D1610" s="8">
        <v>0</v>
      </c>
      <c r="E1610" s="7">
        <v>0</v>
      </c>
      <c r="F1610" s="8">
        <v>0</v>
      </c>
      <c r="G1610" s="7">
        <v>0</v>
      </c>
      <c r="H1610" s="7">
        <v>81211.819999998</v>
      </c>
      <c r="I1610" s="7">
        <v>0</v>
      </c>
      <c r="J1610" s="8">
        <v>0</v>
      </c>
      <c r="K1610" s="9" t="str">
        <v/>
      </c>
    </row>
    <row r="1611" spans="1:11">
      <c r="A1611" t="str">
        <v/>
      </c>
      <c r="B1611" s="6">
        <v>0</v>
      </c>
      <c r="C1611" s="7" t="str">
        <v>趣点购浦发</v>
      </c>
      <c r="D1611" s="8">
        <v>0</v>
      </c>
      <c r="E1611" s="7">
        <v>0</v>
      </c>
      <c r="F1611" s="8">
        <v>0</v>
      </c>
      <c r="G1611" s="7">
        <v>0</v>
      </c>
      <c r="H1611" s="7">
        <v>81211.819999998</v>
      </c>
      <c r="I1611" s="7">
        <v>0</v>
      </c>
      <c r="J1611" s="8">
        <v>0</v>
      </c>
      <c r="K1611" s="9" t="str">
        <v/>
      </c>
    </row>
    <row r="1612" spans="1:11">
      <c r="A1612" t="str">
        <v/>
      </c>
      <c r="B1612" s="6">
        <v>0</v>
      </c>
      <c r="C1612" s="7" t="str">
        <v>趣点购浦发</v>
      </c>
      <c r="D1612" s="8">
        <v>0</v>
      </c>
      <c r="E1612" s="7">
        <v>0</v>
      </c>
      <c r="F1612" s="8">
        <v>0</v>
      </c>
      <c r="G1612" s="7">
        <v>0</v>
      </c>
      <c r="H1612" s="7">
        <v>81211.819999998</v>
      </c>
      <c r="I1612" s="7">
        <v>0</v>
      </c>
      <c r="J1612" s="8">
        <v>0</v>
      </c>
      <c r="K1612" s="9" t="str">
        <v/>
      </c>
    </row>
    <row r="1613" spans="1:11">
      <c r="A1613" t="str">
        <v/>
      </c>
      <c r="B1613" s="6">
        <v>0</v>
      </c>
      <c r="C1613" s="7" t="str">
        <v>趣点购浦发</v>
      </c>
      <c r="D1613" s="8">
        <v>0</v>
      </c>
      <c r="E1613" s="7">
        <v>0</v>
      </c>
      <c r="F1613" s="8">
        <v>0</v>
      </c>
      <c r="G1613" s="7">
        <v>0</v>
      </c>
      <c r="H1613" s="7">
        <v>81211.819999998</v>
      </c>
      <c r="I1613" s="7">
        <v>0</v>
      </c>
      <c r="J1613" s="8">
        <v>0</v>
      </c>
      <c r="K1613" s="9" t="str">
        <v/>
      </c>
    </row>
    <row r="1614" spans="1:11">
      <c r="A1614" t="str">
        <v/>
      </c>
      <c r="B1614" s="6">
        <v>0</v>
      </c>
      <c r="C1614" s="7" t="str">
        <v>趣点购浦发</v>
      </c>
      <c r="D1614" s="8">
        <v>0</v>
      </c>
      <c r="E1614" s="7">
        <v>0</v>
      </c>
      <c r="F1614" s="8">
        <v>0</v>
      </c>
      <c r="G1614" s="7">
        <v>0</v>
      </c>
      <c r="H1614" s="7">
        <v>81211.819999998</v>
      </c>
      <c r="I1614" s="7">
        <v>0</v>
      </c>
      <c r="J1614" s="8">
        <v>0</v>
      </c>
      <c r="K1614" s="9" t="str">
        <v/>
      </c>
    </row>
    <row r="1615" spans="1:11">
      <c r="A1615" t="str">
        <v/>
      </c>
      <c r="B1615" s="6">
        <v>0</v>
      </c>
      <c r="C1615" s="7" t="str">
        <v>趣点购浦发</v>
      </c>
      <c r="D1615" s="8">
        <v>0</v>
      </c>
      <c r="E1615" s="7">
        <v>0</v>
      </c>
      <c r="F1615" s="8">
        <v>0</v>
      </c>
      <c r="G1615" s="7">
        <v>0</v>
      </c>
      <c r="H1615" s="7">
        <v>81211.819999998</v>
      </c>
      <c r="I1615" s="7">
        <v>0</v>
      </c>
      <c r="J1615" s="8">
        <v>0</v>
      </c>
      <c r="K1615" s="9" t="str">
        <v/>
      </c>
    </row>
    <row r="1616" spans="1:11">
      <c r="A1616" t="str">
        <v/>
      </c>
      <c r="B1616" s="6">
        <v>0</v>
      </c>
      <c r="C1616" s="7" t="str">
        <v>趣点购浦发</v>
      </c>
      <c r="D1616" s="8">
        <v>0</v>
      </c>
      <c r="E1616" s="7">
        <v>0</v>
      </c>
      <c r="F1616" s="8">
        <v>0</v>
      </c>
      <c r="G1616" s="7">
        <v>0</v>
      </c>
      <c r="H1616" s="7">
        <v>81211.819999998</v>
      </c>
      <c r="I1616" s="7">
        <v>0</v>
      </c>
      <c r="J1616" s="8">
        <v>0</v>
      </c>
      <c r="K1616" s="9" t="str">
        <v/>
      </c>
    </row>
    <row r="1617" spans="1:11">
      <c r="A1617" t="str">
        <v/>
      </c>
      <c r="B1617" s="6">
        <v>0</v>
      </c>
      <c r="C1617" s="7" t="str">
        <v>趣点购浦发</v>
      </c>
      <c r="D1617" s="8">
        <v>0</v>
      </c>
      <c r="E1617" s="7">
        <v>0</v>
      </c>
      <c r="F1617" s="8">
        <v>0</v>
      </c>
      <c r="G1617" s="7">
        <v>0</v>
      </c>
      <c r="H1617" s="7">
        <v>81211.819999998</v>
      </c>
      <c r="I1617" s="7">
        <v>0</v>
      </c>
      <c r="J1617" s="8">
        <v>0</v>
      </c>
      <c r="K1617" s="9" t="str">
        <v/>
      </c>
    </row>
    <row r="1618" spans="1:11">
      <c r="A1618" t="str">
        <v/>
      </c>
      <c r="B1618" s="6">
        <v>0</v>
      </c>
      <c r="C1618" s="7" t="str">
        <v>趣点购浦发</v>
      </c>
      <c r="D1618" s="8">
        <v>0</v>
      </c>
      <c r="E1618" s="7">
        <v>0</v>
      </c>
      <c r="F1618" s="8">
        <v>0</v>
      </c>
      <c r="G1618" s="7">
        <v>0</v>
      </c>
      <c r="H1618" s="7">
        <v>81211.819999998</v>
      </c>
      <c r="I1618" s="7">
        <v>0</v>
      </c>
      <c r="J1618" s="8">
        <v>0</v>
      </c>
      <c r="K1618" s="9" t="str">
        <v/>
      </c>
    </row>
    <row r="1619" spans="1:11">
      <c r="A1619" t="str">
        <v/>
      </c>
      <c r="B1619" s="6">
        <v>0</v>
      </c>
      <c r="C1619" s="7" t="str">
        <v>趣点购浦发</v>
      </c>
      <c r="D1619" s="8">
        <v>0</v>
      </c>
      <c r="E1619" s="7">
        <v>0</v>
      </c>
      <c r="F1619" s="8">
        <v>0</v>
      </c>
      <c r="G1619" s="7">
        <v>0</v>
      </c>
      <c r="H1619" s="7">
        <v>81211.819999998</v>
      </c>
      <c r="I1619" s="7">
        <v>0</v>
      </c>
      <c r="J1619" s="8">
        <v>0</v>
      </c>
      <c r="K1619" s="9" t="str">
        <v/>
      </c>
    </row>
    <row r="1620" spans="1:11">
      <c r="A1620" t="str">
        <v/>
      </c>
      <c r="B1620" s="6">
        <v>0</v>
      </c>
      <c r="C1620" s="7" t="str">
        <v>趣点购浦发</v>
      </c>
      <c r="D1620" s="8">
        <v>0</v>
      </c>
      <c r="E1620" s="7">
        <v>0</v>
      </c>
      <c r="F1620" s="8">
        <v>0</v>
      </c>
      <c r="G1620" s="7">
        <v>0</v>
      </c>
      <c r="H1620" s="7">
        <v>81211.819999998</v>
      </c>
      <c r="I1620" s="7">
        <v>0</v>
      </c>
      <c r="J1620" s="8">
        <v>0</v>
      </c>
      <c r="K1620" s="9" t="str">
        <v/>
      </c>
    </row>
    <row r="1621" spans="1:11">
      <c r="A1621" t="str">
        <v/>
      </c>
      <c r="B1621" s="6">
        <v>0</v>
      </c>
      <c r="C1621" s="7" t="str">
        <v>趣点购浦发</v>
      </c>
      <c r="D1621" s="8">
        <v>0</v>
      </c>
      <c r="E1621" s="7">
        <v>0</v>
      </c>
      <c r="F1621" s="8">
        <v>0</v>
      </c>
      <c r="G1621" s="7">
        <v>0</v>
      </c>
      <c r="H1621" s="7">
        <v>81211.819999998</v>
      </c>
      <c r="I1621" s="7">
        <v>0</v>
      </c>
      <c r="J1621" s="8">
        <v>0</v>
      </c>
      <c r="K1621" s="9" t="str">
        <v/>
      </c>
    </row>
    <row r="1622" spans="1:11">
      <c r="A1622" t="str">
        <v/>
      </c>
      <c r="B1622" s="6">
        <v>0</v>
      </c>
      <c r="C1622" s="7" t="str">
        <v>趣点购浦发</v>
      </c>
      <c r="D1622" s="8">
        <v>0</v>
      </c>
      <c r="E1622" s="7">
        <v>0</v>
      </c>
      <c r="F1622" s="8">
        <v>0</v>
      </c>
      <c r="G1622" s="7">
        <v>0</v>
      </c>
      <c r="H1622" s="7">
        <v>81211.819999998</v>
      </c>
      <c r="I1622" s="7">
        <v>0</v>
      </c>
      <c r="J1622" s="8">
        <v>0</v>
      </c>
      <c r="K1622" s="9" t="str">
        <v/>
      </c>
    </row>
    <row r="1623" spans="1:11">
      <c r="A1623" t="str">
        <v/>
      </c>
      <c r="B1623" s="6">
        <v>0</v>
      </c>
      <c r="C1623" s="7" t="str">
        <v>趣点购浦发</v>
      </c>
      <c r="D1623" s="8">
        <v>0</v>
      </c>
      <c r="E1623" s="7">
        <v>0</v>
      </c>
      <c r="F1623" s="8">
        <v>0</v>
      </c>
      <c r="G1623" s="7">
        <v>0</v>
      </c>
      <c r="H1623" s="7">
        <v>81211.819999998</v>
      </c>
      <c r="I1623" s="7">
        <v>0</v>
      </c>
      <c r="J1623" s="8">
        <v>0</v>
      </c>
      <c r="K1623" s="9" t="str">
        <v/>
      </c>
    </row>
    <row r="1624" spans="1:11">
      <c r="A1624" t="str">
        <v/>
      </c>
      <c r="B1624" s="6">
        <v>0</v>
      </c>
      <c r="C1624" s="7" t="str">
        <v>趣点购浦发</v>
      </c>
      <c r="D1624" s="8">
        <v>0</v>
      </c>
      <c r="E1624" s="7">
        <v>0</v>
      </c>
      <c r="F1624" s="8">
        <v>0</v>
      </c>
      <c r="G1624" s="7">
        <v>0</v>
      </c>
      <c r="H1624" s="7">
        <v>81211.819999998</v>
      </c>
      <c r="I1624" s="7">
        <v>0</v>
      </c>
      <c r="J1624" s="8">
        <v>0</v>
      </c>
      <c r="K1624" s="9" t="str">
        <v/>
      </c>
    </row>
    <row r="1625" spans="1:11">
      <c r="A1625" t="str">
        <v/>
      </c>
      <c r="B1625" s="6">
        <v>0</v>
      </c>
      <c r="C1625" s="7" t="str">
        <v>趣点购浦发</v>
      </c>
      <c r="D1625" s="8">
        <v>0</v>
      </c>
      <c r="E1625" s="7">
        <v>0</v>
      </c>
      <c r="F1625" s="8">
        <v>0</v>
      </c>
      <c r="G1625" s="7">
        <v>0</v>
      </c>
      <c r="H1625" s="7">
        <v>81211.819999998</v>
      </c>
      <c r="I1625" s="7">
        <v>0</v>
      </c>
      <c r="J1625" s="8">
        <v>0</v>
      </c>
      <c r="K1625" s="9" t="str">
        <v/>
      </c>
    </row>
    <row r="1626" spans="1:11">
      <c r="A1626" t="str">
        <v/>
      </c>
      <c r="B1626" s="6">
        <v>0</v>
      </c>
      <c r="C1626" s="7" t="str">
        <v>趣点购浦发</v>
      </c>
      <c r="D1626" s="8">
        <v>0</v>
      </c>
      <c r="E1626" s="7">
        <v>0</v>
      </c>
      <c r="F1626" s="8">
        <v>0</v>
      </c>
      <c r="G1626" s="7">
        <v>0</v>
      </c>
      <c r="H1626" s="7">
        <v>81211.819999998</v>
      </c>
      <c r="I1626" s="7">
        <v>0</v>
      </c>
      <c r="J1626" s="8">
        <v>0</v>
      </c>
      <c r="K1626" s="9" t="str">
        <v/>
      </c>
    </row>
    <row r="1627" spans="1:11">
      <c r="A1627" t="str">
        <v/>
      </c>
      <c r="B1627" s="6">
        <v>0</v>
      </c>
      <c r="C1627" s="7" t="str">
        <v>趣点购浦发</v>
      </c>
      <c r="D1627" s="8">
        <v>0</v>
      </c>
      <c r="E1627" s="7">
        <v>0</v>
      </c>
      <c r="F1627" s="8">
        <v>0</v>
      </c>
      <c r="G1627" s="7">
        <v>0</v>
      </c>
      <c r="H1627" s="7">
        <v>81211.819999998</v>
      </c>
      <c r="I1627" s="7">
        <v>0</v>
      </c>
      <c r="J1627" s="8">
        <v>0</v>
      </c>
      <c r="K1627" s="9" t="str">
        <v/>
      </c>
    </row>
    <row r="1628" spans="1:11">
      <c r="A1628" t="str">
        <v/>
      </c>
      <c r="B1628" s="6">
        <v>0</v>
      </c>
      <c r="C1628" s="7" t="str">
        <v>趣点购浦发</v>
      </c>
      <c r="D1628" s="8">
        <v>0</v>
      </c>
      <c r="E1628" s="7">
        <v>0</v>
      </c>
      <c r="F1628" s="8">
        <v>0</v>
      </c>
      <c r="G1628" s="7">
        <v>0</v>
      </c>
      <c r="H1628" s="7">
        <v>81211.819999998</v>
      </c>
      <c r="I1628" s="7">
        <v>0</v>
      </c>
      <c r="J1628" s="8">
        <v>0</v>
      </c>
      <c r="K1628" s="9" t="str">
        <v/>
      </c>
    </row>
    <row r="1629" spans="1:11">
      <c r="A1629" t="str">
        <v/>
      </c>
      <c r="B1629" s="6">
        <v>0</v>
      </c>
      <c r="C1629" s="7" t="str">
        <v>趣点购浦发</v>
      </c>
      <c r="D1629" s="8">
        <v>0</v>
      </c>
      <c r="E1629" s="7">
        <v>0</v>
      </c>
      <c r="F1629" s="8">
        <v>0</v>
      </c>
      <c r="G1629" s="7">
        <v>0</v>
      </c>
      <c r="H1629" s="7">
        <v>81211.819999998</v>
      </c>
      <c r="I1629" s="7">
        <v>0</v>
      </c>
      <c r="J1629" s="8">
        <v>0</v>
      </c>
      <c r="K1629" s="9" t="str">
        <v/>
      </c>
    </row>
    <row r="1630" spans="1:11">
      <c r="A1630" t="str">
        <v/>
      </c>
      <c r="B1630" s="6">
        <v>0</v>
      </c>
      <c r="C1630" s="7" t="str">
        <v>趣点购浦发</v>
      </c>
      <c r="D1630" s="8">
        <v>0</v>
      </c>
      <c r="E1630" s="7">
        <v>0</v>
      </c>
      <c r="F1630" s="8">
        <v>0</v>
      </c>
      <c r="G1630" s="7">
        <v>0</v>
      </c>
      <c r="H1630" s="7">
        <v>81211.819999998</v>
      </c>
      <c r="I1630" s="7">
        <v>0</v>
      </c>
      <c r="J1630" s="8">
        <v>0</v>
      </c>
      <c r="K1630" s="9" t="str">
        <v/>
      </c>
    </row>
    <row r="1631" spans="1:11">
      <c r="A1631" t="str">
        <v/>
      </c>
      <c r="B1631" s="6">
        <v>0</v>
      </c>
      <c r="C1631" s="7" t="str">
        <v>趣点购浦发</v>
      </c>
      <c r="D1631" s="8">
        <v>0</v>
      </c>
      <c r="E1631" s="7">
        <v>0</v>
      </c>
      <c r="F1631" s="8">
        <v>0</v>
      </c>
      <c r="G1631" s="7">
        <v>0</v>
      </c>
      <c r="H1631" s="7">
        <v>81211.819999998</v>
      </c>
      <c r="I1631" s="7">
        <v>0</v>
      </c>
      <c r="J1631" s="8">
        <v>0</v>
      </c>
      <c r="K1631" s="9" t="str">
        <v/>
      </c>
    </row>
    <row r="1632" spans="1:11">
      <c r="A1632" t="str">
        <v/>
      </c>
      <c r="B1632" s="6">
        <v>0</v>
      </c>
      <c r="C1632" s="7" t="str">
        <v>趣点购浦发</v>
      </c>
      <c r="D1632" s="8">
        <v>0</v>
      </c>
      <c r="E1632" s="7">
        <v>0</v>
      </c>
      <c r="F1632" s="8">
        <v>0</v>
      </c>
      <c r="G1632" s="7">
        <v>0</v>
      </c>
      <c r="H1632" s="7">
        <v>81211.819999998</v>
      </c>
      <c r="I1632" s="7">
        <v>0</v>
      </c>
      <c r="J1632" s="8">
        <v>0</v>
      </c>
      <c r="K1632" s="9" t="str">
        <v/>
      </c>
    </row>
    <row r="1633" spans="1:11">
      <c r="A1633" t="str">
        <v/>
      </c>
      <c r="B1633" s="6">
        <v>0</v>
      </c>
      <c r="C1633" s="7" t="str">
        <v>趣点购浦发</v>
      </c>
      <c r="D1633" s="8">
        <v>0</v>
      </c>
      <c r="E1633" s="7">
        <v>0</v>
      </c>
      <c r="F1633" s="8">
        <v>0</v>
      </c>
      <c r="G1633" s="7">
        <v>0</v>
      </c>
      <c r="H1633" s="7">
        <v>81211.819999998</v>
      </c>
      <c r="I1633" s="7">
        <v>0</v>
      </c>
      <c r="J1633" s="8">
        <v>0</v>
      </c>
      <c r="K1633" s="9" t="str">
        <v/>
      </c>
    </row>
    <row r="1634" spans="1:11">
      <c r="A1634" t="str">
        <v/>
      </c>
      <c r="B1634" s="6">
        <v>0</v>
      </c>
      <c r="C1634" s="7" t="str">
        <v>趣点购浦发</v>
      </c>
      <c r="D1634" s="8">
        <v>0</v>
      </c>
      <c r="E1634" s="7">
        <v>0</v>
      </c>
      <c r="F1634" s="8">
        <v>0</v>
      </c>
      <c r="G1634" s="7">
        <v>0</v>
      </c>
      <c r="H1634" s="7">
        <v>81211.819999998</v>
      </c>
      <c r="I1634" s="7">
        <v>0</v>
      </c>
      <c r="J1634" s="8">
        <v>0</v>
      </c>
      <c r="K1634" s="9" t="str">
        <v/>
      </c>
    </row>
    <row r="1635" spans="1:11">
      <c r="A1635" t="str">
        <v/>
      </c>
      <c r="B1635" s="6">
        <v>0</v>
      </c>
      <c r="C1635" s="7" t="str">
        <v>趣点购浦发</v>
      </c>
      <c r="D1635" s="8">
        <v>0</v>
      </c>
      <c r="E1635" s="7">
        <v>0</v>
      </c>
      <c r="F1635" s="8">
        <v>0</v>
      </c>
      <c r="G1635" s="7">
        <v>0</v>
      </c>
      <c r="H1635" s="7">
        <v>81211.819999998</v>
      </c>
      <c r="I1635" s="7">
        <v>0</v>
      </c>
      <c r="J1635" s="8">
        <v>0</v>
      </c>
      <c r="K1635" s="9" t="str">
        <v/>
      </c>
    </row>
    <row r="1636" spans="1:11">
      <c r="A1636" t="str">
        <v/>
      </c>
      <c r="B1636" s="6">
        <v>0</v>
      </c>
      <c r="C1636" s="7" t="str">
        <v>趣点购浦发</v>
      </c>
      <c r="D1636" s="8">
        <v>0</v>
      </c>
      <c r="E1636" s="7">
        <v>0</v>
      </c>
      <c r="F1636" s="8">
        <v>0</v>
      </c>
      <c r="G1636" s="7">
        <v>0</v>
      </c>
      <c r="H1636" s="7">
        <v>81211.819999998</v>
      </c>
      <c r="I1636" s="7">
        <v>0</v>
      </c>
      <c r="J1636" s="8">
        <v>0</v>
      </c>
      <c r="K1636" s="9" t="str">
        <v/>
      </c>
    </row>
    <row r="1637" spans="1:11">
      <c r="A1637" t="str">
        <v/>
      </c>
      <c r="B1637" s="6">
        <v>0</v>
      </c>
      <c r="C1637" s="7" t="str">
        <v>趣点购浦发</v>
      </c>
      <c r="D1637" s="8">
        <v>0</v>
      </c>
      <c r="E1637" s="7">
        <v>0</v>
      </c>
      <c r="F1637" s="8">
        <v>0</v>
      </c>
      <c r="G1637" s="7">
        <v>0</v>
      </c>
      <c r="H1637" s="7">
        <v>81211.819999998</v>
      </c>
      <c r="I1637" s="7">
        <v>0</v>
      </c>
      <c r="J1637" s="8">
        <v>0</v>
      </c>
      <c r="K1637" s="9" t="str">
        <v/>
      </c>
    </row>
    <row r="1638" spans="1:11">
      <c r="A1638" t="str">
        <v/>
      </c>
      <c r="B1638" s="6">
        <v>0</v>
      </c>
      <c r="C1638" s="7" t="str">
        <v>趣点购浦发</v>
      </c>
      <c r="D1638" s="8">
        <v>0</v>
      </c>
      <c r="E1638" s="7">
        <v>0</v>
      </c>
      <c r="F1638" s="8">
        <v>0</v>
      </c>
      <c r="G1638" s="7">
        <v>0</v>
      </c>
      <c r="H1638" s="7">
        <v>81211.819999998</v>
      </c>
      <c r="I1638" s="7">
        <v>0</v>
      </c>
      <c r="J1638" s="8">
        <v>0</v>
      </c>
      <c r="K1638" s="9" t="str">
        <v/>
      </c>
    </row>
    <row r="1639" spans="1:11">
      <c r="A1639" t="str">
        <v/>
      </c>
      <c r="B1639" s="6">
        <v>0</v>
      </c>
      <c r="C1639" s="7" t="str">
        <v>趣点购浦发</v>
      </c>
      <c r="D1639" s="8">
        <v>0</v>
      </c>
      <c r="E1639" s="7">
        <v>0</v>
      </c>
      <c r="F1639" s="8">
        <v>0</v>
      </c>
      <c r="G1639" s="7">
        <v>0</v>
      </c>
      <c r="H1639" s="7">
        <v>81211.819999998</v>
      </c>
      <c r="I1639" s="7">
        <v>0</v>
      </c>
      <c r="J1639" s="8">
        <v>0</v>
      </c>
      <c r="K1639" s="9" t="str">
        <v/>
      </c>
    </row>
    <row r="1640" spans="1:11">
      <c r="A1640" t="str">
        <v/>
      </c>
      <c r="B1640" s="6">
        <v>0</v>
      </c>
      <c r="C1640" s="7" t="str">
        <v>趣点购浦发</v>
      </c>
      <c r="D1640" s="8">
        <v>0</v>
      </c>
      <c r="E1640" s="7">
        <v>0</v>
      </c>
      <c r="F1640" s="8">
        <v>0</v>
      </c>
      <c r="G1640" s="7">
        <v>0</v>
      </c>
      <c r="H1640" s="7">
        <v>81211.819999998</v>
      </c>
      <c r="I1640" s="7">
        <v>0</v>
      </c>
      <c r="J1640" s="8">
        <v>0</v>
      </c>
      <c r="K1640" s="9" t="str">
        <v/>
      </c>
    </row>
    <row r="1641" spans="1:11">
      <c r="A1641" t="str">
        <v/>
      </c>
      <c r="B1641" s="6">
        <v>0</v>
      </c>
      <c r="C1641" s="7" t="str">
        <v>趣点购浦发</v>
      </c>
      <c r="D1641" s="8">
        <v>0</v>
      </c>
      <c r="E1641" s="7">
        <v>0</v>
      </c>
      <c r="F1641" s="8">
        <v>0</v>
      </c>
      <c r="G1641" s="7">
        <v>0</v>
      </c>
      <c r="H1641" s="7">
        <v>81211.819999998</v>
      </c>
      <c r="I1641" s="7">
        <v>0</v>
      </c>
      <c r="J1641" s="8">
        <v>0</v>
      </c>
      <c r="K1641" s="9" t="str">
        <v/>
      </c>
    </row>
    <row r="1642" spans="1:11">
      <c r="A1642" t="str">
        <v/>
      </c>
      <c r="B1642" s="6">
        <v>0</v>
      </c>
      <c r="C1642" s="7" t="str">
        <v>趣点购浦发</v>
      </c>
      <c r="D1642" s="8">
        <v>0</v>
      </c>
      <c r="E1642" s="7">
        <v>0</v>
      </c>
      <c r="F1642" s="8">
        <v>0</v>
      </c>
      <c r="G1642" s="7">
        <v>0</v>
      </c>
      <c r="H1642" s="7">
        <v>81211.819999998</v>
      </c>
      <c r="I1642" s="7">
        <v>0</v>
      </c>
      <c r="J1642" s="8">
        <v>0</v>
      </c>
      <c r="K1642" s="9" t="str">
        <v/>
      </c>
    </row>
    <row r="1643" spans="1:11">
      <c r="A1643" t="str">
        <v/>
      </c>
      <c r="B1643" s="6">
        <v>0</v>
      </c>
      <c r="C1643" s="7" t="str">
        <v>趣点购浦发</v>
      </c>
      <c r="D1643" s="8">
        <v>0</v>
      </c>
      <c r="E1643" s="7">
        <v>0</v>
      </c>
      <c r="F1643" s="8">
        <v>0</v>
      </c>
      <c r="G1643" s="7">
        <v>0</v>
      </c>
      <c r="H1643" s="7">
        <v>81211.819999998</v>
      </c>
      <c r="I1643" s="7">
        <v>0</v>
      </c>
      <c r="J1643" s="8">
        <v>0</v>
      </c>
      <c r="K1643" s="9" t="str">
        <v/>
      </c>
    </row>
    <row r="1644" spans="1:11">
      <c r="A1644" t="str">
        <v/>
      </c>
      <c r="B1644" s="6">
        <v>0</v>
      </c>
      <c r="C1644" s="7" t="str">
        <v>趣点购浦发</v>
      </c>
      <c r="D1644" s="8">
        <v>0</v>
      </c>
      <c r="E1644" s="7">
        <v>0</v>
      </c>
      <c r="F1644" s="8">
        <v>0</v>
      </c>
      <c r="G1644" s="7">
        <v>0</v>
      </c>
      <c r="H1644" s="7">
        <v>81211.819999998</v>
      </c>
      <c r="I1644" s="7">
        <v>0</v>
      </c>
      <c r="J1644" s="8">
        <v>0</v>
      </c>
      <c r="K1644" s="9" t="str">
        <v/>
      </c>
    </row>
    <row r="1645" spans="1:11">
      <c r="A1645" t="str">
        <v/>
      </c>
      <c r="B1645" s="6">
        <v>0</v>
      </c>
      <c r="C1645" s="7" t="str">
        <v>趣点购浦发</v>
      </c>
      <c r="D1645" s="8">
        <v>0</v>
      </c>
      <c r="E1645" s="7">
        <v>0</v>
      </c>
      <c r="F1645" s="8">
        <v>0</v>
      </c>
      <c r="G1645" s="7">
        <v>0</v>
      </c>
      <c r="H1645" s="7">
        <v>81211.819999998</v>
      </c>
      <c r="I1645" s="7">
        <v>0</v>
      </c>
      <c r="J1645" s="8">
        <v>0</v>
      </c>
      <c r="K1645" s="9" t="str">
        <v/>
      </c>
    </row>
    <row r="1646" spans="1:11">
      <c r="A1646" t="str">
        <v/>
      </c>
      <c r="B1646" s="6">
        <v>0</v>
      </c>
      <c r="C1646" s="7" t="str">
        <v>趣点购浦发</v>
      </c>
      <c r="D1646" s="8">
        <v>0</v>
      </c>
      <c r="E1646" s="7">
        <v>0</v>
      </c>
      <c r="F1646" s="8">
        <v>0</v>
      </c>
      <c r="G1646" s="7">
        <v>0</v>
      </c>
      <c r="H1646" s="7">
        <v>81211.819999998</v>
      </c>
      <c r="I1646" s="7">
        <v>0</v>
      </c>
      <c r="J1646" s="8">
        <v>0</v>
      </c>
      <c r="K1646" s="9" t="str">
        <v/>
      </c>
    </row>
    <row r="1647" spans="1:11">
      <c r="A1647" t="str">
        <v/>
      </c>
      <c r="B1647" s="6">
        <v>0</v>
      </c>
      <c r="C1647" s="7" t="str">
        <v>趣点购浦发</v>
      </c>
      <c r="D1647" s="8">
        <v>0</v>
      </c>
      <c r="E1647" s="7">
        <v>0</v>
      </c>
      <c r="F1647" s="8">
        <v>0</v>
      </c>
      <c r="G1647" s="7">
        <v>0</v>
      </c>
      <c r="H1647" s="7">
        <v>81211.819999998</v>
      </c>
      <c r="I1647" s="7">
        <v>0</v>
      </c>
      <c r="J1647" s="8">
        <v>0</v>
      </c>
      <c r="K1647" s="9" t="str">
        <v/>
      </c>
    </row>
    <row r="1648" spans="1:11">
      <c r="A1648" t="str">
        <v/>
      </c>
      <c r="B1648" s="6">
        <v>0</v>
      </c>
      <c r="C1648" s="7" t="str">
        <v>趣点购浦发</v>
      </c>
      <c r="D1648" s="8">
        <v>0</v>
      </c>
      <c r="E1648" s="7">
        <v>0</v>
      </c>
      <c r="F1648" s="8">
        <v>0</v>
      </c>
      <c r="G1648" s="7">
        <v>0</v>
      </c>
      <c r="H1648" s="7">
        <v>81211.819999998</v>
      </c>
      <c r="I1648" s="7">
        <v>0</v>
      </c>
      <c r="J1648" s="8">
        <v>0</v>
      </c>
      <c r="K1648" s="9" t="str">
        <v/>
      </c>
    </row>
    <row r="1649" spans="1:11">
      <c r="A1649" t="str">
        <v/>
      </c>
      <c r="B1649" s="6">
        <v>0</v>
      </c>
      <c r="C1649" s="7" t="str">
        <v>趣点购浦发</v>
      </c>
      <c r="D1649" s="8">
        <v>0</v>
      </c>
      <c r="E1649" s="7">
        <v>0</v>
      </c>
      <c r="F1649" s="8">
        <v>0</v>
      </c>
      <c r="G1649" s="7">
        <v>0</v>
      </c>
      <c r="H1649" s="7">
        <v>81211.819999998</v>
      </c>
      <c r="I1649" s="7">
        <v>0</v>
      </c>
      <c r="J1649" s="8">
        <v>0</v>
      </c>
      <c r="K1649" s="9" t="str">
        <v/>
      </c>
    </row>
    <row r="1650" spans="1:11">
      <c r="A1650" t="str">
        <v/>
      </c>
      <c r="B1650" s="6">
        <v>0</v>
      </c>
      <c r="C1650" s="7" t="str">
        <v>趣点购浦发</v>
      </c>
      <c r="D1650" s="8">
        <v>0</v>
      </c>
      <c r="E1650" s="7">
        <v>0</v>
      </c>
      <c r="F1650" s="8">
        <v>0</v>
      </c>
      <c r="G1650" s="7">
        <v>0</v>
      </c>
      <c r="H1650" s="7">
        <v>81211.819999998</v>
      </c>
      <c r="I1650" s="7">
        <v>0</v>
      </c>
      <c r="J1650" s="8">
        <v>0</v>
      </c>
      <c r="K1650" s="9" t="str">
        <v/>
      </c>
    </row>
    <row r="1651" spans="1:11">
      <c r="A1651" t="str">
        <v/>
      </c>
      <c r="B1651" s="6">
        <v>0</v>
      </c>
      <c r="C1651" s="7" t="str">
        <v>趣点购浦发</v>
      </c>
      <c r="D1651" s="8">
        <v>0</v>
      </c>
      <c r="E1651" s="7">
        <v>0</v>
      </c>
      <c r="F1651" s="8">
        <v>0</v>
      </c>
      <c r="G1651" s="7">
        <v>0</v>
      </c>
      <c r="H1651" s="7">
        <v>81211.819999998</v>
      </c>
      <c r="I1651" s="7">
        <v>0</v>
      </c>
      <c r="J1651" s="8">
        <v>0</v>
      </c>
      <c r="K1651" s="9" t="str">
        <v/>
      </c>
    </row>
    <row r="1652" spans="1:11">
      <c r="A1652" t="str">
        <v/>
      </c>
      <c r="B1652" s="6">
        <v>0</v>
      </c>
      <c r="C1652" s="7" t="str">
        <v>趣点购浦发</v>
      </c>
      <c r="D1652" s="8">
        <v>0</v>
      </c>
      <c r="E1652" s="7">
        <v>0</v>
      </c>
      <c r="F1652" s="8">
        <v>0</v>
      </c>
      <c r="G1652" s="7">
        <v>0</v>
      </c>
      <c r="H1652" s="7">
        <v>81211.819999998</v>
      </c>
      <c r="I1652" s="7">
        <v>0</v>
      </c>
      <c r="J1652" s="8">
        <v>0</v>
      </c>
      <c r="K1652" s="9" t="str">
        <v/>
      </c>
    </row>
    <row r="1653" spans="1:11">
      <c r="A1653" t="str">
        <v/>
      </c>
      <c r="B1653" s="6">
        <v>0</v>
      </c>
      <c r="C1653" s="7" t="str">
        <v>趣点购浦发</v>
      </c>
      <c r="D1653" s="8">
        <v>0</v>
      </c>
      <c r="E1653" s="7">
        <v>0</v>
      </c>
      <c r="F1653" s="8">
        <v>0</v>
      </c>
      <c r="G1653" s="7">
        <v>0</v>
      </c>
      <c r="H1653" s="7">
        <v>81211.819999998</v>
      </c>
      <c r="I1653" s="7">
        <v>0</v>
      </c>
      <c r="J1653" s="8">
        <v>0</v>
      </c>
      <c r="K1653" s="9" t="str">
        <v/>
      </c>
    </row>
    <row r="1654" spans="1:11">
      <c r="A1654" t="str">
        <v/>
      </c>
      <c r="B1654" s="6">
        <v>0</v>
      </c>
      <c r="C1654" s="7" t="str">
        <v>趣点购浦发</v>
      </c>
      <c r="D1654" s="8">
        <v>0</v>
      </c>
      <c r="E1654" s="7">
        <v>0</v>
      </c>
      <c r="F1654" s="8">
        <v>0</v>
      </c>
      <c r="G1654" s="7">
        <v>0</v>
      </c>
      <c r="H1654" s="7">
        <v>81211.819999998</v>
      </c>
      <c r="I1654" s="7">
        <v>0</v>
      </c>
      <c r="J1654" s="8">
        <v>0</v>
      </c>
      <c r="K1654" s="9" t="str">
        <v/>
      </c>
    </row>
    <row r="1655" spans="1:11">
      <c r="A1655" t="str">
        <v/>
      </c>
      <c r="B1655" s="6">
        <v>0</v>
      </c>
      <c r="C1655" s="7" t="str">
        <v>趣点购浦发</v>
      </c>
      <c r="D1655" s="8">
        <v>0</v>
      </c>
      <c r="E1655" s="7">
        <v>0</v>
      </c>
      <c r="F1655" s="8">
        <v>0</v>
      </c>
      <c r="G1655" s="7">
        <v>0</v>
      </c>
      <c r="H1655" s="7">
        <v>81211.819999998</v>
      </c>
      <c r="I1655" s="7">
        <v>0</v>
      </c>
      <c r="J1655" s="8">
        <v>0</v>
      </c>
      <c r="K1655" s="9" t="str">
        <v/>
      </c>
    </row>
    <row r="1656" spans="1:11">
      <c r="A1656" t="str">
        <v/>
      </c>
      <c r="B1656" s="6">
        <v>0</v>
      </c>
      <c r="C1656" s="7" t="str">
        <v>趣点购浦发</v>
      </c>
      <c r="D1656" s="8">
        <v>0</v>
      </c>
      <c r="E1656" s="7">
        <v>0</v>
      </c>
      <c r="F1656" s="8">
        <v>0</v>
      </c>
      <c r="G1656" s="7">
        <v>0</v>
      </c>
      <c r="H1656" s="7">
        <v>81211.819999998</v>
      </c>
      <c r="I1656" s="7">
        <v>0</v>
      </c>
      <c r="J1656" s="8">
        <v>0</v>
      </c>
      <c r="K1656" s="9" t="str">
        <v/>
      </c>
    </row>
    <row r="1657" spans="1:11">
      <c r="A1657" t="str">
        <v/>
      </c>
      <c r="B1657" s="6">
        <v>0</v>
      </c>
      <c r="C1657" s="7" t="str">
        <v>趣点购浦发</v>
      </c>
      <c r="D1657" s="8">
        <v>0</v>
      </c>
      <c r="E1657" s="7">
        <v>0</v>
      </c>
      <c r="F1657" s="8">
        <v>0</v>
      </c>
      <c r="G1657" s="7">
        <v>0</v>
      </c>
      <c r="H1657" s="7">
        <v>81211.819999998</v>
      </c>
      <c r="I1657" s="7">
        <v>0</v>
      </c>
      <c r="J1657" s="8">
        <v>0</v>
      </c>
      <c r="K1657" s="9" t="str">
        <v/>
      </c>
    </row>
    <row r="1658" spans="1:11">
      <c r="A1658" t="str">
        <v/>
      </c>
      <c r="B1658" s="6">
        <v>0</v>
      </c>
      <c r="C1658" s="7" t="str">
        <v>趣点购浦发</v>
      </c>
      <c r="D1658" s="8">
        <v>0</v>
      </c>
      <c r="E1658" s="7">
        <v>0</v>
      </c>
      <c r="F1658" s="8">
        <v>0</v>
      </c>
      <c r="G1658" s="7">
        <v>0</v>
      </c>
      <c r="H1658" s="7">
        <v>81211.819999998</v>
      </c>
      <c r="I1658" s="7">
        <v>0</v>
      </c>
      <c r="J1658" s="8">
        <v>0</v>
      </c>
      <c r="K1658" s="9" t="str">
        <v/>
      </c>
    </row>
    <row r="1659" spans="1:11">
      <c r="A1659" t="str">
        <v/>
      </c>
      <c r="B1659" s="6">
        <v>0</v>
      </c>
      <c r="C1659" s="7" t="str">
        <v>趣点购浦发</v>
      </c>
      <c r="D1659" s="8">
        <v>0</v>
      </c>
      <c r="E1659" s="7">
        <v>0</v>
      </c>
      <c r="F1659" s="8">
        <v>0</v>
      </c>
      <c r="G1659" s="7">
        <v>0</v>
      </c>
      <c r="H1659" s="7">
        <v>81211.819999998</v>
      </c>
      <c r="I1659" s="7">
        <v>0</v>
      </c>
      <c r="J1659" s="8">
        <v>0</v>
      </c>
      <c r="K1659" s="9" t="str">
        <v/>
      </c>
    </row>
    <row r="1660" spans="1:11">
      <c r="A1660" t="str">
        <v/>
      </c>
      <c r="B1660" s="6">
        <v>0</v>
      </c>
      <c r="C1660" s="7" t="str">
        <v>趣点购浦发</v>
      </c>
      <c r="D1660" s="8">
        <v>0</v>
      </c>
      <c r="E1660" s="7">
        <v>0</v>
      </c>
      <c r="F1660" s="8">
        <v>0</v>
      </c>
      <c r="G1660" s="7">
        <v>0</v>
      </c>
      <c r="H1660" s="7">
        <v>81211.819999998</v>
      </c>
      <c r="I1660" s="7">
        <v>0</v>
      </c>
      <c r="J1660" s="8">
        <v>0</v>
      </c>
      <c r="K1660" s="9" t="str">
        <v/>
      </c>
    </row>
    <row r="1661" spans="1:11">
      <c r="A1661" t="str">
        <v/>
      </c>
      <c r="B1661" s="6">
        <v>0</v>
      </c>
      <c r="C1661" s="7" t="str">
        <v>趣点购浦发</v>
      </c>
      <c r="D1661" s="8">
        <v>0</v>
      </c>
      <c r="E1661" s="7">
        <v>0</v>
      </c>
      <c r="F1661" s="8">
        <v>0</v>
      </c>
      <c r="G1661" s="7">
        <v>0</v>
      </c>
      <c r="H1661" s="7">
        <v>81211.819999998</v>
      </c>
      <c r="I1661" s="7">
        <v>0</v>
      </c>
      <c r="J1661" s="8">
        <v>0</v>
      </c>
      <c r="K1661" s="9" t="str">
        <v/>
      </c>
    </row>
    <row r="1662" spans="1:11">
      <c r="A1662" t="str">
        <v/>
      </c>
      <c r="B1662" s="6">
        <v>0</v>
      </c>
      <c r="C1662" s="7" t="str">
        <v>趣点购浦发</v>
      </c>
      <c r="D1662" s="8">
        <v>0</v>
      </c>
      <c r="E1662" s="7">
        <v>0</v>
      </c>
      <c r="F1662" s="8">
        <v>0</v>
      </c>
      <c r="G1662" s="7">
        <v>0</v>
      </c>
      <c r="H1662" s="7">
        <v>81211.819999998</v>
      </c>
      <c r="I1662" s="7">
        <v>0</v>
      </c>
      <c r="J1662" s="8">
        <v>0</v>
      </c>
      <c r="K1662" s="9" t="str">
        <v/>
      </c>
    </row>
    <row r="1663" spans="1:11">
      <c r="A1663" t="str">
        <v/>
      </c>
      <c r="B1663" s="6">
        <v>0</v>
      </c>
      <c r="C1663" s="7" t="str">
        <v>趣点购浦发</v>
      </c>
      <c r="D1663" s="8">
        <v>0</v>
      </c>
      <c r="E1663" s="7">
        <v>0</v>
      </c>
      <c r="F1663" s="8">
        <v>0</v>
      </c>
      <c r="G1663" s="7">
        <v>0</v>
      </c>
      <c r="H1663" s="7">
        <v>81211.819999998</v>
      </c>
      <c r="I1663" s="7">
        <v>0</v>
      </c>
      <c r="J1663" s="8">
        <v>0</v>
      </c>
      <c r="K1663" s="9" t="str">
        <v/>
      </c>
    </row>
    <row r="1664" spans="1:11">
      <c r="A1664" t="str">
        <v/>
      </c>
      <c r="B1664" s="6">
        <v>0</v>
      </c>
      <c r="C1664" s="7" t="str">
        <v>趣点购浦发</v>
      </c>
      <c r="D1664" s="8">
        <v>0</v>
      </c>
      <c r="E1664" s="7">
        <v>0</v>
      </c>
      <c r="F1664" s="8">
        <v>0</v>
      </c>
      <c r="G1664" s="7">
        <v>0</v>
      </c>
      <c r="H1664" s="7">
        <v>81211.819999998</v>
      </c>
      <c r="I1664" s="7">
        <v>0</v>
      </c>
      <c r="J1664" s="8">
        <v>0</v>
      </c>
      <c r="K1664" s="9" t="str">
        <v/>
      </c>
    </row>
    <row r="1665" spans="1:11">
      <c r="A1665" t="str">
        <v/>
      </c>
      <c r="B1665" s="6">
        <v>0</v>
      </c>
      <c r="C1665" s="7" t="str">
        <v>趣点购浦发</v>
      </c>
      <c r="D1665" s="8">
        <v>0</v>
      </c>
      <c r="E1665" s="7">
        <v>0</v>
      </c>
      <c r="F1665" s="8">
        <v>0</v>
      </c>
      <c r="G1665" s="7">
        <v>0</v>
      </c>
      <c r="H1665" s="7">
        <v>81211.819999998</v>
      </c>
      <c r="I1665" s="7">
        <v>0</v>
      </c>
      <c r="J1665" s="8">
        <v>0</v>
      </c>
      <c r="K1665" s="9" t="str">
        <v/>
      </c>
    </row>
    <row r="1666" spans="1:11">
      <c r="A1666" t="str">
        <v/>
      </c>
      <c r="B1666" s="6">
        <v>0</v>
      </c>
      <c r="C1666" s="7" t="str">
        <v>趣点购浦发</v>
      </c>
      <c r="D1666" s="8">
        <v>0</v>
      </c>
      <c r="E1666" s="7">
        <v>0</v>
      </c>
      <c r="F1666" s="8">
        <v>0</v>
      </c>
      <c r="G1666" s="7">
        <v>0</v>
      </c>
      <c r="H1666" s="7">
        <v>81211.819999998</v>
      </c>
      <c r="I1666" s="7">
        <v>0</v>
      </c>
      <c r="J1666" s="8">
        <v>0</v>
      </c>
      <c r="K1666" s="9" t="str">
        <v/>
      </c>
    </row>
    <row r="1667" spans="1:11">
      <c r="A1667" t="str">
        <v/>
      </c>
      <c r="B1667" s="6">
        <v>0</v>
      </c>
      <c r="C1667" s="7" t="str">
        <v>趣点购浦发</v>
      </c>
      <c r="D1667" s="8">
        <v>0</v>
      </c>
      <c r="E1667" s="7">
        <v>0</v>
      </c>
      <c r="F1667" s="8">
        <v>0</v>
      </c>
      <c r="G1667" s="7">
        <v>0</v>
      </c>
      <c r="H1667" s="7">
        <v>81211.819999998</v>
      </c>
      <c r="I1667" s="7">
        <v>0</v>
      </c>
      <c r="J1667" s="8">
        <v>0</v>
      </c>
      <c r="K1667" s="9" t="str">
        <v/>
      </c>
    </row>
    <row r="1668" spans="1:11">
      <c r="A1668" t="str">
        <v/>
      </c>
      <c r="B1668" s="6">
        <v>0</v>
      </c>
      <c r="C1668" s="7" t="str">
        <v>趣点购浦发</v>
      </c>
      <c r="D1668" s="8">
        <v>0</v>
      </c>
      <c r="E1668" s="7">
        <v>0</v>
      </c>
      <c r="F1668" s="8">
        <v>0</v>
      </c>
      <c r="G1668" s="7">
        <v>0</v>
      </c>
      <c r="H1668" s="7">
        <v>81211.819999998</v>
      </c>
      <c r="I1668" s="7">
        <v>0</v>
      </c>
      <c r="J1668" s="8">
        <v>0</v>
      </c>
      <c r="K1668" s="9" t="str">
        <v/>
      </c>
    </row>
    <row r="1669" spans="1:11">
      <c r="A1669" t="str">
        <v/>
      </c>
      <c r="B1669" s="6">
        <v>0</v>
      </c>
      <c r="C1669" s="7" t="str">
        <v>趣点购浦发</v>
      </c>
      <c r="D1669" s="8">
        <v>0</v>
      </c>
      <c r="E1669" s="7">
        <v>0</v>
      </c>
      <c r="F1669" s="8">
        <v>0</v>
      </c>
      <c r="G1669" s="7">
        <v>0</v>
      </c>
      <c r="H1669" s="7">
        <v>81211.819999998</v>
      </c>
      <c r="I1669" s="7">
        <v>0</v>
      </c>
      <c r="J1669" s="8">
        <v>0</v>
      </c>
      <c r="K1669" s="9" t="str">
        <v/>
      </c>
    </row>
    <row r="1670" spans="1:11">
      <c r="A1670" t="str">
        <v/>
      </c>
      <c r="B1670" s="6">
        <v>0</v>
      </c>
      <c r="C1670" s="7" t="str">
        <v>趣点购浦发</v>
      </c>
      <c r="D1670" s="8">
        <v>0</v>
      </c>
      <c r="E1670" s="7">
        <v>0</v>
      </c>
      <c r="F1670" s="8">
        <v>0</v>
      </c>
      <c r="G1670" s="7">
        <v>0</v>
      </c>
      <c r="H1670" s="7">
        <v>81211.819999998</v>
      </c>
      <c r="I1670" s="7">
        <v>0</v>
      </c>
      <c r="J1670" s="8">
        <v>0</v>
      </c>
      <c r="K1670" s="9" t="str">
        <v/>
      </c>
    </row>
    <row r="1671" spans="1:11">
      <c r="A1671" t="str">
        <v/>
      </c>
      <c r="B1671" s="6">
        <v>0</v>
      </c>
      <c r="C1671" s="7" t="str">
        <v>趣点购浦发</v>
      </c>
      <c r="D1671" s="8">
        <v>0</v>
      </c>
      <c r="E1671" s="7">
        <v>0</v>
      </c>
      <c r="F1671" s="8">
        <v>0</v>
      </c>
      <c r="G1671" s="7">
        <v>0</v>
      </c>
      <c r="H1671" s="7">
        <v>81211.819999998</v>
      </c>
      <c r="I1671" s="7">
        <v>0</v>
      </c>
      <c r="J1671" s="8">
        <v>0</v>
      </c>
      <c r="K1671" s="9" t="str">
        <v/>
      </c>
    </row>
    <row r="1672" spans="1:11">
      <c r="A1672" t="str">
        <v/>
      </c>
      <c r="B1672" s="6">
        <v>0</v>
      </c>
      <c r="C1672" s="7" t="str">
        <v>趣点购浦发</v>
      </c>
      <c r="D1672" s="8">
        <v>0</v>
      </c>
      <c r="E1672" s="7">
        <v>0</v>
      </c>
      <c r="F1672" s="8">
        <v>0</v>
      </c>
      <c r="G1672" s="7">
        <v>0</v>
      </c>
      <c r="H1672" s="7">
        <v>81211.819999998</v>
      </c>
      <c r="I1672" s="7">
        <v>0</v>
      </c>
      <c r="J1672" s="8">
        <v>0</v>
      </c>
      <c r="K1672" s="9" t="str">
        <v/>
      </c>
    </row>
    <row r="1673" spans="1:11">
      <c r="A1673" t="str">
        <v/>
      </c>
      <c r="B1673" s="6">
        <v>0</v>
      </c>
      <c r="C1673" s="7" t="str">
        <v>趣点购浦发</v>
      </c>
      <c r="D1673" s="8">
        <v>0</v>
      </c>
      <c r="E1673" s="7">
        <v>0</v>
      </c>
      <c r="F1673" s="8">
        <v>0</v>
      </c>
      <c r="G1673" s="7">
        <v>0</v>
      </c>
      <c r="H1673" s="7">
        <v>81211.819999998</v>
      </c>
      <c r="I1673" s="7">
        <v>0</v>
      </c>
      <c r="J1673" s="8">
        <v>0</v>
      </c>
      <c r="K1673" s="9" t="str">
        <v/>
      </c>
    </row>
    <row r="1674" spans="1:11">
      <c r="A1674" t="str">
        <v/>
      </c>
      <c r="B1674" s="6">
        <v>0</v>
      </c>
      <c r="C1674" s="7" t="str">
        <v>趣点购浦发</v>
      </c>
      <c r="D1674" s="8">
        <v>0</v>
      </c>
      <c r="E1674" s="7">
        <v>0</v>
      </c>
      <c r="F1674" s="8">
        <v>0</v>
      </c>
      <c r="G1674" s="7">
        <v>0</v>
      </c>
      <c r="H1674" s="7">
        <v>81211.819999998</v>
      </c>
      <c r="I1674" s="7">
        <v>0</v>
      </c>
      <c r="J1674" s="8">
        <v>0</v>
      </c>
      <c r="K1674" s="9" t="str">
        <v/>
      </c>
    </row>
    <row r="1675" spans="1:11">
      <c r="A1675" t="str">
        <v/>
      </c>
      <c r="B1675" s="6">
        <v>0</v>
      </c>
      <c r="C1675" s="7" t="str">
        <v>趣点购浦发</v>
      </c>
      <c r="D1675" s="8">
        <v>0</v>
      </c>
      <c r="E1675" s="7">
        <v>0</v>
      </c>
      <c r="F1675" s="8">
        <v>0</v>
      </c>
      <c r="G1675" s="7">
        <v>0</v>
      </c>
      <c r="H1675" s="7">
        <v>81211.819999998</v>
      </c>
      <c r="I1675" s="7">
        <v>0</v>
      </c>
      <c r="J1675" s="8">
        <v>0</v>
      </c>
      <c r="K1675" s="9" t="str">
        <v/>
      </c>
    </row>
    <row r="1676" spans="1:11">
      <c r="A1676" t="str">
        <v/>
      </c>
      <c r="B1676" s="6">
        <v>0</v>
      </c>
      <c r="C1676" s="7" t="str">
        <v>趣点购浦发</v>
      </c>
      <c r="D1676" s="8">
        <v>0</v>
      </c>
      <c r="E1676" s="7">
        <v>0</v>
      </c>
      <c r="F1676" s="8">
        <v>0</v>
      </c>
      <c r="G1676" s="7">
        <v>0</v>
      </c>
      <c r="H1676" s="7">
        <v>81211.819999998</v>
      </c>
      <c r="I1676" s="7">
        <v>0</v>
      </c>
      <c r="J1676" s="8">
        <v>0</v>
      </c>
      <c r="K1676" s="9" t="str">
        <v/>
      </c>
    </row>
    <row r="1677" spans="1:11">
      <c r="A1677" t="str">
        <v/>
      </c>
      <c r="B1677" s="6">
        <v>0</v>
      </c>
      <c r="C1677" s="7" t="str">
        <v>趣点购浦发</v>
      </c>
      <c r="D1677" s="8">
        <v>0</v>
      </c>
      <c r="E1677" s="7">
        <v>0</v>
      </c>
      <c r="F1677" s="8">
        <v>0</v>
      </c>
      <c r="G1677" s="7">
        <v>0</v>
      </c>
      <c r="H1677" s="7">
        <v>81211.819999998</v>
      </c>
      <c r="I1677" s="7">
        <v>0</v>
      </c>
      <c r="J1677" s="8">
        <v>0</v>
      </c>
      <c r="K1677" s="9" t="str">
        <v/>
      </c>
    </row>
    <row r="1678" spans="1:11">
      <c r="A1678" t="str">
        <v/>
      </c>
      <c r="B1678" s="6">
        <v>0</v>
      </c>
      <c r="C1678" s="7" t="str">
        <v>趣点购浦发</v>
      </c>
      <c r="D1678" s="8">
        <v>0</v>
      </c>
      <c r="E1678" s="7">
        <v>0</v>
      </c>
      <c r="F1678" s="8">
        <v>0</v>
      </c>
      <c r="G1678" s="7">
        <v>0</v>
      </c>
      <c r="H1678" s="7">
        <v>81211.819999998</v>
      </c>
      <c r="I1678" s="7">
        <v>0</v>
      </c>
      <c r="J1678" s="8">
        <v>0</v>
      </c>
      <c r="K1678" s="9" t="str">
        <v/>
      </c>
    </row>
    <row r="1679" spans="1:11">
      <c r="A1679" t="str">
        <v/>
      </c>
      <c r="B1679" s="6">
        <v>0</v>
      </c>
      <c r="C1679" s="7" t="str">
        <v>趣点购浦发</v>
      </c>
      <c r="D1679" s="8">
        <v>0</v>
      </c>
      <c r="E1679" s="7">
        <v>0</v>
      </c>
      <c r="F1679" s="8">
        <v>0</v>
      </c>
      <c r="G1679" s="7">
        <v>0</v>
      </c>
      <c r="H1679" s="7">
        <v>81211.819999998</v>
      </c>
      <c r="I1679" s="7">
        <v>0</v>
      </c>
      <c r="J1679" s="8">
        <v>0</v>
      </c>
      <c r="K1679" s="9" t="str">
        <v/>
      </c>
    </row>
    <row r="1680" spans="1:11">
      <c r="A1680" t="str">
        <v/>
      </c>
      <c r="B1680" s="6">
        <v>0</v>
      </c>
      <c r="C1680" s="7" t="str">
        <v>趣点购浦发</v>
      </c>
      <c r="D1680" s="8">
        <v>0</v>
      </c>
      <c r="E1680" s="7">
        <v>0</v>
      </c>
      <c r="F1680" s="8">
        <v>0</v>
      </c>
      <c r="G1680" s="7">
        <v>0</v>
      </c>
      <c r="H1680" s="7">
        <v>81211.819999998</v>
      </c>
      <c r="I1680" s="7">
        <v>0</v>
      </c>
      <c r="J1680" s="8">
        <v>0</v>
      </c>
      <c r="K1680" s="9" t="str">
        <v/>
      </c>
    </row>
    <row r="1681" spans="1:11">
      <c r="A1681" t="str">
        <v/>
      </c>
      <c r="B1681" s="6">
        <v>0</v>
      </c>
      <c r="C1681" s="7" t="str">
        <v>趣点购浦发</v>
      </c>
      <c r="D1681" s="8">
        <v>0</v>
      </c>
      <c r="E1681" s="7">
        <v>0</v>
      </c>
      <c r="F1681" s="8">
        <v>0</v>
      </c>
      <c r="G1681" s="7">
        <v>0</v>
      </c>
      <c r="H1681" s="7">
        <v>81211.819999998</v>
      </c>
      <c r="I1681" s="7">
        <v>0</v>
      </c>
      <c r="J1681" s="8">
        <v>0</v>
      </c>
      <c r="K1681" s="9" t="str">
        <v/>
      </c>
    </row>
    <row r="1682" spans="1:11">
      <c r="A1682" t="str">
        <v/>
      </c>
      <c r="B1682" s="6">
        <v>0</v>
      </c>
      <c r="C1682" s="7" t="str">
        <v>趣点购浦发</v>
      </c>
      <c r="D1682" s="8">
        <v>0</v>
      </c>
      <c r="E1682" s="7">
        <v>0</v>
      </c>
      <c r="F1682" s="8">
        <v>0</v>
      </c>
      <c r="G1682" s="7">
        <v>0</v>
      </c>
      <c r="H1682" s="7">
        <v>81211.819999998</v>
      </c>
      <c r="I1682" s="7">
        <v>0</v>
      </c>
      <c r="J1682" s="8">
        <v>0</v>
      </c>
      <c r="K1682" s="9" t="str">
        <v/>
      </c>
    </row>
    <row r="1683" spans="1:11">
      <c r="A1683" t="str">
        <v/>
      </c>
      <c r="B1683" s="6">
        <v>0</v>
      </c>
      <c r="C1683" s="7" t="str">
        <v>趣点购浦发</v>
      </c>
      <c r="D1683" s="8">
        <v>0</v>
      </c>
      <c r="E1683" s="7">
        <v>0</v>
      </c>
      <c r="F1683" s="8">
        <v>0</v>
      </c>
      <c r="G1683" s="7">
        <v>0</v>
      </c>
      <c r="H1683" s="7">
        <v>81211.819999998</v>
      </c>
      <c r="I1683" s="7">
        <v>0</v>
      </c>
      <c r="J1683" s="8">
        <v>0</v>
      </c>
      <c r="K1683" s="9" t="str">
        <v/>
      </c>
    </row>
    <row r="1684" spans="1:11">
      <c r="A1684" t="str">
        <v/>
      </c>
      <c r="B1684" s="6">
        <v>0</v>
      </c>
      <c r="C1684" s="7" t="str">
        <v>趣点购浦发</v>
      </c>
      <c r="D1684" s="8">
        <v>0</v>
      </c>
      <c r="E1684" s="7">
        <v>0</v>
      </c>
      <c r="F1684" s="8">
        <v>0</v>
      </c>
      <c r="G1684" s="7">
        <v>0</v>
      </c>
      <c r="H1684" s="7">
        <v>81211.819999998</v>
      </c>
      <c r="I1684" s="7">
        <v>0</v>
      </c>
      <c r="J1684" s="8">
        <v>0</v>
      </c>
      <c r="K1684" s="9" t="str">
        <v/>
      </c>
    </row>
    <row r="1685" spans="1:11">
      <c r="A1685" t="str">
        <v/>
      </c>
      <c r="B1685" s="6">
        <v>0</v>
      </c>
      <c r="C1685" s="7" t="str">
        <v>趣点购浦发</v>
      </c>
      <c r="D1685" s="8">
        <v>0</v>
      </c>
      <c r="E1685" s="7">
        <v>0</v>
      </c>
      <c r="F1685" s="8">
        <v>0</v>
      </c>
      <c r="G1685" s="7">
        <v>0</v>
      </c>
      <c r="H1685" s="7">
        <v>81211.819999998</v>
      </c>
      <c r="I1685" s="7">
        <v>0</v>
      </c>
      <c r="J1685" s="8">
        <v>0</v>
      </c>
      <c r="K1685" s="9" t="str">
        <v/>
      </c>
    </row>
    <row r="1686" spans="1:11">
      <c r="A1686" t="str">
        <v/>
      </c>
      <c r="B1686" s="6">
        <v>0</v>
      </c>
      <c r="C1686" s="7" t="str">
        <v>趣点购浦发</v>
      </c>
      <c r="D1686" s="8">
        <v>0</v>
      </c>
      <c r="E1686" s="7">
        <v>0</v>
      </c>
      <c r="F1686" s="8">
        <v>0</v>
      </c>
      <c r="G1686" s="7">
        <v>0</v>
      </c>
      <c r="H1686" s="7">
        <v>81211.819999998</v>
      </c>
      <c r="I1686" s="7">
        <v>0</v>
      </c>
      <c r="J1686" s="8">
        <v>0</v>
      </c>
      <c r="K1686" s="9" t="str">
        <v/>
      </c>
    </row>
    <row r="1687" spans="1:11">
      <c r="A1687" t="str">
        <v/>
      </c>
      <c r="B1687" s="6">
        <v>0</v>
      </c>
      <c r="C1687" s="7" t="str">
        <v>趣点购浦发</v>
      </c>
      <c r="D1687" s="8">
        <v>0</v>
      </c>
      <c r="E1687" s="7">
        <v>0</v>
      </c>
      <c r="F1687" s="8">
        <v>0</v>
      </c>
      <c r="G1687" s="7">
        <v>0</v>
      </c>
      <c r="H1687" s="7">
        <v>81211.819999998</v>
      </c>
      <c r="I1687" s="7">
        <v>0</v>
      </c>
      <c r="J1687" s="8">
        <v>0</v>
      </c>
      <c r="K1687" s="9" t="str">
        <v/>
      </c>
    </row>
    <row r="1688" spans="1:11">
      <c r="A1688" t="str">
        <v/>
      </c>
      <c r="B1688" s="6">
        <v>0</v>
      </c>
      <c r="C1688" s="7" t="str">
        <v>趣点购浦发</v>
      </c>
      <c r="D1688" s="8">
        <v>0</v>
      </c>
      <c r="E1688" s="7">
        <v>0</v>
      </c>
      <c r="F1688" s="8">
        <v>0</v>
      </c>
      <c r="G1688" s="7">
        <v>0</v>
      </c>
      <c r="H1688" s="7">
        <v>81211.819999998</v>
      </c>
      <c r="I1688" s="7">
        <v>0</v>
      </c>
      <c r="J1688" s="8">
        <v>0</v>
      </c>
      <c r="K1688" s="9" t="str">
        <v/>
      </c>
    </row>
    <row r="1689" spans="1:11">
      <c r="A1689" t="str">
        <v/>
      </c>
      <c r="B1689" s="6">
        <v>0</v>
      </c>
      <c r="C1689" s="7" t="str">
        <v>趣点购浦发</v>
      </c>
      <c r="D1689" s="8">
        <v>0</v>
      </c>
      <c r="E1689" s="7">
        <v>0</v>
      </c>
      <c r="F1689" s="8">
        <v>0</v>
      </c>
      <c r="G1689" s="7">
        <v>0</v>
      </c>
      <c r="H1689" s="7">
        <v>81211.819999998</v>
      </c>
      <c r="I1689" s="7">
        <v>0</v>
      </c>
      <c r="J1689" s="8">
        <v>0</v>
      </c>
      <c r="K1689" s="9" t="str">
        <v/>
      </c>
    </row>
    <row r="1690" spans="1:11">
      <c r="A1690" t="str">
        <v/>
      </c>
      <c r="B1690" s="6">
        <v>0</v>
      </c>
      <c r="C1690" s="7" t="str">
        <v>趣点购浦发</v>
      </c>
      <c r="D1690" s="8">
        <v>0</v>
      </c>
      <c r="E1690" s="7">
        <v>0</v>
      </c>
      <c r="F1690" s="8">
        <v>0</v>
      </c>
      <c r="G1690" s="7">
        <v>0</v>
      </c>
      <c r="H1690" s="7">
        <v>81211.819999998</v>
      </c>
      <c r="I1690" s="7">
        <v>0</v>
      </c>
      <c r="J1690" s="8">
        <v>0</v>
      </c>
      <c r="K1690" s="9" t="str">
        <v/>
      </c>
    </row>
    <row r="1691" spans="1:11">
      <c r="A1691" t="str">
        <v/>
      </c>
      <c r="B1691" s="6">
        <v>0</v>
      </c>
      <c r="C1691" s="7" t="str">
        <v>趣点购浦发</v>
      </c>
      <c r="D1691" s="8">
        <v>0</v>
      </c>
      <c r="E1691" s="7">
        <v>0</v>
      </c>
      <c r="F1691" s="8">
        <v>0</v>
      </c>
      <c r="G1691" s="7">
        <v>0</v>
      </c>
      <c r="H1691" s="7">
        <v>81211.819999998</v>
      </c>
      <c r="I1691" s="7">
        <v>0</v>
      </c>
      <c r="J1691" s="8">
        <v>0</v>
      </c>
      <c r="K1691" s="9" t="str">
        <v/>
      </c>
    </row>
    <row r="1692" spans="1:11">
      <c r="A1692" t="str">
        <v/>
      </c>
      <c r="B1692" s="6">
        <v>0</v>
      </c>
      <c r="C1692" s="7" t="str">
        <v>趣点购浦发</v>
      </c>
      <c r="D1692" s="8">
        <v>0</v>
      </c>
      <c r="E1692" s="7">
        <v>0</v>
      </c>
      <c r="F1692" s="8">
        <v>0</v>
      </c>
      <c r="G1692" s="7">
        <v>0</v>
      </c>
      <c r="H1692" s="7">
        <v>81211.819999998</v>
      </c>
      <c r="I1692" s="7">
        <v>0</v>
      </c>
      <c r="J1692" s="8">
        <v>0</v>
      </c>
      <c r="K1692" s="9" t="str">
        <v/>
      </c>
    </row>
    <row r="1693" spans="1:11">
      <c r="A1693" t="str">
        <v/>
      </c>
      <c r="B1693" s="6">
        <v>0</v>
      </c>
      <c r="C1693" s="7" t="str">
        <v>趣点购浦发</v>
      </c>
      <c r="D1693" s="8">
        <v>0</v>
      </c>
      <c r="E1693" s="7">
        <v>0</v>
      </c>
      <c r="F1693" s="8">
        <v>0</v>
      </c>
      <c r="G1693" s="7">
        <v>0</v>
      </c>
      <c r="H1693" s="7">
        <v>81211.819999998</v>
      </c>
      <c r="I1693" s="7">
        <v>0</v>
      </c>
      <c r="J1693" s="8">
        <v>0</v>
      </c>
      <c r="K1693" s="9" t="str">
        <v/>
      </c>
    </row>
    <row r="1694" spans="1:11">
      <c r="A1694" t="str">
        <v/>
      </c>
      <c r="B1694" s="6">
        <v>0</v>
      </c>
      <c r="C1694" s="7" t="str">
        <v>趣点购浦发</v>
      </c>
      <c r="D1694" s="8">
        <v>0</v>
      </c>
      <c r="E1694" s="7">
        <v>0</v>
      </c>
      <c r="F1694" s="8">
        <v>0</v>
      </c>
      <c r="G1694" s="7">
        <v>0</v>
      </c>
      <c r="H1694" s="7">
        <v>81211.819999998</v>
      </c>
      <c r="I1694" s="7">
        <v>0</v>
      </c>
      <c r="J1694" s="8">
        <v>0</v>
      </c>
      <c r="K1694" s="9" t="str">
        <v/>
      </c>
    </row>
    <row r="1695" spans="1:11">
      <c r="A1695" t="str">
        <v/>
      </c>
      <c r="B1695" s="6">
        <v>0</v>
      </c>
      <c r="C1695" s="7" t="str">
        <v>趣点购浦发</v>
      </c>
      <c r="D1695" s="8">
        <v>0</v>
      </c>
      <c r="E1695" s="7">
        <v>0</v>
      </c>
      <c r="F1695" s="8">
        <v>0</v>
      </c>
      <c r="G1695" s="7">
        <v>0</v>
      </c>
      <c r="H1695" s="7">
        <v>81211.819999998</v>
      </c>
      <c r="I1695" s="7">
        <v>0</v>
      </c>
      <c r="J1695" s="8">
        <v>0</v>
      </c>
      <c r="K1695" s="9" t="str">
        <v/>
      </c>
    </row>
    <row r="1696" spans="1:11">
      <c r="A1696" t="str">
        <v/>
      </c>
      <c r="B1696" s="6">
        <v>0</v>
      </c>
      <c r="C1696" s="7" t="str">
        <v>趣点购浦发</v>
      </c>
      <c r="D1696" s="8">
        <v>0</v>
      </c>
      <c r="E1696" s="7">
        <v>0</v>
      </c>
      <c r="F1696" s="8">
        <v>0</v>
      </c>
      <c r="G1696" s="7">
        <v>0</v>
      </c>
      <c r="H1696" s="7">
        <v>81211.819999998</v>
      </c>
      <c r="I1696" s="7">
        <v>0</v>
      </c>
      <c r="J1696" s="8">
        <v>0</v>
      </c>
      <c r="K1696" s="9" t="str">
        <v/>
      </c>
    </row>
    <row r="1697" spans="1:11">
      <c r="A1697" t="str">
        <v/>
      </c>
      <c r="B1697" s="6">
        <v>0</v>
      </c>
      <c r="C1697" s="7" t="str">
        <v>趣点购浦发</v>
      </c>
      <c r="D1697" s="8">
        <v>0</v>
      </c>
      <c r="E1697" s="7">
        <v>0</v>
      </c>
      <c r="F1697" s="8">
        <v>0</v>
      </c>
      <c r="G1697" s="7">
        <v>0</v>
      </c>
      <c r="H1697" s="7">
        <v>81211.819999998</v>
      </c>
      <c r="I1697" s="7">
        <v>0</v>
      </c>
      <c r="J1697" s="8">
        <v>0</v>
      </c>
      <c r="K1697" s="9" t="str">
        <v/>
      </c>
    </row>
    <row r="1698" spans="1:11">
      <c r="A1698" t="str">
        <v/>
      </c>
      <c r="B1698" s="6">
        <v>0</v>
      </c>
      <c r="C1698" s="7" t="str">
        <v>趣点购浦发</v>
      </c>
      <c r="D1698" s="8">
        <v>0</v>
      </c>
      <c r="E1698" s="7">
        <v>0</v>
      </c>
      <c r="F1698" s="8">
        <v>0</v>
      </c>
      <c r="G1698" s="7">
        <v>0</v>
      </c>
      <c r="H1698" s="7">
        <v>81211.819999998</v>
      </c>
      <c r="I1698" s="7">
        <v>0</v>
      </c>
      <c r="J1698" s="8">
        <v>0</v>
      </c>
      <c r="K1698" s="9" t="str">
        <v/>
      </c>
    </row>
    <row r="1699" spans="1:11">
      <c r="A1699" t="str">
        <v/>
      </c>
      <c r="B1699" s="6">
        <v>0</v>
      </c>
      <c r="C1699" s="7" t="str">
        <v>趣点购浦发</v>
      </c>
      <c r="D1699" s="8">
        <v>0</v>
      </c>
      <c r="E1699" s="7">
        <v>0</v>
      </c>
      <c r="F1699" s="8">
        <v>0</v>
      </c>
      <c r="G1699" s="7">
        <v>0</v>
      </c>
      <c r="H1699" s="7">
        <v>81211.819999998</v>
      </c>
      <c r="I1699" s="7">
        <v>0</v>
      </c>
      <c r="J1699" s="8">
        <v>0</v>
      </c>
      <c r="K1699" s="9" t="str">
        <v/>
      </c>
    </row>
    <row r="1700" spans="1:11">
      <c r="A1700" t="str">
        <v/>
      </c>
      <c r="B1700" s="6">
        <v>0</v>
      </c>
      <c r="C1700" s="7" t="str">
        <v>趣点购浦发</v>
      </c>
      <c r="D1700" s="8">
        <v>0</v>
      </c>
      <c r="E1700" s="7">
        <v>0</v>
      </c>
      <c r="F1700" s="8">
        <v>0</v>
      </c>
      <c r="G1700" s="7">
        <v>0</v>
      </c>
      <c r="H1700" s="7">
        <v>81211.819999998</v>
      </c>
      <c r="I1700" s="7">
        <v>0</v>
      </c>
      <c r="J1700" s="8">
        <v>0</v>
      </c>
      <c r="K1700" s="9" t="str">
        <v/>
      </c>
    </row>
    <row r="1701" spans="1:11">
      <c r="A1701" t="str">
        <v/>
      </c>
      <c r="B1701" s="6">
        <v>0</v>
      </c>
      <c r="C1701" s="7" t="str">
        <v>趣点购浦发</v>
      </c>
      <c r="D1701" s="8">
        <v>0</v>
      </c>
      <c r="E1701" s="7">
        <v>0</v>
      </c>
      <c r="F1701" s="8">
        <v>0</v>
      </c>
      <c r="G1701" s="7">
        <v>0</v>
      </c>
      <c r="H1701" s="7">
        <v>81211.819999998</v>
      </c>
      <c r="I1701" s="7">
        <v>0</v>
      </c>
      <c r="J1701" s="8">
        <v>0</v>
      </c>
      <c r="K1701" s="9" t="str">
        <v/>
      </c>
    </row>
    <row r="1702" spans="1:11">
      <c r="A1702" t="str">
        <v/>
      </c>
      <c r="B1702" s="6">
        <v>0</v>
      </c>
      <c r="C1702" s="7" t="str">
        <v>趣点购浦发</v>
      </c>
      <c r="D1702" s="8">
        <v>0</v>
      </c>
      <c r="E1702" s="7">
        <v>0</v>
      </c>
      <c r="F1702" s="8">
        <v>0</v>
      </c>
      <c r="G1702" s="7">
        <v>0</v>
      </c>
      <c r="H1702" s="7">
        <v>81211.819999998</v>
      </c>
      <c r="I1702" s="7">
        <v>0</v>
      </c>
      <c r="J1702" s="8">
        <v>0</v>
      </c>
      <c r="K1702" s="9" t="str">
        <v/>
      </c>
    </row>
    <row r="1703" spans="1:11">
      <c r="A1703" t="str">
        <v/>
      </c>
      <c r="B1703" s="6">
        <v>0</v>
      </c>
      <c r="C1703" s="7" t="str">
        <v>趣点购浦发</v>
      </c>
      <c r="D1703" s="8">
        <v>0</v>
      </c>
      <c r="E1703" s="7">
        <v>0</v>
      </c>
      <c r="F1703" s="8">
        <v>0</v>
      </c>
      <c r="G1703" s="7">
        <v>0</v>
      </c>
      <c r="H1703" s="7">
        <v>81211.819999998</v>
      </c>
      <c r="I1703" s="7">
        <v>0</v>
      </c>
      <c r="J1703" s="8">
        <v>0</v>
      </c>
      <c r="K1703" s="9" t="str">
        <v/>
      </c>
    </row>
    <row r="1704" spans="1:11">
      <c r="A1704" t="str">
        <v/>
      </c>
      <c r="B1704" s="6">
        <v>0</v>
      </c>
      <c r="C1704" s="7" t="str">
        <v>趣点购浦发</v>
      </c>
      <c r="D1704" s="8">
        <v>0</v>
      </c>
      <c r="E1704" s="7">
        <v>0</v>
      </c>
      <c r="F1704" s="8">
        <v>0</v>
      </c>
      <c r="G1704" s="7">
        <v>0</v>
      </c>
      <c r="H1704" s="7">
        <v>81211.819999998</v>
      </c>
      <c r="I1704" s="7">
        <v>0</v>
      </c>
      <c r="J1704" s="8">
        <v>0</v>
      </c>
      <c r="K1704" s="9" t="str">
        <v/>
      </c>
    </row>
    <row r="1705" spans="1:11">
      <c r="A1705" t="str">
        <v/>
      </c>
      <c r="B1705" s="6">
        <v>0</v>
      </c>
      <c r="C1705" s="7" t="str">
        <v>趣点购浦发</v>
      </c>
      <c r="D1705" s="8">
        <v>0</v>
      </c>
      <c r="E1705" s="7">
        <v>0</v>
      </c>
      <c r="F1705" s="8">
        <v>0</v>
      </c>
      <c r="G1705" s="7">
        <v>0</v>
      </c>
      <c r="H1705" s="7">
        <v>81211.819999998</v>
      </c>
      <c r="I1705" s="7">
        <v>0</v>
      </c>
      <c r="J1705" s="8">
        <v>0</v>
      </c>
      <c r="K1705" s="9" t="str">
        <v/>
      </c>
    </row>
    <row r="1706" spans="1:11">
      <c r="A1706" t="str">
        <v/>
      </c>
      <c r="B1706" s="6">
        <v>0</v>
      </c>
      <c r="C1706" s="7" t="str">
        <v>趣点购浦发</v>
      </c>
      <c r="D1706" s="8">
        <v>0</v>
      </c>
      <c r="E1706" s="7">
        <v>0</v>
      </c>
      <c r="F1706" s="8">
        <v>0</v>
      </c>
      <c r="G1706" s="7">
        <v>0</v>
      </c>
      <c r="H1706" s="7">
        <v>81211.819999998</v>
      </c>
      <c r="I1706" s="7">
        <v>0</v>
      </c>
      <c r="J1706" s="8">
        <v>0</v>
      </c>
      <c r="K1706" s="9" t="str">
        <v/>
      </c>
    </row>
    <row r="1707" spans="1:11">
      <c r="A1707" t="str">
        <v/>
      </c>
      <c r="B1707" s="6">
        <v>0</v>
      </c>
      <c r="C1707" s="7" t="str">
        <v>趣点购浦发</v>
      </c>
      <c r="D1707" s="8">
        <v>0</v>
      </c>
      <c r="E1707" s="7">
        <v>0</v>
      </c>
      <c r="F1707" s="8">
        <v>0</v>
      </c>
      <c r="G1707" s="7">
        <v>0</v>
      </c>
      <c r="H1707" s="7">
        <v>81211.819999998</v>
      </c>
      <c r="I1707" s="7">
        <v>0</v>
      </c>
      <c r="J1707" s="8">
        <v>0</v>
      </c>
      <c r="K1707" s="9" t="str">
        <v/>
      </c>
    </row>
    <row r="1708" spans="1:11">
      <c r="A1708" t="str">
        <v/>
      </c>
      <c r="B1708" s="6">
        <v>0</v>
      </c>
      <c r="C1708" s="7" t="str">
        <v>趣点购浦发</v>
      </c>
      <c r="D1708" s="8">
        <v>0</v>
      </c>
      <c r="E1708" s="7">
        <v>0</v>
      </c>
      <c r="F1708" s="8">
        <v>0</v>
      </c>
      <c r="G1708" s="7">
        <v>0</v>
      </c>
      <c r="H1708" s="7">
        <v>81211.819999998</v>
      </c>
      <c r="I1708" s="7">
        <v>0</v>
      </c>
      <c r="J1708" s="8">
        <v>0</v>
      </c>
      <c r="K1708" s="9" t="str">
        <v/>
      </c>
    </row>
    <row r="1709" spans="1:11">
      <c r="A1709" t="str">
        <v/>
      </c>
      <c r="B1709" s="6">
        <v>0</v>
      </c>
      <c r="C1709" s="7" t="str">
        <v>趣点购浦发</v>
      </c>
      <c r="D1709" s="8">
        <v>0</v>
      </c>
      <c r="E1709" s="7">
        <v>0</v>
      </c>
      <c r="F1709" s="8">
        <v>0</v>
      </c>
      <c r="G1709" s="7">
        <v>0</v>
      </c>
      <c r="H1709" s="7">
        <v>81211.819999998</v>
      </c>
      <c r="I1709" s="7">
        <v>0</v>
      </c>
      <c r="J1709" s="8">
        <v>0</v>
      </c>
      <c r="K1709" s="9" t="str">
        <v/>
      </c>
    </row>
    <row r="1710" spans="1:11">
      <c r="A1710" t="str">
        <v/>
      </c>
      <c r="B1710" s="6">
        <v>0</v>
      </c>
      <c r="C1710" s="7" t="str">
        <v>趣点购浦发</v>
      </c>
      <c r="D1710" s="8">
        <v>0</v>
      </c>
      <c r="E1710" s="7">
        <v>0</v>
      </c>
      <c r="F1710" s="8">
        <v>0</v>
      </c>
      <c r="G1710" s="7">
        <v>0</v>
      </c>
      <c r="H1710" s="7">
        <v>81211.819999998</v>
      </c>
      <c r="I1710" s="7">
        <v>0</v>
      </c>
      <c r="J1710" s="8">
        <v>0</v>
      </c>
      <c r="K1710" s="9" t="str">
        <v/>
      </c>
    </row>
    <row r="1711" spans="1:11">
      <c r="A1711" t="str">
        <v/>
      </c>
      <c r="B1711" s="6">
        <v>0</v>
      </c>
      <c r="C1711" s="7" t="str">
        <v>趣点购浦发</v>
      </c>
      <c r="D1711" s="8">
        <v>0</v>
      </c>
      <c r="E1711" s="7">
        <v>0</v>
      </c>
      <c r="F1711" s="8">
        <v>0</v>
      </c>
      <c r="G1711" s="7">
        <v>0</v>
      </c>
      <c r="H1711" s="7">
        <v>81211.819999998</v>
      </c>
      <c r="I1711" s="7">
        <v>0</v>
      </c>
      <c r="J1711" s="8">
        <v>0</v>
      </c>
      <c r="K1711" s="9" t="str">
        <v/>
      </c>
    </row>
    <row r="1712" spans="1:11">
      <c r="A1712" t="str">
        <v/>
      </c>
      <c r="B1712" s="6">
        <v>0</v>
      </c>
      <c r="C1712" s="7" t="str">
        <v>趣点购浦发</v>
      </c>
      <c r="D1712" s="8">
        <v>0</v>
      </c>
      <c r="E1712" s="7">
        <v>0</v>
      </c>
      <c r="F1712" s="8">
        <v>0</v>
      </c>
      <c r="G1712" s="7">
        <v>0</v>
      </c>
      <c r="H1712" s="7">
        <v>81211.819999998</v>
      </c>
      <c r="I1712" s="7">
        <v>0</v>
      </c>
      <c r="J1712" s="8">
        <v>0</v>
      </c>
      <c r="K1712" s="9" t="str">
        <v/>
      </c>
    </row>
    <row r="1713" spans="1:11">
      <c r="A1713" t="str">
        <v/>
      </c>
      <c r="B1713" s="6">
        <v>0</v>
      </c>
      <c r="C1713" s="7" t="str">
        <v>趣点购浦发</v>
      </c>
      <c r="D1713" s="8">
        <v>0</v>
      </c>
      <c r="E1713" s="7">
        <v>0</v>
      </c>
      <c r="F1713" s="8">
        <v>0</v>
      </c>
      <c r="G1713" s="7">
        <v>0</v>
      </c>
      <c r="H1713" s="7">
        <v>81211.819999998</v>
      </c>
      <c r="I1713" s="7">
        <v>0</v>
      </c>
      <c r="J1713" s="8">
        <v>0</v>
      </c>
      <c r="K1713" s="9" t="str">
        <v/>
      </c>
    </row>
    <row r="1714" spans="1:11">
      <c r="A1714" t="str">
        <v/>
      </c>
      <c r="B1714" s="6">
        <v>0</v>
      </c>
      <c r="C1714" s="7" t="str">
        <v>趣点购浦发</v>
      </c>
      <c r="D1714" s="8">
        <v>0</v>
      </c>
      <c r="E1714" s="7">
        <v>0</v>
      </c>
      <c r="F1714" s="8">
        <v>0</v>
      </c>
      <c r="G1714" s="7">
        <v>0</v>
      </c>
      <c r="H1714" s="7">
        <v>81211.819999998</v>
      </c>
      <c r="I1714" s="7">
        <v>0</v>
      </c>
      <c r="J1714" s="8">
        <v>0</v>
      </c>
      <c r="K1714" s="9" t="str">
        <v/>
      </c>
    </row>
    <row r="1715" spans="1:11">
      <c r="A1715" t="str">
        <v/>
      </c>
      <c r="B1715" s="6">
        <v>0</v>
      </c>
      <c r="C1715" s="7" t="str">
        <v>趣点购浦发</v>
      </c>
      <c r="D1715" s="8">
        <v>0</v>
      </c>
      <c r="E1715" s="7">
        <v>0</v>
      </c>
      <c r="F1715" s="8">
        <v>0</v>
      </c>
      <c r="G1715" s="7">
        <v>0</v>
      </c>
      <c r="H1715" s="7">
        <v>81211.819999998</v>
      </c>
      <c r="I1715" s="7">
        <v>0</v>
      </c>
      <c r="J1715" s="8">
        <v>0</v>
      </c>
      <c r="K1715" s="9" t="str">
        <v/>
      </c>
    </row>
    <row r="1716" spans="1:11">
      <c r="A1716" t="str">
        <v/>
      </c>
      <c r="B1716" s="6">
        <v>0</v>
      </c>
      <c r="C1716" s="7" t="str">
        <v>趣点购浦发</v>
      </c>
      <c r="D1716" s="8">
        <v>0</v>
      </c>
      <c r="E1716" s="7">
        <v>0</v>
      </c>
      <c r="F1716" s="8">
        <v>0</v>
      </c>
      <c r="G1716" s="7">
        <v>0</v>
      </c>
      <c r="H1716" s="7">
        <v>81211.819999998</v>
      </c>
      <c r="I1716" s="7">
        <v>0</v>
      </c>
      <c r="J1716" s="8">
        <v>0</v>
      </c>
      <c r="K1716" s="9" t="str">
        <v/>
      </c>
    </row>
    <row r="1717" spans="1:11">
      <c r="A1717" t="str">
        <v/>
      </c>
      <c r="B1717" s="6">
        <v>0</v>
      </c>
      <c r="C1717" s="7" t="str">
        <v>趣点购浦发</v>
      </c>
      <c r="D1717" s="8">
        <v>0</v>
      </c>
      <c r="E1717" s="7">
        <v>0</v>
      </c>
      <c r="F1717" s="8">
        <v>0</v>
      </c>
      <c r="G1717" s="7">
        <v>0</v>
      </c>
      <c r="H1717" s="7">
        <v>81211.819999998</v>
      </c>
      <c r="I1717" s="7">
        <v>0</v>
      </c>
      <c r="J1717" s="8">
        <v>0</v>
      </c>
      <c r="K1717" s="9" t="str">
        <v/>
      </c>
    </row>
    <row r="1718" spans="1:11">
      <c r="A1718" t="str">
        <v/>
      </c>
      <c r="B1718" s="6">
        <v>0</v>
      </c>
      <c r="C1718" s="7" t="str">
        <v>趣点购浦发</v>
      </c>
      <c r="D1718" s="8">
        <v>0</v>
      </c>
      <c r="E1718" s="7">
        <v>0</v>
      </c>
      <c r="F1718" s="8">
        <v>0</v>
      </c>
      <c r="G1718" s="7">
        <v>0</v>
      </c>
      <c r="H1718" s="7">
        <v>81211.819999998</v>
      </c>
      <c r="I1718" s="7">
        <v>0</v>
      </c>
      <c r="J1718" s="8">
        <v>0</v>
      </c>
      <c r="K1718" s="9" t="str">
        <v/>
      </c>
    </row>
    <row r="1719" spans="1:11">
      <c r="A1719" t="str">
        <v/>
      </c>
      <c r="B1719" s="6">
        <v>0</v>
      </c>
      <c r="C1719" s="7" t="str">
        <v>趣点购浦发</v>
      </c>
      <c r="D1719" s="8">
        <v>0</v>
      </c>
      <c r="E1719" s="7">
        <v>0</v>
      </c>
      <c r="F1719" s="8">
        <v>0</v>
      </c>
      <c r="G1719" s="7">
        <v>0</v>
      </c>
      <c r="H1719" s="7">
        <v>81211.819999998</v>
      </c>
      <c r="I1719" s="7">
        <v>0</v>
      </c>
      <c r="J1719" s="8">
        <v>0</v>
      </c>
      <c r="K1719" s="9" t="str">
        <v/>
      </c>
    </row>
    <row r="1720" spans="1:11">
      <c r="A1720" t="str">
        <v/>
      </c>
      <c r="B1720" s="6">
        <v>0</v>
      </c>
      <c r="C1720" s="7" t="str">
        <v>趣点购浦发</v>
      </c>
      <c r="D1720" s="8">
        <v>0</v>
      </c>
      <c r="E1720" s="7">
        <v>0</v>
      </c>
      <c r="F1720" s="8">
        <v>0</v>
      </c>
      <c r="G1720" s="7">
        <v>0</v>
      </c>
      <c r="H1720" s="7">
        <v>81211.819999998</v>
      </c>
      <c r="I1720" s="7">
        <v>0</v>
      </c>
      <c r="J1720" s="8">
        <v>0</v>
      </c>
      <c r="K1720" s="9" t="str">
        <v/>
      </c>
    </row>
    <row r="1721" spans="1:11">
      <c r="A1721" t="str">
        <v/>
      </c>
      <c r="B1721" s="6">
        <v>0</v>
      </c>
      <c r="C1721" s="7" t="str">
        <v>趣点购浦发</v>
      </c>
      <c r="D1721" s="8">
        <v>0</v>
      </c>
      <c r="E1721" s="7">
        <v>0</v>
      </c>
      <c r="F1721" s="8">
        <v>0</v>
      </c>
      <c r="G1721" s="7">
        <v>0</v>
      </c>
      <c r="H1721" s="7">
        <v>81211.819999998</v>
      </c>
      <c r="I1721" s="7">
        <v>0</v>
      </c>
      <c r="J1721" s="8">
        <v>0</v>
      </c>
      <c r="K1721" s="9" t="str">
        <v/>
      </c>
    </row>
    <row r="1722" spans="1:11">
      <c r="A1722" t="str">
        <v/>
      </c>
      <c r="B1722" s="6">
        <v>0</v>
      </c>
      <c r="C1722" s="7" t="str">
        <v>趣点购浦发</v>
      </c>
      <c r="D1722" s="8">
        <v>0</v>
      </c>
      <c r="E1722" s="7">
        <v>0</v>
      </c>
      <c r="F1722" s="8">
        <v>0</v>
      </c>
      <c r="G1722" s="7">
        <v>0</v>
      </c>
      <c r="H1722" s="7">
        <v>81211.819999998</v>
      </c>
      <c r="I1722" s="7">
        <v>0</v>
      </c>
      <c r="J1722" s="8">
        <v>0</v>
      </c>
      <c r="K1722" s="9" t="str">
        <v/>
      </c>
    </row>
    <row r="1723" spans="1:11">
      <c r="A1723" t="str">
        <v/>
      </c>
      <c r="B1723" s="6">
        <v>0</v>
      </c>
      <c r="C1723" s="7" t="str">
        <v>趣点购浦发</v>
      </c>
      <c r="D1723" s="8">
        <v>0</v>
      </c>
      <c r="E1723" s="7">
        <v>0</v>
      </c>
      <c r="F1723" s="8">
        <v>0</v>
      </c>
      <c r="G1723" s="7">
        <v>0</v>
      </c>
      <c r="H1723" s="7">
        <v>81211.819999998</v>
      </c>
      <c r="I1723" s="7">
        <v>0</v>
      </c>
      <c r="J1723" s="8">
        <v>0</v>
      </c>
      <c r="K1723" s="9" t="str">
        <v/>
      </c>
    </row>
    <row r="1724" spans="1:11">
      <c r="A1724" t="str">
        <v/>
      </c>
      <c r="B1724" s="6">
        <v>0</v>
      </c>
      <c r="C1724" s="7" t="str">
        <v>趣点购浦发</v>
      </c>
      <c r="D1724" s="8">
        <v>0</v>
      </c>
      <c r="E1724" s="7">
        <v>0</v>
      </c>
      <c r="F1724" s="8">
        <v>0</v>
      </c>
      <c r="G1724" s="7">
        <v>0</v>
      </c>
      <c r="H1724" s="7">
        <v>81211.819999998</v>
      </c>
      <c r="I1724" s="7">
        <v>0</v>
      </c>
      <c r="J1724" s="8">
        <v>0</v>
      </c>
      <c r="K1724" s="9" t="str">
        <v/>
      </c>
    </row>
    <row r="1725" spans="1:11">
      <c r="A1725" t="str">
        <v/>
      </c>
      <c r="B1725" s="6">
        <v>0</v>
      </c>
      <c r="C1725" s="7" t="str">
        <v>趣点购浦发</v>
      </c>
      <c r="D1725" s="8">
        <v>0</v>
      </c>
      <c r="E1725" s="7">
        <v>0</v>
      </c>
      <c r="F1725" s="8">
        <v>0</v>
      </c>
      <c r="G1725" s="7">
        <v>0</v>
      </c>
      <c r="H1725" s="7">
        <v>81211.819999998</v>
      </c>
      <c r="I1725" s="7">
        <v>0</v>
      </c>
      <c r="J1725" s="8">
        <v>0</v>
      </c>
      <c r="K1725" s="9" t="str">
        <v/>
      </c>
    </row>
    <row r="1726" spans="1:11">
      <c r="A1726" t="str">
        <v/>
      </c>
      <c r="B1726" s="6">
        <v>0</v>
      </c>
      <c r="C1726" s="7" t="str">
        <v>趣点购浦发</v>
      </c>
      <c r="D1726" s="8">
        <v>0</v>
      </c>
      <c r="E1726" s="7">
        <v>0</v>
      </c>
      <c r="F1726" s="8">
        <v>0</v>
      </c>
      <c r="G1726" s="7">
        <v>0</v>
      </c>
      <c r="H1726" s="7">
        <v>81211.819999998</v>
      </c>
      <c r="I1726" s="7">
        <v>0</v>
      </c>
      <c r="J1726" s="8">
        <v>0</v>
      </c>
      <c r="K1726" s="9" t="str">
        <v/>
      </c>
    </row>
    <row r="1727" spans="1:11">
      <c r="A1727" t="str">
        <v/>
      </c>
      <c r="B1727" s="6">
        <v>0</v>
      </c>
      <c r="C1727" s="7" t="str">
        <v>趣点购浦发</v>
      </c>
      <c r="D1727" s="8">
        <v>0</v>
      </c>
      <c r="E1727" s="7">
        <v>0</v>
      </c>
      <c r="F1727" s="8">
        <v>0</v>
      </c>
      <c r="G1727" s="7">
        <v>0</v>
      </c>
      <c r="H1727" s="7">
        <v>81211.819999998</v>
      </c>
      <c r="I1727" s="7">
        <v>0</v>
      </c>
      <c r="J1727" s="8">
        <v>0</v>
      </c>
      <c r="K1727" s="9" t="str">
        <v/>
      </c>
    </row>
    <row r="1728" spans="1:11">
      <c r="A1728" t="str">
        <v/>
      </c>
      <c r="B1728" s="6">
        <v>0</v>
      </c>
      <c r="C1728" s="7" t="str">
        <v>趣点购浦发</v>
      </c>
      <c r="D1728" s="8">
        <v>0</v>
      </c>
      <c r="E1728" s="7">
        <v>0</v>
      </c>
      <c r="F1728" s="8">
        <v>0</v>
      </c>
      <c r="G1728" s="7">
        <v>0</v>
      </c>
      <c r="H1728" s="7">
        <v>81211.819999998</v>
      </c>
      <c r="I1728" s="7">
        <v>0</v>
      </c>
      <c r="J1728" s="8">
        <v>0</v>
      </c>
      <c r="K1728" s="9" t="str">
        <v/>
      </c>
    </row>
    <row r="1729" spans="1:11">
      <c r="A1729" t="str">
        <v/>
      </c>
      <c r="B1729" s="6">
        <v>0</v>
      </c>
      <c r="C1729" s="7" t="str">
        <v>趣点购浦发</v>
      </c>
      <c r="D1729" s="8">
        <v>0</v>
      </c>
      <c r="E1729" s="7">
        <v>0</v>
      </c>
      <c r="F1729" s="8">
        <v>0</v>
      </c>
      <c r="G1729" s="7">
        <v>0</v>
      </c>
      <c r="H1729" s="7">
        <v>81211.819999998</v>
      </c>
      <c r="I1729" s="7">
        <v>0</v>
      </c>
      <c r="J1729" s="8">
        <v>0</v>
      </c>
      <c r="K1729" s="9" t="str">
        <v/>
      </c>
    </row>
    <row r="1730" spans="1:11">
      <c r="A1730" t="str">
        <v/>
      </c>
      <c r="B1730" s="6">
        <v>0</v>
      </c>
      <c r="C1730" s="7" t="str">
        <v>趣点购浦发</v>
      </c>
      <c r="D1730" s="8">
        <v>0</v>
      </c>
      <c r="E1730" s="7">
        <v>0</v>
      </c>
      <c r="F1730" s="8">
        <v>0</v>
      </c>
      <c r="G1730" s="7">
        <v>0</v>
      </c>
      <c r="H1730" s="7">
        <v>81211.819999998</v>
      </c>
      <c r="I1730" s="7">
        <v>0</v>
      </c>
      <c r="J1730" s="8">
        <v>0</v>
      </c>
      <c r="K1730" s="9" t="str">
        <v/>
      </c>
    </row>
    <row r="1731" spans="1:11">
      <c r="A1731" t="str">
        <v/>
      </c>
      <c r="B1731" s="6">
        <v>0</v>
      </c>
      <c r="C1731" s="7" t="str">
        <v>趣点购浦发</v>
      </c>
      <c r="D1731" s="8">
        <v>0</v>
      </c>
      <c r="E1731" s="7">
        <v>0</v>
      </c>
      <c r="F1731" s="8">
        <v>0</v>
      </c>
      <c r="G1731" s="7">
        <v>0</v>
      </c>
      <c r="H1731" s="7">
        <v>81211.819999998</v>
      </c>
      <c r="I1731" s="7">
        <v>0</v>
      </c>
      <c r="J1731" s="8">
        <v>0</v>
      </c>
      <c r="K1731" s="9" t="str">
        <v/>
      </c>
    </row>
    <row r="1732" spans="1:11">
      <c r="A1732" t="str">
        <v/>
      </c>
      <c r="B1732" s="6">
        <v>0</v>
      </c>
      <c r="C1732" s="7" t="str">
        <v>趣点购浦发</v>
      </c>
      <c r="D1732" s="8">
        <v>0</v>
      </c>
      <c r="E1732" s="7">
        <v>0</v>
      </c>
      <c r="F1732" s="8">
        <v>0</v>
      </c>
      <c r="G1732" s="7">
        <v>0</v>
      </c>
      <c r="H1732" s="7">
        <v>81211.819999998</v>
      </c>
      <c r="I1732" s="7">
        <v>0</v>
      </c>
      <c r="J1732" s="8">
        <v>0</v>
      </c>
      <c r="K1732" s="9" t="str">
        <v/>
      </c>
    </row>
    <row r="1733" spans="1:11">
      <c r="A1733" t="str">
        <v/>
      </c>
      <c r="B1733" s="6">
        <v>0</v>
      </c>
      <c r="C1733" s="7" t="str">
        <v>趣点购浦发</v>
      </c>
      <c r="D1733" s="8">
        <v>0</v>
      </c>
      <c r="E1733" s="7">
        <v>0</v>
      </c>
      <c r="F1733" s="8">
        <v>0</v>
      </c>
      <c r="G1733" s="7">
        <v>0</v>
      </c>
      <c r="H1733" s="7">
        <v>81211.819999998</v>
      </c>
      <c r="I1733" s="7">
        <v>0</v>
      </c>
      <c r="J1733" s="8">
        <v>0</v>
      </c>
      <c r="K1733" s="9" t="str">
        <v/>
      </c>
    </row>
    <row r="1734" spans="1:11">
      <c r="A1734" t="str">
        <v/>
      </c>
      <c r="B1734" s="6">
        <v>0</v>
      </c>
      <c r="C1734" s="7" t="str">
        <v>趣点购浦发</v>
      </c>
      <c r="D1734" s="8">
        <v>0</v>
      </c>
      <c r="E1734" s="7">
        <v>0</v>
      </c>
      <c r="F1734" s="8">
        <v>0</v>
      </c>
      <c r="G1734" s="7">
        <v>0</v>
      </c>
      <c r="H1734" s="7">
        <v>81211.819999998</v>
      </c>
      <c r="I1734" s="7">
        <v>0</v>
      </c>
      <c r="J1734" s="8">
        <v>0</v>
      </c>
      <c r="K1734" s="9" t="str">
        <v/>
      </c>
    </row>
    <row r="1735" spans="1:11">
      <c r="A1735" t="str">
        <v/>
      </c>
      <c r="B1735" s="6">
        <v>0</v>
      </c>
      <c r="C1735" s="7" t="str">
        <v>趣点购浦发</v>
      </c>
      <c r="D1735" s="8">
        <v>0</v>
      </c>
      <c r="E1735" s="7">
        <v>0</v>
      </c>
      <c r="F1735" s="8">
        <v>0</v>
      </c>
      <c r="G1735" s="7">
        <v>0</v>
      </c>
      <c r="H1735" s="7">
        <v>81211.819999998</v>
      </c>
      <c r="I1735" s="7">
        <v>0</v>
      </c>
      <c r="J1735" s="8">
        <v>0</v>
      </c>
      <c r="K1735" s="9" t="str">
        <v/>
      </c>
    </row>
    <row r="1736" spans="1:11">
      <c r="A1736" t="str">
        <v/>
      </c>
      <c r="B1736" s="6">
        <v>0</v>
      </c>
      <c r="C1736" s="7" t="str">
        <v>趣点购浦发</v>
      </c>
      <c r="D1736" s="8">
        <v>0</v>
      </c>
      <c r="E1736" s="7">
        <v>0</v>
      </c>
      <c r="F1736" s="8">
        <v>0</v>
      </c>
      <c r="G1736" s="7">
        <v>0</v>
      </c>
      <c r="H1736" s="7">
        <v>81211.819999998</v>
      </c>
      <c r="I1736" s="7">
        <v>0</v>
      </c>
      <c r="J1736" s="8">
        <v>0</v>
      </c>
      <c r="K1736" s="9" t="str">
        <v/>
      </c>
    </row>
    <row r="1737" spans="1:11">
      <c r="A1737" t="str">
        <v/>
      </c>
      <c r="B1737" s="6">
        <v>0</v>
      </c>
      <c r="C1737" s="7" t="str">
        <v>趣点购浦发</v>
      </c>
      <c r="D1737" s="8">
        <v>0</v>
      </c>
      <c r="E1737" s="7">
        <v>0</v>
      </c>
      <c r="F1737" s="8">
        <v>0</v>
      </c>
      <c r="G1737" s="7">
        <v>0</v>
      </c>
      <c r="H1737" s="7">
        <v>81211.819999998</v>
      </c>
      <c r="I1737" s="7">
        <v>0</v>
      </c>
      <c r="J1737" s="8">
        <v>0</v>
      </c>
      <c r="K1737" s="9" t="str">
        <v/>
      </c>
    </row>
    <row r="1738" spans="1:11">
      <c r="A1738" t="str">
        <v/>
      </c>
      <c r="B1738" s="6">
        <v>0</v>
      </c>
      <c r="C1738" s="7" t="str">
        <v>趣点购浦发</v>
      </c>
      <c r="D1738" s="8">
        <v>0</v>
      </c>
      <c r="E1738" s="7">
        <v>0</v>
      </c>
      <c r="F1738" s="8">
        <v>0</v>
      </c>
      <c r="G1738" s="7">
        <v>0</v>
      </c>
      <c r="H1738" s="7">
        <v>81211.819999998</v>
      </c>
      <c r="I1738" s="7">
        <v>0</v>
      </c>
      <c r="J1738" s="8">
        <v>0</v>
      </c>
      <c r="K1738" s="9" t="str">
        <v/>
      </c>
    </row>
    <row r="1739" spans="1:11">
      <c r="A1739" t="str">
        <v/>
      </c>
      <c r="B1739" s="6">
        <v>0</v>
      </c>
      <c r="C1739" s="7" t="str">
        <v>趣点购浦发</v>
      </c>
      <c r="D1739" s="8">
        <v>0</v>
      </c>
      <c r="E1739" s="7">
        <v>0</v>
      </c>
      <c r="F1739" s="8">
        <v>0</v>
      </c>
      <c r="G1739" s="7">
        <v>0</v>
      </c>
      <c r="H1739" s="7">
        <v>81211.819999998</v>
      </c>
      <c r="I1739" s="7">
        <v>0</v>
      </c>
      <c r="J1739" s="8">
        <v>0</v>
      </c>
      <c r="K1739" s="9" t="str">
        <v/>
      </c>
    </row>
    <row r="1740" spans="1:11">
      <c r="A1740" t="str">
        <v/>
      </c>
      <c r="B1740" s="6">
        <v>0</v>
      </c>
      <c r="C1740" s="7" t="str">
        <v>趣点购浦发</v>
      </c>
      <c r="D1740" s="8">
        <v>0</v>
      </c>
      <c r="E1740" s="7">
        <v>0</v>
      </c>
      <c r="F1740" s="8">
        <v>0</v>
      </c>
      <c r="G1740" s="7">
        <v>0</v>
      </c>
      <c r="H1740" s="7">
        <v>81211.819999998</v>
      </c>
      <c r="I1740" s="7">
        <v>0</v>
      </c>
      <c r="J1740" s="8">
        <v>0</v>
      </c>
      <c r="K1740" s="9" t="str">
        <v/>
      </c>
    </row>
    <row r="1741" spans="1:11">
      <c r="A1741" t="str">
        <v/>
      </c>
      <c r="B1741" s="6">
        <v>0</v>
      </c>
      <c r="C1741" s="7" t="str">
        <v>趣点购浦发</v>
      </c>
      <c r="D1741" s="8">
        <v>0</v>
      </c>
      <c r="E1741" s="7">
        <v>0</v>
      </c>
      <c r="F1741" s="8">
        <v>0</v>
      </c>
      <c r="G1741" s="7">
        <v>0</v>
      </c>
      <c r="H1741" s="7">
        <v>81211.819999998</v>
      </c>
      <c r="I1741" s="7">
        <v>0</v>
      </c>
      <c r="J1741" s="8">
        <v>0</v>
      </c>
      <c r="K1741" s="9" t="str">
        <v/>
      </c>
    </row>
    <row r="1742" spans="1:11">
      <c r="A1742" t="str">
        <v/>
      </c>
      <c r="B1742" s="6">
        <v>0</v>
      </c>
      <c r="C1742" s="7" t="str">
        <v>趣点购浦发</v>
      </c>
      <c r="D1742" s="8">
        <v>0</v>
      </c>
      <c r="E1742" s="7">
        <v>0</v>
      </c>
      <c r="F1742" s="8">
        <v>0</v>
      </c>
      <c r="G1742" s="7">
        <v>0</v>
      </c>
      <c r="H1742" s="7">
        <v>81211.819999998</v>
      </c>
      <c r="I1742" s="7">
        <v>0</v>
      </c>
      <c r="J1742" s="8">
        <v>0</v>
      </c>
      <c r="K1742" s="9" t="str">
        <v/>
      </c>
    </row>
    <row r="1743" spans="1:11">
      <c r="A1743" t="str">
        <v/>
      </c>
      <c r="B1743" s="6">
        <v>0</v>
      </c>
      <c r="C1743" s="7" t="str">
        <v>趣点购浦发</v>
      </c>
      <c r="D1743" s="8">
        <v>0</v>
      </c>
      <c r="E1743" s="7">
        <v>0</v>
      </c>
      <c r="F1743" s="8">
        <v>0</v>
      </c>
      <c r="G1743" s="7">
        <v>0</v>
      </c>
      <c r="H1743" s="7">
        <v>81211.819999998</v>
      </c>
      <c r="I1743" s="7">
        <v>0</v>
      </c>
      <c r="J1743" s="8">
        <v>0</v>
      </c>
      <c r="K1743" s="9" t="str">
        <v/>
      </c>
    </row>
    <row r="1744" spans="1:11">
      <c r="A1744" t="str">
        <v/>
      </c>
      <c r="B1744" s="6">
        <v>0</v>
      </c>
      <c r="C1744" s="7" t="str">
        <v>趣点购浦发</v>
      </c>
      <c r="D1744" s="8">
        <v>0</v>
      </c>
      <c r="E1744" s="7">
        <v>0</v>
      </c>
      <c r="F1744" s="8">
        <v>0</v>
      </c>
      <c r="G1744" s="7">
        <v>0</v>
      </c>
      <c r="H1744" s="7">
        <v>81211.819999998</v>
      </c>
      <c r="I1744" s="7">
        <v>0</v>
      </c>
      <c r="J1744" s="8">
        <v>0</v>
      </c>
      <c r="K1744" s="9" t="str">
        <v/>
      </c>
    </row>
    <row r="1745" spans="1:11">
      <c r="A1745" t="str">
        <v/>
      </c>
      <c r="B1745" s="6">
        <v>0</v>
      </c>
      <c r="C1745" s="7" t="str">
        <v>趣点购浦发</v>
      </c>
      <c r="D1745" s="8">
        <v>0</v>
      </c>
      <c r="E1745" s="7">
        <v>0</v>
      </c>
      <c r="F1745" s="8">
        <v>0</v>
      </c>
      <c r="G1745" s="7">
        <v>0</v>
      </c>
      <c r="H1745" s="7">
        <v>81211.819999998</v>
      </c>
      <c r="I1745" s="7">
        <v>0</v>
      </c>
      <c r="J1745" s="8">
        <v>0</v>
      </c>
      <c r="K1745" s="9" t="str">
        <v/>
      </c>
    </row>
    <row r="1746" spans="1:11">
      <c r="A1746" t="str">
        <v/>
      </c>
      <c r="B1746" s="6">
        <v>0</v>
      </c>
      <c r="C1746" s="7" t="str">
        <v>趣点购浦发</v>
      </c>
      <c r="D1746" s="8">
        <v>0</v>
      </c>
      <c r="E1746" s="7">
        <v>0</v>
      </c>
      <c r="F1746" s="8">
        <v>0</v>
      </c>
      <c r="G1746" s="7">
        <v>0</v>
      </c>
      <c r="H1746" s="7">
        <v>81211.819999998</v>
      </c>
      <c r="I1746" s="7">
        <v>0</v>
      </c>
      <c r="J1746" s="8">
        <v>0</v>
      </c>
      <c r="K1746" s="9" t="str">
        <v/>
      </c>
    </row>
    <row r="1747" spans="1:11">
      <c r="A1747" t="str">
        <v/>
      </c>
      <c r="B1747" s="6">
        <v>0</v>
      </c>
      <c r="C1747" s="7" t="str">
        <v>趣点购浦发</v>
      </c>
      <c r="D1747" s="8">
        <v>0</v>
      </c>
      <c r="E1747" s="7">
        <v>0</v>
      </c>
      <c r="F1747" s="8">
        <v>0</v>
      </c>
      <c r="G1747" s="7">
        <v>0</v>
      </c>
      <c r="H1747" s="7">
        <v>81211.819999998</v>
      </c>
      <c r="I1747" s="7">
        <v>0</v>
      </c>
      <c r="J1747" s="8">
        <v>0</v>
      </c>
      <c r="K1747" s="9" t="str">
        <v/>
      </c>
    </row>
    <row r="1748" spans="1:11">
      <c r="A1748" t="str">
        <v/>
      </c>
      <c r="B1748" s="6">
        <v>0</v>
      </c>
      <c r="C1748" s="7" t="str">
        <v>趣点购浦发</v>
      </c>
      <c r="D1748" s="8">
        <v>0</v>
      </c>
      <c r="E1748" s="7">
        <v>0</v>
      </c>
      <c r="F1748" s="8">
        <v>0</v>
      </c>
      <c r="G1748" s="7">
        <v>0</v>
      </c>
      <c r="H1748" s="7">
        <v>81211.819999998</v>
      </c>
      <c r="I1748" s="7">
        <v>0</v>
      </c>
      <c r="J1748" s="8">
        <v>0</v>
      </c>
      <c r="K1748" s="9" t="str">
        <v/>
      </c>
    </row>
    <row r="1749" spans="1:11">
      <c r="A1749" t="str">
        <v/>
      </c>
      <c r="B1749" s="6">
        <v>0</v>
      </c>
      <c r="C1749" s="7" t="str">
        <v>趣点购浦发</v>
      </c>
      <c r="D1749" s="8">
        <v>0</v>
      </c>
      <c r="E1749" s="7">
        <v>0</v>
      </c>
      <c r="F1749" s="8">
        <v>0</v>
      </c>
      <c r="G1749" s="7">
        <v>0</v>
      </c>
      <c r="H1749" s="7">
        <v>81211.819999998</v>
      </c>
      <c r="I1749" s="7">
        <v>0</v>
      </c>
      <c r="J1749" s="8">
        <v>0</v>
      </c>
      <c r="K1749" s="9" t="str">
        <v/>
      </c>
    </row>
    <row r="1750" spans="1:11">
      <c r="A1750" t="str">
        <v/>
      </c>
      <c r="B1750" s="6">
        <v>0</v>
      </c>
      <c r="C1750" s="7" t="str">
        <v>趣点购浦发</v>
      </c>
      <c r="D1750" s="8">
        <v>0</v>
      </c>
      <c r="E1750" s="7">
        <v>0</v>
      </c>
      <c r="F1750" s="8">
        <v>0</v>
      </c>
      <c r="G1750" s="7">
        <v>0</v>
      </c>
      <c r="H1750" s="7">
        <v>81211.819999998</v>
      </c>
      <c r="I1750" s="7">
        <v>0</v>
      </c>
      <c r="J1750" s="8">
        <v>0</v>
      </c>
      <c r="K1750" s="9" t="str">
        <v/>
      </c>
    </row>
    <row r="1751" spans="1:11">
      <c r="A1751" t="str">
        <v/>
      </c>
      <c r="B1751" s="6">
        <v>0</v>
      </c>
      <c r="C1751" s="7" t="str">
        <v>趣点购浦发</v>
      </c>
      <c r="D1751" s="8">
        <v>0</v>
      </c>
      <c r="E1751" s="7">
        <v>0</v>
      </c>
      <c r="F1751" s="8">
        <v>0</v>
      </c>
      <c r="G1751" s="7">
        <v>0</v>
      </c>
      <c r="H1751" s="7">
        <v>81211.819999998</v>
      </c>
      <c r="I1751" s="7">
        <v>0</v>
      </c>
      <c r="J1751" s="8">
        <v>0</v>
      </c>
      <c r="K1751" s="9" t="str">
        <v/>
      </c>
    </row>
    <row r="1752" spans="1:11">
      <c r="A1752" t="str">
        <v/>
      </c>
      <c r="B1752" s="6">
        <v>0</v>
      </c>
      <c r="C1752" s="7" t="str">
        <v>趣点购浦发</v>
      </c>
      <c r="D1752" s="8">
        <v>0</v>
      </c>
      <c r="E1752" s="7">
        <v>0</v>
      </c>
      <c r="F1752" s="8">
        <v>0</v>
      </c>
      <c r="G1752" s="7">
        <v>0</v>
      </c>
      <c r="H1752" s="7">
        <v>81211.819999998</v>
      </c>
      <c r="I1752" s="7">
        <v>0</v>
      </c>
      <c r="J1752" s="8">
        <v>0</v>
      </c>
      <c r="K1752" s="9" t="str">
        <v/>
      </c>
    </row>
    <row r="1753" spans="1:11">
      <c r="A1753" t="str">
        <v/>
      </c>
      <c r="B1753" s="6">
        <v>0</v>
      </c>
      <c r="C1753" s="7" t="str">
        <v>趣点购浦发</v>
      </c>
      <c r="D1753" s="8">
        <v>0</v>
      </c>
      <c r="E1753" s="7">
        <v>0</v>
      </c>
      <c r="F1753" s="8">
        <v>0</v>
      </c>
      <c r="G1753" s="7">
        <v>0</v>
      </c>
      <c r="H1753" s="7">
        <v>81211.819999998</v>
      </c>
      <c r="I1753" s="7">
        <v>0</v>
      </c>
      <c r="J1753" s="8">
        <v>0</v>
      </c>
      <c r="K1753" s="9" t="str">
        <v/>
      </c>
    </row>
    <row r="1754" spans="1:11">
      <c r="A1754" t="str">
        <v/>
      </c>
      <c r="B1754" s="6">
        <v>0</v>
      </c>
      <c r="C1754" s="7" t="str">
        <v>趣点购浦发</v>
      </c>
      <c r="D1754" s="8">
        <v>0</v>
      </c>
      <c r="E1754" s="7">
        <v>0</v>
      </c>
      <c r="F1754" s="8">
        <v>0</v>
      </c>
      <c r="G1754" s="7">
        <v>0</v>
      </c>
      <c r="H1754" s="7">
        <v>81211.819999998</v>
      </c>
      <c r="I1754" s="7">
        <v>0</v>
      </c>
      <c r="J1754" s="8">
        <v>0</v>
      </c>
      <c r="K1754" s="9" t="str">
        <v/>
      </c>
    </row>
    <row r="1755" spans="1:11">
      <c r="A1755" t="str">
        <v/>
      </c>
      <c r="B1755" s="6">
        <v>0</v>
      </c>
      <c r="C1755" s="7" t="str">
        <v>趣点购浦发</v>
      </c>
      <c r="D1755" s="8">
        <v>0</v>
      </c>
      <c r="E1755" s="7">
        <v>0</v>
      </c>
      <c r="F1755" s="8">
        <v>0</v>
      </c>
      <c r="G1755" s="7">
        <v>0</v>
      </c>
      <c r="H1755" s="7">
        <v>81211.819999998</v>
      </c>
      <c r="I1755" s="7">
        <v>0</v>
      </c>
      <c r="J1755" s="8">
        <v>0</v>
      </c>
      <c r="K1755" s="9" t="str">
        <v/>
      </c>
    </row>
    <row r="1756" spans="1:11">
      <c r="A1756" t="str">
        <v/>
      </c>
      <c r="B1756" s="6">
        <v>0</v>
      </c>
      <c r="C1756" s="7" t="str">
        <v>趣点购浦发</v>
      </c>
      <c r="D1756" s="8">
        <v>0</v>
      </c>
      <c r="E1756" s="7">
        <v>0</v>
      </c>
      <c r="F1756" s="8">
        <v>0</v>
      </c>
      <c r="G1756" s="7">
        <v>0</v>
      </c>
      <c r="H1756" s="7">
        <v>81211.819999998</v>
      </c>
      <c r="I1756" s="7">
        <v>0</v>
      </c>
      <c r="J1756" s="8">
        <v>0</v>
      </c>
      <c r="K1756" s="9" t="str">
        <v/>
      </c>
    </row>
    <row r="1757" spans="1:11">
      <c r="A1757" t="str">
        <v/>
      </c>
      <c r="B1757" s="6">
        <v>0</v>
      </c>
      <c r="C1757" s="7" t="str">
        <v>趣点购浦发</v>
      </c>
      <c r="D1757" s="8">
        <v>0</v>
      </c>
      <c r="E1757" s="7">
        <v>0</v>
      </c>
      <c r="F1757" s="8">
        <v>0</v>
      </c>
      <c r="G1757" s="7">
        <v>0</v>
      </c>
      <c r="H1757" s="7">
        <v>81211.819999998</v>
      </c>
      <c r="I1757" s="7">
        <v>0</v>
      </c>
      <c r="J1757" s="8">
        <v>0</v>
      </c>
      <c r="K1757" s="9" t="str">
        <v/>
      </c>
    </row>
    <row r="1758" spans="1:11">
      <c r="A1758" t="str">
        <v/>
      </c>
      <c r="B1758" s="6">
        <v>0</v>
      </c>
      <c r="C1758" s="7" t="str">
        <v>趣点购浦发</v>
      </c>
      <c r="D1758" s="8">
        <v>0</v>
      </c>
      <c r="E1758" s="7">
        <v>0</v>
      </c>
      <c r="F1758" s="8">
        <v>0</v>
      </c>
      <c r="G1758" s="7">
        <v>0</v>
      </c>
      <c r="H1758" s="7">
        <v>81211.819999998</v>
      </c>
      <c r="I1758" s="7">
        <v>0</v>
      </c>
      <c r="J1758" s="8">
        <v>0</v>
      </c>
      <c r="K1758" s="9" t="str">
        <v/>
      </c>
    </row>
    <row r="1759" spans="1:11">
      <c r="A1759" t="str">
        <v/>
      </c>
      <c r="B1759" s="6">
        <v>0</v>
      </c>
      <c r="C1759" s="7" t="str">
        <v>趣点购浦发</v>
      </c>
      <c r="D1759" s="8">
        <v>0</v>
      </c>
      <c r="E1759" s="7">
        <v>0</v>
      </c>
      <c r="F1759" s="8">
        <v>0</v>
      </c>
      <c r="G1759" s="7">
        <v>0</v>
      </c>
      <c r="H1759" s="7">
        <v>81211.819999998</v>
      </c>
      <c r="I1759" s="7">
        <v>0</v>
      </c>
      <c r="J1759" s="8">
        <v>0</v>
      </c>
      <c r="K1759" s="9" t="str">
        <v/>
      </c>
    </row>
    <row r="1760" spans="1:11">
      <c r="A1760" t="str">
        <v/>
      </c>
      <c r="B1760" s="6">
        <v>0</v>
      </c>
      <c r="C1760" s="7" t="str">
        <v>趣点购浦发</v>
      </c>
      <c r="D1760" s="8">
        <v>0</v>
      </c>
      <c r="E1760" s="7">
        <v>0</v>
      </c>
      <c r="F1760" s="8">
        <v>0</v>
      </c>
      <c r="G1760" s="7">
        <v>0</v>
      </c>
      <c r="H1760" s="7">
        <v>81211.819999998</v>
      </c>
      <c r="I1760" s="7">
        <v>0</v>
      </c>
      <c r="J1760" s="8">
        <v>0</v>
      </c>
      <c r="K1760" s="9" t="str">
        <v/>
      </c>
    </row>
    <row r="1761" spans="1:11">
      <c r="A1761" t="str">
        <v/>
      </c>
      <c r="B1761" s="6">
        <v>0</v>
      </c>
      <c r="C1761" s="7" t="str">
        <v>趣点购浦发</v>
      </c>
      <c r="D1761" s="8">
        <v>0</v>
      </c>
      <c r="E1761" s="7">
        <v>0</v>
      </c>
      <c r="F1761" s="8">
        <v>0</v>
      </c>
      <c r="G1761" s="7">
        <v>0</v>
      </c>
      <c r="H1761" s="7">
        <v>81211.819999998</v>
      </c>
      <c r="I1761" s="7">
        <v>0</v>
      </c>
      <c r="J1761" s="8">
        <v>0</v>
      </c>
      <c r="K1761" s="9" t="str">
        <v/>
      </c>
    </row>
    <row r="1762" spans="1:11">
      <c r="A1762" t="str">
        <v/>
      </c>
      <c r="B1762" s="6">
        <v>0</v>
      </c>
      <c r="C1762" s="7" t="str">
        <v>趣点购浦发</v>
      </c>
      <c r="D1762" s="8">
        <v>0</v>
      </c>
      <c r="E1762" s="7">
        <v>0</v>
      </c>
      <c r="F1762" s="8">
        <v>0</v>
      </c>
      <c r="G1762" s="7">
        <v>0</v>
      </c>
      <c r="H1762" s="7">
        <v>81211.819999998</v>
      </c>
      <c r="I1762" s="7">
        <v>0</v>
      </c>
      <c r="J1762" s="8">
        <v>0</v>
      </c>
      <c r="K1762" s="9" t="str">
        <v/>
      </c>
    </row>
    <row r="1763" spans="1:11">
      <c r="A1763" t="str">
        <v/>
      </c>
      <c r="B1763" s="6">
        <v>0</v>
      </c>
      <c r="C1763" s="7" t="str">
        <v>趣点购浦发</v>
      </c>
      <c r="D1763" s="8">
        <v>0</v>
      </c>
      <c r="E1763" s="7">
        <v>0</v>
      </c>
      <c r="F1763" s="8">
        <v>0</v>
      </c>
      <c r="G1763" s="7">
        <v>0</v>
      </c>
      <c r="H1763" s="7">
        <v>81211.819999998</v>
      </c>
      <c r="I1763" s="7">
        <v>0</v>
      </c>
      <c r="J1763" s="8">
        <v>0</v>
      </c>
      <c r="K1763" s="9" t="str">
        <v/>
      </c>
    </row>
    <row r="1764" spans="1:11">
      <c r="A1764" t="str">
        <v/>
      </c>
      <c r="B1764" s="6">
        <v>0</v>
      </c>
      <c r="C1764" s="7" t="str">
        <v>趣点购浦发</v>
      </c>
      <c r="D1764" s="8">
        <v>0</v>
      </c>
      <c r="E1764" s="7">
        <v>0</v>
      </c>
      <c r="F1764" s="8">
        <v>0</v>
      </c>
      <c r="G1764" s="7">
        <v>0</v>
      </c>
      <c r="H1764" s="7">
        <v>81211.819999998</v>
      </c>
      <c r="I1764" s="7">
        <v>0</v>
      </c>
      <c r="J1764" s="8">
        <v>0</v>
      </c>
      <c r="K1764" s="9" t="str">
        <v/>
      </c>
    </row>
    <row r="1765" spans="1:11">
      <c r="A1765" t="str">
        <v/>
      </c>
      <c r="B1765" s="6">
        <v>0</v>
      </c>
      <c r="C1765" s="7" t="str">
        <v>趣点购浦发</v>
      </c>
      <c r="D1765" s="8">
        <v>0</v>
      </c>
      <c r="E1765" s="7">
        <v>0</v>
      </c>
      <c r="F1765" s="8">
        <v>0</v>
      </c>
      <c r="G1765" s="7">
        <v>0</v>
      </c>
      <c r="H1765" s="7">
        <v>81211.819999998</v>
      </c>
      <c r="I1765" s="7">
        <v>0</v>
      </c>
      <c r="J1765" s="8">
        <v>0</v>
      </c>
      <c r="K1765" s="9" t="str">
        <v/>
      </c>
    </row>
    <row r="1766" spans="1:11">
      <c r="A1766" t="str">
        <v/>
      </c>
      <c r="B1766" s="6">
        <v>0</v>
      </c>
      <c r="C1766" s="7" t="str">
        <v>趣点购浦发</v>
      </c>
      <c r="D1766" s="8">
        <v>0</v>
      </c>
      <c r="E1766" s="7">
        <v>0</v>
      </c>
      <c r="F1766" s="8">
        <v>0</v>
      </c>
      <c r="G1766" s="7">
        <v>0</v>
      </c>
      <c r="H1766" s="7">
        <v>81211.819999998</v>
      </c>
      <c r="I1766" s="7">
        <v>0</v>
      </c>
      <c r="J1766" s="8">
        <v>0</v>
      </c>
      <c r="K1766" s="9" t="str">
        <v/>
      </c>
    </row>
    <row r="1767" spans="1:11">
      <c r="A1767" t="str">
        <v/>
      </c>
      <c r="B1767" s="6">
        <v>0</v>
      </c>
      <c r="C1767" s="7" t="str">
        <v>趣点购浦发</v>
      </c>
      <c r="D1767" s="8">
        <v>0</v>
      </c>
      <c r="E1767" s="7">
        <v>0</v>
      </c>
      <c r="F1767" s="8">
        <v>0</v>
      </c>
      <c r="G1767" s="7">
        <v>0</v>
      </c>
      <c r="H1767" s="7">
        <v>81211.819999998</v>
      </c>
      <c r="I1767" s="7">
        <v>0</v>
      </c>
      <c r="J1767" s="8">
        <v>0</v>
      </c>
      <c r="K1767" s="9" t="str">
        <v/>
      </c>
    </row>
    <row r="1768" spans="1:11">
      <c r="A1768" t="str">
        <v/>
      </c>
      <c r="B1768" s="6">
        <v>0</v>
      </c>
      <c r="C1768" s="7" t="str">
        <v>趣点购浦发</v>
      </c>
      <c r="D1768" s="8">
        <v>0</v>
      </c>
      <c r="E1768" s="7">
        <v>0</v>
      </c>
      <c r="F1768" s="8">
        <v>0</v>
      </c>
      <c r="G1768" s="7">
        <v>0</v>
      </c>
      <c r="H1768" s="7">
        <v>81211.819999998</v>
      </c>
      <c r="I1768" s="7">
        <v>0</v>
      </c>
      <c r="J1768" s="8">
        <v>0</v>
      </c>
      <c r="K1768" s="9" t="str">
        <v/>
      </c>
    </row>
    <row r="1769" spans="1:11">
      <c r="A1769" t="str">
        <v/>
      </c>
      <c r="B1769" s="6">
        <v>0</v>
      </c>
      <c r="C1769" s="7" t="str">
        <v>趣点购浦发</v>
      </c>
      <c r="D1769" s="8">
        <v>0</v>
      </c>
      <c r="E1769" s="7">
        <v>0</v>
      </c>
      <c r="F1769" s="8">
        <v>0</v>
      </c>
      <c r="G1769" s="7">
        <v>0</v>
      </c>
      <c r="H1769" s="7">
        <v>81211.819999998</v>
      </c>
      <c r="I1769" s="7">
        <v>0</v>
      </c>
      <c r="J1769" s="8">
        <v>0</v>
      </c>
      <c r="K1769" s="9" t="str">
        <v/>
      </c>
    </row>
    <row r="1770" spans="1:11">
      <c r="A1770" t="str">
        <v/>
      </c>
      <c r="B1770" s="6">
        <v>0</v>
      </c>
      <c r="C1770" s="7" t="str">
        <v>趣点购浦发</v>
      </c>
      <c r="D1770" s="8">
        <v>0</v>
      </c>
      <c r="E1770" s="7">
        <v>0</v>
      </c>
      <c r="F1770" s="8">
        <v>0</v>
      </c>
      <c r="G1770" s="7">
        <v>0</v>
      </c>
      <c r="H1770" s="7">
        <v>81211.819999998</v>
      </c>
      <c r="I1770" s="7">
        <v>0</v>
      </c>
      <c r="J1770" s="8">
        <v>0</v>
      </c>
      <c r="K1770" s="9" t="str">
        <v/>
      </c>
    </row>
    <row r="1771" spans="1:11">
      <c r="A1771" t="str">
        <v/>
      </c>
      <c r="B1771" s="6">
        <v>0</v>
      </c>
      <c r="C1771" s="7" t="str">
        <v>趣点购浦发</v>
      </c>
      <c r="D1771" s="8">
        <v>0</v>
      </c>
      <c r="E1771" s="7">
        <v>0</v>
      </c>
      <c r="F1771" s="8">
        <v>0</v>
      </c>
      <c r="G1771" s="7">
        <v>0</v>
      </c>
      <c r="H1771" s="7">
        <v>81211.819999998</v>
      </c>
      <c r="I1771" s="7">
        <v>0</v>
      </c>
      <c r="J1771" s="8">
        <v>0</v>
      </c>
      <c r="K1771" s="9" t="str">
        <v/>
      </c>
    </row>
    <row r="1772" spans="1:11">
      <c r="A1772" t="str">
        <v/>
      </c>
      <c r="B1772" s="6">
        <v>0</v>
      </c>
      <c r="C1772" s="7" t="str">
        <v>趣点购浦发</v>
      </c>
      <c r="D1772" s="8">
        <v>0</v>
      </c>
      <c r="E1772" s="7">
        <v>0</v>
      </c>
      <c r="F1772" s="8">
        <v>0</v>
      </c>
      <c r="G1772" s="7">
        <v>0</v>
      </c>
      <c r="H1772" s="7">
        <v>81211.819999998</v>
      </c>
      <c r="I1772" s="7">
        <v>0</v>
      </c>
      <c r="J1772" s="8">
        <v>0</v>
      </c>
      <c r="K1772" s="9" t="str">
        <v/>
      </c>
    </row>
    <row r="1773" spans="1:11">
      <c r="A1773" t="str">
        <v/>
      </c>
      <c r="B1773" s="6">
        <v>0</v>
      </c>
      <c r="C1773" s="7" t="str">
        <v>趣点购浦发</v>
      </c>
      <c r="D1773" s="8">
        <v>0</v>
      </c>
      <c r="E1773" s="7">
        <v>0</v>
      </c>
      <c r="F1773" s="8">
        <v>0</v>
      </c>
      <c r="G1773" s="7">
        <v>0</v>
      </c>
      <c r="H1773" s="7">
        <v>81211.819999998</v>
      </c>
      <c r="I1773" s="7">
        <v>0</v>
      </c>
      <c r="J1773" s="8">
        <v>0</v>
      </c>
      <c r="K1773" s="9" t="str">
        <v/>
      </c>
    </row>
    <row r="1774" spans="1:11">
      <c r="A1774" t="str">
        <v/>
      </c>
      <c r="B1774" s="6">
        <v>0</v>
      </c>
      <c r="C1774" s="7" t="str">
        <v>趣点购浦发</v>
      </c>
      <c r="D1774" s="8">
        <v>0</v>
      </c>
      <c r="E1774" s="7">
        <v>0</v>
      </c>
      <c r="F1774" s="8">
        <v>0</v>
      </c>
      <c r="G1774" s="7">
        <v>0</v>
      </c>
      <c r="H1774" s="7">
        <v>81211.819999998</v>
      </c>
      <c r="I1774" s="7">
        <v>0</v>
      </c>
      <c r="J1774" s="8">
        <v>0</v>
      </c>
      <c r="K1774" s="9" t="str">
        <v/>
      </c>
    </row>
    <row r="1775" spans="1:11">
      <c r="A1775" t="str">
        <v/>
      </c>
      <c r="B1775" s="6">
        <v>0</v>
      </c>
      <c r="C1775" s="7" t="str">
        <v>趣点购浦发</v>
      </c>
      <c r="D1775" s="8">
        <v>0</v>
      </c>
      <c r="E1775" s="7">
        <v>0</v>
      </c>
      <c r="F1775" s="8">
        <v>0</v>
      </c>
      <c r="G1775" s="7">
        <v>0</v>
      </c>
      <c r="H1775" s="7">
        <v>81211.819999998</v>
      </c>
      <c r="I1775" s="7">
        <v>0</v>
      </c>
      <c r="J1775" s="8">
        <v>0</v>
      </c>
      <c r="K1775" s="9" t="str">
        <v/>
      </c>
    </row>
    <row r="1776" spans="1:11">
      <c r="A1776" t="str">
        <v/>
      </c>
      <c r="B1776" s="6">
        <v>0</v>
      </c>
      <c r="C1776" s="7" t="str">
        <v>趣点购浦发</v>
      </c>
      <c r="D1776" s="8">
        <v>0</v>
      </c>
      <c r="E1776" s="7">
        <v>0</v>
      </c>
      <c r="F1776" s="8">
        <v>0</v>
      </c>
      <c r="G1776" s="7">
        <v>0</v>
      </c>
      <c r="H1776" s="7">
        <v>81211.819999998</v>
      </c>
      <c r="I1776" s="7">
        <v>0</v>
      </c>
      <c r="J1776" s="8">
        <v>0</v>
      </c>
      <c r="K1776" s="9" t="str">
        <v/>
      </c>
    </row>
    <row r="1777" spans="1:11">
      <c r="A1777" t="str">
        <v/>
      </c>
      <c r="B1777" s="6">
        <v>0</v>
      </c>
      <c r="C1777" s="7" t="str">
        <v>趣点购浦发</v>
      </c>
      <c r="D1777" s="8">
        <v>0</v>
      </c>
      <c r="E1777" s="7">
        <v>0</v>
      </c>
      <c r="F1777" s="8">
        <v>0</v>
      </c>
      <c r="G1777" s="7">
        <v>0</v>
      </c>
      <c r="H1777" s="7">
        <v>81211.819999998</v>
      </c>
      <c r="I1777" s="7">
        <v>0</v>
      </c>
      <c r="J1777" s="8">
        <v>0</v>
      </c>
      <c r="K1777" s="9" t="str">
        <v/>
      </c>
    </row>
    <row r="1778" spans="1:11">
      <c r="A1778" t="str">
        <v/>
      </c>
      <c r="B1778" s="6">
        <v>0</v>
      </c>
      <c r="C1778" s="7" t="str">
        <v>趣点购浦发</v>
      </c>
      <c r="D1778" s="8">
        <v>0</v>
      </c>
      <c r="E1778" s="7">
        <v>0</v>
      </c>
      <c r="F1778" s="8">
        <v>0</v>
      </c>
      <c r="G1778" s="7">
        <v>0</v>
      </c>
      <c r="H1778" s="7">
        <v>81211.819999998</v>
      </c>
      <c r="I1778" s="7">
        <v>0</v>
      </c>
      <c r="J1778" s="8">
        <v>0</v>
      </c>
      <c r="K1778" s="9" t="str">
        <v/>
      </c>
    </row>
    <row r="1779" spans="1:11">
      <c r="A1779" t="str">
        <v/>
      </c>
      <c r="B1779" s="6">
        <v>0</v>
      </c>
      <c r="C1779" s="7" t="str">
        <v>趣点购浦发</v>
      </c>
      <c r="D1779" s="8">
        <v>0</v>
      </c>
      <c r="E1779" s="7">
        <v>0</v>
      </c>
      <c r="F1779" s="8">
        <v>0</v>
      </c>
      <c r="G1779" s="7">
        <v>0</v>
      </c>
      <c r="H1779" s="7">
        <v>81211.819999998</v>
      </c>
      <c r="I1779" s="7">
        <v>0</v>
      </c>
      <c r="J1779" s="8">
        <v>0</v>
      </c>
      <c r="K1779" s="9" t="str">
        <v/>
      </c>
    </row>
    <row r="1780" spans="1:11">
      <c r="A1780" t="str">
        <v/>
      </c>
      <c r="B1780" s="6">
        <v>0</v>
      </c>
      <c r="C1780" s="7" t="str">
        <v>趣点购浦发</v>
      </c>
      <c r="D1780" s="8">
        <v>0</v>
      </c>
      <c r="E1780" s="7">
        <v>0</v>
      </c>
      <c r="F1780" s="8">
        <v>0</v>
      </c>
      <c r="G1780" s="7">
        <v>0</v>
      </c>
      <c r="H1780" s="7">
        <v>81211.819999998</v>
      </c>
      <c r="I1780" s="7">
        <v>0</v>
      </c>
      <c r="J1780" s="8">
        <v>0</v>
      </c>
      <c r="K1780" s="9" t="str">
        <v/>
      </c>
    </row>
    <row r="1781" spans="1:11">
      <c r="A1781" t="str">
        <v/>
      </c>
      <c r="B1781" s="6">
        <v>0</v>
      </c>
      <c r="C1781" s="7" t="str">
        <v>趣点购浦发</v>
      </c>
      <c r="D1781" s="8">
        <v>0</v>
      </c>
      <c r="E1781" s="7">
        <v>0</v>
      </c>
      <c r="F1781" s="8">
        <v>0</v>
      </c>
      <c r="G1781" s="7">
        <v>0</v>
      </c>
      <c r="H1781" s="7">
        <v>81211.819999998</v>
      </c>
      <c r="I1781" s="7">
        <v>0</v>
      </c>
      <c r="J1781" s="8">
        <v>0</v>
      </c>
      <c r="K1781" s="9" t="str">
        <v/>
      </c>
    </row>
    <row r="1782" spans="1:11">
      <c r="A1782" t="str">
        <v/>
      </c>
      <c r="B1782" s="6">
        <v>0</v>
      </c>
      <c r="C1782" s="7" t="str">
        <v>趣点购浦发</v>
      </c>
      <c r="D1782" s="8">
        <v>0</v>
      </c>
      <c r="E1782" s="7">
        <v>0</v>
      </c>
      <c r="F1782" s="8">
        <v>0</v>
      </c>
      <c r="G1782" s="7">
        <v>0</v>
      </c>
      <c r="H1782" s="7">
        <v>81211.819999998</v>
      </c>
      <c r="I1782" s="7">
        <v>0</v>
      </c>
      <c r="J1782" s="8">
        <v>0</v>
      </c>
      <c r="K1782" s="9" t="str">
        <v/>
      </c>
    </row>
    <row r="1783" spans="1:11">
      <c r="A1783" t="str">
        <v/>
      </c>
      <c r="B1783" s="6">
        <v>0</v>
      </c>
      <c r="C1783" s="7" t="str">
        <v>趣点购浦发</v>
      </c>
      <c r="D1783" s="8">
        <v>0</v>
      </c>
      <c r="E1783" s="7">
        <v>0</v>
      </c>
      <c r="F1783" s="8">
        <v>0</v>
      </c>
      <c r="G1783" s="7">
        <v>0</v>
      </c>
      <c r="H1783" s="7">
        <v>81211.819999998</v>
      </c>
      <c r="I1783" s="7">
        <v>0</v>
      </c>
      <c r="J1783" s="8">
        <v>0</v>
      </c>
      <c r="K1783" s="9" t="str">
        <v/>
      </c>
    </row>
    <row r="1784" spans="1:11">
      <c r="A1784" t="str">
        <v/>
      </c>
      <c r="B1784" s="6">
        <v>0</v>
      </c>
      <c r="C1784" s="7" t="str">
        <v>趣点购浦发</v>
      </c>
      <c r="D1784" s="8">
        <v>0</v>
      </c>
      <c r="E1784" s="7">
        <v>0</v>
      </c>
      <c r="F1784" s="8">
        <v>0</v>
      </c>
      <c r="G1784" s="7">
        <v>0</v>
      </c>
      <c r="H1784" s="7">
        <v>81211.819999998</v>
      </c>
      <c r="I1784" s="7">
        <v>0</v>
      </c>
      <c r="J1784" s="8">
        <v>0</v>
      </c>
      <c r="K1784" s="9" t="str">
        <v/>
      </c>
    </row>
    <row r="1785" spans="1:11">
      <c r="A1785" t="str">
        <v/>
      </c>
      <c r="B1785" s="6">
        <v>0</v>
      </c>
      <c r="C1785" s="7" t="str">
        <v>趣点购浦发</v>
      </c>
      <c r="D1785" s="8">
        <v>0</v>
      </c>
      <c r="E1785" s="7">
        <v>0</v>
      </c>
      <c r="F1785" s="8">
        <v>0</v>
      </c>
      <c r="G1785" s="7">
        <v>0</v>
      </c>
      <c r="H1785" s="7">
        <v>81211.819999998</v>
      </c>
      <c r="I1785" s="7">
        <v>0</v>
      </c>
      <c r="J1785" s="8">
        <v>0</v>
      </c>
      <c r="K1785" s="9" t="str">
        <v/>
      </c>
    </row>
    <row r="1786" spans="1:11">
      <c r="A1786" t="str">
        <v/>
      </c>
      <c r="B1786" s="6">
        <v>0</v>
      </c>
      <c r="C1786" s="7" t="str">
        <v>趣点购浦发</v>
      </c>
      <c r="D1786" s="8">
        <v>0</v>
      </c>
      <c r="E1786" s="7">
        <v>0</v>
      </c>
      <c r="F1786" s="8">
        <v>0</v>
      </c>
      <c r="G1786" s="7">
        <v>0</v>
      </c>
      <c r="H1786" s="7">
        <v>81211.819999998</v>
      </c>
      <c r="I1786" s="7">
        <v>0</v>
      </c>
      <c r="J1786" s="8">
        <v>0</v>
      </c>
      <c r="K1786" s="9" t="str">
        <v/>
      </c>
    </row>
    <row r="1787" spans="1:11">
      <c r="A1787" t="str">
        <v/>
      </c>
      <c r="B1787" s="6">
        <v>0</v>
      </c>
      <c r="C1787" s="7" t="str">
        <v>趣点购浦发</v>
      </c>
      <c r="D1787" s="8">
        <v>0</v>
      </c>
      <c r="E1787" s="7">
        <v>0</v>
      </c>
      <c r="F1787" s="8">
        <v>0</v>
      </c>
      <c r="G1787" s="7">
        <v>0</v>
      </c>
      <c r="H1787" s="7">
        <v>81211.819999998</v>
      </c>
      <c r="I1787" s="7">
        <v>0</v>
      </c>
      <c r="J1787" s="8">
        <v>0</v>
      </c>
      <c r="K1787" s="9" t="str">
        <v/>
      </c>
    </row>
    <row r="1788" spans="1:11">
      <c r="A1788" t="str">
        <v/>
      </c>
      <c r="B1788" s="6">
        <v>0</v>
      </c>
      <c r="C1788" s="7" t="str">
        <v>趣点购浦发</v>
      </c>
      <c r="D1788" s="8">
        <v>0</v>
      </c>
      <c r="E1788" s="7">
        <v>0</v>
      </c>
      <c r="F1788" s="8">
        <v>0</v>
      </c>
      <c r="G1788" s="7">
        <v>0</v>
      </c>
      <c r="H1788" s="7">
        <v>81211.819999998</v>
      </c>
      <c r="I1788" s="7">
        <v>0</v>
      </c>
      <c r="J1788" s="8">
        <v>0</v>
      </c>
      <c r="K1788" s="9" t="str">
        <v/>
      </c>
    </row>
    <row r="1789" spans="1:11">
      <c r="A1789" t="str">
        <v/>
      </c>
      <c r="B1789" s="6">
        <v>0</v>
      </c>
      <c r="C1789" s="7" t="str">
        <v>趣点购浦发</v>
      </c>
      <c r="D1789" s="8">
        <v>0</v>
      </c>
      <c r="E1789" s="7">
        <v>0</v>
      </c>
      <c r="F1789" s="8">
        <v>0</v>
      </c>
      <c r="G1789" s="7">
        <v>0</v>
      </c>
      <c r="H1789" s="7">
        <v>81211.819999998</v>
      </c>
      <c r="I1789" s="7">
        <v>0</v>
      </c>
      <c r="J1789" s="8">
        <v>0</v>
      </c>
      <c r="K1789" s="9" t="str">
        <v/>
      </c>
    </row>
    <row r="1790" spans="1:11">
      <c r="A1790" t="str">
        <v/>
      </c>
      <c r="B1790" s="6">
        <v>0</v>
      </c>
      <c r="C1790" s="7" t="str">
        <v>趣点购浦发</v>
      </c>
      <c r="D1790" s="8">
        <v>0</v>
      </c>
      <c r="E1790" s="7">
        <v>0</v>
      </c>
      <c r="F1790" s="8">
        <v>0</v>
      </c>
      <c r="G1790" s="7">
        <v>0</v>
      </c>
      <c r="H1790" s="7">
        <v>81211.819999998</v>
      </c>
      <c r="I1790" s="7">
        <v>0</v>
      </c>
      <c r="J1790" s="8">
        <v>0</v>
      </c>
      <c r="K1790" s="9" t="str">
        <v/>
      </c>
    </row>
    <row r="1791" spans="1:11">
      <c r="A1791" t="str">
        <v/>
      </c>
      <c r="B1791" s="6">
        <v>0</v>
      </c>
      <c r="C1791" s="7" t="str">
        <v>趣点购浦发</v>
      </c>
      <c r="D1791" s="8">
        <v>0</v>
      </c>
      <c r="E1791" s="7">
        <v>0</v>
      </c>
      <c r="F1791" s="8">
        <v>0</v>
      </c>
      <c r="G1791" s="7">
        <v>0</v>
      </c>
      <c r="H1791" s="7">
        <v>81211.819999998</v>
      </c>
      <c r="I1791" s="7">
        <v>0</v>
      </c>
      <c r="J1791" s="8">
        <v>0</v>
      </c>
      <c r="K1791" s="9" t="str">
        <v/>
      </c>
    </row>
    <row r="1792" spans="1:11">
      <c r="A1792" t="str">
        <v/>
      </c>
      <c r="B1792" s="6">
        <v>0</v>
      </c>
      <c r="C1792" s="7" t="str">
        <v>趣点购浦发</v>
      </c>
      <c r="D1792" s="8">
        <v>0</v>
      </c>
      <c r="E1792" s="7">
        <v>0</v>
      </c>
      <c r="F1792" s="8">
        <v>0</v>
      </c>
      <c r="G1792" s="7">
        <v>0</v>
      </c>
      <c r="H1792" s="7">
        <v>81211.819999998</v>
      </c>
      <c r="I1792" s="7">
        <v>0</v>
      </c>
      <c r="J1792" s="8">
        <v>0</v>
      </c>
      <c r="K1792" s="9" t="str">
        <v/>
      </c>
    </row>
    <row r="1793" spans="1:11">
      <c r="A1793" t="str">
        <v/>
      </c>
      <c r="B1793" s="6">
        <v>0</v>
      </c>
      <c r="C1793" s="7" t="str">
        <v>趣点购浦发</v>
      </c>
      <c r="D1793" s="8">
        <v>0</v>
      </c>
      <c r="E1793" s="7">
        <v>0</v>
      </c>
      <c r="F1793" s="8">
        <v>0</v>
      </c>
      <c r="G1793" s="7">
        <v>0</v>
      </c>
      <c r="H1793" s="7">
        <v>81211.819999998</v>
      </c>
      <c r="I1793" s="7">
        <v>0</v>
      </c>
      <c r="J1793" s="8">
        <v>0</v>
      </c>
      <c r="K1793" s="9" t="str">
        <v/>
      </c>
    </row>
    <row r="1794" spans="1:11">
      <c r="A1794" t="str">
        <v/>
      </c>
      <c r="B1794" s="6">
        <v>0</v>
      </c>
      <c r="C1794" s="7" t="str">
        <v>趣点购浦发</v>
      </c>
      <c r="D1794" s="8">
        <v>0</v>
      </c>
      <c r="E1794" s="7">
        <v>0</v>
      </c>
      <c r="F1794" s="8">
        <v>0</v>
      </c>
      <c r="G1794" s="7">
        <v>0</v>
      </c>
      <c r="H1794" s="7">
        <v>81211.819999998</v>
      </c>
      <c r="I1794" s="7">
        <v>0</v>
      </c>
      <c r="J1794" s="8">
        <v>0</v>
      </c>
      <c r="K1794" s="9" t="str">
        <v/>
      </c>
    </row>
    <row r="1795" spans="1:11">
      <c r="A1795" t="str">
        <v/>
      </c>
      <c r="B1795" s="6">
        <v>0</v>
      </c>
      <c r="C1795" s="7" t="str">
        <v>趣点购浦发</v>
      </c>
      <c r="D1795" s="8">
        <v>0</v>
      </c>
      <c r="E1795" s="7">
        <v>0</v>
      </c>
      <c r="F1795" s="8">
        <v>0</v>
      </c>
      <c r="G1795" s="7">
        <v>0</v>
      </c>
      <c r="H1795" s="7">
        <v>81211.819999998</v>
      </c>
      <c r="I1795" s="7">
        <v>0</v>
      </c>
      <c r="J1795" s="8">
        <v>0</v>
      </c>
      <c r="K1795" s="9" t="str">
        <v/>
      </c>
    </row>
    <row r="1796" spans="1:11">
      <c r="A1796" t="str">
        <v/>
      </c>
      <c r="B1796" s="6">
        <v>0</v>
      </c>
      <c r="C1796" s="7" t="str">
        <v>趣点购浦发</v>
      </c>
      <c r="D1796" s="8">
        <v>0</v>
      </c>
      <c r="E1796" s="7">
        <v>0</v>
      </c>
      <c r="F1796" s="8">
        <v>0</v>
      </c>
      <c r="G1796" s="7">
        <v>0</v>
      </c>
      <c r="H1796" s="7">
        <v>81211.819999998</v>
      </c>
      <c r="I1796" s="7">
        <v>0</v>
      </c>
      <c r="J1796" s="8">
        <v>0</v>
      </c>
      <c r="K1796" s="9" t="str">
        <v/>
      </c>
    </row>
    <row r="1797" spans="1:11">
      <c r="A1797" t="str">
        <v/>
      </c>
      <c r="B1797" s="6">
        <v>0</v>
      </c>
      <c r="C1797" s="7" t="str">
        <v>趣点购浦发</v>
      </c>
      <c r="D1797" s="8">
        <v>0</v>
      </c>
      <c r="E1797" s="7">
        <v>0</v>
      </c>
      <c r="F1797" s="8">
        <v>0</v>
      </c>
      <c r="G1797" s="7">
        <v>0</v>
      </c>
      <c r="H1797" s="7">
        <v>81211.819999998</v>
      </c>
      <c r="I1797" s="7">
        <v>0</v>
      </c>
      <c r="J1797" s="8">
        <v>0</v>
      </c>
      <c r="K1797" s="9" t="str">
        <v/>
      </c>
    </row>
    <row r="1798" spans="1:11">
      <c r="A1798" t="str">
        <v/>
      </c>
      <c r="B1798" s="6">
        <v>0</v>
      </c>
      <c r="C1798" s="7" t="str">
        <v>趣点购浦发</v>
      </c>
      <c r="D1798" s="8">
        <v>0</v>
      </c>
      <c r="E1798" s="7">
        <v>0</v>
      </c>
      <c r="F1798" s="8">
        <v>0</v>
      </c>
      <c r="G1798" s="7">
        <v>0</v>
      </c>
      <c r="H1798" s="7">
        <v>81211.819999998</v>
      </c>
      <c r="I1798" s="7">
        <v>0</v>
      </c>
      <c r="J1798" s="8">
        <v>0</v>
      </c>
      <c r="K1798" s="9" t="str">
        <v/>
      </c>
    </row>
    <row r="1799" spans="1:11">
      <c r="A1799" t="str">
        <v/>
      </c>
      <c r="B1799" s="6">
        <v>0</v>
      </c>
      <c r="C1799" s="7" t="str">
        <v>趣点购浦发</v>
      </c>
      <c r="D1799" s="8">
        <v>0</v>
      </c>
      <c r="E1799" s="7">
        <v>0</v>
      </c>
      <c r="F1799" s="8">
        <v>0</v>
      </c>
      <c r="G1799" s="7">
        <v>0</v>
      </c>
      <c r="H1799" s="7">
        <v>81211.819999998</v>
      </c>
      <c r="I1799" s="7">
        <v>0</v>
      </c>
      <c r="J1799" s="8">
        <v>0</v>
      </c>
      <c r="K1799" s="9" t="str">
        <v/>
      </c>
    </row>
    <row r="1800" spans="1:11">
      <c r="A1800" t="str">
        <v/>
      </c>
      <c r="B1800" s="6">
        <v>0</v>
      </c>
      <c r="C1800" s="7" t="str">
        <v>趣点购浦发</v>
      </c>
      <c r="D1800" s="8">
        <v>0</v>
      </c>
      <c r="E1800" s="7">
        <v>0</v>
      </c>
      <c r="F1800" s="8">
        <v>0</v>
      </c>
      <c r="G1800" s="7">
        <v>0</v>
      </c>
      <c r="H1800" s="7">
        <v>81211.819999998</v>
      </c>
      <c r="I1800" s="7">
        <v>0</v>
      </c>
      <c r="J1800" s="8">
        <v>0</v>
      </c>
      <c r="K1800" s="9" t="str">
        <v/>
      </c>
    </row>
    <row r="1801" spans="1:11">
      <c r="A1801" t="str">
        <v/>
      </c>
      <c r="B1801" s="6">
        <v>0</v>
      </c>
      <c r="C1801" s="7" t="str">
        <v>趣点购浦发</v>
      </c>
      <c r="D1801" s="8">
        <v>0</v>
      </c>
      <c r="E1801" s="7">
        <v>0</v>
      </c>
      <c r="F1801" s="8">
        <v>0</v>
      </c>
      <c r="G1801" s="7">
        <v>0</v>
      </c>
      <c r="H1801" s="7">
        <v>81211.819999998</v>
      </c>
      <c r="I1801" s="7">
        <v>0</v>
      </c>
      <c r="J1801" s="8">
        <v>0</v>
      </c>
      <c r="K1801" s="9" t="str">
        <v/>
      </c>
    </row>
    <row r="1802" spans="1:11">
      <c r="A1802" t="str">
        <v/>
      </c>
      <c r="B1802" s="6">
        <v>0</v>
      </c>
      <c r="C1802" s="7" t="str">
        <v>趣点购浦发</v>
      </c>
      <c r="D1802" s="8">
        <v>0</v>
      </c>
      <c r="E1802" s="7">
        <v>0</v>
      </c>
      <c r="F1802" s="8">
        <v>0</v>
      </c>
      <c r="G1802" s="7">
        <v>0</v>
      </c>
      <c r="H1802" s="7">
        <v>81211.819999998</v>
      </c>
      <c r="I1802" s="7">
        <v>0</v>
      </c>
      <c r="J1802" s="8">
        <v>0</v>
      </c>
      <c r="K1802" s="9" t="str">
        <v/>
      </c>
    </row>
    <row r="1803" spans="1:11">
      <c r="A1803" t="str">
        <v/>
      </c>
      <c r="B1803" s="6">
        <v>0</v>
      </c>
      <c r="C1803" s="7" t="str">
        <v>趣点购浦发</v>
      </c>
      <c r="D1803" s="8">
        <v>0</v>
      </c>
      <c r="E1803" s="7">
        <v>0</v>
      </c>
      <c r="F1803" s="8">
        <v>0</v>
      </c>
      <c r="G1803" s="7">
        <v>0</v>
      </c>
      <c r="H1803" s="7">
        <v>81211.819999998</v>
      </c>
      <c r="I1803" s="7">
        <v>0</v>
      </c>
      <c r="J1803" s="8">
        <v>0</v>
      </c>
      <c r="K1803" s="9" t="str">
        <v/>
      </c>
    </row>
    <row r="1804" spans="1:11">
      <c r="A1804" t="str">
        <v/>
      </c>
      <c r="B1804" s="6">
        <v>0</v>
      </c>
      <c r="C1804" s="7" t="str">
        <v>趣点购浦发</v>
      </c>
      <c r="D1804" s="8">
        <v>0</v>
      </c>
      <c r="E1804" s="7">
        <v>0</v>
      </c>
      <c r="F1804" s="8">
        <v>0</v>
      </c>
      <c r="G1804" s="7">
        <v>0</v>
      </c>
      <c r="H1804" s="7">
        <v>81211.819999998</v>
      </c>
      <c r="I1804" s="7">
        <v>0</v>
      </c>
      <c r="J1804" s="8">
        <v>0</v>
      </c>
      <c r="K1804" s="9" t="str">
        <v/>
      </c>
    </row>
    <row r="1805" spans="1:11">
      <c r="A1805" t="str">
        <v/>
      </c>
      <c r="B1805" s="6">
        <v>0</v>
      </c>
      <c r="C1805" s="7" t="str">
        <v>趣点购浦发</v>
      </c>
      <c r="D1805" s="8">
        <v>0</v>
      </c>
      <c r="E1805" s="7">
        <v>0</v>
      </c>
      <c r="F1805" s="8">
        <v>0</v>
      </c>
      <c r="G1805" s="7">
        <v>0</v>
      </c>
      <c r="H1805" s="7">
        <v>81211.819999998</v>
      </c>
      <c r="I1805" s="7">
        <v>0</v>
      </c>
      <c r="J1805" s="8">
        <v>0</v>
      </c>
      <c r="K1805" s="9" t="str">
        <v/>
      </c>
    </row>
    <row r="1806" spans="1:11">
      <c r="A1806" t="str">
        <v/>
      </c>
      <c r="B1806" s="6">
        <v>0</v>
      </c>
      <c r="C1806" s="7" t="str">
        <v>趣点购浦发</v>
      </c>
      <c r="D1806" s="8">
        <v>0</v>
      </c>
      <c r="E1806" s="7">
        <v>0</v>
      </c>
      <c r="F1806" s="8">
        <v>0</v>
      </c>
      <c r="G1806" s="7">
        <v>0</v>
      </c>
      <c r="H1806" s="7">
        <v>81211.819999998</v>
      </c>
      <c r="I1806" s="7">
        <v>0</v>
      </c>
      <c r="J1806" s="8">
        <v>0</v>
      </c>
      <c r="K1806" s="9" t="str">
        <v/>
      </c>
    </row>
    <row r="1807" spans="1:11">
      <c r="A1807" t="str">
        <v/>
      </c>
      <c r="B1807" s="6">
        <v>0</v>
      </c>
      <c r="C1807" s="7" t="str">
        <v>趣点购浦发</v>
      </c>
      <c r="D1807" s="8">
        <v>0</v>
      </c>
      <c r="E1807" s="7">
        <v>0</v>
      </c>
      <c r="F1807" s="8">
        <v>0</v>
      </c>
      <c r="G1807" s="7">
        <v>0</v>
      </c>
      <c r="H1807" s="7">
        <v>81211.819999998</v>
      </c>
      <c r="I1807" s="7">
        <v>0</v>
      </c>
      <c r="J1807" s="8">
        <v>0</v>
      </c>
      <c r="K1807" s="9" t="str">
        <v/>
      </c>
    </row>
    <row r="1808" spans="1:11">
      <c r="A1808" t="str">
        <v/>
      </c>
      <c r="B1808" s="6">
        <v>0</v>
      </c>
      <c r="C1808" s="7" t="str">
        <v>趣点购浦发</v>
      </c>
      <c r="D1808" s="8">
        <v>0</v>
      </c>
      <c r="E1808" s="7">
        <v>0</v>
      </c>
      <c r="F1808" s="8">
        <v>0</v>
      </c>
      <c r="G1808" s="7">
        <v>0</v>
      </c>
      <c r="H1808" s="7">
        <v>81211.819999998</v>
      </c>
      <c r="I1808" s="7">
        <v>0</v>
      </c>
      <c r="J1808" s="8">
        <v>0</v>
      </c>
      <c r="K1808" s="9" t="str">
        <v/>
      </c>
    </row>
    <row r="1809" spans="1:11">
      <c r="A1809" t="str">
        <v/>
      </c>
      <c r="B1809" s="6">
        <v>0</v>
      </c>
      <c r="C1809" s="7" t="str">
        <v>趣点购浦发</v>
      </c>
      <c r="D1809" s="8">
        <v>0</v>
      </c>
      <c r="E1809" s="7">
        <v>0</v>
      </c>
      <c r="F1809" s="8">
        <v>0</v>
      </c>
      <c r="G1809" s="7">
        <v>0</v>
      </c>
      <c r="H1809" s="7">
        <v>81211.819999998</v>
      </c>
      <c r="I1809" s="7">
        <v>0</v>
      </c>
      <c r="J1809" s="8">
        <v>0</v>
      </c>
      <c r="K1809" s="9" t="str">
        <v/>
      </c>
    </row>
    <row r="1810" spans="1:11">
      <c r="A1810" t="str">
        <v/>
      </c>
      <c r="B1810" s="6">
        <v>0</v>
      </c>
      <c r="C1810" s="7" t="str">
        <v>趣点购浦发</v>
      </c>
      <c r="D1810" s="8">
        <v>0</v>
      </c>
      <c r="E1810" s="7">
        <v>0</v>
      </c>
      <c r="F1810" s="8">
        <v>0</v>
      </c>
      <c r="G1810" s="7">
        <v>0</v>
      </c>
      <c r="H1810" s="7">
        <v>81211.819999998</v>
      </c>
      <c r="I1810" s="7">
        <v>0</v>
      </c>
      <c r="J1810" s="8">
        <v>0</v>
      </c>
      <c r="K1810" s="9" t="str">
        <v/>
      </c>
    </row>
    <row r="1811" spans="1:11">
      <c r="A1811" t="str">
        <v/>
      </c>
      <c r="B1811" s="6">
        <v>0</v>
      </c>
      <c r="C1811" s="7" t="str">
        <v>趣点购浦发</v>
      </c>
      <c r="D1811" s="8">
        <v>0</v>
      </c>
      <c r="E1811" s="7">
        <v>0</v>
      </c>
      <c r="F1811" s="8">
        <v>0</v>
      </c>
      <c r="G1811" s="7">
        <v>0</v>
      </c>
      <c r="H1811" s="7">
        <v>81211.819999998</v>
      </c>
      <c r="I1811" s="7">
        <v>0</v>
      </c>
      <c r="J1811" s="8">
        <v>0</v>
      </c>
      <c r="K1811" s="9" t="str">
        <v/>
      </c>
    </row>
    <row r="1812" spans="1:11">
      <c r="A1812" t="str">
        <v/>
      </c>
      <c r="B1812" s="6">
        <v>0</v>
      </c>
      <c r="C1812" s="7" t="str">
        <v>趣点购浦发</v>
      </c>
      <c r="D1812" s="8">
        <v>0</v>
      </c>
      <c r="E1812" s="7">
        <v>0</v>
      </c>
      <c r="F1812" s="8">
        <v>0</v>
      </c>
      <c r="G1812" s="7">
        <v>0</v>
      </c>
      <c r="H1812" s="7">
        <v>81211.819999998</v>
      </c>
      <c r="I1812" s="7">
        <v>0</v>
      </c>
      <c r="J1812" s="8">
        <v>0</v>
      </c>
      <c r="K1812" s="9" t="str">
        <v/>
      </c>
    </row>
    <row r="1813" spans="1:11">
      <c r="A1813" t="str">
        <v/>
      </c>
      <c r="B1813" s="6">
        <v>0</v>
      </c>
      <c r="C1813" s="7" t="str">
        <v>趣点购浦发</v>
      </c>
      <c r="D1813" s="8">
        <v>0</v>
      </c>
      <c r="E1813" s="7">
        <v>0</v>
      </c>
      <c r="F1813" s="8">
        <v>0</v>
      </c>
      <c r="G1813" s="7">
        <v>0</v>
      </c>
      <c r="H1813" s="7">
        <v>81211.819999998</v>
      </c>
      <c r="I1813" s="7">
        <v>0</v>
      </c>
      <c r="J1813" s="8">
        <v>0</v>
      </c>
      <c r="K1813" s="9" t="str">
        <v/>
      </c>
    </row>
    <row r="1814" spans="1:11">
      <c r="A1814" t="str">
        <v/>
      </c>
      <c r="B1814" s="6">
        <v>0</v>
      </c>
      <c r="C1814" s="7" t="str">
        <v>趣点购浦发</v>
      </c>
      <c r="D1814" s="8">
        <v>0</v>
      </c>
      <c r="E1814" s="7">
        <v>0</v>
      </c>
      <c r="F1814" s="8">
        <v>0</v>
      </c>
      <c r="G1814" s="7">
        <v>0</v>
      </c>
      <c r="H1814" s="7">
        <v>81211.819999998</v>
      </c>
      <c r="I1814" s="7">
        <v>0</v>
      </c>
      <c r="J1814" s="8">
        <v>0</v>
      </c>
      <c r="K1814" s="9" t="str">
        <v/>
      </c>
    </row>
    <row r="1815" spans="1:11">
      <c r="A1815" t="str">
        <v/>
      </c>
      <c r="B1815" s="6">
        <v>0</v>
      </c>
      <c r="C1815" s="7" t="str">
        <v>趣点购浦发</v>
      </c>
      <c r="D1815" s="8">
        <v>0</v>
      </c>
      <c r="E1815" s="7">
        <v>0</v>
      </c>
      <c r="F1815" s="8">
        <v>0</v>
      </c>
      <c r="G1815" s="7">
        <v>0</v>
      </c>
      <c r="H1815" s="7">
        <v>81211.819999998</v>
      </c>
      <c r="I1815" s="7">
        <v>0</v>
      </c>
      <c r="J1815" s="8">
        <v>0</v>
      </c>
      <c r="K1815" s="9" t="str">
        <v/>
      </c>
    </row>
    <row r="1816" spans="1:11">
      <c r="A1816" t="str">
        <v/>
      </c>
      <c r="B1816" s="6">
        <v>0</v>
      </c>
      <c r="C1816" s="7" t="str">
        <v>趣点购浦发</v>
      </c>
      <c r="D1816" s="8">
        <v>0</v>
      </c>
      <c r="E1816" s="7">
        <v>0</v>
      </c>
      <c r="F1816" s="8">
        <v>0</v>
      </c>
      <c r="G1816" s="7">
        <v>0</v>
      </c>
      <c r="H1816" s="7">
        <v>81211.819999998</v>
      </c>
      <c r="I1816" s="7">
        <v>0</v>
      </c>
      <c r="J1816" s="8">
        <v>0</v>
      </c>
      <c r="K1816" s="9" t="str">
        <v/>
      </c>
    </row>
    <row r="1817" spans="1:11">
      <c r="A1817" t="str">
        <v/>
      </c>
      <c r="B1817" s="6">
        <v>0</v>
      </c>
      <c r="C1817" s="7" t="str">
        <v>趣点购浦发</v>
      </c>
      <c r="D1817" s="8">
        <v>0</v>
      </c>
      <c r="E1817" s="7">
        <v>0</v>
      </c>
      <c r="F1817" s="8">
        <v>0</v>
      </c>
      <c r="G1817" s="7">
        <v>0</v>
      </c>
      <c r="H1817" s="7">
        <v>81211.819999998</v>
      </c>
      <c r="I1817" s="7">
        <v>0</v>
      </c>
      <c r="J1817" s="8">
        <v>0</v>
      </c>
      <c r="K1817" s="9" t="str">
        <v/>
      </c>
    </row>
    <row r="1818" spans="1:11">
      <c r="A1818" t="str">
        <v/>
      </c>
      <c r="B1818" s="6">
        <v>0</v>
      </c>
      <c r="C1818" s="7" t="str">
        <v>趣点购浦发</v>
      </c>
      <c r="D1818" s="8">
        <v>0</v>
      </c>
      <c r="E1818" s="7">
        <v>0</v>
      </c>
      <c r="F1818" s="8">
        <v>0</v>
      </c>
      <c r="G1818" s="7">
        <v>0</v>
      </c>
      <c r="H1818" s="7">
        <v>81211.819999998</v>
      </c>
      <c r="I1818" s="7">
        <v>0</v>
      </c>
      <c r="J1818" s="8">
        <v>0</v>
      </c>
      <c r="K1818" s="9" t="str">
        <v/>
      </c>
    </row>
    <row r="1819" spans="1:11">
      <c r="A1819" t="str">
        <v/>
      </c>
      <c r="B1819" s="6">
        <v>0</v>
      </c>
      <c r="C1819" s="7" t="str">
        <v>趣点购浦发</v>
      </c>
      <c r="D1819" s="8">
        <v>0</v>
      </c>
      <c r="E1819" s="7">
        <v>0</v>
      </c>
      <c r="F1819" s="8">
        <v>0</v>
      </c>
      <c r="G1819" s="7">
        <v>0</v>
      </c>
      <c r="H1819" s="7">
        <v>81211.819999998</v>
      </c>
      <c r="I1819" s="7">
        <v>0</v>
      </c>
      <c r="J1819" s="8">
        <v>0</v>
      </c>
      <c r="K1819" s="9" t="str">
        <v/>
      </c>
    </row>
    <row r="1820" spans="1:11">
      <c r="A1820" t="str">
        <v/>
      </c>
      <c r="B1820" s="6">
        <v>0</v>
      </c>
      <c r="C1820" s="7" t="str">
        <v>趣点购浦发</v>
      </c>
      <c r="D1820" s="8">
        <v>0</v>
      </c>
      <c r="E1820" s="7">
        <v>0</v>
      </c>
      <c r="F1820" s="8">
        <v>0</v>
      </c>
      <c r="G1820" s="7">
        <v>0</v>
      </c>
      <c r="H1820" s="7">
        <v>81211.819999998</v>
      </c>
      <c r="I1820" s="7">
        <v>0</v>
      </c>
      <c r="J1820" s="8">
        <v>0</v>
      </c>
      <c r="K1820" s="9" t="str">
        <v/>
      </c>
    </row>
    <row r="1821" spans="1:11">
      <c r="A1821" t="str">
        <v/>
      </c>
      <c r="B1821" s="6">
        <v>0</v>
      </c>
      <c r="C1821" s="7" t="str">
        <v>趣点购浦发</v>
      </c>
      <c r="D1821" s="8">
        <v>0</v>
      </c>
      <c r="E1821" s="7">
        <v>0</v>
      </c>
      <c r="F1821" s="8">
        <v>0</v>
      </c>
      <c r="G1821" s="7">
        <v>0</v>
      </c>
      <c r="H1821" s="7">
        <v>81211.819999998</v>
      </c>
      <c r="I1821" s="7">
        <v>0</v>
      </c>
      <c r="J1821" s="8">
        <v>0</v>
      </c>
      <c r="K1821" s="9" t="str">
        <v/>
      </c>
    </row>
    <row r="1822" spans="1:11">
      <c r="A1822" t="str">
        <v/>
      </c>
      <c r="B1822" s="6">
        <v>0</v>
      </c>
      <c r="C1822" s="7" t="str">
        <v>趣点购浦发</v>
      </c>
      <c r="D1822" s="8">
        <v>0</v>
      </c>
      <c r="E1822" s="7">
        <v>0</v>
      </c>
      <c r="F1822" s="8">
        <v>0</v>
      </c>
      <c r="G1822" s="7">
        <v>0</v>
      </c>
      <c r="H1822" s="7">
        <v>81211.819999998</v>
      </c>
      <c r="I1822" s="7">
        <v>0</v>
      </c>
      <c r="J1822" s="8">
        <v>0</v>
      </c>
      <c r="K1822" s="9" t="str">
        <v/>
      </c>
    </row>
    <row r="1823" spans="1:11">
      <c r="A1823" t="str">
        <v/>
      </c>
      <c r="B1823" s="6">
        <v>0</v>
      </c>
      <c r="C1823" s="7" t="str">
        <v>趣点购浦发</v>
      </c>
      <c r="D1823" s="8">
        <v>0</v>
      </c>
      <c r="E1823" s="7">
        <v>0</v>
      </c>
      <c r="F1823" s="8">
        <v>0</v>
      </c>
      <c r="G1823" s="7">
        <v>0</v>
      </c>
      <c r="H1823" s="7">
        <v>81211.819999998</v>
      </c>
      <c r="I1823" s="7">
        <v>0</v>
      </c>
      <c r="J1823" s="8">
        <v>0</v>
      </c>
      <c r="K1823" s="9" t="str">
        <v/>
      </c>
    </row>
    <row r="1824" spans="1:11">
      <c r="A1824" t="str">
        <v/>
      </c>
      <c r="B1824" s="6">
        <v>0</v>
      </c>
      <c r="C1824" s="7" t="str">
        <v>趣点购浦发</v>
      </c>
      <c r="D1824" s="8">
        <v>0</v>
      </c>
      <c r="E1824" s="7">
        <v>0</v>
      </c>
      <c r="F1824" s="8">
        <v>0</v>
      </c>
      <c r="G1824" s="7">
        <v>0</v>
      </c>
      <c r="H1824" s="7">
        <v>81211.819999998</v>
      </c>
      <c r="I1824" s="7">
        <v>0</v>
      </c>
      <c r="J1824" s="8">
        <v>0</v>
      </c>
      <c r="K1824" s="9" t="str">
        <v/>
      </c>
    </row>
    <row r="1825" spans="1:11">
      <c r="A1825" t="str">
        <v/>
      </c>
      <c r="B1825" s="6">
        <v>0</v>
      </c>
      <c r="C1825" s="7" t="str">
        <v>趣点购浦发</v>
      </c>
      <c r="D1825" s="8">
        <v>0</v>
      </c>
      <c r="E1825" s="7">
        <v>0</v>
      </c>
      <c r="F1825" s="8">
        <v>0</v>
      </c>
      <c r="G1825" s="7">
        <v>0</v>
      </c>
      <c r="H1825" s="7">
        <v>81211.819999998</v>
      </c>
      <c r="I1825" s="7">
        <v>0</v>
      </c>
      <c r="J1825" s="8">
        <v>0</v>
      </c>
      <c r="K1825" s="9" t="str">
        <v/>
      </c>
    </row>
    <row r="1826" spans="1:11">
      <c r="A1826" t="str">
        <v/>
      </c>
      <c r="B1826" s="6">
        <v>0</v>
      </c>
      <c r="C1826" s="7" t="str">
        <v>趣点购浦发</v>
      </c>
      <c r="D1826" s="8">
        <v>0</v>
      </c>
      <c r="E1826" s="7">
        <v>0</v>
      </c>
      <c r="F1826" s="8">
        <v>0</v>
      </c>
      <c r="G1826" s="7">
        <v>0</v>
      </c>
      <c r="H1826" s="7">
        <v>81211.819999998</v>
      </c>
      <c r="I1826" s="7">
        <v>0</v>
      </c>
      <c r="J1826" s="8">
        <v>0</v>
      </c>
      <c r="K1826" s="9" t="str">
        <v/>
      </c>
    </row>
    <row r="1827" spans="1:11">
      <c r="A1827" t="str">
        <v/>
      </c>
      <c r="B1827" s="6">
        <v>0</v>
      </c>
      <c r="C1827" s="7" t="str">
        <v>趣点购浦发</v>
      </c>
      <c r="D1827" s="8">
        <v>0</v>
      </c>
      <c r="E1827" s="7">
        <v>0</v>
      </c>
      <c r="F1827" s="8">
        <v>0</v>
      </c>
      <c r="G1827" s="7">
        <v>0</v>
      </c>
      <c r="H1827" s="7">
        <v>81211.819999998</v>
      </c>
      <c r="I1827" s="7">
        <v>0</v>
      </c>
      <c r="J1827" s="8">
        <v>0</v>
      </c>
      <c r="K1827" s="9" t="str">
        <v/>
      </c>
    </row>
    <row r="1828" spans="1:11">
      <c r="A1828" t="str">
        <v/>
      </c>
      <c r="B1828" s="6">
        <v>0</v>
      </c>
      <c r="C1828" s="7" t="str">
        <v>趣点购浦发</v>
      </c>
      <c r="D1828" s="8">
        <v>0</v>
      </c>
      <c r="E1828" s="7">
        <v>0</v>
      </c>
      <c r="F1828" s="8">
        <v>0</v>
      </c>
      <c r="G1828" s="7">
        <v>0</v>
      </c>
      <c r="H1828" s="7">
        <v>81211.819999998</v>
      </c>
      <c r="I1828" s="7">
        <v>0</v>
      </c>
      <c r="J1828" s="8">
        <v>0</v>
      </c>
      <c r="K1828" s="9" t="str">
        <v/>
      </c>
    </row>
    <row r="1829" spans="1:11">
      <c r="A1829" t="str">
        <v/>
      </c>
      <c r="B1829" s="6">
        <v>0</v>
      </c>
      <c r="C1829" s="7" t="str">
        <v>趣点购浦发</v>
      </c>
      <c r="D1829" s="8">
        <v>0</v>
      </c>
      <c r="E1829" s="7">
        <v>0</v>
      </c>
      <c r="F1829" s="8">
        <v>0</v>
      </c>
      <c r="G1829" s="7">
        <v>0</v>
      </c>
      <c r="H1829" s="7">
        <v>81211.819999998</v>
      </c>
      <c r="I1829" s="7">
        <v>0</v>
      </c>
      <c r="J1829" s="8">
        <v>0</v>
      </c>
      <c r="K1829" s="9" t="str">
        <v/>
      </c>
    </row>
    <row r="1830" spans="1:11">
      <c r="A1830" t="str">
        <v/>
      </c>
      <c r="B1830" s="6">
        <v>0</v>
      </c>
      <c r="C1830" s="7" t="str">
        <v>趣点购浦发</v>
      </c>
      <c r="D1830" s="8">
        <v>0</v>
      </c>
      <c r="E1830" s="7">
        <v>0</v>
      </c>
      <c r="F1830" s="8">
        <v>0</v>
      </c>
      <c r="G1830" s="7">
        <v>0</v>
      </c>
      <c r="H1830" s="7">
        <v>81211.819999998</v>
      </c>
      <c r="I1830" s="7">
        <v>0</v>
      </c>
      <c r="J1830" s="8">
        <v>0</v>
      </c>
      <c r="K1830" s="9" t="str">
        <v/>
      </c>
    </row>
    <row r="1831" spans="1:11">
      <c r="A1831" t="str">
        <v/>
      </c>
      <c r="B1831" s="6">
        <v>0</v>
      </c>
      <c r="C1831" s="7" t="str">
        <v>趣点购浦发</v>
      </c>
      <c r="D1831" s="8">
        <v>0</v>
      </c>
      <c r="E1831" s="7">
        <v>0</v>
      </c>
      <c r="F1831" s="8">
        <v>0</v>
      </c>
      <c r="G1831" s="7">
        <v>0</v>
      </c>
      <c r="H1831" s="7">
        <v>81211.819999998</v>
      </c>
      <c r="I1831" s="7">
        <v>0</v>
      </c>
      <c r="J1831" s="8">
        <v>0</v>
      </c>
      <c r="K1831" s="9" t="str">
        <v/>
      </c>
    </row>
    <row r="1832" spans="1:11">
      <c r="A1832" t="str">
        <v/>
      </c>
      <c r="B1832" s="6">
        <v>0</v>
      </c>
      <c r="C1832" s="7" t="str">
        <v>趣点购浦发</v>
      </c>
      <c r="D1832" s="8">
        <v>0</v>
      </c>
      <c r="E1832" s="7">
        <v>0</v>
      </c>
      <c r="F1832" s="8">
        <v>0</v>
      </c>
      <c r="G1832" s="7">
        <v>0</v>
      </c>
      <c r="H1832" s="7">
        <v>81211.819999998</v>
      </c>
      <c r="I1832" s="7">
        <v>0</v>
      </c>
      <c r="J1832" s="8">
        <v>0</v>
      </c>
      <c r="K1832" s="9" t="str">
        <v/>
      </c>
    </row>
    <row r="1833" spans="1:11">
      <c r="A1833" t="str">
        <v/>
      </c>
      <c r="B1833" s="6">
        <v>0</v>
      </c>
      <c r="C1833" s="7" t="str">
        <v>趣点购浦发</v>
      </c>
      <c r="D1833" s="8">
        <v>0</v>
      </c>
      <c r="E1833" s="7">
        <v>0</v>
      </c>
      <c r="F1833" s="8">
        <v>0</v>
      </c>
      <c r="G1833" s="7">
        <v>0</v>
      </c>
      <c r="H1833" s="7">
        <v>81211.819999998</v>
      </c>
      <c r="I1833" s="7">
        <v>0</v>
      </c>
      <c r="J1833" s="8">
        <v>0</v>
      </c>
      <c r="K1833" s="9" t="str">
        <v/>
      </c>
    </row>
    <row r="1834" spans="1:11">
      <c r="A1834" t="str">
        <v/>
      </c>
      <c r="B1834" s="6">
        <v>0</v>
      </c>
      <c r="C1834" s="7" t="str">
        <v>趣点购浦发</v>
      </c>
      <c r="D1834" s="8">
        <v>0</v>
      </c>
      <c r="E1834" s="7">
        <v>0</v>
      </c>
      <c r="F1834" s="8">
        <v>0</v>
      </c>
      <c r="G1834" s="7">
        <v>0</v>
      </c>
      <c r="H1834" s="7">
        <v>81211.819999998</v>
      </c>
      <c r="I1834" s="7">
        <v>0</v>
      </c>
      <c r="J1834" s="8">
        <v>0</v>
      </c>
      <c r="K1834" s="9" t="str">
        <v/>
      </c>
    </row>
    <row r="1835" spans="1:11">
      <c r="A1835" t="str">
        <v/>
      </c>
      <c r="B1835" s="6">
        <v>0</v>
      </c>
      <c r="C1835" s="7" t="str">
        <v>趣点购浦发</v>
      </c>
      <c r="D1835" s="8">
        <v>0</v>
      </c>
      <c r="E1835" s="7">
        <v>0</v>
      </c>
      <c r="F1835" s="8">
        <v>0</v>
      </c>
      <c r="G1835" s="7">
        <v>0</v>
      </c>
      <c r="H1835" s="7">
        <v>81211.819999998</v>
      </c>
      <c r="I1835" s="7">
        <v>0</v>
      </c>
      <c r="J1835" s="8">
        <v>0</v>
      </c>
      <c r="K1835" s="9" t="str">
        <v/>
      </c>
    </row>
    <row r="1836" spans="1:11">
      <c r="A1836" t="str">
        <v/>
      </c>
      <c r="B1836" s="6">
        <v>0</v>
      </c>
      <c r="C1836" s="7" t="str">
        <v>趣点购浦发</v>
      </c>
      <c r="D1836" s="8">
        <v>0</v>
      </c>
      <c r="E1836" s="7">
        <v>0</v>
      </c>
      <c r="F1836" s="8">
        <v>0</v>
      </c>
      <c r="G1836" s="7">
        <v>0</v>
      </c>
      <c r="H1836" s="7">
        <v>81211.819999998</v>
      </c>
      <c r="I1836" s="7">
        <v>0</v>
      </c>
      <c r="J1836" s="8">
        <v>0</v>
      </c>
      <c r="K1836" s="9" t="str">
        <v/>
      </c>
    </row>
    <row r="1837" spans="1:11">
      <c r="A1837" t="str">
        <v/>
      </c>
      <c r="B1837" s="6">
        <v>0</v>
      </c>
      <c r="C1837" s="7" t="str">
        <v>趣点购浦发</v>
      </c>
      <c r="D1837" s="8">
        <v>0</v>
      </c>
      <c r="E1837" s="7">
        <v>0</v>
      </c>
      <c r="F1837" s="8">
        <v>0</v>
      </c>
      <c r="G1837" s="7">
        <v>0</v>
      </c>
      <c r="H1837" s="7">
        <v>81211.819999998</v>
      </c>
      <c r="I1837" s="7">
        <v>0</v>
      </c>
      <c r="J1837" s="8">
        <v>0</v>
      </c>
      <c r="K1837" s="9" t="str">
        <v/>
      </c>
    </row>
    <row r="1838" spans="1:11">
      <c r="A1838" t="str">
        <v/>
      </c>
      <c r="B1838" s="6">
        <v>0</v>
      </c>
      <c r="C1838" s="7" t="str">
        <v>趣点购浦发</v>
      </c>
      <c r="D1838" s="8">
        <v>0</v>
      </c>
      <c r="E1838" s="7">
        <v>0</v>
      </c>
      <c r="F1838" s="8">
        <v>0</v>
      </c>
      <c r="G1838" s="7">
        <v>0</v>
      </c>
      <c r="H1838" s="7">
        <v>81211.819999998</v>
      </c>
      <c r="I1838" s="7">
        <v>0</v>
      </c>
      <c r="J1838" s="8">
        <v>0</v>
      </c>
      <c r="K1838" s="9" t="str">
        <v/>
      </c>
    </row>
    <row r="1839" spans="1:11">
      <c r="A1839" t="str">
        <v/>
      </c>
      <c r="B1839" s="6">
        <v>0</v>
      </c>
      <c r="C1839" s="7" t="str">
        <v>趣点购浦发</v>
      </c>
      <c r="D1839" s="8">
        <v>0</v>
      </c>
      <c r="E1839" s="7">
        <v>0</v>
      </c>
      <c r="F1839" s="8">
        <v>0</v>
      </c>
      <c r="G1839" s="7">
        <v>0</v>
      </c>
      <c r="H1839" s="7">
        <v>81211.819999998</v>
      </c>
      <c r="I1839" s="7">
        <v>0</v>
      </c>
      <c r="J1839" s="8">
        <v>0</v>
      </c>
      <c r="K1839" s="9" t="str">
        <v/>
      </c>
    </row>
    <row r="1840" spans="1:11">
      <c r="A1840" t="str">
        <v/>
      </c>
      <c r="B1840" s="6">
        <v>0</v>
      </c>
      <c r="C1840" s="7" t="str">
        <v>趣点购浦发</v>
      </c>
      <c r="D1840" s="8">
        <v>0</v>
      </c>
      <c r="E1840" s="7">
        <v>0</v>
      </c>
      <c r="F1840" s="8">
        <v>0</v>
      </c>
      <c r="G1840" s="7">
        <v>0</v>
      </c>
      <c r="H1840" s="7">
        <v>81211.819999998</v>
      </c>
      <c r="I1840" s="7">
        <v>0</v>
      </c>
      <c r="J1840" s="8">
        <v>0</v>
      </c>
      <c r="K1840" s="9" t="str">
        <v/>
      </c>
    </row>
    <row r="1841" spans="1:11">
      <c r="A1841" t="str">
        <v/>
      </c>
      <c r="B1841" s="6">
        <v>0</v>
      </c>
      <c r="C1841" s="7" t="str">
        <v>趣点购浦发</v>
      </c>
      <c r="D1841" s="8">
        <v>0</v>
      </c>
      <c r="E1841" s="7">
        <v>0</v>
      </c>
      <c r="F1841" s="8">
        <v>0</v>
      </c>
      <c r="G1841" s="7">
        <v>0</v>
      </c>
      <c r="H1841" s="7">
        <v>81211.819999998</v>
      </c>
      <c r="I1841" s="7">
        <v>0</v>
      </c>
      <c r="J1841" s="8">
        <v>0</v>
      </c>
      <c r="K1841" s="9" t="str">
        <v/>
      </c>
    </row>
    <row r="1842" spans="1:11">
      <c r="A1842" t="str">
        <v/>
      </c>
      <c r="B1842" s="6">
        <v>0</v>
      </c>
      <c r="C1842" s="7" t="str">
        <v>趣点购浦发</v>
      </c>
      <c r="D1842" s="8">
        <v>0</v>
      </c>
      <c r="E1842" s="7">
        <v>0</v>
      </c>
      <c r="F1842" s="8">
        <v>0</v>
      </c>
      <c r="G1842" s="7">
        <v>0</v>
      </c>
      <c r="H1842" s="7">
        <v>81211.819999998</v>
      </c>
      <c r="I1842" s="7">
        <v>0</v>
      </c>
      <c r="J1842" s="8">
        <v>0</v>
      </c>
      <c r="K1842" s="9" t="str">
        <v/>
      </c>
    </row>
    <row r="1843" spans="1:11">
      <c r="A1843" t="str">
        <v/>
      </c>
      <c r="B1843" s="6">
        <v>0</v>
      </c>
      <c r="C1843" s="7" t="str">
        <v>趣点购浦发</v>
      </c>
      <c r="D1843" s="8">
        <v>0</v>
      </c>
      <c r="E1843" s="7">
        <v>0</v>
      </c>
      <c r="F1843" s="8">
        <v>0</v>
      </c>
      <c r="G1843" s="7">
        <v>0</v>
      </c>
      <c r="H1843" s="7">
        <v>81211.819999998</v>
      </c>
      <c r="I1843" s="7">
        <v>0</v>
      </c>
      <c r="J1843" s="8">
        <v>0</v>
      </c>
      <c r="K1843" s="9" t="str">
        <v/>
      </c>
    </row>
    <row r="1844" spans="1:11">
      <c r="A1844" t="str">
        <v/>
      </c>
      <c r="B1844" s="6">
        <v>0</v>
      </c>
      <c r="C1844" s="7" t="str">
        <v>趣点购浦发</v>
      </c>
      <c r="D1844" s="8">
        <v>0</v>
      </c>
      <c r="E1844" s="7">
        <v>0</v>
      </c>
      <c r="F1844" s="8">
        <v>0</v>
      </c>
      <c r="G1844" s="7">
        <v>0</v>
      </c>
      <c r="H1844" s="7">
        <v>81211.819999998</v>
      </c>
      <c r="I1844" s="7">
        <v>0</v>
      </c>
      <c r="J1844" s="8">
        <v>0</v>
      </c>
      <c r="K1844" s="9" t="str">
        <v/>
      </c>
    </row>
    <row r="1845" spans="1:11">
      <c r="A1845" t="str">
        <v/>
      </c>
      <c r="B1845" s="6">
        <v>0</v>
      </c>
      <c r="C1845" s="7" t="str">
        <v>趣点购浦发</v>
      </c>
      <c r="D1845" s="8">
        <v>0</v>
      </c>
      <c r="E1845" s="7">
        <v>0</v>
      </c>
      <c r="F1845" s="8">
        <v>0</v>
      </c>
      <c r="G1845" s="7">
        <v>0</v>
      </c>
      <c r="H1845" s="7">
        <v>81211.819999998</v>
      </c>
      <c r="I1845" s="7">
        <v>0</v>
      </c>
      <c r="J1845" s="8">
        <v>0</v>
      </c>
      <c r="K1845" s="9" t="str">
        <v/>
      </c>
    </row>
    <row r="1846" spans="1:11">
      <c r="A1846" t="str">
        <v/>
      </c>
      <c r="B1846" s="6">
        <v>0</v>
      </c>
      <c r="C1846" s="7" t="str">
        <v>趣点购浦发</v>
      </c>
      <c r="D1846" s="8">
        <v>0</v>
      </c>
      <c r="E1846" s="7">
        <v>0</v>
      </c>
      <c r="F1846" s="8">
        <v>0</v>
      </c>
      <c r="G1846" s="7">
        <v>0</v>
      </c>
      <c r="H1846" s="7">
        <v>81211.819999998</v>
      </c>
      <c r="I1846" s="7">
        <v>0</v>
      </c>
      <c r="J1846" s="8">
        <v>0</v>
      </c>
      <c r="K1846" s="9" t="str">
        <v/>
      </c>
    </row>
    <row r="1847" spans="1:11">
      <c r="A1847" t="str">
        <v/>
      </c>
      <c r="B1847" s="6">
        <v>0</v>
      </c>
      <c r="C1847" s="7" t="str">
        <v>趣点购浦发</v>
      </c>
      <c r="D1847" s="8">
        <v>0</v>
      </c>
      <c r="E1847" s="7">
        <v>0</v>
      </c>
      <c r="F1847" s="8">
        <v>0</v>
      </c>
      <c r="G1847" s="7">
        <v>0</v>
      </c>
      <c r="H1847" s="7">
        <v>81211.819999998</v>
      </c>
      <c r="I1847" s="7">
        <v>0</v>
      </c>
      <c r="J1847" s="8">
        <v>0</v>
      </c>
      <c r="K1847" s="9" t="str">
        <v/>
      </c>
    </row>
    <row r="1848" spans="1:11">
      <c r="A1848" t="str">
        <v/>
      </c>
      <c r="B1848" s="6">
        <v>0</v>
      </c>
      <c r="C1848" s="7" t="str">
        <v>趣点购浦发</v>
      </c>
      <c r="D1848" s="8">
        <v>0</v>
      </c>
      <c r="E1848" s="7">
        <v>0</v>
      </c>
      <c r="F1848" s="8">
        <v>0</v>
      </c>
      <c r="G1848" s="7">
        <v>0</v>
      </c>
      <c r="H1848" s="7">
        <v>81211.819999998</v>
      </c>
      <c r="I1848" s="7">
        <v>0</v>
      </c>
      <c r="J1848" s="8">
        <v>0</v>
      </c>
      <c r="K1848" s="9" t="str">
        <v/>
      </c>
    </row>
    <row r="1849" spans="1:11">
      <c r="A1849" t="str">
        <v/>
      </c>
      <c r="B1849" s="6">
        <v>0</v>
      </c>
      <c r="C1849" s="7" t="str">
        <v>趣点购浦发</v>
      </c>
      <c r="D1849" s="8">
        <v>0</v>
      </c>
      <c r="E1849" s="7">
        <v>0</v>
      </c>
      <c r="F1849" s="8">
        <v>0</v>
      </c>
      <c r="G1849" s="7">
        <v>0</v>
      </c>
      <c r="H1849" s="7">
        <v>81211.819999998</v>
      </c>
      <c r="I1849" s="7">
        <v>0</v>
      </c>
      <c r="J1849" s="8">
        <v>0</v>
      </c>
      <c r="K1849" s="9" t="str">
        <v/>
      </c>
    </row>
    <row r="1850" spans="1:11">
      <c r="A1850" t="str">
        <v/>
      </c>
      <c r="B1850" s="6">
        <v>0</v>
      </c>
      <c r="C1850" s="7" t="str">
        <v>趣点购浦发</v>
      </c>
      <c r="D1850" s="8">
        <v>0</v>
      </c>
      <c r="E1850" s="7">
        <v>0</v>
      </c>
      <c r="F1850" s="8">
        <v>0</v>
      </c>
      <c r="G1850" s="7">
        <v>0</v>
      </c>
      <c r="H1850" s="7">
        <v>81211.819999998</v>
      </c>
      <c r="I1850" s="7">
        <v>0</v>
      </c>
      <c r="J1850" s="8">
        <v>0</v>
      </c>
      <c r="K1850" s="9" t="str">
        <v/>
      </c>
    </row>
    <row r="1851" spans="1:11">
      <c r="A1851" t="str">
        <v/>
      </c>
      <c r="B1851" s="6">
        <v>0</v>
      </c>
      <c r="C1851" s="7" t="str">
        <v>趣点购浦发</v>
      </c>
      <c r="D1851" s="8">
        <v>0</v>
      </c>
      <c r="E1851" s="7">
        <v>0</v>
      </c>
      <c r="F1851" s="8">
        <v>0</v>
      </c>
      <c r="G1851" s="7">
        <v>0</v>
      </c>
      <c r="H1851" s="7">
        <v>81211.819999998</v>
      </c>
      <c r="I1851" s="7">
        <v>0</v>
      </c>
      <c r="J1851" s="8">
        <v>0</v>
      </c>
      <c r="K1851" s="9" t="str">
        <v/>
      </c>
    </row>
    <row r="1852" spans="1:11">
      <c r="A1852" t="str">
        <v/>
      </c>
      <c r="B1852" s="6">
        <v>0</v>
      </c>
      <c r="C1852" s="7" t="str">
        <v>趣点购浦发</v>
      </c>
      <c r="D1852" s="8">
        <v>0</v>
      </c>
      <c r="E1852" s="7">
        <v>0</v>
      </c>
      <c r="F1852" s="8">
        <v>0</v>
      </c>
      <c r="G1852" s="7">
        <v>0</v>
      </c>
      <c r="H1852" s="7">
        <v>81211.819999998</v>
      </c>
      <c r="I1852" s="7">
        <v>0</v>
      </c>
      <c r="J1852" s="8">
        <v>0</v>
      </c>
      <c r="K1852" s="9" t="str">
        <v/>
      </c>
    </row>
    <row r="1853" spans="1:11">
      <c r="A1853" t="str">
        <v/>
      </c>
      <c r="B1853" s="6">
        <v>0</v>
      </c>
      <c r="C1853" s="7" t="str">
        <v>趣点购浦发</v>
      </c>
      <c r="D1853" s="8">
        <v>0</v>
      </c>
      <c r="E1853" s="7">
        <v>0</v>
      </c>
      <c r="F1853" s="8">
        <v>0</v>
      </c>
      <c r="G1853" s="7">
        <v>0</v>
      </c>
      <c r="H1853" s="7">
        <v>81211.819999998</v>
      </c>
      <c r="I1853" s="7">
        <v>0</v>
      </c>
      <c r="J1853" s="8">
        <v>0</v>
      </c>
      <c r="K1853" s="9" t="str">
        <v/>
      </c>
    </row>
    <row r="1854" spans="1:11">
      <c r="A1854" t="str">
        <v/>
      </c>
      <c r="B1854" s="6">
        <v>0</v>
      </c>
      <c r="C1854" s="7" t="str">
        <v>趣点购浦发</v>
      </c>
      <c r="D1854" s="8">
        <v>0</v>
      </c>
      <c r="E1854" s="7">
        <v>0</v>
      </c>
      <c r="F1854" s="8">
        <v>0</v>
      </c>
      <c r="G1854" s="7">
        <v>0</v>
      </c>
      <c r="H1854" s="7">
        <v>81211.819999998</v>
      </c>
      <c r="I1854" s="7">
        <v>0</v>
      </c>
      <c r="J1854" s="8">
        <v>0</v>
      </c>
      <c r="K1854" s="9" t="str">
        <v/>
      </c>
    </row>
    <row r="1855" spans="1:11">
      <c r="A1855" t="str">
        <v/>
      </c>
      <c r="B1855" s="6">
        <v>0</v>
      </c>
      <c r="C1855" s="7" t="str">
        <v>趣点购浦发</v>
      </c>
      <c r="D1855" s="8">
        <v>0</v>
      </c>
      <c r="E1855" s="7">
        <v>0</v>
      </c>
      <c r="F1855" s="8">
        <v>0</v>
      </c>
      <c r="G1855" s="7">
        <v>0</v>
      </c>
      <c r="H1855" s="7">
        <v>81211.819999998</v>
      </c>
      <c r="I1855" s="7">
        <v>0</v>
      </c>
      <c r="J1855" s="8">
        <v>0</v>
      </c>
      <c r="K1855" s="9" t="str">
        <v/>
      </c>
    </row>
    <row r="1856" spans="1:11">
      <c r="A1856" t="str">
        <v/>
      </c>
      <c r="B1856" s="6">
        <v>0</v>
      </c>
      <c r="C1856" s="7" t="str">
        <v>趣点购浦发</v>
      </c>
      <c r="D1856" s="8">
        <v>0</v>
      </c>
      <c r="E1856" s="7">
        <v>0</v>
      </c>
      <c r="F1856" s="8">
        <v>0</v>
      </c>
      <c r="G1856" s="7">
        <v>0</v>
      </c>
      <c r="H1856" s="7">
        <v>81211.819999998</v>
      </c>
      <c r="I1856" s="7">
        <v>0</v>
      </c>
      <c r="J1856" s="8">
        <v>0</v>
      </c>
      <c r="K1856" s="9" t="str">
        <v/>
      </c>
    </row>
    <row r="1857" spans="1:11">
      <c r="A1857" t="str">
        <v/>
      </c>
      <c r="B1857" s="6">
        <v>0</v>
      </c>
      <c r="C1857" s="7" t="str">
        <v>趣点购浦发</v>
      </c>
      <c r="D1857" s="8">
        <v>0</v>
      </c>
      <c r="E1857" s="7">
        <v>0</v>
      </c>
      <c r="F1857" s="8">
        <v>0</v>
      </c>
      <c r="G1857" s="7">
        <v>0</v>
      </c>
      <c r="H1857" s="7">
        <v>81211.819999998</v>
      </c>
      <c r="I1857" s="7">
        <v>0</v>
      </c>
      <c r="J1857" s="8">
        <v>0</v>
      </c>
      <c r="K1857" s="9" t="str">
        <v/>
      </c>
    </row>
    <row r="1858" spans="1:11">
      <c r="A1858" t="str">
        <v/>
      </c>
      <c r="B1858" s="6">
        <v>0</v>
      </c>
      <c r="C1858" s="7" t="str">
        <v>趣点购浦发</v>
      </c>
      <c r="D1858" s="8">
        <v>0</v>
      </c>
      <c r="E1858" s="7">
        <v>0</v>
      </c>
      <c r="F1858" s="8">
        <v>0</v>
      </c>
      <c r="G1858" s="7">
        <v>0</v>
      </c>
      <c r="H1858" s="7">
        <v>81211.819999998</v>
      </c>
      <c r="I1858" s="7">
        <v>0</v>
      </c>
      <c r="J1858" s="8">
        <v>0</v>
      </c>
      <c r="K1858" s="9" t="str">
        <v/>
      </c>
    </row>
    <row r="1859" spans="1:11">
      <c r="A1859" t="str">
        <v/>
      </c>
      <c r="B1859" s="6">
        <v>0</v>
      </c>
      <c r="C1859" s="7" t="str">
        <v>趣点购浦发</v>
      </c>
      <c r="D1859" s="8">
        <v>0</v>
      </c>
      <c r="E1859" s="7">
        <v>0</v>
      </c>
      <c r="F1859" s="8">
        <v>0</v>
      </c>
      <c r="G1859" s="7">
        <v>0</v>
      </c>
      <c r="H1859" s="7">
        <v>81211.819999998</v>
      </c>
      <c r="I1859" s="7">
        <v>0</v>
      </c>
      <c r="J1859" s="8">
        <v>0</v>
      </c>
      <c r="K1859" s="9" t="str">
        <v/>
      </c>
    </row>
    <row r="1860" spans="1:11">
      <c r="A1860" t="str">
        <v/>
      </c>
      <c r="B1860" s="6">
        <v>0</v>
      </c>
      <c r="C1860" s="7" t="str">
        <v>趣点购浦发</v>
      </c>
      <c r="D1860" s="8">
        <v>0</v>
      </c>
      <c r="E1860" s="7">
        <v>0</v>
      </c>
      <c r="F1860" s="8">
        <v>0</v>
      </c>
      <c r="G1860" s="7">
        <v>0</v>
      </c>
      <c r="H1860" s="7">
        <v>81211.819999998</v>
      </c>
      <c r="I1860" s="7">
        <v>0</v>
      </c>
      <c r="J1860" s="8">
        <v>0</v>
      </c>
      <c r="K1860" s="9" t="str">
        <v/>
      </c>
    </row>
    <row r="1861" spans="1:11">
      <c r="A1861" t="str">
        <v/>
      </c>
      <c r="B1861" s="6">
        <v>0</v>
      </c>
      <c r="C1861" s="7" t="str">
        <v>趣点购浦发</v>
      </c>
      <c r="D1861" s="8">
        <v>0</v>
      </c>
      <c r="E1861" s="7">
        <v>0</v>
      </c>
      <c r="F1861" s="8">
        <v>0</v>
      </c>
      <c r="G1861" s="7">
        <v>0</v>
      </c>
      <c r="H1861" s="7">
        <v>81211.819999998</v>
      </c>
      <c r="I1861" s="7">
        <v>0</v>
      </c>
      <c r="J1861" s="8">
        <v>0</v>
      </c>
      <c r="K1861" s="9" t="str">
        <v/>
      </c>
    </row>
    <row r="1862" spans="1:11">
      <c r="A1862" t="str">
        <v/>
      </c>
      <c r="B1862" s="6">
        <v>0</v>
      </c>
      <c r="C1862" s="7" t="str">
        <v>趣点购浦发</v>
      </c>
      <c r="D1862" s="8">
        <v>0</v>
      </c>
      <c r="E1862" s="7">
        <v>0</v>
      </c>
      <c r="F1862" s="8">
        <v>0</v>
      </c>
      <c r="G1862" s="7">
        <v>0</v>
      </c>
      <c r="H1862" s="7">
        <v>81211.819999998</v>
      </c>
      <c r="I1862" s="7">
        <v>0</v>
      </c>
      <c r="J1862" s="8">
        <v>0</v>
      </c>
      <c r="K1862" s="9" t="str">
        <v/>
      </c>
    </row>
    <row r="1863" spans="1:11">
      <c r="A1863" t="str">
        <v/>
      </c>
      <c r="B1863" s="6">
        <v>0</v>
      </c>
      <c r="C1863" s="7" t="str">
        <v>趣点购浦发</v>
      </c>
      <c r="D1863" s="8">
        <v>0</v>
      </c>
      <c r="E1863" s="7">
        <v>0</v>
      </c>
      <c r="F1863" s="8">
        <v>0</v>
      </c>
      <c r="G1863" s="7">
        <v>0</v>
      </c>
      <c r="H1863" s="7">
        <v>81211.819999998</v>
      </c>
      <c r="I1863" s="7">
        <v>0</v>
      </c>
      <c r="J1863" s="8">
        <v>0</v>
      </c>
      <c r="K1863" s="9" t="str">
        <v/>
      </c>
    </row>
    <row r="1864" spans="1:11">
      <c r="A1864" t="str">
        <v/>
      </c>
      <c r="B1864" s="6">
        <v>0</v>
      </c>
      <c r="C1864" s="7" t="str">
        <v>趣点购浦发</v>
      </c>
      <c r="D1864" s="8">
        <v>0</v>
      </c>
      <c r="E1864" s="7">
        <v>0</v>
      </c>
      <c r="F1864" s="8">
        <v>0</v>
      </c>
      <c r="G1864" s="7">
        <v>0</v>
      </c>
      <c r="H1864" s="7">
        <v>81211.819999998</v>
      </c>
      <c r="I1864" s="7">
        <v>0</v>
      </c>
      <c r="J1864" s="8">
        <v>0</v>
      </c>
      <c r="K1864" s="9" t="str">
        <v/>
      </c>
    </row>
    <row r="1865" spans="1:11">
      <c r="A1865" t="str">
        <v/>
      </c>
      <c r="B1865" s="6">
        <v>0</v>
      </c>
      <c r="C1865" s="7" t="str">
        <v>趣点购浦发</v>
      </c>
      <c r="D1865" s="8">
        <v>0</v>
      </c>
      <c r="E1865" s="7">
        <v>0</v>
      </c>
      <c r="F1865" s="8">
        <v>0</v>
      </c>
      <c r="G1865" s="7">
        <v>0</v>
      </c>
      <c r="H1865" s="7">
        <v>81211.819999998</v>
      </c>
      <c r="I1865" s="7">
        <v>0</v>
      </c>
      <c r="J1865" s="8">
        <v>0</v>
      </c>
      <c r="K1865" s="9" t="str">
        <v/>
      </c>
    </row>
    <row r="1866" spans="1:11">
      <c r="A1866" t="str">
        <v/>
      </c>
      <c r="B1866" s="6">
        <v>0</v>
      </c>
      <c r="C1866" s="7" t="str">
        <v>趣点购浦发</v>
      </c>
      <c r="D1866" s="8">
        <v>0</v>
      </c>
      <c r="E1866" s="7">
        <v>0</v>
      </c>
      <c r="F1866" s="8">
        <v>0</v>
      </c>
      <c r="G1866" s="7">
        <v>0</v>
      </c>
      <c r="H1866" s="7">
        <v>81211.819999998</v>
      </c>
      <c r="I1866" s="7">
        <v>0</v>
      </c>
      <c r="J1866" s="8">
        <v>0</v>
      </c>
      <c r="K1866" s="9" t="str">
        <v/>
      </c>
    </row>
    <row r="1867" spans="1:11">
      <c r="A1867" t="str">
        <v/>
      </c>
      <c r="B1867" s="6">
        <v>0</v>
      </c>
      <c r="C1867" s="7" t="str">
        <v>趣点购浦发</v>
      </c>
      <c r="D1867" s="8">
        <v>0</v>
      </c>
      <c r="E1867" s="7">
        <v>0</v>
      </c>
      <c r="F1867" s="8">
        <v>0</v>
      </c>
      <c r="G1867" s="7">
        <v>0</v>
      </c>
      <c r="H1867" s="7">
        <v>81211.819999998</v>
      </c>
      <c r="I1867" s="7">
        <v>0</v>
      </c>
      <c r="J1867" s="8">
        <v>0</v>
      </c>
      <c r="K1867" s="9" t="str">
        <v/>
      </c>
    </row>
    <row r="1868" spans="1:11">
      <c r="A1868" t="str">
        <v/>
      </c>
      <c r="B1868" s="6">
        <v>0</v>
      </c>
      <c r="C1868" s="7" t="str">
        <v>趣点购浦发</v>
      </c>
      <c r="D1868" s="8">
        <v>0</v>
      </c>
      <c r="E1868" s="7">
        <v>0</v>
      </c>
      <c r="F1868" s="8">
        <v>0</v>
      </c>
      <c r="G1868" s="7">
        <v>0</v>
      </c>
      <c r="H1868" s="7">
        <v>81211.819999998</v>
      </c>
      <c r="I1868" s="7">
        <v>0</v>
      </c>
      <c r="J1868" s="8">
        <v>0</v>
      </c>
      <c r="K1868" s="9" t="str">
        <v/>
      </c>
    </row>
    <row r="1869" spans="1:11">
      <c r="A1869" t="str">
        <v/>
      </c>
      <c r="B1869" s="6">
        <v>0</v>
      </c>
      <c r="C1869" s="7" t="str">
        <v>趣点购浦发</v>
      </c>
      <c r="D1869" s="8">
        <v>0</v>
      </c>
      <c r="E1869" s="7">
        <v>0</v>
      </c>
      <c r="F1869" s="8">
        <v>0</v>
      </c>
      <c r="G1869" s="7">
        <v>0</v>
      </c>
      <c r="H1869" s="7">
        <v>81211.819999998</v>
      </c>
      <c r="I1869" s="7">
        <v>0</v>
      </c>
      <c r="J1869" s="8">
        <v>0</v>
      </c>
      <c r="K1869" s="9" t="str">
        <v/>
      </c>
    </row>
    <row r="1870" spans="1:11">
      <c r="A1870" t="str">
        <v/>
      </c>
      <c r="B1870" s="6">
        <v>0</v>
      </c>
      <c r="C1870" s="7" t="str">
        <v>趣点购浦发</v>
      </c>
      <c r="D1870" s="8">
        <v>0</v>
      </c>
      <c r="E1870" s="7">
        <v>0</v>
      </c>
      <c r="F1870" s="8">
        <v>0</v>
      </c>
      <c r="G1870" s="7">
        <v>0</v>
      </c>
      <c r="H1870" s="7">
        <v>81211.819999998</v>
      </c>
      <c r="I1870" s="7">
        <v>0</v>
      </c>
      <c r="J1870" s="8">
        <v>0</v>
      </c>
      <c r="K1870" s="9" t="str">
        <v/>
      </c>
    </row>
    <row r="1871" spans="1:11">
      <c r="A1871" t="str">
        <v/>
      </c>
      <c r="B1871" s="6">
        <v>0</v>
      </c>
      <c r="C1871" s="7" t="str">
        <v>趣点购浦发</v>
      </c>
      <c r="D1871" s="8">
        <v>0</v>
      </c>
      <c r="E1871" s="7">
        <v>0</v>
      </c>
      <c r="F1871" s="8">
        <v>0</v>
      </c>
      <c r="G1871" s="7">
        <v>0</v>
      </c>
      <c r="H1871" s="7">
        <v>81211.819999998</v>
      </c>
      <c r="I1871" s="7">
        <v>0</v>
      </c>
      <c r="J1871" s="8">
        <v>0</v>
      </c>
      <c r="K1871" s="9" t="str">
        <v/>
      </c>
    </row>
    <row r="1872" spans="1:11">
      <c r="A1872" t="str">
        <v/>
      </c>
      <c r="B1872" s="6">
        <v>0</v>
      </c>
      <c r="C1872" s="7" t="str">
        <v>趣点购浦发</v>
      </c>
      <c r="D1872" s="8">
        <v>0</v>
      </c>
      <c r="E1872" s="7">
        <v>0</v>
      </c>
      <c r="F1872" s="8">
        <v>0</v>
      </c>
      <c r="G1872" s="7">
        <v>0</v>
      </c>
      <c r="H1872" s="7">
        <v>81211.819999998</v>
      </c>
      <c r="I1872" s="7">
        <v>0</v>
      </c>
      <c r="J1872" s="8">
        <v>0</v>
      </c>
      <c r="K1872" s="9" t="str">
        <v/>
      </c>
    </row>
    <row r="1873" spans="1:11">
      <c r="A1873" t="str">
        <v/>
      </c>
      <c r="B1873" s="6">
        <v>0</v>
      </c>
      <c r="C1873" s="7" t="str">
        <v>趣点购浦发</v>
      </c>
      <c r="D1873" s="8">
        <v>0</v>
      </c>
      <c r="E1873" s="7">
        <v>0</v>
      </c>
      <c r="F1873" s="8">
        <v>0</v>
      </c>
      <c r="G1873" s="7">
        <v>0</v>
      </c>
      <c r="H1873" s="7">
        <v>81211.819999998</v>
      </c>
      <c r="I1873" s="7">
        <v>0</v>
      </c>
      <c r="J1873" s="8">
        <v>0</v>
      </c>
      <c r="K1873" s="9" t="str">
        <v/>
      </c>
    </row>
    <row r="1874" spans="1:11">
      <c r="A1874" t="str">
        <v/>
      </c>
      <c r="B1874" s="6">
        <v>0</v>
      </c>
      <c r="C1874" s="7" t="str">
        <v>趣点购浦发</v>
      </c>
      <c r="D1874" s="8">
        <v>0</v>
      </c>
      <c r="E1874" s="7">
        <v>0</v>
      </c>
      <c r="F1874" s="8">
        <v>0</v>
      </c>
      <c r="G1874" s="7">
        <v>0</v>
      </c>
      <c r="H1874" s="7">
        <v>81211.819999998</v>
      </c>
      <c r="I1874" s="7">
        <v>0</v>
      </c>
      <c r="J1874" s="8">
        <v>0</v>
      </c>
      <c r="K1874" s="9" t="str">
        <v/>
      </c>
    </row>
    <row r="1875" spans="1:11">
      <c r="A1875" t="str">
        <v/>
      </c>
      <c r="B1875" s="6">
        <v>0</v>
      </c>
      <c r="C1875" s="7" t="str">
        <v>趣点购浦发</v>
      </c>
      <c r="D1875" s="8">
        <v>0</v>
      </c>
      <c r="E1875" s="7">
        <v>0</v>
      </c>
      <c r="F1875" s="8">
        <v>0</v>
      </c>
      <c r="G1875" s="7">
        <v>0</v>
      </c>
      <c r="H1875" s="7">
        <v>81211.819999998</v>
      </c>
      <c r="I1875" s="7">
        <v>0</v>
      </c>
      <c r="J1875" s="8">
        <v>0</v>
      </c>
      <c r="K1875" s="9" t="str">
        <v/>
      </c>
    </row>
    <row r="1876" spans="1:11">
      <c r="A1876" t="str">
        <v/>
      </c>
      <c r="B1876" s="6">
        <v>0</v>
      </c>
      <c r="C1876" s="7" t="str">
        <v>趣点购浦发</v>
      </c>
      <c r="D1876" s="8">
        <v>0</v>
      </c>
      <c r="E1876" s="7">
        <v>0</v>
      </c>
      <c r="F1876" s="8">
        <v>0</v>
      </c>
      <c r="G1876" s="7">
        <v>0</v>
      </c>
      <c r="H1876" s="7">
        <v>81211.819999998</v>
      </c>
      <c r="I1876" s="7">
        <v>0</v>
      </c>
      <c r="J1876" s="8">
        <v>0</v>
      </c>
      <c r="K1876" s="9" t="str">
        <v/>
      </c>
    </row>
    <row r="1877" spans="1:11">
      <c r="A1877" t="str">
        <v/>
      </c>
      <c r="B1877" s="6">
        <v>0</v>
      </c>
      <c r="C1877" s="7" t="str">
        <v>趣点购浦发</v>
      </c>
      <c r="D1877" s="8">
        <v>0</v>
      </c>
      <c r="E1877" s="7">
        <v>0</v>
      </c>
      <c r="F1877" s="8">
        <v>0</v>
      </c>
      <c r="G1877" s="7">
        <v>0</v>
      </c>
      <c r="H1877" s="7">
        <v>81211.819999998</v>
      </c>
      <c r="I1877" s="7">
        <v>0</v>
      </c>
      <c r="J1877" s="8">
        <v>0</v>
      </c>
      <c r="K1877" s="9" t="str">
        <v/>
      </c>
    </row>
    <row r="1878" spans="1:11">
      <c r="A1878" t="str">
        <v/>
      </c>
      <c r="B1878" s="6">
        <v>0</v>
      </c>
      <c r="C1878" s="7" t="str">
        <v>趣点购浦发</v>
      </c>
      <c r="D1878" s="8">
        <v>0</v>
      </c>
      <c r="E1878" s="7">
        <v>0</v>
      </c>
      <c r="F1878" s="8">
        <v>0</v>
      </c>
      <c r="G1878" s="7">
        <v>0</v>
      </c>
      <c r="H1878" s="7">
        <v>81211.819999998</v>
      </c>
      <c r="I1878" s="7">
        <v>0</v>
      </c>
      <c r="J1878" s="8">
        <v>0</v>
      </c>
      <c r="K1878" s="9" t="str">
        <v/>
      </c>
    </row>
    <row r="1879" spans="1:11">
      <c r="A1879" t="str">
        <v/>
      </c>
      <c r="B1879" s="6">
        <v>0</v>
      </c>
      <c r="C1879" s="7" t="str">
        <v>趣点购浦发</v>
      </c>
      <c r="D1879" s="8">
        <v>0</v>
      </c>
      <c r="E1879" s="7">
        <v>0</v>
      </c>
      <c r="F1879" s="8">
        <v>0</v>
      </c>
      <c r="G1879" s="7">
        <v>0</v>
      </c>
      <c r="H1879" s="7">
        <v>81211.819999998</v>
      </c>
      <c r="I1879" s="7">
        <v>0</v>
      </c>
      <c r="J1879" s="8">
        <v>0</v>
      </c>
      <c r="K1879" s="9" t="str">
        <v/>
      </c>
    </row>
    <row r="1880" spans="1:11">
      <c r="A1880" t="str">
        <v/>
      </c>
      <c r="B1880" s="6">
        <v>0</v>
      </c>
      <c r="C1880" s="7" t="str">
        <v>趣点购浦发</v>
      </c>
      <c r="D1880" s="8">
        <v>0</v>
      </c>
      <c r="E1880" s="7">
        <v>0</v>
      </c>
      <c r="F1880" s="8">
        <v>0</v>
      </c>
      <c r="G1880" s="7">
        <v>0</v>
      </c>
      <c r="H1880" s="7">
        <v>81211.819999998</v>
      </c>
      <c r="I1880" s="7">
        <v>0</v>
      </c>
      <c r="J1880" s="8">
        <v>0</v>
      </c>
      <c r="K1880" s="9" t="str">
        <v/>
      </c>
    </row>
    <row r="1881" spans="1:11">
      <c r="A1881" t="str">
        <v/>
      </c>
      <c r="B1881" s="6">
        <v>0</v>
      </c>
      <c r="C1881" s="7" t="str">
        <v>趣点购浦发</v>
      </c>
      <c r="D1881" s="8">
        <v>0</v>
      </c>
      <c r="E1881" s="7">
        <v>0</v>
      </c>
      <c r="F1881" s="8">
        <v>0</v>
      </c>
      <c r="G1881" s="7">
        <v>0</v>
      </c>
      <c r="H1881" s="7">
        <v>81211.819999998</v>
      </c>
      <c r="I1881" s="7">
        <v>0</v>
      </c>
      <c r="J1881" s="8">
        <v>0</v>
      </c>
      <c r="K1881" s="9" t="str">
        <v/>
      </c>
    </row>
    <row r="1882" spans="1:11">
      <c r="A1882" t="str">
        <v/>
      </c>
      <c r="B1882" s="6">
        <v>0</v>
      </c>
      <c r="C1882" s="7" t="str">
        <v>趣点购浦发</v>
      </c>
      <c r="D1882" s="8">
        <v>0</v>
      </c>
      <c r="E1882" s="7">
        <v>0</v>
      </c>
      <c r="F1882" s="8">
        <v>0</v>
      </c>
      <c r="G1882" s="7">
        <v>0</v>
      </c>
      <c r="H1882" s="7">
        <v>81211.819999998</v>
      </c>
      <c r="I1882" s="7">
        <v>0</v>
      </c>
      <c r="J1882" s="8">
        <v>0</v>
      </c>
      <c r="K1882" s="9" t="str">
        <v/>
      </c>
    </row>
    <row r="1883" spans="1:11">
      <c r="A1883" t="str">
        <v/>
      </c>
      <c r="B1883" s="6">
        <v>0</v>
      </c>
      <c r="C1883" s="7" t="str">
        <v>趣点购浦发</v>
      </c>
      <c r="D1883" s="8">
        <v>0</v>
      </c>
      <c r="E1883" s="7">
        <v>0</v>
      </c>
      <c r="F1883" s="8">
        <v>0</v>
      </c>
      <c r="G1883" s="7">
        <v>0</v>
      </c>
      <c r="H1883" s="7">
        <v>81211.819999998</v>
      </c>
      <c r="I1883" s="7">
        <v>0</v>
      </c>
      <c r="J1883" s="8">
        <v>0</v>
      </c>
      <c r="K1883" s="9" t="str">
        <v/>
      </c>
    </row>
    <row r="1884" spans="1:11">
      <c r="A1884" t="str">
        <v/>
      </c>
      <c r="B1884" s="6">
        <v>0</v>
      </c>
      <c r="C1884" s="7" t="str">
        <v>趣点购浦发</v>
      </c>
      <c r="D1884" s="8">
        <v>0</v>
      </c>
      <c r="E1884" s="7">
        <v>0</v>
      </c>
      <c r="F1884" s="8">
        <v>0</v>
      </c>
      <c r="G1884" s="7">
        <v>0</v>
      </c>
      <c r="H1884" s="7">
        <v>81211.819999998</v>
      </c>
      <c r="I1884" s="7">
        <v>0</v>
      </c>
      <c r="J1884" s="8">
        <v>0</v>
      </c>
      <c r="K1884" s="9" t="str">
        <v/>
      </c>
    </row>
    <row r="1885" spans="1:11">
      <c r="A1885" t="str">
        <v/>
      </c>
      <c r="B1885" s="6">
        <v>0</v>
      </c>
      <c r="C1885" s="7" t="str">
        <v>趣点购浦发</v>
      </c>
      <c r="D1885" s="8">
        <v>0</v>
      </c>
      <c r="E1885" s="7">
        <v>0</v>
      </c>
      <c r="F1885" s="8">
        <v>0</v>
      </c>
      <c r="G1885" s="7">
        <v>0</v>
      </c>
      <c r="H1885" s="7">
        <v>81211.819999998</v>
      </c>
      <c r="I1885" s="7">
        <v>0</v>
      </c>
      <c r="J1885" s="8">
        <v>0</v>
      </c>
      <c r="K1885" s="9" t="str">
        <v/>
      </c>
    </row>
    <row r="1886" spans="1:11">
      <c r="A1886" t="str">
        <v/>
      </c>
      <c r="B1886" s="6">
        <v>0</v>
      </c>
      <c r="C1886" s="7" t="str">
        <v>趣点购浦发</v>
      </c>
      <c r="D1886" s="8">
        <v>0</v>
      </c>
      <c r="E1886" s="7">
        <v>0</v>
      </c>
      <c r="F1886" s="8">
        <v>0</v>
      </c>
      <c r="G1886" s="7">
        <v>0</v>
      </c>
      <c r="H1886" s="7">
        <v>81211.819999998</v>
      </c>
      <c r="I1886" s="7">
        <v>0</v>
      </c>
      <c r="J1886" s="8">
        <v>0</v>
      </c>
      <c r="K1886" s="9" t="str">
        <v/>
      </c>
    </row>
    <row r="1887" spans="1:11">
      <c r="A1887" t="str">
        <v/>
      </c>
      <c r="B1887" s="6">
        <v>0</v>
      </c>
      <c r="C1887" s="7" t="str">
        <v>趣点购浦发</v>
      </c>
      <c r="D1887" s="8">
        <v>0</v>
      </c>
      <c r="E1887" s="7">
        <v>0</v>
      </c>
      <c r="F1887" s="8">
        <v>0</v>
      </c>
      <c r="G1887" s="7">
        <v>0</v>
      </c>
      <c r="H1887" s="7">
        <v>81211.819999998</v>
      </c>
      <c r="I1887" s="7">
        <v>0</v>
      </c>
      <c r="J1887" s="8">
        <v>0</v>
      </c>
      <c r="K1887" s="9" t="str">
        <v/>
      </c>
    </row>
    <row r="1888" spans="1:11">
      <c r="A1888" t="str">
        <v/>
      </c>
      <c r="B1888" s="6">
        <v>0</v>
      </c>
      <c r="C1888" s="7" t="str">
        <v>趣点购浦发</v>
      </c>
      <c r="D1888" s="8">
        <v>0</v>
      </c>
      <c r="E1888" s="7">
        <v>0</v>
      </c>
      <c r="F1888" s="8">
        <v>0</v>
      </c>
      <c r="G1888" s="7">
        <v>0</v>
      </c>
      <c r="H1888" s="7">
        <v>81211.819999998</v>
      </c>
      <c r="I1888" s="7">
        <v>0</v>
      </c>
      <c r="J1888" s="8">
        <v>0</v>
      </c>
      <c r="K1888" s="9" t="str">
        <v/>
      </c>
    </row>
    <row r="1889" spans="1:11">
      <c r="A1889" t="str">
        <v/>
      </c>
      <c r="B1889" s="6">
        <v>0</v>
      </c>
      <c r="C1889" s="7" t="str">
        <v>趣点购浦发</v>
      </c>
      <c r="D1889" s="8">
        <v>0</v>
      </c>
      <c r="E1889" s="7">
        <v>0</v>
      </c>
      <c r="F1889" s="8">
        <v>0</v>
      </c>
      <c r="G1889" s="7">
        <v>0</v>
      </c>
      <c r="H1889" s="7">
        <v>81211.819999998</v>
      </c>
      <c r="I1889" s="7">
        <v>0</v>
      </c>
      <c r="J1889" s="8">
        <v>0</v>
      </c>
      <c r="K1889" s="9" t="str">
        <v/>
      </c>
    </row>
    <row r="1890" spans="1:11">
      <c r="A1890" t="str">
        <v/>
      </c>
      <c r="B1890" s="6">
        <v>0</v>
      </c>
      <c r="C1890" s="7" t="str">
        <v>趣点购浦发</v>
      </c>
      <c r="D1890" s="8">
        <v>0</v>
      </c>
      <c r="E1890" s="7">
        <v>0</v>
      </c>
      <c r="F1890" s="8">
        <v>0</v>
      </c>
      <c r="G1890" s="7">
        <v>0</v>
      </c>
      <c r="H1890" s="7">
        <v>81211.819999998</v>
      </c>
      <c r="I1890" s="7">
        <v>0</v>
      </c>
      <c r="J1890" s="8">
        <v>0</v>
      </c>
      <c r="K1890" s="9" t="str">
        <v/>
      </c>
    </row>
    <row r="1891" spans="1:11">
      <c r="A1891" t="str">
        <v/>
      </c>
      <c r="B1891" s="6">
        <v>0</v>
      </c>
      <c r="C1891" s="7" t="str">
        <v>趣点购浦发</v>
      </c>
      <c r="D1891" s="8">
        <v>0</v>
      </c>
      <c r="E1891" s="7">
        <v>0</v>
      </c>
      <c r="F1891" s="8">
        <v>0</v>
      </c>
      <c r="G1891" s="7">
        <v>0</v>
      </c>
      <c r="H1891" s="7">
        <v>81211.819999998</v>
      </c>
      <c r="I1891" s="7">
        <v>0</v>
      </c>
      <c r="J1891" s="8">
        <v>0</v>
      </c>
      <c r="K1891" s="9" t="str">
        <v/>
      </c>
    </row>
    <row r="1892" spans="1:11">
      <c r="A1892" t="str">
        <v/>
      </c>
      <c r="B1892" s="6">
        <v>0</v>
      </c>
      <c r="C1892" s="7" t="str">
        <v>趣点购浦发</v>
      </c>
      <c r="D1892" s="8">
        <v>0</v>
      </c>
      <c r="E1892" s="7">
        <v>0</v>
      </c>
      <c r="F1892" s="8">
        <v>0</v>
      </c>
      <c r="G1892" s="7">
        <v>0</v>
      </c>
      <c r="H1892" s="7">
        <v>81211.819999998</v>
      </c>
      <c r="I1892" s="7">
        <v>0</v>
      </c>
      <c r="J1892" s="8">
        <v>0</v>
      </c>
      <c r="K1892" s="9" t="str">
        <v/>
      </c>
    </row>
    <row r="1893" spans="1:11">
      <c r="A1893" t="str">
        <v/>
      </c>
      <c r="B1893" s="6">
        <v>0</v>
      </c>
      <c r="C1893" s="7" t="str">
        <v>趣点购浦发</v>
      </c>
      <c r="D1893" s="8">
        <v>0</v>
      </c>
      <c r="E1893" s="7">
        <v>0</v>
      </c>
      <c r="F1893" s="8">
        <v>0</v>
      </c>
      <c r="G1893" s="7">
        <v>0</v>
      </c>
      <c r="H1893" s="7">
        <v>81211.819999998</v>
      </c>
      <c r="I1893" s="7">
        <v>0</v>
      </c>
      <c r="J1893" s="8">
        <v>0</v>
      </c>
      <c r="K1893" s="9" t="str">
        <v/>
      </c>
    </row>
    <row r="1894" spans="1:11">
      <c r="A1894" t="str">
        <v/>
      </c>
      <c r="B1894" s="6">
        <v>0</v>
      </c>
      <c r="C1894" s="7" t="str">
        <v>趣点购浦发</v>
      </c>
      <c r="D1894" s="8">
        <v>0</v>
      </c>
      <c r="E1894" s="7">
        <v>0</v>
      </c>
      <c r="F1894" s="8">
        <v>0</v>
      </c>
      <c r="G1894" s="7">
        <v>0</v>
      </c>
      <c r="H1894" s="7">
        <v>81211.819999998</v>
      </c>
      <c r="I1894" s="7">
        <v>0</v>
      </c>
      <c r="J1894" s="8">
        <v>0</v>
      </c>
      <c r="K1894" s="9" t="str">
        <v/>
      </c>
    </row>
    <row r="1895" spans="1:11">
      <c r="A1895" t="str">
        <v/>
      </c>
      <c r="B1895" s="6">
        <v>0</v>
      </c>
      <c r="C1895" s="7" t="str">
        <v>趣点购浦发</v>
      </c>
      <c r="D1895" s="8">
        <v>0</v>
      </c>
      <c r="E1895" s="7">
        <v>0</v>
      </c>
      <c r="F1895" s="8">
        <v>0</v>
      </c>
      <c r="G1895" s="7">
        <v>0</v>
      </c>
      <c r="H1895" s="7">
        <v>81211.819999998</v>
      </c>
      <c r="I1895" s="7">
        <v>0</v>
      </c>
      <c r="J1895" s="8">
        <v>0</v>
      </c>
      <c r="K1895" s="9" t="str">
        <v/>
      </c>
    </row>
    <row r="1896" spans="1:11">
      <c r="A1896" t="str">
        <v/>
      </c>
      <c r="B1896" s="6">
        <v>0</v>
      </c>
      <c r="C1896" s="7" t="str">
        <v>趣点购浦发</v>
      </c>
      <c r="D1896" s="8">
        <v>0</v>
      </c>
      <c r="E1896" s="7">
        <v>0</v>
      </c>
      <c r="F1896" s="8">
        <v>0</v>
      </c>
      <c r="G1896" s="7">
        <v>0</v>
      </c>
      <c r="H1896" s="7">
        <v>81211.819999998</v>
      </c>
      <c r="I1896" s="7">
        <v>0</v>
      </c>
      <c r="J1896" s="8">
        <v>0</v>
      </c>
      <c r="K1896" s="9" t="str">
        <v/>
      </c>
    </row>
    <row r="1897" spans="1:11">
      <c r="A1897" t="str">
        <v/>
      </c>
      <c r="B1897" s="6">
        <v>0</v>
      </c>
      <c r="C1897" s="7" t="str">
        <v>趣点购浦发</v>
      </c>
      <c r="D1897" s="8">
        <v>0</v>
      </c>
      <c r="E1897" s="7">
        <v>0</v>
      </c>
      <c r="F1897" s="8">
        <v>0</v>
      </c>
      <c r="G1897" s="7">
        <v>0</v>
      </c>
      <c r="H1897" s="7">
        <v>81211.819999998</v>
      </c>
      <c r="I1897" s="7">
        <v>0</v>
      </c>
      <c r="J1897" s="8">
        <v>0</v>
      </c>
      <c r="K1897" s="9" t="str">
        <v/>
      </c>
    </row>
    <row r="1898" spans="1:11">
      <c r="A1898" t="str">
        <v/>
      </c>
      <c r="B1898" s="6">
        <v>0</v>
      </c>
      <c r="C1898" s="7" t="str">
        <v>趣点购浦发</v>
      </c>
      <c r="D1898" s="8">
        <v>0</v>
      </c>
      <c r="E1898" s="7">
        <v>0</v>
      </c>
      <c r="F1898" s="8">
        <v>0</v>
      </c>
      <c r="G1898" s="7">
        <v>0</v>
      </c>
      <c r="H1898" s="7">
        <v>81211.819999998</v>
      </c>
      <c r="I1898" s="7">
        <v>0</v>
      </c>
      <c r="J1898" s="8">
        <v>0</v>
      </c>
      <c r="K1898" s="9" t="str">
        <v/>
      </c>
    </row>
    <row r="1899" spans="1:11">
      <c r="A1899" t="str">
        <v/>
      </c>
      <c r="B1899" s="6">
        <v>0</v>
      </c>
      <c r="C1899" s="7" t="str">
        <v>趣点购浦发</v>
      </c>
      <c r="D1899" s="8">
        <v>0</v>
      </c>
      <c r="E1899" s="7">
        <v>0</v>
      </c>
      <c r="F1899" s="8">
        <v>0</v>
      </c>
      <c r="G1899" s="7">
        <v>0</v>
      </c>
      <c r="H1899" s="7">
        <v>81211.819999998</v>
      </c>
      <c r="I1899" s="7">
        <v>0</v>
      </c>
      <c r="J1899" s="8">
        <v>0</v>
      </c>
      <c r="K1899" s="9" t="str">
        <v/>
      </c>
    </row>
    <row r="1900" spans="1:11">
      <c r="A1900" t="str">
        <v/>
      </c>
      <c r="B1900" s="6">
        <v>0</v>
      </c>
      <c r="C1900" s="7" t="str">
        <v>趣点购浦发</v>
      </c>
      <c r="D1900" s="8">
        <v>0</v>
      </c>
      <c r="E1900" s="7">
        <v>0</v>
      </c>
      <c r="F1900" s="8">
        <v>0</v>
      </c>
      <c r="G1900" s="7">
        <v>0</v>
      </c>
      <c r="H1900" s="7">
        <v>81211.819999998</v>
      </c>
      <c r="I1900" s="7">
        <v>0</v>
      </c>
      <c r="J1900" s="8">
        <v>0</v>
      </c>
      <c r="K1900" s="9" t="str">
        <v/>
      </c>
    </row>
    <row r="1901" spans="1:11">
      <c r="A1901" t="str">
        <v/>
      </c>
      <c r="B1901" s="6">
        <v>0</v>
      </c>
      <c r="C1901" s="7" t="str">
        <v>趣点购浦发</v>
      </c>
      <c r="D1901" s="8">
        <v>0</v>
      </c>
      <c r="E1901" s="7">
        <v>0</v>
      </c>
      <c r="F1901" s="8">
        <v>0</v>
      </c>
      <c r="G1901" s="7">
        <v>0</v>
      </c>
      <c r="H1901" s="7">
        <v>81211.819999998</v>
      </c>
      <c r="I1901" s="7">
        <v>0</v>
      </c>
      <c r="J1901" s="8">
        <v>0</v>
      </c>
      <c r="K1901" s="9" t="str">
        <v/>
      </c>
    </row>
    <row r="1902" spans="1:11">
      <c r="A1902" t="str">
        <v/>
      </c>
      <c r="B1902" s="6">
        <v>0</v>
      </c>
      <c r="C1902" s="7" t="str">
        <v>趣点购浦发</v>
      </c>
      <c r="D1902" s="8">
        <v>0</v>
      </c>
      <c r="E1902" s="7">
        <v>0</v>
      </c>
      <c r="F1902" s="8">
        <v>0</v>
      </c>
      <c r="G1902" s="7">
        <v>0</v>
      </c>
      <c r="H1902" s="7">
        <v>81211.819999998</v>
      </c>
      <c r="I1902" s="7">
        <v>0</v>
      </c>
      <c r="J1902" s="8">
        <v>0</v>
      </c>
      <c r="K1902" s="9" t="str">
        <v/>
      </c>
    </row>
    <row r="1903" spans="1:11">
      <c r="A1903" t="str">
        <v/>
      </c>
      <c r="B1903" s="6">
        <v>0</v>
      </c>
      <c r="C1903" s="7" t="str">
        <v>趣点购浦发</v>
      </c>
      <c r="D1903" s="8">
        <v>0</v>
      </c>
      <c r="E1903" s="7">
        <v>0</v>
      </c>
      <c r="F1903" s="8">
        <v>0</v>
      </c>
      <c r="G1903" s="7">
        <v>0</v>
      </c>
      <c r="H1903" s="7">
        <v>81211.819999998</v>
      </c>
      <c r="I1903" s="7">
        <v>0</v>
      </c>
      <c r="J1903" s="8">
        <v>0</v>
      </c>
      <c r="K1903" s="9" t="str">
        <v/>
      </c>
    </row>
    <row r="1904" spans="1:11">
      <c r="A1904" t="str">
        <v/>
      </c>
      <c r="B1904" s="6">
        <v>0</v>
      </c>
      <c r="C1904" s="7" t="str">
        <v>趣点购浦发</v>
      </c>
      <c r="D1904" s="8">
        <v>0</v>
      </c>
      <c r="E1904" s="7">
        <v>0</v>
      </c>
      <c r="F1904" s="8">
        <v>0</v>
      </c>
      <c r="G1904" s="7">
        <v>0</v>
      </c>
      <c r="H1904" s="7">
        <v>81211.819999998</v>
      </c>
      <c r="I1904" s="7">
        <v>0</v>
      </c>
      <c r="J1904" s="8">
        <v>0</v>
      </c>
      <c r="K1904" s="9" t="str">
        <v/>
      </c>
    </row>
    <row r="1905" spans="1:11">
      <c r="A1905" t="str">
        <v/>
      </c>
      <c r="B1905" s="6">
        <v>0</v>
      </c>
      <c r="C1905" s="7" t="str">
        <v>趣点购浦发</v>
      </c>
      <c r="D1905" s="8">
        <v>0</v>
      </c>
      <c r="E1905" s="7">
        <v>0</v>
      </c>
      <c r="F1905" s="8">
        <v>0</v>
      </c>
      <c r="G1905" s="7">
        <v>0</v>
      </c>
      <c r="H1905" s="7">
        <v>81211.819999998</v>
      </c>
      <c r="I1905" s="7">
        <v>0</v>
      </c>
      <c r="J1905" s="8">
        <v>0</v>
      </c>
      <c r="K1905" s="9" t="str">
        <v/>
      </c>
    </row>
    <row r="1906" spans="1:11">
      <c r="A1906" t="str">
        <v/>
      </c>
      <c r="B1906" s="6">
        <v>0</v>
      </c>
      <c r="C1906" s="7" t="str">
        <v>趣点购浦发</v>
      </c>
      <c r="D1906" s="8">
        <v>0</v>
      </c>
      <c r="E1906" s="7">
        <v>0</v>
      </c>
      <c r="F1906" s="8">
        <v>0</v>
      </c>
      <c r="G1906" s="7">
        <v>0</v>
      </c>
      <c r="H1906" s="7">
        <v>81211.819999998</v>
      </c>
      <c r="I1906" s="7">
        <v>0</v>
      </c>
      <c r="J1906" s="8">
        <v>0</v>
      </c>
      <c r="K1906" s="9" t="str">
        <v/>
      </c>
    </row>
    <row r="1907" spans="1:11">
      <c r="A1907" t="str">
        <v/>
      </c>
      <c r="B1907" s="6">
        <v>0</v>
      </c>
      <c r="C1907" s="7" t="str">
        <v>趣点购浦发</v>
      </c>
      <c r="D1907" s="8">
        <v>0</v>
      </c>
      <c r="E1907" s="7">
        <v>0</v>
      </c>
      <c r="F1907" s="8">
        <v>0</v>
      </c>
      <c r="G1907" s="7">
        <v>0</v>
      </c>
      <c r="H1907" s="7">
        <v>81211.819999998</v>
      </c>
      <c r="I1907" s="7">
        <v>0</v>
      </c>
      <c r="J1907" s="8">
        <v>0</v>
      </c>
      <c r="K1907" s="9" t="str">
        <v/>
      </c>
    </row>
    <row r="1908" spans="1:11">
      <c r="A1908" t="str">
        <v/>
      </c>
      <c r="B1908" s="6">
        <v>0</v>
      </c>
      <c r="C1908" s="7" t="str">
        <v>趣点购浦发</v>
      </c>
      <c r="D1908" s="8">
        <v>0</v>
      </c>
      <c r="E1908" s="7">
        <v>0</v>
      </c>
      <c r="F1908" s="8">
        <v>0</v>
      </c>
      <c r="G1908" s="7">
        <v>0</v>
      </c>
      <c r="H1908" s="7">
        <v>81211.819999998</v>
      </c>
      <c r="I1908" s="7">
        <v>0</v>
      </c>
      <c r="J1908" s="8">
        <v>0</v>
      </c>
      <c r="K1908" s="9" t="str">
        <v/>
      </c>
    </row>
    <row r="1909" spans="1:11">
      <c r="A1909" t="str">
        <v/>
      </c>
      <c r="B1909" s="6">
        <v>0</v>
      </c>
      <c r="C1909" s="7" t="str">
        <v>趣点购浦发</v>
      </c>
      <c r="D1909" s="8">
        <v>0</v>
      </c>
      <c r="E1909" s="7">
        <v>0</v>
      </c>
      <c r="F1909" s="8">
        <v>0</v>
      </c>
      <c r="G1909" s="7">
        <v>0</v>
      </c>
      <c r="H1909" s="7">
        <v>81211.819999998</v>
      </c>
      <c r="I1909" s="7">
        <v>0</v>
      </c>
      <c r="J1909" s="8">
        <v>0</v>
      </c>
      <c r="K1909" s="9" t="str">
        <v/>
      </c>
    </row>
    <row r="1910" spans="1:11">
      <c r="A1910" t="str">
        <v/>
      </c>
      <c r="B1910" s="6">
        <v>0</v>
      </c>
      <c r="C1910" s="7" t="str">
        <v>趣点购浦发</v>
      </c>
      <c r="D1910" s="8">
        <v>0</v>
      </c>
      <c r="E1910" s="7">
        <v>0</v>
      </c>
      <c r="F1910" s="8">
        <v>0</v>
      </c>
      <c r="G1910" s="7">
        <v>0</v>
      </c>
      <c r="H1910" s="7">
        <v>81211.819999998</v>
      </c>
      <c r="I1910" s="7">
        <v>0</v>
      </c>
      <c r="J1910" s="8">
        <v>0</v>
      </c>
      <c r="K1910" s="9" t="str">
        <v/>
      </c>
    </row>
    <row r="1911" spans="1:11">
      <c r="A1911" t="str">
        <v/>
      </c>
      <c r="B1911" s="6">
        <v>0</v>
      </c>
      <c r="C1911" s="7" t="str">
        <v>趣点购浦发</v>
      </c>
      <c r="D1911" s="8">
        <v>0</v>
      </c>
      <c r="E1911" s="7">
        <v>0</v>
      </c>
      <c r="F1911" s="8">
        <v>0</v>
      </c>
      <c r="G1911" s="7">
        <v>0</v>
      </c>
      <c r="H1911" s="7">
        <v>81211.819999998</v>
      </c>
      <c r="I1911" s="7">
        <v>0</v>
      </c>
      <c r="J1911" s="8">
        <v>0</v>
      </c>
      <c r="K1911" s="9" t="str">
        <v/>
      </c>
    </row>
    <row r="1912" spans="1:11">
      <c r="A1912" t="str">
        <v/>
      </c>
      <c r="B1912" s="6">
        <v>0</v>
      </c>
      <c r="C1912" s="7" t="str">
        <v>趣点购浦发</v>
      </c>
      <c r="D1912" s="8">
        <v>0</v>
      </c>
      <c r="E1912" s="7">
        <v>0</v>
      </c>
      <c r="F1912" s="8">
        <v>0</v>
      </c>
      <c r="G1912" s="7">
        <v>0</v>
      </c>
      <c r="H1912" s="7">
        <v>81211.819999998</v>
      </c>
      <c r="I1912" s="7">
        <v>0</v>
      </c>
      <c r="J1912" s="8">
        <v>0</v>
      </c>
      <c r="K1912" s="9" t="str">
        <v/>
      </c>
    </row>
    <row r="1913" spans="1:11">
      <c r="A1913" t="str">
        <v/>
      </c>
      <c r="B1913" s="6">
        <v>0</v>
      </c>
      <c r="C1913" s="7" t="str">
        <v>趣点购浦发</v>
      </c>
      <c r="D1913" s="8">
        <v>0</v>
      </c>
      <c r="E1913" s="7">
        <v>0</v>
      </c>
      <c r="F1913" s="8">
        <v>0</v>
      </c>
      <c r="G1913" s="7">
        <v>0</v>
      </c>
      <c r="H1913" s="7">
        <v>81211.819999998</v>
      </c>
      <c r="I1913" s="7">
        <v>0</v>
      </c>
      <c r="J1913" s="8">
        <v>0</v>
      </c>
      <c r="K1913" s="9" t="str">
        <v/>
      </c>
    </row>
    <row r="1914" spans="1:11">
      <c r="A1914" t="str">
        <v/>
      </c>
      <c r="B1914" s="6">
        <v>0</v>
      </c>
      <c r="C1914" s="7" t="str">
        <v>趣点购浦发</v>
      </c>
      <c r="D1914" s="8">
        <v>0</v>
      </c>
      <c r="E1914" s="7">
        <v>0</v>
      </c>
      <c r="F1914" s="8">
        <v>0</v>
      </c>
      <c r="G1914" s="7">
        <v>0</v>
      </c>
      <c r="H1914" s="7">
        <v>81211.819999998</v>
      </c>
      <c r="I1914" s="7">
        <v>0</v>
      </c>
      <c r="J1914" s="8">
        <v>0</v>
      </c>
      <c r="K1914" s="9" t="str">
        <v/>
      </c>
    </row>
    <row r="1915" spans="1:11">
      <c r="A1915" t="str">
        <v/>
      </c>
      <c r="B1915" s="6">
        <v>0</v>
      </c>
      <c r="C1915" s="7" t="str">
        <v>趣点购浦发</v>
      </c>
      <c r="D1915" s="8">
        <v>0</v>
      </c>
      <c r="E1915" s="7">
        <v>0</v>
      </c>
      <c r="F1915" s="8">
        <v>0</v>
      </c>
      <c r="G1915" s="7">
        <v>0</v>
      </c>
      <c r="H1915" s="7">
        <v>81211.819999998</v>
      </c>
      <c r="I1915" s="7">
        <v>0</v>
      </c>
      <c r="J1915" s="8">
        <v>0</v>
      </c>
      <c r="K1915" s="9" t="str">
        <v/>
      </c>
    </row>
    <row r="1916" spans="1:11">
      <c r="A1916" t="str">
        <v/>
      </c>
      <c r="B1916" s="6">
        <v>0</v>
      </c>
      <c r="C1916" s="7" t="str">
        <v>趣点购浦发</v>
      </c>
      <c r="D1916" s="8">
        <v>0</v>
      </c>
      <c r="E1916" s="7">
        <v>0</v>
      </c>
      <c r="F1916" s="8">
        <v>0</v>
      </c>
      <c r="G1916" s="7">
        <v>0</v>
      </c>
      <c r="H1916" s="7">
        <v>81211.819999998</v>
      </c>
      <c r="I1916" s="7">
        <v>0</v>
      </c>
      <c r="J1916" s="8">
        <v>0</v>
      </c>
      <c r="K1916" s="9" t="str">
        <v/>
      </c>
    </row>
    <row r="1917" spans="1:11">
      <c r="A1917" t="str">
        <v/>
      </c>
      <c r="B1917" s="6">
        <v>0</v>
      </c>
      <c r="C1917" s="7" t="str">
        <v>趣点购浦发</v>
      </c>
      <c r="D1917" s="8">
        <v>0</v>
      </c>
      <c r="E1917" s="7">
        <v>0</v>
      </c>
      <c r="F1917" s="8">
        <v>0</v>
      </c>
      <c r="G1917" s="7">
        <v>0</v>
      </c>
      <c r="H1917" s="7">
        <v>81211.819999998</v>
      </c>
      <c r="I1917" s="7">
        <v>0</v>
      </c>
      <c r="J1917" s="8">
        <v>0</v>
      </c>
      <c r="K1917" s="9" t="str">
        <v/>
      </c>
    </row>
    <row r="1918" spans="1:11">
      <c r="A1918" t="str">
        <v/>
      </c>
      <c r="B1918" s="6">
        <v>0</v>
      </c>
      <c r="C1918" s="7" t="str">
        <v>趣点购浦发</v>
      </c>
      <c r="D1918" s="8">
        <v>0</v>
      </c>
      <c r="E1918" s="7">
        <v>0</v>
      </c>
      <c r="F1918" s="8">
        <v>0</v>
      </c>
      <c r="G1918" s="7">
        <v>0</v>
      </c>
      <c r="H1918" s="7">
        <v>81211.819999998</v>
      </c>
      <c r="I1918" s="7">
        <v>0</v>
      </c>
      <c r="J1918" s="8">
        <v>0</v>
      </c>
      <c r="K1918" s="9" t="str">
        <v/>
      </c>
    </row>
    <row r="1919" spans="1:11">
      <c r="A1919" t="str">
        <v/>
      </c>
      <c r="B1919" s="6">
        <v>0</v>
      </c>
      <c r="C1919" s="7" t="str">
        <v>趣点购浦发</v>
      </c>
      <c r="D1919" s="8">
        <v>0</v>
      </c>
      <c r="E1919" s="7">
        <v>0</v>
      </c>
      <c r="F1919" s="8">
        <v>0</v>
      </c>
      <c r="G1919" s="7">
        <v>0</v>
      </c>
      <c r="H1919" s="7">
        <v>81211.819999998</v>
      </c>
      <c r="I1919" s="7">
        <v>0</v>
      </c>
      <c r="J1919" s="8">
        <v>0</v>
      </c>
      <c r="K1919" s="9" t="str">
        <v/>
      </c>
    </row>
    <row r="1920" spans="1:11">
      <c r="A1920" t="str">
        <v/>
      </c>
      <c r="B1920" s="6">
        <v>0</v>
      </c>
      <c r="C1920" s="7" t="str">
        <v>趣点购浦发</v>
      </c>
      <c r="D1920" s="8">
        <v>0</v>
      </c>
      <c r="E1920" s="7">
        <v>0</v>
      </c>
      <c r="F1920" s="8">
        <v>0</v>
      </c>
      <c r="G1920" s="7">
        <v>0</v>
      </c>
      <c r="H1920" s="7">
        <v>81211.819999998</v>
      </c>
      <c r="I1920" s="7">
        <v>0</v>
      </c>
      <c r="J1920" s="8">
        <v>0</v>
      </c>
      <c r="K1920" s="9" t="str">
        <v/>
      </c>
    </row>
    <row r="1921" spans="1:11">
      <c r="A1921" t="str">
        <v/>
      </c>
      <c r="B1921" s="6">
        <v>0</v>
      </c>
      <c r="C1921" s="7" t="str">
        <v>趣点购浦发</v>
      </c>
      <c r="D1921" s="8">
        <v>0</v>
      </c>
      <c r="E1921" s="7">
        <v>0</v>
      </c>
      <c r="F1921" s="8">
        <v>0</v>
      </c>
      <c r="G1921" s="7">
        <v>0</v>
      </c>
      <c r="H1921" s="7">
        <v>81211.819999998</v>
      </c>
      <c r="I1921" s="7">
        <v>0</v>
      </c>
      <c r="J1921" s="8">
        <v>0</v>
      </c>
      <c r="K1921" s="9" t="str">
        <v/>
      </c>
    </row>
    <row r="1922" spans="1:11">
      <c r="A1922" t="str">
        <v/>
      </c>
      <c r="B1922" s="6">
        <v>0</v>
      </c>
      <c r="C1922" s="7" t="str">
        <v>趣点购浦发</v>
      </c>
      <c r="D1922" s="8">
        <v>0</v>
      </c>
      <c r="E1922" s="7">
        <v>0</v>
      </c>
      <c r="F1922" s="8">
        <v>0</v>
      </c>
      <c r="G1922" s="7">
        <v>0</v>
      </c>
      <c r="H1922" s="7">
        <v>81211.819999998</v>
      </c>
      <c r="I1922" s="7">
        <v>0</v>
      </c>
      <c r="J1922" s="8">
        <v>0</v>
      </c>
      <c r="K1922" s="9" t="str">
        <v/>
      </c>
    </row>
    <row r="1923" spans="1:11">
      <c r="A1923" t="str">
        <v/>
      </c>
      <c r="B1923" s="6">
        <v>0</v>
      </c>
      <c r="C1923" s="7" t="str">
        <v>趣点购浦发</v>
      </c>
      <c r="D1923" s="8">
        <v>0</v>
      </c>
      <c r="E1923" s="7">
        <v>0</v>
      </c>
      <c r="F1923" s="8">
        <v>0</v>
      </c>
      <c r="G1923" s="7">
        <v>0</v>
      </c>
      <c r="H1923" s="7">
        <v>81211.819999998</v>
      </c>
      <c r="I1923" s="7">
        <v>0</v>
      </c>
      <c r="J1923" s="8">
        <v>0</v>
      </c>
      <c r="K1923" s="9" t="str">
        <v/>
      </c>
    </row>
    <row r="1924" spans="1:11">
      <c r="A1924" t="str">
        <v/>
      </c>
      <c r="B1924" s="6">
        <v>0</v>
      </c>
      <c r="C1924" s="7" t="str">
        <v>趣点购浦发</v>
      </c>
      <c r="D1924" s="8">
        <v>0</v>
      </c>
      <c r="E1924" s="7">
        <v>0</v>
      </c>
      <c r="F1924" s="8">
        <v>0</v>
      </c>
      <c r="G1924" s="7">
        <v>0</v>
      </c>
      <c r="H1924" s="7">
        <v>81211.819999998</v>
      </c>
      <c r="I1924" s="7">
        <v>0</v>
      </c>
      <c r="J1924" s="8">
        <v>0</v>
      </c>
      <c r="K1924" s="9" t="str">
        <v/>
      </c>
    </row>
    <row r="1925" spans="1:11">
      <c r="A1925" t="str">
        <v/>
      </c>
      <c r="B1925" s="6">
        <v>0</v>
      </c>
      <c r="C1925" s="7" t="str">
        <v>趣点购浦发</v>
      </c>
      <c r="D1925" s="8">
        <v>0</v>
      </c>
      <c r="E1925" s="7">
        <v>0</v>
      </c>
      <c r="F1925" s="8">
        <v>0</v>
      </c>
      <c r="G1925" s="7">
        <v>0</v>
      </c>
      <c r="H1925" s="7">
        <v>81211.819999998</v>
      </c>
      <c r="I1925" s="7">
        <v>0</v>
      </c>
      <c r="J1925" s="8">
        <v>0</v>
      </c>
      <c r="K1925" s="9" t="str">
        <v/>
      </c>
    </row>
    <row r="1926" spans="1:11">
      <c r="A1926" t="str">
        <v/>
      </c>
      <c r="B1926" s="6">
        <v>0</v>
      </c>
      <c r="C1926" s="7" t="str">
        <v>趣点购浦发</v>
      </c>
      <c r="D1926" s="8">
        <v>0</v>
      </c>
      <c r="E1926" s="7">
        <v>0</v>
      </c>
      <c r="F1926" s="8">
        <v>0</v>
      </c>
      <c r="G1926" s="7">
        <v>0</v>
      </c>
      <c r="H1926" s="7">
        <v>81211.819999998</v>
      </c>
      <c r="I1926" s="7">
        <v>0</v>
      </c>
      <c r="J1926" s="8">
        <v>0</v>
      </c>
      <c r="K1926" s="9" t="str">
        <v/>
      </c>
    </row>
    <row r="1927" spans="1:11">
      <c r="A1927" t="str">
        <v/>
      </c>
      <c r="B1927" s="6">
        <v>0</v>
      </c>
      <c r="C1927" s="7" t="str">
        <v>趣点购浦发</v>
      </c>
      <c r="D1927" s="8">
        <v>0</v>
      </c>
      <c r="E1927" s="7">
        <v>0</v>
      </c>
      <c r="F1927" s="8">
        <v>0</v>
      </c>
      <c r="G1927" s="7">
        <v>0</v>
      </c>
      <c r="H1927" s="7">
        <v>81211.819999998</v>
      </c>
      <c r="I1927" s="7">
        <v>0</v>
      </c>
      <c r="J1927" s="8">
        <v>0</v>
      </c>
      <c r="K1927" s="9" t="str">
        <v/>
      </c>
    </row>
    <row r="1928" spans="1:11">
      <c r="A1928" t="str">
        <v/>
      </c>
      <c r="B1928" s="6">
        <v>0</v>
      </c>
      <c r="C1928" s="7" t="str">
        <v>趣点购浦发</v>
      </c>
      <c r="D1928" s="8">
        <v>0</v>
      </c>
      <c r="E1928" s="7">
        <v>0</v>
      </c>
      <c r="F1928" s="8">
        <v>0</v>
      </c>
      <c r="G1928" s="7">
        <v>0</v>
      </c>
      <c r="H1928" s="7">
        <v>81211.819999998</v>
      </c>
      <c r="I1928" s="7">
        <v>0</v>
      </c>
      <c r="J1928" s="8">
        <v>0</v>
      </c>
      <c r="K1928" s="9" t="str">
        <v/>
      </c>
    </row>
    <row r="1929" spans="1:11">
      <c r="A1929" t="str">
        <v/>
      </c>
      <c r="B1929" s="6">
        <v>0</v>
      </c>
      <c r="C1929" s="7" t="str">
        <v>趣点购浦发</v>
      </c>
      <c r="D1929" s="8">
        <v>0</v>
      </c>
      <c r="E1929" s="7">
        <v>0</v>
      </c>
      <c r="F1929" s="8">
        <v>0</v>
      </c>
      <c r="G1929" s="7">
        <v>0</v>
      </c>
      <c r="H1929" s="7">
        <v>81211.819999998</v>
      </c>
      <c r="I1929" s="7">
        <v>0</v>
      </c>
      <c r="J1929" s="8">
        <v>0</v>
      </c>
      <c r="K1929" s="9" t="str">
        <v/>
      </c>
    </row>
    <row r="1930" spans="1:11">
      <c r="A1930" t="str">
        <v/>
      </c>
      <c r="B1930" s="6">
        <v>0</v>
      </c>
      <c r="C1930" s="7" t="str">
        <v>趣点购浦发</v>
      </c>
      <c r="D1930" s="8">
        <v>0</v>
      </c>
      <c r="E1930" s="7">
        <v>0</v>
      </c>
      <c r="F1930" s="8">
        <v>0</v>
      </c>
      <c r="G1930" s="7">
        <v>0</v>
      </c>
      <c r="H1930" s="7">
        <v>81211.819999998</v>
      </c>
      <c r="I1930" s="7">
        <v>0</v>
      </c>
      <c r="J1930" s="8">
        <v>0</v>
      </c>
      <c r="K1930" s="9" t="str">
        <v/>
      </c>
    </row>
    <row r="1931" spans="1:11">
      <c r="A1931" t="str">
        <v/>
      </c>
      <c r="B1931" s="6">
        <v>0</v>
      </c>
      <c r="C1931" s="7" t="str">
        <v>趣点购浦发</v>
      </c>
      <c r="D1931" s="8">
        <v>0</v>
      </c>
      <c r="E1931" s="7">
        <v>0</v>
      </c>
      <c r="F1931" s="8">
        <v>0</v>
      </c>
      <c r="G1931" s="7">
        <v>0</v>
      </c>
      <c r="H1931" s="7">
        <v>81211.819999998</v>
      </c>
      <c r="I1931" s="7">
        <v>0</v>
      </c>
      <c r="J1931" s="8">
        <v>0</v>
      </c>
      <c r="K1931" s="9" t="str">
        <v/>
      </c>
    </row>
    <row r="1932" spans="1:11">
      <c r="A1932" t="str">
        <v/>
      </c>
      <c r="B1932" s="6">
        <v>0</v>
      </c>
      <c r="C1932" s="7" t="str">
        <v>趣点购浦发</v>
      </c>
      <c r="D1932" s="8">
        <v>0</v>
      </c>
      <c r="E1932" s="7">
        <v>0</v>
      </c>
      <c r="F1932" s="8">
        <v>0</v>
      </c>
      <c r="G1932" s="7">
        <v>0</v>
      </c>
      <c r="H1932" s="7">
        <v>81211.819999998</v>
      </c>
      <c r="I1932" s="7">
        <v>0</v>
      </c>
      <c r="J1932" s="8">
        <v>0</v>
      </c>
      <c r="K1932" s="9" t="str">
        <v/>
      </c>
    </row>
    <row r="1933" spans="1:11">
      <c r="A1933" t="str">
        <v/>
      </c>
      <c r="B1933" s="6">
        <v>0</v>
      </c>
      <c r="C1933" s="7" t="str">
        <v>趣点购浦发</v>
      </c>
      <c r="D1933" s="8">
        <v>0</v>
      </c>
      <c r="E1933" s="7">
        <v>0</v>
      </c>
      <c r="F1933" s="8">
        <v>0</v>
      </c>
      <c r="G1933" s="7">
        <v>0</v>
      </c>
      <c r="H1933" s="7">
        <v>81211.819999998</v>
      </c>
      <c r="I1933" s="7">
        <v>0</v>
      </c>
      <c r="J1933" s="8">
        <v>0</v>
      </c>
      <c r="K1933" s="9" t="str">
        <v/>
      </c>
    </row>
    <row r="1934" spans="1:11">
      <c r="A1934" t="str">
        <v/>
      </c>
      <c r="B1934" s="6">
        <v>0</v>
      </c>
      <c r="C1934" s="7" t="str">
        <v>趣点购浦发</v>
      </c>
      <c r="D1934" s="8">
        <v>0</v>
      </c>
      <c r="E1934" s="7">
        <v>0</v>
      </c>
      <c r="F1934" s="8">
        <v>0</v>
      </c>
      <c r="G1934" s="7">
        <v>0</v>
      </c>
      <c r="H1934" s="7">
        <v>81211.819999998</v>
      </c>
      <c r="I1934" s="7">
        <v>0</v>
      </c>
      <c r="J1934" s="8">
        <v>0</v>
      </c>
      <c r="K1934" s="9" t="str">
        <v/>
      </c>
    </row>
    <row r="1935" spans="1:11">
      <c r="A1935" t="str">
        <v/>
      </c>
      <c r="B1935" s="6">
        <v>0</v>
      </c>
      <c r="C1935" s="7" t="str">
        <v>趣点购浦发</v>
      </c>
      <c r="D1935" s="8">
        <v>0</v>
      </c>
      <c r="E1935" s="7">
        <v>0</v>
      </c>
      <c r="F1935" s="8">
        <v>0</v>
      </c>
      <c r="G1935" s="7">
        <v>0</v>
      </c>
      <c r="H1935" s="7">
        <v>81211.819999998</v>
      </c>
      <c r="I1935" s="7">
        <v>0</v>
      </c>
      <c r="J1935" s="8">
        <v>0</v>
      </c>
      <c r="K1935" s="9" t="str">
        <v/>
      </c>
    </row>
    <row r="1936" spans="1:11">
      <c r="A1936" t="str">
        <v/>
      </c>
      <c r="B1936" s="6">
        <v>0</v>
      </c>
      <c r="C1936" s="7" t="str">
        <v>趣点购浦发</v>
      </c>
      <c r="D1936" s="8">
        <v>0</v>
      </c>
      <c r="E1936" s="7">
        <v>0</v>
      </c>
      <c r="F1936" s="8">
        <v>0</v>
      </c>
      <c r="G1936" s="7">
        <v>0</v>
      </c>
      <c r="H1936" s="7">
        <v>81211.819999998</v>
      </c>
      <c r="I1936" s="7">
        <v>0</v>
      </c>
      <c r="J1936" s="8">
        <v>0</v>
      </c>
      <c r="K1936" s="9" t="str">
        <v/>
      </c>
    </row>
    <row r="1937" spans="1:11">
      <c r="A1937" t="str">
        <v/>
      </c>
      <c r="B1937" s="6">
        <v>0</v>
      </c>
      <c r="C1937" s="7" t="str">
        <v>趣点购浦发</v>
      </c>
      <c r="D1937" s="8">
        <v>0</v>
      </c>
      <c r="E1937" s="7">
        <v>0</v>
      </c>
      <c r="F1937" s="8">
        <v>0</v>
      </c>
      <c r="G1937" s="7">
        <v>0</v>
      </c>
      <c r="H1937" s="7">
        <v>81211.819999998</v>
      </c>
      <c r="I1937" s="7">
        <v>0</v>
      </c>
      <c r="J1937" s="8">
        <v>0</v>
      </c>
      <c r="K1937" s="9" t="str">
        <v/>
      </c>
    </row>
    <row r="1938" spans="1:11">
      <c r="A1938" t="str">
        <v/>
      </c>
      <c r="B1938" s="6">
        <v>0</v>
      </c>
      <c r="C1938" s="7" t="str">
        <v>趣点购浦发</v>
      </c>
      <c r="D1938" s="8">
        <v>0</v>
      </c>
      <c r="E1938" s="7">
        <v>0</v>
      </c>
      <c r="F1938" s="8">
        <v>0</v>
      </c>
      <c r="G1938" s="7">
        <v>0</v>
      </c>
      <c r="H1938" s="7">
        <v>81211.819999998</v>
      </c>
      <c r="I1938" s="7">
        <v>0</v>
      </c>
      <c r="J1938" s="8">
        <v>0</v>
      </c>
      <c r="K1938" s="9" t="str">
        <v/>
      </c>
    </row>
    <row r="1939" spans="1:11">
      <c r="A1939" t="str">
        <v/>
      </c>
      <c r="B1939" s="6">
        <v>0</v>
      </c>
      <c r="C1939" s="7" t="str">
        <v>趣点购浦发</v>
      </c>
      <c r="D1939" s="8">
        <v>0</v>
      </c>
      <c r="E1939" s="7">
        <v>0</v>
      </c>
      <c r="F1939" s="8">
        <v>0</v>
      </c>
      <c r="G1939" s="7">
        <v>0</v>
      </c>
      <c r="H1939" s="7">
        <v>81211.819999998</v>
      </c>
      <c r="I1939" s="7">
        <v>0</v>
      </c>
      <c r="J1939" s="8">
        <v>0</v>
      </c>
      <c r="K1939" s="9" t="str">
        <v/>
      </c>
    </row>
    <row r="1940" spans="1:11">
      <c r="A1940" t="str">
        <v/>
      </c>
      <c r="B1940" s="6">
        <v>0</v>
      </c>
      <c r="C1940" s="7" t="str">
        <v>趣点购浦发</v>
      </c>
      <c r="D1940" s="8">
        <v>0</v>
      </c>
      <c r="E1940" s="7">
        <v>0</v>
      </c>
      <c r="F1940" s="8">
        <v>0</v>
      </c>
      <c r="G1940" s="7">
        <v>0</v>
      </c>
      <c r="H1940" s="7">
        <v>81211.819999998</v>
      </c>
      <c r="I1940" s="7">
        <v>0</v>
      </c>
      <c r="J1940" s="8">
        <v>0</v>
      </c>
      <c r="K1940" s="9" t="str">
        <v/>
      </c>
    </row>
    <row r="1941" spans="1:11">
      <c r="A1941" t="str">
        <v/>
      </c>
      <c r="B1941" s="6">
        <v>0</v>
      </c>
      <c r="C1941" s="7" t="str">
        <v>趣点购浦发</v>
      </c>
      <c r="D1941" s="8">
        <v>0</v>
      </c>
      <c r="E1941" s="7">
        <v>0</v>
      </c>
      <c r="F1941" s="8">
        <v>0</v>
      </c>
      <c r="G1941" s="7">
        <v>0</v>
      </c>
      <c r="H1941" s="7">
        <v>81211.819999998</v>
      </c>
      <c r="I1941" s="7">
        <v>0</v>
      </c>
      <c r="J1941" s="8">
        <v>0</v>
      </c>
      <c r="K1941" s="9" t="str">
        <v/>
      </c>
    </row>
    <row r="1942" spans="1:11">
      <c r="A1942" t="str">
        <v/>
      </c>
      <c r="B1942" s="6">
        <v>0</v>
      </c>
      <c r="C1942" s="7" t="str">
        <v>趣点购浦发</v>
      </c>
      <c r="D1942" s="8">
        <v>0</v>
      </c>
      <c r="E1942" s="7">
        <v>0</v>
      </c>
      <c r="F1942" s="8">
        <v>0</v>
      </c>
      <c r="G1942" s="7">
        <v>0</v>
      </c>
      <c r="H1942" s="7">
        <v>81211.819999998</v>
      </c>
      <c r="I1942" s="7">
        <v>0</v>
      </c>
      <c r="J1942" s="8">
        <v>0</v>
      </c>
      <c r="K1942" s="9" t="str">
        <v/>
      </c>
    </row>
    <row r="1943" spans="1:11">
      <c r="A1943" t="str">
        <v/>
      </c>
      <c r="B1943" s="6">
        <v>0</v>
      </c>
      <c r="C1943" s="7" t="str">
        <v>趣点购浦发</v>
      </c>
      <c r="D1943" s="8">
        <v>0</v>
      </c>
      <c r="E1943" s="7">
        <v>0</v>
      </c>
      <c r="F1943" s="8">
        <v>0</v>
      </c>
      <c r="G1943" s="7">
        <v>0</v>
      </c>
      <c r="H1943" s="7">
        <v>81211.819999998</v>
      </c>
      <c r="I1943" s="7">
        <v>0</v>
      </c>
      <c r="J1943" s="8">
        <v>0</v>
      </c>
      <c r="K1943" s="9" t="str">
        <v/>
      </c>
    </row>
    <row r="1944" spans="1:11">
      <c r="A1944" t="str">
        <v/>
      </c>
      <c r="B1944" s="6">
        <v>0</v>
      </c>
      <c r="C1944" s="7" t="str">
        <v>趣点购浦发</v>
      </c>
      <c r="D1944" s="8">
        <v>0</v>
      </c>
      <c r="E1944" s="7">
        <v>0</v>
      </c>
      <c r="F1944" s="8">
        <v>0</v>
      </c>
      <c r="G1944" s="7">
        <v>0</v>
      </c>
      <c r="H1944" s="7">
        <v>81211.819999998</v>
      </c>
      <c r="I1944" s="7">
        <v>0</v>
      </c>
      <c r="J1944" s="8">
        <v>0</v>
      </c>
      <c r="K1944" s="9" t="str">
        <v/>
      </c>
    </row>
    <row r="1945" spans="1:11">
      <c r="A1945" t="str">
        <v/>
      </c>
      <c r="B1945" s="6">
        <v>0</v>
      </c>
      <c r="C1945" s="7" t="str">
        <v>趣点购浦发</v>
      </c>
      <c r="D1945" s="8">
        <v>0</v>
      </c>
      <c r="E1945" s="7">
        <v>0</v>
      </c>
      <c r="F1945" s="8">
        <v>0</v>
      </c>
      <c r="G1945" s="7">
        <v>0</v>
      </c>
      <c r="H1945" s="7">
        <v>81211.819999998</v>
      </c>
      <c r="I1945" s="7">
        <v>0</v>
      </c>
      <c r="J1945" s="8">
        <v>0</v>
      </c>
      <c r="K1945" s="9" t="str">
        <v/>
      </c>
    </row>
    <row r="1946" spans="1:11">
      <c r="A1946" t="str">
        <v/>
      </c>
      <c r="B1946" s="6">
        <v>0</v>
      </c>
      <c r="C1946" s="7" t="str">
        <v>趣点购浦发</v>
      </c>
      <c r="D1946" s="8">
        <v>0</v>
      </c>
      <c r="E1946" s="7">
        <v>0</v>
      </c>
      <c r="F1946" s="8">
        <v>0</v>
      </c>
      <c r="G1946" s="7">
        <v>0</v>
      </c>
      <c r="H1946" s="7">
        <v>81211.819999998</v>
      </c>
      <c r="I1946" s="7">
        <v>0</v>
      </c>
      <c r="J1946" s="8">
        <v>0</v>
      </c>
      <c r="K1946" s="9" t="str">
        <v/>
      </c>
    </row>
    <row r="1947" spans="1:11">
      <c r="A1947" t="str">
        <v/>
      </c>
      <c r="B1947" s="6">
        <v>0</v>
      </c>
      <c r="C1947" s="7" t="str">
        <v>趣点购浦发</v>
      </c>
      <c r="D1947" s="8">
        <v>0</v>
      </c>
      <c r="E1947" s="7">
        <v>0</v>
      </c>
      <c r="F1947" s="8">
        <v>0</v>
      </c>
      <c r="G1947" s="7">
        <v>0</v>
      </c>
      <c r="H1947" s="7">
        <v>81211.819999998</v>
      </c>
      <c r="I1947" s="7">
        <v>0</v>
      </c>
      <c r="J1947" s="8">
        <v>0</v>
      </c>
      <c r="K1947" s="9" t="str">
        <v/>
      </c>
    </row>
    <row r="1948" spans="1:11">
      <c r="A1948" t="str">
        <v/>
      </c>
      <c r="B1948" s="6">
        <v>0</v>
      </c>
      <c r="C1948" s="7" t="str">
        <v>趣点购浦发</v>
      </c>
      <c r="D1948" s="8">
        <v>0</v>
      </c>
      <c r="E1948" s="7">
        <v>0</v>
      </c>
      <c r="F1948" s="8">
        <v>0</v>
      </c>
      <c r="G1948" s="7">
        <v>0</v>
      </c>
      <c r="H1948" s="7">
        <v>81211.819999998</v>
      </c>
      <c r="I1948" s="7">
        <v>0</v>
      </c>
      <c r="J1948" s="8">
        <v>0</v>
      </c>
      <c r="K1948" s="9" t="str">
        <v/>
      </c>
    </row>
    <row r="1949" spans="1:11">
      <c r="A1949" t="str">
        <v/>
      </c>
      <c r="B1949" s="6">
        <v>0</v>
      </c>
      <c r="C1949" s="7" t="str">
        <v>趣点购浦发</v>
      </c>
      <c r="D1949" s="8">
        <v>0</v>
      </c>
      <c r="E1949" s="7">
        <v>0</v>
      </c>
      <c r="F1949" s="8">
        <v>0</v>
      </c>
      <c r="G1949" s="7">
        <v>0</v>
      </c>
      <c r="H1949" s="7">
        <v>81211.819999998</v>
      </c>
      <c r="I1949" s="7">
        <v>0</v>
      </c>
      <c r="J1949" s="8">
        <v>0</v>
      </c>
      <c r="K1949" s="9" t="str">
        <v/>
      </c>
    </row>
    <row r="1950" spans="1:11">
      <c r="A1950" t="str">
        <v/>
      </c>
      <c r="B1950" s="6">
        <v>0</v>
      </c>
      <c r="C1950" s="7" t="str">
        <v>趣点购浦发</v>
      </c>
      <c r="D1950" s="8">
        <v>0</v>
      </c>
      <c r="E1950" s="7">
        <v>0</v>
      </c>
      <c r="F1950" s="8">
        <v>0</v>
      </c>
      <c r="G1950" s="7">
        <v>0</v>
      </c>
      <c r="H1950" s="7">
        <v>81211.819999998</v>
      </c>
      <c r="I1950" s="7">
        <v>0</v>
      </c>
      <c r="J1950" s="8">
        <v>0</v>
      </c>
      <c r="K1950" s="9" t="str">
        <v/>
      </c>
    </row>
    <row r="1951" spans="1:11">
      <c r="A1951" t="str">
        <v/>
      </c>
      <c r="B1951" s="6">
        <v>0</v>
      </c>
      <c r="C1951" s="7" t="str">
        <v>趣点购浦发</v>
      </c>
      <c r="D1951" s="8">
        <v>0</v>
      </c>
      <c r="E1951" s="7">
        <v>0</v>
      </c>
      <c r="F1951" s="8">
        <v>0</v>
      </c>
      <c r="G1951" s="7">
        <v>0</v>
      </c>
      <c r="H1951" s="7">
        <v>81211.819999998</v>
      </c>
      <c r="I1951" s="7">
        <v>0</v>
      </c>
      <c r="J1951" s="8">
        <v>0</v>
      </c>
      <c r="K1951" s="9" t="str">
        <v/>
      </c>
    </row>
    <row r="1952" spans="1:11">
      <c r="A1952" t="str">
        <v/>
      </c>
      <c r="B1952" s="6">
        <v>0</v>
      </c>
      <c r="C1952" s="7" t="str">
        <v>趣点购浦发</v>
      </c>
      <c r="D1952" s="8">
        <v>0</v>
      </c>
      <c r="E1952" s="7">
        <v>0</v>
      </c>
      <c r="F1952" s="8">
        <v>0</v>
      </c>
      <c r="G1952" s="7">
        <v>0</v>
      </c>
      <c r="H1952" s="7">
        <v>81211.819999998</v>
      </c>
      <c r="I1952" s="7">
        <v>0</v>
      </c>
      <c r="J1952" s="8">
        <v>0</v>
      </c>
      <c r="K1952" s="9" t="str">
        <v/>
      </c>
    </row>
    <row r="1953" spans="1:11">
      <c r="A1953" t="str">
        <v/>
      </c>
      <c r="B1953" s="6">
        <v>0</v>
      </c>
      <c r="C1953" s="7" t="str">
        <v>趣点购浦发</v>
      </c>
      <c r="D1953" s="8">
        <v>0</v>
      </c>
      <c r="E1953" s="7">
        <v>0</v>
      </c>
      <c r="F1953" s="8">
        <v>0</v>
      </c>
      <c r="G1953" s="7">
        <v>0</v>
      </c>
      <c r="H1953" s="7">
        <v>81211.819999998</v>
      </c>
      <c r="I1953" s="7">
        <v>0</v>
      </c>
      <c r="J1953" s="8">
        <v>0</v>
      </c>
      <c r="K1953" s="9" t="str">
        <v/>
      </c>
    </row>
    <row r="1954" spans="1:11">
      <c r="A1954" t="str">
        <v/>
      </c>
      <c r="B1954" s="6">
        <v>0</v>
      </c>
      <c r="C1954" s="7" t="str">
        <v>趣点购浦发</v>
      </c>
      <c r="D1954" s="8">
        <v>0</v>
      </c>
      <c r="E1954" s="7">
        <v>0</v>
      </c>
      <c r="F1954" s="8">
        <v>0</v>
      </c>
      <c r="G1954" s="7">
        <v>0</v>
      </c>
      <c r="H1954" s="7">
        <v>81211.819999998</v>
      </c>
      <c r="I1954" s="7">
        <v>0</v>
      </c>
      <c r="J1954" s="8">
        <v>0</v>
      </c>
      <c r="K1954" s="9" t="str">
        <v/>
      </c>
    </row>
    <row r="1955" spans="1:11">
      <c r="A1955" t="str">
        <v/>
      </c>
      <c r="B1955" s="6">
        <v>0</v>
      </c>
      <c r="C1955" s="7" t="str">
        <v>趣点购浦发</v>
      </c>
      <c r="D1955" s="8">
        <v>0</v>
      </c>
      <c r="E1955" s="7">
        <v>0</v>
      </c>
      <c r="F1955" s="8">
        <v>0</v>
      </c>
      <c r="G1955" s="7">
        <v>0</v>
      </c>
      <c r="H1955" s="7">
        <v>81211.819999998</v>
      </c>
      <c r="I1955" s="7">
        <v>0</v>
      </c>
      <c r="J1955" s="8">
        <v>0</v>
      </c>
      <c r="K1955" s="9" t="str">
        <v/>
      </c>
    </row>
    <row r="1956" spans="1:11">
      <c r="A1956" t="str">
        <v/>
      </c>
      <c r="B1956" s="6">
        <v>0</v>
      </c>
      <c r="C1956" s="7" t="str">
        <v>趣点购浦发</v>
      </c>
      <c r="D1956" s="8">
        <v>0</v>
      </c>
      <c r="E1956" s="7">
        <v>0</v>
      </c>
      <c r="F1956" s="8">
        <v>0</v>
      </c>
      <c r="G1956" s="7">
        <v>0</v>
      </c>
      <c r="H1956" s="7">
        <v>81211.819999998</v>
      </c>
      <c r="I1956" s="7">
        <v>0</v>
      </c>
      <c r="J1956" s="8">
        <v>0</v>
      </c>
      <c r="K1956" s="9" t="str">
        <v/>
      </c>
    </row>
    <row r="1957" spans="1:11">
      <c r="A1957" t="str">
        <v/>
      </c>
      <c r="B1957" s="6">
        <v>0</v>
      </c>
      <c r="C1957" s="7" t="str">
        <v>趣点购浦发</v>
      </c>
      <c r="D1957" s="8">
        <v>0</v>
      </c>
      <c r="E1957" s="7">
        <v>0</v>
      </c>
      <c r="F1957" s="8">
        <v>0</v>
      </c>
      <c r="G1957" s="7">
        <v>0</v>
      </c>
      <c r="H1957" s="7">
        <v>81211.819999998</v>
      </c>
      <c r="I1957" s="7">
        <v>0</v>
      </c>
      <c r="J1957" s="8">
        <v>0</v>
      </c>
      <c r="K1957" s="9" t="str">
        <v/>
      </c>
    </row>
    <row r="1958" spans="1:11">
      <c r="A1958" t="str">
        <v/>
      </c>
      <c r="B1958" s="6">
        <v>0</v>
      </c>
      <c r="C1958" s="7" t="str">
        <v>趣点购浦发</v>
      </c>
      <c r="D1958" s="8">
        <v>0</v>
      </c>
      <c r="E1958" s="7">
        <v>0</v>
      </c>
      <c r="F1958" s="8">
        <v>0</v>
      </c>
      <c r="G1958" s="7">
        <v>0</v>
      </c>
      <c r="H1958" s="7">
        <v>81211.819999998</v>
      </c>
      <c r="I1958" s="7">
        <v>0</v>
      </c>
      <c r="J1958" s="8">
        <v>0</v>
      </c>
      <c r="K1958" s="9" t="str">
        <v/>
      </c>
    </row>
    <row r="1959" spans="1:11">
      <c r="A1959" t="str">
        <v/>
      </c>
      <c r="B1959" s="6">
        <v>0</v>
      </c>
      <c r="C1959" s="7" t="str">
        <v>趣点购浦发</v>
      </c>
      <c r="D1959" s="8">
        <v>0</v>
      </c>
      <c r="E1959" s="7">
        <v>0</v>
      </c>
      <c r="F1959" s="8">
        <v>0</v>
      </c>
      <c r="G1959" s="7">
        <v>0</v>
      </c>
      <c r="H1959" s="7">
        <v>81211.819999998</v>
      </c>
      <c r="I1959" s="7">
        <v>0</v>
      </c>
      <c r="J1959" s="8">
        <v>0</v>
      </c>
      <c r="K1959" s="9" t="str">
        <v/>
      </c>
    </row>
    <row r="1960" spans="1:11">
      <c r="A1960" t="str">
        <v/>
      </c>
      <c r="B1960" s="6">
        <v>0</v>
      </c>
      <c r="C1960" s="7" t="str">
        <v>趣点购浦发</v>
      </c>
      <c r="D1960" s="8">
        <v>0</v>
      </c>
      <c r="E1960" s="7">
        <v>0</v>
      </c>
      <c r="F1960" s="8">
        <v>0</v>
      </c>
      <c r="G1960" s="7">
        <v>0</v>
      </c>
      <c r="H1960" s="7">
        <v>81211.819999998</v>
      </c>
      <c r="I1960" s="7">
        <v>0</v>
      </c>
      <c r="J1960" s="8">
        <v>0</v>
      </c>
      <c r="K1960" s="9" t="str">
        <v/>
      </c>
    </row>
    <row r="1961" spans="1:11">
      <c r="A1961" t="str">
        <v/>
      </c>
      <c r="B1961" s="6">
        <v>0</v>
      </c>
      <c r="C1961" s="7" t="str">
        <v>趣点购浦发</v>
      </c>
      <c r="D1961" s="8">
        <v>0</v>
      </c>
      <c r="E1961" s="7">
        <v>0</v>
      </c>
      <c r="F1961" s="8">
        <v>0</v>
      </c>
      <c r="G1961" s="7">
        <v>0</v>
      </c>
      <c r="H1961" s="7">
        <v>81211.819999998</v>
      </c>
      <c r="I1961" s="7">
        <v>0</v>
      </c>
      <c r="J1961" s="8">
        <v>0</v>
      </c>
      <c r="K1961" s="9" t="str">
        <v/>
      </c>
    </row>
    <row r="1962" spans="1:11">
      <c r="A1962" t="str">
        <v/>
      </c>
      <c r="B1962" s="6">
        <v>0</v>
      </c>
      <c r="C1962" s="7" t="str">
        <v>趣点购浦发</v>
      </c>
      <c r="D1962" s="8">
        <v>0</v>
      </c>
      <c r="E1962" s="7">
        <v>0</v>
      </c>
      <c r="F1962" s="8">
        <v>0</v>
      </c>
      <c r="G1962" s="7">
        <v>0</v>
      </c>
      <c r="H1962" s="7">
        <v>81211.819999998</v>
      </c>
      <c r="I1962" s="7">
        <v>0</v>
      </c>
      <c r="J1962" s="8">
        <v>0</v>
      </c>
      <c r="K1962" s="9" t="str">
        <v/>
      </c>
    </row>
    <row r="1963" spans="1:11">
      <c r="A1963" t="str">
        <v/>
      </c>
      <c r="B1963" s="6">
        <v>0</v>
      </c>
      <c r="C1963" s="7" t="str">
        <v>趣点购浦发</v>
      </c>
      <c r="D1963" s="8">
        <v>0</v>
      </c>
      <c r="E1963" s="7">
        <v>0</v>
      </c>
      <c r="F1963" s="8">
        <v>0</v>
      </c>
      <c r="G1963" s="7">
        <v>0</v>
      </c>
      <c r="H1963" s="7">
        <v>81211.819999998</v>
      </c>
      <c r="I1963" s="7">
        <v>0</v>
      </c>
      <c r="J1963" s="8">
        <v>0</v>
      </c>
      <c r="K1963" s="9" t="str">
        <v/>
      </c>
    </row>
    <row r="1964" spans="1:11">
      <c r="A1964" t="str">
        <v/>
      </c>
      <c r="B1964" s="6">
        <v>0</v>
      </c>
      <c r="C1964" s="7" t="str">
        <v>趣点购浦发</v>
      </c>
      <c r="D1964" s="8">
        <v>0</v>
      </c>
      <c r="E1964" s="7">
        <v>0</v>
      </c>
      <c r="F1964" s="8">
        <v>0</v>
      </c>
      <c r="G1964" s="7">
        <v>0</v>
      </c>
      <c r="H1964" s="7">
        <v>81211.819999998</v>
      </c>
      <c r="I1964" s="7">
        <v>0</v>
      </c>
      <c r="J1964" s="8">
        <v>0</v>
      </c>
      <c r="K1964" s="9" t="str">
        <v/>
      </c>
    </row>
    <row r="1965" spans="1:11">
      <c r="A1965" t="str">
        <v/>
      </c>
      <c r="B1965" s="6">
        <v>0</v>
      </c>
      <c r="C1965" s="7" t="str">
        <v>趣点购浦发</v>
      </c>
      <c r="D1965" s="8">
        <v>0</v>
      </c>
      <c r="E1965" s="7">
        <v>0</v>
      </c>
      <c r="F1965" s="8">
        <v>0</v>
      </c>
      <c r="G1965" s="7">
        <v>0</v>
      </c>
      <c r="H1965" s="7">
        <v>81211.819999998</v>
      </c>
      <c r="I1965" s="7">
        <v>0</v>
      </c>
      <c r="J1965" s="8">
        <v>0</v>
      </c>
      <c r="K1965" s="9" t="str">
        <v/>
      </c>
    </row>
    <row r="1966" spans="1:11">
      <c r="A1966" t="str">
        <v/>
      </c>
      <c r="B1966" s="6">
        <v>0</v>
      </c>
      <c r="C1966" s="7" t="str">
        <v>趣点购浦发</v>
      </c>
      <c r="D1966" s="8">
        <v>0</v>
      </c>
      <c r="E1966" s="7">
        <v>0</v>
      </c>
      <c r="F1966" s="8">
        <v>0</v>
      </c>
      <c r="G1966" s="7">
        <v>0</v>
      </c>
      <c r="H1966" s="7">
        <v>81211.819999998</v>
      </c>
      <c r="I1966" s="7">
        <v>0</v>
      </c>
      <c r="J1966" s="8">
        <v>0</v>
      </c>
      <c r="K1966" s="9" t="str">
        <v/>
      </c>
    </row>
    <row r="1967" spans="1:11">
      <c r="A1967" t="str">
        <v/>
      </c>
      <c r="B1967" s="6">
        <v>0</v>
      </c>
      <c r="C1967" s="7" t="str">
        <v>趣点购浦发</v>
      </c>
      <c r="D1967" s="8">
        <v>0</v>
      </c>
      <c r="E1967" s="7">
        <v>0</v>
      </c>
      <c r="F1967" s="8">
        <v>0</v>
      </c>
      <c r="G1967" s="7">
        <v>0</v>
      </c>
      <c r="H1967" s="7">
        <v>81211.819999998</v>
      </c>
      <c r="I1967" s="7">
        <v>0</v>
      </c>
      <c r="J1967" s="8">
        <v>0</v>
      </c>
      <c r="K1967" s="9" t="str">
        <v/>
      </c>
    </row>
    <row r="1968" spans="1:11">
      <c r="A1968" t="str">
        <v/>
      </c>
      <c r="B1968" s="6">
        <v>0</v>
      </c>
      <c r="C1968" s="7" t="str">
        <v>趣点购浦发</v>
      </c>
      <c r="D1968" s="8">
        <v>0</v>
      </c>
      <c r="E1968" s="7">
        <v>0</v>
      </c>
      <c r="F1968" s="8">
        <v>0</v>
      </c>
      <c r="G1968" s="7">
        <v>0</v>
      </c>
      <c r="H1968" s="7">
        <v>81211.819999998</v>
      </c>
      <c r="I1968" s="7">
        <v>0</v>
      </c>
      <c r="J1968" s="8">
        <v>0</v>
      </c>
      <c r="K1968" s="9" t="str">
        <v/>
      </c>
    </row>
    <row r="1969" spans="1:11">
      <c r="A1969" t="str">
        <v/>
      </c>
      <c r="B1969" s="6">
        <v>0</v>
      </c>
      <c r="C1969" s="7" t="str">
        <v>趣点购浦发</v>
      </c>
      <c r="D1969" s="8">
        <v>0</v>
      </c>
      <c r="E1969" s="7">
        <v>0</v>
      </c>
      <c r="F1969" s="8">
        <v>0</v>
      </c>
      <c r="G1969" s="7">
        <v>0</v>
      </c>
      <c r="H1969" s="7">
        <v>81211.819999998</v>
      </c>
      <c r="I1969" s="7">
        <v>0</v>
      </c>
      <c r="J1969" s="8">
        <v>0</v>
      </c>
      <c r="K1969" s="9" t="str">
        <v/>
      </c>
    </row>
    <row r="1970" spans="1:11">
      <c r="A1970" t="str">
        <v/>
      </c>
      <c r="B1970" s="6">
        <v>0</v>
      </c>
      <c r="C1970" s="7" t="str">
        <v>趣点购浦发</v>
      </c>
      <c r="D1970" s="8">
        <v>0</v>
      </c>
      <c r="E1970" s="7">
        <v>0</v>
      </c>
      <c r="F1970" s="8">
        <v>0</v>
      </c>
      <c r="G1970" s="7">
        <v>0</v>
      </c>
      <c r="H1970" s="7">
        <v>81211.819999998</v>
      </c>
      <c r="I1970" s="7">
        <v>0</v>
      </c>
      <c r="J1970" s="8">
        <v>0</v>
      </c>
      <c r="K1970" s="9" t="str">
        <v/>
      </c>
    </row>
    <row r="1971" spans="1:11">
      <c r="A1971" t="str">
        <v/>
      </c>
      <c r="B1971" s="6">
        <v>0</v>
      </c>
      <c r="C1971" s="7" t="str">
        <v>趣点购浦发</v>
      </c>
      <c r="D1971" s="8">
        <v>0</v>
      </c>
      <c r="E1971" s="7">
        <v>0</v>
      </c>
      <c r="F1971" s="8">
        <v>0</v>
      </c>
      <c r="G1971" s="7">
        <v>0</v>
      </c>
      <c r="H1971" s="7">
        <v>81211.819999998</v>
      </c>
      <c r="I1971" s="7">
        <v>0</v>
      </c>
      <c r="J1971" s="8">
        <v>0</v>
      </c>
      <c r="K1971" s="9" t="str">
        <v/>
      </c>
    </row>
    <row r="1972" spans="1:11">
      <c r="A1972" t="str">
        <v/>
      </c>
      <c r="B1972" s="6">
        <v>0</v>
      </c>
      <c r="C1972" s="7" t="str">
        <v>趣点购浦发</v>
      </c>
      <c r="D1972" s="8">
        <v>0</v>
      </c>
      <c r="E1972" s="7">
        <v>0</v>
      </c>
      <c r="F1972" s="8">
        <v>0</v>
      </c>
      <c r="G1972" s="7">
        <v>0</v>
      </c>
      <c r="H1972" s="7">
        <v>81211.819999998</v>
      </c>
      <c r="I1972" s="7">
        <v>0</v>
      </c>
      <c r="J1972" s="8">
        <v>0</v>
      </c>
      <c r="K1972" s="9" t="str">
        <v/>
      </c>
    </row>
    <row r="1973" spans="1:11">
      <c r="A1973" t="str">
        <v/>
      </c>
      <c r="B1973" s="6">
        <v>0</v>
      </c>
      <c r="C1973" s="7" t="str">
        <v>趣点购浦发</v>
      </c>
      <c r="D1973" s="8">
        <v>0</v>
      </c>
      <c r="E1973" s="7">
        <v>0</v>
      </c>
      <c r="F1973" s="8">
        <v>0</v>
      </c>
      <c r="G1973" s="7">
        <v>0</v>
      </c>
      <c r="H1973" s="7">
        <v>81211.819999998</v>
      </c>
      <c r="I1973" s="7">
        <v>0</v>
      </c>
      <c r="J1973" s="8">
        <v>0</v>
      </c>
      <c r="K1973" s="9" t="str">
        <v/>
      </c>
    </row>
    <row r="1974" spans="1:11">
      <c r="A1974" t="str">
        <v/>
      </c>
      <c r="B1974" s="6">
        <v>0</v>
      </c>
      <c r="C1974" s="7" t="str">
        <v>趣点购浦发</v>
      </c>
      <c r="D1974" s="8">
        <v>0</v>
      </c>
      <c r="E1974" s="7">
        <v>0</v>
      </c>
      <c r="F1974" s="8">
        <v>0</v>
      </c>
      <c r="G1974" s="7">
        <v>0</v>
      </c>
      <c r="H1974" s="7">
        <v>81211.819999998</v>
      </c>
      <c r="I1974" s="7">
        <v>0</v>
      </c>
      <c r="J1974" s="8">
        <v>0</v>
      </c>
      <c r="K1974" s="9" t="str">
        <v/>
      </c>
    </row>
    <row r="1975" spans="1:11">
      <c r="A1975" t="str">
        <v/>
      </c>
      <c r="B1975" s="6">
        <v>0</v>
      </c>
      <c r="C1975" s="7" t="str">
        <v>趣点购浦发</v>
      </c>
      <c r="D1975" s="8">
        <v>0</v>
      </c>
      <c r="E1975" s="7">
        <v>0</v>
      </c>
      <c r="F1975" s="8">
        <v>0</v>
      </c>
      <c r="G1975" s="7">
        <v>0</v>
      </c>
      <c r="H1975" s="7">
        <v>81211.819999998</v>
      </c>
      <c r="I1975" s="7">
        <v>0</v>
      </c>
      <c r="J1975" s="8">
        <v>0</v>
      </c>
      <c r="K1975" s="9" t="str">
        <v/>
      </c>
    </row>
    <row r="1976" spans="1:11">
      <c r="A1976" t="str">
        <v/>
      </c>
      <c r="B1976" s="6">
        <v>0</v>
      </c>
      <c r="C1976" s="7" t="str">
        <v>趣点购浦发</v>
      </c>
      <c r="D1976" s="8">
        <v>0</v>
      </c>
      <c r="E1976" s="7">
        <v>0</v>
      </c>
      <c r="F1976" s="8">
        <v>0</v>
      </c>
      <c r="G1976" s="7">
        <v>0</v>
      </c>
      <c r="H1976" s="7">
        <v>81211.819999998</v>
      </c>
      <c r="I1976" s="7">
        <v>0</v>
      </c>
      <c r="J1976" s="8">
        <v>0</v>
      </c>
      <c r="K1976" s="9" t="str">
        <v/>
      </c>
    </row>
    <row r="1977" spans="1:11">
      <c r="A1977" t="str">
        <v/>
      </c>
      <c r="B1977" s="6">
        <v>0</v>
      </c>
      <c r="C1977" s="7" t="str">
        <v>趣点购浦发</v>
      </c>
      <c r="D1977" s="8">
        <v>0</v>
      </c>
      <c r="E1977" s="7">
        <v>0</v>
      </c>
      <c r="F1977" s="8">
        <v>0</v>
      </c>
      <c r="G1977" s="7">
        <v>0</v>
      </c>
      <c r="H1977" s="7">
        <v>81211.819999998</v>
      </c>
      <c r="I1977" s="7">
        <v>0</v>
      </c>
      <c r="J1977" s="8">
        <v>0</v>
      </c>
      <c r="K1977" s="9" t="str">
        <v/>
      </c>
    </row>
    <row r="1978" spans="1:11">
      <c r="A1978" t="str">
        <v/>
      </c>
      <c r="B1978" s="6">
        <v>0</v>
      </c>
      <c r="C1978" s="7" t="str">
        <v>趣点购浦发</v>
      </c>
      <c r="D1978" s="8">
        <v>0</v>
      </c>
      <c r="E1978" s="7">
        <v>0</v>
      </c>
      <c r="F1978" s="8">
        <v>0</v>
      </c>
      <c r="G1978" s="7">
        <v>0</v>
      </c>
      <c r="H1978" s="7">
        <v>81211.819999998</v>
      </c>
      <c r="I1978" s="7">
        <v>0</v>
      </c>
      <c r="J1978" s="8">
        <v>0</v>
      </c>
      <c r="K1978" s="9" t="str">
        <v/>
      </c>
    </row>
    <row r="1979" spans="1:11">
      <c r="A1979" t="str">
        <v/>
      </c>
      <c r="B1979" s="6">
        <v>0</v>
      </c>
      <c r="C1979" s="7" t="str">
        <v>趣点购浦发</v>
      </c>
      <c r="D1979" s="8">
        <v>0</v>
      </c>
      <c r="E1979" s="7">
        <v>0</v>
      </c>
      <c r="F1979" s="8">
        <v>0</v>
      </c>
      <c r="G1979" s="7">
        <v>0</v>
      </c>
      <c r="H1979" s="7">
        <v>81211.819999998</v>
      </c>
      <c r="I1979" s="7">
        <v>0</v>
      </c>
      <c r="J1979" s="8">
        <v>0</v>
      </c>
      <c r="K1979" s="9" t="str">
        <v/>
      </c>
    </row>
    <row r="1980" spans="1:11">
      <c r="A1980" t="str">
        <v/>
      </c>
      <c r="B1980" s="6">
        <v>0</v>
      </c>
      <c r="C1980" s="7" t="str">
        <v>趣点购浦发</v>
      </c>
      <c r="D1980" s="8">
        <v>0</v>
      </c>
      <c r="E1980" s="7">
        <v>0</v>
      </c>
      <c r="F1980" s="8">
        <v>0</v>
      </c>
      <c r="G1980" s="7">
        <v>0</v>
      </c>
      <c r="H1980" s="7">
        <v>81211.819999998</v>
      </c>
      <c r="I1980" s="7">
        <v>0</v>
      </c>
      <c r="J1980" s="8">
        <v>0</v>
      </c>
      <c r="K1980" s="9" t="str">
        <v/>
      </c>
    </row>
    <row r="1981" spans="1:11">
      <c r="A1981" t="str">
        <v/>
      </c>
      <c r="B1981" s="6">
        <v>0</v>
      </c>
      <c r="C1981" s="7" t="str">
        <v>趣点购浦发</v>
      </c>
      <c r="D1981" s="8">
        <v>0</v>
      </c>
      <c r="E1981" s="7">
        <v>0</v>
      </c>
      <c r="F1981" s="8">
        <v>0</v>
      </c>
      <c r="G1981" s="7">
        <v>0</v>
      </c>
      <c r="H1981" s="7">
        <v>81211.819999998</v>
      </c>
      <c r="I1981" s="7">
        <v>0</v>
      </c>
      <c r="J1981" s="8">
        <v>0</v>
      </c>
      <c r="K1981" s="9" t="str">
        <v/>
      </c>
    </row>
    <row r="1982" spans="1:11">
      <c r="A1982" t="str">
        <v/>
      </c>
      <c r="B1982" s="6">
        <v>0</v>
      </c>
      <c r="C1982" s="7" t="str">
        <v>趣点购浦发</v>
      </c>
      <c r="D1982" s="8">
        <v>0</v>
      </c>
      <c r="E1982" s="7">
        <v>0</v>
      </c>
      <c r="F1982" s="8">
        <v>0</v>
      </c>
      <c r="G1982" s="7">
        <v>0</v>
      </c>
      <c r="H1982" s="7">
        <v>81211.819999998</v>
      </c>
      <c r="I1982" s="7">
        <v>0</v>
      </c>
      <c r="J1982" s="8">
        <v>0</v>
      </c>
      <c r="K1982" s="9" t="str">
        <v/>
      </c>
    </row>
    <row r="1983" spans="1:11">
      <c r="A1983" t="str">
        <v/>
      </c>
      <c r="B1983" s="6">
        <v>0</v>
      </c>
      <c r="C1983" s="7" t="str">
        <v>趣点购浦发</v>
      </c>
      <c r="D1983" s="8">
        <v>0</v>
      </c>
      <c r="E1983" s="7">
        <v>0</v>
      </c>
      <c r="F1983" s="8">
        <v>0</v>
      </c>
      <c r="G1983" s="7">
        <v>0</v>
      </c>
      <c r="H1983" s="7">
        <v>81211.819999998</v>
      </c>
      <c r="I1983" s="7">
        <v>0</v>
      </c>
      <c r="J1983" s="8">
        <v>0</v>
      </c>
      <c r="K1983" s="9" t="str">
        <v/>
      </c>
    </row>
    <row r="1984" spans="1:11">
      <c r="A1984" t="str">
        <v/>
      </c>
      <c r="B1984" s="6">
        <v>0</v>
      </c>
      <c r="C1984" s="7" t="str">
        <v>趣点购浦发</v>
      </c>
      <c r="D1984" s="8">
        <v>0</v>
      </c>
      <c r="E1984" s="7">
        <v>0</v>
      </c>
      <c r="F1984" s="8">
        <v>0</v>
      </c>
      <c r="G1984" s="7">
        <v>0</v>
      </c>
      <c r="H1984" s="7">
        <v>81211.819999998</v>
      </c>
      <c r="I1984" s="7">
        <v>0</v>
      </c>
      <c r="J1984" s="8">
        <v>0</v>
      </c>
      <c r="K1984" s="9" t="str">
        <v/>
      </c>
    </row>
    <row r="1985" spans="1:11">
      <c r="A1985" t="str">
        <v/>
      </c>
      <c r="B1985" s="6">
        <v>0</v>
      </c>
      <c r="C1985" s="7" t="str">
        <v>趣点购浦发</v>
      </c>
      <c r="D1985" s="8">
        <v>0</v>
      </c>
      <c r="E1985" s="7">
        <v>0</v>
      </c>
      <c r="F1985" s="8">
        <v>0</v>
      </c>
      <c r="G1985" s="7">
        <v>0</v>
      </c>
      <c r="H1985" s="7">
        <v>81211.819999998</v>
      </c>
      <c r="I1985" s="7">
        <v>0</v>
      </c>
      <c r="J1985" s="8">
        <v>0</v>
      </c>
      <c r="K1985" s="9" t="str">
        <v/>
      </c>
    </row>
    <row r="1986" spans="1:11">
      <c r="A1986" t="str">
        <v/>
      </c>
      <c r="B1986" s="6">
        <v>0</v>
      </c>
      <c r="C1986" s="7" t="str">
        <v>趣点购浦发</v>
      </c>
      <c r="D1986" s="8">
        <v>0</v>
      </c>
      <c r="E1986" s="7">
        <v>0</v>
      </c>
      <c r="F1986" s="8">
        <v>0</v>
      </c>
      <c r="G1986" s="7">
        <v>0</v>
      </c>
      <c r="H1986" s="7">
        <v>81211.819999998</v>
      </c>
      <c r="I1986" s="7">
        <v>0</v>
      </c>
      <c r="J1986" s="8">
        <v>0</v>
      </c>
      <c r="K1986" s="9" t="str">
        <v/>
      </c>
    </row>
    <row r="1987" spans="1:11">
      <c r="A1987" t="str">
        <v/>
      </c>
      <c r="B1987" s="6">
        <v>0</v>
      </c>
      <c r="C1987" s="7" t="str">
        <v>趣点购浦发</v>
      </c>
      <c r="D1987" s="8">
        <v>0</v>
      </c>
      <c r="E1987" s="7">
        <v>0</v>
      </c>
      <c r="F1987" s="8">
        <v>0</v>
      </c>
      <c r="G1987" s="7">
        <v>0</v>
      </c>
      <c r="H1987" s="7">
        <v>81211.819999998</v>
      </c>
      <c r="I1987" s="7">
        <v>0</v>
      </c>
      <c r="J1987" s="8">
        <v>0</v>
      </c>
      <c r="K1987" s="9" t="str">
        <v/>
      </c>
    </row>
    <row r="1988" spans="1:11">
      <c r="A1988" t="str">
        <v/>
      </c>
      <c r="B1988" s="6">
        <v>0</v>
      </c>
      <c r="C1988" s="7" t="str">
        <v>趣点购浦发</v>
      </c>
      <c r="D1988" s="8">
        <v>0</v>
      </c>
      <c r="E1988" s="7">
        <v>0</v>
      </c>
      <c r="F1988" s="8">
        <v>0</v>
      </c>
      <c r="G1988" s="7">
        <v>0</v>
      </c>
      <c r="H1988" s="7">
        <v>81211.819999998</v>
      </c>
      <c r="I1988" s="7">
        <v>0</v>
      </c>
      <c r="J1988" s="8">
        <v>0</v>
      </c>
      <c r="K1988" s="9" t="str">
        <v/>
      </c>
    </row>
    <row r="1989" spans="1:11">
      <c r="A1989" t="str">
        <v/>
      </c>
      <c r="B1989" s="6">
        <v>0</v>
      </c>
      <c r="C1989" s="7" t="str">
        <v>趣点购浦发</v>
      </c>
      <c r="D1989" s="8">
        <v>0</v>
      </c>
      <c r="E1989" s="7">
        <v>0</v>
      </c>
      <c r="F1989" s="8">
        <v>0</v>
      </c>
      <c r="G1989" s="7">
        <v>0</v>
      </c>
      <c r="H1989" s="7">
        <v>81211.819999998</v>
      </c>
      <c r="I1989" s="7">
        <v>0</v>
      </c>
      <c r="J1989" s="8">
        <v>0</v>
      </c>
      <c r="K1989" s="9" t="str">
        <v/>
      </c>
    </row>
    <row r="1990" spans="1:11">
      <c r="A1990" t="str">
        <v/>
      </c>
      <c r="B1990" s="6">
        <v>0</v>
      </c>
      <c r="C1990" s="7" t="str">
        <v>趣点购浦发</v>
      </c>
      <c r="D1990" s="8">
        <v>0</v>
      </c>
      <c r="E1990" s="7">
        <v>0</v>
      </c>
      <c r="F1990" s="8">
        <v>0</v>
      </c>
      <c r="G1990" s="7">
        <v>0</v>
      </c>
      <c r="H1990" s="7">
        <v>81211.819999998</v>
      </c>
      <c r="I1990" s="7">
        <v>0</v>
      </c>
      <c r="J1990" s="8">
        <v>0</v>
      </c>
      <c r="K1990" s="9" t="str">
        <v/>
      </c>
    </row>
    <row r="1991" spans="1:11">
      <c r="A1991" t="str">
        <v/>
      </c>
      <c r="B1991" s="6">
        <v>0</v>
      </c>
      <c r="C1991" s="7" t="str">
        <v>趣点购浦发</v>
      </c>
      <c r="D1991" s="8">
        <v>0</v>
      </c>
      <c r="E1991" s="7">
        <v>0</v>
      </c>
      <c r="F1991" s="8">
        <v>0</v>
      </c>
      <c r="G1991" s="7">
        <v>0</v>
      </c>
      <c r="H1991" s="7">
        <v>81211.819999998</v>
      </c>
      <c r="I1991" s="7">
        <v>0</v>
      </c>
      <c r="J1991" s="8">
        <v>0</v>
      </c>
      <c r="K1991" s="9" t="str">
        <v/>
      </c>
    </row>
    <row r="1992" spans="1:11">
      <c r="A1992" t="str">
        <v/>
      </c>
      <c r="B1992" s="6">
        <v>0</v>
      </c>
      <c r="C1992" s="7" t="str">
        <v>趣点购浦发</v>
      </c>
      <c r="D1992" s="8">
        <v>0</v>
      </c>
      <c r="E1992" s="7">
        <v>0</v>
      </c>
      <c r="F1992" s="8">
        <v>0</v>
      </c>
      <c r="G1992" s="7">
        <v>0</v>
      </c>
      <c r="H1992" s="7">
        <v>81211.819999998</v>
      </c>
      <c r="I1992" s="7">
        <v>0</v>
      </c>
      <c r="J1992" s="8">
        <v>0</v>
      </c>
      <c r="K1992" s="9" t="str">
        <v/>
      </c>
    </row>
    <row r="1993" spans="1:11">
      <c r="A1993" t="str">
        <v/>
      </c>
      <c r="B1993" s="6">
        <v>0</v>
      </c>
      <c r="C1993" s="7" t="str">
        <v>趣点购浦发</v>
      </c>
      <c r="D1993" s="8">
        <v>0</v>
      </c>
      <c r="E1993" s="7">
        <v>0</v>
      </c>
      <c r="F1993" s="8">
        <v>0</v>
      </c>
      <c r="G1993" s="7">
        <v>0</v>
      </c>
      <c r="H1993" s="7">
        <v>81211.819999998</v>
      </c>
      <c r="I1993" s="7">
        <v>0</v>
      </c>
      <c r="J1993" s="8">
        <v>0</v>
      </c>
      <c r="K1993" s="9" t="str">
        <v/>
      </c>
    </row>
    <row r="1994" spans="1:11">
      <c r="A1994" t="str">
        <v/>
      </c>
      <c r="B1994" s="6">
        <v>0</v>
      </c>
      <c r="C1994" s="7" t="str">
        <v>趣点购浦发</v>
      </c>
      <c r="D1994" s="8">
        <v>0</v>
      </c>
      <c r="E1994" s="7">
        <v>0</v>
      </c>
      <c r="F1994" s="8">
        <v>0</v>
      </c>
      <c r="G1994" s="7">
        <v>0</v>
      </c>
      <c r="H1994" s="7">
        <v>81211.819999998</v>
      </c>
      <c r="I1994" s="7">
        <v>0</v>
      </c>
      <c r="J1994" s="8">
        <v>0</v>
      </c>
      <c r="K1994" s="9" t="str">
        <v/>
      </c>
    </row>
    <row r="1995" spans="1:11">
      <c r="A1995" t="str">
        <v/>
      </c>
      <c r="B1995" s="6">
        <v>0</v>
      </c>
      <c r="C1995" s="7" t="str">
        <v>趣点购浦发</v>
      </c>
      <c r="D1995" s="8">
        <v>0</v>
      </c>
      <c r="E1995" s="7">
        <v>0</v>
      </c>
      <c r="F1995" s="8">
        <v>0</v>
      </c>
      <c r="G1995" s="7">
        <v>0</v>
      </c>
      <c r="H1995" s="7">
        <v>81211.819999998</v>
      </c>
      <c r="I1995" s="7">
        <v>0</v>
      </c>
      <c r="J1995" s="8">
        <v>0</v>
      </c>
      <c r="K1995" s="9" t="str">
        <v/>
      </c>
    </row>
    <row r="1996" spans="1:11">
      <c r="A1996" t="str">
        <v/>
      </c>
      <c r="B1996" s="6">
        <v>0</v>
      </c>
      <c r="C1996" s="7" t="str">
        <v>趣点购浦发</v>
      </c>
      <c r="D1996" s="8">
        <v>0</v>
      </c>
      <c r="E1996" s="7">
        <v>0</v>
      </c>
      <c r="F1996" s="8">
        <v>0</v>
      </c>
      <c r="G1996" s="7">
        <v>0</v>
      </c>
      <c r="H1996" s="7">
        <v>81211.819999998</v>
      </c>
      <c r="I1996" s="7">
        <v>0</v>
      </c>
      <c r="J1996" s="8">
        <v>0</v>
      </c>
      <c r="K1996" s="9" t="str">
        <v/>
      </c>
    </row>
    <row r="1997" spans="1:11">
      <c r="A1997" t="str">
        <v/>
      </c>
      <c r="B1997" s="6">
        <v>0</v>
      </c>
      <c r="C1997" s="7" t="str">
        <v>趣点购浦发</v>
      </c>
      <c r="D1997" s="8">
        <v>0</v>
      </c>
      <c r="E1997" s="7">
        <v>0</v>
      </c>
      <c r="F1997" s="8">
        <v>0</v>
      </c>
      <c r="G1997" s="7">
        <v>0</v>
      </c>
      <c r="H1997" s="7">
        <v>81211.819999998</v>
      </c>
      <c r="I1997" s="7">
        <v>0</v>
      </c>
      <c r="J1997" s="8">
        <v>0</v>
      </c>
      <c r="K1997" s="9" t="str">
        <v/>
      </c>
    </row>
    <row r="1998" spans="1:11">
      <c r="A1998" t="str">
        <v/>
      </c>
      <c r="B1998" s="6">
        <v>0</v>
      </c>
      <c r="C1998" s="7" t="str">
        <v>趣点购浦发</v>
      </c>
      <c r="D1998" s="8">
        <v>0</v>
      </c>
      <c r="E1998" s="7">
        <v>0</v>
      </c>
      <c r="F1998" s="8">
        <v>0</v>
      </c>
      <c r="G1998" s="7">
        <v>0</v>
      </c>
      <c r="H1998" s="7">
        <v>81211.819999998</v>
      </c>
      <c r="I1998" s="7">
        <v>0</v>
      </c>
      <c r="J1998" s="8">
        <v>0</v>
      </c>
      <c r="K1998" s="9" t="str">
        <v/>
      </c>
    </row>
    <row r="1999" spans="1:11">
      <c r="A1999" t="str">
        <v/>
      </c>
      <c r="B1999" s="6">
        <v>0</v>
      </c>
      <c r="C1999" s="7" t="str">
        <v>趣点购浦发</v>
      </c>
      <c r="D1999" s="8">
        <v>0</v>
      </c>
      <c r="E1999" s="7">
        <v>0</v>
      </c>
      <c r="F1999" s="8">
        <v>0</v>
      </c>
      <c r="G1999" s="7">
        <v>0</v>
      </c>
      <c r="H1999" s="7">
        <v>81211.819999998</v>
      </c>
      <c r="I1999" s="7">
        <v>0</v>
      </c>
      <c r="J1999" s="8">
        <v>0</v>
      </c>
      <c r="K1999" s="9" t="str">
        <v/>
      </c>
    </row>
    <row r="2000" spans="1:11">
      <c r="A2000" t="str">
        <v/>
      </c>
      <c r="B2000" s="6">
        <v>0</v>
      </c>
      <c r="C2000" s="7" t="str">
        <v>趣点购浦发</v>
      </c>
      <c r="D2000" s="8">
        <v>0</v>
      </c>
      <c r="E2000" s="7">
        <v>0</v>
      </c>
      <c r="F2000" s="8">
        <v>0</v>
      </c>
      <c r="G2000" s="7">
        <v>0</v>
      </c>
      <c r="H2000" s="7">
        <v>81211.819999998</v>
      </c>
      <c r="I2000" s="7">
        <v>0</v>
      </c>
      <c r="J2000" s="8">
        <v>0</v>
      </c>
      <c r="K2000" s="9" t="str">
        <v/>
      </c>
    </row>
    <row r="2001" spans="1:11">
      <c r="A2001" t="str">
        <v/>
      </c>
      <c r="B2001" s="6">
        <v>0</v>
      </c>
      <c r="C2001" s="7" t="str">
        <v>趣点购浦发</v>
      </c>
      <c r="D2001" s="8">
        <v>0</v>
      </c>
      <c r="E2001" s="7">
        <v>0</v>
      </c>
      <c r="F2001" s="8">
        <v>0</v>
      </c>
      <c r="G2001" s="7">
        <v>0</v>
      </c>
      <c r="H2001" s="7">
        <v>81211.819999998</v>
      </c>
      <c r="I2001" s="7">
        <v>0</v>
      </c>
      <c r="J2001" s="8">
        <v>0</v>
      </c>
      <c r="K2001" s="9" t="str">
        <v/>
      </c>
    </row>
    <row r="2002" spans="1:11">
      <c r="A2002" t="str">
        <v/>
      </c>
      <c r="B2002" s="6">
        <v>0</v>
      </c>
      <c r="C2002" s="7" t="str">
        <v>趣点购浦发</v>
      </c>
      <c r="D2002" s="8">
        <v>0</v>
      </c>
      <c r="E2002" s="7">
        <v>0</v>
      </c>
      <c r="F2002" s="8">
        <v>0</v>
      </c>
      <c r="G2002" s="7">
        <v>0</v>
      </c>
      <c r="H2002" s="7">
        <v>81211.819999998</v>
      </c>
      <c r="I2002" s="7">
        <v>0</v>
      </c>
      <c r="J2002" s="8">
        <v>0</v>
      </c>
      <c r="K2002" s="9" t="str">
        <v/>
      </c>
    </row>
    <row r="2003" spans="1:11">
      <c r="A2003" t="str">
        <v/>
      </c>
      <c r="B2003" s="6">
        <v>0</v>
      </c>
      <c r="C2003" s="7" t="str">
        <v>趣点购浦发</v>
      </c>
      <c r="D2003" s="8">
        <v>0</v>
      </c>
      <c r="E2003" s="7">
        <v>0</v>
      </c>
      <c r="F2003" s="8">
        <v>0</v>
      </c>
      <c r="G2003" s="7">
        <v>0</v>
      </c>
      <c r="H2003" s="7">
        <v>81211.819999998</v>
      </c>
      <c r="I2003" s="7">
        <v>0</v>
      </c>
      <c r="J2003" s="8">
        <v>0</v>
      </c>
      <c r="K2003" s="9" t="str">
        <v/>
      </c>
    </row>
    <row r="2004" spans="1:11">
      <c r="A2004" t="str">
        <v/>
      </c>
      <c r="B2004" s="6">
        <v>0</v>
      </c>
      <c r="C2004" s="7" t="str">
        <v>趣点购浦发</v>
      </c>
      <c r="D2004" s="8">
        <v>0</v>
      </c>
      <c r="E2004" s="7">
        <v>0</v>
      </c>
      <c r="F2004" s="8">
        <v>0</v>
      </c>
      <c r="G2004" s="7">
        <v>0</v>
      </c>
      <c r="H2004" s="7">
        <v>81211.819999998</v>
      </c>
      <c r="I2004" s="7">
        <v>0</v>
      </c>
      <c r="J2004" s="8">
        <v>0</v>
      </c>
      <c r="K2004" s="9" t="str">
        <v/>
      </c>
    </row>
    <row r="2005" spans="1:11">
      <c r="A2005" t="str">
        <v/>
      </c>
      <c r="B2005" s="6">
        <v>0</v>
      </c>
      <c r="C2005" s="7" t="str">
        <v>趣点购浦发</v>
      </c>
      <c r="D2005" s="8">
        <v>0</v>
      </c>
      <c r="E2005" s="7">
        <v>0</v>
      </c>
      <c r="F2005" s="8">
        <v>0</v>
      </c>
      <c r="G2005" s="7">
        <v>0</v>
      </c>
      <c r="H2005" s="7">
        <v>81211.819999998</v>
      </c>
      <c r="I2005" s="7">
        <v>0</v>
      </c>
      <c r="J2005" s="8">
        <v>0</v>
      </c>
      <c r="K2005" s="9" t="str">
        <v/>
      </c>
    </row>
    <row r="2006" spans="1:11">
      <c r="A2006" t="str">
        <v/>
      </c>
      <c r="B2006" s="6">
        <v>0</v>
      </c>
      <c r="C2006" s="7" t="str">
        <v>趣点购浦发</v>
      </c>
      <c r="D2006" s="8">
        <v>0</v>
      </c>
      <c r="E2006" s="7">
        <v>0</v>
      </c>
      <c r="F2006" s="8">
        <v>0</v>
      </c>
      <c r="G2006" s="7">
        <v>0</v>
      </c>
      <c r="H2006" s="7">
        <v>81211.819999998</v>
      </c>
      <c r="I2006" s="7">
        <v>0</v>
      </c>
      <c r="J2006" s="8">
        <v>0</v>
      </c>
      <c r="K2006" s="9" t="str">
        <v/>
      </c>
    </row>
    <row r="2007" spans="1:11">
      <c r="A2007" t="str">
        <v/>
      </c>
      <c r="B2007" s="6">
        <v>0</v>
      </c>
      <c r="C2007" s="7" t="str">
        <v>趣点购浦发</v>
      </c>
      <c r="D2007" s="8">
        <v>0</v>
      </c>
      <c r="E2007" s="7">
        <v>0</v>
      </c>
      <c r="F2007" s="8">
        <v>0</v>
      </c>
      <c r="G2007" s="7">
        <v>0</v>
      </c>
      <c r="H2007" s="7">
        <v>81211.819999998</v>
      </c>
      <c r="I2007" s="7">
        <v>0</v>
      </c>
      <c r="J2007" s="8">
        <v>0</v>
      </c>
      <c r="K2007" s="9" t="str">
        <v/>
      </c>
    </row>
    <row r="2008" spans="1:11">
      <c r="A2008" t="str">
        <v/>
      </c>
      <c r="B2008" s="6">
        <v>0</v>
      </c>
      <c r="C2008" s="7" t="str">
        <v>趣点购浦发</v>
      </c>
      <c r="D2008" s="8">
        <v>0</v>
      </c>
      <c r="E2008" s="7">
        <v>0</v>
      </c>
      <c r="F2008" s="8">
        <v>0</v>
      </c>
      <c r="G2008" s="7">
        <v>0</v>
      </c>
      <c r="H2008" s="7">
        <v>81211.819999998</v>
      </c>
      <c r="I2008" s="7">
        <v>0</v>
      </c>
      <c r="J2008" s="8">
        <v>0</v>
      </c>
      <c r="K2008" s="9" t="str">
        <v/>
      </c>
    </row>
    <row r="2009" spans="1:11">
      <c r="A2009" t="str">
        <v/>
      </c>
      <c r="B2009" s="6">
        <v>0</v>
      </c>
      <c r="C2009" s="7" t="str">
        <v>趣点购浦发</v>
      </c>
      <c r="D2009" s="8">
        <v>0</v>
      </c>
      <c r="E2009" s="7">
        <v>0</v>
      </c>
      <c r="F2009" s="8">
        <v>0</v>
      </c>
      <c r="G2009" s="7">
        <v>0</v>
      </c>
      <c r="H2009" s="7">
        <v>81211.819999998</v>
      </c>
      <c r="I2009" s="7">
        <v>0</v>
      </c>
      <c r="J2009" s="8">
        <v>0</v>
      </c>
      <c r="K2009" s="9" t="str">
        <v/>
      </c>
    </row>
    <row r="2010" spans="1:11">
      <c r="A2010" t="str">
        <v/>
      </c>
      <c r="B2010" s="6">
        <v>0</v>
      </c>
      <c r="C2010" s="7" t="str">
        <v>趣点购浦发</v>
      </c>
      <c r="D2010" s="8">
        <v>0</v>
      </c>
      <c r="E2010" s="7">
        <v>0</v>
      </c>
      <c r="F2010" s="8">
        <v>0</v>
      </c>
      <c r="G2010" s="7">
        <v>0</v>
      </c>
      <c r="H2010" s="7">
        <v>81211.819999998</v>
      </c>
      <c r="I2010" s="7">
        <v>0</v>
      </c>
      <c r="J2010" s="8">
        <v>0</v>
      </c>
      <c r="K2010" s="9" t="str">
        <v/>
      </c>
    </row>
    <row r="2011" spans="1:11">
      <c r="A2011" t="str">
        <v/>
      </c>
      <c r="B2011" s="6">
        <v>0</v>
      </c>
      <c r="C2011" s="7" t="str">
        <v>趣点购浦发</v>
      </c>
      <c r="D2011" s="8">
        <v>0</v>
      </c>
      <c r="E2011" s="7">
        <v>0</v>
      </c>
      <c r="F2011" s="8">
        <v>0</v>
      </c>
      <c r="G2011" s="7">
        <v>0</v>
      </c>
      <c r="H2011" s="7">
        <v>81211.819999998</v>
      </c>
      <c r="I2011" s="7">
        <v>0</v>
      </c>
      <c r="J2011" s="8">
        <v>0</v>
      </c>
      <c r="K2011" s="9" t="str">
        <v/>
      </c>
    </row>
    <row r="2012" spans="1:11">
      <c r="A2012" t="str">
        <v/>
      </c>
      <c r="B2012" s="6">
        <v>0</v>
      </c>
      <c r="C2012" s="7" t="str">
        <v>趣点购浦发</v>
      </c>
      <c r="D2012" s="8">
        <v>0</v>
      </c>
      <c r="E2012" s="7">
        <v>0</v>
      </c>
      <c r="F2012" s="8">
        <v>0</v>
      </c>
      <c r="G2012" s="7">
        <v>0</v>
      </c>
      <c r="H2012" s="7">
        <v>81211.819999998</v>
      </c>
      <c r="I2012" s="7">
        <v>0</v>
      </c>
      <c r="J2012" s="8">
        <v>0</v>
      </c>
      <c r="K2012" s="9" t="str">
        <v/>
      </c>
    </row>
    <row r="2013" spans="1:11">
      <c r="A2013" t="str">
        <v/>
      </c>
      <c r="B2013" s="6">
        <v>0</v>
      </c>
      <c r="C2013" s="7" t="str">
        <v>趣点购浦发</v>
      </c>
      <c r="D2013" s="8">
        <v>0</v>
      </c>
      <c r="E2013" s="7">
        <v>0</v>
      </c>
      <c r="F2013" s="8">
        <v>0</v>
      </c>
      <c r="G2013" s="7">
        <v>0</v>
      </c>
      <c r="H2013" s="7">
        <v>81211.819999998</v>
      </c>
      <c r="I2013" s="7">
        <v>0</v>
      </c>
      <c r="J2013" s="8">
        <v>0</v>
      </c>
      <c r="K2013" s="9" t="str">
        <v/>
      </c>
    </row>
    <row r="2014" spans="1:11">
      <c r="A2014" t="str">
        <v/>
      </c>
      <c r="B2014" s="6">
        <v>0</v>
      </c>
      <c r="C2014" s="7" t="str">
        <v>趣点购浦发</v>
      </c>
      <c r="D2014" s="8">
        <v>0</v>
      </c>
      <c r="E2014" s="7">
        <v>0</v>
      </c>
      <c r="F2014" s="8">
        <v>0</v>
      </c>
      <c r="G2014" s="7">
        <v>0</v>
      </c>
      <c r="H2014" s="7">
        <v>81211.819999998</v>
      </c>
      <c r="I2014" s="7">
        <v>0</v>
      </c>
      <c r="J2014" s="8">
        <v>0</v>
      </c>
      <c r="K2014" s="9" t="str">
        <v/>
      </c>
    </row>
    <row r="2015" spans="1:11">
      <c r="A2015" t="str">
        <v/>
      </c>
      <c r="B2015" s="6">
        <v>0</v>
      </c>
      <c r="C2015" s="7" t="str">
        <v>趣点购浦发</v>
      </c>
      <c r="D2015" s="8">
        <v>0</v>
      </c>
      <c r="E2015" s="7">
        <v>0</v>
      </c>
      <c r="F2015" s="8">
        <v>0</v>
      </c>
      <c r="G2015" s="7">
        <v>0</v>
      </c>
      <c r="H2015" s="7">
        <v>81211.819999998</v>
      </c>
      <c r="I2015" s="7">
        <v>0</v>
      </c>
      <c r="J2015" s="8">
        <v>0</v>
      </c>
      <c r="K2015" s="9" t="str">
        <v/>
      </c>
    </row>
    <row r="2016" spans="1:11">
      <c r="A2016" t="str">
        <v/>
      </c>
      <c r="B2016" s="6">
        <v>0</v>
      </c>
      <c r="C2016" s="7" t="str">
        <v>趣点购浦发</v>
      </c>
      <c r="D2016" s="8">
        <v>0</v>
      </c>
      <c r="E2016" s="7">
        <v>0</v>
      </c>
      <c r="F2016" s="8">
        <v>0</v>
      </c>
      <c r="G2016" s="7">
        <v>0</v>
      </c>
      <c r="H2016" s="7">
        <v>81211.819999998</v>
      </c>
      <c r="I2016" s="7">
        <v>0</v>
      </c>
      <c r="J2016" s="8">
        <v>0</v>
      </c>
      <c r="K2016" s="9" t="str">
        <v/>
      </c>
    </row>
    <row r="2017" spans="1:11">
      <c r="A2017" t="str">
        <v/>
      </c>
      <c r="B2017" s="6">
        <v>0</v>
      </c>
      <c r="C2017" s="7" t="str">
        <v>趣点购浦发</v>
      </c>
      <c r="D2017" s="8">
        <v>0</v>
      </c>
      <c r="E2017" s="7">
        <v>0</v>
      </c>
      <c r="F2017" s="8">
        <v>0</v>
      </c>
      <c r="G2017" s="7">
        <v>0</v>
      </c>
      <c r="H2017" s="7">
        <v>81211.819999998</v>
      </c>
      <c r="I2017" s="7">
        <v>0</v>
      </c>
      <c r="J2017" s="8">
        <v>0</v>
      </c>
      <c r="K2017" s="9" t="str">
        <v/>
      </c>
    </row>
    <row r="2018" spans="1:11">
      <c r="A2018" t="str">
        <v/>
      </c>
      <c r="B2018" s="6">
        <v>0</v>
      </c>
      <c r="C2018" s="7" t="str">
        <v>趣点购浦发</v>
      </c>
      <c r="D2018" s="8">
        <v>0</v>
      </c>
      <c r="E2018" s="7">
        <v>0</v>
      </c>
      <c r="F2018" s="8">
        <v>0</v>
      </c>
      <c r="G2018" s="7">
        <v>0</v>
      </c>
      <c r="H2018" s="7">
        <v>81211.819999998</v>
      </c>
      <c r="I2018" s="7">
        <v>0</v>
      </c>
      <c r="J2018" s="8">
        <v>0</v>
      </c>
      <c r="K2018" s="9" t="str">
        <v/>
      </c>
    </row>
    <row r="2019" spans="1:11">
      <c r="A2019" t="str">
        <v/>
      </c>
      <c r="B2019" s="6">
        <v>0</v>
      </c>
      <c r="C2019" s="7" t="str">
        <v>趣点购浦发</v>
      </c>
      <c r="D2019" s="8">
        <v>0</v>
      </c>
      <c r="E2019" s="7">
        <v>0</v>
      </c>
      <c r="F2019" s="8">
        <v>0</v>
      </c>
      <c r="G2019" s="7">
        <v>0</v>
      </c>
      <c r="H2019" s="7">
        <v>81211.819999998</v>
      </c>
      <c r="I2019" s="7">
        <v>0</v>
      </c>
      <c r="J2019" s="8">
        <v>0</v>
      </c>
      <c r="K2019" s="9" t="str">
        <v/>
      </c>
    </row>
    <row r="2020" spans="1:11">
      <c r="A2020" t="str">
        <v/>
      </c>
      <c r="B2020" s="6">
        <v>0</v>
      </c>
      <c r="C2020" s="7" t="str">
        <v>趣点购浦发</v>
      </c>
      <c r="D2020" s="8">
        <v>0</v>
      </c>
      <c r="E2020" s="7">
        <v>0</v>
      </c>
      <c r="F2020" s="8">
        <v>0</v>
      </c>
      <c r="G2020" s="7">
        <v>0</v>
      </c>
      <c r="H2020" s="7">
        <v>81211.819999998</v>
      </c>
      <c r="I2020" s="7">
        <v>0</v>
      </c>
      <c r="J2020" s="8">
        <v>0</v>
      </c>
      <c r="K2020" s="9" t="str">
        <v/>
      </c>
    </row>
    <row r="2021" spans="1:11">
      <c r="A2021" t="str">
        <v/>
      </c>
      <c r="B2021" s="6">
        <v>0</v>
      </c>
      <c r="C2021" s="7" t="str">
        <v>趣点购浦发</v>
      </c>
      <c r="D2021" s="8">
        <v>0</v>
      </c>
      <c r="E2021" s="7">
        <v>0</v>
      </c>
      <c r="F2021" s="8">
        <v>0</v>
      </c>
      <c r="G2021" s="7">
        <v>0</v>
      </c>
      <c r="H2021" s="7">
        <v>81211.819999998</v>
      </c>
      <c r="I2021" s="7">
        <v>0</v>
      </c>
      <c r="J2021" s="8">
        <v>0</v>
      </c>
      <c r="K2021" s="9" t="str">
        <v/>
      </c>
    </row>
    <row r="2022" spans="1:11">
      <c r="A2022" t="str">
        <v/>
      </c>
      <c r="B2022" s="6">
        <v>0</v>
      </c>
      <c r="C2022" s="7" t="str">
        <v>趣点购浦发</v>
      </c>
      <c r="D2022" s="8">
        <v>0</v>
      </c>
      <c r="E2022" s="7">
        <v>0</v>
      </c>
      <c r="F2022" s="8">
        <v>0</v>
      </c>
      <c r="G2022" s="7">
        <v>0</v>
      </c>
      <c r="H2022" s="7">
        <v>81211.819999998</v>
      </c>
      <c r="I2022" s="7">
        <v>0</v>
      </c>
      <c r="J2022" s="8">
        <v>0</v>
      </c>
      <c r="K2022" s="9" t="str">
        <v/>
      </c>
    </row>
    <row r="2023" spans="1:11">
      <c r="A2023" t="str">
        <v/>
      </c>
      <c r="B2023" s="6">
        <v>0</v>
      </c>
      <c r="C2023" s="7" t="str">
        <v>趣点购浦发</v>
      </c>
      <c r="D2023" s="8">
        <v>0</v>
      </c>
      <c r="E2023" s="7">
        <v>0</v>
      </c>
      <c r="F2023" s="8">
        <v>0</v>
      </c>
      <c r="G2023" s="7">
        <v>0</v>
      </c>
      <c r="H2023" s="7">
        <v>81211.819999998</v>
      </c>
      <c r="I2023" s="7">
        <v>0</v>
      </c>
      <c r="J2023" s="8">
        <v>0</v>
      </c>
      <c r="K2023" s="9" t="str">
        <v/>
      </c>
    </row>
    <row r="2024" spans="1:11">
      <c r="A2024" t="str">
        <v/>
      </c>
      <c r="B2024" s="6">
        <v>0</v>
      </c>
      <c r="C2024" s="7" t="str">
        <v>趣点购浦发</v>
      </c>
      <c r="D2024" s="8">
        <v>0</v>
      </c>
      <c r="E2024" s="7">
        <v>0</v>
      </c>
      <c r="F2024" s="8">
        <v>0</v>
      </c>
      <c r="G2024" s="7">
        <v>0</v>
      </c>
      <c r="H2024" s="7">
        <v>81211.819999998</v>
      </c>
      <c r="I2024" s="7">
        <v>0</v>
      </c>
      <c r="J2024" s="8">
        <v>0</v>
      </c>
      <c r="K2024" s="9" t="str">
        <v/>
      </c>
    </row>
    <row r="2025" spans="1:11">
      <c r="A2025" t="str">
        <v/>
      </c>
      <c r="B2025" s="6">
        <v>0</v>
      </c>
      <c r="C2025" s="7" t="str">
        <v>趣点购浦发</v>
      </c>
      <c r="D2025" s="8">
        <v>0</v>
      </c>
      <c r="E2025" s="7">
        <v>0</v>
      </c>
      <c r="F2025" s="8">
        <v>0</v>
      </c>
      <c r="G2025" s="7">
        <v>0</v>
      </c>
      <c r="H2025" s="7">
        <v>81211.819999998</v>
      </c>
      <c r="I2025" s="7">
        <v>0</v>
      </c>
      <c r="J2025" s="8">
        <v>0</v>
      </c>
      <c r="K2025" s="9" t="str">
        <v/>
      </c>
    </row>
    <row r="2026" spans="1:11">
      <c r="A2026" t="str">
        <v/>
      </c>
      <c r="B2026" s="6">
        <v>0</v>
      </c>
      <c r="C2026" s="7" t="str">
        <v>趣点购浦发</v>
      </c>
      <c r="D2026" s="8">
        <v>0</v>
      </c>
      <c r="E2026" s="7">
        <v>0</v>
      </c>
      <c r="F2026" s="8">
        <v>0</v>
      </c>
      <c r="G2026" s="7">
        <v>0</v>
      </c>
      <c r="H2026" s="7">
        <v>81211.819999998</v>
      </c>
      <c r="I2026" s="7">
        <v>0</v>
      </c>
      <c r="J2026" s="8">
        <v>0</v>
      </c>
      <c r="K2026" s="9" t="str">
        <v/>
      </c>
    </row>
    <row r="2027" spans="1:11">
      <c r="A2027" t="str">
        <v/>
      </c>
      <c r="B2027" s="6">
        <v>0</v>
      </c>
      <c r="C2027" s="7" t="str">
        <v>趣点购浦发</v>
      </c>
      <c r="D2027" s="8">
        <v>0</v>
      </c>
      <c r="E2027" s="7">
        <v>0</v>
      </c>
      <c r="F2027" s="8">
        <v>0</v>
      </c>
      <c r="G2027" s="7">
        <v>0</v>
      </c>
      <c r="H2027" s="7">
        <v>81211.819999998</v>
      </c>
      <c r="I2027" s="7">
        <v>0</v>
      </c>
      <c r="J2027" s="8">
        <v>0</v>
      </c>
      <c r="K2027" s="9" t="str">
        <v/>
      </c>
    </row>
    <row r="2028" spans="1:11">
      <c r="A2028" t="str">
        <v/>
      </c>
      <c r="B2028" s="6">
        <v>0</v>
      </c>
      <c r="C2028" s="7" t="str">
        <v>趣点购浦发</v>
      </c>
      <c r="D2028" s="8">
        <v>0</v>
      </c>
      <c r="E2028" s="7">
        <v>0</v>
      </c>
      <c r="F2028" s="8">
        <v>0</v>
      </c>
      <c r="G2028" s="7">
        <v>0</v>
      </c>
      <c r="H2028" s="7">
        <v>81211.819999998</v>
      </c>
      <c r="I2028" s="7">
        <v>0</v>
      </c>
      <c r="J2028" s="8">
        <v>0</v>
      </c>
      <c r="K2028" s="9" t="str">
        <v/>
      </c>
    </row>
    <row r="2029" spans="1:11">
      <c r="A2029" t="str">
        <v/>
      </c>
      <c r="B2029" s="6">
        <v>0</v>
      </c>
      <c r="C2029" s="7" t="str">
        <v>趣点购浦发</v>
      </c>
      <c r="D2029" s="8">
        <v>0</v>
      </c>
      <c r="E2029" s="7">
        <v>0</v>
      </c>
      <c r="F2029" s="8">
        <v>0</v>
      </c>
      <c r="G2029" s="7">
        <v>0</v>
      </c>
      <c r="H2029" s="7">
        <v>81211.819999998</v>
      </c>
      <c r="I2029" s="7">
        <v>0</v>
      </c>
      <c r="J2029" s="8">
        <v>0</v>
      </c>
      <c r="K2029" s="9" t="str">
        <v/>
      </c>
    </row>
    <row r="2030" spans="1:11">
      <c r="A2030" t="str">
        <v/>
      </c>
      <c r="B2030" s="6">
        <v>0</v>
      </c>
      <c r="C2030" s="7" t="str">
        <v>趣点购浦发</v>
      </c>
      <c r="D2030" s="8">
        <v>0</v>
      </c>
      <c r="E2030" s="7">
        <v>0</v>
      </c>
      <c r="F2030" s="8">
        <v>0</v>
      </c>
      <c r="G2030" s="7">
        <v>0</v>
      </c>
      <c r="H2030" s="7">
        <v>81211.819999998</v>
      </c>
      <c r="I2030" s="7">
        <v>0</v>
      </c>
      <c r="J2030" s="8">
        <v>0</v>
      </c>
      <c r="K2030" s="9" t="str">
        <v/>
      </c>
    </row>
    <row r="2031" spans="1:11">
      <c r="A2031" t="str">
        <v/>
      </c>
      <c r="B2031" s="6">
        <v>0</v>
      </c>
      <c r="C2031" s="7" t="str">
        <v>趣点购浦发</v>
      </c>
      <c r="D2031" s="8">
        <v>0</v>
      </c>
      <c r="E2031" s="7">
        <v>0</v>
      </c>
      <c r="F2031" s="8">
        <v>0</v>
      </c>
      <c r="G2031" s="7">
        <v>0</v>
      </c>
      <c r="H2031" s="7">
        <v>81211.819999998</v>
      </c>
      <c r="I2031" s="7">
        <v>0</v>
      </c>
      <c r="J2031" s="8">
        <v>0</v>
      </c>
      <c r="K2031" s="9" t="str">
        <v/>
      </c>
    </row>
    <row r="2032" spans="1:11">
      <c r="A2032" t="str">
        <v/>
      </c>
      <c r="B2032" s="6">
        <v>0</v>
      </c>
      <c r="C2032" s="7" t="str">
        <v>趣点购浦发</v>
      </c>
      <c r="D2032" s="8">
        <v>0</v>
      </c>
      <c r="E2032" s="7">
        <v>0</v>
      </c>
      <c r="F2032" s="8">
        <v>0</v>
      </c>
      <c r="G2032" s="7">
        <v>0</v>
      </c>
      <c r="H2032" s="7">
        <v>81211.819999998</v>
      </c>
      <c r="I2032" s="7">
        <v>0</v>
      </c>
      <c r="J2032" s="8">
        <v>0</v>
      </c>
      <c r="K2032" s="9" t="str">
        <v/>
      </c>
    </row>
    <row r="2033" spans="1:11">
      <c r="A2033" t="str">
        <v/>
      </c>
      <c r="B2033" s="6">
        <v>0</v>
      </c>
      <c r="C2033" s="7" t="str">
        <v>趣点购浦发</v>
      </c>
      <c r="D2033" s="8">
        <v>0</v>
      </c>
      <c r="E2033" s="7">
        <v>0</v>
      </c>
      <c r="F2033" s="8">
        <v>0</v>
      </c>
      <c r="G2033" s="7">
        <v>0</v>
      </c>
      <c r="H2033" s="7">
        <v>81211.819999998</v>
      </c>
      <c r="I2033" s="7">
        <v>0</v>
      </c>
      <c r="J2033" s="8">
        <v>0</v>
      </c>
      <c r="K2033" s="9" t="str">
        <v/>
      </c>
    </row>
    <row r="2034" spans="1:11">
      <c r="A2034" t="str">
        <v/>
      </c>
      <c r="B2034" s="6">
        <v>0</v>
      </c>
      <c r="C2034" s="7" t="str">
        <v>趣点购浦发</v>
      </c>
      <c r="D2034" s="8">
        <v>0</v>
      </c>
      <c r="E2034" s="7">
        <v>0</v>
      </c>
      <c r="F2034" s="8">
        <v>0</v>
      </c>
      <c r="G2034" s="7">
        <v>0</v>
      </c>
      <c r="H2034" s="7">
        <v>81211.819999998</v>
      </c>
      <c r="I2034" s="7">
        <v>0</v>
      </c>
      <c r="J2034" s="8">
        <v>0</v>
      </c>
      <c r="K2034" s="9" t="str">
        <v/>
      </c>
    </row>
    <row r="2035" spans="1:11">
      <c r="A2035" t="str">
        <v/>
      </c>
      <c r="B2035" s="6">
        <v>0</v>
      </c>
      <c r="C2035" s="7" t="str">
        <v>趣点购浦发</v>
      </c>
      <c r="D2035" s="8">
        <v>0</v>
      </c>
      <c r="E2035" s="7">
        <v>0</v>
      </c>
      <c r="F2035" s="8">
        <v>0</v>
      </c>
      <c r="G2035" s="7">
        <v>0</v>
      </c>
      <c r="H2035" s="7">
        <v>81211.819999998</v>
      </c>
      <c r="I2035" s="7">
        <v>0</v>
      </c>
      <c r="J2035" s="8">
        <v>0</v>
      </c>
      <c r="K2035" s="9" t="str">
        <v/>
      </c>
    </row>
    <row r="2036" spans="1:11">
      <c r="A2036" t="str">
        <v/>
      </c>
      <c r="B2036" s="6">
        <v>0</v>
      </c>
      <c r="C2036" s="7" t="str">
        <v>趣点购浦发</v>
      </c>
      <c r="D2036" s="8">
        <v>0</v>
      </c>
      <c r="E2036" s="7">
        <v>0</v>
      </c>
      <c r="F2036" s="8">
        <v>0</v>
      </c>
      <c r="G2036" s="7">
        <v>0</v>
      </c>
      <c r="H2036" s="7">
        <v>81211.819999998</v>
      </c>
      <c r="I2036" s="7">
        <v>0</v>
      </c>
      <c r="J2036" s="8">
        <v>0</v>
      </c>
      <c r="K2036" s="9" t="str">
        <v/>
      </c>
    </row>
    <row r="2037" spans="1:11">
      <c r="A2037" t="str">
        <v/>
      </c>
      <c r="B2037" s="6">
        <v>0</v>
      </c>
      <c r="C2037" s="7" t="str">
        <v>趣点购浦发</v>
      </c>
      <c r="D2037" s="8">
        <v>0</v>
      </c>
      <c r="E2037" s="7">
        <v>0</v>
      </c>
      <c r="F2037" s="8">
        <v>0</v>
      </c>
      <c r="G2037" s="7">
        <v>0</v>
      </c>
      <c r="H2037" s="7">
        <v>81211.819999998</v>
      </c>
      <c r="I2037" s="7">
        <v>0</v>
      </c>
      <c r="J2037" s="8">
        <v>0</v>
      </c>
      <c r="K2037" s="9" t="str">
        <v/>
      </c>
    </row>
    <row r="2038" spans="1:11">
      <c r="A2038" t="str">
        <v/>
      </c>
      <c r="B2038" s="6">
        <v>0</v>
      </c>
      <c r="C2038" s="7" t="str">
        <v>趣点购浦发</v>
      </c>
      <c r="D2038" s="8">
        <v>0</v>
      </c>
      <c r="E2038" s="7">
        <v>0</v>
      </c>
      <c r="F2038" s="8">
        <v>0</v>
      </c>
      <c r="G2038" s="7">
        <v>0</v>
      </c>
      <c r="H2038" s="7">
        <v>81211.819999998</v>
      </c>
      <c r="I2038" s="7">
        <v>0</v>
      </c>
      <c r="J2038" s="8">
        <v>0</v>
      </c>
      <c r="K2038" s="9" t="str">
        <v/>
      </c>
    </row>
    <row r="2039" spans="1:11">
      <c r="A2039" t="str">
        <v/>
      </c>
      <c r="B2039" s="6">
        <v>0</v>
      </c>
      <c r="C2039" s="7" t="str">
        <v>趣点购浦发</v>
      </c>
      <c r="D2039" s="8">
        <v>0</v>
      </c>
      <c r="E2039" s="7">
        <v>0</v>
      </c>
      <c r="F2039" s="8">
        <v>0</v>
      </c>
      <c r="G2039" s="7">
        <v>0</v>
      </c>
      <c r="H2039" s="7">
        <v>81211.819999998</v>
      </c>
      <c r="I2039" s="7">
        <v>0</v>
      </c>
      <c r="J2039" s="8">
        <v>0</v>
      </c>
      <c r="K2039" s="9" t="str">
        <v/>
      </c>
    </row>
    <row r="2040" spans="1:11">
      <c r="A2040" t="str">
        <v/>
      </c>
      <c r="B2040" s="6">
        <v>0</v>
      </c>
      <c r="C2040" s="7" t="str">
        <v>趣点购浦发</v>
      </c>
      <c r="D2040" s="8">
        <v>0</v>
      </c>
      <c r="E2040" s="7">
        <v>0</v>
      </c>
      <c r="F2040" s="8">
        <v>0</v>
      </c>
      <c r="G2040" s="7">
        <v>0</v>
      </c>
      <c r="H2040" s="7">
        <v>81211.819999998</v>
      </c>
      <c r="I2040" s="7">
        <v>0</v>
      </c>
      <c r="J2040" s="8">
        <v>0</v>
      </c>
      <c r="K2040" s="9" t="str">
        <v/>
      </c>
    </row>
    <row r="2041" spans="1:11">
      <c r="A2041" t="str">
        <v/>
      </c>
      <c r="B2041" s="6">
        <v>0</v>
      </c>
      <c r="C2041" s="7" t="str">
        <v>趣点购浦发</v>
      </c>
      <c r="D2041" s="8">
        <v>0</v>
      </c>
      <c r="E2041" s="7">
        <v>0</v>
      </c>
      <c r="F2041" s="8">
        <v>0</v>
      </c>
      <c r="G2041" s="7">
        <v>0</v>
      </c>
      <c r="H2041" s="7">
        <v>81211.819999998</v>
      </c>
      <c r="I2041" s="7">
        <v>0</v>
      </c>
      <c r="J2041" s="8">
        <v>0</v>
      </c>
      <c r="K2041" s="9" t="str">
        <v/>
      </c>
    </row>
    <row r="2042" spans="1:11">
      <c r="A2042" t="str">
        <v/>
      </c>
      <c r="B2042" s="6">
        <v>0</v>
      </c>
      <c r="C2042" s="7" t="str">
        <v>趣点购浦发</v>
      </c>
      <c r="D2042" s="8">
        <v>0</v>
      </c>
      <c r="E2042" s="7">
        <v>0</v>
      </c>
      <c r="F2042" s="8">
        <v>0</v>
      </c>
      <c r="G2042" s="7">
        <v>0</v>
      </c>
      <c r="H2042" s="7">
        <v>81211.819999998</v>
      </c>
      <c r="I2042" s="7">
        <v>0</v>
      </c>
      <c r="J2042" s="8">
        <v>0</v>
      </c>
      <c r="K2042" s="9" t="str">
        <v/>
      </c>
    </row>
    <row r="2043" spans="1:11">
      <c r="A2043" t="str">
        <v/>
      </c>
      <c r="B2043" s="6">
        <v>0</v>
      </c>
      <c r="C2043" s="7" t="str">
        <v>趣点购浦发</v>
      </c>
      <c r="D2043" s="8">
        <v>0</v>
      </c>
      <c r="E2043" s="7">
        <v>0</v>
      </c>
      <c r="F2043" s="8">
        <v>0</v>
      </c>
      <c r="G2043" s="7">
        <v>0</v>
      </c>
      <c r="H2043" s="7">
        <v>81211.819999998</v>
      </c>
      <c r="I2043" s="7">
        <v>0</v>
      </c>
      <c r="J2043" s="8">
        <v>0</v>
      </c>
      <c r="K2043" s="9" t="str">
        <v/>
      </c>
    </row>
    <row r="2044" spans="1:11">
      <c r="A2044" t="str">
        <v/>
      </c>
      <c r="B2044" s="6">
        <v>0</v>
      </c>
      <c r="C2044" s="7" t="str">
        <v>趣点购浦发</v>
      </c>
      <c r="D2044" s="8">
        <v>0</v>
      </c>
      <c r="E2044" s="7">
        <v>0</v>
      </c>
      <c r="F2044" s="8">
        <v>0</v>
      </c>
      <c r="G2044" s="7">
        <v>0</v>
      </c>
      <c r="H2044" s="7">
        <v>81211.819999998</v>
      </c>
      <c r="I2044" s="7">
        <v>0</v>
      </c>
      <c r="J2044" s="8">
        <v>0</v>
      </c>
      <c r="K2044" s="9" t="str">
        <v/>
      </c>
    </row>
    <row r="2045" spans="1:11">
      <c r="A2045" t="str">
        <v/>
      </c>
      <c r="B2045" s="6">
        <v>0</v>
      </c>
      <c r="C2045" s="7" t="str">
        <v>趣点购浦发</v>
      </c>
      <c r="D2045" s="8">
        <v>0</v>
      </c>
      <c r="E2045" s="7">
        <v>0</v>
      </c>
      <c r="F2045" s="8">
        <v>0</v>
      </c>
      <c r="G2045" s="7">
        <v>0</v>
      </c>
      <c r="H2045" s="7">
        <v>81211.819999998</v>
      </c>
      <c r="I2045" s="7">
        <v>0</v>
      </c>
      <c r="J2045" s="8">
        <v>0</v>
      </c>
      <c r="K2045" s="9" t="str">
        <v/>
      </c>
    </row>
    <row r="2046" spans="1:11">
      <c r="A2046" t="str">
        <v/>
      </c>
      <c r="B2046" s="6">
        <v>0</v>
      </c>
      <c r="C2046" s="7" t="str">
        <v>趣点购浦发</v>
      </c>
      <c r="D2046" s="8">
        <v>0</v>
      </c>
      <c r="E2046" s="7">
        <v>0</v>
      </c>
      <c r="F2046" s="8">
        <v>0</v>
      </c>
      <c r="G2046" s="7">
        <v>0</v>
      </c>
      <c r="H2046" s="7">
        <v>81211.819999998</v>
      </c>
      <c r="I2046" s="7">
        <v>0</v>
      </c>
      <c r="J2046" s="8">
        <v>0</v>
      </c>
      <c r="K2046" s="9" t="str">
        <v/>
      </c>
    </row>
    <row r="2047" spans="1:11">
      <c r="A2047" t="str">
        <v/>
      </c>
      <c r="B2047" s="6">
        <v>0</v>
      </c>
      <c r="C2047" s="7" t="str">
        <v>趣点购浦发</v>
      </c>
      <c r="D2047" s="8">
        <v>0</v>
      </c>
      <c r="E2047" s="7">
        <v>0</v>
      </c>
      <c r="F2047" s="8">
        <v>0</v>
      </c>
      <c r="G2047" s="7">
        <v>0</v>
      </c>
      <c r="H2047" s="7">
        <v>81211.819999998</v>
      </c>
      <c r="I2047" s="7">
        <v>0</v>
      </c>
      <c r="J2047" s="8">
        <v>0</v>
      </c>
      <c r="K2047" s="9" t="str">
        <v/>
      </c>
    </row>
    <row r="2048" spans="1:11">
      <c r="A2048" t="str">
        <v/>
      </c>
      <c r="B2048" s="6">
        <v>0</v>
      </c>
      <c r="C2048" s="7" t="str">
        <v>趣点购浦发</v>
      </c>
      <c r="D2048" s="8">
        <v>0</v>
      </c>
      <c r="E2048" s="7">
        <v>0</v>
      </c>
      <c r="F2048" s="8">
        <v>0</v>
      </c>
      <c r="G2048" s="7">
        <v>0</v>
      </c>
      <c r="H2048" s="7">
        <v>81211.819999998</v>
      </c>
      <c r="I2048" s="7">
        <v>0</v>
      </c>
      <c r="J2048" s="8">
        <v>0</v>
      </c>
      <c r="K2048" s="9" t="str">
        <v/>
      </c>
    </row>
    <row r="2049" spans="1:11">
      <c r="A2049" t="str">
        <v/>
      </c>
      <c r="B2049" s="6">
        <v>0</v>
      </c>
      <c r="C2049" s="7" t="str">
        <v>趣点购浦发</v>
      </c>
      <c r="D2049" s="8">
        <v>0</v>
      </c>
      <c r="E2049" s="7">
        <v>0</v>
      </c>
      <c r="F2049" s="8">
        <v>0</v>
      </c>
      <c r="G2049" s="7">
        <v>0</v>
      </c>
      <c r="H2049" s="7">
        <v>81211.819999998</v>
      </c>
      <c r="I2049" s="7">
        <v>0</v>
      </c>
      <c r="J2049" s="8">
        <v>0</v>
      </c>
      <c r="K2049" s="9" t="str">
        <v/>
      </c>
    </row>
    <row r="2050" spans="1:11">
      <c r="A2050" t="str">
        <v/>
      </c>
      <c r="B2050" s="6">
        <v>0</v>
      </c>
      <c r="C2050" s="7" t="str">
        <v>趣点购浦发</v>
      </c>
      <c r="D2050" s="8">
        <v>0</v>
      </c>
      <c r="E2050" s="7">
        <v>0</v>
      </c>
      <c r="F2050" s="8">
        <v>0</v>
      </c>
      <c r="G2050" s="7">
        <v>0</v>
      </c>
      <c r="H2050" s="7">
        <v>81211.819999998</v>
      </c>
      <c r="I2050" s="7">
        <v>0</v>
      </c>
      <c r="J2050" s="8">
        <v>0</v>
      </c>
      <c r="K2050" s="9" t="str">
        <v/>
      </c>
    </row>
    <row r="2051" spans="1:11">
      <c r="A2051" t="str">
        <v/>
      </c>
      <c r="B2051" s="6">
        <v>0</v>
      </c>
      <c r="C2051" s="7" t="str">
        <v>趣点购浦发</v>
      </c>
      <c r="D2051" s="8">
        <v>0</v>
      </c>
      <c r="E2051" s="7">
        <v>0</v>
      </c>
      <c r="F2051" s="8">
        <v>0</v>
      </c>
      <c r="G2051" s="7">
        <v>0</v>
      </c>
      <c r="H2051" s="7">
        <v>81211.819999998</v>
      </c>
      <c r="I2051" s="7">
        <v>0</v>
      </c>
      <c r="J2051" s="8">
        <v>0</v>
      </c>
      <c r="K2051" s="9" t="str">
        <v/>
      </c>
    </row>
    <row r="2052" spans="1:11">
      <c r="A2052" t="str">
        <v/>
      </c>
      <c r="B2052" s="6">
        <v>0</v>
      </c>
      <c r="C2052" s="7" t="str">
        <v>趣点购浦发</v>
      </c>
      <c r="D2052" s="8">
        <v>0</v>
      </c>
      <c r="E2052" s="7">
        <v>0</v>
      </c>
      <c r="F2052" s="8">
        <v>0</v>
      </c>
      <c r="G2052" s="7">
        <v>0</v>
      </c>
      <c r="H2052" s="7">
        <v>81211.819999998</v>
      </c>
      <c r="I2052" s="7">
        <v>0</v>
      </c>
      <c r="J2052" s="8">
        <v>0</v>
      </c>
      <c r="K2052" s="9" t="str">
        <v/>
      </c>
    </row>
    <row r="2053" spans="1:11">
      <c r="A2053" t="str">
        <v/>
      </c>
      <c r="B2053" s="6">
        <v>0</v>
      </c>
      <c r="C2053" s="7" t="str">
        <v>趣点购浦发</v>
      </c>
      <c r="D2053" s="8">
        <v>0</v>
      </c>
      <c r="E2053" s="7">
        <v>0</v>
      </c>
      <c r="F2053" s="8">
        <v>0</v>
      </c>
      <c r="G2053" s="7">
        <v>0</v>
      </c>
      <c r="H2053" s="7">
        <v>81211.819999998</v>
      </c>
      <c r="I2053" s="7">
        <v>0</v>
      </c>
      <c r="J2053" s="8">
        <v>0</v>
      </c>
      <c r="K2053" s="9" t="str">
        <v/>
      </c>
    </row>
    <row r="2054" spans="1:11">
      <c r="A2054" t="str">
        <v/>
      </c>
      <c r="B2054" s="6">
        <v>0</v>
      </c>
      <c r="C2054" s="7" t="str">
        <v>趣点购浦发</v>
      </c>
      <c r="D2054" s="8">
        <v>0</v>
      </c>
      <c r="E2054" s="7">
        <v>0</v>
      </c>
      <c r="F2054" s="8">
        <v>0</v>
      </c>
      <c r="G2054" s="7">
        <v>0</v>
      </c>
      <c r="H2054" s="7">
        <v>81211.819999998</v>
      </c>
      <c r="I2054" s="7">
        <v>0</v>
      </c>
      <c r="J2054" s="8">
        <v>0</v>
      </c>
      <c r="K2054" s="9" t="str">
        <v/>
      </c>
    </row>
    <row r="2055" spans="1:11">
      <c r="A2055" t="str">
        <v/>
      </c>
      <c r="B2055" s="6">
        <v>0</v>
      </c>
      <c r="C2055" s="7" t="str">
        <v>趣点购浦发</v>
      </c>
      <c r="D2055" s="8">
        <v>0</v>
      </c>
      <c r="E2055" s="7">
        <v>0</v>
      </c>
      <c r="F2055" s="8">
        <v>0</v>
      </c>
      <c r="G2055" s="7">
        <v>0</v>
      </c>
      <c r="H2055" s="7">
        <v>81211.819999998</v>
      </c>
      <c r="I2055" s="7">
        <v>0</v>
      </c>
      <c r="J2055" s="8">
        <v>0</v>
      </c>
      <c r="K2055" s="9" t="str">
        <v/>
      </c>
    </row>
    <row r="2056" spans="1:11">
      <c r="A2056" t="str">
        <v/>
      </c>
      <c r="B2056" s="6">
        <v>0</v>
      </c>
      <c r="C2056" s="7" t="str">
        <v>趣点购浦发</v>
      </c>
      <c r="D2056" s="8">
        <v>0</v>
      </c>
      <c r="E2056" s="7">
        <v>0</v>
      </c>
      <c r="F2056" s="8">
        <v>0</v>
      </c>
      <c r="G2056" s="7">
        <v>0</v>
      </c>
      <c r="H2056" s="7">
        <v>81211.819999998</v>
      </c>
      <c r="I2056" s="7">
        <v>0</v>
      </c>
      <c r="J2056" s="8">
        <v>0</v>
      </c>
      <c r="K2056" s="9" t="str">
        <v/>
      </c>
    </row>
    <row r="2057" spans="1:11">
      <c r="A2057" t="str">
        <v/>
      </c>
      <c r="B2057" s="6">
        <v>0</v>
      </c>
      <c r="C2057" s="7" t="str">
        <v>趣点购浦发</v>
      </c>
      <c r="D2057" s="8">
        <v>0</v>
      </c>
      <c r="E2057" s="7">
        <v>0</v>
      </c>
      <c r="F2057" s="8">
        <v>0</v>
      </c>
      <c r="G2057" s="7">
        <v>0</v>
      </c>
      <c r="H2057" s="7">
        <v>81211.819999998</v>
      </c>
      <c r="I2057" s="7">
        <v>0</v>
      </c>
      <c r="J2057" s="8">
        <v>0</v>
      </c>
      <c r="K2057" s="9" t="str">
        <v/>
      </c>
    </row>
    <row r="2058" spans="1:11">
      <c r="A2058" t="str">
        <v/>
      </c>
      <c r="B2058" s="6">
        <v>0</v>
      </c>
      <c r="C2058" s="7" t="str">
        <v>趣点购浦发</v>
      </c>
      <c r="D2058" s="8">
        <v>0</v>
      </c>
      <c r="E2058" s="7">
        <v>0</v>
      </c>
      <c r="F2058" s="8">
        <v>0</v>
      </c>
      <c r="G2058" s="7">
        <v>0</v>
      </c>
      <c r="H2058" s="7">
        <v>81211.819999998</v>
      </c>
      <c r="I2058" s="7">
        <v>0</v>
      </c>
      <c r="J2058" s="8">
        <v>0</v>
      </c>
      <c r="K2058" s="9" t="str">
        <v/>
      </c>
    </row>
    <row r="2059" spans="1:11">
      <c r="A2059" t="str">
        <v/>
      </c>
      <c r="B2059" s="6">
        <v>0</v>
      </c>
      <c r="C2059" s="7" t="str">
        <v>趣点购浦发</v>
      </c>
      <c r="D2059" s="8">
        <v>0</v>
      </c>
      <c r="E2059" s="7">
        <v>0</v>
      </c>
      <c r="F2059" s="8">
        <v>0</v>
      </c>
      <c r="G2059" s="7">
        <v>0</v>
      </c>
      <c r="H2059" s="7">
        <v>81211.819999998</v>
      </c>
      <c r="I2059" s="7">
        <v>0</v>
      </c>
      <c r="J2059" s="8">
        <v>0</v>
      </c>
      <c r="K2059" s="9" t="str">
        <v/>
      </c>
    </row>
    <row r="2060" spans="1:11">
      <c r="A2060" t="str">
        <v/>
      </c>
      <c r="B2060" s="6">
        <v>0</v>
      </c>
      <c r="C2060" s="7" t="str">
        <v>趣点购浦发</v>
      </c>
      <c r="D2060" s="8">
        <v>0</v>
      </c>
      <c r="E2060" s="7">
        <v>0</v>
      </c>
      <c r="F2060" s="8">
        <v>0</v>
      </c>
      <c r="G2060" s="7">
        <v>0</v>
      </c>
      <c r="H2060" s="7">
        <v>81211.819999998</v>
      </c>
      <c r="I2060" s="7">
        <v>0</v>
      </c>
      <c r="J2060" s="8">
        <v>0</v>
      </c>
      <c r="K2060" s="9" t="str">
        <v/>
      </c>
    </row>
    <row r="2061" spans="1:11">
      <c r="A2061" t="str">
        <v/>
      </c>
      <c r="B2061" s="6">
        <v>0</v>
      </c>
      <c r="C2061" s="7" t="str">
        <v>趣点购浦发</v>
      </c>
      <c r="D2061" s="8">
        <v>0</v>
      </c>
      <c r="E2061" s="7">
        <v>0</v>
      </c>
      <c r="F2061" s="8">
        <v>0</v>
      </c>
      <c r="G2061" s="7">
        <v>0</v>
      </c>
      <c r="H2061" s="7">
        <v>81211.819999998</v>
      </c>
      <c r="I2061" s="7">
        <v>0</v>
      </c>
      <c r="J2061" s="8">
        <v>0</v>
      </c>
      <c r="K2061" s="9" t="str">
        <v/>
      </c>
    </row>
    <row r="2062" spans="1:11">
      <c r="A2062" t="str">
        <v/>
      </c>
      <c r="B2062" s="6">
        <v>0</v>
      </c>
      <c r="C2062" s="7" t="str">
        <v>趣点购浦发</v>
      </c>
      <c r="D2062" s="8">
        <v>0</v>
      </c>
      <c r="E2062" s="7">
        <v>0</v>
      </c>
      <c r="F2062" s="8">
        <v>0</v>
      </c>
      <c r="G2062" s="7">
        <v>0</v>
      </c>
      <c r="H2062" s="7">
        <v>81211.819999998</v>
      </c>
      <c r="I2062" s="7">
        <v>0</v>
      </c>
      <c r="J2062" s="8">
        <v>0</v>
      </c>
      <c r="K2062" s="9" t="str">
        <v/>
      </c>
    </row>
    <row r="2063" spans="1:11">
      <c r="A2063" t="str">
        <v/>
      </c>
      <c r="B2063" s="6">
        <v>0</v>
      </c>
      <c r="C2063" s="7" t="str">
        <v>趣点购浦发</v>
      </c>
      <c r="D2063" s="8">
        <v>0</v>
      </c>
      <c r="E2063" s="7">
        <v>0</v>
      </c>
      <c r="F2063" s="8">
        <v>0</v>
      </c>
      <c r="G2063" s="7">
        <v>0</v>
      </c>
      <c r="H2063" s="7">
        <v>81211.819999998</v>
      </c>
      <c r="I2063" s="7">
        <v>0</v>
      </c>
      <c r="J2063" s="8">
        <v>0</v>
      </c>
      <c r="K2063" s="9" t="str">
        <v/>
      </c>
    </row>
    <row r="2064" spans="1:11">
      <c r="A2064" t="str">
        <v/>
      </c>
      <c r="B2064" s="6">
        <v>0</v>
      </c>
      <c r="C2064" s="7" t="str">
        <v>趣点购浦发</v>
      </c>
      <c r="D2064" s="8">
        <v>0</v>
      </c>
      <c r="E2064" s="7">
        <v>0</v>
      </c>
      <c r="F2064" s="8">
        <v>0</v>
      </c>
      <c r="G2064" s="7">
        <v>0</v>
      </c>
      <c r="H2064" s="7">
        <v>81211.819999998</v>
      </c>
      <c r="I2064" s="7">
        <v>0</v>
      </c>
      <c r="J2064" s="8">
        <v>0</v>
      </c>
      <c r="K2064" s="9" t="str">
        <v/>
      </c>
    </row>
    <row r="2065" spans="1:11">
      <c r="A2065" t="str">
        <v/>
      </c>
      <c r="B2065" s="6">
        <v>0</v>
      </c>
      <c r="C2065" s="7" t="str">
        <v>趣点购浦发</v>
      </c>
      <c r="D2065" s="8">
        <v>0</v>
      </c>
      <c r="E2065" s="7">
        <v>0</v>
      </c>
      <c r="F2065" s="8">
        <v>0</v>
      </c>
      <c r="G2065" s="7">
        <v>0</v>
      </c>
      <c r="H2065" s="7">
        <v>81211.819999998</v>
      </c>
      <c r="I2065" s="7">
        <v>0</v>
      </c>
      <c r="J2065" s="8">
        <v>0</v>
      </c>
      <c r="K2065" s="9" t="str">
        <v/>
      </c>
    </row>
    <row r="2066" spans="1:11">
      <c r="A2066" t="str">
        <v/>
      </c>
      <c r="B2066" s="6">
        <v>0</v>
      </c>
      <c r="C2066" s="7" t="str">
        <v>趣点购浦发</v>
      </c>
      <c r="D2066" s="8">
        <v>0</v>
      </c>
      <c r="E2066" s="7">
        <v>0</v>
      </c>
      <c r="F2066" s="8">
        <v>0</v>
      </c>
      <c r="G2066" s="7">
        <v>0</v>
      </c>
      <c r="H2066" s="7">
        <v>81211.819999998</v>
      </c>
      <c r="I2066" s="7">
        <v>0</v>
      </c>
      <c r="J2066" s="8">
        <v>0</v>
      </c>
      <c r="K2066" s="9" t="str">
        <v/>
      </c>
    </row>
    <row r="2067" spans="1:11">
      <c r="A2067" t="str">
        <v/>
      </c>
      <c r="B2067" s="6">
        <v>0</v>
      </c>
      <c r="C2067" s="7" t="str">
        <v>趣点购浦发</v>
      </c>
      <c r="D2067" s="8">
        <v>0</v>
      </c>
      <c r="E2067" s="7">
        <v>0</v>
      </c>
      <c r="F2067" s="8">
        <v>0</v>
      </c>
      <c r="G2067" s="7">
        <v>0</v>
      </c>
      <c r="H2067" s="7">
        <v>81211.819999998</v>
      </c>
      <c r="I2067" s="7">
        <v>0</v>
      </c>
      <c r="J2067" s="8">
        <v>0</v>
      </c>
      <c r="K2067" s="9" t="str">
        <v/>
      </c>
    </row>
    <row r="2068" spans="1:11">
      <c r="A2068" t="str">
        <v/>
      </c>
      <c r="B2068" s="6">
        <v>0</v>
      </c>
      <c r="C2068" s="7" t="str">
        <v>趣点购浦发</v>
      </c>
      <c r="D2068" s="8">
        <v>0</v>
      </c>
      <c r="E2068" s="7">
        <v>0</v>
      </c>
      <c r="F2068" s="8">
        <v>0</v>
      </c>
      <c r="G2068" s="7">
        <v>0</v>
      </c>
      <c r="H2068" s="7">
        <v>81211.819999998</v>
      </c>
      <c r="I2068" s="7">
        <v>0</v>
      </c>
      <c r="J2068" s="8">
        <v>0</v>
      </c>
      <c r="K2068" s="9" t="str">
        <v/>
      </c>
    </row>
    <row r="2069" spans="1:11">
      <c r="A2069" t="str">
        <v/>
      </c>
      <c r="B2069" s="6">
        <v>0</v>
      </c>
      <c r="C2069" s="7" t="str">
        <v>趣点购浦发</v>
      </c>
      <c r="D2069" s="8">
        <v>0</v>
      </c>
      <c r="E2069" s="7">
        <v>0</v>
      </c>
      <c r="F2069" s="8">
        <v>0</v>
      </c>
      <c r="G2069" s="7">
        <v>0</v>
      </c>
      <c r="H2069" s="7">
        <v>81211.819999998</v>
      </c>
      <c r="I2069" s="7">
        <v>0</v>
      </c>
      <c r="J2069" s="8">
        <v>0</v>
      </c>
      <c r="K2069" s="9" t="str">
        <v/>
      </c>
    </row>
    <row r="2070" spans="1:11">
      <c r="A2070" t="str">
        <v/>
      </c>
      <c r="B2070" s="6">
        <v>0</v>
      </c>
      <c r="C2070" s="7" t="str">
        <v>趣点购浦发</v>
      </c>
      <c r="D2070" s="8">
        <v>0</v>
      </c>
      <c r="E2070" s="7">
        <v>0</v>
      </c>
      <c r="F2070" s="8">
        <v>0</v>
      </c>
      <c r="G2070" s="7">
        <v>0</v>
      </c>
      <c r="H2070" s="7">
        <v>81211.819999998</v>
      </c>
      <c r="I2070" s="7">
        <v>0</v>
      </c>
      <c r="J2070" s="8">
        <v>0</v>
      </c>
      <c r="K2070" s="9" t="str">
        <v/>
      </c>
    </row>
    <row r="2071" spans="1:11">
      <c r="A2071" t="str">
        <v/>
      </c>
      <c r="B2071" s="6">
        <v>0</v>
      </c>
      <c r="C2071" s="7" t="str">
        <v>趣点购浦发</v>
      </c>
      <c r="D2071" s="8">
        <v>0</v>
      </c>
      <c r="E2071" s="7">
        <v>0</v>
      </c>
      <c r="F2071" s="8">
        <v>0</v>
      </c>
      <c r="G2071" s="7">
        <v>0</v>
      </c>
      <c r="H2071" s="7">
        <v>81211.819999998</v>
      </c>
      <c r="I2071" s="7">
        <v>0</v>
      </c>
      <c r="J2071" s="8">
        <v>0</v>
      </c>
      <c r="K2071" s="9" t="str">
        <v/>
      </c>
    </row>
    <row r="2072" spans="1:11">
      <c r="A2072" t="str">
        <v/>
      </c>
      <c r="B2072" s="6">
        <v>0</v>
      </c>
      <c r="C2072" s="7" t="str">
        <v>趣点购浦发</v>
      </c>
      <c r="D2072" s="8">
        <v>0</v>
      </c>
      <c r="E2072" s="7">
        <v>0</v>
      </c>
      <c r="F2072" s="8">
        <v>0</v>
      </c>
      <c r="G2072" s="7">
        <v>0</v>
      </c>
      <c r="H2072" s="7">
        <v>81211.819999998</v>
      </c>
      <c r="I2072" s="7">
        <v>0</v>
      </c>
      <c r="J2072" s="8">
        <v>0</v>
      </c>
      <c r="K2072" s="9" t="str">
        <v/>
      </c>
    </row>
    <row r="2073" spans="1:11">
      <c r="A2073" t="str">
        <v/>
      </c>
      <c r="B2073" s="6">
        <v>0</v>
      </c>
      <c r="C2073" s="7" t="str">
        <v>趣点购浦发</v>
      </c>
      <c r="D2073" s="8">
        <v>0</v>
      </c>
      <c r="E2073" s="7">
        <v>0</v>
      </c>
      <c r="F2073" s="8">
        <v>0</v>
      </c>
      <c r="G2073" s="7">
        <v>0</v>
      </c>
      <c r="H2073" s="7">
        <v>81211.819999998</v>
      </c>
      <c r="I2073" s="7">
        <v>0</v>
      </c>
      <c r="J2073" s="8">
        <v>0</v>
      </c>
      <c r="K2073" s="9" t="str">
        <v/>
      </c>
    </row>
    <row r="2074" spans="1:11">
      <c r="A2074" t="str">
        <v/>
      </c>
      <c r="B2074" s="6">
        <v>0</v>
      </c>
      <c r="C2074" s="7" t="str">
        <v>趣点购浦发</v>
      </c>
      <c r="D2074" s="8">
        <v>0</v>
      </c>
      <c r="E2074" s="7">
        <v>0</v>
      </c>
      <c r="F2074" s="8">
        <v>0</v>
      </c>
      <c r="G2074" s="7">
        <v>0</v>
      </c>
      <c r="H2074" s="7">
        <v>81211.819999998</v>
      </c>
      <c r="I2074" s="7">
        <v>0</v>
      </c>
      <c r="J2074" s="8">
        <v>0</v>
      </c>
      <c r="K2074" s="9" t="str">
        <v/>
      </c>
    </row>
    <row r="2075" spans="1:11">
      <c r="A2075" t="str">
        <v/>
      </c>
      <c r="B2075" s="6">
        <v>0</v>
      </c>
      <c r="C2075" s="7" t="str">
        <v>趣点购浦发</v>
      </c>
      <c r="D2075" s="8">
        <v>0</v>
      </c>
      <c r="E2075" s="7">
        <v>0</v>
      </c>
      <c r="F2075" s="8">
        <v>0</v>
      </c>
      <c r="G2075" s="7">
        <v>0</v>
      </c>
      <c r="H2075" s="7">
        <v>81211.819999998</v>
      </c>
      <c r="I2075" s="7">
        <v>0</v>
      </c>
      <c r="J2075" s="8">
        <v>0</v>
      </c>
      <c r="K2075" s="9" t="str">
        <v/>
      </c>
    </row>
    <row r="2076" spans="1:11">
      <c r="A2076" t="str">
        <v/>
      </c>
      <c r="B2076" s="6">
        <v>0</v>
      </c>
      <c r="C2076" s="7" t="str">
        <v>趣点购浦发</v>
      </c>
      <c r="D2076" s="8">
        <v>0</v>
      </c>
      <c r="E2076" s="7">
        <v>0</v>
      </c>
      <c r="F2076" s="8">
        <v>0</v>
      </c>
      <c r="G2076" s="7">
        <v>0</v>
      </c>
      <c r="H2076" s="7">
        <v>81211.819999998</v>
      </c>
      <c r="I2076" s="7">
        <v>0</v>
      </c>
      <c r="J2076" s="8">
        <v>0</v>
      </c>
      <c r="K2076" s="9" t="str">
        <v/>
      </c>
    </row>
    <row r="2077" spans="1:11">
      <c r="A2077" t="str">
        <v/>
      </c>
      <c r="B2077" s="6">
        <v>0</v>
      </c>
      <c r="C2077" s="7" t="str">
        <v>趣点购浦发</v>
      </c>
      <c r="D2077" s="8">
        <v>0</v>
      </c>
      <c r="E2077" s="7">
        <v>0</v>
      </c>
      <c r="F2077" s="8">
        <v>0</v>
      </c>
      <c r="G2077" s="7">
        <v>0</v>
      </c>
      <c r="H2077" s="7">
        <v>81211.819999998</v>
      </c>
      <c r="I2077" s="7">
        <v>0</v>
      </c>
      <c r="J2077" s="8">
        <v>0</v>
      </c>
      <c r="K2077" s="9" t="str">
        <v/>
      </c>
    </row>
    <row r="2078" spans="1:11">
      <c r="A2078" t="str">
        <v/>
      </c>
      <c r="B2078" s="6">
        <v>0</v>
      </c>
      <c r="C2078" s="7" t="str">
        <v>趣点购浦发</v>
      </c>
      <c r="D2078" s="8">
        <v>0</v>
      </c>
      <c r="E2078" s="7">
        <v>0</v>
      </c>
      <c r="F2078" s="8">
        <v>0</v>
      </c>
      <c r="G2078" s="7">
        <v>0</v>
      </c>
      <c r="H2078" s="7">
        <v>81211.819999998</v>
      </c>
      <c r="I2078" s="7">
        <v>0</v>
      </c>
      <c r="J2078" s="8">
        <v>0</v>
      </c>
      <c r="K2078" s="9" t="str">
        <v/>
      </c>
    </row>
    <row r="2079" spans="1:11">
      <c r="A2079" t="str">
        <v/>
      </c>
      <c r="B2079" s="6">
        <v>0</v>
      </c>
      <c r="C2079" s="7" t="str">
        <v>趣点购浦发</v>
      </c>
      <c r="D2079" s="8">
        <v>0</v>
      </c>
      <c r="E2079" s="7">
        <v>0</v>
      </c>
      <c r="F2079" s="8">
        <v>0</v>
      </c>
      <c r="G2079" s="7">
        <v>0</v>
      </c>
      <c r="H2079" s="7">
        <v>81211.819999998</v>
      </c>
      <c r="I2079" s="7">
        <v>0</v>
      </c>
      <c r="J2079" s="8">
        <v>0</v>
      </c>
      <c r="K2079" s="9" t="str">
        <v/>
      </c>
    </row>
    <row r="2080" spans="1:11">
      <c r="A2080" t="str">
        <v/>
      </c>
      <c r="B2080" s="6">
        <v>0</v>
      </c>
      <c r="C2080" s="7" t="str">
        <v>趣点购浦发</v>
      </c>
      <c r="D2080" s="8">
        <v>0</v>
      </c>
      <c r="E2080" s="7">
        <v>0</v>
      </c>
      <c r="F2080" s="8">
        <v>0</v>
      </c>
      <c r="G2080" s="7">
        <v>0</v>
      </c>
      <c r="H2080" s="7">
        <v>81211.819999998</v>
      </c>
      <c r="I2080" s="7">
        <v>0</v>
      </c>
      <c r="J2080" s="8">
        <v>0</v>
      </c>
      <c r="K2080" s="9" t="str">
        <v/>
      </c>
    </row>
    <row r="2081" spans="1:11">
      <c r="A2081" t="str">
        <v/>
      </c>
      <c r="B2081" s="6">
        <v>0</v>
      </c>
      <c r="C2081" s="7" t="str">
        <v>趣点购浦发</v>
      </c>
      <c r="D2081" s="8">
        <v>0</v>
      </c>
      <c r="E2081" s="7">
        <v>0</v>
      </c>
      <c r="F2081" s="8">
        <v>0</v>
      </c>
      <c r="G2081" s="7">
        <v>0</v>
      </c>
      <c r="H2081" s="7">
        <v>81211.819999998</v>
      </c>
      <c r="I2081" s="7">
        <v>0</v>
      </c>
      <c r="J2081" s="8">
        <v>0</v>
      </c>
      <c r="K2081" s="9" t="str">
        <v/>
      </c>
    </row>
    <row r="2082" spans="1:11">
      <c r="A2082" t="str">
        <v/>
      </c>
      <c r="B2082" s="6">
        <v>0</v>
      </c>
      <c r="C2082" s="7" t="str">
        <v>趣点购浦发</v>
      </c>
      <c r="D2082" s="8">
        <v>0</v>
      </c>
      <c r="E2082" s="7">
        <v>0</v>
      </c>
      <c r="F2082" s="8">
        <v>0</v>
      </c>
      <c r="G2082" s="7">
        <v>0</v>
      </c>
      <c r="H2082" s="7">
        <v>81211.819999998</v>
      </c>
      <c r="I2082" s="7">
        <v>0</v>
      </c>
      <c r="J2082" s="8">
        <v>0</v>
      </c>
      <c r="K2082" s="9" t="str">
        <v/>
      </c>
    </row>
    <row r="2083" spans="1:11">
      <c r="A2083" t="str">
        <v/>
      </c>
      <c r="B2083" s="6">
        <v>0</v>
      </c>
      <c r="C2083" s="7" t="str">
        <v>趣点购浦发</v>
      </c>
      <c r="D2083" s="8">
        <v>0</v>
      </c>
      <c r="E2083" s="7">
        <v>0</v>
      </c>
      <c r="F2083" s="8">
        <v>0</v>
      </c>
      <c r="G2083" s="7">
        <v>0</v>
      </c>
      <c r="H2083" s="7">
        <v>81211.819999998</v>
      </c>
      <c r="I2083" s="7">
        <v>0</v>
      </c>
      <c r="J2083" s="8">
        <v>0</v>
      </c>
      <c r="K2083" s="9" t="str">
        <v/>
      </c>
    </row>
    <row r="2084" spans="1:11">
      <c r="A2084" t="str">
        <v/>
      </c>
      <c r="B2084" s="6">
        <v>0</v>
      </c>
      <c r="C2084" s="7" t="str">
        <v>趣点购浦发</v>
      </c>
      <c r="D2084" s="8">
        <v>0</v>
      </c>
      <c r="E2084" s="7">
        <v>0</v>
      </c>
      <c r="F2084" s="8">
        <v>0</v>
      </c>
      <c r="G2084" s="7">
        <v>0</v>
      </c>
      <c r="H2084" s="7">
        <v>81211.819999998</v>
      </c>
      <c r="I2084" s="7">
        <v>0</v>
      </c>
      <c r="J2084" s="8">
        <v>0</v>
      </c>
      <c r="K2084" s="9" t="str">
        <v/>
      </c>
    </row>
    <row r="2085" spans="1:11">
      <c r="A2085" t="str">
        <v/>
      </c>
      <c r="B2085" s="6">
        <v>0</v>
      </c>
      <c r="C2085" s="7" t="str">
        <v>趣点购浦发</v>
      </c>
      <c r="D2085" s="8">
        <v>0</v>
      </c>
      <c r="E2085" s="7">
        <v>0</v>
      </c>
      <c r="F2085" s="8">
        <v>0</v>
      </c>
      <c r="G2085" s="7">
        <v>0</v>
      </c>
      <c r="H2085" s="7">
        <v>81211.819999998</v>
      </c>
      <c r="I2085" s="7">
        <v>0</v>
      </c>
      <c r="J2085" s="8">
        <v>0</v>
      </c>
      <c r="K2085" s="9" t="str">
        <v/>
      </c>
    </row>
    <row r="2086" spans="1:11">
      <c r="A2086" t="str">
        <v/>
      </c>
      <c r="B2086" s="6">
        <v>0</v>
      </c>
      <c r="C2086" s="7" t="str">
        <v>趣点购浦发</v>
      </c>
      <c r="D2086" s="8">
        <v>0</v>
      </c>
      <c r="E2086" s="7">
        <v>0</v>
      </c>
      <c r="F2086" s="8">
        <v>0</v>
      </c>
      <c r="G2086" s="7">
        <v>0</v>
      </c>
      <c r="H2086" s="7">
        <v>81211.819999998</v>
      </c>
      <c r="I2086" s="7">
        <v>0</v>
      </c>
      <c r="J2086" s="8">
        <v>0</v>
      </c>
      <c r="K2086" s="9" t="str">
        <v/>
      </c>
    </row>
    <row r="2087" spans="1:11">
      <c r="A2087" t="str">
        <v/>
      </c>
      <c r="B2087" s="6">
        <v>0</v>
      </c>
      <c r="C2087" s="7" t="str">
        <v>趣点购浦发</v>
      </c>
      <c r="D2087" s="8">
        <v>0</v>
      </c>
      <c r="E2087" s="7">
        <v>0</v>
      </c>
      <c r="F2087" s="8">
        <v>0</v>
      </c>
      <c r="G2087" s="7">
        <v>0</v>
      </c>
      <c r="H2087" s="7">
        <v>81211.819999998</v>
      </c>
      <c r="I2087" s="7">
        <v>0</v>
      </c>
      <c r="J2087" s="8">
        <v>0</v>
      </c>
      <c r="K2087" s="9" t="str">
        <v/>
      </c>
    </row>
    <row r="2088" spans="1:11">
      <c r="A2088" t="str">
        <v/>
      </c>
      <c r="B2088" s="6">
        <v>0</v>
      </c>
      <c r="C2088" s="7" t="str">
        <v>趣点购浦发</v>
      </c>
      <c r="D2088" s="8">
        <v>0</v>
      </c>
      <c r="E2088" s="7">
        <v>0</v>
      </c>
      <c r="F2088" s="8">
        <v>0</v>
      </c>
      <c r="G2088" s="7">
        <v>0</v>
      </c>
      <c r="H2088" s="7">
        <v>81211.819999998</v>
      </c>
      <c r="I2088" s="7">
        <v>0</v>
      </c>
      <c r="J2088" s="8">
        <v>0</v>
      </c>
      <c r="K2088" s="9" t="str">
        <v/>
      </c>
    </row>
    <row r="2089" spans="1:11">
      <c r="A2089" t="str">
        <v/>
      </c>
      <c r="B2089" s="6">
        <v>0</v>
      </c>
      <c r="C2089" s="7" t="str">
        <v>趣点购浦发</v>
      </c>
      <c r="D2089" s="8">
        <v>0</v>
      </c>
      <c r="E2089" s="7">
        <v>0</v>
      </c>
      <c r="F2089" s="8">
        <v>0</v>
      </c>
      <c r="G2089" s="7">
        <v>0</v>
      </c>
      <c r="H2089" s="7">
        <v>81211.819999998</v>
      </c>
      <c r="I2089" s="7">
        <v>0</v>
      </c>
      <c r="J2089" s="8">
        <v>0</v>
      </c>
      <c r="K2089" s="9" t="str">
        <v/>
      </c>
    </row>
    <row r="2090" spans="1:11">
      <c r="A2090" t="str">
        <v/>
      </c>
      <c r="B2090" s="6">
        <v>0</v>
      </c>
      <c r="C2090" s="7" t="str">
        <v>趣点购浦发</v>
      </c>
      <c r="D2090" s="8">
        <v>0</v>
      </c>
      <c r="E2090" s="7">
        <v>0</v>
      </c>
      <c r="F2090" s="8">
        <v>0</v>
      </c>
      <c r="G2090" s="7">
        <v>0</v>
      </c>
      <c r="H2090" s="7">
        <v>81211.819999998</v>
      </c>
      <c r="I2090" s="7">
        <v>0</v>
      </c>
      <c r="J2090" s="8">
        <v>0</v>
      </c>
      <c r="K2090" s="9" t="str">
        <v/>
      </c>
    </row>
    <row r="2091" spans="1:11">
      <c r="A2091" t="str">
        <v/>
      </c>
      <c r="B2091" s="6">
        <v>0</v>
      </c>
      <c r="C2091" s="7" t="str">
        <v>趣点购浦发</v>
      </c>
      <c r="D2091" s="8">
        <v>0</v>
      </c>
      <c r="E2091" s="7">
        <v>0</v>
      </c>
      <c r="F2091" s="8">
        <v>0</v>
      </c>
      <c r="G2091" s="7">
        <v>0</v>
      </c>
      <c r="H2091" s="7">
        <v>81211.819999998</v>
      </c>
      <c r="I2091" s="7">
        <v>0</v>
      </c>
      <c r="J2091" s="8">
        <v>0</v>
      </c>
      <c r="K2091" s="9" t="str">
        <v/>
      </c>
    </row>
    <row r="2092" spans="1:11">
      <c r="A2092" t="str">
        <v/>
      </c>
      <c r="B2092" s="6">
        <v>0</v>
      </c>
      <c r="C2092" s="7" t="str">
        <v>趣点购浦发</v>
      </c>
      <c r="D2092" s="8">
        <v>0</v>
      </c>
      <c r="E2092" s="7">
        <v>0</v>
      </c>
      <c r="F2092" s="8">
        <v>0</v>
      </c>
      <c r="G2092" s="7">
        <v>0</v>
      </c>
      <c r="H2092" s="7">
        <v>81211.819999998</v>
      </c>
      <c r="I2092" s="7">
        <v>0</v>
      </c>
      <c r="J2092" s="8">
        <v>0</v>
      </c>
      <c r="K2092" s="9" t="str">
        <v/>
      </c>
    </row>
    <row r="2093" spans="1:11">
      <c r="A2093" t="str">
        <v/>
      </c>
      <c r="B2093" s="6">
        <v>0</v>
      </c>
      <c r="C2093" s="7" t="str">
        <v>趣点购浦发</v>
      </c>
      <c r="D2093" s="8">
        <v>0</v>
      </c>
      <c r="E2093" s="7">
        <v>0</v>
      </c>
      <c r="F2093" s="8">
        <v>0</v>
      </c>
      <c r="G2093" s="7">
        <v>0</v>
      </c>
      <c r="H2093" s="7">
        <v>81211.819999998</v>
      </c>
      <c r="I2093" s="7">
        <v>0</v>
      </c>
      <c r="J2093" s="8">
        <v>0</v>
      </c>
      <c r="K2093" s="9" t="str">
        <v/>
      </c>
    </row>
    <row r="2094" spans="1:11">
      <c r="A2094" t="str">
        <v/>
      </c>
      <c r="B2094" s="6">
        <v>0</v>
      </c>
      <c r="C2094" s="7" t="str">
        <v>趣点购浦发</v>
      </c>
      <c r="D2094" s="8">
        <v>0</v>
      </c>
      <c r="E2094" s="7">
        <v>0</v>
      </c>
      <c r="F2094" s="8">
        <v>0</v>
      </c>
      <c r="G2094" s="7">
        <v>0</v>
      </c>
      <c r="H2094" s="7">
        <v>81211.819999998</v>
      </c>
      <c r="I2094" s="7">
        <v>0</v>
      </c>
      <c r="J2094" s="8">
        <v>0</v>
      </c>
      <c r="K2094" s="9" t="str">
        <v/>
      </c>
    </row>
    <row r="2095" spans="1:11">
      <c r="A2095" t="str">
        <v/>
      </c>
      <c r="B2095" s="6">
        <v>0</v>
      </c>
      <c r="C2095" s="7" t="str">
        <v>趣点购浦发</v>
      </c>
      <c r="D2095" s="8">
        <v>0</v>
      </c>
      <c r="E2095" s="7">
        <v>0</v>
      </c>
      <c r="F2095" s="8">
        <v>0</v>
      </c>
      <c r="G2095" s="7">
        <v>0</v>
      </c>
      <c r="H2095" s="7">
        <v>81211.819999998</v>
      </c>
      <c r="I2095" s="7">
        <v>0</v>
      </c>
      <c r="J2095" s="8">
        <v>0</v>
      </c>
      <c r="K2095" s="9" t="str">
        <v/>
      </c>
    </row>
    <row r="2096" spans="1:11">
      <c r="A2096" t="str">
        <v/>
      </c>
      <c r="B2096" s="6">
        <v>0</v>
      </c>
      <c r="C2096" s="7" t="str">
        <v>趣点购浦发</v>
      </c>
      <c r="D2096" s="8">
        <v>0</v>
      </c>
      <c r="E2096" s="7">
        <v>0</v>
      </c>
      <c r="F2096" s="8">
        <v>0</v>
      </c>
      <c r="G2096" s="7">
        <v>0</v>
      </c>
      <c r="H2096" s="7">
        <v>81211.819999998</v>
      </c>
      <c r="I2096" s="7">
        <v>0</v>
      </c>
      <c r="J2096" s="8">
        <v>0</v>
      </c>
      <c r="K2096" s="9" t="str">
        <v/>
      </c>
    </row>
    <row r="2097" spans="1:11">
      <c r="A2097" t="str">
        <v/>
      </c>
      <c r="B2097" s="6">
        <v>0</v>
      </c>
      <c r="C2097" s="7" t="str">
        <v>趣点购浦发</v>
      </c>
      <c r="D2097" s="8">
        <v>0</v>
      </c>
      <c r="E2097" s="7">
        <v>0</v>
      </c>
      <c r="F2097" s="8">
        <v>0</v>
      </c>
      <c r="G2097" s="7">
        <v>0</v>
      </c>
      <c r="H2097" s="7">
        <v>81211.819999998</v>
      </c>
      <c r="I2097" s="7">
        <v>0</v>
      </c>
      <c r="J2097" s="8">
        <v>0</v>
      </c>
      <c r="K2097" s="9" t="str">
        <v/>
      </c>
    </row>
    <row r="2098" spans="1:11">
      <c r="A2098" t="str">
        <v/>
      </c>
      <c r="B2098" s="6">
        <v>0</v>
      </c>
      <c r="C2098" s="7" t="str">
        <v>趣点购浦发</v>
      </c>
      <c r="D2098" s="8">
        <v>0</v>
      </c>
      <c r="E2098" s="7">
        <v>0</v>
      </c>
      <c r="F2098" s="8">
        <v>0</v>
      </c>
      <c r="G2098" s="7">
        <v>0</v>
      </c>
      <c r="H2098" s="7">
        <v>81211.819999998</v>
      </c>
      <c r="I2098" s="7">
        <v>0</v>
      </c>
      <c r="J2098" s="8">
        <v>0</v>
      </c>
      <c r="K2098" s="9" t="str">
        <v/>
      </c>
    </row>
    <row r="2099" spans="1:11">
      <c r="A2099" t="str">
        <v/>
      </c>
      <c r="B2099" s="6">
        <v>0</v>
      </c>
      <c r="C2099" s="7" t="str">
        <v>趣点购浦发</v>
      </c>
      <c r="D2099" s="8">
        <v>0</v>
      </c>
      <c r="E2099" s="7">
        <v>0</v>
      </c>
      <c r="F2099" s="8">
        <v>0</v>
      </c>
      <c r="G2099" s="7">
        <v>0</v>
      </c>
      <c r="H2099" s="7">
        <v>81211.819999998</v>
      </c>
      <c r="I2099" s="7">
        <v>0</v>
      </c>
      <c r="J2099" s="8">
        <v>0</v>
      </c>
      <c r="K2099" s="9" t="str">
        <v/>
      </c>
    </row>
    <row r="2100" spans="1:11">
      <c r="A2100" t="str">
        <v/>
      </c>
      <c r="B2100" s="6">
        <v>0</v>
      </c>
      <c r="C2100" s="7" t="str">
        <v>趣点购浦发</v>
      </c>
      <c r="D2100" s="8">
        <v>0</v>
      </c>
      <c r="E2100" s="7">
        <v>0</v>
      </c>
      <c r="F2100" s="8">
        <v>0</v>
      </c>
      <c r="G2100" s="7">
        <v>0</v>
      </c>
      <c r="H2100" s="7">
        <v>81211.819999998</v>
      </c>
      <c r="I2100" s="7">
        <v>0</v>
      </c>
      <c r="J2100" s="8">
        <v>0</v>
      </c>
      <c r="K2100" s="9" t="str">
        <v/>
      </c>
    </row>
    <row r="2101" spans="1:11">
      <c r="A2101" t="str">
        <v/>
      </c>
      <c r="B2101" s="6">
        <v>0</v>
      </c>
      <c r="C2101" s="7" t="str">
        <v>趣点购浦发</v>
      </c>
      <c r="D2101" s="8">
        <v>0</v>
      </c>
      <c r="E2101" s="7">
        <v>0</v>
      </c>
      <c r="F2101" s="8">
        <v>0</v>
      </c>
      <c r="G2101" s="7">
        <v>0</v>
      </c>
      <c r="H2101" s="7">
        <v>81211.819999998</v>
      </c>
      <c r="I2101" s="7">
        <v>0</v>
      </c>
      <c r="J2101" s="8">
        <v>0</v>
      </c>
      <c r="K2101" s="9" t="str">
        <v/>
      </c>
    </row>
    <row r="2102" spans="1:11">
      <c r="A2102" t="str">
        <v/>
      </c>
      <c r="B2102" s="6">
        <v>0</v>
      </c>
      <c r="C2102" s="7" t="str">
        <v>趣点购浦发</v>
      </c>
      <c r="D2102" s="8">
        <v>0</v>
      </c>
      <c r="E2102" s="7">
        <v>0</v>
      </c>
      <c r="F2102" s="8">
        <v>0</v>
      </c>
      <c r="G2102" s="7">
        <v>0</v>
      </c>
      <c r="H2102" s="7">
        <v>81211.819999998</v>
      </c>
      <c r="I2102" s="7">
        <v>0</v>
      </c>
      <c r="J2102" s="8">
        <v>0</v>
      </c>
      <c r="K2102" s="9" t="str">
        <v/>
      </c>
    </row>
    <row r="2103" spans="1:11">
      <c r="A2103" t="str">
        <v/>
      </c>
      <c r="B2103" s="6">
        <v>0</v>
      </c>
      <c r="C2103" s="7" t="str">
        <v>趣点购浦发</v>
      </c>
      <c r="D2103" s="8">
        <v>0</v>
      </c>
      <c r="E2103" s="7">
        <v>0</v>
      </c>
      <c r="F2103" s="8">
        <v>0</v>
      </c>
      <c r="G2103" s="7">
        <v>0</v>
      </c>
      <c r="H2103" s="7">
        <v>81211.819999998</v>
      </c>
      <c r="I2103" s="7">
        <v>0</v>
      </c>
      <c r="J2103" s="8">
        <v>0</v>
      </c>
      <c r="K2103" s="9" t="str">
        <v/>
      </c>
    </row>
    <row r="2104" spans="1:11">
      <c r="A2104" t="str">
        <v/>
      </c>
      <c r="B2104" s="6">
        <v>0</v>
      </c>
      <c r="C2104" s="7" t="str">
        <v>趣点购浦发</v>
      </c>
      <c r="D2104" s="8">
        <v>0</v>
      </c>
      <c r="E2104" s="7">
        <v>0</v>
      </c>
      <c r="F2104" s="8">
        <v>0</v>
      </c>
      <c r="G2104" s="7">
        <v>0</v>
      </c>
      <c r="H2104" s="7">
        <v>81211.819999998</v>
      </c>
      <c r="I2104" s="7">
        <v>0</v>
      </c>
      <c r="J2104" s="8">
        <v>0</v>
      </c>
      <c r="K2104" s="9" t="str">
        <v/>
      </c>
    </row>
    <row r="2105" spans="1:11">
      <c r="A2105" t="str">
        <v/>
      </c>
      <c r="B2105" s="6">
        <v>0</v>
      </c>
      <c r="C2105" s="7" t="str">
        <v>趣点购浦发</v>
      </c>
      <c r="D2105" s="8">
        <v>0</v>
      </c>
      <c r="E2105" s="7">
        <v>0</v>
      </c>
      <c r="F2105" s="8">
        <v>0</v>
      </c>
      <c r="G2105" s="7">
        <v>0</v>
      </c>
      <c r="H2105" s="7">
        <v>81211.819999998</v>
      </c>
      <c r="I2105" s="7">
        <v>0</v>
      </c>
      <c r="J2105" s="8">
        <v>0</v>
      </c>
      <c r="K2105" s="9" t="str">
        <v/>
      </c>
    </row>
    <row r="2106" spans="1:11">
      <c r="A2106" t="str">
        <v/>
      </c>
      <c r="B2106" s="6">
        <v>0</v>
      </c>
      <c r="C2106" s="7" t="str">
        <v>趣点购浦发</v>
      </c>
      <c r="D2106" s="8">
        <v>0</v>
      </c>
      <c r="E2106" s="7">
        <v>0</v>
      </c>
      <c r="F2106" s="8">
        <v>0</v>
      </c>
      <c r="G2106" s="7">
        <v>0</v>
      </c>
      <c r="H2106" s="7">
        <v>81211.819999998</v>
      </c>
      <c r="I2106" s="7">
        <v>0</v>
      </c>
      <c r="J2106" s="8">
        <v>0</v>
      </c>
      <c r="K2106" s="9" t="str">
        <v/>
      </c>
    </row>
    <row r="2107" spans="1:11">
      <c r="A2107" t="str">
        <v/>
      </c>
      <c r="B2107" s="6">
        <v>0</v>
      </c>
      <c r="C2107" s="7" t="str">
        <v>趣点购浦发</v>
      </c>
      <c r="D2107" s="8">
        <v>0</v>
      </c>
      <c r="E2107" s="7">
        <v>0</v>
      </c>
      <c r="F2107" s="8">
        <v>0</v>
      </c>
      <c r="G2107" s="7">
        <v>0</v>
      </c>
      <c r="H2107" s="7">
        <v>81211.819999998</v>
      </c>
      <c r="I2107" s="7">
        <v>0</v>
      </c>
      <c r="J2107" s="8">
        <v>0</v>
      </c>
      <c r="K2107" s="9" t="str">
        <v/>
      </c>
    </row>
    <row r="2108" spans="1:11">
      <c r="A2108" t="str">
        <v/>
      </c>
      <c r="B2108" s="6">
        <v>0</v>
      </c>
      <c r="C2108" s="7" t="str">
        <v>趣点购浦发</v>
      </c>
      <c r="D2108" s="8">
        <v>0</v>
      </c>
      <c r="E2108" s="7">
        <v>0</v>
      </c>
      <c r="F2108" s="8">
        <v>0</v>
      </c>
      <c r="G2108" s="7">
        <v>0</v>
      </c>
      <c r="H2108" s="7">
        <v>81211.819999998</v>
      </c>
      <c r="I2108" s="7">
        <v>0</v>
      </c>
      <c r="J2108" s="8">
        <v>0</v>
      </c>
      <c r="K2108" s="9" t="str">
        <v/>
      </c>
    </row>
    <row r="2109" spans="1:11">
      <c r="A2109" t="str">
        <v/>
      </c>
      <c r="B2109" s="6">
        <v>0</v>
      </c>
      <c r="C2109" s="7" t="str">
        <v>趣点购浦发</v>
      </c>
      <c r="D2109" s="8">
        <v>0</v>
      </c>
      <c r="E2109" s="7">
        <v>0</v>
      </c>
      <c r="F2109" s="8">
        <v>0</v>
      </c>
      <c r="G2109" s="7">
        <v>0</v>
      </c>
      <c r="H2109" s="7">
        <v>81211.819999998</v>
      </c>
      <c r="I2109" s="7">
        <v>0</v>
      </c>
      <c r="J2109" s="8">
        <v>0</v>
      </c>
      <c r="K2109" s="9" t="str">
        <v/>
      </c>
    </row>
    <row r="2110" spans="1:11">
      <c r="A2110" t="str">
        <v/>
      </c>
      <c r="B2110" s="6">
        <v>0</v>
      </c>
      <c r="C2110" s="7" t="str">
        <v>趣点购浦发</v>
      </c>
      <c r="D2110" s="8">
        <v>0</v>
      </c>
      <c r="E2110" s="7">
        <v>0</v>
      </c>
      <c r="F2110" s="8">
        <v>0</v>
      </c>
      <c r="G2110" s="7">
        <v>0</v>
      </c>
      <c r="H2110" s="7">
        <v>81211.819999998</v>
      </c>
      <c r="I2110" s="7">
        <v>0</v>
      </c>
      <c r="J2110" s="8">
        <v>0</v>
      </c>
      <c r="K2110" s="9" t="str">
        <v/>
      </c>
    </row>
    <row r="2111" spans="1:11">
      <c r="A2111" t="str">
        <v/>
      </c>
      <c r="B2111" s="6">
        <v>0</v>
      </c>
      <c r="C2111" s="7" t="str">
        <v>趣点购浦发</v>
      </c>
      <c r="D2111" s="8">
        <v>0</v>
      </c>
      <c r="E2111" s="7">
        <v>0</v>
      </c>
      <c r="F2111" s="8">
        <v>0</v>
      </c>
      <c r="G2111" s="7">
        <v>0</v>
      </c>
      <c r="H2111" s="7">
        <v>81211.819999998</v>
      </c>
      <c r="I2111" s="7">
        <v>0</v>
      </c>
      <c r="J2111" s="8">
        <v>0</v>
      </c>
      <c r="K2111" s="9" t="str">
        <v/>
      </c>
    </row>
    <row r="2112" spans="1:11">
      <c r="A2112" t="str">
        <v/>
      </c>
      <c r="B2112" s="6">
        <v>0</v>
      </c>
      <c r="C2112" s="7" t="str">
        <v>趣点购浦发</v>
      </c>
      <c r="D2112" s="8">
        <v>0</v>
      </c>
      <c r="E2112" s="7">
        <v>0</v>
      </c>
      <c r="F2112" s="8">
        <v>0</v>
      </c>
      <c r="G2112" s="7">
        <v>0</v>
      </c>
      <c r="H2112" s="7">
        <v>81211.819999998</v>
      </c>
      <c r="I2112" s="7">
        <v>0</v>
      </c>
      <c r="J2112" s="8">
        <v>0</v>
      </c>
      <c r="K2112" s="9" t="str">
        <v/>
      </c>
    </row>
    <row r="2113" spans="1:11">
      <c r="A2113" t="str">
        <v/>
      </c>
      <c r="B2113" s="6">
        <v>0</v>
      </c>
      <c r="C2113" s="7" t="str">
        <v>趣点购浦发</v>
      </c>
      <c r="D2113" s="8">
        <v>0</v>
      </c>
      <c r="E2113" s="7">
        <v>0</v>
      </c>
      <c r="F2113" s="8">
        <v>0</v>
      </c>
      <c r="G2113" s="7">
        <v>0</v>
      </c>
      <c r="H2113" s="7">
        <v>81211.819999998</v>
      </c>
      <c r="I2113" s="7">
        <v>0</v>
      </c>
      <c r="J2113" s="8">
        <v>0</v>
      </c>
      <c r="K2113" s="9" t="str">
        <v/>
      </c>
    </row>
    <row r="2114" spans="1:11">
      <c r="A2114" t="str">
        <v/>
      </c>
      <c r="B2114" s="6">
        <v>0</v>
      </c>
      <c r="C2114" s="7" t="str">
        <v>趣点购浦发</v>
      </c>
      <c r="D2114" s="8">
        <v>0</v>
      </c>
      <c r="E2114" s="7">
        <v>0</v>
      </c>
      <c r="F2114" s="8">
        <v>0</v>
      </c>
      <c r="G2114" s="7">
        <v>0</v>
      </c>
      <c r="H2114" s="7">
        <v>81211.819999998</v>
      </c>
      <c r="I2114" s="7">
        <v>0</v>
      </c>
      <c r="J2114" s="8">
        <v>0</v>
      </c>
      <c r="K2114" s="9" t="str">
        <v/>
      </c>
    </row>
    <row r="2115" spans="1:11">
      <c r="A2115" t="str">
        <v/>
      </c>
      <c r="B2115" s="6">
        <v>0</v>
      </c>
      <c r="C2115" s="7" t="str">
        <v>趣点购浦发</v>
      </c>
      <c r="D2115" s="8">
        <v>0</v>
      </c>
      <c r="E2115" s="7">
        <v>0</v>
      </c>
      <c r="F2115" s="8">
        <v>0</v>
      </c>
      <c r="G2115" s="7">
        <v>0</v>
      </c>
      <c r="H2115" s="7">
        <v>81211.819999998</v>
      </c>
      <c r="I2115" s="7">
        <v>0</v>
      </c>
      <c r="J2115" s="8">
        <v>0</v>
      </c>
      <c r="K2115" s="9" t="str">
        <v/>
      </c>
    </row>
    <row r="2116" spans="1:11">
      <c r="A2116" t="str">
        <v/>
      </c>
      <c r="B2116" s="6">
        <v>0</v>
      </c>
      <c r="C2116" s="7" t="str">
        <v>趣点购浦发</v>
      </c>
      <c r="D2116" s="8">
        <v>0</v>
      </c>
      <c r="E2116" s="7">
        <v>0</v>
      </c>
      <c r="F2116" s="8">
        <v>0</v>
      </c>
      <c r="G2116" s="7">
        <v>0</v>
      </c>
      <c r="H2116" s="7">
        <v>81211.819999998</v>
      </c>
      <c r="I2116" s="7">
        <v>0</v>
      </c>
      <c r="J2116" s="8">
        <v>0</v>
      </c>
      <c r="K2116" s="9" t="str">
        <v/>
      </c>
    </row>
    <row r="2117" spans="1:11">
      <c r="A2117" t="str">
        <v/>
      </c>
      <c r="B2117" s="6">
        <v>0</v>
      </c>
      <c r="C2117" s="7" t="str">
        <v>趣点购浦发</v>
      </c>
      <c r="D2117" s="8">
        <v>0</v>
      </c>
      <c r="E2117" s="7">
        <v>0</v>
      </c>
      <c r="F2117" s="8">
        <v>0</v>
      </c>
      <c r="G2117" s="7">
        <v>0</v>
      </c>
      <c r="H2117" s="7">
        <v>81211.819999998</v>
      </c>
      <c r="I2117" s="7">
        <v>0</v>
      </c>
      <c r="J2117" s="8">
        <v>0</v>
      </c>
      <c r="K2117" s="9" t="str">
        <v/>
      </c>
    </row>
    <row r="2118" spans="1:11">
      <c r="A2118" t="str">
        <v/>
      </c>
      <c r="B2118" s="6">
        <v>0</v>
      </c>
      <c r="C2118" s="7" t="str">
        <v>趣点购浦发</v>
      </c>
      <c r="D2118" s="8">
        <v>0</v>
      </c>
      <c r="E2118" s="7">
        <v>0</v>
      </c>
      <c r="F2118" s="8">
        <v>0</v>
      </c>
      <c r="G2118" s="7">
        <v>0</v>
      </c>
      <c r="H2118" s="7">
        <v>81211.819999998</v>
      </c>
      <c r="I2118" s="7">
        <v>0</v>
      </c>
      <c r="J2118" s="8">
        <v>0</v>
      </c>
      <c r="K2118" s="9" t="str">
        <v/>
      </c>
    </row>
    <row r="2119" spans="1:11">
      <c r="A2119" t="str">
        <v/>
      </c>
      <c r="B2119" s="6">
        <v>0</v>
      </c>
      <c r="C2119" s="7" t="str">
        <v>趣点购浦发</v>
      </c>
      <c r="D2119" s="8">
        <v>0</v>
      </c>
      <c r="E2119" s="7">
        <v>0</v>
      </c>
      <c r="F2119" s="8">
        <v>0</v>
      </c>
      <c r="G2119" s="7">
        <v>0</v>
      </c>
      <c r="H2119" s="7">
        <v>81211.819999998</v>
      </c>
      <c r="I2119" s="7">
        <v>0</v>
      </c>
      <c r="J2119" s="8">
        <v>0</v>
      </c>
      <c r="K2119" s="9" t="str">
        <v/>
      </c>
    </row>
    <row r="2120" spans="1:11">
      <c r="A2120" t="str">
        <v/>
      </c>
      <c r="B2120" s="6">
        <v>0</v>
      </c>
      <c r="C2120" s="7" t="str">
        <v>趣点购浦发</v>
      </c>
      <c r="D2120" s="8">
        <v>0</v>
      </c>
      <c r="E2120" s="7">
        <v>0</v>
      </c>
      <c r="F2120" s="8">
        <v>0</v>
      </c>
      <c r="G2120" s="7">
        <v>0</v>
      </c>
      <c r="H2120" s="7">
        <v>81211.819999998</v>
      </c>
      <c r="I2120" s="7">
        <v>0</v>
      </c>
      <c r="J2120" s="8">
        <v>0</v>
      </c>
      <c r="K2120" s="9" t="str">
        <v/>
      </c>
    </row>
    <row r="2121" spans="1:11">
      <c r="A2121" t="str">
        <v/>
      </c>
      <c r="B2121" s="6">
        <v>0</v>
      </c>
      <c r="C2121" s="7" t="str">
        <v>趣点购浦发</v>
      </c>
      <c r="D2121" s="8">
        <v>0</v>
      </c>
      <c r="E2121" s="7">
        <v>0</v>
      </c>
      <c r="F2121" s="8">
        <v>0</v>
      </c>
      <c r="G2121" s="7">
        <v>0</v>
      </c>
      <c r="H2121" s="7">
        <v>81211.819999998</v>
      </c>
      <c r="I2121" s="7">
        <v>0</v>
      </c>
      <c r="J2121" s="8">
        <v>0</v>
      </c>
      <c r="K2121" s="9" t="str">
        <v/>
      </c>
    </row>
    <row r="2122" spans="1:11">
      <c r="A2122" t="str">
        <v/>
      </c>
      <c r="B2122" s="6">
        <v>0</v>
      </c>
      <c r="C2122" s="7" t="str">
        <v>趣点购浦发</v>
      </c>
      <c r="D2122" s="8">
        <v>0</v>
      </c>
      <c r="E2122" s="7">
        <v>0</v>
      </c>
      <c r="F2122" s="8">
        <v>0</v>
      </c>
      <c r="G2122" s="7">
        <v>0</v>
      </c>
      <c r="H2122" s="7">
        <v>81211.819999998</v>
      </c>
      <c r="I2122" s="7">
        <v>0</v>
      </c>
      <c r="J2122" s="8">
        <v>0</v>
      </c>
      <c r="K2122" s="9" t="str">
        <v/>
      </c>
    </row>
    <row r="2123" spans="1:11">
      <c r="A2123" t="str">
        <v/>
      </c>
      <c r="B2123" s="6">
        <v>0</v>
      </c>
      <c r="C2123" s="7" t="str">
        <v>趣点购浦发</v>
      </c>
      <c r="D2123" s="8">
        <v>0</v>
      </c>
      <c r="E2123" s="7">
        <v>0</v>
      </c>
      <c r="F2123" s="8">
        <v>0</v>
      </c>
      <c r="G2123" s="7">
        <v>0</v>
      </c>
      <c r="H2123" s="7">
        <v>81211.819999998</v>
      </c>
      <c r="I2123" s="7">
        <v>0</v>
      </c>
      <c r="J2123" s="8">
        <v>0</v>
      </c>
      <c r="K2123" s="9" t="str">
        <v/>
      </c>
    </row>
    <row r="2124" spans="1:11">
      <c r="A2124" t="str">
        <v/>
      </c>
      <c r="B2124" s="6">
        <v>0</v>
      </c>
      <c r="C2124" s="7" t="str">
        <v>趣点购浦发</v>
      </c>
      <c r="D2124" s="8">
        <v>0</v>
      </c>
      <c r="E2124" s="7">
        <v>0</v>
      </c>
      <c r="F2124" s="8">
        <v>0</v>
      </c>
      <c r="G2124" s="7">
        <v>0</v>
      </c>
      <c r="H2124" s="7">
        <v>81211.819999998</v>
      </c>
      <c r="I2124" s="7">
        <v>0</v>
      </c>
      <c r="J2124" s="8">
        <v>0</v>
      </c>
      <c r="K2124" s="9" t="str">
        <v/>
      </c>
    </row>
    <row r="2125" spans="1:11">
      <c r="A2125" t="str">
        <v/>
      </c>
      <c r="B2125" s="6">
        <v>0</v>
      </c>
      <c r="C2125" s="7" t="str">
        <v>趣点购浦发</v>
      </c>
      <c r="D2125" s="8">
        <v>0</v>
      </c>
      <c r="E2125" s="7">
        <v>0</v>
      </c>
      <c r="F2125" s="8">
        <v>0</v>
      </c>
      <c r="G2125" s="7">
        <v>0</v>
      </c>
      <c r="H2125" s="7">
        <v>81211.819999998</v>
      </c>
      <c r="I2125" s="7">
        <v>0</v>
      </c>
      <c r="J2125" s="8">
        <v>0</v>
      </c>
      <c r="K2125" s="9" t="str">
        <v/>
      </c>
    </row>
    <row r="2126" spans="1:11">
      <c r="A2126" t="str">
        <v/>
      </c>
      <c r="B2126" s="6">
        <v>0</v>
      </c>
      <c r="C2126" s="7" t="str">
        <v>趣点购浦发</v>
      </c>
      <c r="D2126" s="8">
        <v>0</v>
      </c>
      <c r="E2126" s="7">
        <v>0</v>
      </c>
      <c r="F2126" s="8">
        <v>0</v>
      </c>
      <c r="G2126" s="7">
        <v>0</v>
      </c>
      <c r="H2126" s="7">
        <v>81211.819999998</v>
      </c>
      <c r="I2126" s="7">
        <v>0</v>
      </c>
      <c r="J2126" s="8">
        <v>0</v>
      </c>
      <c r="K2126" s="9" t="str">
        <v/>
      </c>
    </row>
    <row r="2127" spans="1:11">
      <c r="A2127" t="str">
        <v/>
      </c>
      <c r="B2127" s="6">
        <v>0</v>
      </c>
      <c r="C2127" s="7" t="str">
        <v>趣点购浦发</v>
      </c>
      <c r="D2127" s="8">
        <v>0</v>
      </c>
      <c r="E2127" s="7">
        <v>0</v>
      </c>
      <c r="F2127" s="8">
        <v>0</v>
      </c>
      <c r="G2127" s="7">
        <v>0</v>
      </c>
      <c r="H2127" s="7">
        <v>81211.819999998</v>
      </c>
      <c r="I2127" s="7">
        <v>0</v>
      </c>
      <c r="J2127" s="8">
        <v>0</v>
      </c>
      <c r="K2127" s="9" t="str">
        <v/>
      </c>
    </row>
    <row r="2128" spans="1:11">
      <c r="A2128" t="str">
        <v/>
      </c>
      <c r="B2128" s="6">
        <v>0</v>
      </c>
      <c r="C2128" s="7" t="str">
        <v>趣点购浦发</v>
      </c>
      <c r="D2128" s="8">
        <v>0</v>
      </c>
      <c r="E2128" s="7">
        <v>0</v>
      </c>
      <c r="F2128" s="8">
        <v>0</v>
      </c>
      <c r="G2128" s="7">
        <v>0</v>
      </c>
      <c r="H2128" s="7">
        <v>81211.819999998</v>
      </c>
      <c r="I2128" s="7">
        <v>0</v>
      </c>
      <c r="J2128" s="8">
        <v>0</v>
      </c>
      <c r="K2128" s="9" t="str">
        <v/>
      </c>
    </row>
    <row r="2129" spans="1:11">
      <c r="A2129" t="str">
        <v/>
      </c>
      <c r="B2129" s="6">
        <v>0</v>
      </c>
      <c r="C2129" s="7" t="str">
        <v>趣点购浦发</v>
      </c>
      <c r="D2129" s="8">
        <v>0</v>
      </c>
      <c r="E2129" s="7">
        <v>0</v>
      </c>
      <c r="F2129" s="8">
        <v>0</v>
      </c>
      <c r="G2129" s="7">
        <v>0</v>
      </c>
      <c r="H2129" s="7">
        <v>81211.819999998</v>
      </c>
      <c r="I2129" s="7">
        <v>0</v>
      </c>
      <c r="J2129" s="8">
        <v>0</v>
      </c>
      <c r="K2129" s="9" t="str">
        <v/>
      </c>
    </row>
    <row r="2130" spans="1:11">
      <c r="A2130" t="str">
        <v/>
      </c>
      <c r="B2130" s="6">
        <v>0</v>
      </c>
      <c r="C2130" s="7" t="str">
        <v>趣点购浦发</v>
      </c>
      <c r="D2130" s="8">
        <v>0</v>
      </c>
      <c r="E2130" s="7">
        <v>0</v>
      </c>
      <c r="F2130" s="8">
        <v>0</v>
      </c>
      <c r="G2130" s="7">
        <v>0</v>
      </c>
      <c r="H2130" s="7">
        <v>81211.819999998</v>
      </c>
      <c r="I2130" s="7">
        <v>0</v>
      </c>
      <c r="J2130" s="8">
        <v>0</v>
      </c>
      <c r="K2130" s="9" t="str">
        <v/>
      </c>
    </row>
    <row r="2131" spans="1:11">
      <c r="A2131" t="str">
        <v/>
      </c>
      <c r="B2131" s="6">
        <v>0</v>
      </c>
      <c r="C2131" s="7" t="str">
        <v>趣点购浦发</v>
      </c>
      <c r="D2131" s="8">
        <v>0</v>
      </c>
      <c r="E2131" s="7">
        <v>0</v>
      </c>
      <c r="F2131" s="8">
        <v>0</v>
      </c>
      <c r="G2131" s="7">
        <v>0</v>
      </c>
      <c r="H2131" s="7">
        <v>81211.819999998</v>
      </c>
      <c r="I2131" s="7">
        <v>0</v>
      </c>
      <c r="J2131" s="8">
        <v>0</v>
      </c>
      <c r="K2131" s="9" t="str">
        <v/>
      </c>
    </row>
    <row r="2132" spans="1:11">
      <c r="A2132" t="str">
        <v/>
      </c>
      <c r="B2132" s="6">
        <v>0</v>
      </c>
      <c r="C2132" s="7" t="str">
        <v>趣点购浦发</v>
      </c>
      <c r="D2132" s="8">
        <v>0</v>
      </c>
      <c r="E2132" s="7">
        <v>0</v>
      </c>
      <c r="F2132" s="8">
        <v>0</v>
      </c>
      <c r="G2132" s="7">
        <v>0</v>
      </c>
      <c r="H2132" s="7">
        <v>81211.819999998</v>
      </c>
      <c r="I2132" s="7">
        <v>0</v>
      </c>
      <c r="J2132" s="8">
        <v>0</v>
      </c>
      <c r="K2132" s="9" t="str">
        <v/>
      </c>
    </row>
    <row r="2133" spans="1:11">
      <c r="A2133" t="str">
        <v/>
      </c>
      <c r="B2133" s="6">
        <v>0</v>
      </c>
      <c r="C2133" s="7" t="str">
        <v>趣点购浦发</v>
      </c>
      <c r="D2133" s="8">
        <v>0</v>
      </c>
      <c r="E2133" s="7">
        <v>0</v>
      </c>
      <c r="F2133" s="8">
        <v>0</v>
      </c>
      <c r="G2133" s="7">
        <v>0</v>
      </c>
      <c r="H2133" s="7">
        <v>81211.819999998</v>
      </c>
      <c r="I2133" s="7">
        <v>0</v>
      </c>
      <c r="J2133" s="8">
        <v>0</v>
      </c>
      <c r="K2133" s="9" t="str">
        <v/>
      </c>
    </row>
    <row r="2134" spans="1:11">
      <c r="A2134" t="str">
        <v/>
      </c>
      <c r="B2134" s="6">
        <v>0</v>
      </c>
      <c r="C2134" s="7" t="str">
        <v>趣点购浦发</v>
      </c>
      <c r="D2134" s="8">
        <v>0</v>
      </c>
      <c r="E2134" s="7">
        <v>0</v>
      </c>
      <c r="F2134" s="8">
        <v>0</v>
      </c>
      <c r="G2134" s="7">
        <v>0</v>
      </c>
      <c r="H2134" s="7">
        <v>81211.819999998</v>
      </c>
      <c r="I2134" s="7">
        <v>0</v>
      </c>
      <c r="J2134" s="8">
        <v>0</v>
      </c>
      <c r="K2134" s="9" t="str">
        <v/>
      </c>
    </row>
    <row r="2135" spans="1:11">
      <c r="A2135" t="str">
        <v/>
      </c>
      <c r="B2135" s="6">
        <v>0</v>
      </c>
      <c r="C2135" s="7" t="str">
        <v>趣点购浦发</v>
      </c>
      <c r="D2135" s="8">
        <v>0</v>
      </c>
      <c r="E2135" s="7">
        <v>0</v>
      </c>
      <c r="F2135" s="8">
        <v>0</v>
      </c>
      <c r="G2135" s="7">
        <v>0</v>
      </c>
      <c r="H2135" s="7">
        <v>81211.819999998</v>
      </c>
      <c r="I2135" s="7">
        <v>0</v>
      </c>
      <c r="J2135" s="8">
        <v>0</v>
      </c>
      <c r="K2135" s="9" t="str">
        <v/>
      </c>
    </row>
    <row r="2136" spans="1:11">
      <c r="A2136" t="str">
        <v/>
      </c>
      <c r="B2136" s="6">
        <v>0</v>
      </c>
      <c r="C2136" s="7" t="str">
        <v>趣点购浦发</v>
      </c>
      <c r="D2136" s="8">
        <v>0</v>
      </c>
      <c r="E2136" s="7">
        <v>0</v>
      </c>
      <c r="F2136" s="8">
        <v>0</v>
      </c>
      <c r="G2136" s="7">
        <v>0</v>
      </c>
      <c r="H2136" s="7">
        <v>81211.819999998</v>
      </c>
      <c r="I2136" s="7">
        <v>0</v>
      </c>
      <c r="J2136" s="8">
        <v>0</v>
      </c>
      <c r="K2136" s="9" t="str">
        <v/>
      </c>
    </row>
    <row r="2137" spans="1:11">
      <c r="A2137" t="str">
        <v/>
      </c>
      <c r="B2137" s="6">
        <v>0</v>
      </c>
      <c r="C2137" s="7" t="str">
        <v>趣点购浦发</v>
      </c>
      <c r="D2137" s="8">
        <v>0</v>
      </c>
      <c r="E2137" s="7">
        <v>0</v>
      </c>
      <c r="F2137" s="8">
        <v>0</v>
      </c>
      <c r="G2137" s="7">
        <v>0</v>
      </c>
      <c r="H2137" s="7">
        <v>81211.819999998</v>
      </c>
      <c r="I2137" s="7">
        <v>0</v>
      </c>
      <c r="J2137" s="8">
        <v>0</v>
      </c>
      <c r="K2137" s="9" t="str">
        <v/>
      </c>
    </row>
    <row r="2138" spans="1:11">
      <c r="A2138" t="str">
        <v/>
      </c>
      <c r="B2138" s="6">
        <v>0</v>
      </c>
      <c r="C2138" s="7" t="str">
        <v>趣点购浦发</v>
      </c>
      <c r="D2138" s="8">
        <v>0</v>
      </c>
      <c r="E2138" s="7">
        <v>0</v>
      </c>
      <c r="F2138" s="8">
        <v>0</v>
      </c>
      <c r="G2138" s="7">
        <v>0</v>
      </c>
      <c r="H2138" s="7">
        <v>81211.819999998</v>
      </c>
      <c r="I2138" s="7">
        <v>0</v>
      </c>
      <c r="J2138" s="8">
        <v>0</v>
      </c>
      <c r="K2138" s="9" t="str">
        <v/>
      </c>
    </row>
    <row r="2139" spans="1:11">
      <c r="A2139" t="str">
        <v/>
      </c>
      <c r="B2139" s="6">
        <v>0</v>
      </c>
      <c r="C2139" s="7" t="str">
        <v>趣点购浦发</v>
      </c>
      <c r="D2139" s="8">
        <v>0</v>
      </c>
      <c r="E2139" s="7">
        <v>0</v>
      </c>
      <c r="F2139" s="8">
        <v>0</v>
      </c>
      <c r="G2139" s="7">
        <v>0</v>
      </c>
      <c r="H2139" s="7">
        <v>81211.819999998</v>
      </c>
      <c r="I2139" s="7">
        <v>0</v>
      </c>
      <c r="J2139" s="8">
        <v>0</v>
      </c>
      <c r="K2139" s="9" t="str">
        <v/>
      </c>
    </row>
    <row r="2140" spans="1:11">
      <c r="A2140" t="str">
        <v/>
      </c>
      <c r="B2140" s="6">
        <v>0</v>
      </c>
      <c r="C2140" s="7" t="str">
        <v>趣点购浦发</v>
      </c>
      <c r="D2140" s="8">
        <v>0</v>
      </c>
      <c r="E2140" s="7">
        <v>0</v>
      </c>
      <c r="F2140" s="8">
        <v>0</v>
      </c>
      <c r="G2140" s="7">
        <v>0</v>
      </c>
      <c r="H2140" s="7">
        <v>81211.819999998</v>
      </c>
      <c r="I2140" s="7">
        <v>0</v>
      </c>
      <c r="J2140" s="8">
        <v>0</v>
      </c>
      <c r="K2140" s="9" t="str">
        <v/>
      </c>
    </row>
    <row r="2141" spans="1:11">
      <c r="A2141" t="str">
        <v/>
      </c>
      <c r="B2141" s="6">
        <v>0</v>
      </c>
      <c r="C2141" s="7" t="str">
        <v>趣点购浦发</v>
      </c>
      <c r="D2141" s="8">
        <v>0</v>
      </c>
      <c r="E2141" s="7">
        <v>0</v>
      </c>
      <c r="F2141" s="8">
        <v>0</v>
      </c>
      <c r="G2141" s="7">
        <v>0</v>
      </c>
      <c r="H2141" s="7">
        <v>81211.819999998</v>
      </c>
      <c r="I2141" s="7">
        <v>0</v>
      </c>
      <c r="J2141" s="8">
        <v>0</v>
      </c>
      <c r="K2141" s="9" t="str">
        <v/>
      </c>
    </row>
    <row r="2142" spans="1:11">
      <c r="A2142" t="str">
        <v/>
      </c>
      <c r="B2142" s="6">
        <v>0</v>
      </c>
      <c r="C2142" s="7" t="str">
        <v>趣点购浦发</v>
      </c>
      <c r="D2142" s="8">
        <v>0</v>
      </c>
      <c r="E2142" s="7">
        <v>0</v>
      </c>
      <c r="F2142" s="8">
        <v>0</v>
      </c>
      <c r="G2142" s="7">
        <v>0</v>
      </c>
      <c r="H2142" s="7">
        <v>81211.819999998</v>
      </c>
      <c r="I2142" s="7">
        <v>0</v>
      </c>
      <c r="J2142" s="8">
        <v>0</v>
      </c>
      <c r="K2142" s="9" t="str">
        <v/>
      </c>
    </row>
    <row r="2143" spans="1:11">
      <c r="A2143" t="str">
        <v/>
      </c>
      <c r="B2143" s="6">
        <v>0</v>
      </c>
      <c r="C2143" s="7" t="str">
        <v>趣点购浦发</v>
      </c>
      <c r="D2143" s="8">
        <v>0</v>
      </c>
      <c r="E2143" s="7">
        <v>0</v>
      </c>
      <c r="F2143" s="8">
        <v>0</v>
      </c>
      <c r="G2143" s="7">
        <v>0</v>
      </c>
      <c r="H2143" s="7">
        <v>81211.819999998</v>
      </c>
      <c r="I2143" s="7">
        <v>0</v>
      </c>
      <c r="J2143" s="8">
        <v>0</v>
      </c>
      <c r="K2143" s="9" t="str">
        <v/>
      </c>
    </row>
    <row r="2144" spans="1:11">
      <c r="A2144" t="str">
        <v/>
      </c>
      <c r="B2144" s="6">
        <v>0</v>
      </c>
      <c r="C2144" s="7" t="str">
        <v>趣点购浦发</v>
      </c>
      <c r="D2144" s="8">
        <v>0</v>
      </c>
      <c r="E2144" s="7">
        <v>0</v>
      </c>
      <c r="F2144" s="8">
        <v>0</v>
      </c>
      <c r="G2144" s="7">
        <v>0</v>
      </c>
      <c r="H2144" s="7">
        <v>81211.819999998</v>
      </c>
      <c r="I2144" s="7">
        <v>0</v>
      </c>
      <c r="J2144" s="8">
        <v>0</v>
      </c>
      <c r="K2144" s="9" t="str">
        <v/>
      </c>
    </row>
    <row r="2145" spans="1:11">
      <c r="A2145" t="str">
        <v/>
      </c>
      <c r="B2145" s="6">
        <v>0</v>
      </c>
      <c r="C2145" s="7" t="str">
        <v>趣点购浦发</v>
      </c>
      <c r="D2145" s="8">
        <v>0</v>
      </c>
      <c r="E2145" s="7">
        <v>0</v>
      </c>
      <c r="F2145" s="8">
        <v>0</v>
      </c>
      <c r="G2145" s="7">
        <v>0</v>
      </c>
      <c r="H2145" s="7">
        <v>81211.819999998</v>
      </c>
      <c r="I2145" s="7">
        <v>0</v>
      </c>
      <c r="J2145" s="8">
        <v>0</v>
      </c>
      <c r="K2145" s="9" t="str">
        <v/>
      </c>
    </row>
    <row r="2146" spans="1:11">
      <c r="A2146" t="str">
        <v/>
      </c>
      <c r="B2146" s="6">
        <v>0</v>
      </c>
      <c r="C2146" s="7" t="str">
        <v>趣点购浦发</v>
      </c>
      <c r="D2146" s="8">
        <v>0</v>
      </c>
      <c r="E2146" s="7">
        <v>0</v>
      </c>
      <c r="F2146" s="8">
        <v>0</v>
      </c>
      <c r="G2146" s="7">
        <v>0</v>
      </c>
      <c r="H2146" s="7">
        <v>81211.819999998</v>
      </c>
      <c r="I2146" s="7">
        <v>0</v>
      </c>
      <c r="J2146" s="8">
        <v>0</v>
      </c>
      <c r="K2146" s="9" t="str">
        <v/>
      </c>
    </row>
    <row r="2147" spans="1:11">
      <c r="A2147" t="str">
        <v/>
      </c>
      <c r="B2147" s="6">
        <v>0</v>
      </c>
      <c r="C2147" s="7" t="str">
        <v>趣点购浦发</v>
      </c>
      <c r="D2147" s="8">
        <v>0</v>
      </c>
      <c r="E2147" s="7">
        <v>0</v>
      </c>
      <c r="F2147" s="8">
        <v>0</v>
      </c>
      <c r="G2147" s="7">
        <v>0</v>
      </c>
      <c r="H2147" s="7">
        <v>81211.819999998</v>
      </c>
      <c r="I2147" s="7">
        <v>0</v>
      </c>
      <c r="J2147" s="8">
        <v>0</v>
      </c>
      <c r="K2147" s="9" t="str">
        <v/>
      </c>
    </row>
    <row r="2148" spans="1:11">
      <c r="A2148" t="str">
        <v/>
      </c>
      <c r="B2148" s="6">
        <v>0</v>
      </c>
      <c r="C2148" s="7" t="str">
        <v>趣点购浦发</v>
      </c>
      <c r="D2148" s="8">
        <v>0</v>
      </c>
      <c r="E2148" s="7">
        <v>0</v>
      </c>
      <c r="F2148" s="8">
        <v>0</v>
      </c>
      <c r="G2148" s="7">
        <v>0</v>
      </c>
      <c r="H2148" s="7">
        <v>81211.819999998</v>
      </c>
      <c r="I2148" s="7">
        <v>0</v>
      </c>
      <c r="J2148" s="8">
        <v>0</v>
      </c>
      <c r="K2148" s="9" t="str">
        <v/>
      </c>
    </row>
    <row r="2149" spans="1:11">
      <c r="A2149" t="str">
        <v/>
      </c>
      <c r="B2149" s="6">
        <v>0</v>
      </c>
      <c r="C2149" s="7" t="str">
        <v>趣点购浦发</v>
      </c>
      <c r="D2149" s="8">
        <v>0</v>
      </c>
      <c r="E2149" s="7">
        <v>0</v>
      </c>
      <c r="F2149" s="8">
        <v>0</v>
      </c>
      <c r="G2149" s="7">
        <v>0</v>
      </c>
      <c r="H2149" s="7">
        <v>81211.819999998</v>
      </c>
      <c r="I2149" s="7">
        <v>0</v>
      </c>
      <c r="J2149" s="8">
        <v>0</v>
      </c>
      <c r="K2149" s="9" t="str">
        <v/>
      </c>
    </row>
    <row r="2150" spans="1:11">
      <c r="A2150" t="str">
        <v/>
      </c>
      <c r="B2150" s="6">
        <v>0</v>
      </c>
      <c r="C2150" s="7" t="str">
        <v>趣点购浦发</v>
      </c>
      <c r="D2150" s="8">
        <v>0</v>
      </c>
      <c r="E2150" s="7">
        <v>0</v>
      </c>
      <c r="F2150" s="8">
        <v>0</v>
      </c>
      <c r="G2150" s="7">
        <v>0</v>
      </c>
      <c r="H2150" s="7">
        <v>81211.819999998</v>
      </c>
      <c r="I2150" s="7">
        <v>0</v>
      </c>
      <c r="J2150" s="8">
        <v>0</v>
      </c>
      <c r="K2150" s="9" t="str">
        <v/>
      </c>
    </row>
    <row r="2151" spans="1:11">
      <c r="A2151" t="str">
        <v/>
      </c>
      <c r="B2151" s="6">
        <v>0</v>
      </c>
      <c r="C2151" s="7" t="str">
        <v>趣点购浦发</v>
      </c>
      <c r="D2151" s="8">
        <v>0</v>
      </c>
      <c r="E2151" s="7">
        <v>0</v>
      </c>
      <c r="F2151" s="8">
        <v>0</v>
      </c>
      <c r="G2151" s="7">
        <v>0</v>
      </c>
      <c r="H2151" s="7">
        <v>81211.819999998</v>
      </c>
      <c r="I2151" s="7">
        <v>0</v>
      </c>
      <c r="J2151" s="8">
        <v>0</v>
      </c>
      <c r="K2151" s="9" t="str">
        <v/>
      </c>
    </row>
    <row r="2152" spans="1:11">
      <c r="A2152" t="str">
        <v/>
      </c>
      <c r="B2152" s="6">
        <v>0</v>
      </c>
      <c r="C2152" s="7" t="str">
        <v>趣点购浦发</v>
      </c>
      <c r="D2152" s="8">
        <v>0</v>
      </c>
      <c r="E2152" s="7">
        <v>0</v>
      </c>
      <c r="F2152" s="8">
        <v>0</v>
      </c>
      <c r="G2152" s="7">
        <v>0</v>
      </c>
      <c r="H2152" s="7">
        <v>81211.819999998</v>
      </c>
      <c r="I2152" s="7">
        <v>0</v>
      </c>
      <c r="J2152" s="8">
        <v>0</v>
      </c>
      <c r="K2152" s="9" t="str">
        <v/>
      </c>
    </row>
    <row r="2153" spans="1:11">
      <c r="A2153" t="str">
        <v/>
      </c>
      <c r="B2153" s="6">
        <v>0</v>
      </c>
      <c r="C2153" s="7" t="str">
        <v>趣点购浦发</v>
      </c>
      <c r="D2153" s="8">
        <v>0</v>
      </c>
      <c r="E2153" s="7">
        <v>0</v>
      </c>
      <c r="F2153" s="8">
        <v>0</v>
      </c>
      <c r="G2153" s="7">
        <v>0</v>
      </c>
      <c r="H2153" s="7">
        <v>81211.819999998</v>
      </c>
      <c r="I2153" s="7">
        <v>0</v>
      </c>
      <c r="J2153" s="8">
        <v>0</v>
      </c>
      <c r="K2153" s="9" t="str">
        <v/>
      </c>
    </row>
    <row r="2154" spans="1:11">
      <c r="A2154" t="str">
        <v/>
      </c>
      <c r="B2154" s="6">
        <v>0</v>
      </c>
      <c r="C2154" s="7" t="str">
        <v>趣点购浦发</v>
      </c>
      <c r="D2154" s="8">
        <v>0</v>
      </c>
      <c r="E2154" s="7">
        <v>0</v>
      </c>
      <c r="F2154" s="8">
        <v>0</v>
      </c>
      <c r="G2154" s="7">
        <v>0</v>
      </c>
      <c r="H2154" s="7">
        <v>81211.819999998</v>
      </c>
      <c r="I2154" s="7">
        <v>0</v>
      </c>
      <c r="J2154" s="8">
        <v>0</v>
      </c>
      <c r="K2154" s="9" t="str">
        <v/>
      </c>
    </row>
    <row r="2155" spans="1:11">
      <c r="A2155" t="str">
        <v/>
      </c>
      <c r="B2155" s="6">
        <v>0</v>
      </c>
      <c r="C2155" s="7" t="str">
        <v>趣点购浦发</v>
      </c>
      <c r="D2155" s="8">
        <v>0</v>
      </c>
      <c r="E2155" s="7">
        <v>0</v>
      </c>
      <c r="F2155" s="8">
        <v>0</v>
      </c>
      <c r="G2155" s="7">
        <v>0</v>
      </c>
      <c r="H2155" s="7">
        <v>81211.819999998</v>
      </c>
      <c r="I2155" s="7">
        <v>0</v>
      </c>
      <c r="J2155" s="8">
        <v>0</v>
      </c>
      <c r="K2155" s="9" t="str">
        <v/>
      </c>
    </row>
    <row r="2156" spans="1:11">
      <c r="A2156" t="str">
        <v/>
      </c>
      <c r="B2156" s="6">
        <v>0</v>
      </c>
      <c r="C2156" s="7" t="str">
        <v>趣点购浦发</v>
      </c>
      <c r="D2156" s="8">
        <v>0</v>
      </c>
      <c r="E2156" s="7">
        <v>0</v>
      </c>
      <c r="F2156" s="8">
        <v>0</v>
      </c>
      <c r="G2156" s="7">
        <v>0</v>
      </c>
      <c r="H2156" s="7">
        <v>81211.819999998</v>
      </c>
      <c r="I2156" s="7">
        <v>0</v>
      </c>
      <c r="J2156" s="8">
        <v>0</v>
      </c>
      <c r="K2156" s="9" t="str">
        <v/>
      </c>
    </row>
    <row r="2157" spans="1:11">
      <c r="A2157" t="str">
        <v/>
      </c>
      <c r="B2157" s="6">
        <v>0</v>
      </c>
      <c r="C2157" s="7" t="str">
        <v>趣点购浦发</v>
      </c>
      <c r="D2157" s="8">
        <v>0</v>
      </c>
      <c r="E2157" s="7">
        <v>0</v>
      </c>
      <c r="F2157" s="8">
        <v>0</v>
      </c>
      <c r="G2157" s="7">
        <v>0</v>
      </c>
      <c r="H2157" s="7">
        <v>81211.819999998</v>
      </c>
      <c r="I2157" s="7">
        <v>0</v>
      </c>
      <c r="J2157" s="8">
        <v>0</v>
      </c>
      <c r="K2157" s="9" t="str">
        <v/>
      </c>
    </row>
    <row r="2158" spans="1:11">
      <c r="A2158" t="str">
        <v/>
      </c>
      <c r="B2158" s="6">
        <v>0</v>
      </c>
      <c r="C2158" s="7" t="str">
        <v>趣点购浦发</v>
      </c>
      <c r="D2158" s="8">
        <v>0</v>
      </c>
      <c r="E2158" s="7">
        <v>0</v>
      </c>
      <c r="F2158" s="8">
        <v>0</v>
      </c>
      <c r="G2158" s="7">
        <v>0</v>
      </c>
      <c r="H2158" s="7">
        <v>81211.819999998</v>
      </c>
      <c r="I2158" s="7">
        <v>0</v>
      </c>
      <c r="J2158" s="8">
        <v>0</v>
      </c>
      <c r="K2158" s="9" t="str">
        <v/>
      </c>
    </row>
    <row r="2159" spans="1:11">
      <c r="A2159" t="str">
        <v/>
      </c>
      <c r="B2159" s="6">
        <v>0</v>
      </c>
      <c r="C2159" s="7" t="str">
        <v>趣点购浦发</v>
      </c>
      <c r="D2159" s="8">
        <v>0</v>
      </c>
      <c r="E2159" s="7">
        <v>0</v>
      </c>
      <c r="F2159" s="8">
        <v>0</v>
      </c>
      <c r="G2159" s="7">
        <v>0</v>
      </c>
      <c r="H2159" s="7">
        <v>81211.819999998</v>
      </c>
      <c r="I2159" s="7">
        <v>0</v>
      </c>
      <c r="J2159" s="8">
        <v>0</v>
      </c>
      <c r="K2159" s="9" t="str">
        <v/>
      </c>
    </row>
    <row r="2160" spans="1:11">
      <c r="A2160" t="str">
        <v/>
      </c>
      <c r="B2160" s="6">
        <v>0</v>
      </c>
      <c r="C2160" s="7" t="str">
        <v>趣点购浦发</v>
      </c>
      <c r="D2160" s="8">
        <v>0</v>
      </c>
      <c r="E2160" s="7">
        <v>0</v>
      </c>
      <c r="F2160" s="8">
        <v>0</v>
      </c>
      <c r="G2160" s="7">
        <v>0</v>
      </c>
      <c r="H2160" s="7">
        <v>81211.819999998</v>
      </c>
      <c r="I2160" s="7">
        <v>0</v>
      </c>
      <c r="J2160" s="8">
        <v>0</v>
      </c>
      <c r="K2160" s="9" t="str">
        <v/>
      </c>
    </row>
    <row r="2161" spans="1:11">
      <c r="A2161" t="str">
        <v/>
      </c>
      <c r="B2161" s="6">
        <v>0</v>
      </c>
      <c r="C2161" s="7" t="str">
        <v>趣点购浦发</v>
      </c>
      <c r="D2161" s="8">
        <v>0</v>
      </c>
      <c r="E2161" s="7">
        <v>0</v>
      </c>
      <c r="F2161" s="8">
        <v>0</v>
      </c>
      <c r="G2161" s="7">
        <v>0</v>
      </c>
      <c r="H2161" s="7">
        <v>81211.819999998</v>
      </c>
      <c r="I2161" s="7">
        <v>0</v>
      </c>
      <c r="J2161" s="8">
        <v>0</v>
      </c>
      <c r="K2161" s="9" t="str">
        <v/>
      </c>
    </row>
    <row r="2162" spans="1:11">
      <c r="A2162" t="str">
        <v/>
      </c>
      <c r="B2162" s="6">
        <v>0</v>
      </c>
      <c r="C2162" s="7" t="str">
        <v>趣点购浦发</v>
      </c>
      <c r="D2162" s="8">
        <v>0</v>
      </c>
      <c r="E2162" s="7">
        <v>0</v>
      </c>
      <c r="F2162" s="8">
        <v>0</v>
      </c>
      <c r="G2162" s="7">
        <v>0</v>
      </c>
      <c r="H2162" s="7">
        <v>81211.819999998</v>
      </c>
      <c r="I2162" s="7">
        <v>0</v>
      </c>
      <c r="J2162" s="8">
        <v>0</v>
      </c>
      <c r="K2162" s="9" t="str">
        <v/>
      </c>
    </row>
    <row r="2163" spans="1:11">
      <c r="A2163" t="str">
        <v/>
      </c>
      <c r="B2163" s="6">
        <v>0</v>
      </c>
      <c r="C2163" s="7" t="str">
        <v>趣点购浦发</v>
      </c>
      <c r="D2163" s="8">
        <v>0</v>
      </c>
      <c r="E2163" s="7">
        <v>0</v>
      </c>
      <c r="F2163" s="8">
        <v>0</v>
      </c>
      <c r="G2163" s="7">
        <v>0</v>
      </c>
      <c r="H2163" s="7">
        <v>81211.819999998</v>
      </c>
      <c r="I2163" s="7">
        <v>0</v>
      </c>
      <c r="J2163" s="8">
        <v>0</v>
      </c>
      <c r="K2163" s="9" t="str">
        <v/>
      </c>
    </row>
    <row r="2164" spans="1:11">
      <c r="A2164" t="str">
        <v/>
      </c>
      <c r="B2164" s="6">
        <v>0</v>
      </c>
      <c r="C2164" s="7" t="str">
        <v>趣点购浦发</v>
      </c>
      <c r="D2164" s="8">
        <v>0</v>
      </c>
      <c r="E2164" s="7">
        <v>0</v>
      </c>
      <c r="F2164" s="8">
        <v>0</v>
      </c>
      <c r="G2164" s="7">
        <v>0</v>
      </c>
      <c r="H2164" s="7">
        <v>81211.819999998</v>
      </c>
      <c r="I2164" s="7">
        <v>0</v>
      </c>
      <c r="J2164" s="8">
        <v>0</v>
      </c>
      <c r="K2164" s="9" t="str">
        <v/>
      </c>
    </row>
    <row r="2165" spans="1:11">
      <c r="A2165" t="str">
        <v/>
      </c>
      <c r="B2165" s="6">
        <v>0</v>
      </c>
      <c r="C2165" s="7" t="str">
        <v>趣点购浦发</v>
      </c>
      <c r="D2165" s="8">
        <v>0</v>
      </c>
      <c r="E2165" s="7">
        <v>0</v>
      </c>
      <c r="F2165" s="8">
        <v>0</v>
      </c>
      <c r="G2165" s="7">
        <v>0</v>
      </c>
      <c r="H2165" s="7">
        <v>81211.819999998</v>
      </c>
      <c r="I2165" s="7">
        <v>0</v>
      </c>
      <c r="J2165" s="8">
        <v>0</v>
      </c>
      <c r="K2165" s="9" t="str">
        <v/>
      </c>
    </row>
    <row r="2166" spans="1:11">
      <c r="A2166" t="str">
        <v/>
      </c>
      <c r="B2166" s="6">
        <v>0</v>
      </c>
      <c r="C2166" s="7" t="str">
        <v>趣点购浦发</v>
      </c>
      <c r="D2166" s="8">
        <v>0</v>
      </c>
      <c r="E2166" s="7">
        <v>0</v>
      </c>
      <c r="F2166" s="8">
        <v>0</v>
      </c>
      <c r="G2166" s="7">
        <v>0</v>
      </c>
      <c r="H2166" s="7">
        <v>81211.819999998</v>
      </c>
      <c r="I2166" s="7">
        <v>0</v>
      </c>
      <c r="J2166" s="8">
        <v>0</v>
      </c>
      <c r="K2166" s="9" t="str">
        <v/>
      </c>
    </row>
    <row r="2167" spans="1:11">
      <c r="A2167" t="str">
        <v/>
      </c>
      <c r="B2167" s="6">
        <v>0</v>
      </c>
      <c r="C2167" s="7" t="str">
        <v>趣点购浦发</v>
      </c>
      <c r="D2167" s="8">
        <v>0</v>
      </c>
      <c r="E2167" s="7">
        <v>0</v>
      </c>
      <c r="F2167" s="8">
        <v>0</v>
      </c>
      <c r="G2167" s="7">
        <v>0</v>
      </c>
      <c r="H2167" s="7">
        <v>81211.819999998</v>
      </c>
      <c r="I2167" s="7">
        <v>0</v>
      </c>
      <c r="J2167" s="8">
        <v>0</v>
      </c>
      <c r="K2167" s="9" t="str">
        <v/>
      </c>
    </row>
    <row r="2168" spans="1:11">
      <c r="A2168" t="str">
        <v/>
      </c>
      <c r="B2168" s="6">
        <v>0</v>
      </c>
      <c r="C2168" s="7" t="str">
        <v>趣点购浦发</v>
      </c>
      <c r="D2168" s="8">
        <v>0</v>
      </c>
      <c r="E2168" s="7">
        <v>0</v>
      </c>
      <c r="F2168" s="8">
        <v>0</v>
      </c>
      <c r="G2168" s="7">
        <v>0</v>
      </c>
      <c r="H2168" s="7">
        <v>81211.819999998</v>
      </c>
      <c r="I2168" s="7">
        <v>0</v>
      </c>
      <c r="J2168" s="8">
        <v>0</v>
      </c>
      <c r="K2168" s="9" t="str">
        <v/>
      </c>
    </row>
    <row r="2169" spans="1:11">
      <c r="A2169" t="str">
        <v/>
      </c>
      <c r="B2169" s="6">
        <v>0</v>
      </c>
      <c r="C2169" s="7" t="str">
        <v>趣点购浦发</v>
      </c>
      <c r="D2169" s="8">
        <v>0</v>
      </c>
      <c r="E2169" s="7">
        <v>0</v>
      </c>
      <c r="F2169" s="8">
        <v>0</v>
      </c>
      <c r="G2169" s="7">
        <v>0</v>
      </c>
      <c r="H2169" s="7">
        <v>81211.819999998</v>
      </c>
      <c r="I2169" s="7">
        <v>0</v>
      </c>
      <c r="J2169" s="8">
        <v>0</v>
      </c>
      <c r="K2169" s="9" t="str">
        <v/>
      </c>
    </row>
    <row r="2170" spans="1:11">
      <c r="A2170" t="str">
        <v/>
      </c>
      <c r="B2170" s="6">
        <v>0</v>
      </c>
      <c r="C2170" s="7" t="str">
        <v>趣点购浦发</v>
      </c>
      <c r="D2170" s="8">
        <v>0</v>
      </c>
      <c r="E2170" s="7">
        <v>0</v>
      </c>
      <c r="F2170" s="8">
        <v>0</v>
      </c>
      <c r="G2170" s="7">
        <v>0</v>
      </c>
      <c r="H2170" s="7">
        <v>81211.819999998</v>
      </c>
      <c r="I2170" s="7">
        <v>0</v>
      </c>
      <c r="J2170" s="8">
        <v>0</v>
      </c>
      <c r="K2170" s="9" t="str">
        <v/>
      </c>
    </row>
    <row r="2171" spans="1:11">
      <c r="A2171" t="str">
        <v/>
      </c>
      <c r="B2171" s="6">
        <v>0</v>
      </c>
      <c r="C2171" s="7" t="str">
        <v>趣点购浦发</v>
      </c>
      <c r="D2171" s="8">
        <v>0</v>
      </c>
      <c r="E2171" s="7">
        <v>0</v>
      </c>
      <c r="F2171" s="8">
        <v>0</v>
      </c>
      <c r="G2171" s="7">
        <v>0</v>
      </c>
      <c r="H2171" s="7">
        <v>81211.819999998</v>
      </c>
      <c r="I2171" s="7">
        <v>0</v>
      </c>
      <c r="J2171" s="8">
        <v>0</v>
      </c>
      <c r="K2171" s="9" t="str">
        <v/>
      </c>
    </row>
    <row r="2172" spans="1:11">
      <c r="A2172" t="str">
        <v/>
      </c>
      <c r="B2172" s="6">
        <v>0</v>
      </c>
      <c r="C2172" s="7" t="str">
        <v>趣点购浦发</v>
      </c>
      <c r="D2172" s="8">
        <v>0</v>
      </c>
      <c r="E2172" s="7">
        <v>0</v>
      </c>
      <c r="F2172" s="8">
        <v>0</v>
      </c>
      <c r="G2172" s="7">
        <v>0</v>
      </c>
      <c r="H2172" s="7">
        <v>81211.819999998</v>
      </c>
      <c r="I2172" s="7">
        <v>0</v>
      </c>
      <c r="J2172" s="8">
        <v>0</v>
      </c>
      <c r="K2172" s="9" t="str">
        <v/>
      </c>
    </row>
    <row r="2173" spans="1:11">
      <c r="A2173" t="str">
        <v/>
      </c>
      <c r="B2173" s="6">
        <v>0</v>
      </c>
      <c r="C2173" s="7" t="str">
        <v>趣点购浦发</v>
      </c>
      <c r="D2173" s="8">
        <v>0</v>
      </c>
      <c r="E2173" s="7">
        <v>0</v>
      </c>
      <c r="F2173" s="8">
        <v>0</v>
      </c>
      <c r="G2173" s="7">
        <v>0</v>
      </c>
      <c r="H2173" s="7">
        <v>81211.819999998</v>
      </c>
      <c r="I2173" s="7">
        <v>0</v>
      </c>
      <c r="J2173" s="8">
        <v>0</v>
      </c>
      <c r="K2173" s="9" t="str">
        <v/>
      </c>
    </row>
    <row r="2174" spans="1:11">
      <c r="A2174" t="str">
        <v/>
      </c>
      <c r="B2174" s="6">
        <v>0</v>
      </c>
      <c r="C2174" s="7" t="str">
        <v>趣点购浦发</v>
      </c>
      <c r="D2174" s="8">
        <v>0</v>
      </c>
      <c r="E2174" s="7">
        <v>0</v>
      </c>
      <c r="F2174" s="8">
        <v>0</v>
      </c>
      <c r="G2174" s="7">
        <v>0</v>
      </c>
      <c r="H2174" s="7">
        <v>81211.819999998</v>
      </c>
      <c r="I2174" s="7">
        <v>0</v>
      </c>
      <c r="J2174" s="8">
        <v>0</v>
      </c>
      <c r="K2174" s="9" t="str">
        <v/>
      </c>
    </row>
    <row r="2175" spans="1:11">
      <c r="A2175" t="str">
        <v/>
      </c>
      <c r="B2175" s="6">
        <v>0</v>
      </c>
      <c r="C2175" s="7" t="str">
        <v>趣点购浦发</v>
      </c>
      <c r="D2175" s="8">
        <v>0</v>
      </c>
      <c r="E2175" s="7">
        <v>0</v>
      </c>
      <c r="F2175" s="8">
        <v>0</v>
      </c>
      <c r="G2175" s="7">
        <v>0</v>
      </c>
      <c r="H2175" s="7">
        <v>81211.819999998</v>
      </c>
      <c r="I2175" s="7">
        <v>0</v>
      </c>
      <c r="J2175" s="8">
        <v>0</v>
      </c>
      <c r="K2175" s="9" t="str">
        <v/>
      </c>
    </row>
    <row r="2176" spans="1:11">
      <c r="A2176" t="str">
        <v/>
      </c>
      <c r="B2176" s="6">
        <v>0</v>
      </c>
      <c r="C2176" s="7" t="str">
        <v>趣点购浦发</v>
      </c>
      <c r="D2176" s="8">
        <v>0</v>
      </c>
      <c r="E2176" s="7">
        <v>0</v>
      </c>
      <c r="F2176" s="8">
        <v>0</v>
      </c>
      <c r="G2176" s="7">
        <v>0</v>
      </c>
      <c r="H2176" s="7">
        <v>81211.819999998</v>
      </c>
      <c r="I2176" s="7">
        <v>0</v>
      </c>
      <c r="J2176" s="8">
        <v>0</v>
      </c>
      <c r="K2176" s="9" t="str">
        <v/>
      </c>
    </row>
    <row r="2177" spans="1:11">
      <c r="A2177" t="str">
        <v/>
      </c>
      <c r="B2177" s="6">
        <v>0</v>
      </c>
      <c r="C2177" s="7" t="str">
        <v>趣点购浦发</v>
      </c>
      <c r="D2177" s="8">
        <v>0</v>
      </c>
      <c r="E2177" s="7">
        <v>0</v>
      </c>
      <c r="F2177" s="8">
        <v>0</v>
      </c>
      <c r="G2177" s="7">
        <v>0</v>
      </c>
      <c r="H2177" s="7">
        <v>81211.819999998</v>
      </c>
      <c r="I2177" s="7">
        <v>0</v>
      </c>
      <c r="J2177" s="8">
        <v>0</v>
      </c>
      <c r="K2177" s="9" t="str">
        <v/>
      </c>
    </row>
    <row r="2178" spans="1:11">
      <c r="A2178" t="str">
        <v/>
      </c>
      <c r="B2178" s="6">
        <v>0</v>
      </c>
      <c r="C2178" s="7" t="str">
        <v>趣点购浦发</v>
      </c>
      <c r="D2178" s="8">
        <v>0</v>
      </c>
      <c r="E2178" s="7">
        <v>0</v>
      </c>
      <c r="F2178" s="8">
        <v>0</v>
      </c>
      <c r="G2178" s="7">
        <v>0</v>
      </c>
      <c r="H2178" s="7">
        <v>81211.819999998</v>
      </c>
      <c r="I2178" s="7">
        <v>0</v>
      </c>
      <c r="J2178" s="8">
        <v>0</v>
      </c>
      <c r="K2178" s="9" t="str">
        <v/>
      </c>
    </row>
    <row r="2179" spans="1:11">
      <c r="A2179" t="str">
        <v/>
      </c>
      <c r="B2179" s="6">
        <v>0</v>
      </c>
      <c r="C2179" s="7" t="str">
        <v>趣点购浦发</v>
      </c>
      <c r="D2179" s="8">
        <v>0</v>
      </c>
      <c r="E2179" s="7">
        <v>0</v>
      </c>
      <c r="F2179" s="8">
        <v>0</v>
      </c>
      <c r="G2179" s="7">
        <v>0</v>
      </c>
      <c r="H2179" s="7">
        <v>81211.819999998</v>
      </c>
      <c r="I2179" s="7">
        <v>0</v>
      </c>
      <c r="J2179" s="8">
        <v>0</v>
      </c>
      <c r="K2179" s="9" t="str">
        <v/>
      </c>
    </row>
    <row r="2180" spans="1:11">
      <c r="A2180" t="str">
        <v/>
      </c>
      <c r="B2180" s="6">
        <v>0</v>
      </c>
      <c r="C2180" s="7" t="str">
        <v>趣点购浦发</v>
      </c>
      <c r="D2180" s="8">
        <v>0</v>
      </c>
      <c r="E2180" s="7">
        <v>0</v>
      </c>
      <c r="F2180" s="8">
        <v>0</v>
      </c>
      <c r="G2180" s="7">
        <v>0</v>
      </c>
      <c r="H2180" s="7">
        <v>81211.819999998</v>
      </c>
      <c r="I2180" s="7">
        <v>0</v>
      </c>
      <c r="J2180" s="8">
        <v>0</v>
      </c>
      <c r="K2180" s="9" t="str">
        <v/>
      </c>
    </row>
    <row r="2181" spans="1:11">
      <c r="A2181" t="str">
        <v/>
      </c>
      <c r="B2181" s="6">
        <v>0</v>
      </c>
      <c r="C2181" s="7" t="str">
        <v>趣点购浦发</v>
      </c>
      <c r="D2181" s="8">
        <v>0</v>
      </c>
      <c r="E2181" s="7">
        <v>0</v>
      </c>
      <c r="F2181" s="8">
        <v>0</v>
      </c>
      <c r="G2181" s="7">
        <v>0</v>
      </c>
      <c r="H2181" s="7">
        <v>81211.819999998</v>
      </c>
      <c r="I2181" s="7">
        <v>0</v>
      </c>
      <c r="J2181" s="8">
        <v>0</v>
      </c>
      <c r="K2181" s="9" t="str">
        <v/>
      </c>
    </row>
    <row r="2182" spans="1:11">
      <c r="A2182" t="str">
        <v/>
      </c>
      <c r="B2182" s="6">
        <v>0</v>
      </c>
      <c r="C2182" s="7" t="str">
        <v>趣点购浦发</v>
      </c>
      <c r="D2182" s="8">
        <v>0</v>
      </c>
      <c r="E2182" s="7">
        <v>0</v>
      </c>
      <c r="F2182" s="8">
        <v>0</v>
      </c>
      <c r="G2182" s="7">
        <v>0</v>
      </c>
      <c r="H2182" s="7">
        <v>81211.819999998</v>
      </c>
      <c r="I2182" s="7">
        <v>0</v>
      </c>
      <c r="J2182" s="8">
        <v>0</v>
      </c>
      <c r="K2182" s="9" t="str">
        <v/>
      </c>
    </row>
    <row r="2183" spans="1:11">
      <c r="A2183" t="str">
        <v/>
      </c>
      <c r="B2183" s="6">
        <v>0</v>
      </c>
      <c r="C2183" s="7" t="str">
        <v>趣点购浦发</v>
      </c>
      <c r="D2183" s="8">
        <v>0</v>
      </c>
      <c r="E2183" s="7">
        <v>0</v>
      </c>
      <c r="F2183" s="8">
        <v>0</v>
      </c>
      <c r="G2183" s="7">
        <v>0</v>
      </c>
      <c r="H2183" s="7">
        <v>81211.819999998</v>
      </c>
      <c r="I2183" s="7">
        <v>0</v>
      </c>
      <c r="J2183" s="8">
        <v>0</v>
      </c>
      <c r="K2183" s="9" t="str">
        <v/>
      </c>
    </row>
    <row r="2184" spans="1:11">
      <c r="A2184" t="str">
        <v/>
      </c>
      <c r="B2184" s="6">
        <v>0</v>
      </c>
      <c r="C2184" s="7" t="str">
        <v>趣点购浦发</v>
      </c>
      <c r="D2184" s="8">
        <v>0</v>
      </c>
      <c r="E2184" s="7">
        <v>0</v>
      </c>
      <c r="F2184" s="8">
        <v>0</v>
      </c>
      <c r="G2184" s="7">
        <v>0</v>
      </c>
      <c r="H2184" s="7">
        <v>81211.819999998</v>
      </c>
      <c r="I2184" s="7">
        <v>0</v>
      </c>
      <c r="J2184" s="8">
        <v>0</v>
      </c>
      <c r="K2184" s="9" t="str">
        <v/>
      </c>
    </row>
    <row r="2185" spans="1:11">
      <c r="A2185" t="str">
        <v/>
      </c>
      <c r="B2185" s="6">
        <v>0</v>
      </c>
      <c r="C2185" s="7" t="str">
        <v>趣点购浦发</v>
      </c>
      <c r="D2185" s="8">
        <v>0</v>
      </c>
      <c r="E2185" s="7">
        <v>0</v>
      </c>
      <c r="F2185" s="8">
        <v>0</v>
      </c>
      <c r="G2185" s="7">
        <v>0</v>
      </c>
      <c r="H2185" s="7">
        <v>81211.819999998</v>
      </c>
      <c r="I2185" s="7">
        <v>0</v>
      </c>
      <c r="J2185" s="8">
        <v>0</v>
      </c>
      <c r="K2185" s="9" t="str">
        <v/>
      </c>
    </row>
    <row r="2186" spans="1:11">
      <c r="A2186" t="str">
        <v/>
      </c>
      <c r="B2186" s="6">
        <v>0</v>
      </c>
      <c r="C2186" s="7" t="str">
        <v>趣点购浦发</v>
      </c>
      <c r="D2186" s="8">
        <v>0</v>
      </c>
      <c r="E2186" s="7">
        <v>0</v>
      </c>
      <c r="F2186" s="8">
        <v>0</v>
      </c>
      <c r="G2186" s="7">
        <v>0</v>
      </c>
      <c r="H2186" s="7">
        <v>81211.819999998</v>
      </c>
      <c r="I2186" s="7">
        <v>0</v>
      </c>
      <c r="J2186" s="8">
        <v>0</v>
      </c>
      <c r="K2186" s="9" t="str">
        <v/>
      </c>
    </row>
    <row r="2187" spans="1:11">
      <c r="A2187" t="str">
        <v/>
      </c>
      <c r="B2187" s="6">
        <v>0</v>
      </c>
      <c r="C2187" s="7" t="str">
        <v>趣点购浦发</v>
      </c>
      <c r="D2187" s="8">
        <v>0</v>
      </c>
      <c r="E2187" s="7">
        <v>0</v>
      </c>
      <c r="F2187" s="8">
        <v>0</v>
      </c>
      <c r="G2187" s="7">
        <v>0</v>
      </c>
      <c r="H2187" s="7">
        <v>81211.819999998</v>
      </c>
      <c r="I2187" s="7">
        <v>0</v>
      </c>
      <c r="J2187" s="8">
        <v>0</v>
      </c>
      <c r="K2187" s="9" t="str">
        <v/>
      </c>
    </row>
    <row r="2188" spans="1:11">
      <c r="A2188" t="str">
        <v/>
      </c>
      <c r="B2188" s="6">
        <v>0</v>
      </c>
      <c r="C2188" s="7" t="str">
        <v>趣点购浦发</v>
      </c>
      <c r="D2188" s="8">
        <v>0</v>
      </c>
      <c r="E2188" s="7">
        <v>0</v>
      </c>
      <c r="F2188" s="8">
        <v>0</v>
      </c>
      <c r="G2188" s="7">
        <v>0</v>
      </c>
      <c r="H2188" s="7">
        <v>81211.819999998</v>
      </c>
      <c r="I2188" s="7">
        <v>0</v>
      </c>
      <c r="J2188" s="8">
        <v>0</v>
      </c>
      <c r="K2188" s="9" t="str">
        <v/>
      </c>
    </row>
    <row r="2189" spans="1:11">
      <c r="A2189" t="str">
        <v/>
      </c>
      <c r="B2189" s="6">
        <v>0</v>
      </c>
      <c r="C2189" s="7" t="str">
        <v>趣点购浦发</v>
      </c>
      <c r="D2189" s="8">
        <v>0</v>
      </c>
      <c r="E2189" s="7">
        <v>0</v>
      </c>
      <c r="F2189" s="8">
        <v>0</v>
      </c>
      <c r="G2189" s="7">
        <v>0</v>
      </c>
      <c r="H2189" s="7">
        <v>81211.819999998</v>
      </c>
      <c r="I2189" s="7">
        <v>0</v>
      </c>
      <c r="J2189" s="8">
        <v>0</v>
      </c>
      <c r="K2189" s="9" t="str">
        <v/>
      </c>
    </row>
    <row r="2190" spans="1:11">
      <c r="A2190" t="str">
        <v/>
      </c>
      <c r="B2190" s="6">
        <v>0</v>
      </c>
      <c r="C2190" s="7" t="str">
        <v>趣点购浦发</v>
      </c>
      <c r="D2190" s="8">
        <v>0</v>
      </c>
      <c r="E2190" s="7">
        <v>0</v>
      </c>
      <c r="F2190" s="8">
        <v>0</v>
      </c>
      <c r="G2190" s="7">
        <v>0</v>
      </c>
      <c r="H2190" s="7">
        <v>81211.819999998</v>
      </c>
      <c r="I2190" s="7">
        <v>0</v>
      </c>
      <c r="J2190" s="8">
        <v>0</v>
      </c>
      <c r="K2190" s="9" t="str">
        <v/>
      </c>
    </row>
    <row r="2191" spans="1:11">
      <c r="A2191" t="str">
        <v/>
      </c>
      <c r="B2191" s="6">
        <v>0</v>
      </c>
      <c r="C2191" s="7" t="str">
        <v>趣点购浦发</v>
      </c>
      <c r="D2191" s="8">
        <v>0</v>
      </c>
      <c r="E2191" s="7">
        <v>0</v>
      </c>
      <c r="F2191" s="8">
        <v>0</v>
      </c>
      <c r="G2191" s="7">
        <v>0</v>
      </c>
      <c r="H2191" s="7">
        <v>81211.819999998</v>
      </c>
      <c r="I2191" s="7">
        <v>0</v>
      </c>
      <c r="J2191" s="8">
        <v>0</v>
      </c>
      <c r="K2191" s="9" t="str">
        <v/>
      </c>
    </row>
    <row r="2192" spans="1:11">
      <c r="A2192" t="str">
        <v/>
      </c>
      <c r="B2192" s="6">
        <v>0</v>
      </c>
      <c r="C2192" s="7" t="str">
        <v>趣点购浦发</v>
      </c>
      <c r="D2192" s="8">
        <v>0</v>
      </c>
      <c r="E2192" s="7">
        <v>0</v>
      </c>
      <c r="F2192" s="8">
        <v>0</v>
      </c>
      <c r="G2192" s="7">
        <v>0</v>
      </c>
      <c r="H2192" s="7">
        <v>81211.819999998</v>
      </c>
      <c r="I2192" s="7">
        <v>0</v>
      </c>
      <c r="J2192" s="8">
        <v>0</v>
      </c>
      <c r="K2192" s="9" t="str">
        <v/>
      </c>
    </row>
    <row r="2193" spans="1:11">
      <c r="A2193" t="str">
        <v/>
      </c>
      <c r="B2193" s="6">
        <v>0</v>
      </c>
      <c r="C2193" s="7" t="str">
        <v>趣点购浦发</v>
      </c>
      <c r="D2193" s="8">
        <v>0</v>
      </c>
      <c r="E2193" s="7">
        <v>0</v>
      </c>
      <c r="F2193" s="8">
        <v>0</v>
      </c>
      <c r="G2193" s="7">
        <v>0</v>
      </c>
      <c r="H2193" s="7">
        <v>81211.819999998</v>
      </c>
      <c r="I2193" s="7">
        <v>0</v>
      </c>
      <c r="J2193" s="8">
        <v>0</v>
      </c>
      <c r="K2193" s="9" t="str">
        <v/>
      </c>
    </row>
    <row r="2194" spans="1:11">
      <c r="A2194" t="str">
        <v/>
      </c>
      <c r="B2194" s="6">
        <v>0</v>
      </c>
      <c r="C2194" s="7" t="str">
        <v>趣点购浦发</v>
      </c>
      <c r="D2194" s="8">
        <v>0</v>
      </c>
      <c r="E2194" s="7">
        <v>0</v>
      </c>
      <c r="F2194" s="8">
        <v>0</v>
      </c>
      <c r="G2194" s="7">
        <v>0</v>
      </c>
      <c r="H2194" s="7">
        <v>81211.819999998</v>
      </c>
      <c r="I2194" s="7">
        <v>0</v>
      </c>
      <c r="J2194" s="8">
        <v>0</v>
      </c>
      <c r="K2194" s="9" t="str">
        <v/>
      </c>
    </row>
    <row r="2195" spans="1:11">
      <c r="A2195" t="str">
        <v/>
      </c>
      <c r="B2195" s="6">
        <v>0</v>
      </c>
      <c r="C2195" s="7" t="str">
        <v>趣点购浦发</v>
      </c>
      <c r="D2195" s="8">
        <v>0</v>
      </c>
      <c r="E2195" s="7">
        <v>0</v>
      </c>
      <c r="F2195" s="8">
        <v>0</v>
      </c>
      <c r="G2195" s="7">
        <v>0</v>
      </c>
      <c r="H2195" s="7">
        <v>81211.819999998</v>
      </c>
      <c r="I2195" s="7">
        <v>0</v>
      </c>
      <c r="J2195" s="8">
        <v>0</v>
      </c>
      <c r="K2195" s="9" t="str">
        <v/>
      </c>
    </row>
    <row r="2196" spans="1:11">
      <c r="A2196" t="str">
        <v/>
      </c>
      <c r="B2196" s="6">
        <v>0</v>
      </c>
      <c r="C2196" s="7" t="str">
        <v>趣点购浦发</v>
      </c>
      <c r="D2196" s="8">
        <v>0</v>
      </c>
      <c r="E2196" s="7">
        <v>0</v>
      </c>
      <c r="F2196" s="8">
        <v>0</v>
      </c>
      <c r="G2196" s="7">
        <v>0</v>
      </c>
      <c r="H2196" s="7">
        <v>81211.819999998</v>
      </c>
      <c r="I2196" s="7">
        <v>0</v>
      </c>
      <c r="J2196" s="8">
        <v>0</v>
      </c>
      <c r="K2196" s="9" t="str">
        <v/>
      </c>
    </row>
    <row r="2197" spans="1:11">
      <c r="A2197" t="str">
        <v/>
      </c>
      <c r="B2197" s="6">
        <v>0</v>
      </c>
      <c r="C2197" s="7" t="str">
        <v>趣点购浦发</v>
      </c>
      <c r="D2197" s="8">
        <v>0</v>
      </c>
      <c r="E2197" s="7">
        <v>0</v>
      </c>
      <c r="F2197" s="8">
        <v>0</v>
      </c>
      <c r="G2197" s="7">
        <v>0</v>
      </c>
      <c r="H2197" s="7">
        <v>81211.819999998</v>
      </c>
      <c r="I2197" s="7">
        <v>0</v>
      </c>
      <c r="J2197" s="8">
        <v>0</v>
      </c>
      <c r="K2197" s="9" t="str">
        <v/>
      </c>
    </row>
    <row r="2198" spans="1:11">
      <c r="A2198" t="str">
        <v/>
      </c>
      <c r="B2198" s="6">
        <v>0</v>
      </c>
      <c r="C2198" s="7" t="str">
        <v>趣点购浦发</v>
      </c>
      <c r="D2198" s="8">
        <v>0</v>
      </c>
      <c r="E2198" s="7">
        <v>0</v>
      </c>
      <c r="F2198" s="8">
        <v>0</v>
      </c>
      <c r="G2198" s="7">
        <v>0</v>
      </c>
      <c r="H2198" s="7">
        <v>81211.819999998</v>
      </c>
      <c r="I2198" s="7">
        <v>0</v>
      </c>
      <c r="J2198" s="8">
        <v>0</v>
      </c>
      <c r="K2198" s="9" t="str">
        <v/>
      </c>
    </row>
    <row r="2199" spans="1:11">
      <c r="A2199" t="str">
        <v/>
      </c>
      <c r="B2199" s="6">
        <v>0</v>
      </c>
      <c r="C2199" s="7" t="str">
        <v>趣点购浦发</v>
      </c>
      <c r="D2199" s="8">
        <v>0</v>
      </c>
      <c r="E2199" s="7">
        <v>0</v>
      </c>
      <c r="F2199" s="8">
        <v>0</v>
      </c>
      <c r="G2199" s="7">
        <v>0</v>
      </c>
      <c r="H2199" s="7">
        <v>81211.819999998</v>
      </c>
      <c r="I2199" s="7">
        <v>0</v>
      </c>
      <c r="J2199" s="8">
        <v>0</v>
      </c>
      <c r="K2199" s="9" t="str">
        <v/>
      </c>
    </row>
    <row r="2200" spans="1:11">
      <c r="A2200" t="str">
        <v/>
      </c>
      <c r="B2200" s="6">
        <v>0</v>
      </c>
      <c r="C2200" s="7" t="str">
        <v>趣点购浦发</v>
      </c>
      <c r="D2200" s="8">
        <v>0</v>
      </c>
      <c r="E2200" s="7">
        <v>0</v>
      </c>
      <c r="F2200" s="8">
        <v>0</v>
      </c>
      <c r="G2200" s="7">
        <v>0</v>
      </c>
      <c r="H2200" s="7">
        <v>81211.819999998</v>
      </c>
      <c r="I2200" s="7">
        <v>0</v>
      </c>
      <c r="J2200" s="8">
        <v>0</v>
      </c>
      <c r="K2200" s="9" t="str">
        <v/>
      </c>
    </row>
    <row r="2201" spans="1:11">
      <c r="A2201" t="str">
        <v/>
      </c>
      <c r="B2201" s="6">
        <v>0</v>
      </c>
      <c r="C2201" s="7" t="str">
        <v>趣点购浦发</v>
      </c>
      <c r="D2201" s="8">
        <v>0</v>
      </c>
      <c r="E2201" s="7">
        <v>0</v>
      </c>
      <c r="F2201" s="8">
        <v>0</v>
      </c>
      <c r="G2201" s="7">
        <v>0</v>
      </c>
      <c r="H2201" s="7">
        <v>81211.819999998</v>
      </c>
      <c r="I2201" s="7">
        <v>0</v>
      </c>
      <c r="J2201" s="8">
        <v>0</v>
      </c>
      <c r="K2201" s="9" t="str">
        <v/>
      </c>
    </row>
    <row r="2202" spans="1:11">
      <c r="A2202" t="str">
        <v/>
      </c>
      <c r="B2202" s="6">
        <v>0</v>
      </c>
      <c r="C2202" s="7" t="str">
        <v>趣点购浦发</v>
      </c>
      <c r="D2202" s="8">
        <v>0</v>
      </c>
      <c r="E2202" s="7">
        <v>0</v>
      </c>
      <c r="F2202" s="8">
        <v>0</v>
      </c>
      <c r="G2202" s="7">
        <v>0</v>
      </c>
      <c r="H2202" s="7">
        <v>81211.819999998</v>
      </c>
      <c r="I2202" s="7">
        <v>0</v>
      </c>
      <c r="J2202" s="8">
        <v>0</v>
      </c>
      <c r="K2202" s="9" t="str">
        <v/>
      </c>
    </row>
    <row r="2203" spans="1:11">
      <c r="A2203" t="str">
        <v/>
      </c>
      <c r="B2203" s="6">
        <v>0</v>
      </c>
      <c r="C2203" s="7" t="str">
        <v>趣点购浦发</v>
      </c>
      <c r="D2203" s="8">
        <v>0</v>
      </c>
      <c r="E2203" s="7">
        <v>0</v>
      </c>
      <c r="F2203" s="8">
        <v>0</v>
      </c>
      <c r="G2203" s="7">
        <v>0</v>
      </c>
      <c r="H2203" s="7">
        <v>81211.819999998</v>
      </c>
      <c r="I2203" s="7">
        <v>0</v>
      </c>
      <c r="J2203" s="8">
        <v>0</v>
      </c>
      <c r="K2203" s="9" t="str">
        <v/>
      </c>
    </row>
    <row r="2204" spans="1:11">
      <c r="A2204" t="str">
        <v/>
      </c>
      <c r="B2204" s="6">
        <v>0</v>
      </c>
      <c r="C2204" s="7" t="str">
        <v>趣点购浦发</v>
      </c>
      <c r="D2204" s="8">
        <v>0</v>
      </c>
      <c r="E2204" s="7">
        <v>0</v>
      </c>
      <c r="F2204" s="8">
        <v>0</v>
      </c>
      <c r="G2204" s="7">
        <v>0</v>
      </c>
      <c r="H2204" s="7">
        <v>81211.819999998</v>
      </c>
      <c r="I2204" s="7">
        <v>0</v>
      </c>
      <c r="J2204" s="8">
        <v>0</v>
      </c>
      <c r="K2204" s="9" t="str">
        <v/>
      </c>
    </row>
    <row r="2205" spans="1:11">
      <c r="A2205" t="str">
        <v/>
      </c>
      <c r="B2205" s="6">
        <v>0</v>
      </c>
      <c r="C2205" s="7" t="str">
        <v>趣点购浦发</v>
      </c>
      <c r="D2205" s="8">
        <v>0</v>
      </c>
      <c r="E2205" s="7">
        <v>0</v>
      </c>
      <c r="F2205" s="8">
        <v>0</v>
      </c>
      <c r="G2205" s="7">
        <v>0</v>
      </c>
      <c r="H2205" s="7">
        <v>81211.819999998</v>
      </c>
      <c r="I2205" s="7">
        <v>0</v>
      </c>
      <c r="J2205" s="8">
        <v>0</v>
      </c>
      <c r="K2205" s="9" t="str">
        <v/>
      </c>
    </row>
    <row r="2206" spans="1:11">
      <c r="A2206" t="str">
        <v/>
      </c>
      <c r="B2206" s="6">
        <v>0</v>
      </c>
      <c r="C2206" s="7" t="str">
        <v>趣点购浦发</v>
      </c>
      <c r="D2206" s="8">
        <v>0</v>
      </c>
      <c r="E2206" s="7">
        <v>0</v>
      </c>
      <c r="F2206" s="8">
        <v>0</v>
      </c>
      <c r="G2206" s="7">
        <v>0</v>
      </c>
      <c r="H2206" s="7">
        <v>81211.819999998</v>
      </c>
      <c r="I2206" s="7">
        <v>0</v>
      </c>
      <c r="J2206" s="8">
        <v>0</v>
      </c>
      <c r="K2206" s="9" t="str">
        <v/>
      </c>
    </row>
    <row r="2207" spans="1:11">
      <c r="A2207" t="str">
        <v/>
      </c>
      <c r="B2207" s="6">
        <v>0</v>
      </c>
      <c r="C2207" s="7" t="str">
        <v>趣点购浦发</v>
      </c>
      <c r="D2207" s="8">
        <v>0</v>
      </c>
      <c r="E2207" s="7">
        <v>0</v>
      </c>
      <c r="F2207" s="8">
        <v>0</v>
      </c>
      <c r="G2207" s="7">
        <v>0</v>
      </c>
      <c r="H2207" s="7">
        <v>81211.819999998</v>
      </c>
      <c r="I2207" s="7">
        <v>0</v>
      </c>
      <c r="J2207" s="8">
        <v>0</v>
      </c>
      <c r="K2207" s="9" t="str">
        <v/>
      </c>
    </row>
    <row r="2208" spans="1:11">
      <c r="A2208" t="str">
        <v/>
      </c>
      <c r="B2208" s="6">
        <v>0</v>
      </c>
      <c r="C2208" s="7" t="str">
        <v>趣点购浦发</v>
      </c>
      <c r="D2208" s="8">
        <v>0</v>
      </c>
      <c r="E2208" s="7">
        <v>0</v>
      </c>
      <c r="F2208" s="8">
        <v>0</v>
      </c>
      <c r="G2208" s="7">
        <v>0</v>
      </c>
      <c r="H2208" s="7">
        <v>81211.819999998</v>
      </c>
      <c r="I2208" s="7">
        <v>0</v>
      </c>
      <c r="J2208" s="8">
        <v>0</v>
      </c>
      <c r="K2208" s="9" t="str">
        <v/>
      </c>
    </row>
    <row r="2209" spans="1:11">
      <c r="A2209" t="str">
        <v/>
      </c>
      <c r="B2209" s="6">
        <v>0</v>
      </c>
      <c r="C2209" s="7" t="str">
        <v>趣点购浦发</v>
      </c>
      <c r="D2209" s="8">
        <v>0</v>
      </c>
      <c r="E2209" s="7">
        <v>0</v>
      </c>
      <c r="F2209" s="8">
        <v>0</v>
      </c>
      <c r="G2209" s="7">
        <v>0</v>
      </c>
      <c r="H2209" s="7">
        <v>81211.819999998</v>
      </c>
      <c r="I2209" s="7">
        <v>0</v>
      </c>
      <c r="J2209" s="8">
        <v>0</v>
      </c>
      <c r="K2209" s="9" t="str">
        <v/>
      </c>
    </row>
    <row r="2210" spans="1:11">
      <c r="A2210" t="str">
        <v/>
      </c>
      <c r="B2210" s="6">
        <v>0</v>
      </c>
      <c r="C2210" s="7" t="str">
        <v>趣点购浦发</v>
      </c>
      <c r="D2210" s="8">
        <v>0</v>
      </c>
      <c r="E2210" s="7">
        <v>0</v>
      </c>
      <c r="F2210" s="8">
        <v>0</v>
      </c>
      <c r="G2210" s="7">
        <v>0</v>
      </c>
      <c r="H2210" s="7">
        <v>81211.819999998</v>
      </c>
      <c r="I2210" s="7">
        <v>0</v>
      </c>
      <c r="J2210" s="8">
        <v>0</v>
      </c>
      <c r="K2210" s="9" t="str">
        <v/>
      </c>
    </row>
    <row r="2211" spans="1:11">
      <c r="A2211" t="str">
        <v/>
      </c>
      <c r="B2211" s="6">
        <v>0</v>
      </c>
      <c r="C2211" s="7" t="str">
        <v>趣点购浦发</v>
      </c>
      <c r="D2211" s="8">
        <v>0</v>
      </c>
      <c r="E2211" s="7">
        <v>0</v>
      </c>
      <c r="F2211" s="8">
        <v>0</v>
      </c>
      <c r="G2211" s="7">
        <v>0</v>
      </c>
      <c r="H2211" s="7">
        <v>81211.819999998</v>
      </c>
      <c r="I2211" s="7">
        <v>0</v>
      </c>
      <c r="J2211" s="8">
        <v>0</v>
      </c>
      <c r="K2211" s="9" t="str">
        <v/>
      </c>
    </row>
    <row r="2212" spans="1:11">
      <c r="A2212" t="str">
        <v/>
      </c>
      <c r="B2212" s="6">
        <v>0</v>
      </c>
      <c r="C2212" s="7" t="str">
        <v>趣点购浦发</v>
      </c>
      <c r="D2212" s="8">
        <v>0</v>
      </c>
      <c r="E2212" s="7">
        <v>0</v>
      </c>
      <c r="F2212" s="8">
        <v>0</v>
      </c>
      <c r="G2212" s="7">
        <v>0</v>
      </c>
      <c r="H2212" s="7">
        <v>81211.819999998</v>
      </c>
      <c r="I2212" s="7">
        <v>0</v>
      </c>
      <c r="J2212" s="8">
        <v>0</v>
      </c>
      <c r="K2212" s="9" t="str">
        <v/>
      </c>
    </row>
    <row r="2213" spans="1:11">
      <c r="A2213" t="str">
        <v/>
      </c>
      <c r="B2213" s="6">
        <v>0</v>
      </c>
      <c r="C2213" s="7" t="str">
        <v>趣点购浦发</v>
      </c>
      <c r="D2213" s="8">
        <v>0</v>
      </c>
      <c r="E2213" s="7">
        <v>0</v>
      </c>
      <c r="F2213" s="8">
        <v>0</v>
      </c>
      <c r="G2213" s="7">
        <v>0</v>
      </c>
      <c r="H2213" s="7">
        <v>81211.819999998</v>
      </c>
      <c r="I2213" s="7">
        <v>0</v>
      </c>
      <c r="J2213" s="8">
        <v>0</v>
      </c>
      <c r="K2213" s="9" t="str">
        <v/>
      </c>
    </row>
    <row r="2214" spans="1:11">
      <c r="A2214" t="str">
        <v/>
      </c>
      <c r="B2214" s="6">
        <v>0</v>
      </c>
      <c r="C2214" s="7" t="str">
        <v>趣点购浦发</v>
      </c>
      <c r="D2214" s="8">
        <v>0</v>
      </c>
      <c r="E2214" s="7">
        <v>0</v>
      </c>
      <c r="F2214" s="8">
        <v>0</v>
      </c>
      <c r="G2214" s="7">
        <v>0</v>
      </c>
      <c r="H2214" s="7">
        <v>81211.819999998</v>
      </c>
      <c r="I2214" s="7">
        <v>0</v>
      </c>
      <c r="J2214" s="8">
        <v>0</v>
      </c>
      <c r="K2214" s="9" t="str">
        <v/>
      </c>
    </row>
    <row r="2215" spans="1:11">
      <c r="A2215" t="str">
        <v/>
      </c>
      <c r="B2215" s="6">
        <v>0</v>
      </c>
      <c r="C2215" s="7" t="str">
        <v>趣点购浦发</v>
      </c>
      <c r="D2215" s="8">
        <v>0</v>
      </c>
      <c r="E2215" s="7">
        <v>0</v>
      </c>
      <c r="F2215" s="8">
        <v>0</v>
      </c>
      <c r="G2215" s="7">
        <v>0</v>
      </c>
      <c r="H2215" s="7">
        <v>81211.819999998</v>
      </c>
      <c r="I2215" s="7">
        <v>0</v>
      </c>
      <c r="J2215" s="8">
        <v>0</v>
      </c>
      <c r="K2215" s="9" t="str">
        <v/>
      </c>
    </row>
    <row r="2216" spans="1:11">
      <c r="A2216" t="str">
        <v/>
      </c>
      <c r="B2216" s="6">
        <v>0</v>
      </c>
      <c r="C2216" s="7" t="str">
        <v>趣点购浦发</v>
      </c>
      <c r="D2216" s="8">
        <v>0</v>
      </c>
      <c r="E2216" s="7">
        <v>0</v>
      </c>
      <c r="F2216" s="8">
        <v>0</v>
      </c>
      <c r="G2216" s="7">
        <v>0</v>
      </c>
      <c r="H2216" s="7">
        <v>81211.819999998</v>
      </c>
      <c r="I2216" s="7">
        <v>0</v>
      </c>
      <c r="J2216" s="8">
        <v>0</v>
      </c>
      <c r="K2216" s="9" t="str">
        <v/>
      </c>
    </row>
    <row r="2217" spans="1:11">
      <c r="A2217" t="str">
        <v/>
      </c>
      <c r="B2217" s="6">
        <v>0</v>
      </c>
      <c r="C2217" s="7" t="str">
        <v>趣点购浦发</v>
      </c>
      <c r="D2217" s="8">
        <v>0</v>
      </c>
      <c r="E2217" s="7">
        <v>0</v>
      </c>
      <c r="F2217" s="8">
        <v>0</v>
      </c>
      <c r="G2217" s="7">
        <v>0</v>
      </c>
      <c r="H2217" s="7">
        <v>81211.819999998</v>
      </c>
      <c r="I2217" s="7">
        <v>0</v>
      </c>
      <c r="J2217" s="8">
        <v>0</v>
      </c>
      <c r="K2217" s="9" t="str">
        <v/>
      </c>
    </row>
    <row r="2218" spans="1:11">
      <c r="A2218" t="str">
        <v/>
      </c>
      <c r="B2218" s="6">
        <v>0</v>
      </c>
      <c r="C2218" s="7" t="str">
        <v>趣点购浦发</v>
      </c>
      <c r="D2218" s="8">
        <v>0</v>
      </c>
      <c r="E2218" s="7">
        <v>0</v>
      </c>
      <c r="F2218" s="8">
        <v>0</v>
      </c>
      <c r="G2218" s="7">
        <v>0</v>
      </c>
      <c r="H2218" s="7">
        <v>81211.819999998</v>
      </c>
      <c r="I2218" s="7">
        <v>0</v>
      </c>
      <c r="J2218" s="8">
        <v>0</v>
      </c>
      <c r="K2218" s="9" t="str">
        <v/>
      </c>
    </row>
    <row r="2219" spans="1:11">
      <c r="A2219" t="str">
        <v/>
      </c>
      <c r="B2219" s="6">
        <v>0</v>
      </c>
      <c r="C2219" s="7" t="str">
        <v>趣点购浦发</v>
      </c>
      <c r="D2219" s="8">
        <v>0</v>
      </c>
      <c r="E2219" s="7">
        <v>0</v>
      </c>
      <c r="F2219" s="8">
        <v>0</v>
      </c>
      <c r="G2219" s="7">
        <v>0</v>
      </c>
      <c r="H2219" s="7">
        <v>81211.819999998</v>
      </c>
      <c r="I2219" s="7">
        <v>0</v>
      </c>
      <c r="J2219" s="8">
        <v>0</v>
      </c>
      <c r="K2219" s="9" t="str">
        <v/>
      </c>
    </row>
    <row r="2220" spans="1:11">
      <c r="A2220" t="str">
        <v/>
      </c>
      <c r="B2220" s="6">
        <v>0</v>
      </c>
      <c r="C2220" s="7" t="str">
        <v>趣点购浦发</v>
      </c>
      <c r="D2220" s="8">
        <v>0</v>
      </c>
      <c r="E2220" s="7">
        <v>0</v>
      </c>
      <c r="F2220" s="8">
        <v>0</v>
      </c>
      <c r="G2220" s="7">
        <v>0</v>
      </c>
      <c r="H2220" s="7">
        <v>81211.819999998</v>
      </c>
      <c r="I2220" s="7">
        <v>0</v>
      </c>
      <c r="J2220" s="8">
        <v>0</v>
      </c>
      <c r="K2220" s="9" t="str">
        <v/>
      </c>
    </row>
    <row r="2221" spans="1:11">
      <c r="A2221" t="str">
        <v/>
      </c>
      <c r="B2221" s="6">
        <v>0</v>
      </c>
      <c r="C2221" s="7" t="str">
        <v>趣点购浦发</v>
      </c>
      <c r="D2221" s="8">
        <v>0</v>
      </c>
      <c r="E2221" s="7">
        <v>0</v>
      </c>
      <c r="F2221" s="8">
        <v>0</v>
      </c>
      <c r="G2221" s="7">
        <v>0</v>
      </c>
      <c r="H2221" s="7">
        <v>81211.819999998</v>
      </c>
      <c r="I2221" s="7">
        <v>0</v>
      </c>
      <c r="J2221" s="8">
        <v>0</v>
      </c>
      <c r="K2221" s="9" t="str">
        <v/>
      </c>
    </row>
    <row r="2222" spans="1:11">
      <c r="A2222" t="str">
        <v/>
      </c>
      <c r="B2222" s="6">
        <v>0</v>
      </c>
      <c r="C2222" s="7" t="str">
        <v>趣点购浦发</v>
      </c>
      <c r="D2222" s="8">
        <v>0</v>
      </c>
      <c r="E2222" s="7">
        <v>0</v>
      </c>
      <c r="F2222" s="8">
        <v>0</v>
      </c>
      <c r="G2222" s="7">
        <v>0</v>
      </c>
      <c r="H2222" s="7">
        <v>81211.819999998</v>
      </c>
      <c r="I2222" s="7">
        <v>0</v>
      </c>
      <c r="J2222" s="8">
        <v>0</v>
      </c>
      <c r="K2222" s="9" t="str">
        <v/>
      </c>
    </row>
    <row r="2223" spans="1:11">
      <c r="A2223" t="str">
        <v/>
      </c>
      <c r="B2223" s="6">
        <v>0</v>
      </c>
      <c r="C2223" s="7" t="str">
        <v>趣点购浦发</v>
      </c>
      <c r="D2223" s="8">
        <v>0</v>
      </c>
      <c r="E2223" s="7">
        <v>0</v>
      </c>
      <c r="F2223" s="8">
        <v>0</v>
      </c>
      <c r="G2223" s="7">
        <v>0</v>
      </c>
      <c r="H2223" s="7">
        <v>81211.819999998</v>
      </c>
      <c r="I2223" s="7">
        <v>0</v>
      </c>
      <c r="J2223" s="8">
        <v>0</v>
      </c>
      <c r="K2223" s="9" t="str">
        <v/>
      </c>
    </row>
    <row r="2224" spans="1:11">
      <c r="A2224" t="str">
        <v/>
      </c>
      <c r="B2224" s="6">
        <v>0</v>
      </c>
      <c r="C2224" s="7" t="str">
        <v>趣点购浦发</v>
      </c>
      <c r="D2224" s="8">
        <v>0</v>
      </c>
      <c r="E2224" s="7">
        <v>0</v>
      </c>
      <c r="F2224" s="8">
        <v>0</v>
      </c>
      <c r="G2224" s="7">
        <v>0</v>
      </c>
      <c r="H2224" s="7">
        <v>81211.819999998</v>
      </c>
      <c r="I2224" s="7">
        <v>0</v>
      </c>
      <c r="J2224" s="8">
        <v>0</v>
      </c>
      <c r="K2224" s="9" t="str">
        <v/>
      </c>
    </row>
    <row r="2225" spans="1:11">
      <c r="A2225" t="str">
        <v/>
      </c>
      <c r="B2225" s="6">
        <v>0</v>
      </c>
      <c r="C2225" s="7" t="str">
        <v>趣点购浦发</v>
      </c>
      <c r="D2225" s="8">
        <v>0</v>
      </c>
      <c r="E2225" s="7">
        <v>0</v>
      </c>
      <c r="F2225" s="8">
        <v>0</v>
      </c>
      <c r="G2225" s="7">
        <v>0</v>
      </c>
      <c r="H2225" s="7">
        <v>81211.819999998</v>
      </c>
      <c r="I2225" s="7">
        <v>0</v>
      </c>
      <c r="J2225" s="8">
        <v>0</v>
      </c>
      <c r="K2225" s="9" t="str">
        <v/>
      </c>
    </row>
    <row r="2226" spans="1:11">
      <c r="A2226" t="str">
        <v/>
      </c>
      <c r="B2226" s="6">
        <v>0</v>
      </c>
      <c r="C2226" s="7" t="str">
        <v>趣点购浦发</v>
      </c>
      <c r="D2226" s="8">
        <v>0</v>
      </c>
      <c r="E2226" s="7">
        <v>0</v>
      </c>
      <c r="F2226" s="8">
        <v>0</v>
      </c>
      <c r="G2226" s="7">
        <v>0</v>
      </c>
      <c r="H2226" s="7">
        <v>81211.819999998</v>
      </c>
      <c r="I2226" s="7">
        <v>0</v>
      </c>
      <c r="J2226" s="8">
        <v>0</v>
      </c>
      <c r="K2226" s="9" t="str">
        <v/>
      </c>
    </row>
    <row r="2227" spans="1:11">
      <c r="A2227" t="str">
        <v/>
      </c>
      <c r="B2227" s="6">
        <v>0</v>
      </c>
      <c r="C2227" s="7" t="str">
        <v>趣点购浦发</v>
      </c>
      <c r="D2227" s="8">
        <v>0</v>
      </c>
      <c r="E2227" s="7">
        <v>0</v>
      </c>
      <c r="F2227" s="8">
        <v>0</v>
      </c>
      <c r="G2227" s="7">
        <v>0</v>
      </c>
      <c r="H2227" s="7">
        <v>81211.819999998</v>
      </c>
      <c r="I2227" s="7">
        <v>0</v>
      </c>
      <c r="J2227" s="8">
        <v>0</v>
      </c>
      <c r="K2227" s="9" t="str">
        <v/>
      </c>
    </row>
    <row r="2228" spans="1:11">
      <c r="A2228" t="str">
        <v/>
      </c>
      <c r="B2228" s="6">
        <v>0</v>
      </c>
      <c r="C2228" s="7" t="str">
        <v>趣点购浦发</v>
      </c>
      <c r="D2228" s="8">
        <v>0</v>
      </c>
      <c r="E2228" s="7">
        <v>0</v>
      </c>
      <c r="F2228" s="8">
        <v>0</v>
      </c>
      <c r="G2228" s="7">
        <v>0</v>
      </c>
      <c r="H2228" s="7">
        <v>81211.819999998</v>
      </c>
      <c r="I2228" s="7">
        <v>0</v>
      </c>
      <c r="J2228" s="8">
        <v>0</v>
      </c>
      <c r="K2228" s="9" t="str">
        <v/>
      </c>
    </row>
    <row r="2229" spans="1:11">
      <c r="A2229" t="str">
        <v/>
      </c>
      <c r="B2229" s="6">
        <v>0</v>
      </c>
      <c r="C2229" s="7" t="str">
        <v>趣点购浦发</v>
      </c>
      <c r="D2229" s="8">
        <v>0</v>
      </c>
      <c r="E2229" s="7">
        <v>0</v>
      </c>
      <c r="F2229" s="8">
        <v>0</v>
      </c>
      <c r="G2229" s="7">
        <v>0</v>
      </c>
      <c r="H2229" s="7">
        <v>81211.819999998</v>
      </c>
      <c r="I2229" s="7">
        <v>0</v>
      </c>
      <c r="J2229" s="8">
        <v>0</v>
      </c>
      <c r="K2229" s="9" t="str">
        <v/>
      </c>
    </row>
    <row r="2230" spans="1:11">
      <c r="A2230" t="str">
        <v/>
      </c>
      <c r="B2230" s="6">
        <v>0</v>
      </c>
      <c r="C2230" s="7" t="str">
        <v>趣点购浦发</v>
      </c>
      <c r="D2230" s="8">
        <v>0</v>
      </c>
      <c r="E2230" s="7">
        <v>0</v>
      </c>
      <c r="F2230" s="8">
        <v>0</v>
      </c>
      <c r="G2230" s="7">
        <v>0</v>
      </c>
      <c r="H2230" s="7">
        <v>81211.819999998</v>
      </c>
      <c r="I2230" s="7">
        <v>0</v>
      </c>
      <c r="J2230" s="8">
        <v>0</v>
      </c>
      <c r="K2230" s="9" t="str">
        <v/>
      </c>
    </row>
    <row r="2231" spans="1:11">
      <c r="A2231" t="str">
        <v/>
      </c>
      <c r="B2231" s="6">
        <v>0</v>
      </c>
      <c r="C2231" s="7" t="str">
        <v>趣点购浦发</v>
      </c>
      <c r="D2231" s="8">
        <v>0</v>
      </c>
      <c r="E2231" s="7">
        <v>0</v>
      </c>
      <c r="F2231" s="8">
        <v>0</v>
      </c>
      <c r="G2231" s="7">
        <v>0</v>
      </c>
      <c r="H2231" s="7">
        <v>81211.819999998</v>
      </c>
      <c r="I2231" s="7">
        <v>0</v>
      </c>
      <c r="J2231" s="8">
        <v>0</v>
      </c>
      <c r="K2231" s="9" t="str">
        <v/>
      </c>
    </row>
    <row r="2232" spans="1:11">
      <c r="A2232" t="str">
        <v/>
      </c>
      <c r="B2232" s="6">
        <v>0</v>
      </c>
      <c r="C2232" s="7" t="str">
        <v>趣点购浦发</v>
      </c>
      <c r="D2232" s="8">
        <v>0</v>
      </c>
      <c r="E2232" s="7">
        <v>0</v>
      </c>
      <c r="F2232" s="8">
        <v>0</v>
      </c>
      <c r="G2232" s="7">
        <v>0</v>
      </c>
      <c r="H2232" s="7">
        <v>81211.819999998</v>
      </c>
      <c r="I2232" s="7">
        <v>0</v>
      </c>
      <c r="J2232" s="8">
        <v>0</v>
      </c>
      <c r="K2232" s="9" t="str">
        <v/>
      </c>
    </row>
    <row r="2233" spans="1:11">
      <c r="A2233" t="str">
        <v/>
      </c>
      <c r="B2233" s="6">
        <v>0</v>
      </c>
      <c r="C2233" s="7" t="str">
        <v>趣点购浦发</v>
      </c>
      <c r="D2233" s="8">
        <v>0</v>
      </c>
      <c r="E2233" s="7">
        <v>0</v>
      </c>
      <c r="F2233" s="8">
        <v>0</v>
      </c>
      <c r="G2233" s="7">
        <v>0</v>
      </c>
      <c r="H2233" s="7">
        <v>81211.819999998</v>
      </c>
      <c r="I2233" s="7">
        <v>0</v>
      </c>
      <c r="J2233" s="8">
        <v>0</v>
      </c>
      <c r="K2233" s="9" t="str">
        <v/>
      </c>
    </row>
    <row r="2234" spans="1:11">
      <c r="A2234" t="str">
        <v/>
      </c>
      <c r="B2234" s="6">
        <v>0</v>
      </c>
      <c r="C2234" s="7" t="str">
        <v>趣点购浦发</v>
      </c>
      <c r="D2234" s="8">
        <v>0</v>
      </c>
      <c r="E2234" s="7">
        <v>0</v>
      </c>
      <c r="F2234" s="8">
        <v>0</v>
      </c>
      <c r="G2234" s="7">
        <v>0</v>
      </c>
      <c r="H2234" s="7">
        <v>81211.819999998</v>
      </c>
      <c r="I2234" s="7">
        <v>0</v>
      </c>
      <c r="J2234" s="8">
        <v>0</v>
      </c>
      <c r="K2234" s="9" t="str">
        <v/>
      </c>
    </row>
    <row r="2235" spans="1:11">
      <c r="A2235" t="str">
        <v/>
      </c>
      <c r="B2235" s="6">
        <v>0</v>
      </c>
      <c r="C2235" s="7" t="str">
        <v>趣点购浦发</v>
      </c>
      <c r="D2235" s="8">
        <v>0</v>
      </c>
      <c r="E2235" s="7">
        <v>0</v>
      </c>
      <c r="F2235" s="8">
        <v>0</v>
      </c>
      <c r="G2235" s="7">
        <v>0</v>
      </c>
      <c r="H2235" s="7">
        <v>81211.819999998</v>
      </c>
      <c r="I2235" s="7">
        <v>0</v>
      </c>
      <c r="J2235" s="8">
        <v>0</v>
      </c>
      <c r="K2235" s="9" t="str">
        <v/>
      </c>
    </row>
    <row r="2236" spans="1:11">
      <c r="A2236" t="str">
        <v/>
      </c>
      <c r="B2236" s="6">
        <v>0</v>
      </c>
      <c r="C2236" s="7" t="str">
        <v>趣点购浦发</v>
      </c>
      <c r="D2236" s="8">
        <v>0</v>
      </c>
      <c r="E2236" s="7">
        <v>0</v>
      </c>
      <c r="F2236" s="8">
        <v>0</v>
      </c>
      <c r="G2236" s="7">
        <v>0</v>
      </c>
      <c r="H2236" s="7">
        <v>81211.819999998</v>
      </c>
      <c r="I2236" s="7">
        <v>0</v>
      </c>
      <c r="J2236" s="8">
        <v>0</v>
      </c>
      <c r="K2236" s="9" t="str">
        <v/>
      </c>
    </row>
    <row r="2237" spans="1:11">
      <c r="A2237" t="str">
        <v/>
      </c>
      <c r="B2237" s="6">
        <v>0</v>
      </c>
      <c r="C2237" s="7" t="str">
        <v>趣点购浦发</v>
      </c>
      <c r="D2237" s="8">
        <v>0</v>
      </c>
      <c r="E2237" s="7">
        <v>0</v>
      </c>
      <c r="F2237" s="8">
        <v>0</v>
      </c>
      <c r="G2237" s="7">
        <v>0</v>
      </c>
      <c r="H2237" s="7">
        <v>81211.819999998</v>
      </c>
      <c r="I2237" s="7">
        <v>0</v>
      </c>
      <c r="J2237" s="8">
        <v>0</v>
      </c>
      <c r="K2237" s="9" t="str">
        <v/>
      </c>
    </row>
    <row r="2238" spans="1:11">
      <c r="A2238" t="str">
        <v/>
      </c>
      <c r="B2238" s="6">
        <v>0</v>
      </c>
      <c r="C2238" s="7" t="str">
        <v>趣点购浦发</v>
      </c>
      <c r="D2238" s="8">
        <v>0</v>
      </c>
      <c r="E2238" s="7">
        <v>0</v>
      </c>
      <c r="F2238" s="8">
        <v>0</v>
      </c>
      <c r="G2238" s="7">
        <v>0</v>
      </c>
      <c r="H2238" s="7">
        <v>81211.819999998</v>
      </c>
      <c r="I2238" s="7">
        <v>0</v>
      </c>
      <c r="J2238" s="8">
        <v>0</v>
      </c>
      <c r="K2238" s="9" t="str">
        <v/>
      </c>
    </row>
    <row r="2239" spans="1:11">
      <c r="A2239" t="str">
        <v/>
      </c>
      <c r="B2239" s="6">
        <v>0</v>
      </c>
      <c r="C2239" s="7" t="str">
        <v>趣点购浦发</v>
      </c>
      <c r="D2239" s="8">
        <v>0</v>
      </c>
      <c r="E2239" s="7">
        <v>0</v>
      </c>
      <c r="F2239" s="8">
        <v>0</v>
      </c>
      <c r="G2239" s="7">
        <v>0</v>
      </c>
      <c r="H2239" s="7">
        <v>81211.819999998</v>
      </c>
      <c r="I2239" s="7">
        <v>0</v>
      </c>
      <c r="J2239" s="8">
        <v>0</v>
      </c>
      <c r="K2239" s="9" t="str">
        <v/>
      </c>
    </row>
    <row r="2240" spans="1:11">
      <c r="A2240" t="str">
        <v/>
      </c>
      <c r="B2240" s="6">
        <v>0</v>
      </c>
      <c r="C2240" s="7" t="str">
        <v>趣点购浦发</v>
      </c>
      <c r="D2240" s="8">
        <v>0</v>
      </c>
      <c r="E2240" s="7">
        <v>0</v>
      </c>
      <c r="F2240" s="8">
        <v>0</v>
      </c>
      <c r="G2240" s="7">
        <v>0</v>
      </c>
      <c r="H2240" s="7">
        <v>81211.819999998</v>
      </c>
      <c r="I2240" s="7">
        <v>0</v>
      </c>
      <c r="J2240" s="8">
        <v>0</v>
      </c>
      <c r="K2240" s="9" t="str">
        <v/>
      </c>
    </row>
    <row r="2241" spans="1:11">
      <c r="A2241" t="str">
        <v/>
      </c>
      <c r="B2241" s="6">
        <v>0</v>
      </c>
      <c r="C2241" s="7" t="str">
        <v>趣点购浦发</v>
      </c>
      <c r="D2241" s="8">
        <v>0</v>
      </c>
      <c r="E2241" s="7">
        <v>0</v>
      </c>
      <c r="F2241" s="8">
        <v>0</v>
      </c>
      <c r="G2241" s="7">
        <v>0</v>
      </c>
      <c r="H2241" s="7">
        <v>81211.819999998</v>
      </c>
      <c r="I2241" s="7">
        <v>0</v>
      </c>
      <c r="J2241" s="8">
        <v>0</v>
      </c>
      <c r="K2241" s="9" t="str">
        <v/>
      </c>
    </row>
    <row r="2242" spans="1:11">
      <c r="A2242" t="str">
        <v/>
      </c>
      <c r="B2242" s="6">
        <v>0</v>
      </c>
      <c r="C2242" s="7" t="str">
        <v>趣点购浦发</v>
      </c>
      <c r="D2242" s="8">
        <v>0</v>
      </c>
      <c r="E2242" s="7">
        <v>0</v>
      </c>
      <c r="F2242" s="8">
        <v>0</v>
      </c>
      <c r="G2242" s="7">
        <v>0</v>
      </c>
      <c r="H2242" s="7">
        <v>81211.819999998</v>
      </c>
      <c r="I2242" s="7">
        <v>0</v>
      </c>
      <c r="J2242" s="8">
        <v>0</v>
      </c>
      <c r="K2242" s="9" t="str">
        <v/>
      </c>
    </row>
    <row r="2243" spans="1:11">
      <c r="A2243" t="str">
        <v/>
      </c>
      <c r="B2243" s="6">
        <v>0</v>
      </c>
      <c r="C2243" s="7" t="str">
        <v>趣点购浦发</v>
      </c>
      <c r="D2243" s="8">
        <v>0</v>
      </c>
      <c r="E2243" s="7">
        <v>0</v>
      </c>
      <c r="F2243" s="8">
        <v>0</v>
      </c>
      <c r="G2243" s="7">
        <v>0</v>
      </c>
      <c r="H2243" s="7">
        <v>81211.819999998</v>
      </c>
      <c r="I2243" s="7">
        <v>0</v>
      </c>
      <c r="J2243" s="8">
        <v>0</v>
      </c>
      <c r="K2243" s="9" t="str">
        <v/>
      </c>
    </row>
    <row r="2244" spans="1:11">
      <c r="A2244" t="str">
        <v/>
      </c>
      <c r="B2244" s="6">
        <v>0</v>
      </c>
      <c r="C2244" s="7" t="str">
        <v>趣点购浦发</v>
      </c>
      <c r="D2244" s="8">
        <v>0</v>
      </c>
      <c r="E2244" s="7">
        <v>0</v>
      </c>
      <c r="F2244" s="8">
        <v>0</v>
      </c>
      <c r="G2244" s="7">
        <v>0</v>
      </c>
      <c r="H2244" s="7">
        <v>81211.819999998</v>
      </c>
      <c r="I2244" s="7">
        <v>0</v>
      </c>
      <c r="J2244" s="8">
        <v>0</v>
      </c>
      <c r="K2244" s="9" t="str">
        <v/>
      </c>
    </row>
    <row r="2245" spans="1:11">
      <c r="A2245" t="str">
        <v/>
      </c>
      <c r="B2245" s="6">
        <v>0</v>
      </c>
      <c r="C2245" s="7" t="str">
        <v>趣点购浦发</v>
      </c>
      <c r="D2245" s="8">
        <v>0</v>
      </c>
      <c r="E2245" s="7">
        <v>0</v>
      </c>
      <c r="F2245" s="8">
        <v>0</v>
      </c>
      <c r="G2245" s="7">
        <v>0</v>
      </c>
      <c r="H2245" s="7">
        <v>81211.819999998</v>
      </c>
      <c r="I2245" s="7">
        <v>0</v>
      </c>
      <c r="J2245" s="8">
        <v>0</v>
      </c>
      <c r="K2245" s="9" t="str">
        <v/>
      </c>
    </row>
    <row r="2246" spans="1:11">
      <c r="A2246" t="str">
        <v/>
      </c>
      <c r="B2246" s="6">
        <v>0</v>
      </c>
      <c r="C2246" s="7" t="str">
        <v>趣点购浦发</v>
      </c>
      <c r="D2246" s="8">
        <v>0</v>
      </c>
      <c r="E2246" s="7">
        <v>0</v>
      </c>
      <c r="F2246" s="8">
        <v>0</v>
      </c>
      <c r="G2246" s="7">
        <v>0</v>
      </c>
      <c r="H2246" s="7">
        <v>81211.819999998</v>
      </c>
      <c r="I2246" s="7">
        <v>0</v>
      </c>
      <c r="J2246" s="8">
        <v>0</v>
      </c>
      <c r="K2246" s="9" t="str">
        <v/>
      </c>
    </row>
    <row r="2247" spans="1:11">
      <c r="A2247" t="str">
        <v/>
      </c>
      <c r="B2247" s="6">
        <v>0</v>
      </c>
      <c r="C2247" s="7" t="str">
        <v>趣点购浦发</v>
      </c>
      <c r="D2247" s="8">
        <v>0</v>
      </c>
      <c r="E2247" s="7">
        <v>0</v>
      </c>
      <c r="F2247" s="8">
        <v>0</v>
      </c>
      <c r="G2247" s="7">
        <v>0</v>
      </c>
      <c r="H2247" s="7">
        <v>81211.819999998</v>
      </c>
      <c r="I2247" s="7">
        <v>0</v>
      </c>
      <c r="J2247" s="8">
        <v>0</v>
      </c>
      <c r="K2247" s="9" t="str">
        <v/>
      </c>
    </row>
    <row r="2248" spans="1:11">
      <c r="A2248" t="str">
        <v/>
      </c>
      <c r="B2248" s="6">
        <v>0</v>
      </c>
      <c r="C2248" s="7" t="str">
        <v>趣点购浦发</v>
      </c>
      <c r="D2248" s="8">
        <v>0</v>
      </c>
      <c r="E2248" s="7">
        <v>0</v>
      </c>
      <c r="F2248" s="8">
        <v>0</v>
      </c>
      <c r="G2248" s="7">
        <v>0</v>
      </c>
      <c r="H2248" s="7">
        <v>81211.819999998</v>
      </c>
      <c r="I2248" s="7">
        <v>0</v>
      </c>
      <c r="J2248" s="8">
        <v>0</v>
      </c>
      <c r="K2248" s="9" t="str">
        <v/>
      </c>
    </row>
    <row r="2249" spans="1:11">
      <c r="A2249" t="str">
        <v/>
      </c>
      <c r="B2249" s="6">
        <v>0</v>
      </c>
      <c r="C2249" s="7" t="str">
        <v>趣点购浦发</v>
      </c>
      <c r="D2249" s="8">
        <v>0</v>
      </c>
      <c r="E2249" s="7">
        <v>0</v>
      </c>
      <c r="F2249" s="8">
        <v>0</v>
      </c>
      <c r="G2249" s="7">
        <v>0</v>
      </c>
      <c r="H2249" s="7">
        <v>81211.819999998</v>
      </c>
      <c r="I2249" s="7">
        <v>0</v>
      </c>
      <c r="J2249" s="8">
        <v>0</v>
      </c>
      <c r="K2249" s="9" t="str">
        <v/>
      </c>
    </row>
    <row r="2250" spans="1:11">
      <c r="A2250" t="str">
        <v/>
      </c>
      <c r="B2250" s="6">
        <v>0</v>
      </c>
      <c r="C2250" s="7" t="str">
        <v>趣点购浦发</v>
      </c>
      <c r="D2250" s="8">
        <v>0</v>
      </c>
      <c r="E2250" s="7">
        <v>0</v>
      </c>
      <c r="F2250" s="8">
        <v>0</v>
      </c>
      <c r="G2250" s="7">
        <v>0</v>
      </c>
      <c r="H2250" s="7">
        <v>81211.819999998</v>
      </c>
      <c r="I2250" s="7">
        <v>0</v>
      </c>
      <c r="J2250" s="8">
        <v>0</v>
      </c>
      <c r="K2250" s="9" t="str">
        <v/>
      </c>
    </row>
    <row r="2251" spans="1:11">
      <c r="A2251" t="str">
        <v/>
      </c>
      <c r="B2251" s="6">
        <v>0</v>
      </c>
      <c r="C2251" s="7" t="str">
        <v>趣点购浦发</v>
      </c>
      <c r="D2251" s="8">
        <v>0</v>
      </c>
      <c r="E2251" s="7">
        <v>0</v>
      </c>
      <c r="F2251" s="8">
        <v>0</v>
      </c>
      <c r="G2251" s="7">
        <v>0</v>
      </c>
      <c r="H2251" s="7">
        <v>81211.819999998</v>
      </c>
      <c r="I2251" s="7">
        <v>0</v>
      </c>
      <c r="J2251" s="8">
        <v>0</v>
      </c>
      <c r="K2251" s="9" t="str">
        <v/>
      </c>
    </row>
    <row r="2252" spans="1:11">
      <c r="A2252" t="str">
        <v/>
      </c>
      <c r="B2252" s="6">
        <v>0</v>
      </c>
      <c r="C2252" s="7" t="str">
        <v>趣点购浦发</v>
      </c>
      <c r="D2252" s="8">
        <v>0</v>
      </c>
      <c r="E2252" s="7">
        <v>0</v>
      </c>
      <c r="F2252" s="8">
        <v>0</v>
      </c>
      <c r="G2252" s="7">
        <v>0</v>
      </c>
      <c r="H2252" s="7">
        <v>81211.819999998</v>
      </c>
      <c r="I2252" s="7">
        <v>0</v>
      </c>
      <c r="J2252" s="8">
        <v>0</v>
      </c>
      <c r="K2252" s="9" t="str">
        <v/>
      </c>
    </row>
    <row r="2253" spans="1:11">
      <c r="A2253" t="str">
        <v/>
      </c>
      <c r="B2253" s="6">
        <v>0</v>
      </c>
      <c r="C2253" s="7" t="str">
        <v>趣点购浦发</v>
      </c>
      <c r="D2253" s="8">
        <v>0</v>
      </c>
      <c r="E2253" s="7">
        <v>0</v>
      </c>
      <c r="F2253" s="8">
        <v>0</v>
      </c>
      <c r="G2253" s="7">
        <v>0</v>
      </c>
      <c r="H2253" s="7">
        <v>81211.819999998</v>
      </c>
      <c r="I2253" s="7">
        <v>0</v>
      </c>
      <c r="J2253" s="8">
        <v>0</v>
      </c>
      <c r="K2253" s="9" t="str">
        <v/>
      </c>
    </row>
    <row r="2254" spans="1:11">
      <c r="A2254" t="str">
        <v/>
      </c>
      <c r="B2254" s="6">
        <v>0</v>
      </c>
      <c r="C2254" s="7" t="str">
        <v>趣点购浦发</v>
      </c>
      <c r="D2254" s="8">
        <v>0</v>
      </c>
      <c r="E2254" s="7">
        <v>0</v>
      </c>
      <c r="F2254" s="8">
        <v>0</v>
      </c>
      <c r="G2254" s="7">
        <v>0</v>
      </c>
      <c r="H2254" s="7">
        <v>81211.819999998</v>
      </c>
      <c r="I2254" s="7">
        <v>0</v>
      </c>
      <c r="J2254" s="8">
        <v>0</v>
      </c>
      <c r="K2254" s="9" t="str">
        <v/>
      </c>
    </row>
    <row r="2255" spans="1:11">
      <c r="A2255" t="str">
        <v/>
      </c>
      <c r="B2255" s="6">
        <v>0</v>
      </c>
      <c r="C2255" s="7" t="str">
        <v>趣点购浦发</v>
      </c>
      <c r="D2255" s="8">
        <v>0</v>
      </c>
      <c r="E2255" s="7">
        <v>0</v>
      </c>
      <c r="F2255" s="8">
        <v>0</v>
      </c>
      <c r="G2255" s="7">
        <v>0</v>
      </c>
      <c r="H2255" s="7">
        <v>81211.819999998</v>
      </c>
      <c r="I2255" s="7">
        <v>0</v>
      </c>
      <c r="J2255" s="8">
        <v>0</v>
      </c>
      <c r="K2255" s="9" t="str">
        <v/>
      </c>
    </row>
    <row r="2256" spans="1:11">
      <c r="A2256" t="str">
        <v/>
      </c>
      <c r="B2256" s="6">
        <v>0</v>
      </c>
      <c r="C2256" s="7" t="str">
        <v>趣点购浦发</v>
      </c>
      <c r="D2256" s="8">
        <v>0</v>
      </c>
      <c r="E2256" s="7">
        <v>0</v>
      </c>
      <c r="F2256" s="8">
        <v>0</v>
      </c>
      <c r="G2256" s="7">
        <v>0</v>
      </c>
      <c r="H2256" s="7">
        <v>81211.819999998</v>
      </c>
      <c r="I2256" s="7">
        <v>0</v>
      </c>
      <c r="J2256" s="8">
        <v>0</v>
      </c>
      <c r="K2256" s="9" t="str">
        <v/>
      </c>
    </row>
    <row r="2257" spans="1:11">
      <c r="A2257" t="str">
        <v/>
      </c>
      <c r="B2257" s="6">
        <v>0</v>
      </c>
      <c r="C2257" s="7" t="str">
        <v>趣点购浦发</v>
      </c>
      <c r="D2257" s="8">
        <v>0</v>
      </c>
      <c r="E2257" s="7">
        <v>0</v>
      </c>
      <c r="F2257" s="8">
        <v>0</v>
      </c>
      <c r="G2257" s="7">
        <v>0</v>
      </c>
      <c r="H2257" s="7">
        <v>81211.819999998</v>
      </c>
      <c r="I2257" s="7">
        <v>0</v>
      </c>
      <c r="J2257" s="8">
        <v>0</v>
      </c>
      <c r="K2257" s="9" t="str">
        <v/>
      </c>
    </row>
    <row r="2258" spans="1:11">
      <c r="A2258" t="str">
        <v/>
      </c>
      <c r="B2258" s="6">
        <v>0</v>
      </c>
      <c r="C2258" s="7" t="str">
        <v>趣点购浦发</v>
      </c>
      <c r="D2258" s="8">
        <v>0</v>
      </c>
      <c r="E2258" s="7">
        <v>0</v>
      </c>
      <c r="F2258" s="8">
        <v>0</v>
      </c>
      <c r="G2258" s="7">
        <v>0</v>
      </c>
      <c r="H2258" s="7">
        <v>81211.819999998</v>
      </c>
      <c r="I2258" s="7">
        <v>0</v>
      </c>
      <c r="J2258" s="8">
        <v>0</v>
      </c>
      <c r="K2258" s="9" t="str">
        <v/>
      </c>
    </row>
    <row r="2259" spans="1:11">
      <c r="A2259" t="str">
        <v/>
      </c>
      <c r="B2259" s="6">
        <v>0</v>
      </c>
      <c r="C2259" s="7" t="str">
        <v>趣点购浦发</v>
      </c>
      <c r="D2259" s="8">
        <v>0</v>
      </c>
      <c r="E2259" s="7">
        <v>0</v>
      </c>
      <c r="F2259" s="8">
        <v>0</v>
      </c>
      <c r="G2259" s="7">
        <v>0</v>
      </c>
      <c r="H2259" s="7">
        <v>81211.819999998</v>
      </c>
      <c r="I2259" s="7">
        <v>0</v>
      </c>
      <c r="J2259" s="8">
        <v>0</v>
      </c>
      <c r="K2259" s="9" t="str">
        <v/>
      </c>
    </row>
    <row r="2260" spans="1:11">
      <c r="A2260" t="str">
        <v/>
      </c>
      <c r="B2260" s="6">
        <v>0</v>
      </c>
      <c r="C2260" s="7" t="str">
        <v>趣点购浦发</v>
      </c>
      <c r="D2260" s="8">
        <v>0</v>
      </c>
      <c r="E2260" s="7">
        <v>0</v>
      </c>
      <c r="F2260" s="8">
        <v>0</v>
      </c>
      <c r="G2260" s="7">
        <v>0</v>
      </c>
      <c r="H2260" s="7">
        <v>81211.819999998</v>
      </c>
      <c r="I2260" s="7">
        <v>0</v>
      </c>
      <c r="J2260" s="8">
        <v>0</v>
      </c>
      <c r="K2260" s="9" t="str">
        <v/>
      </c>
    </row>
    <row r="2261" spans="1:11">
      <c r="A2261" t="str">
        <v/>
      </c>
      <c r="B2261" s="6">
        <v>0</v>
      </c>
      <c r="C2261" s="7" t="str">
        <v>趣点购浦发</v>
      </c>
      <c r="D2261" s="8">
        <v>0</v>
      </c>
      <c r="E2261" s="7">
        <v>0</v>
      </c>
      <c r="F2261" s="8">
        <v>0</v>
      </c>
      <c r="G2261" s="7">
        <v>0</v>
      </c>
      <c r="H2261" s="7">
        <v>81211.819999998</v>
      </c>
      <c r="I2261" s="7">
        <v>0</v>
      </c>
      <c r="J2261" s="8">
        <v>0</v>
      </c>
      <c r="K2261" s="9" t="str">
        <v/>
      </c>
    </row>
    <row r="2262" spans="1:11">
      <c r="A2262" t="str">
        <v/>
      </c>
      <c r="B2262" s="6">
        <v>0</v>
      </c>
      <c r="C2262" s="7" t="str">
        <v>趣点购浦发</v>
      </c>
      <c r="D2262" s="8">
        <v>0</v>
      </c>
      <c r="E2262" s="7">
        <v>0</v>
      </c>
      <c r="F2262" s="8">
        <v>0</v>
      </c>
      <c r="G2262" s="7">
        <v>0</v>
      </c>
      <c r="H2262" s="7">
        <v>81211.819999998</v>
      </c>
      <c r="I2262" s="7">
        <v>0</v>
      </c>
      <c r="J2262" s="8">
        <v>0</v>
      </c>
      <c r="K2262" s="9" t="str">
        <v/>
      </c>
    </row>
    <row r="2263" spans="1:11">
      <c r="A2263" t="str">
        <v/>
      </c>
      <c r="B2263" s="6">
        <v>0</v>
      </c>
      <c r="C2263" s="7" t="str">
        <v>趣点购浦发</v>
      </c>
      <c r="D2263" s="8">
        <v>0</v>
      </c>
      <c r="E2263" s="7">
        <v>0</v>
      </c>
      <c r="F2263" s="8">
        <v>0</v>
      </c>
      <c r="G2263" s="7">
        <v>0</v>
      </c>
      <c r="H2263" s="7">
        <v>81211.819999998</v>
      </c>
      <c r="I2263" s="7">
        <v>0</v>
      </c>
      <c r="J2263" s="8">
        <v>0</v>
      </c>
      <c r="K2263" s="9" t="str">
        <v/>
      </c>
    </row>
    <row r="2264" spans="1:11">
      <c r="A2264" t="str">
        <v/>
      </c>
      <c r="B2264" s="6">
        <v>0</v>
      </c>
      <c r="C2264" s="7" t="str">
        <v>趣点购浦发</v>
      </c>
      <c r="D2264" s="8">
        <v>0</v>
      </c>
      <c r="E2264" s="7">
        <v>0</v>
      </c>
      <c r="F2264" s="8">
        <v>0</v>
      </c>
      <c r="G2264" s="7">
        <v>0</v>
      </c>
      <c r="H2264" s="7">
        <v>81211.819999998</v>
      </c>
      <c r="I2264" s="7">
        <v>0</v>
      </c>
      <c r="J2264" s="8">
        <v>0</v>
      </c>
      <c r="K2264" s="9" t="str">
        <v/>
      </c>
    </row>
    <row r="2265" spans="1:11">
      <c r="A2265" t="str">
        <v/>
      </c>
      <c r="B2265" s="6">
        <v>0</v>
      </c>
      <c r="C2265" s="7" t="str">
        <v>趣点购浦发</v>
      </c>
      <c r="D2265" s="8">
        <v>0</v>
      </c>
      <c r="E2265" s="7">
        <v>0</v>
      </c>
      <c r="F2265" s="8">
        <v>0</v>
      </c>
      <c r="G2265" s="7">
        <v>0</v>
      </c>
      <c r="H2265" s="7">
        <v>81211.819999998</v>
      </c>
      <c r="I2265" s="7">
        <v>0</v>
      </c>
      <c r="J2265" s="8">
        <v>0</v>
      </c>
      <c r="K2265" s="9" t="str">
        <v/>
      </c>
    </row>
    <row r="2266" spans="1:11">
      <c r="A2266" t="str">
        <v/>
      </c>
      <c r="B2266" s="6">
        <v>0</v>
      </c>
      <c r="C2266" s="7" t="str">
        <v>趣点购浦发</v>
      </c>
      <c r="D2266" s="8">
        <v>0</v>
      </c>
      <c r="E2266" s="7">
        <v>0</v>
      </c>
      <c r="F2266" s="8">
        <v>0</v>
      </c>
      <c r="G2266" s="7">
        <v>0</v>
      </c>
      <c r="H2266" s="7">
        <v>81211.819999998</v>
      </c>
      <c r="I2266" s="7">
        <v>0</v>
      </c>
      <c r="J2266" s="8">
        <v>0</v>
      </c>
      <c r="K2266" s="9" t="str">
        <v/>
      </c>
    </row>
    <row r="2267" spans="1:11">
      <c r="A2267" t="str">
        <v/>
      </c>
      <c r="B2267" s="6">
        <v>0</v>
      </c>
      <c r="C2267" s="7" t="str">
        <v>趣点购浦发</v>
      </c>
      <c r="D2267" s="8">
        <v>0</v>
      </c>
      <c r="E2267" s="7">
        <v>0</v>
      </c>
      <c r="F2267" s="8">
        <v>0</v>
      </c>
      <c r="G2267" s="7">
        <v>0</v>
      </c>
      <c r="H2267" s="7">
        <v>81211.819999998</v>
      </c>
      <c r="I2267" s="7">
        <v>0</v>
      </c>
      <c r="J2267" s="8">
        <v>0</v>
      </c>
      <c r="K2267" s="9" t="str">
        <v/>
      </c>
    </row>
    <row r="2268" spans="1:11">
      <c r="A2268" t="str">
        <v/>
      </c>
      <c r="B2268" s="6">
        <v>0</v>
      </c>
      <c r="C2268" s="7" t="str">
        <v>趣点购浦发</v>
      </c>
      <c r="D2268" s="8">
        <v>0</v>
      </c>
      <c r="E2268" s="7">
        <v>0</v>
      </c>
      <c r="F2268" s="8">
        <v>0</v>
      </c>
      <c r="G2268" s="7">
        <v>0</v>
      </c>
      <c r="H2268" s="7">
        <v>81211.819999998</v>
      </c>
      <c r="I2268" s="7">
        <v>0</v>
      </c>
      <c r="J2268" s="8">
        <v>0</v>
      </c>
      <c r="K2268" s="9" t="str">
        <v/>
      </c>
    </row>
    <row r="2269" spans="1:11">
      <c r="A2269" t="str">
        <v/>
      </c>
      <c r="B2269" s="6">
        <v>0</v>
      </c>
      <c r="C2269" s="7" t="str">
        <v>趣点购浦发</v>
      </c>
      <c r="D2269" s="8">
        <v>0</v>
      </c>
      <c r="E2269" s="7">
        <v>0</v>
      </c>
      <c r="F2269" s="8">
        <v>0</v>
      </c>
      <c r="G2269" s="7">
        <v>0</v>
      </c>
      <c r="H2269" s="7">
        <v>81211.819999998</v>
      </c>
      <c r="I2269" s="7">
        <v>0</v>
      </c>
      <c r="J2269" s="8">
        <v>0</v>
      </c>
      <c r="K2269" s="9" t="str">
        <v/>
      </c>
    </row>
    <row r="2270" spans="1:11">
      <c r="A2270" t="str">
        <v/>
      </c>
      <c r="B2270" s="6">
        <v>0</v>
      </c>
      <c r="C2270" s="7" t="str">
        <v>趣点购浦发</v>
      </c>
      <c r="D2270" s="8">
        <v>0</v>
      </c>
      <c r="E2270" s="7">
        <v>0</v>
      </c>
      <c r="F2270" s="8">
        <v>0</v>
      </c>
      <c r="G2270" s="7">
        <v>0</v>
      </c>
      <c r="H2270" s="7">
        <v>81211.819999998</v>
      </c>
      <c r="I2270" s="7">
        <v>0</v>
      </c>
      <c r="J2270" s="8">
        <v>0</v>
      </c>
      <c r="K2270" s="9" t="str">
        <v/>
      </c>
    </row>
    <row r="2271" spans="1:11">
      <c r="A2271" t="str">
        <v/>
      </c>
      <c r="B2271" s="6">
        <v>0</v>
      </c>
      <c r="C2271" s="7" t="str">
        <v>趣点购浦发</v>
      </c>
      <c r="D2271" s="8">
        <v>0</v>
      </c>
      <c r="E2271" s="7">
        <v>0</v>
      </c>
      <c r="F2271" s="8">
        <v>0</v>
      </c>
      <c r="G2271" s="7">
        <v>0</v>
      </c>
      <c r="H2271" s="7">
        <v>81211.819999998</v>
      </c>
      <c r="I2271" s="7">
        <v>0</v>
      </c>
      <c r="J2271" s="8">
        <v>0</v>
      </c>
      <c r="K2271" s="9" t="str">
        <v/>
      </c>
    </row>
    <row r="2272" spans="1:11">
      <c r="A2272" t="str">
        <v/>
      </c>
      <c r="B2272" s="6">
        <v>0</v>
      </c>
      <c r="C2272" s="7" t="str">
        <v>趣点购浦发</v>
      </c>
      <c r="D2272" s="8">
        <v>0</v>
      </c>
      <c r="E2272" s="7">
        <v>0</v>
      </c>
      <c r="F2272" s="8">
        <v>0</v>
      </c>
      <c r="G2272" s="7">
        <v>0</v>
      </c>
      <c r="H2272" s="7">
        <v>81211.819999998</v>
      </c>
      <c r="I2272" s="7">
        <v>0</v>
      </c>
      <c r="J2272" s="8">
        <v>0</v>
      </c>
      <c r="K2272" s="9" t="str">
        <v/>
      </c>
    </row>
    <row r="2273" spans="1:11">
      <c r="A2273" t="str">
        <v/>
      </c>
      <c r="B2273" s="6">
        <v>0</v>
      </c>
      <c r="C2273" s="7" t="str">
        <v>趣点购浦发</v>
      </c>
      <c r="D2273" s="8">
        <v>0</v>
      </c>
      <c r="E2273" s="7">
        <v>0</v>
      </c>
      <c r="F2273" s="8">
        <v>0</v>
      </c>
      <c r="G2273" s="7">
        <v>0</v>
      </c>
      <c r="H2273" s="7">
        <v>81211.819999998</v>
      </c>
      <c r="I2273" s="7">
        <v>0</v>
      </c>
      <c r="J2273" s="8">
        <v>0</v>
      </c>
      <c r="K2273" s="9" t="str">
        <v/>
      </c>
    </row>
    <row r="2274" spans="1:11">
      <c r="A2274" t="str">
        <v/>
      </c>
      <c r="B2274" s="6">
        <v>0</v>
      </c>
      <c r="C2274" s="7" t="str">
        <v>趣点购浦发</v>
      </c>
      <c r="D2274" s="8">
        <v>0</v>
      </c>
      <c r="E2274" s="7">
        <v>0</v>
      </c>
      <c r="F2274" s="8">
        <v>0</v>
      </c>
      <c r="G2274" s="7">
        <v>0</v>
      </c>
      <c r="H2274" s="7">
        <v>81211.819999998</v>
      </c>
      <c r="I2274" s="7">
        <v>0</v>
      </c>
      <c r="J2274" s="8">
        <v>0</v>
      </c>
      <c r="K2274" s="9" t="str">
        <v/>
      </c>
    </row>
    <row r="2275" spans="1:11">
      <c r="A2275" t="str">
        <v/>
      </c>
      <c r="B2275" s="6">
        <v>0</v>
      </c>
      <c r="C2275" s="7" t="str">
        <v>趣点购浦发</v>
      </c>
      <c r="D2275" s="8">
        <v>0</v>
      </c>
      <c r="E2275" s="7">
        <v>0</v>
      </c>
      <c r="F2275" s="8">
        <v>0</v>
      </c>
      <c r="G2275" s="7">
        <v>0</v>
      </c>
      <c r="H2275" s="7">
        <v>81211.819999998</v>
      </c>
      <c r="I2275" s="7">
        <v>0</v>
      </c>
      <c r="J2275" s="8">
        <v>0</v>
      </c>
      <c r="K2275" s="9" t="str">
        <v/>
      </c>
    </row>
    <row r="2276" spans="1:11">
      <c r="A2276" t="str">
        <v/>
      </c>
      <c r="B2276" s="6">
        <v>0</v>
      </c>
      <c r="C2276" s="7" t="str">
        <v>趣点购浦发</v>
      </c>
      <c r="D2276" s="8">
        <v>0</v>
      </c>
      <c r="E2276" s="7">
        <v>0</v>
      </c>
      <c r="F2276" s="8">
        <v>0</v>
      </c>
      <c r="G2276" s="7">
        <v>0</v>
      </c>
      <c r="H2276" s="7">
        <v>81211.819999998</v>
      </c>
      <c r="I2276" s="7">
        <v>0</v>
      </c>
      <c r="J2276" s="8">
        <v>0</v>
      </c>
      <c r="K2276" s="9" t="str">
        <v/>
      </c>
    </row>
    <row r="2277" spans="1:11">
      <c r="A2277" t="str">
        <v/>
      </c>
      <c r="B2277" s="6">
        <v>0</v>
      </c>
      <c r="C2277" s="7" t="str">
        <v>趣点购浦发</v>
      </c>
      <c r="D2277" s="8">
        <v>0</v>
      </c>
      <c r="E2277" s="7">
        <v>0</v>
      </c>
      <c r="F2277" s="8">
        <v>0</v>
      </c>
      <c r="G2277" s="7">
        <v>0</v>
      </c>
      <c r="H2277" s="7">
        <v>81211.819999998</v>
      </c>
      <c r="I2277" s="7">
        <v>0</v>
      </c>
      <c r="J2277" s="8">
        <v>0</v>
      </c>
      <c r="K2277" s="9" t="str">
        <v/>
      </c>
    </row>
    <row r="2278" spans="1:11">
      <c r="A2278" t="str">
        <v/>
      </c>
      <c r="B2278" s="6">
        <v>0</v>
      </c>
      <c r="C2278" s="7" t="str">
        <v>趣点购浦发</v>
      </c>
      <c r="D2278" s="8">
        <v>0</v>
      </c>
      <c r="E2278" s="7">
        <v>0</v>
      </c>
      <c r="F2278" s="8">
        <v>0</v>
      </c>
      <c r="G2278" s="7">
        <v>0</v>
      </c>
      <c r="H2278" s="7">
        <v>81211.819999998</v>
      </c>
      <c r="I2278" s="7">
        <v>0</v>
      </c>
      <c r="J2278" s="8">
        <v>0</v>
      </c>
      <c r="K2278" s="9" t="str">
        <v/>
      </c>
    </row>
    <row r="2279" spans="1:11">
      <c r="A2279" t="str">
        <v/>
      </c>
      <c r="B2279" s="6">
        <v>0</v>
      </c>
      <c r="C2279" s="7" t="str">
        <v>趣点购浦发</v>
      </c>
      <c r="D2279" s="8">
        <v>0</v>
      </c>
      <c r="E2279" s="7">
        <v>0</v>
      </c>
      <c r="F2279" s="8">
        <v>0</v>
      </c>
      <c r="G2279" s="7">
        <v>0</v>
      </c>
      <c r="H2279" s="7">
        <v>81211.819999998</v>
      </c>
      <c r="I2279" s="7">
        <v>0</v>
      </c>
      <c r="J2279" s="8">
        <v>0</v>
      </c>
      <c r="K2279" s="9" t="str">
        <v/>
      </c>
    </row>
    <row r="2280" spans="1:11">
      <c r="A2280" t="str">
        <v/>
      </c>
      <c r="B2280" s="6">
        <v>0</v>
      </c>
      <c r="C2280" s="7" t="str">
        <v>趣点购浦发</v>
      </c>
      <c r="D2280" s="8">
        <v>0</v>
      </c>
      <c r="E2280" s="7">
        <v>0</v>
      </c>
      <c r="F2280" s="8">
        <v>0</v>
      </c>
      <c r="G2280" s="7">
        <v>0</v>
      </c>
      <c r="H2280" s="7">
        <v>81211.819999998</v>
      </c>
      <c r="I2280" s="7">
        <v>0</v>
      </c>
      <c r="J2280" s="8">
        <v>0</v>
      </c>
      <c r="K2280" s="9" t="str">
        <v/>
      </c>
    </row>
    <row r="2281" spans="1:11">
      <c r="A2281" t="str">
        <v/>
      </c>
      <c r="B2281" s="6">
        <v>0</v>
      </c>
      <c r="C2281" s="7" t="str">
        <v>趣点购浦发</v>
      </c>
      <c r="D2281" s="8">
        <v>0</v>
      </c>
      <c r="E2281" s="7">
        <v>0</v>
      </c>
      <c r="F2281" s="8">
        <v>0</v>
      </c>
      <c r="G2281" s="7">
        <v>0</v>
      </c>
      <c r="H2281" s="7">
        <v>81211.819999998</v>
      </c>
      <c r="I2281" s="7">
        <v>0</v>
      </c>
      <c r="J2281" s="8">
        <v>0</v>
      </c>
      <c r="K2281" s="9" t="str">
        <v/>
      </c>
    </row>
    <row r="2282" spans="1:11">
      <c r="A2282" t="str">
        <v/>
      </c>
      <c r="B2282" s="6">
        <v>0</v>
      </c>
      <c r="C2282" s="7" t="str">
        <v>趣点购浦发</v>
      </c>
      <c r="D2282" s="8">
        <v>0</v>
      </c>
      <c r="E2282" s="7">
        <v>0</v>
      </c>
      <c r="F2282" s="8">
        <v>0</v>
      </c>
      <c r="G2282" s="7">
        <v>0</v>
      </c>
      <c r="H2282" s="7">
        <v>81211.819999998</v>
      </c>
      <c r="I2282" s="7">
        <v>0</v>
      </c>
      <c r="J2282" s="8">
        <v>0</v>
      </c>
      <c r="K2282" s="9" t="str">
        <v/>
      </c>
    </row>
    <row r="2283" spans="1:11">
      <c r="A2283" t="str">
        <v/>
      </c>
      <c r="B2283" s="6">
        <v>0</v>
      </c>
      <c r="C2283" s="7" t="str">
        <v>趣点购浦发</v>
      </c>
      <c r="D2283" s="8">
        <v>0</v>
      </c>
      <c r="E2283" s="7">
        <v>0</v>
      </c>
      <c r="F2283" s="8">
        <v>0</v>
      </c>
      <c r="G2283" s="7">
        <v>0</v>
      </c>
      <c r="H2283" s="7">
        <v>81211.819999998</v>
      </c>
      <c r="I2283" s="7">
        <v>0</v>
      </c>
      <c r="J2283" s="8">
        <v>0</v>
      </c>
      <c r="K2283" s="9" t="str">
        <v/>
      </c>
    </row>
    <row r="2284" spans="1:11">
      <c r="A2284" t="str">
        <v/>
      </c>
      <c r="B2284" s="6">
        <v>0</v>
      </c>
      <c r="C2284" s="7" t="str">
        <v>趣点购浦发</v>
      </c>
      <c r="D2284" s="8">
        <v>0</v>
      </c>
      <c r="E2284" s="7">
        <v>0</v>
      </c>
      <c r="F2284" s="8">
        <v>0</v>
      </c>
      <c r="G2284" s="7">
        <v>0</v>
      </c>
      <c r="H2284" s="7">
        <v>81211.819999998</v>
      </c>
      <c r="I2284" s="7">
        <v>0</v>
      </c>
      <c r="J2284" s="8">
        <v>0</v>
      </c>
      <c r="K2284" s="9" t="str">
        <v/>
      </c>
    </row>
    <row r="2285" spans="1:11">
      <c r="A2285" t="str">
        <v/>
      </c>
      <c r="B2285" s="6">
        <v>0</v>
      </c>
      <c r="C2285" s="7" t="str">
        <v>趣点购浦发</v>
      </c>
      <c r="D2285" s="8">
        <v>0</v>
      </c>
      <c r="E2285" s="7">
        <v>0</v>
      </c>
      <c r="F2285" s="8">
        <v>0</v>
      </c>
      <c r="G2285" s="7">
        <v>0</v>
      </c>
      <c r="H2285" s="7">
        <v>81211.819999998</v>
      </c>
      <c r="I2285" s="7">
        <v>0</v>
      </c>
      <c r="J2285" s="8">
        <v>0</v>
      </c>
      <c r="K2285" s="9" t="str">
        <v/>
      </c>
    </row>
    <row r="2286" spans="1:11">
      <c r="A2286" t="str">
        <v/>
      </c>
      <c r="B2286" s="6">
        <v>0</v>
      </c>
      <c r="C2286" s="7" t="str">
        <v>趣点购浦发</v>
      </c>
      <c r="D2286" s="8">
        <v>0</v>
      </c>
      <c r="E2286" s="7">
        <v>0</v>
      </c>
      <c r="F2286" s="8">
        <v>0</v>
      </c>
      <c r="G2286" s="7">
        <v>0</v>
      </c>
      <c r="H2286" s="7">
        <v>81211.819999998</v>
      </c>
      <c r="I2286" s="7">
        <v>0</v>
      </c>
      <c r="J2286" s="8">
        <v>0</v>
      </c>
      <c r="K2286" s="9" t="str">
        <v/>
      </c>
    </row>
    <row r="2287" spans="1:11">
      <c r="A2287" t="str">
        <v/>
      </c>
      <c r="B2287" s="6">
        <v>0</v>
      </c>
      <c r="C2287" s="7" t="str">
        <v>趣点购浦发</v>
      </c>
      <c r="D2287" s="8">
        <v>0</v>
      </c>
      <c r="E2287" s="7">
        <v>0</v>
      </c>
      <c r="F2287" s="8">
        <v>0</v>
      </c>
      <c r="G2287" s="7">
        <v>0</v>
      </c>
      <c r="H2287" s="7">
        <v>81211.819999998</v>
      </c>
      <c r="I2287" s="7">
        <v>0</v>
      </c>
      <c r="J2287" s="8">
        <v>0</v>
      </c>
      <c r="K2287" s="9" t="str">
        <v/>
      </c>
    </row>
    <row r="2288" spans="1:11">
      <c r="A2288" t="str">
        <v/>
      </c>
      <c r="B2288" s="6">
        <v>0</v>
      </c>
      <c r="C2288" s="7" t="str">
        <v>趣点购浦发</v>
      </c>
      <c r="D2288" s="8">
        <v>0</v>
      </c>
      <c r="E2288" s="7">
        <v>0</v>
      </c>
      <c r="F2288" s="8">
        <v>0</v>
      </c>
      <c r="G2288" s="7">
        <v>0</v>
      </c>
      <c r="H2288" s="7">
        <v>81211.819999998</v>
      </c>
      <c r="I2288" s="7">
        <v>0</v>
      </c>
      <c r="J2288" s="8">
        <v>0</v>
      </c>
      <c r="K2288" s="9" t="str">
        <v/>
      </c>
    </row>
    <row r="2289" spans="1:11">
      <c r="A2289" t="str">
        <v/>
      </c>
      <c r="B2289" s="6">
        <v>0</v>
      </c>
      <c r="C2289" s="7" t="str">
        <v>趣点购浦发</v>
      </c>
      <c r="D2289" s="8">
        <v>0</v>
      </c>
      <c r="E2289" s="7">
        <v>0</v>
      </c>
      <c r="F2289" s="8">
        <v>0</v>
      </c>
      <c r="G2289" s="7">
        <v>0</v>
      </c>
      <c r="H2289" s="7">
        <v>81211.819999998</v>
      </c>
      <c r="I2289" s="7">
        <v>0</v>
      </c>
      <c r="J2289" s="8">
        <v>0</v>
      </c>
      <c r="K2289" s="9" t="str">
        <v/>
      </c>
    </row>
    <row r="2290" spans="1:11">
      <c r="A2290" t="str">
        <v/>
      </c>
      <c r="B2290" s="6">
        <v>0</v>
      </c>
      <c r="C2290" s="7" t="str">
        <v>趣点购浦发</v>
      </c>
      <c r="D2290" s="8">
        <v>0</v>
      </c>
      <c r="E2290" s="7">
        <v>0</v>
      </c>
      <c r="F2290" s="8">
        <v>0</v>
      </c>
      <c r="G2290" s="7">
        <v>0</v>
      </c>
      <c r="H2290" s="7">
        <v>81211.819999998</v>
      </c>
      <c r="I2290" s="7">
        <v>0</v>
      </c>
      <c r="J2290" s="8">
        <v>0</v>
      </c>
      <c r="K2290" s="9" t="str">
        <v/>
      </c>
    </row>
    <row r="2291" spans="1:11">
      <c r="A2291" t="str">
        <v/>
      </c>
      <c r="B2291" s="6">
        <v>0</v>
      </c>
      <c r="C2291" s="7" t="str">
        <v>趣点购浦发</v>
      </c>
      <c r="D2291" s="8">
        <v>0</v>
      </c>
      <c r="E2291" s="7">
        <v>0</v>
      </c>
      <c r="F2291" s="8">
        <v>0</v>
      </c>
      <c r="G2291" s="7">
        <v>0</v>
      </c>
      <c r="H2291" s="7">
        <v>81211.819999998</v>
      </c>
      <c r="I2291" s="7">
        <v>0</v>
      </c>
      <c r="J2291" s="8">
        <v>0</v>
      </c>
      <c r="K2291" s="9" t="str">
        <v/>
      </c>
    </row>
    <row r="2292" spans="1:11">
      <c r="A2292" t="str">
        <v/>
      </c>
      <c r="B2292" s="6">
        <v>0</v>
      </c>
      <c r="C2292" s="7" t="str">
        <v>趣点购浦发</v>
      </c>
      <c r="D2292" s="8">
        <v>0</v>
      </c>
      <c r="E2292" s="7">
        <v>0</v>
      </c>
      <c r="F2292" s="8">
        <v>0</v>
      </c>
      <c r="G2292" s="7">
        <v>0</v>
      </c>
      <c r="H2292" s="7">
        <v>81211.819999998</v>
      </c>
      <c r="I2292" s="7">
        <v>0</v>
      </c>
      <c r="J2292" s="8">
        <v>0</v>
      </c>
      <c r="K2292" s="9" t="str">
        <v/>
      </c>
    </row>
    <row r="2293" spans="1:11">
      <c r="A2293" t="str">
        <v/>
      </c>
      <c r="B2293" s="6">
        <v>0</v>
      </c>
      <c r="C2293" s="7" t="str">
        <v>趣点购浦发</v>
      </c>
      <c r="D2293" s="8">
        <v>0</v>
      </c>
      <c r="E2293" s="7">
        <v>0</v>
      </c>
      <c r="F2293" s="8">
        <v>0</v>
      </c>
      <c r="G2293" s="7">
        <v>0</v>
      </c>
      <c r="H2293" s="7">
        <v>81211.819999998</v>
      </c>
      <c r="I2293" s="7">
        <v>0</v>
      </c>
      <c r="J2293" s="8">
        <v>0</v>
      </c>
      <c r="K2293" s="9" t="str">
        <v/>
      </c>
    </row>
    <row r="2294" spans="1:11">
      <c r="A2294" t="str">
        <v/>
      </c>
      <c r="B2294" s="6">
        <v>0</v>
      </c>
      <c r="C2294" s="7" t="str">
        <v>趣点购浦发</v>
      </c>
      <c r="D2294" s="8">
        <v>0</v>
      </c>
      <c r="E2294" s="7">
        <v>0</v>
      </c>
      <c r="F2294" s="8">
        <v>0</v>
      </c>
      <c r="G2294" s="7">
        <v>0</v>
      </c>
      <c r="H2294" s="7">
        <v>81211.819999998</v>
      </c>
      <c r="I2294" s="7">
        <v>0</v>
      </c>
      <c r="J2294" s="8">
        <v>0</v>
      </c>
      <c r="K2294" s="9" t="str">
        <v/>
      </c>
    </row>
    <row r="2295" spans="1:11">
      <c r="A2295" t="str">
        <v/>
      </c>
      <c r="B2295" s="6">
        <v>0</v>
      </c>
      <c r="C2295" s="7" t="str">
        <v>趣点购浦发</v>
      </c>
      <c r="D2295" s="8">
        <v>0</v>
      </c>
      <c r="E2295" s="7">
        <v>0</v>
      </c>
      <c r="F2295" s="8">
        <v>0</v>
      </c>
      <c r="G2295" s="7">
        <v>0</v>
      </c>
      <c r="H2295" s="7">
        <v>81211.819999998</v>
      </c>
      <c r="I2295" s="7">
        <v>0</v>
      </c>
      <c r="J2295" s="8">
        <v>0</v>
      </c>
      <c r="K2295" s="9" t="str">
        <v/>
      </c>
    </row>
    <row r="2296" spans="1:11">
      <c r="A2296" t="str">
        <v/>
      </c>
      <c r="B2296" s="6">
        <v>0</v>
      </c>
      <c r="C2296" s="7" t="str">
        <v>趣点购浦发</v>
      </c>
      <c r="D2296" s="8">
        <v>0</v>
      </c>
      <c r="E2296" s="7">
        <v>0</v>
      </c>
      <c r="F2296" s="8">
        <v>0</v>
      </c>
      <c r="G2296" s="7">
        <v>0</v>
      </c>
      <c r="H2296" s="7">
        <v>81211.819999998</v>
      </c>
      <c r="I2296" s="7">
        <v>0</v>
      </c>
      <c r="J2296" s="8">
        <v>0</v>
      </c>
      <c r="K2296" s="9" t="str">
        <v/>
      </c>
    </row>
    <row r="2297" spans="1:11">
      <c r="A2297" t="str">
        <v/>
      </c>
      <c r="B2297" s="6">
        <v>0</v>
      </c>
      <c r="C2297" s="7" t="str">
        <v>趣点购浦发</v>
      </c>
      <c r="D2297" s="8">
        <v>0</v>
      </c>
      <c r="E2297" s="7">
        <v>0</v>
      </c>
      <c r="F2297" s="8">
        <v>0</v>
      </c>
      <c r="G2297" s="7">
        <v>0</v>
      </c>
      <c r="H2297" s="7">
        <v>81211.819999998</v>
      </c>
      <c r="I2297" s="7">
        <v>0</v>
      </c>
      <c r="J2297" s="8">
        <v>0</v>
      </c>
      <c r="K2297" s="9" t="str">
        <v/>
      </c>
    </row>
    <row r="2298" spans="1:11">
      <c r="A2298" t="str">
        <v/>
      </c>
      <c r="B2298" s="6">
        <v>0</v>
      </c>
      <c r="C2298" s="7" t="str">
        <v>趣点购浦发</v>
      </c>
      <c r="D2298" s="8">
        <v>0</v>
      </c>
      <c r="E2298" s="7">
        <v>0</v>
      </c>
      <c r="F2298" s="8">
        <v>0</v>
      </c>
      <c r="G2298" s="7">
        <v>0</v>
      </c>
      <c r="H2298" s="7">
        <v>81211.819999998</v>
      </c>
      <c r="I2298" s="7">
        <v>0</v>
      </c>
      <c r="J2298" s="8">
        <v>0</v>
      </c>
      <c r="K2298" s="9" t="str">
        <v/>
      </c>
    </row>
    <row r="2299" spans="1:11">
      <c r="A2299" t="str">
        <v/>
      </c>
      <c r="B2299" s="6">
        <v>0</v>
      </c>
      <c r="C2299" s="7" t="str">
        <v>趣点购浦发</v>
      </c>
      <c r="D2299" s="8">
        <v>0</v>
      </c>
      <c r="E2299" s="7">
        <v>0</v>
      </c>
      <c r="F2299" s="8">
        <v>0</v>
      </c>
      <c r="G2299" s="7">
        <v>0</v>
      </c>
      <c r="H2299" s="7">
        <v>81211.819999998</v>
      </c>
      <c r="I2299" s="7">
        <v>0</v>
      </c>
      <c r="J2299" s="8">
        <v>0</v>
      </c>
      <c r="K2299" s="9" t="str">
        <v/>
      </c>
    </row>
    <row r="2300" spans="1:11">
      <c r="A2300" t="str">
        <v/>
      </c>
      <c r="B2300" s="6">
        <v>0</v>
      </c>
      <c r="C2300" s="7" t="str">
        <v>趣点购浦发</v>
      </c>
      <c r="D2300" s="8">
        <v>0</v>
      </c>
      <c r="E2300" s="7">
        <v>0</v>
      </c>
      <c r="F2300" s="8">
        <v>0</v>
      </c>
      <c r="G2300" s="7">
        <v>0</v>
      </c>
      <c r="H2300" s="7">
        <v>81211.819999998</v>
      </c>
      <c r="I2300" s="7">
        <v>0</v>
      </c>
      <c r="J2300" s="8">
        <v>0</v>
      </c>
      <c r="K2300" s="9" t="str">
        <v/>
      </c>
    </row>
    <row r="2301" spans="1:11">
      <c r="A2301" t="str">
        <v/>
      </c>
      <c r="B2301" s="6">
        <v>0</v>
      </c>
      <c r="C2301" s="7" t="str">
        <v>趣点购浦发</v>
      </c>
      <c r="D2301" s="8">
        <v>0</v>
      </c>
      <c r="E2301" s="7">
        <v>0</v>
      </c>
      <c r="F2301" s="8">
        <v>0</v>
      </c>
      <c r="G2301" s="7">
        <v>0</v>
      </c>
      <c r="H2301" s="7">
        <v>81211.819999998</v>
      </c>
      <c r="I2301" s="7">
        <v>0</v>
      </c>
      <c r="J2301" s="8">
        <v>0</v>
      </c>
      <c r="K2301" s="9" t="str">
        <v/>
      </c>
    </row>
    <row r="2302" spans="1:11">
      <c r="A2302" t="str">
        <v/>
      </c>
      <c r="B2302" s="6">
        <v>0</v>
      </c>
      <c r="C2302" s="7" t="str">
        <v>趣点购浦发</v>
      </c>
      <c r="D2302" s="8">
        <v>0</v>
      </c>
      <c r="E2302" s="7">
        <v>0</v>
      </c>
      <c r="F2302" s="8">
        <v>0</v>
      </c>
      <c r="G2302" s="7">
        <v>0</v>
      </c>
      <c r="H2302" s="7">
        <v>81211.819999998</v>
      </c>
      <c r="I2302" s="7">
        <v>0</v>
      </c>
      <c r="J2302" s="8">
        <v>0</v>
      </c>
      <c r="K2302" s="9" t="str">
        <v/>
      </c>
    </row>
    <row r="2303" spans="1:11">
      <c r="A2303" t="str">
        <v/>
      </c>
      <c r="B2303" s="6">
        <v>0</v>
      </c>
      <c r="C2303" s="7" t="str">
        <v>趣点购浦发</v>
      </c>
      <c r="D2303" s="8">
        <v>0</v>
      </c>
      <c r="E2303" s="7">
        <v>0</v>
      </c>
      <c r="F2303" s="8">
        <v>0</v>
      </c>
      <c r="G2303" s="7">
        <v>0</v>
      </c>
      <c r="H2303" s="7">
        <v>81211.819999998</v>
      </c>
      <c r="I2303" s="7">
        <v>0</v>
      </c>
      <c r="J2303" s="8">
        <v>0</v>
      </c>
      <c r="K2303" s="9" t="str">
        <v/>
      </c>
    </row>
    <row r="2304" spans="1:11">
      <c r="A2304" t="str">
        <v/>
      </c>
      <c r="B2304" s="6">
        <v>0</v>
      </c>
      <c r="C2304" s="7" t="str">
        <v>趣点购浦发</v>
      </c>
      <c r="D2304" s="8">
        <v>0</v>
      </c>
      <c r="E2304" s="7">
        <v>0</v>
      </c>
      <c r="F2304" s="8">
        <v>0</v>
      </c>
      <c r="G2304" s="7">
        <v>0</v>
      </c>
      <c r="H2304" s="7">
        <v>81211.819999998</v>
      </c>
      <c r="I2304" s="7">
        <v>0</v>
      </c>
      <c r="J2304" s="8">
        <v>0</v>
      </c>
      <c r="K2304" s="9" t="str">
        <v/>
      </c>
    </row>
    <row r="2305" spans="1:11">
      <c r="A2305" t="str">
        <v/>
      </c>
      <c r="B2305" s="6">
        <v>0</v>
      </c>
      <c r="C2305" s="7" t="str">
        <v>趣点购浦发</v>
      </c>
      <c r="D2305" s="8">
        <v>0</v>
      </c>
      <c r="E2305" s="7">
        <v>0</v>
      </c>
      <c r="F2305" s="8">
        <v>0</v>
      </c>
      <c r="G2305" s="7">
        <v>0</v>
      </c>
      <c r="H2305" s="7">
        <v>81211.819999998</v>
      </c>
      <c r="I2305" s="7">
        <v>0</v>
      </c>
      <c r="J2305" s="8">
        <v>0</v>
      </c>
      <c r="K2305" s="9" t="str">
        <v/>
      </c>
    </row>
    <row r="2306" spans="1:11">
      <c r="A2306" t="str">
        <v/>
      </c>
      <c r="B2306" s="6">
        <v>0</v>
      </c>
      <c r="C2306" s="7" t="str">
        <v>趣点购浦发</v>
      </c>
      <c r="D2306" s="8">
        <v>0</v>
      </c>
      <c r="E2306" s="7">
        <v>0</v>
      </c>
      <c r="F2306" s="8">
        <v>0</v>
      </c>
      <c r="G2306" s="7">
        <v>0</v>
      </c>
      <c r="H2306" s="7">
        <v>81211.819999998</v>
      </c>
      <c r="I2306" s="7">
        <v>0</v>
      </c>
      <c r="J2306" s="8">
        <v>0</v>
      </c>
      <c r="K2306" s="9" t="str">
        <v/>
      </c>
    </row>
    <row r="2307" spans="1:11">
      <c r="A2307" t="str">
        <v/>
      </c>
      <c r="B2307" s="6">
        <v>0</v>
      </c>
      <c r="C2307" s="7" t="str">
        <v>趣点购浦发</v>
      </c>
      <c r="D2307" s="8">
        <v>0</v>
      </c>
      <c r="E2307" s="7">
        <v>0</v>
      </c>
      <c r="F2307" s="8">
        <v>0</v>
      </c>
      <c r="G2307" s="7">
        <v>0</v>
      </c>
      <c r="H2307" s="7">
        <v>81211.819999998</v>
      </c>
      <c r="I2307" s="7">
        <v>0</v>
      </c>
      <c r="J2307" s="8">
        <v>0</v>
      </c>
      <c r="K2307" s="9" t="str">
        <v/>
      </c>
    </row>
    <row r="2308" spans="1:11">
      <c r="A2308" t="str">
        <v/>
      </c>
      <c r="B2308" s="6">
        <v>0</v>
      </c>
      <c r="C2308" s="7" t="str">
        <v>趣点购浦发</v>
      </c>
      <c r="D2308" s="8">
        <v>0</v>
      </c>
      <c r="E2308" s="7">
        <v>0</v>
      </c>
      <c r="F2308" s="8">
        <v>0</v>
      </c>
      <c r="G2308" s="7">
        <v>0</v>
      </c>
      <c r="H2308" s="7">
        <v>81211.819999998</v>
      </c>
      <c r="I2308" s="7">
        <v>0</v>
      </c>
      <c r="J2308" s="8">
        <v>0</v>
      </c>
      <c r="K2308" s="9" t="str">
        <v/>
      </c>
    </row>
    <row r="2309" spans="1:11">
      <c r="A2309" t="str">
        <v/>
      </c>
      <c r="B2309" s="6">
        <v>0</v>
      </c>
      <c r="C2309" s="7" t="str">
        <v>趣点购浦发</v>
      </c>
      <c r="D2309" s="8">
        <v>0</v>
      </c>
      <c r="E2309" s="7">
        <v>0</v>
      </c>
      <c r="F2309" s="8">
        <v>0</v>
      </c>
      <c r="G2309" s="7">
        <v>0</v>
      </c>
      <c r="H2309" s="7">
        <v>81211.819999998</v>
      </c>
      <c r="I2309" s="7">
        <v>0</v>
      </c>
      <c r="J2309" s="8">
        <v>0</v>
      </c>
      <c r="K2309" s="9" t="str">
        <v/>
      </c>
    </row>
    <row r="2310" spans="1:11">
      <c r="A2310" t="str">
        <v/>
      </c>
      <c r="B2310" s="6">
        <v>0</v>
      </c>
      <c r="C2310" s="7" t="str">
        <v>趣点购浦发</v>
      </c>
      <c r="D2310" s="8">
        <v>0</v>
      </c>
      <c r="E2310" s="7">
        <v>0</v>
      </c>
      <c r="F2310" s="8">
        <v>0</v>
      </c>
      <c r="G2310" s="7">
        <v>0</v>
      </c>
      <c r="H2310" s="7">
        <v>81211.819999998</v>
      </c>
      <c r="I2310" s="7">
        <v>0</v>
      </c>
      <c r="J2310" s="8">
        <v>0</v>
      </c>
      <c r="K2310" s="9" t="str">
        <v/>
      </c>
    </row>
    <row r="2311" spans="1:11">
      <c r="A2311" t="str">
        <v/>
      </c>
      <c r="B2311" s="6">
        <v>0</v>
      </c>
      <c r="C2311" s="7" t="str">
        <v>趣点购浦发</v>
      </c>
      <c r="D2311" s="8">
        <v>0</v>
      </c>
      <c r="E2311" s="7">
        <v>0</v>
      </c>
      <c r="F2311" s="8">
        <v>0</v>
      </c>
      <c r="G2311" s="7">
        <v>0</v>
      </c>
      <c r="H2311" s="7">
        <v>81211.819999998</v>
      </c>
      <c r="I2311" s="7">
        <v>0</v>
      </c>
      <c r="J2311" s="8">
        <v>0</v>
      </c>
      <c r="K2311" s="9" t="str">
        <v/>
      </c>
    </row>
    <row r="2312" spans="1:11">
      <c r="A2312" t="str">
        <v/>
      </c>
      <c r="B2312" s="6">
        <v>0</v>
      </c>
      <c r="C2312" s="7" t="str">
        <v>趣点购浦发</v>
      </c>
      <c r="D2312" s="8">
        <v>0</v>
      </c>
      <c r="E2312" s="7">
        <v>0</v>
      </c>
      <c r="F2312" s="8">
        <v>0</v>
      </c>
      <c r="G2312" s="7">
        <v>0</v>
      </c>
      <c r="H2312" s="7">
        <v>81211.819999998</v>
      </c>
      <c r="I2312" s="7">
        <v>0</v>
      </c>
      <c r="J2312" s="8">
        <v>0</v>
      </c>
      <c r="K2312" s="9" t="str">
        <v/>
      </c>
    </row>
    <row r="2313" spans="1:11">
      <c r="A2313" t="str">
        <v/>
      </c>
      <c r="B2313" s="6">
        <v>0</v>
      </c>
      <c r="C2313" s="7" t="str">
        <v>趣点购浦发</v>
      </c>
      <c r="D2313" s="8">
        <v>0</v>
      </c>
      <c r="E2313" s="7">
        <v>0</v>
      </c>
      <c r="F2313" s="8">
        <v>0</v>
      </c>
      <c r="G2313" s="7">
        <v>0</v>
      </c>
      <c r="H2313" s="7">
        <v>81211.819999998</v>
      </c>
      <c r="I2313" s="7">
        <v>0</v>
      </c>
      <c r="J2313" s="8">
        <v>0</v>
      </c>
      <c r="K2313" s="9" t="str">
        <v/>
      </c>
    </row>
    <row r="2314" spans="1:11">
      <c r="A2314" t="str">
        <v/>
      </c>
      <c r="B2314" s="6">
        <v>0</v>
      </c>
      <c r="C2314" s="7" t="str">
        <v>趣点购浦发</v>
      </c>
      <c r="D2314" s="8">
        <v>0</v>
      </c>
      <c r="E2314" s="7">
        <v>0</v>
      </c>
      <c r="F2314" s="8">
        <v>0</v>
      </c>
      <c r="G2314" s="7">
        <v>0</v>
      </c>
      <c r="H2314" s="7">
        <v>81211.819999998</v>
      </c>
      <c r="I2314" s="7">
        <v>0</v>
      </c>
      <c r="J2314" s="8">
        <v>0</v>
      </c>
      <c r="K2314" s="9" t="str">
        <v/>
      </c>
    </row>
    <row r="2315" spans="1:11">
      <c r="A2315" t="str">
        <v/>
      </c>
      <c r="B2315" s="6">
        <v>0</v>
      </c>
      <c r="C2315" s="7" t="str">
        <v>趣点购浦发</v>
      </c>
      <c r="D2315" s="8">
        <v>0</v>
      </c>
      <c r="E2315" s="7">
        <v>0</v>
      </c>
      <c r="F2315" s="8">
        <v>0</v>
      </c>
      <c r="G2315" s="7">
        <v>0</v>
      </c>
      <c r="H2315" s="7">
        <v>81211.819999998</v>
      </c>
      <c r="I2315" s="7">
        <v>0</v>
      </c>
      <c r="J2315" s="8">
        <v>0</v>
      </c>
      <c r="K2315" s="9" t="str">
        <v/>
      </c>
    </row>
    <row r="2316" spans="1:11">
      <c r="A2316" t="str">
        <v/>
      </c>
      <c r="B2316" s="6">
        <v>0</v>
      </c>
      <c r="C2316" s="7" t="str">
        <v>趣点购浦发</v>
      </c>
      <c r="D2316" s="8">
        <v>0</v>
      </c>
      <c r="E2316" s="7">
        <v>0</v>
      </c>
      <c r="F2316" s="8">
        <v>0</v>
      </c>
      <c r="G2316" s="7">
        <v>0</v>
      </c>
      <c r="H2316" s="7">
        <v>81211.819999998</v>
      </c>
      <c r="I2316" s="7">
        <v>0</v>
      </c>
      <c r="J2316" s="8">
        <v>0</v>
      </c>
      <c r="K2316" s="9" t="str">
        <v/>
      </c>
    </row>
    <row r="2317" spans="1:11">
      <c r="A2317" t="str">
        <v/>
      </c>
      <c r="B2317" s="6">
        <v>0</v>
      </c>
      <c r="C2317" s="7" t="str">
        <v>趣点购浦发</v>
      </c>
      <c r="D2317" s="8">
        <v>0</v>
      </c>
      <c r="E2317" s="7">
        <v>0</v>
      </c>
      <c r="F2317" s="8">
        <v>0</v>
      </c>
      <c r="G2317" s="7">
        <v>0</v>
      </c>
      <c r="H2317" s="7">
        <v>81211.819999998</v>
      </c>
      <c r="I2317" s="7">
        <v>0</v>
      </c>
      <c r="J2317" s="8">
        <v>0</v>
      </c>
      <c r="K2317" s="9" t="str">
        <v/>
      </c>
    </row>
    <row r="2318" spans="1:11">
      <c r="A2318" t="str">
        <v/>
      </c>
      <c r="B2318" s="6">
        <v>0</v>
      </c>
      <c r="C2318" s="7" t="str">
        <v>趣点购浦发</v>
      </c>
      <c r="D2318" s="8">
        <v>0</v>
      </c>
      <c r="E2318" s="7">
        <v>0</v>
      </c>
      <c r="F2318" s="8">
        <v>0</v>
      </c>
      <c r="G2318" s="7">
        <v>0</v>
      </c>
      <c r="H2318" s="7">
        <v>81211.819999998</v>
      </c>
      <c r="I2318" s="7">
        <v>0</v>
      </c>
      <c r="J2318" s="8">
        <v>0</v>
      </c>
      <c r="K2318" s="9" t="str">
        <v/>
      </c>
    </row>
    <row r="2319" spans="1:11">
      <c r="A2319" t="str">
        <v/>
      </c>
      <c r="B2319" s="6">
        <v>0</v>
      </c>
      <c r="C2319" s="7" t="str">
        <v>趣点购浦发</v>
      </c>
      <c r="D2319" s="8">
        <v>0</v>
      </c>
      <c r="E2319" s="7">
        <v>0</v>
      </c>
      <c r="F2319" s="8">
        <v>0</v>
      </c>
      <c r="G2319" s="7">
        <v>0</v>
      </c>
      <c r="H2319" s="7">
        <v>81211.819999998</v>
      </c>
      <c r="I2319" s="7">
        <v>0</v>
      </c>
      <c r="J2319" s="8">
        <v>0</v>
      </c>
      <c r="K2319" s="9" t="str">
        <v/>
      </c>
    </row>
    <row r="2320" spans="1:11">
      <c r="A2320" t="str">
        <v/>
      </c>
      <c r="B2320" s="6">
        <v>0</v>
      </c>
      <c r="C2320" s="7" t="str">
        <v>趣点购浦发</v>
      </c>
      <c r="D2320" s="8">
        <v>0</v>
      </c>
      <c r="E2320" s="7">
        <v>0</v>
      </c>
      <c r="F2320" s="8">
        <v>0</v>
      </c>
      <c r="G2320" s="7">
        <v>0</v>
      </c>
      <c r="H2320" s="7">
        <v>81211.819999998</v>
      </c>
      <c r="I2320" s="7">
        <v>0</v>
      </c>
      <c r="J2320" s="8">
        <v>0</v>
      </c>
      <c r="K2320" s="9" t="str">
        <v/>
      </c>
    </row>
    <row r="2321" spans="1:11">
      <c r="A2321" t="str">
        <v/>
      </c>
      <c r="B2321" s="6">
        <v>0</v>
      </c>
      <c r="C2321" s="7" t="str">
        <v>趣点购浦发</v>
      </c>
      <c r="D2321" s="8">
        <v>0</v>
      </c>
      <c r="E2321" s="7">
        <v>0</v>
      </c>
      <c r="F2321" s="8">
        <v>0</v>
      </c>
      <c r="G2321" s="7">
        <v>0</v>
      </c>
      <c r="H2321" s="7">
        <v>81211.819999998</v>
      </c>
      <c r="I2321" s="7">
        <v>0</v>
      </c>
      <c r="J2321" s="8">
        <v>0</v>
      </c>
      <c r="K2321" s="9" t="str">
        <v/>
      </c>
    </row>
    <row r="2322" spans="1:11">
      <c r="A2322" t="str">
        <v/>
      </c>
      <c r="B2322" s="6">
        <v>0</v>
      </c>
      <c r="C2322" s="7" t="str">
        <v>趣点购浦发</v>
      </c>
      <c r="D2322" s="8">
        <v>0</v>
      </c>
      <c r="E2322" s="7">
        <v>0</v>
      </c>
      <c r="F2322" s="8">
        <v>0</v>
      </c>
      <c r="G2322" s="7">
        <v>0</v>
      </c>
      <c r="H2322" s="7">
        <v>81211.819999998</v>
      </c>
      <c r="I2322" s="7">
        <v>0</v>
      </c>
      <c r="J2322" s="8">
        <v>0</v>
      </c>
      <c r="K2322" s="9" t="str">
        <v/>
      </c>
    </row>
    <row r="2323" spans="1:11">
      <c r="A2323" t="str">
        <v/>
      </c>
      <c r="B2323" s="6">
        <v>0</v>
      </c>
      <c r="C2323" s="7" t="str">
        <v>趣点购浦发</v>
      </c>
      <c r="D2323" s="8">
        <v>0</v>
      </c>
      <c r="E2323" s="7">
        <v>0</v>
      </c>
      <c r="F2323" s="8">
        <v>0</v>
      </c>
      <c r="G2323" s="7">
        <v>0</v>
      </c>
      <c r="H2323" s="7">
        <v>81211.819999998</v>
      </c>
      <c r="I2323" s="7">
        <v>0</v>
      </c>
      <c r="J2323" s="8">
        <v>0</v>
      </c>
      <c r="K2323" s="9" t="str">
        <v/>
      </c>
    </row>
    <row r="2324" spans="1:11">
      <c r="A2324" t="str">
        <v/>
      </c>
      <c r="B2324" s="6">
        <v>0</v>
      </c>
      <c r="C2324" s="7" t="str">
        <v>趣点购浦发</v>
      </c>
      <c r="D2324" s="8">
        <v>0</v>
      </c>
      <c r="E2324" s="7">
        <v>0</v>
      </c>
      <c r="F2324" s="8">
        <v>0</v>
      </c>
      <c r="G2324" s="7">
        <v>0</v>
      </c>
      <c r="H2324" s="7">
        <v>81211.819999998</v>
      </c>
      <c r="I2324" s="7">
        <v>0</v>
      </c>
      <c r="J2324" s="8">
        <v>0</v>
      </c>
      <c r="K2324" s="9" t="str">
        <v/>
      </c>
    </row>
    <row r="2325" spans="1:11">
      <c r="A2325" t="str">
        <v/>
      </c>
      <c r="B2325" s="6">
        <v>0</v>
      </c>
      <c r="C2325" s="7" t="str">
        <v>趣点购浦发</v>
      </c>
      <c r="D2325" s="8">
        <v>0</v>
      </c>
      <c r="E2325" s="7">
        <v>0</v>
      </c>
      <c r="F2325" s="8">
        <v>0</v>
      </c>
      <c r="G2325" s="7">
        <v>0</v>
      </c>
      <c r="H2325" s="7">
        <v>81211.819999998</v>
      </c>
      <c r="I2325" s="7">
        <v>0</v>
      </c>
      <c r="J2325" s="8">
        <v>0</v>
      </c>
      <c r="K2325" s="9" t="str">
        <v/>
      </c>
    </row>
    <row r="2326" spans="1:11">
      <c r="A2326" t="str">
        <v/>
      </c>
      <c r="B2326" s="6">
        <v>0</v>
      </c>
      <c r="C2326" s="7" t="str">
        <v>趣点购浦发</v>
      </c>
      <c r="D2326" s="8">
        <v>0</v>
      </c>
      <c r="E2326" s="7">
        <v>0</v>
      </c>
      <c r="F2326" s="8">
        <v>0</v>
      </c>
      <c r="G2326" s="7">
        <v>0</v>
      </c>
      <c r="H2326" s="7">
        <v>81211.819999998</v>
      </c>
      <c r="I2326" s="7">
        <v>0</v>
      </c>
      <c r="J2326" s="8">
        <v>0</v>
      </c>
      <c r="K2326" s="9" t="str">
        <v/>
      </c>
    </row>
    <row r="2327" spans="1:11">
      <c r="A2327" t="str">
        <v/>
      </c>
      <c r="B2327" s="6">
        <v>0</v>
      </c>
      <c r="C2327" s="7" t="str">
        <v>趣点购浦发</v>
      </c>
      <c r="D2327" s="8">
        <v>0</v>
      </c>
      <c r="E2327" s="7">
        <v>0</v>
      </c>
      <c r="F2327" s="8">
        <v>0</v>
      </c>
      <c r="G2327" s="7">
        <v>0</v>
      </c>
      <c r="H2327" s="7">
        <v>81211.819999998</v>
      </c>
      <c r="I2327" s="7">
        <v>0</v>
      </c>
      <c r="J2327" s="8">
        <v>0</v>
      </c>
      <c r="K2327" s="9" t="str">
        <v/>
      </c>
    </row>
    <row r="2328" spans="1:11">
      <c r="A2328" t="str">
        <v/>
      </c>
      <c r="B2328" s="6">
        <v>0</v>
      </c>
      <c r="C2328" s="7" t="str">
        <v>趣点购浦发</v>
      </c>
      <c r="D2328" s="8">
        <v>0</v>
      </c>
      <c r="E2328" s="7">
        <v>0</v>
      </c>
      <c r="F2328" s="8">
        <v>0</v>
      </c>
      <c r="G2328" s="7">
        <v>0</v>
      </c>
      <c r="H2328" s="7">
        <v>81211.819999998</v>
      </c>
      <c r="I2328" s="7">
        <v>0</v>
      </c>
      <c r="J2328" s="8">
        <v>0</v>
      </c>
      <c r="K2328" s="9" t="str">
        <v/>
      </c>
    </row>
    <row r="2329" spans="1:11">
      <c r="A2329" t="str">
        <v/>
      </c>
      <c r="B2329" s="6">
        <v>0</v>
      </c>
      <c r="C2329" s="7" t="str">
        <v>趣点购浦发</v>
      </c>
      <c r="D2329" s="8">
        <v>0</v>
      </c>
      <c r="E2329" s="7">
        <v>0</v>
      </c>
      <c r="F2329" s="8">
        <v>0</v>
      </c>
      <c r="G2329" s="7">
        <v>0</v>
      </c>
      <c r="H2329" s="7">
        <v>81211.819999998</v>
      </c>
      <c r="I2329" s="7">
        <v>0</v>
      </c>
      <c r="J2329" s="8">
        <v>0</v>
      </c>
      <c r="K2329" s="9" t="str">
        <v/>
      </c>
    </row>
    <row r="2330" spans="1:11">
      <c r="A2330" t="str">
        <v/>
      </c>
      <c r="B2330" s="6">
        <v>0</v>
      </c>
      <c r="C2330" s="7" t="str">
        <v>趣点购浦发</v>
      </c>
      <c r="D2330" s="8">
        <v>0</v>
      </c>
      <c r="E2330" s="7">
        <v>0</v>
      </c>
      <c r="F2330" s="8">
        <v>0</v>
      </c>
      <c r="G2330" s="7">
        <v>0</v>
      </c>
      <c r="H2330" s="7">
        <v>81211.819999998</v>
      </c>
      <c r="I2330" s="7">
        <v>0</v>
      </c>
      <c r="J2330" s="8">
        <v>0</v>
      </c>
      <c r="K2330" s="9" t="str">
        <v/>
      </c>
    </row>
    <row r="2331" spans="1:11">
      <c r="A2331" t="str">
        <v/>
      </c>
      <c r="B2331" s="6">
        <v>0</v>
      </c>
      <c r="C2331" s="7" t="str">
        <v>趣点购浦发</v>
      </c>
      <c r="D2331" s="8">
        <v>0</v>
      </c>
      <c r="E2331" s="7">
        <v>0</v>
      </c>
      <c r="F2331" s="8">
        <v>0</v>
      </c>
      <c r="G2331" s="7">
        <v>0</v>
      </c>
      <c r="H2331" s="7">
        <v>81211.819999998</v>
      </c>
      <c r="I2331" s="7">
        <v>0</v>
      </c>
      <c r="J2331" s="8">
        <v>0</v>
      </c>
      <c r="K2331" s="9" t="str">
        <v/>
      </c>
    </row>
    <row r="2332" spans="1:11">
      <c r="A2332" t="str">
        <v/>
      </c>
      <c r="B2332" s="6">
        <v>0</v>
      </c>
      <c r="C2332" s="7" t="str">
        <v>趣点购浦发</v>
      </c>
      <c r="D2332" s="8">
        <v>0</v>
      </c>
      <c r="E2332" s="7">
        <v>0</v>
      </c>
      <c r="F2332" s="8">
        <v>0</v>
      </c>
      <c r="G2332" s="7">
        <v>0</v>
      </c>
      <c r="H2332" s="7">
        <v>81211.819999998</v>
      </c>
      <c r="I2332" s="7">
        <v>0</v>
      </c>
      <c r="J2332" s="8">
        <v>0</v>
      </c>
      <c r="K2332" s="9" t="str">
        <v/>
      </c>
    </row>
    <row r="2333" spans="1:11">
      <c r="A2333" t="str">
        <v/>
      </c>
      <c r="B2333" s="6">
        <v>0</v>
      </c>
      <c r="C2333" s="7" t="str">
        <v>趣点购浦发</v>
      </c>
      <c r="D2333" s="8">
        <v>0</v>
      </c>
      <c r="E2333" s="7">
        <v>0</v>
      </c>
      <c r="F2333" s="8">
        <v>0</v>
      </c>
      <c r="G2333" s="7">
        <v>0</v>
      </c>
      <c r="H2333" s="7">
        <v>81211.819999998</v>
      </c>
      <c r="I2333" s="7">
        <v>0</v>
      </c>
      <c r="J2333" s="8">
        <v>0</v>
      </c>
      <c r="K2333" s="9" t="str">
        <v/>
      </c>
    </row>
    <row r="2334" spans="1:11">
      <c r="A2334" t="str">
        <v/>
      </c>
      <c r="B2334" s="6">
        <v>0</v>
      </c>
      <c r="C2334" s="7" t="str">
        <v>趣点购浦发</v>
      </c>
      <c r="D2334" s="8">
        <v>0</v>
      </c>
      <c r="E2334" s="7">
        <v>0</v>
      </c>
      <c r="F2334" s="8">
        <v>0</v>
      </c>
      <c r="G2334" s="7">
        <v>0</v>
      </c>
      <c r="H2334" s="7">
        <v>81211.819999998</v>
      </c>
      <c r="I2334" s="7">
        <v>0</v>
      </c>
      <c r="J2334" s="8">
        <v>0</v>
      </c>
      <c r="K2334" s="9" t="str">
        <v/>
      </c>
    </row>
    <row r="2335" spans="1:11">
      <c r="A2335" t="str">
        <v/>
      </c>
      <c r="B2335" s="6">
        <v>0</v>
      </c>
      <c r="C2335" s="7" t="str">
        <v>趣点购浦发</v>
      </c>
      <c r="D2335" s="8">
        <v>0</v>
      </c>
      <c r="E2335" s="7">
        <v>0</v>
      </c>
      <c r="F2335" s="8">
        <v>0</v>
      </c>
      <c r="G2335" s="7">
        <v>0</v>
      </c>
      <c r="H2335" s="7">
        <v>81211.819999998</v>
      </c>
      <c r="I2335" s="7">
        <v>0</v>
      </c>
      <c r="J2335" s="8">
        <v>0</v>
      </c>
      <c r="K2335" s="9" t="str">
        <v/>
      </c>
    </row>
    <row r="2336" spans="1:11">
      <c r="A2336" t="str">
        <v/>
      </c>
      <c r="B2336" s="6">
        <v>0</v>
      </c>
      <c r="C2336" s="7" t="str">
        <v>趣点购浦发</v>
      </c>
      <c r="D2336" s="8">
        <v>0</v>
      </c>
      <c r="E2336" s="7">
        <v>0</v>
      </c>
      <c r="F2336" s="8">
        <v>0</v>
      </c>
      <c r="G2336" s="7">
        <v>0</v>
      </c>
      <c r="H2336" s="7">
        <v>81211.819999998</v>
      </c>
      <c r="I2336" s="7">
        <v>0</v>
      </c>
      <c r="J2336" s="8">
        <v>0</v>
      </c>
      <c r="K2336" s="9" t="str">
        <v/>
      </c>
    </row>
    <row r="2337" spans="1:11">
      <c r="A2337" t="str">
        <v/>
      </c>
      <c r="B2337" s="6">
        <v>0</v>
      </c>
      <c r="C2337" s="7" t="str">
        <v>趣点购浦发</v>
      </c>
      <c r="D2337" s="8">
        <v>0</v>
      </c>
      <c r="E2337" s="7">
        <v>0</v>
      </c>
      <c r="F2337" s="8">
        <v>0</v>
      </c>
      <c r="G2337" s="7">
        <v>0</v>
      </c>
      <c r="H2337" s="7">
        <v>81211.819999998</v>
      </c>
      <c r="I2337" s="7">
        <v>0</v>
      </c>
      <c r="J2337" s="8">
        <v>0</v>
      </c>
      <c r="K2337" s="9" t="str">
        <v/>
      </c>
    </row>
    <row r="2338" spans="1:11">
      <c r="A2338" t="str">
        <v/>
      </c>
      <c r="B2338" s="6">
        <v>0</v>
      </c>
      <c r="C2338" s="7" t="str">
        <v>趣点购浦发</v>
      </c>
      <c r="D2338" s="8">
        <v>0</v>
      </c>
      <c r="E2338" s="7">
        <v>0</v>
      </c>
      <c r="F2338" s="8">
        <v>0</v>
      </c>
      <c r="G2338" s="7">
        <v>0</v>
      </c>
      <c r="H2338" s="7">
        <v>81211.819999998</v>
      </c>
      <c r="I2338" s="7">
        <v>0</v>
      </c>
      <c r="J2338" s="8">
        <v>0</v>
      </c>
      <c r="K2338" s="9" t="str">
        <v/>
      </c>
    </row>
    <row r="2339" spans="1:11">
      <c r="A2339" t="str">
        <v/>
      </c>
      <c r="B2339" s="6">
        <v>0</v>
      </c>
      <c r="C2339" s="7" t="str">
        <v>趣点购浦发</v>
      </c>
      <c r="D2339" s="8">
        <v>0</v>
      </c>
      <c r="E2339" s="7">
        <v>0</v>
      </c>
      <c r="F2339" s="8">
        <v>0</v>
      </c>
      <c r="G2339" s="7">
        <v>0</v>
      </c>
      <c r="H2339" s="7">
        <v>81211.819999998</v>
      </c>
      <c r="I2339" s="7">
        <v>0</v>
      </c>
      <c r="J2339" s="8">
        <v>0</v>
      </c>
      <c r="K2339" s="9" t="str">
        <v/>
      </c>
    </row>
    <row r="2340" spans="1:11">
      <c r="A2340" t="str">
        <v/>
      </c>
      <c r="B2340" s="6">
        <v>0</v>
      </c>
      <c r="C2340" s="7" t="str">
        <v>趣点购浦发</v>
      </c>
      <c r="D2340" s="8">
        <v>0</v>
      </c>
      <c r="E2340" s="7">
        <v>0</v>
      </c>
      <c r="F2340" s="8">
        <v>0</v>
      </c>
      <c r="G2340" s="7">
        <v>0</v>
      </c>
      <c r="H2340" s="7">
        <v>81211.819999998</v>
      </c>
      <c r="I2340" s="7">
        <v>0</v>
      </c>
      <c r="J2340" s="8">
        <v>0</v>
      </c>
      <c r="K2340" s="9" t="str">
        <v/>
      </c>
    </row>
    <row r="2341" spans="1:11">
      <c r="A2341" t="str">
        <v/>
      </c>
      <c r="B2341" s="6">
        <v>0</v>
      </c>
      <c r="C2341" s="7" t="str">
        <v>趣点购浦发</v>
      </c>
      <c r="D2341" s="8">
        <v>0</v>
      </c>
      <c r="E2341" s="7">
        <v>0</v>
      </c>
      <c r="F2341" s="8">
        <v>0</v>
      </c>
      <c r="G2341" s="7">
        <v>0</v>
      </c>
      <c r="H2341" s="7">
        <v>81211.819999998</v>
      </c>
      <c r="I2341" s="7">
        <v>0</v>
      </c>
      <c r="J2341" s="8">
        <v>0</v>
      </c>
      <c r="K2341" s="9" t="str">
        <v/>
      </c>
    </row>
    <row r="2342" spans="1:11">
      <c r="A2342" t="str">
        <v/>
      </c>
      <c r="B2342" s="6">
        <v>0</v>
      </c>
      <c r="C2342" s="7" t="str">
        <v>趣点购浦发</v>
      </c>
      <c r="D2342" s="8">
        <v>0</v>
      </c>
      <c r="E2342" s="7">
        <v>0</v>
      </c>
      <c r="F2342" s="8">
        <v>0</v>
      </c>
      <c r="G2342" s="7">
        <v>0</v>
      </c>
      <c r="H2342" s="7">
        <v>81211.819999998</v>
      </c>
      <c r="I2342" s="7">
        <v>0</v>
      </c>
      <c r="J2342" s="8">
        <v>0</v>
      </c>
      <c r="K2342" s="9" t="str">
        <v/>
      </c>
    </row>
    <row r="2343" spans="1:11">
      <c r="A2343" t="str">
        <v/>
      </c>
      <c r="B2343" s="6">
        <v>0</v>
      </c>
      <c r="C2343" s="7" t="str">
        <v>趣点购浦发</v>
      </c>
      <c r="D2343" s="8">
        <v>0</v>
      </c>
      <c r="E2343" s="7">
        <v>0</v>
      </c>
      <c r="F2343" s="8">
        <v>0</v>
      </c>
      <c r="G2343" s="7">
        <v>0</v>
      </c>
      <c r="H2343" s="7">
        <v>81211.819999998</v>
      </c>
      <c r="I2343" s="7">
        <v>0</v>
      </c>
      <c r="J2343" s="8">
        <v>0</v>
      </c>
      <c r="K2343" s="9" t="str">
        <v/>
      </c>
    </row>
    <row r="2344" spans="1:11">
      <c r="A2344" t="str">
        <v/>
      </c>
      <c r="B2344" s="6">
        <v>0</v>
      </c>
      <c r="C2344" s="7" t="str">
        <v>趣点购浦发</v>
      </c>
      <c r="D2344" s="8">
        <v>0</v>
      </c>
      <c r="E2344" s="7">
        <v>0</v>
      </c>
      <c r="F2344" s="8">
        <v>0</v>
      </c>
      <c r="G2344" s="7">
        <v>0</v>
      </c>
      <c r="H2344" s="7">
        <v>81211.819999998</v>
      </c>
      <c r="I2344" s="7">
        <v>0</v>
      </c>
      <c r="J2344" s="8">
        <v>0</v>
      </c>
      <c r="K2344" s="9" t="str">
        <v/>
      </c>
    </row>
    <row r="2345" spans="1:11">
      <c r="A2345" t="str">
        <v/>
      </c>
      <c r="B2345" s="6">
        <v>0</v>
      </c>
      <c r="C2345" s="7" t="str">
        <v>趣点购浦发</v>
      </c>
      <c r="D2345" s="8">
        <v>0</v>
      </c>
      <c r="E2345" s="7">
        <v>0</v>
      </c>
      <c r="F2345" s="8">
        <v>0</v>
      </c>
      <c r="G2345" s="7">
        <v>0</v>
      </c>
      <c r="H2345" s="7">
        <v>81211.819999998</v>
      </c>
      <c r="I2345" s="7">
        <v>0</v>
      </c>
      <c r="J2345" s="8">
        <v>0</v>
      </c>
      <c r="K2345" s="9" t="str">
        <v/>
      </c>
    </row>
    <row r="2346" spans="1:11">
      <c r="A2346" t="str">
        <v/>
      </c>
      <c r="B2346" s="6">
        <v>0</v>
      </c>
      <c r="C2346" s="7" t="str">
        <v>趣点购浦发</v>
      </c>
      <c r="D2346" s="8">
        <v>0</v>
      </c>
      <c r="E2346" s="7">
        <v>0</v>
      </c>
      <c r="F2346" s="8">
        <v>0</v>
      </c>
      <c r="G2346" s="7">
        <v>0</v>
      </c>
      <c r="H2346" s="7">
        <v>81211.819999998</v>
      </c>
      <c r="I2346" s="7">
        <v>0</v>
      </c>
      <c r="J2346" s="8">
        <v>0</v>
      </c>
      <c r="K2346" s="9" t="str">
        <v/>
      </c>
    </row>
    <row r="2347" spans="1:11">
      <c r="A2347" t="str">
        <v/>
      </c>
      <c r="B2347" s="6">
        <v>0</v>
      </c>
      <c r="C2347" s="7" t="str">
        <v>趣点购浦发</v>
      </c>
      <c r="D2347" s="8">
        <v>0</v>
      </c>
      <c r="E2347" s="7">
        <v>0</v>
      </c>
      <c r="F2347" s="8">
        <v>0</v>
      </c>
      <c r="G2347" s="7">
        <v>0</v>
      </c>
      <c r="H2347" s="7">
        <v>81211.819999998</v>
      </c>
      <c r="I2347" s="7">
        <v>0</v>
      </c>
      <c r="J2347" s="8">
        <v>0</v>
      </c>
      <c r="K2347" s="9" t="str">
        <v/>
      </c>
    </row>
    <row r="2348" spans="1:11">
      <c r="A2348" t="str">
        <v/>
      </c>
      <c r="B2348" s="6">
        <v>0</v>
      </c>
      <c r="C2348" s="7" t="str">
        <v>趣点购浦发</v>
      </c>
      <c r="D2348" s="8">
        <v>0</v>
      </c>
      <c r="E2348" s="7">
        <v>0</v>
      </c>
      <c r="F2348" s="8">
        <v>0</v>
      </c>
      <c r="G2348" s="7">
        <v>0</v>
      </c>
      <c r="H2348" s="7">
        <v>81211.819999998</v>
      </c>
      <c r="I2348" s="7">
        <v>0</v>
      </c>
      <c r="J2348" s="8">
        <v>0</v>
      </c>
      <c r="K2348" s="9" t="str">
        <v/>
      </c>
    </row>
    <row r="2349" spans="1:11">
      <c r="A2349" t="str">
        <v/>
      </c>
      <c r="B2349" s="6">
        <v>0</v>
      </c>
      <c r="C2349" s="7" t="str">
        <v>趣点购浦发</v>
      </c>
      <c r="D2349" s="8">
        <v>0</v>
      </c>
      <c r="E2349" s="7">
        <v>0</v>
      </c>
      <c r="F2349" s="8">
        <v>0</v>
      </c>
      <c r="G2349" s="7">
        <v>0</v>
      </c>
      <c r="H2349" s="7">
        <v>81211.819999998</v>
      </c>
      <c r="I2349" s="7">
        <v>0</v>
      </c>
      <c r="J2349" s="8">
        <v>0</v>
      </c>
      <c r="K2349" s="9" t="str">
        <v/>
      </c>
    </row>
    <row r="2350" spans="1:11">
      <c r="A2350" t="str">
        <v/>
      </c>
      <c r="B2350" s="6">
        <v>0</v>
      </c>
      <c r="C2350" s="7" t="str">
        <v>趣点购浦发</v>
      </c>
      <c r="D2350" s="8">
        <v>0</v>
      </c>
      <c r="E2350" s="7">
        <v>0</v>
      </c>
      <c r="F2350" s="8">
        <v>0</v>
      </c>
      <c r="G2350" s="7">
        <v>0</v>
      </c>
      <c r="H2350" s="7">
        <v>81211.819999998</v>
      </c>
      <c r="I2350" s="7">
        <v>0</v>
      </c>
      <c r="J2350" s="8">
        <v>0</v>
      </c>
      <c r="K2350" s="9" t="str">
        <v/>
      </c>
    </row>
    <row r="2351" spans="1:11">
      <c r="A2351" t="str">
        <v/>
      </c>
      <c r="B2351" s="6">
        <v>0</v>
      </c>
      <c r="C2351" s="7" t="str">
        <v>趣点购浦发</v>
      </c>
      <c r="D2351" s="8">
        <v>0</v>
      </c>
      <c r="E2351" s="7">
        <v>0</v>
      </c>
      <c r="F2351" s="8">
        <v>0</v>
      </c>
      <c r="G2351" s="7">
        <v>0</v>
      </c>
      <c r="H2351" s="7">
        <v>81211.819999998</v>
      </c>
      <c r="I2351" s="7">
        <v>0</v>
      </c>
      <c r="J2351" s="8">
        <v>0</v>
      </c>
      <c r="K2351" s="9" t="str">
        <v/>
      </c>
    </row>
    <row r="2352" spans="1:11">
      <c r="A2352" t="str">
        <v/>
      </c>
      <c r="B2352" s="6">
        <v>0</v>
      </c>
      <c r="C2352" s="7" t="str">
        <v>趣点购浦发</v>
      </c>
      <c r="D2352" s="8">
        <v>0</v>
      </c>
      <c r="E2352" s="7">
        <v>0</v>
      </c>
      <c r="F2352" s="8">
        <v>0</v>
      </c>
      <c r="G2352" s="7">
        <v>0</v>
      </c>
      <c r="H2352" s="7">
        <v>81211.819999998</v>
      </c>
      <c r="I2352" s="7">
        <v>0</v>
      </c>
      <c r="J2352" s="8">
        <v>0</v>
      </c>
      <c r="K2352" s="9" t="str">
        <v/>
      </c>
    </row>
    <row r="2353" spans="1:11">
      <c r="A2353" t="str">
        <v/>
      </c>
      <c r="B2353" s="6">
        <v>0</v>
      </c>
      <c r="C2353" s="7" t="str">
        <v>趣点购浦发</v>
      </c>
      <c r="D2353" s="8">
        <v>0</v>
      </c>
      <c r="E2353" s="7">
        <v>0</v>
      </c>
      <c r="F2353" s="8">
        <v>0</v>
      </c>
      <c r="G2353" s="7">
        <v>0</v>
      </c>
      <c r="H2353" s="7">
        <v>81211.819999998</v>
      </c>
      <c r="I2353" s="7">
        <v>0</v>
      </c>
      <c r="J2353" s="8">
        <v>0</v>
      </c>
      <c r="K2353" s="9" t="str">
        <v/>
      </c>
    </row>
    <row r="2354" spans="1:11">
      <c r="A2354" t="str">
        <v/>
      </c>
      <c r="B2354" s="6">
        <v>0</v>
      </c>
      <c r="C2354" s="7" t="str">
        <v>趣点购浦发</v>
      </c>
      <c r="D2354" s="8">
        <v>0</v>
      </c>
      <c r="E2354" s="7">
        <v>0</v>
      </c>
      <c r="F2354" s="8">
        <v>0</v>
      </c>
      <c r="G2354" s="7">
        <v>0</v>
      </c>
      <c r="H2354" s="7">
        <v>81211.819999998</v>
      </c>
      <c r="I2354" s="7">
        <v>0</v>
      </c>
      <c r="J2354" s="8">
        <v>0</v>
      </c>
      <c r="K2354" s="9" t="str">
        <v/>
      </c>
    </row>
    <row r="2355" spans="1:11">
      <c r="A2355" t="str">
        <v/>
      </c>
      <c r="B2355" s="6">
        <v>0</v>
      </c>
      <c r="C2355" s="7" t="str">
        <v>趣点购浦发</v>
      </c>
      <c r="D2355" s="8">
        <v>0</v>
      </c>
      <c r="E2355" s="7">
        <v>0</v>
      </c>
      <c r="F2355" s="8">
        <v>0</v>
      </c>
      <c r="G2355" s="7">
        <v>0</v>
      </c>
      <c r="H2355" s="7">
        <v>81211.819999998</v>
      </c>
      <c r="I2355" s="7">
        <v>0</v>
      </c>
      <c r="J2355" s="8">
        <v>0</v>
      </c>
      <c r="K2355" s="9" t="str">
        <v/>
      </c>
    </row>
    <row r="2356" spans="1:11">
      <c r="A2356" t="str">
        <v/>
      </c>
      <c r="B2356" s="6">
        <v>0</v>
      </c>
      <c r="C2356" s="7" t="str">
        <v>趣点购浦发</v>
      </c>
      <c r="D2356" s="8">
        <v>0</v>
      </c>
      <c r="E2356" s="7">
        <v>0</v>
      </c>
      <c r="F2356" s="8">
        <v>0</v>
      </c>
      <c r="G2356" s="7">
        <v>0</v>
      </c>
      <c r="H2356" s="7">
        <v>81211.819999998</v>
      </c>
      <c r="I2356" s="7">
        <v>0</v>
      </c>
      <c r="J2356" s="8">
        <v>0</v>
      </c>
      <c r="K2356" s="9" t="str">
        <v/>
      </c>
    </row>
    <row r="2357" spans="1:11">
      <c r="A2357" t="str">
        <v/>
      </c>
      <c r="B2357" s="6">
        <v>0</v>
      </c>
      <c r="C2357" s="7" t="str">
        <v>趣点购浦发</v>
      </c>
      <c r="D2357" s="8">
        <v>0</v>
      </c>
      <c r="E2357" s="7">
        <v>0</v>
      </c>
      <c r="F2357" s="8">
        <v>0</v>
      </c>
      <c r="G2357" s="7">
        <v>0</v>
      </c>
      <c r="H2357" s="7">
        <v>81211.819999998</v>
      </c>
      <c r="I2357" s="7">
        <v>0</v>
      </c>
      <c r="J2357" s="8">
        <v>0</v>
      </c>
      <c r="K2357" s="9" t="str">
        <v/>
      </c>
    </row>
    <row r="2358" spans="1:11">
      <c r="A2358" t="str">
        <v/>
      </c>
      <c r="B2358" s="6">
        <v>0</v>
      </c>
      <c r="C2358" s="7" t="str">
        <v>趣点购浦发</v>
      </c>
      <c r="D2358" s="8">
        <v>0</v>
      </c>
      <c r="E2358" s="7">
        <v>0</v>
      </c>
      <c r="F2358" s="8">
        <v>0</v>
      </c>
      <c r="G2358" s="7">
        <v>0</v>
      </c>
      <c r="H2358" s="7">
        <v>81211.819999998</v>
      </c>
      <c r="I2358" s="7">
        <v>0</v>
      </c>
      <c r="J2358" s="8">
        <v>0</v>
      </c>
      <c r="K2358" s="9" t="str">
        <v/>
      </c>
    </row>
    <row r="2359" spans="1:11">
      <c r="A2359" t="str">
        <v/>
      </c>
      <c r="B2359" s="6">
        <v>0</v>
      </c>
      <c r="C2359" s="7" t="str">
        <v>趣点购浦发</v>
      </c>
      <c r="D2359" s="8">
        <v>0</v>
      </c>
      <c r="E2359" s="7">
        <v>0</v>
      </c>
      <c r="F2359" s="8">
        <v>0</v>
      </c>
      <c r="G2359" s="7">
        <v>0</v>
      </c>
      <c r="H2359" s="7">
        <v>81211.819999998</v>
      </c>
      <c r="I2359" s="7">
        <v>0</v>
      </c>
      <c r="J2359" s="8">
        <v>0</v>
      </c>
      <c r="K2359" s="9" t="str">
        <v/>
      </c>
    </row>
    <row r="2360" spans="1:11">
      <c r="A2360" t="str">
        <v/>
      </c>
      <c r="B2360" s="6">
        <v>0</v>
      </c>
      <c r="C2360" s="7" t="str">
        <v>趣点购浦发</v>
      </c>
      <c r="D2360" s="8">
        <v>0</v>
      </c>
      <c r="E2360" s="7">
        <v>0</v>
      </c>
      <c r="F2360" s="8">
        <v>0</v>
      </c>
      <c r="G2360" s="7">
        <v>0</v>
      </c>
      <c r="H2360" s="7">
        <v>81211.819999998</v>
      </c>
      <c r="I2360" s="7">
        <v>0</v>
      </c>
      <c r="J2360" s="8">
        <v>0</v>
      </c>
      <c r="K2360" s="9" t="str">
        <v/>
      </c>
    </row>
    <row r="2361" spans="1:11">
      <c r="A2361" t="str">
        <v/>
      </c>
      <c r="B2361" s="6">
        <v>0</v>
      </c>
      <c r="C2361" s="7" t="str">
        <v>趣点购浦发</v>
      </c>
      <c r="D2361" s="8">
        <v>0</v>
      </c>
      <c r="E2361" s="7">
        <v>0</v>
      </c>
      <c r="F2361" s="8">
        <v>0</v>
      </c>
      <c r="G2361" s="7">
        <v>0</v>
      </c>
      <c r="H2361" s="7">
        <v>81211.819999998</v>
      </c>
      <c r="I2361" s="7">
        <v>0</v>
      </c>
      <c r="J2361" s="8">
        <v>0</v>
      </c>
      <c r="K2361" s="9" t="str">
        <v/>
      </c>
    </row>
    <row r="2362" spans="1:11">
      <c r="A2362" t="str">
        <v/>
      </c>
      <c r="B2362" s="6">
        <v>0</v>
      </c>
      <c r="C2362" s="7" t="str">
        <v>趣点购浦发</v>
      </c>
      <c r="D2362" s="8">
        <v>0</v>
      </c>
      <c r="E2362" s="7">
        <v>0</v>
      </c>
      <c r="F2362" s="8">
        <v>0</v>
      </c>
      <c r="G2362" s="7">
        <v>0</v>
      </c>
      <c r="H2362" s="7">
        <v>81211.819999998</v>
      </c>
      <c r="I2362" s="7">
        <v>0</v>
      </c>
      <c r="J2362" s="8">
        <v>0</v>
      </c>
      <c r="K2362" s="9" t="str">
        <v/>
      </c>
    </row>
    <row r="2363" spans="1:11">
      <c r="A2363" t="str">
        <v/>
      </c>
      <c r="B2363" s="6">
        <v>0</v>
      </c>
      <c r="C2363" s="7" t="str">
        <v>趣点购浦发</v>
      </c>
      <c r="D2363" s="8">
        <v>0</v>
      </c>
      <c r="E2363" s="7">
        <v>0</v>
      </c>
      <c r="F2363" s="8">
        <v>0</v>
      </c>
      <c r="G2363" s="7">
        <v>0</v>
      </c>
      <c r="H2363" s="7">
        <v>81211.819999998</v>
      </c>
      <c r="I2363" s="7">
        <v>0</v>
      </c>
      <c r="J2363" s="8">
        <v>0</v>
      </c>
      <c r="K2363" s="9" t="str">
        <v/>
      </c>
    </row>
    <row r="2364" spans="1:11">
      <c r="A2364" t="str">
        <v/>
      </c>
      <c r="B2364" s="6">
        <v>0</v>
      </c>
      <c r="C2364" s="7" t="str">
        <v>趣点购浦发</v>
      </c>
      <c r="D2364" s="8">
        <v>0</v>
      </c>
      <c r="E2364" s="7">
        <v>0</v>
      </c>
      <c r="F2364" s="8">
        <v>0</v>
      </c>
      <c r="G2364" s="7">
        <v>0</v>
      </c>
      <c r="H2364" s="7">
        <v>81211.819999998</v>
      </c>
      <c r="I2364" s="7">
        <v>0</v>
      </c>
      <c r="J2364" s="8">
        <v>0</v>
      </c>
      <c r="K2364" s="9" t="str">
        <v/>
      </c>
    </row>
    <row r="2365" spans="1:11">
      <c r="A2365" t="str">
        <v/>
      </c>
      <c r="B2365" s="6">
        <v>0</v>
      </c>
      <c r="C2365" s="7" t="str">
        <v>趣点购浦发</v>
      </c>
      <c r="D2365" s="8">
        <v>0</v>
      </c>
      <c r="E2365" s="7">
        <v>0</v>
      </c>
      <c r="F2365" s="8">
        <v>0</v>
      </c>
      <c r="G2365" s="7">
        <v>0</v>
      </c>
      <c r="H2365" s="7">
        <v>81211.819999998</v>
      </c>
      <c r="I2365" s="7">
        <v>0</v>
      </c>
      <c r="J2365" s="8">
        <v>0</v>
      </c>
      <c r="K2365" s="9" t="str">
        <v/>
      </c>
    </row>
    <row r="2366" spans="1:11">
      <c r="A2366" t="str">
        <v/>
      </c>
      <c r="B2366" s="6">
        <v>0</v>
      </c>
      <c r="C2366" s="7" t="str">
        <v>趣点购浦发</v>
      </c>
      <c r="D2366" s="8">
        <v>0</v>
      </c>
      <c r="E2366" s="7">
        <v>0</v>
      </c>
      <c r="F2366" s="8">
        <v>0</v>
      </c>
      <c r="G2366" s="7">
        <v>0</v>
      </c>
      <c r="H2366" s="7">
        <v>81211.819999998</v>
      </c>
      <c r="I2366" s="7">
        <v>0</v>
      </c>
      <c r="J2366" s="8">
        <v>0</v>
      </c>
      <c r="K2366" s="9" t="str">
        <v/>
      </c>
    </row>
    <row r="2367" spans="1:11">
      <c r="A2367" t="str">
        <v/>
      </c>
      <c r="B2367" s="6">
        <v>0</v>
      </c>
      <c r="C2367" s="7" t="str">
        <v>趣点购浦发</v>
      </c>
      <c r="D2367" s="8">
        <v>0</v>
      </c>
      <c r="E2367" s="7">
        <v>0</v>
      </c>
      <c r="F2367" s="8">
        <v>0</v>
      </c>
      <c r="G2367" s="7">
        <v>0</v>
      </c>
      <c r="H2367" s="7">
        <v>81211.819999998</v>
      </c>
      <c r="I2367" s="7">
        <v>0</v>
      </c>
      <c r="J2367" s="8">
        <v>0</v>
      </c>
      <c r="K2367" s="9" t="str">
        <v/>
      </c>
    </row>
    <row r="2368" spans="1:11">
      <c r="A2368" t="str">
        <v/>
      </c>
      <c r="B2368" s="6">
        <v>0</v>
      </c>
      <c r="C2368" s="7" t="str">
        <v>趣点购浦发</v>
      </c>
      <c r="D2368" s="8">
        <v>0</v>
      </c>
      <c r="E2368" s="7">
        <v>0</v>
      </c>
      <c r="F2368" s="8">
        <v>0</v>
      </c>
      <c r="G2368" s="7">
        <v>0</v>
      </c>
      <c r="H2368" s="7">
        <v>81211.819999998</v>
      </c>
      <c r="I2368" s="7">
        <v>0</v>
      </c>
      <c r="J2368" s="8">
        <v>0</v>
      </c>
      <c r="K2368" s="9" t="str">
        <v/>
      </c>
    </row>
    <row r="2369" spans="1:11">
      <c r="A2369" t="str">
        <v/>
      </c>
      <c r="B2369" s="6">
        <v>0</v>
      </c>
      <c r="C2369" s="7" t="str">
        <v>趣点购浦发</v>
      </c>
      <c r="D2369" s="8">
        <v>0</v>
      </c>
      <c r="E2369" s="7">
        <v>0</v>
      </c>
      <c r="F2369" s="8">
        <v>0</v>
      </c>
      <c r="G2369" s="7">
        <v>0</v>
      </c>
      <c r="H2369" s="7">
        <v>81211.819999998</v>
      </c>
      <c r="I2369" s="7">
        <v>0</v>
      </c>
      <c r="J2369" s="8">
        <v>0</v>
      </c>
      <c r="K2369" s="9" t="str">
        <v/>
      </c>
    </row>
    <row r="2370" spans="1:11">
      <c r="A2370" t="str">
        <v/>
      </c>
      <c r="B2370" s="6">
        <v>0</v>
      </c>
      <c r="C2370" s="7" t="str">
        <v>趣点购浦发</v>
      </c>
      <c r="D2370" s="8">
        <v>0</v>
      </c>
      <c r="E2370" s="7">
        <v>0</v>
      </c>
      <c r="F2370" s="8">
        <v>0</v>
      </c>
      <c r="G2370" s="7">
        <v>0</v>
      </c>
      <c r="H2370" s="7">
        <v>81211.819999998</v>
      </c>
      <c r="I2370" s="7">
        <v>0</v>
      </c>
      <c r="J2370" s="8">
        <v>0</v>
      </c>
      <c r="K2370" s="9" t="str">
        <v/>
      </c>
    </row>
    <row r="2371" spans="1:11">
      <c r="A2371" t="str">
        <v/>
      </c>
      <c r="B2371" s="6">
        <v>0</v>
      </c>
      <c r="C2371" s="7" t="str">
        <v>趣点购浦发</v>
      </c>
      <c r="D2371" s="8">
        <v>0</v>
      </c>
      <c r="E2371" s="7">
        <v>0</v>
      </c>
      <c r="F2371" s="8">
        <v>0</v>
      </c>
      <c r="G2371" s="7">
        <v>0</v>
      </c>
      <c r="H2371" s="7">
        <v>81211.819999998</v>
      </c>
      <c r="I2371" s="7">
        <v>0</v>
      </c>
      <c r="J2371" s="8">
        <v>0</v>
      </c>
      <c r="K2371" s="9" t="str">
        <v/>
      </c>
    </row>
    <row r="2372" spans="1:11">
      <c r="A2372" t="str">
        <v/>
      </c>
      <c r="B2372" s="6">
        <v>0</v>
      </c>
      <c r="C2372" s="7" t="str">
        <v>趣点购浦发</v>
      </c>
      <c r="D2372" s="8">
        <v>0</v>
      </c>
      <c r="E2372" s="7">
        <v>0</v>
      </c>
      <c r="F2372" s="8">
        <v>0</v>
      </c>
      <c r="G2372" s="7">
        <v>0</v>
      </c>
      <c r="H2372" s="7">
        <v>81211.819999998</v>
      </c>
      <c r="I2372" s="7">
        <v>0</v>
      </c>
      <c r="J2372" s="8">
        <v>0</v>
      </c>
      <c r="K2372" s="9" t="str">
        <v/>
      </c>
    </row>
    <row r="2373" spans="1:11">
      <c r="A2373" t="str">
        <v/>
      </c>
      <c r="B2373" s="6">
        <v>0</v>
      </c>
      <c r="C2373" s="7" t="str">
        <v>趣点购浦发</v>
      </c>
      <c r="D2373" s="8">
        <v>0</v>
      </c>
      <c r="E2373" s="7">
        <v>0</v>
      </c>
      <c r="F2373" s="8">
        <v>0</v>
      </c>
      <c r="G2373" s="7">
        <v>0</v>
      </c>
      <c r="H2373" s="7">
        <v>81211.819999998</v>
      </c>
      <c r="I2373" s="7">
        <v>0</v>
      </c>
      <c r="J2373" s="8">
        <v>0</v>
      </c>
      <c r="K2373" s="9" t="str">
        <v/>
      </c>
    </row>
    <row r="2374" spans="1:11">
      <c r="A2374" t="str">
        <v/>
      </c>
      <c r="B2374" s="6">
        <v>0</v>
      </c>
      <c r="C2374" s="7" t="str">
        <v>趣点购浦发</v>
      </c>
      <c r="D2374" s="8">
        <v>0</v>
      </c>
      <c r="E2374" s="7">
        <v>0</v>
      </c>
      <c r="F2374" s="8">
        <v>0</v>
      </c>
      <c r="G2374" s="7">
        <v>0</v>
      </c>
      <c r="H2374" s="7">
        <v>81211.819999998</v>
      </c>
      <c r="I2374" s="7">
        <v>0</v>
      </c>
      <c r="J2374" s="8">
        <v>0</v>
      </c>
      <c r="K2374" s="9" t="str">
        <v/>
      </c>
    </row>
    <row r="2375" spans="1:11">
      <c r="A2375" t="str">
        <v/>
      </c>
      <c r="B2375" s="6">
        <v>0</v>
      </c>
      <c r="C2375" s="7" t="str">
        <v>趣点购浦发</v>
      </c>
      <c r="D2375" s="8">
        <v>0</v>
      </c>
      <c r="E2375" s="7">
        <v>0</v>
      </c>
      <c r="F2375" s="8">
        <v>0</v>
      </c>
      <c r="G2375" s="7">
        <v>0</v>
      </c>
      <c r="H2375" s="7">
        <v>81211.819999998</v>
      </c>
      <c r="I2375" s="7">
        <v>0</v>
      </c>
      <c r="J2375" s="8">
        <v>0</v>
      </c>
      <c r="K2375" s="9" t="str">
        <v/>
      </c>
    </row>
    <row r="2376" spans="1:11">
      <c r="A2376" t="str">
        <v/>
      </c>
      <c r="B2376" s="6">
        <v>0</v>
      </c>
      <c r="C2376" s="7" t="str">
        <v>趣点购浦发</v>
      </c>
      <c r="D2376" s="8">
        <v>0</v>
      </c>
      <c r="E2376" s="7">
        <v>0</v>
      </c>
      <c r="F2376" s="8">
        <v>0</v>
      </c>
      <c r="G2376" s="7">
        <v>0</v>
      </c>
      <c r="H2376" s="7">
        <v>81211.819999998</v>
      </c>
      <c r="I2376" s="7">
        <v>0</v>
      </c>
      <c r="J2376" s="8">
        <v>0</v>
      </c>
      <c r="K2376" s="9" t="str">
        <v/>
      </c>
    </row>
    <row r="2377" spans="1:11">
      <c r="A2377" t="str">
        <v/>
      </c>
      <c r="B2377" s="6">
        <v>0</v>
      </c>
      <c r="C2377" s="7" t="str">
        <v>趣点购浦发</v>
      </c>
      <c r="D2377" s="8">
        <v>0</v>
      </c>
      <c r="E2377" s="7">
        <v>0</v>
      </c>
      <c r="F2377" s="8">
        <v>0</v>
      </c>
      <c r="G2377" s="7">
        <v>0</v>
      </c>
      <c r="H2377" s="7">
        <v>81211.819999998</v>
      </c>
      <c r="I2377" s="7">
        <v>0</v>
      </c>
      <c r="J2377" s="8">
        <v>0</v>
      </c>
      <c r="K2377" s="9" t="str">
        <v/>
      </c>
    </row>
    <row r="2378" spans="1:11">
      <c r="A2378" t="str">
        <v/>
      </c>
      <c r="B2378" s="6">
        <v>0</v>
      </c>
      <c r="C2378" s="7" t="str">
        <v>趣点购浦发</v>
      </c>
      <c r="D2378" s="8">
        <v>0</v>
      </c>
      <c r="E2378" s="7">
        <v>0</v>
      </c>
      <c r="F2378" s="8">
        <v>0</v>
      </c>
      <c r="G2378" s="7">
        <v>0</v>
      </c>
      <c r="H2378" s="7">
        <v>81211.819999998</v>
      </c>
      <c r="I2378" s="7">
        <v>0</v>
      </c>
      <c r="J2378" s="8">
        <v>0</v>
      </c>
      <c r="K2378" s="9" t="str">
        <v/>
      </c>
    </row>
    <row r="2379" spans="1:11">
      <c r="A2379" t="str">
        <v/>
      </c>
      <c r="B2379" s="6">
        <v>0</v>
      </c>
      <c r="C2379" s="7" t="str">
        <v>趣点购浦发</v>
      </c>
      <c r="D2379" s="8">
        <v>0</v>
      </c>
      <c r="E2379" s="7">
        <v>0</v>
      </c>
      <c r="F2379" s="8">
        <v>0</v>
      </c>
      <c r="G2379" s="7">
        <v>0</v>
      </c>
      <c r="H2379" s="7">
        <v>81211.819999998</v>
      </c>
      <c r="I2379" s="7">
        <v>0</v>
      </c>
      <c r="J2379" s="8">
        <v>0</v>
      </c>
      <c r="K2379" s="9" t="str">
        <v/>
      </c>
    </row>
    <row r="2380" spans="1:11">
      <c r="A2380" t="str">
        <v/>
      </c>
      <c r="B2380" s="6">
        <v>0</v>
      </c>
      <c r="C2380" s="7" t="str">
        <v>趣点购浦发</v>
      </c>
      <c r="D2380" s="8">
        <v>0</v>
      </c>
      <c r="E2380" s="7">
        <v>0</v>
      </c>
      <c r="F2380" s="8">
        <v>0</v>
      </c>
      <c r="G2380" s="7">
        <v>0</v>
      </c>
      <c r="H2380" s="7">
        <v>81211.819999998</v>
      </c>
      <c r="I2380" s="7">
        <v>0</v>
      </c>
      <c r="J2380" s="8">
        <v>0</v>
      </c>
      <c r="K2380" s="9" t="str">
        <v/>
      </c>
    </row>
    <row r="2381" spans="1:11">
      <c r="A2381" t="str">
        <v/>
      </c>
      <c r="B2381" s="6">
        <v>0</v>
      </c>
      <c r="C2381" s="7" t="str">
        <v>趣点购浦发</v>
      </c>
      <c r="D2381" s="8">
        <v>0</v>
      </c>
      <c r="E2381" s="7">
        <v>0</v>
      </c>
      <c r="F2381" s="8">
        <v>0</v>
      </c>
      <c r="G2381" s="7">
        <v>0</v>
      </c>
      <c r="H2381" s="7">
        <v>81211.819999998</v>
      </c>
      <c r="I2381" s="7">
        <v>0</v>
      </c>
      <c r="J2381" s="8">
        <v>0</v>
      </c>
      <c r="K2381" s="9" t="str">
        <v/>
      </c>
    </row>
    <row r="2382" spans="1:11">
      <c r="A2382" t="str">
        <v/>
      </c>
      <c r="B2382" s="6">
        <v>0</v>
      </c>
      <c r="C2382" s="7" t="str">
        <v>趣点购浦发</v>
      </c>
      <c r="D2382" s="8">
        <v>0</v>
      </c>
      <c r="E2382" s="7">
        <v>0</v>
      </c>
      <c r="F2382" s="8">
        <v>0</v>
      </c>
      <c r="G2382" s="7">
        <v>0</v>
      </c>
      <c r="H2382" s="7">
        <v>81211.819999998</v>
      </c>
      <c r="I2382" s="7">
        <v>0</v>
      </c>
      <c r="J2382" s="8">
        <v>0</v>
      </c>
      <c r="K2382" s="9" t="str">
        <v/>
      </c>
    </row>
    <row r="2383" spans="1:11">
      <c r="A2383" t="str">
        <v/>
      </c>
      <c r="B2383" s="6">
        <v>0</v>
      </c>
      <c r="C2383" s="7" t="str">
        <v>趣点购浦发</v>
      </c>
      <c r="D2383" s="8">
        <v>0</v>
      </c>
      <c r="E2383" s="7">
        <v>0</v>
      </c>
      <c r="F2383" s="8">
        <v>0</v>
      </c>
      <c r="G2383" s="7">
        <v>0</v>
      </c>
      <c r="H2383" s="7">
        <v>81211.819999998</v>
      </c>
      <c r="I2383" s="7">
        <v>0</v>
      </c>
      <c r="J2383" s="8">
        <v>0</v>
      </c>
      <c r="K2383" s="9" t="str">
        <v/>
      </c>
    </row>
    <row r="2384" spans="1:11">
      <c r="A2384" t="str">
        <v/>
      </c>
      <c r="B2384" s="6">
        <v>0</v>
      </c>
      <c r="C2384" s="7" t="str">
        <v>趣点购浦发</v>
      </c>
      <c r="D2384" s="8">
        <v>0</v>
      </c>
      <c r="E2384" s="7">
        <v>0</v>
      </c>
      <c r="F2384" s="8">
        <v>0</v>
      </c>
      <c r="G2384" s="7">
        <v>0</v>
      </c>
      <c r="H2384" s="7">
        <v>81211.819999998</v>
      </c>
      <c r="I2384" s="7">
        <v>0</v>
      </c>
      <c r="J2384" s="8">
        <v>0</v>
      </c>
      <c r="K2384" s="9" t="str">
        <v/>
      </c>
    </row>
    <row r="2385" spans="1:11">
      <c r="A2385" t="str">
        <v/>
      </c>
      <c r="B2385" s="6">
        <v>0</v>
      </c>
      <c r="C2385" s="7" t="str">
        <v>趣点购浦发</v>
      </c>
      <c r="D2385" s="8">
        <v>0</v>
      </c>
      <c r="E2385" s="7">
        <v>0</v>
      </c>
      <c r="F2385" s="8">
        <v>0</v>
      </c>
      <c r="G2385" s="7">
        <v>0</v>
      </c>
      <c r="H2385" s="7">
        <v>81211.819999998</v>
      </c>
      <c r="I2385" s="7">
        <v>0</v>
      </c>
      <c r="J2385" s="8">
        <v>0</v>
      </c>
      <c r="K2385" s="9" t="str">
        <v/>
      </c>
    </row>
    <row r="2386" spans="1:11">
      <c r="A2386" t="str">
        <v/>
      </c>
      <c r="B2386" s="6">
        <v>0</v>
      </c>
      <c r="C2386" s="7" t="str">
        <v>趣点购浦发</v>
      </c>
      <c r="D2386" s="8">
        <v>0</v>
      </c>
      <c r="E2386" s="7">
        <v>0</v>
      </c>
      <c r="F2386" s="8">
        <v>0</v>
      </c>
      <c r="G2386" s="7">
        <v>0</v>
      </c>
      <c r="H2386" s="7">
        <v>81211.819999998</v>
      </c>
      <c r="I2386" s="7">
        <v>0</v>
      </c>
      <c r="J2386" s="8">
        <v>0</v>
      </c>
      <c r="K2386" s="9" t="str">
        <v/>
      </c>
    </row>
    <row r="2387" spans="1:11">
      <c r="A2387" t="str">
        <v/>
      </c>
      <c r="B2387" s="6">
        <v>0</v>
      </c>
      <c r="C2387" s="7" t="str">
        <v>趣点购浦发</v>
      </c>
      <c r="D2387" s="8">
        <v>0</v>
      </c>
      <c r="E2387" s="7">
        <v>0</v>
      </c>
      <c r="F2387" s="8">
        <v>0</v>
      </c>
      <c r="G2387" s="7">
        <v>0</v>
      </c>
      <c r="H2387" s="7">
        <v>81211.819999998</v>
      </c>
      <c r="I2387" s="7">
        <v>0</v>
      </c>
      <c r="J2387" s="8">
        <v>0</v>
      </c>
      <c r="K2387" s="9" t="str">
        <v/>
      </c>
    </row>
    <row r="2388" spans="1:11">
      <c r="A2388" t="str">
        <v/>
      </c>
      <c r="B2388" s="6">
        <v>0</v>
      </c>
      <c r="C2388" s="7" t="str">
        <v>趣点购浦发</v>
      </c>
      <c r="D2388" s="8">
        <v>0</v>
      </c>
      <c r="E2388" s="7">
        <v>0</v>
      </c>
      <c r="F2388" s="8">
        <v>0</v>
      </c>
      <c r="G2388" s="7">
        <v>0</v>
      </c>
      <c r="H2388" s="7">
        <v>81211.819999998</v>
      </c>
      <c r="I2388" s="7">
        <v>0</v>
      </c>
      <c r="J2388" s="8">
        <v>0</v>
      </c>
      <c r="K2388" s="9" t="str">
        <v/>
      </c>
    </row>
    <row r="2389" spans="1:11">
      <c r="A2389" t="str">
        <v/>
      </c>
      <c r="B2389" s="6">
        <v>0</v>
      </c>
      <c r="C2389" s="7" t="str">
        <v>趣点购浦发</v>
      </c>
      <c r="D2389" s="8">
        <v>0</v>
      </c>
      <c r="E2389" s="7">
        <v>0</v>
      </c>
      <c r="F2389" s="8">
        <v>0</v>
      </c>
      <c r="G2389" s="7">
        <v>0</v>
      </c>
      <c r="H2389" s="7">
        <v>81211.819999998</v>
      </c>
      <c r="I2389" s="7">
        <v>0</v>
      </c>
      <c r="J2389" s="8">
        <v>0</v>
      </c>
      <c r="K2389" s="9" t="str">
        <v/>
      </c>
    </row>
    <row r="2390" spans="1:11">
      <c r="A2390" t="str">
        <v/>
      </c>
      <c r="B2390" s="6">
        <v>0</v>
      </c>
      <c r="C2390" s="7" t="str">
        <v>趣点购浦发</v>
      </c>
      <c r="D2390" s="8">
        <v>0</v>
      </c>
      <c r="E2390" s="7">
        <v>0</v>
      </c>
      <c r="F2390" s="8">
        <v>0</v>
      </c>
      <c r="G2390" s="7">
        <v>0</v>
      </c>
      <c r="H2390" s="7">
        <v>81211.819999998</v>
      </c>
      <c r="I2390" s="7">
        <v>0</v>
      </c>
      <c r="J2390" s="8">
        <v>0</v>
      </c>
      <c r="K2390" s="9" t="str">
        <v/>
      </c>
    </row>
    <row r="2391" spans="1:11">
      <c r="A2391" t="str">
        <v/>
      </c>
      <c r="B2391" s="6">
        <v>0</v>
      </c>
      <c r="C2391" s="7" t="str">
        <v>趣点购浦发</v>
      </c>
      <c r="D2391" s="8">
        <v>0</v>
      </c>
      <c r="E2391" s="7">
        <v>0</v>
      </c>
      <c r="F2391" s="8">
        <v>0</v>
      </c>
      <c r="G2391" s="7">
        <v>0</v>
      </c>
      <c r="H2391" s="7">
        <v>81211.819999998</v>
      </c>
      <c r="I2391" s="7">
        <v>0</v>
      </c>
      <c r="J2391" s="8">
        <v>0</v>
      </c>
      <c r="K2391" s="9" t="str">
        <v/>
      </c>
    </row>
    <row r="2392" spans="1:11">
      <c r="A2392" t="str">
        <v/>
      </c>
      <c r="B2392" s="6">
        <v>0</v>
      </c>
      <c r="C2392" s="7" t="str">
        <v>趣点购浦发</v>
      </c>
      <c r="D2392" s="8">
        <v>0</v>
      </c>
      <c r="E2392" s="7">
        <v>0</v>
      </c>
      <c r="F2392" s="8">
        <v>0</v>
      </c>
      <c r="G2392" s="7">
        <v>0</v>
      </c>
      <c r="H2392" s="7">
        <v>81211.819999998</v>
      </c>
      <c r="I2392" s="7">
        <v>0</v>
      </c>
      <c r="J2392" s="8">
        <v>0</v>
      </c>
      <c r="K2392" s="9" t="str">
        <v/>
      </c>
    </row>
    <row r="2393" spans="1:11">
      <c r="A2393" t="str">
        <v/>
      </c>
      <c r="B2393" s="6">
        <v>0</v>
      </c>
      <c r="C2393" s="7" t="str">
        <v>趣点购浦发</v>
      </c>
      <c r="D2393" s="8">
        <v>0</v>
      </c>
      <c r="E2393" s="7">
        <v>0</v>
      </c>
      <c r="F2393" s="8">
        <v>0</v>
      </c>
      <c r="G2393" s="7">
        <v>0</v>
      </c>
      <c r="H2393" s="7">
        <v>81211.819999998</v>
      </c>
      <c r="I2393" s="7">
        <v>0</v>
      </c>
      <c r="J2393" s="8">
        <v>0</v>
      </c>
      <c r="K2393" s="9" t="str">
        <v/>
      </c>
    </row>
    <row r="2394" spans="1:11">
      <c r="A2394" t="str">
        <v/>
      </c>
      <c r="B2394" s="6">
        <v>0</v>
      </c>
      <c r="C2394" s="7" t="str">
        <v>趣点购浦发</v>
      </c>
      <c r="D2394" s="8">
        <v>0</v>
      </c>
      <c r="E2394" s="7">
        <v>0</v>
      </c>
      <c r="F2394" s="8">
        <v>0</v>
      </c>
      <c r="G2394" s="7">
        <v>0</v>
      </c>
      <c r="H2394" s="7">
        <v>81211.819999998</v>
      </c>
      <c r="I2394" s="7">
        <v>0</v>
      </c>
      <c r="J2394" s="8">
        <v>0</v>
      </c>
      <c r="K2394" s="9" t="str">
        <v/>
      </c>
    </row>
    <row r="2395" spans="1:11">
      <c r="A2395" t="str">
        <v/>
      </c>
      <c r="B2395" s="6">
        <v>0</v>
      </c>
      <c r="C2395" s="7" t="str">
        <v>趣点购浦发</v>
      </c>
      <c r="D2395" s="8">
        <v>0</v>
      </c>
      <c r="E2395" s="7">
        <v>0</v>
      </c>
      <c r="F2395" s="8">
        <v>0</v>
      </c>
      <c r="G2395" s="7">
        <v>0</v>
      </c>
      <c r="H2395" s="7">
        <v>81211.819999998</v>
      </c>
      <c r="I2395" s="7">
        <v>0</v>
      </c>
      <c r="J2395" s="8">
        <v>0</v>
      </c>
      <c r="K2395" s="9" t="str">
        <v/>
      </c>
    </row>
    <row r="2396" spans="1:11">
      <c r="A2396" t="str">
        <v/>
      </c>
      <c r="B2396" s="6">
        <v>0</v>
      </c>
      <c r="C2396" s="7" t="str">
        <v>趣点购浦发</v>
      </c>
      <c r="D2396" s="8">
        <v>0</v>
      </c>
      <c r="E2396" s="7">
        <v>0</v>
      </c>
      <c r="F2396" s="8">
        <v>0</v>
      </c>
      <c r="G2396" s="7">
        <v>0</v>
      </c>
      <c r="H2396" s="7">
        <v>81211.819999998</v>
      </c>
      <c r="I2396" s="7">
        <v>0</v>
      </c>
      <c r="J2396" s="8">
        <v>0</v>
      </c>
      <c r="K2396" s="9" t="str">
        <v/>
      </c>
    </row>
    <row r="2397" spans="1:11">
      <c r="A2397" t="str">
        <v/>
      </c>
      <c r="B2397" s="6">
        <v>0</v>
      </c>
      <c r="C2397" s="7" t="str">
        <v>趣点购浦发</v>
      </c>
      <c r="D2397" s="8">
        <v>0</v>
      </c>
      <c r="E2397" s="7">
        <v>0</v>
      </c>
      <c r="F2397" s="8">
        <v>0</v>
      </c>
      <c r="G2397" s="7">
        <v>0</v>
      </c>
      <c r="H2397" s="7">
        <v>81211.819999998</v>
      </c>
      <c r="I2397" s="7">
        <v>0</v>
      </c>
      <c r="J2397" s="8">
        <v>0</v>
      </c>
      <c r="K2397" s="9" t="str">
        <v/>
      </c>
    </row>
    <row r="2398" spans="1:11">
      <c r="A2398" t="str">
        <v/>
      </c>
      <c r="B2398" s="6">
        <v>0</v>
      </c>
      <c r="C2398" s="7" t="str">
        <v>趣点购浦发</v>
      </c>
      <c r="D2398" s="8">
        <v>0</v>
      </c>
      <c r="E2398" s="7">
        <v>0</v>
      </c>
      <c r="F2398" s="8">
        <v>0</v>
      </c>
      <c r="G2398" s="7">
        <v>0</v>
      </c>
      <c r="H2398" s="7">
        <v>81211.819999998</v>
      </c>
      <c r="I2398" s="7">
        <v>0</v>
      </c>
      <c r="J2398" s="8">
        <v>0</v>
      </c>
      <c r="K2398" s="9" t="str">
        <v/>
      </c>
    </row>
    <row r="2399" spans="1:11">
      <c r="A2399" t="str">
        <v/>
      </c>
      <c r="B2399" s="6">
        <v>0</v>
      </c>
      <c r="C2399" s="7" t="str">
        <v>趣点购浦发</v>
      </c>
      <c r="D2399" s="8">
        <v>0</v>
      </c>
      <c r="E2399" s="7">
        <v>0</v>
      </c>
      <c r="F2399" s="8">
        <v>0</v>
      </c>
      <c r="G2399" s="7">
        <v>0</v>
      </c>
      <c r="H2399" s="7">
        <v>81211.819999998</v>
      </c>
      <c r="I2399" s="7">
        <v>0</v>
      </c>
      <c r="J2399" s="8">
        <v>0</v>
      </c>
      <c r="K2399" s="9" t="str">
        <v/>
      </c>
    </row>
    <row r="2400" spans="1:11">
      <c r="A2400" t="str">
        <v/>
      </c>
      <c r="B2400" s="6">
        <v>0</v>
      </c>
      <c r="C2400" s="7" t="str">
        <v>趣点购浦发</v>
      </c>
      <c r="D2400" s="8">
        <v>0</v>
      </c>
      <c r="E2400" s="7">
        <v>0</v>
      </c>
      <c r="F2400" s="8">
        <v>0</v>
      </c>
      <c r="G2400" s="7">
        <v>0</v>
      </c>
      <c r="H2400" s="7">
        <v>81211.819999998</v>
      </c>
      <c r="I2400" s="7">
        <v>0</v>
      </c>
      <c r="J2400" s="8">
        <v>0</v>
      </c>
      <c r="K2400" s="9" t="str">
        <v/>
      </c>
    </row>
    <row r="2401" spans="1:11">
      <c r="A2401" t="str">
        <v/>
      </c>
      <c r="B2401" s="6">
        <v>0</v>
      </c>
      <c r="C2401" s="7" t="str">
        <v>趣点购浦发</v>
      </c>
      <c r="D2401" s="8">
        <v>0</v>
      </c>
      <c r="E2401" s="7">
        <v>0</v>
      </c>
      <c r="F2401" s="8">
        <v>0</v>
      </c>
      <c r="G2401" s="7">
        <v>0</v>
      </c>
      <c r="H2401" s="7">
        <v>81211.819999998</v>
      </c>
      <c r="I2401" s="7">
        <v>0</v>
      </c>
      <c r="J2401" s="8">
        <v>0</v>
      </c>
      <c r="K2401" s="9" t="str">
        <v/>
      </c>
    </row>
    <row r="2402" spans="1:11">
      <c r="A2402" t="str">
        <v/>
      </c>
      <c r="B2402" s="6">
        <v>0</v>
      </c>
      <c r="C2402" s="7" t="str">
        <v>趣点购浦发</v>
      </c>
      <c r="D2402" s="8">
        <v>0</v>
      </c>
      <c r="E2402" s="7">
        <v>0</v>
      </c>
      <c r="F2402" s="8">
        <v>0</v>
      </c>
      <c r="G2402" s="7">
        <v>0</v>
      </c>
      <c r="H2402" s="7">
        <v>81211.819999998</v>
      </c>
      <c r="I2402" s="7">
        <v>0</v>
      </c>
      <c r="J2402" s="8">
        <v>0</v>
      </c>
      <c r="K2402" s="9" t="str">
        <v/>
      </c>
    </row>
    <row r="2403" spans="1:11">
      <c r="A2403" t="str">
        <v/>
      </c>
      <c r="B2403" s="6">
        <v>0</v>
      </c>
      <c r="C2403" s="7" t="str">
        <v>趣点购浦发</v>
      </c>
      <c r="D2403" s="8">
        <v>0</v>
      </c>
      <c r="E2403" s="7">
        <v>0</v>
      </c>
      <c r="F2403" s="8">
        <v>0</v>
      </c>
      <c r="G2403" s="7">
        <v>0</v>
      </c>
      <c r="H2403" s="7">
        <v>81211.819999998</v>
      </c>
      <c r="I2403" s="7">
        <v>0</v>
      </c>
      <c r="J2403" s="8">
        <v>0</v>
      </c>
      <c r="K2403" s="9" t="str">
        <v/>
      </c>
    </row>
    <row r="2404" spans="1:11">
      <c r="A2404" t="str">
        <v/>
      </c>
      <c r="B2404" s="6">
        <v>0</v>
      </c>
      <c r="C2404" s="7" t="str">
        <v>趣点购浦发</v>
      </c>
      <c r="D2404" s="8">
        <v>0</v>
      </c>
      <c r="E2404" s="7">
        <v>0</v>
      </c>
      <c r="F2404" s="8">
        <v>0</v>
      </c>
      <c r="G2404" s="7">
        <v>0</v>
      </c>
      <c r="H2404" s="7">
        <v>81211.819999998</v>
      </c>
      <c r="I2404" s="7">
        <v>0</v>
      </c>
      <c r="J2404" s="8">
        <v>0</v>
      </c>
      <c r="K2404" s="9" t="str">
        <v/>
      </c>
    </row>
    <row r="2405" spans="1:11">
      <c r="A2405" t="str">
        <v/>
      </c>
      <c r="B2405" s="6">
        <v>0</v>
      </c>
      <c r="C2405" s="7" t="str">
        <v>趣点购浦发</v>
      </c>
      <c r="D2405" s="8">
        <v>0</v>
      </c>
      <c r="E2405" s="7">
        <v>0</v>
      </c>
      <c r="F2405" s="8">
        <v>0</v>
      </c>
      <c r="G2405" s="7">
        <v>0</v>
      </c>
      <c r="H2405" s="7">
        <v>81211.819999998</v>
      </c>
      <c r="I2405" s="7">
        <v>0</v>
      </c>
      <c r="J2405" s="8">
        <v>0</v>
      </c>
      <c r="K2405" s="9" t="str">
        <v/>
      </c>
    </row>
    <row r="2406" spans="1:11">
      <c r="A2406" t="str">
        <v/>
      </c>
      <c r="B2406" s="6">
        <v>0</v>
      </c>
      <c r="C2406" s="7" t="str">
        <v>趣点购浦发</v>
      </c>
      <c r="D2406" s="8">
        <v>0</v>
      </c>
      <c r="E2406" s="7">
        <v>0</v>
      </c>
      <c r="F2406" s="8">
        <v>0</v>
      </c>
      <c r="G2406" s="7">
        <v>0</v>
      </c>
      <c r="H2406" s="7">
        <v>81211.819999998</v>
      </c>
      <c r="I2406" s="7">
        <v>0</v>
      </c>
      <c r="J2406" s="8">
        <v>0</v>
      </c>
      <c r="K2406" s="9" t="str">
        <v/>
      </c>
    </row>
    <row r="2407" spans="1:11">
      <c r="A2407" t="str">
        <v/>
      </c>
      <c r="B2407" s="6">
        <v>0</v>
      </c>
      <c r="C2407" s="7" t="str">
        <v>趣点购浦发</v>
      </c>
      <c r="D2407" s="8">
        <v>0</v>
      </c>
      <c r="E2407" s="7">
        <v>0</v>
      </c>
      <c r="F2407" s="8">
        <v>0</v>
      </c>
      <c r="G2407" s="7">
        <v>0</v>
      </c>
      <c r="H2407" s="7">
        <v>81211.819999998</v>
      </c>
      <c r="I2407" s="7">
        <v>0</v>
      </c>
      <c r="J2407" s="8">
        <v>0</v>
      </c>
      <c r="K2407" s="9" t="str">
        <v/>
      </c>
    </row>
    <row r="2408" spans="1:11">
      <c r="A2408" t="str">
        <v/>
      </c>
      <c r="B2408" s="6">
        <v>0</v>
      </c>
      <c r="C2408" s="7" t="str">
        <v>趣点购浦发</v>
      </c>
      <c r="D2408" s="8">
        <v>0</v>
      </c>
      <c r="E2408" s="7">
        <v>0</v>
      </c>
      <c r="F2408" s="8">
        <v>0</v>
      </c>
      <c r="G2408" s="7">
        <v>0</v>
      </c>
      <c r="H2408" s="7">
        <v>81211.819999998</v>
      </c>
      <c r="I2408" s="7">
        <v>0</v>
      </c>
      <c r="J2408" s="8">
        <v>0</v>
      </c>
      <c r="K2408" s="9" t="str">
        <v/>
      </c>
    </row>
    <row r="2409" spans="1:11">
      <c r="A2409" t="str">
        <v/>
      </c>
      <c r="B2409" s="6">
        <v>0</v>
      </c>
      <c r="C2409" s="7" t="str">
        <v>趣点购浦发</v>
      </c>
      <c r="D2409" s="8">
        <v>0</v>
      </c>
      <c r="E2409" s="7">
        <v>0</v>
      </c>
      <c r="F2409" s="8">
        <v>0</v>
      </c>
      <c r="G2409" s="7">
        <v>0</v>
      </c>
      <c r="H2409" s="7">
        <v>81211.819999998</v>
      </c>
      <c r="I2409" s="7">
        <v>0</v>
      </c>
      <c r="J2409" s="8">
        <v>0</v>
      </c>
      <c r="K2409" s="9" t="str">
        <v/>
      </c>
    </row>
    <row r="2410" spans="1:11">
      <c r="A2410" t="str">
        <v/>
      </c>
      <c r="B2410" s="6">
        <v>0</v>
      </c>
      <c r="C2410" s="7" t="str">
        <v>趣点购浦发</v>
      </c>
      <c r="D2410" s="8">
        <v>0</v>
      </c>
      <c r="E2410" s="7">
        <v>0</v>
      </c>
      <c r="F2410" s="8">
        <v>0</v>
      </c>
      <c r="G2410" s="7">
        <v>0</v>
      </c>
      <c r="H2410" s="7">
        <v>81211.819999998</v>
      </c>
      <c r="I2410" s="7">
        <v>0</v>
      </c>
      <c r="J2410" s="8">
        <v>0</v>
      </c>
      <c r="K2410" s="9" t="str">
        <v/>
      </c>
    </row>
    <row r="2411" spans="1:11">
      <c r="A2411" t="str">
        <v/>
      </c>
      <c r="B2411" s="6">
        <v>0</v>
      </c>
      <c r="C2411" s="7" t="str">
        <v>趣点购浦发</v>
      </c>
      <c r="D2411" s="8">
        <v>0</v>
      </c>
      <c r="E2411" s="7">
        <v>0</v>
      </c>
      <c r="F2411" s="8">
        <v>0</v>
      </c>
      <c r="G2411" s="7">
        <v>0</v>
      </c>
      <c r="H2411" s="7">
        <v>81211.819999998</v>
      </c>
      <c r="I2411" s="7">
        <v>0</v>
      </c>
      <c r="J2411" s="8">
        <v>0</v>
      </c>
      <c r="K2411" s="9" t="str">
        <v/>
      </c>
    </row>
    <row r="2412" spans="1:11">
      <c r="A2412" t="str">
        <v/>
      </c>
      <c r="B2412" s="6">
        <v>0</v>
      </c>
      <c r="C2412" s="7" t="str">
        <v>趣点购浦发</v>
      </c>
      <c r="D2412" s="8">
        <v>0</v>
      </c>
      <c r="E2412" s="7">
        <v>0</v>
      </c>
      <c r="F2412" s="8">
        <v>0</v>
      </c>
      <c r="G2412" s="7">
        <v>0</v>
      </c>
      <c r="H2412" s="7">
        <v>81211.819999998</v>
      </c>
      <c r="I2412" s="7">
        <v>0</v>
      </c>
      <c r="J2412" s="8">
        <v>0</v>
      </c>
      <c r="K2412" s="9" t="str">
        <v/>
      </c>
    </row>
    <row r="2413" spans="1:11">
      <c r="A2413" t="str">
        <v/>
      </c>
      <c r="B2413" s="6">
        <v>0</v>
      </c>
      <c r="C2413" s="7" t="str">
        <v>趣点购浦发</v>
      </c>
      <c r="D2413" s="8">
        <v>0</v>
      </c>
      <c r="E2413" s="7">
        <v>0</v>
      </c>
      <c r="F2413" s="8">
        <v>0</v>
      </c>
      <c r="G2413" s="7">
        <v>0</v>
      </c>
      <c r="H2413" s="7">
        <v>81211.819999998</v>
      </c>
      <c r="I2413" s="7">
        <v>0</v>
      </c>
      <c r="J2413" s="8">
        <v>0</v>
      </c>
      <c r="K2413" s="9" t="str">
        <v/>
      </c>
    </row>
    <row r="2414" spans="1:11">
      <c r="A2414" t="str">
        <v/>
      </c>
      <c r="B2414" s="6">
        <v>0</v>
      </c>
      <c r="C2414" s="7" t="str">
        <v>趣点购浦发</v>
      </c>
      <c r="D2414" s="8">
        <v>0</v>
      </c>
      <c r="E2414" s="7">
        <v>0</v>
      </c>
      <c r="F2414" s="8">
        <v>0</v>
      </c>
      <c r="G2414" s="7">
        <v>0</v>
      </c>
      <c r="H2414" s="7">
        <v>81211.819999998</v>
      </c>
      <c r="I2414" s="7">
        <v>0</v>
      </c>
      <c r="J2414" s="8">
        <v>0</v>
      </c>
      <c r="K2414" s="9" t="str">
        <v/>
      </c>
    </row>
    <row r="2415" spans="1:11">
      <c r="A2415" t="str">
        <v/>
      </c>
      <c r="B2415" s="6">
        <v>0</v>
      </c>
      <c r="C2415" s="7" t="str">
        <v>趣点购浦发</v>
      </c>
      <c r="D2415" s="8">
        <v>0</v>
      </c>
      <c r="E2415" s="7">
        <v>0</v>
      </c>
      <c r="F2415" s="8">
        <v>0</v>
      </c>
      <c r="G2415" s="7">
        <v>0</v>
      </c>
      <c r="H2415" s="7">
        <v>81211.819999998</v>
      </c>
      <c r="I2415" s="7">
        <v>0</v>
      </c>
      <c r="J2415" s="8">
        <v>0</v>
      </c>
      <c r="K2415" s="9" t="str">
        <v/>
      </c>
    </row>
    <row r="2416" spans="1:11">
      <c r="A2416" t="str">
        <v/>
      </c>
      <c r="B2416" s="6">
        <v>0</v>
      </c>
      <c r="C2416" s="7" t="str">
        <v>趣点购浦发</v>
      </c>
      <c r="D2416" s="8">
        <v>0</v>
      </c>
      <c r="E2416" s="7">
        <v>0</v>
      </c>
      <c r="F2416" s="8">
        <v>0</v>
      </c>
      <c r="G2416" s="7">
        <v>0</v>
      </c>
      <c r="H2416" s="7">
        <v>81211.819999998</v>
      </c>
      <c r="I2416" s="7">
        <v>0</v>
      </c>
      <c r="J2416" s="8">
        <v>0</v>
      </c>
      <c r="K2416" s="9" t="str">
        <v/>
      </c>
    </row>
    <row r="2417" spans="1:11">
      <c r="A2417" t="str">
        <v/>
      </c>
      <c r="B2417" s="6">
        <v>0</v>
      </c>
      <c r="C2417" s="7" t="str">
        <v>趣点购浦发</v>
      </c>
      <c r="D2417" s="8">
        <v>0</v>
      </c>
      <c r="E2417" s="7">
        <v>0</v>
      </c>
      <c r="F2417" s="8">
        <v>0</v>
      </c>
      <c r="G2417" s="7">
        <v>0</v>
      </c>
      <c r="H2417" s="7">
        <v>81211.819999998</v>
      </c>
      <c r="I2417" s="7">
        <v>0</v>
      </c>
      <c r="J2417" s="8">
        <v>0</v>
      </c>
      <c r="K2417" s="9" t="str">
        <v/>
      </c>
    </row>
    <row r="2418" spans="1:11">
      <c r="A2418" t="str">
        <v/>
      </c>
      <c r="B2418" s="6">
        <v>0</v>
      </c>
      <c r="C2418" s="7" t="str">
        <v>趣点购浦发</v>
      </c>
      <c r="D2418" s="8">
        <v>0</v>
      </c>
      <c r="E2418" s="7">
        <v>0</v>
      </c>
      <c r="F2418" s="8">
        <v>0</v>
      </c>
      <c r="G2418" s="7">
        <v>0</v>
      </c>
      <c r="H2418" s="7">
        <v>81211.819999998</v>
      </c>
      <c r="I2418" s="7">
        <v>0</v>
      </c>
      <c r="J2418" s="8">
        <v>0</v>
      </c>
      <c r="K2418" s="9" t="str">
        <v/>
      </c>
    </row>
    <row r="2419" spans="1:11">
      <c r="A2419" t="str">
        <v/>
      </c>
      <c r="B2419" s="6">
        <v>0</v>
      </c>
      <c r="C2419" s="7" t="str">
        <v>趣点购浦发</v>
      </c>
      <c r="D2419" s="8">
        <v>0</v>
      </c>
      <c r="E2419" s="7">
        <v>0</v>
      </c>
      <c r="F2419" s="8">
        <v>0</v>
      </c>
      <c r="G2419" s="7">
        <v>0</v>
      </c>
      <c r="H2419" s="7">
        <v>81211.819999998</v>
      </c>
      <c r="I2419" s="7">
        <v>0</v>
      </c>
      <c r="J2419" s="8">
        <v>0</v>
      </c>
      <c r="K2419" s="9" t="str">
        <v/>
      </c>
    </row>
    <row r="2420" spans="1:11">
      <c r="A2420" t="str">
        <v/>
      </c>
      <c r="B2420" s="6">
        <v>0</v>
      </c>
      <c r="C2420" s="7" t="str">
        <v>趣点购浦发</v>
      </c>
      <c r="D2420" s="8">
        <v>0</v>
      </c>
      <c r="E2420" s="7">
        <v>0</v>
      </c>
      <c r="F2420" s="8">
        <v>0</v>
      </c>
      <c r="G2420" s="7">
        <v>0</v>
      </c>
      <c r="H2420" s="7">
        <v>81211.819999998</v>
      </c>
      <c r="I2420" s="7">
        <v>0</v>
      </c>
      <c r="J2420" s="8">
        <v>0</v>
      </c>
      <c r="K2420" s="9" t="str">
        <v/>
      </c>
    </row>
    <row r="2421" spans="1:11">
      <c r="A2421" t="str">
        <v/>
      </c>
      <c r="B2421" s="6">
        <v>0</v>
      </c>
      <c r="C2421" s="7" t="str">
        <v>趣点购浦发</v>
      </c>
      <c r="D2421" s="8">
        <v>0</v>
      </c>
      <c r="E2421" s="7">
        <v>0</v>
      </c>
      <c r="F2421" s="8">
        <v>0</v>
      </c>
      <c r="G2421" s="7">
        <v>0</v>
      </c>
      <c r="H2421" s="7">
        <v>81211.819999998</v>
      </c>
      <c r="I2421" s="7">
        <v>0</v>
      </c>
      <c r="J2421" s="8">
        <v>0</v>
      </c>
      <c r="K2421" s="9" t="str">
        <v/>
      </c>
    </row>
    <row r="2422" spans="1:11">
      <c r="A2422" t="str">
        <v/>
      </c>
      <c r="B2422" s="6">
        <v>0</v>
      </c>
      <c r="C2422" s="7" t="str">
        <v>趣点购浦发</v>
      </c>
      <c r="D2422" s="8">
        <v>0</v>
      </c>
      <c r="E2422" s="7">
        <v>0</v>
      </c>
      <c r="F2422" s="8">
        <v>0</v>
      </c>
      <c r="G2422" s="7">
        <v>0</v>
      </c>
      <c r="H2422" s="7">
        <v>81211.819999998</v>
      </c>
      <c r="I2422" s="7">
        <v>0</v>
      </c>
      <c r="J2422" s="8">
        <v>0</v>
      </c>
      <c r="K2422" s="9" t="str">
        <v/>
      </c>
    </row>
    <row r="2423" spans="1:11">
      <c r="A2423" t="str">
        <v/>
      </c>
      <c r="B2423" s="6">
        <v>0</v>
      </c>
      <c r="C2423" s="7" t="str">
        <v>趣点购浦发</v>
      </c>
      <c r="D2423" s="8">
        <v>0</v>
      </c>
      <c r="E2423" s="7">
        <v>0</v>
      </c>
      <c r="F2423" s="8">
        <v>0</v>
      </c>
      <c r="G2423" s="7">
        <v>0</v>
      </c>
      <c r="H2423" s="7">
        <v>81211.819999998</v>
      </c>
      <c r="I2423" s="7">
        <v>0</v>
      </c>
      <c r="J2423" s="8">
        <v>0</v>
      </c>
      <c r="K2423" s="9" t="str">
        <v/>
      </c>
    </row>
    <row r="2424" spans="1:11">
      <c r="A2424" t="str">
        <v/>
      </c>
      <c r="B2424" s="6">
        <v>0</v>
      </c>
      <c r="C2424" s="7" t="str">
        <v>趣点购浦发</v>
      </c>
      <c r="D2424" s="8">
        <v>0</v>
      </c>
      <c r="E2424" s="7">
        <v>0</v>
      </c>
      <c r="F2424" s="8">
        <v>0</v>
      </c>
      <c r="G2424" s="7">
        <v>0</v>
      </c>
      <c r="H2424" s="7">
        <v>81211.819999998</v>
      </c>
      <c r="I2424" s="7">
        <v>0</v>
      </c>
      <c r="J2424" s="8">
        <v>0</v>
      </c>
      <c r="K2424" s="9" t="str">
        <v/>
      </c>
    </row>
    <row r="2425" spans="1:11">
      <c r="A2425" t="str">
        <v/>
      </c>
      <c r="B2425" s="6">
        <v>0</v>
      </c>
      <c r="C2425" s="7" t="str">
        <v>趣点购浦发</v>
      </c>
      <c r="D2425" s="8">
        <v>0</v>
      </c>
      <c r="E2425" s="7">
        <v>0</v>
      </c>
      <c r="F2425" s="8">
        <v>0</v>
      </c>
      <c r="G2425" s="7">
        <v>0</v>
      </c>
      <c r="H2425" s="7">
        <v>81211.819999998</v>
      </c>
      <c r="I2425" s="7">
        <v>0</v>
      </c>
      <c r="J2425" s="8">
        <v>0</v>
      </c>
      <c r="K2425" s="9" t="str">
        <v/>
      </c>
    </row>
    <row r="2426" spans="1:11">
      <c r="A2426" t="str">
        <v/>
      </c>
      <c r="B2426" s="6">
        <v>0</v>
      </c>
      <c r="C2426" s="7" t="str">
        <v>趣点购浦发</v>
      </c>
      <c r="D2426" s="8">
        <v>0</v>
      </c>
      <c r="E2426" s="7">
        <v>0</v>
      </c>
      <c r="F2426" s="8">
        <v>0</v>
      </c>
      <c r="G2426" s="7">
        <v>0</v>
      </c>
      <c r="H2426" s="7">
        <v>81211.819999998</v>
      </c>
      <c r="I2426" s="7">
        <v>0</v>
      </c>
      <c r="J2426" s="8">
        <v>0</v>
      </c>
      <c r="K2426" s="9" t="str">
        <v/>
      </c>
    </row>
    <row r="2427" spans="1:11">
      <c r="A2427" t="str">
        <v/>
      </c>
      <c r="B2427" s="6">
        <v>0</v>
      </c>
      <c r="C2427" s="7" t="str">
        <v>趣点购浦发</v>
      </c>
      <c r="D2427" s="8">
        <v>0</v>
      </c>
      <c r="E2427" s="7">
        <v>0</v>
      </c>
      <c r="F2427" s="8">
        <v>0</v>
      </c>
      <c r="G2427" s="7">
        <v>0</v>
      </c>
      <c r="H2427" s="7">
        <v>81211.819999998</v>
      </c>
      <c r="I2427" s="7">
        <v>0</v>
      </c>
      <c r="J2427" s="8">
        <v>0</v>
      </c>
      <c r="K2427" s="9" t="str">
        <v/>
      </c>
    </row>
    <row r="2428" spans="1:11">
      <c r="A2428" t="str">
        <v/>
      </c>
      <c r="B2428" s="6">
        <v>0</v>
      </c>
      <c r="C2428" s="7" t="str">
        <v>趣点购浦发</v>
      </c>
      <c r="D2428" s="8">
        <v>0</v>
      </c>
      <c r="E2428" s="7">
        <v>0</v>
      </c>
      <c r="F2428" s="8">
        <v>0</v>
      </c>
      <c r="G2428" s="7">
        <v>0</v>
      </c>
      <c r="H2428" s="7">
        <v>81211.819999998</v>
      </c>
      <c r="I2428" s="7">
        <v>0</v>
      </c>
      <c r="J2428" s="8">
        <v>0</v>
      </c>
      <c r="K2428" s="9" t="str">
        <v/>
      </c>
    </row>
    <row r="2429" spans="1:11">
      <c r="A2429" t="str">
        <v/>
      </c>
      <c r="B2429" s="6">
        <v>0</v>
      </c>
      <c r="C2429" s="7" t="str">
        <v>趣点购浦发</v>
      </c>
      <c r="D2429" s="8">
        <v>0</v>
      </c>
      <c r="E2429" s="7">
        <v>0</v>
      </c>
      <c r="F2429" s="8">
        <v>0</v>
      </c>
      <c r="G2429" s="7">
        <v>0</v>
      </c>
      <c r="H2429" s="7">
        <v>81211.819999998</v>
      </c>
      <c r="I2429" s="7">
        <v>0</v>
      </c>
      <c r="J2429" s="8">
        <v>0</v>
      </c>
      <c r="K2429" s="9" t="str">
        <v/>
      </c>
    </row>
    <row r="2430" spans="1:11">
      <c r="A2430" t="str">
        <v/>
      </c>
      <c r="B2430" s="6">
        <v>0</v>
      </c>
      <c r="C2430" s="7" t="str">
        <v>趣点购浦发</v>
      </c>
      <c r="D2430" s="8">
        <v>0</v>
      </c>
      <c r="E2430" s="7">
        <v>0</v>
      </c>
      <c r="F2430" s="8">
        <v>0</v>
      </c>
      <c r="G2430" s="7">
        <v>0</v>
      </c>
      <c r="H2430" s="7">
        <v>81211.819999998</v>
      </c>
      <c r="I2430" s="7">
        <v>0</v>
      </c>
      <c r="J2430" s="8">
        <v>0</v>
      </c>
      <c r="K2430" s="9" t="str">
        <v/>
      </c>
    </row>
    <row r="2431" spans="1:11">
      <c r="A2431" t="str">
        <v/>
      </c>
      <c r="B2431" s="6">
        <v>0</v>
      </c>
      <c r="C2431" s="7" t="str">
        <v>趣点购浦发</v>
      </c>
      <c r="D2431" s="8">
        <v>0</v>
      </c>
      <c r="E2431" s="7">
        <v>0</v>
      </c>
      <c r="F2431" s="8">
        <v>0</v>
      </c>
      <c r="G2431" s="7">
        <v>0</v>
      </c>
      <c r="H2431" s="7">
        <v>81211.819999998</v>
      </c>
      <c r="I2431" s="7">
        <v>0</v>
      </c>
      <c r="J2431" s="8">
        <v>0</v>
      </c>
      <c r="K2431" s="9" t="str">
        <v/>
      </c>
    </row>
    <row r="2432" spans="1:11">
      <c r="A2432" t="str">
        <v/>
      </c>
      <c r="B2432" s="6">
        <v>0</v>
      </c>
      <c r="C2432" s="7" t="str">
        <v>趣点购浦发</v>
      </c>
      <c r="D2432" s="8">
        <v>0</v>
      </c>
      <c r="E2432" s="7">
        <v>0</v>
      </c>
      <c r="F2432" s="8">
        <v>0</v>
      </c>
      <c r="G2432" s="7">
        <v>0</v>
      </c>
      <c r="H2432" s="7">
        <v>81211.819999998</v>
      </c>
      <c r="I2432" s="7">
        <v>0</v>
      </c>
      <c r="J2432" s="8">
        <v>0</v>
      </c>
      <c r="K2432" s="9" t="str">
        <v/>
      </c>
    </row>
    <row r="2433" spans="1:11">
      <c r="A2433" t="str">
        <v/>
      </c>
      <c r="B2433" s="6">
        <v>0</v>
      </c>
      <c r="C2433" s="7" t="str">
        <v>趣点购浦发</v>
      </c>
      <c r="D2433" s="8">
        <v>0</v>
      </c>
      <c r="E2433" s="7">
        <v>0</v>
      </c>
      <c r="F2433" s="8">
        <v>0</v>
      </c>
      <c r="G2433" s="7">
        <v>0</v>
      </c>
      <c r="H2433" s="7">
        <v>81211.819999998</v>
      </c>
      <c r="I2433" s="7">
        <v>0</v>
      </c>
      <c r="J2433" s="8">
        <v>0</v>
      </c>
      <c r="K2433" s="9" t="str">
        <v/>
      </c>
    </row>
    <row r="2434" spans="1:11">
      <c r="A2434" t="str">
        <v/>
      </c>
      <c r="B2434" s="6">
        <v>0</v>
      </c>
      <c r="C2434" s="7" t="str">
        <v>趣点购浦发</v>
      </c>
      <c r="D2434" s="8">
        <v>0</v>
      </c>
      <c r="E2434" s="7">
        <v>0</v>
      </c>
      <c r="F2434" s="8">
        <v>0</v>
      </c>
      <c r="G2434" s="7">
        <v>0</v>
      </c>
      <c r="H2434" s="7">
        <v>81211.819999998</v>
      </c>
      <c r="I2434" s="7">
        <v>0</v>
      </c>
      <c r="J2434" s="8">
        <v>0</v>
      </c>
      <c r="K2434" s="9" t="str">
        <v/>
      </c>
    </row>
    <row r="2435" spans="1:11">
      <c r="A2435" t="str">
        <v/>
      </c>
      <c r="B2435" s="6">
        <v>0</v>
      </c>
      <c r="C2435" s="7" t="str">
        <v>趣点购浦发</v>
      </c>
      <c r="D2435" s="8">
        <v>0</v>
      </c>
      <c r="E2435" s="7">
        <v>0</v>
      </c>
      <c r="F2435" s="8">
        <v>0</v>
      </c>
      <c r="G2435" s="7">
        <v>0</v>
      </c>
      <c r="H2435" s="7">
        <v>81211.819999998</v>
      </c>
      <c r="I2435" s="7">
        <v>0</v>
      </c>
      <c r="J2435" s="8">
        <v>0</v>
      </c>
      <c r="K2435" s="9" t="str">
        <v/>
      </c>
    </row>
    <row r="2436" spans="1:11">
      <c r="A2436" t="str">
        <v/>
      </c>
      <c r="B2436" s="6">
        <v>0</v>
      </c>
      <c r="C2436" s="7" t="str">
        <v>趣点购浦发</v>
      </c>
      <c r="D2436" s="8">
        <v>0</v>
      </c>
      <c r="E2436" s="7">
        <v>0</v>
      </c>
      <c r="F2436" s="8">
        <v>0</v>
      </c>
      <c r="G2436" s="7">
        <v>0</v>
      </c>
      <c r="H2436" s="7">
        <v>81211.819999998</v>
      </c>
      <c r="I2436" s="7">
        <v>0</v>
      </c>
      <c r="J2436" s="8">
        <v>0</v>
      </c>
      <c r="K2436" s="9" t="str">
        <v/>
      </c>
    </row>
    <row r="2437" spans="1:11">
      <c r="A2437" t="str">
        <v/>
      </c>
      <c r="B2437" s="6">
        <v>0</v>
      </c>
      <c r="C2437" s="7" t="str">
        <v>趣点购浦发</v>
      </c>
      <c r="D2437" s="8">
        <v>0</v>
      </c>
      <c r="E2437" s="7">
        <v>0</v>
      </c>
      <c r="F2437" s="8">
        <v>0</v>
      </c>
      <c r="G2437" s="7">
        <v>0</v>
      </c>
      <c r="H2437" s="7">
        <v>81211.819999998</v>
      </c>
      <c r="I2437" s="7">
        <v>0</v>
      </c>
      <c r="J2437" s="8">
        <v>0</v>
      </c>
      <c r="K2437" s="9" t="str">
        <v/>
      </c>
    </row>
    <row r="2438" spans="1:11">
      <c r="A2438" t="str">
        <v/>
      </c>
      <c r="B2438" s="6">
        <v>0</v>
      </c>
      <c r="C2438" s="7" t="str">
        <v>趣点购浦发</v>
      </c>
      <c r="D2438" s="8">
        <v>0</v>
      </c>
      <c r="E2438" s="7">
        <v>0</v>
      </c>
      <c r="F2438" s="8">
        <v>0</v>
      </c>
      <c r="G2438" s="7">
        <v>0</v>
      </c>
      <c r="H2438" s="7">
        <v>81211.819999998</v>
      </c>
      <c r="I2438" s="7">
        <v>0</v>
      </c>
      <c r="J2438" s="8">
        <v>0</v>
      </c>
      <c r="K2438" s="9" t="str">
        <v/>
      </c>
    </row>
    <row r="2439" spans="1:11">
      <c r="A2439" t="str">
        <v/>
      </c>
      <c r="B2439" s="6">
        <v>0</v>
      </c>
      <c r="C2439" s="7" t="str">
        <v>趣点购浦发</v>
      </c>
      <c r="D2439" s="8">
        <v>0</v>
      </c>
      <c r="E2439" s="7">
        <v>0</v>
      </c>
      <c r="F2439" s="8">
        <v>0</v>
      </c>
      <c r="G2439" s="7">
        <v>0</v>
      </c>
      <c r="H2439" s="7">
        <v>81211.819999998</v>
      </c>
      <c r="I2439" s="7">
        <v>0</v>
      </c>
      <c r="J2439" s="8">
        <v>0</v>
      </c>
      <c r="K2439" s="9" t="str">
        <v/>
      </c>
    </row>
    <row r="2440" spans="1:11">
      <c r="A2440" t="str">
        <v/>
      </c>
      <c r="B2440" s="6">
        <v>0</v>
      </c>
      <c r="C2440" s="7" t="str">
        <v>趣点购浦发</v>
      </c>
      <c r="D2440" s="8">
        <v>0</v>
      </c>
      <c r="E2440" s="7">
        <v>0</v>
      </c>
      <c r="F2440" s="8">
        <v>0</v>
      </c>
      <c r="G2440" s="7">
        <v>0</v>
      </c>
      <c r="H2440" s="7">
        <v>81211.819999998</v>
      </c>
      <c r="I2440" s="7">
        <v>0</v>
      </c>
      <c r="J2440" s="8">
        <v>0</v>
      </c>
      <c r="K2440" s="9" t="str">
        <v/>
      </c>
    </row>
    <row r="2441" spans="1:11">
      <c r="A2441" t="str">
        <v/>
      </c>
      <c r="B2441" s="6">
        <v>0</v>
      </c>
      <c r="C2441" s="7" t="str">
        <v>趣点购浦发</v>
      </c>
      <c r="D2441" s="8">
        <v>0</v>
      </c>
      <c r="E2441" s="7">
        <v>0</v>
      </c>
      <c r="F2441" s="8">
        <v>0</v>
      </c>
      <c r="G2441" s="7">
        <v>0</v>
      </c>
      <c r="H2441" s="7">
        <v>81211.819999998</v>
      </c>
      <c r="I2441" s="7">
        <v>0</v>
      </c>
      <c r="J2441" s="8">
        <v>0</v>
      </c>
      <c r="K2441" s="9" t="str">
        <v/>
      </c>
    </row>
    <row r="2442" spans="1:11">
      <c r="A2442" t="str">
        <v/>
      </c>
      <c r="B2442" s="6">
        <v>0</v>
      </c>
      <c r="C2442" s="7" t="str">
        <v>趣点购浦发</v>
      </c>
      <c r="D2442" s="8">
        <v>0</v>
      </c>
      <c r="E2442" s="7">
        <v>0</v>
      </c>
      <c r="F2442" s="8">
        <v>0</v>
      </c>
      <c r="G2442" s="7">
        <v>0</v>
      </c>
      <c r="H2442" s="7">
        <v>81211.819999998</v>
      </c>
      <c r="I2442" s="7">
        <v>0</v>
      </c>
      <c r="J2442" s="8">
        <v>0</v>
      </c>
      <c r="K2442" s="9" t="str">
        <v/>
      </c>
    </row>
    <row r="2443" spans="1:11">
      <c r="A2443" t="str">
        <v/>
      </c>
      <c r="B2443" s="6">
        <v>0</v>
      </c>
      <c r="C2443" s="7" t="str">
        <v>趣点购浦发</v>
      </c>
      <c r="D2443" s="8">
        <v>0</v>
      </c>
      <c r="E2443" s="7">
        <v>0</v>
      </c>
      <c r="F2443" s="8">
        <v>0</v>
      </c>
      <c r="G2443" s="7">
        <v>0</v>
      </c>
      <c r="H2443" s="7">
        <v>81211.819999998</v>
      </c>
      <c r="I2443" s="7">
        <v>0</v>
      </c>
      <c r="J2443" s="8">
        <v>0</v>
      </c>
      <c r="K2443" s="9" t="str">
        <v/>
      </c>
    </row>
    <row r="2444" spans="1:11">
      <c r="A2444" t="str">
        <v/>
      </c>
      <c r="B2444" s="6">
        <v>0</v>
      </c>
      <c r="C2444" s="7" t="str">
        <v>趣点购浦发</v>
      </c>
      <c r="D2444" s="8">
        <v>0</v>
      </c>
      <c r="E2444" s="7">
        <v>0</v>
      </c>
      <c r="F2444" s="8">
        <v>0</v>
      </c>
      <c r="G2444" s="7">
        <v>0</v>
      </c>
      <c r="H2444" s="7">
        <v>81211.819999998</v>
      </c>
      <c r="I2444" s="7">
        <v>0</v>
      </c>
      <c r="J2444" s="8">
        <v>0</v>
      </c>
      <c r="K2444" s="9" t="str">
        <v/>
      </c>
    </row>
    <row r="2445" spans="1:11">
      <c r="A2445" t="str">
        <v/>
      </c>
      <c r="B2445" s="6">
        <v>0</v>
      </c>
      <c r="C2445" s="7" t="str">
        <v>趣点购浦发</v>
      </c>
      <c r="D2445" s="8">
        <v>0</v>
      </c>
      <c r="E2445" s="7">
        <v>0</v>
      </c>
      <c r="F2445" s="8">
        <v>0</v>
      </c>
      <c r="G2445" s="7">
        <v>0</v>
      </c>
      <c r="H2445" s="7">
        <v>81211.819999998</v>
      </c>
      <c r="I2445" s="7">
        <v>0</v>
      </c>
      <c r="J2445" s="8">
        <v>0</v>
      </c>
      <c r="K2445" s="9" t="str">
        <v/>
      </c>
    </row>
    <row r="2446" spans="1:11">
      <c r="A2446" t="str">
        <v/>
      </c>
      <c r="B2446" s="6">
        <v>0</v>
      </c>
      <c r="C2446" s="7" t="str">
        <v>趣点购浦发</v>
      </c>
      <c r="D2446" s="8">
        <v>0</v>
      </c>
      <c r="E2446" s="7">
        <v>0</v>
      </c>
      <c r="F2446" s="8">
        <v>0</v>
      </c>
      <c r="G2446" s="7">
        <v>0</v>
      </c>
      <c r="H2446" s="7">
        <v>81211.819999998</v>
      </c>
      <c r="I2446" s="7">
        <v>0</v>
      </c>
      <c r="J2446" s="8">
        <v>0</v>
      </c>
      <c r="K2446" s="9" t="str">
        <v/>
      </c>
    </row>
    <row r="2447" spans="1:11">
      <c r="A2447" t="str">
        <v/>
      </c>
      <c r="B2447" s="6">
        <v>0</v>
      </c>
      <c r="C2447" s="7" t="str">
        <v>趣点购浦发</v>
      </c>
      <c r="D2447" s="8">
        <v>0</v>
      </c>
      <c r="E2447" s="7">
        <v>0</v>
      </c>
      <c r="F2447" s="8">
        <v>0</v>
      </c>
      <c r="G2447" s="7">
        <v>0</v>
      </c>
      <c r="H2447" s="7">
        <v>81211.819999998</v>
      </c>
      <c r="I2447" s="7">
        <v>0</v>
      </c>
      <c r="J2447" s="8">
        <v>0</v>
      </c>
      <c r="K2447" s="9" t="str">
        <v/>
      </c>
    </row>
    <row r="2448" spans="1:11">
      <c r="A2448" t="str">
        <v/>
      </c>
      <c r="B2448" s="6">
        <v>0</v>
      </c>
      <c r="C2448" s="7" t="str">
        <v>趣点购浦发</v>
      </c>
      <c r="D2448" s="8">
        <v>0</v>
      </c>
      <c r="E2448" s="7">
        <v>0</v>
      </c>
      <c r="F2448" s="8">
        <v>0</v>
      </c>
      <c r="G2448" s="7">
        <v>0</v>
      </c>
      <c r="H2448" s="7">
        <v>81211.819999998</v>
      </c>
      <c r="I2448" s="7">
        <v>0</v>
      </c>
      <c r="J2448" s="8">
        <v>0</v>
      </c>
      <c r="K2448" s="9" t="str">
        <v/>
      </c>
    </row>
    <row r="2449" spans="1:11">
      <c r="A2449" t="str">
        <v/>
      </c>
      <c r="B2449" s="6">
        <v>0</v>
      </c>
      <c r="C2449" s="7" t="str">
        <v>趣点购浦发</v>
      </c>
      <c r="D2449" s="8">
        <v>0</v>
      </c>
      <c r="E2449" s="7">
        <v>0</v>
      </c>
      <c r="F2449" s="8">
        <v>0</v>
      </c>
      <c r="G2449" s="7">
        <v>0</v>
      </c>
      <c r="H2449" s="7">
        <v>81211.819999998</v>
      </c>
      <c r="I2449" s="7">
        <v>0</v>
      </c>
      <c r="J2449" s="8">
        <v>0</v>
      </c>
      <c r="K2449" s="9" t="str">
        <v/>
      </c>
    </row>
    <row r="2450" spans="1:11">
      <c r="A2450" t="str">
        <v/>
      </c>
      <c r="B2450" s="6">
        <v>0</v>
      </c>
      <c r="C2450" s="7" t="str">
        <v>趣点购浦发</v>
      </c>
      <c r="D2450" s="8">
        <v>0</v>
      </c>
      <c r="E2450" s="7">
        <v>0</v>
      </c>
      <c r="F2450" s="8">
        <v>0</v>
      </c>
      <c r="G2450" s="7">
        <v>0</v>
      </c>
      <c r="H2450" s="7">
        <v>81211.819999998</v>
      </c>
      <c r="I2450" s="7">
        <v>0</v>
      </c>
      <c r="J2450" s="8">
        <v>0</v>
      </c>
      <c r="K2450" s="9" t="str">
        <v/>
      </c>
    </row>
    <row r="2451" spans="1:11">
      <c r="A2451" t="str">
        <v/>
      </c>
      <c r="B2451" s="6">
        <v>0</v>
      </c>
      <c r="C2451" s="7" t="str">
        <v>趣点购浦发</v>
      </c>
      <c r="D2451" s="8">
        <v>0</v>
      </c>
      <c r="E2451" s="7">
        <v>0</v>
      </c>
      <c r="F2451" s="8">
        <v>0</v>
      </c>
      <c r="G2451" s="7">
        <v>0</v>
      </c>
      <c r="H2451" s="7">
        <v>81211.819999998</v>
      </c>
      <c r="I2451" s="7">
        <v>0</v>
      </c>
      <c r="J2451" s="8">
        <v>0</v>
      </c>
      <c r="K2451" s="9" t="str">
        <v/>
      </c>
    </row>
    <row r="2452" spans="1:11">
      <c r="A2452" t="str">
        <v/>
      </c>
      <c r="B2452" s="6">
        <v>0</v>
      </c>
      <c r="C2452" s="7" t="str">
        <v>趣点购浦发</v>
      </c>
      <c r="D2452" s="8">
        <v>0</v>
      </c>
      <c r="E2452" s="7">
        <v>0</v>
      </c>
      <c r="F2452" s="8">
        <v>0</v>
      </c>
      <c r="G2452" s="7">
        <v>0</v>
      </c>
      <c r="H2452" s="7">
        <v>81211.819999998</v>
      </c>
      <c r="I2452" s="7">
        <v>0</v>
      </c>
      <c r="J2452" s="8">
        <v>0</v>
      </c>
      <c r="K2452" s="9" t="str">
        <v/>
      </c>
    </row>
    <row r="2453" spans="1:11">
      <c r="A2453" t="str">
        <v/>
      </c>
      <c r="B2453" s="6">
        <v>0</v>
      </c>
      <c r="C2453" s="7" t="str">
        <v>趣点购浦发</v>
      </c>
      <c r="D2453" s="8">
        <v>0</v>
      </c>
      <c r="E2453" s="7">
        <v>0</v>
      </c>
      <c r="F2453" s="8">
        <v>0</v>
      </c>
      <c r="G2453" s="7">
        <v>0</v>
      </c>
      <c r="H2453" s="7">
        <v>81211.819999998</v>
      </c>
      <c r="I2453" s="7">
        <v>0</v>
      </c>
      <c r="J2453" s="8">
        <v>0</v>
      </c>
      <c r="K2453" s="9" t="str">
        <v/>
      </c>
    </row>
    <row r="2454" spans="1:11">
      <c r="A2454" t="str">
        <v/>
      </c>
      <c r="B2454" s="6">
        <v>0</v>
      </c>
      <c r="C2454" s="7" t="str">
        <v>趣点购浦发</v>
      </c>
      <c r="D2454" s="8">
        <v>0</v>
      </c>
      <c r="E2454" s="7">
        <v>0</v>
      </c>
      <c r="F2454" s="8">
        <v>0</v>
      </c>
      <c r="G2454" s="7">
        <v>0</v>
      </c>
      <c r="H2454" s="7">
        <v>81211.819999998</v>
      </c>
      <c r="I2454" s="7">
        <v>0</v>
      </c>
      <c r="J2454" s="8">
        <v>0</v>
      </c>
      <c r="K2454" s="9" t="str">
        <v/>
      </c>
    </row>
    <row r="2455" spans="1:11">
      <c r="A2455" t="str">
        <v/>
      </c>
      <c r="B2455" s="6">
        <v>0</v>
      </c>
      <c r="C2455" s="7" t="str">
        <v>趣点购浦发</v>
      </c>
      <c r="D2455" s="8">
        <v>0</v>
      </c>
      <c r="E2455" s="7">
        <v>0</v>
      </c>
      <c r="F2455" s="8">
        <v>0</v>
      </c>
      <c r="G2455" s="7">
        <v>0</v>
      </c>
      <c r="H2455" s="7">
        <v>81211.819999998</v>
      </c>
      <c r="I2455" s="7">
        <v>0</v>
      </c>
      <c r="J2455" s="8">
        <v>0</v>
      </c>
      <c r="K2455" s="9" t="str">
        <v/>
      </c>
    </row>
    <row r="2456" spans="1:11">
      <c r="A2456" t="str">
        <v/>
      </c>
      <c r="B2456" s="6">
        <v>0</v>
      </c>
      <c r="C2456" s="7" t="str">
        <v>趣点购浦发</v>
      </c>
      <c r="D2456" s="8">
        <v>0</v>
      </c>
      <c r="E2456" s="7">
        <v>0</v>
      </c>
      <c r="F2456" s="8">
        <v>0</v>
      </c>
      <c r="G2456" s="7">
        <v>0</v>
      </c>
      <c r="H2456" s="7">
        <v>81211.819999998</v>
      </c>
      <c r="I2456" s="7">
        <v>0</v>
      </c>
      <c r="J2456" s="8">
        <v>0</v>
      </c>
      <c r="K2456" s="9" t="str">
        <v/>
      </c>
    </row>
    <row r="2457" spans="1:11">
      <c r="A2457" t="str">
        <v/>
      </c>
      <c r="B2457" s="6">
        <v>0</v>
      </c>
      <c r="C2457" s="7" t="str">
        <v>趣点购浦发</v>
      </c>
      <c r="D2457" s="8">
        <v>0</v>
      </c>
      <c r="E2457" s="7">
        <v>0</v>
      </c>
      <c r="F2457" s="8">
        <v>0</v>
      </c>
      <c r="G2457" s="7">
        <v>0</v>
      </c>
      <c r="H2457" s="7">
        <v>81211.819999998</v>
      </c>
      <c r="I2457" s="7">
        <v>0</v>
      </c>
      <c r="J2457" s="8">
        <v>0</v>
      </c>
      <c r="K2457" s="9" t="str">
        <v/>
      </c>
    </row>
    <row r="2458" spans="1:11">
      <c r="A2458" t="str">
        <v/>
      </c>
      <c r="B2458" s="6">
        <v>0</v>
      </c>
      <c r="C2458" s="7" t="str">
        <v>趣点购浦发</v>
      </c>
      <c r="D2458" s="8">
        <v>0</v>
      </c>
      <c r="E2458" s="7">
        <v>0</v>
      </c>
      <c r="F2458" s="8">
        <v>0</v>
      </c>
      <c r="G2458" s="7">
        <v>0</v>
      </c>
      <c r="H2458" s="7">
        <v>81211.819999998</v>
      </c>
      <c r="I2458" s="7">
        <v>0</v>
      </c>
      <c r="J2458" s="8">
        <v>0</v>
      </c>
      <c r="K2458" s="9" t="str">
        <v/>
      </c>
    </row>
    <row r="2459" spans="1:11">
      <c r="A2459" t="str">
        <v/>
      </c>
      <c r="B2459" s="6">
        <v>0</v>
      </c>
      <c r="C2459" s="7" t="str">
        <v>趣点购浦发</v>
      </c>
      <c r="D2459" s="8">
        <v>0</v>
      </c>
      <c r="E2459" s="7">
        <v>0</v>
      </c>
      <c r="F2459" s="8">
        <v>0</v>
      </c>
      <c r="G2459" s="7">
        <v>0</v>
      </c>
      <c r="H2459" s="7">
        <v>81211.819999998</v>
      </c>
      <c r="I2459" s="7">
        <v>0</v>
      </c>
      <c r="J2459" s="8">
        <v>0</v>
      </c>
      <c r="K2459" s="9" t="str">
        <v/>
      </c>
    </row>
    <row r="2460" spans="1:11">
      <c r="A2460" t="str">
        <v/>
      </c>
      <c r="B2460" s="6">
        <v>0</v>
      </c>
      <c r="C2460" s="7" t="str">
        <v>趣点购浦发</v>
      </c>
      <c r="D2460" s="8">
        <v>0</v>
      </c>
      <c r="E2460" s="7">
        <v>0</v>
      </c>
      <c r="F2460" s="8">
        <v>0</v>
      </c>
      <c r="G2460" s="7">
        <v>0</v>
      </c>
      <c r="H2460" s="7">
        <v>81211.819999998</v>
      </c>
      <c r="I2460" s="7">
        <v>0</v>
      </c>
      <c r="J2460" s="8">
        <v>0</v>
      </c>
      <c r="K2460" s="9" t="str">
        <v/>
      </c>
    </row>
    <row r="2461" spans="1:11">
      <c r="A2461" t="str">
        <v/>
      </c>
      <c r="B2461" s="6">
        <v>0</v>
      </c>
      <c r="C2461" s="7" t="str">
        <v>趣点购浦发</v>
      </c>
      <c r="D2461" s="8">
        <v>0</v>
      </c>
      <c r="E2461" s="7">
        <v>0</v>
      </c>
      <c r="F2461" s="8">
        <v>0</v>
      </c>
      <c r="G2461" s="7">
        <v>0</v>
      </c>
      <c r="H2461" s="7">
        <v>81211.819999998</v>
      </c>
      <c r="I2461" s="7">
        <v>0</v>
      </c>
      <c r="J2461" s="8">
        <v>0</v>
      </c>
      <c r="K2461" s="9" t="str">
        <v/>
      </c>
    </row>
    <row r="2462" spans="1:11">
      <c r="A2462" t="str">
        <v/>
      </c>
      <c r="B2462" s="6">
        <v>0</v>
      </c>
      <c r="C2462" s="7" t="str">
        <v>趣点购浦发</v>
      </c>
      <c r="D2462" s="8">
        <v>0</v>
      </c>
      <c r="E2462" s="7">
        <v>0</v>
      </c>
      <c r="F2462" s="8">
        <v>0</v>
      </c>
      <c r="G2462" s="7">
        <v>0</v>
      </c>
      <c r="H2462" s="7">
        <v>81211.819999998</v>
      </c>
      <c r="I2462" s="7">
        <v>0</v>
      </c>
      <c r="J2462" s="8">
        <v>0</v>
      </c>
      <c r="K2462" s="9" t="str">
        <v/>
      </c>
    </row>
    <row r="2463" spans="1:11">
      <c r="A2463" t="str">
        <v/>
      </c>
      <c r="B2463" s="6">
        <v>0</v>
      </c>
      <c r="C2463" s="7" t="str">
        <v>趣点购浦发</v>
      </c>
      <c r="D2463" s="8">
        <v>0</v>
      </c>
      <c r="E2463" s="7">
        <v>0</v>
      </c>
      <c r="F2463" s="8">
        <v>0</v>
      </c>
      <c r="G2463" s="7">
        <v>0</v>
      </c>
      <c r="H2463" s="7">
        <v>81211.819999998</v>
      </c>
      <c r="I2463" s="7">
        <v>0</v>
      </c>
      <c r="J2463" s="8">
        <v>0</v>
      </c>
      <c r="K2463" s="9" t="str">
        <v/>
      </c>
    </row>
    <row r="2464" spans="1:11">
      <c r="A2464" t="str">
        <v/>
      </c>
      <c r="B2464" s="6">
        <v>0</v>
      </c>
      <c r="C2464" s="7" t="str">
        <v>趣点购浦发</v>
      </c>
      <c r="D2464" s="8">
        <v>0</v>
      </c>
      <c r="E2464" s="7">
        <v>0</v>
      </c>
      <c r="F2464" s="8">
        <v>0</v>
      </c>
      <c r="G2464" s="7">
        <v>0</v>
      </c>
      <c r="H2464" s="7">
        <v>81211.819999998</v>
      </c>
      <c r="I2464" s="7">
        <v>0</v>
      </c>
      <c r="J2464" s="8">
        <v>0</v>
      </c>
      <c r="K2464" s="9" t="str">
        <v/>
      </c>
    </row>
    <row r="2465" spans="1:11">
      <c r="A2465" t="str">
        <v/>
      </c>
      <c r="B2465" s="6">
        <v>0</v>
      </c>
      <c r="C2465" s="7" t="str">
        <v>趣点购浦发</v>
      </c>
      <c r="D2465" s="8">
        <v>0</v>
      </c>
      <c r="E2465" s="7">
        <v>0</v>
      </c>
      <c r="F2465" s="8">
        <v>0</v>
      </c>
      <c r="G2465" s="7">
        <v>0</v>
      </c>
      <c r="H2465" s="7">
        <v>81211.819999998</v>
      </c>
      <c r="I2465" s="7">
        <v>0</v>
      </c>
      <c r="J2465" s="8">
        <v>0</v>
      </c>
      <c r="K2465" s="9" t="str">
        <v/>
      </c>
    </row>
    <row r="2466" spans="1:11">
      <c r="A2466" t="str">
        <v/>
      </c>
      <c r="B2466" s="6">
        <v>0</v>
      </c>
      <c r="C2466" s="7" t="str">
        <v>趣点购浦发</v>
      </c>
      <c r="D2466" s="8">
        <v>0</v>
      </c>
      <c r="E2466" s="7">
        <v>0</v>
      </c>
      <c r="F2466" s="8">
        <v>0</v>
      </c>
      <c r="G2466" s="7">
        <v>0</v>
      </c>
      <c r="H2466" s="7">
        <v>81211.819999998</v>
      </c>
      <c r="I2466" s="7">
        <v>0</v>
      </c>
      <c r="J2466" s="8">
        <v>0</v>
      </c>
      <c r="K2466" s="9" t="str">
        <v/>
      </c>
    </row>
    <row r="2467" spans="1:11">
      <c r="A2467" t="str">
        <v/>
      </c>
      <c r="B2467" s="6">
        <v>0</v>
      </c>
      <c r="C2467" s="7" t="str">
        <v>趣点购浦发</v>
      </c>
      <c r="D2467" s="8">
        <v>0</v>
      </c>
      <c r="E2467" s="7">
        <v>0</v>
      </c>
      <c r="F2467" s="8">
        <v>0</v>
      </c>
      <c r="G2467" s="7">
        <v>0</v>
      </c>
      <c r="H2467" s="7">
        <v>81211.819999998</v>
      </c>
      <c r="I2467" s="7">
        <v>0</v>
      </c>
      <c r="J2467" s="8">
        <v>0</v>
      </c>
      <c r="K2467" s="9" t="str">
        <v/>
      </c>
    </row>
    <row r="2468" spans="1:11">
      <c r="A2468" t="str">
        <v/>
      </c>
      <c r="B2468" s="6">
        <v>0</v>
      </c>
      <c r="C2468" s="7" t="str">
        <v>趣点购浦发</v>
      </c>
      <c r="D2468" s="8">
        <v>0</v>
      </c>
      <c r="E2468" s="7">
        <v>0</v>
      </c>
      <c r="F2468" s="8">
        <v>0</v>
      </c>
      <c r="G2468" s="7">
        <v>0</v>
      </c>
      <c r="H2468" s="7">
        <v>81211.819999998</v>
      </c>
      <c r="I2468" s="7">
        <v>0</v>
      </c>
      <c r="J2468" s="8">
        <v>0</v>
      </c>
      <c r="K2468" s="9" t="str">
        <v/>
      </c>
    </row>
    <row r="2469" spans="1:11">
      <c r="A2469" t="str">
        <v/>
      </c>
      <c r="B2469" s="6">
        <v>0</v>
      </c>
      <c r="C2469" s="7" t="str">
        <v>趣点购浦发</v>
      </c>
      <c r="D2469" s="8">
        <v>0</v>
      </c>
      <c r="E2469" s="7">
        <v>0</v>
      </c>
      <c r="F2469" s="8">
        <v>0</v>
      </c>
      <c r="G2469" s="7">
        <v>0</v>
      </c>
      <c r="H2469" s="7">
        <v>81211.819999998</v>
      </c>
      <c r="I2469" s="7">
        <v>0</v>
      </c>
      <c r="J2469" s="8">
        <v>0</v>
      </c>
      <c r="K2469" s="9" t="str">
        <v/>
      </c>
    </row>
    <row r="2470" spans="1:11">
      <c r="A2470" t="str">
        <v/>
      </c>
      <c r="B2470" s="6">
        <v>0</v>
      </c>
      <c r="C2470" s="7" t="str">
        <v>趣点购浦发</v>
      </c>
      <c r="D2470" s="8">
        <v>0</v>
      </c>
      <c r="E2470" s="7">
        <v>0</v>
      </c>
      <c r="F2470" s="8">
        <v>0</v>
      </c>
      <c r="G2470" s="7">
        <v>0</v>
      </c>
      <c r="H2470" s="7">
        <v>81211.819999998</v>
      </c>
      <c r="I2470" s="7">
        <v>0</v>
      </c>
      <c r="J2470" s="8">
        <v>0</v>
      </c>
      <c r="K2470" s="9" t="str">
        <v/>
      </c>
    </row>
    <row r="2471" spans="1:11">
      <c r="A2471" t="str">
        <v/>
      </c>
      <c r="B2471" s="6">
        <v>0</v>
      </c>
      <c r="C2471" s="7" t="str">
        <v>趣点购浦发</v>
      </c>
      <c r="D2471" s="8">
        <v>0</v>
      </c>
      <c r="E2471" s="7">
        <v>0</v>
      </c>
      <c r="F2471" s="8">
        <v>0</v>
      </c>
      <c r="G2471" s="7">
        <v>0</v>
      </c>
      <c r="H2471" s="7">
        <v>81211.819999998</v>
      </c>
      <c r="I2471" s="7">
        <v>0</v>
      </c>
      <c r="J2471" s="8">
        <v>0</v>
      </c>
      <c r="K2471" s="9" t="str">
        <v/>
      </c>
    </row>
    <row r="2472" spans="1:11">
      <c r="A2472" t="str">
        <v/>
      </c>
      <c r="B2472" s="6">
        <v>0</v>
      </c>
      <c r="C2472" s="7" t="str">
        <v>趣点购浦发</v>
      </c>
      <c r="D2472" s="8">
        <v>0</v>
      </c>
      <c r="E2472" s="7">
        <v>0</v>
      </c>
      <c r="F2472" s="8">
        <v>0</v>
      </c>
      <c r="G2472" s="7">
        <v>0</v>
      </c>
      <c r="H2472" s="7">
        <v>81211.819999998</v>
      </c>
      <c r="I2472" s="7">
        <v>0</v>
      </c>
      <c r="J2472" s="8">
        <v>0</v>
      </c>
      <c r="K2472" s="9" t="str">
        <v/>
      </c>
    </row>
    <row r="2473" spans="1:11">
      <c r="A2473" t="str">
        <v/>
      </c>
      <c r="B2473" s="6">
        <v>0</v>
      </c>
      <c r="C2473" s="7" t="str">
        <v>趣点购浦发</v>
      </c>
      <c r="D2473" s="8">
        <v>0</v>
      </c>
      <c r="E2473" s="7">
        <v>0</v>
      </c>
      <c r="F2473" s="8">
        <v>0</v>
      </c>
      <c r="G2473" s="7">
        <v>0</v>
      </c>
      <c r="H2473" s="7">
        <v>81211.819999998</v>
      </c>
      <c r="I2473" s="7">
        <v>0</v>
      </c>
      <c r="J2473" s="8">
        <v>0</v>
      </c>
      <c r="K2473" s="9" t="str">
        <v/>
      </c>
    </row>
    <row r="2474" spans="1:11">
      <c r="A2474" t="str">
        <v/>
      </c>
      <c r="B2474" s="6">
        <v>0</v>
      </c>
      <c r="C2474" s="7" t="str">
        <v>趣点购浦发</v>
      </c>
      <c r="D2474" s="8">
        <v>0</v>
      </c>
      <c r="E2474" s="7">
        <v>0</v>
      </c>
      <c r="F2474" s="8">
        <v>0</v>
      </c>
      <c r="G2474" s="7">
        <v>0</v>
      </c>
      <c r="H2474" s="7">
        <v>81211.819999998</v>
      </c>
      <c r="I2474" s="7">
        <v>0</v>
      </c>
      <c r="J2474" s="8">
        <v>0</v>
      </c>
      <c r="K2474" s="9" t="str">
        <v/>
      </c>
    </row>
    <row r="2475" spans="1:11">
      <c r="A2475" t="str">
        <v/>
      </c>
      <c r="B2475" s="6">
        <v>0</v>
      </c>
      <c r="C2475" s="7" t="str">
        <v>趣点购浦发</v>
      </c>
      <c r="D2475" s="8">
        <v>0</v>
      </c>
      <c r="E2475" s="7">
        <v>0</v>
      </c>
      <c r="F2475" s="8">
        <v>0</v>
      </c>
      <c r="G2475" s="7">
        <v>0</v>
      </c>
      <c r="H2475" s="7">
        <v>81211.819999998</v>
      </c>
      <c r="I2475" s="7">
        <v>0</v>
      </c>
      <c r="J2475" s="8">
        <v>0</v>
      </c>
      <c r="K2475" s="9" t="str">
        <v/>
      </c>
    </row>
    <row r="2476" spans="1:11">
      <c r="A2476" t="str">
        <v/>
      </c>
      <c r="B2476" s="6">
        <v>0</v>
      </c>
      <c r="C2476" s="7" t="str">
        <v>趣点购浦发</v>
      </c>
      <c r="D2476" s="8">
        <v>0</v>
      </c>
      <c r="E2476" s="7">
        <v>0</v>
      </c>
      <c r="F2476" s="8">
        <v>0</v>
      </c>
      <c r="G2476" s="7">
        <v>0</v>
      </c>
      <c r="H2476" s="7">
        <v>81211.819999998</v>
      </c>
      <c r="I2476" s="7">
        <v>0</v>
      </c>
      <c r="J2476" s="8">
        <v>0</v>
      </c>
      <c r="K2476" s="9" t="str">
        <v/>
      </c>
    </row>
    <row r="2477" spans="1:11">
      <c r="A2477" t="str">
        <v/>
      </c>
      <c r="B2477" s="6">
        <v>0</v>
      </c>
      <c r="C2477" s="7" t="str">
        <v>趣点购浦发</v>
      </c>
      <c r="D2477" s="8">
        <v>0</v>
      </c>
      <c r="E2477" s="7">
        <v>0</v>
      </c>
      <c r="F2477" s="8">
        <v>0</v>
      </c>
      <c r="G2477" s="7">
        <v>0</v>
      </c>
      <c r="H2477" s="7">
        <v>81211.819999998</v>
      </c>
      <c r="I2477" s="7">
        <v>0</v>
      </c>
      <c r="J2477" s="8">
        <v>0</v>
      </c>
      <c r="K2477" s="9" t="str">
        <v/>
      </c>
    </row>
    <row r="2478" spans="1:11">
      <c r="A2478" t="str">
        <v/>
      </c>
      <c r="B2478" s="6">
        <v>0</v>
      </c>
      <c r="C2478" s="7" t="str">
        <v>趣点购浦发</v>
      </c>
      <c r="D2478" s="8">
        <v>0</v>
      </c>
      <c r="E2478" s="7">
        <v>0</v>
      </c>
      <c r="F2478" s="8">
        <v>0</v>
      </c>
      <c r="G2478" s="7">
        <v>0</v>
      </c>
      <c r="H2478" s="7">
        <v>81211.819999998</v>
      </c>
      <c r="I2478" s="7">
        <v>0</v>
      </c>
      <c r="J2478" s="8">
        <v>0</v>
      </c>
      <c r="K2478" s="9" t="str">
        <v/>
      </c>
    </row>
    <row r="2479" spans="1:11">
      <c r="A2479" t="str">
        <v/>
      </c>
      <c r="B2479" s="6">
        <v>0</v>
      </c>
      <c r="C2479" s="7" t="str">
        <v>趣点购浦发</v>
      </c>
      <c r="D2479" s="8">
        <v>0</v>
      </c>
      <c r="E2479" s="7">
        <v>0</v>
      </c>
      <c r="F2479" s="8">
        <v>0</v>
      </c>
      <c r="G2479" s="7">
        <v>0</v>
      </c>
      <c r="H2479" s="7">
        <v>81211.819999998</v>
      </c>
      <c r="I2479" s="7">
        <v>0</v>
      </c>
      <c r="J2479" s="8">
        <v>0</v>
      </c>
      <c r="K2479" s="9" t="str">
        <v/>
      </c>
    </row>
    <row r="2480" spans="1:11">
      <c r="A2480" t="str">
        <v/>
      </c>
      <c r="B2480" s="6">
        <v>0</v>
      </c>
      <c r="C2480" s="7" t="str">
        <v>趣点购浦发</v>
      </c>
      <c r="D2480" s="8">
        <v>0</v>
      </c>
      <c r="E2480" s="7">
        <v>0</v>
      </c>
      <c r="F2480" s="8">
        <v>0</v>
      </c>
      <c r="G2480" s="7">
        <v>0</v>
      </c>
      <c r="H2480" s="7">
        <v>81211.819999998</v>
      </c>
      <c r="I2480" s="7">
        <v>0</v>
      </c>
      <c r="J2480" s="8">
        <v>0</v>
      </c>
      <c r="K2480" s="9" t="str">
        <v/>
      </c>
    </row>
    <row r="2481" spans="1:11">
      <c r="A2481" t="str">
        <v/>
      </c>
      <c r="B2481" s="6">
        <v>0</v>
      </c>
      <c r="C2481" s="7" t="str">
        <v>趣点购浦发</v>
      </c>
      <c r="D2481" s="8">
        <v>0</v>
      </c>
      <c r="E2481" s="7">
        <v>0</v>
      </c>
      <c r="F2481" s="8">
        <v>0</v>
      </c>
      <c r="G2481" s="7">
        <v>0</v>
      </c>
      <c r="H2481" s="7">
        <v>81211.819999998</v>
      </c>
      <c r="I2481" s="7">
        <v>0</v>
      </c>
      <c r="J2481" s="8">
        <v>0</v>
      </c>
      <c r="K2481" s="9" t="str">
        <v/>
      </c>
    </row>
    <row r="2482" spans="1:11">
      <c r="A2482" t="str">
        <v/>
      </c>
      <c r="B2482" s="6">
        <v>0</v>
      </c>
      <c r="C2482" s="7" t="str">
        <v>趣点购浦发</v>
      </c>
      <c r="D2482" s="8">
        <v>0</v>
      </c>
      <c r="E2482" s="7">
        <v>0</v>
      </c>
      <c r="F2482" s="8">
        <v>0</v>
      </c>
      <c r="G2482" s="7">
        <v>0</v>
      </c>
      <c r="H2482" s="7">
        <v>81211.819999998</v>
      </c>
      <c r="I2482" s="7">
        <v>0</v>
      </c>
      <c r="J2482" s="8">
        <v>0</v>
      </c>
      <c r="K2482" s="9" t="str">
        <v/>
      </c>
    </row>
    <row r="2483" spans="1:11">
      <c r="A2483" t="str">
        <v/>
      </c>
      <c r="B2483" s="6">
        <v>0</v>
      </c>
      <c r="C2483" s="7" t="str">
        <v>趣点购浦发</v>
      </c>
      <c r="D2483" s="8">
        <v>0</v>
      </c>
      <c r="E2483" s="7">
        <v>0</v>
      </c>
      <c r="F2483" s="8">
        <v>0</v>
      </c>
      <c r="G2483" s="7">
        <v>0</v>
      </c>
      <c r="H2483" s="7">
        <v>81211.819999998</v>
      </c>
      <c r="I2483" s="7">
        <v>0</v>
      </c>
      <c r="J2483" s="8">
        <v>0</v>
      </c>
      <c r="K2483" s="9" t="str">
        <v/>
      </c>
    </row>
    <row r="2484" spans="1:11">
      <c r="A2484" t="str">
        <v/>
      </c>
      <c r="B2484" s="6">
        <v>0</v>
      </c>
      <c r="C2484" s="7" t="str">
        <v>趣点购浦发</v>
      </c>
      <c r="D2484" s="8">
        <v>0</v>
      </c>
      <c r="E2484" s="7">
        <v>0</v>
      </c>
      <c r="F2484" s="8">
        <v>0</v>
      </c>
      <c r="G2484" s="7">
        <v>0</v>
      </c>
      <c r="H2484" s="7">
        <v>81211.819999998</v>
      </c>
      <c r="I2484" s="7">
        <v>0</v>
      </c>
      <c r="J2484" s="8">
        <v>0</v>
      </c>
      <c r="K2484" s="9" t="str">
        <v/>
      </c>
    </row>
    <row r="2485" spans="1:11">
      <c r="A2485" t="str">
        <v/>
      </c>
      <c r="B2485" s="6">
        <v>0</v>
      </c>
      <c r="C2485" s="7" t="str">
        <v>趣点购浦发</v>
      </c>
      <c r="D2485" s="8">
        <v>0</v>
      </c>
      <c r="E2485" s="7">
        <v>0</v>
      </c>
      <c r="F2485" s="8">
        <v>0</v>
      </c>
      <c r="G2485" s="7">
        <v>0</v>
      </c>
      <c r="H2485" s="7">
        <v>81211.819999998</v>
      </c>
      <c r="I2485" s="7">
        <v>0</v>
      </c>
      <c r="J2485" s="8">
        <v>0</v>
      </c>
      <c r="K2485" s="9" t="str">
        <v/>
      </c>
    </row>
    <row r="2486" spans="1:11">
      <c r="A2486" t="str">
        <v/>
      </c>
      <c r="B2486" s="6">
        <v>0</v>
      </c>
      <c r="C2486" s="7" t="str">
        <v>趣点购浦发</v>
      </c>
      <c r="D2486" s="8">
        <v>0</v>
      </c>
      <c r="E2486" s="7">
        <v>0</v>
      </c>
      <c r="F2486" s="8">
        <v>0</v>
      </c>
      <c r="G2486" s="7">
        <v>0</v>
      </c>
      <c r="H2486" s="7">
        <v>81211.819999998</v>
      </c>
      <c r="I2486" s="7">
        <v>0</v>
      </c>
      <c r="J2486" s="8">
        <v>0</v>
      </c>
      <c r="K2486" s="9" t="str">
        <v/>
      </c>
    </row>
    <row r="2487" spans="1:11">
      <c r="A2487" t="str">
        <v/>
      </c>
      <c r="B2487" s="6">
        <v>0</v>
      </c>
      <c r="C2487" s="7" t="str">
        <v>趣点购浦发</v>
      </c>
      <c r="D2487" s="8">
        <v>0</v>
      </c>
      <c r="E2487" s="7">
        <v>0</v>
      </c>
      <c r="F2487" s="8">
        <v>0</v>
      </c>
      <c r="G2487" s="7">
        <v>0</v>
      </c>
      <c r="H2487" s="7">
        <v>81211.819999998</v>
      </c>
      <c r="I2487" s="7">
        <v>0</v>
      </c>
      <c r="J2487" s="8">
        <v>0</v>
      </c>
      <c r="K2487" s="9" t="str">
        <v/>
      </c>
    </row>
    <row r="2488" spans="1:11">
      <c r="A2488" t="str">
        <v/>
      </c>
      <c r="B2488" s="6">
        <v>0</v>
      </c>
      <c r="C2488" s="7" t="str">
        <v>趣点购浦发</v>
      </c>
      <c r="D2488" s="8">
        <v>0</v>
      </c>
      <c r="E2488" s="7">
        <v>0</v>
      </c>
      <c r="F2488" s="8">
        <v>0</v>
      </c>
      <c r="G2488" s="7">
        <v>0</v>
      </c>
      <c r="H2488" s="7">
        <v>81211.819999998</v>
      </c>
      <c r="I2488" s="7">
        <v>0</v>
      </c>
      <c r="J2488" s="8">
        <v>0</v>
      </c>
      <c r="K2488" s="9" t="str">
        <v/>
      </c>
    </row>
    <row r="2489" spans="1:11">
      <c r="A2489" t="str">
        <v/>
      </c>
      <c r="B2489" s="6">
        <v>0</v>
      </c>
      <c r="C2489" s="7" t="str">
        <v>趣点购浦发</v>
      </c>
      <c r="D2489" s="8">
        <v>0</v>
      </c>
      <c r="E2489" s="7">
        <v>0</v>
      </c>
      <c r="F2489" s="8">
        <v>0</v>
      </c>
      <c r="G2489" s="7">
        <v>0</v>
      </c>
      <c r="H2489" s="7">
        <v>81211.819999998</v>
      </c>
      <c r="I2489" s="7">
        <v>0</v>
      </c>
      <c r="J2489" s="8">
        <v>0</v>
      </c>
      <c r="K2489" s="9" t="str">
        <v/>
      </c>
    </row>
    <row r="2490" spans="1:11">
      <c r="A2490" t="str">
        <v/>
      </c>
      <c r="B2490" s="6">
        <v>0</v>
      </c>
      <c r="C2490" s="7" t="str">
        <v>趣点购浦发</v>
      </c>
      <c r="D2490" s="8">
        <v>0</v>
      </c>
      <c r="E2490" s="7">
        <v>0</v>
      </c>
      <c r="F2490" s="8">
        <v>0</v>
      </c>
      <c r="G2490" s="7">
        <v>0</v>
      </c>
      <c r="H2490" s="7">
        <v>81211.819999998</v>
      </c>
      <c r="I2490" s="7">
        <v>0</v>
      </c>
      <c r="J2490" s="8">
        <v>0</v>
      </c>
      <c r="K2490" s="9" t="str">
        <v/>
      </c>
    </row>
    <row r="2491" spans="1:11">
      <c r="A2491" t="str">
        <v/>
      </c>
      <c r="B2491" s="6">
        <v>0</v>
      </c>
      <c r="C2491" s="7" t="str">
        <v>趣点购浦发</v>
      </c>
      <c r="D2491" s="8">
        <v>0</v>
      </c>
      <c r="E2491" s="7">
        <v>0</v>
      </c>
      <c r="F2491" s="8">
        <v>0</v>
      </c>
      <c r="G2491" s="7">
        <v>0</v>
      </c>
      <c r="H2491" s="7">
        <v>81211.819999998</v>
      </c>
      <c r="I2491" s="7">
        <v>0</v>
      </c>
      <c r="J2491" s="8">
        <v>0</v>
      </c>
      <c r="K2491" s="9" t="str">
        <v/>
      </c>
    </row>
    <row r="2492" spans="1:11">
      <c r="A2492" t="str">
        <v/>
      </c>
      <c r="B2492" s="6">
        <v>0</v>
      </c>
      <c r="C2492" s="7" t="str">
        <v>趣点购浦发</v>
      </c>
      <c r="D2492" s="8">
        <v>0</v>
      </c>
      <c r="E2492" s="7">
        <v>0</v>
      </c>
      <c r="F2492" s="8">
        <v>0</v>
      </c>
      <c r="G2492" s="7">
        <v>0</v>
      </c>
      <c r="H2492" s="7">
        <v>81211.819999998</v>
      </c>
      <c r="I2492" s="7">
        <v>0</v>
      </c>
      <c r="J2492" s="8">
        <v>0</v>
      </c>
      <c r="K2492" s="9" t="str">
        <v/>
      </c>
    </row>
    <row r="2493" spans="1:11">
      <c r="A2493" t="str">
        <v/>
      </c>
      <c r="B2493" s="6">
        <v>0</v>
      </c>
      <c r="C2493" s="7" t="str">
        <v>趣点购浦发</v>
      </c>
      <c r="D2493" s="8">
        <v>0</v>
      </c>
      <c r="E2493" s="7">
        <v>0</v>
      </c>
      <c r="F2493" s="8">
        <v>0</v>
      </c>
      <c r="G2493" s="7">
        <v>0</v>
      </c>
      <c r="H2493" s="7">
        <v>81211.819999998</v>
      </c>
      <c r="I2493" s="7">
        <v>0</v>
      </c>
      <c r="J2493" s="8">
        <v>0</v>
      </c>
      <c r="K2493" s="9" t="str">
        <v/>
      </c>
    </row>
    <row r="2494" spans="1:11">
      <c r="A2494" t="str">
        <v/>
      </c>
      <c r="B2494" s="6">
        <v>0</v>
      </c>
      <c r="C2494" s="7" t="str">
        <v>趣点购浦发</v>
      </c>
      <c r="D2494" s="8">
        <v>0</v>
      </c>
      <c r="E2494" s="7">
        <v>0</v>
      </c>
      <c r="F2494" s="8">
        <v>0</v>
      </c>
      <c r="G2494" s="7">
        <v>0</v>
      </c>
      <c r="H2494" s="7">
        <v>81211.819999998</v>
      </c>
      <c r="I2494" s="7">
        <v>0</v>
      </c>
      <c r="J2494" s="8">
        <v>0</v>
      </c>
      <c r="K2494" s="9" t="str">
        <v/>
      </c>
    </row>
    <row r="2495" spans="1:11">
      <c r="A2495" t="str">
        <v/>
      </c>
      <c r="B2495" s="6">
        <v>0</v>
      </c>
      <c r="C2495" s="7" t="str">
        <v>趣点购浦发</v>
      </c>
      <c r="D2495" s="8">
        <v>0</v>
      </c>
      <c r="E2495" s="7">
        <v>0</v>
      </c>
      <c r="F2495" s="8">
        <v>0</v>
      </c>
      <c r="G2495" s="7">
        <v>0</v>
      </c>
      <c r="H2495" s="7">
        <v>81211.819999998</v>
      </c>
      <c r="I2495" s="7">
        <v>0</v>
      </c>
      <c r="J2495" s="8">
        <v>0</v>
      </c>
      <c r="K2495" s="9" t="str">
        <v/>
      </c>
    </row>
    <row r="2496" spans="1:11">
      <c r="A2496" t="str">
        <v/>
      </c>
      <c r="B2496" s="6">
        <v>0</v>
      </c>
      <c r="C2496" s="7" t="str">
        <v>趣点购浦发</v>
      </c>
      <c r="D2496" s="8">
        <v>0</v>
      </c>
      <c r="E2496" s="7">
        <v>0</v>
      </c>
      <c r="F2496" s="8">
        <v>0</v>
      </c>
      <c r="G2496" s="7">
        <v>0</v>
      </c>
      <c r="H2496" s="7">
        <v>81211.819999998</v>
      </c>
      <c r="I2496" s="7">
        <v>0</v>
      </c>
      <c r="J2496" s="8">
        <v>0</v>
      </c>
      <c r="K2496" s="9" t="str">
        <v/>
      </c>
    </row>
    <row r="2497" spans="1:11">
      <c r="A2497" t="str">
        <v/>
      </c>
      <c r="B2497" s="6">
        <v>0</v>
      </c>
      <c r="C2497" s="7" t="str">
        <v>趣点购浦发</v>
      </c>
      <c r="D2497" s="8">
        <v>0</v>
      </c>
      <c r="E2497" s="7">
        <v>0</v>
      </c>
      <c r="F2497" s="8">
        <v>0</v>
      </c>
      <c r="G2497" s="7">
        <v>0</v>
      </c>
      <c r="H2497" s="7">
        <v>81211.819999998</v>
      </c>
      <c r="I2497" s="7">
        <v>0</v>
      </c>
      <c r="J2497" s="8">
        <v>0</v>
      </c>
      <c r="K2497" s="9" t="str">
        <v/>
      </c>
    </row>
    <row r="2498" spans="1:11">
      <c r="A2498" t="str">
        <v/>
      </c>
      <c r="B2498" s="6">
        <v>0</v>
      </c>
      <c r="C2498" s="7" t="str">
        <v>趣点购浦发</v>
      </c>
      <c r="D2498" s="8">
        <v>0</v>
      </c>
      <c r="E2498" s="7">
        <v>0</v>
      </c>
      <c r="F2498" s="8">
        <v>0</v>
      </c>
      <c r="G2498" s="7">
        <v>0</v>
      </c>
      <c r="H2498" s="7">
        <v>81211.819999998</v>
      </c>
      <c r="I2498" s="7">
        <v>0</v>
      </c>
      <c r="J2498" s="8">
        <v>0</v>
      </c>
      <c r="K2498" s="9" t="str">
        <v/>
      </c>
    </row>
    <row r="2499" spans="1:11">
      <c r="A2499" t="str">
        <v/>
      </c>
      <c r="B2499" s="6">
        <v>0</v>
      </c>
      <c r="C2499" s="7" t="str">
        <v>趣点购浦发</v>
      </c>
      <c r="D2499" s="8">
        <v>0</v>
      </c>
      <c r="E2499" s="7">
        <v>0</v>
      </c>
      <c r="F2499" s="8">
        <v>0</v>
      </c>
      <c r="G2499" s="7">
        <v>0</v>
      </c>
      <c r="H2499" s="7">
        <v>81211.819999998</v>
      </c>
      <c r="I2499" s="7">
        <v>0</v>
      </c>
      <c r="J2499" s="8">
        <v>0</v>
      </c>
      <c r="K2499" s="9" t="str">
        <v/>
      </c>
    </row>
    <row r="2500" spans="1:11">
      <c r="A2500" t="str">
        <v/>
      </c>
      <c r="B2500" s="6">
        <v>0</v>
      </c>
      <c r="C2500" s="7" t="str">
        <v>趣点购浦发</v>
      </c>
      <c r="D2500" s="8">
        <v>0</v>
      </c>
      <c r="E2500" s="7">
        <v>0</v>
      </c>
      <c r="F2500" s="8">
        <v>0</v>
      </c>
      <c r="G2500" s="7">
        <v>0</v>
      </c>
      <c r="H2500" s="7">
        <v>81211.819999998</v>
      </c>
      <c r="I2500" s="7">
        <v>0</v>
      </c>
      <c r="J2500" s="8">
        <v>0</v>
      </c>
      <c r="K2500" s="9" t="str">
        <v/>
      </c>
    </row>
    <row r="2501" spans="1:11">
      <c r="A2501" t="str">
        <v/>
      </c>
      <c r="B2501" s="6">
        <v>0</v>
      </c>
      <c r="C2501" s="7" t="str">
        <v>趣点购浦发</v>
      </c>
      <c r="D2501" s="8">
        <v>0</v>
      </c>
      <c r="E2501" s="7">
        <v>0</v>
      </c>
      <c r="F2501" s="8">
        <v>0</v>
      </c>
      <c r="G2501" s="7">
        <v>0</v>
      </c>
      <c r="H2501" s="7">
        <v>81211.819999998</v>
      </c>
      <c r="I2501" s="7">
        <v>0</v>
      </c>
      <c r="J2501" s="8">
        <v>0</v>
      </c>
      <c r="K2501" s="9" t="str">
        <v/>
      </c>
    </row>
    <row r="2502" spans="1:11">
      <c r="A2502" t="str">
        <v/>
      </c>
      <c r="B2502" s="6">
        <v>0</v>
      </c>
      <c r="C2502" s="7" t="str">
        <v>趣点购浦发</v>
      </c>
      <c r="D2502" s="8">
        <v>0</v>
      </c>
      <c r="E2502" s="7">
        <v>0</v>
      </c>
      <c r="F2502" s="8">
        <v>0</v>
      </c>
      <c r="G2502" s="7">
        <v>0</v>
      </c>
      <c r="H2502" s="7">
        <v>81211.819999998</v>
      </c>
      <c r="I2502" s="7">
        <v>0</v>
      </c>
      <c r="J2502" s="8">
        <v>0</v>
      </c>
      <c r="K2502" s="9" t="str">
        <v/>
      </c>
    </row>
    <row r="2503" spans="1:11">
      <c r="A2503" t="str">
        <v/>
      </c>
      <c r="B2503" s="6">
        <v>0</v>
      </c>
      <c r="C2503" s="7" t="str">
        <v>趣点购浦发</v>
      </c>
      <c r="D2503" s="8">
        <v>0</v>
      </c>
      <c r="E2503" s="7">
        <v>0</v>
      </c>
      <c r="F2503" s="8">
        <v>0</v>
      </c>
      <c r="G2503" s="7">
        <v>0</v>
      </c>
      <c r="H2503" s="7">
        <v>81211.819999998</v>
      </c>
      <c r="I2503" s="7">
        <v>0</v>
      </c>
      <c r="J2503" s="8">
        <v>0</v>
      </c>
      <c r="K2503" s="9" t="str">
        <v/>
      </c>
    </row>
    <row r="2504" spans="1:11">
      <c r="A2504" t="str">
        <v/>
      </c>
      <c r="B2504" s="6">
        <v>0</v>
      </c>
      <c r="C2504" s="7" t="str">
        <v>趣点购浦发</v>
      </c>
      <c r="D2504" s="8">
        <v>0</v>
      </c>
      <c r="E2504" s="7">
        <v>0</v>
      </c>
      <c r="F2504" s="8">
        <v>0</v>
      </c>
      <c r="G2504" s="7">
        <v>0</v>
      </c>
      <c r="H2504" s="7">
        <v>81211.819999998</v>
      </c>
      <c r="I2504" s="7">
        <v>0</v>
      </c>
      <c r="J2504" s="8">
        <v>0</v>
      </c>
      <c r="K2504" s="9" t="str">
        <v/>
      </c>
    </row>
    <row r="2505" spans="1:11">
      <c r="A2505" t="str">
        <v/>
      </c>
      <c r="B2505" s="6">
        <v>0</v>
      </c>
      <c r="C2505" s="7" t="str">
        <v>趣点购浦发</v>
      </c>
      <c r="D2505" s="8">
        <v>0</v>
      </c>
      <c r="E2505" s="7">
        <v>0</v>
      </c>
      <c r="F2505" s="8">
        <v>0</v>
      </c>
      <c r="G2505" s="7">
        <v>0</v>
      </c>
      <c r="H2505" s="7">
        <v>81211.819999998</v>
      </c>
      <c r="I2505" s="7">
        <v>0</v>
      </c>
      <c r="J2505" s="8">
        <v>0</v>
      </c>
      <c r="K2505" s="9" t="str">
        <v/>
      </c>
    </row>
    <row r="2506" spans="1:11">
      <c r="A2506" t="str">
        <v/>
      </c>
      <c r="B2506" s="6">
        <v>0</v>
      </c>
      <c r="C2506" s="7" t="str">
        <v>趣点购浦发</v>
      </c>
      <c r="D2506" s="8">
        <v>0</v>
      </c>
      <c r="E2506" s="7">
        <v>0</v>
      </c>
      <c r="F2506" s="8">
        <v>0</v>
      </c>
      <c r="G2506" s="7">
        <v>0</v>
      </c>
      <c r="H2506" s="7">
        <v>81211.819999998</v>
      </c>
      <c r="I2506" s="7">
        <v>0</v>
      </c>
      <c r="J2506" s="8">
        <v>0</v>
      </c>
      <c r="K2506" s="9" t="str">
        <v/>
      </c>
    </row>
    <row r="2507" spans="1:11">
      <c r="A2507" t="str">
        <v/>
      </c>
      <c r="B2507" s="6">
        <v>0</v>
      </c>
      <c r="C2507" s="7" t="str">
        <v>趣点购浦发</v>
      </c>
      <c r="D2507" s="8">
        <v>0</v>
      </c>
      <c r="E2507" s="7">
        <v>0</v>
      </c>
      <c r="F2507" s="8">
        <v>0</v>
      </c>
      <c r="G2507" s="7">
        <v>0</v>
      </c>
      <c r="H2507" s="7">
        <v>81211.819999998</v>
      </c>
      <c r="I2507" s="7">
        <v>0</v>
      </c>
      <c r="J2507" s="8">
        <v>0</v>
      </c>
      <c r="K2507" s="9" t="str">
        <v/>
      </c>
    </row>
    <row r="2508" spans="1:11">
      <c r="A2508" t="str">
        <v/>
      </c>
      <c r="B2508" s="6">
        <v>0</v>
      </c>
      <c r="C2508" s="7" t="str">
        <v>趣点购浦发</v>
      </c>
      <c r="D2508" s="8">
        <v>0</v>
      </c>
      <c r="E2508" s="7">
        <v>0</v>
      </c>
      <c r="F2508" s="8">
        <v>0</v>
      </c>
      <c r="G2508" s="7">
        <v>0</v>
      </c>
      <c r="H2508" s="7">
        <v>81211.819999998</v>
      </c>
      <c r="I2508" s="7">
        <v>0</v>
      </c>
      <c r="J2508" s="8">
        <v>0</v>
      </c>
      <c r="K2508" s="9" t="str">
        <v/>
      </c>
    </row>
    <row r="2509" spans="1:11">
      <c r="A2509" t="str">
        <v/>
      </c>
      <c r="B2509" s="6">
        <v>0</v>
      </c>
      <c r="C2509" s="7" t="str">
        <v>趣点购浦发</v>
      </c>
      <c r="D2509" s="8">
        <v>0</v>
      </c>
      <c r="E2509" s="7">
        <v>0</v>
      </c>
      <c r="F2509" s="8">
        <v>0</v>
      </c>
      <c r="G2509" s="7">
        <v>0</v>
      </c>
      <c r="H2509" s="7">
        <v>81211.819999998</v>
      </c>
      <c r="I2509" s="7">
        <v>0</v>
      </c>
      <c r="J2509" s="8">
        <v>0</v>
      </c>
      <c r="K2509" s="9" t="str">
        <v/>
      </c>
    </row>
    <row r="2510" spans="1:11">
      <c r="A2510" t="str">
        <v/>
      </c>
      <c r="B2510" s="6">
        <v>0</v>
      </c>
      <c r="C2510" s="7" t="str">
        <v>趣点购浦发</v>
      </c>
      <c r="D2510" s="8">
        <v>0</v>
      </c>
      <c r="E2510" s="7">
        <v>0</v>
      </c>
      <c r="F2510" s="8">
        <v>0</v>
      </c>
      <c r="G2510" s="7">
        <v>0</v>
      </c>
      <c r="H2510" s="7">
        <v>81211.819999998</v>
      </c>
      <c r="I2510" s="7">
        <v>0</v>
      </c>
      <c r="J2510" s="8">
        <v>0</v>
      </c>
      <c r="K2510" s="9" t="str">
        <v/>
      </c>
    </row>
    <row r="2511" spans="1:11">
      <c r="A2511" t="str">
        <v/>
      </c>
      <c r="B2511" s="6">
        <v>0</v>
      </c>
      <c r="C2511" s="7" t="str">
        <v>趣点购浦发</v>
      </c>
      <c r="D2511" s="8">
        <v>0</v>
      </c>
      <c r="E2511" s="7">
        <v>0</v>
      </c>
      <c r="F2511" s="8">
        <v>0</v>
      </c>
      <c r="G2511" s="7">
        <v>0</v>
      </c>
      <c r="H2511" s="7">
        <v>81211.819999998</v>
      </c>
      <c r="I2511" s="7">
        <v>0</v>
      </c>
      <c r="J2511" s="8">
        <v>0</v>
      </c>
      <c r="K2511" s="9" t="str">
        <v/>
      </c>
    </row>
    <row r="2512" spans="1:11">
      <c r="A2512" t="str">
        <v/>
      </c>
      <c r="B2512" s="6">
        <v>0</v>
      </c>
      <c r="C2512" s="7" t="str">
        <v>趣点购浦发</v>
      </c>
      <c r="D2512" s="8">
        <v>0</v>
      </c>
      <c r="E2512" s="7">
        <v>0</v>
      </c>
      <c r="F2512" s="8">
        <v>0</v>
      </c>
      <c r="G2512" s="7">
        <v>0</v>
      </c>
      <c r="H2512" s="7">
        <v>81211.819999998</v>
      </c>
      <c r="I2512" s="7">
        <v>0</v>
      </c>
      <c r="J2512" s="8">
        <v>0</v>
      </c>
      <c r="K2512" s="9" t="str">
        <v/>
      </c>
    </row>
    <row r="2513" spans="1:11">
      <c r="A2513" t="str">
        <v/>
      </c>
      <c r="B2513" s="6">
        <v>0</v>
      </c>
      <c r="C2513" s="7" t="str">
        <v>趣点购浦发</v>
      </c>
      <c r="D2513" s="8">
        <v>0</v>
      </c>
      <c r="E2513" s="7">
        <v>0</v>
      </c>
      <c r="F2513" s="8">
        <v>0</v>
      </c>
      <c r="G2513" s="7">
        <v>0</v>
      </c>
      <c r="H2513" s="7">
        <v>81211.819999998</v>
      </c>
      <c r="I2513" s="7">
        <v>0</v>
      </c>
      <c r="J2513" s="8">
        <v>0</v>
      </c>
      <c r="K2513" s="9" t="str">
        <v/>
      </c>
    </row>
    <row r="2514" spans="1:11">
      <c r="A2514" t="str">
        <v/>
      </c>
      <c r="B2514" s="6">
        <v>0</v>
      </c>
      <c r="C2514" s="7" t="str">
        <v>趣点购浦发</v>
      </c>
      <c r="D2514" s="8">
        <v>0</v>
      </c>
      <c r="E2514" s="7">
        <v>0</v>
      </c>
      <c r="F2514" s="8">
        <v>0</v>
      </c>
      <c r="G2514" s="7">
        <v>0</v>
      </c>
      <c r="H2514" s="7">
        <v>81211.819999998</v>
      </c>
      <c r="I2514" s="7">
        <v>0</v>
      </c>
      <c r="J2514" s="8">
        <v>0</v>
      </c>
      <c r="K2514" s="9" t="str">
        <v/>
      </c>
    </row>
    <row r="2515" spans="1:11">
      <c r="A2515" t="str">
        <v/>
      </c>
      <c r="B2515" s="6">
        <v>0</v>
      </c>
      <c r="C2515" s="7" t="str">
        <v>趣点购浦发</v>
      </c>
      <c r="D2515" s="8">
        <v>0</v>
      </c>
      <c r="E2515" s="7">
        <v>0</v>
      </c>
      <c r="F2515" s="8">
        <v>0</v>
      </c>
      <c r="G2515" s="7">
        <v>0</v>
      </c>
      <c r="H2515" s="7">
        <v>81211.819999998</v>
      </c>
      <c r="I2515" s="7">
        <v>0</v>
      </c>
      <c r="J2515" s="8">
        <v>0</v>
      </c>
      <c r="K2515" s="9" t="str">
        <v/>
      </c>
    </row>
    <row r="2516" spans="1:11">
      <c r="A2516" t="str">
        <v/>
      </c>
      <c r="B2516" s="6">
        <v>0</v>
      </c>
      <c r="C2516" s="7" t="str">
        <v>趣点购浦发</v>
      </c>
      <c r="D2516" s="8">
        <v>0</v>
      </c>
      <c r="E2516" s="7">
        <v>0</v>
      </c>
      <c r="F2516" s="8">
        <v>0</v>
      </c>
      <c r="G2516" s="7">
        <v>0</v>
      </c>
      <c r="H2516" s="7">
        <v>81211.819999998</v>
      </c>
      <c r="I2516" s="7">
        <v>0</v>
      </c>
      <c r="J2516" s="8">
        <v>0</v>
      </c>
      <c r="K2516" s="9" t="str">
        <v/>
      </c>
    </row>
    <row r="2517" spans="1:11">
      <c r="A2517" t="str">
        <v/>
      </c>
      <c r="B2517" s="6">
        <v>0</v>
      </c>
      <c r="C2517" s="7" t="str">
        <v>趣点购浦发</v>
      </c>
      <c r="D2517" s="8">
        <v>0</v>
      </c>
      <c r="E2517" s="7">
        <v>0</v>
      </c>
      <c r="F2517" s="8">
        <v>0</v>
      </c>
      <c r="G2517" s="7">
        <v>0</v>
      </c>
      <c r="H2517" s="7">
        <v>81211.819999998</v>
      </c>
      <c r="I2517" s="7">
        <v>0</v>
      </c>
      <c r="J2517" s="8">
        <v>0</v>
      </c>
      <c r="K2517" s="9" t="str">
        <v/>
      </c>
    </row>
    <row r="2518" spans="1:11">
      <c r="A2518" t="str">
        <v/>
      </c>
      <c r="B2518" s="6">
        <v>0</v>
      </c>
      <c r="C2518" s="7" t="str">
        <v>趣点购浦发</v>
      </c>
      <c r="D2518" s="8">
        <v>0</v>
      </c>
      <c r="E2518" s="7">
        <v>0</v>
      </c>
      <c r="F2518" s="8">
        <v>0</v>
      </c>
      <c r="G2518" s="7">
        <v>0</v>
      </c>
      <c r="H2518" s="7">
        <v>81211.819999998</v>
      </c>
      <c r="I2518" s="7">
        <v>0</v>
      </c>
      <c r="J2518" s="8">
        <v>0</v>
      </c>
      <c r="K2518" s="9" t="str">
        <v/>
      </c>
    </row>
    <row r="2519" spans="1:11">
      <c r="A2519" t="str">
        <v/>
      </c>
      <c r="B2519" s="6">
        <v>0</v>
      </c>
      <c r="C2519" s="7" t="str">
        <v>趣点购浦发</v>
      </c>
      <c r="D2519" s="8">
        <v>0</v>
      </c>
      <c r="E2519" s="7">
        <v>0</v>
      </c>
      <c r="F2519" s="8">
        <v>0</v>
      </c>
      <c r="G2519" s="7">
        <v>0</v>
      </c>
      <c r="H2519" s="7">
        <v>81211.819999998</v>
      </c>
      <c r="I2519" s="7">
        <v>0</v>
      </c>
      <c r="J2519" s="8">
        <v>0</v>
      </c>
      <c r="K2519" s="9" t="str">
        <v/>
      </c>
    </row>
    <row r="2520" spans="1:11">
      <c r="A2520" t="str">
        <v/>
      </c>
      <c r="B2520" s="6">
        <v>0</v>
      </c>
      <c r="C2520" s="7" t="str">
        <v>趣点购浦发</v>
      </c>
      <c r="D2520" s="8">
        <v>0</v>
      </c>
      <c r="E2520" s="7">
        <v>0</v>
      </c>
      <c r="F2520" s="8">
        <v>0</v>
      </c>
      <c r="G2520" s="7">
        <v>0</v>
      </c>
      <c r="H2520" s="7">
        <v>81211.819999998</v>
      </c>
      <c r="I2520" s="7">
        <v>0</v>
      </c>
      <c r="J2520" s="8">
        <v>0</v>
      </c>
      <c r="K2520" s="9" t="str">
        <v/>
      </c>
    </row>
    <row r="2521" spans="1:11">
      <c r="A2521" t="str">
        <v/>
      </c>
      <c r="B2521" s="6">
        <v>0</v>
      </c>
      <c r="C2521" s="7" t="str">
        <v>趣点购浦发</v>
      </c>
      <c r="D2521" s="8">
        <v>0</v>
      </c>
      <c r="E2521" s="7">
        <v>0</v>
      </c>
      <c r="F2521" s="8">
        <v>0</v>
      </c>
      <c r="G2521" s="7">
        <v>0</v>
      </c>
      <c r="H2521" s="7">
        <v>81211.819999998</v>
      </c>
      <c r="I2521" s="7">
        <v>0</v>
      </c>
      <c r="J2521" s="8">
        <v>0</v>
      </c>
      <c r="K2521" s="9" t="str">
        <v/>
      </c>
    </row>
    <row r="2522" spans="1:11">
      <c r="A2522" t="str">
        <v/>
      </c>
      <c r="B2522" s="6">
        <v>0</v>
      </c>
      <c r="C2522" s="7" t="str">
        <v>趣点购浦发</v>
      </c>
      <c r="D2522" s="8">
        <v>0</v>
      </c>
      <c r="E2522" s="7">
        <v>0</v>
      </c>
      <c r="F2522" s="8">
        <v>0</v>
      </c>
      <c r="G2522" s="7">
        <v>0</v>
      </c>
      <c r="H2522" s="7">
        <v>81211.819999998</v>
      </c>
      <c r="I2522" s="7">
        <v>0</v>
      </c>
      <c r="J2522" s="8">
        <v>0</v>
      </c>
      <c r="K2522" s="9" t="str">
        <v/>
      </c>
    </row>
    <row r="2523" spans="1:11">
      <c r="A2523" t="str">
        <v/>
      </c>
      <c r="B2523" s="6">
        <v>0</v>
      </c>
      <c r="C2523" s="7" t="str">
        <v>趣点购浦发</v>
      </c>
      <c r="D2523" s="8">
        <v>0</v>
      </c>
      <c r="E2523" s="7">
        <v>0</v>
      </c>
      <c r="F2523" s="8">
        <v>0</v>
      </c>
      <c r="G2523" s="7">
        <v>0</v>
      </c>
      <c r="H2523" s="7">
        <v>81211.819999998</v>
      </c>
      <c r="I2523" s="7">
        <v>0</v>
      </c>
      <c r="J2523" s="8">
        <v>0</v>
      </c>
      <c r="K2523" s="9" t="str">
        <v/>
      </c>
    </row>
    <row r="2524" spans="1:11">
      <c r="A2524" t="str">
        <v/>
      </c>
      <c r="B2524" s="6">
        <v>0</v>
      </c>
      <c r="C2524" s="7" t="str">
        <v>趣点购浦发</v>
      </c>
      <c r="D2524" s="8">
        <v>0</v>
      </c>
      <c r="E2524" s="7">
        <v>0</v>
      </c>
      <c r="F2524" s="8">
        <v>0</v>
      </c>
      <c r="G2524" s="7">
        <v>0</v>
      </c>
      <c r="H2524" s="7">
        <v>81211.819999998</v>
      </c>
      <c r="I2524" s="7">
        <v>0</v>
      </c>
      <c r="J2524" s="8">
        <v>0</v>
      </c>
      <c r="K2524" s="9" t="str">
        <v/>
      </c>
    </row>
    <row r="2525" spans="1:11">
      <c r="A2525" t="str">
        <v/>
      </c>
      <c r="B2525" s="6">
        <v>0</v>
      </c>
      <c r="C2525" s="7" t="str">
        <v>趣点购浦发</v>
      </c>
      <c r="D2525" s="8">
        <v>0</v>
      </c>
      <c r="E2525" s="7">
        <v>0</v>
      </c>
      <c r="F2525" s="8">
        <v>0</v>
      </c>
      <c r="G2525" s="7">
        <v>0</v>
      </c>
      <c r="H2525" s="7">
        <v>81211.819999998</v>
      </c>
      <c r="I2525" s="7">
        <v>0</v>
      </c>
      <c r="J2525" s="8">
        <v>0</v>
      </c>
      <c r="K2525" s="9" t="str">
        <v/>
      </c>
    </row>
    <row r="2526" spans="1:11">
      <c r="A2526" t="str">
        <v/>
      </c>
      <c r="B2526" s="6">
        <v>0</v>
      </c>
      <c r="C2526" s="7" t="str">
        <v>趣点购浦发</v>
      </c>
      <c r="D2526" s="8">
        <v>0</v>
      </c>
      <c r="E2526" s="7">
        <v>0</v>
      </c>
      <c r="F2526" s="8">
        <v>0</v>
      </c>
      <c r="G2526" s="7">
        <v>0</v>
      </c>
      <c r="H2526" s="7">
        <v>81211.819999998</v>
      </c>
      <c r="I2526" s="7">
        <v>0</v>
      </c>
      <c r="J2526" s="8">
        <v>0</v>
      </c>
      <c r="K2526" s="9" t="str">
        <v/>
      </c>
    </row>
    <row r="2527" spans="1:11">
      <c r="A2527" t="str">
        <v/>
      </c>
      <c r="B2527" s="6">
        <v>0</v>
      </c>
      <c r="C2527" s="7" t="str">
        <v>趣点购浦发</v>
      </c>
      <c r="D2527" s="8">
        <v>0</v>
      </c>
      <c r="E2527" s="7">
        <v>0</v>
      </c>
      <c r="F2527" s="8">
        <v>0</v>
      </c>
      <c r="G2527" s="7">
        <v>0</v>
      </c>
      <c r="H2527" s="7">
        <v>81211.819999998</v>
      </c>
      <c r="I2527" s="7">
        <v>0</v>
      </c>
      <c r="J2527" s="8">
        <v>0</v>
      </c>
      <c r="K2527" s="9" t="str">
        <v/>
      </c>
    </row>
    <row r="2528" spans="1:11">
      <c r="A2528" t="str">
        <v/>
      </c>
      <c r="B2528" s="6">
        <v>0</v>
      </c>
      <c r="C2528" s="7" t="str">
        <v>趣点购浦发</v>
      </c>
      <c r="D2528" s="8">
        <v>0</v>
      </c>
      <c r="E2528" s="7">
        <v>0</v>
      </c>
      <c r="F2528" s="8">
        <v>0</v>
      </c>
      <c r="G2528" s="7">
        <v>0</v>
      </c>
      <c r="H2528" s="7">
        <v>81211.819999998</v>
      </c>
      <c r="I2528" s="7">
        <v>0</v>
      </c>
      <c r="J2528" s="8">
        <v>0</v>
      </c>
      <c r="K2528" s="9" t="str">
        <v/>
      </c>
    </row>
    <row r="2529" spans="1:11">
      <c r="A2529" t="str">
        <v/>
      </c>
      <c r="B2529" s="6">
        <v>0</v>
      </c>
      <c r="C2529" s="7" t="str">
        <v>趣点购浦发</v>
      </c>
      <c r="D2529" s="8">
        <v>0</v>
      </c>
      <c r="E2529" s="7">
        <v>0</v>
      </c>
      <c r="F2529" s="8">
        <v>0</v>
      </c>
      <c r="G2529" s="7">
        <v>0</v>
      </c>
      <c r="H2529" s="7">
        <v>81211.819999998</v>
      </c>
      <c r="I2529" s="7">
        <v>0</v>
      </c>
      <c r="J2529" s="8">
        <v>0</v>
      </c>
      <c r="K2529" s="9" t="str">
        <v/>
      </c>
    </row>
    <row r="2530" spans="1:11">
      <c r="A2530" t="str">
        <v/>
      </c>
      <c r="B2530" s="6">
        <v>0</v>
      </c>
      <c r="C2530" s="7" t="str">
        <v>趣点购浦发</v>
      </c>
      <c r="D2530" s="8">
        <v>0</v>
      </c>
      <c r="E2530" s="7">
        <v>0</v>
      </c>
      <c r="F2530" s="8">
        <v>0</v>
      </c>
      <c r="G2530" s="7">
        <v>0</v>
      </c>
      <c r="H2530" s="7">
        <v>81211.819999998</v>
      </c>
      <c r="I2530" s="7">
        <v>0</v>
      </c>
      <c r="J2530" s="8">
        <v>0</v>
      </c>
      <c r="K2530" s="9" t="str">
        <v/>
      </c>
    </row>
    <row r="2531" spans="1:11">
      <c r="A2531" t="str">
        <v/>
      </c>
      <c r="B2531" s="6">
        <v>0</v>
      </c>
      <c r="C2531" s="7" t="str">
        <v>趣点购浦发</v>
      </c>
      <c r="D2531" s="8">
        <v>0</v>
      </c>
      <c r="E2531" s="7">
        <v>0</v>
      </c>
      <c r="F2531" s="8">
        <v>0</v>
      </c>
      <c r="G2531" s="7">
        <v>0</v>
      </c>
      <c r="H2531" s="7">
        <v>81211.819999998</v>
      </c>
      <c r="I2531" s="7">
        <v>0</v>
      </c>
      <c r="J2531" s="8">
        <v>0</v>
      </c>
      <c r="K2531" s="9" t="str">
        <v/>
      </c>
    </row>
    <row r="2532" spans="1:11">
      <c r="A2532" t="str">
        <v/>
      </c>
      <c r="B2532" s="6">
        <v>0</v>
      </c>
      <c r="C2532" s="7" t="str">
        <v>趣点购浦发</v>
      </c>
      <c r="D2532" s="8">
        <v>0</v>
      </c>
      <c r="E2532" s="7">
        <v>0</v>
      </c>
      <c r="F2532" s="8">
        <v>0</v>
      </c>
      <c r="G2532" s="7">
        <v>0</v>
      </c>
      <c r="H2532" s="7">
        <v>81211.819999998</v>
      </c>
      <c r="I2532" s="7">
        <v>0</v>
      </c>
      <c r="J2532" s="8">
        <v>0</v>
      </c>
      <c r="K2532" s="9" t="str">
        <v/>
      </c>
    </row>
    <row r="2533" spans="1:11">
      <c r="A2533" t="str">
        <v/>
      </c>
      <c r="B2533" s="6">
        <v>0</v>
      </c>
      <c r="C2533" s="7" t="str">
        <v>趣点购浦发</v>
      </c>
      <c r="D2533" s="8">
        <v>0</v>
      </c>
      <c r="E2533" s="7">
        <v>0</v>
      </c>
      <c r="F2533" s="8">
        <v>0</v>
      </c>
      <c r="G2533" s="7">
        <v>0</v>
      </c>
      <c r="H2533" s="7">
        <v>81211.819999998</v>
      </c>
      <c r="I2533" s="7">
        <v>0</v>
      </c>
      <c r="J2533" s="8">
        <v>0</v>
      </c>
      <c r="K2533" s="9" t="str">
        <v/>
      </c>
    </row>
    <row r="2534" spans="1:11">
      <c r="A2534" t="str">
        <v/>
      </c>
      <c r="B2534" s="6">
        <v>0</v>
      </c>
      <c r="C2534" s="7" t="str">
        <v>趣点购浦发</v>
      </c>
      <c r="D2534" s="8">
        <v>0</v>
      </c>
      <c r="E2534" s="7">
        <v>0</v>
      </c>
      <c r="F2534" s="8">
        <v>0</v>
      </c>
      <c r="G2534" s="7">
        <v>0</v>
      </c>
      <c r="H2534" s="7">
        <v>81211.819999998</v>
      </c>
      <c r="I2534" s="7">
        <v>0</v>
      </c>
      <c r="J2534" s="8">
        <v>0</v>
      </c>
      <c r="K2534" s="9" t="str">
        <v/>
      </c>
    </row>
    <row r="2535" spans="1:11">
      <c r="A2535" t="str">
        <v/>
      </c>
      <c r="B2535" s="6">
        <v>0</v>
      </c>
      <c r="C2535" s="7" t="str">
        <v>趣点购浦发</v>
      </c>
      <c r="D2535" s="8">
        <v>0</v>
      </c>
      <c r="E2535" s="7">
        <v>0</v>
      </c>
      <c r="F2535" s="8">
        <v>0</v>
      </c>
      <c r="G2535" s="7">
        <v>0</v>
      </c>
      <c r="H2535" s="7">
        <v>81211.819999998</v>
      </c>
      <c r="I2535" s="7">
        <v>0</v>
      </c>
      <c r="J2535" s="8">
        <v>0</v>
      </c>
      <c r="K2535" s="9" t="str">
        <v/>
      </c>
    </row>
    <row r="2536" spans="1:11">
      <c r="A2536" t="str">
        <v/>
      </c>
      <c r="B2536" s="6">
        <v>0</v>
      </c>
      <c r="C2536" s="7" t="str">
        <v>趣点购浦发</v>
      </c>
      <c r="D2536" s="8">
        <v>0</v>
      </c>
      <c r="E2536" s="7">
        <v>0</v>
      </c>
      <c r="F2536" s="8">
        <v>0</v>
      </c>
      <c r="G2536" s="7">
        <v>0</v>
      </c>
      <c r="H2536" s="7">
        <v>81211.819999998</v>
      </c>
      <c r="I2536" s="7">
        <v>0</v>
      </c>
      <c r="J2536" s="8">
        <v>0</v>
      </c>
      <c r="K2536" s="9" t="str">
        <v/>
      </c>
    </row>
    <row r="2537" spans="1:11">
      <c r="A2537" t="str">
        <v/>
      </c>
      <c r="B2537" s="6">
        <v>0</v>
      </c>
      <c r="C2537" s="7" t="str">
        <v>趣点购浦发</v>
      </c>
      <c r="D2537" s="8">
        <v>0</v>
      </c>
      <c r="E2537" s="7">
        <v>0</v>
      </c>
      <c r="F2537" s="8">
        <v>0</v>
      </c>
      <c r="G2537" s="7">
        <v>0</v>
      </c>
      <c r="H2537" s="7">
        <v>81211.819999998</v>
      </c>
      <c r="I2537" s="7">
        <v>0</v>
      </c>
      <c r="J2537" s="8">
        <v>0</v>
      </c>
      <c r="K2537" s="9" t="str">
        <v/>
      </c>
    </row>
    <row r="2538" spans="1:11">
      <c r="A2538" t="str">
        <v/>
      </c>
      <c r="B2538" s="6">
        <v>0</v>
      </c>
      <c r="C2538" s="7" t="str">
        <v>趣点购浦发</v>
      </c>
      <c r="D2538" s="8">
        <v>0</v>
      </c>
      <c r="E2538" s="7">
        <v>0</v>
      </c>
      <c r="F2538" s="8">
        <v>0</v>
      </c>
      <c r="G2538" s="7">
        <v>0</v>
      </c>
      <c r="H2538" s="7">
        <v>81211.819999998</v>
      </c>
      <c r="I2538" s="7">
        <v>0</v>
      </c>
      <c r="J2538" s="8">
        <v>0</v>
      </c>
      <c r="K2538" s="9" t="str">
        <v/>
      </c>
    </row>
    <row r="2539" spans="1:11">
      <c r="A2539" t="str">
        <v/>
      </c>
      <c r="B2539" s="6">
        <v>0</v>
      </c>
      <c r="C2539" s="7" t="str">
        <v>趣点购浦发</v>
      </c>
      <c r="D2539" s="8">
        <v>0</v>
      </c>
      <c r="E2539" s="7">
        <v>0</v>
      </c>
      <c r="F2539" s="8">
        <v>0</v>
      </c>
      <c r="G2539" s="7">
        <v>0</v>
      </c>
      <c r="H2539" s="7">
        <v>81211.819999998</v>
      </c>
      <c r="I2539" s="7">
        <v>0</v>
      </c>
      <c r="J2539" s="8">
        <v>0</v>
      </c>
      <c r="K2539" s="9" t="str">
        <v/>
      </c>
    </row>
    <row r="2540" spans="1:11">
      <c r="A2540" t="str">
        <v/>
      </c>
      <c r="B2540" s="6">
        <v>0</v>
      </c>
      <c r="C2540" s="7" t="str">
        <v>趣点购浦发</v>
      </c>
      <c r="D2540" s="8">
        <v>0</v>
      </c>
      <c r="E2540" s="7">
        <v>0</v>
      </c>
      <c r="F2540" s="8">
        <v>0</v>
      </c>
      <c r="G2540" s="7">
        <v>0</v>
      </c>
      <c r="H2540" s="7">
        <v>81211.819999998</v>
      </c>
      <c r="I2540" s="7">
        <v>0</v>
      </c>
      <c r="J2540" s="8">
        <v>0</v>
      </c>
      <c r="K2540" s="9" t="str">
        <v/>
      </c>
    </row>
    <row r="2541" spans="1:11">
      <c r="A2541" t="str">
        <v/>
      </c>
      <c r="B2541" s="6">
        <v>0</v>
      </c>
      <c r="C2541" s="7" t="str">
        <v>趣点购浦发</v>
      </c>
      <c r="D2541" s="8">
        <v>0</v>
      </c>
      <c r="E2541" s="7">
        <v>0</v>
      </c>
      <c r="F2541" s="8">
        <v>0</v>
      </c>
      <c r="G2541" s="7">
        <v>0</v>
      </c>
      <c r="H2541" s="7">
        <v>81211.819999998</v>
      </c>
      <c r="I2541" s="7">
        <v>0</v>
      </c>
      <c r="J2541" s="8">
        <v>0</v>
      </c>
      <c r="K2541" s="9" t="str">
        <v/>
      </c>
    </row>
    <row r="2542" spans="1:11">
      <c r="A2542" t="str">
        <v/>
      </c>
      <c r="B2542" s="6">
        <v>0</v>
      </c>
      <c r="C2542" s="7" t="str">
        <v>趣点购浦发</v>
      </c>
      <c r="D2542" s="8">
        <v>0</v>
      </c>
      <c r="E2542" s="7">
        <v>0</v>
      </c>
      <c r="F2542" s="8">
        <v>0</v>
      </c>
      <c r="G2542" s="7">
        <v>0</v>
      </c>
      <c r="H2542" s="7">
        <v>81211.819999998</v>
      </c>
      <c r="I2542" s="7">
        <v>0</v>
      </c>
      <c r="J2542" s="8">
        <v>0</v>
      </c>
      <c r="K2542" s="9" t="str">
        <v/>
      </c>
    </row>
    <row r="2543" spans="1:11">
      <c r="A2543" t="str">
        <v/>
      </c>
      <c r="B2543" s="6">
        <v>0</v>
      </c>
      <c r="C2543" s="7" t="str">
        <v>趣点购浦发</v>
      </c>
      <c r="D2543" s="8">
        <v>0</v>
      </c>
      <c r="E2543" s="7">
        <v>0</v>
      </c>
      <c r="F2543" s="8">
        <v>0</v>
      </c>
      <c r="G2543" s="7">
        <v>0</v>
      </c>
      <c r="H2543" s="7">
        <v>81211.819999998</v>
      </c>
      <c r="I2543" s="7">
        <v>0</v>
      </c>
      <c r="J2543" s="8">
        <v>0</v>
      </c>
      <c r="K2543" s="9" t="str">
        <v/>
      </c>
    </row>
    <row r="2544" spans="1:11">
      <c r="A2544" t="str">
        <v/>
      </c>
      <c r="B2544" s="6">
        <v>0</v>
      </c>
      <c r="C2544" s="7" t="str">
        <v>趣点购浦发</v>
      </c>
      <c r="D2544" s="8">
        <v>0</v>
      </c>
      <c r="E2544" s="7">
        <v>0</v>
      </c>
      <c r="F2544" s="8">
        <v>0</v>
      </c>
      <c r="G2544" s="7">
        <v>0</v>
      </c>
      <c r="H2544" s="7">
        <v>81211.819999998</v>
      </c>
      <c r="I2544" s="7">
        <v>0</v>
      </c>
      <c r="J2544" s="8">
        <v>0</v>
      </c>
      <c r="K2544" s="9" t="str">
        <v/>
      </c>
    </row>
    <row r="2545" spans="1:11">
      <c r="A2545" t="str">
        <v/>
      </c>
      <c r="B2545" s="6">
        <v>0</v>
      </c>
      <c r="C2545" s="7" t="str">
        <v>趣点购浦发</v>
      </c>
      <c r="D2545" s="8">
        <v>0</v>
      </c>
      <c r="E2545" s="7">
        <v>0</v>
      </c>
      <c r="F2545" s="8">
        <v>0</v>
      </c>
      <c r="G2545" s="7">
        <v>0</v>
      </c>
      <c r="H2545" s="7">
        <v>81211.819999998</v>
      </c>
      <c r="I2545" s="7">
        <v>0</v>
      </c>
      <c r="J2545" s="8">
        <v>0</v>
      </c>
      <c r="K2545" s="9" t="str">
        <v/>
      </c>
    </row>
    <row r="2546" spans="1:11">
      <c r="A2546" t="str">
        <v/>
      </c>
      <c r="B2546" s="6">
        <v>0</v>
      </c>
      <c r="C2546" s="7" t="str">
        <v>趣点购浦发</v>
      </c>
      <c r="D2546" s="8">
        <v>0</v>
      </c>
      <c r="E2546" s="7">
        <v>0</v>
      </c>
      <c r="F2546" s="8">
        <v>0</v>
      </c>
      <c r="G2546" s="7">
        <v>0</v>
      </c>
      <c r="H2546" s="7">
        <v>81211.819999998</v>
      </c>
      <c r="I2546" s="7">
        <v>0</v>
      </c>
      <c r="J2546" s="8">
        <v>0</v>
      </c>
      <c r="K2546" s="9" t="str">
        <v/>
      </c>
    </row>
    <row r="2547" spans="1:11">
      <c r="A2547" t="str">
        <v/>
      </c>
      <c r="B2547" s="6">
        <v>0</v>
      </c>
      <c r="C2547" s="7" t="str">
        <v>趣点购浦发</v>
      </c>
      <c r="D2547" s="8">
        <v>0</v>
      </c>
      <c r="E2547" s="7">
        <v>0</v>
      </c>
      <c r="F2547" s="8">
        <v>0</v>
      </c>
      <c r="G2547" s="7">
        <v>0</v>
      </c>
      <c r="H2547" s="7">
        <v>81211.819999998</v>
      </c>
      <c r="I2547" s="7">
        <v>0</v>
      </c>
      <c r="J2547" s="8">
        <v>0</v>
      </c>
      <c r="K2547" s="9" t="str">
        <v/>
      </c>
    </row>
    <row r="2548" spans="1:11">
      <c r="A2548" t="str">
        <v/>
      </c>
      <c r="B2548" s="6">
        <v>0</v>
      </c>
      <c r="C2548" s="7" t="str">
        <v>趣点购浦发</v>
      </c>
      <c r="D2548" s="8">
        <v>0</v>
      </c>
      <c r="E2548" s="7">
        <v>0</v>
      </c>
      <c r="F2548" s="8">
        <v>0</v>
      </c>
      <c r="G2548" s="7">
        <v>0</v>
      </c>
      <c r="H2548" s="7">
        <v>81211.819999998</v>
      </c>
      <c r="I2548" s="7">
        <v>0</v>
      </c>
      <c r="J2548" s="8">
        <v>0</v>
      </c>
      <c r="K2548" s="9" t="str">
        <v/>
      </c>
    </row>
    <row r="2549" spans="1:11">
      <c r="A2549" t="str">
        <v/>
      </c>
      <c r="B2549" s="6">
        <v>0</v>
      </c>
      <c r="C2549" s="7" t="str">
        <v>趣点购浦发</v>
      </c>
      <c r="D2549" s="8">
        <v>0</v>
      </c>
      <c r="E2549" s="7">
        <v>0</v>
      </c>
      <c r="F2549" s="8">
        <v>0</v>
      </c>
      <c r="G2549" s="7">
        <v>0</v>
      </c>
      <c r="H2549" s="7">
        <v>81211.819999998</v>
      </c>
      <c r="I2549" s="7">
        <v>0</v>
      </c>
      <c r="J2549" s="8">
        <v>0</v>
      </c>
      <c r="K2549" s="9" t="str">
        <v/>
      </c>
    </row>
    <row r="2550" spans="1:11">
      <c r="A2550" t="str">
        <v/>
      </c>
      <c r="B2550" s="6">
        <v>0</v>
      </c>
      <c r="C2550" s="7" t="str">
        <v>趣点购浦发</v>
      </c>
      <c r="D2550" s="8">
        <v>0</v>
      </c>
      <c r="E2550" s="7">
        <v>0</v>
      </c>
      <c r="F2550" s="8">
        <v>0</v>
      </c>
      <c r="G2550" s="7">
        <v>0</v>
      </c>
      <c r="H2550" s="7">
        <v>81211.819999998</v>
      </c>
      <c r="I2550" s="7">
        <v>0</v>
      </c>
      <c r="J2550" s="8">
        <v>0</v>
      </c>
      <c r="K2550" s="9" t="str">
        <v/>
      </c>
    </row>
    <row r="2551" spans="1:11">
      <c r="A2551" t="str">
        <v/>
      </c>
      <c r="B2551" s="6">
        <v>0</v>
      </c>
      <c r="C2551" s="7" t="str">
        <v>趣点购浦发</v>
      </c>
      <c r="D2551" s="8">
        <v>0</v>
      </c>
      <c r="E2551" s="7">
        <v>0</v>
      </c>
      <c r="F2551" s="8">
        <v>0</v>
      </c>
      <c r="G2551" s="7">
        <v>0</v>
      </c>
      <c r="H2551" s="7">
        <v>81211.819999998</v>
      </c>
      <c r="I2551" s="7">
        <v>0</v>
      </c>
      <c r="J2551" s="8">
        <v>0</v>
      </c>
      <c r="K2551" s="9" t="str">
        <v/>
      </c>
    </row>
    <row r="2552" spans="1:11">
      <c r="A2552" t="str">
        <v/>
      </c>
      <c r="B2552" s="6">
        <v>0</v>
      </c>
      <c r="C2552" s="7" t="str">
        <v>趣点购浦发</v>
      </c>
      <c r="D2552" s="8">
        <v>0</v>
      </c>
      <c r="E2552" s="7">
        <v>0</v>
      </c>
      <c r="F2552" s="8">
        <v>0</v>
      </c>
      <c r="G2552" s="7">
        <v>0</v>
      </c>
      <c r="H2552" s="7">
        <v>81211.819999998</v>
      </c>
      <c r="I2552" s="7">
        <v>0</v>
      </c>
      <c r="J2552" s="8">
        <v>0</v>
      </c>
      <c r="K2552" s="9" t="str">
        <v/>
      </c>
    </row>
    <row r="2553" spans="1:11">
      <c r="A2553" t="str">
        <v/>
      </c>
      <c r="B2553" s="6">
        <v>0</v>
      </c>
      <c r="C2553" s="7" t="str">
        <v>趣点购浦发</v>
      </c>
      <c r="D2553" s="8">
        <v>0</v>
      </c>
      <c r="E2553" s="7">
        <v>0</v>
      </c>
      <c r="F2553" s="8">
        <v>0</v>
      </c>
      <c r="G2553" s="7">
        <v>0</v>
      </c>
      <c r="H2553" s="7">
        <v>81211.819999998</v>
      </c>
      <c r="I2553" s="7">
        <v>0</v>
      </c>
      <c r="J2553" s="8">
        <v>0</v>
      </c>
      <c r="K2553" s="9" t="str">
        <v/>
      </c>
    </row>
    <row r="2554" spans="1:11">
      <c r="A2554" t="str">
        <v/>
      </c>
      <c r="B2554" s="6">
        <v>0</v>
      </c>
      <c r="C2554" s="7" t="str">
        <v>趣点购浦发</v>
      </c>
      <c r="D2554" s="8">
        <v>0</v>
      </c>
      <c r="E2554" s="7">
        <v>0</v>
      </c>
      <c r="F2554" s="8">
        <v>0</v>
      </c>
      <c r="G2554" s="7">
        <v>0</v>
      </c>
      <c r="H2554" s="7">
        <v>81211.819999998</v>
      </c>
      <c r="I2554" s="7">
        <v>0</v>
      </c>
      <c r="J2554" s="8">
        <v>0</v>
      </c>
      <c r="K2554" s="9" t="str">
        <v/>
      </c>
    </row>
    <row r="2555" spans="1:11">
      <c r="A2555" t="str">
        <v/>
      </c>
      <c r="B2555" s="6">
        <v>0</v>
      </c>
      <c r="C2555" s="7" t="str">
        <v>趣点购浦发</v>
      </c>
      <c r="D2555" s="8">
        <v>0</v>
      </c>
      <c r="E2555" s="7">
        <v>0</v>
      </c>
      <c r="F2555" s="8">
        <v>0</v>
      </c>
      <c r="G2555" s="7">
        <v>0</v>
      </c>
      <c r="H2555" s="7">
        <v>81211.819999998</v>
      </c>
      <c r="I2555" s="7">
        <v>0</v>
      </c>
      <c r="J2555" s="8">
        <v>0</v>
      </c>
      <c r="K2555" s="9" t="str">
        <v/>
      </c>
    </row>
    <row r="2556" spans="1:11">
      <c r="A2556" t="str">
        <v/>
      </c>
      <c r="B2556" s="6">
        <v>0</v>
      </c>
      <c r="C2556" s="7" t="str">
        <v>趣点购浦发</v>
      </c>
      <c r="D2556" s="8">
        <v>0</v>
      </c>
      <c r="E2556" s="7">
        <v>0</v>
      </c>
      <c r="F2556" s="8">
        <v>0</v>
      </c>
      <c r="G2556" s="7">
        <v>0</v>
      </c>
      <c r="H2556" s="7">
        <v>81211.819999998</v>
      </c>
      <c r="I2556" s="7">
        <v>0</v>
      </c>
      <c r="J2556" s="8">
        <v>0</v>
      </c>
      <c r="K2556" s="9" t="str">
        <v/>
      </c>
    </row>
    <row r="2557" spans="1:11">
      <c r="A2557" t="str">
        <v/>
      </c>
      <c r="B2557" s="6">
        <v>0</v>
      </c>
      <c r="C2557" s="7" t="str">
        <v>趣点购浦发</v>
      </c>
      <c r="D2557" s="8">
        <v>0</v>
      </c>
      <c r="E2557" s="7">
        <v>0</v>
      </c>
      <c r="F2557" s="8">
        <v>0</v>
      </c>
      <c r="G2557" s="7">
        <v>0</v>
      </c>
      <c r="H2557" s="7">
        <v>81211.819999998</v>
      </c>
      <c r="I2557" s="7">
        <v>0</v>
      </c>
      <c r="J2557" s="8">
        <v>0</v>
      </c>
      <c r="K2557" s="9" t="str">
        <v/>
      </c>
    </row>
    <row r="2558" spans="1:11">
      <c r="A2558" t="str">
        <v/>
      </c>
      <c r="B2558" s="6">
        <v>0</v>
      </c>
      <c r="C2558" s="7" t="str">
        <v>趣点购浦发</v>
      </c>
      <c r="D2558" s="8">
        <v>0</v>
      </c>
      <c r="E2558" s="7">
        <v>0</v>
      </c>
      <c r="F2558" s="8">
        <v>0</v>
      </c>
      <c r="G2558" s="7">
        <v>0</v>
      </c>
      <c r="H2558" s="7">
        <v>81211.819999998</v>
      </c>
      <c r="I2558" s="7">
        <v>0</v>
      </c>
      <c r="J2558" s="8">
        <v>0</v>
      </c>
      <c r="K2558" s="9" t="str">
        <v/>
      </c>
    </row>
    <row r="2559" spans="1:11">
      <c r="A2559" t="str">
        <v/>
      </c>
      <c r="B2559" s="6">
        <v>0</v>
      </c>
      <c r="C2559" s="7" t="str">
        <v>趣点购浦发</v>
      </c>
      <c r="D2559" s="8">
        <v>0</v>
      </c>
      <c r="E2559" s="7">
        <v>0</v>
      </c>
      <c r="F2559" s="8">
        <v>0</v>
      </c>
      <c r="G2559" s="7">
        <v>0</v>
      </c>
      <c r="H2559" s="7">
        <v>81211.819999998</v>
      </c>
      <c r="I2559" s="7">
        <v>0</v>
      </c>
      <c r="J2559" s="8">
        <v>0</v>
      </c>
      <c r="K2559" s="9" t="str">
        <v/>
      </c>
    </row>
    <row r="2560" spans="1:11">
      <c r="A2560" t="str">
        <v/>
      </c>
      <c r="B2560" s="6">
        <v>0</v>
      </c>
      <c r="C2560" s="7" t="str">
        <v>趣点购浦发</v>
      </c>
      <c r="D2560" s="8">
        <v>0</v>
      </c>
      <c r="E2560" s="7">
        <v>0</v>
      </c>
      <c r="F2560" s="8">
        <v>0</v>
      </c>
      <c r="G2560" s="7">
        <v>0</v>
      </c>
      <c r="H2560" s="7">
        <v>81211.819999998</v>
      </c>
      <c r="I2560" s="7">
        <v>0</v>
      </c>
      <c r="J2560" s="8">
        <v>0</v>
      </c>
      <c r="K2560" s="9" t="str">
        <v/>
      </c>
    </row>
    <row r="2561" spans="1:11">
      <c r="A2561" t="str">
        <v/>
      </c>
      <c r="B2561" s="6">
        <v>0</v>
      </c>
      <c r="C2561" s="7" t="str">
        <v>趣点购浦发</v>
      </c>
      <c r="D2561" s="8">
        <v>0</v>
      </c>
      <c r="E2561" s="7">
        <v>0</v>
      </c>
      <c r="F2561" s="8">
        <v>0</v>
      </c>
      <c r="G2561" s="7">
        <v>0</v>
      </c>
      <c r="H2561" s="7">
        <v>81211.819999998</v>
      </c>
      <c r="I2561" s="7">
        <v>0</v>
      </c>
      <c r="J2561" s="8">
        <v>0</v>
      </c>
      <c r="K2561" s="9" t="str">
        <v/>
      </c>
    </row>
    <row r="2562" spans="1:11">
      <c r="A2562" t="str">
        <v/>
      </c>
      <c r="B2562" s="6">
        <v>0</v>
      </c>
      <c r="C2562" s="7" t="str">
        <v>趣点购浦发</v>
      </c>
      <c r="D2562" s="8">
        <v>0</v>
      </c>
      <c r="E2562" s="7">
        <v>0</v>
      </c>
      <c r="F2562" s="8">
        <v>0</v>
      </c>
      <c r="G2562" s="7">
        <v>0</v>
      </c>
      <c r="H2562" s="7">
        <v>81211.819999998</v>
      </c>
      <c r="I2562" s="7">
        <v>0</v>
      </c>
      <c r="J2562" s="8">
        <v>0</v>
      </c>
      <c r="K2562" s="9" t="str">
        <v/>
      </c>
    </row>
    <row r="2563" spans="1:11">
      <c r="A2563" t="str">
        <v/>
      </c>
      <c r="B2563" s="6">
        <v>0</v>
      </c>
      <c r="C2563" s="7" t="str">
        <v>趣点购浦发</v>
      </c>
      <c r="D2563" s="8">
        <v>0</v>
      </c>
      <c r="E2563" s="7">
        <v>0</v>
      </c>
      <c r="F2563" s="8">
        <v>0</v>
      </c>
      <c r="G2563" s="7">
        <v>0</v>
      </c>
      <c r="H2563" s="7">
        <v>81211.819999998</v>
      </c>
      <c r="I2563" s="7">
        <v>0</v>
      </c>
      <c r="J2563" s="8">
        <v>0</v>
      </c>
      <c r="K2563" s="9" t="str">
        <v/>
      </c>
    </row>
    <row r="2564" spans="1:11">
      <c r="A2564" t="str">
        <v/>
      </c>
      <c r="B2564" s="6">
        <v>0</v>
      </c>
      <c r="C2564" s="7" t="str">
        <v>趣点购浦发</v>
      </c>
      <c r="D2564" s="8">
        <v>0</v>
      </c>
      <c r="E2564" s="7">
        <v>0</v>
      </c>
      <c r="F2564" s="8">
        <v>0</v>
      </c>
      <c r="G2564" s="7">
        <v>0</v>
      </c>
      <c r="H2564" s="7">
        <v>81211.819999998</v>
      </c>
      <c r="I2564" s="7">
        <v>0</v>
      </c>
      <c r="J2564" s="8">
        <v>0</v>
      </c>
      <c r="K2564" s="9" t="str">
        <v/>
      </c>
    </row>
    <row r="2565" spans="1:11">
      <c r="A2565" t="str">
        <v/>
      </c>
      <c r="B2565" s="6">
        <v>0</v>
      </c>
      <c r="C2565" s="7" t="str">
        <v>趣点购浦发</v>
      </c>
      <c r="D2565" s="8">
        <v>0</v>
      </c>
      <c r="E2565" s="7">
        <v>0</v>
      </c>
      <c r="F2565" s="8">
        <v>0</v>
      </c>
      <c r="G2565" s="7">
        <v>0</v>
      </c>
      <c r="H2565" s="7">
        <v>81211.819999998</v>
      </c>
      <c r="I2565" s="7">
        <v>0</v>
      </c>
      <c r="J2565" s="8">
        <v>0</v>
      </c>
      <c r="K2565" s="9" t="str">
        <v/>
      </c>
    </row>
    <row r="2566" spans="1:11">
      <c r="A2566" t="str">
        <v/>
      </c>
      <c r="B2566" s="6">
        <v>0</v>
      </c>
      <c r="C2566" s="7" t="str">
        <v>趣点购浦发</v>
      </c>
      <c r="D2566" s="8">
        <v>0</v>
      </c>
      <c r="E2566" s="7">
        <v>0</v>
      </c>
      <c r="F2566" s="8">
        <v>0</v>
      </c>
      <c r="G2566" s="7">
        <v>0</v>
      </c>
      <c r="H2566" s="7">
        <v>81211.819999998</v>
      </c>
      <c r="I2566" s="7">
        <v>0</v>
      </c>
      <c r="J2566" s="8">
        <v>0</v>
      </c>
      <c r="K2566" s="9" t="str">
        <v/>
      </c>
    </row>
    <row r="2567" spans="1:11">
      <c r="A2567" t="str">
        <v/>
      </c>
      <c r="B2567" s="6">
        <v>0</v>
      </c>
      <c r="C2567" s="7" t="str">
        <v>趣点购浦发</v>
      </c>
      <c r="D2567" s="8">
        <v>0</v>
      </c>
      <c r="E2567" s="7">
        <v>0</v>
      </c>
      <c r="F2567" s="8">
        <v>0</v>
      </c>
      <c r="G2567" s="7">
        <v>0</v>
      </c>
      <c r="H2567" s="7">
        <v>81211.819999998</v>
      </c>
      <c r="I2567" s="7">
        <v>0</v>
      </c>
      <c r="J2567" s="8">
        <v>0</v>
      </c>
      <c r="K2567" s="9" t="str">
        <v/>
      </c>
    </row>
    <row r="2568" spans="1:11">
      <c r="A2568" t="str">
        <v/>
      </c>
      <c r="B2568" s="6">
        <v>0</v>
      </c>
      <c r="C2568" s="7" t="str">
        <v>趣点购浦发</v>
      </c>
      <c r="D2568" s="8">
        <v>0</v>
      </c>
      <c r="E2568" s="7">
        <v>0</v>
      </c>
      <c r="F2568" s="8">
        <v>0</v>
      </c>
      <c r="G2568" s="7">
        <v>0</v>
      </c>
      <c r="H2568" s="7">
        <v>81211.819999998</v>
      </c>
      <c r="I2568" s="7">
        <v>0</v>
      </c>
      <c r="J2568" s="8">
        <v>0</v>
      </c>
      <c r="K2568" s="9" t="str">
        <v/>
      </c>
    </row>
    <row r="2569" spans="1:11">
      <c r="A2569" t="str">
        <v/>
      </c>
      <c r="B2569" s="6">
        <v>0</v>
      </c>
      <c r="C2569" s="7" t="str">
        <v>趣点购浦发</v>
      </c>
      <c r="D2569" s="8">
        <v>0</v>
      </c>
      <c r="E2569" s="7">
        <v>0</v>
      </c>
      <c r="F2569" s="8">
        <v>0</v>
      </c>
      <c r="G2569" s="7">
        <v>0</v>
      </c>
      <c r="H2569" s="7">
        <v>81211.819999998</v>
      </c>
      <c r="I2569" s="7">
        <v>0</v>
      </c>
      <c r="J2569" s="8">
        <v>0</v>
      </c>
      <c r="K2569" s="9" t="str">
        <v/>
      </c>
    </row>
    <row r="2570" spans="1:11">
      <c r="A2570" t="str">
        <v/>
      </c>
      <c r="B2570" s="6">
        <v>0</v>
      </c>
      <c r="C2570" s="7" t="str">
        <v>趣点购浦发</v>
      </c>
      <c r="D2570" s="8">
        <v>0</v>
      </c>
      <c r="E2570" s="7">
        <v>0</v>
      </c>
      <c r="F2570" s="8">
        <v>0</v>
      </c>
      <c r="G2570" s="7">
        <v>0</v>
      </c>
      <c r="H2570" s="7">
        <v>81211.819999998</v>
      </c>
      <c r="I2570" s="7">
        <v>0</v>
      </c>
      <c r="J2570" s="8">
        <v>0</v>
      </c>
      <c r="K2570" s="9" t="str">
        <v/>
      </c>
    </row>
    <row r="2571" spans="1:11">
      <c r="A2571" t="str">
        <v/>
      </c>
      <c r="B2571" s="6">
        <v>0</v>
      </c>
      <c r="C2571" s="7" t="str">
        <v>趣点购浦发</v>
      </c>
      <c r="D2571" s="8">
        <v>0</v>
      </c>
      <c r="E2571" s="7">
        <v>0</v>
      </c>
      <c r="F2571" s="8">
        <v>0</v>
      </c>
      <c r="G2571" s="7">
        <v>0</v>
      </c>
      <c r="H2571" s="7">
        <v>81211.819999998</v>
      </c>
      <c r="I2571" s="7">
        <v>0</v>
      </c>
      <c r="J2571" s="8">
        <v>0</v>
      </c>
      <c r="K2571" s="9" t="str">
        <v/>
      </c>
    </row>
    <row r="2572" spans="1:11">
      <c r="A2572" t="str">
        <v/>
      </c>
      <c r="B2572" s="6">
        <v>0</v>
      </c>
      <c r="C2572" s="7" t="str">
        <v>趣点购浦发</v>
      </c>
      <c r="D2572" s="8">
        <v>0</v>
      </c>
      <c r="E2572" s="7">
        <v>0</v>
      </c>
      <c r="F2572" s="8">
        <v>0</v>
      </c>
      <c r="G2572" s="7">
        <v>0</v>
      </c>
      <c r="H2572" s="7">
        <v>81211.819999998</v>
      </c>
      <c r="I2572" s="7">
        <v>0</v>
      </c>
      <c r="J2572" s="8">
        <v>0</v>
      </c>
      <c r="K2572" s="9" t="str">
        <v/>
      </c>
    </row>
    <row r="2573" spans="1:11">
      <c r="A2573" t="str">
        <v/>
      </c>
      <c r="B2573" s="6">
        <v>0</v>
      </c>
      <c r="C2573" s="7" t="str">
        <v>趣点购浦发</v>
      </c>
      <c r="D2573" s="8">
        <v>0</v>
      </c>
      <c r="E2573" s="7">
        <v>0</v>
      </c>
      <c r="F2573" s="8">
        <v>0</v>
      </c>
      <c r="G2573" s="7">
        <v>0</v>
      </c>
      <c r="H2573" s="7">
        <v>81211.819999998</v>
      </c>
      <c r="I2573" s="7">
        <v>0</v>
      </c>
      <c r="J2573" s="8">
        <v>0</v>
      </c>
      <c r="K2573" s="9" t="str">
        <v/>
      </c>
    </row>
    <row r="2574" spans="1:11">
      <c r="A2574" t="str">
        <v/>
      </c>
      <c r="B2574" s="6">
        <v>0</v>
      </c>
      <c r="C2574" s="7" t="str">
        <v>趣点购浦发</v>
      </c>
      <c r="D2574" s="8">
        <v>0</v>
      </c>
      <c r="E2574" s="7">
        <v>0</v>
      </c>
      <c r="F2574" s="8">
        <v>0</v>
      </c>
      <c r="G2574" s="7">
        <v>0</v>
      </c>
      <c r="H2574" s="7">
        <v>81211.819999998</v>
      </c>
      <c r="I2574" s="7">
        <v>0</v>
      </c>
      <c r="J2574" s="8">
        <v>0</v>
      </c>
      <c r="K2574" s="9" t="str">
        <v/>
      </c>
    </row>
    <row r="2575" spans="1:11">
      <c r="A2575" t="str">
        <v/>
      </c>
      <c r="B2575" s="6">
        <v>0</v>
      </c>
      <c r="C2575" s="7" t="str">
        <v>趣点购浦发</v>
      </c>
      <c r="D2575" s="8">
        <v>0</v>
      </c>
      <c r="E2575" s="7">
        <v>0</v>
      </c>
      <c r="F2575" s="8">
        <v>0</v>
      </c>
      <c r="G2575" s="7">
        <v>0</v>
      </c>
      <c r="H2575" s="7">
        <v>81211.819999998</v>
      </c>
      <c r="I2575" s="7">
        <v>0</v>
      </c>
      <c r="J2575" s="8">
        <v>0</v>
      </c>
      <c r="K2575" s="9" t="str">
        <v/>
      </c>
    </row>
    <row r="2576" spans="1:11">
      <c r="A2576" t="str">
        <v/>
      </c>
      <c r="B2576" s="6">
        <v>0</v>
      </c>
      <c r="C2576" s="7" t="str">
        <v>趣点购浦发</v>
      </c>
      <c r="D2576" s="8">
        <v>0</v>
      </c>
      <c r="E2576" s="7">
        <v>0</v>
      </c>
      <c r="F2576" s="8">
        <v>0</v>
      </c>
      <c r="G2576" s="7">
        <v>0</v>
      </c>
      <c r="H2576" s="7">
        <v>81211.819999998</v>
      </c>
      <c r="I2576" s="7">
        <v>0</v>
      </c>
      <c r="J2576" s="8">
        <v>0</v>
      </c>
      <c r="K2576" s="9" t="str">
        <v/>
      </c>
    </row>
    <row r="2577" spans="1:11">
      <c r="A2577" t="str">
        <v/>
      </c>
      <c r="B2577" s="6">
        <v>0</v>
      </c>
      <c r="C2577" s="7" t="str">
        <v>趣点购浦发</v>
      </c>
      <c r="D2577" s="8">
        <v>0</v>
      </c>
      <c r="E2577" s="7">
        <v>0</v>
      </c>
      <c r="F2577" s="8">
        <v>0</v>
      </c>
      <c r="G2577" s="7">
        <v>0</v>
      </c>
      <c r="H2577" s="7">
        <v>81211.819999998</v>
      </c>
      <c r="I2577" s="7">
        <v>0</v>
      </c>
      <c r="J2577" s="8">
        <v>0</v>
      </c>
      <c r="K2577" s="9" t="str">
        <v/>
      </c>
    </row>
    <row r="2578" spans="1:11">
      <c r="A2578" t="str">
        <v/>
      </c>
      <c r="B2578" s="6">
        <v>0</v>
      </c>
      <c r="C2578" s="7" t="str">
        <v>趣点购浦发</v>
      </c>
      <c r="D2578" s="8">
        <v>0</v>
      </c>
      <c r="E2578" s="7">
        <v>0</v>
      </c>
      <c r="F2578" s="8">
        <v>0</v>
      </c>
      <c r="G2578" s="7">
        <v>0</v>
      </c>
      <c r="H2578" s="7">
        <v>81211.819999998</v>
      </c>
      <c r="I2578" s="7">
        <v>0</v>
      </c>
      <c r="J2578" s="8">
        <v>0</v>
      </c>
      <c r="K2578" s="9" t="str">
        <v/>
      </c>
    </row>
    <row r="2579" spans="1:11">
      <c r="A2579" t="str">
        <v/>
      </c>
      <c r="B2579" s="6">
        <v>0</v>
      </c>
      <c r="C2579" s="7" t="str">
        <v>趣点购浦发</v>
      </c>
      <c r="D2579" s="8">
        <v>0</v>
      </c>
      <c r="E2579" s="7">
        <v>0</v>
      </c>
      <c r="F2579" s="8">
        <v>0</v>
      </c>
      <c r="G2579" s="7">
        <v>0</v>
      </c>
      <c r="H2579" s="7">
        <v>81211.819999998</v>
      </c>
      <c r="I2579" s="7">
        <v>0</v>
      </c>
      <c r="J2579" s="8">
        <v>0</v>
      </c>
      <c r="K2579" s="9" t="str">
        <v/>
      </c>
    </row>
    <row r="2580" spans="1:11">
      <c r="A2580" t="str">
        <v/>
      </c>
      <c r="B2580" s="6">
        <v>0</v>
      </c>
      <c r="C2580" s="7" t="str">
        <v>趣点购浦发</v>
      </c>
      <c r="D2580" s="8">
        <v>0</v>
      </c>
      <c r="E2580" s="7">
        <v>0</v>
      </c>
      <c r="F2580" s="8">
        <v>0</v>
      </c>
      <c r="G2580" s="7">
        <v>0</v>
      </c>
      <c r="H2580" s="7">
        <v>81211.819999998</v>
      </c>
      <c r="I2580" s="7">
        <v>0</v>
      </c>
      <c r="J2580" s="8">
        <v>0</v>
      </c>
      <c r="K2580" s="9" t="str">
        <v/>
      </c>
    </row>
    <row r="2581" spans="1:11">
      <c r="A2581" t="str">
        <v/>
      </c>
      <c r="B2581" s="6">
        <v>0</v>
      </c>
      <c r="C2581" s="7" t="str">
        <v>趣点购浦发</v>
      </c>
      <c r="D2581" s="8">
        <v>0</v>
      </c>
      <c r="E2581" s="7">
        <v>0</v>
      </c>
      <c r="F2581" s="8">
        <v>0</v>
      </c>
      <c r="G2581" s="7">
        <v>0</v>
      </c>
      <c r="H2581" s="7">
        <v>81211.819999998</v>
      </c>
      <c r="I2581" s="7">
        <v>0</v>
      </c>
      <c r="J2581" s="8">
        <v>0</v>
      </c>
      <c r="K2581" s="9" t="str">
        <v/>
      </c>
    </row>
    <row r="2582" spans="1:11">
      <c r="A2582" t="str">
        <v/>
      </c>
      <c r="B2582" s="6">
        <v>0</v>
      </c>
      <c r="C2582" s="7" t="str">
        <v>趣点购浦发</v>
      </c>
      <c r="D2582" s="8">
        <v>0</v>
      </c>
      <c r="E2582" s="7">
        <v>0</v>
      </c>
      <c r="F2582" s="8">
        <v>0</v>
      </c>
      <c r="G2582" s="7">
        <v>0</v>
      </c>
      <c r="H2582" s="7">
        <v>81211.819999998</v>
      </c>
      <c r="I2582" s="7">
        <v>0</v>
      </c>
      <c r="J2582" s="8">
        <v>0</v>
      </c>
      <c r="K2582" s="9" t="str">
        <v/>
      </c>
    </row>
    <row r="2583" spans="1:11">
      <c r="A2583" t="str">
        <v/>
      </c>
      <c r="B2583" s="6">
        <v>0</v>
      </c>
      <c r="C2583" s="7" t="str">
        <v>趣点购浦发</v>
      </c>
      <c r="D2583" s="8">
        <v>0</v>
      </c>
      <c r="E2583" s="7">
        <v>0</v>
      </c>
      <c r="F2583" s="8">
        <v>0</v>
      </c>
      <c r="G2583" s="7">
        <v>0</v>
      </c>
      <c r="H2583" s="7">
        <v>81211.819999998</v>
      </c>
      <c r="I2583" s="7">
        <v>0</v>
      </c>
      <c r="J2583" s="8">
        <v>0</v>
      </c>
      <c r="K2583" s="9" t="str">
        <v/>
      </c>
    </row>
    <row r="2584" spans="1:11">
      <c r="A2584" t="str">
        <v/>
      </c>
      <c r="B2584" s="6">
        <v>0</v>
      </c>
      <c r="C2584" s="7" t="str">
        <v>趣点购浦发</v>
      </c>
      <c r="D2584" s="8">
        <v>0</v>
      </c>
      <c r="E2584" s="7">
        <v>0</v>
      </c>
      <c r="F2584" s="8">
        <v>0</v>
      </c>
      <c r="G2584" s="7">
        <v>0</v>
      </c>
      <c r="H2584" s="7">
        <v>81211.819999998</v>
      </c>
      <c r="I2584" s="7">
        <v>0</v>
      </c>
      <c r="J2584" s="8">
        <v>0</v>
      </c>
      <c r="K2584" s="9" t="str">
        <v/>
      </c>
    </row>
    <row r="2585" spans="1:11">
      <c r="A2585" t="str">
        <v/>
      </c>
      <c r="B2585" s="6">
        <v>0</v>
      </c>
      <c r="C2585" s="7" t="str">
        <v>趣点购浦发</v>
      </c>
      <c r="D2585" s="8">
        <v>0</v>
      </c>
      <c r="E2585" s="7">
        <v>0</v>
      </c>
      <c r="F2585" s="8">
        <v>0</v>
      </c>
      <c r="G2585" s="7">
        <v>0</v>
      </c>
      <c r="H2585" s="7">
        <v>81211.819999998</v>
      </c>
      <c r="I2585" s="7">
        <v>0</v>
      </c>
      <c r="J2585" s="8">
        <v>0</v>
      </c>
      <c r="K2585" s="9" t="str">
        <v/>
      </c>
    </row>
    <row r="2586" spans="1:11">
      <c r="A2586" t="str">
        <v/>
      </c>
      <c r="B2586" s="6">
        <v>0</v>
      </c>
      <c r="C2586" s="7" t="str">
        <v>趣点购浦发</v>
      </c>
      <c r="D2586" s="8">
        <v>0</v>
      </c>
      <c r="E2586" s="7">
        <v>0</v>
      </c>
      <c r="F2586" s="8">
        <v>0</v>
      </c>
      <c r="G2586" s="7">
        <v>0</v>
      </c>
      <c r="H2586" s="7">
        <v>81211.819999998</v>
      </c>
      <c r="I2586" s="7">
        <v>0</v>
      </c>
      <c r="J2586" s="8">
        <v>0</v>
      </c>
      <c r="K2586" s="9" t="str">
        <v/>
      </c>
    </row>
    <row r="2587" spans="1:11">
      <c r="A2587" t="str">
        <v/>
      </c>
      <c r="B2587" s="6">
        <v>0</v>
      </c>
      <c r="C2587" s="7" t="str">
        <v>趣点购浦发</v>
      </c>
      <c r="D2587" s="8">
        <v>0</v>
      </c>
      <c r="E2587" s="7">
        <v>0</v>
      </c>
      <c r="F2587" s="8">
        <v>0</v>
      </c>
      <c r="G2587" s="7">
        <v>0</v>
      </c>
      <c r="H2587" s="7">
        <v>81211.819999998</v>
      </c>
      <c r="I2587" s="7">
        <v>0</v>
      </c>
      <c r="J2587" s="8">
        <v>0</v>
      </c>
      <c r="K2587" s="9" t="str">
        <v/>
      </c>
    </row>
    <row r="2588" spans="1:11">
      <c r="A2588" t="str">
        <v/>
      </c>
      <c r="B2588" s="6">
        <v>0</v>
      </c>
      <c r="C2588" s="7" t="str">
        <v>趣点购浦发</v>
      </c>
      <c r="D2588" s="8">
        <v>0</v>
      </c>
      <c r="E2588" s="7">
        <v>0</v>
      </c>
      <c r="F2588" s="8">
        <v>0</v>
      </c>
      <c r="G2588" s="7">
        <v>0</v>
      </c>
      <c r="H2588" s="7">
        <v>81211.819999998</v>
      </c>
      <c r="I2588" s="7">
        <v>0</v>
      </c>
      <c r="J2588" s="8">
        <v>0</v>
      </c>
      <c r="K2588" s="9" t="str">
        <v/>
      </c>
    </row>
    <row r="2589" spans="1:11">
      <c r="A2589" t="str">
        <v/>
      </c>
      <c r="B2589" s="6">
        <v>0</v>
      </c>
      <c r="C2589" s="7" t="str">
        <v>趣点购浦发</v>
      </c>
      <c r="D2589" s="8">
        <v>0</v>
      </c>
      <c r="E2589" s="7">
        <v>0</v>
      </c>
      <c r="F2589" s="8">
        <v>0</v>
      </c>
      <c r="G2589" s="7">
        <v>0</v>
      </c>
      <c r="H2589" s="7">
        <v>81211.819999998</v>
      </c>
      <c r="I2589" s="7">
        <v>0</v>
      </c>
      <c r="J2589" s="8">
        <v>0</v>
      </c>
      <c r="K2589" s="9" t="str">
        <v/>
      </c>
    </row>
    <row r="2590" spans="1:11">
      <c r="A2590" t="str">
        <v/>
      </c>
      <c r="B2590" s="6">
        <v>0</v>
      </c>
      <c r="C2590" s="7" t="str">
        <v>趣点购浦发</v>
      </c>
      <c r="D2590" s="8">
        <v>0</v>
      </c>
      <c r="E2590" s="7">
        <v>0</v>
      </c>
      <c r="F2590" s="8">
        <v>0</v>
      </c>
      <c r="G2590" s="7">
        <v>0</v>
      </c>
      <c r="H2590" s="7">
        <v>81211.819999998</v>
      </c>
      <c r="I2590" s="7">
        <v>0</v>
      </c>
      <c r="J2590" s="8">
        <v>0</v>
      </c>
      <c r="K2590" s="9" t="str">
        <v/>
      </c>
    </row>
    <row r="2591" spans="1:11">
      <c r="A2591" t="str">
        <v/>
      </c>
      <c r="B2591" s="6">
        <v>0</v>
      </c>
      <c r="C2591" s="7" t="str">
        <v>趣点购浦发</v>
      </c>
      <c r="D2591" s="8">
        <v>0</v>
      </c>
      <c r="E2591" s="7">
        <v>0</v>
      </c>
      <c r="F2591" s="8">
        <v>0</v>
      </c>
      <c r="G2591" s="7">
        <v>0</v>
      </c>
      <c r="H2591" s="7">
        <v>81211.819999998</v>
      </c>
      <c r="I2591" s="7">
        <v>0</v>
      </c>
      <c r="J2591" s="8">
        <v>0</v>
      </c>
      <c r="K2591" s="9" t="str">
        <v/>
      </c>
    </row>
    <row r="2592" spans="1:11">
      <c r="A2592" t="str">
        <v/>
      </c>
      <c r="B2592" s="6">
        <v>0</v>
      </c>
      <c r="C2592" s="7" t="str">
        <v>趣点购浦发</v>
      </c>
      <c r="D2592" s="8">
        <v>0</v>
      </c>
      <c r="E2592" s="7">
        <v>0</v>
      </c>
      <c r="F2592" s="8">
        <v>0</v>
      </c>
      <c r="G2592" s="7">
        <v>0</v>
      </c>
      <c r="H2592" s="7">
        <v>81211.819999998</v>
      </c>
      <c r="I2592" s="7">
        <v>0</v>
      </c>
      <c r="J2592" s="8">
        <v>0</v>
      </c>
      <c r="K2592" s="9" t="str">
        <v/>
      </c>
    </row>
    <row r="2593" spans="1:11">
      <c r="A2593" t="str">
        <v/>
      </c>
      <c r="B2593" s="6">
        <v>0</v>
      </c>
      <c r="C2593" s="7" t="str">
        <v>趣点购浦发</v>
      </c>
      <c r="D2593" s="8">
        <v>0</v>
      </c>
      <c r="E2593" s="7">
        <v>0</v>
      </c>
      <c r="F2593" s="8">
        <v>0</v>
      </c>
      <c r="G2593" s="7">
        <v>0</v>
      </c>
      <c r="H2593" s="7">
        <v>81211.819999998</v>
      </c>
      <c r="I2593" s="7">
        <v>0</v>
      </c>
      <c r="J2593" s="8">
        <v>0</v>
      </c>
      <c r="K2593" s="9" t="str">
        <v/>
      </c>
    </row>
    <row r="2594" spans="1:11">
      <c r="A2594" t="str">
        <v/>
      </c>
      <c r="B2594" s="6">
        <v>0</v>
      </c>
      <c r="C2594" s="7" t="str">
        <v>趣点购浦发</v>
      </c>
      <c r="D2594" s="8">
        <v>0</v>
      </c>
      <c r="E2594" s="7">
        <v>0</v>
      </c>
      <c r="F2594" s="8">
        <v>0</v>
      </c>
      <c r="G2594" s="7">
        <v>0</v>
      </c>
      <c r="H2594" s="7">
        <v>81211.819999998</v>
      </c>
      <c r="I2594" s="7">
        <v>0</v>
      </c>
      <c r="J2594" s="8">
        <v>0</v>
      </c>
      <c r="K2594" s="9" t="str">
        <v/>
      </c>
    </row>
    <row r="2595" spans="1:11">
      <c r="A2595" t="str">
        <v/>
      </c>
      <c r="B2595" s="6">
        <v>0</v>
      </c>
      <c r="C2595" s="7" t="str">
        <v>趣点购浦发</v>
      </c>
      <c r="D2595" s="8">
        <v>0</v>
      </c>
      <c r="E2595" s="7">
        <v>0</v>
      </c>
      <c r="F2595" s="8">
        <v>0</v>
      </c>
      <c r="G2595" s="7">
        <v>0</v>
      </c>
      <c r="H2595" s="7">
        <v>81211.819999998</v>
      </c>
      <c r="I2595" s="7">
        <v>0</v>
      </c>
      <c r="J2595" s="8">
        <v>0</v>
      </c>
      <c r="K2595" s="9" t="str">
        <v/>
      </c>
    </row>
    <row r="2596" spans="1:11">
      <c r="A2596" t="str">
        <v/>
      </c>
      <c r="B2596" s="6">
        <v>0</v>
      </c>
      <c r="C2596" s="7" t="str">
        <v>趣点购浦发</v>
      </c>
      <c r="D2596" s="8">
        <v>0</v>
      </c>
      <c r="E2596" s="7">
        <v>0</v>
      </c>
      <c r="F2596" s="8">
        <v>0</v>
      </c>
      <c r="G2596" s="7">
        <v>0</v>
      </c>
      <c r="H2596" s="7">
        <v>81211.819999998</v>
      </c>
      <c r="I2596" s="7">
        <v>0</v>
      </c>
      <c r="J2596" s="8">
        <v>0</v>
      </c>
      <c r="K2596" s="9" t="str">
        <v/>
      </c>
    </row>
    <row r="2597" spans="1:11">
      <c r="A2597" t="str">
        <v/>
      </c>
      <c r="B2597" s="6">
        <v>0</v>
      </c>
      <c r="C2597" s="7" t="str">
        <v>趣点购浦发</v>
      </c>
      <c r="D2597" s="8">
        <v>0</v>
      </c>
      <c r="E2597" s="7">
        <v>0</v>
      </c>
      <c r="F2597" s="8">
        <v>0</v>
      </c>
      <c r="G2597" s="7">
        <v>0</v>
      </c>
      <c r="H2597" s="7">
        <v>81211.819999998</v>
      </c>
      <c r="I2597" s="7">
        <v>0</v>
      </c>
      <c r="J2597" s="8">
        <v>0</v>
      </c>
      <c r="K2597" s="9" t="str">
        <v/>
      </c>
    </row>
    <row r="2598" spans="1:11">
      <c r="A2598" t="str">
        <v/>
      </c>
      <c r="B2598" s="6">
        <v>0</v>
      </c>
      <c r="C2598" s="7" t="str">
        <v>趣点购浦发</v>
      </c>
      <c r="D2598" s="8">
        <v>0</v>
      </c>
      <c r="E2598" s="7">
        <v>0</v>
      </c>
      <c r="F2598" s="8">
        <v>0</v>
      </c>
      <c r="G2598" s="7">
        <v>0</v>
      </c>
      <c r="H2598" s="7">
        <v>81211.819999998</v>
      </c>
      <c r="I2598" s="7">
        <v>0</v>
      </c>
      <c r="J2598" s="8">
        <v>0</v>
      </c>
      <c r="K2598" s="9" t="str">
        <v/>
      </c>
    </row>
    <row r="2599" spans="1:11">
      <c r="A2599" t="str">
        <v/>
      </c>
      <c r="B2599" s="6">
        <v>0</v>
      </c>
      <c r="C2599" s="7" t="str">
        <v>趣点购浦发</v>
      </c>
      <c r="D2599" s="8">
        <v>0</v>
      </c>
      <c r="E2599" s="7">
        <v>0</v>
      </c>
      <c r="F2599" s="8">
        <v>0</v>
      </c>
      <c r="G2599" s="7">
        <v>0</v>
      </c>
      <c r="H2599" s="7">
        <v>81211.819999998</v>
      </c>
      <c r="I2599" s="7">
        <v>0</v>
      </c>
      <c r="J2599" s="8">
        <v>0</v>
      </c>
      <c r="K2599" s="9" t="str">
        <v/>
      </c>
    </row>
    <row r="2600" spans="1:11">
      <c r="A2600" t="str">
        <v/>
      </c>
      <c r="B2600" s="6">
        <v>0</v>
      </c>
      <c r="C2600" s="7" t="str">
        <v>趣点购浦发</v>
      </c>
      <c r="D2600" s="8">
        <v>0</v>
      </c>
      <c r="E2600" s="7">
        <v>0</v>
      </c>
      <c r="F2600" s="8">
        <v>0</v>
      </c>
      <c r="G2600" s="7">
        <v>0</v>
      </c>
      <c r="H2600" s="7">
        <v>81211.819999998</v>
      </c>
      <c r="I2600" s="7">
        <v>0</v>
      </c>
      <c r="J2600" s="8">
        <v>0</v>
      </c>
      <c r="K2600" s="9" t="str">
        <v/>
      </c>
    </row>
    <row r="2601" spans="1:11">
      <c r="A2601" t="str">
        <v/>
      </c>
      <c r="B2601" s="6">
        <v>0</v>
      </c>
      <c r="C2601" s="7" t="str">
        <v>趣点购浦发</v>
      </c>
      <c r="D2601" s="8">
        <v>0</v>
      </c>
      <c r="E2601" s="7">
        <v>0</v>
      </c>
      <c r="F2601" s="8">
        <v>0</v>
      </c>
      <c r="G2601" s="7">
        <v>0</v>
      </c>
      <c r="H2601" s="7">
        <v>81211.819999998</v>
      </c>
      <c r="I2601" s="7">
        <v>0</v>
      </c>
      <c r="J2601" s="8">
        <v>0</v>
      </c>
      <c r="K2601" s="9" t="str">
        <v/>
      </c>
    </row>
    <row r="2602" spans="1:11">
      <c r="A2602" t="str">
        <v/>
      </c>
      <c r="B2602" s="6">
        <v>0</v>
      </c>
      <c r="C2602" s="7" t="str">
        <v>趣点购浦发</v>
      </c>
      <c r="D2602" s="8">
        <v>0</v>
      </c>
      <c r="E2602" s="7">
        <v>0</v>
      </c>
      <c r="F2602" s="8">
        <v>0</v>
      </c>
      <c r="G2602" s="7">
        <v>0</v>
      </c>
      <c r="H2602" s="7">
        <v>81211.819999998</v>
      </c>
      <c r="I2602" s="7">
        <v>0</v>
      </c>
      <c r="J2602" s="8">
        <v>0</v>
      </c>
      <c r="K2602" s="9" t="str">
        <v/>
      </c>
    </row>
    <row r="2603" spans="1:11">
      <c r="A2603" t="str">
        <v/>
      </c>
      <c r="B2603" s="6">
        <v>0</v>
      </c>
      <c r="C2603" s="7" t="str">
        <v>趣点购浦发</v>
      </c>
      <c r="D2603" s="8">
        <v>0</v>
      </c>
      <c r="E2603" s="7">
        <v>0</v>
      </c>
      <c r="F2603" s="8">
        <v>0</v>
      </c>
      <c r="G2603" s="7">
        <v>0</v>
      </c>
      <c r="H2603" s="7">
        <v>81211.819999998</v>
      </c>
      <c r="I2603" s="7">
        <v>0</v>
      </c>
      <c r="J2603" s="8">
        <v>0</v>
      </c>
      <c r="K2603" s="9" t="str">
        <v/>
      </c>
    </row>
    <row r="2604" spans="1:11">
      <c r="A2604" t="str">
        <v/>
      </c>
      <c r="B2604" s="6">
        <v>0</v>
      </c>
      <c r="C2604" s="7" t="str">
        <v>趣点购浦发</v>
      </c>
      <c r="D2604" s="8">
        <v>0</v>
      </c>
      <c r="E2604" s="7">
        <v>0</v>
      </c>
      <c r="F2604" s="8">
        <v>0</v>
      </c>
      <c r="G2604" s="7">
        <v>0</v>
      </c>
      <c r="H2604" s="7">
        <v>81211.819999998</v>
      </c>
      <c r="I2604" s="7">
        <v>0</v>
      </c>
      <c r="J2604" s="8">
        <v>0</v>
      </c>
      <c r="K2604" s="9" t="str">
        <v/>
      </c>
    </row>
    <row r="2605" spans="1:11">
      <c r="A2605" t="str">
        <v/>
      </c>
      <c r="B2605" s="6">
        <v>0</v>
      </c>
      <c r="C2605" s="7" t="str">
        <v>趣点购浦发</v>
      </c>
      <c r="D2605" s="8">
        <v>0</v>
      </c>
      <c r="E2605" s="7">
        <v>0</v>
      </c>
      <c r="F2605" s="8">
        <v>0</v>
      </c>
      <c r="G2605" s="7">
        <v>0</v>
      </c>
      <c r="H2605" s="7">
        <v>81211.819999998</v>
      </c>
      <c r="I2605" s="7">
        <v>0</v>
      </c>
      <c r="J2605" s="8">
        <v>0</v>
      </c>
      <c r="K2605" s="9" t="str">
        <v/>
      </c>
    </row>
    <row r="2606" spans="1:11">
      <c r="A2606" t="str">
        <v/>
      </c>
      <c r="B2606" s="6">
        <v>0</v>
      </c>
      <c r="C2606" s="7" t="str">
        <v>趣点购浦发</v>
      </c>
      <c r="D2606" s="8">
        <v>0</v>
      </c>
      <c r="E2606" s="7">
        <v>0</v>
      </c>
      <c r="F2606" s="8">
        <v>0</v>
      </c>
      <c r="G2606" s="7">
        <v>0</v>
      </c>
      <c r="H2606" s="7">
        <v>81211.819999998</v>
      </c>
      <c r="I2606" s="7">
        <v>0</v>
      </c>
      <c r="J2606" s="8">
        <v>0</v>
      </c>
      <c r="K2606" s="9" t="str">
        <v/>
      </c>
    </row>
    <row r="2607" spans="1:11">
      <c r="A2607" t="str">
        <v/>
      </c>
      <c r="B2607" s="6">
        <v>0</v>
      </c>
      <c r="C2607" s="7" t="str">
        <v>趣点购浦发</v>
      </c>
      <c r="D2607" s="8">
        <v>0</v>
      </c>
      <c r="E2607" s="7">
        <v>0</v>
      </c>
      <c r="F2607" s="8">
        <v>0</v>
      </c>
      <c r="G2607" s="7">
        <v>0</v>
      </c>
      <c r="H2607" s="7">
        <v>81211.819999998</v>
      </c>
      <c r="I2607" s="7">
        <v>0</v>
      </c>
      <c r="J2607" s="8">
        <v>0</v>
      </c>
      <c r="K2607" s="9" t="str">
        <v/>
      </c>
    </row>
    <row r="2608" spans="1:11">
      <c r="A2608" t="str">
        <v/>
      </c>
      <c r="B2608" s="6">
        <v>0</v>
      </c>
      <c r="C2608" s="7" t="str">
        <v>趣点购浦发</v>
      </c>
      <c r="D2608" s="8">
        <v>0</v>
      </c>
      <c r="E2608" s="7">
        <v>0</v>
      </c>
      <c r="F2608" s="8">
        <v>0</v>
      </c>
      <c r="G2608" s="7">
        <v>0</v>
      </c>
      <c r="H2608" s="7">
        <v>81211.819999998</v>
      </c>
      <c r="I2608" s="7">
        <v>0</v>
      </c>
      <c r="J2608" s="8">
        <v>0</v>
      </c>
      <c r="K2608" s="9" t="str">
        <v/>
      </c>
    </row>
    <row r="2609" spans="1:11">
      <c r="A2609" t="str">
        <v/>
      </c>
      <c r="B2609" s="6">
        <v>0</v>
      </c>
      <c r="C2609" s="7" t="str">
        <v>趣点购浦发</v>
      </c>
      <c r="D2609" s="8">
        <v>0</v>
      </c>
      <c r="E2609" s="7">
        <v>0</v>
      </c>
      <c r="F2609" s="8">
        <v>0</v>
      </c>
      <c r="G2609" s="7">
        <v>0</v>
      </c>
      <c r="H2609" s="7">
        <v>81211.819999998</v>
      </c>
      <c r="I2609" s="7">
        <v>0</v>
      </c>
      <c r="J2609" s="8">
        <v>0</v>
      </c>
      <c r="K2609" s="9" t="str">
        <v/>
      </c>
    </row>
    <row r="2610" spans="1:11">
      <c r="A2610" t="str">
        <v/>
      </c>
      <c r="B2610" s="6">
        <v>0</v>
      </c>
      <c r="C2610" s="7" t="str">
        <v>趣点购浦发</v>
      </c>
      <c r="D2610" s="8">
        <v>0</v>
      </c>
      <c r="E2610" s="7">
        <v>0</v>
      </c>
      <c r="F2610" s="8">
        <v>0</v>
      </c>
      <c r="G2610" s="7">
        <v>0</v>
      </c>
      <c r="H2610" s="7">
        <v>81211.819999998</v>
      </c>
      <c r="I2610" s="7">
        <v>0</v>
      </c>
      <c r="J2610" s="8">
        <v>0</v>
      </c>
      <c r="K2610" s="9" t="str">
        <v/>
      </c>
    </row>
    <row r="2611" spans="1:11">
      <c r="A2611" t="str">
        <v/>
      </c>
      <c r="B2611" s="6">
        <v>0</v>
      </c>
      <c r="C2611" s="7" t="str">
        <v>趣点购浦发</v>
      </c>
      <c r="D2611" s="8">
        <v>0</v>
      </c>
      <c r="E2611" s="7">
        <v>0</v>
      </c>
      <c r="F2611" s="8">
        <v>0</v>
      </c>
      <c r="G2611" s="7">
        <v>0</v>
      </c>
      <c r="H2611" s="7">
        <v>81211.819999998</v>
      </c>
      <c r="I2611" s="7">
        <v>0</v>
      </c>
      <c r="J2611" s="8">
        <v>0</v>
      </c>
      <c r="K2611" s="9" t="str">
        <v/>
      </c>
    </row>
    <row r="2612" spans="1:11">
      <c r="A2612" t="str">
        <v/>
      </c>
      <c r="B2612" s="6">
        <v>0</v>
      </c>
      <c r="C2612" s="7" t="str">
        <v>趣点购浦发</v>
      </c>
      <c r="D2612" s="8">
        <v>0</v>
      </c>
      <c r="E2612" s="7">
        <v>0</v>
      </c>
      <c r="F2612" s="8">
        <v>0</v>
      </c>
      <c r="G2612" s="7">
        <v>0</v>
      </c>
      <c r="H2612" s="7">
        <v>81211.819999998</v>
      </c>
      <c r="I2612" s="7">
        <v>0</v>
      </c>
      <c r="J2612" s="8">
        <v>0</v>
      </c>
      <c r="K2612" s="9" t="str">
        <v/>
      </c>
    </row>
    <row r="2613" spans="1:11">
      <c r="A2613" t="str">
        <v/>
      </c>
      <c r="B2613" s="6">
        <v>0</v>
      </c>
      <c r="C2613" s="7" t="str">
        <v>趣点购浦发</v>
      </c>
      <c r="D2613" s="8">
        <v>0</v>
      </c>
      <c r="E2613" s="7">
        <v>0</v>
      </c>
      <c r="F2613" s="8">
        <v>0</v>
      </c>
      <c r="G2613" s="7">
        <v>0</v>
      </c>
      <c r="H2613" s="7">
        <v>81211.819999998</v>
      </c>
      <c r="I2613" s="7">
        <v>0</v>
      </c>
      <c r="J2613" s="8">
        <v>0</v>
      </c>
      <c r="K2613" s="9" t="str">
        <v/>
      </c>
    </row>
    <row r="2614" spans="1:11">
      <c r="A2614" t="str">
        <v/>
      </c>
      <c r="B2614" s="6">
        <v>0</v>
      </c>
      <c r="C2614" s="7" t="str">
        <v>趣点购浦发</v>
      </c>
      <c r="D2614" s="8">
        <v>0</v>
      </c>
      <c r="E2614" s="7">
        <v>0</v>
      </c>
      <c r="F2614" s="8">
        <v>0</v>
      </c>
      <c r="G2614" s="7">
        <v>0</v>
      </c>
      <c r="H2614" s="7">
        <v>81211.819999998</v>
      </c>
      <c r="I2614" s="7">
        <v>0</v>
      </c>
      <c r="J2614" s="8">
        <v>0</v>
      </c>
      <c r="K2614" s="9" t="str">
        <v/>
      </c>
    </row>
    <row r="2615" spans="1:11">
      <c r="A2615" t="str">
        <v/>
      </c>
      <c r="B2615" s="6">
        <v>0</v>
      </c>
      <c r="C2615" s="7" t="str">
        <v>趣点购浦发</v>
      </c>
      <c r="D2615" s="8">
        <v>0</v>
      </c>
      <c r="E2615" s="7">
        <v>0</v>
      </c>
      <c r="F2615" s="8">
        <v>0</v>
      </c>
      <c r="G2615" s="7">
        <v>0</v>
      </c>
      <c r="H2615" s="7">
        <v>81211.819999998</v>
      </c>
      <c r="I2615" s="7">
        <v>0</v>
      </c>
      <c r="J2615" s="8">
        <v>0</v>
      </c>
      <c r="K2615" s="9" t="str">
        <v/>
      </c>
    </row>
    <row r="2616" spans="1:11">
      <c r="A2616" t="str">
        <v/>
      </c>
      <c r="B2616" s="6">
        <v>0</v>
      </c>
      <c r="C2616" s="7" t="str">
        <v>趣点购浦发</v>
      </c>
      <c r="D2616" s="8">
        <v>0</v>
      </c>
      <c r="E2616" s="7">
        <v>0</v>
      </c>
      <c r="F2616" s="8">
        <v>0</v>
      </c>
      <c r="G2616" s="7">
        <v>0</v>
      </c>
      <c r="H2616" s="7">
        <v>81211.819999998</v>
      </c>
      <c r="I2616" s="7">
        <v>0</v>
      </c>
      <c r="J2616" s="8">
        <v>0</v>
      </c>
      <c r="K2616" s="9" t="str">
        <v/>
      </c>
    </row>
    <row r="2617" spans="1:11">
      <c r="A2617" t="str">
        <v/>
      </c>
      <c r="B2617" s="6">
        <v>0</v>
      </c>
      <c r="C2617" s="7" t="str">
        <v>趣点购浦发</v>
      </c>
      <c r="D2617" s="8">
        <v>0</v>
      </c>
      <c r="E2617" s="7">
        <v>0</v>
      </c>
      <c r="F2617" s="8">
        <v>0</v>
      </c>
      <c r="G2617" s="7">
        <v>0</v>
      </c>
      <c r="H2617" s="7">
        <v>81211.819999998</v>
      </c>
      <c r="I2617" s="7">
        <v>0</v>
      </c>
      <c r="J2617" s="8">
        <v>0</v>
      </c>
      <c r="K2617" s="9" t="str">
        <v/>
      </c>
    </row>
    <row r="2618" spans="1:11">
      <c r="A2618" t="str">
        <v/>
      </c>
      <c r="B2618" s="6">
        <v>0</v>
      </c>
      <c r="C2618" s="7" t="str">
        <v>趣点购浦发</v>
      </c>
      <c r="D2618" s="8">
        <v>0</v>
      </c>
      <c r="E2618" s="7">
        <v>0</v>
      </c>
      <c r="F2618" s="8">
        <v>0</v>
      </c>
      <c r="G2618" s="7">
        <v>0</v>
      </c>
      <c r="H2618" s="7">
        <v>81211.819999998</v>
      </c>
      <c r="I2618" s="7">
        <v>0</v>
      </c>
      <c r="J2618" s="8">
        <v>0</v>
      </c>
      <c r="K2618" s="9" t="str">
        <v/>
      </c>
    </row>
    <row r="2619" spans="1:11">
      <c r="A2619" t="str">
        <v/>
      </c>
      <c r="B2619" s="6">
        <v>0</v>
      </c>
      <c r="C2619" s="7" t="str">
        <v>趣点购浦发</v>
      </c>
      <c r="D2619" s="8">
        <v>0</v>
      </c>
      <c r="E2619" s="7">
        <v>0</v>
      </c>
      <c r="F2619" s="8">
        <v>0</v>
      </c>
      <c r="G2619" s="7">
        <v>0</v>
      </c>
      <c r="H2619" s="7">
        <v>81211.819999998</v>
      </c>
      <c r="I2619" s="7">
        <v>0</v>
      </c>
      <c r="J2619" s="8">
        <v>0</v>
      </c>
      <c r="K2619" s="9" t="str">
        <v/>
      </c>
    </row>
    <row r="2620" spans="1:11">
      <c r="A2620" t="str">
        <v/>
      </c>
      <c r="B2620" s="6">
        <v>0</v>
      </c>
      <c r="C2620" s="7" t="str">
        <v>趣点购浦发</v>
      </c>
      <c r="D2620" s="8">
        <v>0</v>
      </c>
      <c r="E2620" s="7">
        <v>0</v>
      </c>
      <c r="F2620" s="8">
        <v>0</v>
      </c>
      <c r="G2620" s="7">
        <v>0</v>
      </c>
      <c r="H2620" s="7">
        <v>81211.819999998</v>
      </c>
      <c r="I2620" s="7">
        <v>0</v>
      </c>
      <c r="J2620" s="8">
        <v>0</v>
      </c>
      <c r="K2620" s="9" t="str">
        <v/>
      </c>
    </row>
    <row r="2621" spans="1:11">
      <c r="A2621" t="str">
        <v/>
      </c>
      <c r="B2621" s="6">
        <v>0</v>
      </c>
      <c r="C2621" s="7" t="str">
        <v>趣点购浦发</v>
      </c>
      <c r="D2621" s="8">
        <v>0</v>
      </c>
      <c r="E2621" s="7">
        <v>0</v>
      </c>
      <c r="F2621" s="8">
        <v>0</v>
      </c>
      <c r="G2621" s="7">
        <v>0</v>
      </c>
      <c r="H2621" s="7">
        <v>81211.819999998</v>
      </c>
      <c r="I2621" s="7">
        <v>0</v>
      </c>
      <c r="J2621" s="8">
        <v>0</v>
      </c>
      <c r="K2621" s="9" t="str">
        <v/>
      </c>
    </row>
    <row r="2622" spans="1:11">
      <c r="A2622" t="str">
        <v/>
      </c>
      <c r="B2622" s="6">
        <v>0</v>
      </c>
      <c r="C2622" s="7" t="str">
        <v>趣点购浦发</v>
      </c>
      <c r="D2622" s="8">
        <v>0</v>
      </c>
      <c r="E2622" s="7">
        <v>0</v>
      </c>
      <c r="F2622" s="8">
        <v>0</v>
      </c>
      <c r="G2622" s="7">
        <v>0</v>
      </c>
      <c r="H2622" s="7">
        <v>81211.819999998</v>
      </c>
      <c r="I2622" s="7">
        <v>0</v>
      </c>
      <c r="J2622" s="8">
        <v>0</v>
      </c>
      <c r="K2622" s="9" t="str">
        <v/>
      </c>
    </row>
    <row r="2623" spans="1:11">
      <c r="A2623" t="str">
        <v/>
      </c>
      <c r="B2623" s="6">
        <v>0</v>
      </c>
      <c r="C2623" s="7" t="str">
        <v>趣点购浦发</v>
      </c>
      <c r="D2623" s="8">
        <v>0</v>
      </c>
      <c r="E2623" s="7">
        <v>0</v>
      </c>
      <c r="F2623" s="8">
        <v>0</v>
      </c>
      <c r="G2623" s="7">
        <v>0</v>
      </c>
      <c r="H2623" s="7">
        <v>81211.819999998</v>
      </c>
      <c r="I2623" s="7">
        <v>0</v>
      </c>
      <c r="J2623" s="8">
        <v>0</v>
      </c>
      <c r="K2623" s="9" t="str">
        <v/>
      </c>
    </row>
    <row r="2624" spans="1:11">
      <c r="A2624" t="str">
        <v/>
      </c>
      <c r="B2624" s="6">
        <v>0</v>
      </c>
      <c r="C2624" s="7" t="str">
        <v>趣点购浦发</v>
      </c>
      <c r="D2624" s="8">
        <v>0</v>
      </c>
      <c r="E2624" s="7">
        <v>0</v>
      </c>
      <c r="F2624" s="8">
        <v>0</v>
      </c>
      <c r="G2624" s="7">
        <v>0</v>
      </c>
      <c r="H2624" s="7">
        <v>81211.819999998</v>
      </c>
      <c r="I2624" s="7">
        <v>0</v>
      </c>
      <c r="J2624" s="8">
        <v>0</v>
      </c>
      <c r="K2624" s="9" t="str">
        <v/>
      </c>
    </row>
    <row r="2625" spans="1:11">
      <c r="A2625" t="str">
        <v/>
      </c>
      <c r="B2625" s="6">
        <v>0</v>
      </c>
      <c r="C2625" s="7" t="str">
        <v>趣点购浦发</v>
      </c>
      <c r="D2625" s="8">
        <v>0</v>
      </c>
      <c r="E2625" s="7">
        <v>0</v>
      </c>
      <c r="F2625" s="8">
        <v>0</v>
      </c>
      <c r="G2625" s="7">
        <v>0</v>
      </c>
      <c r="H2625" s="7">
        <v>81211.819999998</v>
      </c>
      <c r="I2625" s="7">
        <v>0</v>
      </c>
      <c r="J2625" s="8">
        <v>0</v>
      </c>
      <c r="K2625" s="9" t="str">
        <v/>
      </c>
    </row>
    <row r="2626" spans="1:11">
      <c r="A2626" t="str">
        <v/>
      </c>
      <c r="B2626" s="6">
        <v>0</v>
      </c>
      <c r="C2626" s="7" t="str">
        <v>趣点购浦发</v>
      </c>
      <c r="D2626" s="8">
        <v>0</v>
      </c>
      <c r="E2626" s="7">
        <v>0</v>
      </c>
      <c r="F2626" s="8">
        <v>0</v>
      </c>
      <c r="G2626" s="7">
        <v>0</v>
      </c>
      <c r="H2626" s="7">
        <v>81211.819999998</v>
      </c>
      <c r="I2626" s="7">
        <v>0</v>
      </c>
      <c r="J2626" s="8">
        <v>0</v>
      </c>
      <c r="K2626" s="9" t="str">
        <v/>
      </c>
    </row>
    <row r="2627" spans="1:11">
      <c r="A2627" t="str">
        <v/>
      </c>
      <c r="B2627" s="6">
        <v>0</v>
      </c>
      <c r="C2627" s="7" t="str">
        <v>趣点购浦发</v>
      </c>
      <c r="D2627" s="8">
        <v>0</v>
      </c>
      <c r="E2627" s="7">
        <v>0</v>
      </c>
      <c r="F2627" s="8">
        <v>0</v>
      </c>
      <c r="G2627" s="7">
        <v>0</v>
      </c>
      <c r="H2627" s="7">
        <v>81211.819999998</v>
      </c>
      <c r="I2627" s="7">
        <v>0</v>
      </c>
      <c r="J2627" s="8">
        <v>0</v>
      </c>
      <c r="K2627" s="9" t="str">
        <v/>
      </c>
    </row>
    <row r="2628" spans="1:11">
      <c r="A2628" t="str">
        <v/>
      </c>
      <c r="B2628" s="6">
        <v>0</v>
      </c>
      <c r="C2628" s="7" t="str">
        <v>趣点购浦发</v>
      </c>
      <c r="D2628" s="8">
        <v>0</v>
      </c>
      <c r="E2628" s="7">
        <v>0</v>
      </c>
      <c r="F2628" s="8">
        <v>0</v>
      </c>
      <c r="G2628" s="7">
        <v>0</v>
      </c>
      <c r="H2628" s="7">
        <v>81211.819999998</v>
      </c>
      <c r="I2628" s="7">
        <v>0</v>
      </c>
      <c r="J2628" s="8">
        <v>0</v>
      </c>
      <c r="K2628" s="9" t="str">
        <v/>
      </c>
    </row>
    <row r="2629" spans="1:11">
      <c r="A2629" t="str">
        <v/>
      </c>
      <c r="B2629" s="6">
        <v>0</v>
      </c>
      <c r="C2629" s="7" t="str">
        <v>趣点购浦发</v>
      </c>
      <c r="D2629" s="8">
        <v>0</v>
      </c>
      <c r="E2629" s="7">
        <v>0</v>
      </c>
      <c r="F2629" s="8">
        <v>0</v>
      </c>
      <c r="G2629" s="7">
        <v>0</v>
      </c>
      <c r="H2629" s="7">
        <v>81211.819999998</v>
      </c>
      <c r="I2629" s="7">
        <v>0</v>
      </c>
      <c r="J2629" s="8">
        <v>0</v>
      </c>
      <c r="K2629" s="9" t="str">
        <v/>
      </c>
    </row>
    <row r="2630" spans="1:11">
      <c r="A2630" t="str">
        <v/>
      </c>
      <c r="B2630" s="6">
        <v>0</v>
      </c>
      <c r="C2630" s="7" t="str">
        <v>趣点购浦发</v>
      </c>
      <c r="D2630" s="8">
        <v>0</v>
      </c>
      <c r="E2630" s="7">
        <v>0</v>
      </c>
      <c r="F2630" s="8">
        <v>0</v>
      </c>
      <c r="G2630" s="7">
        <v>0</v>
      </c>
      <c r="H2630" s="7">
        <v>81211.819999998</v>
      </c>
      <c r="I2630" s="7">
        <v>0</v>
      </c>
      <c r="J2630" s="8">
        <v>0</v>
      </c>
      <c r="K2630" s="9" t="str">
        <v/>
      </c>
    </row>
    <row r="2631" spans="1:11">
      <c r="A2631" t="str">
        <v/>
      </c>
      <c r="B2631" s="6">
        <v>0</v>
      </c>
      <c r="C2631" s="7" t="str">
        <v>趣点购浦发</v>
      </c>
      <c r="D2631" s="8">
        <v>0</v>
      </c>
      <c r="E2631" s="7">
        <v>0</v>
      </c>
      <c r="F2631" s="8">
        <v>0</v>
      </c>
      <c r="G2631" s="7">
        <v>0</v>
      </c>
      <c r="H2631" s="7">
        <v>81211.819999998</v>
      </c>
      <c r="I2631" s="7">
        <v>0</v>
      </c>
      <c r="J2631" s="8">
        <v>0</v>
      </c>
      <c r="K2631" s="9" t="str">
        <v/>
      </c>
    </row>
    <row r="2632" spans="1:11">
      <c r="A2632" t="str">
        <v/>
      </c>
      <c r="B2632" s="6">
        <v>0</v>
      </c>
      <c r="C2632" s="7" t="str">
        <v>趣点购浦发</v>
      </c>
      <c r="D2632" s="8">
        <v>0</v>
      </c>
      <c r="E2632" s="7">
        <v>0</v>
      </c>
      <c r="F2632" s="8">
        <v>0</v>
      </c>
      <c r="G2632" s="7">
        <v>0</v>
      </c>
      <c r="H2632" s="7">
        <v>81211.819999998</v>
      </c>
      <c r="I2632" s="7">
        <v>0</v>
      </c>
      <c r="J2632" s="8">
        <v>0</v>
      </c>
      <c r="K2632" s="9" t="str">
        <v/>
      </c>
    </row>
    <row r="2633" spans="1:11">
      <c r="A2633" t="str">
        <v/>
      </c>
      <c r="B2633" s="6">
        <v>0</v>
      </c>
      <c r="C2633" s="7" t="str">
        <v>趣点购浦发</v>
      </c>
      <c r="D2633" s="8">
        <v>0</v>
      </c>
      <c r="E2633" s="7">
        <v>0</v>
      </c>
      <c r="F2633" s="8">
        <v>0</v>
      </c>
      <c r="G2633" s="7">
        <v>0</v>
      </c>
      <c r="H2633" s="7">
        <v>81211.819999998</v>
      </c>
      <c r="I2633" s="7">
        <v>0</v>
      </c>
      <c r="J2633" s="8">
        <v>0</v>
      </c>
      <c r="K2633" s="9" t="str">
        <v/>
      </c>
    </row>
    <row r="2634" spans="1:11">
      <c r="A2634" t="str">
        <v/>
      </c>
      <c r="B2634" s="6">
        <v>0</v>
      </c>
      <c r="C2634" s="7" t="str">
        <v>趣点购浦发</v>
      </c>
      <c r="D2634" s="8">
        <v>0</v>
      </c>
      <c r="E2634" s="7">
        <v>0</v>
      </c>
      <c r="F2634" s="8">
        <v>0</v>
      </c>
      <c r="G2634" s="7">
        <v>0</v>
      </c>
      <c r="H2634" s="7">
        <v>81211.819999998</v>
      </c>
      <c r="I2634" s="7">
        <v>0</v>
      </c>
      <c r="J2634" s="8">
        <v>0</v>
      </c>
      <c r="K2634" s="9" t="str">
        <v/>
      </c>
    </row>
    <row r="2635" spans="1:11">
      <c r="A2635" t="str">
        <v/>
      </c>
      <c r="B2635" s="6">
        <v>0</v>
      </c>
      <c r="C2635" s="7" t="str">
        <v>趣点购浦发</v>
      </c>
      <c r="D2635" s="8">
        <v>0</v>
      </c>
      <c r="E2635" s="7">
        <v>0</v>
      </c>
      <c r="F2635" s="8">
        <v>0</v>
      </c>
      <c r="G2635" s="7">
        <v>0</v>
      </c>
      <c r="H2635" s="7">
        <v>81211.819999998</v>
      </c>
      <c r="I2635" s="7">
        <v>0</v>
      </c>
      <c r="J2635" s="8">
        <v>0</v>
      </c>
      <c r="K2635" s="9" t="str">
        <v/>
      </c>
    </row>
    <row r="2636" spans="1:11">
      <c r="A2636" t="str">
        <v/>
      </c>
      <c r="B2636" s="6">
        <v>0</v>
      </c>
      <c r="C2636" s="7" t="str">
        <v>趣点购浦发</v>
      </c>
      <c r="D2636" s="8">
        <v>0</v>
      </c>
      <c r="E2636" s="7">
        <v>0</v>
      </c>
      <c r="F2636" s="8">
        <v>0</v>
      </c>
      <c r="G2636" s="7">
        <v>0</v>
      </c>
      <c r="H2636" s="7">
        <v>81211.819999998</v>
      </c>
      <c r="I2636" s="7">
        <v>0</v>
      </c>
      <c r="J2636" s="8">
        <v>0</v>
      </c>
      <c r="K2636" s="9" t="str">
        <v/>
      </c>
    </row>
    <row r="2637" spans="1:11">
      <c r="A2637" t="str">
        <v/>
      </c>
      <c r="B2637" s="6">
        <v>0</v>
      </c>
      <c r="C2637" s="7" t="str">
        <v>趣点购浦发</v>
      </c>
      <c r="D2637" s="8">
        <v>0</v>
      </c>
      <c r="E2637" s="7">
        <v>0</v>
      </c>
      <c r="F2637" s="8">
        <v>0</v>
      </c>
      <c r="G2637" s="7">
        <v>0</v>
      </c>
      <c r="H2637" s="7">
        <v>81211.819999998</v>
      </c>
      <c r="I2637" s="7">
        <v>0</v>
      </c>
      <c r="J2637" s="8">
        <v>0</v>
      </c>
      <c r="K2637" s="9" t="str">
        <v/>
      </c>
    </row>
    <row r="2638" spans="1:11">
      <c r="A2638" t="str">
        <v/>
      </c>
      <c r="B2638" s="6">
        <v>0</v>
      </c>
      <c r="C2638" s="7" t="str">
        <v>趣点购浦发</v>
      </c>
      <c r="D2638" s="8">
        <v>0</v>
      </c>
      <c r="E2638" s="7">
        <v>0</v>
      </c>
      <c r="F2638" s="8">
        <v>0</v>
      </c>
      <c r="G2638" s="7">
        <v>0</v>
      </c>
      <c r="H2638" s="7">
        <v>81211.819999998</v>
      </c>
      <c r="I2638" s="7">
        <v>0</v>
      </c>
      <c r="J2638" s="8">
        <v>0</v>
      </c>
      <c r="K2638" s="9" t="str">
        <v/>
      </c>
    </row>
    <row r="2639" spans="1:11">
      <c r="A2639" t="str">
        <v/>
      </c>
      <c r="B2639" s="6">
        <v>0</v>
      </c>
      <c r="C2639" s="7" t="str">
        <v>趣点购浦发</v>
      </c>
      <c r="D2639" s="8">
        <v>0</v>
      </c>
      <c r="E2639" s="7">
        <v>0</v>
      </c>
      <c r="F2639" s="8">
        <v>0</v>
      </c>
      <c r="G2639" s="7">
        <v>0</v>
      </c>
      <c r="H2639" s="7">
        <v>81211.819999998</v>
      </c>
      <c r="I2639" s="7">
        <v>0</v>
      </c>
      <c r="J2639" s="8">
        <v>0</v>
      </c>
      <c r="K2639" s="9" t="str">
        <v/>
      </c>
    </row>
    <row r="2640" spans="1:11">
      <c r="A2640" t="str">
        <v/>
      </c>
      <c r="B2640" s="6">
        <v>0</v>
      </c>
      <c r="C2640" s="7" t="str">
        <v>趣点购浦发</v>
      </c>
      <c r="D2640" s="8">
        <v>0</v>
      </c>
      <c r="E2640" s="7">
        <v>0</v>
      </c>
      <c r="F2640" s="8">
        <v>0</v>
      </c>
      <c r="G2640" s="7">
        <v>0</v>
      </c>
      <c r="H2640" s="7">
        <v>81211.819999998</v>
      </c>
      <c r="I2640" s="7">
        <v>0</v>
      </c>
      <c r="J2640" s="8">
        <v>0</v>
      </c>
      <c r="K2640" s="9" t="str">
        <v/>
      </c>
    </row>
    <row r="2641" spans="1:11">
      <c r="A2641" t="str">
        <v/>
      </c>
      <c r="B2641" s="6">
        <v>0</v>
      </c>
      <c r="C2641" s="7" t="str">
        <v>趣点购浦发</v>
      </c>
      <c r="D2641" s="8">
        <v>0</v>
      </c>
      <c r="E2641" s="7">
        <v>0</v>
      </c>
      <c r="F2641" s="8">
        <v>0</v>
      </c>
      <c r="G2641" s="7">
        <v>0</v>
      </c>
      <c r="H2641" s="7">
        <v>81211.819999998</v>
      </c>
      <c r="I2641" s="7">
        <v>0</v>
      </c>
      <c r="J2641" s="8">
        <v>0</v>
      </c>
      <c r="K2641" s="9" t="str">
        <v/>
      </c>
    </row>
    <row r="2642" spans="1:11">
      <c r="A2642" t="str">
        <v/>
      </c>
      <c r="B2642" s="6">
        <v>0</v>
      </c>
      <c r="C2642" s="7" t="str">
        <v>趣点购浦发</v>
      </c>
      <c r="D2642" s="8">
        <v>0</v>
      </c>
      <c r="E2642" s="7">
        <v>0</v>
      </c>
      <c r="F2642" s="8">
        <v>0</v>
      </c>
      <c r="G2642" s="7">
        <v>0</v>
      </c>
      <c r="H2642" s="7">
        <v>81211.819999998</v>
      </c>
      <c r="I2642" s="7">
        <v>0</v>
      </c>
      <c r="J2642" s="8">
        <v>0</v>
      </c>
      <c r="K2642" s="9" t="str">
        <v/>
      </c>
    </row>
    <row r="2643" spans="1:11">
      <c r="A2643" t="str">
        <v/>
      </c>
      <c r="B2643" s="6">
        <v>0</v>
      </c>
      <c r="C2643" s="7" t="str">
        <v>趣点购浦发</v>
      </c>
      <c r="D2643" s="8">
        <v>0</v>
      </c>
      <c r="E2643" s="7">
        <v>0</v>
      </c>
      <c r="F2643" s="8">
        <v>0</v>
      </c>
      <c r="G2643" s="7">
        <v>0</v>
      </c>
      <c r="H2643" s="7">
        <v>81211.819999998</v>
      </c>
      <c r="I2643" s="7">
        <v>0</v>
      </c>
      <c r="J2643" s="8">
        <v>0</v>
      </c>
      <c r="K2643" s="9" t="str">
        <v/>
      </c>
    </row>
    <row r="2644" spans="1:11">
      <c r="A2644" t="str">
        <v/>
      </c>
      <c r="B2644" s="6">
        <v>0</v>
      </c>
      <c r="C2644" s="7" t="str">
        <v>趣点购浦发</v>
      </c>
      <c r="D2644" s="8">
        <v>0</v>
      </c>
      <c r="E2644" s="7">
        <v>0</v>
      </c>
      <c r="F2644" s="8">
        <v>0</v>
      </c>
      <c r="G2644" s="7">
        <v>0</v>
      </c>
      <c r="H2644" s="7">
        <v>81211.819999998</v>
      </c>
      <c r="I2644" s="7">
        <v>0</v>
      </c>
      <c r="J2644" s="8">
        <v>0</v>
      </c>
      <c r="K2644" s="9" t="str">
        <v/>
      </c>
    </row>
    <row r="2645" spans="1:11">
      <c r="A2645" t="str">
        <v/>
      </c>
      <c r="B2645" s="6">
        <v>0</v>
      </c>
      <c r="C2645" s="7" t="str">
        <v>趣点购浦发</v>
      </c>
      <c r="D2645" s="8">
        <v>0</v>
      </c>
      <c r="E2645" s="7">
        <v>0</v>
      </c>
      <c r="F2645" s="8">
        <v>0</v>
      </c>
      <c r="G2645" s="7">
        <v>0</v>
      </c>
      <c r="H2645" s="7">
        <v>81211.819999998</v>
      </c>
      <c r="I2645" s="7">
        <v>0</v>
      </c>
      <c r="J2645" s="8">
        <v>0</v>
      </c>
      <c r="K2645" s="9" t="str">
        <v/>
      </c>
    </row>
    <row r="2646" spans="1:11">
      <c r="A2646" t="str">
        <v/>
      </c>
      <c r="B2646" s="6">
        <v>0</v>
      </c>
      <c r="C2646" s="7" t="str">
        <v>趣点购浦发</v>
      </c>
      <c r="D2646" s="8">
        <v>0</v>
      </c>
      <c r="E2646" s="7">
        <v>0</v>
      </c>
      <c r="F2646" s="8">
        <v>0</v>
      </c>
      <c r="G2646" s="7">
        <v>0</v>
      </c>
      <c r="H2646" s="7">
        <v>81211.819999998</v>
      </c>
      <c r="I2646" s="7">
        <v>0</v>
      </c>
      <c r="J2646" s="8">
        <v>0</v>
      </c>
      <c r="K2646" s="9" t="str">
        <v/>
      </c>
    </row>
    <row r="2647" spans="1:11">
      <c r="A2647" t="str">
        <v/>
      </c>
      <c r="B2647" s="6">
        <v>0</v>
      </c>
      <c r="C2647" s="7" t="str">
        <v>趣点购浦发</v>
      </c>
      <c r="D2647" s="8">
        <v>0</v>
      </c>
      <c r="E2647" s="7">
        <v>0</v>
      </c>
      <c r="F2647" s="8">
        <v>0</v>
      </c>
      <c r="G2647" s="7">
        <v>0</v>
      </c>
      <c r="H2647" s="7">
        <v>81211.819999998</v>
      </c>
      <c r="I2647" s="7">
        <v>0</v>
      </c>
      <c r="J2647" s="8">
        <v>0</v>
      </c>
      <c r="K2647" s="9" t="str">
        <v/>
      </c>
    </row>
    <row r="2648" spans="1:11">
      <c r="A2648" t="str">
        <v/>
      </c>
      <c r="B2648" s="6">
        <v>0</v>
      </c>
      <c r="C2648" s="7" t="str">
        <v>趣点购浦发</v>
      </c>
      <c r="D2648" s="8">
        <v>0</v>
      </c>
      <c r="E2648" s="7">
        <v>0</v>
      </c>
      <c r="F2648" s="8">
        <v>0</v>
      </c>
      <c r="G2648" s="7">
        <v>0</v>
      </c>
      <c r="H2648" s="7">
        <v>81211.819999998</v>
      </c>
      <c r="I2648" s="7">
        <v>0</v>
      </c>
      <c r="J2648" s="8">
        <v>0</v>
      </c>
      <c r="K2648" s="9" t="str">
        <v/>
      </c>
    </row>
    <row r="2649" spans="1:11">
      <c r="A2649" t="str">
        <v/>
      </c>
      <c r="B2649" s="6">
        <v>0</v>
      </c>
      <c r="C2649" s="7" t="str">
        <v>趣点购浦发</v>
      </c>
      <c r="D2649" s="8">
        <v>0</v>
      </c>
      <c r="E2649" s="7">
        <v>0</v>
      </c>
      <c r="F2649" s="8">
        <v>0</v>
      </c>
      <c r="G2649" s="7">
        <v>0</v>
      </c>
      <c r="H2649" s="7">
        <v>81211.819999998</v>
      </c>
      <c r="I2649" s="7">
        <v>0</v>
      </c>
      <c r="J2649" s="8">
        <v>0</v>
      </c>
      <c r="K2649" s="9" t="str">
        <v/>
      </c>
    </row>
    <row r="2650" spans="1:11">
      <c r="A2650" t="str">
        <v/>
      </c>
      <c r="B2650" s="6">
        <v>0</v>
      </c>
      <c r="C2650" s="7" t="str">
        <v>趣点购浦发</v>
      </c>
      <c r="D2650" s="8">
        <v>0</v>
      </c>
      <c r="E2650" s="7">
        <v>0</v>
      </c>
      <c r="F2650" s="8">
        <v>0</v>
      </c>
      <c r="G2650" s="7">
        <v>0</v>
      </c>
      <c r="H2650" s="7">
        <v>81211.819999998</v>
      </c>
      <c r="I2650" s="7">
        <v>0</v>
      </c>
      <c r="J2650" s="8">
        <v>0</v>
      </c>
      <c r="K2650" s="9" t="str">
        <v/>
      </c>
    </row>
    <row r="2651" spans="1:11">
      <c r="A2651" t="str">
        <v/>
      </c>
      <c r="B2651" s="6">
        <v>0</v>
      </c>
      <c r="C2651" s="7" t="str">
        <v>趣点购浦发</v>
      </c>
      <c r="D2651" s="8">
        <v>0</v>
      </c>
      <c r="E2651" s="7">
        <v>0</v>
      </c>
      <c r="F2651" s="8">
        <v>0</v>
      </c>
      <c r="G2651" s="7">
        <v>0</v>
      </c>
      <c r="H2651" s="7">
        <v>81211.819999998</v>
      </c>
      <c r="I2651" s="7">
        <v>0</v>
      </c>
      <c r="J2651" s="8">
        <v>0</v>
      </c>
      <c r="K2651" s="9" t="str">
        <v/>
      </c>
    </row>
    <row r="2652" spans="1:11">
      <c r="A2652" t="str">
        <v/>
      </c>
      <c r="B2652" s="6">
        <v>0</v>
      </c>
      <c r="C2652" s="7" t="str">
        <v>趣点购浦发</v>
      </c>
      <c r="D2652" s="8">
        <v>0</v>
      </c>
      <c r="E2652" s="7">
        <v>0</v>
      </c>
      <c r="F2652" s="8">
        <v>0</v>
      </c>
      <c r="G2652" s="7">
        <v>0</v>
      </c>
      <c r="H2652" s="7">
        <v>81211.819999998</v>
      </c>
      <c r="I2652" s="7">
        <v>0</v>
      </c>
      <c r="J2652" s="8">
        <v>0</v>
      </c>
      <c r="K2652" s="9" t="str">
        <v/>
      </c>
    </row>
    <row r="2653" spans="1:11">
      <c r="A2653" t="str">
        <v/>
      </c>
      <c r="B2653" s="6">
        <v>0</v>
      </c>
      <c r="C2653" s="7" t="str">
        <v>趣点购浦发</v>
      </c>
      <c r="D2653" s="8">
        <v>0</v>
      </c>
      <c r="E2653" s="7">
        <v>0</v>
      </c>
      <c r="F2653" s="8">
        <v>0</v>
      </c>
      <c r="G2653" s="7">
        <v>0</v>
      </c>
      <c r="H2653" s="7">
        <v>81211.819999998</v>
      </c>
      <c r="I2653" s="7">
        <v>0</v>
      </c>
      <c r="J2653" s="8">
        <v>0</v>
      </c>
      <c r="K2653" s="9" t="str">
        <v/>
      </c>
    </row>
    <row r="2654" spans="1:11">
      <c r="A2654" t="str">
        <v/>
      </c>
      <c r="B2654" s="6">
        <v>0</v>
      </c>
      <c r="C2654" s="7" t="str">
        <v>趣点购浦发</v>
      </c>
      <c r="D2654" s="8">
        <v>0</v>
      </c>
      <c r="E2654" s="7">
        <v>0</v>
      </c>
      <c r="F2654" s="8">
        <v>0</v>
      </c>
      <c r="G2654" s="7">
        <v>0</v>
      </c>
      <c r="H2654" s="7">
        <v>81211.819999998</v>
      </c>
      <c r="I2654" s="7">
        <v>0</v>
      </c>
      <c r="J2654" s="8">
        <v>0</v>
      </c>
      <c r="K2654" s="9" t="str">
        <v/>
      </c>
    </row>
    <row r="2655" spans="1:11">
      <c r="A2655" t="str">
        <v/>
      </c>
      <c r="B2655" s="6">
        <v>0</v>
      </c>
      <c r="C2655" s="7" t="str">
        <v>趣点购浦发</v>
      </c>
      <c r="D2655" s="8">
        <v>0</v>
      </c>
      <c r="E2655" s="7">
        <v>0</v>
      </c>
      <c r="F2655" s="8">
        <v>0</v>
      </c>
      <c r="G2655" s="7">
        <v>0</v>
      </c>
      <c r="H2655" s="7">
        <v>81211.819999998</v>
      </c>
      <c r="I2655" s="7">
        <v>0</v>
      </c>
      <c r="J2655" s="8">
        <v>0</v>
      </c>
      <c r="K2655" s="9" t="str">
        <v/>
      </c>
    </row>
    <row r="2656" spans="1:11">
      <c r="A2656" t="str">
        <v/>
      </c>
      <c r="B2656" s="6">
        <v>0</v>
      </c>
      <c r="C2656" s="7" t="str">
        <v>趣点购浦发</v>
      </c>
      <c r="D2656" s="8">
        <v>0</v>
      </c>
      <c r="E2656" s="7">
        <v>0</v>
      </c>
      <c r="F2656" s="8">
        <v>0</v>
      </c>
      <c r="G2656" s="7">
        <v>0</v>
      </c>
      <c r="H2656" s="7">
        <v>81211.819999998</v>
      </c>
      <c r="I2656" s="7">
        <v>0</v>
      </c>
      <c r="J2656" s="8">
        <v>0</v>
      </c>
      <c r="K2656" s="9" t="str">
        <v/>
      </c>
    </row>
    <row r="2657" spans="1:11">
      <c r="A2657" t="str">
        <v/>
      </c>
      <c r="B2657" s="6">
        <v>0</v>
      </c>
      <c r="C2657" s="7" t="str">
        <v>趣点购浦发</v>
      </c>
      <c r="D2657" s="8">
        <v>0</v>
      </c>
      <c r="E2657" s="7">
        <v>0</v>
      </c>
      <c r="F2657" s="8">
        <v>0</v>
      </c>
      <c r="G2657" s="7">
        <v>0</v>
      </c>
      <c r="H2657" s="7">
        <v>81211.819999998</v>
      </c>
      <c r="I2657" s="7">
        <v>0</v>
      </c>
      <c r="J2657" s="8">
        <v>0</v>
      </c>
      <c r="K2657" s="9" t="str">
        <v/>
      </c>
    </row>
    <row r="2658" spans="1:11">
      <c r="A2658" t="str">
        <v/>
      </c>
      <c r="B2658" s="6">
        <v>0</v>
      </c>
      <c r="C2658" s="7" t="str">
        <v>趣点购浦发</v>
      </c>
      <c r="D2658" s="8">
        <v>0</v>
      </c>
      <c r="E2658" s="7">
        <v>0</v>
      </c>
      <c r="F2658" s="8">
        <v>0</v>
      </c>
      <c r="G2658" s="7">
        <v>0</v>
      </c>
      <c r="H2658" s="7">
        <v>81211.819999998</v>
      </c>
      <c r="I2658" s="7">
        <v>0</v>
      </c>
      <c r="J2658" s="8">
        <v>0</v>
      </c>
      <c r="K2658" s="9" t="str">
        <v/>
      </c>
    </row>
    <row r="2659" spans="1:11">
      <c r="A2659" t="str">
        <v/>
      </c>
      <c r="B2659" s="6">
        <v>0</v>
      </c>
      <c r="C2659" s="7" t="str">
        <v>趣点购浦发</v>
      </c>
      <c r="D2659" s="8">
        <v>0</v>
      </c>
      <c r="E2659" s="7">
        <v>0</v>
      </c>
      <c r="F2659" s="8">
        <v>0</v>
      </c>
      <c r="G2659" s="7">
        <v>0</v>
      </c>
      <c r="H2659" s="7">
        <v>81211.819999998</v>
      </c>
      <c r="I2659" s="7">
        <v>0</v>
      </c>
      <c r="J2659" s="8">
        <v>0</v>
      </c>
      <c r="K2659" s="9" t="str">
        <v/>
      </c>
    </row>
    <row r="2660" spans="1:11">
      <c r="A2660" t="str">
        <v/>
      </c>
      <c r="B2660" s="6">
        <v>0</v>
      </c>
      <c r="C2660" s="7" t="str">
        <v>趣点购浦发</v>
      </c>
      <c r="D2660" s="8">
        <v>0</v>
      </c>
      <c r="E2660" s="7">
        <v>0</v>
      </c>
      <c r="F2660" s="8">
        <v>0</v>
      </c>
      <c r="G2660" s="7">
        <v>0</v>
      </c>
      <c r="H2660" s="7">
        <v>81211.819999998</v>
      </c>
      <c r="I2660" s="7">
        <v>0</v>
      </c>
      <c r="J2660" s="8">
        <v>0</v>
      </c>
      <c r="K2660" s="9" t="str">
        <v/>
      </c>
    </row>
    <row r="2661" spans="1:11">
      <c r="A2661" t="str">
        <v/>
      </c>
      <c r="B2661" s="6">
        <v>0</v>
      </c>
      <c r="C2661" s="7" t="str">
        <v>趣点购浦发</v>
      </c>
      <c r="D2661" s="8">
        <v>0</v>
      </c>
      <c r="E2661" s="7">
        <v>0</v>
      </c>
      <c r="F2661" s="8">
        <v>0</v>
      </c>
      <c r="G2661" s="7">
        <v>0</v>
      </c>
      <c r="H2661" s="7">
        <v>81211.819999998</v>
      </c>
      <c r="I2661" s="7">
        <v>0</v>
      </c>
      <c r="J2661" s="8">
        <v>0</v>
      </c>
      <c r="K2661" s="9" t="str">
        <v/>
      </c>
    </row>
    <row r="2662" spans="1:11">
      <c r="A2662" t="str">
        <v/>
      </c>
      <c r="B2662" s="6">
        <v>0</v>
      </c>
      <c r="C2662" s="7" t="str">
        <v>趣点购浦发</v>
      </c>
      <c r="D2662" s="8">
        <v>0</v>
      </c>
      <c r="E2662" s="7">
        <v>0</v>
      </c>
      <c r="F2662" s="8">
        <v>0</v>
      </c>
      <c r="G2662" s="7">
        <v>0</v>
      </c>
      <c r="H2662" s="7">
        <v>81211.819999998</v>
      </c>
      <c r="I2662" s="7">
        <v>0</v>
      </c>
      <c r="J2662" s="8">
        <v>0</v>
      </c>
      <c r="K2662" s="9" t="str">
        <v/>
      </c>
    </row>
    <row r="2663" spans="1:11">
      <c r="A2663" t="str">
        <v/>
      </c>
      <c r="B2663" s="6">
        <v>0</v>
      </c>
      <c r="C2663" s="7" t="str">
        <v>趣点购浦发</v>
      </c>
      <c r="D2663" s="8">
        <v>0</v>
      </c>
      <c r="E2663" s="7">
        <v>0</v>
      </c>
      <c r="F2663" s="8">
        <v>0</v>
      </c>
      <c r="G2663" s="7">
        <v>0</v>
      </c>
      <c r="H2663" s="7">
        <v>81211.819999998</v>
      </c>
      <c r="I2663" s="7">
        <v>0</v>
      </c>
      <c r="J2663" s="8">
        <v>0</v>
      </c>
      <c r="K2663" s="9" t="str">
        <v/>
      </c>
    </row>
    <row r="2664" spans="1:11">
      <c r="A2664" t="str">
        <v/>
      </c>
      <c r="B2664" s="6">
        <v>0</v>
      </c>
      <c r="C2664" s="7" t="str">
        <v>趣点购浦发</v>
      </c>
      <c r="D2664" s="8">
        <v>0</v>
      </c>
      <c r="E2664" s="7">
        <v>0</v>
      </c>
      <c r="F2664" s="8">
        <v>0</v>
      </c>
      <c r="G2664" s="7">
        <v>0</v>
      </c>
      <c r="H2664" s="7">
        <v>81211.819999998</v>
      </c>
      <c r="I2664" s="7">
        <v>0</v>
      </c>
      <c r="J2664" s="8">
        <v>0</v>
      </c>
      <c r="K2664" s="9" t="str">
        <v/>
      </c>
    </row>
    <row r="2665" spans="1:11">
      <c r="A2665" t="str">
        <v/>
      </c>
      <c r="B2665" s="6">
        <v>0</v>
      </c>
      <c r="C2665" s="7" t="str">
        <v>趣点购浦发</v>
      </c>
      <c r="D2665" s="8">
        <v>0</v>
      </c>
      <c r="E2665" s="7">
        <v>0</v>
      </c>
      <c r="F2665" s="8">
        <v>0</v>
      </c>
      <c r="G2665" s="7">
        <v>0</v>
      </c>
      <c r="H2665" s="7">
        <v>81211.819999998</v>
      </c>
      <c r="I2665" s="7">
        <v>0</v>
      </c>
      <c r="J2665" s="8">
        <v>0</v>
      </c>
      <c r="K2665" s="9" t="str">
        <v/>
      </c>
    </row>
    <row r="2666" spans="1:11">
      <c r="A2666" t="str">
        <v/>
      </c>
      <c r="B2666" s="6">
        <v>0</v>
      </c>
      <c r="C2666" s="7" t="str">
        <v>趣点购浦发</v>
      </c>
      <c r="D2666" s="8">
        <v>0</v>
      </c>
      <c r="E2666" s="7">
        <v>0</v>
      </c>
      <c r="F2666" s="8">
        <v>0</v>
      </c>
      <c r="G2666" s="7">
        <v>0</v>
      </c>
      <c r="H2666" s="7">
        <v>81211.819999998</v>
      </c>
      <c r="I2666" s="7">
        <v>0</v>
      </c>
      <c r="J2666" s="8">
        <v>0</v>
      </c>
      <c r="K2666" s="9" t="str">
        <v/>
      </c>
    </row>
    <row r="2667" spans="1:11">
      <c r="A2667" t="str">
        <v/>
      </c>
      <c r="B2667" s="6">
        <v>0</v>
      </c>
      <c r="C2667" s="7" t="str">
        <v>趣点购浦发</v>
      </c>
      <c r="D2667" s="8">
        <v>0</v>
      </c>
      <c r="E2667" s="7">
        <v>0</v>
      </c>
      <c r="F2667" s="8">
        <v>0</v>
      </c>
      <c r="G2667" s="7">
        <v>0</v>
      </c>
      <c r="H2667" s="7">
        <v>81211.819999998</v>
      </c>
      <c r="I2667" s="7">
        <v>0</v>
      </c>
      <c r="J2667" s="8">
        <v>0</v>
      </c>
      <c r="K2667" s="9" t="str">
        <v/>
      </c>
    </row>
    <row r="2668" spans="1:11">
      <c r="A2668" t="str">
        <v/>
      </c>
      <c r="B2668" s="6">
        <v>0</v>
      </c>
      <c r="C2668" s="7" t="str">
        <v>趣点购浦发</v>
      </c>
      <c r="D2668" s="8">
        <v>0</v>
      </c>
      <c r="E2668" s="7">
        <v>0</v>
      </c>
      <c r="F2668" s="8">
        <v>0</v>
      </c>
      <c r="G2668" s="7">
        <v>0</v>
      </c>
      <c r="H2668" s="7">
        <v>81211.819999998</v>
      </c>
      <c r="I2668" s="7">
        <v>0</v>
      </c>
      <c r="J2668" s="8">
        <v>0</v>
      </c>
      <c r="K2668" s="9" t="str">
        <v/>
      </c>
    </row>
    <row r="2669" spans="1:11">
      <c r="A2669" t="str">
        <v/>
      </c>
      <c r="B2669" s="6">
        <v>0</v>
      </c>
      <c r="C2669" s="7" t="str">
        <v>趣点购浦发</v>
      </c>
      <c r="D2669" s="8">
        <v>0</v>
      </c>
      <c r="E2669" s="7">
        <v>0</v>
      </c>
      <c r="F2669" s="8">
        <v>0</v>
      </c>
      <c r="G2669" s="7">
        <v>0</v>
      </c>
      <c r="H2669" s="7">
        <v>81211.819999998</v>
      </c>
      <c r="I2669" s="7">
        <v>0</v>
      </c>
      <c r="J2669" s="8">
        <v>0</v>
      </c>
      <c r="K2669" s="9" t="str">
        <v/>
      </c>
    </row>
    <row r="2670" spans="1:11">
      <c r="A2670" t="str">
        <v/>
      </c>
      <c r="B2670" s="6">
        <v>0</v>
      </c>
      <c r="C2670" s="7" t="str">
        <v>趣点购浦发</v>
      </c>
      <c r="D2670" s="8">
        <v>0</v>
      </c>
      <c r="E2670" s="7">
        <v>0</v>
      </c>
      <c r="F2670" s="8">
        <v>0</v>
      </c>
      <c r="G2670" s="7">
        <v>0</v>
      </c>
      <c r="H2670" s="7">
        <v>81211.819999998</v>
      </c>
      <c r="I2670" s="7">
        <v>0</v>
      </c>
      <c r="J2670" s="8">
        <v>0</v>
      </c>
      <c r="K2670" s="9" t="str">
        <v/>
      </c>
    </row>
    <row r="2671" spans="1:11">
      <c r="A2671" t="str">
        <v/>
      </c>
      <c r="B2671" s="6">
        <v>0</v>
      </c>
      <c r="C2671" s="7" t="str">
        <v>趣点购浦发</v>
      </c>
      <c r="D2671" s="8">
        <v>0</v>
      </c>
      <c r="E2671" s="7">
        <v>0</v>
      </c>
      <c r="F2671" s="8">
        <v>0</v>
      </c>
      <c r="G2671" s="7">
        <v>0</v>
      </c>
      <c r="H2671" s="7">
        <v>81211.819999998</v>
      </c>
      <c r="I2671" s="7">
        <v>0</v>
      </c>
      <c r="J2671" s="8">
        <v>0</v>
      </c>
      <c r="K2671" s="9" t="str">
        <v/>
      </c>
    </row>
    <row r="2672" spans="1:11">
      <c r="A2672" t="str">
        <v/>
      </c>
      <c r="B2672" s="6">
        <v>0</v>
      </c>
      <c r="C2672" s="7" t="str">
        <v>趣点购浦发</v>
      </c>
      <c r="D2672" s="8">
        <v>0</v>
      </c>
      <c r="E2672" s="7">
        <v>0</v>
      </c>
      <c r="F2672" s="8">
        <v>0</v>
      </c>
      <c r="G2672" s="7">
        <v>0</v>
      </c>
      <c r="H2672" s="7">
        <v>81211.819999998</v>
      </c>
      <c r="I2672" s="7">
        <v>0</v>
      </c>
      <c r="J2672" s="8">
        <v>0</v>
      </c>
      <c r="K2672" s="9" t="str">
        <v/>
      </c>
    </row>
    <row r="2673" spans="1:11">
      <c r="A2673" t="str">
        <v/>
      </c>
      <c r="B2673" s="6">
        <v>0</v>
      </c>
      <c r="C2673" s="7" t="str">
        <v>趣点购浦发</v>
      </c>
      <c r="D2673" s="8">
        <v>0</v>
      </c>
      <c r="E2673" s="7">
        <v>0</v>
      </c>
      <c r="F2673" s="8">
        <v>0</v>
      </c>
      <c r="G2673" s="7">
        <v>0</v>
      </c>
      <c r="H2673" s="7">
        <v>81211.819999998</v>
      </c>
      <c r="I2673" s="7">
        <v>0</v>
      </c>
      <c r="J2673" s="8">
        <v>0</v>
      </c>
      <c r="K2673" s="9" t="str">
        <v/>
      </c>
    </row>
    <row r="2674" spans="1:11">
      <c r="A2674" t="str">
        <v/>
      </c>
      <c r="B2674" s="6">
        <v>0</v>
      </c>
      <c r="C2674" s="7" t="str">
        <v>趣点购浦发</v>
      </c>
      <c r="D2674" s="8">
        <v>0</v>
      </c>
      <c r="E2674" s="7">
        <v>0</v>
      </c>
      <c r="F2674" s="8">
        <v>0</v>
      </c>
      <c r="G2674" s="7">
        <v>0</v>
      </c>
      <c r="H2674" s="7">
        <v>81211.819999998</v>
      </c>
      <c r="I2674" s="7">
        <v>0</v>
      </c>
      <c r="J2674" s="8">
        <v>0</v>
      </c>
      <c r="K2674" s="9" t="str">
        <v/>
      </c>
    </row>
    <row r="2675" spans="1:11">
      <c r="A2675" t="str">
        <v/>
      </c>
      <c r="B2675" s="6">
        <v>0</v>
      </c>
      <c r="C2675" s="7" t="str">
        <v>趣点购浦发</v>
      </c>
      <c r="D2675" s="8">
        <v>0</v>
      </c>
      <c r="E2675" s="7">
        <v>0</v>
      </c>
      <c r="F2675" s="8">
        <v>0</v>
      </c>
      <c r="G2675" s="7">
        <v>0</v>
      </c>
      <c r="H2675" s="7">
        <v>81211.819999998</v>
      </c>
      <c r="I2675" s="7">
        <v>0</v>
      </c>
      <c r="J2675" s="8">
        <v>0</v>
      </c>
      <c r="K2675" s="9" t="str">
        <v/>
      </c>
    </row>
    <row r="2676" spans="1:11">
      <c r="A2676" t="str">
        <v/>
      </c>
      <c r="B2676" s="6">
        <v>0</v>
      </c>
      <c r="C2676" s="7" t="str">
        <v>趣点购浦发</v>
      </c>
      <c r="D2676" s="8">
        <v>0</v>
      </c>
      <c r="E2676" s="7">
        <v>0</v>
      </c>
      <c r="F2676" s="8">
        <v>0</v>
      </c>
      <c r="G2676" s="7">
        <v>0</v>
      </c>
      <c r="H2676" s="7">
        <v>81211.819999998</v>
      </c>
      <c r="I2676" s="7">
        <v>0</v>
      </c>
      <c r="J2676" s="8">
        <v>0</v>
      </c>
      <c r="K2676" s="9" t="str">
        <v/>
      </c>
    </row>
    <row r="2677" spans="1:11">
      <c r="A2677" t="str">
        <v/>
      </c>
      <c r="B2677" s="6">
        <v>0</v>
      </c>
      <c r="C2677" s="7" t="str">
        <v>趣点购浦发</v>
      </c>
      <c r="D2677" s="8">
        <v>0</v>
      </c>
      <c r="E2677" s="7">
        <v>0</v>
      </c>
      <c r="F2677" s="8">
        <v>0</v>
      </c>
      <c r="G2677" s="7">
        <v>0</v>
      </c>
      <c r="H2677" s="7">
        <v>81211.819999998</v>
      </c>
      <c r="I2677" s="7">
        <v>0</v>
      </c>
      <c r="J2677" s="8">
        <v>0</v>
      </c>
      <c r="K2677" s="9" t="str">
        <v/>
      </c>
    </row>
    <row r="2678" spans="1:11">
      <c r="A2678" t="str">
        <v/>
      </c>
      <c r="B2678" s="6">
        <v>0</v>
      </c>
      <c r="C2678" s="7" t="str">
        <v>趣点购浦发</v>
      </c>
      <c r="D2678" s="8">
        <v>0</v>
      </c>
      <c r="E2678" s="7">
        <v>0</v>
      </c>
      <c r="F2678" s="8">
        <v>0</v>
      </c>
      <c r="G2678" s="7">
        <v>0</v>
      </c>
      <c r="H2678" s="7">
        <v>81211.819999998</v>
      </c>
      <c r="I2678" s="7">
        <v>0</v>
      </c>
      <c r="J2678" s="8">
        <v>0</v>
      </c>
      <c r="K2678" s="9" t="str">
        <v/>
      </c>
    </row>
    <row r="2679" spans="1:11">
      <c r="A2679" t="str">
        <v/>
      </c>
      <c r="B2679" s="6">
        <v>0</v>
      </c>
      <c r="C2679" s="7" t="str">
        <v>趣点购浦发</v>
      </c>
      <c r="D2679" s="8">
        <v>0</v>
      </c>
      <c r="E2679" s="7">
        <v>0</v>
      </c>
      <c r="F2679" s="8">
        <v>0</v>
      </c>
      <c r="G2679" s="7">
        <v>0</v>
      </c>
      <c r="H2679" s="7">
        <v>81211.819999998</v>
      </c>
      <c r="I2679" s="7">
        <v>0</v>
      </c>
      <c r="J2679" s="8">
        <v>0</v>
      </c>
      <c r="K2679" s="9" t="str">
        <v/>
      </c>
    </row>
    <row r="2680" spans="1:11">
      <c r="A2680" t="str">
        <v/>
      </c>
      <c r="B2680" s="6">
        <v>0</v>
      </c>
      <c r="C2680" s="7" t="str">
        <v>趣点购浦发</v>
      </c>
      <c r="D2680" s="8">
        <v>0</v>
      </c>
      <c r="E2680" s="7">
        <v>0</v>
      </c>
      <c r="F2680" s="8">
        <v>0</v>
      </c>
      <c r="G2680" s="7">
        <v>0</v>
      </c>
      <c r="H2680" s="7">
        <v>81211.819999998</v>
      </c>
      <c r="I2680" s="7">
        <v>0</v>
      </c>
      <c r="J2680" s="8">
        <v>0</v>
      </c>
      <c r="K2680" s="9" t="str">
        <v/>
      </c>
    </row>
    <row r="2681" spans="1:11">
      <c r="A2681" t="str">
        <v/>
      </c>
      <c r="B2681" s="6">
        <v>0</v>
      </c>
      <c r="C2681" s="7" t="str">
        <v>趣点购浦发</v>
      </c>
      <c r="D2681" s="8">
        <v>0</v>
      </c>
      <c r="E2681" s="7">
        <v>0</v>
      </c>
      <c r="F2681" s="8">
        <v>0</v>
      </c>
      <c r="G2681" s="7">
        <v>0</v>
      </c>
      <c r="H2681" s="7">
        <v>81211.819999998</v>
      </c>
      <c r="I2681" s="7">
        <v>0</v>
      </c>
      <c r="J2681" s="8">
        <v>0</v>
      </c>
      <c r="K2681" s="9" t="str">
        <v/>
      </c>
    </row>
    <row r="2682" spans="1:11">
      <c r="A2682" t="str">
        <v/>
      </c>
      <c r="B2682" s="6">
        <v>0</v>
      </c>
      <c r="C2682" s="7" t="str">
        <v>趣点购浦发</v>
      </c>
      <c r="D2682" s="8">
        <v>0</v>
      </c>
      <c r="E2682" s="7">
        <v>0</v>
      </c>
      <c r="F2682" s="8">
        <v>0</v>
      </c>
      <c r="G2682" s="7">
        <v>0</v>
      </c>
      <c r="H2682" s="7">
        <v>81211.819999998</v>
      </c>
      <c r="I2682" s="7">
        <v>0</v>
      </c>
      <c r="J2682" s="8">
        <v>0</v>
      </c>
      <c r="K2682" s="9" t="str">
        <v/>
      </c>
    </row>
    <row r="2683" spans="1:11">
      <c r="A2683" t="str">
        <v/>
      </c>
      <c r="B2683" s="6">
        <v>0</v>
      </c>
      <c r="C2683" s="7" t="str">
        <v>趣点购浦发</v>
      </c>
      <c r="D2683" s="8">
        <v>0</v>
      </c>
      <c r="E2683" s="7">
        <v>0</v>
      </c>
      <c r="F2683" s="8">
        <v>0</v>
      </c>
      <c r="G2683" s="7">
        <v>0</v>
      </c>
      <c r="H2683" s="7">
        <v>81211.819999998</v>
      </c>
      <c r="I2683" s="7">
        <v>0</v>
      </c>
      <c r="J2683" s="8">
        <v>0</v>
      </c>
      <c r="K2683" s="9" t="str">
        <v/>
      </c>
    </row>
    <row r="2684" spans="1:11">
      <c r="A2684" t="str">
        <v/>
      </c>
      <c r="B2684" s="6">
        <v>0</v>
      </c>
      <c r="C2684" s="7" t="str">
        <v>趣点购浦发</v>
      </c>
      <c r="D2684" s="8">
        <v>0</v>
      </c>
      <c r="E2684" s="7">
        <v>0</v>
      </c>
      <c r="F2684" s="8">
        <v>0</v>
      </c>
      <c r="G2684" s="7">
        <v>0</v>
      </c>
      <c r="H2684" s="7">
        <v>81211.819999998</v>
      </c>
      <c r="I2684" s="7">
        <v>0</v>
      </c>
      <c r="J2684" s="8">
        <v>0</v>
      </c>
      <c r="K2684" s="9" t="str">
        <v/>
      </c>
    </row>
    <row r="2685" spans="1:11">
      <c r="A2685" t="str">
        <v/>
      </c>
      <c r="B2685" s="6">
        <v>0</v>
      </c>
      <c r="C2685" s="7" t="str">
        <v>趣点购浦发</v>
      </c>
      <c r="D2685" s="8">
        <v>0</v>
      </c>
      <c r="E2685" s="7">
        <v>0</v>
      </c>
      <c r="F2685" s="8">
        <v>0</v>
      </c>
      <c r="G2685" s="7">
        <v>0</v>
      </c>
      <c r="H2685" s="7">
        <v>81211.819999998</v>
      </c>
      <c r="I2685" s="7">
        <v>0</v>
      </c>
      <c r="J2685" s="8">
        <v>0</v>
      </c>
      <c r="K2685" s="9" t="str">
        <v/>
      </c>
    </row>
    <row r="2686" spans="1:11">
      <c r="A2686" t="str">
        <v/>
      </c>
      <c r="B2686" s="6">
        <v>0</v>
      </c>
      <c r="C2686" s="7" t="str">
        <v>趣点购浦发</v>
      </c>
      <c r="D2686" s="8">
        <v>0</v>
      </c>
      <c r="E2686" s="7">
        <v>0</v>
      </c>
      <c r="F2686" s="8">
        <v>0</v>
      </c>
      <c r="G2686" s="7">
        <v>0</v>
      </c>
      <c r="H2686" s="7">
        <v>81211.819999998</v>
      </c>
      <c r="I2686" s="7">
        <v>0</v>
      </c>
      <c r="J2686" s="8">
        <v>0</v>
      </c>
      <c r="K2686" s="9" t="str">
        <v/>
      </c>
    </row>
    <row r="2687" spans="1:11">
      <c r="A2687" t="str">
        <v/>
      </c>
      <c r="B2687" s="6">
        <v>0</v>
      </c>
      <c r="C2687" s="7" t="str">
        <v>趣点购浦发</v>
      </c>
      <c r="D2687" s="8">
        <v>0</v>
      </c>
      <c r="E2687" s="7">
        <v>0</v>
      </c>
      <c r="F2687" s="8">
        <v>0</v>
      </c>
      <c r="G2687" s="7">
        <v>0</v>
      </c>
      <c r="H2687" s="7">
        <v>81211.819999998</v>
      </c>
      <c r="I2687" s="7">
        <v>0</v>
      </c>
      <c r="J2687" s="8">
        <v>0</v>
      </c>
      <c r="K2687" s="9" t="str">
        <v/>
      </c>
    </row>
    <row r="2688" spans="1:11">
      <c r="A2688" t="str">
        <v/>
      </c>
      <c r="B2688" s="6">
        <v>0</v>
      </c>
      <c r="C2688" s="7" t="str">
        <v>趣点购浦发</v>
      </c>
      <c r="D2688" s="8">
        <v>0</v>
      </c>
      <c r="E2688" s="7">
        <v>0</v>
      </c>
      <c r="F2688" s="8">
        <v>0</v>
      </c>
      <c r="G2688" s="7">
        <v>0</v>
      </c>
      <c r="H2688" s="7">
        <v>81211.819999998</v>
      </c>
      <c r="I2688" s="7">
        <v>0</v>
      </c>
      <c r="J2688" s="8">
        <v>0</v>
      </c>
      <c r="K2688" s="9" t="str">
        <v/>
      </c>
    </row>
    <row r="2689" spans="1:11">
      <c r="A2689" t="str">
        <v/>
      </c>
      <c r="B2689" s="6">
        <v>0</v>
      </c>
      <c r="C2689" s="7" t="str">
        <v>趣点购浦发</v>
      </c>
      <c r="D2689" s="8">
        <v>0</v>
      </c>
      <c r="E2689" s="7">
        <v>0</v>
      </c>
      <c r="F2689" s="8">
        <v>0</v>
      </c>
      <c r="G2689" s="7">
        <v>0</v>
      </c>
      <c r="H2689" s="7">
        <v>81211.819999998</v>
      </c>
      <c r="I2689" s="7">
        <v>0</v>
      </c>
      <c r="J2689" s="8">
        <v>0</v>
      </c>
      <c r="K2689" s="9" t="str">
        <v/>
      </c>
    </row>
    <row r="2690" spans="1:11">
      <c r="A2690" t="str">
        <v/>
      </c>
      <c r="B2690" s="6">
        <v>0</v>
      </c>
      <c r="C2690" s="7" t="str">
        <v>趣点购浦发</v>
      </c>
      <c r="D2690" s="8">
        <v>0</v>
      </c>
      <c r="E2690" s="7">
        <v>0</v>
      </c>
      <c r="F2690" s="8">
        <v>0</v>
      </c>
      <c r="G2690" s="7">
        <v>0</v>
      </c>
      <c r="H2690" s="7">
        <v>81211.819999998</v>
      </c>
      <c r="I2690" s="7">
        <v>0</v>
      </c>
      <c r="J2690" s="8">
        <v>0</v>
      </c>
      <c r="K2690" s="9" t="str">
        <v/>
      </c>
    </row>
    <row r="2691" spans="1:11">
      <c r="A2691" t="str">
        <v/>
      </c>
      <c r="B2691" s="6">
        <v>0</v>
      </c>
      <c r="C2691" s="7" t="str">
        <v>趣点购浦发</v>
      </c>
      <c r="D2691" s="8">
        <v>0</v>
      </c>
      <c r="E2691" s="7">
        <v>0</v>
      </c>
      <c r="F2691" s="8">
        <v>0</v>
      </c>
      <c r="G2691" s="7">
        <v>0</v>
      </c>
      <c r="H2691" s="7">
        <v>81211.819999998</v>
      </c>
      <c r="I2691" s="7">
        <v>0</v>
      </c>
      <c r="J2691" s="8">
        <v>0</v>
      </c>
      <c r="K2691" s="9" t="str">
        <v/>
      </c>
    </row>
    <row r="2692" spans="1:11">
      <c r="A2692" t="str">
        <v/>
      </c>
      <c r="B2692" s="6">
        <v>0</v>
      </c>
      <c r="C2692" s="7" t="str">
        <v>趣点购浦发</v>
      </c>
      <c r="D2692" s="8">
        <v>0</v>
      </c>
      <c r="E2692" s="7">
        <v>0</v>
      </c>
      <c r="F2692" s="8">
        <v>0</v>
      </c>
      <c r="G2692" s="7">
        <v>0</v>
      </c>
      <c r="H2692" s="7">
        <v>81211.819999998</v>
      </c>
      <c r="I2692" s="7">
        <v>0</v>
      </c>
      <c r="J2692" s="8">
        <v>0</v>
      </c>
      <c r="K2692" s="9" t="str">
        <v/>
      </c>
    </row>
    <row r="2693" spans="1:11">
      <c r="A2693" t="str">
        <v/>
      </c>
      <c r="B2693" s="6">
        <v>0</v>
      </c>
      <c r="C2693" s="7" t="str">
        <v>趣点购浦发</v>
      </c>
      <c r="D2693" s="8">
        <v>0</v>
      </c>
      <c r="E2693" s="7">
        <v>0</v>
      </c>
      <c r="F2693" s="8">
        <v>0</v>
      </c>
      <c r="G2693" s="7">
        <v>0</v>
      </c>
      <c r="H2693" s="7">
        <v>81211.819999998</v>
      </c>
      <c r="I2693" s="7">
        <v>0</v>
      </c>
      <c r="J2693" s="8">
        <v>0</v>
      </c>
      <c r="K2693" s="9" t="str">
        <v/>
      </c>
    </row>
    <row r="2694" spans="1:11">
      <c r="A2694" t="str">
        <v/>
      </c>
      <c r="B2694" s="6">
        <v>0</v>
      </c>
      <c r="C2694" s="7" t="str">
        <v>趣点购浦发</v>
      </c>
      <c r="D2694" s="8">
        <v>0</v>
      </c>
      <c r="E2694" s="7">
        <v>0</v>
      </c>
      <c r="F2694" s="8">
        <v>0</v>
      </c>
      <c r="G2694" s="7">
        <v>0</v>
      </c>
      <c r="H2694" s="7">
        <v>81211.819999998</v>
      </c>
      <c r="I2694" s="7">
        <v>0</v>
      </c>
      <c r="J2694" s="8">
        <v>0</v>
      </c>
      <c r="K2694" s="9" t="str">
        <v/>
      </c>
    </row>
    <row r="2695" spans="1:11">
      <c r="A2695" t="str">
        <v/>
      </c>
      <c r="B2695" s="6">
        <v>0</v>
      </c>
      <c r="C2695" s="7" t="str">
        <v>趣点购浦发</v>
      </c>
      <c r="D2695" s="8">
        <v>0</v>
      </c>
      <c r="E2695" s="7">
        <v>0</v>
      </c>
      <c r="F2695" s="8">
        <v>0</v>
      </c>
      <c r="G2695" s="7">
        <v>0</v>
      </c>
      <c r="H2695" s="7">
        <v>81211.819999998</v>
      </c>
      <c r="I2695" s="7">
        <v>0</v>
      </c>
      <c r="J2695" s="8">
        <v>0</v>
      </c>
      <c r="K2695" s="9" t="str">
        <v/>
      </c>
    </row>
    <row r="2696" spans="1:11">
      <c r="A2696" t="str">
        <v/>
      </c>
      <c r="B2696" s="6">
        <v>0</v>
      </c>
      <c r="C2696" s="7" t="str">
        <v>趣点购浦发</v>
      </c>
      <c r="D2696" s="8">
        <v>0</v>
      </c>
      <c r="E2696" s="7">
        <v>0</v>
      </c>
      <c r="F2696" s="8">
        <v>0</v>
      </c>
      <c r="G2696" s="7">
        <v>0</v>
      </c>
      <c r="H2696" s="7">
        <v>81211.819999998</v>
      </c>
      <c r="I2696" s="7">
        <v>0</v>
      </c>
      <c r="J2696" s="8">
        <v>0</v>
      </c>
      <c r="K2696" s="9" t="str">
        <v/>
      </c>
    </row>
    <row r="2697" spans="1:11">
      <c r="A2697" t="str">
        <v/>
      </c>
      <c r="B2697" s="6">
        <v>0</v>
      </c>
      <c r="C2697" s="7" t="str">
        <v>趣点购浦发</v>
      </c>
      <c r="D2697" s="8">
        <v>0</v>
      </c>
      <c r="E2697" s="7">
        <v>0</v>
      </c>
      <c r="F2697" s="8">
        <v>0</v>
      </c>
      <c r="G2697" s="7">
        <v>0</v>
      </c>
      <c r="H2697" s="7">
        <v>81211.819999998</v>
      </c>
      <c r="I2697" s="7">
        <v>0</v>
      </c>
      <c r="J2697" s="8">
        <v>0</v>
      </c>
      <c r="K2697" s="9" t="str">
        <v/>
      </c>
    </row>
    <row r="2698" spans="1:11">
      <c r="A2698" t="str">
        <v/>
      </c>
      <c r="B2698" s="6">
        <v>0</v>
      </c>
      <c r="C2698" s="7" t="str">
        <v>趣点购浦发</v>
      </c>
      <c r="D2698" s="8">
        <v>0</v>
      </c>
      <c r="E2698" s="7">
        <v>0</v>
      </c>
      <c r="F2698" s="8">
        <v>0</v>
      </c>
      <c r="G2698" s="7">
        <v>0</v>
      </c>
      <c r="H2698" s="7">
        <v>81211.819999998</v>
      </c>
      <c r="I2698" s="7">
        <v>0</v>
      </c>
      <c r="J2698" s="8">
        <v>0</v>
      </c>
      <c r="K2698" s="9" t="str">
        <v/>
      </c>
    </row>
    <row r="2699" spans="1:11">
      <c r="A2699" t="str">
        <v/>
      </c>
      <c r="B2699" s="6">
        <v>0</v>
      </c>
      <c r="C2699" s="7" t="str">
        <v>趣点购浦发</v>
      </c>
      <c r="D2699" s="8">
        <v>0</v>
      </c>
      <c r="E2699" s="7">
        <v>0</v>
      </c>
      <c r="F2699" s="8">
        <v>0</v>
      </c>
      <c r="G2699" s="7">
        <v>0</v>
      </c>
      <c r="H2699" s="7">
        <v>81211.819999998</v>
      </c>
      <c r="I2699" s="7">
        <v>0</v>
      </c>
      <c r="J2699" s="8">
        <v>0</v>
      </c>
      <c r="K2699" s="9" t="str">
        <v/>
      </c>
    </row>
    <row r="2700" spans="1:11">
      <c r="A2700" t="str">
        <v/>
      </c>
      <c r="B2700" s="6">
        <v>0</v>
      </c>
      <c r="C2700" s="7" t="str">
        <v>趣点购浦发</v>
      </c>
      <c r="D2700" s="8">
        <v>0</v>
      </c>
      <c r="E2700" s="7">
        <v>0</v>
      </c>
      <c r="F2700" s="8">
        <v>0</v>
      </c>
      <c r="G2700" s="7">
        <v>0</v>
      </c>
      <c r="H2700" s="7">
        <v>81211.819999998</v>
      </c>
      <c r="I2700" s="7">
        <v>0</v>
      </c>
      <c r="J2700" s="8">
        <v>0</v>
      </c>
      <c r="K2700" s="9" t="str">
        <v/>
      </c>
    </row>
    <row r="2701" spans="1:11">
      <c r="A2701" t="str">
        <v/>
      </c>
      <c r="B2701" s="6">
        <v>0</v>
      </c>
      <c r="C2701" s="7" t="str">
        <v>趣点购浦发</v>
      </c>
      <c r="D2701" s="8">
        <v>0</v>
      </c>
      <c r="E2701" s="7">
        <v>0</v>
      </c>
      <c r="F2701" s="8">
        <v>0</v>
      </c>
      <c r="G2701" s="7">
        <v>0</v>
      </c>
      <c r="H2701" s="7">
        <v>81211.819999998</v>
      </c>
      <c r="I2701" s="7">
        <v>0</v>
      </c>
      <c r="J2701" s="8">
        <v>0</v>
      </c>
      <c r="K2701" s="9" t="str">
        <v/>
      </c>
    </row>
    <row r="2702" spans="1:11">
      <c r="A2702" t="str">
        <v/>
      </c>
      <c r="B2702" s="6">
        <v>0</v>
      </c>
      <c r="C2702" s="7" t="str">
        <v>趣点购浦发</v>
      </c>
      <c r="D2702" s="8">
        <v>0</v>
      </c>
      <c r="E2702" s="7">
        <v>0</v>
      </c>
      <c r="F2702" s="8">
        <v>0</v>
      </c>
      <c r="G2702" s="7">
        <v>0</v>
      </c>
      <c r="H2702" s="7">
        <v>81211.819999998</v>
      </c>
      <c r="I2702" s="7">
        <v>0</v>
      </c>
      <c r="J2702" s="8">
        <v>0</v>
      </c>
      <c r="K2702" s="9" t="str">
        <v/>
      </c>
    </row>
    <row r="2703" spans="1:11">
      <c r="A2703" t="str">
        <v/>
      </c>
      <c r="B2703" s="6">
        <v>0</v>
      </c>
      <c r="C2703" s="7" t="str">
        <v>趣点购浦发</v>
      </c>
      <c r="D2703" s="8">
        <v>0</v>
      </c>
      <c r="E2703" s="7">
        <v>0</v>
      </c>
      <c r="F2703" s="8">
        <v>0</v>
      </c>
      <c r="G2703" s="7">
        <v>0</v>
      </c>
      <c r="H2703" s="7">
        <v>81211.819999998</v>
      </c>
      <c r="I2703" s="7">
        <v>0</v>
      </c>
      <c r="J2703" s="8">
        <v>0</v>
      </c>
      <c r="K2703" s="9" t="str">
        <v/>
      </c>
    </row>
    <row r="2704" spans="1:11">
      <c r="A2704" t="str">
        <v/>
      </c>
      <c r="B2704" s="6">
        <v>0</v>
      </c>
      <c r="C2704" s="7" t="str">
        <v>趣点购浦发</v>
      </c>
      <c r="D2704" s="8">
        <v>0</v>
      </c>
      <c r="E2704" s="7">
        <v>0</v>
      </c>
      <c r="F2704" s="8">
        <v>0</v>
      </c>
      <c r="G2704" s="7">
        <v>0</v>
      </c>
      <c r="H2704" s="7">
        <v>81211.819999998</v>
      </c>
      <c r="I2704" s="7">
        <v>0</v>
      </c>
      <c r="J2704" s="8">
        <v>0</v>
      </c>
      <c r="K2704" s="9" t="str">
        <v/>
      </c>
    </row>
    <row r="2705" spans="1:11">
      <c r="A2705" t="str">
        <v/>
      </c>
      <c r="B2705" s="6">
        <v>0</v>
      </c>
      <c r="C2705" s="7" t="str">
        <v>趣点购浦发</v>
      </c>
      <c r="D2705" s="8">
        <v>0</v>
      </c>
      <c r="E2705" s="7">
        <v>0</v>
      </c>
      <c r="F2705" s="8">
        <v>0</v>
      </c>
      <c r="G2705" s="7">
        <v>0</v>
      </c>
      <c r="H2705" s="7">
        <v>81211.819999998</v>
      </c>
      <c r="I2705" s="7">
        <v>0</v>
      </c>
      <c r="J2705" s="8">
        <v>0</v>
      </c>
      <c r="K2705" s="9" t="str">
        <v/>
      </c>
    </row>
    <row r="2706" spans="1:11">
      <c r="A2706" t="str">
        <v/>
      </c>
      <c r="B2706" s="6">
        <v>0</v>
      </c>
      <c r="C2706" s="7" t="str">
        <v>趣点购浦发</v>
      </c>
      <c r="D2706" s="8">
        <v>0</v>
      </c>
      <c r="E2706" s="7">
        <v>0</v>
      </c>
      <c r="F2706" s="8">
        <v>0</v>
      </c>
      <c r="G2706" s="7">
        <v>0</v>
      </c>
      <c r="H2706" s="7">
        <v>81211.819999998</v>
      </c>
      <c r="I2706" s="7">
        <v>0</v>
      </c>
      <c r="J2706" s="8">
        <v>0</v>
      </c>
      <c r="K2706" s="9" t="str">
        <v/>
      </c>
    </row>
    <row r="2707" spans="1:11">
      <c r="A2707" t="str">
        <v/>
      </c>
      <c r="B2707" s="6">
        <v>0</v>
      </c>
      <c r="C2707" s="7" t="str">
        <v>趣点购浦发</v>
      </c>
      <c r="D2707" s="8">
        <v>0</v>
      </c>
      <c r="E2707" s="7">
        <v>0</v>
      </c>
      <c r="F2707" s="8">
        <v>0</v>
      </c>
      <c r="G2707" s="7">
        <v>0</v>
      </c>
      <c r="H2707" s="7">
        <v>81211.819999998</v>
      </c>
      <c r="I2707" s="7">
        <v>0</v>
      </c>
      <c r="J2707" s="8">
        <v>0</v>
      </c>
      <c r="K2707" s="9" t="str">
        <v/>
      </c>
    </row>
    <row r="2708" spans="1:11">
      <c r="A2708" t="str">
        <v/>
      </c>
      <c r="B2708" s="6">
        <v>0</v>
      </c>
      <c r="C2708" s="7" t="str">
        <v>趣点购浦发</v>
      </c>
      <c r="D2708" s="8">
        <v>0</v>
      </c>
      <c r="E2708" s="7">
        <v>0</v>
      </c>
      <c r="F2708" s="8">
        <v>0</v>
      </c>
      <c r="G2708" s="7">
        <v>0</v>
      </c>
      <c r="H2708" s="7">
        <v>81211.819999998</v>
      </c>
      <c r="I2708" s="7">
        <v>0</v>
      </c>
      <c r="J2708" s="8">
        <v>0</v>
      </c>
      <c r="K2708" s="9" t="str">
        <v/>
      </c>
    </row>
    <row r="2709" spans="1:11">
      <c r="A2709" t="str">
        <v/>
      </c>
      <c r="B2709" s="6">
        <v>0</v>
      </c>
      <c r="C2709" s="7" t="str">
        <v>趣点购浦发</v>
      </c>
      <c r="D2709" s="8">
        <v>0</v>
      </c>
      <c r="E2709" s="7">
        <v>0</v>
      </c>
      <c r="F2709" s="8">
        <v>0</v>
      </c>
      <c r="G2709" s="7">
        <v>0</v>
      </c>
      <c r="H2709" s="7">
        <v>81211.819999998</v>
      </c>
      <c r="I2709" s="7">
        <v>0</v>
      </c>
      <c r="J2709" s="8">
        <v>0</v>
      </c>
      <c r="K2709" s="9" t="str">
        <v/>
      </c>
    </row>
    <row r="2710" spans="1:11">
      <c r="A2710" t="str">
        <v/>
      </c>
      <c r="B2710" s="6">
        <v>0</v>
      </c>
      <c r="C2710" s="7" t="str">
        <v>趣点购浦发</v>
      </c>
      <c r="D2710" s="8">
        <v>0</v>
      </c>
      <c r="E2710" s="7">
        <v>0</v>
      </c>
      <c r="F2710" s="8">
        <v>0</v>
      </c>
      <c r="G2710" s="7">
        <v>0</v>
      </c>
      <c r="H2710" s="7">
        <v>81211.819999998</v>
      </c>
      <c r="I2710" s="7">
        <v>0</v>
      </c>
      <c r="J2710" s="8">
        <v>0</v>
      </c>
      <c r="K2710" s="9" t="str">
        <v/>
      </c>
    </row>
    <row r="2711" spans="1:11">
      <c r="A2711" t="str">
        <v/>
      </c>
      <c r="B2711" s="6">
        <v>0</v>
      </c>
      <c r="C2711" s="7" t="str">
        <v>趣点购浦发</v>
      </c>
      <c r="D2711" s="8">
        <v>0</v>
      </c>
      <c r="E2711" s="7">
        <v>0</v>
      </c>
      <c r="F2711" s="8">
        <v>0</v>
      </c>
      <c r="G2711" s="7">
        <v>0</v>
      </c>
      <c r="H2711" s="7">
        <v>81211.819999998</v>
      </c>
      <c r="I2711" s="7">
        <v>0</v>
      </c>
      <c r="J2711" s="8">
        <v>0</v>
      </c>
      <c r="K2711" s="9" t="str">
        <v/>
      </c>
    </row>
    <row r="2712" spans="1:11">
      <c r="A2712" t="str">
        <v/>
      </c>
      <c r="B2712" s="6">
        <v>0</v>
      </c>
      <c r="C2712" s="7" t="str">
        <v>趣点购浦发</v>
      </c>
      <c r="D2712" s="8">
        <v>0</v>
      </c>
      <c r="E2712" s="7">
        <v>0</v>
      </c>
      <c r="F2712" s="8">
        <v>0</v>
      </c>
      <c r="G2712" s="7">
        <v>0</v>
      </c>
      <c r="H2712" s="7">
        <v>81211.819999998</v>
      </c>
      <c r="I2712" s="7">
        <v>0</v>
      </c>
      <c r="J2712" s="8">
        <v>0</v>
      </c>
      <c r="K2712" s="9" t="str">
        <v/>
      </c>
    </row>
    <row r="2713" spans="1:11">
      <c r="A2713" t="str">
        <v/>
      </c>
      <c r="B2713" s="6">
        <v>0</v>
      </c>
      <c r="C2713" s="7" t="str">
        <v>趣点购浦发</v>
      </c>
      <c r="D2713" s="8">
        <v>0</v>
      </c>
      <c r="E2713" s="7">
        <v>0</v>
      </c>
      <c r="F2713" s="8">
        <v>0</v>
      </c>
      <c r="G2713" s="7">
        <v>0</v>
      </c>
      <c r="H2713" s="7">
        <v>81211.819999998</v>
      </c>
      <c r="I2713" s="7">
        <v>0</v>
      </c>
      <c r="J2713" s="8">
        <v>0</v>
      </c>
      <c r="K2713" s="9" t="str">
        <v/>
      </c>
    </row>
    <row r="2714" spans="1:11">
      <c r="A2714" t="str">
        <v/>
      </c>
      <c r="B2714" s="6">
        <v>0</v>
      </c>
      <c r="C2714" s="7" t="str">
        <v>趣点购浦发</v>
      </c>
      <c r="D2714" s="8">
        <v>0</v>
      </c>
      <c r="E2714" s="7">
        <v>0</v>
      </c>
      <c r="F2714" s="8">
        <v>0</v>
      </c>
      <c r="G2714" s="7">
        <v>0</v>
      </c>
      <c r="H2714" s="7">
        <v>81211.819999998</v>
      </c>
      <c r="I2714" s="7">
        <v>0</v>
      </c>
      <c r="J2714" s="8">
        <v>0</v>
      </c>
      <c r="K2714" s="9" t="str">
        <v/>
      </c>
    </row>
    <row r="2715" spans="1:11">
      <c r="A2715" t="str">
        <v/>
      </c>
      <c r="B2715" s="6">
        <v>0</v>
      </c>
      <c r="C2715" s="7" t="str">
        <v>趣点购浦发</v>
      </c>
      <c r="D2715" s="8">
        <v>0</v>
      </c>
      <c r="E2715" s="7">
        <v>0</v>
      </c>
      <c r="F2715" s="8">
        <v>0</v>
      </c>
      <c r="G2715" s="7">
        <v>0</v>
      </c>
      <c r="H2715" s="7">
        <v>81211.819999998</v>
      </c>
      <c r="I2715" s="7">
        <v>0</v>
      </c>
      <c r="J2715" s="8">
        <v>0</v>
      </c>
      <c r="K2715" s="9" t="str">
        <v/>
      </c>
    </row>
    <row r="2716" spans="1:11">
      <c r="A2716" t="str">
        <v/>
      </c>
      <c r="B2716" s="6">
        <v>0</v>
      </c>
      <c r="C2716" s="7" t="str">
        <v>趣点购浦发</v>
      </c>
      <c r="D2716" s="8">
        <v>0</v>
      </c>
      <c r="E2716" s="7">
        <v>0</v>
      </c>
      <c r="F2716" s="8">
        <v>0</v>
      </c>
      <c r="G2716" s="7">
        <v>0</v>
      </c>
      <c r="H2716" s="7">
        <v>81211.819999998</v>
      </c>
      <c r="I2716" s="7">
        <v>0</v>
      </c>
      <c r="J2716" s="8">
        <v>0</v>
      </c>
      <c r="K2716" s="9" t="str">
        <v/>
      </c>
    </row>
    <row r="2717" spans="1:11">
      <c r="A2717" t="str">
        <v/>
      </c>
      <c r="B2717" s="6">
        <v>0</v>
      </c>
      <c r="C2717" s="7" t="str">
        <v>趣点购浦发</v>
      </c>
      <c r="D2717" s="8">
        <v>0</v>
      </c>
      <c r="E2717" s="7">
        <v>0</v>
      </c>
      <c r="F2717" s="8">
        <v>0</v>
      </c>
      <c r="G2717" s="7">
        <v>0</v>
      </c>
      <c r="H2717" s="7">
        <v>81211.819999998</v>
      </c>
      <c r="I2717" s="7">
        <v>0</v>
      </c>
      <c r="J2717" s="8">
        <v>0</v>
      </c>
      <c r="K2717" s="9" t="str">
        <v/>
      </c>
    </row>
    <row r="2718" spans="1:11">
      <c r="A2718" t="str">
        <v/>
      </c>
      <c r="B2718" s="6">
        <v>0</v>
      </c>
      <c r="C2718" s="7" t="str">
        <v>趣点购浦发</v>
      </c>
      <c r="D2718" s="8">
        <v>0</v>
      </c>
      <c r="E2718" s="7">
        <v>0</v>
      </c>
      <c r="F2718" s="8">
        <v>0</v>
      </c>
      <c r="G2718" s="7">
        <v>0</v>
      </c>
      <c r="H2718" s="7">
        <v>81211.819999998</v>
      </c>
      <c r="I2718" s="7">
        <v>0</v>
      </c>
      <c r="J2718" s="8">
        <v>0</v>
      </c>
      <c r="K2718" s="9" t="str">
        <v/>
      </c>
    </row>
    <row r="2719" spans="1:11">
      <c r="A2719" t="str">
        <v/>
      </c>
      <c r="B2719" s="6">
        <v>0</v>
      </c>
      <c r="C2719" s="7" t="str">
        <v>趣点购浦发</v>
      </c>
      <c r="D2719" s="8">
        <v>0</v>
      </c>
      <c r="E2719" s="7">
        <v>0</v>
      </c>
      <c r="F2719" s="8">
        <v>0</v>
      </c>
      <c r="G2719" s="7">
        <v>0</v>
      </c>
      <c r="H2719" s="7">
        <v>81211.819999998</v>
      </c>
      <c r="I2719" s="7">
        <v>0</v>
      </c>
      <c r="J2719" s="8">
        <v>0</v>
      </c>
      <c r="K2719" s="9" t="str">
        <v/>
      </c>
    </row>
    <row r="2720" spans="1:11">
      <c r="A2720" t="str">
        <v/>
      </c>
      <c r="B2720" s="6">
        <v>0</v>
      </c>
      <c r="C2720" s="7" t="str">
        <v>趣点购浦发</v>
      </c>
      <c r="D2720" s="8">
        <v>0</v>
      </c>
      <c r="E2720" s="7">
        <v>0</v>
      </c>
      <c r="F2720" s="8">
        <v>0</v>
      </c>
      <c r="G2720" s="7">
        <v>0</v>
      </c>
      <c r="H2720" s="7">
        <v>81211.819999998</v>
      </c>
      <c r="I2720" s="7">
        <v>0</v>
      </c>
      <c r="J2720" s="8">
        <v>0</v>
      </c>
      <c r="K2720" s="9" t="str">
        <v/>
      </c>
    </row>
    <row r="2721" spans="1:11">
      <c r="A2721" t="str">
        <v/>
      </c>
      <c r="B2721" s="6">
        <v>0</v>
      </c>
      <c r="C2721" s="7" t="str">
        <v>趣点购浦发</v>
      </c>
      <c r="D2721" s="8">
        <v>0</v>
      </c>
      <c r="E2721" s="7">
        <v>0</v>
      </c>
      <c r="F2721" s="8">
        <v>0</v>
      </c>
      <c r="G2721" s="7">
        <v>0</v>
      </c>
      <c r="H2721" s="7">
        <v>81211.819999998</v>
      </c>
      <c r="I2721" s="7">
        <v>0</v>
      </c>
      <c r="J2721" s="8">
        <v>0</v>
      </c>
      <c r="K2721" s="9" t="str">
        <v/>
      </c>
    </row>
    <row r="2722" spans="1:11">
      <c r="A2722" t="str">
        <v/>
      </c>
      <c r="B2722" s="6">
        <v>0</v>
      </c>
      <c r="C2722" s="7" t="str">
        <v>趣点购浦发</v>
      </c>
      <c r="D2722" s="8">
        <v>0</v>
      </c>
      <c r="E2722" s="7">
        <v>0</v>
      </c>
      <c r="F2722" s="8">
        <v>0</v>
      </c>
      <c r="G2722" s="7">
        <v>0</v>
      </c>
      <c r="H2722" s="7">
        <v>81211.819999998</v>
      </c>
      <c r="I2722" s="7">
        <v>0</v>
      </c>
      <c r="J2722" s="8">
        <v>0</v>
      </c>
      <c r="K2722" s="9" t="str">
        <v/>
      </c>
    </row>
    <row r="2723" spans="1:11">
      <c r="A2723" t="str">
        <v/>
      </c>
      <c r="B2723" s="6">
        <v>0</v>
      </c>
      <c r="C2723" s="7" t="str">
        <v>趣点购浦发</v>
      </c>
      <c r="D2723" s="8">
        <v>0</v>
      </c>
      <c r="E2723" s="7">
        <v>0</v>
      </c>
      <c r="F2723" s="8">
        <v>0</v>
      </c>
      <c r="G2723" s="7">
        <v>0</v>
      </c>
      <c r="H2723" s="7">
        <v>81211.819999998</v>
      </c>
      <c r="I2723" s="7">
        <v>0</v>
      </c>
      <c r="J2723" s="8">
        <v>0</v>
      </c>
      <c r="K2723" s="9" t="str">
        <v/>
      </c>
    </row>
    <row r="2724" spans="1:11">
      <c r="A2724" t="str">
        <v/>
      </c>
      <c r="B2724" s="6">
        <v>0</v>
      </c>
      <c r="C2724" s="7" t="str">
        <v>趣点购浦发</v>
      </c>
      <c r="D2724" s="8">
        <v>0</v>
      </c>
      <c r="E2724" s="7">
        <v>0</v>
      </c>
      <c r="F2724" s="8">
        <v>0</v>
      </c>
      <c r="G2724" s="7">
        <v>0</v>
      </c>
      <c r="H2724" s="7">
        <v>81211.819999998</v>
      </c>
      <c r="I2724" s="7">
        <v>0</v>
      </c>
      <c r="J2724" s="8">
        <v>0</v>
      </c>
      <c r="K2724" s="9" t="str">
        <v/>
      </c>
    </row>
    <row r="2725" spans="1:11">
      <c r="A2725" t="str">
        <v/>
      </c>
      <c r="B2725" s="6">
        <v>0</v>
      </c>
      <c r="C2725" s="7" t="str">
        <v>趣点购浦发</v>
      </c>
      <c r="D2725" s="8">
        <v>0</v>
      </c>
      <c r="E2725" s="7">
        <v>0</v>
      </c>
      <c r="F2725" s="8">
        <v>0</v>
      </c>
      <c r="G2725" s="7">
        <v>0</v>
      </c>
      <c r="H2725" s="7">
        <v>81211.819999998</v>
      </c>
      <c r="I2725" s="7">
        <v>0</v>
      </c>
      <c r="J2725" s="8">
        <v>0</v>
      </c>
      <c r="K2725" s="9" t="str">
        <v/>
      </c>
    </row>
    <row r="2726" spans="1:11">
      <c r="A2726" t="str">
        <v/>
      </c>
      <c r="B2726" s="6">
        <v>0</v>
      </c>
      <c r="C2726" s="7" t="str">
        <v>趣点购浦发</v>
      </c>
      <c r="D2726" s="8">
        <v>0</v>
      </c>
      <c r="E2726" s="7">
        <v>0</v>
      </c>
      <c r="F2726" s="8">
        <v>0</v>
      </c>
      <c r="G2726" s="7">
        <v>0</v>
      </c>
      <c r="H2726" s="7">
        <v>81211.819999998</v>
      </c>
      <c r="I2726" s="7">
        <v>0</v>
      </c>
      <c r="J2726" s="8">
        <v>0</v>
      </c>
      <c r="K2726" s="9" t="str">
        <v/>
      </c>
    </row>
    <row r="2727" spans="1:11">
      <c r="A2727" t="str">
        <v/>
      </c>
      <c r="B2727" s="6">
        <v>0</v>
      </c>
      <c r="C2727" s="7" t="str">
        <v>趣点购浦发</v>
      </c>
      <c r="D2727" s="8">
        <v>0</v>
      </c>
      <c r="E2727" s="7">
        <v>0</v>
      </c>
      <c r="F2727" s="8">
        <v>0</v>
      </c>
      <c r="G2727" s="7">
        <v>0</v>
      </c>
      <c r="H2727" s="7">
        <v>81211.819999998</v>
      </c>
      <c r="I2727" s="7">
        <v>0</v>
      </c>
      <c r="J2727" s="8">
        <v>0</v>
      </c>
      <c r="K2727" s="9" t="str">
        <v/>
      </c>
    </row>
    <row r="2728" spans="1:11">
      <c r="A2728" t="str">
        <v/>
      </c>
      <c r="B2728" s="6">
        <v>0</v>
      </c>
      <c r="C2728" s="7" t="str">
        <v>趣点购浦发</v>
      </c>
      <c r="D2728" s="8">
        <v>0</v>
      </c>
      <c r="E2728" s="7">
        <v>0</v>
      </c>
      <c r="F2728" s="8">
        <v>0</v>
      </c>
      <c r="G2728" s="7">
        <v>0</v>
      </c>
      <c r="H2728" s="7">
        <v>81211.819999998</v>
      </c>
      <c r="I2728" s="7">
        <v>0</v>
      </c>
      <c r="J2728" s="8">
        <v>0</v>
      </c>
      <c r="K2728" s="9" t="str">
        <v/>
      </c>
    </row>
    <row r="2729" spans="1:11">
      <c r="A2729" t="str">
        <v/>
      </c>
      <c r="B2729" s="6">
        <v>0</v>
      </c>
      <c r="C2729" s="7" t="str">
        <v>趣点购浦发</v>
      </c>
      <c r="D2729" s="8">
        <v>0</v>
      </c>
      <c r="E2729" s="7">
        <v>0</v>
      </c>
      <c r="F2729" s="8">
        <v>0</v>
      </c>
      <c r="G2729" s="7">
        <v>0</v>
      </c>
      <c r="H2729" s="7">
        <v>81211.819999998</v>
      </c>
      <c r="I2729" s="7">
        <v>0</v>
      </c>
      <c r="J2729" s="8">
        <v>0</v>
      </c>
      <c r="K2729" s="9" t="str">
        <v/>
      </c>
    </row>
    <row r="2730" spans="1:11">
      <c r="A2730" t="str">
        <v/>
      </c>
      <c r="B2730" s="6">
        <v>0</v>
      </c>
      <c r="C2730" s="7" t="str">
        <v>趣点购浦发</v>
      </c>
      <c r="D2730" s="8">
        <v>0</v>
      </c>
      <c r="E2730" s="7">
        <v>0</v>
      </c>
      <c r="F2730" s="8">
        <v>0</v>
      </c>
      <c r="G2730" s="7">
        <v>0</v>
      </c>
      <c r="H2730" s="7">
        <v>81211.819999998</v>
      </c>
      <c r="I2730" s="7">
        <v>0</v>
      </c>
      <c r="J2730" s="8">
        <v>0</v>
      </c>
      <c r="K2730" s="9" t="str">
        <v/>
      </c>
    </row>
    <row r="2731" spans="1:11">
      <c r="A2731" t="str">
        <v/>
      </c>
      <c r="B2731" s="6">
        <v>0</v>
      </c>
      <c r="C2731" s="7" t="str">
        <v>趣点购浦发</v>
      </c>
      <c r="D2731" s="8">
        <v>0</v>
      </c>
      <c r="E2731" s="7">
        <v>0</v>
      </c>
      <c r="F2731" s="8">
        <v>0</v>
      </c>
      <c r="G2731" s="7">
        <v>0</v>
      </c>
      <c r="H2731" s="7">
        <v>81211.819999998</v>
      </c>
      <c r="I2731" s="7">
        <v>0</v>
      </c>
      <c r="J2731" s="8">
        <v>0</v>
      </c>
      <c r="K2731" s="9" t="str">
        <v/>
      </c>
    </row>
    <row r="2732" spans="1:11">
      <c r="A2732" t="str">
        <v/>
      </c>
      <c r="B2732" s="6">
        <v>0</v>
      </c>
      <c r="C2732" s="7" t="str">
        <v>趣点购浦发</v>
      </c>
      <c r="D2732" s="8">
        <v>0</v>
      </c>
      <c r="E2732" s="7">
        <v>0</v>
      </c>
      <c r="F2732" s="8">
        <v>0</v>
      </c>
      <c r="G2732" s="7">
        <v>0</v>
      </c>
      <c r="H2732" s="7">
        <v>81211.819999998</v>
      </c>
      <c r="I2732" s="7">
        <v>0</v>
      </c>
      <c r="J2732" s="8">
        <v>0</v>
      </c>
      <c r="K2732" s="9" t="str">
        <v/>
      </c>
    </row>
    <row r="2733" spans="1:11">
      <c r="A2733" t="str">
        <v/>
      </c>
      <c r="B2733" s="6">
        <v>0</v>
      </c>
      <c r="C2733" s="7" t="str">
        <v>趣点购浦发</v>
      </c>
      <c r="D2733" s="8">
        <v>0</v>
      </c>
      <c r="E2733" s="7">
        <v>0</v>
      </c>
      <c r="F2733" s="8">
        <v>0</v>
      </c>
      <c r="G2733" s="7">
        <v>0</v>
      </c>
      <c r="H2733" s="7">
        <v>81211.819999998</v>
      </c>
      <c r="I2733" s="7">
        <v>0</v>
      </c>
      <c r="J2733" s="8">
        <v>0</v>
      </c>
      <c r="K2733" s="9" t="str">
        <v/>
      </c>
    </row>
    <row r="2734" spans="1:11">
      <c r="A2734" t="str">
        <v/>
      </c>
      <c r="B2734" s="6">
        <v>0</v>
      </c>
      <c r="C2734" s="7" t="str">
        <v>趣点购浦发</v>
      </c>
      <c r="D2734" s="8">
        <v>0</v>
      </c>
      <c r="E2734" s="7">
        <v>0</v>
      </c>
      <c r="F2734" s="8">
        <v>0</v>
      </c>
      <c r="G2734" s="7">
        <v>0</v>
      </c>
      <c r="H2734" s="7">
        <v>81211.819999998</v>
      </c>
      <c r="I2734" s="7">
        <v>0</v>
      </c>
      <c r="J2734" s="8">
        <v>0</v>
      </c>
      <c r="K2734" s="9" t="str">
        <v/>
      </c>
    </row>
    <row r="2735" spans="1:11">
      <c r="A2735" t="str">
        <v/>
      </c>
      <c r="B2735" s="6">
        <v>0</v>
      </c>
      <c r="C2735" s="7" t="str">
        <v>趣点购浦发</v>
      </c>
      <c r="D2735" s="8">
        <v>0</v>
      </c>
      <c r="E2735" s="7">
        <v>0</v>
      </c>
      <c r="F2735" s="8">
        <v>0</v>
      </c>
      <c r="G2735" s="7">
        <v>0</v>
      </c>
      <c r="H2735" s="7">
        <v>81211.819999998</v>
      </c>
      <c r="I2735" s="7">
        <v>0</v>
      </c>
      <c r="J2735" s="8">
        <v>0</v>
      </c>
      <c r="K2735" s="9" t="str">
        <v/>
      </c>
    </row>
    <row r="2736" spans="1:11">
      <c r="A2736" t="str">
        <v/>
      </c>
      <c r="B2736" s="6">
        <v>0</v>
      </c>
      <c r="C2736" s="7" t="str">
        <v>趣点购浦发</v>
      </c>
      <c r="D2736" s="8">
        <v>0</v>
      </c>
      <c r="E2736" s="7">
        <v>0</v>
      </c>
      <c r="F2736" s="8">
        <v>0</v>
      </c>
      <c r="G2736" s="7">
        <v>0</v>
      </c>
      <c r="H2736" s="7">
        <v>81211.819999998</v>
      </c>
      <c r="I2736" s="7">
        <v>0</v>
      </c>
      <c r="J2736" s="8">
        <v>0</v>
      </c>
      <c r="K2736" s="9" t="str">
        <v/>
      </c>
    </row>
    <row r="2737" spans="1:11">
      <c r="A2737" t="str">
        <v/>
      </c>
      <c r="B2737" s="6">
        <v>0</v>
      </c>
      <c r="C2737" s="7" t="str">
        <v>趣点购浦发</v>
      </c>
      <c r="D2737" s="8">
        <v>0</v>
      </c>
      <c r="E2737" s="7">
        <v>0</v>
      </c>
      <c r="F2737" s="8">
        <v>0</v>
      </c>
      <c r="G2737" s="7">
        <v>0</v>
      </c>
      <c r="H2737" s="7">
        <v>81211.819999998</v>
      </c>
      <c r="I2737" s="7">
        <v>0</v>
      </c>
      <c r="J2737" s="8">
        <v>0</v>
      </c>
      <c r="K2737" s="9" t="str">
        <v/>
      </c>
    </row>
    <row r="2738" spans="1:11">
      <c r="A2738" t="str">
        <v/>
      </c>
      <c r="B2738" s="6">
        <v>0</v>
      </c>
      <c r="C2738" s="7" t="str">
        <v>趣点购浦发</v>
      </c>
      <c r="D2738" s="8">
        <v>0</v>
      </c>
      <c r="E2738" s="7">
        <v>0</v>
      </c>
      <c r="F2738" s="8">
        <v>0</v>
      </c>
      <c r="G2738" s="7">
        <v>0</v>
      </c>
      <c r="H2738" s="7">
        <v>81211.819999998</v>
      </c>
      <c r="I2738" s="7">
        <v>0</v>
      </c>
      <c r="J2738" s="8">
        <v>0</v>
      </c>
      <c r="K2738" s="9" t="str">
        <v/>
      </c>
    </row>
    <row r="2739" spans="1:11">
      <c r="A2739" t="str">
        <v/>
      </c>
      <c r="B2739" s="6">
        <v>0</v>
      </c>
      <c r="C2739" s="7" t="str">
        <v>趣点购浦发</v>
      </c>
      <c r="D2739" s="8">
        <v>0</v>
      </c>
      <c r="E2739" s="7">
        <v>0</v>
      </c>
      <c r="F2739" s="8">
        <v>0</v>
      </c>
      <c r="G2739" s="7">
        <v>0</v>
      </c>
      <c r="H2739" s="7">
        <v>81211.819999998</v>
      </c>
      <c r="I2739" s="7">
        <v>0</v>
      </c>
      <c r="J2739" s="8">
        <v>0</v>
      </c>
      <c r="K2739" s="9" t="str">
        <v/>
      </c>
    </row>
    <row r="2740" spans="1:11">
      <c r="A2740" t="str">
        <v/>
      </c>
      <c r="B2740" s="6">
        <v>0</v>
      </c>
      <c r="C2740" s="7" t="str">
        <v>趣点购浦发</v>
      </c>
      <c r="D2740" s="8">
        <v>0</v>
      </c>
      <c r="E2740" s="7">
        <v>0</v>
      </c>
      <c r="F2740" s="8">
        <v>0</v>
      </c>
      <c r="G2740" s="7">
        <v>0</v>
      </c>
      <c r="H2740" s="7">
        <v>81211.819999998</v>
      </c>
      <c r="I2740" s="7">
        <v>0</v>
      </c>
      <c r="J2740" s="8">
        <v>0</v>
      </c>
      <c r="K2740" s="9" t="str">
        <v/>
      </c>
    </row>
    <row r="2741" spans="1:11">
      <c r="A2741" t="str">
        <v/>
      </c>
      <c r="B2741" s="6">
        <v>0</v>
      </c>
      <c r="C2741" s="7" t="str">
        <v>趣点购浦发</v>
      </c>
      <c r="D2741" s="8">
        <v>0</v>
      </c>
      <c r="E2741" s="7">
        <v>0</v>
      </c>
      <c r="F2741" s="8">
        <v>0</v>
      </c>
      <c r="G2741" s="7">
        <v>0</v>
      </c>
      <c r="H2741" s="7">
        <v>81211.819999998</v>
      </c>
      <c r="I2741" s="7">
        <v>0</v>
      </c>
      <c r="J2741" s="8">
        <v>0</v>
      </c>
      <c r="K2741" s="9" t="str">
        <v/>
      </c>
    </row>
    <row r="2742" spans="1:11">
      <c r="A2742" t="str">
        <v/>
      </c>
      <c r="B2742" s="6">
        <v>0</v>
      </c>
      <c r="C2742" s="7" t="str">
        <v>趣点购浦发</v>
      </c>
      <c r="D2742" s="8">
        <v>0</v>
      </c>
      <c r="E2742" s="7">
        <v>0</v>
      </c>
      <c r="F2742" s="8">
        <v>0</v>
      </c>
      <c r="G2742" s="7">
        <v>0</v>
      </c>
      <c r="H2742" s="7">
        <v>81211.819999998</v>
      </c>
      <c r="I2742" s="7">
        <v>0</v>
      </c>
      <c r="J2742" s="8">
        <v>0</v>
      </c>
      <c r="K2742" s="9" t="str">
        <v/>
      </c>
    </row>
    <row r="2743" spans="1:11">
      <c r="A2743" t="str">
        <v/>
      </c>
      <c r="B2743" s="6">
        <v>0</v>
      </c>
      <c r="C2743" s="7" t="str">
        <v>趣点购浦发</v>
      </c>
      <c r="D2743" s="8">
        <v>0</v>
      </c>
      <c r="E2743" s="7">
        <v>0</v>
      </c>
      <c r="F2743" s="8">
        <v>0</v>
      </c>
      <c r="G2743" s="7">
        <v>0</v>
      </c>
      <c r="H2743" s="7">
        <v>81211.819999998</v>
      </c>
      <c r="I2743" s="7">
        <v>0</v>
      </c>
      <c r="J2743" s="8">
        <v>0</v>
      </c>
      <c r="K2743" s="9" t="str">
        <v/>
      </c>
    </row>
    <row r="2744" spans="1:11">
      <c r="A2744" t="str">
        <v/>
      </c>
      <c r="B2744" s="6">
        <v>0</v>
      </c>
      <c r="C2744" s="7" t="str">
        <v>趣点购浦发</v>
      </c>
      <c r="D2744" s="8">
        <v>0</v>
      </c>
      <c r="E2744" s="7">
        <v>0</v>
      </c>
      <c r="F2744" s="8">
        <v>0</v>
      </c>
      <c r="G2744" s="7">
        <v>0</v>
      </c>
      <c r="H2744" s="7">
        <v>81211.819999998</v>
      </c>
      <c r="I2744" s="7">
        <v>0</v>
      </c>
      <c r="J2744" s="8">
        <v>0</v>
      </c>
      <c r="K2744" s="9" t="str">
        <v/>
      </c>
    </row>
    <row r="2745" spans="1:11">
      <c r="A2745" t="str">
        <v/>
      </c>
      <c r="B2745" s="6">
        <v>0</v>
      </c>
      <c r="C2745" s="7" t="str">
        <v>趣点购浦发</v>
      </c>
      <c r="D2745" s="8">
        <v>0</v>
      </c>
      <c r="E2745" s="7">
        <v>0</v>
      </c>
      <c r="F2745" s="8">
        <v>0</v>
      </c>
      <c r="G2745" s="7">
        <v>0</v>
      </c>
      <c r="H2745" s="7">
        <v>81211.819999998</v>
      </c>
      <c r="I2745" s="7">
        <v>0</v>
      </c>
      <c r="J2745" s="8">
        <v>0</v>
      </c>
      <c r="K2745" s="9" t="str">
        <v/>
      </c>
    </row>
    <row r="2746" spans="1:11">
      <c r="A2746" t="str">
        <v/>
      </c>
      <c r="B2746" s="6">
        <v>0</v>
      </c>
      <c r="C2746" s="7" t="str">
        <v>趣点购浦发</v>
      </c>
      <c r="D2746" s="8">
        <v>0</v>
      </c>
      <c r="E2746" s="7">
        <v>0</v>
      </c>
      <c r="F2746" s="8">
        <v>0</v>
      </c>
      <c r="G2746" s="7">
        <v>0</v>
      </c>
      <c r="H2746" s="7">
        <v>81211.819999998</v>
      </c>
      <c r="I2746" s="7">
        <v>0</v>
      </c>
      <c r="J2746" s="8">
        <v>0</v>
      </c>
      <c r="K2746" s="9" t="str">
        <v/>
      </c>
    </row>
    <row r="2747" spans="1:11">
      <c r="A2747" t="str">
        <v/>
      </c>
      <c r="B2747" s="6">
        <v>0</v>
      </c>
      <c r="C2747" s="7" t="str">
        <v>趣点购浦发</v>
      </c>
      <c r="D2747" s="8">
        <v>0</v>
      </c>
      <c r="E2747" s="7">
        <v>0</v>
      </c>
      <c r="F2747" s="8">
        <v>0</v>
      </c>
      <c r="G2747" s="7">
        <v>0</v>
      </c>
      <c r="H2747" s="7">
        <v>81211.819999998</v>
      </c>
      <c r="I2747" s="7">
        <v>0</v>
      </c>
      <c r="J2747" s="8">
        <v>0</v>
      </c>
      <c r="K2747" s="9" t="str">
        <v/>
      </c>
    </row>
    <row r="2748" spans="1:11">
      <c r="A2748" t="str">
        <v/>
      </c>
      <c r="B2748" s="6">
        <v>0</v>
      </c>
      <c r="C2748" s="7" t="str">
        <v>趣点购浦发</v>
      </c>
      <c r="D2748" s="8">
        <v>0</v>
      </c>
      <c r="E2748" s="7">
        <v>0</v>
      </c>
      <c r="F2748" s="8">
        <v>0</v>
      </c>
      <c r="G2748" s="7">
        <v>0</v>
      </c>
      <c r="H2748" s="7">
        <v>81211.819999998</v>
      </c>
      <c r="I2748" s="7">
        <v>0</v>
      </c>
      <c r="J2748" s="8">
        <v>0</v>
      </c>
      <c r="K2748" s="9" t="str">
        <v/>
      </c>
    </row>
    <row r="2749" spans="1:11">
      <c r="A2749" t="str">
        <v/>
      </c>
      <c r="B2749" s="6">
        <v>0</v>
      </c>
      <c r="C2749" s="7" t="str">
        <v>趣点购浦发</v>
      </c>
      <c r="D2749" s="8">
        <v>0</v>
      </c>
      <c r="E2749" s="7">
        <v>0</v>
      </c>
      <c r="F2749" s="8">
        <v>0</v>
      </c>
      <c r="G2749" s="7">
        <v>0</v>
      </c>
      <c r="H2749" s="7">
        <v>81211.819999998</v>
      </c>
      <c r="I2749" s="7">
        <v>0</v>
      </c>
      <c r="J2749" s="8">
        <v>0</v>
      </c>
      <c r="K2749" s="9" t="str">
        <v/>
      </c>
    </row>
    <row r="2750" spans="1:11">
      <c r="A2750" t="str">
        <v/>
      </c>
      <c r="B2750" s="6">
        <v>0</v>
      </c>
      <c r="C2750" s="7" t="str">
        <v>趣点购浦发</v>
      </c>
      <c r="D2750" s="8">
        <v>0</v>
      </c>
      <c r="E2750" s="7">
        <v>0</v>
      </c>
      <c r="F2750" s="8">
        <v>0</v>
      </c>
      <c r="G2750" s="7">
        <v>0</v>
      </c>
      <c r="H2750" s="7">
        <v>81211.819999998</v>
      </c>
      <c r="I2750" s="7">
        <v>0</v>
      </c>
      <c r="J2750" s="8">
        <v>0</v>
      </c>
      <c r="K2750" s="9" t="str">
        <v/>
      </c>
    </row>
    <row r="2751" spans="1:11">
      <c r="A2751" t="str">
        <v/>
      </c>
      <c r="B2751" s="6">
        <v>0</v>
      </c>
      <c r="C2751" s="7" t="str">
        <v>趣点购浦发</v>
      </c>
      <c r="D2751" s="8">
        <v>0</v>
      </c>
      <c r="E2751" s="7">
        <v>0</v>
      </c>
      <c r="F2751" s="8">
        <v>0</v>
      </c>
      <c r="G2751" s="7">
        <v>0</v>
      </c>
      <c r="H2751" s="7">
        <v>81211.819999998</v>
      </c>
      <c r="I2751" s="7">
        <v>0</v>
      </c>
      <c r="J2751" s="8">
        <v>0</v>
      </c>
      <c r="K2751" s="9" t="str">
        <v/>
      </c>
    </row>
    <row r="2752" spans="1:11">
      <c r="A2752" t="str">
        <v/>
      </c>
      <c r="B2752" s="6">
        <v>0</v>
      </c>
      <c r="C2752" s="7" t="str">
        <v>趣点购浦发</v>
      </c>
      <c r="D2752" s="8">
        <v>0</v>
      </c>
      <c r="E2752" s="7">
        <v>0</v>
      </c>
      <c r="F2752" s="8">
        <v>0</v>
      </c>
      <c r="G2752" s="7">
        <v>0</v>
      </c>
      <c r="H2752" s="7">
        <v>81211.819999998</v>
      </c>
      <c r="I2752" s="7">
        <v>0</v>
      </c>
      <c r="J2752" s="8">
        <v>0</v>
      </c>
      <c r="K2752" s="9" t="str">
        <v/>
      </c>
    </row>
    <row r="2753" spans="1:11">
      <c r="A2753" t="str">
        <v/>
      </c>
      <c r="B2753" s="6">
        <v>0</v>
      </c>
      <c r="C2753" s="7" t="str">
        <v>趣点购浦发</v>
      </c>
      <c r="D2753" s="8">
        <v>0</v>
      </c>
      <c r="E2753" s="7">
        <v>0</v>
      </c>
      <c r="F2753" s="8">
        <v>0</v>
      </c>
      <c r="G2753" s="7">
        <v>0</v>
      </c>
      <c r="H2753" s="7">
        <v>81211.819999998</v>
      </c>
      <c r="I2753" s="7">
        <v>0</v>
      </c>
      <c r="J2753" s="8">
        <v>0</v>
      </c>
      <c r="K2753" s="9" t="str">
        <v/>
      </c>
    </row>
    <row r="2754" spans="1:11">
      <c r="A2754" t="str">
        <v/>
      </c>
      <c r="B2754" s="6">
        <v>0</v>
      </c>
      <c r="C2754" s="7" t="str">
        <v>趣点购浦发</v>
      </c>
      <c r="D2754" s="8">
        <v>0</v>
      </c>
      <c r="E2754" s="7">
        <v>0</v>
      </c>
      <c r="F2754" s="8">
        <v>0</v>
      </c>
      <c r="G2754" s="7">
        <v>0</v>
      </c>
      <c r="H2754" s="7">
        <v>81211.819999998</v>
      </c>
      <c r="I2754" s="7">
        <v>0</v>
      </c>
      <c r="J2754" s="8">
        <v>0</v>
      </c>
      <c r="K2754" s="9" t="str">
        <v/>
      </c>
    </row>
    <row r="2755" spans="1:11">
      <c r="A2755" t="str">
        <v/>
      </c>
      <c r="B2755" s="6">
        <v>0</v>
      </c>
      <c r="C2755" s="7" t="str">
        <v>趣点购浦发</v>
      </c>
      <c r="D2755" s="8">
        <v>0</v>
      </c>
      <c r="E2755" s="7">
        <v>0</v>
      </c>
      <c r="F2755" s="8">
        <v>0</v>
      </c>
      <c r="G2755" s="7">
        <v>0</v>
      </c>
      <c r="H2755" s="7">
        <v>81211.819999998</v>
      </c>
      <c r="I2755" s="7">
        <v>0</v>
      </c>
      <c r="J2755" s="8">
        <v>0</v>
      </c>
      <c r="K2755" s="9" t="str">
        <v/>
      </c>
    </row>
    <row r="2756" spans="1:11">
      <c r="A2756" t="str">
        <v/>
      </c>
      <c r="B2756" s="6">
        <v>0</v>
      </c>
      <c r="C2756" s="7" t="str">
        <v>趣点购浦发</v>
      </c>
      <c r="D2756" s="8">
        <v>0</v>
      </c>
      <c r="E2756" s="7">
        <v>0</v>
      </c>
      <c r="F2756" s="8">
        <v>0</v>
      </c>
      <c r="G2756" s="7">
        <v>0</v>
      </c>
      <c r="H2756" s="7">
        <v>81211.819999998</v>
      </c>
      <c r="I2756" s="7">
        <v>0</v>
      </c>
      <c r="J2756" s="8">
        <v>0</v>
      </c>
      <c r="K2756" s="9" t="str">
        <v/>
      </c>
    </row>
    <row r="2757" spans="1:11">
      <c r="A2757" t="str">
        <v/>
      </c>
      <c r="B2757" s="6">
        <v>0</v>
      </c>
      <c r="C2757" s="7" t="str">
        <v>趣点购浦发</v>
      </c>
      <c r="D2757" s="8">
        <v>0</v>
      </c>
      <c r="E2757" s="7">
        <v>0</v>
      </c>
      <c r="F2757" s="8">
        <v>0</v>
      </c>
      <c r="G2757" s="7">
        <v>0</v>
      </c>
      <c r="H2757" s="7">
        <v>81211.819999998</v>
      </c>
      <c r="I2757" s="7">
        <v>0</v>
      </c>
      <c r="J2757" s="8">
        <v>0</v>
      </c>
      <c r="K2757" s="9" t="str">
        <v/>
      </c>
    </row>
    <row r="2758" spans="1:11">
      <c r="A2758" t="str">
        <v/>
      </c>
      <c r="B2758" s="6">
        <v>0</v>
      </c>
      <c r="C2758" s="7" t="str">
        <v>趣点购浦发</v>
      </c>
      <c r="D2758" s="8">
        <v>0</v>
      </c>
      <c r="E2758" s="7">
        <v>0</v>
      </c>
      <c r="F2758" s="8">
        <v>0</v>
      </c>
      <c r="G2758" s="7">
        <v>0</v>
      </c>
      <c r="H2758" s="7">
        <v>81211.819999998</v>
      </c>
      <c r="I2758" s="7">
        <v>0</v>
      </c>
      <c r="J2758" s="8">
        <v>0</v>
      </c>
      <c r="K2758" s="9" t="str">
        <v/>
      </c>
    </row>
    <row r="2759" spans="1:11">
      <c r="A2759" t="str">
        <v/>
      </c>
      <c r="B2759" s="6">
        <v>0</v>
      </c>
      <c r="C2759" s="7" t="str">
        <v>趣点购浦发</v>
      </c>
      <c r="D2759" s="8">
        <v>0</v>
      </c>
      <c r="E2759" s="7">
        <v>0</v>
      </c>
      <c r="F2759" s="8">
        <v>0</v>
      </c>
      <c r="G2759" s="7">
        <v>0</v>
      </c>
      <c r="H2759" s="7">
        <v>81211.819999998</v>
      </c>
      <c r="I2759" s="7">
        <v>0</v>
      </c>
      <c r="J2759" s="8">
        <v>0</v>
      </c>
      <c r="K2759" s="9" t="str">
        <v/>
      </c>
    </row>
    <row r="2760" spans="1:11">
      <c r="A2760" t="str">
        <v/>
      </c>
      <c r="B2760" s="6">
        <v>0</v>
      </c>
      <c r="C2760" s="7" t="str">
        <v>趣点购浦发</v>
      </c>
      <c r="D2760" s="8">
        <v>0</v>
      </c>
      <c r="E2760" s="7">
        <v>0</v>
      </c>
      <c r="F2760" s="8">
        <v>0</v>
      </c>
      <c r="G2760" s="7">
        <v>0</v>
      </c>
      <c r="H2760" s="7">
        <v>81211.819999998</v>
      </c>
      <c r="I2760" s="7">
        <v>0</v>
      </c>
      <c r="J2760" s="8">
        <v>0</v>
      </c>
      <c r="K2760" s="9" t="str">
        <v/>
      </c>
    </row>
    <row r="2761" spans="1:11">
      <c r="A2761" t="str">
        <v/>
      </c>
      <c r="B2761" s="6">
        <v>0</v>
      </c>
      <c r="C2761" s="7" t="str">
        <v>趣点购浦发</v>
      </c>
      <c r="D2761" s="8">
        <v>0</v>
      </c>
      <c r="E2761" s="7">
        <v>0</v>
      </c>
      <c r="F2761" s="8">
        <v>0</v>
      </c>
      <c r="G2761" s="7">
        <v>0</v>
      </c>
      <c r="H2761" s="7">
        <v>81211.819999998</v>
      </c>
      <c r="I2761" s="7">
        <v>0</v>
      </c>
      <c r="J2761" s="8">
        <v>0</v>
      </c>
      <c r="K2761" s="9" t="str">
        <v/>
      </c>
    </row>
    <row r="2762" spans="1:11">
      <c r="A2762" t="str">
        <v/>
      </c>
      <c r="B2762" s="6">
        <v>0</v>
      </c>
      <c r="C2762" s="7" t="str">
        <v>趣点购浦发</v>
      </c>
      <c r="D2762" s="8">
        <v>0</v>
      </c>
      <c r="E2762" s="7">
        <v>0</v>
      </c>
      <c r="F2762" s="8">
        <v>0</v>
      </c>
      <c r="G2762" s="7">
        <v>0</v>
      </c>
      <c r="H2762" s="7">
        <v>81211.819999998</v>
      </c>
      <c r="I2762" s="7">
        <v>0</v>
      </c>
      <c r="J2762" s="8">
        <v>0</v>
      </c>
      <c r="K2762" s="9" t="str">
        <v/>
      </c>
    </row>
    <row r="2763" spans="1:11">
      <c r="A2763" t="str">
        <v/>
      </c>
      <c r="B2763" s="6">
        <v>0</v>
      </c>
      <c r="C2763" s="7" t="str">
        <v>趣点购浦发</v>
      </c>
      <c r="D2763" s="8">
        <v>0</v>
      </c>
      <c r="E2763" s="7">
        <v>0</v>
      </c>
      <c r="F2763" s="8">
        <v>0</v>
      </c>
      <c r="G2763" s="7">
        <v>0</v>
      </c>
      <c r="H2763" s="7">
        <v>81211.819999998</v>
      </c>
      <c r="I2763" s="7">
        <v>0</v>
      </c>
      <c r="J2763" s="8">
        <v>0</v>
      </c>
      <c r="K2763" s="9" t="str">
        <v/>
      </c>
    </row>
    <row r="2764" spans="1:11">
      <c r="A2764" t="str">
        <v/>
      </c>
      <c r="B2764" s="6">
        <v>0</v>
      </c>
      <c r="C2764" s="7" t="str">
        <v>趣点购浦发</v>
      </c>
      <c r="D2764" s="8">
        <v>0</v>
      </c>
      <c r="E2764" s="7">
        <v>0</v>
      </c>
      <c r="F2764" s="8">
        <v>0</v>
      </c>
      <c r="G2764" s="7">
        <v>0</v>
      </c>
      <c r="H2764" s="7">
        <v>81211.819999998</v>
      </c>
      <c r="I2764" s="7">
        <v>0</v>
      </c>
      <c r="J2764" s="8">
        <v>0</v>
      </c>
      <c r="K2764" s="9" t="str">
        <v/>
      </c>
    </row>
    <row r="2765" spans="1:11">
      <c r="A2765" t="str">
        <v/>
      </c>
      <c r="B2765" s="6">
        <v>0</v>
      </c>
      <c r="C2765" s="7" t="str">
        <v>趣点购浦发</v>
      </c>
      <c r="D2765" s="8">
        <v>0</v>
      </c>
      <c r="E2765" s="7">
        <v>0</v>
      </c>
      <c r="F2765" s="8">
        <v>0</v>
      </c>
      <c r="G2765" s="7">
        <v>0</v>
      </c>
      <c r="H2765" s="7">
        <v>81211.819999998</v>
      </c>
      <c r="I2765" s="7">
        <v>0</v>
      </c>
      <c r="J2765" s="8">
        <v>0</v>
      </c>
      <c r="K2765" s="9" t="str">
        <v/>
      </c>
    </row>
    <row r="2766" spans="1:11">
      <c r="A2766" t="str">
        <v/>
      </c>
      <c r="B2766" s="6">
        <v>0</v>
      </c>
      <c r="C2766" s="7" t="str">
        <v>趣点购浦发</v>
      </c>
      <c r="D2766" s="8">
        <v>0</v>
      </c>
      <c r="E2766" s="7">
        <v>0</v>
      </c>
      <c r="F2766" s="8">
        <v>0</v>
      </c>
      <c r="G2766" s="7">
        <v>0</v>
      </c>
      <c r="H2766" s="7">
        <v>81211.819999998</v>
      </c>
      <c r="I2766" s="7">
        <v>0</v>
      </c>
      <c r="J2766" s="8">
        <v>0</v>
      </c>
      <c r="K2766" s="9" t="str">
        <v/>
      </c>
    </row>
    <row r="2767" spans="1:11">
      <c r="A2767" t="str">
        <v/>
      </c>
      <c r="B2767" s="6">
        <v>0</v>
      </c>
      <c r="C2767" s="7" t="str">
        <v>趣点购浦发</v>
      </c>
      <c r="D2767" s="8">
        <v>0</v>
      </c>
      <c r="E2767" s="7">
        <v>0</v>
      </c>
      <c r="F2767" s="8">
        <v>0</v>
      </c>
      <c r="G2767" s="7">
        <v>0</v>
      </c>
      <c r="H2767" s="7">
        <v>81211.819999998</v>
      </c>
      <c r="I2767" s="7">
        <v>0</v>
      </c>
      <c r="J2767" s="8">
        <v>0</v>
      </c>
      <c r="K2767" s="9" t="str">
        <v/>
      </c>
    </row>
    <row r="2768" spans="1:11">
      <c r="A2768" t="str">
        <v/>
      </c>
      <c r="B2768" s="6">
        <v>0</v>
      </c>
      <c r="C2768" s="7" t="str">
        <v>趣点购浦发</v>
      </c>
      <c r="D2768" s="8">
        <v>0</v>
      </c>
      <c r="E2768" s="7">
        <v>0</v>
      </c>
      <c r="F2768" s="8">
        <v>0</v>
      </c>
      <c r="G2768" s="7">
        <v>0</v>
      </c>
      <c r="H2768" s="7">
        <v>81211.819999998</v>
      </c>
      <c r="I2768" s="7">
        <v>0</v>
      </c>
      <c r="J2768" s="8">
        <v>0</v>
      </c>
      <c r="K2768" s="9" t="str">
        <v/>
      </c>
    </row>
    <row r="2769" spans="1:11">
      <c r="A2769" t="str">
        <v/>
      </c>
      <c r="B2769" s="6">
        <v>0</v>
      </c>
      <c r="C2769" s="7" t="str">
        <v>趣点购浦发</v>
      </c>
      <c r="D2769" s="8">
        <v>0</v>
      </c>
      <c r="E2769" s="7">
        <v>0</v>
      </c>
      <c r="F2769" s="8">
        <v>0</v>
      </c>
      <c r="G2769" s="7">
        <v>0</v>
      </c>
      <c r="H2769" s="7">
        <v>81211.819999998</v>
      </c>
      <c r="I2769" s="7">
        <v>0</v>
      </c>
      <c r="J2769" s="8">
        <v>0</v>
      </c>
      <c r="K2769" s="9" t="str">
        <v/>
      </c>
    </row>
    <row r="2770" spans="1:11">
      <c r="A2770" t="str">
        <v/>
      </c>
      <c r="B2770" s="6">
        <v>0</v>
      </c>
      <c r="C2770" s="7" t="str">
        <v>趣点购浦发</v>
      </c>
      <c r="D2770" s="8">
        <v>0</v>
      </c>
      <c r="E2770" s="7">
        <v>0</v>
      </c>
      <c r="F2770" s="8">
        <v>0</v>
      </c>
      <c r="G2770" s="7">
        <v>0</v>
      </c>
      <c r="H2770" s="7">
        <v>81211.819999998</v>
      </c>
      <c r="I2770" s="7">
        <v>0</v>
      </c>
      <c r="J2770" s="8">
        <v>0</v>
      </c>
      <c r="K2770" s="9" t="str">
        <v/>
      </c>
    </row>
    <row r="2771" spans="1:11">
      <c r="A2771" t="str">
        <v/>
      </c>
      <c r="B2771" s="6">
        <v>0</v>
      </c>
      <c r="C2771" s="7" t="str">
        <v>趣点购浦发</v>
      </c>
      <c r="D2771" s="8">
        <v>0</v>
      </c>
      <c r="E2771" s="7">
        <v>0</v>
      </c>
      <c r="F2771" s="8">
        <v>0</v>
      </c>
      <c r="G2771" s="7">
        <v>0</v>
      </c>
      <c r="H2771" s="7">
        <v>81211.819999998</v>
      </c>
      <c r="I2771" s="7">
        <v>0</v>
      </c>
      <c r="J2771" s="8">
        <v>0</v>
      </c>
      <c r="K2771" s="9" t="str">
        <v/>
      </c>
    </row>
    <row r="2772" spans="1:11">
      <c r="A2772" t="str">
        <v/>
      </c>
      <c r="B2772" s="6">
        <v>0</v>
      </c>
      <c r="C2772" s="7" t="str">
        <v>趣点购浦发</v>
      </c>
      <c r="D2772" s="8">
        <v>0</v>
      </c>
      <c r="E2772" s="7">
        <v>0</v>
      </c>
      <c r="F2772" s="8">
        <v>0</v>
      </c>
      <c r="G2772" s="7">
        <v>0</v>
      </c>
      <c r="H2772" s="7">
        <v>81211.819999998</v>
      </c>
      <c r="I2772" s="7">
        <v>0</v>
      </c>
      <c r="J2772" s="8">
        <v>0</v>
      </c>
      <c r="K2772" s="9" t="str">
        <v/>
      </c>
    </row>
    <row r="2773" spans="1:11">
      <c r="A2773" t="str">
        <v/>
      </c>
      <c r="B2773" s="6">
        <v>0</v>
      </c>
      <c r="C2773" s="7" t="str">
        <v>趣点购浦发</v>
      </c>
      <c r="D2773" s="8">
        <v>0</v>
      </c>
      <c r="E2773" s="7">
        <v>0</v>
      </c>
      <c r="F2773" s="8">
        <v>0</v>
      </c>
      <c r="G2773" s="7">
        <v>0</v>
      </c>
      <c r="H2773" s="7">
        <v>81211.819999998</v>
      </c>
      <c r="I2773" s="7">
        <v>0</v>
      </c>
      <c r="J2773" s="8">
        <v>0</v>
      </c>
      <c r="K2773" s="9" t="str">
        <v/>
      </c>
    </row>
    <row r="2774" spans="1:11">
      <c r="A2774" t="str">
        <v/>
      </c>
      <c r="B2774" s="6">
        <v>0</v>
      </c>
      <c r="C2774" s="7" t="str">
        <v>趣点购浦发</v>
      </c>
      <c r="D2774" s="8">
        <v>0</v>
      </c>
      <c r="E2774" s="7">
        <v>0</v>
      </c>
      <c r="F2774" s="8">
        <v>0</v>
      </c>
      <c r="G2774" s="7">
        <v>0</v>
      </c>
      <c r="H2774" s="7">
        <v>81211.819999998</v>
      </c>
      <c r="I2774" s="7">
        <v>0</v>
      </c>
      <c r="J2774" s="8">
        <v>0</v>
      </c>
      <c r="K2774" s="9" t="str">
        <v/>
      </c>
    </row>
    <row r="2775" spans="1:11">
      <c r="A2775" t="str">
        <v/>
      </c>
      <c r="B2775" s="6">
        <v>0</v>
      </c>
      <c r="C2775" s="7" t="str">
        <v>趣点购浦发</v>
      </c>
      <c r="D2775" s="8">
        <v>0</v>
      </c>
      <c r="E2775" s="7">
        <v>0</v>
      </c>
      <c r="F2775" s="8">
        <v>0</v>
      </c>
      <c r="G2775" s="7">
        <v>0</v>
      </c>
      <c r="H2775" s="7">
        <v>81211.819999998</v>
      </c>
      <c r="I2775" s="7">
        <v>0</v>
      </c>
      <c r="J2775" s="8">
        <v>0</v>
      </c>
      <c r="K2775" s="9" t="str">
        <v/>
      </c>
    </row>
    <row r="2776" spans="1:11">
      <c r="A2776" t="str">
        <v/>
      </c>
      <c r="B2776" s="6">
        <v>0</v>
      </c>
      <c r="C2776" s="7" t="str">
        <v>趣点购浦发</v>
      </c>
      <c r="D2776" s="8">
        <v>0</v>
      </c>
      <c r="E2776" s="7">
        <v>0</v>
      </c>
      <c r="F2776" s="8">
        <v>0</v>
      </c>
      <c r="G2776" s="7">
        <v>0</v>
      </c>
      <c r="H2776" s="7">
        <v>81211.819999998</v>
      </c>
      <c r="I2776" s="7">
        <v>0</v>
      </c>
      <c r="J2776" s="8">
        <v>0</v>
      </c>
      <c r="K2776" s="9" t="str">
        <v/>
      </c>
    </row>
    <row r="2777" spans="1:11">
      <c r="A2777" t="str">
        <v/>
      </c>
      <c r="B2777" s="6">
        <v>0</v>
      </c>
      <c r="C2777" s="7" t="str">
        <v>趣点购浦发</v>
      </c>
      <c r="D2777" s="8">
        <v>0</v>
      </c>
      <c r="E2777" s="7">
        <v>0</v>
      </c>
      <c r="F2777" s="8">
        <v>0</v>
      </c>
      <c r="G2777" s="7">
        <v>0</v>
      </c>
      <c r="H2777" s="7">
        <v>81211.819999998</v>
      </c>
      <c r="I2777" s="7">
        <v>0</v>
      </c>
      <c r="J2777" s="8">
        <v>0</v>
      </c>
      <c r="K2777" s="9" t="str">
        <v/>
      </c>
    </row>
    <row r="2778" spans="1:11">
      <c r="A2778" t="str">
        <v/>
      </c>
      <c r="B2778" s="6">
        <v>0</v>
      </c>
      <c r="C2778" s="7" t="str">
        <v>趣点购浦发</v>
      </c>
      <c r="D2778" s="8">
        <v>0</v>
      </c>
      <c r="E2778" s="7">
        <v>0</v>
      </c>
      <c r="F2778" s="8">
        <v>0</v>
      </c>
      <c r="G2778" s="7">
        <v>0</v>
      </c>
      <c r="H2778" s="7">
        <v>81211.819999998</v>
      </c>
      <c r="I2778" s="7">
        <v>0</v>
      </c>
      <c r="J2778" s="8">
        <v>0</v>
      </c>
      <c r="K2778" s="9" t="str">
        <v/>
      </c>
    </row>
    <row r="2779" spans="1:11">
      <c r="A2779" t="str">
        <v/>
      </c>
      <c r="B2779" s="6">
        <v>0</v>
      </c>
      <c r="C2779" s="7" t="str">
        <v>趣点购浦发</v>
      </c>
      <c r="D2779" s="8">
        <v>0</v>
      </c>
      <c r="E2779" s="7">
        <v>0</v>
      </c>
      <c r="F2779" s="8">
        <v>0</v>
      </c>
      <c r="G2779" s="7">
        <v>0</v>
      </c>
      <c r="H2779" s="7">
        <v>81211.819999998</v>
      </c>
      <c r="I2779" s="7">
        <v>0</v>
      </c>
      <c r="J2779" s="8">
        <v>0</v>
      </c>
      <c r="K2779" s="9" t="str">
        <v/>
      </c>
    </row>
    <row r="2780" spans="1:11">
      <c r="A2780" t="str">
        <v/>
      </c>
      <c r="B2780" s="6">
        <v>0</v>
      </c>
      <c r="C2780" s="7" t="str">
        <v>趣点购浦发</v>
      </c>
      <c r="D2780" s="8">
        <v>0</v>
      </c>
      <c r="E2780" s="7">
        <v>0</v>
      </c>
      <c r="F2780" s="8">
        <v>0</v>
      </c>
      <c r="G2780" s="7">
        <v>0</v>
      </c>
      <c r="H2780" s="7">
        <v>81211.819999998</v>
      </c>
      <c r="I2780" s="7">
        <v>0</v>
      </c>
      <c r="J2780" s="8">
        <v>0</v>
      </c>
      <c r="K2780" s="9" t="str">
        <v/>
      </c>
    </row>
    <row r="2781" spans="1:11">
      <c r="A2781" t="str">
        <v/>
      </c>
      <c r="B2781" s="6">
        <v>0</v>
      </c>
      <c r="C2781" s="7" t="str">
        <v>趣点购浦发</v>
      </c>
      <c r="D2781" s="8">
        <v>0</v>
      </c>
      <c r="E2781" s="7">
        <v>0</v>
      </c>
      <c r="F2781" s="8">
        <v>0</v>
      </c>
      <c r="G2781" s="7">
        <v>0</v>
      </c>
      <c r="H2781" s="7">
        <v>81211.819999998</v>
      </c>
      <c r="I2781" s="7">
        <v>0</v>
      </c>
      <c r="J2781" s="8">
        <v>0</v>
      </c>
      <c r="K2781" s="9" t="str">
        <v/>
      </c>
    </row>
    <row r="2782" spans="1:11">
      <c r="A2782" t="str">
        <v/>
      </c>
      <c r="B2782" s="6">
        <v>0</v>
      </c>
      <c r="C2782" s="7" t="str">
        <v>趣点购浦发</v>
      </c>
      <c r="D2782" s="8">
        <v>0</v>
      </c>
      <c r="E2782" s="7">
        <v>0</v>
      </c>
      <c r="F2782" s="8">
        <v>0</v>
      </c>
      <c r="G2782" s="7">
        <v>0</v>
      </c>
      <c r="H2782" s="7">
        <v>81211.819999998</v>
      </c>
      <c r="I2782" s="7">
        <v>0</v>
      </c>
      <c r="J2782" s="8">
        <v>0</v>
      </c>
      <c r="K2782" s="9" t="str">
        <v/>
      </c>
    </row>
    <row r="2783" spans="1:11">
      <c r="A2783" t="str">
        <v/>
      </c>
      <c r="B2783" s="6">
        <v>0</v>
      </c>
      <c r="C2783" s="7" t="str">
        <v>趣点购浦发</v>
      </c>
      <c r="D2783" s="8">
        <v>0</v>
      </c>
      <c r="E2783" s="7">
        <v>0</v>
      </c>
      <c r="F2783" s="8">
        <v>0</v>
      </c>
      <c r="G2783" s="7">
        <v>0</v>
      </c>
      <c r="H2783" s="7">
        <v>81211.819999998</v>
      </c>
      <c r="I2783" s="7">
        <v>0</v>
      </c>
      <c r="J2783" s="8">
        <v>0</v>
      </c>
      <c r="K2783" s="9" t="str">
        <v/>
      </c>
    </row>
    <row r="2784" spans="1:11">
      <c r="A2784" t="str">
        <v/>
      </c>
      <c r="B2784" s="6">
        <v>0</v>
      </c>
      <c r="C2784" s="7" t="str">
        <v>趣点购浦发</v>
      </c>
      <c r="D2784" s="8">
        <v>0</v>
      </c>
      <c r="E2784" s="7">
        <v>0</v>
      </c>
      <c r="F2784" s="8">
        <v>0</v>
      </c>
      <c r="G2784" s="7">
        <v>0</v>
      </c>
      <c r="H2784" s="7">
        <v>81211.819999998</v>
      </c>
      <c r="I2784" s="7">
        <v>0</v>
      </c>
      <c r="J2784" s="8">
        <v>0</v>
      </c>
      <c r="K2784" s="9" t="str">
        <v/>
      </c>
    </row>
    <row r="2785" spans="1:11">
      <c r="A2785" t="str">
        <v/>
      </c>
      <c r="B2785" s="6">
        <v>0</v>
      </c>
      <c r="C2785" s="7" t="str">
        <v>趣点购浦发</v>
      </c>
      <c r="D2785" s="8">
        <v>0</v>
      </c>
      <c r="E2785" s="7">
        <v>0</v>
      </c>
      <c r="F2785" s="8">
        <v>0</v>
      </c>
      <c r="G2785" s="7">
        <v>0</v>
      </c>
      <c r="H2785" s="7">
        <v>81211.819999998</v>
      </c>
      <c r="I2785" s="7">
        <v>0</v>
      </c>
      <c r="J2785" s="8">
        <v>0</v>
      </c>
      <c r="K2785" s="9" t="str">
        <v/>
      </c>
    </row>
    <row r="2786" spans="1:11">
      <c r="A2786" t="str">
        <v/>
      </c>
      <c r="B2786" s="6">
        <v>0</v>
      </c>
      <c r="C2786" s="7" t="str">
        <v>趣点购浦发</v>
      </c>
      <c r="D2786" s="8">
        <v>0</v>
      </c>
      <c r="E2786" s="7">
        <v>0</v>
      </c>
      <c r="F2786" s="8">
        <v>0</v>
      </c>
      <c r="G2786" s="7">
        <v>0</v>
      </c>
      <c r="H2786" s="7">
        <v>81211.819999998</v>
      </c>
      <c r="I2786" s="7">
        <v>0</v>
      </c>
      <c r="J2786" s="8">
        <v>0</v>
      </c>
      <c r="K2786" s="9" t="str">
        <v/>
      </c>
    </row>
    <row r="2787" spans="1:11">
      <c r="A2787" t="str">
        <v/>
      </c>
      <c r="B2787" s="6">
        <v>0</v>
      </c>
      <c r="C2787" s="7" t="str">
        <v>趣点购浦发</v>
      </c>
      <c r="D2787" s="8">
        <v>0</v>
      </c>
      <c r="E2787" s="7">
        <v>0</v>
      </c>
      <c r="F2787" s="8">
        <v>0</v>
      </c>
      <c r="G2787" s="7">
        <v>0</v>
      </c>
      <c r="H2787" s="7">
        <v>81211.819999998</v>
      </c>
      <c r="I2787" s="7">
        <v>0</v>
      </c>
      <c r="J2787" s="8">
        <v>0</v>
      </c>
      <c r="K2787" s="9" t="str">
        <v/>
      </c>
    </row>
    <row r="2788" spans="1:11">
      <c r="A2788" t="str">
        <v/>
      </c>
      <c r="B2788" s="6">
        <v>0</v>
      </c>
      <c r="C2788" s="7" t="str">
        <v>趣点购浦发</v>
      </c>
      <c r="D2788" s="8">
        <v>0</v>
      </c>
      <c r="E2788" s="7">
        <v>0</v>
      </c>
      <c r="F2788" s="8">
        <v>0</v>
      </c>
      <c r="G2788" s="7">
        <v>0</v>
      </c>
      <c r="H2788" s="7">
        <v>81211.819999998</v>
      </c>
      <c r="I2788" s="7">
        <v>0</v>
      </c>
      <c r="J2788" s="8">
        <v>0</v>
      </c>
      <c r="K2788" s="9" t="str">
        <v/>
      </c>
    </row>
    <row r="2789" spans="1:11">
      <c r="A2789" t="str">
        <v/>
      </c>
      <c r="B2789" s="6">
        <v>0</v>
      </c>
      <c r="C2789" s="7" t="str">
        <v>趣点购浦发</v>
      </c>
      <c r="D2789" s="8">
        <v>0</v>
      </c>
      <c r="E2789" s="7">
        <v>0</v>
      </c>
      <c r="F2789" s="8">
        <v>0</v>
      </c>
      <c r="G2789" s="7">
        <v>0</v>
      </c>
      <c r="H2789" s="7">
        <v>81211.819999998</v>
      </c>
      <c r="I2789" s="7">
        <v>0</v>
      </c>
      <c r="J2789" s="8">
        <v>0</v>
      </c>
      <c r="K2789" s="9" t="str">
        <v/>
      </c>
    </row>
    <row r="2790" spans="1:11">
      <c r="A2790" t="str">
        <v/>
      </c>
      <c r="B2790" s="6">
        <v>0</v>
      </c>
      <c r="C2790" s="7" t="str">
        <v>趣点购浦发</v>
      </c>
      <c r="D2790" s="8">
        <v>0</v>
      </c>
      <c r="E2790" s="7">
        <v>0</v>
      </c>
      <c r="F2790" s="8">
        <v>0</v>
      </c>
      <c r="G2790" s="7">
        <v>0</v>
      </c>
      <c r="H2790" s="7">
        <v>81211.819999998</v>
      </c>
      <c r="I2790" s="7">
        <v>0</v>
      </c>
      <c r="J2790" s="8">
        <v>0</v>
      </c>
      <c r="K2790" s="9" t="str">
        <v/>
      </c>
    </row>
    <row r="2791" spans="1:11">
      <c r="A2791" t="str">
        <v/>
      </c>
      <c r="B2791" s="6">
        <v>0</v>
      </c>
      <c r="C2791" s="7" t="str">
        <v>趣点购浦发</v>
      </c>
      <c r="D2791" s="8">
        <v>0</v>
      </c>
      <c r="E2791" s="7">
        <v>0</v>
      </c>
      <c r="F2791" s="8">
        <v>0</v>
      </c>
      <c r="G2791" s="7">
        <v>0</v>
      </c>
      <c r="H2791" s="7">
        <v>81211.819999998</v>
      </c>
      <c r="I2791" s="7">
        <v>0</v>
      </c>
      <c r="J2791" s="8">
        <v>0</v>
      </c>
      <c r="K2791" s="9" t="str">
        <v/>
      </c>
    </row>
    <row r="2792" spans="1:11">
      <c r="A2792" t="str">
        <v/>
      </c>
      <c r="B2792" s="6">
        <v>0</v>
      </c>
      <c r="C2792" s="7" t="str">
        <v>趣点购浦发</v>
      </c>
      <c r="D2792" s="8">
        <v>0</v>
      </c>
      <c r="E2792" s="7">
        <v>0</v>
      </c>
      <c r="F2792" s="8">
        <v>0</v>
      </c>
      <c r="G2792" s="7">
        <v>0</v>
      </c>
      <c r="H2792" s="7">
        <v>81211.819999998</v>
      </c>
      <c r="I2792" s="7">
        <v>0</v>
      </c>
      <c r="J2792" s="8">
        <v>0</v>
      </c>
      <c r="K2792" s="9" t="str">
        <v/>
      </c>
    </row>
    <row r="2793" spans="1:11">
      <c r="A2793" t="str">
        <v/>
      </c>
      <c r="B2793" s="6">
        <v>0</v>
      </c>
      <c r="C2793" s="7" t="str">
        <v>趣点购浦发</v>
      </c>
      <c r="D2793" s="8">
        <v>0</v>
      </c>
      <c r="E2793" s="7">
        <v>0</v>
      </c>
      <c r="F2793" s="8">
        <v>0</v>
      </c>
      <c r="G2793" s="7">
        <v>0</v>
      </c>
      <c r="H2793" s="7">
        <v>81211.819999998</v>
      </c>
      <c r="I2793" s="7">
        <v>0</v>
      </c>
      <c r="J2793" s="8">
        <v>0</v>
      </c>
      <c r="K2793" s="9" t="str">
        <v/>
      </c>
    </row>
    <row r="2794" spans="1:11">
      <c r="A2794" t="str">
        <v/>
      </c>
      <c r="B2794" s="6">
        <v>0</v>
      </c>
      <c r="C2794" s="7" t="str">
        <v>趣点购浦发</v>
      </c>
      <c r="D2794" s="8">
        <v>0</v>
      </c>
      <c r="E2794" s="7">
        <v>0</v>
      </c>
      <c r="F2794" s="8">
        <v>0</v>
      </c>
      <c r="G2794" s="7">
        <v>0</v>
      </c>
      <c r="H2794" s="7">
        <v>81211.819999998</v>
      </c>
      <c r="I2794" s="7">
        <v>0</v>
      </c>
      <c r="J2794" s="8">
        <v>0</v>
      </c>
      <c r="K2794" s="9" t="str">
        <v/>
      </c>
    </row>
    <row r="2795" spans="1:11">
      <c r="A2795" t="str">
        <v/>
      </c>
      <c r="B2795" s="6">
        <v>0</v>
      </c>
      <c r="C2795" s="7" t="str">
        <v>趣点购浦发</v>
      </c>
      <c r="D2795" s="8">
        <v>0</v>
      </c>
      <c r="E2795" s="7">
        <v>0</v>
      </c>
      <c r="F2795" s="8">
        <v>0</v>
      </c>
      <c r="G2795" s="7">
        <v>0</v>
      </c>
      <c r="H2795" s="7">
        <v>81211.819999998</v>
      </c>
      <c r="I2795" s="7">
        <v>0</v>
      </c>
      <c r="J2795" s="8">
        <v>0</v>
      </c>
      <c r="K2795" s="9" t="str">
        <v/>
      </c>
    </row>
    <row r="2796" spans="1:11">
      <c r="A2796" t="str">
        <v/>
      </c>
      <c r="B2796" s="6">
        <v>0</v>
      </c>
      <c r="C2796" s="7" t="str">
        <v>趣点购浦发</v>
      </c>
      <c r="D2796" s="8">
        <v>0</v>
      </c>
      <c r="E2796" s="7">
        <v>0</v>
      </c>
      <c r="F2796" s="8">
        <v>0</v>
      </c>
      <c r="G2796" s="7">
        <v>0</v>
      </c>
      <c r="H2796" s="7">
        <v>81211.819999998</v>
      </c>
      <c r="I2796" s="7">
        <v>0</v>
      </c>
      <c r="J2796" s="8">
        <v>0</v>
      </c>
      <c r="K2796" s="9" t="str">
        <v/>
      </c>
    </row>
    <row r="2797" spans="1:11">
      <c r="A2797" t="str">
        <v/>
      </c>
      <c r="B2797" s="6">
        <v>0</v>
      </c>
      <c r="C2797" s="7" t="str">
        <v>趣点购浦发</v>
      </c>
      <c r="D2797" s="8">
        <v>0</v>
      </c>
      <c r="E2797" s="7">
        <v>0</v>
      </c>
      <c r="F2797" s="8">
        <v>0</v>
      </c>
      <c r="G2797" s="7">
        <v>0</v>
      </c>
      <c r="H2797" s="7">
        <v>81211.819999998</v>
      </c>
      <c r="I2797" s="7">
        <v>0</v>
      </c>
      <c r="J2797" s="8">
        <v>0</v>
      </c>
      <c r="K2797" s="9" t="str">
        <v/>
      </c>
    </row>
    <row r="2798" spans="1:11">
      <c r="A2798" t="str">
        <v/>
      </c>
      <c r="B2798" s="6">
        <v>0</v>
      </c>
      <c r="C2798" s="7" t="str">
        <v>趣点购浦发</v>
      </c>
      <c r="D2798" s="8">
        <v>0</v>
      </c>
      <c r="E2798" s="7">
        <v>0</v>
      </c>
      <c r="F2798" s="8">
        <v>0</v>
      </c>
      <c r="G2798" s="7">
        <v>0</v>
      </c>
      <c r="H2798" s="7">
        <v>81211.819999998</v>
      </c>
      <c r="I2798" s="7">
        <v>0</v>
      </c>
      <c r="J2798" s="8">
        <v>0</v>
      </c>
      <c r="K2798" s="9" t="str">
        <v/>
      </c>
    </row>
    <row r="2799" spans="1:11">
      <c r="A2799" t="str">
        <v/>
      </c>
      <c r="B2799" s="6">
        <v>0</v>
      </c>
      <c r="C2799" s="7" t="str">
        <v>趣点购浦发</v>
      </c>
      <c r="D2799" s="8">
        <v>0</v>
      </c>
      <c r="E2799" s="7">
        <v>0</v>
      </c>
      <c r="F2799" s="8">
        <v>0</v>
      </c>
      <c r="G2799" s="7">
        <v>0</v>
      </c>
      <c r="H2799" s="7">
        <v>81211.819999998</v>
      </c>
      <c r="I2799" s="7">
        <v>0</v>
      </c>
      <c r="J2799" s="8">
        <v>0</v>
      </c>
      <c r="K2799" s="9" t="str">
        <v/>
      </c>
    </row>
    <row r="2800" spans="1:11">
      <c r="A2800" t="str">
        <v/>
      </c>
      <c r="B2800" s="6">
        <v>0</v>
      </c>
      <c r="C2800" s="7" t="str">
        <v>趣点购浦发</v>
      </c>
      <c r="D2800" s="8">
        <v>0</v>
      </c>
      <c r="E2800" s="7">
        <v>0</v>
      </c>
      <c r="F2800" s="8">
        <v>0</v>
      </c>
      <c r="G2800" s="7">
        <v>0</v>
      </c>
      <c r="H2800" s="7">
        <v>81211.819999998</v>
      </c>
      <c r="I2800" s="7">
        <v>0</v>
      </c>
      <c r="J2800" s="8">
        <v>0</v>
      </c>
      <c r="K2800" s="9" t="str">
        <v/>
      </c>
    </row>
    <row r="2801" spans="1:11">
      <c r="A2801" t="str">
        <v/>
      </c>
      <c r="B2801" s="6">
        <v>0</v>
      </c>
      <c r="C2801" s="7" t="str">
        <v>趣点购浦发</v>
      </c>
      <c r="D2801" s="8">
        <v>0</v>
      </c>
      <c r="E2801" s="7">
        <v>0</v>
      </c>
      <c r="F2801" s="8">
        <v>0</v>
      </c>
      <c r="G2801" s="7">
        <v>0</v>
      </c>
      <c r="H2801" s="7">
        <v>81211.819999998</v>
      </c>
      <c r="I2801" s="7">
        <v>0</v>
      </c>
      <c r="J2801" s="8">
        <v>0</v>
      </c>
      <c r="K2801" s="9" t="str">
        <v/>
      </c>
    </row>
    <row r="2802" spans="1:11">
      <c r="A2802" t="str">
        <v/>
      </c>
      <c r="B2802" s="6">
        <v>0</v>
      </c>
      <c r="C2802" s="7" t="str">
        <v>趣点购浦发</v>
      </c>
      <c r="D2802" s="8">
        <v>0</v>
      </c>
      <c r="E2802" s="7">
        <v>0</v>
      </c>
      <c r="F2802" s="8">
        <v>0</v>
      </c>
      <c r="G2802" s="7">
        <v>0</v>
      </c>
      <c r="H2802" s="7">
        <v>81211.819999998</v>
      </c>
      <c r="I2802" s="7">
        <v>0</v>
      </c>
      <c r="J2802" s="8">
        <v>0</v>
      </c>
      <c r="K2802" s="9" t="str">
        <v/>
      </c>
    </row>
    <row r="2803" spans="1:11">
      <c r="A2803" t="str">
        <v/>
      </c>
      <c r="B2803" s="6">
        <v>0</v>
      </c>
      <c r="C2803" s="7" t="str">
        <v>趣点购浦发</v>
      </c>
      <c r="D2803" s="8">
        <v>0</v>
      </c>
      <c r="E2803" s="7">
        <v>0</v>
      </c>
      <c r="F2803" s="8">
        <v>0</v>
      </c>
      <c r="G2803" s="7">
        <v>0</v>
      </c>
      <c r="H2803" s="7">
        <v>81211.819999998</v>
      </c>
      <c r="I2803" s="7">
        <v>0</v>
      </c>
      <c r="J2803" s="8">
        <v>0</v>
      </c>
      <c r="K2803" s="9" t="str">
        <v/>
      </c>
    </row>
    <row r="2804" spans="1:11">
      <c r="A2804" t="str">
        <v/>
      </c>
      <c r="B2804" s="6">
        <v>0</v>
      </c>
      <c r="C2804" s="7" t="str">
        <v>趣点购浦发</v>
      </c>
      <c r="D2804" s="8">
        <v>0</v>
      </c>
      <c r="E2804" s="7">
        <v>0</v>
      </c>
      <c r="F2804" s="8">
        <v>0</v>
      </c>
      <c r="G2804" s="7">
        <v>0</v>
      </c>
      <c r="H2804" s="7">
        <v>81211.819999998</v>
      </c>
      <c r="I2804" s="7">
        <v>0</v>
      </c>
      <c r="J2804" s="8">
        <v>0</v>
      </c>
      <c r="K2804" s="9" t="str">
        <v/>
      </c>
    </row>
    <row r="2805" spans="1:11">
      <c r="A2805" t="str">
        <v/>
      </c>
      <c r="B2805" s="6">
        <v>0</v>
      </c>
      <c r="C2805" s="7" t="str">
        <v>趣点购浦发</v>
      </c>
      <c r="D2805" s="8">
        <v>0</v>
      </c>
      <c r="E2805" s="7">
        <v>0</v>
      </c>
      <c r="F2805" s="8">
        <v>0</v>
      </c>
      <c r="G2805" s="7">
        <v>0</v>
      </c>
      <c r="H2805" s="7">
        <v>81211.819999998</v>
      </c>
      <c r="I2805" s="7">
        <v>0</v>
      </c>
      <c r="J2805" s="8">
        <v>0</v>
      </c>
      <c r="K2805" s="9" t="str">
        <v/>
      </c>
    </row>
    <row r="2806" spans="1:11">
      <c r="A2806" t="str">
        <v/>
      </c>
      <c r="B2806" s="6">
        <v>0</v>
      </c>
      <c r="C2806" s="7" t="str">
        <v>趣点购浦发</v>
      </c>
      <c r="D2806" s="8">
        <v>0</v>
      </c>
      <c r="E2806" s="7">
        <v>0</v>
      </c>
      <c r="F2806" s="8">
        <v>0</v>
      </c>
      <c r="G2806" s="7">
        <v>0</v>
      </c>
      <c r="H2806" s="7">
        <v>81211.819999998</v>
      </c>
      <c r="I2806" s="7">
        <v>0</v>
      </c>
      <c r="J2806" s="8">
        <v>0</v>
      </c>
      <c r="K2806" s="9" t="str">
        <v/>
      </c>
    </row>
    <row r="2807" spans="1:11">
      <c r="A2807" t="str">
        <v/>
      </c>
      <c r="B2807" s="6">
        <v>0</v>
      </c>
      <c r="C2807" s="7" t="str">
        <v>趣点购浦发</v>
      </c>
      <c r="D2807" s="8">
        <v>0</v>
      </c>
      <c r="E2807" s="7">
        <v>0</v>
      </c>
      <c r="F2807" s="8">
        <v>0</v>
      </c>
      <c r="G2807" s="7">
        <v>0</v>
      </c>
      <c r="H2807" s="7">
        <v>81211.819999998</v>
      </c>
      <c r="I2807" s="7">
        <v>0</v>
      </c>
      <c r="J2807" s="8">
        <v>0</v>
      </c>
      <c r="K2807" s="9" t="str">
        <v/>
      </c>
    </row>
    <row r="2808" spans="1:11">
      <c r="A2808" t="str">
        <v/>
      </c>
      <c r="B2808" s="6">
        <v>0</v>
      </c>
      <c r="C2808" s="7" t="str">
        <v>趣点购浦发</v>
      </c>
      <c r="D2808" s="8">
        <v>0</v>
      </c>
      <c r="E2808" s="7">
        <v>0</v>
      </c>
      <c r="F2808" s="8">
        <v>0</v>
      </c>
      <c r="G2808" s="7">
        <v>0</v>
      </c>
      <c r="H2808" s="7">
        <v>81211.819999998</v>
      </c>
      <c r="I2808" s="7">
        <v>0</v>
      </c>
      <c r="J2808" s="8">
        <v>0</v>
      </c>
      <c r="K2808" s="9" t="str">
        <v/>
      </c>
    </row>
    <row r="2809" spans="1:11">
      <c r="A2809" t="str">
        <v/>
      </c>
      <c r="B2809" s="6">
        <v>0</v>
      </c>
      <c r="C2809" s="7" t="str">
        <v>趣点购浦发</v>
      </c>
      <c r="D2809" s="8">
        <v>0</v>
      </c>
      <c r="E2809" s="7">
        <v>0</v>
      </c>
      <c r="F2809" s="8">
        <v>0</v>
      </c>
      <c r="G2809" s="7">
        <v>0</v>
      </c>
      <c r="H2809" s="7">
        <v>81211.819999998</v>
      </c>
      <c r="I2809" s="7">
        <v>0</v>
      </c>
      <c r="J2809" s="8">
        <v>0</v>
      </c>
      <c r="K2809" s="9" t="str">
        <v/>
      </c>
    </row>
    <row r="2810" spans="1:11">
      <c r="A2810" t="str">
        <v/>
      </c>
      <c r="B2810" s="6">
        <v>0</v>
      </c>
      <c r="C2810" s="7" t="str">
        <v>趣点购浦发</v>
      </c>
      <c r="D2810" s="8">
        <v>0</v>
      </c>
      <c r="E2810" s="7">
        <v>0</v>
      </c>
      <c r="F2810" s="8">
        <v>0</v>
      </c>
      <c r="G2810" s="7">
        <v>0</v>
      </c>
      <c r="H2810" s="7">
        <v>81211.819999998</v>
      </c>
      <c r="I2810" s="7">
        <v>0</v>
      </c>
      <c r="J2810" s="8">
        <v>0</v>
      </c>
      <c r="K2810" s="9" t="str">
        <v/>
      </c>
    </row>
    <row r="2811" spans="1:11">
      <c r="A2811" t="str">
        <v/>
      </c>
      <c r="B2811" s="6">
        <v>0</v>
      </c>
      <c r="C2811" s="7" t="str">
        <v>趣点购浦发</v>
      </c>
      <c r="D2811" s="8">
        <v>0</v>
      </c>
      <c r="E2811" s="7">
        <v>0</v>
      </c>
      <c r="F2811" s="8">
        <v>0</v>
      </c>
      <c r="G2811" s="7">
        <v>0</v>
      </c>
      <c r="H2811" s="7">
        <v>81211.819999998</v>
      </c>
      <c r="I2811" s="7">
        <v>0</v>
      </c>
      <c r="J2811" s="8">
        <v>0</v>
      </c>
      <c r="K2811" s="9" t="str">
        <v/>
      </c>
    </row>
    <row r="2812" spans="1:11">
      <c r="A2812" t="str">
        <v/>
      </c>
      <c r="B2812" s="6">
        <v>0</v>
      </c>
      <c r="C2812" s="7" t="str">
        <v>趣点购浦发</v>
      </c>
      <c r="D2812" s="8">
        <v>0</v>
      </c>
      <c r="E2812" s="7">
        <v>0</v>
      </c>
      <c r="F2812" s="8">
        <v>0</v>
      </c>
      <c r="G2812" s="7">
        <v>0</v>
      </c>
      <c r="H2812" s="7">
        <v>81211.819999998</v>
      </c>
      <c r="I2812" s="7">
        <v>0</v>
      </c>
      <c r="J2812" s="8">
        <v>0</v>
      </c>
      <c r="K2812" s="9" t="str">
        <v/>
      </c>
    </row>
    <row r="2813" spans="1:11">
      <c r="A2813" t="str">
        <v/>
      </c>
      <c r="B2813" s="6">
        <v>0</v>
      </c>
      <c r="C2813" s="7" t="str">
        <v>趣点购浦发</v>
      </c>
      <c r="D2813" s="8">
        <v>0</v>
      </c>
      <c r="E2813" s="7">
        <v>0</v>
      </c>
      <c r="F2813" s="8">
        <v>0</v>
      </c>
      <c r="G2813" s="7">
        <v>0</v>
      </c>
      <c r="H2813" s="7">
        <v>81211.819999998</v>
      </c>
      <c r="I2813" s="7">
        <v>0</v>
      </c>
      <c r="J2813" s="8">
        <v>0</v>
      </c>
      <c r="K2813" s="9" t="str">
        <v/>
      </c>
    </row>
    <row r="2814" spans="1:11">
      <c r="A2814" t="str">
        <v/>
      </c>
      <c r="B2814" s="6">
        <v>0</v>
      </c>
      <c r="C2814" s="7" t="str">
        <v>趣点购浦发</v>
      </c>
      <c r="D2814" s="8">
        <v>0</v>
      </c>
      <c r="E2814" s="7">
        <v>0</v>
      </c>
      <c r="F2814" s="8">
        <v>0</v>
      </c>
      <c r="G2814" s="7">
        <v>0</v>
      </c>
      <c r="H2814" s="7">
        <v>81211.819999998</v>
      </c>
      <c r="I2814" s="7">
        <v>0</v>
      </c>
      <c r="J2814" s="8">
        <v>0</v>
      </c>
      <c r="K2814" s="9" t="str">
        <v/>
      </c>
    </row>
    <row r="2815" spans="1:11">
      <c r="A2815" t="str">
        <v/>
      </c>
      <c r="B2815" s="6">
        <v>0</v>
      </c>
      <c r="C2815" s="7" t="str">
        <v>趣点购浦发</v>
      </c>
      <c r="D2815" s="8">
        <v>0</v>
      </c>
      <c r="E2815" s="7">
        <v>0</v>
      </c>
      <c r="F2815" s="8">
        <v>0</v>
      </c>
      <c r="G2815" s="7">
        <v>0</v>
      </c>
      <c r="H2815" s="7">
        <v>81211.819999998</v>
      </c>
      <c r="I2815" s="7">
        <v>0</v>
      </c>
      <c r="J2815" s="8">
        <v>0</v>
      </c>
      <c r="K2815" s="9" t="str">
        <v/>
      </c>
    </row>
    <row r="2816" spans="1:11">
      <c r="A2816" t="str">
        <v/>
      </c>
      <c r="B2816" s="6">
        <v>0</v>
      </c>
      <c r="C2816" s="7" t="str">
        <v>趣点购浦发</v>
      </c>
      <c r="D2816" s="8">
        <v>0</v>
      </c>
      <c r="E2816" s="7">
        <v>0</v>
      </c>
      <c r="F2816" s="8">
        <v>0</v>
      </c>
      <c r="G2816" s="7">
        <v>0</v>
      </c>
      <c r="H2816" s="7">
        <v>81211.819999998</v>
      </c>
      <c r="I2816" s="7">
        <v>0</v>
      </c>
      <c r="J2816" s="8">
        <v>0</v>
      </c>
      <c r="K2816" s="9" t="str">
        <v/>
      </c>
    </row>
    <row r="2817" spans="1:11">
      <c r="A2817" t="str">
        <v/>
      </c>
      <c r="B2817" s="6">
        <v>0</v>
      </c>
      <c r="C2817" s="7" t="str">
        <v>趣点购浦发</v>
      </c>
      <c r="D2817" s="8">
        <v>0</v>
      </c>
      <c r="E2817" s="7">
        <v>0</v>
      </c>
      <c r="F2817" s="8">
        <v>0</v>
      </c>
      <c r="G2817" s="7">
        <v>0</v>
      </c>
      <c r="H2817" s="7">
        <v>81211.819999998</v>
      </c>
      <c r="I2817" s="7">
        <v>0</v>
      </c>
      <c r="J2817" s="8">
        <v>0</v>
      </c>
      <c r="K2817" s="9" t="str">
        <v/>
      </c>
    </row>
    <row r="2818" spans="1:11">
      <c r="A2818" t="str">
        <v/>
      </c>
      <c r="B2818" s="6">
        <v>0</v>
      </c>
      <c r="C2818" s="7" t="str">
        <v>趣点购浦发</v>
      </c>
      <c r="D2818" s="8">
        <v>0</v>
      </c>
      <c r="E2818" s="7">
        <v>0</v>
      </c>
      <c r="F2818" s="8">
        <v>0</v>
      </c>
      <c r="G2818" s="7">
        <v>0</v>
      </c>
      <c r="H2818" s="7">
        <v>81211.819999998</v>
      </c>
      <c r="I2818" s="7">
        <v>0</v>
      </c>
      <c r="J2818" s="8">
        <v>0</v>
      </c>
      <c r="K2818" s="9" t="str">
        <v/>
      </c>
    </row>
    <row r="2819" spans="1:11">
      <c r="A2819" t="str">
        <v/>
      </c>
      <c r="B2819" s="6">
        <v>0</v>
      </c>
      <c r="C2819" s="7" t="str">
        <v>趣点购浦发</v>
      </c>
      <c r="D2819" s="8">
        <v>0</v>
      </c>
      <c r="E2819" s="7">
        <v>0</v>
      </c>
      <c r="F2819" s="8">
        <v>0</v>
      </c>
      <c r="G2819" s="7">
        <v>0</v>
      </c>
      <c r="H2819" s="7">
        <v>81211.819999998</v>
      </c>
      <c r="I2819" s="7">
        <v>0</v>
      </c>
      <c r="J2819" s="8">
        <v>0</v>
      </c>
      <c r="K2819" s="9" t="str">
        <v/>
      </c>
    </row>
    <row r="2820" spans="1:11">
      <c r="A2820" t="str">
        <v/>
      </c>
      <c r="B2820" s="6">
        <v>0</v>
      </c>
      <c r="C2820" s="7" t="str">
        <v>趣点购浦发</v>
      </c>
      <c r="D2820" s="8">
        <v>0</v>
      </c>
      <c r="E2820" s="7">
        <v>0</v>
      </c>
      <c r="F2820" s="8">
        <v>0</v>
      </c>
      <c r="G2820" s="7">
        <v>0</v>
      </c>
      <c r="H2820" s="7">
        <v>81211.819999998</v>
      </c>
      <c r="I2820" s="7">
        <v>0</v>
      </c>
      <c r="J2820" s="8">
        <v>0</v>
      </c>
      <c r="K2820" s="9" t="str">
        <v/>
      </c>
    </row>
    <row r="2821" spans="1:11">
      <c r="A2821" t="str">
        <v/>
      </c>
      <c r="B2821" s="6">
        <v>0</v>
      </c>
      <c r="C2821" s="7" t="str">
        <v>趣点购浦发</v>
      </c>
      <c r="D2821" s="8">
        <v>0</v>
      </c>
      <c r="E2821" s="7">
        <v>0</v>
      </c>
      <c r="F2821" s="8">
        <v>0</v>
      </c>
      <c r="G2821" s="7">
        <v>0</v>
      </c>
      <c r="H2821" s="7">
        <v>81211.819999998</v>
      </c>
      <c r="I2821" s="7">
        <v>0</v>
      </c>
      <c r="J2821" s="8">
        <v>0</v>
      </c>
      <c r="K2821" s="9" t="str">
        <v/>
      </c>
    </row>
    <row r="2822" spans="1:11">
      <c r="A2822" t="str">
        <v/>
      </c>
      <c r="B2822" s="6">
        <v>0</v>
      </c>
      <c r="C2822" s="7" t="str">
        <v>趣点购浦发</v>
      </c>
      <c r="D2822" s="8">
        <v>0</v>
      </c>
      <c r="E2822" s="7">
        <v>0</v>
      </c>
      <c r="F2822" s="8">
        <v>0</v>
      </c>
      <c r="G2822" s="7">
        <v>0</v>
      </c>
      <c r="H2822" s="7">
        <v>81211.819999998</v>
      </c>
      <c r="I2822" s="7">
        <v>0</v>
      </c>
      <c r="J2822" s="8">
        <v>0</v>
      </c>
      <c r="K2822" s="9" t="str">
        <v/>
      </c>
    </row>
    <row r="2823" spans="1:11">
      <c r="A2823" t="str">
        <v/>
      </c>
      <c r="B2823" s="6">
        <v>0</v>
      </c>
      <c r="C2823" s="7" t="str">
        <v>趣点购浦发</v>
      </c>
      <c r="D2823" s="8">
        <v>0</v>
      </c>
      <c r="E2823" s="7">
        <v>0</v>
      </c>
      <c r="F2823" s="8">
        <v>0</v>
      </c>
      <c r="G2823" s="7">
        <v>0</v>
      </c>
      <c r="H2823" s="7">
        <v>81211.819999998</v>
      </c>
      <c r="I2823" s="7">
        <v>0</v>
      </c>
      <c r="J2823" s="8">
        <v>0</v>
      </c>
      <c r="K2823" s="9" t="str">
        <v/>
      </c>
    </row>
    <row r="2824" spans="1:11">
      <c r="A2824" t="str">
        <v/>
      </c>
      <c r="B2824" s="6">
        <v>0</v>
      </c>
      <c r="C2824" s="7" t="str">
        <v>趣点购浦发</v>
      </c>
      <c r="D2824" s="8">
        <v>0</v>
      </c>
      <c r="E2824" s="7">
        <v>0</v>
      </c>
      <c r="F2824" s="8">
        <v>0</v>
      </c>
      <c r="G2824" s="7">
        <v>0</v>
      </c>
      <c r="H2824" s="7">
        <v>81211.819999998</v>
      </c>
      <c r="I2824" s="7">
        <v>0</v>
      </c>
      <c r="J2824" s="8">
        <v>0</v>
      </c>
      <c r="K2824" s="9" t="str">
        <v/>
      </c>
    </row>
    <row r="2825" spans="1:11">
      <c r="A2825" t="str">
        <v/>
      </c>
      <c r="B2825" s="6">
        <v>0</v>
      </c>
      <c r="C2825" s="7" t="str">
        <v>趣点购浦发</v>
      </c>
      <c r="D2825" s="8">
        <v>0</v>
      </c>
      <c r="E2825" s="7">
        <v>0</v>
      </c>
      <c r="F2825" s="8">
        <v>0</v>
      </c>
      <c r="G2825" s="7">
        <v>0</v>
      </c>
      <c r="H2825" s="7">
        <v>81211.819999998</v>
      </c>
      <c r="I2825" s="7">
        <v>0</v>
      </c>
      <c r="J2825" s="8">
        <v>0</v>
      </c>
      <c r="K2825" s="9" t="str">
        <v/>
      </c>
    </row>
    <row r="2826" spans="1:11">
      <c r="A2826" t="str">
        <v/>
      </c>
      <c r="B2826" s="6">
        <v>0</v>
      </c>
      <c r="C2826" s="7" t="str">
        <v>趣点购浦发</v>
      </c>
      <c r="D2826" s="8">
        <v>0</v>
      </c>
      <c r="E2826" s="7">
        <v>0</v>
      </c>
      <c r="F2826" s="8">
        <v>0</v>
      </c>
      <c r="G2826" s="7">
        <v>0</v>
      </c>
      <c r="H2826" s="7">
        <v>81211.819999998</v>
      </c>
      <c r="I2826" s="7">
        <v>0</v>
      </c>
      <c r="J2826" s="8">
        <v>0</v>
      </c>
      <c r="K2826" s="9" t="str">
        <v/>
      </c>
    </row>
    <row r="2827" spans="1:11">
      <c r="A2827" t="str">
        <v/>
      </c>
      <c r="B2827" s="6">
        <v>0</v>
      </c>
      <c r="C2827" s="7" t="str">
        <v>趣点购浦发</v>
      </c>
      <c r="D2827" s="8">
        <v>0</v>
      </c>
      <c r="E2827" s="7">
        <v>0</v>
      </c>
      <c r="F2827" s="8">
        <v>0</v>
      </c>
      <c r="G2827" s="7">
        <v>0</v>
      </c>
      <c r="H2827" s="7">
        <v>81211.819999998</v>
      </c>
      <c r="I2827" s="7">
        <v>0</v>
      </c>
      <c r="J2827" s="8">
        <v>0</v>
      </c>
      <c r="K2827" s="9" t="str">
        <v/>
      </c>
    </row>
    <row r="2828" spans="1:11">
      <c r="A2828" t="str">
        <v/>
      </c>
      <c r="B2828" s="6">
        <v>0</v>
      </c>
      <c r="C2828" s="7" t="str">
        <v>趣点购浦发</v>
      </c>
      <c r="D2828" s="8">
        <v>0</v>
      </c>
      <c r="E2828" s="7">
        <v>0</v>
      </c>
      <c r="F2828" s="8">
        <v>0</v>
      </c>
      <c r="G2828" s="7">
        <v>0</v>
      </c>
      <c r="H2828" s="7">
        <v>81211.819999998</v>
      </c>
      <c r="I2828" s="7">
        <v>0</v>
      </c>
      <c r="J2828" s="8">
        <v>0</v>
      </c>
      <c r="K2828" s="9" t="str">
        <v/>
      </c>
    </row>
    <row r="2829" spans="1:11">
      <c r="A2829" t="str">
        <v/>
      </c>
      <c r="B2829" s="6">
        <v>0</v>
      </c>
      <c r="C2829" s="7" t="str">
        <v>趣点购浦发</v>
      </c>
      <c r="D2829" s="8">
        <v>0</v>
      </c>
      <c r="E2829" s="7">
        <v>0</v>
      </c>
      <c r="F2829" s="8">
        <v>0</v>
      </c>
      <c r="G2829" s="7">
        <v>0</v>
      </c>
      <c r="H2829" s="7">
        <v>81211.819999998</v>
      </c>
      <c r="I2829" s="7">
        <v>0</v>
      </c>
      <c r="J2829" s="8">
        <v>0</v>
      </c>
      <c r="K2829" s="9" t="str">
        <v/>
      </c>
    </row>
    <row r="2830" spans="1:11">
      <c r="A2830" t="str">
        <v/>
      </c>
      <c r="B2830" s="6">
        <v>0</v>
      </c>
      <c r="C2830" s="7" t="str">
        <v>趣点购浦发</v>
      </c>
      <c r="D2830" s="8">
        <v>0</v>
      </c>
      <c r="E2830" s="7">
        <v>0</v>
      </c>
      <c r="F2830" s="8">
        <v>0</v>
      </c>
      <c r="G2830" s="7">
        <v>0</v>
      </c>
      <c r="H2830" s="7">
        <v>81211.819999998</v>
      </c>
      <c r="I2830" s="7">
        <v>0</v>
      </c>
      <c r="J2830" s="8">
        <v>0</v>
      </c>
      <c r="K2830" s="9" t="str">
        <v/>
      </c>
    </row>
    <row r="2831" spans="1:11">
      <c r="A2831" t="str">
        <v/>
      </c>
      <c r="B2831" s="6">
        <v>0</v>
      </c>
      <c r="C2831" s="7" t="str">
        <v>趣点购浦发</v>
      </c>
      <c r="D2831" s="8">
        <v>0</v>
      </c>
      <c r="E2831" s="7">
        <v>0</v>
      </c>
      <c r="F2831" s="8">
        <v>0</v>
      </c>
      <c r="G2831" s="7">
        <v>0</v>
      </c>
      <c r="H2831" s="7">
        <v>81211.819999998</v>
      </c>
      <c r="I2831" s="7">
        <v>0</v>
      </c>
      <c r="J2831" s="8">
        <v>0</v>
      </c>
      <c r="K2831" s="9" t="str">
        <v/>
      </c>
    </row>
    <row r="2832" spans="1:11">
      <c r="A2832" t="str">
        <v/>
      </c>
      <c r="B2832" s="6">
        <v>0</v>
      </c>
      <c r="C2832" s="7" t="str">
        <v>趣点购浦发</v>
      </c>
      <c r="D2832" s="8">
        <v>0</v>
      </c>
      <c r="E2832" s="7">
        <v>0</v>
      </c>
      <c r="F2832" s="8">
        <v>0</v>
      </c>
      <c r="G2832" s="7">
        <v>0</v>
      </c>
      <c r="H2832" s="7">
        <v>81211.819999998</v>
      </c>
      <c r="I2832" s="7">
        <v>0</v>
      </c>
      <c r="J2832" s="8">
        <v>0</v>
      </c>
      <c r="K2832" s="9" t="str">
        <v/>
      </c>
    </row>
    <row r="2833" spans="1:11">
      <c r="A2833" t="str">
        <v/>
      </c>
      <c r="B2833" s="6">
        <v>0</v>
      </c>
      <c r="C2833" s="7" t="str">
        <v>趣点购浦发</v>
      </c>
      <c r="D2833" s="8">
        <v>0</v>
      </c>
      <c r="E2833" s="7">
        <v>0</v>
      </c>
      <c r="F2833" s="8">
        <v>0</v>
      </c>
      <c r="G2833" s="7">
        <v>0</v>
      </c>
      <c r="H2833" s="7">
        <v>81211.819999998</v>
      </c>
      <c r="I2833" s="7">
        <v>0</v>
      </c>
      <c r="J2833" s="8">
        <v>0</v>
      </c>
      <c r="K2833" s="9" t="str">
        <v/>
      </c>
    </row>
    <row r="2834" spans="1:11">
      <c r="A2834" t="str">
        <v/>
      </c>
      <c r="B2834" s="6">
        <v>0</v>
      </c>
      <c r="C2834" s="7" t="str">
        <v>趣点购浦发</v>
      </c>
      <c r="D2834" s="8">
        <v>0</v>
      </c>
      <c r="E2834" s="7">
        <v>0</v>
      </c>
      <c r="F2834" s="8">
        <v>0</v>
      </c>
      <c r="G2834" s="7">
        <v>0</v>
      </c>
      <c r="H2834" s="7">
        <v>81211.819999998</v>
      </c>
      <c r="I2834" s="7">
        <v>0</v>
      </c>
      <c r="J2834" s="8">
        <v>0</v>
      </c>
      <c r="K2834" s="9" t="str">
        <v/>
      </c>
    </row>
    <row r="2835" spans="1:11">
      <c r="A2835" t="str">
        <v/>
      </c>
      <c r="B2835" s="6">
        <v>0</v>
      </c>
      <c r="C2835" s="7" t="str">
        <v>趣点购浦发</v>
      </c>
      <c r="D2835" s="8">
        <v>0</v>
      </c>
      <c r="E2835" s="7">
        <v>0</v>
      </c>
      <c r="F2835" s="8">
        <v>0</v>
      </c>
      <c r="G2835" s="7">
        <v>0</v>
      </c>
      <c r="H2835" s="7">
        <v>81211.819999998</v>
      </c>
      <c r="I2835" s="7">
        <v>0</v>
      </c>
      <c r="J2835" s="8">
        <v>0</v>
      </c>
      <c r="K2835" s="9" t="str">
        <v/>
      </c>
    </row>
    <row r="2836" spans="1:11">
      <c r="A2836" t="str">
        <v/>
      </c>
      <c r="B2836" s="6">
        <v>0</v>
      </c>
      <c r="C2836" s="7" t="str">
        <v>趣点购浦发</v>
      </c>
      <c r="D2836" s="8">
        <v>0</v>
      </c>
      <c r="E2836" s="7">
        <v>0</v>
      </c>
      <c r="F2836" s="8">
        <v>0</v>
      </c>
      <c r="G2836" s="7">
        <v>0</v>
      </c>
      <c r="H2836" s="7">
        <v>81211.819999998</v>
      </c>
      <c r="I2836" s="7">
        <v>0</v>
      </c>
      <c r="J2836" s="8">
        <v>0</v>
      </c>
      <c r="K2836" s="9" t="str">
        <v/>
      </c>
    </row>
    <row r="2837" spans="1:11">
      <c r="A2837" t="str">
        <v/>
      </c>
      <c r="B2837" s="6">
        <v>0</v>
      </c>
      <c r="C2837" s="7" t="str">
        <v>趣点购浦发</v>
      </c>
      <c r="D2837" s="8">
        <v>0</v>
      </c>
      <c r="E2837" s="7">
        <v>0</v>
      </c>
      <c r="F2837" s="8">
        <v>0</v>
      </c>
      <c r="G2837" s="7">
        <v>0</v>
      </c>
      <c r="H2837" s="7">
        <v>81211.819999998</v>
      </c>
      <c r="I2837" s="7">
        <v>0</v>
      </c>
      <c r="J2837" s="8">
        <v>0</v>
      </c>
      <c r="K2837" s="9" t="str">
        <v/>
      </c>
    </row>
    <row r="2838" spans="1:11">
      <c r="A2838" t="str">
        <v/>
      </c>
      <c r="B2838" s="6">
        <v>0</v>
      </c>
      <c r="C2838" s="7" t="str">
        <v>趣点购浦发</v>
      </c>
      <c r="D2838" s="8">
        <v>0</v>
      </c>
      <c r="E2838" s="7">
        <v>0</v>
      </c>
      <c r="F2838" s="8">
        <v>0</v>
      </c>
      <c r="G2838" s="7">
        <v>0</v>
      </c>
      <c r="H2838" s="7">
        <v>81211.819999998</v>
      </c>
      <c r="I2838" s="7">
        <v>0</v>
      </c>
      <c r="J2838" s="8">
        <v>0</v>
      </c>
      <c r="K2838" s="9" t="str">
        <v/>
      </c>
    </row>
    <row r="2839" spans="1:11">
      <c r="A2839" t="str">
        <v/>
      </c>
      <c r="B2839" s="6">
        <v>0</v>
      </c>
      <c r="C2839" s="7" t="str">
        <v>趣点购浦发</v>
      </c>
      <c r="D2839" s="8">
        <v>0</v>
      </c>
      <c r="E2839" s="7">
        <v>0</v>
      </c>
      <c r="F2839" s="8">
        <v>0</v>
      </c>
      <c r="G2839" s="7">
        <v>0</v>
      </c>
      <c r="H2839" s="7">
        <v>81211.819999998</v>
      </c>
      <c r="I2839" s="7">
        <v>0</v>
      </c>
      <c r="J2839" s="8">
        <v>0</v>
      </c>
      <c r="K2839" s="9" t="str">
        <v/>
      </c>
    </row>
    <row r="2840" spans="1:11">
      <c r="A2840" t="str">
        <v/>
      </c>
      <c r="B2840" s="6">
        <v>0</v>
      </c>
      <c r="C2840" s="7" t="str">
        <v>趣点购浦发</v>
      </c>
      <c r="D2840" s="8">
        <v>0</v>
      </c>
      <c r="E2840" s="7">
        <v>0</v>
      </c>
      <c r="F2840" s="8">
        <v>0</v>
      </c>
      <c r="G2840" s="7">
        <v>0</v>
      </c>
      <c r="H2840" s="7">
        <v>81211.819999998</v>
      </c>
      <c r="I2840" s="7">
        <v>0</v>
      </c>
      <c r="J2840" s="8">
        <v>0</v>
      </c>
      <c r="K2840" s="9" t="str">
        <v/>
      </c>
    </row>
    <row r="2841" spans="1:11">
      <c r="A2841" t="str">
        <v/>
      </c>
      <c r="B2841" s="6">
        <v>0</v>
      </c>
      <c r="C2841" s="7" t="str">
        <v>趣点购浦发</v>
      </c>
      <c r="D2841" s="8">
        <v>0</v>
      </c>
      <c r="E2841" s="7">
        <v>0</v>
      </c>
      <c r="F2841" s="8">
        <v>0</v>
      </c>
      <c r="G2841" s="7">
        <v>0</v>
      </c>
      <c r="H2841" s="7">
        <v>81211.819999998</v>
      </c>
      <c r="I2841" s="7">
        <v>0</v>
      </c>
      <c r="J2841" s="8">
        <v>0</v>
      </c>
      <c r="K2841" s="9" t="str">
        <v/>
      </c>
    </row>
    <row r="2842" spans="1:11">
      <c r="A2842" t="str">
        <v/>
      </c>
      <c r="B2842" s="6">
        <v>0</v>
      </c>
      <c r="C2842" s="7" t="str">
        <v>趣点购浦发</v>
      </c>
      <c r="D2842" s="8">
        <v>0</v>
      </c>
      <c r="E2842" s="7">
        <v>0</v>
      </c>
      <c r="F2842" s="8">
        <v>0</v>
      </c>
      <c r="G2842" s="7">
        <v>0</v>
      </c>
      <c r="H2842" s="7">
        <v>81211.819999998</v>
      </c>
      <c r="I2842" s="7">
        <v>0</v>
      </c>
      <c r="J2842" s="8">
        <v>0</v>
      </c>
      <c r="K2842" s="9" t="str">
        <v/>
      </c>
    </row>
    <row r="2843" spans="1:11">
      <c r="A2843" t="str">
        <v/>
      </c>
      <c r="B2843" s="6">
        <v>0</v>
      </c>
      <c r="C2843" s="7" t="str">
        <v>趣点购浦发</v>
      </c>
      <c r="D2843" s="8">
        <v>0</v>
      </c>
      <c r="E2843" s="7">
        <v>0</v>
      </c>
      <c r="F2843" s="8">
        <v>0</v>
      </c>
      <c r="G2843" s="7">
        <v>0</v>
      </c>
      <c r="H2843" s="7">
        <v>81211.819999998</v>
      </c>
      <c r="I2843" s="7">
        <v>0</v>
      </c>
      <c r="J2843" s="8">
        <v>0</v>
      </c>
      <c r="K2843" s="9" t="str">
        <v/>
      </c>
    </row>
    <row r="2844" spans="1:11">
      <c r="A2844" t="str">
        <v/>
      </c>
      <c r="B2844" s="6">
        <v>0</v>
      </c>
      <c r="C2844" s="7" t="str">
        <v>趣点购浦发</v>
      </c>
      <c r="D2844" s="8">
        <v>0</v>
      </c>
      <c r="E2844" s="7">
        <v>0</v>
      </c>
      <c r="F2844" s="8">
        <v>0</v>
      </c>
      <c r="G2844" s="7">
        <v>0</v>
      </c>
      <c r="H2844" s="7">
        <v>81211.819999998</v>
      </c>
      <c r="I2844" s="7">
        <v>0</v>
      </c>
      <c r="J2844" s="8">
        <v>0</v>
      </c>
      <c r="K2844" s="9" t="str">
        <v/>
      </c>
    </row>
    <row r="2845" spans="1:11">
      <c r="A2845" t="str">
        <v/>
      </c>
      <c r="B2845" s="6">
        <v>0</v>
      </c>
      <c r="C2845" s="7" t="str">
        <v>趣点购浦发</v>
      </c>
      <c r="D2845" s="8">
        <v>0</v>
      </c>
      <c r="E2845" s="7">
        <v>0</v>
      </c>
      <c r="F2845" s="8">
        <v>0</v>
      </c>
      <c r="G2845" s="7">
        <v>0</v>
      </c>
      <c r="H2845" s="7">
        <v>81211.819999998</v>
      </c>
      <c r="I2845" s="7">
        <v>0</v>
      </c>
      <c r="J2845" s="8">
        <v>0</v>
      </c>
      <c r="K2845" s="9" t="str">
        <v/>
      </c>
    </row>
    <row r="2846" spans="1:11">
      <c r="A2846" t="str">
        <v/>
      </c>
      <c r="B2846" s="6">
        <v>0</v>
      </c>
      <c r="C2846" s="7" t="str">
        <v>趣点购浦发</v>
      </c>
      <c r="D2846" s="8">
        <v>0</v>
      </c>
      <c r="E2846" s="7">
        <v>0</v>
      </c>
      <c r="F2846" s="8">
        <v>0</v>
      </c>
      <c r="G2846" s="7">
        <v>0</v>
      </c>
      <c r="H2846" s="7">
        <v>81211.819999998</v>
      </c>
      <c r="I2846" s="7">
        <v>0</v>
      </c>
      <c r="J2846" s="8">
        <v>0</v>
      </c>
      <c r="K2846" s="9" t="str">
        <v/>
      </c>
    </row>
    <row r="2847" spans="1:11">
      <c r="A2847" t="str">
        <v/>
      </c>
      <c r="B2847" s="6">
        <v>0</v>
      </c>
      <c r="C2847" s="7" t="str">
        <v>趣点购浦发</v>
      </c>
      <c r="D2847" s="8">
        <v>0</v>
      </c>
      <c r="E2847" s="7">
        <v>0</v>
      </c>
      <c r="F2847" s="8">
        <v>0</v>
      </c>
      <c r="G2847" s="7">
        <v>0</v>
      </c>
      <c r="H2847" s="7">
        <v>81211.819999998</v>
      </c>
      <c r="I2847" s="7">
        <v>0</v>
      </c>
      <c r="J2847" s="8">
        <v>0</v>
      </c>
      <c r="K2847" s="9" t="str">
        <v/>
      </c>
    </row>
    <row r="2848" spans="1:11">
      <c r="A2848" t="str">
        <v/>
      </c>
      <c r="B2848" s="6">
        <v>0</v>
      </c>
      <c r="C2848" s="7" t="str">
        <v>趣点购浦发</v>
      </c>
      <c r="D2848" s="8">
        <v>0</v>
      </c>
      <c r="E2848" s="7">
        <v>0</v>
      </c>
      <c r="F2848" s="8">
        <v>0</v>
      </c>
      <c r="G2848" s="7">
        <v>0</v>
      </c>
      <c r="H2848" s="7">
        <v>81211.819999998</v>
      </c>
      <c r="I2848" s="7">
        <v>0</v>
      </c>
      <c r="J2848" s="8">
        <v>0</v>
      </c>
      <c r="K2848" s="9" t="str">
        <v/>
      </c>
    </row>
    <row r="2849" spans="1:11">
      <c r="A2849" t="str">
        <v/>
      </c>
      <c r="B2849" s="6">
        <v>0</v>
      </c>
      <c r="C2849" s="7" t="str">
        <v>趣点购浦发</v>
      </c>
      <c r="D2849" s="8">
        <v>0</v>
      </c>
      <c r="E2849" s="7">
        <v>0</v>
      </c>
      <c r="F2849" s="8">
        <v>0</v>
      </c>
      <c r="G2849" s="7">
        <v>0</v>
      </c>
      <c r="H2849" s="7">
        <v>81211.819999998</v>
      </c>
      <c r="I2849" s="7">
        <v>0</v>
      </c>
      <c r="J2849" s="8">
        <v>0</v>
      </c>
      <c r="K2849" s="9" t="str">
        <v/>
      </c>
    </row>
    <row r="2850" spans="1:11">
      <c r="A2850" t="str">
        <v/>
      </c>
      <c r="B2850" s="6">
        <v>0</v>
      </c>
      <c r="C2850" s="7" t="str">
        <v>趣点购浦发</v>
      </c>
      <c r="D2850" s="8">
        <v>0</v>
      </c>
      <c r="E2850" s="7">
        <v>0</v>
      </c>
      <c r="F2850" s="8">
        <v>0</v>
      </c>
      <c r="G2850" s="7">
        <v>0</v>
      </c>
      <c r="H2850" s="7">
        <v>81211.819999998</v>
      </c>
      <c r="I2850" s="7">
        <v>0</v>
      </c>
      <c r="J2850" s="8">
        <v>0</v>
      </c>
      <c r="K2850" s="9" t="str">
        <v/>
      </c>
    </row>
    <row r="2851" spans="1:11">
      <c r="A2851" t="str">
        <v/>
      </c>
      <c r="B2851" s="6">
        <v>0</v>
      </c>
      <c r="C2851" s="7" t="str">
        <v>趣点购浦发</v>
      </c>
      <c r="D2851" s="8">
        <v>0</v>
      </c>
      <c r="E2851" s="7">
        <v>0</v>
      </c>
      <c r="F2851" s="8">
        <v>0</v>
      </c>
      <c r="G2851" s="7">
        <v>0</v>
      </c>
      <c r="H2851" s="7">
        <v>81211.819999998</v>
      </c>
      <c r="I2851" s="7">
        <v>0</v>
      </c>
      <c r="J2851" s="8">
        <v>0</v>
      </c>
      <c r="K2851" s="9" t="str">
        <v/>
      </c>
    </row>
    <row r="2852" spans="1:11">
      <c r="A2852" t="str">
        <v/>
      </c>
      <c r="B2852" s="6">
        <v>0</v>
      </c>
      <c r="C2852" s="7" t="str">
        <v>趣点购浦发</v>
      </c>
      <c r="D2852" s="8">
        <v>0</v>
      </c>
      <c r="E2852" s="7">
        <v>0</v>
      </c>
      <c r="F2852" s="8">
        <v>0</v>
      </c>
      <c r="G2852" s="7">
        <v>0</v>
      </c>
      <c r="H2852" s="7">
        <v>81211.819999998</v>
      </c>
      <c r="I2852" s="7">
        <v>0</v>
      </c>
      <c r="J2852" s="8">
        <v>0</v>
      </c>
      <c r="K2852" s="9" t="str">
        <v/>
      </c>
    </row>
    <row r="2853" spans="1:11">
      <c r="A2853" t="str">
        <v/>
      </c>
      <c r="B2853" s="6">
        <v>0</v>
      </c>
      <c r="C2853" s="7" t="str">
        <v>趣点购浦发</v>
      </c>
      <c r="D2853" s="8">
        <v>0</v>
      </c>
      <c r="E2853" s="7">
        <v>0</v>
      </c>
      <c r="F2853" s="8">
        <v>0</v>
      </c>
      <c r="G2853" s="7">
        <v>0</v>
      </c>
      <c r="H2853" s="7">
        <v>81211.819999998</v>
      </c>
      <c r="I2853" s="7">
        <v>0</v>
      </c>
      <c r="J2853" s="8">
        <v>0</v>
      </c>
      <c r="K2853" s="9" t="str">
        <v/>
      </c>
    </row>
    <row r="2854" spans="1:11">
      <c r="A2854" t="str">
        <v/>
      </c>
      <c r="B2854" s="6">
        <v>0</v>
      </c>
      <c r="C2854" s="7" t="str">
        <v>趣点购浦发</v>
      </c>
      <c r="D2854" s="8">
        <v>0</v>
      </c>
      <c r="E2854" s="7">
        <v>0</v>
      </c>
      <c r="F2854" s="8">
        <v>0</v>
      </c>
      <c r="G2854" s="7">
        <v>0</v>
      </c>
      <c r="H2854" s="7">
        <v>81211.819999998</v>
      </c>
      <c r="I2854" s="7">
        <v>0</v>
      </c>
      <c r="J2854" s="8">
        <v>0</v>
      </c>
      <c r="K2854" s="9" t="str">
        <v/>
      </c>
    </row>
    <row r="2855" spans="1:11">
      <c r="A2855" t="str">
        <v/>
      </c>
      <c r="B2855" s="6">
        <v>0</v>
      </c>
      <c r="C2855" s="7" t="str">
        <v>趣点购浦发</v>
      </c>
      <c r="D2855" s="8">
        <v>0</v>
      </c>
      <c r="E2855" s="7">
        <v>0</v>
      </c>
      <c r="F2855" s="8">
        <v>0</v>
      </c>
      <c r="G2855" s="7">
        <v>0</v>
      </c>
      <c r="H2855" s="7">
        <v>81211.819999998</v>
      </c>
      <c r="I2855" s="7">
        <v>0</v>
      </c>
      <c r="J2855" s="8">
        <v>0</v>
      </c>
      <c r="K2855" s="9" t="str">
        <v/>
      </c>
    </row>
    <row r="2856" spans="1:11">
      <c r="A2856" t="str">
        <v/>
      </c>
      <c r="B2856" s="6">
        <v>0</v>
      </c>
      <c r="C2856" s="7" t="str">
        <v>趣点购浦发</v>
      </c>
      <c r="D2856" s="8">
        <v>0</v>
      </c>
      <c r="E2856" s="7">
        <v>0</v>
      </c>
      <c r="F2856" s="8">
        <v>0</v>
      </c>
      <c r="G2856" s="7">
        <v>0</v>
      </c>
      <c r="H2856" s="7">
        <v>81211.819999998</v>
      </c>
      <c r="I2856" s="7">
        <v>0</v>
      </c>
      <c r="J2856" s="8">
        <v>0</v>
      </c>
      <c r="K2856" s="9" t="str">
        <v/>
      </c>
    </row>
    <row r="2857" spans="1:11">
      <c r="A2857" t="str">
        <v/>
      </c>
      <c r="B2857" s="6">
        <v>0</v>
      </c>
      <c r="C2857" s="7" t="str">
        <v>趣点购浦发</v>
      </c>
      <c r="D2857" s="8">
        <v>0</v>
      </c>
      <c r="E2857" s="7">
        <v>0</v>
      </c>
      <c r="F2857" s="8">
        <v>0</v>
      </c>
      <c r="G2857" s="7">
        <v>0</v>
      </c>
      <c r="H2857" s="7">
        <v>81211.819999998</v>
      </c>
      <c r="I2857" s="7">
        <v>0</v>
      </c>
      <c r="J2857" s="8">
        <v>0</v>
      </c>
      <c r="K2857" s="9" t="str">
        <v/>
      </c>
    </row>
    <row r="2858" spans="1:11">
      <c r="A2858" t="str">
        <v/>
      </c>
      <c r="B2858" s="6">
        <v>0</v>
      </c>
      <c r="C2858" s="7" t="str">
        <v>趣点购浦发</v>
      </c>
      <c r="D2858" s="8">
        <v>0</v>
      </c>
      <c r="E2858" s="7">
        <v>0</v>
      </c>
      <c r="F2858" s="8">
        <v>0</v>
      </c>
      <c r="G2858" s="7">
        <v>0</v>
      </c>
      <c r="H2858" s="7">
        <v>81211.819999998</v>
      </c>
      <c r="I2858" s="7">
        <v>0</v>
      </c>
      <c r="J2858" s="8">
        <v>0</v>
      </c>
      <c r="K2858" s="9" t="str">
        <v/>
      </c>
    </row>
    <row r="2859" spans="1:11">
      <c r="A2859" t="str">
        <v/>
      </c>
      <c r="B2859" s="6">
        <v>0</v>
      </c>
      <c r="C2859" s="7" t="str">
        <v>趣点购浦发</v>
      </c>
      <c r="D2859" s="8">
        <v>0</v>
      </c>
      <c r="E2859" s="7">
        <v>0</v>
      </c>
      <c r="F2859" s="8">
        <v>0</v>
      </c>
      <c r="G2859" s="7">
        <v>0</v>
      </c>
      <c r="H2859" s="7">
        <v>81211.819999998</v>
      </c>
      <c r="I2859" s="7">
        <v>0</v>
      </c>
      <c r="J2859" s="8">
        <v>0</v>
      </c>
      <c r="K2859" s="9" t="str">
        <v/>
      </c>
    </row>
    <row r="2860" spans="1:11">
      <c r="A2860" t="str">
        <v/>
      </c>
      <c r="B2860" s="6">
        <v>0</v>
      </c>
      <c r="C2860" s="7" t="str">
        <v>趣点购浦发</v>
      </c>
      <c r="D2860" s="8">
        <v>0</v>
      </c>
      <c r="E2860" s="7">
        <v>0</v>
      </c>
      <c r="F2860" s="8">
        <v>0</v>
      </c>
      <c r="G2860" s="7">
        <v>0</v>
      </c>
      <c r="H2860" s="7">
        <v>81211.819999998</v>
      </c>
      <c r="I2860" s="7">
        <v>0</v>
      </c>
      <c r="J2860" s="8">
        <v>0</v>
      </c>
      <c r="K2860" s="9" t="str">
        <v/>
      </c>
    </row>
    <row r="2861" spans="1:11">
      <c r="A2861" t="str">
        <v/>
      </c>
      <c r="B2861" s="6">
        <v>0</v>
      </c>
      <c r="C2861" s="7" t="str">
        <v>趣点购浦发</v>
      </c>
      <c r="D2861" s="8">
        <v>0</v>
      </c>
      <c r="E2861" s="7">
        <v>0</v>
      </c>
      <c r="F2861" s="8">
        <v>0</v>
      </c>
      <c r="G2861" s="7">
        <v>0</v>
      </c>
      <c r="H2861" s="7">
        <v>81211.819999998</v>
      </c>
      <c r="I2861" s="7">
        <v>0</v>
      </c>
      <c r="J2861" s="8">
        <v>0</v>
      </c>
      <c r="K2861" s="9" t="str">
        <v/>
      </c>
    </row>
    <row r="2862" spans="1:11">
      <c r="A2862" t="str">
        <v/>
      </c>
      <c r="B2862" s="6">
        <v>0</v>
      </c>
      <c r="C2862" s="7" t="str">
        <v>趣点购浦发</v>
      </c>
      <c r="D2862" s="8">
        <v>0</v>
      </c>
      <c r="E2862" s="7">
        <v>0</v>
      </c>
      <c r="F2862" s="8">
        <v>0</v>
      </c>
      <c r="G2862" s="7">
        <v>0</v>
      </c>
      <c r="H2862" s="7">
        <v>81211.819999998</v>
      </c>
      <c r="I2862" s="7">
        <v>0</v>
      </c>
      <c r="J2862" s="8">
        <v>0</v>
      </c>
      <c r="K2862" s="9" t="str">
        <v/>
      </c>
    </row>
    <row r="2863" spans="1:11">
      <c r="A2863" t="str">
        <v/>
      </c>
      <c r="B2863" s="6">
        <v>0</v>
      </c>
      <c r="C2863" s="7" t="str">
        <v>趣点购浦发</v>
      </c>
      <c r="D2863" s="8">
        <v>0</v>
      </c>
      <c r="E2863" s="7">
        <v>0</v>
      </c>
      <c r="F2863" s="8">
        <v>0</v>
      </c>
      <c r="G2863" s="7">
        <v>0</v>
      </c>
      <c r="H2863" s="7">
        <v>81211.819999998</v>
      </c>
      <c r="I2863" s="7">
        <v>0</v>
      </c>
      <c r="J2863" s="8">
        <v>0</v>
      </c>
      <c r="K2863" s="9" t="str">
        <v/>
      </c>
    </row>
    <row r="2864" spans="1:11">
      <c r="A2864" t="str">
        <v/>
      </c>
      <c r="B2864" s="6">
        <v>0</v>
      </c>
      <c r="C2864" s="7" t="str">
        <v>趣点购浦发</v>
      </c>
      <c r="D2864" s="8">
        <v>0</v>
      </c>
      <c r="E2864" s="7">
        <v>0</v>
      </c>
      <c r="F2864" s="8">
        <v>0</v>
      </c>
      <c r="G2864" s="7">
        <v>0</v>
      </c>
      <c r="H2864" s="7">
        <v>81211.819999998</v>
      </c>
      <c r="I2864" s="7">
        <v>0</v>
      </c>
      <c r="J2864" s="8">
        <v>0</v>
      </c>
      <c r="K2864" s="9" t="str">
        <v/>
      </c>
    </row>
    <row r="2865" spans="1:11">
      <c r="A2865" t="str">
        <v/>
      </c>
      <c r="B2865" s="6">
        <v>0</v>
      </c>
      <c r="C2865" s="7" t="str">
        <v>趣点购浦发</v>
      </c>
      <c r="D2865" s="8">
        <v>0</v>
      </c>
      <c r="E2865" s="7">
        <v>0</v>
      </c>
      <c r="F2865" s="8">
        <v>0</v>
      </c>
      <c r="G2865" s="7">
        <v>0</v>
      </c>
      <c r="H2865" s="7">
        <v>81211.819999998</v>
      </c>
      <c r="I2865" s="7">
        <v>0</v>
      </c>
      <c r="J2865" s="8">
        <v>0</v>
      </c>
      <c r="K2865" s="9" t="str">
        <v/>
      </c>
    </row>
    <row r="2866" spans="1:11">
      <c r="A2866" t="str">
        <v/>
      </c>
      <c r="B2866" s="6">
        <v>0</v>
      </c>
      <c r="C2866" s="7" t="str">
        <v>趣点购浦发</v>
      </c>
      <c r="D2866" s="8">
        <v>0</v>
      </c>
      <c r="E2866" s="7">
        <v>0</v>
      </c>
      <c r="F2866" s="8">
        <v>0</v>
      </c>
      <c r="G2866" s="7">
        <v>0</v>
      </c>
      <c r="H2866" s="7">
        <v>81211.819999998</v>
      </c>
      <c r="I2866" s="7">
        <v>0</v>
      </c>
      <c r="J2866" s="8">
        <v>0</v>
      </c>
      <c r="K2866" s="9" t="str">
        <v/>
      </c>
    </row>
    <row r="2867" spans="1:11">
      <c r="A2867" t="str">
        <v/>
      </c>
      <c r="B2867" s="6">
        <v>0</v>
      </c>
      <c r="C2867" s="7" t="str">
        <v>趣点购浦发</v>
      </c>
      <c r="D2867" s="8">
        <v>0</v>
      </c>
      <c r="E2867" s="7">
        <v>0</v>
      </c>
      <c r="F2867" s="8">
        <v>0</v>
      </c>
      <c r="G2867" s="7">
        <v>0</v>
      </c>
      <c r="H2867" s="7">
        <v>81211.819999998</v>
      </c>
      <c r="I2867" s="7">
        <v>0</v>
      </c>
      <c r="J2867" s="8">
        <v>0</v>
      </c>
      <c r="K2867" s="9" t="str">
        <v/>
      </c>
    </row>
    <row r="2868" spans="1:11">
      <c r="A2868" t="str">
        <v/>
      </c>
      <c r="B2868" s="6">
        <v>0</v>
      </c>
      <c r="C2868" s="7" t="str">
        <v>趣点购浦发</v>
      </c>
      <c r="D2868" s="8">
        <v>0</v>
      </c>
      <c r="E2868" s="7">
        <v>0</v>
      </c>
      <c r="F2868" s="8">
        <v>0</v>
      </c>
      <c r="G2868" s="7">
        <v>0</v>
      </c>
      <c r="H2868" s="7">
        <v>81211.819999998</v>
      </c>
      <c r="I2868" s="7">
        <v>0</v>
      </c>
      <c r="J2868" s="8">
        <v>0</v>
      </c>
      <c r="K2868" s="9" t="str">
        <v/>
      </c>
    </row>
    <row r="2869" spans="1:11">
      <c r="A2869" t="str">
        <v/>
      </c>
      <c r="B2869" s="6">
        <v>0</v>
      </c>
      <c r="C2869" s="7" t="str">
        <v>趣点购浦发</v>
      </c>
      <c r="D2869" s="8">
        <v>0</v>
      </c>
      <c r="E2869" s="7">
        <v>0</v>
      </c>
      <c r="F2869" s="8">
        <v>0</v>
      </c>
      <c r="G2869" s="7">
        <v>0</v>
      </c>
      <c r="H2869" s="7">
        <v>81211.819999998</v>
      </c>
      <c r="I2869" s="7">
        <v>0</v>
      </c>
      <c r="J2869" s="8">
        <v>0</v>
      </c>
      <c r="K2869" s="9" t="str">
        <v/>
      </c>
    </row>
    <row r="2870" spans="1:11">
      <c r="A2870" t="str">
        <v/>
      </c>
      <c r="B2870" s="6">
        <v>0</v>
      </c>
      <c r="C2870" s="7" t="str">
        <v>趣点购浦发</v>
      </c>
      <c r="D2870" s="8">
        <v>0</v>
      </c>
      <c r="E2870" s="7">
        <v>0</v>
      </c>
      <c r="F2870" s="8">
        <v>0</v>
      </c>
      <c r="G2870" s="7">
        <v>0</v>
      </c>
      <c r="H2870" s="7">
        <v>81211.819999998</v>
      </c>
      <c r="I2870" s="7">
        <v>0</v>
      </c>
      <c r="J2870" s="8">
        <v>0</v>
      </c>
      <c r="K2870" s="9" t="str">
        <v/>
      </c>
    </row>
    <row r="2871" spans="1:11">
      <c r="A2871" t="str">
        <v/>
      </c>
      <c r="B2871" s="6">
        <v>0</v>
      </c>
      <c r="C2871" s="7" t="str">
        <v>趣点购浦发</v>
      </c>
      <c r="D2871" s="8">
        <v>0</v>
      </c>
      <c r="E2871" s="7">
        <v>0</v>
      </c>
      <c r="F2871" s="8">
        <v>0</v>
      </c>
      <c r="G2871" s="7">
        <v>0</v>
      </c>
      <c r="H2871" s="7">
        <v>81211.819999998</v>
      </c>
      <c r="I2871" s="7">
        <v>0</v>
      </c>
      <c r="J2871" s="8">
        <v>0</v>
      </c>
      <c r="K2871" s="9" t="str">
        <v/>
      </c>
    </row>
    <row r="2872" spans="1:11">
      <c r="A2872" t="str">
        <v/>
      </c>
      <c r="B2872" s="6">
        <v>0</v>
      </c>
      <c r="C2872" s="7" t="str">
        <v>趣点购浦发</v>
      </c>
      <c r="D2872" s="8">
        <v>0</v>
      </c>
      <c r="E2872" s="7">
        <v>0</v>
      </c>
      <c r="F2872" s="8">
        <v>0</v>
      </c>
      <c r="G2872" s="7">
        <v>0</v>
      </c>
      <c r="H2872" s="7">
        <v>81211.819999998</v>
      </c>
      <c r="I2872" s="7">
        <v>0</v>
      </c>
      <c r="J2872" s="8">
        <v>0</v>
      </c>
      <c r="K2872" s="9" t="str">
        <v/>
      </c>
    </row>
    <row r="2873" spans="1:11">
      <c r="A2873" t="str">
        <v/>
      </c>
      <c r="B2873" s="6">
        <v>0</v>
      </c>
      <c r="C2873" s="7" t="str">
        <v>趣点购浦发</v>
      </c>
      <c r="D2873" s="8">
        <v>0</v>
      </c>
      <c r="E2873" s="7">
        <v>0</v>
      </c>
      <c r="F2873" s="8">
        <v>0</v>
      </c>
      <c r="G2873" s="7">
        <v>0</v>
      </c>
      <c r="H2873" s="7">
        <v>81211.819999998</v>
      </c>
      <c r="I2873" s="7">
        <v>0</v>
      </c>
      <c r="J2873" s="8">
        <v>0</v>
      </c>
      <c r="K2873" s="9" t="str">
        <v/>
      </c>
    </row>
    <row r="2874" spans="1:11">
      <c r="A2874" t="str">
        <v/>
      </c>
      <c r="B2874" s="6">
        <v>0</v>
      </c>
      <c r="C2874" s="7" t="str">
        <v>趣点购浦发</v>
      </c>
      <c r="D2874" s="8">
        <v>0</v>
      </c>
      <c r="E2874" s="7">
        <v>0</v>
      </c>
      <c r="F2874" s="8">
        <v>0</v>
      </c>
      <c r="G2874" s="7">
        <v>0</v>
      </c>
      <c r="H2874" s="7">
        <v>81211.819999998</v>
      </c>
      <c r="I2874" s="7">
        <v>0</v>
      </c>
      <c r="J2874" s="8">
        <v>0</v>
      </c>
      <c r="K2874" s="9" t="str">
        <v/>
      </c>
    </row>
    <row r="2875" spans="1:11">
      <c r="A2875" t="str">
        <v/>
      </c>
      <c r="B2875" s="6">
        <v>0</v>
      </c>
      <c r="C2875" s="7" t="str">
        <v>趣点购浦发</v>
      </c>
      <c r="D2875" s="8">
        <v>0</v>
      </c>
      <c r="E2875" s="7">
        <v>0</v>
      </c>
      <c r="F2875" s="8">
        <v>0</v>
      </c>
      <c r="G2875" s="7">
        <v>0</v>
      </c>
      <c r="H2875" s="7">
        <v>81211.819999998</v>
      </c>
      <c r="I2875" s="7">
        <v>0</v>
      </c>
      <c r="J2875" s="8">
        <v>0</v>
      </c>
      <c r="K2875" s="9" t="str">
        <v/>
      </c>
    </row>
    <row r="2876" spans="1:11">
      <c r="A2876" t="str">
        <v/>
      </c>
      <c r="B2876" s="6">
        <v>0</v>
      </c>
      <c r="C2876" s="7" t="str">
        <v>趣点购浦发</v>
      </c>
      <c r="D2876" s="8">
        <v>0</v>
      </c>
      <c r="E2876" s="7">
        <v>0</v>
      </c>
      <c r="F2876" s="8">
        <v>0</v>
      </c>
      <c r="G2876" s="7">
        <v>0</v>
      </c>
      <c r="H2876" s="7">
        <v>81211.819999998</v>
      </c>
      <c r="I2876" s="7">
        <v>0</v>
      </c>
      <c r="J2876" s="8">
        <v>0</v>
      </c>
      <c r="K2876" s="9" t="str">
        <v/>
      </c>
    </row>
    <row r="2877" spans="1:11">
      <c r="A2877" t="str">
        <v/>
      </c>
      <c r="B2877" s="6">
        <v>0</v>
      </c>
      <c r="C2877" s="7" t="str">
        <v>趣点购浦发</v>
      </c>
      <c r="D2877" s="8">
        <v>0</v>
      </c>
      <c r="E2877" s="7">
        <v>0</v>
      </c>
      <c r="F2877" s="8">
        <v>0</v>
      </c>
      <c r="G2877" s="7">
        <v>0</v>
      </c>
      <c r="H2877" s="7">
        <v>81211.819999998</v>
      </c>
      <c r="I2877" s="7">
        <v>0</v>
      </c>
      <c r="J2877" s="8">
        <v>0</v>
      </c>
      <c r="K2877" s="9" t="str">
        <v/>
      </c>
    </row>
    <row r="2878" spans="1:11">
      <c r="A2878" t="str">
        <v/>
      </c>
      <c r="B2878" s="6">
        <v>0</v>
      </c>
      <c r="C2878" s="7" t="str">
        <v>趣点购浦发</v>
      </c>
      <c r="D2878" s="8">
        <v>0</v>
      </c>
      <c r="E2878" s="7">
        <v>0</v>
      </c>
      <c r="F2878" s="8">
        <v>0</v>
      </c>
      <c r="G2878" s="7">
        <v>0</v>
      </c>
      <c r="H2878" s="7">
        <v>81211.819999998</v>
      </c>
      <c r="I2878" s="7">
        <v>0</v>
      </c>
      <c r="J2878" s="8">
        <v>0</v>
      </c>
      <c r="K2878" s="9" t="str">
        <v/>
      </c>
    </row>
    <row r="2879" spans="1:11">
      <c r="A2879" t="str">
        <v/>
      </c>
      <c r="B2879" s="6">
        <v>0</v>
      </c>
      <c r="C2879" s="7" t="str">
        <v>趣点购浦发</v>
      </c>
      <c r="D2879" s="8">
        <v>0</v>
      </c>
      <c r="E2879" s="7">
        <v>0</v>
      </c>
      <c r="F2879" s="8">
        <v>0</v>
      </c>
      <c r="G2879" s="7">
        <v>0</v>
      </c>
      <c r="H2879" s="7">
        <v>81211.819999998</v>
      </c>
      <c r="I2879" s="7">
        <v>0</v>
      </c>
      <c r="J2879" s="8">
        <v>0</v>
      </c>
      <c r="K2879" s="9" t="str">
        <v/>
      </c>
    </row>
    <row r="2880" spans="1:11">
      <c r="A2880" t="str">
        <v/>
      </c>
      <c r="B2880" s="6">
        <v>0</v>
      </c>
      <c r="C2880" s="7" t="str">
        <v>趣点购浦发</v>
      </c>
      <c r="D2880" s="8">
        <v>0</v>
      </c>
      <c r="E2880" s="7">
        <v>0</v>
      </c>
      <c r="F2880" s="8">
        <v>0</v>
      </c>
      <c r="G2880" s="7">
        <v>0</v>
      </c>
      <c r="H2880" s="7">
        <v>81211.819999998</v>
      </c>
      <c r="I2880" s="7">
        <v>0</v>
      </c>
      <c r="J2880" s="8">
        <v>0</v>
      </c>
      <c r="K2880" s="9" t="str">
        <v/>
      </c>
    </row>
    <row r="2881" spans="1:11">
      <c r="A2881" t="str">
        <v/>
      </c>
      <c r="B2881" s="6">
        <v>0</v>
      </c>
      <c r="C2881" s="7" t="str">
        <v>趣点购浦发</v>
      </c>
      <c r="D2881" s="8">
        <v>0</v>
      </c>
      <c r="E2881" s="7">
        <v>0</v>
      </c>
      <c r="F2881" s="8">
        <v>0</v>
      </c>
      <c r="G2881" s="7">
        <v>0</v>
      </c>
      <c r="H2881" s="7">
        <v>81211.819999998</v>
      </c>
      <c r="I2881" s="7">
        <v>0</v>
      </c>
      <c r="J2881" s="8">
        <v>0</v>
      </c>
      <c r="K2881" s="9" t="str">
        <v/>
      </c>
    </row>
    <row r="2882" spans="1:11">
      <c r="A2882" t="str">
        <v/>
      </c>
      <c r="B2882" s="6">
        <v>0</v>
      </c>
      <c r="C2882" s="7" t="str">
        <v>趣点购浦发</v>
      </c>
      <c r="D2882" s="8">
        <v>0</v>
      </c>
      <c r="E2882" s="7">
        <v>0</v>
      </c>
      <c r="F2882" s="8">
        <v>0</v>
      </c>
      <c r="G2882" s="7">
        <v>0</v>
      </c>
      <c r="H2882" s="7">
        <v>81211.819999998</v>
      </c>
      <c r="I2882" s="7">
        <v>0</v>
      </c>
      <c r="J2882" s="8">
        <v>0</v>
      </c>
      <c r="K2882" s="9" t="str">
        <v/>
      </c>
    </row>
    <row r="2883" spans="1:11">
      <c r="A2883" t="str">
        <v/>
      </c>
      <c r="B2883" s="6">
        <v>0</v>
      </c>
      <c r="C2883" s="7" t="str">
        <v>趣点购浦发</v>
      </c>
      <c r="D2883" s="8">
        <v>0</v>
      </c>
      <c r="E2883" s="7">
        <v>0</v>
      </c>
      <c r="F2883" s="8">
        <v>0</v>
      </c>
      <c r="G2883" s="7">
        <v>0</v>
      </c>
      <c r="H2883" s="7">
        <v>81211.819999998</v>
      </c>
      <c r="I2883" s="7">
        <v>0</v>
      </c>
      <c r="J2883" s="8">
        <v>0</v>
      </c>
      <c r="K2883" s="9" t="str">
        <v/>
      </c>
    </row>
    <row r="2884" spans="1:11">
      <c r="A2884" t="str">
        <v/>
      </c>
      <c r="B2884" s="6">
        <v>0</v>
      </c>
      <c r="C2884" s="7" t="str">
        <v>趣点购浦发</v>
      </c>
      <c r="D2884" s="8">
        <v>0</v>
      </c>
      <c r="E2884" s="7">
        <v>0</v>
      </c>
      <c r="F2884" s="8">
        <v>0</v>
      </c>
      <c r="G2884" s="7">
        <v>0</v>
      </c>
      <c r="H2884" s="7">
        <v>81211.819999998</v>
      </c>
      <c r="I2884" s="7">
        <v>0</v>
      </c>
      <c r="J2884" s="8">
        <v>0</v>
      </c>
      <c r="K2884" s="9" t="str">
        <v/>
      </c>
    </row>
    <row r="2885" spans="1:11">
      <c r="A2885" t="str">
        <v/>
      </c>
      <c r="B2885" s="6">
        <v>0</v>
      </c>
      <c r="C2885" s="7" t="str">
        <v>趣点购浦发</v>
      </c>
      <c r="D2885" s="8">
        <v>0</v>
      </c>
      <c r="E2885" s="7">
        <v>0</v>
      </c>
      <c r="F2885" s="8">
        <v>0</v>
      </c>
      <c r="G2885" s="7">
        <v>0</v>
      </c>
      <c r="H2885" s="7">
        <v>81211.819999998</v>
      </c>
      <c r="I2885" s="7">
        <v>0</v>
      </c>
      <c r="J2885" s="8">
        <v>0</v>
      </c>
      <c r="K2885" s="9" t="str">
        <v/>
      </c>
    </row>
    <row r="2886" spans="1:11">
      <c r="A2886" t="str">
        <v/>
      </c>
      <c r="B2886" s="6">
        <v>0</v>
      </c>
      <c r="C2886" s="7" t="str">
        <v>趣点购浦发</v>
      </c>
      <c r="D2886" s="8">
        <v>0</v>
      </c>
      <c r="E2886" s="7">
        <v>0</v>
      </c>
      <c r="F2886" s="8">
        <v>0</v>
      </c>
      <c r="G2886" s="7">
        <v>0</v>
      </c>
      <c r="H2886" s="7">
        <v>81211.819999998</v>
      </c>
      <c r="I2886" s="7">
        <v>0</v>
      </c>
      <c r="J2886" s="8">
        <v>0</v>
      </c>
      <c r="K2886" s="9" t="str">
        <v/>
      </c>
    </row>
    <row r="2887" spans="1:11">
      <c r="A2887" t="str">
        <v/>
      </c>
      <c r="B2887" s="6">
        <v>0</v>
      </c>
      <c r="C2887" s="7" t="str">
        <v>趣点购浦发</v>
      </c>
      <c r="D2887" s="8">
        <v>0</v>
      </c>
      <c r="E2887" s="7">
        <v>0</v>
      </c>
      <c r="F2887" s="8">
        <v>0</v>
      </c>
      <c r="G2887" s="7">
        <v>0</v>
      </c>
      <c r="H2887" s="7">
        <v>81211.819999998</v>
      </c>
      <c r="I2887" s="7">
        <v>0</v>
      </c>
      <c r="J2887" s="8">
        <v>0</v>
      </c>
      <c r="K2887" s="9" t="str">
        <v/>
      </c>
    </row>
    <row r="2888" spans="1:11">
      <c r="A2888" t="str">
        <v/>
      </c>
      <c r="B2888" s="6">
        <v>0</v>
      </c>
      <c r="C2888" s="7" t="str">
        <v>趣点购浦发</v>
      </c>
      <c r="D2888" s="8">
        <v>0</v>
      </c>
      <c r="E2888" s="7">
        <v>0</v>
      </c>
      <c r="F2888" s="8">
        <v>0</v>
      </c>
      <c r="G2888" s="7">
        <v>0</v>
      </c>
      <c r="H2888" s="7">
        <v>81211.819999998</v>
      </c>
      <c r="I2888" s="7">
        <v>0</v>
      </c>
      <c r="J2888" s="8">
        <v>0</v>
      </c>
      <c r="K2888" s="9" t="str">
        <v/>
      </c>
    </row>
    <row r="2889" spans="1:11">
      <c r="A2889" t="str">
        <v/>
      </c>
      <c r="B2889" s="6">
        <v>0</v>
      </c>
      <c r="C2889" s="7" t="str">
        <v>趣点购浦发</v>
      </c>
      <c r="D2889" s="8">
        <v>0</v>
      </c>
      <c r="E2889" s="7">
        <v>0</v>
      </c>
      <c r="F2889" s="8">
        <v>0</v>
      </c>
      <c r="G2889" s="7">
        <v>0</v>
      </c>
      <c r="H2889" s="7">
        <v>81211.819999998</v>
      </c>
      <c r="I2889" s="7">
        <v>0</v>
      </c>
      <c r="J2889" s="8">
        <v>0</v>
      </c>
      <c r="K2889" s="9" t="str">
        <v/>
      </c>
    </row>
    <row r="2890" spans="1:11">
      <c r="A2890" t="str">
        <v/>
      </c>
      <c r="B2890" s="6">
        <v>0</v>
      </c>
      <c r="C2890" s="7" t="str">
        <v>趣点购浦发</v>
      </c>
      <c r="D2890" s="8">
        <v>0</v>
      </c>
      <c r="E2890" s="7">
        <v>0</v>
      </c>
      <c r="F2890" s="8">
        <v>0</v>
      </c>
      <c r="G2890" s="7">
        <v>0</v>
      </c>
      <c r="H2890" s="7">
        <v>81211.819999998</v>
      </c>
      <c r="I2890" s="7">
        <v>0</v>
      </c>
      <c r="J2890" s="8">
        <v>0</v>
      </c>
      <c r="K2890" s="9" t="str">
        <v/>
      </c>
    </row>
    <row r="2891" spans="1:11">
      <c r="A2891" t="str">
        <v/>
      </c>
      <c r="B2891" s="6">
        <v>0</v>
      </c>
      <c r="C2891" s="7" t="str">
        <v>趣点购浦发</v>
      </c>
      <c r="D2891" s="8">
        <v>0</v>
      </c>
      <c r="E2891" s="7">
        <v>0</v>
      </c>
      <c r="F2891" s="8">
        <v>0</v>
      </c>
      <c r="G2891" s="7">
        <v>0</v>
      </c>
      <c r="H2891" s="7">
        <v>81211.819999998</v>
      </c>
      <c r="I2891" s="7">
        <v>0</v>
      </c>
      <c r="J2891" s="8">
        <v>0</v>
      </c>
      <c r="K2891" s="9" t="str">
        <v/>
      </c>
    </row>
    <row r="2892" spans="1:11">
      <c r="A2892" t="str">
        <v/>
      </c>
      <c r="B2892" s="6">
        <v>0</v>
      </c>
      <c r="C2892" s="7" t="str">
        <v>趣点购浦发</v>
      </c>
      <c r="D2892" s="8">
        <v>0</v>
      </c>
      <c r="E2892" s="7">
        <v>0</v>
      </c>
      <c r="F2892" s="8">
        <v>0</v>
      </c>
      <c r="G2892" s="7">
        <v>0</v>
      </c>
      <c r="H2892" s="7">
        <v>81211.819999998</v>
      </c>
      <c r="I2892" s="7">
        <v>0</v>
      </c>
      <c r="J2892" s="8">
        <v>0</v>
      </c>
      <c r="K2892" s="9" t="str">
        <v/>
      </c>
    </row>
    <row r="2893" spans="1:11">
      <c r="A2893" t="str">
        <v/>
      </c>
      <c r="B2893" s="6">
        <v>0</v>
      </c>
      <c r="C2893" s="7" t="str">
        <v>趣点购浦发</v>
      </c>
      <c r="D2893" s="8">
        <v>0</v>
      </c>
      <c r="E2893" s="7">
        <v>0</v>
      </c>
      <c r="F2893" s="8">
        <v>0</v>
      </c>
      <c r="G2893" s="7">
        <v>0</v>
      </c>
      <c r="H2893" s="7">
        <v>81211.819999998</v>
      </c>
      <c r="I2893" s="7">
        <v>0</v>
      </c>
      <c r="J2893" s="8">
        <v>0</v>
      </c>
      <c r="K2893" s="9" t="str">
        <v/>
      </c>
    </row>
    <row r="2894" spans="1:11">
      <c r="A2894" t="str">
        <v/>
      </c>
      <c r="B2894" s="6">
        <v>0</v>
      </c>
      <c r="C2894" s="7" t="str">
        <v>趣点购浦发</v>
      </c>
      <c r="D2894" s="8">
        <v>0</v>
      </c>
      <c r="E2894" s="7">
        <v>0</v>
      </c>
      <c r="F2894" s="8">
        <v>0</v>
      </c>
      <c r="G2894" s="7">
        <v>0</v>
      </c>
      <c r="H2894" s="7">
        <v>81211.819999998</v>
      </c>
      <c r="I2894" s="7">
        <v>0</v>
      </c>
      <c r="J2894" s="8">
        <v>0</v>
      </c>
      <c r="K2894" s="9" t="str">
        <v/>
      </c>
    </row>
    <row r="2895" spans="1:11">
      <c r="A2895" t="str">
        <v/>
      </c>
      <c r="B2895" s="6">
        <v>0</v>
      </c>
      <c r="C2895" s="7" t="str">
        <v>趣点购浦发</v>
      </c>
      <c r="D2895" s="8">
        <v>0</v>
      </c>
      <c r="E2895" s="7">
        <v>0</v>
      </c>
      <c r="F2895" s="8">
        <v>0</v>
      </c>
      <c r="G2895" s="7">
        <v>0</v>
      </c>
      <c r="H2895" s="7">
        <v>81211.819999998</v>
      </c>
      <c r="I2895" s="7">
        <v>0</v>
      </c>
      <c r="J2895" s="8">
        <v>0</v>
      </c>
      <c r="K2895" s="9" t="str">
        <v/>
      </c>
    </row>
    <row r="2896" spans="1:11">
      <c r="A2896" t="str">
        <v/>
      </c>
      <c r="B2896" s="6">
        <v>0</v>
      </c>
      <c r="C2896" s="7" t="str">
        <v>趣点购浦发</v>
      </c>
      <c r="D2896" s="8">
        <v>0</v>
      </c>
      <c r="E2896" s="7">
        <v>0</v>
      </c>
      <c r="F2896" s="8">
        <v>0</v>
      </c>
      <c r="G2896" s="7">
        <v>0</v>
      </c>
      <c r="H2896" s="7">
        <v>81211.819999998</v>
      </c>
      <c r="I2896" s="7">
        <v>0</v>
      </c>
      <c r="J2896" s="8">
        <v>0</v>
      </c>
      <c r="K2896" s="9" t="str">
        <v/>
      </c>
    </row>
    <row r="2897" spans="1:11">
      <c r="A2897" t="str">
        <v/>
      </c>
      <c r="B2897" s="6">
        <v>0</v>
      </c>
      <c r="C2897" s="7" t="str">
        <v>趣点购浦发</v>
      </c>
      <c r="D2897" s="8">
        <v>0</v>
      </c>
      <c r="E2897" s="7">
        <v>0</v>
      </c>
      <c r="F2897" s="8">
        <v>0</v>
      </c>
      <c r="G2897" s="7">
        <v>0</v>
      </c>
      <c r="H2897" s="7">
        <v>81211.819999998</v>
      </c>
      <c r="I2897" s="7">
        <v>0</v>
      </c>
      <c r="J2897" s="8">
        <v>0</v>
      </c>
      <c r="K2897" s="9" t="str">
        <v/>
      </c>
    </row>
    <row r="2898" spans="1:11">
      <c r="A2898" t="str">
        <v/>
      </c>
      <c r="B2898" s="6">
        <v>0</v>
      </c>
      <c r="C2898" s="7" t="str">
        <v>趣点购浦发</v>
      </c>
      <c r="D2898" s="8">
        <v>0</v>
      </c>
      <c r="E2898" s="7">
        <v>0</v>
      </c>
      <c r="F2898" s="8">
        <v>0</v>
      </c>
      <c r="G2898" s="7">
        <v>0</v>
      </c>
      <c r="H2898" s="7">
        <v>81211.819999998</v>
      </c>
      <c r="I2898" s="7">
        <v>0</v>
      </c>
      <c r="J2898" s="8">
        <v>0</v>
      </c>
      <c r="K2898" s="9" t="str">
        <v/>
      </c>
    </row>
    <row r="2899" spans="1:11">
      <c r="A2899" t="str">
        <v/>
      </c>
      <c r="B2899" s="6">
        <v>0</v>
      </c>
      <c r="C2899" s="7" t="str">
        <v>趣点购浦发</v>
      </c>
      <c r="D2899" s="8">
        <v>0</v>
      </c>
      <c r="E2899" s="7">
        <v>0</v>
      </c>
      <c r="F2899" s="8">
        <v>0</v>
      </c>
      <c r="G2899" s="7">
        <v>0</v>
      </c>
      <c r="H2899" s="7">
        <v>81211.819999998</v>
      </c>
      <c r="I2899" s="7">
        <v>0</v>
      </c>
      <c r="J2899" s="8">
        <v>0</v>
      </c>
      <c r="K2899" s="9" t="str">
        <v/>
      </c>
    </row>
    <row r="2900" spans="1:11">
      <c r="A2900" t="str">
        <v/>
      </c>
      <c r="B2900" s="6">
        <v>0</v>
      </c>
      <c r="C2900" s="7" t="str">
        <v>趣点购浦发</v>
      </c>
      <c r="D2900" s="8">
        <v>0</v>
      </c>
      <c r="E2900" s="7">
        <v>0</v>
      </c>
      <c r="F2900" s="8">
        <v>0</v>
      </c>
      <c r="G2900" s="7">
        <v>0</v>
      </c>
      <c r="H2900" s="7">
        <v>81211.819999998</v>
      </c>
      <c r="I2900" s="7">
        <v>0</v>
      </c>
      <c r="J2900" s="8">
        <v>0</v>
      </c>
      <c r="K2900" s="9" t="str">
        <v/>
      </c>
    </row>
    <row r="2901" spans="1:11">
      <c r="A2901" t="str">
        <v/>
      </c>
      <c r="B2901" s="6">
        <v>0</v>
      </c>
      <c r="C2901" s="7" t="str">
        <v>趣点购浦发</v>
      </c>
      <c r="D2901" s="8">
        <v>0</v>
      </c>
      <c r="E2901" s="7">
        <v>0</v>
      </c>
      <c r="F2901" s="8">
        <v>0</v>
      </c>
      <c r="G2901" s="7">
        <v>0</v>
      </c>
      <c r="H2901" s="7">
        <v>81211.819999998</v>
      </c>
      <c r="I2901" s="7">
        <v>0</v>
      </c>
      <c r="J2901" s="8">
        <v>0</v>
      </c>
      <c r="K2901" s="9" t="str">
        <v/>
      </c>
    </row>
    <row r="2902" spans="1:11">
      <c r="A2902" t="str">
        <v/>
      </c>
      <c r="B2902" s="6">
        <v>0</v>
      </c>
      <c r="C2902" s="7" t="str">
        <v>趣点购浦发</v>
      </c>
      <c r="D2902" s="8">
        <v>0</v>
      </c>
      <c r="E2902" s="7">
        <v>0</v>
      </c>
      <c r="F2902" s="8">
        <v>0</v>
      </c>
      <c r="G2902" s="7">
        <v>0</v>
      </c>
      <c r="H2902" s="7">
        <v>81211.819999998</v>
      </c>
      <c r="I2902" s="7">
        <v>0</v>
      </c>
      <c r="J2902" s="8">
        <v>0</v>
      </c>
      <c r="K2902" s="9" t="str">
        <v/>
      </c>
    </row>
    <row r="2903" spans="1:11">
      <c r="A2903" t="str">
        <v/>
      </c>
      <c r="B2903" s="6">
        <v>0</v>
      </c>
      <c r="C2903" s="7" t="str">
        <v>趣点购浦发</v>
      </c>
      <c r="D2903" s="8">
        <v>0</v>
      </c>
      <c r="E2903" s="7">
        <v>0</v>
      </c>
      <c r="F2903" s="8">
        <v>0</v>
      </c>
      <c r="G2903" s="7">
        <v>0</v>
      </c>
      <c r="H2903" s="7">
        <v>81211.819999998</v>
      </c>
      <c r="I2903" s="7">
        <v>0</v>
      </c>
      <c r="J2903" s="8">
        <v>0</v>
      </c>
      <c r="K2903" s="9" t="str">
        <v/>
      </c>
    </row>
    <row r="2904" spans="1:11">
      <c r="A2904" t="str">
        <v/>
      </c>
      <c r="B2904" s="6">
        <v>0</v>
      </c>
      <c r="C2904" s="7" t="str">
        <v>趣点购浦发</v>
      </c>
      <c r="D2904" s="8">
        <v>0</v>
      </c>
      <c r="E2904" s="7">
        <v>0</v>
      </c>
      <c r="F2904" s="8">
        <v>0</v>
      </c>
      <c r="G2904" s="7">
        <v>0</v>
      </c>
      <c r="H2904" s="7">
        <v>81211.819999998</v>
      </c>
      <c r="I2904" s="7">
        <v>0</v>
      </c>
      <c r="J2904" s="8">
        <v>0</v>
      </c>
      <c r="K2904" s="9" t="str">
        <v/>
      </c>
    </row>
    <row r="2905" spans="1:11">
      <c r="A2905" t="str">
        <v/>
      </c>
      <c r="B2905" s="6">
        <v>0</v>
      </c>
      <c r="C2905" s="7" t="str">
        <v>趣点购浦发</v>
      </c>
      <c r="D2905" s="8">
        <v>0</v>
      </c>
      <c r="E2905" s="7">
        <v>0</v>
      </c>
      <c r="F2905" s="8">
        <v>0</v>
      </c>
      <c r="G2905" s="7">
        <v>0</v>
      </c>
      <c r="H2905" s="7">
        <v>81211.819999998</v>
      </c>
      <c r="I2905" s="7">
        <v>0</v>
      </c>
      <c r="J2905" s="8">
        <v>0</v>
      </c>
      <c r="K2905" s="9" t="str">
        <v/>
      </c>
    </row>
    <row r="2906" spans="1:11">
      <c r="A2906" t="str">
        <v/>
      </c>
      <c r="B2906" s="6">
        <v>0</v>
      </c>
      <c r="C2906" s="7" t="str">
        <v>趣点购浦发</v>
      </c>
      <c r="D2906" s="8">
        <v>0</v>
      </c>
      <c r="E2906" s="7">
        <v>0</v>
      </c>
      <c r="F2906" s="8">
        <v>0</v>
      </c>
      <c r="G2906" s="7">
        <v>0</v>
      </c>
      <c r="H2906" s="7">
        <v>81211.819999998</v>
      </c>
      <c r="I2906" s="7">
        <v>0</v>
      </c>
      <c r="J2906" s="8">
        <v>0</v>
      </c>
      <c r="K2906" s="9" t="str">
        <v/>
      </c>
    </row>
    <row r="2907" spans="1:11">
      <c r="A2907" t="str">
        <v/>
      </c>
      <c r="B2907" s="6">
        <v>0</v>
      </c>
      <c r="C2907" s="7" t="str">
        <v>趣点购浦发</v>
      </c>
      <c r="D2907" s="8">
        <v>0</v>
      </c>
      <c r="E2907" s="7">
        <v>0</v>
      </c>
      <c r="F2907" s="8">
        <v>0</v>
      </c>
      <c r="G2907" s="7">
        <v>0</v>
      </c>
      <c r="H2907" s="7">
        <v>81211.819999998</v>
      </c>
      <c r="I2907" s="7">
        <v>0</v>
      </c>
      <c r="J2907" s="8">
        <v>0</v>
      </c>
      <c r="K2907" s="9" t="str">
        <v/>
      </c>
    </row>
    <row r="2908" spans="1:11">
      <c r="A2908" t="str">
        <v/>
      </c>
      <c r="B2908" s="6">
        <v>0</v>
      </c>
      <c r="C2908" s="7" t="str">
        <v>趣点购浦发</v>
      </c>
      <c r="D2908" s="8">
        <v>0</v>
      </c>
      <c r="E2908" s="7">
        <v>0</v>
      </c>
      <c r="F2908" s="8">
        <v>0</v>
      </c>
      <c r="G2908" s="7">
        <v>0</v>
      </c>
      <c r="H2908" s="7">
        <v>81211.819999998</v>
      </c>
      <c r="I2908" s="7">
        <v>0</v>
      </c>
      <c r="J2908" s="8">
        <v>0</v>
      </c>
      <c r="K2908" s="9" t="str">
        <v/>
      </c>
    </row>
    <row r="2909" spans="1:11">
      <c r="A2909" t="str">
        <v/>
      </c>
      <c r="B2909" s="6">
        <v>0</v>
      </c>
      <c r="C2909" s="7" t="str">
        <v>趣点购浦发</v>
      </c>
      <c r="D2909" s="8">
        <v>0</v>
      </c>
      <c r="E2909" s="7">
        <v>0</v>
      </c>
      <c r="F2909" s="8">
        <v>0</v>
      </c>
      <c r="G2909" s="7">
        <v>0</v>
      </c>
      <c r="H2909" s="7">
        <v>81211.819999998</v>
      </c>
      <c r="I2909" s="7">
        <v>0</v>
      </c>
      <c r="J2909" s="8">
        <v>0</v>
      </c>
      <c r="K2909" s="9" t="str">
        <v/>
      </c>
    </row>
    <row r="2910" spans="1:11">
      <c r="A2910" t="str">
        <v/>
      </c>
      <c r="B2910" s="6">
        <v>0</v>
      </c>
      <c r="C2910" s="7" t="str">
        <v>趣点购浦发</v>
      </c>
      <c r="D2910" s="8">
        <v>0</v>
      </c>
      <c r="E2910" s="7">
        <v>0</v>
      </c>
      <c r="F2910" s="8">
        <v>0</v>
      </c>
      <c r="G2910" s="7">
        <v>0</v>
      </c>
      <c r="H2910" s="7">
        <v>81211.819999998</v>
      </c>
      <c r="I2910" s="7">
        <v>0</v>
      </c>
      <c r="J2910" s="8">
        <v>0</v>
      </c>
      <c r="K2910" s="9" t="str">
        <v/>
      </c>
    </row>
    <row r="2911" spans="1:11">
      <c r="A2911" t="str">
        <v/>
      </c>
      <c r="B2911" s="6">
        <v>0</v>
      </c>
      <c r="C2911" s="7" t="str">
        <v>趣点购浦发</v>
      </c>
      <c r="D2911" s="8">
        <v>0</v>
      </c>
      <c r="E2911" s="7">
        <v>0</v>
      </c>
      <c r="F2911" s="8">
        <v>0</v>
      </c>
      <c r="G2911" s="7">
        <v>0</v>
      </c>
      <c r="H2911" s="7">
        <v>81211.819999998</v>
      </c>
      <c r="I2911" s="7">
        <v>0</v>
      </c>
      <c r="J2911" s="8">
        <v>0</v>
      </c>
      <c r="K2911" s="9" t="str">
        <v/>
      </c>
    </row>
    <row r="2912" spans="1:11">
      <c r="A2912" t="str">
        <v/>
      </c>
      <c r="B2912" s="6">
        <v>0</v>
      </c>
      <c r="C2912" s="7" t="str">
        <v>趣点购浦发</v>
      </c>
      <c r="D2912" s="8">
        <v>0</v>
      </c>
      <c r="E2912" s="7">
        <v>0</v>
      </c>
      <c r="F2912" s="8">
        <v>0</v>
      </c>
      <c r="G2912" s="7">
        <v>0</v>
      </c>
      <c r="H2912" s="7">
        <v>81211.819999998</v>
      </c>
      <c r="I2912" s="7">
        <v>0</v>
      </c>
      <c r="J2912" s="8">
        <v>0</v>
      </c>
      <c r="K2912" s="9" t="str">
        <v/>
      </c>
    </row>
    <row r="2913" spans="1:11">
      <c r="A2913" t="str">
        <v/>
      </c>
      <c r="B2913" s="6">
        <v>0</v>
      </c>
      <c r="C2913" s="7" t="str">
        <v>趣点购浦发</v>
      </c>
      <c r="D2913" s="8">
        <v>0</v>
      </c>
      <c r="E2913" s="7">
        <v>0</v>
      </c>
      <c r="F2913" s="8">
        <v>0</v>
      </c>
      <c r="G2913" s="7">
        <v>0</v>
      </c>
      <c r="H2913" s="7">
        <v>81211.819999998</v>
      </c>
      <c r="I2913" s="7">
        <v>0</v>
      </c>
      <c r="J2913" s="8">
        <v>0</v>
      </c>
      <c r="K2913" s="9" t="str">
        <v/>
      </c>
    </row>
    <row r="2914" spans="1:11">
      <c r="A2914" t="str">
        <v/>
      </c>
      <c r="B2914" s="6">
        <v>0</v>
      </c>
      <c r="C2914" s="7" t="str">
        <v>趣点购浦发</v>
      </c>
      <c r="D2914" s="8">
        <v>0</v>
      </c>
      <c r="E2914" s="7">
        <v>0</v>
      </c>
      <c r="F2914" s="8">
        <v>0</v>
      </c>
      <c r="G2914" s="7">
        <v>0</v>
      </c>
      <c r="H2914" s="7">
        <v>81211.819999998</v>
      </c>
      <c r="I2914" s="7">
        <v>0</v>
      </c>
      <c r="J2914" s="8">
        <v>0</v>
      </c>
      <c r="K2914" s="9" t="str">
        <v/>
      </c>
    </row>
    <row r="2915" spans="1:11">
      <c r="A2915" t="str">
        <v/>
      </c>
      <c r="B2915" s="6">
        <v>0</v>
      </c>
      <c r="C2915" s="7" t="str">
        <v>趣点购浦发</v>
      </c>
      <c r="D2915" s="8">
        <v>0</v>
      </c>
      <c r="E2915" s="7">
        <v>0</v>
      </c>
      <c r="F2915" s="8">
        <v>0</v>
      </c>
      <c r="G2915" s="7">
        <v>0</v>
      </c>
      <c r="H2915" s="7">
        <v>81211.819999998</v>
      </c>
      <c r="I2915" s="7">
        <v>0</v>
      </c>
      <c r="J2915" s="8">
        <v>0</v>
      </c>
      <c r="K2915" s="9" t="str">
        <v/>
      </c>
    </row>
    <row r="2916" spans="1:11">
      <c r="A2916" t="str">
        <v/>
      </c>
      <c r="B2916" s="6">
        <v>0</v>
      </c>
      <c r="C2916" s="7" t="str">
        <v>趣点购浦发</v>
      </c>
      <c r="D2916" s="8">
        <v>0</v>
      </c>
      <c r="E2916" s="7">
        <v>0</v>
      </c>
      <c r="F2916" s="8">
        <v>0</v>
      </c>
      <c r="G2916" s="7">
        <v>0</v>
      </c>
      <c r="H2916" s="7">
        <v>81211.819999998</v>
      </c>
      <c r="I2916" s="7">
        <v>0</v>
      </c>
      <c r="J2916" s="8">
        <v>0</v>
      </c>
      <c r="K2916" s="9" t="str">
        <v/>
      </c>
    </row>
    <row r="2917" spans="1:11">
      <c r="A2917" t="str">
        <v/>
      </c>
      <c r="B2917" s="6">
        <v>0</v>
      </c>
      <c r="C2917" s="7" t="str">
        <v>趣点购浦发</v>
      </c>
      <c r="D2917" s="8">
        <v>0</v>
      </c>
      <c r="E2917" s="7">
        <v>0</v>
      </c>
      <c r="F2917" s="8">
        <v>0</v>
      </c>
      <c r="G2917" s="7">
        <v>0</v>
      </c>
      <c r="H2917" s="7">
        <v>81211.819999998</v>
      </c>
      <c r="I2917" s="7">
        <v>0</v>
      </c>
      <c r="J2917" s="8">
        <v>0</v>
      </c>
      <c r="K2917" s="9" t="str">
        <v/>
      </c>
    </row>
    <row r="2918" spans="1:11">
      <c r="A2918" t="str">
        <v/>
      </c>
      <c r="B2918" s="6">
        <v>0</v>
      </c>
      <c r="C2918" s="7" t="str">
        <v>趣点购浦发</v>
      </c>
      <c r="D2918" s="8">
        <v>0</v>
      </c>
      <c r="E2918" s="7">
        <v>0</v>
      </c>
      <c r="F2918" s="8">
        <v>0</v>
      </c>
      <c r="G2918" s="7">
        <v>0</v>
      </c>
      <c r="H2918" s="7">
        <v>81211.819999998</v>
      </c>
      <c r="I2918" s="7">
        <v>0</v>
      </c>
      <c r="J2918" s="8">
        <v>0</v>
      </c>
      <c r="K2918" s="9" t="str">
        <v/>
      </c>
    </row>
    <row r="2919" spans="1:11">
      <c r="A2919" t="str">
        <v/>
      </c>
      <c r="B2919" s="6">
        <v>0</v>
      </c>
      <c r="C2919" s="7" t="str">
        <v>趣点购浦发</v>
      </c>
      <c r="D2919" s="8">
        <v>0</v>
      </c>
      <c r="E2919" s="7">
        <v>0</v>
      </c>
      <c r="F2919" s="8">
        <v>0</v>
      </c>
      <c r="G2919" s="7">
        <v>0</v>
      </c>
      <c r="H2919" s="7">
        <v>81211.819999998</v>
      </c>
      <c r="I2919" s="7">
        <v>0</v>
      </c>
      <c r="J2919" s="8">
        <v>0</v>
      </c>
      <c r="K2919" s="9" t="str">
        <v/>
      </c>
    </row>
    <row r="2920" spans="1:11">
      <c r="A2920" t="str">
        <v/>
      </c>
      <c r="B2920" s="6">
        <v>0</v>
      </c>
      <c r="C2920" s="7" t="str">
        <v>趣点购浦发</v>
      </c>
      <c r="D2920" s="8">
        <v>0</v>
      </c>
      <c r="E2920" s="7">
        <v>0</v>
      </c>
      <c r="F2920" s="8">
        <v>0</v>
      </c>
      <c r="G2920" s="7">
        <v>0</v>
      </c>
      <c r="H2920" s="7">
        <v>81211.819999998</v>
      </c>
      <c r="I2920" s="7">
        <v>0</v>
      </c>
      <c r="J2920" s="8">
        <v>0</v>
      </c>
      <c r="K2920" s="9" t="str">
        <v/>
      </c>
    </row>
    <row r="2921" spans="1:11">
      <c r="A2921" t="str">
        <v/>
      </c>
      <c r="B2921" s="6">
        <v>0</v>
      </c>
      <c r="C2921" s="7" t="str">
        <v>趣点购浦发</v>
      </c>
      <c r="D2921" s="8">
        <v>0</v>
      </c>
      <c r="E2921" s="7">
        <v>0</v>
      </c>
      <c r="F2921" s="8">
        <v>0</v>
      </c>
      <c r="G2921" s="7">
        <v>0</v>
      </c>
      <c r="H2921" s="7">
        <v>81211.819999998</v>
      </c>
      <c r="I2921" s="7">
        <v>0</v>
      </c>
      <c r="J2921" s="8">
        <v>0</v>
      </c>
      <c r="K2921" s="9" t="str">
        <v/>
      </c>
    </row>
    <row r="2922" spans="1:11">
      <c r="A2922" t="str">
        <v/>
      </c>
      <c r="B2922" s="6">
        <v>0</v>
      </c>
      <c r="C2922" s="7" t="str">
        <v>趣点购浦发</v>
      </c>
      <c r="D2922" s="8">
        <v>0</v>
      </c>
      <c r="E2922" s="7">
        <v>0</v>
      </c>
      <c r="F2922" s="8">
        <v>0</v>
      </c>
      <c r="G2922" s="7">
        <v>0</v>
      </c>
      <c r="H2922" s="7">
        <v>81211.819999998</v>
      </c>
      <c r="I2922" s="7">
        <v>0</v>
      </c>
      <c r="J2922" s="8">
        <v>0</v>
      </c>
      <c r="K2922" s="9" t="str">
        <v/>
      </c>
    </row>
    <row r="2923" spans="1:11">
      <c r="A2923" t="str">
        <v/>
      </c>
      <c r="B2923" s="6">
        <v>0</v>
      </c>
      <c r="C2923" s="7" t="str">
        <v>趣点购浦发</v>
      </c>
      <c r="D2923" s="8">
        <v>0</v>
      </c>
      <c r="E2923" s="7">
        <v>0</v>
      </c>
      <c r="F2923" s="8">
        <v>0</v>
      </c>
      <c r="G2923" s="7">
        <v>0</v>
      </c>
      <c r="H2923" s="7">
        <v>81211.819999998</v>
      </c>
      <c r="I2923" s="7">
        <v>0</v>
      </c>
      <c r="J2923" s="8">
        <v>0</v>
      </c>
      <c r="K2923" s="9" t="str">
        <v/>
      </c>
    </row>
    <row r="2924" spans="1:11">
      <c r="A2924" t="str">
        <v/>
      </c>
      <c r="B2924" s="6">
        <v>0</v>
      </c>
      <c r="C2924" s="7" t="str">
        <v>趣点购浦发</v>
      </c>
      <c r="D2924" s="8">
        <v>0</v>
      </c>
      <c r="E2924" s="7">
        <v>0</v>
      </c>
      <c r="F2924" s="8">
        <v>0</v>
      </c>
      <c r="G2924" s="7">
        <v>0</v>
      </c>
      <c r="H2924" s="7">
        <v>81211.819999998</v>
      </c>
      <c r="I2924" s="7">
        <v>0</v>
      </c>
      <c r="J2924" s="8">
        <v>0</v>
      </c>
      <c r="K2924" s="9" t="str">
        <v/>
      </c>
    </row>
    <row r="2925" spans="1:11">
      <c r="A2925" t="str">
        <v/>
      </c>
      <c r="B2925" s="6">
        <v>0</v>
      </c>
      <c r="C2925" s="7" t="str">
        <v>趣点购浦发</v>
      </c>
      <c r="D2925" s="8">
        <v>0</v>
      </c>
      <c r="E2925" s="7">
        <v>0</v>
      </c>
      <c r="F2925" s="8">
        <v>0</v>
      </c>
      <c r="G2925" s="7">
        <v>0</v>
      </c>
      <c r="H2925" s="7">
        <v>81211.819999998</v>
      </c>
      <c r="I2925" s="7">
        <v>0</v>
      </c>
      <c r="J2925" s="8">
        <v>0</v>
      </c>
      <c r="K2925" s="9" t="str">
        <v/>
      </c>
    </row>
    <row r="2926" spans="1:11">
      <c r="A2926" t="str">
        <v/>
      </c>
      <c r="B2926" s="6">
        <v>0</v>
      </c>
      <c r="C2926" s="7" t="str">
        <v>趣点购浦发</v>
      </c>
      <c r="D2926" s="8">
        <v>0</v>
      </c>
      <c r="E2926" s="7">
        <v>0</v>
      </c>
      <c r="F2926" s="8">
        <v>0</v>
      </c>
      <c r="G2926" s="7">
        <v>0</v>
      </c>
      <c r="H2926" s="7">
        <v>81211.819999998</v>
      </c>
      <c r="I2926" s="7">
        <v>0</v>
      </c>
      <c r="J2926" s="8">
        <v>0</v>
      </c>
      <c r="K2926" s="9" t="str">
        <v/>
      </c>
    </row>
    <row r="2927" spans="1:11">
      <c r="A2927" t="str">
        <v/>
      </c>
      <c r="B2927" s="6">
        <v>0</v>
      </c>
      <c r="C2927" s="7" t="str">
        <v>趣点购浦发</v>
      </c>
      <c r="D2927" s="8">
        <v>0</v>
      </c>
      <c r="E2927" s="7">
        <v>0</v>
      </c>
      <c r="F2927" s="8">
        <v>0</v>
      </c>
      <c r="G2927" s="7">
        <v>0</v>
      </c>
      <c r="H2927" s="7">
        <v>81211.819999998</v>
      </c>
      <c r="I2927" s="7">
        <v>0</v>
      </c>
      <c r="J2927" s="8">
        <v>0</v>
      </c>
      <c r="K2927" s="9" t="str">
        <v/>
      </c>
    </row>
    <row r="2928" spans="1:11">
      <c r="A2928" t="str">
        <v/>
      </c>
      <c r="B2928" s="6">
        <v>0</v>
      </c>
      <c r="C2928" s="7" t="str">
        <v>趣点购浦发</v>
      </c>
      <c r="D2928" s="8">
        <v>0</v>
      </c>
      <c r="E2928" s="7">
        <v>0</v>
      </c>
      <c r="F2928" s="8">
        <v>0</v>
      </c>
      <c r="G2928" s="7">
        <v>0</v>
      </c>
      <c r="H2928" s="7">
        <v>81211.819999998</v>
      </c>
      <c r="I2928" s="7">
        <v>0</v>
      </c>
      <c r="J2928" s="8">
        <v>0</v>
      </c>
      <c r="K2928" s="9" t="str">
        <v/>
      </c>
    </row>
    <row r="2929" spans="1:11">
      <c r="A2929" t="str">
        <v/>
      </c>
      <c r="B2929" s="6">
        <v>0</v>
      </c>
      <c r="C2929" s="7" t="str">
        <v>趣点购浦发</v>
      </c>
      <c r="D2929" s="8">
        <v>0</v>
      </c>
      <c r="E2929" s="7">
        <v>0</v>
      </c>
      <c r="F2929" s="8">
        <v>0</v>
      </c>
      <c r="G2929" s="7">
        <v>0</v>
      </c>
      <c r="H2929" s="7">
        <v>81211.819999998</v>
      </c>
      <c r="I2929" s="7">
        <v>0</v>
      </c>
      <c r="J2929" s="8">
        <v>0</v>
      </c>
      <c r="K2929" s="9" t="str">
        <v/>
      </c>
    </row>
    <row r="2930" spans="1:11">
      <c r="A2930" t="str">
        <v/>
      </c>
      <c r="B2930" s="6">
        <v>0</v>
      </c>
      <c r="C2930" s="7" t="str">
        <v>趣点购浦发</v>
      </c>
      <c r="D2930" s="8">
        <v>0</v>
      </c>
      <c r="E2930" s="7">
        <v>0</v>
      </c>
      <c r="F2930" s="8">
        <v>0</v>
      </c>
      <c r="G2930" s="7">
        <v>0</v>
      </c>
      <c r="H2930" s="7">
        <v>81211.819999998</v>
      </c>
      <c r="I2930" s="7">
        <v>0</v>
      </c>
      <c r="J2930" s="8">
        <v>0</v>
      </c>
      <c r="K2930" s="9" t="str">
        <v/>
      </c>
    </row>
    <row r="2931" spans="1:11">
      <c r="A2931" t="str">
        <v/>
      </c>
      <c r="B2931" s="6">
        <v>0</v>
      </c>
      <c r="C2931" s="7" t="str">
        <v>趣点购浦发</v>
      </c>
      <c r="D2931" s="8">
        <v>0</v>
      </c>
      <c r="E2931" s="7">
        <v>0</v>
      </c>
      <c r="F2931" s="8">
        <v>0</v>
      </c>
      <c r="G2931" s="7">
        <v>0</v>
      </c>
      <c r="H2931" s="7">
        <v>81211.819999998</v>
      </c>
      <c r="I2931" s="7">
        <v>0</v>
      </c>
      <c r="J2931" s="8">
        <v>0</v>
      </c>
      <c r="K2931" s="9" t="str">
        <v/>
      </c>
    </row>
    <row r="2932" spans="1:11">
      <c r="A2932" t="str">
        <v/>
      </c>
      <c r="B2932" s="6">
        <v>0</v>
      </c>
      <c r="C2932" s="7" t="str">
        <v>趣点购浦发</v>
      </c>
      <c r="D2932" s="8">
        <v>0</v>
      </c>
      <c r="E2932" s="7">
        <v>0</v>
      </c>
      <c r="F2932" s="8">
        <v>0</v>
      </c>
      <c r="G2932" s="7">
        <v>0</v>
      </c>
      <c r="H2932" s="7">
        <v>81211.819999998</v>
      </c>
      <c r="I2932" s="7">
        <v>0</v>
      </c>
      <c r="J2932" s="8">
        <v>0</v>
      </c>
      <c r="K2932" s="9" t="str">
        <v/>
      </c>
    </row>
    <row r="2933" spans="1:11">
      <c r="A2933" t="str">
        <v/>
      </c>
      <c r="B2933" s="6">
        <v>0</v>
      </c>
      <c r="C2933" s="7" t="str">
        <v>趣点购浦发</v>
      </c>
      <c r="D2933" s="8">
        <v>0</v>
      </c>
      <c r="E2933" s="7">
        <v>0</v>
      </c>
      <c r="F2933" s="8">
        <v>0</v>
      </c>
      <c r="G2933" s="7">
        <v>0</v>
      </c>
      <c r="H2933" s="7">
        <v>81211.819999998</v>
      </c>
      <c r="I2933" s="7">
        <v>0</v>
      </c>
      <c r="J2933" s="8">
        <v>0</v>
      </c>
      <c r="K2933" s="9" t="str">
        <v/>
      </c>
    </row>
    <row r="2934" spans="1:11">
      <c r="A2934" t="str">
        <v/>
      </c>
      <c r="B2934" s="6">
        <v>0</v>
      </c>
      <c r="C2934" s="7" t="str">
        <v>趣点购浦发</v>
      </c>
      <c r="D2934" s="8">
        <v>0</v>
      </c>
      <c r="E2934" s="7">
        <v>0</v>
      </c>
      <c r="F2934" s="8">
        <v>0</v>
      </c>
      <c r="G2934" s="7">
        <v>0</v>
      </c>
      <c r="H2934" s="7">
        <v>81211.819999998</v>
      </c>
      <c r="I2934" s="7">
        <v>0</v>
      </c>
      <c r="J2934" s="8">
        <v>0</v>
      </c>
      <c r="K2934" s="9" t="str">
        <v/>
      </c>
    </row>
    <row r="2935" spans="1:11">
      <c r="A2935" t="str">
        <v/>
      </c>
      <c r="B2935" s="6">
        <v>0</v>
      </c>
      <c r="C2935" s="7" t="str">
        <v>趣点购浦发</v>
      </c>
      <c r="D2935" s="8">
        <v>0</v>
      </c>
      <c r="E2935" s="7">
        <v>0</v>
      </c>
      <c r="F2935" s="8">
        <v>0</v>
      </c>
      <c r="G2935" s="7">
        <v>0</v>
      </c>
      <c r="H2935" s="7">
        <v>81211.819999998</v>
      </c>
      <c r="I2935" s="7">
        <v>0</v>
      </c>
      <c r="J2935" s="8">
        <v>0</v>
      </c>
      <c r="K2935" s="9" t="str">
        <v/>
      </c>
    </row>
    <row r="2936" spans="1:11">
      <c r="A2936" t="str">
        <v/>
      </c>
      <c r="B2936" s="6">
        <v>0</v>
      </c>
      <c r="C2936" s="7" t="str">
        <v>趣点购浦发</v>
      </c>
      <c r="D2936" s="8">
        <v>0</v>
      </c>
      <c r="E2936" s="7">
        <v>0</v>
      </c>
      <c r="F2936" s="8">
        <v>0</v>
      </c>
      <c r="G2936" s="7">
        <v>0</v>
      </c>
      <c r="H2936" s="7">
        <v>81211.819999998</v>
      </c>
      <c r="I2936" s="7">
        <v>0</v>
      </c>
      <c r="J2936" s="8">
        <v>0</v>
      </c>
      <c r="K2936" s="9" t="str">
        <v/>
      </c>
    </row>
    <row r="2937" spans="1:11">
      <c r="A2937" t="str">
        <v/>
      </c>
      <c r="B2937" s="6">
        <v>0</v>
      </c>
      <c r="C2937" s="7" t="str">
        <v>趣点购浦发</v>
      </c>
      <c r="D2937" s="8">
        <v>0</v>
      </c>
      <c r="E2937" s="7">
        <v>0</v>
      </c>
      <c r="F2937" s="8">
        <v>0</v>
      </c>
      <c r="G2937" s="7">
        <v>0</v>
      </c>
      <c r="H2937" s="7">
        <v>81211.819999998</v>
      </c>
      <c r="I2937" s="7">
        <v>0</v>
      </c>
      <c r="J2937" s="8">
        <v>0</v>
      </c>
      <c r="K2937" s="9" t="str">
        <v/>
      </c>
    </row>
    <row r="2938" spans="1:11">
      <c r="A2938" t="str">
        <v/>
      </c>
      <c r="B2938" s="6">
        <v>0</v>
      </c>
      <c r="C2938" s="7" t="str">
        <v>趣点购浦发</v>
      </c>
      <c r="D2938" s="8">
        <v>0</v>
      </c>
      <c r="E2938" s="7">
        <v>0</v>
      </c>
      <c r="F2938" s="8">
        <v>0</v>
      </c>
      <c r="G2938" s="7">
        <v>0</v>
      </c>
      <c r="H2938" s="7">
        <v>81211.819999998</v>
      </c>
      <c r="I2938" s="7">
        <v>0</v>
      </c>
      <c r="J2938" s="8">
        <v>0</v>
      </c>
      <c r="K2938" s="9" t="str">
        <v/>
      </c>
    </row>
    <row r="2939" spans="1:11">
      <c r="A2939" t="str">
        <v/>
      </c>
      <c r="B2939" s="6">
        <v>0</v>
      </c>
      <c r="C2939" s="7" t="str">
        <v>趣点购浦发</v>
      </c>
      <c r="D2939" s="8">
        <v>0</v>
      </c>
      <c r="E2939" s="7">
        <v>0</v>
      </c>
      <c r="F2939" s="8">
        <v>0</v>
      </c>
      <c r="G2939" s="7">
        <v>0</v>
      </c>
      <c r="H2939" s="7">
        <v>81211.819999998</v>
      </c>
      <c r="I2939" s="7">
        <v>0</v>
      </c>
      <c r="J2939" s="8">
        <v>0</v>
      </c>
      <c r="K2939" s="9" t="str">
        <v/>
      </c>
    </row>
    <row r="2940" spans="1:11">
      <c r="A2940" t="str">
        <v/>
      </c>
      <c r="B2940" s="6">
        <v>0</v>
      </c>
      <c r="C2940" s="7" t="str">
        <v>趣点购浦发</v>
      </c>
      <c r="D2940" s="8">
        <v>0</v>
      </c>
      <c r="E2940" s="7">
        <v>0</v>
      </c>
      <c r="F2940" s="8">
        <v>0</v>
      </c>
      <c r="G2940" s="7">
        <v>0</v>
      </c>
      <c r="H2940" s="7">
        <v>81211.819999998</v>
      </c>
      <c r="I2940" s="7">
        <v>0</v>
      </c>
      <c r="J2940" s="8">
        <v>0</v>
      </c>
      <c r="K2940" s="9" t="str">
        <v/>
      </c>
    </row>
    <row r="2941" spans="1:11">
      <c r="A2941" t="str">
        <v/>
      </c>
      <c r="B2941" s="6">
        <v>0</v>
      </c>
      <c r="C2941" s="7" t="str">
        <v>趣点购浦发</v>
      </c>
      <c r="D2941" s="8">
        <v>0</v>
      </c>
      <c r="E2941" s="7">
        <v>0</v>
      </c>
      <c r="F2941" s="8">
        <v>0</v>
      </c>
      <c r="G2941" s="7">
        <v>0</v>
      </c>
      <c r="H2941" s="7">
        <v>81211.819999998</v>
      </c>
      <c r="I2941" s="7">
        <v>0</v>
      </c>
      <c r="J2941" s="8">
        <v>0</v>
      </c>
      <c r="K2941" s="9" t="str">
        <v/>
      </c>
    </row>
    <row r="2942" spans="1:11">
      <c r="A2942" t="str">
        <v/>
      </c>
      <c r="B2942" s="6">
        <v>0</v>
      </c>
      <c r="C2942" s="7" t="str">
        <v>趣点购浦发</v>
      </c>
      <c r="D2942" s="8">
        <v>0</v>
      </c>
      <c r="E2942" s="7">
        <v>0</v>
      </c>
      <c r="F2942" s="8">
        <v>0</v>
      </c>
      <c r="G2942" s="7">
        <v>0</v>
      </c>
      <c r="H2942" s="7">
        <v>81211.819999998</v>
      </c>
      <c r="I2942" s="7">
        <v>0</v>
      </c>
      <c r="J2942" s="8">
        <v>0</v>
      </c>
      <c r="K2942" s="9" t="str">
        <v/>
      </c>
    </row>
    <row r="2943" spans="1:11">
      <c r="A2943" t="str">
        <v/>
      </c>
      <c r="B2943" s="6">
        <v>0</v>
      </c>
      <c r="C2943" s="7" t="str">
        <v>趣点购浦发</v>
      </c>
      <c r="D2943" s="8">
        <v>0</v>
      </c>
      <c r="E2943" s="7">
        <v>0</v>
      </c>
      <c r="F2943" s="8">
        <v>0</v>
      </c>
      <c r="G2943" s="7">
        <v>0</v>
      </c>
      <c r="H2943" s="7">
        <v>81211.819999998</v>
      </c>
      <c r="I2943" s="7">
        <v>0</v>
      </c>
      <c r="J2943" s="8">
        <v>0</v>
      </c>
      <c r="K2943" s="9" t="str">
        <v/>
      </c>
    </row>
    <row r="2944" spans="1:11">
      <c r="A2944" t="str">
        <v/>
      </c>
      <c r="B2944" s="6">
        <v>0</v>
      </c>
      <c r="C2944" s="7" t="str">
        <v>趣点购浦发</v>
      </c>
      <c r="D2944" s="8">
        <v>0</v>
      </c>
      <c r="E2944" s="7">
        <v>0</v>
      </c>
      <c r="F2944" s="8">
        <v>0</v>
      </c>
      <c r="G2944" s="7">
        <v>0</v>
      </c>
      <c r="H2944" s="7">
        <v>81211.819999998</v>
      </c>
      <c r="I2944" s="7">
        <v>0</v>
      </c>
      <c r="J2944" s="8">
        <v>0</v>
      </c>
      <c r="K2944" s="9" t="str">
        <v/>
      </c>
    </row>
    <row r="2945" spans="1:11">
      <c r="A2945" t="str">
        <v/>
      </c>
      <c r="B2945" s="6">
        <v>0</v>
      </c>
      <c r="C2945" s="7" t="str">
        <v>趣点购浦发</v>
      </c>
      <c r="D2945" s="8">
        <v>0</v>
      </c>
      <c r="E2945" s="7">
        <v>0</v>
      </c>
      <c r="F2945" s="8">
        <v>0</v>
      </c>
      <c r="G2945" s="7">
        <v>0</v>
      </c>
      <c r="H2945" s="7">
        <v>81211.819999998</v>
      </c>
      <c r="I2945" s="7">
        <v>0</v>
      </c>
      <c r="J2945" s="8">
        <v>0</v>
      </c>
      <c r="K2945" s="9" t="str">
        <v/>
      </c>
    </row>
    <row r="2946" spans="1:11">
      <c r="A2946" t="str">
        <v/>
      </c>
      <c r="B2946" s="6">
        <v>0</v>
      </c>
      <c r="C2946" s="7" t="str">
        <v>趣点购浦发</v>
      </c>
      <c r="D2946" s="8">
        <v>0</v>
      </c>
      <c r="E2946" s="7">
        <v>0</v>
      </c>
      <c r="F2946" s="8">
        <v>0</v>
      </c>
      <c r="G2946" s="7">
        <v>0</v>
      </c>
      <c r="H2946" s="7">
        <v>81211.819999998</v>
      </c>
      <c r="I2946" s="7">
        <v>0</v>
      </c>
      <c r="J2946" s="8">
        <v>0</v>
      </c>
      <c r="K2946" s="9" t="str">
        <v/>
      </c>
    </row>
    <row r="2947" spans="1:11">
      <c r="A2947" t="str">
        <v/>
      </c>
      <c r="B2947" s="6">
        <v>0</v>
      </c>
      <c r="C2947" s="7" t="str">
        <v>趣点购浦发</v>
      </c>
      <c r="D2947" s="8">
        <v>0</v>
      </c>
      <c r="E2947" s="7">
        <v>0</v>
      </c>
      <c r="F2947" s="8">
        <v>0</v>
      </c>
      <c r="G2947" s="7">
        <v>0</v>
      </c>
      <c r="H2947" s="7">
        <v>81211.819999998</v>
      </c>
      <c r="I2947" s="7">
        <v>0</v>
      </c>
      <c r="J2947" s="8">
        <v>0</v>
      </c>
      <c r="K2947" s="9" t="str">
        <v/>
      </c>
    </row>
    <row r="2948" spans="1:11">
      <c r="A2948" t="str">
        <v/>
      </c>
      <c r="B2948" s="6">
        <v>0</v>
      </c>
      <c r="C2948" s="7" t="str">
        <v>趣点购浦发</v>
      </c>
      <c r="D2948" s="8">
        <v>0</v>
      </c>
      <c r="E2948" s="7">
        <v>0</v>
      </c>
      <c r="F2948" s="8">
        <v>0</v>
      </c>
      <c r="G2948" s="7">
        <v>0</v>
      </c>
      <c r="H2948" s="7">
        <v>81211.819999998</v>
      </c>
      <c r="I2948" s="7">
        <v>0</v>
      </c>
      <c r="J2948" s="8">
        <v>0</v>
      </c>
      <c r="K2948" s="9" t="str">
        <v/>
      </c>
    </row>
    <row r="2949" spans="1:11">
      <c r="A2949" t="str">
        <v/>
      </c>
      <c r="B2949" s="6">
        <v>0</v>
      </c>
      <c r="C2949" s="7" t="str">
        <v>趣点购浦发</v>
      </c>
      <c r="D2949" s="8">
        <v>0</v>
      </c>
      <c r="E2949" s="7">
        <v>0</v>
      </c>
      <c r="F2949" s="8">
        <v>0</v>
      </c>
      <c r="G2949" s="7">
        <v>0</v>
      </c>
      <c r="H2949" s="7">
        <v>81211.819999998</v>
      </c>
      <c r="I2949" s="7">
        <v>0</v>
      </c>
      <c r="J2949" s="8">
        <v>0</v>
      </c>
      <c r="K2949" s="9" t="str">
        <v/>
      </c>
    </row>
    <row r="2950" spans="1:11">
      <c r="A2950" t="str">
        <v/>
      </c>
      <c r="B2950" s="6">
        <v>0</v>
      </c>
      <c r="C2950" s="7" t="str">
        <v>趣点购浦发</v>
      </c>
      <c r="D2950" s="8">
        <v>0</v>
      </c>
      <c r="E2950" s="7">
        <v>0</v>
      </c>
      <c r="F2950" s="8">
        <v>0</v>
      </c>
      <c r="G2950" s="7">
        <v>0</v>
      </c>
      <c r="H2950" s="7">
        <v>81211.819999998</v>
      </c>
      <c r="I2950" s="7">
        <v>0</v>
      </c>
      <c r="J2950" s="8">
        <v>0</v>
      </c>
      <c r="K2950" s="9" t="str">
        <v/>
      </c>
    </row>
    <row r="2951" spans="1:11">
      <c r="A2951" t="str">
        <v/>
      </c>
      <c r="B2951" s="6">
        <v>0</v>
      </c>
      <c r="C2951" s="7" t="str">
        <v>趣点购浦发</v>
      </c>
      <c r="D2951" s="8">
        <v>0</v>
      </c>
      <c r="E2951" s="7">
        <v>0</v>
      </c>
      <c r="F2951" s="8">
        <v>0</v>
      </c>
      <c r="G2951" s="7">
        <v>0</v>
      </c>
      <c r="H2951" s="7">
        <v>81211.819999998</v>
      </c>
      <c r="I2951" s="7">
        <v>0</v>
      </c>
      <c r="J2951" s="8">
        <v>0</v>
      </c>
      <c r="K2951" s="9" t="str">
        <v/>
      </c>
    </row>
    <row r="2952" spans="1:11">
      <c r="A2952" t="str">
        <v/>
      </c>
      <c r="B2952" s="6">
        <v>0</v>
      </c>
      <c r="C2952" s="7" t="str">
        <v>趣点购浦发</v>
      </c>
      <c r="D2952" s="8">
        <v>0</v>
      </c>
      <c r="E2952" s="7">
        <v>0</v>
      </c>
      <c r="F2952" s="8">
        <v>0</v>
      </c>
      <c r="G2952" s="7">
        <v>0</v>
      </c>
      <c r="H2952" s="7">
        <v>81211.819999998</v>
      </c>
      <c r="I2952" s="7">
        <v>0</v>
      </c>
      <c r="J2952" s="8">
        <v>0</v>
      </c>
      <c r="K2952" s="9" t="str">
        <v/>
      </c>
    </row>
    <row r="2953" spans="1:11">
      <c r="A2953" t="str">
        <v/>
      </c>
      <c r="B2953" s="6">
        <v>0</v>
      </c>
      <c r="C2953" s="7" t="str">
        <v>趣点购浦发</v>
      </c>
      <c r="D2953" s="8">
        <v>0</v>
      </c>
      <c r="E2953" s="7">
        <v>0</v>
      </c>
      <c r="F2953" s="8">
        <v>0</v>
      </c>
      <c r="G2953" s="7">
        <v>0</v>
      </c>
      <c r="H2953" s="7">
        <v>81211.819999998</v>
      </c>
      <c r="I2953" s="7">
        <v>0</v>
      </c>
      <c r="J2953" s="8">
        <v>0</v>
      </c>
      <c r="K2953" s="9" t="str">
        <v/>
      </c>
    </row>
    <row r="2954" spans="1:11">
      <c r="A2954" t="str">
        <v/>
      </c>
      <c r="B2954" s="6">
        <v>0</v>
      </c>
      <c r="C2954" s="7" t="str">
        <v>趣点购浦发</v>
      </c>
      <c r="D2954" s="8">
        <v>0</v>
      </c>
      <c r="E2954" s="7">
        <v>0</v>
      </c>
      <c r="F2954" s="8">
        <v>0</v>
      </c>
      <c r="G2954" s="7">
        <v>0</v>
      </c>
      <c r="H2954" s="7">
        <v>81211.819999998</v>
      </c>
      <c r="I2954" s="7">
        <v>0</v>
      </c>
      <c r="J2954" s="8">
        <v>0</v>
      </c>
      <c r="K2954" s="9" t="str">
        <v/>
      </c>
    </row>
    <row r="2955" spans="1:11">
      <c r="A2955" t="str">
        <v/>
      </c>
      <c r="B2955" s="6">
        <v>0</v>
      </c>
      <c r="C2955" s="7" t="str">
        <v>趣点购浦发</v>
      </c>
      <c r="D2955" s="8">
        <v>0</v>
      </c>
      <c r="E2955" s="7">
        <v>0</v>
      </c>
      <c r="F2955" s="8">
        <v>0</v>
      </c>
      <c r="G2955" s="7">
        <v>0</v>
      </c>
      <c r="H2955" s="7">
        <v>81211.819999998</v>
      </c>
      <c r="I2955" s="7">
        <v>0</v>
      </c>
      <c r="J2955" s="8">
        <v>0</v>
      </c>
      <c r="K2955" s="9" t="str">
        <v/>
      </c>
    </row>
    <row r="2956" spans="1:11">
      <c r="A2956" t="str">
        <v/>
      </c>
      <c r="B2956" s="6">
        <v>0</v>
      </c>
      <c r="C2956" s="7" t="str">
        <v>趣点购浦发</v>
      </c>
      <c r="D2956" s="8">
        <v>0</v>
      </c>
      <c r="E2956" s="7">
        <v>0</v>
      </c>
      <c r="F2956" s="8">
        <v>0</v>
      </c>
      <c r="G2956" s="7">
        <v>0</v>
      </c>
      <c r="H2956" s="7">
        <v>81211.819999998</v>
      </c>
      <c r="I2956" s="7">
        <v>0</v>
      </c>
      <c r="J2956" s="8">
        <v>0</v>
      </c>
      <c r="K2956" s="9" t="str">
        <v/>
      </c>
    </row>
    <row r="2957" spans="1:11">
      <c r="A2957" t="str">
        <v/>
      </c>
      <c r="B2957" s="6">
        <v>0</v>
      </c>
      <c r="C2957" s="7" t="str">
        <v>趣点购浦发</v>
      </c>
      <c r="D2957" s="8">
        <v>0</v>
      </c>
      <c r="E2957" s="7">
        <v>0</v>
      </c>
      <c r="F2957" s="8">
        <v>0</v>
      </c>
      <c r="G2957" s="7">
        <v>0</v>
      </c>
      <c r="H2957" s="7">
        <v>81211.819999998</v>
      </c>
      <c r="I2957" s="7">
        <v>0</v>
      </c>
      <c r="J2957" s="8">
        <v>0</v>
      </c>
      <c r="K2957" s="9" t="str">
        <v/>
      </c>
    </row>
    <row r="2958" spans="1:11">
      <c r="A2958" t="str">
        <v/>
      </c>
      <c r="B2958" s="6">
        <v>0</v>
      </c>
      <c r="C2958" s="7" t="str">
        <v>趣点购浦发</v>
      </c>
      <c r="D2958" s="8">
        <v>0</v>
      </c>
      <c r="E2958" s="7">
        <v>0</v>
      </c>
      <c r="F2958" s="8">
        <v>0</v>
      </c>
      <c r="G2958" s="7">
        <v>0</v>
      </c>
      <c r="H2958" s="7">
        <v>81211.819999998</v>
      </c>
      <c r="I2958" s="7">
        <v>0</v>
      </c>
      <c r="J2958" s="8">
        <v>0</v>
      </c>
      <c r="K2958" s="9" t="str">
        <v/>
      </c>
    </row>
    <row r="2959" spans="1:11">
      <c r="A2959" t="str">
        <v/>
      </c>
      <c r="B2959" s="6">
        <v>0</v>
      </c>
      <c r="C2959" s="7" t="str">
        <v>趣点购浦发</v>
      </c>
      <c r="D2959" s="8">
        <v>0</v>
      </c>
      <c r="E2959" s="7">
        <v>0</v>
      </c>
      <c r="F2959" s="8">
        <v>0</v>
      </c>
      <c r="G2959" s="7">
        <v>0</v>
      </c>
      <c r="H2959" s="7">
        <v>81211.819999998</v>
      </c>
      <c r="I2959" s="7">
        <v>0</v>
      </c>
      <c r="J2959" s="8">
        <v>0</v>
      </c>
      <c r="K2959" s="9" t="str">
        <v/>
      </c>
    </row>
    <row r="2960" spans="1:11">
      <c r="A2960" t="str">
        <v/>
      </c>
      <c r="B2960" s="6">
        <v>0</v>
      </c>
      <c r="C2960" s="7" t="str">
        <v>趣点购浦发</v>
      </c>
      <c r="D2960" s="8">
        <v>0</v>
      </c>
      <c r="E2960" s="7">
        <v>0</v>
      </c>
      <c r="F2960" s="8">
        <v>0</v>
      </c>
      <c r="G2960" s="7">
        <v>0</v>
      </c>
      <c r="H2960" s="7">
        <v>81211.819999998</v>
      </c>
      <c r="I2960" s="7">
        <v>0</v>
      </c>
      <c r="J2960" s="8">
        <v>0</v>
      </c>
      <c r="K2960" s="9" t="str">
        <v/>
      </c>
    </row>
    <row r="2961" spans="1:11">
      <c r="A2961" t="str">
        <v/>
      </c>
      <c r="B2961" s="6">
        <v>0</v>
      </c>
      <c r="C2961" s="7" t="str">
        <v>趣点购浦发</v>
      </c>
      <c r="D2961" s="8">
        <v>0</v>
      </c>
      <c r="E2961" s="7">
        <v>0</v>
      </c>
      <c r="F2961" s="8">
        <v>0</v>
      </c>
      <c r="G2961" s="7">
        <v>0</v>
      </c>
      <c r="H2961" s="7">
        <v>81211.819999998</v>
      </c>
      <c r="I2961" s="7">
        <v>0</v>
      </c>
      <c r="J2961" s="8">
        <v>0</v>
      </c>
      <c r="K2961" s="9" t="str">
        <v/>
      </c>
    </row>
    <row r="2962" spans="1:11">
      <c r="A2962" t="str">
        <v/>
      </c>
      <c r="B2962" s="6">
        <v>0</v>
      </c>
      <c r="C2962" s="7" t="str">
        <v>趣点购浦发</v>
      </c>
      <c r="D2962" s="8">
        <v>0</v>
      </c>
      <c r="E2962" s="7">
        <v>0</v>
      </c>
      <c r="F2962" s="8">
        <v>0</v>
      </c>
      <c r="G2962" s="7">
        <v>0</v>
      </c>
      <c r="H2962" s="7">
        <v>81211.819999998</v>
      </c>
      <c r="I2962" s="7">
        <v>0</v>
      </c>
      <c r="J2962" s="8">
        <v>0</v>
      </c>
      <c r="K2962" s="9" t="str">
        <v/>
      </c>
    </row>
    <row r="2963" spans="1:11">
      <c r="A2963" t="str">
        <v/>
      </c>
      <c r="B2963" s="6">
        <v>0</v>
      </c>
      <c r="C2963" s="7" t="str">
        <v>趣点购浦发</v>
      </c>
      <c r="D2963" s="8">
        <v>0</v>
      </c>
      <c r="E2963" s="7">
        <v>0</v>
      </c>
      <c r="F2963" s="8">
        <v>0</v>
      </c>
      <c r="G2963" s="7">
        <v>0</v>
      </c>
      <c r="H2963" s="7">
        <v>81211.819999998</v>
      </c>
      <c r="I2963" s="7">
        <v>0</v>
      </c>
      <c r="J2963" s="8">
        <v>0</v>
      </c>
      <c r="K2963" s="9" t="str">
        <v/>
      </c>
    </row>
    <row r="2964" spans="1:11">
      <c r="A2964" t="str">
        <v/>
      </c>
      <c r="B2964" s="6">
        <v>0</v>
      </c>
      <c r="C2964" s="7" t="str">
        <v>趣点购浦发</v>
      </c>
      <c r="D2964" s="8">
        <v>0</v>
      </c>
      <c r="E2964" s="7">
        <v>0</v>
      </c>
      <c r="F2964" s="8">
        <v>0</v>
      </c>
      <c r="G2964" s="7">
        <v>0</v>
      </c>
      <c r="H2964" s="7">
        <v>81211.819999998</v>
      </c>
      <c r="I2964" s="7">
        <v>0</v>
      </c>
      <c r="J2964" s="8">
        <v>0</v>
      </c>
      <c r="K2964" s="9" t="str">
        <v/>
      </c>
    </row>
    <row r="2965" spans="1:11">
      <c r="A2965" t="str">
        <v/>
      </c>
      <c r="B2965" s="6">
        <v>0</v>
      </c>
      <c r="C2965" s="7" t="str">
        <v>趣点购浦发</v>
      </c>
      <c r="D2965" s="8">
        <v>0</v>
      </c>
      <c r="E2965" s="7">
        <v>0</v>
      </c>
      <c r="F2965" s="8">
        <v>0</v>
      </c>
      <c r="G2965" s="7">
        <v>0</v>
      </c>
      <c r="H2965" s="7">
        <v>81211.819999998</v>
      </c>
      <c r="I2965" s="7">
        <v>0</v>
      </c>
      <c r="J2965" s="8">
        <v>0</v>
      </c>
      <c r="K2965" s="9" t="str">
        <v/>
      </c>
    </row>
    <row r="2966" spans="1:11">
      <c r="A2966" t="str">
        <v/>
      </c>
      <c r="B2966" s="6">
        <v>0</v>
      </c>
      <c r="C2966" s="7" t="str">
        <v>趣点购浦发</v>
      </c>
      <c r="D2966" s="8">
        <v>0</v>
      </c>
      <c r="E2966" s="7">
        <v>0</v>
      </c>
      <c r="F2966" s="8">
        <v>0</v>
      </c>
      <c r="G2966" s="7">
        <v>0</v>
      </c>
      <c r="H2966" s="7">
        <v>81211.819999998</v>
      </c>
      <c r="I2966" s="7">
        <v>0</v>
      </c>
      <c r="J2966" s="8">
        <v>0</v>
      </c>
      <c r="K2966" s="9" t="str">
        <v/>
      </c>
    </row>
    <row r="2967" spans="1:11">
      <c r="A2967" t="str">
        <v/>
      </c>
      <c r="B2967" s="6">
        <v>0</v>
      </c>
      <c r="C2967" s="7" t="str">
        <v>趣点购浦发</v>
      </c>
      <c r="D2967" s="8">
        <v>0</v>
      </c>
      <c r="E2967" s="7">
        <v>0</v>
      </c>
      <c r="F2967" s="8">
        <v>0</v>
      </c>
      <c r="G2967" s="7">
        <v>0</v>
      </c>
      <c r="H2967" s="7">
        <v>81211.819999998</v>
      </c>
      <c r="I2967" s="7">
        <v>0</v>
      </c>
      <c r="J2967" s="8">
        <v>0</v>
      </c>
      <c r="K2967" s="9" t="str">
        <v/>
      </c>
    </row>
    <row r="2968" spans="1:11">
      <c r="A2968" t="str">
        <v/>
      </c>
      <c r="B2968" s="6">
        <v>0</v>
      </c>
      <c r="C2968" s="7" t="str">
        <v>趣点购浦发</v>
      </c>
      <c r="D2968" s="8">
        <v>0</v>
      </c>
      <c r="E2968" s="7">
        <v>0</v>
      </c>
      <c r="F2968" s="8">
        <v>0</v>
      </c>
      <c r="G2968" s="7">
        <v>0</v>
      </c>
      <c r="H2968" s="7">
        <v>81211.819999998</v>
      </c>
      <c r="I2968" s="7">
        <v>0</v>
      </c>
      <c r="J2968" s="8">
        <v>0</v>
      </c>
      <c r="K2968" s="9" t="str">
        <v/>
      </c>
    </row>
    <row r="2969" spans="1:11">
      <c r="A2969" t="str">
        <v/>
      </c>
      <c r="B2969" s="6">
        <v>0</v>
      </c>
      <c r="C2969" s="7" t="str">
        <v>趣点购浦发</v>
      </c>
      <c r="D2969" s="8">
        <v>0</v>
      </c>
      <c r="E2969" s="7">
        <v>0</v>
      </c>
      <c r="F2969" s="8">
        <v>0</v>
      </c>
      <c r="G2969" s="7">
        <v>0</v>
      </c>
      <c r="H2969" s="7">
        <v>81211.819999998</v>
      </c>
      <c r="I2969" s="7">
        <v>0</v>
      </c>
      <c r="J2969" s="8">
        <v>0</v>
      </c>
      <c r="K2969" s="9" t="str">
        <v/>
      </c>
    </row>
    <row r="2970" spans="1:11">
      <c r="A2970" t="str">
        <v/>
      </c>
      <c r="B2970" s="6">
        <v>0</v>
      </c>
      <c r="C2970" s="7" t="str">
        <v>趣点购浦发</v>
      </c>
      <c r="D2970" s="8">
        <v>0</v>
      </c>
      <c r="E2970" s="7">
        <v>0</v>
      </c>
      <c r="F2970" s="8">
        <v>0</v>
      </c>
      <c r="G2970" s="7">
        <v>0</v>
      </c>
      <c r="H2970" s="7">
        <v>81211.819999998</v>
      </c>
      <c r="I2970" s="7">
        <v>0</v>
      </c>
      <c r="J2970" s="8">
        <v>0</v>
      </c>
      <c r="K2970" s="9" t="str">
        <v/>
      </c>
    </row>
    <row r="2971" spans="1:11">
      <c r="A2971" t="str">
        <v/>
      </c>
      <c r="B2971" s="6">
        <v>0</v>
      </c>
      <c r="C2971" s="7" t="str">
        <v>趣点购浦发</v>
      </c>
      <c r="D2971" s="8">
        <v>0</v>
      </c>
      <c r="E2971" s="7">
        <v>0</v>
      </c>
      <c r="F2971" s="8">
        <v>0</v>
      </c>
      <c r="G2971" s="7">
        <v>0</v>
      </c>
      <c r="H2971" s="7">
        <v>81211.819999998</v>
      </c>
      <c r="I2971" s="7">
        <v>0</v>
      </c>
      <c r="J2971" s="8">
        <v>0</v>
      </c>
      <c r="K2971" s="9" t="str">
        <v/>
      </c>
    </row>
    <row r="2972" spans="1:11">
      <c r="A2972" t="str">
        <v/>
      </c>
      <c r="B2972" s="6">
        <v>0</v>
      </c>
      <c r="C2972" s="7" t="str">
        <v>趣点购浦发</v>
      </c>
      <c r="D2972" s="8">
        <v>0</v>
      </c>
      <c r="E2972" s="7">
        <v>0</v>
      </c>
      <c r="F2972" s="8">
        <v>0</v>
      </c>
      <c r="G2972" s="7">
        <v>0</v>
      </c>
      <c r="H2972" s="7">
        <v>81211.819999998</v>
      </c>
      <c r="I2972" s="7">
        <v>0</v>
      </c>
      <c r="J2972" s="8">
        <v>0</v>
      </c>
      <c r="K2972" s="9" t="str">
        <v/>
      </c>
    </row>
    <row r="2973" spans="1:11">
      <c r="A2973" t="str">
        <v/>
      </c>
      <c r="B2973" s="6">
        <v>0</v>
      </c>
      <c r="C2973" s="7" t="str">
        <v>趣点购浦发</v>
      </c>
      <c r="D2973" s="8">
        <v>0</v>
      </c>
      <c r="E2973" s="7">
        <v>0</v>
      </c>
      <c r="F2973" s="8">
        <v>0</v>
      </c>
      <c r="G2973" s="7">
        <v>0</v>
      </c>
      <c r="H2973" s="7">
        <v>81211.819999998</v>
      </c>
      <c r="I2973" s="7">
        <v>0</v>
      </c>
      <c r="J2973" s="8">
        <v>0</v>
      </c>
      <c r="K2973" s="9" t="str">
        <v/>
      </c>
    </row>
    <row r="2974" spans="1:11">
      <c r="A2974" t="str">
        <v/>
      </c>
      <c r="B2974" s="6">
        <v>0</v>
      </c>
      <c r="C2974" s="7" t="str">
        <v>趣点购浦发</v>
      </c>
      <c r="D2974" s="8">
        <v>0</v>
      </c>
      <c r="E2974" s="7">
        <v>0</v>
      </c>
      <c r="F2974" s="8">
        <v>0</v>
      </c>
      <c r="G2974" s="7">
        <v>0</v>
      </c>
      <c r="H2974" s="7">
        <v>81211.819999998</v>
      </c>
      <c r="I2974" s="7">
        <v>0</v>
      </c>
      <c r="J2974" s="8">
        <v>0</v>
      </c>
      <c r="K2974" s="9" t="str">
        <v/>
      </c>
    </row>
    <row r="2975" spans="1:11">
      <c r="A2975" t="str">
        <v/>
      </c>
      <c r="B2975" s="6">
        <v>0</v>
      </c>
      <c r="C2975" s="7" t="str">
        <v>趣点购浦发</v>
      </c>
      <c r="D2975" s="8">
        <v>0</v>
      </c>
      <c r="E2975" s="7">
        <v>0</v>
      </c>
      <c r="F2975" s="8">
        <v>0</v>
      </c>
      <c r="G2975" s="7">
        <v>0</v>
      </c>
      <c r="H2975" s="7">
        <v>81211.819999998</v>
      </c>
      <c r="I2975" s="7">
        <v>0</v>
      </c>
      <c r="J2975" s="8">
        <v>0</v>
      </c>
      <c r="K2975" s="9" t="str">
        <v/>
      </c>
    </row>
    <row r="2976" spans="1:11">
      <c r="A2976" t="str">
        <v/>
      </c>
      <c r="B2976" s="6">
        <v>0</v>
      </c>
      <c r="C2976" s="7" t="str">
        <v>趣点购浦发</v>
      </c>
      <c r="D2976" s="8">
        <v>0</v>
      </c>
      <c r="E2976" s="7">
        <v>0</v>
      </c>
      <c r="F2976" s="8">
        <v>0</v>
      </c>
      <c r="G2976" s="7">
        <v>0</v>
      </c>
      <c r="H2976" s="7">
        <v>81211.819999998</v>
      </c>
      <c r="I2976" s="7">
        <v>0</v>
      </c>
      <c r="J2976" s="8">
        <v>0</v>
      </c>
      <c r="K2976" s="9" t="str">
        <v/>
      </c>
    </row>
    <row r="2977" spans="1:11">
      <c r="A2977" t="str">
        <v/>
      </c>
      <c r="B2977" s="6">
        <v>0</v>
      </c>
      <c r="C2977" s="7" t="str">
        <v>趣点购浦发</v>
      </c>
      <c r="D2977" s="8">
        <v>0</v>
      </c>
      <c r="E2977" s="7">
        <v>0</v>
      </c>
      <c r="F2977" s="8">
        <v>0</v>
      </c>
      <c r="G2977" s="7">
        <v>0</v>
      </c>
      <c r="H2977" s="7">
        <v>81211.819999998</v>
      </c>
      <c r="I2977" s="7">
        <v>0</v>
      </c>
      <c r="J2977" s="8">
        <v>0</v>
      </c>
      <c r="K2977" s="9" t="str">
        <v/>
      </c>
    </row>
    <row r="2978" spans="1:11">
      <c r="A2978" t="str">
        <v/>
      </c>
      <c r="B2978" s="6">
        <v>0</v>
      </c>
      <c r="C2978" s="7" t="str">
        <v>趣点购浦发</v>
      </c>
      <c r="D2978" s="8">
        <v>0</v>
      </c>
      <c r="E2978" s="7">
        <v>0</v>
      </c>
      <c r="F2978" s="8">
        <v>0</v>
      </c>
      <c r="G2978" s="7">
        <v>0</v>
      </c>
      <c r="H2978" s="7">
        <v>81211.819999998</v>
      </c>
      <c r="I2978" s="7">
        <v>0</v>
      </c>
      <c r="J2978" s="8">
        <v>0</v>
      </c>
      <c r="K2978" s="9" t="str">
        <v/>
      </c>
    </row>
    <row r="2979" spans="1:11">
      <c r="A2979" t="str">
        <v/>
      </c>
      <c r="B2979" s="6">
        <v>0</v>
      </c>
      <c r="C2979" s="7" t="str">
        <v>趣点购浦发</v>
      </c>
      <c r="D2979" s="8">
        <v>0</v>
      </c>
      <c r="E2979" s="7">
        <v>0</v>
      </c>
      <c r="F2979" s="8">
        <v>0</v>
      </c>
      <c r="G2979" s="7">
        <v>0</v>
      </c>
      <c r="H2979" s="7">
        <v>81211.819999998</v>
      </c>
      <c r="I2979" s="7">
        <v>0</v>
      </c>
      <c r="J2979" s="8">
        <v>0</v>
      </c>
      <c r="K2979" s="9" t="str">
        <v/>
      </c>
    </row>
    <row r="2980" spans="1:11">
      <c r="A2980" t="str">
        <v/>
      </c>
      <c r="B2980" s="6">
        <v>0</v>
      </c>
      <c r="C2980" s="7" t="str">
        <v>趣点购浦发</v>
      </c>
      <c r="D2980" s="8">
        <v>0</v>
      </c>
      <c r="E2980" s="7">
        <v>0</v>
      </c>
      <c r="F2980" s="8">
        <v>0</v>
      </c>
      <c r="G2980" s="7">
        <v>0</v>
      </c>
      <c r="H2980" s="7">
        <v>81211.819999998</v>
      </c>
      <c r="I2980" s="7">
        <v>0</v>
      </c>
      <c r="J2980" s="8">
        <v>0</v>
      </c>
      <c r="K2980" s="9" t="str">
        <v/>
      </c>
    </row>
    <row r="2981" spans="1:11">
      <c r="A2981" t="str">
        <v/>
      </c>
      <c r="B2981" s="6">
        <v>0</v>
      </c>
      <c r="C2981" s="7" t="str">
        <v>趣点购浦发</v>
      </c>
      <c r="D2981" s="8">
        <v>0</v>
      </c>
      <c r="E2981" s="7">
        <v>0</v>
      </c>
      <c r="F2981" s="8">
        <v>0</v>
      </c>
      <c r="G2981" s="7">
        <v>0</v>
      </c>
      <c r="H2981" s="7">
        <v>81211.819999998</v>
      </c>
      <c r="I2981" s="7">
        <v>0</v>
      </c>
      <c r="J2981" s="8">
        <v>0</v>
      </c>
      <c r="K2981" s="9" t="str">
        <v/>
      </c>
    </row>
    <row r="2982" spans="1:11">
      <c r="A2982" t="str">
        <v/>
      </c>
      <c r="B2982" s="6">
        <v>0</v>
      </c>
      <c r="C2982" s="7" t="str">
        <v>趣点购浦发</v>
      </c>
      <c r="D2982" s="8">
        <v>0</v>
      </c>
      <c r="E2982" s="7">
        <v>0</v>
      </c>
      <c r="F2982" s="8">
        <v>0</v>
      </c>
      <c r="G2982" s="7">
        <v>0</v>
      </c>
      <c r="H2982" s="7">
        <v>81211.819999998</v>
      </c>
      <c r="I2982" s="7">
        <v>0</v>
      </c>
      <c r="J2982" s="8">
        <v>0</v>
      </c>
      <c r="K2982" s="9" t="str">
        <v/>
      </c>
    </row>
    <row r="2983" spans="1:11">
      <c r="A2983" t="str">
        <v/>
      </c>
      <c r="B2983" s="6">
        <v>0</v>
      </c>
      <c r="C2983" s="7" t="str">
        <v>趣点购浦发</v>
      </c>
      <c r="D2983" s="8">
        <v>0</v>
      </c>
      <c r="E2983" s="7">
        <v>0</v>
      </c>
      <c r="F2983" s="8">
        <v>0</v>
      </c>
      <c r="G2983" s="7">
        <v>0</v>
      </c>
      <c r="H2983" s="7">
        <v>81211.819999998</v>
      </c>
      <c r="I2983" s="7">
        <v>0</v>
      </c>
      <c r="J2983" s="8">
        <v>0</v>
      </c>
      <c r="K2983" s="9" t="str">
        <v/>
      </c>
    </row>
    <row r="2984" spans="1:11">
      <c r="A2984" t="str">
        <v/>
      </c>
      <c r="B2984" s="6">
        <v>0</v>
      </c>
      <c r="C2984" s="7" t="str">
        <v>趣点购浦发</v>
      </c>
      <c r="D2984" s="8">
        <v>0</v>
      </c>
      <c r="E2984" s="7">
        <v>0</v>
      </c>
      <c r="F2984" s="8">
        <v>0</v>
      </c>
      <c r="G2984" s="7">
        <v>0</v>
      </c>
      <c r="H2984" s="7">
        <v>81211.819999998</v>
      </c>
      <c r="I2984" s="7">
        <v>0</v>
      </c>
      <c r="J2984" s="8">
        <v>0</v>
      </c>
      <c r="K2984" s="9" t="str">
        <v/>
      </c>
    </row>
    <row r="2985" spans="1:11">
      <c r="A2985" t="str">
        <v/>
      </c>
      <c r="B2985" s="6">
        <v>0</v>
      </c>
      <c r="C2985" s="7" t="str">
        <v>趣点购浦发</v>
      </c>
      <c r="D2985" s="8">
        <v>0</v>
      </c>
      <c r="E2985" s="7">
        <v>0</v>
      </c>
      <c r="F2985" s="8">
        <v>0</v>
      </c>
      <c r="G2985" s="7">
        <v>0</v>
      </c>
      <c r="H2985" s="7">
        <v>81211.819999998</v>
      </c>
      <c r="I2985" s="7">
        <v>0</v>
      </c>
      <c r="J2985" s="8">
        <v>0</v>
      </c>
      <c r="K2985" s="9" t="str">
        <v/>
      </c>
    </row>
    <row r="2986" spans="1:11">
      <c r="A2986" t="str">
        <v/>
      </c>
      <c r="B2986" s="6">
        <v>0</v>
      </c>
      <c r="C2986" s="7" t="str">
        <v>趣点购浦发</v>
      </c>
      <c r="D2986" s="8">
        <v>0</v>
      </c>
      <c r="E2986" s="7">
        <v>0</v>
      </c>
      <c r="F2986" s="8">
        <v>0</v>
      </c>
      <c r="G2986" s="7">
        <v>0</v>
      </c>
      <c r="H2986" s="7">
        <v>81211.819999998</v>
      </c>
      <c r="I2986" s="7">
        <v>0</v>
      </c>
      <c r="J2986" s="8">
        <v>0</v>
      </c>
      <c r="K2986" s="9" t="str">
        <v/>
      </c>
    </row>
    <row r="2987" spans="1:11">
      <c r="A2987" t="str">
        <v/>
      </c>
      <c r="B2987" s="6">
        <v>0</v>
      </c>
      <c r="C2987" s="7" t="str">
        <v>趣点购浦发</v>
      </c>
      <c r="D2987" s="8">
        <v>0</v>
      </c>
      <c r="E2987" s="7">
        <v>0</v>
      </c>
      <c r="F2987" s="8">
        <v>0</v>
      </c>
      <c r="G2987" s="7">
        <v>0</v>
      </c>
      <c r="H2987" s="7">
        <v>81211.819999998</v>
      </c>
      <c r="I2987" s="7">
        <v>0</v>
      </c>
      <c r="J2987" s="8">
        <v>0</v>
      </c>
      <c r="K2987" s="9" t="str">
        <v/>
      </c>
    </row>
    <row r="2988" spans="1:11">
      <c r="A2988" t="str">
        <v/>
      </c>
      <c r="B2988" s="6">
        <v>0</v>
      </c>
      <c r="C2988" s="7" t="str">
        <v>趣点购浦发</v>
      </c>
      <c r="D2988" s="8">
        <v>0</v>
      </c>
      <c r="E2988" s="7">
        <v>0</v>
      </c>
      <c r="F2988" s="8">
        <v>0</v>
      </c>
      <c r="G2988" s="7">
        <v>0</v>
      </c>
      <c r="H2988" s="7">
        <v>81211.819999998</v>
      </c>
      <c r="I2988" s="7">
        <v>0</v>
      </c>
      <c r="J2988" s="8">
        <v>0</v>
      </c>
      <c r="K2988" s="9" t="str">
        <v/>
      </c>
    </row>
    <row r="2989" spans="1:11">
      <c r="A2989" t="str">
        <v/>
      </c>
      <c r="B2989" s="6">
        <v>0</v>
      </c>
      <c r="C2989" s="7" t="str">
        <v>趣点购浦发</v>
      </c>
      <c r="D2989" s="8">
        <v>0</v>
      </c>
      <c r="E2989" s="7">
        <v>0</v>
      </c>
      <c r="F2989" s="8">
        <v>0</v>
      </c>
      <c r="G2989" s="7">
        <v>0</v>
      </c>
      <c r="H2989" s="7">
        <v>81211.819999998</v>
      </c>
      <c r="I2989" s="7">
        <v>0</v>
      </c>
      <c r="J2989" s="8">
        <v>0</v>
      </c>
      <c r="K2989" s="9" t="str">
        <v/>
      </c>
    </row>
    <row r="2990" spans="1:11">
      <c r="A2990" t="str">
        <v/>
      </c>
      <c r="B2990" s="6">
        <v>0</v>
      </c>
      <c r="C2990" s="7" t="str">
        <v>趣点购浦发</v>
      </c>
      <c r="D2990" s="8">
        <v>0</v>
      </c>
      <c r="E2990" s="7">
        <v>0</v>
      </c>
      <c r="F2990" s="8">
        <v>0</v>
      </c>
      <c r="G2990" s="7">
        <v>0</v>
      </c>
      <c r="H2990" s="7">
        <v>81211.819999998</v>
      </c>
      <c r="I2990" s="7">
        <v>0</v>
      </c>
      <c r="J2990" s="8">
        <v>0</v>
      </c>
      <c r="K2990" s="9" t="str">
        <v/>
      </c>
    </row>
    <row r="2991" spans="1:11">
      <c r="A2991" t="str">
        <v/>
      </c>
      <c r="B2991" s="6">
        <v>0</v>
      </c>
      <c r="C2991" s="7" t="str">
        <v>趣点购浦发</v>
      </c>
      <c r="D2991" s="8">
        <v>0</v>
      </c>
      <c r="E2991" s="7">
        <v>0</v>
      </c>
      <c r="F2991" s="8">
        <v>0</v>
      </c>
      <c r="G2991" s="7">
        <v>0</v>
      </c>
      <c r="H2991" s="7">
        <v>81211.819999998</v>
      </c>
      <c r="I2991" s="7">
        <v>0</v>
      </c>
      <c r="J2991" s="8">
        <v>0</v>
      </c>
      <c r="K2991" s="9" t="str">
        <v/>
      </c>
    </row>
    <row r="2992" spans="1:11">
      <c r="A2992" t="str">
        <v/>
      </c>
      <c r="B2992" s="6">
        <v>0</v>
      </c>
      <c r="C2992" s="7" t="str">
        <v>趣点购浦发</v>
      </c>
      <c r="D2992" s="8">
        <v>0</v>
      </c>
      <c r="E2992" s="7">
        <v>0</v>
      </c>
      <c r="F2992" s="8">
        <v>0</v>
      </c>
      <c r="G2992" s="7">
        <v>0</v>
      </c>
      <c r="H2992" s="7">
        <v>81211.819999998</v>
      </c>
      <c r="I2992" s="7">
        <v>0</v>
      </c>
      <c r="J2992" s="8">
        <v>0</v>
      </c>
      <c r="K2992" s="9" t="str">
        <v/>
      </c>
    </row>
    <row r="2993" spans="1:11">
      <c r="A2993" t="str">
        <v/>
      </c>
      <c r="B2993" s="6">
        <v>0</v>
      </c>
      <c r="C2993" s="7" t="str">
        <v>趣点购浦发</v>
      </c>
      <c r="D2993" s="8">
        <v>0</v>
      </c>
      <c r="E2993" s="7">
        <v>0</v>
      </c>
      <c r="F2993" s="8">
        <v>0</v>
      </c>
      <c r="G2993" s="7">
        <v>0</v>
      </c>
      <c r="H2993" s="7">
        <v>81211.819999998</v>
      </c>
      <c r="I2993" s="7">
        <v>0</v>
      </c>
      <c r="J2993" s="8">
        <v>0</v>
      </c>
      <c r="K2993" s="9" t="str">
        <v/>
      </c>
    </row>
    <row r="2994" spans="1:11">
      <c r="A2994" t="str">
        <v/>
      </c>
      <c r="B2994" s="6">
        <v>0</v>
      </c>
      <c r="C2994" s="7" t="str">
        <v>趣点购浦发</v>
      </c>
      <c r="D2994" s="8">
        <v>0</v>
      </c>
      <c r="E2994" s="7">
        <v>0</v>
      </c>
      <c r="F2994" s="8">
        <v>0</v>
      </c>
      <c r="G2994" s="7">
        <v>0</v>
      </c>
      <c r="H2994" s="7">
        <v>81211.819999998</v>
      </c>
      <c r="I2994" s="7">
        <v>0</v>
      </c>
      <c r="J2994" s="8">
        <v>0</v>
      </c>
      <c r="K2994" s="9" t="str">
        <v/>
      </c>
    </row>
    <row r="2995" spans="1:11">
      <c r="A2995" t="str">
        <v/>
      </c>
      <c r="B2995" s="6">
        <v>0</v>
      </c>
      <c r="C2995" s="7" t="str">
        <v>趣点购浦发</v>
      </c>
      <c r="D2995" s="8">
        <v>0</v>
      </c>
      <c r="E2995" s="7">
        <v>0</v>
      </c>
      <c r="F2995" s="8">
        <v>0</v>
      </c>
      <c r="G2995" s="7">
        <v>0</v>
      </c>
      <c r="H2995" s="7">
        <v>81211.819999998</v>
      </c>
      <c r="I2995" s="7">
        <v>0</v>
      </c>
      <c r="J2995" s="8">
        <v>0</v>
      </c>
      <c r="K2995" s="9" t="str">
        <v/>
      </c>
    </row>
    <row r="2996" spans="1:11">
      <c r="A2996" t="str">
        <v/>
      </c>
      <c r="B2996" s="6">
        <v>0</v>
      </c>
      <c r="C2996" s="7" t="str">
        <v>趣点购浦发</v>
      </c>
      <c r="D2996" s="8">
        <v>0</v>
      </c>
      <c r="E2996" s="7">
        <v>0</v>
      </c>
      <c r="F2996" s="8">
        <v>0</v>
      </c>
      <c r="G2996" s="7">
        <v>0</v>
      </c>
      <c r="H2996" s="7">
        <v>81211.819999998</v>
      </c>
      <c r="I2996" s="7">
        <v>0</v>
      </c>
      <c r="J2996" s="8">
        <v>0</v>
      </c>
      <c r="K2996" s="9" t="str">
        <v/>
      </c>
    </row>
    <row r="2997" spans="1:11">
      <c r="A2997" t="str">
        <v/>
      </c>
      <c r="B2997" s="6">
        <v>0</v>
      </c>
      <c r="C2997" s="7" t="str">
        <v>趣点购浦发</v>
      </c>
      <c r="D2997" s="8">
        <v>0</v>
      </c>
      <c r="E2997" s="7">
        <v>0</v>
      </c>
      <c r="F2997" s="8">
        <v>0</v>
      </c>
      <c r="G2997" s="7">
        <v>0</v>
      </c>
      <c r="H2997" s="7">
        <v>81211.819999998</v>
      </c>
      <c r="I2997" s="7">
        <v>0</v>
      </c>
      <c r="J2997" s="8">
        <v>0</v>
      </c>
      <c r="K2997" s="9" t="str">
        <v/>
      </c>
    </row>
    <row r="2998" spans="1:11">
      <c r="A2998" t="str">
        <v/>
      </c>
      <c r="B2998" s="6">
        <v>0</v>
      </c>
      <c r="C2998" s="7" t="str">
        <v>趣点购浦发</v>
      </c>
      <c r="D2998" s="8">
        <v>0</v>
      </c>
      <c r="E2998" s="7">
        <v>0</v>
      </c>
      <c r="F2998" s="8">
        <v>0</v>
      </c>
      <c r="G2998" s="7">
        <v>0</v>
      </c>
      <c r="H2998" s="7">
        <v>81211.819999998</v>
      </c>
      <c r="I2998" s="7">
        <v>0</v>
      </c>
      <c r="J2998" s="8">
        <v>0</v>
      </c>
      <c r="K2998" s="9" t="str">
        <v/>
      </c>
    </row>
    <row r="2999" spans="1:11">
      <c r="A2999" t="str">
        <v/>
      </c>
      <c r="B2999" s="6">
        <v>0</v>
      </c>
      <c r="C2999" s="7" t="str">
        <v>趣点购浦发</v>
      </c>
      <c r="D2999" s="8">
        <v>0</v>
      </c>
      <c r="E2999" s="7">
        <v>0</v>
      </c>
      <c r="F2999" s="8">
        <v>0</v>
      </c>
      <c r="G2999" s="7">
        <v>0</v>
      </c>
      <c r="H2999" s="7">
        <v>81211.819999998</v>
      </c>
      <c r="I2999" s="7">
        <v>0</v>
      </c>
      <c r="J2999" s="8">
        <v>0</v>
      </c>
      <c r="K2999" s="9" t="str">
        <v/>
      </c>
    </row>
    <row r="3000" spans="1:11">
      <c r="A3000" t="str">
        <v/>
      </c>
      <c r="B3000" s="6">
        <v>0</v>
      </c>
      <c r="C3000" s="7" t="str">
        <v>趣点购浦发</v>
      </c>
      <c r="D3000" s="8">
        <v>0</v>
      </c>
      <c r="E3000" s="7">
        <v>0</v>
      </c>
      <c r="F3000" s="8">
        <v>0</v>
      </c>
      <c r="G3000" s="7">
        <v>0</v>
      </c>
      <c r="H3000" s="7">
        <v>81211.819999998</v>
      </c>
      <c r="I3000" s="7">
        <v>0</v>
      </c>
      <c r="J3000" s="8">
        <v>0</v>
      </c>
      <c r="K3000" s="9" t="str">
        <v/>
      </c>
    </row>
    <row r="3001" spans="1:11">
      <c r="A3001" t="str">
        <v/>
      </c>
      <c r="B3001" s="6">
        <v>0</v>
      </c>
      <c r="C3001" s="7" t="str">
        <v>趣点购浦发</v>
      </c>
      <c r="D3001" s="8">
        <v>0</v>
      </c>
      <c r="E3001" s="7">
        <v>0</v>
      </c>
      <c r="F3001" s="8">
        <v>0</v>
      </c>
      <c r="G3001" s="7">
        <v>0</v>
      </c>
      <c r="H3001" s="7">
        <v>81211.819999998</v>
      </c>
      <c r="I3001" s="7">
        <v>0</v>
      </c>
      <c r="J3001" s="8">
        <v>0</v>
      </c>
      <c r="K3001" s="9" t="str">
        <v/>
      </c>
    </row>
    <row r="3002" spans="1:11">
      <c r="A3002" t="str">
        <v/>
      </c>
      <c r="B3002" s="6">
        <v>0</v>
      </c>
      <c r="C3002" s="7" t="str">
        <v>趣点购浦发</v>
      </c>
      <c r="D3002" s="8">
        <v>0</v>
      </c>
      <c r="E3002" s="7">
        <v>0</v>
      </c>
      <c r="F3002" s="8">
        <v>0</v>
      </c>
      <c r="G3002" s="7">
        <v>0</v>
      </c>
      <c r="H3002" s="7">
        <v>81211.819999998</v>
      </c>
      <c r="I3002" s="7">
        <v>0</v>
      </c>
      <c r="J3002" s="8">
        <v>0</v>
      </c>
      <c r="K3002" s="9" t="str">
        <v/>
      </c>
    </row>
    <row r="3003" spans="1:11">
      <c r="A3003" t="str">
        <v/>
      </c>
      <c r="B3003" s="6">
        <v>0</v>
      </c>
      <c r="C3003" s="7" t="str">
        <v>趣点购浦发</v>
      </c>
      <c r="D3003" s="8">
        <v>0</v>
      </c>
      <c r="E3003" s="7">
        <v>0</v>
      </c>
      <c r="F3003" s="8">
        <v>0</v>
      </c>
      <c r="G3003" s="7">
        <v>0</v>
      </c>
      <c r="H3003" s="7">
        <v>81211.819999998</v>
      </c>
      <c r="I3003" s="7">
        <v>0</v>
      </c>
      <c r="J3003" s="8">
        <v>0</v>
      </c>
      <c r="K3003" s="9" t="str">
        <v/>
      </c>
    </row>
    <row r="3004" spans="1:11">
      <c r="A3004" t="str">
        <v/>
      </c>
      <c r="B3004" s="6">
        <v>0</v>
      </c>
      <c r="C3004" s="7" t="str">
        <v>趣点购浦发</v>
      </c>
      <c r="D3004" s="8">
        <v>0</v>
      </c>
      <c r="E3004" s="7">
        <v>0</v>
      </c>
      <c r="F3004" s="8">
        <v>0</v>
      </c>
      <c r="G3004" s="7">
        <v>0</v>
      </c>
      <c r="H3004" s="7">
        <v>81211.819999998</v>
      </c>
      <c r="I3004" s="7">
        <v>0</v>
      </c>
      <c r="J3004" s="8">
        <v>0</v>
      </c>
      <c r="K3004" s="9" t="str">
        <v/>
      </c>
    </row>
    <row r="3005" spans="1:11">
      <c r="A3005" t="str">
        <v/>
      </c>
      <c r="B3005" s="6">
        <v>0</v>
      </c>
      <c r="C3005" s="7" t="str">
        <v>趣点购浦发</v>
      </c>
      <c r="D3005" s="8">
        <v>0</v>
      </c>
      <c r="E3005" s="7">
        <v>0</v>
      </c>
      <c r="F3005" s="8">
        <v>0</v>
      </c>
      <c r="G3005" s="7">
        <v>0</v>
      </c>
      <c r="H3005" s="7">
        <v>81211.819999998</v>
      </c>
      <c r="I3005" s="7">
        <v>0</v>
      </c>
      <c r="J3005" s="8">
        <v>0</v>
      </c>
      <c r="K3005" s="9" t="str">
        <v/>
      </c>
    </row>
    <row r="3006" spans="1:11">
      <c r="A3006" t="str">
        <v/>
      </c>
      <c r="B3006" s="6">
        <v>0</v>
      </c>
      <c r="C3006" s="7" t="str">
        <v>趣点购浦发</v>
      </c>
      <c r="D3006" s="8">
        <v>0</v>
      </c>
      <c r="E3006" s="7">
        <v>0</v>
      </c>
      <c r="F3006" s="8">
        <v>0</v>
      </c>
      <c r="G3006" s="7">
        <v>0</v>
      </c>
      <c r="H3006" s="7">
        <v>81211.819999998</v>
      </c>
      <c r="I3006" s="7">
        <v>0</v>
      </c>
      <c r="J3006" s="8">
        <v>0</v>
      </c>
      <c r="K3006" s="9" t="str">
        <v/>
      </c>
    </row>
    <row r="3007" spans="1:11">
      <c r="A3007" t="str">
        <v/>
      </c>
      <c r="B3007" s="6">
        <v>0</v>
      </c>
      <c r="C3007" s="7" t="str">
        <v>趣点购浦发</v>
      </c>
      <c r="D3007" s="8">
        <v>0</v>
      </c>
      <c r="E3007" s="7">
        <v>0</v>
      </c>
      <c r="F3007" s="8">
        <v>0</v>
      </c>
      <c r="G3007" s="7">
        <v>0</v>
      </c>
      <c r="H3007" s="7">
        <v>81211.819999998</v>
      </c>
      <c r="I3007" s="7">
        <v>0</v>
      </c>
      <c r="J3007" s="8">
        <v>0</v>
      </c>
      <c r="K3007" s="9" t="str">
        <v/>
      </c>
    </row>
    <row r="3008" spans="1:11">
      <c r="A3008" t="str">
        <v/>
      </c>
      <c r="B3008" s="6">
        <v>0</v>
      </c>
      <c r="C3008" s="7" t="str">
        <v>趣点购浦发</v>
      </c>
      <c r="D3008" s="8">
        <v>0</v>
      </c>
      <c r="E3008" s="7">
        <v>0</v>
      </c>
      <c r="F3008" s="8">
        <v>0</v>
      </c>
      <c r="G3008" s="7">
        <v>0</v>
      </c>
      <c r="H3008" s="7">
        <v>81211.819999998</v>
      </c>
      <c r="I3008" s="7">
        <v>0</v>
      </c>
      <c r="J3008" s="8">
        <v>0</v>
      </c>
      <c r="K3008" s="9" t="str">
        <v/>
      </c>
    </row>
    <row r="3009" spans="1:11">
      <c r="A3009" t="str">
        <v/>
      </c>
      <c r="B3009" s="6">
        <v>0</v>
      </c>
      <c r="C3009" s="7" t="str">
        <v>趣点购浦发</v>
      </c>
      <c r="D3009" s="8">
        <v>0</v>
      </c>
      <c r="E3009" s="7">
        <v>0</v>
      </c>
      <c r="F3009" s="8">
        <v>0</v>
      </c>
      <c r="G3009" s="7">
        <v>0</v>
      </c>
      <c r="H3009" s="7">
        <v>81211.819999998</v>
      </c>
      <c r="I3009" s="7">
        <v>0</v>
      </c>
      <c r="J3009" s="8">
        <v>0</v>
      </c>
      <c r="K3009" s="9" t="str">
        <v/>
      </c>
    </row>
    <row r="3010" spans="1:11">
      <c r="A3010" t="str">
        <v/>
      </c>
      <c r="B3010" s="6">
        <v>0</v>
      </c>
      <c r="C3010" s="7" t="str">
        <v>趣点购浦发</v>
      </c>
      <c r="D3010" s="8">
        <v>0</v>
      </c>
      <c r="E3010" s="7">
        <v>0</v>
      </c>
      <c r="F3010" s="8">
        <v>0</v>
      </c>
      <c r="G3010" s="7">
        <v>0</v>
      </c>
      <c r="H3010" s="7">
        <v>81211.819999998</v>
      </c>
      <c r="I3010" s="7">
        <v>0</v>
      </c>
      <c r="J3010" s="8">
        <v>0</v>
      </c>
      <c r="K3010" s="9" t="str">
        <v/>
      </c>
    </row>
    <row r="3011" spans="1:11">
      <c r="A3011" t="str">
        <v/>
      </c>
      <c r="B3011" s="6">
        <v>0</v>
      </c>
      <c r="C3011" s="7" t="str">
        <v>趣点购浦发</v>
      </c>
      <c r="D3011" s="8">
        <v>0</v>
      </c>
      <c r="E3011" s="7">
        <v>0</v>
      </c>
      <c r="F3011" s="8">
        <v>0</v>
      </c>
      <c r="G3011" s="7">
        <v>0</v>
      </c>
      <c r="H3011" s="7">
        <v>81211.819999998</v>
      </c>
      <c r="I3011" s="7">
        <v>0</v>
      </c>
      <c r="J3011" s="8">
        <v>0</v>
      </c>
      <c r="K3011" s="9" t="str">
        <v/>
      </c>
    </row>
    <row r="3012" spans="1:11">
      <c r="A3012" t="str">
        <v/>
      </c>
      <c r="B3012" s="6">
        <v>0</v>
      </c>
      <c r="C3012" s="7" t="str">
        <v>趣点购浦发</v>
      </c>
      <c r="D3012" s="8">
        <v>0</v>
      </c>
      <c r="E3012" s="7">
        <v>0</v>
      </c>
      <c r="F3012" s="8">
        <v>0</v>
      </c>
      <c r="G3012" s="7">
        <v>0</v>
      </c>
      <c r="H3012" s="7">
        <v>81211.819999998</v>
      </c>
      <c r="I3012" s="7">
        <v>0</v>
      </c>
      <c r="J3012" s="8">
        <v>0</v>
      </c>
      <c r="K3012" s="9" t="str">
        <v/>
      </c>
    </row>
    <row r="3013" spans="1:11">
      <c r="A3013" t="str">
        <v/>
      </c>
      <c r="B3013" s="6">
        <v>0</v>
      </c>
      <c r="C3013" s="7" t="str">
        <v>趣点购浦发</v>
      </c>
      <c r="D3013" s="8">
        <v>0</v>
      </c>
      <c r="E3013" s="7">
        <v>0</v>
      </c>
      <c r="F3013" s="8">
        <v>0</v>
      </c>
      <c r="G3013" s="7">
        <v>0</v>
      </c>
      <c r="H3013" s="7">
        <v>81211.819999998</v>
      </c>
      <c r="I3013" s="7">
        <v>0</v>
      </c>
      <c r="J3013" s="8">
        <v>0</v>
      </c>
      <c r="K3013" s="9" t="str">
        <v/>
      </c>
    </row>
    <row r="3014" spans="1:11">
      <c r="A3014" t="str">
        <v/>
      </c>
      <c r="B3014" s="6">
        <v>0</v>
      </c>
      <c r="C3014" s="7" t="str">
        <v>趣点购浦发</v>
      </c>
      <c r="D3014" s="8">
        <v>0</v>
      </c>
      <c r="E3014" s="7">
        <v>0</v>
      </c>
      <c r="F3014" s="8">
        <v>0</v>
      </c>
      <c r="G3014" s="7">
        <v>0</v>
      </c>
      <c r="H3014" s="7">
        <v>81211.819999998</v>
      </c>
      <c r="I3014" s="7">
        <v>0</v>
      </c>
      <c r="J3014" s="8">
        <v>0</v>
      </c>
      <c r="K3014" s="9" t="str">
        <v/>
      </c>
    </row>
    <row r="3015" spans="1:11">
      <c r="A3015" t="str">
        <v/>
      </c>
      <c r="B3015" s="6">
        <v>0</v>
      </c>
      <c r="C3015" s="7" t="str">
        <v>趣点购浦发</v>
      </c>
      <c r="D3015" s="8">
        <v>0</v>
      </c>
      <c r="E3015" s="7">
        <v>0</v>
      </c>
      <c r="F3015" s="8">
        <v>0</v>
      </c>
      <c r="G3015" s="7">
        <v>0</v>
      </c>
      <c r="H3015" s="7">
        <v>81211.819999998</v>
      </c>
      <c r="I3015" s="7">
        <v>0</v>
      </c>
      <c r="J3015" s="8">
        <v>0</v>
      </c>
      <c r="K3015" s="9" t="str">
        <v/>
      </c>
    </row>
    <row r="3016" spans="1:11">
      <c r="A3016" t="str">
        <v/>
      </c>
      <c r="B3016" s="6">
        <v>0</v>
      </c>
      <c r="C3016" s="7" t="str">
        <v>趣点购浦发</v>
      </c>
      <c r="D3016" s="8">
        <v>0</v>
      </c>
      <c r="E3016" s="7">
        <v>0</v>
      </c>
      <c r="F3016" s="8">
        <v>0</v>
      </c>
      <c r="G3016" s="7">
        <v>0</v>
      </c>
      <c r="H3016" s="7">
        <v>81211.819999998</v>
      </c>
      <c r="I3016" s="7">
        <v>0</v>
      </c>
      <c r="J3016" s="8">
        <v>0</v>
      </c>
      <c r="K3016" s="9" t="str">
        <v/>
      </c>
    </row>
    <row r="3017" spans="1:11">
      <c r="A3017" t="str">
        <v/>
      </c>
      <c r="B3017" s="6">
        <v>0</v>
      </c>
      <c r="C3017" s="7" t="str">
        <v>趣点购浦发</v>
      </c>
      <c r="D3017" s="8">
        <v>0</v>
      </c>
      <c r="E3017" s="7">
        <v>0</v>
      </c>
      <c r="F3017" s="8">
        <v>0</v>
      </c>
      <c r="G3017" s="7">
        <v>0</v>
      </c>
      <c r="H3017" s="7">
        <v>81211.819999998</v>
      </c>
      <c r="I3017" s="7">
        <v>0</v>
      </c>
      <c r="J3017" s="8">
        <v>0</v>
      </c>
      <c r="K3017" s="9" t="str">
        <v/>
      </c>
    </row>
    <row r="3018" spans="1:11">
      <c r="A3018" t="str">
        <v/>
      </c>
      <c r="B3018" s="6">
        <v>0</v>
      </c>
      <c r="C3018" s="7" t="str">
        <v>趣点购浦发</v>
      </c>
      <c r="D3018" s="8">
        <v>0</v>
      </c>
      <c r="E3018" s="7">
        <v>0</v>
      </c>
      <c r="F3018" s="8">
        <v>0</v>
      </c>
      <c r="G3018" s="7">
        <v>0</v>
      </c>
      <c r="H3018" s="7">
        <v>81211.819999998</v>
      </c>
      <c r="I3018" s="7">
        <v>0</v>
      </c>
      <c r="J3018" s="8">
        <v>0</v>
      </c>
      <c r="K3018" s="9" t="str">
        <v/>
      </c>
    </row>
    <row r="3019" spans="1:11">
      <c r="A3019" t="str">
        <v/>
      </c>
      <c r="B3019" s="6">
        <v>0</v>
      </c>
      <c r="C3019" s="7" t="str">
        <v>趣点购浦发</v>
      </c>
      <c r="D3019" s="8">
        <v>0</v>
      </c>
      <c r="E3019" s="7">
        <v>0</v>
      </c>
      <c r="F3019" s="8">
        <v>0</v>
      </c>
      <c r="G3019" s="7">
        <v>0</v>
      </c>
      <c r="H3019" s="7">
        <v>81211.819999998</v>
      </c>
      <c r="I3019" s="7">
        <v>0</v>
      </c>
      <c r="J3019" s="8">
        <v>0</v>
      </c>
      <c r="K3019" s="9" t="str">
        <v/>
      </c>
    </row>
    <row r="3020" spans="1:11">
      <c r="A3020" t="str">
        <v/>
      </c>
      <c r="B3020" s="6">
        <v>0</v>
      </c>
      <c r="C3020" s="7" t="str">
        <v>趣点购浦发</v>
      </c>
      <c r="D3020" s="8">
        <v>0</v>
      </c>
      <c r="E3020" s="7">
        <v>0</v>
      </c>
      <c r="F3020" s="8">
        <v>0</v>
      </c>
      <c r="G3020" s="7">
        <v>0</v>
      </c>
      <c r="H3020" s="7">
        <v>81211.819999998</v>
      </c>
      <c r="I3020" s="7">
        <v>0</v>
      </c>
      <c r="J3020" s="8">
        <v>0</v>
      </c>
      <c r="K3020" s="9" t="str">
        <v/>
      </c>
    </row>
    <row r="3021" spans="1:11">
      <c r="A3021" t="str">
        <v/>
      </c>
      <c r="B3021" s="6">
        <v>0</v>
      </c>
      <c r="C3021" s="7" t="str">
        <v>趣点购浦发</v>
      </c>
      <c r="D3021" s="8">
        <v>0</v>
      </c>
      <c r="E3021" s="7">
        <v>0</v>
      </c>
      <c r="F3021" s="8">
        <v>0</v>
      </c>
      <c r="G3021" s="7">
        <v>0</v>
      </c>
      <c r="H3021" s="7">
        <v>81211.819999998</v>
      </c>
      <c r="I3021" s="7">
        <v>0</v>
      </c>
      <c r="J3021" s="8">
        <v>0</v>
      </c>
      <c r="K3021" s="9" t="str">
        <v/>
      </c>
    </row>
    <row r="3022" spans="1:11">
      <c r="A3022" t="str">
        <v/>
      </c>
      <c r="B3022" s="6">
        <v>0</v>
      </c>
      <c r="C3022" s="7" t="str">
        <v>趣点购浦发</v>
      </c>
      <c r="D3022" s="8">
        <v>0</v>
      </c>
      <c r="E3022" s="7">
        <v>0</v>
      </c>
      <c r="F3022" s="8">
        <v>0</v>
      </c>
      <c r="G3022" s="7">
        <v>0</v>
      </c>
      <c r="H3022" s="7">
        <v>81211.819999998</v>
      </c>
      <c r="I3022" s="7">
        <v>0</v>
      </c>
      <c r="J3022" s="8">
        <v>0</v>
      </c>
      <c r="K3022" s="9" t="str">
        <v/>
      </c>
    </row>
    <row r="3023" spans="1:11">
      <c r="A3023" t="str">
        <v/>
      </c>
      <c r="B3023" s="6">
        <v>0</v>
      </c>
      <c r="C3023" s="7" t="str">
        <v>趣点购浦发</v>
      </c>
      <c r="D3023" s="8">
        <v>0</v>
      </c>
      <c r="E3023" s="7">
        <v>0</v>
      </c>
      <c r="F3023" s="8">
        <v>0</v>
      </c>
      <c r="G3023" s="7">
        <v>0</v>
      </c>
      <c r="H3023" s="7">
        <v>81211.819999998</v>
      </c>
      <c r="I3023" s="7">
        <v>0</v>
      </c>
      <c r="J3023" s="8">
        <v>0</v>
      </c>
      <c r="K3023" s="9" t="str">
        <v/>
      </c>
    </row>
    <row r="3024" spans="1:11">
      <c r="A3024" t="str">
        <v/>
      </c>
      <c r="B3024" s="6">
        <v>0</v>
      </c>
      <c r="C3024" s="7" t="str">
        <v>趣点购浦发</v>
      </c>
      <c r="D3024" s="8">
        <v>0</v>
      </c>
      <c r="E3024" s="7">
        <v>0</v>
      </c>
      <c r="F3024" s="8">
        <v>0</v>
      </c>
      <c r="G3024" s="7">
        <v>0</v>
      </c>
      <c r="H3024" s="7">
        <v>81211.819999998</v>
      </c>
      <c r="I3024" s="7">
        <v>0</v>
      </c>
      <c r="J3024" s="8">
        <v>0</v>
      </c>
      <c r="K3024" s="9" t="str">
        <v/>
      </c>
    </row>
    <row r="3025" spans="1:11">
      <c r="A3025" t="str">
        <v/>
      </c>
      <c r="B3025" s="6">
        <v>0</v>
      </c>
      <c r="C3025" s="7" t="str">
        <v>趣点购浦发</v>
      </c>
      <c r="D3025" s="8">
        <v>0</v>
      </c>
      <c r="E3025" s="7">
        <v>0</v>
      </c>
      <c r="F3025" s="8">
        <v>0</v>
      </c>
      <c r="G3025" s="7">
        <v>0</v>
      </c>
      <c r="H3025" s="7">
        <v>81211.819999998</v>
      </c>
      <c r="I3025" s="7">
        <v>0</v>
      </c>
      <c r="J3025" s="8">
        <v>0</v>
      </c>
      <c r="K3025" s="9" t="str">
        <v/>
      </c>
    </row>
    <row r="3026" spans="1:11">
      <c r="A3026" t="str">
        <v/>
      </c>
      <c r="B3026" s="6">
        <v>0</v>
      </c>
      <c r="C3026" s="7" t="str">
        <v>趣点购浦发</v>
      </c>
      <c r="D3026" s="8">
        <v>0</v>
      </c>
      <c r="E3026" s="7">
        <v>0</v>
      </c>
      <c r="F3026" s="8">
        <v>0</v>
      </c>
      <c r="G3026" s="7">
        <v>0</v>
      </c>
      <c r="H3026" s="7">
        <v>81211.819999998</v>
      </c>
      <c r="I3026" s="7">
        <v>0</v>
      </c>
      <c r="J3026" s="8">
        <v>0</v>
      </c>
      <c r="K3026" s="9" t="str">
        <v/>
      </c>
    </row>
    <row r="3027" spans="1:11">
      <c r="A3027" t="str">
        <v/>
      </c>
      <c r="B3027" s="6">
        <v>0</v>
      </c>
      <c r="C3027" s="7" t="str">
        <v>趣点购浦发</v>
      </c>
      <c r="D3027" s="8">
        <v>0</v>
      </c>
      <c r="E3027" s="7">
        <v>0</v>
      </c>
      <c r="F3027" s="8">
        <v>0</v>
      </c>
      <c r="G3027" s="7">
        <v>0</v>
      </c>
      <c r="H3027" s="7">
        <v>81211.819999998</v>
      </c>
      <c r="I3027" s="7">
        <v>0</v>
      </c>
      <c r="J3027" s="8">
        <v>0</v>
      </c>
      <c r="K3027" s="9" t="str">
        <v/>
      </c>
    </row>
    <row r="3028" spans="1:11">
      <c r="A3028" t="str">
        <v/>
      </c>
      <c r="B3028" s="6">
        <v>0</v>
      </c>
      <c r="C3028" s="7" t="str">
        <v>趣点购浦发</v>
      </c>
      <c r="D3028" s="8">
        <v>0</v>
      </c>
      <c r="E3028" s="7">
        <v>0</v>
      </c>
      <c r="F3028" s="8">
        <v>0</v>
      </c>
      <c r="G3028" s="7">
        <v>0</v>
      </c>
      <c r="H3028" s="7">
        <v>81211.819999998</v>
      </c>
      <c r="I3028" s="7">
        <v>0</v>
      </c>
      <c r="J3028" s="8">
        <v>0</v>
      </c>
      <c r="K3028" s="9" t="str">
        <v/>
      </c>
    </row>
    <row r="3029" spans="1:11">
      <c r="A3029" t="str">
        <v/>
      </c>
      <c r="B3029" s="6">
        <v>0</v>
      </c>
      <c r="C3029" s="7" t="str">
        <v>趣点购浦发</v>
      </c>
      <c r="D3029" s="8">
        <v>0</v>
      </c>
      <c r="E3029" s="7">
        <v>0</v>
      </c>
      <c r="F3029" s="8">
        <v>0</v>
      </c>
      <c r="G3029" s="7">
        <v>0</v>
      </c>
      <c r="H3029" s="7">
        <v>81211.819999998</v>
      </c>
      <c r="I3029" s="7">
        <v>0</v>
      </c>
      <c r="J3029" s="8">
        <v>0</v>
      </c>
      <c r="K3029" s="9" t="str">
        <v/>
      </c>
    </row>
    <row r="3030" spans="1:11">
      <c r="A3030" t="str">
        <v/>
      </c>
      <c r="B3030" s="6">
        <v>0</v>
      </c>
      <c r="C3030" s="7" t="str">
        <v>趣点购浦发</v>
      </c>
      <c r="D3030" s="8">
        <v>0</v>
      </c>
      <c r="E3030" s="7">
        <v>0</v>
      </c>
      <c r="F3030" s="8">
        <v>0</v>
      </c>
      <c r="G3030" s="7">
        <v>0</v>
      </c>
      <c r="H3030" s="7">
        <v>81211.819999998</v>
      </c>
      <c r="I3030" s="7">
        <v>0</v>
      </c>
      <c r="J3030" s="8">
        <v>0</v>
      </c>
      <c r="K3030" s="9" t="str">
        <v/>
      </c>
    </row>
    <row r="3031" spans="1:11">
      <c r="A3031" t="str">
        <v/>
      </c>
      <c r="B3031" s="6">
        <v>0</v>
      </c>
      <c r="C3031" s="7" t="str">
        <v>趣点购浦发</v>
      </c>
      <c r="D3031" s="8">
        <v>0</v>
      </c>
      <c r="E3031" s="7">
        <v>0</v>
      </c>
      <c r="F3031" s="8">
        <v>0</v>
      </c>
      <c r="G3031" s="7">
        <v>0</v>
      </c>
      <c r="H3031" s="7">
        <v>81211.819999998</v>
      </c>
      <c r="I3031" s="7">
        <v>0</v>
      </c>
      <c r="J3031" s="8">
        <v>0</v>
      </c>
      <c r="K3031" s="9" t="str">
        <v/>
      </c>
    </row>
    <row r="3032" spans="1:11">
      <c r="A3032" t="str">
        <v/>
      </c>
      <c r="B3032" s="6">
        <v>0</v>
      </c>
      <c r="C3032" s="7" t="str">
        <v>趣点购浦发</v>
      </c>
      <c r="D3032" s="8">
        <v>0</v>
      </c>
      <c r="E3032" s="7">
        <v>0</v>
      </c>
      <c r="F3032" s="8">
        <v>0</v>
      </c>
      <c r="G3032" s="7">
        <v>0</v>
      </c>
      <c r="H3032" s="7">
        <v>81211.819999998</v>
      </c>
      <c r="I3032" s="7">
        <v>0</v>
      </c>
      <c r="J3032" s="8">
        <v>0</v>
      </c>
      <c r="K3032" s="9" t="str">
        <v/>
      </c>
    </row>
    <row r="3033" spans="1:11">
      <c r="A3033" t="str">
        <v/>
      </c>
      <c r="B3033" s="6">
        <v>0</v>
      </c>
      <c r="C3033" s="7" t="str">
        <v>趣点购浦发</v>
      </c>
      <c r="D3033" s="8">
        <v>0</v>
      </c>
      <c r="E3033" s="7">
        <v>0</v>
      </c>
      <c r="F3033" s="8">
        <v>0</v>
      </c>
      <c r="G3033" s="7">
        <v>0</v>
      </c>
      <c r="H3033" s="7">
        <v>81211.819999998</v>
      </c>
      <c r="I3033" s="7">
        <v>0</v>
      </c>
      <c r="J3033" s="8">
        <v>0</v>
      </c>
      <c r="K3033" s="9" t="str">
        <v/>
      </c>
    </row>
    <row r="3034" spans="1:11">
      <c r="A3034" t="str">
        <v/>
      </c>
      <c r="B3034" s="6">
        <v>0</v>
      </c>
      <c r="C3034" s="7" t="str">
        <v>趣点购浦发</v>
      </c>
      <c r="D3034" s="8">
        <v>0</v>
      </c>
      <c r="E3034" s="7">
        <v>0</v>
      </c>
      <c r="F3034" s="8">
        <v>0</v>
      </c>
      <c r="G3034" s="7">
        <v>0</v>
      </c>
      <c r="H3034" s="7">
        <v>81211.819999998</v>
      </c>
      <c r="I3034" s="7">
        <v>0</v>
      </c>
      <c r="J3034" s="8">
        <v>0</v>
      </c>
      <c r="K3034" s="9" t="str">
        <v/>
      </c>
    </row>
    <row r="3035" spans="1:11">
      <c r="A3035" t="str">
        <v/>
      </c>
      <c r="B3035" s="6">
        <v>0</v>
      </c>
      <c r="C3035" s="7" t="str">
        <v>趣点购浦发</v>
      </c>
      <c r="D3035" s="8">
        <v>0</v>
      </c>
      <c r="E3035" s="7">
        <v>0</v>
      </c>
      <c r="F3035" s="8">
        <v>0</v>
      </c>
      <c r="G3035" s="7">
        <v>0</v>
      </c>
      <c r="H3035" s="7">
        <v>81211.819999998</v>
      </c>
      <c r="I3035" s="7">
        <v>0</v>
      </c>
      <c r="J3035" s="8">
        <v>0</v>
      </c>
      <c r="K3035" s="9" t="str">
        <v/>
      </c>
    </row>
    <row r="3036" spans="1:11">
      <c r="A3036" t="str">
        <v/>
      </c>
      <c r="B3036" s="6">
        <v>0</v>
      </c>
      <c r="C3036" s="7" t="str">
        <v>趣点购浦发</v>
      </c>
      <c r="D3036" s="8">
        <v>0</v>
      </c>
      <c r="E3036" s="7">
        <v>0</v>
      </c>
      <c r="F3036" s="8">
        <v>0</v>
      </c>
      <c r="G3036" s="7">
        <v>0</v>
      </c>
      <c r="H3036" s="7">
        <v>81211.819999998</v>
      </c>
      <c r="I3036" s="7">
        <v>0</v>
      </c>
      <c r="J3036" s="8">
        <v>0</v>
      </c>
      <c r="K3036" s="9" t="str">
        <v/>
      </c>
    </row>
    <row r="3037" spans="1:11">
      <c r="A3037" t="str">
        <v/>
      </c>
      <c r="B3037" s="6">
        <v>0</v>
      </c>
      <c r="C3037" s="7" t="str">
        <v>趣点购浦发</v>
      </c>
      <c r="D3037" s="8">
        <v>0</v>
      </c>
      <c r="E3037" s="7">
        <v>0</v>
      </c>
      <c r="F3037" s="8">
        <v>0</v>
      </c>
      <c r="G3037" s="7">
        <v>0</v>
      </c>
      <c r="H3037" s="7">
        <v>81211.819999998</v>
      </c>
      <c r="I3037" s="7">
        <v>0</v>
      </c>
      <c r="J3037" s="8">
        <v>0</v>
      </c>
      <c r="K3037" s="9" t="str">
        <v/>
      </c>
    </row>
    <row r="3038" spans="1:11">
      <c r="A3038" t="str">
        <v/>
      </c>
      <c r="B3038" s="6">
        <v>0</v>
      </c>
      <c r="C3038" s="7" t="str">
        <v>趣点购浦发</v>
      </c>
      <c r="D3038" s="8">
        <v>0</v>
      </c>
      <c r="E3038" s="7">
        <v>0</v>
      </c>
      <c r="F3038" s="8">
        <v>0</v>
      </c>
      <c r="G3038" s="7">
        <v>0</v>
      </c>
      <c r="H3038" s="7">
        <v>81211.819999998</v>
      </c>
      <c r="I3038" s="7">
        <v>0</v>
      </c>
      <c r="J3038" s="8">
        <v>0</v>
      </c>
      <c r="K3038" s="9" t="str">
        <v/>
      </c>
    </row>
    <row r="3039" spans="1:11">
      <c r="A3039" t="str">
        <v/>
      </c>
      <c r="B3039" s="6">
        <v>0</v>
      </c>
      <c r="C3039" s="7" t="str">
        <v>趣点购浦发</v>
      </c>
      <c r="D3039" s="8">
        <v>0</v>
      </c>
      <c r="E3039" s="7">
        <v>0</v>
      </c>
      <c r="F3039" s="8">
        <v>0</v>
      </c>
      <c r="G3039" s="7">
        <v>0</v>
      </c>
      <c r="H3039" s="7">
        <v>81211.819999998</v>
      </c>
      <c r="I3039" s="7">
        <v>0</v>
      </c>
      <c r="J3039" s="8">
        <v>0</v>
      </c>
      <c r="K3039" s="9" t="str">
        <v/>
      </c>
    </row>
    <row r="3040" spans="1:11">
      <c r="A3040" t="str">
        <v/>
      </c>
      <c r="B3040" s="6">
        <v>0</v>
      </c>
      <c r="C3040" s="7" t="str">
        <v>趣点购浦发</v>
      </c>
      <c r="D3040" s="8">
        <v>0</v>
      </c>
      <c r="E3040" s="7">
        <v>0</v>
      </c>
      <c r="F3040" s="8">
        <v>0</v>
      </c>
      <c r="G3040" s="7">
        <v>0</v>
      </c>
      <c r="H3040" s="7">
        <v>81211.819999998</v>
      </c>
      <c r="I3040" s="7">
        <v>0</v>
      </c>
      <c r="J3040" s="8">
        <v>0</v>
      </c>
      <c r="K3040" s="9" t="str">
        <v/>
      </c>
    </row>
    <row r="3041" spans="1:11">
      <c r="A3041" t="str">
        <v/>
      </c>
      <c r="B3041" s="6">
        <v>0</v>
      </c>
      <c r="C3041" s="7" t="str">
        <v>趣点购浦发</v>
      </c>
      <c r="D3041" s="8">
        <v>0</v>
      </c>
      <c r="E3041" s="7">
        <v>0</v>
      </c>
      <c r="F3041" s="8">
        <v>0</v>
      </c>
      <c r="G3041" s="7">
        <v>0</v>
      </c>
      <c r="H3041" s="7">
        <v>81211.819999998</v>
      </c>
      <c r="I3041" s="7">
        <v>0</v>
      </c>
      <c r="J3041" s="8">
        <v>0</v>
      </c>
      <c r="K3041" s="9" t="str">
        <v/>
      </c>
    </row>
    <row r="3042" spans="1:11">
      <c r="A3042" t="str">
        <v/>
      </c>
      <c r="B3042" s="6">
        <v>0</v>
      </c>
      <c r="C3042" s="7" t="str">
        <v>趣点购浦发</v>
      </c>
      <c r="D3042" s="8">
        <v>0</v>
      </c>
      <c r="E3042" s="7">
        <v>0</v>
      </c>
      <c r="F3042" s="8">
        <v>0</v>
      </c>
      <c r="G3042" s="7">
        <v>0</v>
      </c>
      <c r="H3042" s="7">
        <v>81211.819999998</v>
      </c>
      <c r="I3042" s="7">
        <v>0</v>
      </c>
      <c r="J3042" s="8">
        <v>0</v>
      </c>
      <c r="K3042" s="9" t="str">
        <v/>
      </c>
    </row>
    <row r="3043" spans="1:11">
      <c r="A3043" t="str">
        <v/>
      </c>
      <c r="B3043" s="6">
        <v>0</v>
      </c>
      <c r="C3043" s="7" t="str">
        <v>趣点购浦发</v>
      </c>
      <c r="D3043" s="8">
        <v>0</v>
      </c>
      <c r="E3043" s="7">
        <v>0</v>
      </c>
      <c r="F3043" s="8">
        <v>0</v>
      </c>
      <c r="G3043" s="7">
        <v>0</v>
      </c>
      <c r="H3043" s="7">
        <v>81211.819999998</v>
      </c>
      <c r="I3043" s="7">
        <v>0</v>
      </c>
      <c r="J3043" s="8">
        <v>0</v>
      </c>
      <c r="K3043" s="9" t="str">
        <v/>
      </c>
    </row>
    <row r="3044" spans="1:11">
      <c r="A3044" t="str">
        <v/>
      </c>
      <c r="B3044" s="6">
        <v>0</v>
      </c>
      <c r="C3044" s="7" t="str">
        <v>趣点购浦发</v>
      </c>
      <c r="D3044" s="8">
        <v>0</v>
      </c>
      <c r="E3044" s="7">
        <v>0</v>
      </c>
      <c r="F3044" s="8">
        <v>0</v>
      </c>
      <c r="G3044" s="7">
        <v>0</v>
      </c>
      <c r="H3044" s="7">
        <v>81211.819999998</v>
      </c>
      <c r="I3044" s="7">
        <v>0</v>
      </c>
      <c r="J3044" s="8">
        <v>0</v>
      </c>
      <c r="K3044" s="9" t="str">
        <v/>
      </c>
    </row>
    <row r="3045" spans="1:11">
      <c r="A3045" t="str">
        <v/>
      </c>
      <c r="B3045" s="6">
        <v>0</v>
      </c>
      <c r="C3045" s="7" t="str">
        <v>趣点购浦发</v>
      </c>
      <c r="D3045" s="8">
        <v>0</v>
      </c>
      <c r="E3045" s="7">
        <v>0</v>
      </c>
      <c r="F3045" s="8">
        <v>0</v>
      </c>
      <c r="G3045" s="7">
        <v>0</v>
      </c>
      <c r="H3045" s="7">
        <v>81211.819999998</v>
      </c>
      <c r="I3045" s="7">
        <v>0</v>
      </c>
      <c r="J3045" s="8">
        <v>0</v>
      </c>
      <c r="K3045" s="9" t="str">
        <v/>
      </c>
    </row>
    <row r="3046" spans="1:11">
      <c r="A3046" t="str">
        <v/>
      </c>
      <c r="B3046" s="6">
        <v>0</v>
      </c>
      <c r="C3046" s="7" t="str">
        <v>趣点购浦发</v>
      </c>
      <c r="D3046" s="8">
        <v>0</v>
      </c>
      <c r="E3046" s="7">
        <v>0</v>
      </c>
      <c r="F3046" s="8">
        <v>0</v>
      </c>
      <c r="G3046" s="7">
        <v>0</v>
      </c>
      <c r="H3046" s="7">
        <v>81211.819999998</v>
      </c>
      <c r="I3046" s="7">
        <v>0</v>
      </c>
      <c r="J3046" s="8">
        <v>0</v>
      </c>
      <c r="K3046" s="9" t="str">
        <v/>
      </c>
    </row>
    <row r="3047" spans="1:11">
      <c r="A3047" t="str">
        <v/>
      </c>
      <c r="B3047" s="6">
        <v>0</v>
      </c>
      <c r="C3047" s="7" t="str">
        <v>趣点购浦发</v>
      </c>
      <c r="D3047" s="8">
        <v>0</v>
      </c>
      <c r="E3047" s="7">
        <v>0</v>
      </c>
      <c r="F3047" s="8">
        <v>0</v>
      </c>
      <c r="G3047" s="7">
        <v>0</v>
      </c>
      <c r="H3047" s="7">
        <v>81211.819999998</v>
      </c>
      <c r="I3047" s="7">
        <v>0</v>
      </c>
      <c r="J3047" s="8">
        <v>0</v>
      </c>
      <c r="K3047" s="9" t="str">
        <v/>
      </c>
    </row>
    <row r="3048" spans="1:11">
      <c r="A3048" t="str">
        <v/>
      </c>
      <c r="B3048" s="6">
        <v>0</v>
      </c>
      <c r="C3048" s="7" t="str">
        <v>趣点购浦发</v>
      </c>
      <c r="D3048" s="8">
        <v>0</v>
      </c>
      <c r="E3048" s="7">
        <v>0</v>
      </c>
      <c r="F3048" s="8">
        <v>0</v>
      </c>
      <c r="G3048" s="7">
        <v>0</v>
      </c>
      <c r="H3048" s="7">
        <v>81211.819999998</v>
      </c>
      <c r="I3048" s="7">
        <v>0</v>
      </c>
      <c r="J3048" s="8">
        <v>0</v>
      </c>
      <c r="K3048" s="9" t="str">
        <v/>
      </c>
    </row>
    <row r="3049" spans="1:11">
      <c r="A3049" t="str">
        <v/>
      </c>
      <c r="B3049" s="6">
        <v>0</v>
      </c>
      <c r="C3049" s="7" t="str">
        <v>趣点购浦发</v>
      </c>
      <c r="D3049" s="8">
        <v>0</v>
      </c>
      <c r="E3049" s="7">
        <v>0</v>
      </c>
      <c r="F3049" s="8">
        <v>0</v>
      </c>
      <c r="G3049" s="7">
        <v>0</v>
      </c>
      <c r="H3049" s="7">
        <v>81211.819999998</v>
      </c>
      <c r="I3049" s="7">
        <v>0</v>
      </c>
      <c r="J3049" s="8">
        <v>0</v>
      </c>
      <c r="K3049" s="9" t="str">
        <v/>
      </c>
    </row>
    <row r="3050" spans="1:11">
      <c r="A3050" t="str">
        <v/>
      </c>
      <c r="B3050" s="6">
        <v>0</v>
      </c>
      <c r="C3050" s="7" t="str">
        <v>趣点购浦发</v>
      </c>
      <c r="D3050" s="8">
        <v>0</v>
      </c>
      <c r="E3050" s="7">
        <v>0</v>
      </c>
      <c r="F3050" s="8">
        <v>0</v>
      </c>
      <c r="G3050" s="7">
        <v>0</v>
      </c>
      <c r="H3050" s="7">
        <v>81211.819999998</v>
      </c>
      <c r="I3050" s="7">
        <v>0</v>
      </c>
      <c r="J3050" s="8">
        <v>0</v>
      </c>
      <c r="K3050" s="9" t="str">
        <v/>
      </c>
    </row>
    <row r="3051" spans="1:11">
      <c r="A3051" t="str">
        <v/>
      </c>
      <c r="B3051" s="6">
        <v>0</v>
      </c>
      <c r="C3051" s="7" t="str">
        <v>趣点购浦发</v>
      </c>
      <c r="D3051" s="8">
        <v>0</v>
      </c>
      <c r="E3051" s="7">
        <v>0</v>
      </c>
      <c r="F3051" s="8">
        <v>0</v>
      </c>
      <c r="G3051" s="7">
        <v>0</v>
      </c>
      <c r="H3051" s="7">
        <v>81211.819999998</v>
      </c>
      <c r="I3051" s="7">
        <v>0</v>
      </c>
      <c r="J3051" s="8">
        <v>0</v>
      </c>
      <c r="K3051" s="9" t="str">
        <v/>
      </c>
    </row>
    <row r="3052" spans="1:11">
      <c r="A3052" t="str">
        <v/>
      </c>
      <c r="B3052" s="6">
        <v>0</v>
      </c>
      <c r="C3052" s="7" t="str">
        <v>趣点购浦发</v>
      </c>
      <c r="D3052" s="8">
        <v>0</v>
      </c>
      <c r="E3052" s="7">
        <v>0</v>
      </c>
      <c r="F3052" s="8">
        <v>0</v>
      </c>
      <c r="G3052" s="7">
        <v>0</v>
      </c>
      <c r="H3052" s="7">
        <v>81211.819999998</v>
      </c>
      <c r="I3052" s="7">
        <v>0</v>
      </c>
      <c r="J3052" s="8">
        <v>0</v>
      </c>
      <c r="K3052" s="9" t="str">
        <v/>
      </c>
    </row>
    <row r="3053" spans="1:11">
      <c r="A3053" t="str">
        <v/>
      </c>
      <c r="B3053" s="6">
        <v>0</v>
      </c>
      <c r="C3053" s="7" t="str">
        <v>趣点购浦发</v>
      </c>
      <c r="D3053" s="8">
        <v>0</v>
      </c>
      <c r="E3053" s="7">
        <v>0</v>
      </c>
      <c r="F3053" s="8">
        <v>0</v>
      </c>
      <c r="G3053" s="7">
        <v>0</v>
      </c>
      <c r="H3053" s="7">
        <v>81211.819999998</v>
      </c>
      <c r="I3053" s="7">
        <v>0</v>
      </c>
      <c r="J3053" s="8">
        <v>0</v>
      </c>
      <c r="K3053" s="9" t="str">
        <v/>
      </c>
    </row>
    <row r="3054" spans="1:11">
      <c r="A3054" t="str">
        <v/>
      </c>
      <c r="B3054" s="6">
        <v>0</v>
      </c>
      <c r="C3054" s="7" t="str">
        <v>趣点购浦发</v>
      </c>
      <c r="D3054" s="8">
        <v>0</v>
      </c>
      <c r="E3054" s="7">
        <v>0</v>
      </c>
      <c r="F3054" s="8">
        <v>0</v>
      </c>
      <c r="G3054" s="7">
        <v>0</v>
      </c>
      <c r="H3054" s="7">
        <v>81211.819999998</v>
      </c>
      <c r="I3054" s="7">
        <v>0</v>
      </c>
      <c r="J3054" s="8">
        <v>0</v>
      </c>
      <c r="K3054" s="9" t="str">
        <v/>
      </c>
    </row>
    <row r="3055" spans="1:11">
      <c r="A3055" t="str">
        <v/>
      </c>
      <c r="B3055" s="6">
        <v>0</v>
      </c>
      <c r="C3055" s="7" t="str">
        <v>趣点购浦发</v>
      </c>
      <c r="D3055" s="8">
        <v>0</v>
      </c>
      <c r="E3055" s="7">
        <v>0</v>
      </c>
      <c r="F3055" s="8">
        <v>0</v>
      </c>
      <c r="G3055" s="7">
        <v>0</v>
      </c>
      <c r="H3055" s="7">
        <v>81211.819999998</v>
      </c>
      <c r="I3055" s="7">
        <v>0</v>
      </c>
      <c r="J3055" s="8">
        <v>0</v>
      </c>
      <c r="K3055" s="9" t="str">
        <v/>
      </c>
    </row>
    <row r="3056" spans="1:11">
      <c r="A3056" t="str">
        <v/>
      </c>
      <c r="B3056" s="6">
        <v>0</v>
      </c>
      <c r="C3056" s="7" t="str">
        <v>趣点购浦发</v>
      </c>
      <c r="D3056" s="8">
        <v>0</v>
      </c>
      <c r="E3056" s="7">
        <v>0</v>
      </c>
      <c r="F3056" s="8">
        <v>0</v>
      </c>
      <c r="G3056" s="7">
        <v>0</v>
      </c>
      <c r="H3056" s="7">
        <v>81211.819999998</v>
      </c>
      <c r="I3056" s="7">
        <v>0</v>
      </c>
      <c r="J3056" s="8">
        <v>0</v>
      </c>
      <c r="K3056" s="9" t="str">
        <v/>
      </c>
    </row>
    <row r="3057" spans="1:11">
      <c r="A3057" t="str">
        <v/>
      </c>
      <c r="B3057" s="6">
        <v>0</v>
      </c>
      <c r="C3057" s="7" t="str">
        <v>趣点购浦发</v>
      </c>
      <c r="D3057" s="8">
        <v>0</v>
      </c>
      <c r="E3057" s="7">
        <v>0</v>
      </c>
      <c r="F3057" s="8">
        <v>0</v>
      </c>
      <c r="G3057" s="7">
        <v>0</v>
      </c>
      <c r="H3057" s="7">
        <v>81211.819999998</v>
      </c>
      <c r="I3057" s="7">
        <v>0</v>
      </c>
      <c r="J3057" s="8">
        <v>0</v>
      </c>
      <c r="K3057" s="9" t="str">
        <v/>
      </c>
    </row>
    <row r="3058" spans="1:11">
      <c r="A3058" t="str">
        <v/>
      </c>
      <c r="B3058" s="6">
        <v>0</v>
      </c>
      <c r="C3058" s="7" t="str">
        <v>趣点购浦发</v>
      </c>
      <c r="D3058" s="8">
        <v>0</v>
      </c>
      <c r="E3058" s="7">
        <v>0</v>
      </c>
      <c r="F3058" s="8">
        <v>0</v>
      </c>
      <c r="G3058" s="7">
        <v>0</v>
      </c>
      <c r="H3058" s="7">
        <v>81211.819999998</v>
      </c>
      <c r="I3058" s="7">
        <v>0</v>
      </c>
      <c r="J3058" s="8">
        <v>0</v>
      </c>
      <c r="K3058" s="9" t="str">
        <v/>
      </c>
    </row>
    <row r="3059" spans="1:11">
      <c r="A3059" t="str">
        <v/>
      </c>
      <c r="B3059" s="6">
        <v>0</v>
      </c>
      <c r="C3059" s="7" t="str">
        <v>趣点购浦发</v>
      </c>
      <c r="D3059" s="8">
        <v>0</v>
      </c>
      <c r="E3059" s="7">
        <v>0</v>
      </c>
      <c r="F3059" s="8">
        <v>0</v>
      </c>
      <c r="G3059" s="7">
        <v>0</v>
      </c>
      <c r="H3059" s="7">
        <v>81211.819999998</v>
      </c>
      <c r="I3059" s="7">
        <v>0</v>
      </c>
      <c r="J3059" s="8">
        <v>0</v>
      </c>
      <c r="K3059" s="9" t="str">
        <v/>
      </c>
    </row>
    <row r="3060" spans="1:11">
      <c r="A3060" t="str">
        <v/>
      </c>
      <c r="B3060" s="6">
        <v>0</v>
      </c>
      <c r="C3060" s="7" t="str">
        <v>趣点购浦发</v>
      </c>
      <c r="D3060" s="8">
        <v>0</v>
      </c>
      <c r="E3060" s="7">
        <v>0</v>
      </c>
      <c r="F3060" s="8">
        <v>0</v>
      </c>
      <c r="G3060" s="7">
        <v>0</v>
      </c>
      <c r="H3060" s="7">
        <v>81211.819999998</v>
      </c>
      <c r="I3060" s="7">
        <v>0</v>
      </c>
      <c r="J3060" s="8">
        <v>0</v>
      </c>
      <c r="K3060" s="9" t="str">
        <v/>
      </c>
    </row>
    <row r="3061" spans="1:11">
      <c r="A3061" t="str">
        <v/>
      </c>
      <c r="B3061" s="6">
        <v>0</v>
      </c>
      <c r="C3061" s="7" t="str">
        <v>趣点购浦发</v>
      </c>
      <c r="D3061" s="8">
        <v>0</v>
      </c>
      <c r="E3061" s="7">
        <v>0</v>
      </c>
      <c r="F3061" s="8">
        <v>0</v>
      </c>
      <c r="G3061" s="7">
        <v>0</v>
      </c>
      <c r="H3061" s="7">
        <v>81211.819999998</v>
      </c>
      <c r="I3061" s="7">
        <v>0</v>
      </c>
      <c r="J3061" s="8">
        <v>0</v>
      </c>
      <c r="K3061" s="9" t="str">
        <v/>
      </c>
    </row>
    <row r="3062" spans="1:11">
      <c r="A3062" t="str">
        <v/>
      </c>
      <c r="B3062" s="6">
        <v>0</v>
      </c>
      <c r="C3062" s="7" t="str">
        <v>趣点购浦发</v>
      </c>
      <c r="D3062" s="8">
        <v>0</v>
      </c>
      <c r="E3062" s="7">
        <v>0</v>
      </c>
      <c r="F3062" s="8">
        <v>0</v>
      </c>
      <c r="G3062" s="7">
        <v>0</v>
      </c>
      <c r="H3062" s="7">
        <v>81211.819999998</v>
      </c>
      <c r="I3062" s="7">
        <v>0</v>
      </c>
      <c r="J3062" s="8">
        <v>0</v>
      </c>
      <c r="K3062" s="9" t="str">
        <v/>
      </c>
    </row>
    <row r="3063" spans="1:11">
      <c r="A3063" t="str">
        <v/>
      </c>
      <c r="B3063" s="6">
        <v>0</v>
      </c>
      <c r="C3063" s="7" t="str">
        <v>趣点购浦发</v>
      </c>
      <c r="D3063" s="8">
        <v>0</v>
      </c>
      <c r="E3063" s="7">
        <v>0</v>
      </c>
      <c r="F3063" s="8">
        <v>0</v>
      </c>
      <c r="G3063" s="7">
        <v>0</v>
      </c>
      <c r="H3063" s="7">
        <v>81211.819999998</v>
      </c>
      <c r="I3063" s="7">
        <v>0</v>
      </c>
      <c r="J3063" s="8">
        <v>0</v>
      </c>
      <c r="K3063" s="9" t="str">
        <v/>
      </c>
    </row>
    <row r="3064" spans="1:11">
      <c r="A3064" t="str">
        <v/>
      </c>
      <c r="B3064" s="6">
        <v>0</v>
      </c>
      <c r="C3064" s="7" t="str">
        <v>趣点购浦发</v>
      </c>
      <c r="D3064" s="8">
        <v>0</v>
      </c>
      <c r="E3064" s="7">
        <v>0</v>
      </c>
      <c r="F3064" s="8">
        <v>0</v>
      </c>
      <c r="G3064" s="7">
        <v>0</v>
      </c>
      <c r="H3064" s="7">
        <v>81211.819999998</v>
      </c>
      <c r="I3064" s="7">
        <v>0</v>
      </c>
      <c r="J3064" s="8">
        <v>0</v>
      </c>
      <c r="K3064" s="9" t="str">
        <v/>
      </c>
    </row>
    <row r="3065" spans="1:11">
      <c r="A3065" t="str">
        <v/>
      </c>
      <c r="B3065" s="6">
        <v>0</v>
      </c>
      <c r="C3065" s="7" t="str">
        <v>趣点购浦发</v>
      </c>
      <c r="D3065" s="8">
        <v>0</v>
      </c>
      <c r="E3065" s="7">
        <v>0</v>
      </c>
      <c r="F3065" s="8">
        <v>0</v>
      </c>
      <c r="G3065" s="7">
        <v>0</v>
      </c>
      <c r="H3065" s="7">
        <v>81211.819999998</v>
      </c>
      <c r="I3065" s="7">
        <v>0</v>
      </c>
      <c r="J3065" s="8">
        <v>0</v>
      </c>
      <c r="K3065" s="9" t="str">
        <v/>
      </c>
    </row>
    <row r="3066" spans="1:11">
      <c r="A3066" t="str">
        <v/>
      </c>
      <c r="B3066" s="6">
        <v>0</v>
      </c>
      <c r="C3066" s="7" t="str">
        <v>趣点购浦发</v>
      </c>
      <c r="D3066" s="8">
        <v>0</v>
      </c>
      <c r="E3066" s="7">
        <v>0</v>
      </c>
      <c r="F3066" s="8">
        <v>0</v>
      </c>
      <c r="G3066" s="7">
        <v>0</v>
      </c>
      <c r="H3066" s="7">
        <v>81211.819999998</v>
      </c>
      <c r="I3066" s="7">
        <v>0</v>
      </c>
      <c r="J3066" s="8">
        <v>0</v>
      </c>
      <c r="K3066" s="9" t="str">
        <v/>
      </c>
    </row>
    <row r="3067" spans="1:11">
      <c r="A3067" t="str">
        <v/>
      </c>
      <c r="B3067" s="6">
        <v>0</v>
      </c>
      <c r="C3067" s="7" t="str">
        <v>趣点购浦发</v>
      </c>
      <c r="D3067" s="8">
        <v>0</v>
      </c>
      <c r="E3067" s="7">
        <v>0</v>
      </c>
      <c r="F3067" s="8">
        <v>0</v>
      </c>
      <c r="G3067" s="7">
        <v>0</v>
      </c>
      <c r="H3067" s="7">
        <v>81211.819999998</v>
      </c>
      <c r="I3067" s="7">
        <v>0</v>
      </c>
      <c r="J3067" s="8">
        <v>0</v>
      </c>
      <c r="K3067" s="9" t="str">
        <v/>
      </c>
    </row>
    <row r="3068" spans="1:11">
      <c r="A3068" t="str">
        <v/>
      </c>
      <c r="B3068" s="6">
        <v>0</v>
      </c>
      <c r="C3068" s="7" t="str">
        <v>趣点购浦发</v>
      </c>
      <c r="D3068" s="8">
        <v>0</v>
      </c>
      <c r="E3068" s="7">
        <v>0</v>
      </c>
      <c r="F3068" s="8">
        <v>0</v>
      </c>
      <c r="G3068" s="7">
        <v>0</v>
      </c>
      <c r="H3068" s="7">
        <v>81211.819999998</v>
      </c>
      <c r="I3068" s="7">
        <v>0</v>
      </c>
      <c r="J3068" s="8">
        <v>0</v>
      </c>
      <c r="K3068" s="9" t="str">
        <v/>
      </c>
    </row>
    <row r="3069" spans="1:11">
      <c r="A3069" t="str">
        <v/>
      </c>
      <c r="B3069" s="6">
        <v>0</v>
      </c>
      <c r="C3069" s="7" t="str">
        <v>趣点购浦发</v>
      </c>
      <c r="D3069" s="8">
        <v>0</v>
      </c>
      <c r="E3069" s="7">
        <v>0</v>
      </c>
      <c r="F3069" s="8">
        <v>0</v>
      </c>
      <c r="G3069" s="7">
        <v>0</v>
      </c>
      <c r="H3069" s="7">
        <v>81211.819999998</v>
      </c>
      <c r="I3069" s="7">
        <v>0</v>
      </c>
      <c r="J3069" s="8">
        <v>0</v>
      </c>
      <c r="K3069" s="9" t="str">
        <v/>
      </c>
    </row>
    <row r="3070" spans="1:11">
      <c r="A3070" t="str">
        <v/>
      </c>
      <c r="B3070" s="6">
        <v>0</v>
      </c>
      <c r="C3070" s="7" t="str">
        <v>趣点购浦发</v>
      </c>
      <c r="D3070" s="8">
        <v>0</v>
      </c>
      <c r="E3070" s="7">
        <v>0</v>
      </c>
      <c r="F3070" s="8">
        <v>0</v>
      </c>
      <c r="G3070" s="7">
        <v>0</v>
      </c>
      <c r="H3070" s="7">
        <v>81211.819999998</v>
      </c>
      <c r="I3070" s="7">
        <v>0</v>
      </c>
      <c r="J3070" s="8">
        <v>0</v>
      </c>
      <c r="K3070" s="9" t="str">
        <v/>
      </c>
    </row>
    <row r="3071" spans="1:11">
      <c r="A3071" t="str">
        <v/>
      </c>
      <c r="B3071" s="6">
        <v>0</v>
      </c>
      <c r="C3071" s="7" t="str">
        <v>趣点购浦发</v>
      </c>
      <c r="D3071" s="8">
        <v>0</v>
      </c>
      <c r="E3071" s="7">
        <v>0</v>
      </c>
      <c r="F3071" s="8">
        <v>0</v>
      </c>
      <c r="G3071" s="7">
        <v>0</v>
      </c>
      <c r="H3071" s="7">
        <v>81211.819999998</v>
      </c>
      <c r="I3071" s="7">
        <v>0</v>
      </c>
      <c r="J3071" s="8">
        <v>0</v>
      </c>
      <c r="K3071" s="9" t="str">
        <v/>
      </c>
    </row>
    <row r="3072" spans="1:11">
      <c r="A3072" t="str">
        <v/>
      </c>
      <c r="B3072" s="6">
        <v>0</v>
      </c>
      <c r="C3072" s="7" t="str">
        <v>趣点购浦发</v>
      </c>
      <c r="D3072" s="8">
        <v>0</v>
      </c>
      <c r="E3072" s="7">
        <v>0</v>
      </c>
      <c r="F3072" s="8">
        <v>0</v>
      </c>
      <c r="G3072" s="7">
        <v>0</v>
      </c>
      <c r="H3072" s="7">
        <v>81211.819999998</v>
      </c>
      <c r="I3072" s="7">
        <v>0</v>
      </c>
      <c r="J3072" s="8">
        <v>0</v>
      </c>
      <c r="K3072" s="9" t="str">
        <v/>
      </c>
    </row>
    <row r="3073" spans="1:11">
      <c r="A3073" t="str">
        <v/>
      </c>
      <c r="B3073" s="6">
        <v>0</v>
      </c>
      <c r="C3073" s="7" t="str">
        <v>趣点购浦发</v>
      </c>
      <c r="D3073" s="8">
        <v>0</v>
      </c>
      <c r="E3073" s="7">
        <v>0</v>
      </c>
      <c r="F3073" s="8">
        <v>0</v>
      </c>
      <c r="G3073" s="7">
        <v>0</v>
      </c>
      <c r="H3073" s="7">
        <v>81211.819999998</v>
      </c>
      <c r="I3073" s="7">
        <v>0</v>
      </c>
      <c r="J3073" s="8">
        <v>0</v>
      </c>
      <c r="K3073" s="9" t="str">
        <v/>
      </c>
    </row>
    <row r="3074" spans="1:11">
      <c r="A3074" t="str">
        <v/>
      </c>
      <c r="B3074" s="6">
        <v>0</v>
      </c>
      <c r="C3074" s="7" t="str">
        <v>趣点购浦发</v>
      </c>
      <c r="D3074" s="8">
        <v>0</v>
      </c>
      <c r="E3074" s="7">
        <v>0</v>
      </c>
      <c r="F3074" s="8">
        <v>0</v>
      </c>
      <c r="G3074" s="7">
        <v>0</v>
      </c>
      <c r="H3074" s="7">
        <v>81211.819999998</v>
      </c>
      <c r="I3074" s="7">
        <v>0</v>
      </c>
      <c r="J3074" s="8">
        <v>0</v>
      </c>
      <c r="K3074" s="9" t="str">
        <v/>
      </c>
    </row>
    <row r="3075" spans="1:11">
      <c r="A3075" t="str">
        <v/>
      </c>
      <c r="B3075" s="6">
        <v>0</v>
      </c>
      <c r="C3075" s="7" t="str">
        <v>趣点购浦发</v>
      </c>
      <c r="D3075" s="8">
        <v>0</v>
      </c>
      <c r="E3075" s="7">
        <v>0</v>
      </c>
      <c r="F3075" s="8">
        <v>0</v>
      </c>
      <c r="G3075" s="7">
        <v>0</v>
      </c>
      <c r="H3075" s="7">
        <v>81211.819999998</v>
      </c>
      <c r="I3075" s="7">
        <v>0</v>
      </c>
      <c r="J3075" s="8">
        <v>0</v>
      </c>
      <c r="K3075" s="9" t="str">
        <v/>
      </c>
    </row>
    <row r="3076" spans="1:11">
      <c r="A3076" t="str">
        <v/>
      </c>
      <c r="B3076" s="6">
        <v>0</v>
      </c>
      <c r="C3076" s="7" t="str">
        <v>趣点购浦发</v>
      </c>
      <c r="D3076" s="8">
        <v>0</v>
      </c>
      <c r="E3076" s="7">
        <v>0</v>
      </c>
      <c r="F3076" s="8">
        <v>0</v>
      </c>
      <c r="G3076" s="7">
        <v>0</v>
      </c>
      <c r="H3076" s="7">
        <v>81211.819999998</v>
      </c>
      <c r="I3076" s="7">
        <v>0</v>
      </c>
      <c r="J3076" s="8">
        <v>0</v>
      </c>
      <c r="K3076" s="9" t="str">
        <v/>
      </c>
    </row>
    <row r="3077" spans="1:11">
      <c r="A3077" t="str">
        <v/>
      </c>
      <c r="B3077" s="6">
        <v>0</v>
      </c>
      <c r="C3077" s="7" t="str">
        <v>趣点购浦发</v>
      </c>
      <c r="D3077" s="8">
        <v>0</v>
      </c>
      <c r="E3077" s="7">
        <v>0</v>
      </c>
      <c r="F3077" s="8">
        <v>0</v>
      </c>
      <c r="G3077" s="7">
        <v>0</v>
      </c>
      <c r="H3077" s="7">
        <v>81211.819999998</v>
      </c>
      <c r="I3077" s="7">
        <v>0</v>
      </c>
      <c r="J3077" s="8">
        <v>0</v>
      </c>
      <c r="K3077" s="9" t="str">
        <v/>
      </c>
    </row>
    <row r="3078" spans="1:11">
      <c r="A3078" t="str">
        <v/>
      </c>
      <c r="B3078" s="6">
        <v>0</v>
      </c>
      <c r="C3078" s="7" t="str">
        <v>趣点购浦发</v>
      </c>
      <c r="D3078" s="8">
        <v>0</v>
      </c>
      <c r="E3078" s="7">
        <v>0</v>
      </c>
      <c r="F3078" s="8">
        <v>0</v>
      </c>
      <c r="G3078" s="7">
        <v>0</v>
      </c>
      <c r="H3078" s="7">
        <v>81211.819999998</v>
      </c>
      <c r="I3078" s="7">
        <v>0</v>
      </c>
      <c r="J3078" s="8">
        <v>0</v>
      </c>
      <c r="K3078" s="9" t="str">
        <v/>
      </c>
    </row>
    <row r="3079" spans="1:11">
      <c r="A3079" t="str">
        <v/>
      </c>
      <c r="B3079" s="6">
        <v>0</v>
      </c>
      <c r="C3079" s="7" t="str">
        <v>趣点购浦发</v>
      </c>
      <c r="D3079" s="8">
        <v>0</v>
      </c>
      <c r="E3079" s="7">
        <v>0</v>
      </c>
      <c r="F3079" s="8">
        <v>0</v>
      </c>
      <c r="G3079" s="7">
        <v>0</v>
      </c>
      <c r="H3079" s="7">
        <v>81211.819999998</v>
      </c>
      <c r="I3079" s="7">
        <v>0</v>
      </c>
      <c r="J3079" s="8">
        <v>0</v>
      </c>
      <c r="K3079" s="9" t="str">
        <v/>
      </c>
    </row>
    <row r="3080" spans="1:11">
      <c r="A3080" t="str">
        <v/>
      </c>
      <c r="B3080" s="6">
        <v>0</v>
      </c>
      <c r="C3080" s="7" t="str">
        <v>趣点购浦发</v>
      </c>
      <c r="D3080" s="8">
        <v>0</v>
      </c>
      <c r="E3080" s="7">
        <v>0</v>
      </c>
      <c r="F3080" s="8">
        <v>0</v>
      </c>
      <c r="G3080" s="7">
        <v>0</v>
      </c>
      <c r="H3080" s="7">
        <v>81211.819999998</v>
      </c>
      <c r="I3080" s="7">
        <v>0</v>
      </c>
      <c r="J3080" s="8">
        <v>0</v>
      </c>
      <c r="K3080" s="9" t="str">
        <v/>
      </c>
    </row>
    <row r="3081" spans="1:11">
      <c r="A3081" t="str">
        <v/>
      </c>
      <c r="B3081" s="6">
        <v>0</v>
      </c>
      <c r="C3081" s="7" t="str">
        <v>趣点购浦发</v>
      </c>
      <c r="D3081" s="8">
        <v>0</v>
      </c>
      <c r="E3081" s="7">
        <v>0</v>
      </c>
      <c r="F3081" s="8">
        <v>0</v>
      </c>
      <c r="G3081" s="7">
        <v>0</v>
      </c>
      <c r="H3081" s="7">
        <v>81211.819999998</v>
      </c>
      <c r="I3081" s="7">
        <v>0</v>
      </c>
      <c r="J3081" s="8">
        <v>0</v>
      </c>
      <c r="K3081" s="9" t="str">
        <v/>
      </c>
    </row>
    <row r="3082" spans="1:11">
      <c r="A3082" t="str">
        <v/>
      </c>
      <c r="B3082" s="6">
        <v>0</v>
      </c>
      <c r="C3082" s="7" t="str">
        <v>趣点购浦发</v>
      </c>
      <c r="D3082" s="8">
        <v>0</v>
      </c>
      <c r="E3082" s="7">
        <v>0</v>
      </c>
      <c r="F3082" s="8">
        <v>0</v>
      </c>
      <c r="G3082" s="7">
        <v>0</v>
      </c>
      <c r="H3082" s="7">
        <v>81211.819999998</v>
      </c>
      <c r="I3082" s="7">
        <v>0</v>
      </c>
      <c r="J3082" s="8">
        <v>0</v>
      </c>
      <c r="K3082" s="9" t="str">
        <v/>
      </c>
    </row>
    <row r="3083" spans="1:11">
      <c r="A3083" t="str">
        <v/>
      </c>
      <c r="B3083" s="6">
        <v>0</v>
      </c>
      <c r="C3083" s="7" t="str">
        <v>趣点购浦发</v>
      </c>
      <c r="D3083" s="8">
        <v>0</v>
      </c>
      <c r="E3083" s="7">
        <v>0</v>
      </c>
      <c r="F3083" s="8">
        <v>0</v>
      </c>
      <c r="G3083" s="7">
        <v>0</v>
      </c>
      <c r="H3083" s="7">
        <v>81211.819999998</v>
      </c>
      <c r="I3083" s="7">
        <v>0</v>
      </c>
      <c r="J3083" s="8">
        <v>0</v>
      </c>
      <c r="K3083" s="9" t="str">
        <v/>
      </c>
    </row>
    <row r="3084" spans="1:11">
      <c r="A3084" t="str">
        <v/>
      </c>
      <c r="B3084" s="6">
        <v>0</v>
      </c>
      <c r="C3084" s="7" t="str">
        <v>趣点购浦发</v>
      </c>
      <c r="D3084" s="8">
        <v>0</v>
      </c>
      <c r="E3084" s="7">
        <v>0</v>
      </c>
      <c r="F3084" s="8">
        <v>0</v>
      </c>
      <c r="G3084" s="7">
        <v>0</v>
      </c>
      <c r="H3084" s="7">
        <v>81211.819999998</v>
      </c>
      <c r="I3084" s="7">
        <v>0</v>
      </c>
      <c r="J3084" s="8">
        <v>0</v>
      </c>
      <c r="K3084" s="9" t="str">
        <v/>
      </c>
    </row>
    <row r="3085" spans="1:11">
      <c r="A3085" t="str">
        <v/>
      </c>
      <c r="B3085" s="6">
        <v>0</v>
      </c>
      <c r="C3085" s="7" t="str">
        <v>趣点购浦发</v>
      </c>
      <c r="D3085" s="8">
        <v>0</v>
      </c>
      <c r="E3085" s="7">
        <v>0</v>
      </c>
      <c r="F3085" s="8">
        <v>0</v>
      </c>
      <c r="G3085" s="7">
        <v>0</v>
      </c>
      <c r="H3085" s="7">
        <v>81211.819999998</v>
      </c>
      <c r="I3085" s="7">
        <v>0</v>
      </c>
      <c r="J3085" s="8">
        <v>0</v>
      </c>
      <c r="K3085" s="9" t="str">
        <v/>
      </c>
    </row>
    <row r="3086" spans="1:11">
      <c r="A3086" t="str">
        <v/>
      </c>
      <c r="B3086" s="6">
        <v>0</v>
      </c>
      <c r="C3086" s="7" t="str">
        <v>趣点购浦发</v>
      </c>
      <c r="D3086" s="8">
        <v>0</v>
      </c>
      <c r="E3086" s="7">
        <v>0</v>
      </c>
      <c r="F3086" s="8">
        <v>0</v>
      </c>
      <c r="G3086" s="7">
        <v>0</v>
      </c>
      <c r="H3086" s="7">
        <v>81211.819999998</v>
      </c>
      <c r="I3086" s="7">
        <v>0</v>
      </c>
      <c r="J3086" s="8">
        <v>0</v>
      </c>
      <c r="K3086" s="9" t="str">
        <v/>
      </c>
    </row>
    <row r="3087" spans="1:11">
      <c r="A3087" t="str">
        <v/>
      </c>
      <c r="B3087" s="6">
        <v>0</v>
      </c>
      <c r="C3087" s="7" t="str">
        <v>趣点购浦发</v>
      </c>
      <c r="D3087" s="8">
        <v>0</v>
      </c>
      <c r="E3087" s="7">
        <v>0</v>
      </c>
      <c r="F3087" s="8">
        <v>0</v>
      </c>
      <c r="G3087" s="7">
        <v>0</v>
      </c>
      <c r="H3087" s="7">
        <v>81211.819999998</v>
      </c>
      <c r="I3087" s="7">
        <v>0</v>
      </c>
      <c r="J3087" s="8">
        <v>0</v>
      </c>
      <c r="K3087" s="9" t="str">
        <v/>
      </c>
    </row>
    <row r="3088" spans="1:11">
      <c r="A3088" t="str">
        <v/>
      </c>
      <c r="B3088" s="6">
        <v>0</v>
      </c>
      <c r="C3088" s="7" t="str">
        <v>趣点购浦发</v>
      </c>
      <c r="D3088" s="8">
        <v>0</v>
      </c>
      <c r="E3088" s="7">
        <v>0</v>
      </c>
      <c r="F3088" s="8">
        <v>0</v>
      </c>
      <c r="G3088" s="7">
        <v>0</v>
      </c>
      <c r="H3088" s="7">
        <v>81211.819999998</v>
      </c>
      <c r="I3088" s="7">
        <v>0</v>
      </c>
      <c r="J3088" s="8">
        <v>0</v>
      </c>
      <c r="K3088" s="9" t="str">
        <v/>
      </c>
    </row>
    <row r="3089" spans="1:11">
      <c r="A3089" t="str">
        <v/>
      </c>
      <c r="B3089" s="6">
        <v>0</v>
      </c>
      <c r="C3089" s="7" t="str">
        <v>趣点购浦发</v>
      </c>
      <c r="D3089" s="8">
        <v>0</v>
      </c>
      <c r="E3089" s="7">
        <v>0</v>
      </c>
      <c r="F3089" s="8">
        <v>0</v>
      </c>
      <c r="G3089" s="7">
        <v>0</v>
      </c>
      <c r="H3089" s="7">
        <v>81211.819999998</v>
      </c>
      <c r="I3089" s="7">
        <v>0</v>
      </c>
      <c r="J3089" s="8">
        <v>0</v>
      </c>
      <c r="K3089" s="9" t="str">
        <v/>
      </c>
    </row>
    <row r="3090" spans="1:11">
      <c r="A3090" t="str">
        <v/>
      </c>
      <c r="B3090" s="6">
        <v>0</v>
      </c>
      <c r="C3090" s="7" t="str">
        <v>趣点购浦发</v>
      </c>
      <c r="D3090" s="8">
        <v>0</v>
      </c>
      <c r="E3090" s="7">
        <v>0</v>
      </c>
      <c r="F3090" s="8">
        <v>0</v>
      </c>
      <c r="G3090" s="7">
        <v>0</v>
      </c>
      <c r="H3090" s="7">
        <v>81211.819999998</v>
      </c>
      <c r="I3090" s="7">
        <v>0</v>
      </c>
      <c r="J3090" s="8">
        <v>0</v>
      </c>
      <c r="K3090" s="9" t="str">
        <v/>
      </c>
    </row>
    <row r="3091" spans="1:11">
      <c r="A3091" t="str">
        <v/>
      </c>
      <c r="B3091" s="6">
        <v>0</v>
      </c>
      <c r="C3091" s="7" t="str">
        <v>趣点购浦发</v>
      </c>
      <c r="D3091" s="8">
        <v>0</v>
      </c>
      <c r="E3091" s="7">
        <v>0</v>
      </c>
      <c r="F3091" s="8">
        <v>0</v>
      </c>
      <c r="G3091" s="7">
        <v>0</v>
      </c>
      <c r="H3091" s="7">
        <v>81211.819999998</v>
      </c>
      <c r="I3091" s="7">
        <v>0</v>
      </c>
      <c r="J3091" s="8">
        <v>0</v>
      </c>
      <c r="K3091" s="9" t="str">
        <v/>
      </c>
    </row>
    <row r="3092" spans="1:11">
      <c r="A3092" t="str">
        <v/>
      </c>
      <c r="B3092" s="6">
        <v>0</v>
      </c>
      <c r="C3092" s="7" t="str">
        <v>趣点购浦发</v>
      </c>
      <c r="D3092" s="8">
        <v>0</v>
      </c>
      <c r="E3092" s="7">
        <v>0</v>
      </c>
      <c r="F3092" s="8">
        <v>0</v>
      </c>
      <c r="G3092" s="7">
        <v>0</v>
      </c>
      <c r="H3092" s="7">
        <v>81211.819999998</v>
      </c>
      <c r="I3092" s="7">
        <v>0</v>
      </c>
      <c r="J3092" s="8">
        <v>0</v>
      </c>
      <c r="K3092" s="9" t="str">
        <v/>
      </c>
    </row>
    <row r="3093" spans="1:11">
      <c r="A3093" t="str">
        <v/>
      </c>
      <c r="B3093" s="6">
        <v>0</v>
      </c>
      <c r="C3093" s="7" t="str">
        <v>趣点购浦发</v>
      </c>
      <c r="D3093" s="8">
        <v>0</v>
      </c>
      <c r="E3093" s="7">
        <v>0</v>
      </c>
      <c r="F3093" s="8">
        <v>0</v>
      </c>
      <c r="G3093" s="7">
        <v>0</v>
      </c>
      <c r="H3093" s="7">
        <v>81211.819999998</v>
      </c>
      <c r="I3093" s="7">
        <v>0</v>
      </c>
      <c r="J3093" s="8">
        <v>0</v>
      </c>
      <c r="K3093" s="9" t="str">
        <v/>
      </c>
    </row>
    <row r="3094" spans="1:11">
      <c r="A3094" t="str">
        <v/>
      </c>
      <c r="B3094" s="6">
        <v>0</v>
      </c>
      <c r="C3094" s="7" t="str">
        <v>趣点购浦发</v>
      </c>
      <c r="D3094" s="8">
        <v>0</v>
      </c>
      <c r="E3094" s="7">
        <v>0</v>
      </c>
      <c r="F3094" s="8">
        <v>0</v>
      </c>
      <c r="G3094" s="7">
        <v>0</v>
      </c>
      <c r="H3094" s="7">
        <v>81211.819999998</v>
      </c>
      <c r="I3094" s="7">
        <v>0</v>
      </c>
      <c r="J3094" s="8">
        <v>0</v>
      </c>
      <c r="K3094" s="9" t="str">
        <v/>
      </c>
    </row>
    <row r="3095" spans="1:11">
      <c r="A3095" t="str">
        <v/>
      </c>
      <c r="B3095" s="6">
        <v>0</v>
      </c>
      <c r="C3095" s="7" t="str">
        <v>趣点购浦发</v>
      </c>
      <c r="D3095" s="8">
        <v>0</v>
      </c>
      <c r="E3095" s="7">
        <v>0</v>
      </c>
      <c r="F3095" s="8">
        <v>0</v>
      </c>
      <c r="G3095" s="7">
        <v>0</v>
      </c>
      <c r="H3095" s="7">
        <v>81211.819999998</v>
      </c>
      <c r="I3095" s="7">
        <v>0</v>
      </c>
      <c r="J3095" s="8">
        <v>0</v>
      </c>
      <c r="K3095" s="9" t="str">
        <v/>
      </c>
    </row>
    <row r="3096" spans="1:11">
      <c r="A3096" t="str">
        <v/>
      </c>
      <c r="B3096" s="6">
        <v>0</v>
      </c>
      <c r="C3096" s="7" t="str">
        <v>趣点购浦发</v>
      </c>
      <c r="D3096" s="8">
        <v>0</v>
      </c>
      <c r="E3096" s="7">
        <v>0</v>
      </c>
      <c r="F3096" s="8">
        <v>0</v>
      </c>
      <c r="G3096" s="7">
        <v>0</v>
      </c>
      <c r="H3096" s="7">
        <v>81211.819999998</v>
      </c>
      <c r="I3096" s="7">
        <v>0</v>
      </c>
      <c r="J3096" s="8">
        <v>0</v>
      </c>
      <c r="K3096" s="9" t="str">
        <v/>
      </c>
    </row>
    <row r="3097" spans="1:11">
      <c r="A3097" t="str">
        <v/>
      </c>
      <c r="B3097" s="6">
        <v>0</v>
      </c>
      <c r="C3097" s="7" t="str">
        <v>趣点购浦发</v>
      </c>
      <c r="D3097" s="8">
        <v>0</v>
      </c>
      <c r="E3097" s="7">
        <v>0</v>
      </c>
      <c r="F3097" s="8">
        <v>0</v>
      </c>
      <c r="G3097" s="7">
        <v>0</v>
      </c>
      <c r="H3097" s="7">
        <v>81211.819999998</v>
      </c>
      <c r="I3097" s="7">
        <v>0</v>
      </c>
      <c r="J3097" s="8">
        <v>0</v>
      </c>
      <c r="K3097" s="9" t="str">
        <v/>
      </c>
    </row>
    <row r="3098" spans="1:11">
      <c r="A3098" t="str">
        <v/>
      </c>
      <c r="B3098" s="6">
        <v>0</v>
      </c>
      <c r="C3098" s="7" t="str">
        <v>趣点购浦发</v>
      </c>
      <c r="D3098" s="8">
        <v>0</v>
      </c>
      <c r="E3098" s="7">
        <v>0</v>
      </c>
      <c r="F3098" s="8">
        <v>0</v>
      </c>
      <c r="G3098" s="7">
        <v>0</v>
      </c>
      <c r="H3098" s="7">
        <v>81211.819999998</v>
      </c>
      <c r="I3098" s="7">
        <v>0</v>
      </c>
      <c r="J3098" s="8">
        <v>0</v>
      </c>
      <c r="K3098" s="9" t="str">
        <v/>
      </c>
    </row>
    <row r="3099" spans="1:11">
      <c r="A3099" t="str">
        <v/>
      </c>
      <c r="B3099" s="6">
        <v>0</v>
      </c>
      <c r="C3099" s="7" t="str">
        <v>趣点购浦发</v>
      </c>
      <c r="D3099" s="8">
        <v>0</v>
      </c>
      <c r="E3099" s="7">
        <v>0</v>
      </c>
      <c r="F3099" s="8">
        <v>0</v>
      </c>
      <c r="G3099" s="7">
        <v>0</v>
      </c>
      <c r="H3099" s="7">
        <v>81211.819999998</v>
      </c>
      <c r="I3099" s="7">
        <v>0</v>
      </c>
      <c r="J3099" s="8">
        <v>0</v>
      </c>
      <c r="K3099" s="9" t="str">
        <v/>
      </c>
    </row>
    <row r="3100" spans="1:11">
      <c r="A3100" t="str">
        <v/>
      </c>
      <c r="B3100" s="6">
        <v>0</v>
      </c>
      <c r="C3100" s="7" t="str">
        <v>趣点购浦发</v>
      </c>
      <c r="D3100" s="8">
        <v>0</v>
      </c>
      <c r="E3100" s="7">
        <v>0</v>
      </c>
      <c r="F3100" s="8">
        <v>0</v>
      </c>
      <c r="G3100" s="7">
        <v>0</v>
      </c>
      <c r="H3100" s="7">
        <v>81211.819999998</v>
      </c>
      <c r="I3100" s="7">
        <v>0</v>
      </c>
      <c r="J3100" s="8">
        <v>0</v>
      </c>
      <c r="K3100" s="9" t="str">
        <v/>
      </c>
    </row>
    <row r="3101" spans="1:11">
      <c r="A3101" t="str">
        <v/>
      </c>
      <c r="B3101" s="6">
        <v>0</v>
      </c>
      <c r="C3101" s="7" t="str">
        <v>趣点购浦发</v>
      </c>
      <c r="D3101" s="8">
        <v>0</v>
      </c>
      <c r="E3101" s="7">
        <v>0</v>
      </c>
      <c r="F3101" s="8">
        <v>0</v>
      </c>
      <c r="G3101" s="7">
        <v>0</v>
      </c>
      <c r="H3101" s="7">
        <v>81211.819999998</v>
      </c>
      <c r="I3101" s="7">
        <v>0</v>
      </c>
      <c r="J3101" s="8">
        <v>0</v>
      </c>
      <c r="K3101" s="9" t="str">
        <v/>
      </c>
    </row>
    <row r="3102" spans="1:11">
      <c r="A3102" t="str">
        <v/>
      </c>
      <c r="B3102" s="6">
        <v>0</v>
      </c>
      <c r="C3102" s="7" t="str">
        <v>趣点购浦发</v>
      </c>
      <c r="D3102" s="8">
        <v>0</v>
      </c>
      <c r="E3102" s="7">
        <v>0</v>
      </c>
      <c r="F3102" s="8">
        <v>0</v>
      </c>
      <c r="G3102" s="7">
        <v>0</v>
      </c>
      <c r="H3102" s="7">
        <v>81211.819999998</v>
      </c>
      <c r="I3102" s="7">
        <v>0</v>
      </c>
      <c r="J3102" s="8">
        <v>0</v>
      </c>
      <c r="K3102" s="9" t="str">
        <v/>
      </c>
    </row>
    <row r="3103" spans="1:11">
      <c r="A3103" t="str">
        <v/>
      </c>
      <c r="B3103" s="6">
        <v>0</v>
      </c>
      <c r="C3103" s="7" t="str">
        <v>趣点购浦发</v>
      </c>
      <c r="D3103" s="8">
        <v>0</v>
      </c>
      <c r="E3103" s="7">
        <v>0</v>
      </c>
      <c r="F3103" s="8">
        <v>0</v>
      </c>
      <c r="G3103" s="7">
        <v>0</v>
      </c>
      <c r="H3103" s="7">
        <v>81211.819999998</v>
      </c>
      <c r="I3103" s="7">
        <v>0</v>
      </c>
      <c r="J3103" s="8">
        <v>0</v>
      </c>
      <c r="K3103" s="9" t="str">
        <v/>
      </c>
    </row>
    <row r="3104" spans="1:11">
      <c r="A3104" t="str">
        <v/>
      </c>
      <c r="B3104" s="6">
        <v>0</v>
      </c>
      <c r="C3104" s="7" t="str">
        <v>趣点购浦发</v>
      </c>
      <c r="D3104" s="8">
        <v>0</v>
      </c>
      <c r="E3104" s="7">
        <v>0</v>
      </c>
      <c r="F3104" s="8">
        <v>0</v>
      </c>
      <c r="G3104" s="7">
        <v>0</v>
      </c>
      <c r="H3104" s="7">
        <v>81211.819999998</v>
      </c>
      <c r="I3104" s="7">
        <v>0</v>
      </c>
      <c r="J3104" s="8">
        <v>0</v>
      </c>
      <c r="K3104" s="9" t="str">
        <v/>
      </c>
    </row>
    <row r="3105" spans="1:11">
      <c r="A3105" t="str">
        <v/>
      </c>
      <c r="B3105" s="6">
        <v>0</v>
      </c>
      <c r="C3105" s="7" t="str">
        <v>趣点购浦发</v>
      </c>
      <c r="D3105" s="8">
        <v>0</v>
      </c>
      <c r="E3105" s="7">
        <v>0</v>
      </c>
      <c r="F3105" s="8">
        <v>0</v>
      </c>
      <c r="G3105" s="7">
        <v>0</v>
      </c>
      <c r="H3105" s="7">
        <v>81211.819999998</v>
      </c>
      <c r="I3105" s="7">
        <v>0</v>
      </c>
      <c r="J3105" s="8">
        <v>0</v>
      </c>
      <c r="K3105" s="9" t="str">
        <v/>
      </c>
    </row>
    <row r="3106" spans="1:11">
      <c r="A3106" t="str">
        <v/>
      </c>
      <c r="B3106" s="6">
        <v>0</v>
      </c>
      <c r="C3106" s="7" t="str">
        <v>趣点购浦发</v>
      </c>
      <c r="D3106" s="8">
        <v>0</v>
      </c>
      <c r="E3106" s="7">
        <v>0</v>
      </c>
      <c r="F3106" s="8">
        <v>0</v>
      </c>
      <c r="G3106" s="7">
        <v>0</v>
      </c>
      <c r="H3106" s="7">
        <v>81211.819999998</v>
      </c>
      <c r="I3106" s="7">
        <v>0</v>
      </c>
      <c r="J3106" s="8">
        <v>0</v>
      </c>
      <c r="K3106" s="9" t="str">
        <v/>
      </c>
    </row>
    <row r="3107" spans="1:11">
      <c r="A3107" t="str">
        <v/>
      </c>
      <c r="B3107" s="6">
        <v>0</v>
      </c>
      <c r="C3107" s="7" t="str">
        <v>趣点购浦发</v>
      </c>
      <c r="D3107" s="8">
        <v>0</v>
      </c>
      <c r="E3107" s="7">
        <v>0</v>
      </c>
      <c r="F3107" s="8">
        <v>0</v>
      </c>
      <c r="G3107" s="7">
        <v>0</v>
      </c>
      <c r="H3107" s="7">
        <v>81211.819999998</v>
      </c>
      <c r="I3107" s="7">
        <v>0</v>
      </c>
      <c r="J3107" s="8">
        <v>0</v>
      </c>
      <c r="K3107" s="9" t="str">
        <v/>
      </c>
    </row>
    <row r="3108" spans="1:11">
      <c r="A3108" t="str">
        <v/>
      </c>
      <c r="B3108" s="6">
        <v>0</v>
      </c>
      <c r="C3108" s="7" t="str">
        <v>趣点购浦发</v>
      </c>
      <c r="D3108" s="8">
        <v>0</v>
      </c>
      <c r="E3108" s="7">
        <v>0</v>
      </c>
      <c r="F3108" s="8">
        <v>0</v>
      </c>
      <c r="G3108" s="7">
        <v>0</v>
      </c>
      <c r="H3108" s="7">
        <v>81211.819999998</v>
      </c>
      <c r="I3108" s="7">
        <v>0</v>
      </c>
      <c r="J3108" s="8">
        <v>0</v>
      </c>
      <c r="K3108" s="9" t="str">
        <v/>
      </c>
    </row>
    <row r="3109" spans="1:11">
      <c r="A3109" t="str">
        <v/>
      </c>
      <c r="B3109" s="6">
        <v>0</v>
      </c>
      <c r="C3109" s="7" t="str">
        <v>趣点购浦发</v>
      </c>
      <c r="D3109" s="8">
        <v>0</v>
      </c>
      <c r="E3109" s="7">
        <v>0</v>
      </c>
      <c r="F3109" s="8">
        <v>0</v>
      </c>
      <c r="G3109" s="7">
        <v>0</v>
      </c>
      <c r="H3109" s="7">
        <v>81211.819999998</v>
      </c>
      <c r="I3109" s="7">
        <v>0</v>
      </c>
      <c r="J3109" s="8">
        <v>0</v>
      </c>
      <c r="K3109" s="9" t="str">
        <v/>
      </c>
    </row>
    <row r="3110" spans="1:11">
      <c r="A3110" t="str">
        <v/>
      </c>
      <c r="B3110" s="6">
        <v>0</v>
      </c>
      <c r="C3110" s="7" t="str">
        <v>趣点购浦发</v>
      </c>
      <c r="D3110" s="8">
        <v>0</v>
      </c>
      <c r="E3110" s="7">
        <v>0</v>
      </c>
      <c r="F3110" s="8">
        <v>0</v>
      </c>
      <c r="G3110" s="7">
        <v>0</v>
      </c>
      <c r="H3110" s="7">
        <v>81211.819999998</v>
      </c>
      <c r="I3110" s="7">
        <v>0</v>
      </c>
      <c r="J3110" s="8">
        <v>0</v>
      </c>
      <c r="K3110" s="9" t="str">
        <v/>
      </c>
    </row>
    <row r="3111" spans="1:11">
      <c r="A3111" t="str">
        <v/>
      </c>
      <c r="B3111" s="6">
        <v>0</v>
      </c>
      <c r="C3111" s="7" t="str">
        <v>趣点购浦发</v>
      </c>
      <c r="D3111" s="8">
        <v>0</v>
      </c>
      <c r="E3111" s="7">
        <v>0</v>
      </c>
      <c r="F3111" s="8">
        <v>0</v>
      </c>
      <c r="G3111" s="7">
        <v>0</v>
      </c>
      <c r="H3111" s="7">
        <v>81211.819999998</v>
      </c>
      <c r="I3111" s="7">
        <v>0</v>
      </c>
      <c r="J3111" s="8">
        <v>0</v>
      </c>
      <c r="K3111" s="9" t="str">
        <v/>
      </c>
    </row>
    <row r="3112" spans="1:11">
      <c r="A3112" t="str">
        <v/>
      </c>
      <c r="B3112" s="6">
        <v>0</v>
      </c>
      <c r="C3112" s="7" t="str">
        <v>趣点购浦发</v>
      </c>
      <c r="D3112" s="8">
        <v>0</v>
      </c>
      <c r="E3112" s="7">
        <v>0</v>
      </c>
      <c r="F3112" s="8">
        <v>0</v>
      </c>
      <c r="G3112" s="7">
        <v>0</v>
      </c>
      <c r="H3112" s="7">
        <v>81211.819999998</v>
      </c>
      <c r="I3112" s="7">
        <v>0</v>
      </c>
      <c r="J3112" s="8">
        <v>0</v>
      </c>
      <c r="K3112" s="9" t="str">
        <v/>
      </c>
    </row>
    <row r="3113" spans="1:11">
      <c r="A3113" t="str">
        <v/>
      </c>
      <c r="B3113" s="6">
        <v>0</v>
      </c>
      <c r="C3113" s="7" t="str">
        <v>趣点购浦发</v>
      </c>
      <c r="D3113" s="8">
        <v>0</v>
      </c>
      <c r="E3113" s="7">
        <v>0</v>
      </c>
      <c r="F3113" s="8">
        <v>0</v>
      </c>
      <c r="G3113" s="7">
        <v>0</v>
      </c>
      <c r="H3113" s="7">
        <v>81211.819999998</v>
      </c>
      <c r="I3113" s="7">
        <v>0</v>
      </c>
      <c r="J3113" s="8">
        <v>0</v>
      </c>
      <c r="K3113" s="9" t="str">
        <v/>
      </c>
    </row>
    <row r="3114" spans="1:11">
      <c r="A3114" t="str">
        <v/>
      </c>
      <c r="B3114" s="6">
        <v>0</v>
      </c>
      <c r="C3114" s="7" t="str">
        <v>趣点购浦发</v>
      </c>
      <c r="D3114" s="8">
        <v>0</v>
      </c>
      <c r="E3114" s="7">
        <v>0</v>
      </c>
      <c r="F3114" s="8">
        <v>0</v>
      </c>
      <c r="G3114" s="7">
        <v>0</v>
      </c>
      <c r="H3114" s="7">
        <v>81211.819999998</v>
      </c>
      <c r="I3114" s="7">
        <v>0</v>
      </c>
      <c r="J3114" s="8">
        <v>0</v>
      </c>
      <c r="K3114" s="9" t="str">
        <v/>
      </c>
    </row>
    <row r="3115" spans="1:11">
      <c r="A3115" t="str">
        <v/>
      </c>
      <c r="B3115" s="6">
        <v>0</v>
      </c>
      <c r="C3115" s="7" t="str">
        <v>趣点购浦发</v>
      </c>
      <c r="D3115" s="8">
        <v>0</v>
      </c>
      <c r="E3115" s="7">
        <v>0</v>
      </c>
      <c r="F3115" s="8">
        <v>0</v>
      </c>
      <c r="G3115" s="7">
        <v>0</v>
      </c>
      <c r="H3115" s="7">
        <v>81211.819999998</v>
      </c>
      <c r="I3115" s="7">
        <v>0</v>
      </c>
      <c r="J3115" s="8">
        <v>0</v>
      </c>
      <c r="K3115" s="9" t="str">
        <v/>
      </c>
    </row>
    <row r="3116" spans="1:11">
      <c r="A3116" t="str">
        <v/>
      </c>
      <c r="B3116" s="6">
        <v>0</v>
      </c>
      <c r="C3116" s="7" t="str">
        <v>趣点购浦发</v>
      </c>
      <c r="D3116" s="8">
        <v>0</v>
      </c>
      <c r="E3116" s="7">
        <v>0</v>
      </c>
      <c r="F3116" s="8">
        <v>0</v>
      </c>
      <c r="G3116" s="7">
        <v>0</v>
      </c>
      <c r="H3116" s="7">
        <v>81211.819999998</v>
      </c>
      <c r="I3116" s="7">
        <v>0</v>
      </c>
      <c r="J3116" s="8">
        <v>0</v>
      </c>
      <c r="K3116" s="9" t="str">
        <v/>
      </c>
    </row>
    <row r="3117" spans="1:11">
      <c r="A3117" t="str">
        <v/>
      </c>
      <c r="B3117" s="6">
        <v>0</v>
      </c>
      <c r="C3117" s="7" t="str">
        <v>趣点购浦发</v>
      </c>
      <c r="D3117" s="8">
        <v>0</v>
      </c>
      <c r="E3117" s="7">
        <v>0</v>
      </c>
      <c r="F3117" s="8">
        <v>0</v>
      </c>
      <c r="G3117" s="7">
        <v>0</v>
      </c>
      <c r="H3117" s="7">
        <v>81211.819999998</v>
      </c>
      <c r="I3117" s="7">
        <v>0</v>
      </c>
      <c r="J3117" s="8">
        <v>0</v>
      </c>
      <c r="K3117" s="9" t="str">
        <v/>
      </c>
    </row>
    <row r="3118" spans="1:11">
      <c r="A3118" t="str">
        <v/>
      </c>
      <c r="B3118" s="6">
        <v>0</v>
      </c>
      <c r="C3118" s="7" t="str">
        <v>趣点购浦发</v>
      </c>
      <c r="D3118" s="8">
        <v>0</v>
      </c>
      <c r="E3118" s="7">
        <v>0</v>
      </c>
      <c r="F3118" s="8">
        <v>0</v>
      </c>
      <c r="G3118" s="7">
        <v>0</v>
      </c>
      <c r="H3118" s="7">
        <v>81211.819999998</v>
      </c>
      <c r="I3118" s="7">
        <v>0</v>
      </c>
      <c r="J3118" s="8">
        <v>0</v>
      </c>
      <c r="K3118" s="9" t="str">
        <v/>
      </c>
    </row>
    <row r="3119" spans="1:11">
      <c r="A3119" t="str">
        <v/>
      </c>
      <c r="B3119" s="6">
        <v>0</v>
      </c>
      <c r="C3119" s="7" t="str">
        <v>趣点购浦发</v>
      </c>
      <c r="D3119" s="8">
        <v>0</v>
      </c>
      <c r="E3119" s="7">
        <v>0</v>
      </c>
      <c r="F3119" s="8">
        <v>0</v>
      </c>
      <c r="G3119" s="7">
        <v>0</v>
      </c>
      <c r="H3119" s="7">
        <v>81211.819999998</v>
      </c>
      <c r="I3119" s="7">
        <v>0</v>
      </c>
      <c r="J3119" s="8">
        <v>0</v>
      </c>
      <c r="K3119" s="9" t="str">
        <v/>
      </c>
    </row>
    <row r="3120" spans="1:11">
      <c r="A3120" t="str">
        <v/>
      </c>
      <c r="B3120" s="6">
        <v>0</v>
      </c>
      <c r="C3120" s="7" t="str">
        <v>趣点购浦发</v>
      </c>
      <c r="D3120" s="8">
        <v>0</v>
      </c>
      <c r="E3120" s="7">
        <v>0</v>
      </c>
      <c r="F3120" s="8">
        <v>0</v>
      </c>
      <c r="G3120" s="7">
        <v>0</v>
      </c>
      <c r="H3120" s="7">
        <v>81211.819999998</v>
      </c>
      <c r="I3120" s="7">
        <v>0</v>
      </c>
      <c r="J3120" s="8">
        <v>0</v>
      </c>
      <c r="K3120" s="9" t="str">
        <v/>
      </c>
    </row>
    <row r="3121" spans="1:11">
      <c r="A3121" t="str">
        <v/>
      </c>
      <c r="B3121" s="6">
        <v>0</v>
      </c>
      <c r="C3121" s="7" t="str">
        <v>趣点购浦发</v>
      </c>
      <c r="D3121" s="8">
        <v>0</v>
      </c>
      <c r="E3121" s="7">
        <v>0</v>
      </c>
      <c r="F3121" s="8">
        <v>0</v>
      </c>
      <c r="G3121" s="7">
        <v>0</v>
      </c>
      <c r="H3121" s="7">
        <v>81211.819999998</v>
      </c>
      <c r="I3121" s="7">
        <v>0</v>
      </c>
      <c r="J3121" s="8">
        <v>0</v>
      </c>
      <c r="K3121" s="9" t="str">
        <v/>
      </c>
    </row>
    <row r="3122" spans="1:11">
      <c r="A3122" t="str">
        <v/>
      </c>
      <c r="B3122" s="6">
        <v>0</v>
      </c>
      <c r="C3122" s="7" t="str">
        <v>趣点购浦发</v>
      </c>
      <c r="D3122" s="8">
        <v>0</v>
      </c>
      <c r="E3122" s="7">
        <v>0</v>
      </c>
      <c r="F3122" s="8">
        <v>0</v>
      </c>
      <c r="G3122" s="7">
        <v>0</v>
      </c>
      <c r="H3122" s="7">
        <v>81211.819999998</v>
      </c>
      <c r="I3122" s="7">
        <v>0</v>
      </c>
      <c r="J3122" s="8">
        <v>0</v>
      </c>
      <c r="K3122" s="9" t="str">
        <v/>
      </c>
    </row>
    <row r="3123" spans="1:11">
      <c r="A3123" t="str">
        <v/>
      </c>
      <c r="B3123" s="6">
        <v>0</v>
      </c>
      <c r="C3123" s="7" t="str">
        <v>趣点购浦发</v>
      </c>
      <c r="D3123" s="8">
        <v>0</v>
      </c>
      <c r="E3123" s="7">
        <v>0</v>
      </c>
      <c r="F3123" s="8">
        <v>0</v>
      </c>
      <c r="G3123" s="7">
        <v>0</v>
      </c>
      <c r="H3123" s="7">
        <v>81211.819999998</v>
      </c>
      <c r="I3123" s="7">
        <v>0</v>
      </c>
      <c r="J3123" s="8">
        <v>0</v>
      </c>
      <c r="K3123" s="9" t="str">
        <v/>
      </c>
    </row>
    <row r="3124" spans="1:11">
      <c r="A3124" t="str">
        <v/>
      </c>
      <c r="B3124" s="6">
        <v>0</v>
      </c>
      <c r="C3124" s="7" t="str">
        <v>趣点购浦发</v>
      </c>
      <c r="D3124" s="8">
        <v>0</v>
      </c>
      <c r="E3124" s="7">
        <v>0</v>
      </c>
      <c r="F3124" s="8">
        <v>0</v>
      </c>
      <c r="G3124" s="7">
        <v>0</v>
      </c>
      <c r="H3124" s="7">
        <v>81211.819999998</v>
      </c>
      <c r="I3124" s="7">
        <v>0</v>
      </c>
      <c r="J3124" s="8">
        <v>0</v>
      </c>
      <c r="K3124" s="9" t="str">
        <v/>
      </c>
    </row>
    <row r="3125" spans="1:11">
      <c r="A3125" t="str">
        <v/>
      </c>
      <c r="B3125" s="6">
        <v>0</v>
      </c>
      <c r="C3125" s="7" t="str">
        <v>趣点购浦发</v>
      </c>
      <c r="D3125" s="8">
        <v>0</v>
      </c>
      <c r="E3125" s="7">
        <v>0</v>
      </c>
      <c r="F3125" s="8">
        <v>0</v>
      </c>
      <c r="G3125" s="7">
        <v>0</v>
      </c>
      <c r="H3125" s="7">
        <v>81211.819999998</v>
      </c>
      <c r="I3125" s="7">
        <v>0</v>
      </c>
      <c r="J3125" s="8">
        <v>0</v>
      </c>
      <c r="K3125" s="9" t="str">
        <v/>
      </c>
    </row>
    <row r="3126" spans="1:11">
      <c r="A3126" t="str">
        <v/>
      </c>
      <c r="B3126" s="6">
        <v>0</v>
      </c>
      <c r="C3126" s="7" t="str">
        <v>趣点购浦发</v>
      </c>
      <c r="D3126" s="8">
        <v>0</v>
      </c>
      <c r="E3126" s="7">
        <v>0</v>
      </c>
      <c r="F3126" s="8">
        <v>0</v>
      </c>
      <c r="G3126" s="7">
        <v>0</v>
      </c>
      <c r="H3126" s="7">
        <v>81211.819999998</v>
      </c>
      <c r="I3126" s="7">
        <v>0</v>
      </c>
      <c r="J3126" s="8">
        <v>0</v>
      </c>
      <c r="K3126" s="9" t="str">
        <v/>
      </c>
    </row>
    <row r="3127" spans="1:11">
      <c r="A3127" t="str">
        <v/>
      </c>
      <c r="B3127" s="6">
        <v>0</v>
      </c>
      <c r="C3127" s="7" t="str">
        <v>趣点购浦发</v>
      </c>
      <c r="D3127" s="8">
        <v>0</v>
      </c>
      <c r="E3127" s="7">
        <v>0</v>
      </c>
      <c r="F3127" s="8">
        <v>0</v>
      </c>
      <c r="G3127" s="7">
        <v>0</v>
      </c>
      <c r="H3127" s="7">
        <v>81211.819999998</v>
      </c>
      <c r="I3127" s="7">
        <v>0</v>
      </c>
      <c r="J3127" s="8">
        <v>0</v>
      </c>
      <c r="K3127" s="9" t="str">
        <v/>
      </c>
    </row>
    <row r="3128" spans="1:11">
      <c r="A3128" t="str">
        <v/>
      </c>
      <c r="B3128" s="6">
        <v>0</v>
      </c>
      <c r="C3128" s="7" t="str">
        <v>趣点购浦发</v>
      </c>
      <c r="D3128" s="8">
        <v>0</v>
      </c>
      <c r="E3128" s="7">
        <v>0</v>
      </c>
      <c r="F3128" s="8">
        <v>0</v>
      </c>
      <c r="G3128" s="7">
        <v>0</v>
      </c>
      <c r="H3128" s="7">
        <v>81211.819999998</v>
      </c>
      <c r="I3128" s="7">
        <v>0</v>
      </c>
      <c r="J3128" s="8">
        <v>0</v>
      </c>
      <c r="K3128" s="9" t="str">
        <v/>
      </c>
    </row>
    <row r="3129" spans="1:11">
      <c r="A3129" t="str">
        <v/>
      </c>
      <c r="B3129" s="6">
        <v>0</v>
      </c>
      <c r="C3129" s="7" t="str">
        <v>趣点购浦发</v>
      </c>
      <c r="D3129" s="8">
        <v>0</v>
      </c>
      <c r="E3129" s="7">
        <v>0</v>
      </c>
      <c r="F3129" s="8">
        <v>0</v>
      </c>
      <c r="G3129" s="7">
        <v>0</v>
      </c>
      <c r="H3129" s="7">
        <v>81211.819999998</v>
      </c>
      <c r="I3129" s="7">
        <v>0</v>
      </c>
      <c r="J3129" s="8">
        <v>0</v>
      </c>
      <c r="K3129" s="9" t="str">
        <v/>
      </c>
    </row>
    <row r="3130" spans="1:11">
      <c r="A3130" t="str">
        <v/>
      </c>
      <c r="B3130" s="6">
        <v>0</v>
      </c>
      <c r="C3130" s="7" t="str">
        <v>趣点购浦发</v>
      </c>
      <c r="D3130" s="8">
        <v>0</v>
      </c>
      <c r="E3130" s="7">
        <v>0</v>
      </c>
      <c r="F3130" s="8">
        <v>0</v>
      </c>
      <c r="G3130" s="7">
        <v>0</v>
      </c>
      <c r="H3130" s="7">
        <v>81211.819999998</v>
      </c>
      <c r="I3130" s="7">
        <v>0</v>
      </c>
      <c r="J3130" s="8">
        <v>0</v>
      </c>
      <c r="K3130" s="9" t="str">
        <v/>
      </c>
    </row>
    <row r="3131" spans="1:11">
      <c r="A3131" t="str">
        <v/>
      </c>
      <c r="B3131" s="6">
        <v>0</v>
      </c>
      <c r="C3131" s="7" t="str">
        <v>趣点购浦发</v>
      </c>
      <c r="D3131" s="8">
        <v>0</v>
      </c>
      <c r="E3131" s="7">
        <v>0</v>
      </c>
      <c r="F3131" s="8">
        <v>0</v>
      </c>
      <c r="G3131" s="7">
        <v>0</v>
      </c>
      <c r="H3131" s="7">
        <v>81211.819999998</v>
      </c>
      <c r="I3131" s="7">
        <v>0</v>
      </c>
      <c r="J3131" s="8">
        <v>0</v>
      </c>
      <c r="K3131" s="9" t="str">
        <v/>
      </c>
    </row>
    <row r="3132" spans="1:11">
      <c r="A3132" t="str">
        <v/>
      </c>
      <c r="B3132" s="6">
        <v>0</v>
      </c>
      <c r="C3132" s="7" t="str">
        <v>趣点购浦发</v>
      </c>
      <c r="D3132" s="8">
        <v>0</v>
      </c>
      <c r="E3132" s="7">
        <v>0</v>
      </c>
      <c r="F3132" s="8">
        <v>0</v>
      </c>
      <c r="G3132" s="7">
        <v>0</v>
      </c>
      <c r="H3132" s="7">
        <v>81211.819999998</v>
      </c>
      <c r="I3132" s="7">
        <v>0</v>
      </c>
      <c r="J3132" s="8">
        <v>0</v>
      </c>
      <c r="K3132" s="9" t="str">
        <v/>
      </c>
    </row>
    <row r="3133" spans="1:11">
      <c r="A3133" t="str">
        <v/>
      </c>
      <c r="B3133" s="6">
        <v>0</v>
      </c>
      <c r="C3133" s="7" t="str">
        <v>趣点购浦发</v>
      </c>
      <c r="D3133" s="8">
        <v>0</v>
      </c>
      <c r="E3133" s="7">
        <v>0</v>
      </c>
      <c r="F3133" s="8">
        <v>0</v>
      </c>
      <c r="G3133" s="7">
        <v>0</v>
      </c>
      <c r="H3133" s="7">
        <v>81211.819999998</v>
      </c>
      <c r="I3133" s="7">
        <v>0</v>
      </c>
      <c r="J3133" s="8">
        <v>0</v>
      </c>
      <c r="K3133" s="9" t="str">
        <v/>
      </c>
    </row>
    <row r="3134" spans="1:11">
      <c r="A3134" t="str">
        <v/>
      </c>
      <c r="B3134" s="6">
        <v>0</v>
      </c>
      <c r="C3134" s="7" t="str">
        <v>趣点购浦发</v>
      </c>
      <c r="D3134" s="8">
        <v>0</v>
      </c>
      <c r="E3134" s="7">
        <v>0</v>
      </c>
      <c r="F3134" s="8">
        <v>0</v>
      </c>
      <c r="G3134" s="7">
        <v>0</v>
      </c>
      <c r="H3134" s="7">
        <v>81211.819999998</v>
      </c>
      <c r="I3134" s="7">
        <v>0</v>
      </c>
      <c r="J3134" s="8">
        <v>0</v>
      </c>
      <c r="K3134" s="9" t="str">
        <v/>
      </c>
    </row>
    <row r="3135" spans="1:11">
      <c r="A3135" t="str">
        <v/>
      </c>
      <c r="B3135" s="6">
        <v>0</v>
      </c>
      <c r="C3135" s="7" t="str">
        <v>趣点购浦发</v>
      </c>
      <c r="D3135" s="8">
        <v>0</v>
      </c>
      <c r="E3135" s="7">
        <v>0</v>
      </c>
      <c r="F3135" s="8">
        <v>0</v>
      </c>
      <c r="G3135" s="7">
        <v>0</v>
      </c>
      <c r="H3135" s="7">
        <v>81211.819999998</v>
      </c>
      <c r="I3135" s="7">
        <v>0</v>
      </c>
      <c r="J3135" s="8">
        <v>0</v>
      </c>
      <c r="K3135" s="9" t="str">
        <v/>
      </c>
    </row>
    <row r="3136" spans="1:11">
      <c r="A3136" t="str">
        <v/>
      </c>
      <c r="B3136" s="6">
        <v>0</v>
      </c>
      <c r="C3136" s="7" t="str">
        <v>趣点购浦发</v>
      </c>
      <c r="D3136" s="8">
        <v>0</v>
      </c>
      <c r="E3136" s="7">
        <v>0</v>
      </c>
      <c r="F3136" s="8">
        <v>0</v>
      </c>
      <c r="G3136" s="7">
        <v>0</v>
      </c>
      <c r="H3136" s="7">
        <v>81211.819999998</v>
      </c>
      <c r="I3136" s="7">
        <v>0</v>
      </c>
      <c r="J3136" s="8">
        <v>0</v>
      </c>
      <c r="K3136" s="9" t="str">
        <v/>
      </c>
    </row>
    <row r="3137" spans="1:11">
      <c r="A3137" t="str">
        <v/>
      </c>
      <c r="B3137" s="6">
        <v>0</v>
      </c>
      <c r="C3137" s="7" t="str">
        <v>趣点购浦发</v>
      </c>
      <c r="D3137" s="8">
        <v>0</v>
      </c>
      <c r="E3137" s="7">
        <v>0</v>
      </c>
      <c r="F3137" s="8">
        <v>0</v>
      </c>
      <c r="G3137" s="7">
        <v>0</v>
      </c>
      <c r="H3137" s="7">
        <v>81211.819999998</v>
      </c>
      <c r="I3137" s="7">
        <v>0</v>
      </c>
      <c r="J3137" s="8">
        <v>0</v>
      </c>
      <c r="K3137" s="9" t="str">
        <v/>
      </c>
    </row>
    <row r="3138" spans="1:11">
      <c r="A3138" t="str">
        <v/>
      </c>
      <c r="B3138" s="6">
        <v>0</v>
      </c>
      <c r="C3138" s="7" t="str">
        <v>趣点购浦发</v>
      </c>
      <c r="D3138" s="8">
        <v>0</v>
      </c>
      <c r="E3138" s="7">
        <v>0</v>
      </c>
      <c r="F3138" s="8">
        <v>0</v>
      </c>
      <c r="G3138" s="7">
        <v>0</v>
      </c>
      <c r="H3138" s="7">
        <v>81211.819999998</v>
      </c>
      <c r="I3138" s="7">
        <v>0</v>
      </c>
      <c r="J3138" s="8">
        <v>0</v>
      </c>
      <c r="K3138" s="9" t="str">
        <v/>
      </c>
    </row>
    <row r="3139" spans="1:11">
      <c r="A3139" t="str">
        <v/>
      </c>
      <c r="B3139" s="6">
        <v>0</v>
      </c>
      <c r="C3139" s="7" t="str">
        <v>趣点购浦发</v>
      </c>
      <c r="D3139" s="8">
        <v>0</v>
      </c>
      <c r="E3139" s="7">
        <v>0</v>
      </c>
      <c r="F3139" s="8">
        <v>0</v>
      </c>
      <c r="G3139" s="7">
        <v>0</v>
      </c>
      <c r="H3139" s="7">
        <v>81211.819999998</v>
      </c>
      <c r="I3139" s="7">
        <v>0</v>
      </c>
      <c r="J3139" s="8">
        <v>0</v>
      </c>
      <c r="K3139" s="9" t="str">
        <v/>
      </c>
    </row>
    <row r="3140" spans="1:11">
      <c r="A3140" t="str">
        <v/>
      </c>
      <c r="B3140" s="6">
        <v>0</v>
      </c>
      <c r="C3140" s="7" t="str">
        <v>趣点购浦发</v>
      </c>
      <c r="D3140" s="8">
        <v>0</v>
      </c>
      <c r="E3140" s="7">
        <v>0</v>
      </c>
      <c r="F3140" s="8">
        <v>0</v>
      </c>
      <c r="G3140" s="7">
        <v>0</v>
      </c>
      <c r="H3140" s="7">
        <v>81211.819999998</v>
      </c>
      <c r="I3140" s="7">
        <v>0</v>
      </c>
      <c r="J3140" s="8">
        <v>0</v>
      </c>
      <c r="K3140" s="9" t="str">
        <v/>
      </c>
    </row>
    <row r="3141" spans="1:11">
      <c r="A3141" t="str">
        <v/>
      </c>
      <c r="B3141" s="6">
        <v>0</v>
      </c>
      <c r="C3141" s="7" t="str">
        <v>趣点购浦发</v>
      </c>
      <c r="D3141" s="8">
        <v>0</v>
      </c>
      <c r="E3141" s="7">
        <v>0</v>
      </c>
      <c r="F3141" s="8">
        <v>0</v>
      </c>
      <c r="G3141" s="7">
        <v>0</v>
      </c>
      <c r="H3141" s="7">
        <v>81211.819999998</v>
      </c>
      <c r="I3141" s="7">
        <v>0</v>
      </c>
      <c r="J3141" s="8">
        <v>0</v>
      </c>
      <c r="K3141" s="9" t="str">
        <v/>
      </c>
    </row>
    <row r="3142" spans="1:11">
      <c r="A3142" t="str">
        <v/>
      </c>
      <c r="B3142" s="6">
        <v>0</v>
      </c>
      <c r="C3142" s="7" t="str">
        <v>趣点购浦发</v>
      </c>
      <c r="D3142" s="8">
        <v>0</v>
      </c>
      <c r="E3142" s="7">
        <v>0</v>
      </c>
      <c r="F3142" s="8">
        <v>0</v>
      </c>
      <c r="G3142" s="7">
        <v>0</v>
      </c>
      <c r="H3142" s="7">
        <v>81211.819999998</v>
      </c>
      <c r="I3142" s="7">
        <v>0</v>
      </c>
      <c r="J3142" s="8">
        <v>0</v>
      </c>
      <c r="K3142" s="9" t="str">
        <v/>
      </c>
    </row>
    <row r="3143" spans="1:11">
      <c r="A3143" t="str">
        <v/>
      </c>
      <c r="B3143" s="6">
        <v>0</v>
      </c>
      <c r="C3143" s="7" t="str">
        <v>趣点购浦发</v>
      </c>
      <c r="D3143" s="8">
        <v>0</v>
      </c>
      <c r="E3143" s="7">
        <v>0</v>
      </c>
      <c r="F3143" s="8">
        <v>0</v>
      </c>
      <c r="G3143" s="7">
        <v>0</v>
      </c>
      <c r="H3143" s="7">
        <v>81211.819999998</v>
      </c>
      <c r="I3143" s="7">
        <v>0</v>
      </c>
      <c r="J3143" s="8">
        <v>0</v>
      </c>
      <c r="K3143" s="9" t="str">
        <v/>
      </c>
    </row>
    <row r="3144" spans="1:11">
      <c r="A3144" t="str">
        <v/>
      </c>
      <c r="B3144" s="6">
        <v>0</v>
      </c>
      <c r="C3144" s="7" t="str">
        <v>趣点购浦发</v>
      </c>
      <c r="D3144" s="8">
        <v>0</v>
      </c>
      <c r="E3144" s="7">
        <v>0</v>
      </c>
      <c r="F3144" s="8">
        <v>0</v>
      </c>
      <c r="G3144" s="7">
        <v>0</v>
      </c>
      <c r="H3144" s="7">
        <v>81211.819999998</v>
      </c>
      <c r="I3144" s="7">
        <v>0</v>
      </c>
      <c r="J3144" s="8">
        <v>0</v>
      </c>
      <c r="K3144" s="9" t="str">
        <v/>
      </c>
    </row>
    <row r="3145" spans="1:11">
      <c r="A3145" t="str">
        <v/>
      </c>
      <c r="B3145" s="6">
        <v>0</v>
      </c>
      <c r="C3145" s="7" t="str">
        <v>趣点购浦发</v>
      </c>
      <c r="D3145" s="8">
        <v>0</v>
      </c>
      <c r="E3145" s="7">
        <v>0</v>
      </c>
      <c r="F3145" s="8">
        <v>0</v>
      </c>
      <c r="G3145" s="7">
        <v>0</v>
      </c>
      <c r="H3145" s="7">
        <v>81211.819999998</v>
      </c>
      <c r="I3145" s="7">
        <v>0</v>
      </c>
      <c r="J3145" s="8">
        <v>0</v>
      </c>
      <c r="K3145" s="9" t="str">
        <v/>
      </c>
    </row>
    <row r="3146" spans="1:11">
      <c r="A3146" t="str">
        <v/>
      </c>
      <c r="B3146" s="6">
        <v>0</v>
      </c>
      <c r="C3146" s="7" t="str">
        <v>趣点购浦发</v>
      </c>
      <c r="D3146" s="8">
        <v>0</v>
      </c>
      <c r="E3146" s="7">
        <v>0</v>
      </c>
      <c r="F3146" s="8">
        <v>0</v>
      </c>
      <c r="G3146" s="7">
        <v>0</v>
      </c>
      <c r="H3146" s="7">
        <v>81211.819999998</v>
      </c>
      <c r="I3146" s="7">
        <v>0</v>
      </c>
      <c r="J3146" s="8">
        <v>0</v>
      </c>
      <c r="K3146" s="9" t="str">
        <v/>
      </c>
    </row>
    <row r="3147" spans="1:11">
      <c r="A3147" t="str">
        <v/>
      </c>
      <c r="B3147" s="6">
        <v>0</v>
      </c>
      <c r="C3147" s="7" t="str">
        <v>趣点购浦发</v>
      </c>
      <c r="D3147" s="8">
        <v>0</v>
      </c>
      <c r="E3147" s="7">
        <v>0</v>
      </c>
      <c r="F3147" s="8">
        <v>0</v>
      </c>
      <c r="G3147" s="7">
        <v>0</v>
      </c>
      <c r="H3147" s="7">
        <v>81211.819999998</v>
      </c>
      <c r="I3147" s="7">
        <v>0</v>
      </c>
      <c r="J3147" s="8">
        <v>0</v>
      </c>
      <c r="K3147" s="9" t="str">
        <v/>
      </c>
    </row>
    <row r="3148" spans="1:11">
      <c r="A3148" t="str">
        <v/>
      </c>
      <c r="B3148" s="6">
        <v>0</v>
      </c>
      <c r="C3148" s="7" t="str">
        <v>趣点购浦发</v>
      </c>
      <c r="D3148" s="8">
        <v>0</v>
      </c>
      <c r="E3148" s="7">
        <v>0</v>
      </c>
      <c r="F3148" s="8">
        <v>0</v>
      </c>
      <c r="G3148" s="7">
        <v>0</v>
      </c>
      <c r="H3148" s="7">
        <v>81211.819999998</v>
      </c>
      <c r="I3148" s="7">
        <v>0</v>
      </c>
      <c r="J3148" s="8">
        <v>0</v>
      </c>
      <c r="K3148" s="9" t="str">
        <v/>
      </c>
    </row>
    <row r="3149" spans="1:11">
      <c r="A3149" t="str">
        <v/>
      </c>
      <c r="B3149" s="6">
        <v>0</v>
      </c>
      <c r="C3149" s="7" t="str">
        <v>趣点购浦发</v>
      </c>
      <c r="D3149" s="8">
        <v>0</v>
      </c>
      <c r="E3149" s="7">
        <v>0</v>
      </c>
      <c r="F3149" s="8">
        <v>0</v>
      </c>
      <c r="G3149" s="7">
        <v>0</v>
      </c>
      <c r="H3149" s="7">
        <v>81211.819999998</v>
      </c>
      <c r="I3149" s="7">
        <v>0</v>
      </c>
      <c r="J3149" s="8">
        <v>0</v>
      </c>
      <c r="K3149" s="9" t="str">
        <v/>
      </c>
    </row>
    <row r="3150" spans="1:11">
      <c r="A3150" t="str">
        <v/>
      </c>
      <c r="B3150" s="6">
        <v>0</v>
      </c>
      <c r="C3150" s="7" t="str">
        <v>趣点购浦发</v>
      </c>
      <c r="D3150" s="8">
        <v>0</v>
      </c>
      <c r="E3150" s="7">
        <v>0</v>
      </c>
      <c r="F3150" s="8">
        <v>0</v>
      </c>
      <c r="G3150" s="7">
        <v>0</v>
      </c>
      <c r="H3150" s="7">
        <v>81211.819999998</v>
      </c>
      <c r="I3150" s="7">
        <v>0</v>
      </c>
      <c r="J3150" s="8">
        <v>0</v>
      </c>
      <c r="K3150" s="9" t="str">
        <v/>
      </c>
    </row>
    <row r="3151" spans="1:11">
      <c r="A3151" t="str">
        <v/>
      </c>
      <c r="B3151" s="6">
        <v>0</v>
      </c>
      <c r="C3151" s="7" t="str">
        <v>趣点购浦发</v>
      </c>
      <c r="D3151" s="8">
        <v>0</v>
      </c>
      <c r="E3151" s="7">
        <v>0</v>
      </c>
      <c r="F3151" s="8">
        <v>0</v>
      </c>
      <c r="G3151" s="7">
        <v>0</v>
      </c>
      <c r="H3151" s="7">
        <v>81211.819999998</v>
      </c>
      <c r="I3151" s="7">
        <v>0</v>
      </c>
      <c r="J3151" s="8">
        <v>0</v>
      </c>
      <c r="K3151" s="9" t="str">
        <v/>
      </c>
    </row>
    <row r="3152" spans="1:11">
      <c r="A3152" t="str">
        <v/>
      </c>
      <c r="B3152" s="6">
        <v>0</v>
      </c>
      <c r="C3152" s="7" t="str">
        <v>趣点购浦发</v>
      </c>
      <c r="D3152" s="8">
        <v>0</v>
      </c>
      <c r="E3152" s="7">
        <v>0</v>
      </c>
      <c r="F3152" s="8">
        <v>0</v>
      </c>
      <c r="G3152" s="7">
        <v>0</v>
      </c>
      <c r="H3152" s="7">
        <v>81211.819999998</v>
      </c>
      <c r="I3152" s="7">
        <v>0</v>
      </c>
      <c r="J3152" s="8">
        <v>0</v>
      </c>
      <c r="K3152" s="9" t="str">
        <v/>
      </c>
    </row>
    <row r="3153" spans="1:11">
      <c r="A3153" t="str">
        <v/>
      </c>
      <c r="B3153" s="6">
        <v>0</v>
      </c>
      <c r="C3153" s="7" t="str">
        <v>趣点购浦发</v>
      </c>
      <c r="D3153" s="8">
        <v>0</v>
      </c>
      <c r="E3153" s="7">
        <v>0</v>
      </c>
      <c r="F3153" s="8">
        <v>0</v>
      </c>
      <c r="G3153" s="7">
        <v>0</v>
      </c>
      <c r="H3153" s="7">
        <v>81211.819999998</v>
      </c>
      <c r="I3153" s="7">
        <v>0</v>
      </c>
      <c r="J3153" s="8">
        <v>0</v>
      </c>
      <c r="K3153" s="9" t="str">
        <v/>
      </c>
    </row>
    <row r="3154" spans="1:11">
      <c r="A3154" t="str">
        <v/>
      </c>
      <c r="B3154" s="6">
        <v>0</v>
      </c>
      <c r="C3154" s="7" t="str">
        <v>趣点购浦发</v>
      </c>
      <c r="D3154" s="8">
        <v>0</v>
      </c>
      <c r="E3154" s="7">
        <v>0</v>
      </c>
      <c r="F3154" s="8">
        <v>0</v>
      </c>
      <c r="G3154" s="7">
        <v>0</v>
      </c>
      <c r="H3154" s="7">
        <v>81211.819999998</v>
      </c>
      <c r="I3154" s="7">
        <v>0</v>
      </c>
      <c r="J3154" s="8">
        <v>0</v>
      </c>
      <c r="K3154" s="9" t="str">
        <v/>
      </c>
    </row>
    <row r="3155" spans="1:11">
      <c r="A3155" t="str">
        <v/>
      </c>
      <c r="B3155" s="6">
        <v>0</v>
      </c>
      <c r="C3155" s="7" t="str">
        <v>趣点购浦发</v>
      </c>
      <c r="D3155" s="8">
        <v>0</v>
      </c>
      <c r="E3155" s="7">
        <v>0</v>
      </c>
      <c r="F3155" s="8">
        <v>0</v>
      </c>
      <c r="G3155" s="7">
        <v>0</v>
      </c>
      <c r="H3155" s="7">
        <v>81211.819999998</v>
      </c>
      <c r="I3155" s="7">
        <v>0</v>
      </c>
      <c r="J3155" s="8">
        <v>0</v>
      </c>
      <c r="K3155" s="9" t="str">
        <v/>
      </c>
    </row>
    <row r="3156" spans="1:11">
      <c r="A3156" t="str">
        <v/>
      </c>
      <c r="B3156" s="6">
        <v>0</v>
      </c>
      <c r="C3156" s="7" t="str">
        <v>趣点购浦发</v>
      </c>
      <c r="D3156" s="8">
        <v>0</v>
      </c>
      <c r="E3156" s="7">
        <v>0</v>
      </c>
      <c r="F3156" s="8">
        <v>0</v>
      </c>
      <c r="G3156" s="7">
        <v>0</v>
      </c>
      <c r="H3156" s="7">
        <v>81211.819999998</v>
      </c>
      <c r="I3156" s="7">
        <v>0</v>
      </c>
      <c r="J3156" s="8">
        <v>0</v>
      </c>
      <c r="K3156" s="9" t="str">
        <v/>
      </c>
    </row>
    <row r="3157" spans="1:11">
      <c r="A3157" t="str">
        <v/>
      </c>
      <c r="B3157" s="6">
        <v>0</v>
      </c>
      <c r="C3157" s="7" t="str">
        <v>趣点购浦发</v>
      </c>
      <c r="D3157" s="8">
        <v>0</v>
      </c>
      <c r="E3157" s="7">
        <v>0</v>
      </c>
      <c r="F3157" s="8">
        <v>0</v>
      </c>
      <c r="G3157" s="7">
        <v>0</v>
      </c>
      <c r="H3157" s="7">
        <v>81211.819999998</v>
      </c>
      <c r="I3157" s="7">
        <v>0</v>
      </c>
      <c r="J3157" s="8">
        <v>0</v>
      </c>
      <c r="K3157" s="9" t="str">
        <v/>
      </c>
    </row>
    <row r="3158" spans="1:11">
      <c r="A3158" t="str">
        <v/>
      </c>
      <c r="B3158" s="6">
        <v>0</v>
      </c>
      <c r="C3158" s="7" t="str">
        <v>趣点购浦发</v>
      </c>
      <c r="D3158" s="8">
        <v>0</v>
      </c>
      <c r="E3158" s="7">
        <v>0</v>
      </c>
      <c r="F3158" s="8">
        <v>0</v>
      </c>
      <c r="G3158" s="7">
        <v>0</v>
      </c>
      <c r="H3158" s="7">
        <v>81211.819999998</v>
      </c>
      <c r="I3158" s="7">
        <v>0</v>
      </c>
      <c r="J3158" s="8">
        <v>0</v>
      </c>
      <c r="K3158" s="9" t="str">
        <v/>
      </c>
    </row>
    <row r="3159" spans="1:11">
      <c r="A3159" t="str">
        <v/>
      </c>
      <c r="B3159" s="6">
        <v>0</v>
      </c>
      <c r="C3159" s="7" t="str">
        <v>趣点购浦发</v>
      </c>
      <c r="D3159" s="8">
        <v>0</v>
      </c>
      <c r="E3159" s="7">
        <v>0</v>
      </c>
      <c r="F3159" s="8">
        <v>0</v>
      </c>
      <c r="G3159" s="7">
        <v>0</v>
      </c>
      <c r="H3159" s="7">
        <v>81211.819999998</v>
      </c>
      <c r="I3159" s="7">
        <v>0</v>
      </c>
      <c r="J3159" s="8">
        <v>0</v>
      </c>
      <c r="K3159" s="9" t="str">
        <v/>
      </c>
    </row>
    <row r="3160" spans="1:11">
      <c r="A3160" t="str">
        <v/>
      </c>
      <c r="B3160" s="6">
        <v>0</v>
      </c>
      <c r="C3160" s="7" t="str">
        <v>趣点购浦发</v>
      </c>
      <c r="D3160" s="8">
        <v>0</v>
      </c>
      <c r="E3160" s="7">
        <v>0</v>
      </c>
      <c r="F3160" s="8">
        <v>0</v>
      </c>
      <c r="G3160" s="7">
        <v>0</v>
      </c>
      <c r="H3160" s="7">
        <v>81211.819999998</v>
      </c>
      <c r="I3160" s="7">
        <v>0</v>
      </c>
      <c r="J3160" s="8">
        <v>0</v>
      </c>
      <c r="K3160" s="9" t="str">
        <v/>
      </c>
    </row>
    <row r="3161" spans="1:11">
      <c r="A3161" t="str">
        <v/>
      </c>
      <c r="B3161" s="6">
        <v>0</v>
      </c>
      <c r="C3161" s="7" t="str">
        <v>趣点购浦发</v>
      </c>
      <c r="D3161" s="8">
        <v>0</v>
      </c>
      <c r="E3161" s="7">
        <v>0</v>
      </c>
      <c r="F3161" s="8">
        <v>0</v>
      </c>
      <c r="G3161" s="7">
        <v>0</v>
      </c>
      <c r="H3161" s="7">
        <v>81211.819999998</v>
      </c>
      <c r="I3161" s="7">
        <v>0</v>
      </c>
      <c r="J3161" s="8">
        <v>0</v>
      </c>
      <c r="K3161" s="9" t="str">
        <v/>
      </c>
    </row>
    <row r="3162" spans="1:11">
      <c r="A3162" t="str">
        <v/>
      </c>
      <c r="B3162" s="6">
        <v>0</v>
      </c>
      <c r="C3162" s="7" t="str">
        <v>趣点购浦发</v>
      </c>
      <c r="D3162" s="8">
        <v>0</v>
      </c>
      <c r="E3162" s="7">
        <v>0</v>
      </c>
      <c r="F3162" s="8">
        <v>0</v>
      </c>
      <c r="G3162" s="7">
        <v>0</v>
      </c>
      <c r="H3162" s="7">
        <v>81211.819999998</v>
      </c>
      <c r="I3162" s="7">
        <v>0</v>
      </c>
      <c r="J3162" s="8">
        <v>0</v>
      </c>
      <c r="K3162" s="9" t="str">
        <v/>
      </c>
    </row>
    <row r="3163" spans="1:11">
      <c r="A3163" t="str">
        <v/>
      </c>
      <c r="B3163" s="6">
        <v>0</v>
      </c>
      <c r="C3163" s="7" t="str">
        <v>趣点购浦发</v>
      </c>
      <c r="D3163" s="8">
        <v>0</v>
      </c>
      <c r="E3163" s="7">
        <v>0</v>
      </c>
      <c r="F3163" s="8">
        <v>0</v>
      </c>
      <c r="G3163" s="7">
        <v>0</v>
      </c>
      <c r="H3163" s="7">
        <v>81211.819999998</v>
      </c>
      <c r="I3163" s="7">
        <v>0</v>
      </c>
      <c r="J3163" s="8">
        <v>0</v>
      </c>
      <c r="K3163" s="9" t="str">
        <v/>
      </c>
    </row>
    <row r="3164" spans="1:11">
      <c r="A3164" t="str">
        <v/>
      </c>
      <c r="B3164" s="6">
        <v>0</v>
      </c>
      <c r="C3164" s="7" t="str">
        <v>趣点购浦发</v>
      </c>
      <c r="D3164" s="8">
        <v>0</v>
      </c>
      <c r="E3164" s="7">
        <v>0</v>
      </c>
      <c r="F3164" s="8">
        <v>0</v>
      </c>
      <c r="G3164" s="7">
        <v>0</v>
      </c>
      <c r="H3164" s="7">
        <v>81211.819999998</v>
      </c>
      <c r="I3164" s="7">
        <v>0</v>
      </c>
      <c r="J3164" s="8">
        <v>0</v>
      </c>
      <c r="K3164" s="9" t="str">
        <v/>
      </c>
    </row>
    <row r="3165" spans="1:11">
      <c r="A3165" t="str">
        <v/>
      </c>
      <c r="B3165" s="6">
        <v>0</v>
      </c>
      <c r="C3165" s="7" t="str">
        <v>趣点购浦发</v>
      </c>
      <c r="D3165" s="8">
        <v>0</v>
      </c>
      <c r="E3165" s="7">
        <v>0</v>
      </c>
      <c r="F3165" s="8">
        <v>0</v>
      </c>
      <c r="G3165" s="7">
        <v>0</v>
      </c>
      <c r="H3165" s="7">
        <v>81211.819999998</v>
      </c>
      <c r="I3165" s="7">
        <v>0</v>
      </c>
      <c r="J3165" s="8">
        <v>0</v>
      </c>
      <c r="K3165" s="9" t="str">
        <v/>
      </c>
    </row>
    <row r="3166" spans="1:11">
      <c r="A3166" t="str">
        <v/>
      </c>
      <c r="B3166" s="6">
        <v>0</v>
      </c>
      <c r="C3166" s="7" t="str">
        <v>趣点购浦发</v>
      </c>
      <c r="D3166" s="8">
        <v>0</v>
      </c>
      <c r="E3166" s="7">
        <v>0</v>
      </c>
      <c r="F3166" s="8">
        <v>0</v>
      </c>
      <c r="G3166" s="7">
        <v>0</v>
      </c>
      <c r="H3166" s="7">
        <v>81211.819999998</v>
      </c>
      <c r="I3166" s="7">
        <v>0</v>
      </c>
      <c r="J3166" s="8">
        <v>0</v>
      </c>
      <c r="K3166" s="9" t="str">
        <v/>
      </c>
    </row>
    <row r="3167" spans="1:11">
      <c r="A3167" t="str">
        <v/>
      </c>
      <c r="B3167" s="6">
        <v>0</v>
      </c>
      <c r="C3167" s="7" t="str">
        <v>趣点购浦发</v>
      </c>
      <c r="D3167" s="8">
        <v>0</v>
      </c>
      <c r="E3167" s="7">
        <v>0</v>
      </c>
      <c r="F3167" s="8">
        <v>0</v>
      </c>
      <c r="G3167" s="7">
        <v>0</v>
      </c>
      <c r="H3167" s="7">
        <v>81211.819999998</v>
      </c>
      <c r="I3167" s="7">
        <v>0</v>
      </c>
      <c r="J3167" s="8">
        <v>0</v>
      </c>
      <c r="K3167" s="9" t="str">
        <v/>
      </c>
    </row>
    <row r="3168" spans="1:11">
      <c r="A3168" t="str">
        <v/>
      </c>
      <c r="B3168" s="6">
        <v>0</v>
      </c>
      <c r="C3168" s="7" t="str">
        <v>趣点购浦发</v>
      </c>
      <c r="D3168" s="8">
        <v>0</v>
      </c>
      <c r="E3168" s="7">
        <v>0</v>
      </c>
      <c r="F3168" s="8">
        <v>0</v>
      </c>
      <c r="G3168" s="7">
        <v>0</v>
      </c>
      <c r="H3168" s="7">
        <v>81211.819999998</v>
      </c>
      <c r="I3168" s="7">
        <v>0</v>
      </c>
      <c r="J3168" s="8">
        <v>0</v>
      </c>
      <c r="K3168" s="9" t="str">
        <v/>
      </c>
    </row>
    <row r="3169" spans="1:11">
      <c r="A3169" t="str">
        <v/>
      </c>
      <c r="B3169" s="6">
        <v>0</v>
      </c>
      <c r="C3169" s="7" t="str">
        <v>趣点购浦发</v>
      </c>
      <c r="D3169" s="8">
        <v>0</v>
      </c>
      <c r="E3169" s="7">
        <v>0</v>
      </c>
      <c r="F3169" s="8">
        <v>0</v>
      </c>
      <c r="G3169" s="7">
        <v>0</v>
      </c>
      <c r="H3169" s="7">
        <v>81211.819999998</v>
      </c>
      <c r="I3169" s="7">
        <v>0</v>
      </c>
      <c r="J3169" s="8">
        <v>0</v>
      </c>
      <c r="K3169" s="9" t="str">
        <v/>
      </c>
    </row>
    <row r="3170" spans="1:11">
      <c r="A3170" t="str">
        <v/>
      </c>
      <c r="B3170" s="6">
        <v>0</v>
      </c>
      <c r="C3170" s="7" t="str">
        <v>趣点购浦发</v>
      </c>
      <c r="D3170" s="8">
        <v>0</v>
      </c>
      <c r="E3170" s="7">
        <v>0</v>
      </c>
      <c r="F3170" s="8">
        <v>0</v>
      </c>
      <c r="G3170" s="7">
        <v>0</v>
      </c>
      <c r="H3170" s="7">
        <v>81211.819999998</v>
      </c>
      <c r="I3170" s="7">
        <v>0</v>
      </c>
      <c r="J3170" s="8">
        <v>0</v>
      </c>
      <c r="K3170" s="9" t="str">
        <v/>
      </c>
    </row>
    <row r="3171" spans="1:11">
      <c r="A3171" t="str">
        <v/>
      </c>
      <c r="B3171" s="6">
        <v>0</v>
      </c>
      <c r="C3171" s="7" t="str">
        <v>趣点购浦发</v>
      </c>
      <c r="D3171" s="8">
        <v>0</v>
      </c>
      <c r="E3171" s="7">
        <v>0</v>
      </c>
      <c r="F3171" s="8">
        <v>0</v>
      </c>
      <c r="G3171" s="7">
        <v>0</v>
      </c>
      <c r="H3171" s="7">
        <v>81211.819999998</v>
      </c>
      <c r="I3171" s="7">
        <v>0</v>
      </c>
      <c r="J3171" s="8">
        <v>0</v>
      </c>
      <c r="K3171" s="9" t="str">
        <v/>
      </c>
    </row>
    <row r="3172" spans="1:11">
      <c r="A3172" t="str">
        <v/>
      </c>
      <c r="B3172" s="6">
        <v>0</v>
      </c>
      <c r="C3172" s="7" t="str">
        <v>趣点购浦发</v>
      </c>
      <c r="D3172" s="8">
        <v>0</v>
      </c>
      <c r="E3172" s="7">
        <v>0</v>
      </c>
      <c r="F3172" s="8">
        <v>0</v>
      </c>
      <c r="G3172" s="7">
        <v>0</v>
      </c>
      <c r="H3172" s="7">
        <v>81211.819999998</v>
      </c>
      <c r="I3172" s="7">
        <v>0</v>
      </c>
      <c r="J3172" s="8">
        <v>0</v>
      </c>
      <c r="K3172" s="9" t="str">
        <v/>
      </c>
    </row>
    <row r="3173" spans="1:11">
      <c r="A3173" t="str">
        <v/>
      </c>
      <c r="B3173" s="6">
        <v>0</v>
      </c>
      <c r="C3173" s="7" t="str">
        <v>趣点购浦发</v>
      </c>
      <c r="D3173" s="8">
        <v>0</v>
      </c>
      <c r="E3173" s="7">
        <v>0</v>
      </c>
      <c r="F3173" s="8">
        <v>0</v>
      </c>
      <c r="G3173" s="7">
        <v>0</v>
      </c>
      <c r="H3173" s="7">
        <v>81211.819999998</v>
      </c>
      <c r="I3173" s="7">
        <v>0</v>
      </c>
      <c r="J3173" s="8">
        <v>0</v>
      </c>
      <c r="K3173" s="9" t="str">
        <v/>
      </c>
    </row>
    <row r="3174" spans="1:11">
      <c r="A3174" t="str">
        <v/>
      </c>
      <c r="B3174" s="6">
        <v>0</v>
      </c>
      <c r="C3174" s="7" t="str">
        <v>趣点购浦发</v>
      </c>
      <c r="D3174" s="8">
        <v>0</v>
      </c>
      <c r="E3174" s="7">
        <v>0</v>
      </c>
      <c r="F3174" s="8">
        <v>0</v>
      </c>
      <c r="G3174" s="7">
        <v>0</v>
      </c>
      <c r="H3174" s="7">
        <v>81211.819999998</v>
      </c>
      <c r="I3174" s="7">
        <v>0</v>
      </c>
      <c r="J3174" s="8">
        <v>0</v>
      </c>
      <c r="K3174" s="9" t="str">
        <v/>
      </c>
    </row>
    <row r="3175" spans="1:11">
      <c r="A3175" t="str">
        <v/>
      </c>
      <c r="B3175" s="6">
        <v>0</v>
      </c>
      <c r="C3175" s="7" t="str">
        <v>趣点购浦发</v>
      </c>
      <c r="D3175" s="8">
        <v>0</v>
      </c>
      <c r="E3175" s="7">
        <v>0</v>
      </c>
      <c r="F3175" s="8">
        <v>0</v>
      </c>
      <c r="G3175" s="7">
        <v>0</v>
      </c>
      <c r="H3175" s="7">
        <v>81211.819999998</v>
      </c>
      <c r="I3175" s="7">
        <v>0</v>
      </c>
      <c r="J3175" s="8">
        <v>0</v>
      </c>
      <c r="K3175" s="9" t="str">
        <v/>
      </c>
    </row>
    <row r="3176" spans="1:11">
      <c r="A3176" t="str">
        <v/>
      </c>
      <c r="B3176" s="6">
        <v>0</v>
      </c>
      <c r="C3176" s="7" t="str">
        <v>趣点购浦发</v>
      </c>
      <c r="D3176" s="8">
        <v>0</v>
      </c>
      <c r="E3176" s="7">
        <v>0</v>
      </c>
      <c r="F3176" s="8">
        <v>0</v>
      </c>
      <c r="G3176" s="7">
        <v>0</v>
      </c>
      <c r="H3176" s="7">
        <v>81211.819999998</v>
      </c>
      <c r="I3176" s="7">
        <v>0</v>
      </c>
      <c r="J3176" s="8">
        <v>0</v>
      </c>
      <c r="K3176" s="9" t="str">
        <v/>
      </c>
    </row>
    <row r="3177" spans="1:11">
      <c r="A3177" t="str">
        <v/>
      </c>
      <c r="B3177" s="6">
        <v>0</v>
      </c>
      <c r="C3177" s="7" t="str">
        <v>趣点购浦发</v>
      </c>
      <c r="D3177" s="8">
        <v>0</v>
      </c>
      <c r="E3177" s="7">
        <v>0</v>
      </c>
      <c r="F3177" s="8">
        <v>0</v>
      </c>
      <c r="G3177" s="7">
        <v>0</v>
      </c>
      <c r="H3177" s="7">
        <v>81211.819999998</v>
      </c>
      <c r="I3177" s="7">
        <v>0</v>
      </c>
      <c r="J3177" s="8">
        <v>0</v>
      </c>
      <c r="K3177" s="9" t="str">
        <v/>
      </c>
    </row>
    <row r="3178" spans="1:11">
      <c r="A3178" t="str">
        <v/>
      </c>
      <c r="B3178" s="6">
        <v>0</v>
      </c>
      <c r="C3178" s="7" t="str">
        <v>趣点购浦发</v>
      </c>
      <c r="D3178" s="8">
        <v>0</v>
      </c>
      <c r="E3178" s="7">
        <v>0</v>
      </c>
      <c r="F3178" s="8">
        <v>0</v>
      </c>
      <c r="G3178" s="7">
        <v>0</v>
      </c>
      <c r="H3178" s="7">
        <v>81211.819999998</v>
      </c>
      <c r="I3178" s="7">
        <v>0</v>
      </c>
      <c r="J3178" s="8">
        <v>0</v>
      </c>
      <c r="K3178" s="9" t="str">
        <v/>
      </c>
    </row>
    <row r="3179" spans="1:11">
      <c r="A3179" t="str">
        <v/>
      </c>
      <c r="B3179" s="6">
        <v>0</v>
      </c>
      <c r="C3179" s="7" t="str">
        <v>趣点购浦发</v>
      </c>
      <c r="D3179" s="8">
        <v>0</v>
      </c>
      <c r="E3179" s="7">
        <v>0</v>
      </c>
      <c r="F3179" s="8">
        <v>0</v>
      </c>
      <c r="G3179" s="7">
        <v>0</v>
      </c>
      <c r="H3179" s="7">
        <v>81211.819999998</v>
      </c>
      <c r="I3179" s="7">
        <v>0</v>
      </c>
      <c r="J3179" s="8">
        <v>0</v>
      </c>
      <c r="K3179" s="9" t="str">
        <v/>
      </c>
    </row>
    <row r="3180" spans="1:11">
      <c r="A3180" t="str">
        <v/>
      </c>
      <c r="B3180" s="6">
        <v>0</v>
      </c>
      <c r="C3180" s="7" t="str">
        <v>趣点购浦发</v>
      </c>
      <c r="D3180" s="8">
        <v>0</v>
      </c>
      <c r="E3180" s="7">
        <v>0</v>
      </c>
      <c r="F3180" s="8">
        <v>0</v>
      </c>
      <c r="G3180" s="7">
        <v>0</v>
      </c>
      <c r="H3180" s="7">
        <v>81211.819999998</v>
      </c>
      <c r="I3180" s="7">
        <v>0</v>
      </c>
      <c r="J3180" s="8">
        <v>0</v>
      </c>
      <c r="K3180" s="9" t="str">
        <v/>
      </c>
    </row>
    <row r="3181" spans="1:11">
      <c r="A3181" t="str">
        <v/>
      </c>
      <c r="B3181" s="6">
        <v>0</v>
      </c>
      <c r="C3181" s="7" t="str">
        <v>趣点购浦发</v>
      </c>
      <c r="D3181" s="8">
        <v>0</v>
      </c>
      <c r="E3181" s="7">
        <v>0</v>
      </c>
      <c r="F3181" s="8">
        <v>0</v>
      </c>
      <c r="G3181" s="7">
        <v>0</v>
      </c>
      <c r="H3181" s="7">
        <v>81211.819999998</v>
      </c>
      <c r="I3181" s="7">
        <v>0</v>
      </c>
      <c r="J3181" s="8">
        <v>0</v>
      </c>
      <c r="K3181" s="9" t="str">
        <v/>
      </c>
    </row>
    <row r="3182" spans="1:11">
      <c r="A3182" t="str">
        <v/>
      </c>
      <c r="B3182" s="6">
        <v>0</v>
      </c>
      <c r="C3182" s="7" t="str">
        <v>趣点购浦发</v>
      </c>
      <c r="D3182" s="8">
        <v>0</v>
      </c>
      <c r="E3182" s="7">
        <v>0</v>
      </c>
      <c r="F3182" s="8">
        <v>0</v>
      </c>
      <c r="G3182" s="7">
        <v>0</v>
      </c>
      <c r="H3182" s="7">
        <v>81211.819999998</v>
      </c>
      <c r="I3182" s="7">
        <v>0</v>
      </c>
      <c r="J3182" s="8">
        <v>0</v>
      </c>
      <c r="K3182" s="9" t="str">
        <v/>
      </c>
    </row>
    <row r="3183" spans="1:11">
      <c r="A3183" t="str">
        <v/>
      </c>
      <c r="B3183" s="6">
        <v>0</v>
      </c>
      <c r="C3183" s="7" t="str">
        <v>趣点购浦发</v>
      </c>
      <c r="D3183" s="8">
        <v>0</v>
      </c>
      <c r="E3183" s="7">
        <v>0</v>
      </c>
      <c r="F3183" s="8">
        <v>0</v>
      </c>
      <c r="G3183" s="7">
        <v>0</v>
      </c>
      <c r="H3183" s="7">
        <v>81211.819999998</v>
      </c>
      <c r="I3183" s="7">
        <v>0</v>
      </c>
      <c r="J3183" s="8">
        <v>0</v>
      </c>
      <c r="K3183" s="9" t="str">
        <v/>
      </c>
    </row>
    <row r="3184" spans="1:11">
      <c r="A3184" t="str">
        <v/>
      </c>
      <c r="B3184" s="6">
        <v>0</v>
      </c>
      <c r="C3184" s="7" t="str">
        <v>趣点购浦发</v>
      </c>
      <c r="D3184" s="8">
        <v>0</v>
      </c>
      <c r="E3184" s="7">
        <v>0</v>
      </c>
      <c r="F3184" s="8">
        <v>0</v>
      </c>
      <c r="G3184" s="7">
        <v>0</v>
      </c>
      <c r="H3184" s="7">
        <v>81211.819999998</v>
      </c>
      <c r="I3184" s="7">
        <v>0</v>
      </c>
      <c r="J3184" s="8">
        <v>0</v>
      </c>
      <c r="K3184" s="9" t="str">
        <v/>
      </c>
    </row>
    <row r="3185" spans="1:11">
      <c r="A3185" t="str">
        <v/>
      </c>
      <c r="B3185" s="6">
        <v>0</v>
      </c>
      <c r="C3185" s="7" t="str">
        <v>趣点购浦发</v>
      </c>
      <c r="D3185" s="8">
        <v>0</v>
      </c>
      <c r="E3185" s="7">
        <v>0</v>
      </c>
      <c r="F3185" s="8">
        <v>0</v>
      </c>
      <c r="G3185" s="7">
        <v>0</v>
      </c>
      <c r="H3185" s="7">
        <v>81211.819999998</v>
      </c>
      <c r="I3185" s="7">
        <v>0</v>
      </c>
      <c r="J3185" s="8">
        <v>0</v>
      </c>
      <c r="K3185" s="9" t="str">
        <v/>
      </c>
    </row>
    <row r="3186" spans="1:11">
      <c r="A3186" t="str">
        <v/>
      </c>
      <c r="B3186" s="6">
        <v>0</v>
      </c>
      <c r="C3186" s="7" t="str">
        <v>趣点购浦发</v>
      </c>
      <c r="D3186" s="8">
        <v>0</v>
      </c>
      <c r="E3186" s="7">
        <v>0</v>
      </c>
      <c r="F3186" s="8">
        <v>0</v>
      </c>
      <c r="G3186" s="7">
        <v>0</v>
      </c>
      <c r="H3186" s="7">
        <v>81211.819999998</v>
      </c>
      <c r="I3186" s="7">
        <v>0</v>
      </c>
      <c r="J3186" s="8">
        <v>0</v>
      </c>
      <c r="K3186" s="9" t="str">
        <v/>
      </c>
    </row>
    <row r="3187" spans="1:11">
      <c r="A3187" t="str">
        <v/>
      </c>
      <c r="B3187" s="6">
        <v>0</v>
      </c>
      <c r="C3187" s="7" t="str">
        <v>趣点购浦发</v>
      </c>
      <c r="D3187" s="8">
        <v>0</v>
      </c>
      <c r="E3187" s="7">
        <v>0</v>
      </c>
      <c r="F3187" s="8">
        <v>0</v>
      </c>
      <c r="G3187" s="7">
        <v>0</v>
      </c>
      <c r="H3187" s="7">
        <v>81211.819999998</v>
      </c>
      <c r="I3187" s="7">
        <v>0</v>
      </c>
      <c r="J3187" s="8">
        <v>0</v>
      </c>
      <c r="K3187" s="9" t="str">
        <v/>
      </c>
    </row>
    <row r="3188" spans="1:11">
      <c r="A3188" t="str">
        <v/>
      </c>
      <c r="B3188" s="6">
        <v>0</v>
      </c>
      <c r="C3188" s="7" t="str">
        <v>趣点购浦发</v>
      </c>
      <c r="D3188" s="8">
        <v>0</v>
      </c>
      <c r="E3188" s="7">
        <v>0</v>
      </c>
      <c r="F3188" s="8">
        <v>0</v>
      </c>
      <c r="G3188" s="7">
        <v>0</v>
      </c>
      <c r="H3188" s="7">
        <v>81211.819999998</v>
      </c>
      <c r="I3188" s="7">
        <v>0</v>
      </c>
      <c r="J3188" s="8">
        <v>0</v>
      </c>
      <c r="K3188" s="9" t="str">
        <v/>
      </c>
    </row>
    <row r="3189" spans="1:11">
      <c r="A3189" t="str">
        <v/>
      </c>
      <c r="B3189" s="6">
        <v>0</v>
      </c>
      <c r="C3189" s="7" t="str">
        <v>趣点购浦发</v>
      </c>
      <c r="D3189" s="8">
        <v>0</v>
      </c>
      <c r="E3189" s="7">
        <v>0</v>
      </c>
      <c r="F3189" s="8">
        <v>0</v>
      </c>
      <c r="G3189" s="7">
        <v>0</v>
      </c>
      <c r="H3189" s="7">
        <v>81211.819999998</v>
      </c>
      <c r="I3189" s="7">
        <v>0</v>
      </c>
      <c r="J3189" s="8">
        <v>0</v>
      </c>
      <c r="K3189" s="9" t="str">
        <v/>
      </c>
    </row>
    <row r="3190" spans="1:11">
      <c r="A3190" t="str">
        <v/>
      </c>
      <c r="B3190" s="6">
        <v>0</v>
      </c>
      <c r="C3190" s="7" t="str">
        <v>趣点购浦发</v>
      </c>
      <c r="D3190" s="8">
        <v>0</v>
      </c>
      <c r="E3190" s="7">
        <v>0</v>
      </c>
      <c r="F3190" s="8">
        <v>0</v>
      </c>
      <c r="G3190" s="7">
        <v>0</v>
      </c>
      <c r="H3190" s="7">
        <v>81211.819999998</v>
      </c>
      <c r="I3190" s="7">
        <v>0</v>
      </c>
      <c r="J3190" s="8">
        <v>0</v>
      </c>
      <c r="K3190" s="9" t="str">
        <v/>
      </c>
    </row>
    <row r="3191" spans="1:11">
      <c r="A3191" t="str">
        <v/>
      </c>
      <c r="B3191" s="6">
        <v>0</v>
      </c>
      <c r="C3191" s="7" t="str">
        <v>趣点购浦发</v>
      </c>
      <c r="D3191" s="8">
        <v>0</v>
      </c>
      <c r="E3191" s="7">
        <v>0</v>
      </c>
      <c r="F3191" s="8">
        <v>0</v>
      </c>
      <c r="G3191" s="7">
        <v>0</v>
      </c>
      <c r="H3191" s="7">
        <v>81211.819999998</v>
      </c>
      <c r="I3191" s="7">
        <v>0</v>
      </c>
      <c r="J3191" s="8">
        <v>0</v>
      </c>
      <c r="K3191" s="9" t="str">
        <v/>
      </c>
    </row>
    <row r="3192" spans="1:11">
      <c r="A3192" t="str">
        <v/>
      </c>
      <c r="B3192" s="6">
        <v>0</v>
      </c>
      <c r="C3192" s="7" t="str">
        <v>趣点购浦发</v>
      </c>
      <c r="D3192" s="8">
        <v>0</v>
      </c>
      <c r="E3192" s="7">
        <v>0</v>
      </c>
      <c r="F3192" s="8">
        <v>0</v>
      </c>
      <c r="G3192" s="7">
        <v>0</v>
      </c>
      <c r="H3192" s="7">
        <v>81211.819999998</v>
      </c>
      <c r="I3192" s="7">
        <v>0</v>
      </c>
      <c r="J3192" s="8">
        <v>0</v>
      </c>
      <c r="K3192" s="9" t="str">
        <v/>
      </c>
    </row>
    <row r="3193" spans="1:11">
      <c r="A3193" t="str">
        <v/>
      </c>
      <c r="B3193" s="6">
        <v>0</v>
      </c>
      <c r="C3193" s="7" t="str">
        <v>趣点购浦发</v>
      </c>
      <c r="D3193" s="8">
        <v>0</v>
      </c>
      <c r="E3193" s="7">
        <v>0</v>
      </c>
      <c r="F3193" s="8">
        <v>0</v>
      </c>
      <c r="G3193" s="7">
        <v>0</v>
      </c>
      <c r="H3193" s="7">
        <v>81211.819999998</v>
      </c>
      <c r="I3193" s="7">
        <v>0</v>
      </c>
      <c r="J3193" s="8">
        <v>0</v>
      </c>
      <c r="K3193" s="9" t="str">
        <v/>
      </c>
    </row>
    <row r="3194" spans="1:11">
      <c r="A3194" t="str">
        <v/>
      </c>
      <c r="B3194" s="6">
        <v>0</v>
      </c>
      <c r="C3194" s="7" t="str">
        <v>趣点购浦发</v>
      </c>
      <c r="D3194" s="8">
        <v>0</v>
      </c>
      <c r="E3194" s="7">
        <v>0</v>
      </c>
      <c r="F3194" s="8">
        <v>0</v>
      </c>
      <c r="G3194" s="7">
        <v>0</v>
      </c>
      <c r="H3194" s="7">
        <v>81211.819999998</v>
      </c>
      <c r="I3194" s="7">
        <v>0</v>
      </c>
      <c r="J3194" s="8">
        <v>0</v>
      </c>
      <c r="K3194" s="9" t="str">
        <v/>
      </c>
    </row>
    <row r="3195" spans="1:11">
      <c r="A3195" t="str">
        <v/>
      </c>
      <c r="B3195" s="6">
        <v>0</v>
      </c>
      <c r="C3195" s="7" t="str">
        <v>趣点购浦发</v>
      </c>
      <c r="D3195" s="8">
        <v>0</v>
      </c>
      <c r="E3195" s="7">
        <v>0</v>
      </c>
      <c r="F3195" s="8">
        <v>0</v>
      </c>
      <c r="G3195" s="7">
        <v>0</v>
      </c>
      <c r="H3195" s="7">
        <v>81211.819999998</v>
      </c>
      <c r="I3195" s="7">
        <v>0</v>
      </c>
      <c r="J3195" s="8">
        <v>0</v>
      </c>
      <c r="K3195" s="9" t="str">
        <v/>
      </c>
    </row>
    <row r="3196" spans="1:11">
      <c r="A3196" t="str">
        <v/>
      </c>
      <c r="B3196" s="6">
        <v>0</v>
      </c>
      <c r="C3196" s="7" t="str">
        <v>趣点购浦发</v>
      </c>
      <c r="D3196" s="8">
        <v>0</v>
      </c>
      <c r="E3196" s="7">
        <v>0</v>
      </c>
      <c r="F3196" s="8">
        <v>0</v>
      </c>
      <c r="G3196" s="7">
        <v>0</v>
      </c>
      <c r="H3196" s="7">
        <v>81211.819999998</v>
      </c>
      <c r="I3196" s="7">
        <v>0</v>
      </c>
      <c r="J3196" s="8">
        <v>0</v>
      </c>
      <c r="K3196" s="9" t="str">
        <v/>
      </c>
    </row>
    <row r="3197" spans="1:11">
      <c r="A3197" t="str">
        <v/>
      </c>
      <c r="B3197" s="6">
        <v>0</v>
      </c>
      <c r="C3197" s="7" t="str">
        <v>趣点购浦发</v>
      </c>
      <c r="D3197" s="8">
        <v>0</v>
      </c>
      <c r="E3197" s="7">
        <v>0</v>
      </c>
      <c r="F3197" s="8">
        <v>0</v>
      </c>
      <c r="G3197" s="7">
        <v>0</v>
      </c>
      <c r="H3197" s="7">
        <v>81211.819999998</v>
      </c>
      <c r="I3197" s="7">
        <v>0</v>
      </c>
      <c r="J3197" s="8">
        <v>0</v>
      </c>
      <c r="K3197" s="9" t="str">
        <v/>
      </c>
    </row>
    <row r="3198" spans="1:11">
      <c r="A3198" t="str">
        <v/>
      </c>
      <c r="B3198" s="6">
        <v>0</v>
      </c>
      <c r="C3198" s="7" t="str">
        <v>趣点购浦发</v>
      </c>
      <c r="D3198" s="8">
        <v>0</v>
      </c>
      <c r="E3198" s="7">
        <v>0</v>
      </c>
      <c r="F3198" s="8">
        <v>0</v>
      </c>
      <c r="G3198" s="7">
        <v>0</v>
      </c>
      <c r="H3198" s="7">
        <v>81211.819999998</v>
      </c>
      <c r="I3198" s="7">
        <v>0</v>
      </c>
      <c r="J3198" s="8">
        <v>0</v>
      </c>
      <c r="K3198" s="9" t="str">
        <v/>
      </c>
    </row>
    <row r="3199" spans="1:11">
      <c r="A3199" t="str">
        <v/>
      </c>
      <c r="B3199" s="6">
        <v>0</v>
      </c>
      <c r="C3199" s="7" t="str">
        <v>趣点购浦发</v>
      </c>
      <c r="D3199" s="8">
        <v>0</v>
      </c>
      <c r="E3199" s="7">
        <v>0</v>
      </c>
      <c r="F3199" s="8">
        <v>0</v>
      </c>
      <c r="G3199" s="7">
        <v>0</v>
      </c>
      <c r="H3199" s="7">
        <v>81211.819999998</v>
      </c>
      <c r="I3199" s="7">
        <v>0</v>
      </c>
      <c r="J3199" s="8">
        <v>0</v>
      </c>
      <c r="K3199" s="9" t="str">
        <v/>
      </c>
    </row>
    <row r="3200" spans="1:11">
      <c r="A3200" t="str">
        <v/>
      </c>
      <c r="B3200" s="6">
        <v>0</v>
      </c>
      <c r="C3200" s="7" t="str">
        <v>趣点购浦发</v>
      </c>
      <c r="D3200" s="8">
        <v>0</v>
      </c>
      <c r="E3200" s="7">
        <v>0</v>
      </c>
      <c r="F3200" s="8">
        <v>0</v>
      </c>
      <c r="G3200" s="7">
        <v>0</v>
      </c>
      <c r="H3200" s="7">
        <v>81211.819999998</v>
      </c>
      <c r="I3200" s="7">
        <v>0</v>
      </c>
      <c r="J3200" s="8">
        <v>0</v>
      </c>
      <c r="K3200" s="9" t="str">
        <v/>
      </c>
    </row>
    <row r="3201" spans="1:11">
      <c r="A3201" t="str">
        <v/>
      </c>
      <c r="B3201" s="6">
        <v>0</v>
      </c>
      <c r="C3201" s="7" t="str">
        <v>趣点购浦发</v>
      </c>
      <c r="D3201" s="8">
        <v>0</v>
      </c>
      <c r="E3201" s="7">
        <v>0</v>
      </c>
      <c r="F3201" s="8">
        <v>0</v>
      </c>
      <c r="G3201" s="7">
        <v>0</v>
      </c>
      <c r="H3201" s="7">
        <v>81211.819999998</v>
      </c>
      <c r="I3201" s="7">
        <v>0</v>
      </c>
      <c r="J3201" s="8">
        <v>0</v>
      </c>
      <c r="K3201" s="9" t="str">
        <v/>
      </c>
    </row>
    <row r="3202" spans="1:11">
      <c r="A3202" t="str">
        <v/>
      </c>
      <c r="B3202" s="6">
        <v>0</v>
      </c>
      <c r="C3202" s="7" t="str">
        <v>趣点购浦发</v>
      </c>
      <c r="D3202" s="8">
        <v>0</v>
      </c>
      <c r="E3202" s="7">
        <v>0</v>
      </c>
      <c r="F3202" s="8">
        <v>0</v>
      </c>
      <c r="G3202" s="7">
        <v>0</v>
      </c>
      <c r="H3202" s="7">
        <v>81211.819999998</v>
      </c>
      <c r="I3202" s="7">
        <v>0</v>
      </c>
      <c r="J3202" s="8">
        <v>0</v>
      </c>
      <c r="K3202" s="9" t="str">
        <v/>
      </c>
    </row>
    <row r="3203" spans="1:11">
      <c r="A3203" t="str">
        <v/>
      </c>
      <c r="B3203" s="6">
        <v>0</v>
      </c>
      <c r="C3203" s="7" t="str">
        <v>趣点购浦发</v>
      </c>
      <c r="D3203" s="8">
        <v>0</v>
      </c>
      <c r="E3203" s="7">
        <v>0</v>
      </c>
      <c r="F3203" s="8">
        <v>0</v>
      </c>
      <c r="G3203" s="7">
        <v>0</v>
      </c>
      <c r="H3203" s="7">
        <v>81211.819999998</v>
      </c>
      <c r="I3203" s="7">
        <v>0</v>
      </c>
      <c r="J3203" s="8">
        <v>0</v>
      </c>
      <c r="K3203" s="9" t="str">
        <v/>
      </c>
    </row>
    <row r="3204" spans="1:11">
      <c r="A3204" t="str">
        <v/>
      </c>
      <c r="B3204" s="6">
        <v>0</v>
      </c>
      <c r="C3204" s="7" t="str">
        <v>趣点购浦发</v>
      </c>
      <c r="D3204" s="8">
        <v>0</v>
      </c>
      <c r="E3204" s="7">
        <v>0</v>
      </c>
      <c r="F3204" s="8">
        <v>0</v>
      </c>
      <c r="G3204" s="7">
        <v>0</v>
      </c>
      <c r="H3204" s="7">
        <v>81211.819999998</v>
      </c>
      <c r="I3204" s="7">
        <v>0</v>
      </c>
      <c r="J3204" s="8">
        <v>0</v>
      </c>
      <c r="K3204" s="9" t="str">
        <v/>
      </c>
    </row>
    <row r="3205" spans="1:11">
      <c r="A3205" t="str">
        <v/>
      </c>
      <c r="B3205" s="6">
        <v>0</v>
      </c>
      <c r="C3205" s="7" t="str">
        <v>趣点购浦发</v>
      </c>
      <c r="D3205" s="8">
        <v>0</v>
      </c>
      <c r="E3205" s="7">
        <v>0</v>
      </c>
      <c r="F3205" s="8">
        <v>0</v>
      </c>
      <c r="G3205" s="7">
        <v>0</v>
      </c>
      <c r="H3205" s="7">
        <v>81211.819999998</v>
      </c>
      <c r="I3205" s="7">
        <v>0</v>
      </c>
      <c r="J3205" s="8">
        <v>0</v>
      </c>
      <c r="K3205" s="9" t="str">
        <v/>
      </c>
    </row>
    <row r="3206" spans="1:11">
      <c r="A3206" t="str">
        <v/>
      </c>
      <c r="B3206" s="6">
        <v>0</v>
      </c>
      <c r="C3206" s="7" t="str">
        <v>趣点购浦发</v>
      </c>
      <c r="D3206" s="8">
        <v>0</v>
      </c>
      <c r="E3206" s="7">
        <v>0</v>
      </c>
      <c r="F3206" s="8">
        <v>0</v>
      </c>
      <c r="G3206" s="7">
        <v>0</v>
      </c>
      <c r="H3206" s="7">
        <v>81211.819999998</v>
      </c>
      <c r="I3206" s="7">
        <v>0</v>
      </c>
      <c r="J3206" s="8">
        <v>0</v>
      </c>
      <c r="K3206" s="9" t="str">
        <v/>
      </c>
    </row>
    <row r="3207" spans="1:11">
      <c r="A3207" t="str">
        <v/>
      </c>
      <c r="B3207" s="6">
        <v>0</v>
      </c>
      <c r="C3207" s="7" t="str">
        <v>趣点购浦发</v>
      </c>
      <c r="D3207" s="8">
        <v>0</v>
      </c>
      <c r="E3207" s="7">
        <v>0</v>
      </c>
      <c r="F3207" s="8">
        <v>0</v>
      </c>
      <c r="G3207" s="7">
        <v>0</v>
      </c>
      <c r="H3207" s="7">
        <v>81211.819999998</v>
      </c>
      <c r="I3207" s="7">
        <v>0</v>
      </c>
      <c r="J3207" s="8">
        <v>0</v>
      </c>
      <c r="K3207" s="9" t="str">
        <v/>
      </c>
    </row>
    <row r="3208" spans="1:11">
      <c r="A3208" t="str">
        <v/>
      </c>
      <c r="B3208" s="6">
        <v>0</v>
      </c>
      <c r="C3208" s="7" t="str">
        <v>趣点购浦发</v>
      </c>
      <c r="D3208" s="8">
        <v>0</v>
      </c>
      <c r="E3208" s="7">
        <v>0</v>
      </c>
      <c r="F3208" s="8">
        <v>0</v>
      </c>
      <c r="G3208" s="7">
        <v>0</v>
      </c>
      <c r="H3208" s="7">
        <v>81211.819999998</v>
      </c>
      <c r="I3208" s="7">
        <v>0</v>
      </c>
      <c r="J3208" s="8">
        <v>0</v>
      </c>
      <c r="K3208" s="9" t="str">
        <v/>
      </c>
    </row>
    <row r="3209" spans="1:11">
      <c r="A3209" t="str">
        <v/>
      </c>
      <c r="B3209" s="6">
        <v>0</v>
      </c>
      <c r="C3209" s="7" t="str">
        <v>趣点购浦发</v>
      </c>
      <c r="D3209" s="8">
        <v>0</v>
      </c>
      <c r="E3209" s="7">
        <v>0</v>
      </c>
      <c r="F3209" s="8">
        <v>0</v>
      </c>
      <c r="G3209" s="7">
        <v>0</v>
      </c>
      <c r="H3209" s="7">
        <v>81211.819999998</v>
      </c>
      <c r="I3209" s="7">
        <v>0</v>
      </c>
      <c r="J3209" s="8">
        <v>0</v>
      </c>
      <c r="K3209" s="9" t="str">
        <v/>
      </c>
    </row>
    <row r="3210" spans="1:11">
      <c r="A3210" t="str">
        <v/>
      </c>
      <c r="B3210" s="6">
        <v>0</v>
      </c>
      <c r="C3210" s="7" t="str">
        <v>趣点购浦发</v>
      </c>
      <c r="D3210" s="8">
        <v>0</v>
      </c>
      <c r="E3210" s="7">
        <v>0</v>
      </c>
      <c r="F3210" s="8">
        <v>0</v>
      </c>
      <c r="G3210" s="7">
        <v>0</v>
      </c>
      <c r="H3210" s="7">
        <v>81211.819999998</v>
      </c>
      <c r="I3210" s="7">
        <v>0</v>
      </c>
      <c r="J3210" s="8">
        <v>0</v>
      </c>
      <c r="K3210" s="9" t="str">
        <v/>
      </c>
    </row>
    <row r="3211" spans="1:11">
      <c r="A3211" t="str">
        <v/>
      </c>
      <c r="B3211" s="6">
        <v>0</v>
      </c>
      <c r="C3211" s="7" t="str">
        <v>趣点购浦发</v>
      </c>
      <c r="D3211" s="8">
        <v>0</v>
      </c>
      <c r="E3211" s="7">
        <v>0</v>
      </c>
      <c r="F3211" s="8">
        <v>0</v>
      </c>
      <c r="G3211" s="7">
        <v>0</v>
      </c>
      <c r="H3211" s="7">
        <v>81211.819999998</v>
      </c>
      <c r="I3211" s="7">
        <v>0</v>
      </c>
      <c r="J3211" s="8">
        <v>0</v>
      </c>
      <c r="K3211" s="9" t="str">
        <v/>
      </c>
    </row>
    <row r="3212" spans="1:11">
      <c r="A3212" t="str">
        <v/>
      </c>
      <c r="B3212" s="6">
        <v>0</v>
      </c>
      <c r="C3212" s="7" t="str">
        <v>趣点购浦发</v>
      </c>
      <c r="D3212" s="8">
        <v>0</v>
      </c>
      <c r="E3212" s="7">
        <v>0</v>
      </c>
      <c r="F3212" s="8">
        <v>0</v>
      </c>
      <c r="G3212" s="7">
        <v>0</v>
      </c>
      <c r="H3212" s="7">
        <v>81211.819999998</v>
      </c>
      <c r="I3212" s="7">
        <v>0</v>
      </c>
      <c r="J3212" s="8">
        <v>0</v>
      </c>
      <c r="K3212" s="9" t="str">
        <v/>
      </c>
    </row>
    <row r="3213" spans="1:11">
      <c r="A3213" t="str">
        <v/>
      </c>
      <c r="B3213" s="6">
        <v>0</v>
      </c>
      <c r="C3213" s="7" t="str">
        <v>趣点购浦发</v>
      </c>
      <c r="D3213" s="8">
        <v>0</v>
      </c>
      <c r="E3213" s="7">
        <v>0</v>
      </c>
      <c r="F3213" s="8">
        <v>0</v>
      </c>
      <c r="G3213" s="7">
        <v>0</v>
      </c>
      <c r="H3213" s="7">
        <v>81211.819999998</v>
      </c>
      <c r="I3213" s="7">
        <v>0</v>
      </c>
      <c r="J3213" s="8">
        <v>0</v>
      </c>
      <c r="K3213" s="9" t="str">
        <v/>
      </c>
    </row>
    <row r="3214" spans="1:11">
      <c r="A3214" t="str">
        <v/>
      </c>
      <c r="B3214" s="6">
        <v>0</v>
      </c>
      <c r="C3214" s="7" t="str">
        <v>趣点购浦发</v>
      </c>
      <c r="D3214" s="8">
        <v>0</v>
      </c>
      <c r="E3214" s="7">
        <v>0</v>
      </c>
      <c r="F3214" s="8">
        <v>0</v>
      </c>
      <c r="G3214" s="7">
        <v>0</v>
      </c>
      <c r="H3214" s="7">
        <v>81211.819999998</v>
      </c>
      <c r="I3214" s="7">
        <v>0</v>
      </c>
      <c r="J3214" s="8">
        <v>0</v>
      </c>
      <c r="K3214" s="9" t="str">
        <v/>
      </c>
    </row>
    <row r="3215" spans="1:11">
      <c r="A3215" t="str">
        <v/>
      </c>
      <c r="B3215" s="6">
        <v>0</v>
      </c>
      <c r="C3215" s="7" t="str">
        <v>趣点购浦发</v>
      </c>
      <c r="D3215" s="8">
        <v>0</v>
      </c>
      <c r="E3215" s="7">
        <v>0</v>
      </c>
      <c r="F3215" s="8">
        <v>0</v>
      </c>
      <c r="G3215" s="7">
        <v>0</v>
      </c>
      <c r="H3215" s="7">
        <v>81211.819999998</v>
      </c>
      <c r="I3215" s="7">
        <v>0</v>
      </c>
      <c r="J3215" s="8">
        <v>0</v>
      </c>
      <c r="K3215" s="9" t="str">
        <v/>
      </c>
    </row>
    <row r="3216" spans="1:11">
      <c r="A3216" t="str">
        <v/>
      </c>
      <c r="B3216" s="6">
        <v>0</v>
      </c>
      <c r="C3216" s="7" t="str">
        <v>趣点购浦发</v>
      </c>
      <c r="D3216" s="8">
        <v>0</v>
      </c>
      <c r="E3216" s="7">
        <v>0</v>
      </c>
      <c r="F3216" s="8">
        <v>0</v>
      </c>
      <c r="G3216" s="7">
        <v>0</v>
      </c>
      <c r="H3216" s="7">
        <v>81211.819999998</v>
      </c>
      <c r="I3216" s="7">
        <v>0</v>
      </c>
      <c r="J3216" s="8">
        <v>0</v>
      </c>
      <c r="K3216" s="9" t="str">
        <v/>
      </c>
    </row>
    <row r="3217" spans="1:11">
      <c r="A3217" t="str">
        <v/>
      </c>
      <c r="B3217" s="6">
        <v>0</v>
      </c>
      <c r="C3217" s="7" t="str">
        <v>趣点购浦发</v>
      </c>
      <c r="D3217" s="8">
        <v>0</v>
      </c>
      <c r="E3217" s="7">
        <v>0</v>
      </c>
      <c r="F3217" s="8">
        <v>0</v>
      </c>
      <c r="G3217" s="7">
        <v>0</v>
      </c>
      <c r="H3217" s="7">
        <v>81211.819999998</v>
      </c>
      <c r="I3217" s="7">
        <v>0</v>
      </c>
      <c r="J3217" s="8">
        <v>0</v>
      </c>
      <c r="K3217" s="9" t="str">
        <v/>
      </c>
    </row>
    <row r="3218" spans="1:11">
      <c r="A3218" t="str">
        <v/>
      </c>
      <c r="B3218" s="6">
        <v>0</v>
      </c>
      <c r="C3218" s="7" t="str">
        <v>趣点购浦发</v>
      </c>
      <c r="D3218" s="8">
        <v>0</v>
      </c>
      <c r="E3218" s="7">
        <v>0</v>
      </c>
      <c r="F3218" s="8">
        <v>0</v>
      </c>
      <c r="G3218" s="7">
        <v>0</v>
      </c>
      <c r="H3218" s="7">
        <v>81211.819999998</v>
      </c>
      <c r="I3218" s="7">
        <v>0</v>
      </c>
      <c r="J3218" s="8">
        <v>0</v>
      </c>
      <c r="K3218" s="9" t="str">
        <v/>
      </c>
    </row>
    <row r="3219" spans="1:11">
      <c r="A3219" t="str">
        <v/>
      </c>
      <c r="B3219" s="6">
        <v>0</v>
      </c>
      <c r="C3219" s="7" t="str">
        <v>趣点购浦发</v>
      </c>
      <c r="D3219" s="8">
        <v>0</v>
      </c>
      <c r="E3219" s="7">
        <v>0</v>
      </c>
      <c r="F3219" s="8">
        <v>0</v>
      </c>
      <c r="G3219" s="7">
        <v>0</v>
      </c>
      <c r="H3219" s="7">
        <v>81211.819999998</v>
      </c>
      <c r="I3219" s="7">
        <v>0</v>
      </c>
      <c r="J3219" s="8">
        <v>0</v>
      </c>
      <c r="K3219" s="9" t="str">
        <v/>
      </c>
    </row>
    <row r="3220" spans="1:11">
      <c r="A3220" t="str">
        <v/>
      </c>
      <c r="B3220" s="6">
        <v>0</v>
      </c>
      <c r="C3220" s="7" t="str">
        <v>趣点购浦发</v>
      </c>
      <c r="D3220" s="8">
        <v>0</v>
      </c>
      <c r="E3220" s="7">
        <v>0</v>
      </c>
      <c r="F3220" s="8">
        <v>0</v>
      </c>
      <c r="G3220" s="7">
        <v>0</v>
      </c>
      <c r="H3220" s="7">
        <v>81211.819999998</v>
      </c>
      <c r="I3220" s="7">
        <v>0</v>
      </c>
      <c r="J3220" s="8">
        <v>0</v>
      </c>
      <c r="K3220" s="9" t="str">
        <v/>
      </c>
    </row>
    <row r="3221" spans="1:11">
      <c r="A3221" t="str">
        <v/>
      </c>
      <c r="B3221" s="6">
        <v>0</v>
      </c>
      <c r="C3221" s="7" t="str">
        <v>趣点购浦发</v>
      </c>
      <c r="D3221" s="8">
        <v>0</v>
      </c>
      <c r="E3221" s="7">
        <v>0</v>
      </c>
      <c r="F3221" s="8">
        <v>0</v>
      </c>
      <c r="G3221" s="7">
        <v>0</v>
      </c>
      <c r="H3221" s="7">
        <v>81211.819999998</v>
      </c>
      <c r="I3221" s="7">
        <v>0</v>
      </c>
      <c r="J3221" s="8">
        <v>0</v>
      </c>
      <c r="K3221" s="9" t="str">
        <v/>
      </c>
    </row>
    <row r="3222" spans="1:11">
      <c r="A3222" t="str">
        <v/>
      </c>
      <c r="B3222" s="6">
        <v>0</v>
      </c>
      <c r="C3222" s="7" t="str">
        <v>趣点购浦发</v>
      </c>
      <c r="D3222" s="8">
        <v>0</v>
      </c>
      <c r="E3222" s="7">
        <v>0</v>
      </c>
      <c r="F3222" s="8">
        <v>0</v>
      </c>
      <c r="G3222" s="7">
        <v>0</v>
      </c>
      <c r="H3222" s="7">
        <v>81211.819999998</v>
      </c>
      <c r="I3222" s="7">
        <v>0</v>
      </c>
      <c r="J3222" s="8">
        <v>0</v>
      </c>
      <c r="K3222" s="9" t="str">
        <v/>
      </c>
    </row>
    <row r="3223" spans="1:11">
      <c r="A3223" t="str">
        <v/>
      </c>
      <c r="B3223" s="6">
        <v>0</v>
      </c>
      <c r="C3223" s="7" t="str">
        <v>趣点购浦发</v>
      </c>
      <c r="D3223" s="8">
        <v>0</v>
      </c>
      <c r="E3223" s="7">
        <v>0</v>
      </c>
      <c r="F3223" s="8">
        <v>0</v>
      </c>
      <c r="G3223" s="7">
        <v>0</v>
      </c>
      <c r="H3223" s="7">
        <v>81211.819999998</v>
      </c>
      <c r="I3223" s="7">
        <v>0</v>
      </c>
      <c r="J3223" s="8">
        <v>0</v>
      </c>
      <c r="K3223" s="9" t="str">
        <v/>
      </c>
    </row>
    <row r="3224" spans="1:11">
      <c r="A3224" t="str">
        <v/>
      </c>
      <c r="B3224" s="6">
        <v>0</v>
      </c>
      <c r="C3224" s="7" t="str">
        <v>趣点购浦发</v>
      </c>
      <c r="D3224" s="8">
        <v>0</v>
      </c>
      <c r="E3224" s="7">
        <v>0</v>
      </c>
      <c r="F3224" s="8">
        <v>0</v>
      </c>
      <c r="G3224" s="7">
        <v>0</v>
      </c>
      <c r="H3224" s="7">
        <v>81211.819999998</v>
      </c>
      <c r="I3224" s="7">
        <v>0</v>
      </c>
      <c r="J3224" s="8">
        <v>0</v>
      </c>
      <c r="K3224" s="9" t="str">
        <v/>
      </c>
    </row>
    <row r="3225" spans="1:11">
      <c r="A3225" t="str">
        <v/>
      </c>
      <c r="B3225" s="6">
        <v>0</v>
      </c>
      <c r="C3225" s="7" t="str">
        <v>趣点购浦发</v>
      </c>
      <c r="D3225" s="8">
        <v>0</v>
      </c>
      <c r="E3225" s="7">
        <v>0</v>
      </c>
      <c r="F3225" s="8">
        <v>0</v>
      </c>
      <c r="G3225" s="7">
        <v>0</v>
      </c>
      <c r="H3225" s="7">
        <v>81211.819999998</v>
      </c>
      <c r="I3225" s="7">
        <v>0</v>
      </c>
      <c r="J3225" s="8">
        <v>0</v>
      </c>
      <c r="K3225" s="9" t="str">
        <v/>
      </c>
    </row>
    <row r="3226" spans="1:11">
      <c r="A3226" t="str">
        <v/>
      </c>
      <c r="B3226" s="6">
        <v>0</v>
      </c>
      <c r="C3226" s="7" t="str">
        <v>趣点购浦发</v>
      </c>
      <c r="D3226" s="8">
        <v>0</v>
      </c>
      <c r="E3226" s="7">
        <v>0</v>
      </c>
      <c r="F3226" s="8">
        <v>0</v>
      </c>
      <c r="G3226" s="7">
        <v>0</v>
      </c>
      <c r="H3226" s="7">
        <v>81211.819999998</v>
      </c>
      <c r="I3226" s="7">
        <v>0</v>
      </c>
      <c r="J3226" s="8">
        <v>0</v>
      </c>
      <c r="K3226" s="9" t="str">
        <v/>
      </c>
    </row>
    <row r="3227" spans="1:11">
      <c r="A3227" t="str">
        <v/>
      </c>
      <c r="B3227" s="6">
        <v>0</v>
      </c>
      <c r="C3227" s="7" t="str">
        <v>趣点购浦发</v>
      </c>
      <c r="D3227" s="8">
        <v>0</v>
      </c>
      <c r="E3227" s="7">
        <v>0</v>
      </c>
      <c r="F3227" s="8">
        <v>0</v>
      </c>
      <c r="G3227" s="7">
        <v>0</v>
      </c>
      <c r="H3227" s="7">
        <v>81211.819999998</v>
      </c>
      <c r="I3227" s="7">
        <v>0</v>
      </c>
      <c r="J3227" s="8">
        <v>0</v>
      </c>
      <c r="K3227" s="9" t="str">
        <v/>
      </c>
    </row>
    <row r="3228" spans="1:11">
      <c r="A3228" t="str">
        <v/>
      </c>
      <c r="B3228" s="6">
        <v>0</v>
      </c>
      <c r="C3228" s="7" t="str">
        <v>趣点购浦发</v>
      </c>
      <c r="D3228" s="8">
        <v>0</v>
      </c>
      <c r="E3228" s="7">
        <v>0</v>
      </c>
      <c r="F3228" s="8">
        <v>0</v>
      </c>
      <c r="G3228" s="7">
        <v>0</v>
      </c>
      <c r="H3228" s="7">
        <v>81211.819999998</v>
      </c>
      <c r="I3228" s="7">
        <v>0</v>
      </c>
      <c r="J3228" s="8">
        <v>0</v>
      </c>
      <c r="K3228" s="9" t="str">
        <v/>
      </c>
    </row>
    <row r="3229" spans="1:11">
      <c r="A3229" t="str">
        <v/>
      </c>
      <c r="B3229" s="6">
        <v>0</v>
      </c>
      <c r="C3229" s="7" t="str">
        <v>趣点购浦发</v>
      </c>
      <c r="D3229" s="8">
        <v>0</v>
      </c>
      <c r="E3229" s="7">
        <v>0</v>
      </c>
      <c r="F3229" s="8">
        <v>0</v>
      </c>
      <c r="G3229" s="7">
        <v>0</v>
      </c>
      <c r="H3229" s="7">
        <v>81211.819999998</v>
      </c>
      <c r="I3229" s="7">
        <v>0</v>
      </c>
      <c r="J3229" s="8">
        <v>0</v>
      </c>
      <c r="K3229" s="9" t="str">
        <v/>
      </c>
    </row>
    <row r="3230" spans="1:11">
      <c r="A3230" t="str">
        <v/>
      </c>
      <c r="B3230" s="6">
        <v>0</v>
      </c>
      <c r="C3230" s="7" t="str">
        <v>趣点购浦发</v>
      </c>
      <c r="D3230" s="8">
        <v>0</v>
      </c>
      <c r="E3230" s="7">
        <v>0</v>
      </c>
      <c r="F3230" s="8">
        <v>0</v>
      </c>
      <c r="G3230" s="7">
        <v>0</v>
      </c>
      <c r="H3230" s="7">
        <v>81211.819999998</v>
      </c>
      <c r="I3230" s="7">
        <v>0</v>
      </c>
      <c r="J3230" s="8">
        <v>0</v>
      </c>
      <c r="K3230" s="9" t="str">
        <v/>
      </c>
    </row>
    <row r="3231" spans="1:11">
      <c r="A3231" t="str">
        <v/>
      </c>
      <c r="B3231" s="6">
        <v>0</v>
      </c>
      <c r="C3231" s="7" t="str">
        <v>趣点购浦发</v>
      </c>
      <c r="D3231" s="8">
        <v>0</v>
      </c>
      <c r="E3231" s="7">
        <v>0</v>
      </c>
      <c r="F3231" s="8">
        <v>0</v>
      </c>
      <c r="G3231" s="7">
        <v>0</v>
      </c>
      <c r="H3231" s="7">
        <v>81211.819999998</v>
      </c>
      <c r="I3231" s="7">
        <v>0</v>
      </c>
      <c r="J3231" s="8">
        <v>0</v>
      </c>
      <c r="K3231" s="9" t="str">
        <v/>
      </c>
    </row>
    <row r="3232" spans="1:11">
      <c r="A3232" t="str">
        <v/>
      </c>
      <c r="B3232" s="6">
        <v>0</v>
      </c>
      <c r="C3232" s="7" t="str">
        <v>趣点购浦发</v>
      </c>
      <c r="D3232" s="8">
        <v>0</v>
      </c>
      <c r="E3232" s="7">
        <v>0</v>
      </c>
      <c r="F3232" s="8">
        <v>0</v>
      </c>
      <c r="G3232" s="7">
        <v>0</v>
      </c>
      <c r="H3232" s="7">
        <v>81211.819999998</v>
      </c>
      <c r="I3232" s="7">
        <v>0</v>
      </c>
      <c r="J3232" s="8">
        <v>0</v>
      </c>
      <c r="K3232" s="9" t="str">
        <v/>
      </c>
    </row>
    <row r="3233" spans="1:11">
      <c r="A3233" t="str">
        <v/>
      </c>
      <c r="B3233" s="6">
        <v>0</v>
      </c>
      <c r="C3233" s="7" t="str">
        <v>趣点购浦发</v>
      </c>
      <c r="D3233" s="8">
        <v>0</v>
      </c>
      <c r="E3233" s="7">
        <v>0</v>
      </c>
      <c r="F3233" s="8">
        <v>0</v>
      </c>
      <c r="G3233" s="7">
        <v>0</v>
      </c>
      <c r="H3233" s="7">
        <v>81211.819999998</v>
      </c>
      <c r="I3233" s="7">
        <v>0</v>
      </c>
      <c r="J3233" s="8">
        <v>0</v>
      </c>
      <c r="K3233" s="9" t="str">
        <v/>
      </c>
    </row>
    <row r="3234" spans="1:11">
      <c r="A3234" t="str">
        <v/>
      </c>
      <c r="B3234" s="6">
        <v>0</v>
      </c>
      <c r="C3234" s="7" t="str">
        <v>趣点购浦发</v>
      </c>
      <c r="D3234" s="8">
        <v>0</v>
      </c>
      <c r="E3234" s="7">
        <v>0</v>
      </c>
      <c r="F3234" s="8">
        <v>0</v>
      </c>
      <c r="G3234" s="7">
        <v>0</v>
      </c>
      <c r="H3234" s="7">
        <v>81211.819999998</v>
      </c>
      <c r="I3234" s="7">
        <v>0</v>
      </c>
      <c r="J3234" s="8">
        <v>0</v>
      </c>
      <c r="K3234" s="9" t="str">
        <v/>
      </c>
    </row>
    <row r="3235" spans="1:11">
      <c r="A3235" t="str">
        <v/>
      </c>
      <c r="B3235" s="6">
        <v>0</v>
      </c>
      <c r="C3235" s="7" t="str">
        <v>趣点购浦发</v>
      </c>
      <c r="D3235" s="8">
        <v>0</v>
      </c>
      <c r="E3235" s="7">
        <v>0</v>
      </c>
      <c r="F3235" s="8">
        <v>0</v>
      </c>
      <c r="G3235" s="7">
        <v>0</v>
      </c>
      <c r="H3235" s="7">
        <v>81211.819999998</v>
      </c>
      <c r="I3235" s="7">
        <v>0</v>
      </c>
      <c r="J3235" s="8">
        <v>0</v>
      </c>
      <c r="K3235" s="9" t="str">
        <v/>
      </c>
    </row>
    <row r="3236" spans="1:11">
      <c r="A3236" t="str">
        <v/>
      </c>
      <c r="B3236" s="6">
        <v>0</v>
      </c>
      <c r="C3236" s="7" t="str">
        <v>趣点购浦发</v>
      </c>
      <c r="D3236" s="8">
        <v>0</v>
      </c>
      <c r="E3236" s="7">
        <v>0</v>
      </c>
      <c r="F3236" s="8">
        <v>0</v>
      </c>
      <c r="G3236" s="7">
        <v>0</v>
      </c>
      <c r="H3236" s="7">
        <v>81211.819999998</v>
      </c>
      <c r="I3236" s="7">
        <v>0</v>
      </c>
      <c r="J3236" s="8">
        <v>0</v>
      </c>
      <c r="K3236" s="9" t="str">
        <v/>
      </c>
    </row>
    <row r="3237" spans="1:11">
      <c r="A3237" t="str">
        <v/>
      </c>
      <c r="B3237" s="6">
        <v>0</v>
      </c>
      <c r="C3237" s="7" t="str">
        <v>趣点购浦发</v>
      </c>
      <c r="D3237" s="8">
        <v>0</v>
      </c>
      <c r="E3237" s="7">
        <v>0</v>
      </c>
      <c r="F3237" s="8">
        <v>0</v>
      </c>
      <c r="G3237" s="7">
        <v>0</v>
      </c>
      <c r="H3237" s="7">
        <v>81211.819999998</v>
      </c>
      <c r="I3237" s="7">
        <v>0</v>
      </c>
      <c r="J3237" s="8">
        <v>0</v>
      </c>
      <c r="K3237" s="9" t="str">
        <v/>
      </c>
    </row>
    <row r="3238" spans="1:11">
      <c r="A3238" t="str">
        <v/>
      </c>
      <c r="B3238" s="6">
        <v>0</v>
      </c>
      <c r="C3238" s="7" t="str">
        <v>趣点购浦发</v>
      </c>
      <c r="D3238" s="8">
        <v>0</v>
      </c>
      <c r="E3238" s="7">
        <v>0</v>
      </c>
      <c r="F3238" s="8">
        <v>0</v>
      </c>
      <c r="G3238" s="7">
        <v>0</v>
      </c>
      <c r="H3238" s="7">
        <v>81211.819999998</v>
      </c>
      <c r="I3238" s="7">
        <v>0</v>
      </c>
      <c r="J3238" s="8">
        <v>0</v>
      </c>
      <c r="K3238" s="9" t="str">
        <v/>
      </c>
    </row>
    <row r="3239" spans="1:11">
      <c r="A3239" t="str">
        <v/>
      </c>
      <c r="B3239" s="6">
        <v>0</v>
      </c>
      <c r="C3239" s="7" t="str">
        <v>趣点购浦发</v>
      </c>
      <c r="D3239" s="8">
        <v>0</v>
      </c>
      <c r="E3239" s="7">
        <v>0</v>
      </c>
      <c r="F3239" s="8">
        <v>0</v>
      </c>
      <c r="G3239" s="7">
        <v>0</v>
      </c>
      <c r="H3239" s="7">
        <v>81211.819999998</v>
      </c>
      <c r="I3239" s="7">
        <v>0</v>
      </c>
      <c r="J3239" s="8">
        <v>0</v>
      </c>
      <c r="K3239" s="9" t="str">
        <v/>
      </c>
    </row>
    <row r="3240" spans="1:11">
      <c r="A3240" t="str">
        <v/>
      </c>
      <c r="B3240" s="6">
        <v>0</v>
      </c>
      <c r="C3240" s="7" t="str">
        <v>趣点购浦发</v>
      </c>
      <c r="D3240" s="8">
        <v>0</v>
      </c>
      <c r="E3240" s="7">
        <v>0</v>
      </c>
      <c r="F3240" s="8">
        <v>0</v>
      </c>
      <c r="G3240" s="7">
        <v>0</v>
      </c>
      <c r="H3240" s="7">
        <v>81211.819999998</v>
      </c>
      <c r="I3240" s="7">
        <v>0</v>
      </c>
      <c r="J3240" s="8">
        <v>0</v>
      </c>
      <c r="K3240" s="9" t="str">
        <v/>
      </c>
    </row>
    <row r="3241" spans="1:11">
      <c r="A3241" t="str">
        <v/>
      </c>
      <c r="B3241" s="6">
        <v>0</v>
      </c>
      <c r="C3241" s="7" t="str">
        <v>趣点购浦发</v>
      </c>
      <c r="D3241" s="8">
        <v>0</v>
      </c>
      <c r="E3241" s="7">
        <v>0</v>
      </c>
      <c r="F3241" s="8">
        <v>0</v>
      </c>
      <c r="G3241" s="7">
        <v>0</v>
      </c>
      <c r="H3241" s="7">
        <v>81211.819999998</v>
      </c>
      <c r="I3241" s="7">
        <v>0</v>
      </c>
      <c r="J3241" s="8">
        <v>0</v>
      </c>
      <c r="K3241" s="9" t="str">
        <v/>
      </c>
    </row>
    <row r="3242" spans="1:11">
      <c r="A3242" t="str">
        <v/>
      </c>
      <c r="B3242" s="6">
        <v>0</v>
      </c>
      <c r="C3242" s="7" t="str">
        <v>趣点购浦发</v>
      </c>
      <c r="D3242" s="8">
        <v>0</v>
      </c>
      <c r="E3242" s="7">
        <v>0</v>
      </c>
      <c r="F3242" s="8">
        <v>0</v>
      </c>
      <c r="G3242" s="7">
        <v>0</v>
      </c>
      <c r="H3242" s="7">
        <v>81211.819999998</v>
      </c>
      <c r="I3242" s="7">
        <v>0</v>
      </c>
      <c r="J3242" s="8">
        <v>0</v>
      </c>
      <c r="K3242" s="9" t="str">
        <v/>
      </c>
    </row>
    <row r="3243" spans="1:11">
      <c r="A3243" t="str">
        <v/>
      </c>
      <c r="B3243" s="6">
        <v>0</v>
      </c>
      <c r="C3243" s="7" t="str">
        <v>趣点购浦发</v>
      </c>
      <c r="D3243" s="8">
        <v>0</v>
      </c>
      <c r="E3243" s="7">
        <v>0</v>
      </c>
      <c r="F3243" s="8">
        <v>0</v>
      </c>
      <c r="G3243" s="7">
        <v>0</v>
      </c>
      <c r="H3243" s="7">
        <v>81211.819999998</v>
      </c>
      <c r="I3243" s="7">
        <v>0</v>
      </c>
      <c r="J3243" s="8">
        <v>0</v>
      </c>
      <c r="K3243" s="9" t="str">
        <v/>
      </c>
    </row>
    <row r="3244" spans="1:11">
      <c r="A3244" t="str">
        <v/>
      </c>
      <c r="B3244" s="6">
        <v>0</v>
      </c>
      <c r="C3244" s="7" t="str">
        <v>趣点购浦发</v>
      </c>
      <c r="D3244" s="8">
        <v>0</v>
      </c>
      <c r="E3244" s="7">
        <v>0</v>
      </c>
      <c r="F3244" s="8">
        <v>0</v>
      </c>
      <c r="G3244" s="7">
        <v>0</v>
      </c>
      <c r="H3244" s="7">
        <v>81211.819999998</v>
      </c>
      <c r="I3244" s="7">
        <v>0</v>
      </c>
      <c r="J3244" s="8">
        <v>0</v>
      </c>
      <c r="K3244" s="9" t="str">
        <v/>
      </c>
    </row>
    <row r="3245" spans="1:11">
      <c r="A3245" t="str">
        <v/>
      </c>
      <c r="B3245" s="6">
        <v>0</v>
      </c>
      <c r="C3245" s="7" t="str">
        <v>趣点购浦发</v>
      </c>
      <c r="D3245" s="8">
        <v>0</v>
      </c>
      <c r="E3245" s="7">
        <v>0</v>
      </c>
      <c r="F3245" s="8">
        <v>0</v>
      </c>
      <c r="G3245" s="7">
        <v>0</v>
      </c>
      <c r="H3245" s="7">
        <v>81211.819999998</v>
      </c>
      <c r="I3245" s="7">
        <v>0</v>
      </c>
      <c r="J3245" s="8">
        <v>0</v>
      </c>
      <c r="K3245" s="9" t="str">
        <v/>
      </c>
    </row>
    <row r="3246" spans="1:11">
      <c r="A3246" t="str">
        <v/>
      </c>
      <c r="B3246" s="6">
        <v>0</v>
      </c>
      <c r="C3246" s="7" t="str">
        <v>趣点购浦发</v>
      </c>
      <c r="D3246" s="8">
        <v>0</v>
      </c>
      <c r="E3246" s="7">
        <v>0</v>
      </c>
      <c r="F3246" s="8">
        <v>0</v>
      </c>
      <c r="G3246" s="7">
        <v>0</v>
      </c>
      <c r="H3246" s="7">
        <v>81211.819999998</v>
      </c>
      <c r="I3246" s="7">
        <v>0</v>
      </c>
      <c r="J3246" s="8">
        <v>0</v>
      </c>
      <c r="K3246" s="9" t="str">
        <v/>
      </c>
    </row>
    <row r="3247" spans="1:11">
      <c r="A3247" t="str">
        <v/>
      </c>
      <c r="B3247" s="6">
        <v>0</v>
      </c>
      <c r="C3247" s="7" t="str">
        <v>趣点购浦发</v>
      </c>
      <c r="D3247" s="8">
        <v>0</v>
      </c>
      <c r="E3247" s="7">
        <v>0</v>
      </c>
      <c r="F3247" s="8">
        <v>0</v>
      </c>
      <c r="G3247" s="7">
        <v>0</v>
      </c>
      <c r="H3247" s="7">
        <v>81211.819999998</v>
      </c>
      <c r="I3247" s="7">
        <v>0</v>
      </c>
      <c r="J3247" s="8">
        <v>0</v>
      </c>
      <c r="K3247" s="9" t="str">
        <v/>
      </c>
    </row>
    <row r="3248" spans="1:11">
      <c r="A3248" t="str">
        <v/>
      </c>
      <c r="B3248" s="6">
        <v>0</v>
      </c>
      <c r="C3248" s="7" t="str">
        <v>趣点购浦发</v>
      </c>
      <c r="D3248" s="8">
        <v>0</v>
      </c>
      <c r="E3248" s="7">
        <v>0</v>
      </c>
      <c r="F3248" s="8">
        <v>0</v>
      </c>
      <c r="G3248" s="7">
        <v>0</v>
      </c>
      <c r="H3248" s="7">
        <v>81211.819999998</v>
      </c>
      <c r="I3248" s="7">
        <v>0</v>
      </c>
      <c r="J3248" s="8">
        <v>0</v>
      </c>
      <c r="K3248" s="9" t="str">
        <v/>
      </c>
    </row>
    <row r="3249" spans="1:11">
      <c r="A3249" t="str">
        <v/>
      </c>
      <c r="B3249" s="6">
        <v>0</v>
      </c>
      <c r="C3249" s="7" t="str">
        <v>趣点购浦发</v>
      </c>
      <c r="D3249" s="8">
        <v>0</v>
      </c>
      <c r="E3249" s="7">
        <v>0</v>
      </c>
      <c r="F3249" s="8">
        <v>0</v>
      </c>
      <c r="G3249" s="7">
        <v>0</v>
      </c>
      <c r="H3249" s="7">
        <v>81211.819999998</v>
      </c>
      <c r="I3249" s="7">
        <v>0</v>
      </c>
      <c r="J3249" s="8">
        <v>0</v>
      </c>
      <c r="K3249" s="9" t="str">
        <v/>
      </c>
    </row>
    <row r="3250" spans="1:11">
      <c r="A3250" t="str">
        <v/>
      </c>
      <c r="B3250" s="6">
        <v>0</v>
      </c>
      <c r="C3250" s="7" t="str">
        <v>趣点购浦发</v>
      </c>
      <c r="D3250" s="8">
        <v>0</v>
      </c>
      <c r="E3250" s="7">
        <v>0</v>
      </c>
      <c r="F3250" s="8">
        <v>0</v>
      </c>
      <c r="G3250" s="7">
        <v>0</v>
      </c>
      <c r="H3250" s="7">
        <v>81211.819999998</v>
      </c>
      <c r="I3250" s="7">
        <v>0</v>
      </c>
      <c r="J3250" s="8">
        <v>0</v>
      </c>
      <c r="K3250" s="9" t="str">
        <v/>
      </c>
    </row>
    <row r="3251" spans="1:11">
      <c r="A3251" t="str">
        <v/>
      </c>
      <c r="B3251" s="6">
        <v>0</v>
      </c>
      <c r="C3251" s="7" t="str">
        <v>趣点购浦发</v>
      </c>
      <c r="D3251" s="8">
        <v>0</v>
      </c>
      <c r="E3251" s="7">
        <v>0</v>
      </c>
      <c r="F3251" s="8">
        <v>0</v>
      </c>
      <c r="G3251" s="7">
        <v>0</v>
      </c>
      <c r="H3251" s="7">
        <v>81211.819999998</v>
      </c>
      <c r="I3251" s="7">
        <v>0</v>
      </c>
      <c r="J3251" s="8">
        <v>0</v>
      </c>
      <c r="K3251" s="9" t="str">
        <v/>
      </c>
    </row>
    <row r="3252" spans="1:11">
      <c r="A3252" t="str">
        <v/>
      </c>
      <c r="B3252" s="6">
        <v>0</v>
      </c>
      <c r="C3252" s="7" t="str">
        <v>趣点购浦发</v>
      </c>
      <c r="D3252" s="8">
        <v>0</v>
      </c>
      <c r="E3252" s="7">
        <v>0</v>
      </c>
      <c r="F3252" s="8">
        <v>0</v>
      </c>
      <c r="G3252" s="7">
        <v>0</v>
      </c>
      <c r="H3252" s="7">
        <v>81211.819999998</v>
      </c>
      <c r="I3252" s="7">
        <v>0</v>
      </c>
      <c r="J3252" s="8">
        <v>0</v>
      </c>
      <c r="K3252" s="9" t="str">
        <v/>
      </c>
    </row>
    <row r="3253" spans="1:11">
      <c r="A3253" t="str">
        <v/>
      </c>
      <c r="B3253" s="6">
        <v>0</v>
      </c>
      <c r="C3253" s="7" t="str">
        <v>趣点购浦发</v>
      </c>
      <c r="D3253" s="8">
        <v>0</v>
      </c>
      <c r="E3253" s="7">
        <v>0</v>
      </c>
      <c r="F3253" s="8">
        <v>0</v>
      </c>
      <c r="G3253" s="7">
        <v>0</v>
      </c>
      <c r="H3253" s="7">
        <v>81211.819999998</v>
      </c>
      <c r="I3253" s="7">
        <v>0</v>
      </c>
      <c r="J3253" s="8">
        <v>0</v>
      </c>
      <c r="K3253" s="9" t="str">
        <v/>
      </c>
    </row>
    <row r="3254" spans="1:11">
      <c r="A3254" t="str">
        <v/>
      </c>
      <c r="B3254" s="6">
        <v>0</v>
      </c>
      <c r="C3254" s="7" t="str">
        <v>趣点购浦发</v>
      </c>
      <c r="D3254" s="8">
        <v>0</v>
      </c>
      <c r="E3254" s="7">
        <v>0</v>
      </c>
      <c r="F3254" s="8">
        <v>0</v>
      </c>
      <c r="G3254" s="7">
        <v>0</v>
      </c>
      <c r="H3254" s="7">
        <v>81211.819999998</v>
      </c>
      <c r="I3254" s="7">
        <v>0</v>
      </c>
      <c r="J3254" s="8">
        <v>0</v>
      </c>
      <c r="K3254" s="9" t="str">
        <v/>
      </c>
    </row>
    <row r="3255" spans="1:11">
      <c r="A3255" t="str">
        <v/>
      </c>
      <c r="B3255" s="6">
        <v>0</v>
      </c>
      <c r="C3255" s="7" t="str">
        <v>趣点购浦发</v>
      </c>
      <c r="D3255" s="8">
        <v>0</v>
      </c>
      <c r="E3255" s="7">
        <v>0</v>
      </c>
      <c r="F3255" s="8">
        <v>0</v>
      </c>
      <c r="G3255" s="7">
        <v>0</v>
      </c>
      <c r="H3255" s="7">
        <v>81211.819999998</v>
      </c>
      <c r="I3255" s="7">
        <v>0</v>
      </c>
      <c r="J3255" s="8">
        <v>0</v>
      </c>
      <c r="K3255" s="9" t="str">
        <v/>
      </c>
    </row>
    <row r="3256" spans="1:11">
      <c r="A3256" t="str">
        <v/>
      </c>
      <c r="B3256" s="6">
        <v>0</v>
      </c>
      <c r="C3256" s="7" t="str">
        <v>趣点购浦发</v>
      </c>
      <c r="D3256" s="8">
        <v>0</v>
      </c>
      <c r="E3256" s="7">
        <v>0</v>
      </c>
      <c r="F3256" s="8">
        <v>0</v>
      </c>
      <c r="G3256" s="7">
        <v>0</v>
      </c>
      <c r="H3256" s="7">
        <v>81211.819999998</v>
      </c>
      <c r="I3256" s="7">
        <v>0</v>
      </c>
      <c r="J3256" s="8">
        <v>0</v>
      </c>
      <c r="K3256" s="9" t="str">
        <v/>
      </c>
    </row>
    <row r="3257" spans="1:11">
      <c r="A3257" t="str">
        <v/>
      </c>
      <c r="B3257" s="6">
        <v>0</v>
      </c>
      <c r="C3257" s="7" t="str">
        <v>趣点购浦发</v>
      </c>
      <c r="D3257" s="8">
        <v>0</v>
      </c>
      <c r="E3257" s="7">
        <v>0</v>
      </c>
      <c r="F3257" s="8">
        <v>0</v>
      </c>
      <c r="G3257" s="7">
        <v>0</v>
      </c>
      <c r="H3257" s="7">
        <v>81211.819999998</v>
      </c>
      <c r="I3257" s="7">
        <v>0</v>
      </c>
      <c r="J3257" s="8">
        <v>0</v>
      </c>
      <c r="K3257" s="9" t="str">
        <v/>
      </c>
    </row>
    <row r="3258" spans="1:11">
      <c r="A3258" t="str">
        <v/>
      </c>
      <c r="B3258" s="6">
        <v>0</v>
      </c>
      <c r="C3258" s="7" t="str">
        <v>趣点购浦发</v>
      </c>
      <c r="D3258" s="8">
        <v>0</v>
      </c>
      <c r="E3258" s="7">
        <v>0</v>
      </c>
      <c r="F3258" s="8">
        <v>0</v>
      </c>
      <c r="G3258" s="7">
        <v>0</v>
      </c>
      <c r="H3258" s="7">
        <v>81211.819999998</v>
      </c>
      <c r="I3258" s="7">
        <v>0</v>
      </c>
      <c r="J3258" s="8">
        <v>0</v>
      </c>
      <c r="K3258" s="9" t="str">
        <v/>
      </c>
    </row>
    <row r="3259" spans="1:11">
      <c r="A3259" t="str">
        <v/>
      </c>
      <c r="B3259" s="6">
        <v>0</v>
      </c>
      <c r="C3259" s="7" t="str">
        <v>趣点购浦发</v>
      </c>
      <c r="D3259" s="8">
        <v>0</v>
      </c>
      <c r="E3259" s="7">
        <v>0</v>
      </c>
      <c r="F3259" s="8">
        <v>0</v>
      </c>
      <c r="G3259" s="7">
        <v>0</v>
      </c>
      <c r="H3259" s="7">
        <v>81211.819999998</v>
      </c>
      <c r="I3259" s="7">
        <v>0</v>
      </c>
      <c r="J3259" s="8">
        <v>0</v>
      </c>
      <c r="K3259" s="9" t="str">
        <v/>
      </c>
    </row>
    <row r="3260" spans="1:11">
      <c r="A3260" t="str">
        <v/>
      </c>
      <c r="B3260" s="6">
        <v>0</v>
      </c>
      <c r="C3260" s="7" t="str">
        <v>趣点购浦发</v>
      </c>
      <c r="D3260" s="8">
        <v>0</v>
      </c>
      <c r="E3260" s="7">
        <v>0</v>
      </c>
      <c r="F3260" s="8">
        <v>0</v>
      </c>
      <c r="G3260" s="7">
        <v>0</v>
      </c>
      <c r="H3260" s="7">
        <v>81211.819999998</v>
      </c>
      <c r="I3260" s="7">
        <v>0</v>
      </c>
      <c r="J3260" s="8">
        <v>0</v>
      </c>
      <c r="K3260" s="9" t="str">
        <v/>
      </c>
    </row>
    <row r="3261" spans="1:11">
      <c r="A3261" t="str">
        <v/>
      </c>
      <c r="B3261" s="6">
        <v>0</v>
      </c>
      <c r="C3261" s="7" t="str">
        <v>趣点购浦发</v>
      </c>
      <c r="D3261" s="8">
        <v>0</v>
      </c>
      <c r="E3261" s="7">
        <v>0</v>
      </c>
      <c r="F3261" s="8">
        <v>0</v>
      </c>
      <c r="G3261" s="7">
        <v>0</v>
      </c>
      <c r="H3261" s="7">
        <v>81211.819999998</v>
      </c>
      <c r="I3261" s="7">
        <v>0</v>
      </c>
      <c r="J3261" s="8">
        <v>0</v>
      </c>
      <c r="K3261" s="9" t="str">
        <v/>
      </c>
    </row>
    <row r="3262" spans="1:11">
      <c r="A3262" t="str">
        <v/>
      </c>
      <c r="B3262" s="6">
        <v>0</v>
      </c>
      <c r="C3262" s="7" t="str">
        <v>趣点购浦发</v>
      </c>
      <c r="D3262" s="8">
        <v>0</v>
      </c>
      <c r="E3262" s="7">
        <v>0</v>
      </c>
      <c r="F3262" s="8">
        <v>0</v>
      </c>
      <c r="G3262" s="7">
        <v>0</v>
      </c>
      <c r="H3262" s="7">
        <v>81211.819999998</v>
      </c>
      <c r="I3262" s="7">
        <v>0</v>
      </c>
      <c r="J3262" s="8">
        <v>0</v>
      </c>
      <c r="K3262" s="9" t="str">
        <v/>
      </c>
    </row>
    <row r="3263" spans="1:11">
      <c r="A3263" t="str">
        <v/>
      </c>
      <c r="B3263" s="6">
        <v>0</v>
      </c>
      <c r="C3263" s="7" t="str">
        <v>趣点购浦发</v>
      </c>
      <c r="D3263" s="8">
        <v>0</v>
      </c>
      <c r="E3263" s="7">
        <v>0</v>
      </c>
      <c r="F3263" s="8">
        <v>0</v>
      </c>
      <c r="G3263" s="7">
        <v>0</v>
      </c>
      <c r="H3263" s="7">
        <v>81211.819999998</v>
      </c>
      <c r="I3263" s="7">
        <v>0</v>
      </c>
      <c r="J3263" s="8">
        <v>0</v>
      </c>
      <c r="K3263" s="9" t="str">
        <v/>
      </c>
    </row>
    <row r="3264" spans="1:11">
      <c r="A3264" t="str">
        <v/>
      </c>
      <c r="B3264" s="6">
        <v>0</v>
      </c>
      <c r="C3264" s="7" t="str">
        <v>趣点购浦发</v>
      </c>
      <c r="D3264" s="8">
        <v>0</v>
      </c>
      <c r="E3264" s="7">
        <v>0</v>
      </c>
      <c r="F3264" s="8">
        <v>0</v>
      </c>
      <c r="G3264" s="7">
        <v>0</v>
      </c>
      <c r="H3264" s="7">
        <v>81211.819999998</v>
      </c>
      <c r="I3264" s="7">
        <v>0</v>
      </c>
      <c r="J3264" s="8">
        <v>0</v>
      </c>
      <c r="K3264" s="9" t="str">
        <v/>
      </c>
    </row>
    <row r="3265" spans="1:11">
      <c r="A3265" t="str">
        <v/>
      </c>
      <c r="B3265" s="6">
        <v>0</v>
      </c>
      <c r="C3265" s="7" t="str">
        <v>趣点购浦发</v>
      </c>
      <c r="D3265" s="8">
        <v>0</v>
      </c>
      <c r="E3265" s="7">
        <v>0</v>
      </c>
      <c r="F3265" s="8">
        <v>0</v>
      </c>
      <c r="G3265" s="7">
        <v>0</v>
      </c>
      <c r="H3265" s="7">
        <v>81211.819999998</v>
      </c>
      <c r="I3265" s="7">
        <v>0</v>
      </c>
      <c r="J3265" s="8">
        <v>0</v>
      </c>
      <c r="K3265" s="9" t="str">
        <v/>
      </c>
    </row>
    <row r="3266" spans="1:11">
      <c r="A3266" t="str">
        <v/>
      </c>
      <c r="B3266" s="6">
        <v>0</v>
      </c>
      <c r="C3266" s="7" t="str">
        <v>趣点购浦发</v>
      </c>
      <c r="D3266" s="8">
        <v>0</v>
      </c>
      <c r="E3266" s="7">
        <v>0</v>
      </c>
      <c r="F3266" s="8">
        <v>0</v>
      </c>
      <c r="G3266" s="7">
        <v>0</v>
      </c>
      <c r="H3266" s="7">
        <v>81211.819999998</v>
      </c>
      <c r="I3266" s="7">
        <v>0</v>
      </c>
      <c r="J3266" s="8">
        <v>0</v>
      </c>
      <c r="K3266" s="9" t="str">
        <v/>
      </c>
    </row>
    <row r="3267" spans="1:11">
      <c r="A3267" t="str">
        <v/>
      </c>
      <c r="B3267" s="6">
        <v>0</v>
      </c>
      <c r="C3267" s="7" t="str">
        <v>趣点购浦发</v>
      </c>
      <c r="D3267" s="8">
        <v>0</v>
      </c>
      <c r="E3267" s="7">
        <v>0</v>
      </c>
      <c r="F3267" s="8">
        <v>0</v>
      </c>
      <c r="G3267" s="7">
        <v>0</v>
      </c>
      <c r="H3267" s="7">
        <v>81211.819999998</v>
      </c>
      <c r="I3267" s="7">
        <v>0</v>
      </c>
      <c r="J3267" s="8">
        <v>0</v>
      </c>
      <c r="K3267" s="9" t="str">
        <v/>
      </c>
    </row>
    <row r="3268" spans="1:11">
      <c r="A3268" t="str">
        <v/>
      </c>
      <c r="B3268" s="6">
        <v>0</v>
      </c>
      <c r="C3268" s="7" t="str">
        <v>趣点购浦发</v>
      </c>
      <c r="D3268" s="8">
        <v>0</v>
      </c>
      <c r="E3268" s="7">
        <v>0</v>
      </c>
      <c r="F3268" s="8">
        <v>0</v>
      </c>
      <c r="G3268" s="7">
        <v>0</v>
      </c>
      <c r="H3268" s="7">
        <v>81211.819999998</v>
      </c>
      <c r="I3268" s="7">
        <v>0</v>
      </c>
      <c r="J3268" s="8">
        <v>0</v>
      </c>
      <c r="K3268" s="9" t="str">
        <v/>
      </c>
    </row>
    <row r="3269" spans="1:11">
      <c r="A3269" t="str">
        <v/>
      </c>
      <c r="B3269" s="6">
        <v>0</v>
      </c>
      <c r="C3269" s="7" t="str">
        <v>趣点购浦发</v>
      </c>
      <c r="D3269" s="8">
        <v>0</v>
      </c>
      <c r="E3269" s="7">
        <v>0</v>
      </c>
      <c r="F3269" s="8">
        <v>0</v>
      </c>
      <c r="G3269" s="7">
        <v>0</v>
      </c>
      <c r="H3269" s="7">
        <v>81211.819999998</v>
      </c>
      <c r="I3269" s="7">
        <v>0</v>
      </c>
      <c r="J3269" s="8">
        <v>0</v>
      </c>
      <c r="K3269" s="9" t="str">
        <v/>
      </c>
    </row>
    <row r="3270" spans="1:11">
      <c r="A3270" t="str">
        <v/>
      </c>
      <c r="B3270" s="6">
        <v>0</v>
      </c>
      <c r="C3270" s="7" t="str">
        <v>趣点购浦发</v>
      </c>
      <c r="D3270" s="8">
        <v>0</v>
      </c>
      <c r="E3270" s="7">
        <v>0</v>
      </c>
      <c r="F3270" s="8">
        <v>0</v>
      </c>
      <c r="G3270" s="7">
        <v>0</v>
      </c>
      <c r="H3270" s="7">
        <v>81211.819999998</v>
      </c>
      <c r="I3270" s="7">
        <v>0</v>
      </c>
      <c r="J3270" s="8">
        <v>0</v>
      </c>
      <c r="K3270" s="9" t="str">
        <v/>
      </c>
    </row>
    <row r="3271" spans="1:11">
      <c r="A3271" t="str">
        <v/>
      </c>
      <c r="B3271" s="6">
        <v>0</v>
      </c>
      <c r="C3271" s="7" t="str">
        <v>趣点购浦发</v>
      </c>
      <c r="D3271" s="8">
        <v>0</v>
      </c>
      <c r="E3271" s="7">
        <v>0</v>
      </c>
      <c r="F3271" s="8">
        <v>0</v>
      </c>
      <c r="G3271" s="7">
        <v>0</v>
      </c>
      <c r="H3271" s="7">
        <v>81211.819999998</v>
      </c>
      <c r="I3271" s="7">
        <v>0</v>
      </c>
      <c r="J3271" s="8">
        <v>0</v>
      </c>
      <c r="K3271" s="9" t="str">
        <v/>
      </c>
    </row>
    <row r="3272" spans="1:11">
      <c r="A3272" t="str">
        <v/>
      </c>
      <c r="B3272" s="6">
        <v>0</v>
      </c>
      <c r="C3272" s="7" t="str">
        <v>趣点购浦发</v>
      </c>
      <c r="D3272" s="8">
        <v>0</v>
      </c>
      <c r="E3272" s="7">
        <v>0</v>
      </c>
      <c r="F3272" s="8">
        <v>0</v>
      </c>
      <c r="G3272" s="7">
        <v>0</v>
      </c>
      <c r="H3272" s="7">
        <v>81211.819999998</v>
      </c>
      <c r="I3272" s="7">
        <v>0</v>
      </c>
      <c r="J3272" s="8">
        <v>0</v>
      </c>
      <c r="K3272" s="9" t="str">
        <v/>
      </c>
    </row>
    <row r="3273" spans="1:11">
      <c r="A3273" t="str">
        <v/>
      </c>
      <c r="B3273" s="6">
        <v>0</v>
      </c>
      <c r="C3273" s="7" t="str">
        <v>趣点购浦发</v>
      </c>
      <c r="D3273" s="8">
        <v>0</v>
      </c>
      <c r="E3273" s="7">
        <v>0</v>
      </c>
      <c r="F3273" s="8">
        <v>0</v>
      </c>
      <c r="G3273" s="7">
        <v>0</v>
      </c>
      <c r="H3273" s="7">
        <v>81211.819999998</v>
      </c>
      <c r="I3273" s="7">
        <v>0</v>
      </c>
      <c r="J3273" s="8">
        <v>0</v>
      </c>
      <c r="K3273" s="9" t="str">
        <v/>
      </c>
    </row>
    <row r="3274" spans="1:11">
      <c r="A3274" t="str">
        <v/>
      </c>
      <c r="B3274" s="6">
        <v>0</v>
      </c>
      <c r="C3274" s="7" t="str">
        <v>趣点购浦发</v>
      </c>
      <c r="D3274" s="8">
        <v>0</v>
      </c>
      <c r="E3274" s="7">
        <v>0</v>
      </c>
      <c r="F3274" s="8">
        <v>0</v>
      </c>
      <c r="G3274" s="7">
        <v>0</v>
      </c>
      <c r="H3274" s="7">
        <v>81211.819999998</v>
      </c>
      <c r="I3274" s="7">
        <v>0</v>
      </c>
      <c r="J3274" s="8">
        <v>0</v>
      </c>
      <c r="K3274" s="9" t="str">
        <v/>
      </c>
    </row>
    <row r="3275" spans="1:11">
      <c r="A3275" t="str">
        <v/>
      </c>
      <c r="B3275" s="6">
        <v>0</v>
      </c>
      <c r="C3275" s="7" t="str">
        <v>趣点购浦发</v>
      </c>
      <c r="D3275" s="8">
        <v>0</v>
      </c>
      <c r="E3275" s="7">
        <v>0</v>
      </c>
      <c r="F3275" s="8">
        <v>0</v>
      </c>
      <c r="G3275" s="7">
        <v>0</v>
      </c>
      <c r="H3275" s="7">
        <v>81211.819999998</v>
      </c>
      <c r="I3275" s="7">
        <v>0</v>
      </c>
      <c r="J3275" s="8">
        <v>0</v>
      </c>
      <c r="K3275" s="9" t="str">
        <v/>
      </c>
    </row>
    <row r="3276" spans="1:11">
      <c r="A3276" t="str">
        <v/>
      </c>
      <c r="B3276" s="6">
        <v>0</v>
      </c>
      <c r="C3276" s="7" t="str">
        <v>趣点购浦发</v>
      </c>
      <c r="D3276" s="8">
        <v>0</v>
      </c>
      <c r="E3276" s="7">
        <v>0</v>
      </c>
      <c r="F3276" s="8">
        <v>0</v>
      </c>
      <c r="G3276" s="7">
        <v>0</v>
      </c>
      <c r="H3276" s="7">
        <v>81211.819999998</v>
      </c>
      <c r="I3276" s="7">
        <v>0</v>
      </c>
      <c r="J3276" s="8">
        <v>0</v>
      </c>
      <c r="K3276" s="9" t="str">
        <v/>
      </c>
    </row>
    <row r="3277" spans="1:11">
      <c r="A3277" t="str">
        <v/>
      </c>
      <c r="B3277" s="6">
        <v>0</v>
      </c>
      <c r="C3277" s="7" t="str">
        <v>趣点购浦发</v>
      </c>
      <c r="D3277" s="8">
        <v>0</v>
      </c>
      <c r="E3277" s="7">
        <v>0</v>
      </c>
      <c r="F3277" s="8">
        <v>0</v>
      </c>
      <c r="G3277" s="7">
        <v>0</v>
      </c>
      <c r="H3277" s="7">
        <v>81211.819999998</v>
      </c>
      <c r="I3277" s="7">
        <v>0</v>
      </c>
      <c r="J3277" s="8">
        <v>0</v>
      </c>
      <c r="K3277" s="9" t="str">
        <v/>
      </c>
    </row>
    <row r="3278" spans="1:11">
      <c r="A3278" t="str">
        <v/>
      </c>
      <c r="B3278" s="6">
        <v>0</v>
      </c>
      <c r="C3278" s="7" t="str">
        <v>趣点购浦发</v>
      </c>
      <c r="D3278" s="8">
        <v>0</v>
      </c>
      <c r="E3278" s="7">
        <v>0</v>
      </c>
      <c r="F3278" s="8">
        <v>0</v>
      </c>
      <c r="G3278" s="7">
        <v>0</v>
      </c>
      <c r="H3278" s="7">
        <v>81211.819999998</v>
      </c>
      <c r="I3278" s="7">
        <v>0</v>
      </c>
      <c r="J3278" s="8">
        <v>0</v>
      </c>
      <c r="K3278" s="9" t="str">
        <v/>
      </c>
    </row>
    <row r="3279" spans="1:11">
      <c r="A3279" t="str">
        <v/>
      </c>
      <c r="B3279" s="6">
        <v>0</v>
      </c>
      <c r="C3279" s="7" t="str">
        <v>趣点购浦发</v>
      </c>
      <c r="D3279" s="8">
        <v>0</v>
      </c>
      <c r="E3279" s="7">
        <v>0</v>
      </c>
      <c r="F3279" s="8">
        <v>0</v>
      </c>
      <c r="G3279" s="7">
        <v>0</v>
      </c>
      <c r="H3279" s="7">
        <v>81211.819999998</v>
      </c>
      <c r="I3279" s="7">
        <v>0</v>
      </c>
      <c r="J3279" s="8">
        <v>0</v>
      </c>
      <c r="K3279" s="9" t="str">
        <v/>
      </c>
    </row>
    <row r="3280" spans="1:11">
      <c r="A3280" t="str">
        <v/>
      </c>
      <c r="B3280" s="6">
        <v>0</v>
      </c>
      <c r="C3280" s="7" t="str">
        <v>趣点购浦发</v>
      </c>
      <c r="D3280" s="8">
        <v>0</v>
      </c>
      <c r="E3280" s="7">
        <v>0</v>
      </c>
      <c r="F3280" s="8">
        <v>0</v>
      </c>
      <c r="G3280" s="7">
        <v>0</v>
      </c>
      <c r="H3280" s="7">
        <v>81211.819999998</v>
      </c>
      <c r="I3280" s="7">
        <v>0</v>
      </c>
      <c r="J3280" s="8">
        <v>0</v>
      </c>
      <c r="K3280" s="9" t="str">
        <v/>
      </c>
    </row>
    <row r="3281" spans="1:11">
      <c r="A3281" t="str">
        <v/>
      </c>
      <c r="B3281" s="6">
        <v>0</v>
      </c>
      <c r="C3281" s="7" t="str">
        <v>趣点购浦发</v>
      </c>
      <c r="D3281" s="8">
        <v>0</v>
      </c>
      <c r="E3281" s="7">
        <v>0</v>
      </c>
      <c r="F3281" s="8">
        <v>0</v>
      </c>
      <c r="G3281" s="7">
        <v>0</v>
      </c>
      <c r="H3281" s="7">
        <v>81211.819999998</v>
      </c>
      <c r="I3281" s="7">
        <v>0</v>
      </c>
      <c r="J3281" s="8">
        <v>0</v>
      </c>
      <c r="K3281" s="9" t="str">
        <v/>
      </c>
    </row>
    <row r="3282" spans="1:11">
      <c r="A3282" t="str">
        <v/>
      </c>
      <c r="B3282" s="6">
        <v>0</v>
      </c>
      <c r="C3282" s="7" t="str">
        <v>趣点购浦发</v>
      </c>
      <c r="D3282" s="8">
        <v>0</v>
      </c>
      <c r="E3282" s="7">
        <v>0</v>
      </c>
      <c r="F3282" s="8">
        <v>0</v>
      </c>
      <c r="G3282" s="7">
        <v>0</v>
      </c>
      <c r="H3282" s="7">
        <v>81211.819999998</v>
      </c>
      <c r="I3282" s="7">
        <v>0</v>
      </c>
      <c r="J3282" s="8">
        <v>0</v>
      </c>
      <c r="K3282" s="9" t="str">
        <v/>
      </c>
    </row>
    <row r="3283" spans="1:11">
      <c r="A3283" t="str">
        <v/>
      </c>
      <c r="B3283" s="6">
        <v>0</v>
      </c>
      <c r="C3283" s="7" t="str">
        <v>趣点购浦发</v>
      </c>
      <c r="D3283" s="8">
        <v>0</v>
      </c>
      <c r="E3283" s="7">
        <v>0</v>
      </c>
      <c r="F3283" s="8">
        <v>0</v>
      </c>
      <c r="G3283" s="7">
        <v>0</v>
      </c>
      <c r="H3283" s="7">
        <v>81211.819999998</v>
      </c>
      <c r="I3283" s="7">
        <v>0</v>
      </c>
      <c r="J3283" s="8">
        <v>0</v>
      </c>
      <c r="K3283" s="9" t="str">
        <v/>
      </c>
    </row>
    <row r="3284" spans="1:11">
      <c r="A3284" t="str">
        <v/>
      </c>
      <c r="B3284" s="6">
        <v>0</v>
      </c>
      <c r="C3284" s="7" t="str">
        <v>趣点购浦发</v>
      </c>
      <c r="D3284" s="8">
        <v>0</v>
      </c>
      <c r="E3284" s="7">
        <v>0</v>
      </c>
      <c r="F3284" s="8">
        <v>0</v>
      </c>
      <c r="G3284" s="7">
        <v>0</v>
      </c>
      <c r="H3284" s="7">
        <v>81211.819999998</v>
      </c>
      <c r="I3284" s="7">
        <v>0</v>
      </c>
      <c r="J3284" s="8">
        <v>0</v>
      </c>
      <c r="K3284" s="9" t="str">
        <v/>
      </c>
    </row>
    <row r="3285" spans="1:11">
      <c r="A3285" t="str">
        <v/>
      </c>
      <c r="B3285" s="6">
        <v>0</v>
      </c>
      <c r="C3285" s="7" t="str">
        <v>趣点购浦发</v>
      </c>
      <c r="D3285" s="8">
        <v>0</v>
      </c>
      <c r="E3285" s="7">
        <v>0</v>
      </c>
      <c r="F3285" s="8">
        <v>0</v>
      </c>
      <c r="G3285" s="7">
        <v>0</v>
      </c>
      <c r="H3285" s="7">
        <v>81211.819999998</v>
      </c>
      <c r="I3285" s="7">
        <v>0</v>
      </c>
      <c r="J3285" s="8">
        <v>0</v>
      </c>
      <c r="K3285" s="9" t="str">
        <v/>
      </c>
    </row>
    <row r="3286" spans="1:11">
      <c r="A3286" t="str">
        <v/>
      </c>
      <c r="B3286" s="6">
        <v>0</v>
      </c>
      <c r="C3286" s="7" t="str">
        <v>趣点购浦发</v>
      </c>
      <c r="D3286" s="8">
        <v>0</v>
      </c>
      <c r="E3286" s="7">
        <v>0</v>
      </c>
      <c r="F3286" s="8">
        <v>0</v>
      </c>
      <c r="G3286" s="7">
        <v>0</v>
      </c>
      <c r="H3286" s="7">
        <v>81211.819999998</v>
      </c>
      <c r="I3286" s="7">
        <v>0</v>
      </c>
      <c r="J3286" s="8">
        <v>0</v>
      </c>
      <c r="K3286" s="9" t="str">
        <v/>
      </c>
    </row>
    <row r="3287" spans="1:11">
      <c r="A3287" t="str">
        <v/>
      </c>
      <c r="B3287" s="6">
        <v>0</v>
      </c>
      <c r="C3287" s="7" t="str">
        <v>趣点购浦发</v>
      </c>
      <c r="D3287" s="8">
        <v>0</v>
      </c>
      <c r="E3287" s="7">
        <v>0</v>
      </c>
      <c r="F3287" s="8">
        <v>0</v>
      </c>
      <c r="G3287" s="7">
        <v>0</v>
      </c>
      <c r="H3287" s="7">
        <v>81211.819999998</v>
      </c>
      <c r="I3287" s="7">
        <v>0</v>
      </c>
      <c r="J3287" s="8">
        <v>0</v>
      </c>
      <c r="K3287" s="9" t="str">
        <v/>
      </c>
    </row>
    <row r="3288" spans="1:11">
      <c r="A3288" t="str">
        <v/>
      </c>
      <c r="B3288" s="6">
        <v>0</v>
      </c>
      <c r="C3288" s="7" t="str">
        <v>趣点购浦发</v>
      </c>
      <c r="D3288" s="8">
        <v>0</v>
      </c>
      <c r="E3288" s="7">
        <v>0</v>
      </c>
      <c r="F3288" s="8">
        <v>0</v>
      </c>
      <c r="G3288" s="7">
        <v>0</v>
      </c>
      <c r="H3288" s="7">
        <v>81211.819999998</v>
      </c>
      <c r="I3288" s="7">
        <v>0</v>
      </c>
      <c r="J3288" s="8">
        <v>0</v>
      </c>
      <c r="K3288" s="9" t="str">
        <v/>
      </c>
    </row>
    <row r="3289" spans="1:11">
      <c r="A3289" t="str">
        <v/>
      </c>
      <c r="B3289" s="6">
        <v>0</v>
      </c>
      <c r="C3289" s="7" t="str">
        <v>趣点购浦发</v>
      </c>
      <c r="D3289" s="8">
        <v>0</v>
      </c>
      <c r="E3289" s="7">
        <v>0</v>
      </c>
      <c r="F3289" s="8">
        <v>0</v>
      </c>
      <c r="G3289" s="7">
        <v>0</v>
      </c>
      <c r="H3289" s="7">
        <v>81211.819999998</v>
      </c>
      <c r="I3289" s="7">
        <v>0</v>
      </c>
      <c r="J3289" s="8">
        <v>0</v>
      </c>
      <c r="K3289" s="9" t="str">
        <v/>
      </c>
    </row>
    <row r="3290" spans="1:11">
      <c r="A3290" t="str">
        <v/>
      </c>
      <c r="B3290" s="6">
        <v>0</v>
      </c>
      <c r="C3290" s="7" t="str">
        <v>趣点购浦发</v>
      </c>
      <c r="D3290" s="8">
        <v>0</v>
      </c>
      <c r="E3290" s="7">
        <v>0</v>
      </c>
      <c r="F3290" s="8">
        <v>0</v>
      </c>
      <c r="G3290" s="7">
        <v>0</v>
      </c>
      <c r="H3290" s="7">
        <v>81211.819999998</v>
      </c>
      <c r="I3290" s="7">
        <v>0</v>
      </c>
      <c r="J3290" s="8">
        <v>0</v>
      </c>
      <c r="K3290" s="9" t="str">
        <v/>
      </c>
    </row>
    <row r="3291" spans="1:11">
      <c r="A3291" t="str">
        <v/>
      </c>
      <c r="B3291" s="6">
        <v>0</v>
      </c>
      <c r="C3291" s="7" t="str">
        <v>趣点购浦发</v>
      </c>
      <c r="D3291" s="8">
        <v>0</v>
      </c>
      <c r="E3291" s="7">
        <v>0</v>
      </c>
      <c r="F3291" s="8">
        <v>0</v>
      </c>
      <c r="G3291" s="7">
        <v>0</v>
      </c>
      <c r="H3291" s="7">
        <v>81211.819999998</v>
      </c>
      <c r="I3291" s="7">
        <v>0</v>
      </c>
      <c r="J3291" s="8">
        <v>0</v>
      </c>
      <c r="K3291" s="9" t="str">
        <v/>
      </c>
    </row>
    <row r="3292" spans="1:11">
      <c r="A3292" t="str">
        <v/>
      </c>
      <c r="B3292" s="6">
        <v>0</v>
      </c>
      <c r="C3292" s="7" t="str">
        <v>趣点购浦发</v>
      </c>
      <c r="D3292" s="8">
        <v>0</v>
      </c>
      <c r="E3292" s="7">
        <v>0</v>
      </c>
      <c r="F3292" s="8">
        <v>0</v>
      </c>
      <c r="G3292" s="7">
        <v>0</v>
      </c>
      <c r="H3292" s="7">
        <v>81211.819999998</v>
      </c>
      <c r="I3292" s="7">
        <v>0</v>
      </c>
      <c r="J3292" s="8">
        <v>0</v>
      </c>
      <c r="K3292" s="9" t="str">
        <v/>
      </c>
    </row>
    <row r="3293" spans="1:11">
      <c r="A3293" t="str">
        <v/>
      </c>
      <c r="B3293" s="6">
        <v>0</v>
      </c>
      <c r="C3293" s="7" t="str">
        <v>趣点购浦发</v>
      </c>
      <c r="D3293" s="8">
        <v>0</v>
      </c>
      <c r="E3293" s="7">
        <v>0</v>
      </c>
      <c r="F3293" s="8">
        <v>0</v>
      </c>
      <c r="G3293" s="7">
        <v>0</v>
      </c>
      <c r="H3293" s="7">
        <v>81211.819999998</v>
      </c>
      <c r="I3293" s="7">
        <v>0</v>
      </c>
      <c r="J3293" s="8">
        <v>0</v>
      </c>
      <c r="K3293" s="9" t="str">
        <v/>
      </c>
    </row>
    <row r="3294" spans="1:11">
      <c r="A3294" t="str">
        <v/>
      </c>
      <c r="B3294" s="6">
        <v>0</v>
      </c>
      <c r="C3294" s="7" t="str">
        <v>趣点购浦发</v>
      </c>
      <c r="D3294" s="8">
        <v>0</v>
      </c>
      <c r="E3294" s="7">
        <v>0</v>
      </c>
      <c r="F3294" s="8">
        <v>0</v>
      </c>
      <c r="G3294" s="7">
        <v>0</v>
      </c>
      <c r="H3294" s="7">
        <v>81211.819999998</v>
      </c>
      <c r="I3294" s="7">
        <v>0</v>
      </c>
      <c r="J3294" s="8">
        <v>0</v>
      </c>
      <c r="K3294" s="9" t="str">
        <v/>
      </c>
    </row>
    <row r="3295" spans="1:11">
      <c r="A3295" t="str">
        <v/>
      </c>
      <c r="B3295" s="6">
        <v>0</v>
      </c>
      <c r="C3295" s="7" t="str">
        <v>趣点购浦发</v>
      </c>
      <c r="D3295" s="8">
        <v>0</v>
      </c>
      <c r="E3295" s="7">
        <v>0</v>
      </c>
      <c r="F3295" s="8">
        <v>0</v>
      </c>
      <c r="G3295" s="7">
        <v>0</v>
      </c>
      <c r="H3295" s="7">
        <v>81211.819999998</v>
      </c>
      <c r="I3295" s="7">
        <v>0</v>
      </c>
      <c r="J3295" s="8">
        <v>0</v>
      </c>
      <c r="K3295" s="9" t="str">
        <v/>
      </c>
    </row>
    <row r="3296" spans="1:11">
      <c r="A3296" t="str">
        <v/>
      </c>
      <c r="B3296" s="6">
        <v>0</v>
      </c>
      <c r="C3296" s="7" t="str">
        <v>趣点购浦发</v>
      </c>
      <c r="D3296" s="8">
        <v>0</v>
      </c>
      <c r="E3296" s="7">
        <v>0</v>
      </c>
      <c r="F3296" s="8">
        <v>0</v>
      </c>
      <c r="G3296" s="7">
        <v>0</v>
      </c>
      <c r="H3296" s="7">
        <v>81211.819999998</v>
      </c>
      <c r="I3296" s="7">
        <v>0</v>
      </c>
      <c r="J3296" s="8">
        <v>0</v>
      </c>
      <c r="K3296" s="9" t="str">
        <v/>
      </c>
    </row>
    <row r="3297" spans="1:11">
      <c r="A3297" t="str">
        <v/>
      </c>
      <c r="B3297" s="6">
        <v>0</v>
      </c>
      <c r="C3297" s="7" t="str">
        <v>趣点购浦发</v>
      </c>
      <c r="D3297" s="8">
        <v>0</v>
      </c>
      <c r="E3297" s="7">
        <v>0</v>
      </c>
      <c r="F3297" s="8">
        <v>0</v>
      </c>
      <c r="G3297" s="7">
        <v>0</v>
      </c>
      <c r="H3297" s="7">
        <v>81211.819999998</v>
      </c>
      <c r="I3297" s="7">
        <v>0</v>
      </c>
      <c r="J3297" s="8">
        <v>0</v>
      </c>
      <c r="K3297" s="9" t="str">
        <v/>
      </c>
    </row>
    <row r="3298" spans="1:11">
      <c r="A3298" t="str">
        <v/>
      </c>
      <c r="B3298" s="6">
        <v>0</v>
      </c>
      <c r="C3298" s="7" t="str">
        <v>趣点购浦发</v>
      </c>
      <c r="D3298" s="8">
        <v>0</v>
      </c>
      <c r="E3298" s="7">
        <v>0</v>
      </c>
      <c r="F3298" s="8">
        <v>0</v>
      </c>
      <c r="G3298" s="7">
        <v>0</v>
      </c>
      <c r="H3298" s="7">
        <v>81211.819999998</v>
      </c>
      <c r="I3298" s="7">
        <v>0</v>
      </c>
      <c r="J3298" s="8">
        <v>0</v>
      </c>
      <c r="K3298" s="9" t="str">
        <v/>
      </c>
    </row>
    <row r="3299" spans="1:11">
      <c r="A3299" t="str">
        <v/>
      </c>
      <c r="B3299" s="6">
        <v>0</v>
      </c>
      <c r="C3299" s="7" t="str">
        <v>趣点购浦发</v>
      </c>
      <c r="D3299" s="8">
        <v>0</v>
      </c>
      <c r="E3299" s="7">
        <v>0</v>
      </c>
      <c r="F3299" s="8">
        <v>0</v>
      </c>
      <c r="G3299" s="7">
        <v>0</v>
      </c>
      <c r="H3299" s="7">
        <v>81211.819999998</v>
      </c>
      <c r="I3299" s="7">
        <v>0</v>
      </c>
      <c r="J3299" s="8">
        <v>0</v>
      </c>
      <c r="K3299" s="9" t="str">
        <v/>
      </c>
    </row>
    <row r="3300" spans="1:11">
      <c r="A3300" t="str">
        <v/>
      </c>
      <c r="B3300" s="6">
        <v>0</v>
      </c>
      <c r="C3300" s="7" t="str">
        <v>趣点购浦发</v>
      </c>
      <c r="D3300" s="8">
        <v>0</v>
      </c>
      <c r="E3300" s="7">
        <v>0</v>
      </c>
      <c r="F3300" s="8">
        <v>0</v>
      </c>
      <c r="G3300" s="7">
        <v>0</v>
      </c>
      <c r="H3300" s="7">
        <v>81211.819999998</v>
      </c>
      <c r="I3300" s="7">
        <v>0</v>
      </c>
      <c r="J3300" s="8">
        <v>0</v>
      </c>
      <c r="K3300" s="9" t="str">
        <v/>
      </c>
    </row>
    <row r="3301" spans="1:11">
      <c r="A3301" t="str">
        <v/>
      </c>
      <c r="B3301" s="6">
        <v>0</v>
      </c>
      <c r="C3301" s="7" t="str">
        <v>趣点购浦发</v>
      </c>
      <c r="D3301" s="8">
        <v>0</v>
      </c>
      <c r="E3301" s="7">
        <v>0</v>
      </c>
      <c r="F3301" s="8">
        <v>0</v>
      </c>
      <c r="G3301" s="7">
        <v>0</v>
      </c>
      <c r="H3301" s="7">
        <v>81211.819999998</v>
      </c>
      <c r="I3301" s="7">
        <v>0</v>
      </c>
      <c r="J3301" s="8">
        <v>0</v>
      </c>
      <c r="K3301" s="9" t="str">
        <v/>
      </c>
    </row>
    <row r="3302" spans="1:11">
      <c r="A3302" t="str">
        <v/>
      </c>
      <c r="B3302" s="6">
        <v>0</v>
      </c>
      <c r="C3302" s="7" t="str">
        <v>趣点购浦发</v>
      </c>
      <c r="D3302" s="8">
        <v>0</v>
      </c>
      <c r="E3302" s="7">
        <v>0</v>
      </c>
      <c r="F3302" s="8">
        <v>0</v>
      </c>
      <c r="G3302" s="7">
        <v>0</v>
      </c>
      <c r="H3302" s="7">
        <v>81211.819999998</v>
      </c>
      <c r="I3302" s="7">
        <v>0</v>
      </c>
      <c r="J3302" s="8">
        <v>0</v>
      </c>
      <c r="K3302" s="9" t="str">
        <v/>
      </c>
    </row>
    <row r="3303" spans="1:11">
      <c r="A3303" t="str">
        <v/>
      </c>
      <c r="B3303" s="6">
        <v>0</v>
      </c>
      <c r="C3303" s="7" t="str">
        <v>趣点购浦发</v>
      </c>
      <c r="D3303" s="8">
        <v>0</v>
      </c>
      <c r="E3303" s="7">
        <v>0</v>
      </c>
      <c r="F3303" s="8">
        <v>0</v>
      </c>
      <c r="G3303" s="7">
        <v>0</v>
      </c>
      <c r="H3303" s="7">
        <v>81211.819999998</v>
      </c>
      <c r="I3303" s="7">
        <v>0</v>
      </c>
      <c r="J3303" s="8">
        <v>0</v>
      </c>
      <c r="K3303" s="9" t="str">
        <v/>
      </c>
    </row>
    <row r="3304" spans="1:11">
      <c r="A3304" t="str">
        <v/>
      </c>
      <c r="B3304" s="6">
        <v>0</v>
      </c>
      <c r="C3304" s="7" t="str">
        <v>趣点购浦发</v>
      </c>
      <c r="D3304" s="8">
        <v>0</v>
      </c>
      <c r="E3304" s="7">
        <v>0</v>
      </c>
      <c r="F3304" s="8">
        <v>0</v>
      </c>
      <c r="G3304" s="7">
        <v>0</v>
      </c>
      <c r="H3304" s="7">
        <v>81211.819999998</v>
      </c>
      <c r="I3304" s="7">
        <v>0</v>
      </c>
      <c r="J3304" s="8">
        <v>0</v>
      </c>
      <c r="K3304" s="9" t="str">
        <v/>
      </c>
    </row>
    <row r="3305" spans="1:11">
      <c r="A3305" t="str">
        <v/>
      </c>
      <c r="B3305" s="6">
        <v>0</v>
      </c>
      <c r="C3305" s="7" t="str">
        <v>趣点购浦发</v>
      </c>
      <c r="D3305" s="8">
        <v>0</v>
      </c>
      <c r="E3305" s="7">
        <v>0</v>
      </c>
      <c r="F3305" s="8">
        <v>0</v>
      </c>
      <c r="G3305" s="7">
        <v>0</v>
      </c>
      <c r="H3305" s="7">
        <v>81211.819999998</v>
      </c>
      <c r="I3305" s="7">
        <v>0</v>
      </c>
      <c r="J3305" s="8">
        <v>0</v>
      </c>
      <c r="K3305" s="9" t="str">
        <v/>
      </c>
    </row>
    <row r="3306" spans="1:11">
      <c r="A3306" t="str">
        <v/>
      </c>
      <c r="B3306" s="6">
        <v>0</v>
      </c>
      <c r="C3306" s="7" t="str">
        <v>趣点购浦发</v>
      </c>
      <c r="D3306" s="8">
        <v>0</v>
      </c>
      <c r="E3306" s="7">
        <v>0</v>
      </c>
      <c r="F3306" s="8">
        <v>0</v>
      </c>
      <c r="G3306" s="7">
        <v>0</v>
      </c>
      <c r="H3306" s="7">
        <v>81211.819999998</v>
      </c>
      <c r="I3306" s="7">
        <v>0</v>
      </c>
      <c r="J3306" s="8">
        <v>0</v>
      </c>
      <c r="K3306" s="9" t="str">
        <v/>
      </c>
    </row>
    <row r="3307" spans="1:11">
      <c r="A3307" t="str">
        <v/>
      </c>
      <c r="B3307" s="6">
        <v>0</v>
      </c>
      <c r="C3307" s="7" t="str">
        <v>趣点购浦发</v>
      </c>
      <c r="D3307" s="8">
        <v>0</v>
      </c>
      <c r="E3307" s="7">
        <v>0</v>
      </c>
      <c r="F3307" s="8">
        <v>0</v>
      </c>
      <c r="G3307" s="7">
        <v>0</v>
      </c>
      <c r="H3307" s="7">
        <v>81211.819999998</v>
      </c>
      <c r="I3307" s="7">
        <v>0</v>
      </c>
      <c r="J3307" s="8">
        <v>0</v>
      </c>
      <c r="K3307" s="9" t="str">
        <v/>
      </c>
    </row>
    <row r="3308" spans="1:11">
      <c r="A3308" t="str">
        <v/>
      </c>
      <c r="B3308" s="6">
        <v>0</v>
      </c>
      <c r="C3308" s="7" t="str">
        <v>趣点购浦发</v>
      </c>
      <c r="D3308" s="8">
        <v>0</v>
      </c>
      <c r="E3308" s="7">
        <v>0</v>
      </c>
      <c r="F3308" s="8">
        <v>0</v>
      </c>
      <c r="G3308" s="7">
        <v>0</v>
      </c>
      <c r="H3308" s="7">
        <v>81211.819999998</v>
      </c>
      <c r="I3308" s="7">
        <v>0</v>
      </c>
      <c r="J3308" s="8">
        <v>0</v>
      </c>
      <c r="K3308" s="9" t="str">
        <v/>
      </c>
    </row>
    <row r="3309" spans="1:11">
      <c r="A3309" t="str">
        <v/>
      </c>
      <c r="B3309" s="6">
        <v>0</v>
      </c>
      <c r="C3309" s="7" t="str">
        <v>趣点购浦发</v>
      </c>
      <c r="D3309" s="8">
        <v>0</v>
      </c>
      <c r="E3309" s="7">
        <v>0</v>
      </c>
      <c r="F3309" s="8">
        <v>0</v>
      </c>
      <c r="G3309" s="7">
        <v>0</v>
      </c>
      <c r="H3309" s="7">
        <v>81211.819999998</v>
      </c>
      <c r="I3309" s="7">
        <v>0</v>
      </c>
      <c r="J3309" s="8">
        <v>0</v>
      </c>
      <c r="K3309" s="9" t="str">
        <v/>
      </c>
    </row>
    <row r="3310" spans="1:11">
      <c r="A3310" t="str">
        <v/>
      </c>
      <c r="B3310" s="6">
        <v>0</v>
      </c>
      <c r="C3310" s="7" t="str">
        <v>趣点购浦发</v>
      </c>
      <c r="D3310" s="8">
        <v>0</v>
      </c>
      <c r="E3310" s="7">
        <v>0</v>
      </c>
      <c r="F3310" s="8">
        <v>0</v>
      </c>
      <c r="G3310" s="7">
        <v>0</v>
      </c>
      <c r="H3310" s="7">
        <v>81211.819999998</v>
      </c>
      <c r="I3310" s="7">
        <v>0</v>
      </c>
      <c r="J3310" s="8">
        <v>0</v>
      </c>
      <c r="K3310" s="9" t="str">
        <v/>
      </c>
    </row>
    <row r="3311" spans="1:11">
      <c r="A3311" t="str">
        <v/>
      </c>
      <c r="B3311" s="6">
        <v>0</v>
      </c>
      <c r="C3311" s="7" t="str">
        <v>趣点购浦发</v>
      </c>
      <c r="D3311" s="8">
        <v>0</v>
      </c>
      <c r="E3311" s="7">
        <v>0</v>
      </c>
      <c r="F3311" s="8">
        <v>0</v>
      </c>
      <c r="G3311" s="7">
        <v>0</v>
      </c>
      <c r="H3311" s="7">
        <v>81211.819999998</v>
      </c>
      <c r="I3311" s="7">
        <v>0</v>
      </c>
      <c r="J3311" s="8">
        <v>0</v>
      </c>
      <c r="K3311" s="9" t="str">
        <v/>
      </c>
    </row>
    <row r="3312" spans="1:11">
      <c r="A3312" t="str">
        <v/>
      </c>
      <c r="B3312" s="6">
        <v>0</v>
      </c>
      <c r="C3312" s="7" t="str">
        <v>趣点购浦发</v>
      </c>
      <c r="D3312" s="8">
        <v>0</v>
      </c>
      <c r="E3312" s="7">
        <v>0</v>
      </c>
      <c r="F3312" s="8">
        <v>0</v>
      </c>
      <c r="G3312" s="7">
        <v>0</v>
      </c>
      <c r="H3312" s="7">
        <v>81211.819999998</v>
      </c>
      <c r="I3312" s="7">
        <v>0</v>
      </c>
      <c r="J3312" s="8">
        <v>0</v>
      </c>
      <c r="K3312" s="9" t="str">
        <v/>
      </c>
    </row>
    <row r="3313" spans="1:11">
      <c r="A3313" t="str">
        <v/>
      </c>
      <c r="B3313" s="6">
        <v>0</v>
      </c>
      <c r="C3313" s="7" t="str">
        <v>趣点购浦发</v>
      </c>
      <c r="D3313" s="8">
        <v>0</v>
      </c>
      <c r="E3313" s="7">
        <v>0</v>
      </c>
      <c r="F3313" s="8">
        <v>0</v>
      </c>
      <c r="G3313" s="7">
        <v>0</v>
      </c>
      <c r="H3313" s="7">
        <v>81211.819999998</v>
      </c>
      <c r="I3313" s="7">
        <v>0</v>
      </c>
      <c r="J3313" s="8">
        <v>0</v>
      </c>
      <c r="K3313" s="9" t="str">
        <v/>
      </c>
    </row>
    <row r="3314" spans="1:11">
      <c r="A3314" t="str">
        <v/>
      </c>
      <c r="B3314" s="6">
        <v>0</v>
      </c>
      <c r="C3314" s="7" t="str">
        <v>趣点购浦发</v>
      </c>
      <c r="D3314" s="8">
        <v>0</v>
      </c>
      <c r="E3314" s="7">
        <v>0</v>
      </c>
      <c r="F3314" s="8">
        <v>0</v>
      </c>
      <c r="G3314" s="7">
        <v>0</v>
      </c>
      <c r="H3314" s="7">
        <v>81211.819999998</v>
      </c>
      <c r="I3314" s="7">
        <v>0</v>
      </c>
      <c r="J3314" s="8">
        <v>0</v>
      </c>
      <c r="K3314" s="9" t="str">
        <v/>
      </c>
    </row>
    <row r="3315" spans="1:11">
      <c r="A3315" t="str">
        <v/>
      </c>
      <c r="B3315" s="6">
        <v>0</v>
      </c>
      <c r="C3315" s="7" t="str">
        <v>趣点购浦发</v>
      </c>
      <c r="D3315" s="8">
        <v>0</v>
      </c>
      <c r="E3315" s="7">
        <v>0</v>
      </c>
      <c r="F3315" s="8">
        <v>0</v>
      </c>
      <c r="G3315" s="7">
        <v>0</v>
      </c>
      <c r="H3315" s="7">
        <v>81211.819999998</v>
      </c>
      <c r="I3315" s="7">
        <v>0</v>
      </c>
      <c r="J3315" s="8">
        <v>0</v>
      </c>
      <c r="K3315" s="9" t="str">
        <v/>
      </c>
    </row>
    <row r="3316" spans="1:11">
      <c r="A3316" t="str">
        <v/>
      </c>
      <c r="B3316" s="6">
        <v>0</v>
      </c>
      <c r="C3316" s="7" t="str">
        <v>趣点购浦发</v>
      </c>
      <c r="D3316" s="8">
        <v>0</v>
      </c>
      <c r="E3316" s="7">
        <v>0</v>
      </c>
      <c r="F3316" s="8">
        <v>0</v>
      </c>
      <c r="G3316" s="7">
        <v>0</v>
      </c>
      <c r="H3316" s="7">
        <v>81211.819999998</v>
      </c>
      <c r="I3316" s="7">
        <v>0</v>
      </c>
      <c r="J3316" s="8">
        <v>0</v>
      </c>
      <c r="K3316" s="9" t="str">
        <v/>
      </c>
    </row>
    <row r="3317" spans="1:11">
      <c r="A3317" t="str">
        <v/>
      </c>
      <c r="B3317" s="6">
        <v>0</v>
      </c>
      <c r="C3317" s="7" t="str">
        <v>趣点购浦发</v>
      </c>
      <c r="D3317" s="8">
        <v>0</v>
      </c>
      <c r="E3317" s="7">
        <v>0</v>
      </c>
      <c r="F3317" s="8">
        <v>0</v>
      </c>
      <c r="G3317" s="7">
        <v>0</v>
      </c>
      <c r="H3317" s="7">
        <v>81211.819999998</v>
      </c>
      <c r="I3317" s="7">
        <v>0</v>
      </c>
      <c r="J3317" s="8">
        <v>0</v>
      </c>
      <c r="K3317" s="9" t="str">
        <v/>
      </c>
    </row>
    <row r="3318" spans="1:11">
      <c r="A3318" t="str">
        <v/>
      </c>
      <c r="B3318" s="6">
        <v>0</v>
      </c>
      <c r="C3318" s="7" t="str">
        <v>趣点购浦发</v>
      </c>
      <c r="D3318" s="8">
        <v>0</v>
      </c>
      <c r="E3318" s="7">
        <v>0</v>
      </c>
      <c r="F3318" s="8">
        <v>0</v>
      </c>
      <c r="G3318" s="7">
        <v>0</v>
      </c>
      <c r="H3318" s="7">
        <v>81211.819999998</v>
      </c>
      <c r="I3318" s="7">
        <v>0</v>
      </c>
      <c r="J3318" s="8">
        <v>0</v>
      </c>
      <c r="K3318" s="9" t="str">
        <v/>
      </c>
    </row>
    <row r="3319" spans="1:11">
      <c r="A3319" t="str">
        <v/>
      </c>
      <c r="B3319" s="6">
        <v>0</v>
      </c>
      <c r="C3319" s="7" t="str">
        <v>趣点购浦发</v>
      </c>
      <c r="D3319" s="8">
        <v>0</v>
      </c>
      <c r="E3319" s="7">
        <v>0</v>
      </c>
      <c r="F3319" s="8">
        <v>0</v>
      </c>
      <c r="G3319" s="7">
        <v>0</v>
      </c>
      <c r="H3319" s="7">
        <v>81211.819999998</v>
      </c>
      <c r="I3319" s="7">
        <v>0</v>
      </c>
      <c r="J3319" s="8">
        <v>0</v>
      </c>
      <c r="K3319" s="9" t="str">
        <v/>
      </c>
    </row>
    <row r="3320" spans="1:11">
      <c r="A3320" t="str">
        <v/>
      </c>
      <c r="B3320" s="6">
        <v>0</v>
      </c>
      <c r="C3320" s="7" t="str">
        <v>趣点购浦发</v>
      </c>
      <c r="D3320" s="8">
        <v>0</v>
      </c>
      <c r="E3320" s="7">
        <v>0</v>
      </c>
      <c r="F3320" s="8">
        <v>0</v>
      </c>
      <c r="G3320" s="7">
        <v>0</v>
      </c>
      <c r="H3320" s="7">
        <v>81211.819999998</v>
      </c>
      <c r="I3320" s="7">
        <v>0</v>
      </c>
      <c r="J3320" s="8">
        <v>0</v>
      </c>
      <c r="K3320" s="9" t="str">
        <v/>
      </c>
    </row>
    <row r="3321" spans="1:11">
      <c r="A3321" t="str">
        <v/>
      </c>
      <c r="B3321" s="6">
        <v>0</v>
      </c>
      <c r="C3321" s="7" t="str">
        <v>趣点购浦发</v>
      </c>
      <c r="D3321" s="8">
        <v>0</v>
      </c>
      <c r="E3321" s="7">
        <v>0</v>
      </c>
      <c r="F3321" s="8">
        <v>0</v>
      </c>
      <c r="G3321" s="7">
        <v>0</v>
      </c>
      <c r="H3321" s="7">
        <v>81211.819999998</v>
      </c>
      <c r="I3321" s="7">
        <v>0</v>
      </c>
      <c r="J3321" s="8">
        <v>0</v>
      </c>
      <c r="K3321" s="9" t="str">
        <v/>
      </c>
    </row>
    <row r="3322" spans="1:11">
      <c r="A3322" t="str">
        <v/>
      </c>
      <c r="B3322" s="6">
        <v>0</v>
      </c>
      <c r="C3322" s="7" t="str">
        <v>趣点购浦发</v>
      </c>
      <c r="D3322" s="8">
        <v>0</v>
      </c>
      <c r="E3322" s="7">
        <v>0</v>
      </c>
      <c r="F3322" s="8">
        <v>0</v>
      </c>
      <c r="G3322" s="7">
        <v>0</v>
      </c>
      <c r="H3322" s="7">
        <v>81211.819999998</v>
      </c>
      <c r="I3322" s="7">
        <v>0</v>
      </c>
      <c r="J3322" s="8">
        <v>0</v>
      </c>
      <c r="K3322" s="9" t="str">
        <v/>
      </c>
    </row>
    <row r="3323" spans="1:11">
      <c r="A3323" t="str">
        <v/>
      </c>
      <c r="B3323" s="6">
        <v>0</v>
      </c>
      <c r="C3323" s="7" t="str">
        <v>趣点购浦发</v>
      </c>
      <c r="D3323" s="8">
        <v>0</v>
      </c>
      <c r="E3323" s="7">
        <v>0</v>
      </c>
      <c r="F3323" s="8">
        <v>0</v>
      </c>
      <c r="G3323" s="7">
        <v>0</v>
      </c>
      <c r="H3323" s="7">
        <v>81211.819999998</v>
      </c>
      <c r="I3323" s="7">
        <v>0</v>
      </c>
      <c r="J3323" s="8">
        <v>0</v>
      </c>
      <c r="K3323" s="9" t="str">
        <v/>
      </c>
    </row>
    <row r="3324" spans="1:11">
      <c r="A3324" t="str">
        <v/>
      </c>
      <c r="B3324" s="6">
        <v>0</v>
      </c>
      <c r="C3324" s="7" t="str">
        <v>趣点购浦发</v>
      </c>
      <c r="D3324" s="8">
        <v>0</v>
      </c>
      <c r="E3324" s="7">
        <v>0</v>
      </c>
      <c r="F3324" s="8">
        <v>0</v>
      </c>
      <c r="G3324" s="7">
        <v>0</v>
      </c>
      <c r="H3324" s="7">
        <v>81211.819999998</v>
      </c>
      <c r="I3324" s="7">
        <v>0</v>
      </c>
      <c r="J3324" s="8">
        <v>0</v>
      </c>
      <c r="K3324" s="9" t="str">
        <v/>
      </c>
    </row>
    <row r="3325" spans="1:11">
      <c r="A3325" t="str">
        <v/>
      </c>
      <c r="B3325" s="6">
        <v>0</v>
      </c>
      <c r="C3325" s="7" t="str">
        <v>趣点购浦发</v>
      </c>
      <c r="D3325" s="8">
        <v>0</v>
      </c>
      <c r="E3325" s="7">
        <v>0</v>
      </c>
      <c r="F3325" s="8">
        <v>0</v>
      </c>
      <c r="G3325" s="7">
        <v>0</v>
      </c>
      <c r="H3325" s="7">
        <v>81211.819999998</v>
      </c>
      <c r="I3325" s="7">
        <v>0</v>
      </c>
      <c r="J3325" s="8">
        <v>0</v>
      </c>
      <c r="K3325" s="9" t="str">
        <v/>
      </c>
    </row>
    <row r="3326" spans="1:11">
      <c r="A3326" t="str">
        <v/>
      </c>
      <c r="B3326" s="6">
        <v>0</v>
      </c>
      <c r="C3326" s="7" t="str">
        <v>趣点购浦发</v>
      </c>
      <c r="D3326" s="8">
        <v>0</v>
      </c>
      <c r="E3326" s="7">
        <v>0</v>
      </c>
      <c r="F3326" s="8">
        <v>0</v>
      </c>
      <c r="G3326" s="7">
        <v>0</v>
      </c>
      <c r="H3326" s="7">
        <v>81211.819999998</v>
      </c>
      <c r="I3326" s="7">
        <v>0</v>
      </c>
      <c r="J3326" s="8">
        <v>0</v>
      </c>
      <c r="K3326" s="9" t="str">
        <v/>
      </c>
    </row>
    <row r="3327" spans="1:11">
      <c r="A3327" t="str">
        <v/>
      </c>
      <c r="B3327" s="6">
        <v>0</v>
      </c>
      <c r="C3327" s="7" t="str">
        <v>趣点购浦发</v>
      </c>
      <c r="D3327" s="8">
        <v>0</v>
      </c>
      <c r="E3327" s="7">
        <v>0</v>
      </c>
      <c r="F3327" s="8">
        <v>0</v>
      </c>
      <c r="G3327" s="7">
        <v>0</v>
      </c>
      <c r="H3327" s="7">
        <v>81211.819999998</v>
      </c>
      <c r="I3327" s="7">
        <v>0</v>
      </c>
      <c r="J3327" s="8">
        <v>0</v>
      </c>
      <c r="K3327" s="9" t="str">
        <v/>
      </c>
    </row>
    <row r="3328" spans="1:11">
      <c r="A3328" t="str">
        <v/>
      </c>
      <c r="B3328" s="6">
        <v>0</v>
      </c>
      <c r="C3328" s="7" t="str">
        <v>趣点购浦发</v>
      </c>
      <c r="D3328" s="8">
        <v>0</v>
      </c>
      <c r="E3328" s="7">
        <v>0</v>
      </c>
      <c r="F3328" s="8">
        <v>0</v>
      </c>
      <c r="G3328" s="7">
        <v>0</v>
      </c>
      <c r="H3328" s="7">
        <v>81211.819999998</v>
      </c>
      <c r="I3328" s="7">
        <v>0</v>
      </c>
      <c r="J3328" s="8">
        <v>0</v>
      </c>
      <c r="K3328" s="9" t="str">
        <v/>
      </c>
    </row>
    <row r="3329" spans="1:11">
      <c r="A3329" t="str">
        <v/>
      </c>
      <c r="B3329" s="6">
        <v>0</v>
      </c>
      <c r="C3329" s="7" t="str">
        <v>趣点购浦发</v>
      </c>
      <c r="D3329" s="8">
        <v>0</v>
      </c>
      <c r="E3329" s="7">
        <v>0</v>
      </c>
      <c r="F3329" s="8">
        <v>0</v>
      </c>
      <c r="G3329" s="7">
        <v>0</v>
      </c>
      <c r="H3329" s="7">
        <v>81211.819999998</v>
      </c>
      <c r="I3329" s="7">
        <v>0</v>
      </c>
      <c r="J3329" s="8">
        <v>0</v>
      </c>
      <c r="K3329" s="9" t="str">
        <v/>
      </c>
    </row>
    <row r="3330" spans="1:11">
      <c r="A3330" t="str">
        <v/>
      </c>
      <c r="B3330" s="6">
        <v>0</v>
      </c>
      <c r="C3330" s="7" t="str">
        <v>趣点购浦发</v>
      </c>
      <c r="D3330" s="8">
        <v>0</v>
      </c>
      <c r="E3330" s="7">
        <v>0</v>
      </c>
      <c r="F3330" s="8">
        <v>0</v>
      </c>
      <c r="G3330" s="7">
        <v>0</v>
      </c>
      <c r="H3330" s="7">
        <v>81211.819999998</v>
      </c>
      <c r="I3330" s="7">
        <v>0</v>
      </c>
      <c r="J3330" s="8">
        <v>0</v>
      </c>
      <c r="K3330" s="9" t="str">
        <v/>
      </c>
    </row>
    <row r="3331" spans="1:11">
      <c r="A3331" t="str">
        <v/>
      </c>
      <c r="B3331" s="6">
        <v>0</v>
      </c>
      <c r="C3331" s="7" t="str">
        <v>趣点购浦发</v>
      </c>
      <c r="D3331" s="8">
        <v>0</v>
      </c>
      <c r="E3331" s="7">
        <v>0</v>
      </c>
      <c r="F3331" s="8">
        <v>0</v>
      </c>
      <c r="G3331" s="7">
        <v>0</v>
      </c>
      <c r="H3331" s="7">
        <v>81211.819999998</v>
      </c>
      <c r="I3331" s="7">
        <v>0</v>
      </c>
      <c r="J3331" s="8">
        <v>0</v>
      </c>
      <c r="K3331" s="9" t="str">
        <v/>
      </c>
    </row>
    <row r="3332" spans="1:11">
      <c r="A3332" t="str">
        <v/>
      </c>
      <c r="B3332" s="6">
        <v>0</v>
      </c>
      <c r="C3332" s="7" t="str">
        <v>趣点购浦发</v>
      </c>
      <c r="D3332" s="8">
        <v>0</v>
      </c>
      <c r="E3332" s="7">
        <v>0</v>
      </c>
      <c r="F3332" s="8">
        <v>0</v>
      </c>
      <c r="G3332" s="7">
        <v>0</v>
      </c>
      <c r="H3332" s="7">
        <v>81211.819999998</v>
      </c>
      <c r="I3332" s="7">
        <v>0</v>
      </c>
      <c r="J3332" s="8">
        <v>0</v>
      </c>
      <c r="K3332" s="9" t="str">
        <v/>
      </c>
    </row>
    <row r="3333" spans="1:11">
      <c r="A3333" t="str">
        <v/>
      </c>
      <c r="B3333" s="6">
        <v>0</v>
      </c>
      <c r="C3333" s="7" t="str">
        <v>趣点购浦发</v>
      </c>
      <c r="D3333" s="8">
        <v>0</v>
      </c>
      <c r="E3333" s="7">
        <v>0</v>
      </c>
      <c r="F3333" s="8">
        <v>0</v>
      </c>
      <c r="G3333" s="7">
        <v>0</v>
      </c>
      <c r="H3333" s="7">
        <v>81211.819999998</v>
      </c>
      <c r="I3333" s="7">
        <v>0</v>
      </c>
      <c r="J3333" s="8">
        <v>0</v>
      </c>
      <c r="K3333" s="9" t="str">
        <v/>
      </c>
    </row>
    <row r="3334" spans="1:11">
      <c r="A3334" t="str">
        <v/>
      </c>
      <c r="B3334" s="6">
        <v>0</v>
      </c>
      <c r="C3334" s="7" t="str">
        <v>趣点购浦发</v>
      </c>
      <c r="D3334" s="8">
        <v>0</v>
      </c>
      <c r="E3334" s="7">
        <v>0</v>
      </c>
      <c r="F3334" s="8">
        <v>0</v>
      </c>
      <c r="G3334" s="7">
        <v>0</v>
      </c>
      <c r="H3334" s="7">
        <v>81211.819999998</v>
      </c>
      <c r="I3334" s="7">
        <v>0</v>
      </c>
      <c r="J3334" s="8">
        <v>0</v>
      </c>
      <c r="K3334" s="9" t="str">
        <v/>
      </c>
    </row>
    <row r="3335" spans="1:11">
      <c r="A3335" t="str">
        <v/>
      </c>
      <c r="B3335" s="6">
        <v>0</v>
      </c>
      <c r="C3335" s="7" t="str">
        <v>趣点购浦发</v>
      </c>
      <c r="D3335" s="8">
        <v>0</v>
      </c>
      <c r="E3335" s="7">
        <v>0</v>
      </c>
      <c r="F3335" s="8">
        <v>0</v>
      </c>
      <c r="G3335" s="7">
        <v>0</v>
      </c>
      <c r="H3335" s="7">
        <v>81211.819999998</v>
      </c>
      <c r="I3335" s="7">
        <v>0</v>
      </c>
      <c r="J3335" s="8">
        <v>0</v>
      </c>
      <c r="K3335" s="9" t="str">
        <v/>
      </c>
    </row>
    <row r="3336" spans="1:11">
      <c r="A3336" t="str">
        <v/>
      </c>
      <c r="B3336" s="6">
        <v>0</v>
      </c>
      <c r="C3336" s="7" t="str">
        <v>趣点购浦发</v>
      </c>
      <c r="D3336" s="8">
        <v>0</v>
      </c>
      <c r="E3336" s="7">
        <v>0</v>
      </c>
      <c r="F3336" s="8">
        <v>0</v>
      </c>
      <c r="G3336" s="7">
        <v>0</v>
      </c>
      <c r="H3336" s="7">
        <v>81211.819999998</v>
      </c>
      <c r="I3336" s="7">
        <v>0</v>
      </c>
      <c r="J3336" s="8">
        <v>0</v>
      </c>
      <c r="K3336" s="9" t="str">
        <v/>
      </c>
    </row>
    <row r="3337" spans="1:11">
      <c r="A3337" t="str">
        <v/>
      </c>
      <c r="B3337" s="6">
        <v>0</v>
      </c>
      <c r="C3337" s="7" t="str">
        <v>趣点购浦发</v>
      </c>
      <c r="D3337" s="8">
        <v>0</v>
      </c>
      <c r="E3337" s="7">
        <v>0</v>
      </c>
      <c r="F3337" s="8">
        <v>0</v>
      </c>
      <c r="G3337" s="7">
        <v>0</v>
      </c>
      <c r="H3337" s="7">
        <v>81211.819999998</v>
      </c>
      <c r="I3337" s="7">
        <v>0</v>
      </c>
      <c r="J3337" s="8">
        <v>0</v>
      </c>
      <c r="K3337" s="9" t="str">
        <v/>
      </c>
    </row>
    <row r="3338" spans="1:11">
      <c r="A3338" t="str">
        <v/>
      </c>
      <c r="B3338" s="6">
        <v>0</v>
      </c>
      <c r="C3338" s="7" t="str">
        <v>趣点购浦发</v>
      </c>
      <c r="D3338" s="8">
        <v>0</v>
      </c>
      <c r="E3338" s="7">
        <v>0</v>
      </c>
      <c r="F3338" s="8">
        <v>0</v>
      </c>
      <c r="G3338" s="7">
        <v>0</v>
      </c>
      <c r="H3338" s="7">
        <v>81211.819999998</v>
      </c>
      <c r="I3338" s="7">
        <v>0</v>
      </c>
      <c r="J3338" s="8">
        <v>0</v>
      </c>
      <c r="K3338" s="9" t="str">
        <v/>
      </c>
    </row>
    <row r="3339" spans="1:11">
      <c r="A3339" t="str">
        <v/>
      </c>
      <c r="B3339" s="6">
        <v>0</v>
      </c>
      <c r="C3339" s="7" t="str">
        <v>趣点购浦发</v>
      </c>
      <c r="D3339" s="8">
        <v>0</v>
      </c>
      <c r="E3339" s="7">
        <v>0</v>
      </c>
      <c r="F3339" s="8">
        <v>0</v>
      </c>
      <c r="G3339" s="7">
        <v>0</v>
      </c>
      <c r="H3339" s="7">
        <v>81211.819999998</v>
      </c>
      <c r="I3339" s="7">
        <v>0</v>
      </c>
      <c r="J3339" s="8">
        <v>0</v>
      </c>
      <c r="K3339" s="9" t="str">
        <v/>
      </c>
    </row>
    <row r="3340" spans="1:11">
      <c r="A3340" t="str">
        <v/>
      </c>
      <c r="B3340" s="6">
        <v>0</v>
      </c>
      <c r="C3340" s="7" t="str">
        <v>趣点购浦发</v>
      </c>
      <c r="D3340" s="8">
        <v>0</v>
      </c>
      <c r="E3340" s="7">
        <v>0</v>
      </c>
      <c r="F3340" s="8">
        <v>0</v>
      </c>
      <c r="G3340" s="7">
        <v>0</v>
      </c>
      <c r="H3340" s="7">
        <v>81211.819999998</v>
      </c>
      <c r="I3340" s="7">
        <v>0</v>
      </c>
      <c r="J3340" s="8">
        <v>0</v>
      </c>
      <c r="K3340" s="9" t="str">
        <v/>
      </c>
    </row>
    <row r="3341" spans="1:11">
      <c r="A3341" t="str">
        <v/>
      </c>
      <c r="B3341" s="6">
        <v>0</v>
      </c>
      <c r="C3341" s="7" t="str">
        <v>趣点购浦发</v>
      </c>
      <c r="D3341" s="8">
        <v>0</v>
      </c>
      <c r="E3341" s="7">
        <v>0</v>
      </c>
      <c r="F3341" s="8">
        <v>0</v>
      </c>
      <c r="G3341" s="7">
        <v>0</v>
      </c>
      <c r="H3341" s="7">
        <v>81211.819999998</v>
      </c>
      <c r="I3341" s="7">
        <v>0</v>
      </c>
      <c r="J3341" s="8">
        <v>0</v>
      </c>
      <c r="K3341" s="9" t="str">
        <v/>
      </c>
    </row>
    <row r="3342" spans="1:11">
      <c r="A3342" t="str">
        <v/>
      </c>
      <c r="B3342" s="6">
        <v>0</v>
      </c>
      <c r="C3342" s="7" t="str">
        <v>趣点购浦发</v>
      </c>
      <c r="D3342" s="8">
        <v>0</v>
      </c>
      <c r="E3342" s="7">
        <v>0</v>
      </c>
      <c r="F3342" s="8">
        <v>0</v>
      </c>
      <c r="G3342" s="7">
        <v>0</v>
      </c>
      <c r="H3342" s="7">
        <v>81211.819999998</v>
      </c>
      <c r="I3342" s="7">
        <v>0</v>
      </c>
      <c r="J3342" s="8">
        <v>0</v>
      </c>
      <c r="K3342" s="9" t="str">
        <v/>
      </c>
    </row>
    <row r="3343" spans="1:11">
      <c r="A3343" t="str">
        <v/>
      </c>
      <c r="B3343" s="6">
        <v>0</v>
      </c>
      <c r="C3343" s="7" t="str">
        <v>趣点购浦发</v>
      </c>
      <c r="D3343" s="8">
        <v>0</v>
      </c>
      <c r="E3343" s="7">
        <v>0</v>
      </c>
      <c r="F3343" s="8">
        <v>0</v>
      </c>
      <c r="G3343" s="7">
        <v>0</v>
      </c>
      <c r="H3343" s="7">
        <v>81211.819999998</v>
      </c>
      <c r="I3343" s="7">
        <v>0</v>
      </c>
      <c r="J3343" s="8">
        <v>0</v>
      </c>
      <c r="K3343" s="9" t="str">
        <v/>
      </c>
    </row>
    <row r="3344" spans="1:11">
      <c r="A3344" t="str">
        <v/>
      </c>
      <c r="B3344" s="6">
        <v>0</v>
      </c>
      <c r="C3344" s="7" t="str">
        <v>趣点购浦发</v>
      </c>
      <c r="D3344" s="8">
        <v>0</v>
      </c>
      <c r="E3344" s="7">
        <v>0</v>
      </c>
      <c r="F3344" s="8">
        <v>0</v>
      </c>
      <c r="G3344" s="7">
        <v>0</v>
      </c>
      <c r="H3344" s="7">
        <v>81211.819999998</v>
      </c>
      <c r="I3344" s="7">
        <v>0</v>
      </c>
      <c r="J3344" s="8">
        <v>0</v>
      </c>
      <c r="K3344" s="9" t="str">
        <v/>
      </c>
    </row>
    <row r="3345" spans="1:11">
      <c r="A3345" t="str">
        <v/>
      </c>
      <c r="B3345" s="6">
        <v>0</v>
      </c>
      <c r="C3345" s="7" t="str">
        <v>趣点购浦发</v>
      </c>
      <c r="D3345" s="8">
        <v>0</v>
      </c>
      <c r="E3345" s="7">
        <v>0</v>
      </c>
      <c r="F3345" s="8">
        <v>0</v>
      </c>
      <c r="G3345" s="7">
        <v>0</v>
      </c>
      <c r="H3345" s="7">
        <v>81211.819999998</v>
      </c>
      <c r="I3345" s="7">
        <v>0</v>
      </c>
      <c r="J3345" s="8">
        <v>0</v>
      </c>
      <c r="K3345" s="9" t="str">
        <v/>
      </c>
    </row>
    <row r="3346" spans="1:11">
      <c r="A3346" t="str">
        <v/>
      </c>
      <c r="B3346" s="6">
        <v>0</v>
      </c>
      <c r="C3346" s="7" t="str">
        <v>趣点购浦发</v>
      </c>
      <c r="D3346" s="8">
        <v>0</v>
      </c>
      <c r="E3346" s="7">
        <v>0</v>
      </c>
      <c r="F3346" s="8">
        <v>0</v>
      </c>
      <c r="G3346" s="7">
        <v>0</v>
      </c>
      <c r="H3346" s="7">
        <v>81211.819999998</v>
      </c>
      <c r="I3346" s="7">
        <v>0</v>
      </c>
      <c r="J3346" s="8">
        <v>0</v>
      </c>
      <c r="K3346" s="9" t="str">
        <v/>
      </c>
    </row>
    <row r="3347" spans="1:11">
      <c r="A3347" t="str">
        <v/>
      </c>
      <c r="B3347" s="6">
        <v>0</v>
      </c>
      <c r="C3347" s="7" t="str">
        <v>趣点购浦发</v>
      </c>
      <c r="D3347" s="8">
        <v>0</v>
      </c>
      <c r="E3347" s="7">
        <v>0</v>
      </c>
      <c r="F3347" s="8">
        <v>0</v>
      </c>
      <c r="G3347" s="7">
        <v>0</v>
      </c>
      <c r="H3347" s="7">
        <v>81211.819999998</v>
      </c>
      <c r="I3347" s="7">
        <v>0</v>
      </c>
      <c r="J3347" s="8">
        <v>0</v>
      </c>
      <c r="K3347" s="9" t="str">
        <v/>
      </c>
    </row>
    <row r="3348" spans="1:11">
      <c r="A3348" t="str">
        <v/>
      </c>
      <c r="B3348" s="6">
        <v>0</v>
      </c>
      <c r="C3348" s="7" t="str">
        <v>趣点购浦发</v>
      </c>
      <c r="D3348" s="8">
        <v>0</v>
      </c>
      <c r="E3348" s="7">
        <v>0</v>
      </c>
      <c r="F3348" s="8">
        <v>0</v>
      </c>
      <c r="G3348" s="7">
        <v>0</v>
      </c>
      <c r="H3348" s="7">
        <v>81211.819999998</v>
      </c>
      <c r="I3348" s="7">
        <v>0</v>
      </c>
      <c r="J3348" s="8">
        <v>0</v>
      </c>
      <c r="K3348" s="9" t="str">
        <v/>
      </c>
    </row>
    <row r="3349" spans="1:11">
      <c r="A3349" t="str">
        <v/>
      </c>
      <c r="B3349" s="6">
        <v>0</v>
      </c>
      <c r="C3349" s="7" t="str">
        <v>趣点购浦发</v>
      </c>
      <c r="D3349" s="8">
        <v>0</v>
      </c>
      <c r="E3349" s="7">
        <v>0</v>
      </c>
      <c r="F3349" s="8">
        <v>0</v>
      </c>
      <c r="G3349" s="7">
        <v>0</v>
      </c>
      <c r="H3349" s="7">
        <v>81211.819999998</v>
      </c>
      <c r="I3349" s="7">
        <v>0</v>
      </c>
      <c r="J3349" s="8">
        <v>0</v>
      </c>
      <c r="K3349" s="9" t="str">
        <v/>
      </c>
    </row>
    <row r="3350" spans="1:11">
      <c r="A3350" t="str">
        <v/>
      </c>
      <c r="B3350" s="6">
        <v>0</v>
      </c>
      <c r="C3350" s="7" t="str">
        <v>趣点购浦发</v>
      </c>
      <c r="D3350" s="8">
        <v>0</v>
      </c>
      <c r="E3350" s="7">
        <v>0</v>
      </c>
      <c r="F3350" s="8">
        <v>0</v>
      </c>
      <c r="G3350" s="7">
        <v>0</v>
      </c>
      <c r="H3350" s="7">
        <v>81211.819999998</v>
      </c>
      <c r="I3350" s="7">
        <v>0</v>
      </c>
      <c r="J3350" s="8">
        <v>0</v>
      </c>
      <c r="K3350" s="9" t="str">
        <v/>
      </c>
    </row>
    <row r="3351" spans="1:11">
      <c r="A3351" t="str">
        <v/>
      </c>
      <c r="B3351" s="6">
        <v>0</v>
      </c>
      <c r="C3351" s="7" t="str">
        <v>趣点购浦发</v>
      </c>
      <c r="D3351" s="8">
        <v>0</v>
      </c>
      <c r="E3351" s="7">
        <v>0</v>
      </c>
      <c r="F3351" s="8">
        <v>0</v>
      </c>
      <c r="G3351" s="7">
        <v>0</v>
      </c>
      <c r="H3351" s="7">
        <v>81211.819999998</v>
      </c>
      <c r="I3351" s="7">
        <v>0</v>
      </c>
      <c r="J3351" s="8">
        <v>0</v>
      </c>
      <c r="K3351" s="9" t="str">
        <v/>
      </c>
    </row>
    <row r="3352" spans="1:11">
      <c r="A3352" t="str">
        <v/>
      </c>
      <c r="B3352" s="6">
        <v>0</v>
      </c>
      <c r="C3352" s="7" t="str">
        <v>趣点购浦发</v>
      </c>
      <c r="D3352" s="8">
        <v>0</v>
      </c>
      <c r="E3352" s="7">
        <v>0</v>
      </c>
      <c r="F3352" s="8">
        <v>0</v>
      </c>
      <c r="G3352" s="7">
        <v>0</v>
      </c>
      <c r="H3352" s="7">
        <v>81211.819999998</v>
      </c>
      <c r="I3352" s="7">
        <v>0</v>
      </c>
      <c r="J3352" s="8">
        <v>0</v>
      </c>
      <c r="K3352" s="9" t="str">
        <v/>
      </c>
    </row>
    <row r="3353" spans="1:11">
      <c r="A3353" t="str">
        <v/>
      </c>
      <c r="B3353" s="6">
        <v>0</v>
      </c>
      <c r="C3353" s="7" t="str">
        <v>趣点购浦发</v>
      </c>
      <c r="D3353" s="8">
        <v>0</v>
      </c>
      <c r="E3353" s="7">
        <v>0</v>
      </c>
      <c r="F3353" s="8">
        <v>0</v>
      </c>
      <c r="G3353" s="7">
        <v>0</v>
      </c>
      <c r="H3353" s="7">
        <v>81211.819999998</v>
      </c>
      <c r="I3353" s="7">
        <v>0</v>
      </c>
      <c r="J3353" s="8">
        <v>0</v>
      </c>
      <c r="K3353" s="9" t="str">
        <v/>
      </c>
    </row>
    <row r="3354" spans="1:11">
      <c r="A3354" t="str">
        <v/>
      </c>
      <c r="B3354" s="6">
        <v>0</v>
      </c>
      <c r="C3354" s="7" t="str">
        <v>趣点购浦发</v>
      </c>
      <c r="D3354" s="8">
        <v>0</v>
      </c>
      <c r="E3354" s="7">
        <v>0</v>
      </c>
      <c r="F3354" s="8">
        <v>0</v>
      </c>
      <c r="G3354" s="7">
        <v>0</v>
      </c>
      <c r="H3354" s="7">
        <v>81211.819999998</v>
      </c>
      <c r="I3354" s="7">
        <v>0</v>
      </c>
      <c r="J3354" s="8">
        <v>0</v>
      </c>
      <c r="K3354" s="9" t="str">
        <v/>
      </c>
    </row>
    <row r="3355" spans="1:11">
      <c r="A3355" t="str">
        <v/>
      </c>
      <c r="B3355" s="6">
        <v>0</v>
      </c>
      <c r="C3355" s="7" t="str">
        <v>趣点购浦发</v>
      </c>
      <c r="D3355" s="8">
        <v>0</v>
      </c>
      <c r="E3355" s="7">
        <v>0</v>
      </c>
      <c r="F3355" s="8">
        <v>0</v>
      </c>
      <c r="G3355" s="7">
        <v>0</v>
      </c>
      <c r="H3355" s="7">
        <v>81211.819999998</v>
      </c>
      <c r="I3355" s="7">
        <v>0</v>
      </c>
      <c r="J3355" s="8">
        <v>0</v>
      </c>
      <c r="K3355" s="9" t="str">
        <v/>
      </c>
    </row>
    <row r="3356" spans="1:11">
      <c r="A3356" t="str">
        <v/>
      </c>
      <c r="B3356" s="6">
        <v>0</v>
      </c>
      <c r="C3356" s="7" t="str">
        <v>趣点购浦发</v>
      </c>
      <c r="D3356" s="8">
        <v>0</v>
      </c>
      <c r="E3356" s="7">
        <v>0</v>
      </c>
      <c r="F3356" s="8">
        <v>0</v>
      </c>
      <c r="G3356" s="7">
        <v>0</v>
      </c>
      <c r="H3356" s="7">
        <v>81211.819999998</v>
      </c>
      <c r="I3356" s="7">
        <v>0</v>
      </c>
      <c r="J3356" s="8">
        <v>0</v>
      </c>
      <c r="K3356" s="9" t="str">
        <v/>
      </c>
    </row>
    <row r="3357" spans="1:11">
      <c r="A3357" t="str">
        <v/>
      </c>
      <c r="B3357" s="6">
        <v>0</v>
      </c>
      <c r="C3357" s="7" t="str">
        <v>趣点购浦发</v>
      </c>
      <c r="D3357" s="8">
        <v>0</v>
      </c>
      <c r="E3357" s="7">
        <v>0</v>
      </c>
      <c r="F3357" s="8">
        <v>0</v>
      </c>
      <c r="G3357" s="7">
        <v>0</v>
      </c>
      <c r="H3357" s="7">
        <v>81211.819999998</v>
      </c>
      <c r="I3357" s="7">
        <v>0</v>
      </c>
      <c r="J3357" s="8">
        <v>0</v>
      </c>
      <c r="K3357" s="9" t="str">
        <v/>
      </c>
    </row>
    <row r="3358" spans="1:11">
      <c r="A3358" t="str">
        <v/>
      </c>
      <c r="B3358" s="6">
        <v>0</v>
      </c>
      <c r="C3358" s="7" t="str">
        <v>趣点购浦发</v>
      </c>
      <c r="D3358" s="8">
        <v>0</v>
      </c>
      <c r="E3358" s="7">
        <v>0</v>
      </c>
      <c r="F3358" s="8">
        <v>0</v>
      </c>
      <c r="G3358" s="7">
        <v>0</v>
      </c>
      <c r="H3358" s="7">
        <v>81211.819999998</v>
      </c>
      <c r="I3358" s="7">
        <v>0</v>
      </c>
      <c r="J3358" s="8">
        <v>0</v>
      </c>
      <c r="K3358" s="9" t="str">
        <v/>
      </c>
    </row>
    <row r="3359" spans="1:11">
      <c r="A3359" t="str">
        <v/>
      </c>
      <c r="B3359" s="6">
        <v>0</v>
      </c>
      <c r="C3359" s="7" t="str">
        <v>趣点购浦发</v>
      </c>
      <c r="D3359" s="8">
        <v>0</v>
      </c>
      <c r="E3359" s="7">
        <v>0</v>
      </c>
      <c r="F3359" s="8">
        <v>0</v>
      </c>
      <c r="G3359" s="7">
        <v>0</v>
      </c>
      <c r="H3359" s="7">
        <v>81211.819999998</v>
      </c>
      <c r="I3359" s="7">
        <v>0</v>
      </c>
      <c r="J3359" s="8">
        <v>0</v>
      </c>
      <c r="K3359" s="9" t="str">
        <v/>
      </c>
    </row>
    <row r="3360" spans="1:11">
      <c r="A3360" t="str">
        <v/>
      </c>
      <c r="B3360" s="6">
        <v>0</v>
      </c>
      <c r="C3360" s="7" t="str">
        <v>趣点购浦发</v>
      </c>
      <c r="D3360" s="8">
        <v>0</v>
      </c>
      <c r="E3360" s="7">
        <v>0</v>
      </c>
      <c r="F3360" s="8">
        <v>0</v>
      </c>
      <c r="G3360" s="7">
        <v>0</v>
      </c>
      <c r="H3360" s="7">
        <v>81211.819999998</v>
      </c>
      <c r="I3360" s="7">
        <v>0</v>
      </c>
      <c r="J3360" s="8">
        <v>0</v>
      </c>
      <c r="K3360" s="9" t="str">
        <v/>
      </c>
    </row>
    <row r="3361" spans="1:11">
      <c r="A3361" t="str">
        <v/>
      </c>
      <c r="B3361" s="6">
        <v>0</v>
      </c>
      <c r="C3361" s="7" t="str">
        <v>趣点购浦发</v>
      </c>
      <c r="D3361" s="8">
        <v>0</v>
      </c>
      <c r="E3361" s="7">
        <v>0</v>
      </c>
      <c r="F3361" s="8">
        <v>0</v>
      </c>
      <c r="G3361" s="7">
        <v>0</v>
      </c>
      <c r="H3361" s="7">
        <v>81211.819999998</v>
      </c>
      <c r="I3361" s="7">
        <v>0</v>
      </c>
      <c r="J3361" s="8">
        <v>0</v>
      </c>
      <c r="K3361" s="9" t="str">
        <v/>
      </c>
    </row>
    <row r="3362" spans="1:11">
      <c r="A3362" t="str">
        <v/>
      </c>
      <c r="B3362" s="6">
        <v>0</v>
      </c>
      <c r="C3362" s="7" t="str">
        <v>趣点购浦发</v>
      </c>
      <c r="D3362" s="8">
        <v>0</v>
      </c>
      <c r="E3362" s="7">
        <v>0</v>
      </c>
      <c r="F3362" s="8">
        <v>0</v>
      </c>
      <c r="G3362" s="7">
        <v>0</v>
      </c>
      <c r="H3362" s="7">
        <v>81211.819999998</v>
      </c>
      <c r="I3362" s="7">
        <v>0</v>
      </c>
      <c r="J3362" s="8">
        <v>0</v>
      </c>
      <c r="K3362" s="9" t="str">
        <v/>
      </c>
    </row>
    <row r="3363" spans="1:11">
      <c r="A3363" t="str">
        <v/>
      </c>
      <c r="B3363" s="6">
        <v>0</v>
      </c>
      <c r="C3363" s="7" t="str">
        <v>趣点购浦发</v>
      </c>
      <c r="D3363" s="8">
        <v>0</v>
      </c>
      <c r="E3363" s="7">
        <v>0</v>
      </c>
      <c r="F3363" s="8">
        <v>0</v>
      </c>
      <c r="G3363" s="7">
        <v>0</v>
      </c>
      <c r="H3363" s="7">
        <v>81211.819999998</v>
      </c>
      <c r="I3363" s="7">
        <v>0</v>
      </c>
      <c r="J3363" s="8">
        <v>0</v>
      </c>
      <c r="K3363" s="9" t="str">
        <v/>
      </c>
    </row>
    <row r="3364" spans="1:11">
      <c r="A3364" t="str">
        <v/>
      </c>
      <c r="B3364" s="6">
        <v>0</v>
      </c>
      <c r="C3364" s="7" t="str">
        <v>趣点购浦发</v>
      </c>
      <c r="D3364" s="8">
        <v>0</v>
      </c>
      <c r="E3364" s="7">
        <v>0</v>
      </c>
      <c r="F3364" s="8">
        <v>0</v>
      </c>
      <c r="G3364" s="7">
        <v>0</v>
      </c>
      <c r="H3364" s="7">
        <v>81211.819999998</v>
      </c>
      <c r="I3364" s="7">
        <v>0</v>
      </c>
      <c r="J3364" s="8">
        <v>0</v>
      </c>
      <c r="K3364" s="9" t="str">
        <v/>
      </c>
    </row>
    <row r="3365" spans="1:11">
      <c r="A3365" t="str">
        <v/>
      </c>
      <c r="B3365" s="6">
        <v>0</v>
      </c>
      <c r="C3365" s="7" t="str">
        <v>趣点购浦发</v>
      </c>
      <c r="D3365" s="8">
        <v>0</v>
      </c>
      <c r="E3365" s="7">
        <v>0</v>
      </c>
      <c r="F3365" s="8">
        <v>0</v>
      </c>
      <c r="G3365" s="7">
        <v>0</v>
      </c>
      <c r="H3365" s="7">
        <v>81211.819999998</v>
      </c>
      <c r="I3365" s="7">
        <v>0</v>
      </c>
      <c r="J3365" s="8">
        <v>0</v>
      </c>
      <c r="K3365" s="9" t="str">
        <v/>
      </c>
    </row>
    <row r="3366" spans="1:11">
      <c r="A3366" t="str">
        <v/>
      </c>
      <c r="B3366" s="6">
        <v>0</v>
      </c>
      <c r="C3366" s="7" t="str">
        <v>趣点购浦发</v>
      </c>
      <c r="D3366" s="8">
        <v>0</v>
      </c>
      <c r="E3366" s="7">
        <v>0</v>
      </c>
      <c r="F3366" s="8">
        <v>0</v>
      </c>
      <c r="G3366" s="7">
        <v>0</v>
      </c>
      <c r="H3366" s="7">
        <v>81211.819999998</v>
      </c>
      <c r="I3366" s="7">
        <v>0</v>
      </c>
      <c r="J3366" s="8">
        <v>0</v>
      </c>
      <c r="K3366" s="9" t="str">
        <v/>
      </c>
    </row>
    <row r="3367" spans="1:11">
      <c r="A3367" t="str">
        <v/>
      </c>
      <c r="B3367" s="6">
        <v>0</v>
      </c>
      <c r="C3367" s="7" t="str">
        <v>趣点购浦发</v>
      </c>
      <c r="D3367" s="8">
        <v>0</v>
      </c>
      <c r="E3367" s="7">
        <v>0</v>
      </c>
      <c r="F3367" s="8">
        <v>0</v>
      </c>
      <c r="G3367" s="7">
        <v>0</v>
      </c>
      <c r="H3367" s="7">
        <v>81211.819999998</v>
      </c>
      <c r="I3367" s="7">
        <v>0</v>
      </c>
      <c r="J3367" s="8">
        <v>0</v>
      </c>
      <c r="K3367" s="9" t="str">
        <v/>
      </c>
    </row>
    <row r="3368" spans="1:11">
      <c r="A3368" t="str">
        <v/>
      </c>
      <c r="B3368" s="6">
        <v>0</v>
      </c>
      <c r="C3368" s="7" t="str">
        <v>趣点购浦发</v>
      </c>
      <c r="D3368" s="8">
        <v>0</v>
      </c>
      <c r="E3368" s="7">
        <v>0</v>
      </c>
      <c r="F3368" s="8">
        <v>0</v>
      </c>
      <c r="G3368" s="7">
        <v>0</v>
      </c>
      <c r="H3368" s="7">
        <v>81211.819999998</v>
      </c>
      <c r="I3368" s="7">
        <v>0</v>
      </c>
      <c r="J3368" s="8">
        <v>0</v>
      </c>
      <c r="K3368" s="9" t="str">
        <v/>
      </c>
    </row>
    <row r="3369" spans="1:11">
      <c r="A3369" t="str">
        <v/>
      </c>
      <c r="B3369" s="6">
        <v>0</v>
      </c>
      <c r="C3369" s="7" t="str">
        <v>趣点购浦发</v>
      </c>
      <c r="D3369" s="8">
        <v>0</v>
      </c>
      <c r="E3369" s="7">
        <v>0</v>
      </c>
      <c r="F3369" s="8">
        <v>0</v>
      </c>
      <c r="G3369" s="7">
        <v>0</v>
      </c>
      <c r="H3369" s="7">
        <v>81211.819999998</v>
      </c>
      <c r="I3369" s="7">
        <v>0</v>
      </c>
      <c r="J3369" s="8">
        <v>0</v>
      </c>
      <c r="K3369" s="9" t="str">
        <v/>
      </c>
    </row>
    <row r="3370" spans="1:11">
      <c r="A3370" t="str">
        <v/>
      </c>
      <c r="B3370" s="6">
        <v>0</v>
      </c>
      <c r="C3370" s="7" t="str">
        <v>趣点购浦发</v>
      </c>
      <c r="D3370" s="8">
        <v>0</v>
      </c>
      <c r="E3370" s="7">
        <v>0</v>
      </c>
      <c r="F3370" s="8">
        <v>0</v>
      </c>
      <c r="G3370" s="7">
        <v>0</v>
      </c>
      <c r="H3370" s="7">
        <v>81211.819999998</v>
      </c>
      <c r="I3370" s="7">
        <v>0</v>
      </c>
      <c r="J3370" s="8">
        <v>0</v>
      </c>
      <c r="K3370" s="9" t="str">
        <v/>
      </c>
    </row>
    <row r="3371" spans="1:11">
      <c r="A3371" t="str">
        <v/>
      </c>
      <c r="B3371" s="6">
        <v>0</v>
      </c>
      <c r="C3371" s="7" t="str">
        <v>趣点购浦发</v>
      </c>
      <c r="D3371" s="8">
        <v>0</v>
      </c>
      <c r="E3371" s="7">
        <v>0</v>
      </c>
      <c r="F3371" s="8">
        <v>0</v>
      </c>
      <c r="G3371" s="7">
        <v>0</v>
      </c>
      <c r="H3371" s="7">
        <v>81211.819999998</v>
      </c>
      <c r="I3371" s="7">
        <v>0</v>
      </c>
      <c r="J3371" s="8">
        <v>0</v>
      </c>
      <c r="K3371" s="9" t="str">
        <v/>
      </c>
    </row>
    <row r="3372" spans="1:11">
      <c r="A3372" t="str">
        <v/>
      </c>
      <c r="B3372" s="6">
        <v>0</v>
      </c>
      <c r="C3372" s="7" t="str">
        <v>趣点购浦发</v>
      </c>
      <c r="D3372" s="8">
        <v>0</v>
      </c>
      <c r="E3372" s="7">
        <v>0</v>
      </c>
      <c r="F3372" s="8">
        <v>0</v>
      </c>
      <c r="G3372" s="7">
        <v>0</v>
      </c>
      <c r="H3372" s="7">
        <v>81211.819999998</v>
      </c>
      <c r="I3372" s="7">
        <v>0</v>
      </c>
      <c r="J3372" s="8">
        <v>0</v>
      </c>
      <c r="K3372" s="9" t="str">
        <v/>
      </c>
    </row>
    <row r="3373" spans="1:11">
      <c r="A3373" t="str">
        <v/>
      </c>
      <c r="B3373" s="6">
        <v>0</v>
      </c>
      <c r="C3373" s="7" t="str">
        <v>趣点购浦发</v>
      </c>
      <c r="D3373" s="8">
        <v>0</v>
      </c>
      <c r="E3373" s="7">
        <v>0</v>
      </c>
      <c r="F3373" s="8">
        <v>0</v>
      </c>
      <c r="G3373" s="7">
        <v>0</v>
      </c>
      <c r="H3373" s="7">
        <v>81211.819999998</v>
      </c>
      <c r="I3373" s="7">
        <v>0</v>
      </c>
      <c r="J3373" s="8">
        <v>0</v>
      </c>
      <c r="K3373" s="9" t="str">
        <v/>
      </c>
    </row>
    <row r="3374" spans="1:11">
      <c r="A3374" t="str">
        <v/>
      </c>
      <c r="B3374" s="6">
        <v>0</v>
      </c>
      <c r="C3374" s="7" t="str">
        <v>趣点购浦发</v>
      </c>
      <c r="D3374" s="8">
        <v>0</v>
      </c>
      <c r="E3374" s="7">
        <v>0</v>
      </c>
      <c r="F3374" s="8">
        <v>0</v>
      </c>
      <c r="G3374" s="7">
        <v>0</v>
      </c>
      <c r="H3374" s="7">
        <v>81211.819999998</v>
      </c>
      <c r="I3374" s="7">
        <v>0</v>
      </c>
      <c r="J3374" s="8">
        <v>0</v>
      </c>
      <c r="K3374" s="9" t="str">
        <v/>
      </c>
    </row>
    <row r="3375" spans="1:11">
      <c r="A3375" t="str">
        <v/>
      </c>
      <c r="B3375" s="6">
        <v>0</v>
      </c>
      <c r="C3375" s="7" t="str">
        <v>趣点购浦发</v>
      </c>
      <c r="D3375" s="8">
        <v>0</v>
      </c>
      <c r="E3375" s="7">
        <v>0</v>
      </c>
      <c r="F3375" s="8">
        <v>0</v>
      </c>
      <c r="G3375" s="7">
        <v>0</v>
      </c>
      <c r="H3375" s="7">
        <v>81211.819999998</v>
      </c>
      <c r="I3375" s="7">
        <v>0</v>
      </c>
      <c r="J3375" s="8">
        <v>0</v>
      </c>
      <c r="K3375" s="9" t="str">
        <v/>
      </c>
    </row>
    <row r="3376" spans="1:11">
      <c r="A3376" t="str">
        <v/>
      </c>
      <c r="B3376" s="6">
        <v>0</v>
      </c>
      <c r="C3376" s="7" t="str">
        <v>趣点购浦发</v>
      </c>
      <c r="D3376" s="8">
        <v>0</v>
      </c>
      <c r="E3376" s="7">
        <v>0</v>
      </c>
      <c r="F3376" s="8">
        <v>0</v>
      </c>
      <c r="G3376" s="7">
        <v>0</v>
      </c>
      <c r="H3376" s="7">
        <v>81211.819999998</v>
      </c>
      <c r="I3376" s="7">
        <v>0</v>
      </c>
      <c r="J3376" s="8">
        <v>0</v>
      </c>
      <c r="K3376" s="9" t="str">
        <v/>
      </c>
    </row>
    <row r="3377" spans="1:11">
      <c r="A3377" t="str">
        <v/>
      </c>
      <c r="B3377" s="6">
        <v>0</v>
      </c>
      <c r="C3377" s="7" t="str">
        <v>趣点购浦发</v>
      </c>
      <c r="D3377" s="8">
        <v>0</v>
      </c>
      <c r="E3377" s="7">
        <v>0</v>
      </c>
      <c r="F3377" s="8">
        <v>0</v>
      </c>
      <c r="G3377" s="7">
        <v>0</v>
      </c>
      <c r="H3377" s="7">
        <v>81211.819999998</v>
      </c>
      <c r="I3377" s="7">
        <v>0</v>
      </c>
      <c r="J3377" s="8">
        <v>0</v>
      </c>
      <c r="K3377" s="9" t="str">
        <v/>
      </c>
    </row>
    <row r="3378" spans="1:11">
      <c r="A3378" t="str">
        <v/>
      </c>
      <c r="B3378" s="6">
        <v>0</v>
      </c>
      <c r="C3378" s="7" t="str">
        <v>趣点购浦发</v>
      </c>
      <c r="D3378" s="8">
        <v>0</v>
      </c>
      <c r="E3378" s="7">
        <v>0</v>
      </c>
      <c r="F3378" s="8">
        <v>0</v>
      </c>
      <c r="G3378" s="7">
        <v>0</v>
      </c>
      <c r="H3378" s="7">
        <v>81211.819999998</v>
      </c>
      <c r="I3378" s="7">
        <v>0</v>
      </c>
      <c r="J3378" s="8">
        <v>0</v>
      </c>
      <c r="K3378" s="9" t="str">
        <v/>
      </c>
    </row>
    <row r="3379" spans="1:11">
      <c r="A3379" t="str">
        <v/>
      </c>
      <c r="B3379" s="6">
        <v>0</v>
      </c>
      <c r="C3379" s="7" t="str">
        <v>趣点购浦发</v>
      </c>
      <c r="D3379" s="8">
        <v>0</v>
      </c>
      <c r="E3379" s="7">
        <v>0</v>
      </c>
      <c r="F3379" s="8">
        <v>0</v>
      </c>
      <c r="G3379" s="7">
        <v>0</v>
      </c>
      <c r="H3379" s="7">
        <v>81211.819999998</v>
      </c>
      <c r="I3379" s="7">
        <v>0</v>
      </c>
      <c r="J3379" s="8">
        <v>0</v>
      </c>
      <c r="K3379" s="9" t="str">
        <v/>
      </c>
    </row>
    <row r="3380" spans="1:11">
      <c r="A3380" t="str">
        <v/>
      </c>
      <c r="B3380" s="6">
        <v>0</v>
      </c>
      <c r="C3380" s="7" t="str">
        <v>趣点购浦发</v>
      </c>
      <c r="D3380" s="8">
        <v>0</v>
      </c>
      <c r="E3380" s="7">
        <v>0</v>
      </c>
      <c r="F3380" s="8">
        <v>0</v>
      </c>
      <c r="G3380" s="7">
        <v>0</v>
      </c>
      <c r="H3380" s="7">
        <v>81211.819999998</v>
      </c>
      <c r="I3380" s="7">
        <v>0</v>
      </c>
      <c r="J3380" s="8">
        <v>0</v>
      </c>
      <c r="K3380" s="9" t="str">
        <v/>
      </c>
    </row>
    <row r="3381" spans="1:11">
      <c r="A3381" t="str">
        <v/>
      </c>
      <c r="B3381" s="6">
        <v>0</v>
      </c>
      <c r="C3381" s="7" t="str">
        <v>趣点购浦发</v>
      </c>
      <c r="D3381" s="8">
        <v>0</v>
      </c>
      <c r="E3381" s="7">
        <v>0</v>
      </c>
      <c r="F3381" s="8">
        <v>0</v>
      </c>
      <c r="G3381" s="7">
        <v>0</v>
      </c>
      <c r="H3381" s="7">
        <v>81211.819999998</v>
      </c>
      <c r="I3381" s="7">
        <v>0</v>
      </c>
      <c r="J3381" s="8">
        <v>0</v>
      </c>
      <c r="K3381" s="9" t="str">
        <v/>
      </c>
    </row>
    <row r="3382" spans="1:11">
      <c r="A3382" t="str">
        <v/>
      </c>
      <c r="B3382" s="6">
        <v>0</v>
      </c>
      <c r="C3382" s="7" t="str">
        <v>趣点购浦发</v>
      </c>
      <c r="D3382" s="8">
        <v>0</v>
      </c>
      <c r="E3382" s="7">
        <v>0</v>
      </c>
      <c r="F3382" s="8">
        <v>0</v>
      </c>
      <c r="G3382" s="7">
        <v>0</v>
      </c>
      <c r="H3382" s="7">
        <v>81211.819999998</v>
      </c>
      <c r="I3382" s="7">
        <v>0</v>
      </c>
      <c r="J3382" s="8">
        <v>0</v>
      </c>
      <c r="K3382" s="9" t="str">
        <v/>
      </c>
    </row>
    <row r="3383" spans="1:11">
      <c r="A3383" t="str">
        <v/>
      </c>
      <c r="B3383" s="6">
        <v>0</v>
      </c>
      <c r="C3383" s="7" t="str">
        <v>趣点购浦发</v>
      </c>
      <c r="D3383" s="8">
        <v>0</v>
      </c>
      <c r="E3383" s="7">
        <v>0</v>
      </c>
      <c r="F3383" s="8">
        <v>0</v>
      </c>
      <c r="G3383" s="7">
        <v>0</v>
      </c>
      <c r="H3383" s="7">
        <v>81211.819999998</v>
      </c>
      <c r="I3383" s="7">
        <v>0</v>
      </c>
      <c r="J3383" s="8">
        <v>0</v>
      </c>
      <c r="K3383" s="9" t="str">
        <v/>
      </c>
    </row>
    <row r="3384" spans="1:11">
      <c r="A3384" t="str">
        <v/>
      </c>
      <c r="B3384" s="6">
        <v>0</v>
      </c>
      <c r="C3384" s="7" t="str">
        <v>趣点购浦发</v>
      </c>
      <c r="D3384" s="8">
        <v>0</v>
      </c>
      <c r="E3384" s="7">
        <v>0</v>
      </c>
      <c r="F3384" s="8">
        <v>0</v>
      </c>
      <c r="G3384" s="7">
        <v>0</v>
      </c>
      <c r="H3384" s="7">
        <v>81211.819999998</v>
      </c>
      <c r="I3384" s="7">
        <v>0</v>
      </c>
      <c r="J3384" s="8">
        <v>0</v>
      </c>
      <c r="K3384" s="9" t="str">
        <v/>
      </c>
    </row>
    <row r="3385" spans="1:11">
      <c r="A3385" t="str">
        <v/>
      </c>
      <c r="B3385" s="6">
        <v>0</v>
      </c>
      <c r="C3385" s="7" t="str">
        <v>趣点购浦发</v>
      </c>
      <c r="D3385" s="8">
        <v>0</v>
      </c>
      <c r="E3385" s="7">
        <v>0</v>
      </c>
      <c r="F3385" s="8">
        <v>0</v>
      </c>
      <c r="G3385" s="7">
        <v>0</v>
      </c>
      <c r="H3385" s="7">
        <v>81211.819999998</v>
      </c>
      <c r="I3385" s="7">
        <v>0</v>
      </c>
      <c r="J3385" s="8">
        <v>0</v>
      </c>
      <c r="K3385" s="9" t="str">
        <v/>
      </c>
    </row>
    <row r="3386" spans="1:11">
      <c r="A3386" t="str">
        <v/>
      </c>
      <c r="B3386" s="6">
        <v>0</v>
      </c>
      <c r="C3386" s="7" t="str">
        <v>趣点购浦发</v>
      </c>
      <c r="D3386" s="8">
        <v>0</v>
      </c>
      <c r="E3386" s="7">
        <v>0</v>
      </c>
      <c r="F3386" s="8">
        <v>0</v>
      </c>
      <c r="G3386" s="7">
        <v>0</v>
      </c>
      <c r="H3386" s="7">
        <v>81211.819999998</v>
      </c>
      <c r="I3386" s="7">
        <v>0</v>
      </c>
      <c r="J3386" s="8">
        <v>0</v>
      </c>
      <c r="K3386" s="9" t="str">
        <v/>
      </c>
    </row>
    <row r="3387" spans="1:11">
      <c r="A3387" t="str">
        <v/>
      </c>
      <c r="B3387" s="6">
        <v>0</v>
      </c>
      <c r="C3387" s="7" t="str">
        <v>趣点购浦发</v>
      </c>
      <c r="D3387" s="8">
        <v>0</v>
      </c>
      <c r="E3387" s="7">
        <v>0</v>
      </c>
      <c r="F3387" s="8">
        <v>0</v>
      </c>
      <c r="G3387" s="7">
        <v>0</v>
      </c>
      <c r="H3387" s="7">
        <v>81211.819999998</v>
      </c>
      <c r="I3387" s="7">
        <v>0</v>
      </c>
      <c r="J3387" s="8">
        <v>0</v>
      </c>
      <c r="K3387" s="9" t="str">
        <v/>
      </c>
    </row>
    <row r="3388" spans="1:11">
      <c r="A3388" t="str">
        <v/>
      </c>
      <c r="B3388" s="6">
        <v>0</v>
      </c>
      <c r="C3388" s="7" t="str">
        <v>趣点购浦发</v>
      </c>
      <c r="D3388" s="8">
        <v>0</v>
      </c>
      <c r="E3388" s="7">
        <v>0</v>
      </c>
      <c r="F3388" s="8">
        <v>0</v>
      </c>
      <c r="G3388" s="7">
        <v>0</v>
      </c>
      <c r="H3388" s="7">
        <v>81211.819999998</v>
      </c>
      <c r="I3388" s="7">
        <v>0</v>
      </c>
      <c r="J3388" s="8">
        <v>0</v>
      </c>
      <c r="K3388" s="9" t="str">
        <v/>
      </c>
    </row>
    <row r="3389" spans="1:11">
      <c r="A3389" t="str">
        <v/>
      </c>
      <c r="B3389" s="6">
        <v>0</v>
      </c>
      <c r="C3389" s="7" t="str">
        <v>趣点购浦发</v>
      </c>
      <c r="D3389" s="8">
        <v>0</v>
      </c>
      <c r="E3389" s="7">
        <v>0</v>
      </c>
      <c r="F3389" s="8">
        <v>0</v>
      </c>
      <c r="G3389" s="7">
        <v>0</v>
      </c>
      <c r="H3389" s="7">
        <v>81211.819999998</v>
      </c>
      <c r="I3389" s="7">
        <v>0</v>
      </c>
      <c r="J3389" s="8">
        <v>0</v>
      </c>
      <c r="K3389" s="9" t="str">
        <v/>
      </c>
    </row>
    <row r="3390" spans="1:11">
      <c r="A3390" t="str">
        <v/>
      </c>
      <c r="B3390" s="6">
        <v>0</v>
      </c>
      <c r="C3390" s="7" t="str">
        <v>趣点购浦发</v>
      </c>
      <c r="D3390" s="8">
        <v>0</v>
      </c>
      <c r="E3390" s="7">
        <v>0</v>
      </c>
      <c r="F3390" s="8">
        <v>0</v>
      </c>
      <c r="G3390" s="7">
        <v>0</v>
      </c>
      <c r="H3390" s="7">
        <v>81211.819999998</v>
      </c>
      <c r="I3390" s="7">
        <v>0</v>
      </c>
      <c r="J3390" s="8">
        <v>0</v>
      </c>
      <c r="K3390" s="9" t="str">
        <v/>
      </c>
    </row>
    <row r="3391" spans="1:11">
      <c r="A3391" t="str">
        <v/>
      </c>
      <c r="B3391" s="6">
        <v>0</v>
      </c>
      <c r="C3391" s="7" t="str">
        <v>趣点购浦发</v>
      </c>
      <c r="D3391" s="8">
        <v>0</v>
      </c>
      <c r="E3391" s="7">
        <v>0</v>
      </c>
      <c r="F3391" s="8">
        <v>0</v>
      </c>
      <c r="G3391" s="7">
        <v>0</v>
      </c>
      <c r="H3391" s="7">
        <v>81211.819999998</v>
      </c>
      <c r="I3391" s="7">
        <v>0</v>
      </c>
      <c r="J3391" s="8">
        <v>0</v>
      </c>
      <c r="K3391" s="9" t="str">
        <v/>
      </c>
    </row>
    <row r="3392" spans="1:11">
      <c r="A3392" t="str">
        <v/>
      </c>
      <c r="B3392" s="6">
        <v>0</v>
      </c>
      <c r="C3392" s="7" t="str">
        <v>趣点购浦发</v>
      </c>
      <c r="D3392" s="8">
        <v>0</v>
      </c>
      <c r="E3392" s="7">
        <v>0</v>
      </c>
      <c r="F3392" s="8">
        <v>0</v>
      </c>
      <c r="G3392" s="7">
        <v>0</v>
      </c>
      <c r="H3392" s="7">
        <v>81211.819999998</v>
      </c>
      <c r="I3392" s="7">
        <v>0</v>
      </c>
      <c r="J3392" s="8">
        <v>0</v>
      </c>
      <c r="K3392" s="9" t="str">
        <v/>
      </c>
    </row>
    <row r="3393" spans="1:11">
      <c r="A3393" t="str">
        <v/>
      </c>
      <c r="B3393" s="6">
        <v>0</v>
      </c>
      <c r="C3393" s="7" t="str">
        <v>趣点购浦发</v>
      </c>
      <c r="D3393" s="8">
        <v>0</v>
      </c>
      <c r="E3393" s="7">
        <v>0</v>
      </c>
      <c r="F3393" s="8">
        <v>0</v>
      </c>
      <c r="G3393" s="7">
        <v>0</v>
      </c>
      <c r="H3393" s="7">
        <v>81211.819999998</v>
      </c>
      <c r="I3393" s="7">
        <v>0</v>
      </c>
      <c r="J3393" s="8">
        <v>0</v>
      </c>
      <c r="K3393" s="9" t="str">
        <v/>
      </c>
    </row>
    <row r="3394" spans="1:11">
      <c r="A3394" t="str">
        <v/>
      </c>
      <c r="B3394" s="6">
        <v>0</v>
      </c>
      <c r="C3394" s="7" t="str">
        <v>趣点购浦发</v>
      </c>
      <c r="D3394" s="8">
        <v>0</v>
      </c>
      <c r="E3394" s="7">
        <v>0</v>
      </c>
      <c r="F3394" s="8">
        <v>0</v>
      </c>
      <c r="G3394" s="7">
        <v>0</v>
      </c>
      <c r="H3394" s="7">
        <v>81211.819999998</v>
      </c>
      <c r="I3394" s="7">
        <v>0</v>
      </c>
      <c r="J3394" s="8">
        <v>0</v>
      </c>
      <c r="K3394" s="9" t="str">
        <v/>
      </c>
    </row>
    <row r="3395" spans="1:11">
      <c r="A3395" t="str">
        <v/>
      </c>
      <c r="B3395" s="6">
        <v>0</v>
      </c>
      <c r="C3395" s="7" t="str">
        <v>趣点购浦发</v>
      </c>
      <c r="D3395" s="8">
        <v>0</v>
      </c>
      <c r="E3395" s="7">
        <v>0</v>
      </c>
      <c r="F3395" s="8">
        <v>0</v>
      </c>
      <c r="G3395" s="7">
        <v>0</v>
      </c>
      <c r="H3395" s="7">
        <v>81211.819999998</v>
      </c>
      <c r="I3395" s="7">
        <v>0</v>
      </c>
      <c r="J3395" s="8">
        <v>0</v>
      </c>
      <c r="K3395" s="9" t="str">
        <v/>
      </c>
    </row>
    <row r="3396" spans="1:11">
      <c r="A3396" t="str">
        <v/>
      </c>
      <c r="B3396" s="6">
        <v>0</v>
      </c>
      <c r="C3396" s="7" t="str">
        <v>趣点购浦发</v>
      </c>
      <c r="D3396" s="8">
        <v>0</v>
      </c>
      <c r="E3396" s="7">
        <v>0</v>
      </c>
      <c r="F3396" s="8">
        <v>0</v>
      </c>
      <c r="G3396" s="7">
        <v>0</v>
      </c>
      <c r="H3396" s="7">
        <v>81211.819999998</v>
      </c>
      <c r="I3396" s="7">
        <v>0</v>
      </c>
      <c r="J3396" s="8">
        <v>0</v>
      </c>
      <c r="K3396" s="9" t="str">
        <v/>
      </c>
    </row>
    <row r="3397" spans="1:11">
      <c r="A3397" t="str">
        <v/>
      </c>
      <c r="B3397" s="6">
        <v>0</v>
      </c>
      <c r="C3397" s="7" t="str">
        <v>趣点购浦发</v>
      </c>
      <c r="D3397" s="8">
        <v>0</v>
      </c>
      <c r="E3397" s="7">
        <v>0</v>
      </c>
      <c r="F3397" s="8">
        <v>0</v>
      </c>
      <c r="G3397" s="7">
        <v>0</v>
      </c>
      <c r="H3397" s="7">
        <v>81211.819999998</v>
      </c>
      <c r="I3397" s="7">
        <v>0</v>
      </c>
      <c r="J3397" s="8">
        <v>0</v>
      </c>
      <c r="K3397" s="9" t="str">
        <v/>
      </c>
    </row>
    <row r="3398" spans="1:11">
      <c r="A3398" t="str">
        <v/>
      </c>
      <c r="B3398" s="6">
        <v>0</v>
      </c>
      <c r="C3398" s="7" t="str">
        <v>趣点购浦发</v>
      </c>
      <c r="D3398" s="8">
        <v>0</v>
      </c>
      <c r="E3398" s="7">
        <v>0</v>
      </c>
      <c r="F3398" s="8">
        <v>0</v>
      </c>
      <c r="G3398" s="7">
        <v>0</v>
      </c>
      <c r="H3398" s="7">
        <v>81211.819999998</v>
      </c>
      <c r="I3398" s="7">
        <v>0</v>
      </c>
      <c r="J3398" s="8">
        <v>0</v>
      </c>
      <c r="K3398" s="9" t="str">
        <v/>
      </c>
    </row>
    <row r="3399" spans="1:11">
      <c r="A3399" t="str">
        <v/>
      </c>
      <c r="B3399" s="6">
        <v>0</v>
      </c>
      <c r="C3399" s="7" t="str">
        <v>趣点购浦发</v>
      </c>
      <c r="D3399" s="8">
        <v>0</v>
      </c>
      <c r="E3399" s="7">
        <v>0</v>
      </c>
      <c r="F3399" s="8">
        <v>0</v>
      </c>
      <c r="G3399" s="7">
        <v>0</v>
      </c>
      <c r="H3399" s="7">
        <v>81211.819999998</v>
      </c>
      <c r="I3399" s="7">
        <v>0</v>
      </c>
      <c r="J3399" s="8">
        <v>0</v>
      </c>
      <c r="K3399" s="9" t="str">
        <v/>
      </c>
    </row>
    <row r="3400" spans="1:11">
      <c r="A3400" t="str">
        <v/>
      </c>
      <c r="B3400" s="6">
        <v>0</v>
      </c>
      <c r="C3400" s="7" t="str">
        <v>趣点购浦发</v>
      </c>
      <c r="D3400" s="8">
        <v>0</v>
      </c>
      <c r="E3400" s="7">
        <v>0</v>
      </c>
      <c r="F3400" s="8">
        <v>0</v>
      </c>
      <c r="G3400" s="7">
        <v>0</v>
      </c>
      <c r="H3400" s="7">
        <v>81211.819999998</v>
      </c>
      <c r="I3400" s="7">
        <v>0</v>
      </c>
      <c r="J3400" s="8">
        <v>0</v>
      </c>
      <c r="K3400" s="9" t="str">
        <v/>
      </c>
    </row>
    <row r="3401" spans="1:11">
      <c r="A3401" t="str">
        <v/>
      </c>
      <c r="B3401" s="6">
        <v>0</v>
      </c>
      <c r="C3401" s="7" t="str">
        <v>趣点购浦发</v>
      </c>
      <c r="D3401" s="8">
        <v>0</v>
      </c>
      <c r="E3401" s="7">
        <v>0</v>
      </c>
      <c r="F3401" s="8">
        <v>0</v>
      </c>
      <c r="G3401" s="7">
        <v>0</v>
      </c>
      <c r="H3401" s="7">
        <v>81211.819999998</v>
      </c>
      <c r="I3401" s="7">
        <v>0</v>
      </c>
      <c r="J3401" s="8">
        <v>0</v>
      </c>
      <c r="K3401" s="9" t="str">
        <v/>
      </c>
    </row>
    <row r="3402" spans="1:11">
      <c r="A3402" t="str">
        <v/>
      </c>
      <c r="B3402" s="6">
        <v>0</v>
      </c>
      <c r="C3402" s="7" t="str">
        <v>趣点购浦发</v>
      </c>
      <c r="D3402" s="8">
        <v>0</v>
      </c>
      <c r="E3402" s="7">
        <v>0</v>
      </c>
      <c r="F3402" s="8">
        <v>0</v>
      </c>
      <c r="G3402" s="7">
        <v>0</v>
      </c>
      <c r="H3402" s="7">
        <v>81211.819999998</v>
      </c>
      <c r="I3402" s="7">
        <v>0</v>
      </c>
      <c r="J3402" s="8">
        <v>0</v>
      </c>
      <c r="K3402" s="9" t="str">
        <v/>
      </c>
    </row>
    <row r="3403" spans="1:11">
      <c r="A3403" t="str">
        <v/>
      </c>
      <c r="B3403" s="6">
        <v>0</v>
      </c>
      <c r="C3403" s="7" t="str">
        <v>趣点购浦发</v>
      </c>
      <c r="D3403" s="8">
        <v>0</v>
      </c>
      <c r="E3403" s="7">
        <v>0</v>
      </c>
      <c r="F3403" s="8">
        <v>0</v>
      </c>
      <c r="G3403" s="7">
        <v>0</v>
      </c>
      <c r="H3403" s="7">
        <v>81211.819999998</v>
      </c>
      <c r="I3403" s="7">
        <v>0</v>
      </c>
      <c r="J3403" s="8">
        <v>0</v>
      </c>
      <c r="K3403" s="9" t="str">
        <v/>
      </c>
    </row>
    <row r="3404" spans="1:11">
      <c r="A3404" t="str">
        <v/>
      </c>
      <c r="B3404" s="6">
        <v>0</v>
      </c>
      <c r="C3404" s="7" t="str">
        <v>趣点购浦发</v>
      </c>
      <c r="D3404" s="8">
        <v>0</v>
      </c>
      <c r="E3404" s="7">
        <v>0</v>
      </c>
      <c r="F3404" s="8">
        <v>0</v>
      </c>
      <c r="G3404" s="7">
        <v>0</v>
      </c>
      <c r="H3404" s="7">
        <v>81211.819999998</v>
      </c>
      <c r="I3404" s="7">
        <v>0</v>
      </c>
      <c r="J3404" s="8">
        <v>0</v>
      </c>
      <c r="K3404" s="9" t="str">
        <v/>
      </c>
    </row>
    <row r="3405" spans="1:11">
      <c r="A3405" t="str">
        <v/>
      </c>
      <c r="B3405" s="6">
        <v>0</v>
      </c>
      <c r="C3405" s="7" t="str">
        <v>趣点购浦发</v>
      </c>
      <c r="D3405" s="8">
        <v>0</v>
      </c>
      <c r="E3405" s="7">
        <v>0</v>
      </c>
      <c r="F3405" s="8">
        <v>0</v>
      </c>
      <c r="G3405" s="7">
        <v>0</v>
      </c>
      <c r="H3405" s="7">
        <v>81211.819999998</v>
      </c>
      <c r="I3405" s="7">
        <v>0</v>
      </c>
      <c r="J3405" s="8">
        <v>0</v>
      </c>
      <c r="K3405" s="9" t="str">
        <v/>
      </c>
    </row>
    <row r="3406" spans="1:11">
      <c r="A3406" t="str">
        <v/>
      </c>
      <c r="B3406" s="6">
        <v>0</v>
      </c>
      <c r="C3406" s="7" t="str">
        <v>趣点购浦发</v>
      </c>
      <c r="D3406" s="8">
        <v>0</v>
      </c>
      <c r="E3406" s="7">
        <v>0</v>
      </c>
      <c r="F3406" s="8">
        <v>0</v>
      </c>
      <c r="G3406" s="7">
        <v>0</v>
      </c>
      <c r="H3406" s="7">
        <v>81211.819999998</v>
      </c>
      <c r="I3406" s="7">
        <v>0</v>
      </c>
      <c r="J3406" s="8">
        <v>0</v>
      </c>
      <c r="K3406" s="9" t="str">
        <v/>
      </c>
    </row>
    <row r="3407" spans="1:11">
      <c r="A3407" t="str">
        <v/>
      </c>
      <c r="B3407" s="6">
        <v>0</v>
      </c>
      <c r="C3407" s="7" t="str">
        <v>趣点购浦发</v>
      </c>
      <c r="D3407" s="8">
        <v>0</v>
      </c>
      <c r="E3407" s="7">
        <v>0</v>
      </c>
      <c r="F3407" s="8">
        <v>0</v>
      </c>
      <c r="G3407" s="7">
        <v>0</v>
      </c>
      <c r="H3407" s="7">
        <v>81211.819999998</v>
      </c>
      <c r="I3407" s="7">
        <v>0</v>
      </c>
      <c r="J3407" s="8">
        <v>0</v>
      </c>
      <c r="K3407" s="9" t="str">
        <v/>
      </c>
    </row>
    <row r="3408" spans="1:11">
      <c r="A3408" t="str">
        <v/>
      </c>
      <c r="B3408" s="6">
        <v>0</v>
      </c>
      <c r="C3408" s="7" t="str">
        <v>趣点购浦发</v>
      </c>
      <c r="D3408" s="8">
        <v>0</v>
      </c>
      <c r="E3408" s="7">
        <v>0</v>
      </c>
      <c r="F3408" s="8">
        <v>0</v>
      </c>
      <c r="G3408" s="7">
        <v>0</v>
      </c>
      <c r="H3408" s="7">
        <v>81211.819999998</v>
      </c>
      <c r="I3408" s="7">
        <v>0</v>
      </c>
      <c r="J3408" s="8">
        <v>0</v>
      </c>
      <c r="K3408" s="9" t="str">
        <v/>
      </c>
    </row>
    <row r="3409" spans="1:11">
      <c r="A3409" t="str">
        <v/>
      </c>
      <c r="B3409" s="6">
        <v>0</v>
      </c>
      <c r="C3409" s="7" t="str">
        <v>趣点购浦发</v>
      </c>
      <c r="D3409" s="8">
        <v>0</v>
      </c>
      <c r="E3409" s="7">
        <v>0</v>
      </c>
      <c r="F3409" s="8">
        <v>0</v>
      </c>
      <c r="G3409" s="7">
        <v>0</v>
      </c>
      <c r="H3409" s="7">
        <v>81211.819999998</v>
      </c>
      <c r="I3409" s="7">
        <v>0</v>
      </c>
      <c r="J3409" s="8">
        <v>0</v>
      </c>
      <c r="K3409" s="9" t="str">
        <v/>
      </c>
    </row>
    <row r="3410" spans="1:11">
      <c r="A3410" t="str">
        <v/>
      </c>
      <c r="B3410" s="6">
        <v>0</v>
      </c>
      <c r="C3410" s="7" t="str">
        <v>趣点购浦发</v>
      </c>
      <c r="D3410" s="8">
        <v>0</v>
      </c>
      <c r="E3410" s="7">
        <v>0</v>
      </c>
      <c r="F3410" s="8">
        <v>0</v>
      </c>
      <c r="G3410" s="7">
        <v>0</v>
      </c>
      <c r="H3410" s="7">
        <v>81211.819999998</v>
      </c>
      <c r="I3410" s="7">
        <v>0</v>
      </c>
      <c r="J3410" s="8">
        <v>0</v>
      </c>
      <c r="K3410" s="9" t="str">
        <v/>
      </c>
    </row>
    <row r="3411" spans="1:11">
      <c r="A3411" t="str">
        <v/>
      </c>
      <c r="B3411" s="6">
        <v>0</v>
      </c>
      <c r="C3411" s="7" t="str">
        <v>趣点购浦发</v>
      </c>
      <c r="D3411" s="8">
        <v>0</v>
      </c>
      <c r="E3411" s="7">
        <v>0</v>
      </c>
      <c r="F3411" s="8">
        <v>0</v>
      </c>
      <c r="G3411" s="7">
        <v>0</v>
      </c>
      <c r="H3411" s="7">
        <v>81211.819999998</v>
      </c>
      <c r="I3411" s="7">
        <v>0</v>
      </c>
      <c r="J3411" s="8">
        <v>0</v>
      </c>
      <c r="K3411" s="9" t="str">
        <v/>
      </c>
    </row>
    <row r="3412" spans="1:11">
      <c r="A3412" t="str">
        <v/>
      </c>
      <c r="B3412" s="6">
        <v>0</v>
      </c>
      <c r="C3412" s="7" t="str">
        <v>趣点购浦发</v>
      </c>
      <c r="D3412" s="8">
        <v>0</v>
      </c>
      <c r="E3412" s="7">
        <v>0</v>
      </c>
      <c r="F3412" s="8">
        <v>0</v>
      </c>
      <c r="G3412" s="7">
        <v>0</v>
      </c>
      <c r="H3412" s="7">
        <v>81211.819999998</v>
      </c>
      <c r="I3412" s="7">
        <v>0</v>
      </c>
      <c r="J3412" s="8">
        <v>0</v>
      </c>
      <c r="K3412" s="9" t="str">
        <v/>
      </c>
    </row>
    <row r="3413" spans="1:11">
      <c r="A3413" t="str">
        <v/>
      </c>
      <c r="B3413" s="6">
        <v>0</v>
      </c>
      <c r="C3413" s="7" t="str">
        <v>趣点购浦发</v>
      </c>
      <c r="D3413" s="8">
        <v>0</v>
      </c>
      <c r="E3413" s="7">
        <v>0</v>
      </c>
      <c r="F3413" s="8">
        <v>0</v>
      </c>
      <c r="G3413" s="7">
        <v>0</v>
      </c>
      <c r="H3413" s="7">
        <v>81211.819999998</v>
      </c>
      <c r="I3413" s="7">
        <v>0</v>
      </c>
      <c r="J3413" s="8">
        <v>0</v>
      </c>
      <c r="K3413" s="9" t="str">
        <v/>
      </c>
    </row>
    <row r="3414" spans="1:11">
      <c r="A3414" t="str">
        <v/>
      </c>
      <c r="B3414" s="6">
        <v>0</v>
      </c>
      <c r="C3414" s="7" t="str">
        <v>趣点购浦发</v>
      </c>
      <c r="D3414" s="8">
        <v>0</v>
      </c>
      <c r="E3414" s="7">
        <v>0</v>
      </c>
      <c r="F3414" s="8">
        <v>0</v>
      </c>
      <c r="G3414" s="7">
        <v>0</v>
      </c>
      <c r="H3414" s="7">
        <v>81211.819999998</v>
      </c>
      <c r="I3414" s="7">
        <v>0</v>
      </c>
      <c r="J3414" s="8">
        <v>0</v>
      </c>
      <c r="K3414" s="9" t="str">
        <v/>
      </c>
    </row>
    <row r="3415" spans="1:11">
      <c r="A3415" t="str">
        <v/>
      </c>
      <c r="B3415" s="6">
        <v>0</v>
      </c>
      <c r="C3415" s="7" t="str">
        <v>趣点购浦发</v>
      </c>
      <c r="D3415" s="8">
        <v>0</v>
      </c>
      <c r="E3415" s="7">
        <v>0</v>
      </c>
      <c r="F3415" s="8">
        <v>0</v>
      </c>
      <c r="G3415" s="7">
        <v>0</v>
      </c>
      <c r="H3415" s="7">
        <v>81211.819999998</v>
      </c>
      <c r="I3415" s="7">
        <v>0</v>
      </c>
      <c r="J3415" s="8">
        <v>0</v>
      </c>
      <c r="K3415" s="9" t="str">
        <v/>
      </c>
    </row>
    <row r="3416" spans="1:11">
      <c r="A3416" t="str">
        <v/>
      </c>
      <c r="B3416" s="6">
        <v>0</v>
      </c>
      <c r="C3416" s="7" t="str">
        <v>趣点购浦发</v>
      </c>
      <c r="D3416" s="8">
        <v>0</v>
      </c>
      <c r="E3416" s="7">
        <v>0</v>
      </c>
      <c r="F3416" s="8">
        <v>0</v>
      </c>
      <c r="G3416" s="7">
        <v>0</v>
      </c>
      <c r="H3416" s="7">
        <v>81211.819999998</v>
      </c>
      <c r="I3416" s="7">
        <v>0</v>
      </c>
      <c r="J3416" s="8">
        <v>0</v>
      </c>
      <c r="K3416" s="9" t="str">
        <v/>
      </c>
    </row>
    <row r="3417" spans="1:11">
      <c r="A3417" t="str">
        <v/>
      </c>
      <c r="B3417" s="6">
        <v>0</v>
      </c>
      <c r="C3417" s="7" t="str">
        <v>趣点购浦发</v>
      </c>
      <c r="D3417" s="8">
        <v>0</v>
      </c>
      <c r="E3417" s="7">
        <v>0</v>
      </c>
      <c r="F3417" s="8">
        <v>0</v>
      </c>
      <c r="G3417" s="7">
        <v>0</v>
      </c>
      <c r="H3417" s="7">
        <v>81211.819999998</v>
      </c>
      <c r="I3417" s="7">
        <v>0</v>
      </c>
      <c r="J3417" s="8">
        <v>0</v>
      </c>
      <c r="K3417" s="9" t="str">
        <v/>
      </c>
    </row>
    <row r="3418" spans="1:11">
      <c r="A3418" t="str">
        <v/>
      </c>
      <c r="B3418" s="6">
        <v>0</v>
      </c>
      <c r="C3418" s="7" t="str">
        <v>趣点购浦发</v>
      </c>
      <c r="D3418" s="8">
        <v>0</v>
      </c>
      <c r="E3418" s="7">
        <v>0</v>
      </c>
      <c r="F3418" s="8">
        <v>0</v>
      </c>
      <c r="G3418" s="7">
        <v>0</v>
      </c>
      <c r="H3418" s="7">
        <v>81211.819999998</v>
      </c>
      <c r="I3418" s="7">
        <v>0</v>
      </c>
      <c r="J3418" s="8">
        <v>0</v>
      </c>
      <c r="K3418" s="9" t="str">
        <v/>
      </c>
    </row>
    <row r="3419" spans="1:11">
      <c r="A3419" t="str">
        <v/>
      </c>
      <c r="B3419" s="6">
        <v>0</v>
      </c>
      <c r="C3419" s="7" t="str">
        <v>趣点购浦发</v>
      </c>
      <c r="D3419" s="8">
        <v>0</v>
      </c>
      <c r="E3419" s="7">
        <v>0</v>
      </c>
      <c r="F3419" s="8">
        <v>0</v>
      </c>
      <c r="G3419" s="7">
        <v>0</v>
      </c>
      <c r="H3419" s="7">
        <v>81211.819999998</v>
      </c>
      <c r="I3419" s="7">
        <v>0</v>
      </c>
      <c r="J3419" s="8">
        <v>0</v>
      </c>
      <c r="K3419" s="9" t="str">
        <v/>
      </c>
    </row>
    <row r="3420" spans="1:11">
      <c r="A3420" t="str">
        <v/>
      </c>
      <c r="B3420" s="6">
        <v>0</v>
      </c>
      <c r="C3420" s="7" t="str">
        <v>趣点购浦发</v>
      </c>
      <c r="D3420" s="8">
        <v>0</v>
      </c>
      <c r="E3420" s="7">
        <v>0</v>
      </c>
      <c r="F3420" s="8">
        <v>0</v>
      </c>
      <c r="G3420" s="7">
        <v>0</v>
      </c>
      <c r="H3420" s="7">
        <v>81211.819999998</v>
      </c>
      <c r="I3420" s="7">
        <v>0</v>
      </c>
      <c r="J3420" s="8">
        <v>0</v>
      </c>
      <c r="K3420" s="9" t="str">
        <v/>
      </c>
    </row>
    <row r="3421" spans="1:11">
      <c r="A3421" t="str">
        <v/>
      </c>
      <c r="B3421" s="6">
        <v>0</v>
      </c>
      <c r="C3421" s="7" t="str">
        <v>趣点购浦发</v>
      </c>
      <c r="D3421" s="8">
        <v>0</v>
      </c>
      <c r="E3421" s="7">
        <v>0</v>
      </c>
      <c r="F3421" s="8">
        <v>0</v>
      </c>
      <c r="G3421" s="7">
        <v>0</v>
      </c>
      <c r="H3421" s="7">
        <v>81211.819999998</v>
      </c>
      <c r="I3421" s="7">
        <v>0</v>
      </c>
      <c r="J3421" s="8">
        <v>0</v>
      </c>
      <c r="K3421" s="9" t="str">
        <v/>
      </c>
    </row>
    <row r="3422" spans="1:11">
      <c r="A3422" t="str">
        <v/>
      </c>
      <c r="B3422" s="6">
        <v>0</v>
      </c>
      <c r="C3422" s="7" t="str">
        <v>趣点购浦发</v>
      </c>
      <c r="D3422" s="8">
        <v>0</v>
      </c>
      <c r="E3422" s="7">
        <v>0</v>
      </c>
      <c r="F3422" s="8">
        <v>0</v>
      </c>
      <c r="G3422" s="7">
        <v>0</v>
      </c>
      <c r="H3422" s="7">
        <v>81211.819999998</v>
      </c>
      <c r="I3422" s="7">
        <v>0</v>
      </c>
      <c r="J3422" s="8">
        <v>0</v>
      </c>
      <c r="K3422" s="9" t="str">
        <v/>
      </c>
    </row>
    <row r="3423" spans="1:11">
      <c r="A3423" t="str">
        <v/>
      </c>
      <c r="B3423" s="6">
        <v>0</v>
      </c>
      <c r="C3423" s="7" t="str">
        <v>趣点购浦发</v>
      </c>
      <c r="D3423" s="8">
        <v>0</v>
      </c>
      <c r="E3423" s="7">
        <v>0</v>
      </c>
      <c r="F3423" s="8">
        <v>0</v>
      </c>
      <c r="G3423" s="7">
        <v>0</v>
      </c>
      <c r="H3423" s="7">
        <v>81211.819999998</v>
      </c>
      <c r="I3423" s="7">
        <v>0</v>
      </c>
      <c r="J3423" s="8">
        <v>0</v>
      </c>
      <c r="K3423" s="9" t="str">
        <v/>
      </c>
    </row>
    <row r="3424" spans="1:11">
      <c r="A3424" t="str">
        <v/>
      </c>
      <c r="B3424" s="6">
        <v>0</v>
      </c>
      <c r="C3424" s="7" t="str">
        <v>趣点购浦发</v>
      </c>
      <c r="D3424" s="8">
        <v>0</v>
      </c>
      <c r="E3424" s="7">
        <v>0</v>
      </c>
      <c r="F3424" s="8">
        <v>0</v>
      </c>
      <c r="G3424" s="7">
        <v>0</v>
      </c>
      <c r="H3424" s="7">
        <v>81211.819999998</v>
      </c>
      <c r="I3424" s="7">
        <v>0</v>
      </c>
      <c r="J3424" s="8">
        <v>0</v>
      </c>
      <c r="K3424" s="9" t="str">
        <v/>
      </c>
    </row>
    <row r="3425" spans="1:11">
      <c r="A3425" t="str">
        <v/>
      </c>
      <c r="B3425" s="6">
        <v>0</v>
      </c>
      <c r="C3425" s="7" t="str">
        <v>趣点购浦发</v>
      </c>
      <c r="D3425" s="8">
        <v>0</v>
      </c>
      <c r="E3425" s="7">
        <v>0</v>
      </c>
      <c r="F3425" s="8">
        <v>0</v>
      </c>
      <c r="G3425" s="7">
        <v>0</v>
      </c>
      <c r="H3425" s="7">
        <v>81211.819999998</v>
      </c>
      <c r="I3425" s="7">
        <v>0</v>
      </c>
      <c r="J3425" s="8">
        <v>0</v>
      </c>
      <c r="K3425" s="9" t="str">
        <v/>
      </c>
    </row>
    <row r="3426" spans="1:11">
      <c r="A3426" t="str">
        <v/>
      </c>
      <c r="B3426" s="6">
        <v>0</v>
      </c>
      <c r="C3426" s="7" t="str">
        <v>趣点购浦发</v>
      </c>
      <c r="D3426" s="8">
        <v>0</v>
      </c>
      <c r="E3426" s="7">
        <v>0</v>
      </c>
      <c r="F3426" s="8">
        <v>0</v>
      </c>
      <c r="G3426" s="7">
        <v>0</v>
      </c>
      <c r="H3426" s="7">
        <v>81211.819999998</v>
      </c>
      <c r="I3426" s="7">
        <v>0</v>
      </c>
      <c r="J3426" s="8">
        <v>0</v>
      </c>
      <c r="K3426" s="9" t="str">
        <v/>
      </c>
    </row>
    <row r="3427" spans="1:11">
      <c r="A3427" t="str">
        <v/>
      </c>
      <c r="B3427" s="6">
        <v>0</v>
      </c>
      <c r="C3427" s="7" t="str">
        <v>趣点购浦发</v>
      </c>
      <c r="D3427" s="8">
        <v>0</v>
      </c>
      <c r="E3427" s="7">
        <v>0</v>
      </c>
      <c r="F3427" s="8">
        <v>0</v>
      </c>
      <c r="G3427" s="7">
        <v>0</v>
      </c>
      <c r="H3427" s="7">
        <v>81211.819999998</v>
      </c>
      <c r="I3427" s="7">
        <v>0</v>
      </c>
      <c r="J3427" s="8">
        <v>0</v>
      </c>
      <c r="K3427" s="9" t="str">
        <v/>
      </c>
    </row>
    <row r="3428" spans="1:11">
      <c r="A3428" t="str">
        <v/>
      </c>
      <c r="B3428" s="6">
        <v>0</v>
      </c>
      <c r="C3428" s="7" t="str">
        <v>趣点购浦发</v>
      </c>
      <c r="D3428" s="8">
        <v>0</v>
      </c>
      <c r="E3428" s="7">
        <v>0</v>
      </c>
      <c r="F3428" s="8">
        <v>0</v>
      </c>
      <c r="G3428" s="7">
        <v>0</v>
      </c>
      <c r="H3428" s="7">
        <v>81211.819999998</v>
      </c>
      <c r="I3428" s="7">
        <v>0</v>
      </c>
      <c r="J3428" s="8">
        <v>0</v>
      </c>
      <c r="K3428" s="9" t="str">
        <v/>
      </c>
    </row>
    <row r="3429" spans="1:11">
      <c r="A3429" t="str">
        <v/>
      </c>
      <c r="B3429" s="6">
        <v>0</v>
      </c>
      <c r="C3429" s="7" t="str">
        <v>趣点购浦发</v>
      </c>
      <c r="D3429" s="8">
        <v>0</v>
      </c>
      <c r="E3429" s="7">
        <v>0</v>
      </c>
      <c r="F3429" s="8">
        <v>0</v>
      </c>
      <c r="G3429" s="7">
        <v>0</v>
      </c>
      <c r="H3429" s="7">
        <v>81211.819999998</v>
      </c>
      <c r="I3429" s="7">
        <v>0</v>
      </c>
      <c r="J3429" s="8">
        <v>0</v>
      </c>
      <c r="K3429" s="9" t="str">
        <v/>
      </c>
    </row>
    <row r="3430" spans="1:11">
      <c r="A3430" t="str">
        <v/>
      </c>
      <c r="B3430" s="6">
        <v>0</v>
      </c>
      <c r="C3430" s="7" t="str">
        <v>趣点购浦发</v>
      </c>
      <c r="D3430" s="8">
        <v>0</v>
      </c>
      <c r="E3430" s="7">
        <v>0</v>
      </c>
      <c r="F3430" s="8">
        <v>0</v>
      </c>
      <c r="G3430" s="7">
        <v>0</v>
      </c>
      <c r="H3430" s="7">
        <v>81211.819999998</v>
      </c>
      <c r="I3430" s="7">
        <v>0</v>
      </c>
      <c r="J3430" s="8">
        <v>0</v>
      </c>
      <c r="K3430" s="9" t="str">
        <v/>
      </c>
    </row>
    <row r="3431" spans="1:11">
      <c r="A3431" t="str">
        <v/>
      </c>
      <c r="B3431" s="6">
        <v>0</v>
      </c>
      <c r="C3431" s="7" t="str">
        <v>趣点购浦发</v>
      </c>
      <c r="D3431" s="8">
        <v>0</v>
      </c>
      <c r="E3431" s="7">
        <v>0</v>
      </c>
      <c r="F3431" s="8">
        <v>0</v>
      </c>
      <c r="G3431" s="7">
        <v>0</v>
      </c>
      <c r="H3431" s="7">
        <v>81211.819999998</v>
      </c>
      <c r="I3431" s="7">
        <v>0</v>
      </c>
      <c r="J3431" s="8">
        <v>0</v>
      </c>
      <c r="K3431" s="9" t="str">
        <v/>
      </c>
    </row>
    <row r="3432" spans="1:11">
      <c r="A3432" t="str">
        <v/>
      </c>
      <c r="B3432" s="6">
        <v>0</v>
      </c>
      <c r="C3432" s="7" t="str">
        <v>趣点购浦发</v>
      </c>
      <c r="D3432" s="8">
        <v>0</v>
      </c>
      <c r="E3432" s="7">
        <v>0</v>
      </c>
      <c r="F3432" s="8">
        <v>0</v>
      </c>
      <c r="G3432" s="7">
        <v>0</v>
      </c>
      <c r="H3432" s="7">
        <v>81211.819999998</v>
      </c>
      <c r="I3432" s="7">
        <v>0</v>
      </c>
      <c r="J3432" s="8">
        <v>0</v>
      </c>
      <c r="K3432" s="9" t="str">
        <v/>
      </c>
    </row>
    <row r="3433" spans="1:11">
      <c r="A3433" t="str">
        <v/>
      </c>
      <c r="B3433" s="6">
        <v>0</v>
      </c>
      <c r="C3433" s="7" t="str">
        <v>趣点购浦发</v>
      </c>
      <c r="D3433" s="8">
        <v>0</v>
      </c>
      <c r="E3433" s="7">
        <v>0</v>
      </c>
      <c r="F3433" s="8">
        <v>0</v>
      </c>
      <c r="G3433" s="7">
        <v>0</v>
      </c>
      <c r="H3433" s="7">
        <v>81211.819999998</v>
      </c>
      <c r="I3433" s="7">
        <v>0</v>
      </c>
      <c r="J3433" s="8">
        <v>0</v>
      </c>
      <c r="K3433" s="9" t="str">
        <v/>
      </c>
    </row>
    <row r="3434" spans="1:11">
      <c r="A3434" t="str">
        <v/>
      </c>
      <c r="B3434" s="6">
        <v>0</v>
      </c>
      <c r="C3434" s="7" t="str">
        <v>趣点购浦发</v>
      </c>
      <c r="D3434" s="8">
        <v>0</v>
      </c>
      <c r="E3434" s="7">
        <v>0</v>
      </c>
      <c r="F3434" s="8">
        <v>0</v>
      </c>
      <c r="G3434" s="7">
        <v>0</v>
      </c>
      <c r="H3434" s="7">
        <v>81211.819999998</v>
      </c>
      <c r="I3434" s="7">
        <v>0</v>
      </c>
      <c r="J3434" s="8">
        <v>0</v>
      </c>
      <c r="K3434" s="9" t="str">
        <v/>
      </c>
    </row>
    <row r="3435" spans="1:11">
      <c r="A3435" t="str">
        <v/>
      </c>
      <c r="B3435" s="6">
        <v>0</v>
      </c>
      <c r="C3435" s="7" t="str">
        <v>趣点购浦发</v>
      </c>
      <c r="D3435" s="8">
        <v>0</v>
      </c>
      <c r="E3435" s="7">
        <v>0</v>
      </c>
      <c r="F3435" s="8">
        <v>0</v>
      </c>
      <c r="G3435" s="7">
        <v>0</v>
      </c>
      <c r="H3435" s="7">
        <v>81211.819999998</v>
      </c>
      <c r="I3435" s="7">
        <v>0</v>
      </c>
      <c r="J3435" s="8">
        <v>0</v>
      </c>
      <c r="K3435" s="9" t="str">
        <v/>
      </c>
    </row>
    <row r="3436" spans="1:11">
      <c r="A3436" t="str">
        <v/>
      </c>
      <c r="B3436" s="6">
        <v>0</v>
      </c>
      <c r="C3436" s="7" t="str">
        <v>趣点购浦发</v>
      </c>
      <c r="D3436" s="8">
        <v>0</v>
      </c>
      <c r="E3436" s="7">
        <v>0</v>
      </c>
      <c r="F3436" s="8">
        <v>0</v>
      </c>
      <c r="G3436" s="7">
        <v>0</v>
      </c>
      <c r="H3436" s="7">
        <v>81211.819999998</v>
      </c>
      <c r="I3436" s="7">
        <v>0</v>
      </c>
      <c r="J3436" s="8">
        <v>0</v>
      </c>
      <c r="K3436" s="9" t="str">
        <v/>
      </c>
    </row>
    <row r="3437" spans="1:11">
      <c r="A3437" t="str">
        <v/>
      </c>
      <c r="B3437" s="6">
        <v>0</v>
      </c>
      <c r="C3437" s="7" t="str">
        <v>趣点购浦发</v>
      </c>
      <c r="D3437" s="8">
        <v>0</v>
      </c>
      <c r="E3437" s="7">
        <v>0</v>
      </c>
      <c r="F3437" s="8">
        <v>0</v>
      </c>
      <c r="G3437" s="7">
        <v>0</v>
      </c>
      <c r="H3437" s="7">
        <v>81211.819999998</v>
      </c>
      <c r="I3437" s="7">
        <v>0</v>
      </c>
      <c r="J3437" s="8">
        <v>0</v>
      </c>
      <c r="K3437" s="9" t="str">
        <v/>
      </c>
    </row>
    <row r="3438" spans="1:11">
      <c r="A3438" t="str">
        <v/>
      </c>
      <c r="B3438" s="6">
        <v>0</v>
      </c>
      <c r="C3438" s="7" t="str">
        <v>趣点购浦发</v>
      </c>
      <c r="D3438" s="8">
        <v>0</v>
      </c>
      <c r="E3438" s="7">
        <v>0</v>
      </c>
      <c r="F3438" s="8">
        <v>0</v>
      </c>
      <c r="G3438" s="7">
        <v>0</v>
      </c>
      <c r="H3438" s="7">
        <v>81211.819999998</v>
      </c>
      <c r="I3438" s="7">
        <v>0</v>
      </c>
      <c r="J3438" s="8">
        <v>0</v>
      </c>
      <c r="K3438" s="9" t="str">
        <v/>
      </c>
    </row>
    <row r="3439" spans="1:11">
      <c r="A3439" t="str">
        <v/>
      </c>
      <c r="B3439" s="6">
        <v>0</v>
      </c>
      <c r="C3439" s="7" t="str">
        <v>趣点购浦发</v>
      </c>
      <c r="D3439" s="8">
        <v>0</v>
      </c>
      <c r="E3439" s="7">
        <v>0</v>
      </c>
      <c r="F3439" s="8">
        <v>0</v>
      </c>
      <c r="G3439" s="7">
        <v>0</v>
      </c>
      <c r="H3439" s="7">
        <v>81211.819999998</v>
      </c>
      <c r="I3439" s="7">
        <v>0</v>
      </c>
      <c r="J3439" s="8">
        <v>0</v>
      </c>
      <c r="K3439" s="9" t="str">
        <v/>
      </c>
    </row>
    <row r="3440" spans="1:11">
      <c r="A3440" t="str">
        <v/>
      </c>
      <c r="B3440" s="6">
        <v>0</v>
      </c>
      <c r="C3440" s="7" t="str">
        <v>趣点购浦发</v>
      </c>
      <c r="D3440" s="8">
        <v>0</v>
      </c>
      <c r="E3440" s="7">
        <v>0</v>
      </c>
      <c r="F3440" s="8">
        <v>0</v>
      </c>
      <c r="G3440" s="7">
        <v>0</v>
      </c>
      <c r="H3440" s="7">
        <v>81211.819999998</v>
      </c>
      <c r="I3440" s="7">
        <v>0</v>
      </c>
      <c r="J3440" s="8">
        <v>0</v>
      </c>
      <c r="K3440" s="9" t="str">
        <v/>
      </c>
    </row>
    <row r="3441" spans="1:11">
      <c r="A3441" t="str">
        <v/>
      </c>
      <c r="B3441" s="6">
        <v>0</v>
      </c>
      <c r="C3441" s="7" t="str">
        <v>趣点购浦发</v>
      </c>
      <c r="D3441" s="8">
        <v>0</v>
      </c>
      <c r="E3441" s="7">
        <v>0</v>
      </c>
      <c r="F3441" s="8">
        <v>0</v>
      </c>
      <c r="G3441" s="7">
        <v>0</v>
      </c>
      <c r="H3441" s="7">
        <v>81211.819999998</v>
      </c>
      <c r="I3441" s="7">
        <v>0</v>
      </c>
      <c r="J3441" s="8">
        <v>0</v>
      </c>
      <c r="K3441" s="9" t="str">
        <v/>
      </c>
    </row>
    <row r="3442" spans="1:11">
      <c r="A3442" t="str">
        <v/>
      </c>
      <c r="B3442" s="6">
        <v>0</v>
      </c>
      <c r="C3442" s="7" t="str">
        <v>趣点购浦发</v>
      </c>
      <c r="D3442" s="8">
        <v>0</v>
      </c>
      <c r="E3442" s="7">
        <v>0</v>
      </c>
      <c r="F3442" s="8">
        <v>0</v>
      </c>
      <c r="G3442" s="7">
        <v>0</v>
      </c>
      <c r="H3442" s="7">
        <v>81211.819999998</v>
      </c>
      <c r="I3442" s="7">
        <v>0</v>
      </c>
      <c r="J3442" s="8">
        <v>0</v>
      </c>
      <c r="K3442" s="9" t="str">
        <v/>
      </c>
    </row>
    <row r="3443" spans="1:11">
      <c r="A3443" t="str">
        <v/>
      </c>
      <c r="B3443" s="6">
        <v>0</v>
      </c>
      <c r="C3443" s="7" t="str">
        <v>趣点购浦发</v>
      </c>
      <c r="D3443" s="8">
        <v>0</v>
      </c>
      <c r="E3443" s="7">
        <v>0</v>
      </c>
      <c r="F3443" s="8">
        <v>0</v>
      </c>
      <c r="G3443" s="7">
        <v>0</v>
      </c>
      <c r="H3443" s="7">
        <v>81211.819999998</v>
      </c>
      <c r="I3443" s="7">
        <v>0</v>
      </c>
      <c r="J3443" s="8">
        <v>0</v>
      </c>
      <c r="K3443" s="9" t="str">
        <v/>
      </c>
    </row>
    <row r="3444" spans="1:11">
      <c r="A3444" t="str">
        <v/>
      </c>
      <c r="B3444" s="6">
        <v>0</v>
      </c>
      <c r="C3444" s="7" t="str">
        <v>趣点购浦发</v>
      </c>
      <c r="D3444" s="8">
        <v>0</v>
      </c>
      <c r="E3444" s="7">
        <v>0</v>
      </c>
      <c r="F3444" s="8">
        <v>0</v>
      </c>
      <c r="G3444" s="7">
        <v>0</v>
      </c>
      <c r="H3444" s="7">
        <v>81211.819999998</v>
      </c>
      <c r="I3444" s="7">
        <v>0</v>
      </c>
      <c r="J3444" s="8">
        <v>0</v>
      </c>
      <c r="K3444" s="9" t="str">
        <v/>
      </c>
    </row>
    <row r="3445" spans="1:11">
      <c r="A3445" t="str">
        <v/>
      </c>
      <c r="B3445" s="6">
        <v>0</v>
      </c>
      <c r="C3445" s="7" t="str">
        <v>趣点购浦发</v>
      </c>
      <c r="D3445" s="8">
        <v>0</v>
      </c>
      <c r="E3445" s="7">
        <v>0</v>
      </c>
      <c r="F3445" s="8">
        <v>0</v>
      </c>
      <c r="G3445" s="7">
        <v>0</v>
      </c>
      <c r="H3445" s="7">
        <v>81211.819999998</v>
      </c>
      <c r="I3445" s="7">
        <v>0</v>
      </c>
      <c r="J3445" s="8">
        <v>0</v>
      </c>
      <c r="K3445" s="9" t="str">
        <v/>
      </c>
    </row>
    <row r="3446" spans="1:11">
      <c r="A3446" t="str">
        <v/>
      </c>
      <c r="B3446" s="6">
        <v>0</v>
      </c>
      <c r="C3446" s="7" t="str">
        <v>趣点购浦发</v>
      </c>
      <c r="D3446" s="8">
        <v>0</v>
      </c>
      <c r="E3446" s="7">
        <v>0</v>
      </c>
      <c r="F3446" s="8">
        <v>0</v>
      </c>
      <c r="G3446" s="7">
        <v>0</v>
      </c>
      <c r="H3446" s="7">
        <v>81211.819999998</v>
      </c>
      <c r="I3446" s="7">
        <v>0</v>
      </c>
      <c r="J3446" s="8">
        <v>0</v>
      </c>
      <c r="K3446" s="9" t="str">
        <v/>
      </c>
    </row>
    <row r="3447" spans="1:11">
      <c r="A3447" t="str">
        <v/>
      </c>
      <c r="B3447" s="6">
        <v>0</v>
      </c>
      <c r="C3447" s="7" t="str">
        <v>趣点购浦发</v>
      </c>
      <c r="D3447" s="8">
        <v>0</v>
      </c>
      <c r="E3447" s="7">
        <v>0</v>
      </c>
      <c r="F3447" s="8">
        <v>0</v>
      </c>
      <c r="G3447" s="7">
        <v>0</v>
      </c>
      <c r="H3447" s="7">
        <v>81211.819999998</v>
      </c>
      <c r="I3447" s="7">
        <v>0</v>
      </c>
      <c r="J3447" s="8">
        <v>0</v>
      </c>
      <c r="K3447" s="9" t="str">
        <v/>
      </c>
    </row>
    <row r="3448" spans="1:11">
      <c r="A3448" t="str">
        <v/>
      </c>
      <c r="B3448" s="6">
        <v>0</v>
      </c>
      <c r="C3448" s="7" t="str">
        <v>趣点购浦发</v>
      </c>
      <c r="D3448" s="8">
        <v>0</v>
      </c>
      <c r="E3448" s="7">
        <v>0</v>
      </c>
      <c r="F3448" s="8">
        <v>0</v>
      </c>
      <c r="G3448" s="7">
        <v>0</v>
      </c>
      <c r="H3448" s="7">
        <v>81211.819999998</v>
      </c>
      <c r="I3448" s="7">
        <v>0</v>
      </c>
      <c r="J3448" s="8">
        <v>0</v>
      </c>
      <c r="K3448" s="9" t="str">
        <v/>
      </c>
    </row>
    <row r="3449" spans="1:11">
      <c r="A3449" t="str">
        <v/>
      </c>
      <c r="B3449" s="6">
        <v>0</v>
      </c>
      <c r="C3449" s="7" t="str">
        <v>趣点购浦发</v>
      </c>
      <c r="D3449" s="8">
        <v>0</v>
      </c>
      <c r="E3449" s="7">
        <v>0</v>
      </c>
      <c r="F3449" s="8">
        <v>0</v>
      </c>
      <c r="G3449" s="7">
        <v>0</v>
      </c>
      <c r="H3449" s="7">
        <v>81211.819999998</v>
      </c>
      <c r="I3449" s="7">
        <v>0</v>
      </c>
      <c r="J3449" s="8">
        <v>0</v>
      </c>
      <c r="K3449" s="9" t="str">
        <v/>
      </c>
    </row>
    <row r="3450" spans="1:11">
      <c r="A3450" t="str">
        <v/>
      </c>
      <c r="B3450" s="6">
        <v>0</v>
      </c>
      <c r="C3450" s="7" t="str">
        <v>趣点购浦发</v>
      </c>
      <c r="D3450" s="8">
        <v>0</v>
      </c>
      <c r="E3450" s="7">
        <v>0</v>
      </c>
      <c r="F3450" s="8">
        <v>0</v>
      </c>
      <c r="G3450" s="7">
        <v>0</v>
      </c>
      <c r="H3450" s="7">
        <v>81211.819999998</v>
      </c>
      <c r="I3450" s="7">
        <v>0</v>
      </c>
      <c r="J3450" s="8">
        <v>0</v>
      </c>
      <c r="K3450" s="9" t="str">
        <v/>
      </c>
    </row>
    <row r="3451" spans="1:11">
      <c r="A3451" t="str">
        <v/>
      </c>
      <c r="B3451" s="6">
        <v>0</v>
      </c>
      <c r="C3451" s="7" t="str">
        <v>趣点购浦发</v>
      </c>
      <c r="D3451" s="8">
        <v>0</v>
      </c>
      <c r="E3451" s="7">
        <v>0</v>
      </c>
      <c r="F3451" s="8">
        <v>0</v>
      </c>
      <c r="G3451" s="7">
        <v>0</v>
      </c>
      <c r="H3451" s="7">
        <v>81211.819999998</v>
      </c>
      <c r="I3451" s="7">
        <v>0</v>
      </c>
      <c r="J3451" s="8">
        <v>0</v>
      </c>
      <c r="K3451" s="9" t="str">
        <v/>
      </c>
    </row>
    <row r="3452" spans="1:11">
      <c r="A3452" t="str">
        <v/>
      </c>
      <c r="B3452" s="6">
        <v>0</v>
      </c>
      <c r="C3452" s="7" t="str">
        <v>趣点购浦发</v>
      </c>
      <c r="D3452" s="8">
        <v>0</v>
      </c>
      <c r="E3452" s="7">
        <v>0</v>
      </c>
      <c r="F3452" s="8">
        <v>0</v>
      </c>
      <c r="G3452" s="7">
        <v>0</v>
      </c>
      <c r="H3452" s="7">
        <v>81211.819999998</v>
      </c>
      <c r="I3452" s="7">
        <v>0</v>
      </c>
      <c r="J3452" s="8">
        <v>0</v>
      </c>
      <c r="K3452" s="9" t="str">
        <v/>
      </c>
    </row>
    <row r="3453" spans="1:11">
      <c r="A3453" t="str">
        <v/>
      </c>
      <c r="B3453" s="6">
        <v>0</v>
      </c>
      <c r="C3453" s="7" t="str">
        <v>趣点购浦发</v>
      </c>
      <c r="D3453" s="8">
        <v>0</v>
      </c>
      <c r="E3453" s="7">
        <v>0</v>
      </c>
      <c r="F3453" s="8">
        <v>0</v>
      </c>
      <c r="G3453" s="7">
        <v>0</v>
      </c>
      <c r="H3453" s="7">
        <v>81211.819999998</v>
      </c>
      <c r="I3453" s="7">
        <v>0</v>
      </c>
      <c r="J3453" s="8">
        <v>0</v>
      </c>
      <c r="K3453" s="9" t="str">
        <v/>
      </c>
    </row>
    <row r="3454" spans="1:11">
      <c r="A3454" t="str">
        <v/>
      </c>
      <c r="B3454" s="6">
        <v>0</v>
      </c>
      <c r="C3454" s="7" t="str">
        <v>趣点购浦发</v>
      </c>
      <c r="D3454" s="8">
        <v>0</v>
      </c>
      <c r="E3454" s="7">
        <v>0</v>
      </c>
      <c r="F3454" s="8">
        <v>0</v>
      </c>
      <c r="G3454" s="7">
        <v>0</v>
      </c>
      <c r="H3454" s="7">
        <v>81211.819999998</v>
      </c>
      <c r="I3454" s="7">
        <v>0</v>
      </c>
      <c r="J3454" s="8">
        <v>0</v>
      </c>
      <c r="K3454" s="9" t="str">
        <v/>
      </c>
    </row>
    <row r="3455" spans="1:11">
      <c r="A3455" t="str">
        <v/>
      </c>
      <c r="B3455" s="6">
        <v>0</v>
      </c>
      <c r="C3455" s="7" t="str">
        <v>趣点购浦发</v>
      </c>
      <c r="D3455" s="8">
        <v>0</v>
      </c>
      <c r="E3455" s="7">
        <v>0</v>
      </c>
      <c r="F3455" s="8">
        <v>0</v>
      </c>
      <c r="G3455" s="7">
        <v>0</v>
      </c>
      <c r="H3455" s="7">
        <v>81211.819999998</v>
      </c>
      <c r="I3455" s="7">
        <v>0</v>
      </c>
      <c r="J3455" s="8">
        <v>0</v>
      </c>
      <c r="K3455" s="9" t="str">
        <v/>
      </c>
    </row>
    <row r="3456" spans="1:11">
      <c r="A3456" t="str">
        <v/>
      </c>
      <c r="B3456" s="6">
        <v>0</v>
      </c>
      <c r="C3456" s="7" t="str">
        <v>趣点购浦发</v>
      </c>
      <c r="D3456" s="8">
        <v>0</v>
      </c>
      <c r="E3456" s="7">
        <v>0</v>
      </c>
      <c r="F3456" s="8">
        <v>0</v>
      </c>
      <c r="G3456" s="7">
        <v>0</v>
      </c>
      <c r="H3456" s="7">
        <v>81211.819999998</v>
      </c>
      <c r="I3456" s="7">
        <v>0</v>
      </c>
      <c r="J3456" s="8">
        <v>0</v>
      </c>
      <c r="K3456" s="9" t="str">
        <v/>
      </c>
    </row>
    <row r="3457" spans="1:11">
      <c r="A3457" t="str">
        <v/>
      </c>
      <c r="B3457" s="6">
        <v>0</v>
      </c>
      <c r="C3457" s="7" t="str">
        <v>趣点购浦发</v>
      </c>
      <c r="D3457" s="8">
        <v>0</v>
      </c>
      <c r="E3457" s="7">
        <v>0</v>
      </c>
      <c r="F3457" s="8">
        <v>0</v>
      </c>
      <c r="G3457" s="7">
        <v>0</v>
      </c>
      <c r="H3457" s="7">
        <v>81211.819999998</v>
      </c>
      <c r="I3457" s="7">
        <v>0</v>
      </c>
      <c r="J3457" s="8">
        <v>0</v>
      </c>
      <c r="K3457" s="9" t="str">
        <v/>
      </c>
    </row>
    <row r="3458" spans="1:11">
      <c r="A3458" t="str">
        <v/>
      </c>
      <c r="B3458" s="6">
        <v>0</v>
      </c>
      <c r="C3458" s="7" t="str">
        <v>趣点购浦发</v>
      </c>
      <c r="D3458" s="8">
        <v>0</v>
      </c>
      <c r="E3458" s="7">
        <v>0</v>
      </c>
      <c r="F3458" s="8">
        <v>0</v>
      </c>
      <c r="G3458" s="7">
        <v>0</v>
      </c>
      <c r="H3458" s="7">
        <v>81211.819999998</v>
      </c>
      <c r="I3458" s="7">
        <v>0</v>
      </c>
      <c r="J3458" s="8">
        <v>0</v>
      </c>
      <c r="K3458" s="9" t="str">
        <v/>
      </c>
    </row>
    <row r="3459" spans="1:11">
      <c r="A3459" t="str">
        <v/>
      </c>
      <c r="B3459" s="6">
        <v>0</v>
      </c>
      <c r="C3459" s="7" t="str">
        <v>趣点购浦发</v>
      </c>
      <c r="D3459" s="8">
        <v>0</v>
      </c>
      <c r="E3459" s="7">
        <v>0</v>
      </c>
      <c r="F3459" s="8">
        <v>0</v>
      </c>
      <c r="G3459" s="7">
        <v>0</v>
      </c>
      <c r="H3459" s="7">
        <v>81211.819999998</v>
      </c>
      <c r="I3459" s="7">
        <v>0</v>
      </c>
      <c r="J3459" s="8">
        <v>0</v>
      </c>
      <c r="K3459" s="9" t="str">
        <v/>
      </c>
    </row>
    <row r="3460" spans="1:11">
      <c r="A3460" t="str">
        <v/>
      </c>
      <c r="B3460" s="6">
        <v>0</v>
      </c>
      <c r="C3460" s="7" t="str">
        <v>趣点购浦发</v>
      </c>
      <c r="D3460" s="8">
        <v>0</v>
      </c>
      <c r="E3460" s="7">
        <v>0</v>
      </c>
      <c r="F3460" s="8">
        <v>0</v>
      </c>
      <c r="G3460" s="7">
        <v>0</v>
      </c>
      <c r="H3460" s="7">
        <v>81211.819999998</v>
      </c>
      <c r="I3460" s="7">
        <v>0</v>
      </c>
      <c r="J3460" s="8">
        <v>0</v>
      </c>
      <c r="K3460" s="9" t="str">
        <v/>
      </c>
    </row>
    <row r="3461" spans="1:11">
      <c r="A3461" t="str">
        <v/>
      </c>
      <c r="B3461" s="6">
        <v>0</v>
      </c>
      <c r="C3461" s="7" t="str">
        <v>趣点购浦发</v>
      </c>
      <c r="D3461" s="8">
        <v>0</v>
      </c>
      <c r="E3461" s="7">
        <v>0</v>
      </c>
      <c r="F3461" s="8">
        <v>0</v>
      </c>
      <c r="G3461" s="7">
        <v>0</v>
      </c>
      <c r="H3461" s="7">
        <v>81211.819999998</v>
      </c>
      <c r="I3461" s="7">
        <v>0</v>
      </c>
      <c r="J3461" s="8">
        <v>0</v>
      </c>
      <c r="K3461" s="9" t="str">
        <v/>
      </c>
    </row>
    <row r="3462" spans="1:11">
      <c r="A3462" t="str">
        <v/>
      </c>
      <c r="B3462" s="6">
        <v>0</v>
      </c>
      <c r="C3462" s="7" t="str">
        <v>趣点购浦发</v>
      </c>
      <c r="D3462" s="8">
        <v>0</v>
      </c>
      <c r="E3462" s="7">
        <v>0</v>
      </c>
      <c r="F3462" s="8">
        <v>0</v>
      </c>
      <c r="G3462" s="7">
        <v>0</v>
      </c>
      <c r="H3462" s="7">
        <v>81211.819999998</v>
      </c>
      <c r="I3462" s="7">
        <v>0</v>
      </c>
      <c r="J3462" s="8">
        <v>0</v>
      </c>
      <c r="K3462" s="9" t="str">
        <v/>
      </c>
    </row>
    <row r="3463" spans="1:11">
      <c r="A3463" t="str">
        <v/>
      </c>
      <c r="B3463" s="6">
        <v>0</v>
      </c>
      <c r="C3463" s="7" t="str">
        <v>趣点购浦发</v>
      </c>
      <c r="D3463" s="8">
        <v>0</v>
      </c>
      <c r="E3463" s="7">
        <v>0</v>
      </c>
      <c r="F3463" s="8">
        <v>0</v>
      </c>
      <c r="G3463" s="7">
        <v>0</v>
      </c>
      <c r="H3463" s="7">
        <v>81211.819999998</v>
      </c>
      <c r="I3463" s="7">
        <v>0</v>
      </c>
      <c r="J3463" s="8">
        <v>0</v>
      </c>
      <c r="K3463" s="9" t="str">
        <v/>
      </c>
    </row>
    <row r="3464" spans="1:11">
      <c r="A3464" t="str">
        <v/>
      </c>
      <c r="B3464" s="6">
        <v>0</v>
      </c>
      <c r="C3464" s="7" t="str">
        <v>趣点购浦发</v>
      </c>
      <c r="D3464" s="8">
        <v>0</v>
      </c>
      <c r="E3464" s="7">
        <v>0</v>
      </c>
      <c r="F3464" s="8">
        <v>0</v>
      </c>
      <c r="G3464" s="7">
        <v>0</v>
      </c>
      <c r="H3464" s="7">
        <v>81211.819999998</v>
      </c>
      <c r="I3464" s="7">
        <v>0</v>
      </c>
      <c r="J3464" s="8">
        <v>0</v>
      </c>
      <c r="K3464" s="9" t="str">
        <v/>
      </c>
    </row>
    <row r="3465" spans="1:11">
      <c r="A3465" t="str">
        <v/>
      </c>
      <c r="B3465" s="6">
        <v>0</v>
      </c>
      <c r="C3465" s="7" t="str">
        <v>趣点购浦发</v>
      </c>
      <c r="D3465" s="8">
        <v>0</v>
      </c>
      <c r="E3465" s="7">
        <v>0</v>
      </c>
      <c r="F3465" s="8">
        <v>0</v>
      </c>
      <c r="G3465" s="7">
        <v>0</v>
      </c>
      <c r="H3465" s="7">
        <v>81211.819999998</v>
      </c>
      <c r="I3465" s="7">
        <v>0</v>
      </c>
      <c r="J3465" s="8">
        <v>0</v>
      </c>
      <c r="K3465" s="9" t="str">
        <v/>
      </c>
    </row>
    <row r="3466" spans="1:11">
      <c r="A3466" t="str">
        <v/>
      </c>
      <c r="B3466" s="6">
        <v>0</v>
      </c>
      <c r="C3466" s="7" t="str">
        <v>趣点购浦发</v>
      </c>
      <c r="D3466" s="8">
        <v>0</v>
      </c>
      <c r="E3466" s="7">
        <v>0</v>
      </c>
      <c r="F3466" s="8">
        <v>0</v>
      </c>
      <c r="G3466" s="7">
        <v>0</v>
      </c>
      <c r="H3466" s="7">
        <v>81211.819999998</v>
      </c>
      <c r="I3466" s="7">
        <v>0</v>
      </c>
      <c r="J3466" s="8">
        <v>0</v>
      </c>
      <c r="K3466" s="9" t="str">
        <v/>
      </c>
    </row>
    <row r="3467" spans="1:11">
      <c r="A3467" t="str">
        <v/>
      </c>
      <c r="B3467" s="6">
        <v>0</v>
      </c>
      <c r="C3467" s="7" t="str">
        <v>趣点购浦发</v>
      </c>
      <c r="D3467" s="8">
        <v>0</v>
      </c>
      <c r="E3467" s="7">
        <v>0</v>
      </c>
      <c r="F3467" s="8">
        <v>0</v>
      </c>
      <c r="G3467" s="7">
        <v>0</v>
      </c>
      <c r="H3467" s="7">
        <v>81211.819999998</v>
      </c>
      <c r="I3467" s="7">
        <v>0</v>
      </c>
      <c r="J3467" s="8">
        <v>0</v>
      </c>
      <c r="K3467" s="9" t="str">
        <v/>
      </c>
    </row>
    <row r="3468" spans="1:11">
      <c r="A3468" t="str">
        <v/>
      </c>
      <c r="B3468" s="6">
        <v>0</v>
      </c>
      <c r="C3468" s="7" t="str">
        <v>趣点购浦发</v>
      </c>
      <c r="D3468" s="8">
        <v>0</v>
      </c>
      <c r="E3468" s="7">
        <v>0</v>
      </c>
      <c r="F3468" s="8">
        <v>0</v>
      </c>
      <c r="G3468" s="7">
        <v>0</v>
      </c>
      <c r="H3468" s="7">
        <v>81211.819999998</v>
      </c>
      <c r="I3468" s="7">
        <v>0</v>
      </c>
      <c r="J3468" s="8">
        <v>0</v>
      </c>
      <c r="K3468" s="9" t="str">
        <v/>
      </c>
    </row>
    <row r="3469" spans="1:11">
      <c r="A3469" t="str">
        <v/>
      </c>
      <c r="B3469" s="6">
        <v>0</v>
      </c>
      <c r="C3469" s="7" t="str">
        <v>趣点购浦发</v>
      </c>
      <c r="D3469" s="8">
        <v>0</v>
      </c>
      <c r="E3469" s="7">
        <v>0</v>
      </c>
      <c r="F3469" s="8">
        <v>0</v>
      </c>
      <c r="G3469" s="7">
        <v>0</v>
      </c>
      <c r="H3469" s="7">
        <v>81211.819999998</v>
      </c>
      <c r="I3469" s="7">
        <v>0</v>
      </c>
      <c r="J3469" s="8">
        <v>0</v>
      </c>
      <c r="K3469" s="9" t="str">
        <v/>
      </c>
    </row>
    <row r="3470" spans="1:11">
      <c r="A3470" t="str">
        <v/>
      </c>
      <c r="B3470" s="6">
        <v>0</v>
      </c>
      <c r="C3470" s="7" t="str">
        <v>趣点购浦发</v>
      </c>
      <c r="D3470" s="8">
        <v>0</v>
      </c>
      <c r="E3470" s="7">
        <v>0</v>
      </c>
      <c r="F3470" s="8">
        <v>0</v>
      </c>
      <c r="G3470" s="7">
        <v>0</v>
      </c>
      <c r="H3470" s="7">
        <v>81211.819999998</v>
      </c>
      <c r="I3470" s="7">
        <v>0</v>
      </c>
      <c r="J3470" s="8">
        <v>0</v>
      </c>
      <c r="K3470" s="9" t="str">
        <v/>
      </c>
    </row>
    <row r="3471" spans="1:11">
      <c r="A3471" t="str">
        <v/>
      </c>
      <c r="B3471" s="6">
        <v>0</v>
      </c>
      <c r="C3471" s="7" t="str">
        <v>趣点购浦发</v>
      </c>
      <c r="D3471" s="8">
        <v>0</v>
      </c>
      <c r="E3471" s="7">
        <v>0</v>
      </c>
      <c r="F3471" s="8">
        <v>0</v>
      </c>
      <c r="G3471" s="7">
        <v>0</v>
      </c>
      <c r="H3471" s="7">
        <v>81211.819999998</v>
      </c>
      <c r="I3471" s="7">
        <v>0</v>
      </c>
      <c r="J3471" s="8">
        <v>0</v>
      </c>
      <c r="K3471" s="9" t="str">
        <v/>
      </c>
    </row>
    <row r="3472" spans="1:11">
      <c r="A3472" t="str">
        <v/>
      </c>
      <c r="B3472" s="6">
        <v>0</v>
      </c>
      <c r="C3472" s="7" t="str">
        <v>趣点购浦发</v>
      </c>
      <c r="D3472" s="8">
        <v>0</v>
      </c>
      <c r="E3472" s="7">
        <v>0</v>
      </c>
      <c r="F3472" s="8">
        <v>0</v>
      </c>
      <c r="G3472" s="7">
        <v>0</v>
      </c>
      <c r="H3472" s="7">
        <v>81211.819999998</v>
      </c>
      <c r="I3472" s="7">
        <v>0</v>
      </c>
      <c r="J3472" s="8">
        <v>0</v>
      </c>
      <c r="K3472" s="9" t="str">
        <v/>
      </c>
    </row>
    <row r="3473" spans="1:11">
      <c r="A3473" t="str">
        <v/>
      </c>
      <c r="B3473" s="6">
        <v>0</v>
      </c>
      <c r="C3473" s="7" t="str">
        <v>趣点购浦发</v>
      </c>
      <c r="D3473" s="8">
        <v>0</v>
      </c>
      <c r="E3473" s="7">
        <v>0</v>
      </c>
      <c r="F3473" s="8">
        <v>0</v>
      </c>
      <c r="G3473" s="7">
        <v>0</v>
      </c>
      <c r="H3473" s="7">
        <v>81211.819999998</v>
      </c>
      <c r="I3473" s="7">
        <v>0</v>
      </c>
      <c r="J3473" s="8">
        <v>0</v>
      </c>
      <c r="K3473" s="9" t="str">
        <v/>
      </c>
    </row>
    <row r="3474" spans="1:11">
      <c r="A3474" t="str">
        <v/>
      </c>
      <c r="B3474" s="6">
        <v>0</v>
      </c>
      <c r="C3474" s="7" t="str">
        <v>趣点购浦发</v>
      </c>
      <c r="D3474" s="8">
        <v>0</v>
      </c>
      <c r="E3474" s="7">
        <v>0</v>
      </c>
      <c r="F3474" s="8">
        <v>0</v>
      </c>
      <c r="G3474" s="7">
        <v>0</v>
      </c>
      <c r="H3474" s="7">
        <v>81211.819999998</v>
      </c>
      <c r="I3474" s="7">
        <v>0</v>
      </c>
      <c r="J3474" s="8">
        <v>0</v>
      </c>
      <c r="K3474" s="9" t="str">
        <v/>
      </c>
    </row>
    <row r="3475" spans="1:11">
      <c r="A3475" t="str">
        <v/>
      </c>
      <c r="B3475" s="6">
        <v>0</v>
      </c>
      <c r="C3475" s="7" t="str">
        <v>趣点购浦发</v>
      </c>
      <c r="D3475" s="8">
        <v>0</v>
      </c>
      <c r="E3475" s="7">
        <v>0</v>
      </c>
      <c r="F3475" s="8">
        <v>0</v>
      </c>
      <c r="G3475" s="7">
        <v>0</v>
      </c>
      <c r="H3475" s="7">
        <v>81211.819999998</v>
      </c>
      <c r="I3475" s="7">
        <v>0</v>
      </c>
      <c r="J3475" s="8">
        <v>0</v>
      </c>
      <c r="K3475" s="9" t="str">
        <v/>
      </c>
    </row>
    <row r="3476" spans="1:11">
      <c r="A3476" t="str">
        <v/>
      </c>
      <c r="B3476" s="6">
        <v>0</v>
      </c>
      <c r="C3476" s="7" t="str">
        <v>趣点购浦发</v>
      </c>
      <c r="D3476" s="8">
        <v>0</v>
      </c>
      <c r="E3476" s="7">
        <v>0</v>
      </c>
      <c r="F3476" s="8">
        <v>0</v>
      </c>
      <c r="G3476" s="7">
        <v>0</v>
      </c>
      <c r="H3476" s="7">
        <v>81211.819999998</v>
      </c>
      <c r="I3476" s="7">
        <v>0</v>
      </c>
      <c r="J3476" s="8">
        <v>0</v>
      </c>
      <c r="K3476" s="9" t="str">
        <v/>
      </c>
    </row>
    <row r="3477" spans="1:11">
      <c r="A3477" t="str">
        <v/>
      </c>
      <c r="B3477" s="6">
        <v>0</v>
      </c>
      <c r="C3477" s="7" t="str">
        <v>趣点购浦发</v>
      </c>
      <c r="D3477" s="8">
        <v>0</v>
      </c>
      <c r="E3477" s="7">
        <v>0</v>
      </c>
      <c r="F3477" s="8">
        <v>0</v>
      </c>
      <c r="G3477" s="7">
        <v>0</v>
      </c>
      <c r="H3477" s="7">
        <v>81211.819999998</v>
      </c>
      <c r="I3477" s="7">
        <v>0</v>
      </c>
      <c r="J3477" s="8">
        <v>0</v>
      </c>
      <c r="K3477" s="9" t="str">
        <v/>
      </c>
    </row>
    <row r="3478" spans="1:11">
      <c r="A3478" t="str">
        <v/>
      </c>
      <c r="B3478" s="6">
        <v>0</v>
      </c>
      <c r="C3478" s="7" t="str">
        <v>趣点购浦发</v>
      </c>
      <c r="D3478" s="8">
        <v>0</v>
      </c>
      <c r="E3478" s="7">
        <v>0</v>
      </c>
      <c r="F3478" s="8">
        <v>0</v>
      </c>
      <c r="G3478" s="7">
        <v>0</v>
      </c>
      <c r="H3478" s="7">
        <v>81211.819999998</v>
      </c>
      <c r="I3478" s="7">
        <v>0</v>
      </c>
      <c r="J3478" s="8">
        <v>0</v>
      </c>
      <c r="K3478" s="9" t="str">
        <v/>
      </c>
    </row>
    <row r="3479" spans="1:11">
      <c r="A3479" t="str">
        <v/>
      </c>
      <c r="B3479" s="6">
        <v>0</v>
      </c>
      <c r="C3479" s="7" t="str">
        <v>趣点购浦发</v>
      </c>
      <c r="D3479" s="8">
        <v>0</v>
      </c>
      <c r="E3479" s="7">
        <v>0</v>
      </c>
      <c r="F3479" s="8">
        <v>0</v>
      </c>
      <c r="G3479" s="7">
        <v>0</v>
      </c>
      <c r="H3479" s="7">
        <v>81211.819999998</v>
      </c>
      <c r="I3479" s="7">
        <v>0</v>
      </c>
      <c r="J3479" s="8">
        <v>0</v>
      </c>
      <c r="K3479" s="9" t="str">
        <v/>
      </c>
    </row>
    <row r="3480" spans="1:11">
      <c r="A3480" t="str">
        <v/>
      </c>
      <c r="B3480" s="6">
        <v>0</v>
      </c>
      <c r="C3480" s="7" t="str">
        <v>趣点购浦发</v>
      </c>
      <c r="D3480" s="8">
        <v>0</v>
      </c>
      <c r="E3480" s="7">
        <v>0</v>
      </c>
      <c r="F3480" s="8">
        <v>0</v>
      </c>
      <c r="G3480" s="7">
        <v>0</v>
      </c>
      <c r="H3480" s="7">
        <v>81211.819999998</v>
      </c>
      <c r="I3480" s="7">
        <v>0</v>
      </c>
      <c r="J3480" s="8">
        <v>0</v>
      </c>
      <c r="K3480" s="9" t="str">
        <v/>
      </c>
    </row>
    <row r="3481" spans="1:11">
      <c r="A3481" t="str">
        <v/>
      </c>
      <c r="B3481" s="6">
        <v>0</v>
      </c>
      <c r="C3481" s="7" t="str">
        <v>趣点购浦发</v>
      </c>
      <c r="D3481" s="8">
        <v>0</v>
      </c>
      <c r="E3481" s="7">
        <v>0</v>
      </c>
      <c r="F3481" s="8">
        <v>0</v>
      </c>
      <c r="G3481" s="7">
        <v>0</v>
      </c>
      <c r="H3481" s="7">
        <v>81211.819999998</v>
      </c>
      <c r="I3481" s="7">
        <v>0</v>
      </c>
      <c r="J3481" s="8">
        <v>0</v>
      </c>
      <c r="K3481" s="9" t="str">
        <v/>
      </c>
    </row>
    <row r="3482" spans="1:11">
      <c r="A3482" t="str">
        <v/>
      </c>
      <c r="B3482" s="6">
        <v>0</v>
      </c>
      <c r="C3482" s="7" t="str">
        <v>趣点购浦发</v>
      </c>
      <c r="D3482" s="8">
        <v>0</v>
      </c>
      <c r="E3482" s="7">
        <v>0</v>
      </c>
      <c r="F3482" s="8">
        <v>0</v>
      </c>
      <c r="G3482" s="7">
        <v>0</v>
      </c>
      <c r="H3482" s="7">
        <v>81211.819999998</v>
      </c>
      <c r="I3482" s="7">
        <v>0</v>
      </c>
      <c r="J3482" s="8">
        <v>0</v>
      </c>
      <c r="K3482" s="9" t="str">
        <v/>
      </c>
    </row>
    <row r="3483" spans="1:11">
      <c r="A3483" t="str">
        <v/>
      </c>
      <c r="B3483" s="6">
        <v>0</v>
      </c>
      <c r="C3483" s="7" t="str">
        <v>趣点购浦发</v>
      </c>
      <c r="D3483" s="8">
        <v>0</v>
      </c>
      <c r="E3483" s="7">
        <v>0</v>
      </c>
      <c r="F3483" s="8">
        <v>0</v>
      </c>
      <c r="G3483" s="7">
        <v>0</v>
      </c>
      <c r="H3483" s="7">
        <v>81211.819999998</v>
      </c>
      <c r="I3483" s="7">
        <v>0</v>
      </c>
      <c r="J3483" s="8">
        <v>0</v>
      </c>
      <c r="K3483" s="9" t="str">
        <v/>
      </c>
    </row>
    <row r="3484" spans="1:11">
      <c r="A3484" t="str">
        <v/>
      </c>
      <c r="B3484" s="6">
        <v>0</v>
      </c>
      <c r="C3484" s="7" t="str">
        <v>趣点购浦发</v>
      </c>
      <c r="D3484" s="8">
        <v>0</v>
      </c>
      <c r="E3484" s="7">
        <v>0</v>
      </c>
      <c r="F3484" s="8">
        <v>0</v>
      </c>
      <c r="G3484" s="7">
        <v>0</v>
      </c>
      <c r="H3484" s="7">
        <v>81211.819999998</v>
      </c>
      <c r="I3484" s="7">
        <v>0</v>
      </c>
      <c r="J3484" s="8">
        <v>0</v>
      </c>
      <c r="K3484" s="9" t="str">
        <v/>
      </c>
    </row>
    <row r="3485" spans="1:11">
      <c r="A3485" t="str">
        <v/>
      </c>
      <c r="B3485" s="6">
        <v>0</v>
      </c>
      <c r="C3485" s="7" t="str">
        <v>趣点购浦发</v>
      </c>
      <c r="D3485" s="8">
        <v>0</v>
      </c>
      <c r="E3485" s="7">
        <v>0</v>
      </c>
      <c r="F3485" s="8">
        <v>0</v>
      </c>
      <c r="G3485" s="7">
        <v>0</v>
      </c>
      <c r="H3485" s="7">
        <v>81211.819999998</v>
      </c>
      <c r="I3485" s="7">
        <v>0</v>
      </c>
      <c r="J3485" s="8">
        <v>0</v>
      </c>
      <c r="K3485" s="9" t="str">
        <v/>
      </c>
    </row>
    <row r="3486" spans="1:11">
      <c r="A3486" t="str">
        <v/>
      </c>
      <c r="B3486" s="6">
        <v>0</v>
      </c>
      <c r="C3486" s="7" t="str">
        <v>趣点购浦发</v>
      </c>
      <c r="D3486" s="8">
        <v>0</v>
      </c>
      <c r="E3486" s="7">
        <v>0</v>
      </c>
      <c r="F3486" s="8">
        <v>0</v>
      </c>
      <c r="G3486" s="7">
        <v>0</v>
      </c>
      <c r="H3486" s="7">
        <v>81211.819999998</v>
      </c>
      <c r="I3486" s="7">
        <v>0</v>
      </c>
      <c r="J3486" s="8">
        <v>0</v>
      </c>
      <c r="K3486" s="9" t="str">
        <v/>
      </c>
    </row>
    <row r="3487" spans="1:11">
      <c r="A3487" t="str">
        <v/>
      </c>
      <c r="B3487" s="6">
        <v>0</v>
      </c>
      <c r="C3487" s="7" t="str">
        <v>趣点购浦发</v>
      </c>
      <c r="D3487" s="8">
        <v>0</v>
      </c>
      <c r="E3487" s="7">
        <v>0</v>
      </c>
      <c r="F3487" s="8">
        <v>0</v>
      </c>
      <c r="G3487" s="7">
        <v>0</v>
      </c>
      <c r="H3487" s="7">
        <v>81211.819999998</v>
      </c>
      <c r="I3487" s="7">
        <v>0</v>
      </c>
      <c r="J3487" s="8">
        <v>0</v>
      </c>
      <c r="K3487" s="9" t="str">
        <v/>
      </c>
    </row>
    <row r="3488" spans="1:11">
      <c r="A3488" t="str">
        <v/>
      </c>
      <c r="B3488" s="6">
        <v>0</v>
      </c>
      <c r="C3488" s="7" t="str">
        <v>趣点购浦发</v>
      </c>
      <c r="D3488" s="8">
        <v>0</v>
      </c>
      <c r="E3488" s="7">
        <v>0</v>
      </c>
      <c r="F3488" s="8">
        <v>0</v>
      </c>
      <c r="G3488" s="7">
        <v>0</v>
      </c>
      <c r="H3488" s="7">
        <v>81211.819999998</v>
      </c>
      <c r="I3488" s="7">
        <v>0</v>
      </c>
      <c r="J3488" s="8">
        <v>0</v>
      </c>
      <c r="K3488" s="9" t="str">
        <v/>
      </c>
    </row>
    <row r="3489" spans="1:11">
      <c r="A3489" t="str">
        <v/>
      </c>
      <c r="B3489" s="6">
        <v>0</v>
      </c>
      <c r="C3489" s="7" t="str">
        <v>趣点购浦发</v>
      </c>
      <c r="D3489" s="8">
        <v>0</v>
      </c>
      <c r="E3489" s="7">
        <v>0</v>
      </c>
      <c r="F3489" s="8">
        <v>0</v>
      </c>
      <c r="G3489" s="7">
        <v>0</v>
      </c>
      <c r="H3489" s="7">
        <v>81211.819999998</v>
      </c>
      <c r="I3489" s="7">
        <v>0</v>
      </c>
      <c r="J3489" s="8">
        <v>0</v>
      </c>
      <c r="K3489" s="9" t="str">
        <v/>
      </c>
    </row>
    <row r="3490" spans="1:11">
      <c r="A3490" t="str">
        <v/>
      </c>
      <c r="B3490" s="6">
        <v>0</v>
      </c>
      <c r="C3490" s="7" t="str">
        <v>趣点购浦发</v>
      </c>
      <c r="D3490" s="8">
        <v>0</v>
      </c>
      <c r="E3490" s="7">
        <v>0</v>
      </c>
      <c r="F3490" s="8">
        <v>0</v>
      </c>
      <c r="G3490" s="7">
        <v>0</v>
      </c>
      <c r="H3490" s="7">
        <v>81211.819999998</v>
      </c>
      <c r="I3490" s="7">
        <v>0</v>
      </c>
      <c r="J3490" s="8">
        <v>0</v>
      </c>
      <c r="K3490" s="9" t="str">
        <v/>
      </c>
    </row>
    <row r="3491" spans="1:11">
      <c r="A3491" t="str">
        <v/>
      </c>
      <c r="B3491" s="6">
        <v>0</v>
      </c>
      <c r="C3491" s="7" t="str">
        <v>趣点购浦发</v>
      </c>
      <c r="D3491" s="8">
        <v>0</v>
      </c>
      <c r="E3491" s="7">
        <v>0</v>
      </c>
      <c r="F3491" s="8">
        <v>0</v>
      </c>
      <c r="G3491" s="7">
        <v>0</v>
      </c>
      <c r="H3491" s="7">
        <v>81211.819999998</v>
      </c>
      <c r="I3491" s="7">
        <v>0</v>
      </c>
      <c r="J3491" s="8">
        <v>0</v>
      </c>
      <c r="K3491" s="9" t="str">
        <v/>
      </c>
    </row>
    <row r="3492" spans="1:11">
      <c r="A3492" t="str">
        <v/>
      </c>
      <c r="B3492" s="6">
        <v>0</v>
      </c>
      <c r="C3492" s="7" t="str">
        <v>趣点购浦发</v>
      </c>
      <c r="D3492" s="8">
        <v>0</v>
      </c>
      <c r="E3492" s="7">
        <v>0</v>
      </c>
      <c r="F3492" s="8">
        <v>0</v>
      </c>
      <c r="G3492" s="7">
        <v>0</v>
      </c>
      <c r="H3492" s="7">
        <v>81211.819999998</v>
      </c>
      <c r="I3492" s="7">
        <v>0</v>
      </c>
      <c r="J3492" s="8">
        <v>0</v>
      </c>
      <c r="K3492" s="9" t="str">
        <v/>
      </c>
    </row>
    <row r="3493" spans="1:11">
      <c r="A3493" t="str">
        <v/>
      </c>
      <c r="B3493" s="6">
        <v>0</v>
      </c>
      <c r="C3493" s="7" t="str">
        <v>趣点购浦发</v>
      </c>
      <c r="D3493" s="8">
        <v>0</v>
      </c>
      <c r="E3493" s="7">
        <v>0</v>
      </c>
      <c r="F3493" s="8">
        <v>0</v>
      </c>
      <c r="G3493" s="7">
        <v>0</v>
      </c>
      <c r="H3493" s="7">
        <v>81211.819999998</v>
      </c>
      <c r="I3493" s="7">
        <v>0</v>
      </c>
      <c r="J3493" s="8">
        <v>0</v>
      </c>
      <c r="K3493" s="9" t="str">
        <v/>
      </c>
    </row>
    <row r="3494" spans="1:11">
      <c r="A3494" t="str">
        <v/>
      </c>
      <c r="B3494" s="6">
        <v>0</v>
      </c>
      <c r="C3494" s="7" t="str">
        <v>趣点购浦发</v>
      </c>
      <c r="D3494" s="8">
        <v>0</v>
      </c>
      <c r="E3494" s="7">
        <v>0</v>
      </c>
      <c r="F3494" s="8">
        <v>0</v>
      </c>
      <c r="G3494" s="7">
        <v>0</v>
      </c>
      <c r="H3494" s="7">
        <v>81211.819999998</v>
      </c>
      <c r="I3494" s="7">
        <v>0</v>
      </c>
      <c r="J3494" s="8">
        <v>0</v>
      </c>
      <c r="K3494" s="9" t="str">
        <v/>
      </c>
    </row>
    <row r="3495" spans="1:11">
      <c r="A3495" t="str">
        <v/>
      </c>
      <c r="B3495" s="6">
        <v>0</v>
      </c>
      <c r="C3495" s="7" t="str">
        <v>趣点购浦发</v>
      </c>
      <c r="D3495" s="8">
        <v>0</v>
      </c>
      <c r="E3495" s="7">
        <v>0</v>
      </c>
      <c r="F3495" s="8">
        <v>0</v>
      </c>
      <c r="G3495" s="7">
        <v>0</v>
      </c>
      <c r="H3495" s="7">
        <v>81211.819999998</v>
      </c>
      <c r="I3495" s="7">
        <v>0</v>
      </c>
      <c r="J3495" s="8">
        <v>0</v>
      </c>
      <c r="K3495" s="9" t="str">
        <v/>
      </c>
    </row>
    <row r="3496" spans="1:11">
      <c r="A3496" t="str">
        <v/>
      </c>
      <c r="B3496" s="6">
        <v>0</v>
      </c>
      <c r="C3496" s="7" t="str">
        <v>趣点购浦发</v>
      </c>
      <c r="D3496" s="8">
        <v>0</v>
      </c>
      <c r="E3496" s="7">
        <v>0</v>
      </c>
      <c r="F3496" s="8">
        <v>0</v>
      </c>
      <c r="G3496" s="7">
        <v>0</v>
      </c>
      <c r="H3496" s="7">
        <v>81211.819999998</v>
      </c>
      <c r="I3496" s="7">
        <v>0</v>
      </c>
      <c r="J3496" s="8">
        <v>0</v>
      </c>
      <c r="K3496" s="9" t="str">
        <v/>
      </c>
    </row>
    <row r="3497" spans="1:11">
      <c r="A3497" t="str">
        <v/>
      </c>
      <c r="B3497" s="6">
        <v>0</v>
      </c>
      <c r="C3497" s="7" t="str">
        <v>趣点购浦发</v>
      </c>
      <c r="D3497" s="8">
        <v>0</v>
      </c>
      <c r="E3497" s="7">
        <v>0</v>
      </c>
      <c r="F3497" s="8">
        <v>0</v>
      </c>
      <c r="G3497" s="7">
        <v>0</v>
      </c>
      <c r="H3497" s="7">
        <v>81211.819999998</v>
      </c>
      <c r="I3497" s="7">
        <v>0</v>
      </c>
      <c r="J3497" s="8">
        <v>0</v>
      </c>
      <c r="K3497" s="9" t="str">
        <v/>
      </c>
    </row>
    <row r="3498" spans="1:11">
      <c r="A3498" t="str">
        <v/>
      </c>
      <c r="B3498" s="6">
        <v>0</v>
      </c>
      <c r="C3498" s="7" t="str">
        <v>趣点购浦发</v>
      </c>
      <c r="D3498" s="8">
        <v>0</v>
      </c>
      <c r="E3498" s="7">
        <v>0</v>
      </c>
      <c r="F3498" s="8">
        <v>0</v>
      </c>
      <c r="G3498" s="7">
        <v>0</v>
      </c>
      <c r="H3498" s="7">
        <v>81211.819999998</v>
      </c>
      <c r="I3498" s="7">
        <v>0</v>
      </c>
      <c r="J3498" s="8">
        <v>0</v>
      </c>
      <c r="K3498" s="9" t="str">
        <v/>
      </c>
    </row>
    <row r="3499" spans="1:11">
      <c r="A3499" t="str">
        <v/>
      </c>
      <c r="B3499" s="6">
        <v>0</v>
      </c>
      <c r="C3499" s="7" t="str">
        <v>趣点购浦发</v>
      </c>
      <c r="D3499" s="8">
        <v>0</v>
      </c>
      <c r="E3499" s="7">
        <v>0</v>
      </c>
      <c r="F3499" s="8">
        <v>0</v>
      </c>
      <c r="G3499" s="7">
        <v>0</v>
      </c>
      <c r="H3499" s="7">
        <v>81211.819999998</v>
      </c>
      <c r="I3499" s="7">
        <v>0</v>
      </c>
      <c r="J3499" s="8">
        <v>0</v>
      </c>
      <c r="K3499" s="9" t="str">
        <v/>
      </c>
    </row>
    <row r="3500" spans="1:11">
      <c r="A3500" t="str">
        <v/>
      </c>
      <c r="B3500" s="6">
        <v>0</v>
      </c>
      <c r="C3500" s="7" t="str">
        <v>趣点购浦发</v>
      </c>
      <c r="D3500" s="8">
        <v>0</v>
      </c>
      <c r="E3500" s="7">
        <v>0</v>
      </c>
      <c r="F3500" s="8">
        <v>0</v>
      </c>
      <c r="G3500" s="7">
        <v>0</v>
      </c>
      <c r="H3500" s="7">
        <v>81211.819999998</v>
      </c>
      <c r="I3500" s="7">
        <v>0</v>
      </c>
      <c r="J3500" s="8">
        <v>0</v>
      </c>
      <c r="K3500" s="9" t="str">
        <v/>
      </c>
    </row>
    <row r="3501" spans="1:11">
      <c r="A3501" t="str">
        <v/>
      </c>
      <c r="B3501" s="6">
        <v>0</v>
      </c>
      <c r="C3501" s="7" t="str">
        <v>趣点购浦发</v>
      </c>
      <c r="D3501" s="8">
        <v>0</v>
      </c>
      <c r="E3501" s="7">
        <v>0</v>
      </c>
      <c r="F3501" s="8">
        <v>0</v>
      </c>
      <c r="G3501" s="7">
        <v>0</v>
      </c>
      <c r="H3501" s="7">
        <v>81211.819999998</v>
      </c>
      <c r="I3501" s="7">
        <v>0</v>
      </c>
      <c r="J3501" s="8">
        <v>0</v>
      </c>
      <c r="K3501" s="9" t="str">
        <v/>
      </c>
    </row>
    <row r="3502" spans="1:11">
      <c r="A3502" t="str">
        <v/>
      </c>
      <c r="B3502" s="6">
        <v>0</v>
      </c>
      <c r="C3502" s="7" t="str">
        <v>趣点购浦发</v>
      </c>
      <c r="D3502" s="8">
        <v>0</v>
      </c>
      <c r="E3502" s="7">
        <v>0</v>
      </c>
      <c r="F3502" s="8">
        <v>0</v>
      </c>
      <c r="G3502" s="7">
        <v>0</v>
      </c>
      <c r="H3502" s="7">
        <v>81211.819999998</v>
      </c>
      <c r="I3502" s="7">
        <v>0</v>
      </c>
      <c r="J3502" s="8">
        <v>0</v>
      </c>
      <c r="K3502" s="9" t="str">
        <v/>
      </c>
    </row>
    <row r="3503" spans="1:11">
      <c r="A3503" t="str">
        <v/>
      </c>
      <c r="B3503" s="6">
        <v>0</v>
      </c>
      <c r="C3503" s="7" t="str">
        <v>趣点购浦发</v>
      </c>
      <c r="D3503" s="8">
        <v>0</v>
      </c>
      <c r="E3503" s="7">
        <v>0</v>
      </c>
      <c r="F3503" s="8">
        <v>0</v>
      </c>
      <c r="G3503" s="7">
        <v>0</v>
      </c>
      <c r="H3503" s="7">
        <v>81211.819999998</v>
      </c>
      <c r="I3503" s="7">
        <v>0</v>
      </c>
      <c r="J3503" s="8">
        <v>0</v>
      </c>
      <c r="K3503" s="9" t="str">
        <v/>
      </c>
    </row>
    <row r="3504" spans="1:11">
      <c r="A3504" t="str">
        <v/>
      </c>
      <c r="B3504" s="6">
        <v>0</v>
      </c>
      <c r="C3504" s="7" t="str">
        <v>趣点购浦发</v>
      </c>
      <c r="D3504" s="8">
        <v>0</v>
      </c>
      <c r="E3504" s="7">
        <v>0</v>
      </c>
      <c r="F3504" s="8">
        <v>0</v>
      </c>
      <c r="G3504" s="7">
        <v>0</v>
      </c>
      <c r="H3504" s="7">
        <v>81211.819999998</v>
      </c>
      <c r="I3504" s="7">
        <v>0</v>
      </c>
      <c r="J3504" s="8">
        <v>0</v>
      </c>
      <c r="K3504" s="9" t="str">
        <v/>
      </c>
    </row>
    <row r="3505" spans="1:11">
      <c r="A3505" t="str">
        <v/>
      </c>
      <c r="B3505" s="6">
        <v>0</v>
      </c>
      <c r="C3505" s="7" t="str">
        <v>趣点购浦发</v>
      </c>
      <c r="D3505" s="8">
        <v>0</v>
      </c>
      <c r="E3505" s="7">
        <v>0</v>
      </c>
      <c r="F3505" s="8">
        <v>0</v>
      </c>
      <c r="G3505" s="7">
        <v>0</v>
      </c>
      <c r="H3505" s="7">
        <v>81211.819999998</v>
      </c>
      <c r="I3505" s="7">
        <v>0</v>
      </c>
      <c r="J3505" s="8">
        <v>0</v>
      </c>
      <c r="K3505" s="9" t="str">
        <v/>
      </c>
    </row>
    <row r="3506" spans="1:11">
      <c r="A3506" t="str">
        <v/>
      </c>
      <c r="B3506" s="6">
        <v>0</v>
      </c>
      <c r="C3506" s="7" t="str">
        <v>趣点购浦发</v>
      </c>
      <c r="D3506" s="8">
        <v>0</v>
      </c>
      <c r="E3506" s="7">
        <v>0</v>
      </c>
      <c r="F3506" s="8">
        <v>0</v>
      </c>
      <c r="G3506" s="7">
        <v>0</v>
      </c>
      <c r="H3506" s="7">
        <v>81211.819999998</v>
      </c>
      <c r="I3506" s="7">
        <v>0</v>
      </c>
      <c r="J3506" s="8">
        <v>0</v>
      </c>
      <c r="K3506" s="9" t="str">
        <v/>
      </c>
    </row>
    <row r="3507" spans="1:11">
      <c r="A3507" t="str">
        <v/>
      </c>
      <c r="B3507" s="6">
        <v>0</v>
      </c>
      <c r="C3507" s="7" t="str">
        <v>趣点购浦发</v>
      </c>
      <c r="D3507" s="8">
        <v>0</v>
      </c>
      <c r="E3507" s="7">
        <v>0</v>
      </c>
      <c r="F3507" s="8">
        <v>0</v>
      </c>
      <c r="G3507" s="7">
        <v>0</v>
      </c>
      <c r="H3507" s="7">
        <v>81211.819999998</v>
      </c>
      <c r="I3507" s="7">
        <v>0</v>
      </c>
      <c r="J3507" s="8">
        <v>0</v>
      </c>
      <c r="K3507" s="9" t="str">
        <v/>
      </c>
    </row>
    <row r="3508" spans="1:11">
      <c r="A3508" t="str">
        <v/>
      </c>
      <c r="B3508" s="6">
        <v>0</v>
      </c>
      <c r="C3508" s="7" t="str">
        <v>趣点购浦发</v>
      </c>
      <c r="D3508" s="8">
        <v>0</v>
      </c>
      <c r="E3508" s="7">
        <v>0</v>
      </c>
      <c r="F3508" s="8">
        <v>0</v>
      </c>
      <c r="G3508" s="7">
        <v>0</v>
      </c>
      <c r="H3508" s="7">
        <v>81211.819999998</v>
      </c>
      <c r="I3508" s="7">
        <v>0</v>
      </c>
      <c r="J3508" s="8">
        <v>0</v>
      </c>
      <c r="K3508" s="9" t="str">
        <v/>
      </c>
    </row>
    <row r="3509" spans="1:11">
      <c r="A3509" t="str">
        <v/>
      </c>
      <c r="B3509" s="6">
        <v>0</v>
      </c>
      <c r="C3509" s="7" t="str">
        <v>趣点购浦发</v>
      </c>
      <c r="D3509" s="8">
        <v>0</v>
      </c>
      <c r="E3509" s="7">
        <v>0</v>
      </c>
      <c r="F3509" s="8">
        <v>0</v>
      </c>
      <c r="G3509" s="7">
        <v>0</v>
      </c>
      <c r="H3509" s="7">
        <v>81211.819999998</v>
      </c>
      <c r="I3509" s="7">
        <v>0</v>
      </c>
      <c r="J3509" s="8">
        <v>0</v>
      </c>
      <c r="K3509" s="9" t="str">
        <v/>
      </c>
    </row>
    <row r="3510" spans="1:11">
      <c r="A3510" t="str">
        <v/>
      </c>
      <c r="B3510" s="6">
        <v>0</v>
      </c>
      <c r="C3510" s="7" t="str">
        <v>趣点购浦发</v>
      </c>
      <c r="D3510" s="8">
        <v>0</v>
      </c>
      <c r="E3510" s="7">
        <v>0</v>
      </c>
      <c r="F3510" s="8">
        <v>0</v>
      </c>
      <c r="G3510" s="7">
        <v>0</v>
      </c>
      <c r="H3510" s="7">
        <v>81211.819999998</v>
      </c>
      <c r="I3510" s="7">
        <v>0</v>
      </c>
      <c r="J3510" s="8">
        <v>0</v>
      </c>
      <c r="K3510" s="9" t="str">
        <v/>
      </c>
    </row>
    <row r="3511" spans="1:11">
      <c r="A3511" t="str">
        <v/>
      </c>
      <c r="B3511" s="6">
        <v>0</v>
      </c>
      <c r="C3511" s="7" t="str">
        <v>趣点购浦发</v>
      </c>
      <c r="D3511" s="8">
        <v>0</v>
      </c>
      <c r="E3511" s="7">
        <v>0</v>
      </c>
      <c r="F3511" s="8">
        <v>0</v>
      </c>
      <c r="G3511" s="7">
        <v>0</v>
      </c>
      <c r="H3511" s="7">
        <v>81211.819999998</v>
      </c>
      <c r="I3511" s="7">
        <v>0</v>
      </c>
      <c r="J3511" s="8">
        <v>0</v>
      </c>
      <c r="K3511" s="9" t="str">
        <v/>
      </c>
    </row>
    <row r="3512" spans="1:11">
      <c r="A3512" t="str">
        <v/>
      </c>
      <c r="B3512" s="6">
        <v>0</v>
      </c>
      <c r="C3512" s="7" t="str">
        <v>趣点购浦发</v>
      </c>
      <c r="D3512" s="8">
        <v>0</v>
      </c>
      <c r="E3512" s="7">
        <v>0</v>
      </c>
      <c r="F3512" s="8">
        <v>0</v>
      </c>
      <c r="G3512" s="7">
        <v>0</v>
      </c>
      <c r="H3512" s="7">
        <v>81211.819999998</v>
      </c>
      <c r="I3512" s="7">
        <v>0</v>
      </c>
      <c r="J3512" s="8">
        <v>0</v>
      </c>
      <c r="K3512" s="9" t="str">
        <v/>
      </c>
    </row>
    <row r="3513" spans="1:11">
      <c r="A3513" t="str">
        <v/>
      </c>
      <c r="B3513" s="6">
        <v>0</v>
      </c>
      <c r="C3513" s="7" t="str">
        <v>趣点购浦发</v>
      </c>
      <c r="D3513" s="8">
        <v>0</v>
      </c>
      <c r="E3513" s="7">
        <v>0</v>
      </c>
      <c r="F3513" s="8">
        <v>0</v>
      </c>
      <c r="G3513" s="7">
        <v>0</v>
      </c>
      <c r="H3513" s="7">
        <v>81211.819999998</v>
      </c>
      <c r="I3513" s="7">
        <v>0</v>
      </c>
      <c r="J3513" s="8">
        <v>0</v>
      </c>
      <c r="K3513" s="9" t="str">
        <v/>
      </c>
    </row>
    <row r="3514" spans="1:11">
      <c r="A3514" t="str">
        <v/>
      </c>
      <c r="B3514" s="6">
        <v>0</v>
      </c>
      <c r="C3514" s="7" t="str">
        <v>趣点购浦发</v>
      </c>
      <c r="D3514" s="8">
        <v>0</v>
      </c>
      <c r="E3514" s="7">
        <v>0</v>
      </c>
      <c r="F3514" s="8">
        <v>0</v>
      </c>
      <c r="G3514" s="7">
        <v>0</v>
      </c>
      <c r="H3514" s="7">
        <v>81211.819999998</v>
      </c>
      <c r="I3514" s="7">
        <v>0</v>
      </c>
      <c r="J3514" s="8">
        <v>0</v>
      </c>
      <c r="K3514" s="9" t="str">
        <v/>
      </c>
    </row>
    <row r="3515" spans="1:11">
      <c r="A3515" t="str">
        <v/>
      </c>
      <c r="B3515" s="6">
        <v>0</v>
      </c>
      <c r="C3515" s="7" t="str">
        <v>趣点购浦发</v>
      </c>
      <c r="D3515" s="8">
        <v>0</v>
      </c>
      <c r="E3515" s="7">
        <v>0</v>
      </c>
      <c r="F3515" s="8">
        <v>0</v>
      </c>
      <c r="G3515" s="7">
        <v>0</v>
      </c>
      <c r="H3515" s="7">
        <v>81211.819999998</v>
      </c>
      <c r="I3515" s="7">
        <v>0</v>
      </c>
      <c r="J3515" s="8">
        <v>0</v>
      </c>
      <c r="K3515" s="9" t="str">
        <v/>
      </c>
    </row>
    <row r="3516" spans="1:11">
      <c r="A3516" t="str">
        <v/>
      </c>
      <c r="B3516" s="6">
        <v>0</v>
      </c>
      <c r="C3516" s="7" t="str">
        <v>趣点购浦发</v>
      </c>
      <c r="D3516" s="8">
        <v>0</v>
      </c>
      <c r="E3516" s="7">
        <v>0</v>
      </c>
      <c r="F3516" s="8">
        <v>0</v>
      </c>
      <c r="G3516" s="7">
        <v>0</v>
      </c>
      <c r="H3516" s="7">
        <v>81211.819999998</v>
      </c>
      <c r="I3516" s="7">
        <v>0</v>
      </c>
      <c r="J3516" s="8">
        <v>0</v>
      </c>
      <c r="K3516" s="9" t="str">
        <v/>
      </c>
    </row>
    <row r="3517" spans="1:11">
      <c r="A3517" t="str">
        <v/>
      </c>
      <c r="B3517" s="6">
        <v>0</v>
      </c>
      <c r="C3517" s="7" t="str">
        <v>趣点购浦发</v>
      </c>
      <c r="D3517" s="8">
        <v>0</v>
      </c>
      <c r="E3517" s="7">
        <v>0</v>
      </c>
      <c r="F3517" s="8">
        <v>0</v>
      </c>
      <c r="G3517" s="7">
        <v>0</v>
      </c>
      <c r="H3517" s="7">
        <v>81211.819999998</v>
      </c>
      <c r="I3517" s="7">
        <v>0</v>
      </c>
      <c r="J3517" s="8">
        <v>0</v>
      </c>
      <c r="K3517" s="9" t="str">
        <v/>
      </c>
    </row>
    <row r="3518" spans="1:11">
      <c r="A3518" t="str">
        <v/>
      </c>
      <c r="B3518" s="6">
        <v>0</v>
      </c>
      <c r="C3518" s="7" t="str">
        <v>趣点购浦发</v>
      </c>
      <c r="D3518" s="8">
        <v>0</v>
      </c>
      <c r="E3518" s="7">
        <v>0</v>
      </c>
      <c r="F3518" s="8">
        <v>0</v>
      </c>
      <c r="G3518" s="7">
        <v>0</v>
      </c>
      <c r="H3518" s="7">
        <v>81211.819999998</v>
      </c>
      <c r="I3518" s="7">
        <v>0</v>
      </c>
      <c r="J3518" s="8">
        <v>0</v>
      </c>
      <c r="K3518" s="9" t="str">
        <v/>
      </c>
    </row>
    <row r="3519" spans="1:11">
      <c r="A3519" t="str">
        <v/>
      </c>
      <c r="B3519" s="6">
        <v>0</v>
      </c>
      <c r="C3519" s="7" t="str">
        <v>趣点购浦发</v>
      </c>
      <c r="D3519" s="8">
        <v>0</v>
      </c>
      <c r="E3519" s="7">
        <v>0</v>
      </c>
      <c r="F3519" s="8">
        <v>0</v>
      </c>
      <c r="G3519" s="7">
        <v>0</v>
      </c>
      <c r="H3519" s="7">
        <v>81211.819999998</v>
      </c>
      <c r="I3519" s="7">
        <v>0</v>
      </c>
      <c r="J3519" s="8">
        <v>0</v>
      </c>
      <c r="K3519" s="9" t="str">
        <v/>
      </c>
    </row>
    <row r="3520" spans="1:11">
      <c r="A3520" t="str">
        <v/>
      </c>
      <c r="B3520" s="6">
        <v>0</v>
      </c>
      <c r="C3520" s="7" t="str">
        <v>趣点购浦发</v>
      </c>
      <c r="D3520" s="8">
        <v>0</v>
      </c>
      <c r="E3520" s="7">
        <v>0</v>
      </c>
      <c r="F3520" s="8">
        <v>0</v>
      </c>
      <c r="G3520" s="7">
        <v>0</v>
      </c>
      <c r="H3520" s="7">
        <v>81211.819999998</v>
      </c>
      <c r="I3520" s="7">
        <v>0</v>
      </c>
      <c r="J3520" s="8">
        <v>0</v>
      </c>
      <c r="K3520" s="9" t="str">
        <v/>
      </c>
    </row>
    <row r="3521" spans="1:11">
      <c r="A3521" t="str">
        <v/>
      </c>
      <c r="B3521" s="6">
        <v>0</v>
      </c>
      <c r="C3521" s="7" t="str">
        <v>趣点购浦发</v>
      </c>
      <c r="D3521" s="8">
        <v>0</v>
      </c>
      <c r="E3521" s="7">
        <v>0</v>
      </c>
      <c r="F3521" s="8">
        <v>0</v>
      </c>
      <c r="G3521" s="7">
        <v>0</v>
      </c>
      <c r="H3521" s="7">
        <v>81211.819999998</v>
      </c>
      <c r="I3521" s="7">
        <v>0</v>
      </c>
      <c r="J3521" s="8">
        <v>0</v>
      </c>
      <c r="K3521" s="9" t="str">
        <v/>
      </c>
    </row>
    <row r="3522" spans="1:11">
      <c r="A3522" t="str">
        <v/>
      </c>
      <c r="B3522" s="6">
        <v>0</v>
      </c>
      <c r="C3522" s="7" t="str">
        <v>趣点购浦发</v>
      </c>
      <c r="D3522" s="8">
        <v>0</v>
      </c>
      <c r="E3522" s="7">
        <v>0</v>
      </c>
      <c r="F3522" s="8">
        <v>0</v>
      </c>
      <c r="G3522" s="7">
        <v>0</v>
      </c>
      <c r="H3522" s="7">
        <v>81211.819999998</v>
      </c>
      <c r="I3522" s="7">
        <v>0</v>
      </c>
      <c r="J3522" s="8">
        <v>0</v>
      </c>
      <c r="K3522" s="9" t="str">
        <v/>
      </c>
    </row>
    <row r="3523" spans="1:11">
      <c r="A3523" t="str">
        <v/>
      </c>
      <c r="B3523" s="6">
        <v>0</v>
      </c>
      <c r="C3523" s="7" t="str">
        <v>趣点购浦发</v>
      </c>
      <c r="D3523" s="8">
        <v>0</v>
      </c>
      <c r="E3523" s="7">
        <v>0</v>
      </c>
      <c r="F3523" s="8">
        <v>0</v>
      </c>
      <c r="G3523" s="7">
        <v>0</v>
      </c>
      <c r="H3523" s="7">
        <v>81211.819999998</v>
      </c>
      <c r="I3523" s="7">
        <v>0</v>
      </c>
      <c r="J3523" s="8">
        <v>0</v>
      </c>
      <c r="K3523" s="9" t="str">
        <v/>
      </c>
    </row>
    <row r="3524" spans="1:11">
      <c r="A3524" t="str">
        <v/>
      </c>
      <c r="B3524" s="6">
        <v>0</v>
      </c>
      <c r="C3524" s="7" t="str">
        <v>趣点购浦发</v>
      </c>
      <c r="D3524" s="8">
        <v>0</v>
      </c>
      <c r="E3524" s="7">
        <v>0</v>
      </c>
      <c r="F3524" s="8">
        <v>0</v>
      </c>
      <c r="G3524" s="7">
        <v>0</v>
      </c>
      <c r="H3524" s="7">
        <v>81211.819999998</v>
      </c>
      <c r="I3524" s="7">
        <v>0</v>
      </c>
      <c r="J3524" s="8">
        <v>0</v>
      </c>
      <c r="K3524" s="9" t="str">
        <v/>
      </c>
    </row>
    <row r="3525" spans="1:11">
      <c r="A3525" t="str">
        <v/>
      </c>
      <c r="B3525" s="6">
        <v>0</v>
      </c>
      <c r="C3525" s="7" t="str">
        <v>趣点购浦发</v>
      </c>
      <c r="D3525" s="8">
        <v>0</v>
      </c>
      <c r="E3525" s="7">
        <v>0</v>
      </c>
      <c r="F3525" s="8">
        <v>0</v>
      </c>
      <c r="G3525" s="7">
        <v>0</v>
      </c>
      <c r="H3525" s="7">
        <v>81211.819999998</v>
      </c>
      <c r="I3525" s="7">
        <v>0</v>
      </c>
      <c r="J3525" s="8">
        <v>0</v>
      </c>
      <c r="K3525" s="9" t="str">
        <v/>
      </c>
    </row>
    <row r="3526" spans="1:11">
      <c r="A3526" t="str">
        <v/>
      </c>
      <c r="B3526" s="6">
        <v>0</v>
      </c>
      <c r="C3526" s="7" t="str">
        <v>趣点购浦发</v>
      </c>
      <c r="D3526" s="8">
        <v>0</v>
      </c>
      <c r="E3526" s="7">
        <v>0</v>
      </c>
      <c r="F3526" s="8">
        <v>0</v>
      </c>
      <c r="G3526" s="7">
        <v>0</v>
      </c>
      <c r="H3526" s="7">
        <v>81211.819999998</v>
      </c>
      <c r="I3526" s="7">
        <v>0</v>
      </c>
      <c r="J3526" s="8">
        <v>0</v>
      </c>
      <c r="K3526" s="9" t="str">
        <v/>
      </c>
    </row>
    <row r="3527" spans="1:11">
      <c r="A3527" t="str">
        <v/>
      </c>
      <c r="B3527" s="6">
        <v>0</v>
      </c>
      <c r="C3527" s="7" t="str">
        <v>趣点购浦发</v>
      </c>
      <c r="D3527" s="8">
        <v>0</v>
      </c>
      <c r="E3527" s="7">
        <v>0</v>
      </c>
      <c r="F3527" s="8">
        <v>0</v>
      </c>
      <c r="G3527" s="7">
        <v>0</v>
      </c>
      <c r="H3527" s="7">
        <v>81211.819999998</v>
      </c>
      <c r="I3527" s="7">
        <v>0</v>
      </c>
      <c r="J3527" s="8">
        <v>0</v>
      </c>
      <c r="K3527" s="9" t="str">
        <v/>
      </c>
    </row>
    <row r="3528" spans="1:11">
      <c r="A3528" t="str">
        <v/>
      </c>
      <c r="B3528" s="6">
        <v>0</v>
      </c>
      <c r="C3528" s="7" t="str">
        <v>趣点购浦发</v>
      </c>
      <c r="D3528" s="8">
        <v>0</v>
      </c>
      <c r="E3528" s="7">
        <v>0</v>
      </c>
      <c r="F3528" s="8">
        <v>0</v>
      </c>
      <c r="G3528" s="7">
        <v>0</v>
      </c>
      <c r="H3528" s="7">
        <v>81211.819999998</v>
      </c>
      <c r="I3528" s="7">
        <v>0</v>
      </c>
      <c r="J3528" s="8">
        <v>0</v>
      </c>
      <c r="K3528" s="9" t="str">
        <v/>
      </c>
    </row>
    <row r="3529" spans="1:11">
      <c r="A3529" t="str">
        <v/>
      </c>
      <c r="B3529" s="6">
        <v>0</v>
      </c>
      <c r="C3529" s="7" t="str">
        <v>趣点购浦发</v>
      </c>
      <c r="D3529" s="8">
        <v>0</v>
      </c>
      <c r="E3529" s="7">
        <v>0</v>
      </c>
      <c r="F3529" s="8">
        <v>0</v>
      </c>
      <c r="G3529" s="7">
        <v>0</v>
      </c>
      <c r="H3529" s="7">
        <v>81211.819999998</v>
      </c>
      <c r="I3529" s="7">
        <v>0</v>
      </c>
      <c r="J3529" s="8">
        <v>0</v>
      </c>
      <c r="K3529" s="9" t="str">
        <v/>
      </c>
    </row>
    <row r="3530" spans="1:11">
      <c r="A3530" t="str">
        <v/>
      </c>
      <c r="B3530" s="6">
        <v>0</v>
      </c>
      <c r="C3530" s="7" t="str">
        <v>趣点购浦发</v>
      </c>
      <c r="D3530" s="8">
        <v>0</v>
      </c>
      <c r="E3530" s="7">
        <v>0</v>
      </c>
      <c r="F3530" s="8">
        <v>0</v>
      </c>
      <c r="G3530" s="7">
        <v>0</v>
      </c>
      <c r="H3530" s="7">
        <v>81211.819999998</v>
      </c>
      <c r="I3530" s="7">
        <v>0</v>
      </c>
      <c r="J3530" s="8">
        <v>0</v>
      </c>
      <c r="K3530" s="9" t="str">
        <v/>
      </c>
    </row>
    <row r="3531" spans="1:11">
      <c r="A3531" t="str">
        <v/>
      </c>
      <c r="B3531" s="6">
        <v>0</v>
      </c>
      <c r="C3531" s="7" t="str">
        <v>趣点购浦发</v>
      </c>
      <c r="D3531" s="8">
        <v>0</v>
      </c>
      <c r="E3531" s="7">
        <v>0</v>
      </c>
      <c r="F3531" s="8">
        <v>0</v>
      </c>
      <c r="G3531" s="7">
        <v>0</v>
      </c>
      <c r="H3531" s="7">
        <v>81211.819999998</v>
      </c>
      <c r="I3531" s="7">
        <v>0</v>
      </c>
      <c r="J3531" s="8">
        <v>0</v>
      </c>
      <c r="K3531" s="9" t="str">
        <v/>
      </c>
    </row>
    <row r="3532" spans="1:11">
      <c r="A3532" t="str">
        <v/>
      </c>
      <c r="B3532" s="6">
        <v>0</v>
      </c>
      <c r="C3532" s="7" t="str">
        <v>趣点购浦发</v>
      </c>
      <c r="D3532" s="8">
        <v>0</v>
      </c>
      <c r="E3532" s="7">
        <v>0</v>
      </c>
      <c r="F3532" s="8">
        <v>0</v>
      </c>
      <c r="G3532" s="7">
        <v>0</v>
      </c>
      <c r="H3532" s="7">
        <v>81211.819999998</v>
      </c>
      <c r="I3532" s="7">
        <v>0</v>
      </c>
      <c r="J3532" s="8">
        <v>0</v>
      </c>
      <c r="K3532" s="9" t="str">
        <v/>
      </c>
    </row>
    <row r="3533" spans="1:11">
      <c r="A3533" t="str">
        <v/>
      </c>
      <c r="B3533" s="6">
        <v>0</v>
      </c>
      <c r="C3533" s="7" t="str">
        <v>趣点购浦发</v>
      </c>
      <c r="D3533" s="8">
        <v>0</v>
      </c>
      <c r="E3533" s="7">
        <v>0</v>
      </c>
      <c r="F3533" s="8">
        <v>0</v>
      </c>
      <c r="G3533" s="7">
        <v>0</v>
      </c>
      <c r="H3533" s="7">
        <v>81211.819999998</v>
      </c>
      <c r="I3533" s="7">
        <v>0</v>
      </c>
      <c r="J3533" s="8">
        <v>0</v>
      </c>
      <c r="K3533" s="9" t="str">
        <v/>
      </c>
    </row>
    <row r="3534" spans="1:11">
      <c r="A3534" t="str">
        <v/>
      </c>
      <c r="B3534" s="6">
        <v>0</v>
      </c>
      <c r="C3534" s="7" t="str">
        <v>趣点购浦发</v>
      </c>
      <c r="D3534" s="8">
        <v>0</v>
      </c>
      <c r="E3534" s="7">
        <v>0</v>
      </c>
      <c r="F3534" s="8">
        <v>0</v>
      </c>
      <c r="G3534" s="7">
        <v>0</v>
      </c>
      <c r="H3534" s="7">
        <v>81211.819999998</v>
      </c>
      <c r="I3534" s="7">
        <v>0</v>
      </c>
      <c r="J3534" s="8">
        <v>0</v>
      </c>
      <c r="K3534" s="9" t="str">
        <v/>
      </c>
    </row>
    <row r="3535" spans="1:11">
      <c r="A3535" t="str">
        <v/>
      </c>
      <c r="B3535" s="6">
        <v>0</v>
      </c>
      <c r="C3535" s="7" t="str">
        <v>趣点购浦发</v>
      </c>
      <c r="D3535" s="8">
        <v>0</v>
      </c>
      <c r="E3535" s="7">
        <v>0</v>
      </c>
      <c r="F3535" s="8">
        <v>0</v>
      </c>
      <c r="G3535" s="7">
        <v>0</v>
      </c>
      <c r="H3535" s="7">
        <v>81211.819999998</v>
      </c>
      <c r="I3535" s="7">
        <v>0</v>
      </c>
      <c r="J3535" s="8">
        <v>0</v>
      </c>
      <c r="K3535" s="9" t="str">
        <v/>
      </c>
    </row>
    <row r="3536" spans="1:11">
      <c r="A3536" t="str">
        <v/>
      </c>
      <c r="B3536" s="6">
        <v>0</v>
      </c>
      <c r="C3536" s="7" t="str">
        <v>趣点购浦发</v>
      </c>
      <c r="D3536" s="8">
        <v>0</v>
      </c>
      <c r="E3536" s="7">
        <v>0</v>
      </c>
      <c r="F3536" s="8">
        <v>0</v>
      </c>
      <c r="G3536" s="7">
        <v>0</v>
      </c>
      <c r="H3536" s="7">
        <v>81211.819999998</v>
      </c>
      <c r="I3536" s="7">
        <v>0</v>
      </c>
      <c r="J3536" s="8">
        <v>0</v>
      </c>
      <c r="K3536" s="9" t="str">
        <v/>
      </c>
    </row>
    <row r="3537" spans="1:11">
      <c r="A3537" t="str">
        <v/>
      </c>
      <c r="B3537" s="6">
        <v>0</v>
      </c>
      <c r="C3537" s="7" t="str">
        <v>趣点购浦发</v>
      </c>
      <c r="D3537" s="8">
        <v>0</v>
      </c>
      <c r="E3537" s="7">
        <v>0</v>
      </c>
      <c r="F3537" s="8">
        <v>0</v>
      </c>
      <c r="G3537" s="7">
        <v>0</v>
      </c>
      <c r="H3537" s="7">
        <v>81211.819999998</v>
      </c>
      <c r="I3537" s="7">
        <v>0</v>
      </c>
      <c r="J3537" s="8">
        <v>0</v>
      </c>
      <c r="K3537" s="9" t="str">
        <v/>
      </c>
    </row>
    <row r="3538" spans="1:11">
      <c r="A3538" t="str">
        <v/>
      </c>
      <c r="B3538" s="6">
        <v>0</v>
      </c>
      <c r="C3538" s="7" t="str">
        <v>趣点购浦发</v>
      </c>
      <c r="D3538" s="8">
        <v>0</v>
      </c>
      <c r="E3538" s="7">
        <v>0</v>
      </c>
      <c r="F3538" s="8">
        <v>0</v>
      </c>
      <c r="G3538" s="7">
        <v>0</v>
      </c>
      <c r="H3538" s="7">
        <v>81211.819999998</v>
      </c>
      <c r="I3538" s="7">
        <v>0</v>
      </c>
      <c r="J3538" s="8">
        <v>0</v>
      </c>
      <c r="K3538" s="9" t="str">
        <v/>
      </c>
    </row>
    <row r="3539" spans="1:11">
      <c r="A3539" t="str">
        <v/>
      </c>
      <c r="B3539" s="6">
        <v>0</v>
      </c>
      <c r="C3539" s="7" t="str">
        <v>趣点购浦发</v>
      </c>
      <c r="D3539" s="8">
        <v>0</v>
      </c>
      <c r="E3539" s="7">
        <v>0</v>
      </c>
      <c r="F3539" s="8">
        <v>0</v>
      </c>
      <c r="G3539" s="7">
        <v>0</v>
      </c>
      <c r="H3539" s="7">
        <v>81211.819999998</v>
      </c>
      <c r="I3539" s="7">
        <v>0</v>
      </c>
      <c r="J3539" s="8">
        <v>0</v>
      </c>
      <c r="K3539" s="9" t="str">
        <v/>
      </c>
    </row>
    <row r="3540" spans="1:11">
      <c r="A3540" t="str">
        <v/>
      </c>
      <c r="B3540" s="6">
        <v>0</v>
      </c>
      <c r="C3540" s="7" t="str">
        <v>趣点购浦发</v>
      </c>
      <c r="D3540" s="8">
        <v>0</v>
      </c>
      <c r="E3540" s="7">
        <v>0</v>
      </c>
      <c r="F3540" s="8">
        <v>0</v>
      </c>
      <c r="G3540" s="7">
        <v>0</v>
      </c>
      <c r="H3540" s="7">
        <v>81211.819999998</v>
      </c>
      <c r="I3540" s="7">
        <v>0</v>
      </c>
      <c r="J3540" s="8">
        <v>0</v>
      </c>
      <c r="K3540" s="9" t="str">
        <v/>
      </c>
    </row>
    <row r="3541" spans="1:11">
      <c r="A3541" t="str">
        <v/>
      </c>
      <c r="B3541" s="6">
        <v>0</v>
      </c>
      <c r="C3541" s="7" t="str">
        <v>趣点购浦发</v>
      </c>
      <c r="D3541" s="8">
        <v>0</v>
      </c>
      <c r="E3541" s="7">
        <v>0</v>
      </c>
      <c r="F3541" s="8">
        <v>0</v>
      </c>
      <c r="G3541" s="7">
        <v>0</v>
      </c>
      <c r="H3541" s="7">
        <v>81211.819999998</v>
      </c>
      <c r="I3541" s="7">
        <v>0</v>
      </c>
      <c r="J3541" s="8">
        <v>0</v>
      </c>
      <c r="K3541" s="9" t="str">
        <v/>
      </c>
    </row>
    <row r="3542" spans="1:11">
      <c r="A3542" t="str">
        <v/>
      </c>
      <c r="B3542" s="6">
        <v>0</v>
      </c>
      <c r="C3542" s="7" t="str">
        <v>趣点购浦发</v>
      </c>
      <c r="D3542" s="8">
        <v>0</v>
      </c>
      <c r="E3542" s="7">
        <v>0</v>
      </c>
      <c r="F3542" s="8">
        <v>0</v>
      </c>
      <c r="G3542" s="7">
        <v>0</v>
      </c>
      <c r="H3542" s="7">
        <v>81211.819999998</v>
      </c>
      <c r="I3542" s="7">
        <v>0</v>
      </c>
      <c r="J3542" s="8">
        <v>0</v>
      </c>
      <c r="K3542" s="9" t="str">
        <v/>
      </c>
    </row>
    <row r="3543" spans="1:11">
      <c r="A3543" t="str">
        <v/>
      </c>
      <c r="B3543" s="6">
        <v>0</v>
      </c>
      <c r="C3543" s="7" t="str">
        <v>趣点购浦发</v>
      </c>
      <c r="D3543" s="8">
        <v>0</v>
      </c>
      <c r="E3543" s="7">
        <v>0</v>
      </c>
      <c r="F3543" s="8">
        <v>0</v>
      </c>
      <c r="G3543" s="7">
        <v>0</v>
      </c>
      <c r="H3543" s="7">
        <v>81211.819999998</v>
      </c>
      <c r="I3543" s="7">
        <v>0</v>
      </c>
      <c r="J3543" s="8">
        <v>0</v>
      </c>
      <c r="K3543" s="9" t="str">
        <v/>
      </c>
    </row>
    <row r="3544" spans="1:11">
      <c r="A3544" t="str">
        <v/>
      </c>
      <c r="B3544" s="6">
        <v>0</v>
      </c>
      <c r="C3544" s="7" t="str">
        <v>趣点购浦发</v>
      </c>
      <c r="D3544" s="8">
        <v>0</v>
      </c>
      <c r="E3544" s="7">
        <v>0</v>
      </c>
      <c r="F3544" s="8">
        <v>0</v>
      </c>
      <c r="G3544" s="7">
        <v>0</v>
      </c>
      <c r="H3544" s="7">
        <v>81211.819999998</v>
      </c>
      <c r="I3544" s="7">
        <v>0</v>
      </c>
      <c r="J3544" s="8">
        <v>0</v>
      </c>
      <c r="K3544" s="9" t="str">
        <v/>
      </c>
    </row>
    <row r="3545" spans="1:11">
      <c r="A3545" t="str">
        <v/>
      </c>
      <c r="B3545" s="6">
        <v>0</v>
      </c>
      <c r="C3545" s="7" t="str">
        <v>趣点购浦发</v>
      </c>
      <c r="D3545" s="8">
        <v>0</v>
      </c>
      <c r="E3545" s="7">
        <v>0</v>
      </c>
      <c r="F3545" s="8">
        <v>0</v>
      </c>
      <c r="G3545" s="7">
        <v>0</v>
      </c>
      <c r="H3545" s="7">
        <v>81211.819999998</v>
      </c>
      <c r="I3545" s="7">
        <v>0</v>
      </c>
      <c r="J3545" s="8">
        <v>0</v>
      </c>
      <c r="K3545" s="9" t="str">
        <v/>
      </c>
    </row>
    <row r="3546" spans="1:11">
      <c r="A3546" t="str">
        <v/>
      </c>
      <c r="B3546" s="6">
        <v>0</v>
      </c>
      <c r="C3546" s="7" t="str">
        <v>趣点购浦发</v>
      </c>
      <c r="D3546" s="8">
        <v>0</v>
      </c>
      <c r="E3546" s="7">
        <v>0</v>
      </c>
      <c r="F3546" s="8">
        <v>0</v>
      </c>
      <c r="G3546" s="7">
        <v>0</v>
      </c>
      <c r="H3546" s="7">
        <v>81211.819999998</v>
      </c>
      <c r="I3546" s="7">
        <v>0</v>
      </c>
      <c r="J3546" s="8">
        <v>0</v>
      </c>
      <c r="K3546" s="9" t="str">
        <v/>
      </c>
    </row>
    <row r="3547" spans="1:11">
      <c r="A3547" t="str">
        <v/>
      </c>
      <c r="B3547" s="6">
        <v>0</v>
      </c>
      <c r="C3547" s="7" t="str">
        <v>趣点购浦发</v>
      </c>
      <c r="D3547" s="8">
        <v>0</v>
      </c>
      <c r="E3547" s="7">
        <v>0</v>
      </c>
      <c r="F3547" s="8">
        <v>0</v>
      </c>
      <c r="G3547" s="7">
        <v>0</v>
      </c>
      <c r="H3547" s="7">
        <v>81211.819999998</v>
      </c>
      <c r="I3547" s="7">
        <v>0</v>
      </c>
      <c r="J3547" s="8">
        <v>0</v>
      </c>
      <c r="K3547" s="9" t="str">
        <v/>
      </c>
    </row>
    <row r="3548" spans="1:11">
      <c r="A3548" t="str">
        <v/>
      </c>
      <c r="B3548" s="6">
        <v>0</v>
      </c>
      <c r="C3548" s="7" t="str">
        <v>趣点购浦发</v>
      </c>
      <c r="D3548" s="8">
        <v>0</v>
      </c>
      <c r="E3548" s="7">
        <v>0</v>
      </c>
      <c r="F3548" s="8">
        <v>0</v>
      </c>
      <c r="G3548" s="7">
        <v>0</v>
      </c>
      <c r="H3548" s="7">
        <v>81211.819999998</v>
      </c>
      <c r="I3548" s="7">
        <v>0</v>
      </c>
      <c r="J3548" s="8">
        <v>0</v>
      </c>
      <c r="K3548" s="9" t="str">
        <v/>
      </c>
    </row>
    <row r="3549" spans="1:11">
      <c r="A3549" t="str">
        <v/>
      </c>
      <c r="B3549" s="6">
        <v>0</v>
      </c>
      <c r="C3549" s="7" t="str">
        <v>趣点购浦发</v>
      </c>
      <c r="D3549" s="8">
        <v>0</v>
      </c>
      <c r="E3549" s="7">
        <v>0</v>
      </c>
      <c r="F3549" s="8">
        <v>0</v>
      </c>
      <c r="G3549" s="7">
        <v>0</v>
      </c>
      <c r="H3549" s="7">
        <v>81211.819999998</v>
      </c>
      <c r="I3549" s="7">
        <v>0</v>
      </c>
      <c r="J3549" s="8">
        <v>0</v>
      </c>
      <c r="K3549" s="9" t="str">
        <v/>
      </c>
    </row>
    <row r="3550" spans="1:11">
      <c r="A3550" t="str">
        <v/>
      </c>
      <c r="B3550" s="6">
        <v>0</v>
      </c>
      <c r="C3550" s="7" t="str">
        <v>趣点购浦发</v>
      </c>
      <c r="D3550" s="8">
        <v>0</v>
      </c>
      <c r="E3550" s="7">
        <v>0</v>
      </c>
      <c r="F3550" s="8">
        <v>0</v>
      </c>
      <c r="G3550" s="7">
        <v>0</v>
      </c>
      <c r="H3550" s="7">
        <v>81211.819999998</v>
      </c>
      <c r="I3550" s="7">
        <v>0</v>
      </c>
      <c r="J3550" s="8">
        <v>0</v>
      </c>
      <c r="K3550" s="9" t="str">
        <v/>
      </c>
    </row>
    <row r="3551" spans="1:11">
      <c r="A3551" t="str">
        <v/>
      </c>
      <c r="B3551" s="6">
        <v>0</v>
      </c>
      <c r="C3551" s="7" t="str">
        <v>趣点购浦发</v>
      </c>
      <c r="D3551" s="8">
        <v>0</v>
      </c>
      <c r="E3551" s="7">
        <v>0</v>
      </c>
      <c r="F3551" s="8">
        <v>0</v>
      </c>
      <c r="G3551" s="7">
        <v>0</v>
      </c>
      <c r="H3551" s="7">
        <v>81211.819999998</v>
      </c>
      <c r="I3551" s="7">
        <v>0</v>
      </c>
      <c r="J3551" s="8">
        <v>0</v>
      </c>
      <c r="K3551" s="9" t="str">
        <v/>
      </c>
    </row>
    <row r="3552" spans="1:11">
      <c r="A3552" t="str">
        <v/>
      </c>
      <c r="B3552" s="6">
        <v>0</v>
      </c>
      <c r="C3552" s="7" t="str">
        <v>趣点购浦发</v>
      </c>
      <c r="D3552" s="8">
        <v>0</v>
      </c>
      <c r="E3552" s="7">
        <v>0</v>
      </c>
      <c r="F3552" s="8">
        <v>0</v>
      </c>
      <c r="G3552" s="7">
        <v>0</v>
      </c>
      <c r="H3552" s="7">
        <v>81211.819999998</v>
      </c>
      <c r="I3552" s="7">
        <v>0</v>
      </c>
      <c r="J3552" s="8">
        <v>0</v>
      </c>
      <c r="K3552" s="9" t="str">
        <v/>
      </c>
    </row>
    <row r="3553" spans="1:11">
      <c r="A3553" t="str">
        <v/>
      </c>
      <c r="B3553" s="6">
        <v>0</v>
      </c>
      <c r="C3553" s="7" t="str">
        <v>趣点购浦发</v>
      </c>
      <c r="D3553" s="8">
        <v>0</v>
      </c>
      <c r="E3553" s="7">
        <v>0</v>
      </c>
      <c r="F3553" s="8">
        <v>0</v>
      </c>
      <c r="G3553" s="7">
        <v>0</v>
      </c>
      <c r="H3553" s="7">
        <v>81211.819999998</v>
      </c>
      <c r="I3553" s="7">
        <v>0</v>
      </c>
      <c r="J3553" s="8">
        <v>0</v>
      </c>
      <c r="K3553" s="9" t="str">
        <v/>
      </c>
    </row>
    <row r="3554" spans="1:11">
      <c r="A3554" t="str">
        <v/>
      </c>
      <c r="B3554" s="6">
        <v>0</v>
      </c>
      <c r="C3554" s="7" t="str">
        <v>趣点购浦发</v>
      </c>
      <c r="D3554" s="8">
        <v>0</v>
      </c>
      <c r="E3554" s="7">
        <v>0</v>
      </c>
      <c r="F3554" s="8">
        <v>0</v>
      </c>
      <c r="G3554" s="7">
        <v>0</v>
      </c>
      <c r="H3554" s="7">
        <v>81211.819999998</v>
      </c>
      <c r="I3554" s="7">
        <v>0</v>
      </c>
      <c r="J3554" s="8">
        <v>0</v>
      </c>
      <c r="K3554" s="9" t="str">
        <v/>
      </c>
    </row>
    <row r="3555" spans="1:11">
      <c r="A3555" t="str">
        <v/>
      </c>
      <c r="B3555" s="6">
        <v>0</v>
      </c>
      <c r="C3555" s="7" t="str">
        <v>趣点购浦发</v>
      </c>
      <c r="D3555" s="8">
        <v>0</v>
      </c>
      <c r="E3555" s="7">
        <v>0</v>
      </c>
      <c r="F3555" s="8">
        <v>0</v>
      </c>
      <c r="G3555" s="7">
        <v>0</v>
      </c>
      <c r="H3555" s="7">
        <v>81211.819999998</v>
      </c>
      <c r="I3555" s="7">
        <v>0</v>
      </c>
      <c r="J3555" s="8">
        <v>0</v>
      </c>
      <c r="K3555" s="9" t="str">
        <v/>
      </c>
    </row>
    <row r="3556" spans="1:11">
      <c r="A3556" t="str">
        <v/>
      </c>
      <c r="B3556" s="6">
        <v>0</v>
      </c>
      <c r="C3556" s="7" t="str">
        <v>趣点购浦发</v>
      </c>
      <c r="D3556" s="8">
        <v>0</v>
      </c>
      <c r="E3556" s="7">
        <v>0</v>
      </c>
      <c r="F3556" s="8">
        <v>0</v>
      </c>
      <c r="G3556" s="7">
        <v>0</v>
      </c>
      <c r="H3556" s="7">
        <v>81211.819999998</v>
      </c>
      <c r="I3556" s="7">
        <v>0</v>
      </c>
      <c r="J3556" s="8">
        <v>0</v>
      </c>
      <c r="K3556" s="9" t="str">
        <v/>
      </c>
    </row>
    <row r="3557" spans="1:11">
      <c r="A3557" t="str">
        <v/>
      </c>
      <c r="B3557" s="6">
        <v>0</v>
      </c>
      <c r="C3557" s="7" t="str">
        <v>趣点购浦发</v>
      </c>
      <c r="D3557" s="8">
        <v>0</v>
      </c>
      <c r="E3557" s="7">
        <v>0</v>
      </c>
      <c r="F3557" s="8">
        <v>0</v>
      </c>
      <c r="G3557" s="7">
        <v>0</v>
      </c>
      <c r="H3557" s="7">
        <v>81211.819999998</v>
      </c>
      <c r="I3557" s="7">
        <v>0</v>
      </c>
      <c r="J3557" s="8">
        <v>0</v>
      </c>
      <c r="K3557" s="9" t="str">
        <v/>
      </c>
    </row>
    <row r="3558" spans="1:11">
      <c r="A3558" t="str">
        <v/>
      </c>
      <c r="B3558" s="6">
        <v>0</v>
      </c>
      <c r="C3558" s="7" t="str">
        <v>趣点购浦发</v>
      </c>
      <c r="D3558" s="8">
        <v>0</v>
      </c>
      <c r="E3558" s="7">
        <v>0</v>
      </c>
      <c r="F3558" s="8">
        <v>0</v>
      </c>
      <c r="G3558" s="7">
        <v>0</v>
      </c>
      <c r="H3558" s="7">
        <v>81211.819999998</v>
      </c>
      <c r="I3558" s="7">
        <v>0</v>
      </c>
      <c r="J3558" s="8">
        <v>0</v>
      </c>
      <c r="K3558" s="9" t="str">
        <v/>
      </c>
    </row>
    <row r="3559" spans="1:11">
      <c r="A3559" t="str">
        <v/>
      </c>
      <c r="B3559" s="6">
        <v>0</v>
      </c>
      <c r="C3559" s="7" t="str">
        <v>趣点购浦发</v>
      </c>
      <c r="D3559" s="8">
        <v>0</v>
      </c>
      <c r="E3559" s="7">
        <v>0</v>
      </c>
      <c r="F3559" s="8">
        <v>0</v>
      </c>
      <c r="G3559" s="7">
        <v>0</v>
      </c>
      <c r="H3559" s="7">
        <v>81211.819999998</v>
      </c>
      <c r="I3559" s="7">
        <v>0</v>
      </c>
      <c r="J3559" s="8">
        <v>0</v>
      </c>
      <c r="K3559" s="9" t="str">
        <v/>
      </c>
    </row>
    <row r="3560" spans="1:11">
      <c r="A3560" t="str">
        <v/>
      </c>
      <c r="B3560" s="6">
        <v>0</v>
      </c>
      <c r="C3560" s="7" t="str">
        <v>趣点购浦发</v>
      </c>
      <c r="D3560" s="8">
        <v>0</v>
      </c>
      <c r="E3560" s="7">
        <v>0</v>
      </c>
      <c r="F3560" s="8">
        <v>0</v>
      </c>
      <c r="G3560" s="7">
        <v>0</v>
      </c>
      <c r="H3560" s="7">
        <v>81211.819999998</v>
      </c>
      <c r="I3560" s="7">
        <v>0</v>
      </c>
      <c r="J3560" s="8">
        <v>0</v>
      </c>
      <c r="K3560" s="9" t="str">
        <v/>
      </c>
    </row>
    <row r="3561" spans="1:11">
      <c r="A3561" t="str">
        <v/>
      </c>
      <c r="B3561" s="6">
        <v>0</v>
      </c>
      <c r="C3561" s="7" t="str">
        <v>趣点购浦发</v>
      </c>
      <c r="D3561" s="8">
        <v>0</v>
      </c>
      <c r="E3561" s="7">
        <v>0</v>
      </c>
      <c r="F3561" s="8">
        <v>0</v>
      </c>
      <c r="G3561" s="7">
        <v>0</v>
      </c>
      <c r="H3561" s="7">
        <v>81211.819999998</v>
      </c>
      <c r="I3561" s="7">
        <v>0</v>
      </c>
      <c r="J3561" s="8">
        <v>0</v>
      </c>
      <c r="K3561" s="9" t="str">
        <v/>
      </c>
    </row>
    <row r="3562" spans="1:11">
      <c r="A3562" t="str">
        <v/>
      </c>
      <c r="B3562" s="6">
        <v>0</v>
      </c>
      <c r="C3562" s="7" t="str">
        <v>趣点购浦发</v>
      </c>
      <c r="D3562" s="8">
        <v>0</v>
      </c>
      <c r="E3562" s="7">
        <v>0</v>
      </c>
      <c r="F3562" s="8">
        <v>0</v>
      </c>
      <c r="G3562" s="7">
        <v>0</v>
      </c>
      <c r="H3562" s="7">
        <v>81211.819999998</v>
      </c>
      <c r="I3562" s="7">
        <v>0</v>
      </c>
      <c r="J3562" s="8">
        <v>0</v>
      </c>
      <c r="K3562" s="9" t="str">
        <v/>
      </c>
    </row>
    <row r="3563" spans="1:11">
      <c r="A3563" t="str">
        <v/>
      </c>
      <c r="B3563" s="6">
        <v>0</v>
      </c>
      <c r="C3563" s="7" t="str">
        <v>趣点购浦发</v>
      </c>
      <c r="D3563" s="8">
        <v>0</v>
      </c>
      <c r="E3563" s="7">
        <v>0</v>
      </c>
      <c r="F3563" s="8">
        <v>0</v>
      </c>
      <c r="G3563" s="7">
        <v>0</v>
      </c>
      <c r="H3563" s="7">
        <v>81211.819999998</v>
      </c>
      <c r="I3563" s="7">
        <v>0</v>
      </c>
      <c r="J3563" s="8">
        <v>0</v>
      </c>
      <c r="K3563" s="9" t="str">
        <v/>
      </c>
    </row>
    <row r="3564" spans="1:11">
      <c r="A3564" t="str">
        <v/>
      </c>
      <c r="B3564" s="6">
        <v>0</v>
      </c>
      <c r="C3564" s="7" t="str">
        <v>趣点购浦发</v>
      </c>
      <c r="D3564" s="8">
        <v>0</v>
      </c>
      <c r="E3564" s="7">
        <v>0</v>
      </c>
      <c r="F3564" s="8">
        <v>0</v>
      </c>
      <c r="G3564" s="7">
        <v>0</v>
      </c>
      <c r="H3564" s="7">
        <v>81211.819999998</v>
      </c>
      <c r="I3564" s="7">
        <v>0</v>
      </c>
      <c r="J3564" s="8">
        <v>0</v>
      </c>
      <c r="K3564" s="9" t="str">
        <v/>
      </c>
    </row>
    <row r="3565" spans="1:11">
      <c r="A3565" t="str">
        <v/>
      </c>
      <c r="B3565" s="6">
        <v>0</v>
      </c>
      <c r="C3565" s="7" t="str">
        <v>趣点购浦发</v>
      </c>
      <c r="D3565" s="8">
        <v>0</v>
      </c>
      <c r="E3565" s="7">
        <v>0</v>
      </c>
      <c r="F3565" s="8">
        <v>0</v>
      </c>
      <c r="G3565" s="7">
        <v>0</v>
      </c>
      <c r="H3565" s="7">
        <v>81211.819999998</v>
      </c>
      <c r="I3565" s="7">
        <v>0</v>
      </c>
      <c r="J3565" s="8">
        <v>0</v>
      </c>
      <c r="K3565" s="9" t="str">
        <v/>
      </c>
    </row>
    <row r="3566" spans="1:11">
      <c r="A3566" t="str">
        <v/>
      </c>
      <c r="B3566" s="6">
        <v>0</v>
      </c>
      <c r="C3566" s="7" t="str">
        <v>趣点购浦发</v>
      </c>
      <c r="D3566" s="8">
        <v>0</v>
      </c>
      <c r="E3566" s="7">
        <v>0</v>
      </c>
      <c r="F3566" s="8">
        <v>0</v>
      </c>
      <c r="G3566" s="7">
        <v>0</v>
      </c>
      <c r="H3566" s="7">
        <v>81211.819999998</v>
      </c>
      <c r="I3566" s="7">
        <v>0</v>
      </c>
      <c r="J3566" s="8">
        <v>0</v>
      </c>
      <c r="K3566" s="9" t="str">
        <v/>
      </c>
    </row>
    <row r="3567" spans="1:11">
      <c r="A3567" t="str">
        <v/>
      </c>
      <c r="B3567" s="6">
        <v>0</v>
      </c>
      <c r="C3567" s="7" t="str">
        <v>趣点购浦发</v>
      </c>
      <c r="D3567" s="8">
        <v>0</v>
      </c>
      <c r="E3567" s="7">
        <v>0</v>
      </c>
      <c r="F3567" s="8">
        <v>0</v>
      </c>
      <c r="G3567" s="7">
        <v>0</v>
      </c>
      <c r="H3567" s="7">
        <v>81211.819999998</v>
      </c>
      <c r="I3567" s="7">
        <v>0</v>
      </c>
      <c r="J3567" s="8">
        <v>0</v>
      </c>
      <c r="K3567" s="9" t="str">
        <v/>
      </c>
    </row>
    <row r="3568" spans="1:11">
      <c r="A3568" t="str">
        <v/>
      </c>
      <c r="B3568" s="6">
        <v>0</v>
      </c>
      <c r="C3568" s="7" t="str">
        <v>趣点购浦发</v>
      </c>
      <c r="D3568" s="8">
        <v>0</v>
      </c>
      <c r="E3568" s="7">
        <v>0</v>
      </c>
      <c r="F3568" s="8">
        <v>0</v>
      </c>
      <c r="G3568" s="7">
        <v>0</v>
      </c>
      <c r="H3568" s="7">
        <v>81211.819999998</v>
      </c>
      <c r="I3568" s="7">
        <v>0</v>
      </c>
      <c r="J3568" s="8">
        <v>0</v>
      </c>
      <c r="K3568" s="9" t="str">
        <v/>
      </c>
    </row>
    <row r="3569" spans="1:11">
      <c r="A3569" t="str">
        <v/>
      </c>
      <c r="B3569" s="6">
        <v>0</v>
      </c>
      <c r="C3569" s="7" t="str">
        <v>趣点购浦发</v>
      </c>
      <c r="D3569" s="8">
        <v>0</v>
      </c>
      <c r="E3569" s="7">
        <v>0</v>
      </c>
      <c r="F3569" s="8">
        <v>0</v>
      </c>
      <c r="G3569" s="7">
        <v>0</v>
      </c>
      <c r="H3569" s="7">
        <v>81211.819999998</v>
      </c>
      <c r="I3569" s="7">
        <v>0</v>
      </c>
      <c r="J3569" s="8">
        <v>0</v>
      </c>
      <c r="K3569" s="9" t="str">
        <v/>
      </c>
    </row>
    <row r="3570" spans="1:11">
      <c r="A3570" t="str">
        <v/>
      </c>
      <c r="B3570" s="6">
        <v>0</v>
      </c>
      <c r="C3570" s="7" t="str">
        <v>趣点购浦发</v>
      </c>
      <c r="D3570" s="8">
        <v>0</v>
      </c>
      <c r="E3570" s="7">
        <v>0</v>
      </c>
      <c r="F3570" s="8">
        <v>0</v>
      </c>
      <c r="G3570" s="7">
        <v>0</v>
      </c>
      <c r="H3570" s="7">
        <v>81211.819999998</v>
      </c>
      <c r="I3570" s="7">
        <v>0</v>
      </c>
      <c r="J3570" s="8">
        <v>0</v>
      </c>
      <c r="K3570" s="9" t="str">
        <v/>
      </c>
    </row>
    <row r="3571" spans="1:11">
      <c r="A3571" t="str">
        <v/>
      </c>
      <c r="B3571" s="6">
        <v>0</v>
      </c>
      <c r="C3571" s="7" t="str">
        <v>趣点购浦发</v>
      </c>
      <c r="D3571" s="8">
        <v>0</v>
      </c>
      <c r="E3571" s="7">
        <v>0</v>
      </c>
      <c r="F3571" s="8">
        <v>0</v>
      </c>
      <c r="G3571" s="7">
        <v>0</v>
      </c>
      <c r="H3571" s="7">
        <v>81211.819999998</v>
      </c>
      <c r="I3571" s="7">
        <v>0</v>
      </c>
      <c r="J3571" s="8">
        <v>0</v>
      </c>
      <c r="K3571" s="9" t="str">
        <v/>
      </c>
    </row>
    <row r="3572" spans="1:11">
      <c r="A3572" t="str">
        <v/>
      </c>
      <c r="B3572" s="6">
        <v>0</v>
      </c>
      <c r="C3572" s="7" t="str">
        <v>趣点购浦发</v>
      </c>
      <c r="D3572" s="8">
        <v>0</v>
      </c>
      <c r="E3572" s="7">
        <v>0</v>
      </c>
      <c r="F3572" s="8">
        <v>0</v>
      </c>
      <c r="G3572" s="7">
        <v>0</v>
      </c>
      <c r="H3572" s="7">
        <v>81211.819999998</v>
      </c>
      <c r="I3572" s="7">
        <v>0</v>
      </c>
      <c r="J3572" s="8">
        <v>0</v>
      </c>
      <c r="K3572" s="9" t="str">
        <v/>
      </c>
    </row>
    <row r="3573" spans="1:11">
      <c r="A3573" t="str">
        <v/>
      </c>
      <c r="B3573" s="6">
        <v>0</v>
      </c>
      <c r="C3573" s="7" t="str">
        <v>趣点购浦发</v>
      </c>
      <c r="D3573" s="8">
        <v>0</v>
      </c>
      <c r="E3573" s="7">
        <v>0</v>
      </c>
      <c r="F3573" s="8">
        <v>0</v>
      </c>
      <c r="G3573" s="7">
        <v>0</v>
      </c>
      <c r="H3573" s="7">
        <v>81211.819999998</v>
      </c>
      <c r="I3573" s="7">
        <v>0</v>
      </c>
      <c r="J3573" s="8">
        <v>0</v>
      </c>
      <c r="K3573" s="9" t="str">
        <v/>
      </c>
    </row>
    <row r="3574" spans="1:11">
      <c r="A3574" t="str">
        <v/>
      </c>
      <c r="B3574" s="6">
        <v>0</v>
      </c>
      <c r="C3574" s="7" t="str">
        <v>趣点购浦发</v>
      </c>
      <c r="D3574" s="8">
        <v>0</v>
      </c>
      <c r="E3574" s="7">
        <v>0</v>
      </c>
      <c r="F3574" s="8">
        <v>0</v>
      </c>
      <c r="G3574" s="7">
        <v>0</v>
      </c>
      <c r="H3574" s="7">
        <v>81211.819999998</v>
      </c>
      <c r="I3574" s="7">
        <v>0</v>
      </c>
      <c r="J3574" s="8">
        <v>0</v>
      </c>
      <c r="K3574" s="9" t="str">
        <v/>
      </c>
    </row>
    <row r="3575" spans="1:11">
      <c r="A3575" t="str">
        <v/>
      </c>
      <c r="B3575" s="6">
        <v>0</v>
      </c>
      <c r="C3575" s="7" t="str">
        <v>趣点购浦发</v>
      </c>
      <c r="D3575" s="8">
        <v>0</v>
      </c>
      <c r="E3575" s="7">
        <v>0</v>
      </c>
      <c r="F3575" s="8">
        <v>0</v>
      </c>
      <c r="G3575" s="7">
        <v>0</v>
      </c>
      <c r="H3575" s="7">
        <v>81211.819999998</v>
      </c>
      <c r="I3575" s="7">
        <v>0</v>
      </c>
      <c r="J3575" s="8">
        <v>0</v>
      </c>
      <c r="K3575" s="9" t="str">
        <v/>
      </c>
    </row>
    <row r="3576" spans="1:11">
      <c r="A3576" t="str">
        <v/>
      </c>
      <c r="B3576" s="6">
        <v>0</v>
      </c>
      <c r="C3576" s="7" t="str">
        <v>趣点购浦发</v>
      </c>
      <c r="D3576" s="8">
        <v>0</v>
      </c>
      <c r="E3576" s="7">
        <v>0</v>
      </c>
      <c r="F3576" s="8">
        <v>0</v>
      </c>
      <c r="G3576" s="7">
        <v>0</v>
      </c>
      <c r="H3576" s="7">
        <v>81211.819999998</v>
      </c>
      <c r="I3576" s="7">
        <v>0</v>
      </c>
      <c r="J3576" s="8">
        <v>0</v>
      </c>
      <c r="K3576" s="9" t="str">
        <v/>
      </c>
    </row>
    <row r="3577" spans="1:11">
      <c r="A3577" t="str">
        <v/>
      </c>
      <c r="B3577" s="6">
        <v>0</v>
      </c>
      <c r="C3577" s="7" t="str">
        <v>趣点购浦发</v>
      </c>
      <c r="D3577" s="8">
        <v>0</v>
      </c>
      <c r="E3577" s="7">
        <v>0</v>
      </c>
      <c r="F3577" s="8">
        <v>0</v>
      </c>
      <c r="G3577" s="7">
        <v>0</v>
      </c>
      <c r="H3577" s="7">
        <v>81211.819999998</v>
      </c>
      <c r="I3577" s="7">
        <v>0</v>
      </c>
      <c r="J3577" s="8">
        <v>0</v>
      </c>
      <c r="K3577" s="9" t="str">
        <v/>
      </c>
    </row>
    <row r="3578" spans="1:11">
      <c r="A3578" t="str">
        <v/>
      </c>
      <c r="B3578" s="6">
        <v>0</v>
      </c>
      <c r="C3578" s="7" t="str">
        <v>趣点购浦发</v>
      </c>
      <c r="D3578" s="8">
        <v>0</v>
      </c>
      <c r="E3578" s="7">
        <v>0</v>
      </c>
      <c r="F3578" s="8">
        <v>0</v>
      </c>
      <c r="G3578" s="7">
        <v>0</v>
      </c>
      <c r="H3578" s="7">
        <v>81211.819999998</v>
      </c>
      <c r="I3578" s="7">
        <v>0</v>
      </c>
      <c r="J3578" s="8">
        <v>0</v>
      </c>
      <c r="K3578" s="9" t="str">
        <v/>
      </c>
    </row>
    <row r="3579" spans="1:11">
      <c r="A3579" t="str">
        <v/>
      </c>
      <c r="B3579" s="6">
        <v>0</v>
      </c>
      <c r="C3579" s="7" t="str">
        <v>趣点购浦发</v>
      </c>
      <c r="D3579" s="8">
        <v>0</v>
      </c>
      <c r="E3579" s="7">
        <v>0</v>
      </c>
      <c r="F3579" s="8">
        <v>0</v>
      </c>
      <c r="G3579" s="7">
        <v>0</v>
      </c>
      <c r="H3579" s="7">
        <v>81211.819999998</v>
      </c>
      <c r="I3579" s="7">
        <v>0</v>
      </c>
      <c r="J3579" s="8">
        <v>0</v>
      </c>
      <c r="K3579" s="9" t="str">
        <v/>
      </c>
    </row>
    <row r="3580" spans="1:11">
      <c r="A3580" t="str">
        <v/>
      </c>
      <c r="B3580" s="6">
        <v>0</v>
      </c>
      <c r="C3580" s="7" t="str">
        <v>趣点购浦发</v>
      </c>
      <c r="D3580" s="8">
        <v>0</v>
      </c>
      <c r="E3580" s="7">
        <v>0</v>
      </c>
      <c r="F3580" s="8">
        <v>0</v>
      </c>
      <c r="G3580" s="7">
        <v>0</v>
      </c>
      <c r="H3580" s="7">
        <v>81211.819999998</v>
      </c>
      <c r="I3580" s="7">
        <v>0</v>
      </c>
      <c r="J3580" s="8">
        <v>0</v>
      </c>
      <c r="K3580" s="9" t="str">
        <v/>
      </c>
    </row>
    <row r="3581" spans="1:11">
      <c r="A3581" t="str">
        <v/>
      </c>
      <c r="B3581" s="6">
        <v>0</v>
      </c>
      <c r="C3581" s="7" t="str">
        <v>趣点购浦发</v>
      </c>
      <c r="D3581" s="8">
        <v>0</v>
      </c>
      <c r="E3581" s="7">
        <v>0</v>
      </c>
      <c r="F3581" s="8">
        <v>0</v>
      </c>
      <c r="G3581" s="7">
        <v>0</v>
      </c>
      <c r="H3581" s="7">
        <v>81211.819999998</v>
      </c>
      <c r="I3581" s="7">
        <v>0</v>
      </c>
      <c r="J3581" s="8">
        <v>0</v>
      </c>
      <c r="K3581" s="9" t="str">
        <v/>
      </c>
    </row>
    <row r="3582" spans="1:11">
      <c r="A3582" t="str">
        <v/>
      </c>
      <c r="B3582" s="6">
        <v>0</v>
      </c>
      <c r="C3582" s="7" t="str">
        <v>趣点购浦发</v>
      </c>
      <c r="D3582" s="8">
        <v>0</v>
      </c>
      <c r="E3582" s="7">
        <v>0</v>
      </c>
      <c r="F3582" s="8">
        <v>0</v>
      </c>
      <c r="G3582" s="7">
        <v>0</v>
      </c>
      <c r="H3582" s="7">
        <v>81211.819999998</v>
      </c>
      <c r="I3582" s="7">
        <v>0</v>
      </c>
      <c r="J3582" s="8">
        <v>0</v>
      </c>
      <c r="K3582" s="9" t="str">
        <v/>
      </c>
    </row>
    <row r="3583" spans="1:11">
      <c r="A3583" t="str">
        <v/>
      </c>
      <c r="B3583" s="6">
        <v>0</v>
      </c>
      <c r="C3583" s="7" t="str">
        <v>趣点购浦发</v>
      </c>
      <c r="D3583" s="8">
        <v>0</v>
      </c>
      <c r="E3583" s="7">
        <v>0</v>
      </c>
      <c r="F3583" s="8">
        <v>0</v>
      </c>
      <c r="G3583" s="7">
        <v>0</v>
      </c>
      <c r="H3583" s="7">
        <v>81211.819999998</v>
      </c>
      <c r="I3583" s="7">
        <v>0</v>
      </c>
      <c r="J3583" s="8">
        <v>0</v>
      </c>
      <c r="K3583" s="9" t="str">
        <v/>
      </c>
    </row>
    <row r="3584" spans="1:11">
      <c r="A3584" t="str">
        <v/>
      </c>
      <c r="B3584" s="6">
        <v>0</v>
      </c>
      <c r="C3584" s="7" t="str">
        <v>趣点购浦发</v>
      </c>
      <c r="D3584" s="8">
        <v>0</v>
      </c>
      <c r="E3584" s="7">
        <v>0</v>
      </c>
      <c r="F3584" s="8">
        <v>0</v>
      </c>
      <c r="G3584" s="7">
        <v>0</v>
      </c>
      <c r="H3584" s="7">
        <v>81211.819999998</v>
      </c>
      <c r="I3584" s="7">
        <v>0</v>
      </c>
      <c r="J3584" s="8">
        <v>0</v>
      </c>
      <c r="K3584" s="9" t="str">
        <v/>
      </c>
    </row>
    <row r="3585" spans="1:11">
      <c r="A3585" t="str">
        <v/>
      </c>
      <c r="B3585" s="6">
        <v>0</v>
      </c>
      <c r="C3585" s="7" t="str">
        <v>趣点购浦发</v>
      </c>
      <c r="D3585" s="8">
        <v>0</v>
      </c>
      <c r="E3585" s="7">
        <v>0</v>
      </c>
      <c r="F3585" s="8">
        <v>0</v>
      </c>
      <c r="G3585" s="7">
        <v>0</v>
      </c>
      <c r="H3585" s="7">
        <v>81211.819999998</v>
      </c>
      <c r="I3585" s="7">
        <v>0</v>
      </c>
      <c r="J3585" s="8">
        <v>0</v>
      </c>
      <c r="K3585" s="9" t="str">
        <v/>
      </c>
    </row>
    <row r="3586" spans="1:11">
      <c r="A3586" t="str">
        <v/>
      </c>
      <c r="B3586" s="6">
        <v>0</v>
      </c>
      <c r="C3586" s="7" t="str">
        <v>趣点购浦发</v>
      </c>
      <c r="D3586" s="8">
        <v>0</v>
      </c>
      <c r="E3586" s="7">
        <v>0</v>
      </c>
      <c r="F3586" s="8">
        <v>0</v>
      </c>
      <c r="G3586" s="7">
        <v>0</v>
      </c>
      <c r="H3586" s="7">
        <v>81211.819999998</v>
      </c>
      <c r="I3586" s="7">
        <v>0</v>
      </c>
      <c r="J3586" s="8">
        <v>0</v>
      </c>
      <c r="K3586" s="9" t="str">
        <v/>
      </c>
    </row>
    <row r="3587" spans="1:11">
      <c r="A3587" t="str">
        <v/>
      </c>
      <c r="B3587" s="6">
        <v>0</v>
      </c>
      <c r="C3587" s="7" t="str">
        <v>趣点购浦发</v>
      </c>
      <c r="D3587" s="8">
        <v>0</v>
      </c>
      <c r="E3587" s="7">
        <v>0</v>
      </c>
      <c r="F3587" s="8">
        <v>0</v>
      </c>
      <c r="G3587" s="7">
        <v>0</v>
      </c>
      <c r="H3587" s="7">
        <v>81211.819999998</v>
      </c>
      <c r="I3587" s="7">
        <v>0</v>
      </c>
      <c r="J3587" s="8">
        <v>0</v>
      </c>
      <c r="K3587" s="9" t="str">
        <v/>
      </c>
    </row>
    <row r="3588" spans="1:11">
      <c r="A3588" t="str">
        <v/>
      </c>
      <c r="B3588" s="6">
        <v>0</v>
      </c>
      <c r="C3588" s="7" t="str">
        <v>趣点购浦发</v>
      </c>
      <c r="D3588" s="8">
        <v>0</v>
      </c>
      <c r="E3588" s="7">
        <v>0</v>
      </c>
      <c r="F3588" s="8">
        <v>0</v>
      </c>
      <c r="G3588" s="7">
        <v>0</v>
      </c>
      <c r="H3588" s="7">
        <v>81211.819999998</v>
      </c>
      <c r="I3588" s="7">
        <v>0</v>
      </c>
      <c r="J3588" s="8">
        <v>0</v>
      </c>
      <c r="K3588" s="9" t="str">
        <v/>
      </c>
    </row>
    <row r="3589" spans="1:11">
      <c r="A3589" t="str">
        <v/>
      </c>
      <c r="B3589" s="6">
        <v>0</v>
      </c>
      <c r="C3589" s="7" t="str">
        <v>趣点购浦发</v>
      </c>
      <c r="D3589" s="8">
        <v>0</v>
      </c>
      <c r="E3589" s="7">
        <v>0</v>
      </c>
      <c r="F3589" s="8">
        <v>0</v>
      </c>
      <c r="G3589" s="7">
        <v>0</v>
      </c>
      <c r="H3589" s="7">
        <v>81211.819999998</v>
      </c>
      <c r="I3589" s="7">
        <v>0</v>
      </c>
      <c r="J3589" s="8">
        <v>0</v>
      </c>
      <c r="K3589" s="9" t="str">
        <v/>
      </c>
    </row>
    <row r="3590" spans="1:11">
      <c r="A3590" t="str">
        <v/>
      </c>
      <c r="B3590" s="6">
        <v>0</v>
      </c>
      <c r="C3590" s="7" t="str">
        <v>趣点购浦发</v>
      </c>
      <c r="D3590" s="8">
        <v>0</v>
      </c>
      <c r="E3590" s="7">
        <v>0</v>
      </c>
      <c r="F3590" s="8">
        <v>0</v>
      </c>
      <c r="G3590" s="7">
        <v>0</v>
      </c>
      <c r="H3590" s="7">
        <v>81211.819999998</v>
      </c>
      <c r="I3590" s="7">
        <v>0</v>
      </c>
      <c r="J3590" s="8">
        <v>0</v>
      </c>
      <c r="K3590" s="9" t="str">
        <v/>
      </c>
    </row>
    <row r="3591" spans="1:11">
      <c r="A3591" t="str">
        <v/>
      </c>
      <c r="B3591" s="6">
        <v>0</v>
      </c>
      <c r="C3591" s="7" t="str">
        <v>趣点购浦发</v>
      </c>
      <c r="D3591" s="8">
        <v>0</v>
      </c>
      <c r="E3591" s="7">
        <v>0</v>
      </c>
      <c r="F3591" s="8">
        <v>0</v>
      </c>
      <c r="G3591" s="7">
        <v>0</v>
      </c>
      <c r="H3591" s="7">
        <v>81211.819999998</v>
      </c>
      <c r="I3591" s="7">
        <v>0</v>
      </c>
      <c r="J3591" s="8">
        <v>0</v>
      </c>
      <c r="K3591" s="9" t="str">
        <v/>
      </c>
    </row>
    <row r="3592" spans="1:11">
      <c r="A3592" t="str">
        <v/>
      </c>
      <c r="B3592" s="6">
        <v>0</v>
      </c>
      <c r="C3592" s="7" t="str">
        <v>趣点购浦发</v>
      </c>
      <c r="D3592" s="8">
        <v>0</v>
      </c>
      <c r="E3592" s="7">
        <v>0</v>
      </c>
      <c r="F3592" s="8">
        <v>0</v>
      </c>
      <c r="G3592" s="7">
        <v>0</v>
      </c>
      <c r="H3592" s="7">
        <v>81211.819999998</v>
      </c>
      <c r="I3592" s="7">
        <v>0</v>
      </c>
      <c r="J3592" s="8">
        <v>0</v>
      </c>
      <c r="K3592" s="9" t="str">
        <v/>
      </c>
    </row>
    <row r="3593" spans="1:11">
      <c r="A3593" t="str">
        <v/>
      </c>
      <c r="B3593" s="6">
        <v>0</v>
      </c>
      <c r="C3593" s="7" t="str">
        <v>趣点购浦发</v>
      </c>
      <c r="D3593" s="8">
        <v>0</v>
      </c>
      <c r="E3593" s="7">
        <v>0</v>
      </c>
      <c r="F3593" s="8">
        <v>0</v>
      </c>
      <c r="G3593" s="7">
        <v>0</v>
      </c>
      <c r="H3593" s="7">
        <v>81211.819999998</v>
      </c>
      <c r="I3593" s="7">
        <v>0</v>
      </c>
      <c r="J3593" s="8">
        <v>0</v>
      </c>
      <c r="K3593" s="9" t="str">
        <v/>
      </c>
    </row>
    <row r="3594" spans="1:11">
      <c r="A3594" t="str">
        <v/>
      </c>
      <c r="B3594" s="6">
        <v>0</v>
      </c>
      <c r="C3594" s="7" t="str">
        <v>趣点购浦发</v>
      </c>
      <c r="D3594" s="8">
        <v>0</v>
      </c>
      <c r="E3594" s="7">
        <v>0</v>
      </c>
      <c r="F3594" s="8">
        <v>0</v>
      </c>
      <c r="G3594" s="7">
        <v>0</v>
      </c>
      <c r="H3594" s="7">
        <v>81211.819999998</v>
      </c>
      <c r="I3594" s="7">
        <v>0</v>
      </c>
      <c r="J3594" s="8">
        <v>0</v>
      </c>
      <c r="K3594" s="9" t="str">
        <v/>
      </c>
    </row>
    <row r="3595" spans="1:11">
      <c r="A3595" t="str">
        <v/>
      </c>
      <c r="B3595" s="6">
        <v>0</v>
      </c>
      <c r="C3595" s="7" t="str">
        <v>趣点购浦发</v>
      </c>
      <c r="D3595" s="8">
        <v>0</v>
      </c>
      <c r="E3595" s="7">
        <v>0</v>
      </c>
      <c r="F3595" s="8">
        <v>0</v>
      </c>
      <c r="G3595" s="7">
        <v>0</v>
      </c>
      <c r="H3595" s="7">
        <v>81211.819999998</v>
      </c>
      <c r="I3595" s="7">
        <v>0</v>
      </c>
      <c r="J3595" s="8">
        <v>0</v>
      </c>
      <c r="K3595" s="9" t="str">
        <v/>
      </c>
    </row>
    <row r="3596" spans="1:11">
      <c r="A3596" t="str">
        <v/>
      </c>
      <c r="B3596" s="6">
        <v>0</v>
      </c>
      <c r="C3596" s="7" t="str">
        <v>趣点购浦发</v>
      </c>
      <c r="D3596" s="8">
        <v>0</v>
      </c>
      <c r="E3596" s="7">
        <v>0</v>
      </c>
      <c r="F3596" s="8">
        <v>0</v>
      </c>
      <c r="G3596" s="7">
        <v>0</v>
      </c>
      <c r="H3596" s="7">
        <v>81211.819999998</v>
      </c>
      <c r="I3596" s="7">
        <v>0</v>
      </c>
      <c r="J3596" s="8">
        <v>0</v>
      </c>
      <c r="K3596" s="9" t="str">
        <v/>
      </c>
    </row>
    <row r="3597" spans="1:11">
      <c r="A3597" t="str">
        <v/>
      </c>
      <c r="B3597" s="6">
        <v>0</v>
      </c>
      <c r="C3597" s="7" t="str">
        <v>趣点购浦发</v>
      </c>
      <c r="D3597" s="8">
        <v>0</v>
      </c>
      <c r="E3597" s="7">
        <v>0</v>
      </c>
      <c r="F3597" s="8">
        <v>0</v>
      </c>
      <c r="G3597" s="7">
        <v>0</v>
      </c>
      <c r="H3597" s="7">
        <v>81211.819999998</v>
      </c>
      <c r="I3597" s="7">
        <v>0</v>
      </c>
      <c r="J3597" s="8">
        <v>0</v>
      </c>
      <c r="K3597" s="9" t="str">
        <v/>
      </c>
    </row>
    <row r="3598" spans="1:11">
      <c r="A3598" t="str">
        <v/>
      </c>
      <c r="B3598" s="6">
        <v>0</v>
      </c>
      <c r="C3598" s="7" t="str">
        <v>趣点购浦发</v>
      </c>
      <c r="D3598" s="8">
        <v>0</v>
      </c>
      <c r="E3598" s="7">
        <v>0</v>
      </c>
      <c r="F3598" s="8">
        <v>0</v>
      </c>
      <c r="G3598" s="7">
        <v>0</v>
      </c>
      <c r="H3598" s="7">
        <v>81211.819999998</v>
      </c>
      <c r="I3598" s="7">
        <v>0</v>
      </c>
      <c r="J3598" s="8">
        <v>0</v>
      </c>
      <c r="K3598" s="9" t="str">
        <v/>
      </c>
    </row>
    <row r="3599" spans="1:11">
      <c r="A3599" t="str">
        <v/>
      </c>
      <c r="B3599" s="6">
        <v>0</v>
      </c>
      <c r="C3599" s="7" t="str">
        <v>趣点购浦发</v>
      </c>
      <c r="D3599" s="8">
        <v>0</v>
      </c>
      <c r="E3599" s="7">
        <v>0</v>
      </c>
      <c r="F3599" s="8">
        <v>0</v>
      </c>
      <c r="G3599" s="7">
        <v>0</v>
      </c>
      <c r="H3599" s="7">
        <v>81211.819999998</v>
      </c>
      <c r="I3599" s="7">
        <v>0</v>
      </c>
      <c r="J3599" s="8">
        <v>0</v>
      </c>
      <c r="K3599" s="9" t="str">
        <v/>
      </c>
    </row>
    <row r="3600" spans="1:11">
      <c r="A3600" t="str">
        <v/>
      </c>
      <c r="B3600" s="6">
        <v>0</v>
      </c>
      <c r="C3600" s="7" t="str">
        <v>趣点购浦发</v>
      </c>
      <c r="D3600" s="8">
        <v>0</v>
      </c>
      <c r="E3600" s="7">
        <v>0</v>
      </c>
      <c r="F3600" s="8">
        <v>0</v>
      </c>
      <c r="G3600" s="7">
        <v>0</v>
      </c>
      <c r="H3600" s="7">
        <v>81211.819999998</v>
      </c>
      <c r="I3600" s="7">
        <v>0</v>
      </c>
      <c r="J3600" s="8">
        <v>0</v>
      </c>
      <c r="K3600" s="9" t="str">
        <v/>
      </c>
    </row>
    <row r="3601" spans="1:11">
      <c r="A3601" t="str">
        <v/>
      </c>
      <c r="B3601" s="6">
        <v>0</v>
      </c>
      <c r="C3601" s="7" t="str">
        <v>趣点购浦发</v>
      </c>
      <c r="D3601" s="8">
        <v>0</v>
      </c>
      <c r="E3601" s="7">
        <v>0</v>
      </c>
      <c r="F3601" s="8">
        <v>0</v>
      </c>
      <c r="G3601" s="7">
        <v>0</v>
      </c>
      <c r="H3601" s="7">
        <v>81211.819999998</v>
      </c>
      <c r="I3601" s="7">
        <v>0</v>
      </c>
      <c r="J3601" s="8">
        <v>0</v>
      </c>
      <c r="K3601" s="9" t="str">
        <v/>
      </c>
    </row>
    <row r="3602" spans="1:11">
      <c r="A3602" t="str">
        <v/>
      </c>
      <c r="B3602" s="6">
        <v>0</v>
      </c>
      <c r="C3602" s="7" t="str">
        <v>趣点购浦发</v>
      </c>
      <c r="D3602" s="8">
        <v>0</v>
      </c>
      <c r="E3602" s="7">
        <v>0</v>
      </c>
      <c r="F3602" s="8">
        <v>0</v>
      </c>
      <c r="G3602" s="7">
        <v>0</v>
      </c>
      <c r="H3602" s="7">
        <v>81211.819999998</v>
      </c>
      <c r="I3602" s="7">
        <v>0</v>
      </c>
      <c r="J3602" s="8">
        <v>0</v>
      </c>
      <c r="K3602" s="9" t="str">
        <v/>
      </c>
    </row>
    <row r="3603" spans="1:11">
      <c r="A3603" t="str">
        <v/>
      </c>
      <c r="B3603" s="6">
        <v>0</v>
      </c>
      <c r="C3603" s="7" t="str">
        <v>趣点购浦发</v>
      </c>
      <c r="D3603" s="8">
        <v>0</v>
      </c>
      <c r="E3603" s="7">
        <v>0</v>
      </c>
      <c r="F3603" s="8">
        <v>0</v>
      </c>
      <c r="G3603" s="7">
        <v>0</v>
      </c>
      <c r="H3603" s="7">
        <v>81211.819999998</v>
      </c>
      <c r="I3603" s="7">
        <v>0</v>
      </c>
      <c r="J3603" s="8">
        <v>0</v>
      </c>
      <c r="K3603" s="9" t="str">
        <v/>
      </c>
    </row>
    <row r="3604" spans="1:11">
      <c r="A3604" t="str">
        <v/>
      </c>
      <c r="B3604" s="6">
        <v>0</v>
      </c>
      <c r="C3604" s="7" t="str">
        <v>趣点购浦发</v>
      </c>
      <c r="D3604" s="8">
        <v>0</v>
      </c>
      <c r="E3604" s="7">
        <v>0</v>
      </c>
      <c r="F3604" s="8">
        <v>0</v>
      </c>
      <c r="G3604" s="7">
        <v>0</v>
      </c>
      <c r="H3604" s="7">
        <v>81211.819999998</v>
      </c>
      <c r="I3604" s="7">
        <v>0</v>
      </c>
      <c r="J3604" s="8">
        <v>0</v>
      </c>
      <c r="K3604" s="9" t="str">
        <v/>
      </c>
    </row>
    <row r="3605" spans="1:11">
      <c r="A3605" t="str">
        <v/>
      </c>
      <c r="B3605" s="6">
        <v>0</v>
      </c>
      <c r="C3605" s="7" t="str">
        <v>趣点购浦发</v>
      </c>
      <c r="D3605" s="8">
        <v>0</v>
      </c>
      <c r="E3605" s="7">
        <v>0</v>
      </c>
      <c r="F3605" s="8">
        <v>0</v>
      </c>
      <c r="G3605" s="7">
        <v>0</v>
      </c>
      <c r="H3605" s="7">
        <v>81211.819999998</v>
      </c>
      <c r="I3605" s="7">
        <v>0</v>
      </c>
      <c r="J3605" s="8">
        <v>0</v>
      </c>
      <c r="K3605" s="9" t="str">
        <v/>
      </c>
    </row>
    <row r="3606" spans="1:11">
      <c r="A3606" t="str">
        <v/>
      </c>
      <c r="B3606" s="6">
        <v>0</v>
      </c>
      <c r="C3606" s="7" t="str">
        <v>趣点购浦发</v>
      </c>
      <c r="D3606" s="8">
        <v>0</v>
      </c>
      <c r="E3606" s="7">
        <v>0</v>
      </c>
      <c r="F3606" s="8">
        <v>0</v>
      </c>
      <c r="G3606" s="7">
        <v>0</v>
      </c>
      <c r="H3606" s="7">
        <v>81211.819999998</v>
      </c>
      <c r="I3606" s="7">
        <v>0</v>
      </c>
      <c r="J3606" s="8">
        <v>0</v>
      </c>
      <c r="K3606" s="9" t="str">
        <v/>
      </c>
    </row>
    <row r="3607" spans="1:11">
      <c r="A3607" t="str">
        <v/>
      </c>
      <c r="B3607" s="6">
        <v>0</v>
      </c>
      <c r="C3607" s="7" t="str">
        <v>趣点购浦发</v>
      </c>
      <c r="D3607" s="8">
        <v>0</v>
      </c>
      <c r="E3607" s="7">
        <v>0</v>
      </c>
      <c r="F3607" s="8">
        <v>0</v>
      </c>
      <c r="G3607" s="7">
        <v>0</v>
      </c>
      <c r="H3607" s="7">
        <v>81211.819999998</v>
      </c>
      <c r="I3607" s="7">
        <v>0</v>
      </c>
      <c r="J3607" s="8">
        <v>0</v>
      </c>
      <c r="K3607" s="9" t="str">
        <v/>
      </c>
    </row>
    <row r="3608" spans="1:11">
      <c r="A3608" t="str">
        <v/>
      </c>
      <c r="B3608" s="6">
        <v>0</v>
      </c>
      <c r="C3608" s="7" t="str">
        <v>趣点购浦发</v>
      </c>
      <c r="D3608" s="8">
        <v>0</v>
      </c>
      <c r="E3608" s="7">
        <v>0</v>
      </c>
      <c r="F3608" s="8">
        <v>0</v>
      </c>
      <c r="G3608" s="7">
        <v>0</v>
      </c>
      <c r="H3608" s="7">
        <v>81211.819999998</v>
      </c>
      <c r="I3608" s="7">
        <v>0</v>
      </c>
      <c r="J3608" s="8">
        <v>0</v>
      </c>
      <c r="K3608" s="9" t="str">
        <v/>
      </c>
    </row>
    <row r="3609" spans="1:11">
      <c r="A3609" t="str">
        <v/>
      </c>
      <c r="B3609" s="6">
        <v>0</v>
      </c>
      <c r="C3609" s="7" t="str">
        <v>趣点购浦发</v>
      </c>
      <c r="D3609" s="8">
        <v>0</v>
      </c>
      <c r="E3609" s="7">
        <v>0</v>
      </c>
      <c r="F3609" s="8">
        <v>0</v>
      </c>
      <c r="G3609" s="7">
        <v>0</v>
      </c>
      <c r="H3609" s="7">
        <v>81211.819999998</v>
      </c>
      <c r="I3609" s="7">
        <v>0</v>
      </c>
      <c r="J3609" s="8">
        <v>0</v>
      </c>
      <c r="K3609" s="9" t="str">
        <v/>
      </c>
    </row>
    <row r="3610" spans="1:11">
      <c r="A3610" t="str">
        <v/>
      </c>
      <c r="B3610" s="6">
        <v>0</v>
      </c>
      <c r="C3610" s="7" t="str">
        <v>趣点购浦发</v>
      </c>
      <c r="D3610" s="8">
        <v>0</v>
      </c>
      <c r="E3610" s="7">
        <v>0</v>
      </c>
      <c r="F3610" s="8">
        <v>0</v>
      </c>
      <c r="G3610" s="7">
        <v>0</v>
      </c>
      <c r="H3610" s="7">
        <v>81211.819999998</v>
      </c>
      <c r="I3610" s="7">
        <v>0</v>
      </c>
      <c r="J3610" s="8">
        <v>0</v>
      </c>
      <c r="K3610" s="9" t="str">
        <v/>
      </c>
    </row>
    <row r="3611" spans="1:11">
      <c r="A3611" t="str">
        <v/>
      </c>
      <c r="B3611" s="6">
        <v>0</v>
      </c>
      <c r="C3611" s="7" t="str">
        <v>趣点购浦发</v>
      </c>
      <c r="D3611" s="8">
        <v>0</v>
      </c>
      <c r="E3611" s="7">
        <v>0</v>
      </c>
      <c r="F3611" s="8">
        <v>0</v>
      </c>
      <c r="G3611" s="7">
        <v>0</v>
      </c>
      <c r="H3611" s="7">
        <v>81211.819999998</v>
      </c>
      <c r="I3611" s="7">
        <v>0</v>
      </c>
      <c r="J3611" s="8">
        <v>0</v>
      </c>
      <c r="K3611" s="9" t="str">
        <v/>
      </c>
    </row>
    <row r="3612" spans="1:11">
      <c r="A3612" t="str">
        <v/>
      </c>
      <c r="B3612" s="6">
        <v>0</v>
      </c>
      <c r="C3612" s="7" t="str">
        <v>趣点购浦发</v>
      </c>
      <c r="D3612" s="8">
        <v>0</v>
      </c>
      <c r="E3612" s="7">
        <v>0</v>
      </c>
      <c r="F3612" s="8">
        <v>0</v>
      </c>
      <c r="G3612" s="7">
        <v>0</v>
      </c>
      <c r="H3612" s="7">
        <v>81211.819999998</v>
      </c>
      <c r="I3612" s="7">
        <v>0</v>
      </c>
      <c r="J3612" s="8">
        <v>0</v>
      </c>
      <c r="K3612" s="9" t="str">
        <v/>
      </c>
    </row>
    <row r="3613" spans="1:11">
      <c r="A3613" t="str">
        <v/>
      </c>
      <c r="B3613" s="6">
        <v>0</v>
      </c>
      <c r="C3613" s="7" t="str">
        <v>趣点购浦发</v>
      </c>
      <c r="D3613" s="8">
        <v>0</v>
      </c>
      <c r="E3613" s="7">
        <v>0</v>
      </c>
      <c r="F3613" s="8">
        <v>0</v>
      </c>
      <c r="G3613" s="7">
        <v>0</v>
      </c>
      <c r="H3613" s="7">
        <v>81211.819999998</v>
      </c>
      <c r="I3613" s="7">
        <v>0</v>
      </c>
      <c r="J3613" s="8">
        <v>0</v>
      </c>
      <c r="K3613" s="9" t="str">
        <v/>
      </c>
    </row>
    <row r="3614" spans="1:11">
      <c r="A3614" t="str">
        <v/>
      </c>
      <c r="B3614" s="6">
        <v>0</v>
      </c>
      <c r="C3614" s="7" t="str">
        <v>趣点购浦发</v>
      </c>
      <c r="D3614" s="8">
        <v>0</v>
      </c>
      <c r="E3614" s="7">
        <v>0</v>
      </c>
      <c r="F3614" s="8">
        <v>0</v>
      </c>
      <c r="G3614" s="7">
        <v>0</v>
      </c>
      <c r="H3614" s="7">
        <v>81211.819999998</v>
      </c>
      <c r="I3614" s="7">
        <v>0</v>
      </c>
      <c r="J3614" s="8">
        <v>0</v>
      </c>
      <c r="K3614" s="9" t="str">
        <v/>
      </c>
    </row>
    <row r="3615" spans="1:11">
      <c r="A3615" t="str">
        <v/>
      </c>
      <c r="B3615" s="6">
        <v>0</v>
      </c>
      <c r="C3615" s="7" t="str">
        <v>趣点购浦发</v>
      </c>
      <c r="D3615" s="8">
        <v>0</v>
      </c>
      <c r="E3615" s="7">
        <v>0</v>
      </c>
      <c r="F3615" s="8">
        <v>0</v>
      </c>
      <c r="G3615" s="7">
        <v>0</v>
      </c>
      <c r="H3615" s="7">
        <v>81211.819999998</v>
      </c>
      <c r="I3615" s="7">
        <v>0</v>
      </c>
      <c r="J3615" s="8">
        <v>0</v>
      </c>
      <c r="K3615" s="9" t="str">
        <v/>
      </c>
    </row>
    <row r="3616" spans="1:11">
      <c r="A3616" t="str">
        <v/>
      </c>
      <c r="B3616" s="6">
        <v>0</v>
      </c>
      <c r="C3616" s="7" t="str">
        <v>趣点购浦发</v>
      </c>
      <c r="D3616" s="8">
        <v>0</v>
      </c>
      <c r="E3616" s="7">
        <v>0</v>
      </c>
      <c r="F3616" s="8">
        <v>0</v>
      </c>
      <c r="G3616" s="7">
        <v>0</v>
      </c>
      <c r="H3616" s="7">
        <v>81211.819999998</v>
      </c>
      <c r="I3616" s="7">
        <v>0</v>
      </c>
      <c r="J3616" s="8">
        <v>0</v>
      </c>
      <c r="K3616" s="9" t="str">
        <v/>
      </c>
    </row>
    <row r="3617" spans="1:11">
      <c r="A3617" t="str">
        <v/>
      </c>
      <c r="B3617" s="6">
        <v>0</v>
      </c>
      <c r="C3617" s="7" t="str">
        <v>趣点购浦发</v>
      </c>
      <c r="D3617" s="8">
        <v>0</v>
      </c>
      <c r="E3617" s="7">
        <v>0</v>
      </c>
      <c r="F3617" s="8">
        <v>0</v>
      </c>
      <c r="G3617" s="7">
        <v>0</v>
      </c>
      <c r="H3617" s="7">
        <v>81211.819999998</v>
      </c>
      <c r="I3617" s="7">
        <v>0</v>
      </c>
      <c r="J3617" s="8">
        <v>0</v>
      </c>
      <c r="K3617" s="9" t="str">
        <v/>
      </c>
    </row>
    <row r="3618" spans="1:11">
      <c r="A3618" t="str">
        <v/>
      </c>
      <c r="B3618" s="6">
        <v>0</v>
      </c>
      <c r="C3618" s="7" t="str">
        <v>趣点购浦发</v>
      </c>
      <c r="D3618" s="8">
        <v>0</v>
      </c>
      <c r="E3618" s="7">
        <v>0</v>
      </c>
      <c r="F3618" s="8">
        <v>0</v>
      </c>
      <c r="G3618" s="7">
        <v>0</v>
      </c>
      <c r="H3618" s="7">
        <v>81211.819999998</v>
      </c>
      <c r="I3618" s="7">
        <v>0</v>
      </c>
      <c r="J3618" s="8">
        <v>0</v>
      </c>
      <c r="K3618" s="9" t="str">
        <v/>
      </c>
    </row>
    <row r="3619" spans="1:11">
      <c r="A3619" t="str">
        <v/>
      </c>
      <c r="B3619" s="6">
        <v>0</v>
      </c>
      <c r="C3619" s="7" t="str">
        <v>趣点购浦发</v>
      </c>
      <c r="D3619" s="8">
        <v>0</v>
      </c>
      <c r="E3619" s="7">
        <v>0</v>
      </c>
      <c r="F3619" s="8">
        <v>0</v>
      </c>
      <c r="G3619" s="7">
        <v>0</v>
      </c>
      <c r="H3619" s="7">
        <v>81211.819999998</v>
      </c>
      <c r="I3619" s="7">
        <v>0</v>
      </c>
      <c r="J3619" s="8">
        <v>0</v>
      </c>
      <c r="K3619" s="9" t="str">
        <v/>
      </c>
    </row>
    <row r="3620" spans="1:11">
      <c r="A3620" t="str">
        <v/>
      </c>
      <c r="B3620" s="6">
        <v>0</v>
      </c>
      <c r="C3620" s="7" t="str">
        <v>趣点购浦发</v>
      </c>
      <c r="D3620" s="8">
        <v>0</v>
      </c>
      <c r="E3620" s="7">
        <v>0</v>
      </c>
      <c r="F3620" s="8">
        <v>0</v>
      </c>
      <c r="G3620" s="7">
        <v>0</v>
      </c>
      <c r="H3620" s="7">
        <v>81211.819999998</v>
      </c>
      <c r="I3620" s="7">
        <v>0</v>
      </c>
      <c r="J3620" s="8">
        <v>0</v>
      </c>
      <c r="K3620" s="9" t="str">
        <v/>
      </c>
    </row>
    <row r="3621" spans="1:11">
      <c r="A3621" t="str">
        <v/>
      </c>
      <c r="B3621" s="6">
        <v>0</v>
      </c>
      <c r="C3621" s="7" t="str">
        <v>趣点购浦发</v>
      </c>
      <c r="D3621" s="8">
        <v>0</v>
      </c>
      <c r="E3621" s="7">
        <v>0</v>
      </c>
      <c r="F3621" s="8">
        <v>0</v>
      </c>
      <c r="G3621" s="7">
        <v>0</v>
      </c>
      <c r="H3621" s="7">
        <v>81211.819999998</v>
      </c>
      <c r="I3621" s="7">
        <v>0</v>
      </c>
      <c r="J3621" s="8">
        <v>0</v>
      </c>
      <c r="K3621" s="9" t="str">
        <v/>
      </c>
    </row>
    <row r="3622" spans="1:11">
      <c r="A3622" t="str">
        <v/>
      </c>
      <c r="B3622" s="6">
        <v>0</v>
      </c>
      <c r="C3622" s="7" t="str">
        <v>趣点购浦发</v>
      </c>
      <c r="D3622" s="8">
        <v>0</v>
      </c>
      <c r="E3622" s="7">
        <v>0</v>
      </c>
      <c r="F3622" s="8">
        <v>0</v>
      </c>
      <c r="G3622" s="7">
        <v>0</v>
      </c>
      <c r="H3622" s="7">
        <v>81211.819999998</v>
      </c>
      <c r="I3622" s="7">
        <v>0</v>
      </c>
      <c r="J3622" s="8">
        <v>0</v>
      </c>
      <c r="K3622" s="9" t="str">
        <v/>
      </c>
    </row>
    <row r="3623" spans="1:11">
      <c r="A3623" t="str">
        <v/>
      </c>
      <c r="B3623" s="6">
        <v>0</v>
      </c>
      <c r="C3623" s="7" t="str">
        <v>趣点购浦发</v>
      </c>
      <c r="D3623" s="8">
        <v>0</v>
      </c>
      <c r="E3623" s="7">
        <v>0</v>
      </c>
      <c r="F3623" s="8">
        <v>0</v>
      </c>
      <c r="G3623" s="7">
        <v>0</v>
      </c>
      <c r="H3623" s="7">
        <v>81211.819999998</v>
      </c>
      <c r="I3623" s="7">
        <v>0</v>
      </c>
      <c r="J3623" s="8">
        <v>0</v>
      </c>
      <c r="K3623" s="9" t="str">
        <v/>
      </c>
    </row>
    <row r="3624" spans="1:11">
      <c r="A3624" t="str">
        <v/>
      </c>
      <c r="B3624" s="6">
        <v>0</v>
      </c>
      <c r="C3624" s="7" t="str">
        <v>趣点购浦发</v>
      </c>
      <c r="D3624" s="8">
        <v>0</v>
      </c>
      <c r="E3624" s="7">
        <v>0</v>
      </c>
      <c r="F3624" s="8">
        <v>0</v>
      </c>
      <c r="G3624" s="7">
        <v>0</v>
      </c>
      <c r="H3624" s="7">
        <v>81211.819999998</v>
      </c>
      <c r="I3624" s="7">
        <v>0</v>
      </c>
      <c r="J3624" s="8">
        <v>0</v>
      </c>
      <c r="K3624" s="9" t="str">
        <v/>
      </c>
    </row>
    <row r="3625" spans="1:11">
      <c r="A3625" t="str">
        <v/>
      </c>
      <c r="B3625" s="6">
        <v>0</v>
      </c>
      <c r="C3625" s="7" t="str">
        <v>趣点购浦发</v>
      </c>
      <c r="D3625" s="8">
        <v>0</v>
      </c>
      <c r="E3625" s="7">
        <v>0</v>
      </c>
      <c r="F3625" s="8">
        <v>0</v>
      </c>
      <c r="G3625" s="7">
        <v>0</v>
      </c>
      <c r="H3625" s="7">
        <v>81211.819999998</v>
      </c>
      <c r="I3625" s="7">
        <v>0</v>
      </c>
      <c r="J3625" s="8">
        <v>0</v>
      </c>
      <c r="K3625" s="9" t="str">
        <v/>
      </c>
    </row>
    <row r="3626" spans="1:11">
      <c r="A3626" t="str">
        <v/>
      </c>
      <c r="B3626" s="6">
        <v>0</v>
      </c>
      <c r="C3626" s="7" t="str">
        <v>趣点购浦发</v>
      </c>
      <c r="D3626" s="8">
        <v>0</v>
      </c>
      <c r="E3626" s="7">
        <v>0</v>
      </c>
      <c r="F3626" s="8">
        <v>0</v>
      </c>
      <c r="G3626" s="7">
        <v>0</v>
      </c>
      <c r="H3626" s="7">
        <v>81211.819999998</v>
      </c>
      <c r="I3626" s="7">
        <v>0</v>
      </c>
      <c r="J3626" s="8">
        <v>0</v>
      </c>
      <c r="K3626" s="9" t="str">
        <v/>
      </c>
    </row>
    <row r="3627" spans="1:11">
      <c r="A3627" t="str">
        <v/>
      </c>
      <c r="B3627" s="6">
        <v>0</v>
      </c>
      <c r="C3627" s="7" t="str">
        <v>趣点购浦发</v>
      </c>
      <c r="D3627" s="8">
        <v>0</v>
      </c>
      <c r="E3627" s="7">
        <v>0</v>
      </c>
      <c r="F3627" s="8">
        <v>0</v>
      </c>
      <c r="G3627" s="7">
        <v>0</v>
      </c>
      <c r="H3627" s="7">
        <v>81211.819999998</v>
      </c>
      <c r="I3627" s="7">
        <v>0</v>
      </c>
      <c r="J3627" s="8">
        <v>0</v>
      </c>
      <c r="K3627" s="9" t="str">
        <v/>
      </c>
    </row>
    <row r="3628" spans="1:11">
      <c r="A3628" t="str">
        <v/>
      </c>
      <c r="B3628" s="6">
        <v>0</v>
      </c>
      <c r="C3628" s="7" t="str">
        <v>趣点购浦发</v>
      </c>
      <c r="D3628" s="8">
        <v>0</v>
      </c>
      <c r="E3628" s="7">
        <v>0</v>
      </c>
      <c r="F3628" s="8">
        <v>0</v>
      </c>
      <c r="G3628" s="7">
        <v>0</v>
      </c>
      <c r="H3628" s="7">
        <v>81211.819999998</v>
      </c>
      <c r="I3628" s="7">
        <v>0</v>
      </c>
      <c r="J3628" s="8">
        <v>0</v>
      </c>
      <c r="K3628" s="9" t="str">
        <v/>
      </c>
    </row>
    <row r="3629" spans="1:11">
      <c r="A3629" t="str">
        <v/>
      </c>
      <c r="B3629" s="6">
        <v>0</v>
      </c>
      <c r="C3629" s="7" t="str">
        <v>趣点购浦发</v>
      </c>
      <c r="D3629" s="8">
        <v>0</v>
      </c>
      <c r="E3629" s="7">
        <v>0</v>
      </c>
      <c r="F3629" s="8">
        <v>0</v>
      </c>
      <c r="G3629" s="7">
        <v>0</v>
      </c>
      <c r="H3629" s="7">
        <v>81211.819999998</v>
      </c>
      <c r="I3629" s="7">
        <v>0</v>
      </c>
      <c r="J3629" s="8">
        <v>0</v>
      </c>
      <c r="K3629" s="9" t="str">
        <v/>
      </c>
    </row>
    <row r="3630" spans="1:11">
      <c r="A3630" t="str">
        <v/>
      </c>
      <c r="B3630" s="6">
        <v>0</v>
      </c>
      <c r="C3630" s="7" t="str">
        <v>趣点购浦发</v>
      </c>
      <c r="D3630" s="8">
        <v>0</v>
      </c>
      <c r="E3630" s="7">
        <v>0</v>
      </c>
      <c r="F3630" s="8">
        <v>0</v>
      </c>
      <c r="G3630" s="7">
        <v>0</v>
      </c>
      <c r="H3630" s="7">
        <v>81211.819999998</v>
      </c>
      <c r="I3630" s="7">
        <v>0</v>
      </c>
      <c r="J3630" s="8">
        <v>0</v>
      </c>
      <c r="K3630" s="9" t="str">
        <v/>
      </c>
    </row>
    <row r="3631" spans="1:11">
      <c r="A3631" t="str">
        <v/>
      </c>
      <c r="B3631" s="6">
        <v>0</v>
      </c>
      <c r="C3631" s="7" t="str">
        <v>趣点购浦发</v>
      </c>
      <c r="D3631" s="8">
        <v>0</v>
      </c>
      <c r="E3631" s="7">
        <v>0</v>
      </c>
      <c r="F3631" s="8">
        <v>0</v>
      </c>
      <c r="G3631" s="7">
        <v>0</v>
      </c>
      <c r="H3631" s="7">
        <v>81211.819999998</v>
      </c>
      <c r="I3631" s="7">
        <v>0</v>
      </c>
      <c r="J3631" s="8">
        <v>0</v>
      </c>
      <c r="K3631" s="9" t="str">
        <v/>
      </c>
    </row>
    <row r="3632" spans="1:11">
      <c r="A3632" t="str">
        <v/>
      </c>
      <c r="B3632" s="6">
        <v>0</v>
      </c>
      <c r="C3632" s="7" t="str">
        <v>趣点购浦发</v>
      </c>
      <c r="D3632" s="8">
        <v>0</v>
      </c>
      <c r="E3632" s="7">
        <v>0</v>
      </c>
      <c r="F3632" s="8">
        <v>0</v>
      </c>
      <c r="G3632" s="7">
        <v>0</v>
      </c>
      <c r="H3632" s="7">
        <v>81211.819999998</v>
      </c>
      <c r="I3632" s="7">
        <v>0</v>
      </c>
      <c r="J3632" s="8">
        <v>0</v>
      </c>
      <c r="K3632" s="9" t="str">
        <v/>
      </c>
    </row>
    <row r="3633" spans="1:11">
      <c r="A3633" t="str">
        <v/>
      </c>
      <c r="B3633" s="6">
        <v>0</v>
      </c>
      <c r="C3633" s="7" t="str">
        <v>趣点购浦发</v>
      </c>
      <c r="D3633" s="8">
        <v>0</v>
      </c>
      <c r="E3633" s="7">
        <v>0</v>
      </c>
      <c r="F3633" s="8">
        <v>0</v>
      </c>
      <c r="G3633" s="7">
        <v>0</v>
      </c>
      <c r="H3633" s="7">
        <v>81211.819999998</v>
      </c>
      <c r="I3633" s="7">
        <v>0</v>
      </c>
      <c r="J3633" s="8">
        <v>0</v>
      </c>
      <c r="K3633" s="9" t="str">
        <v/>
      </c>
    </row>
    <row r="3634" spans="1:11">
      <c r="A3634" t="str">
        <v/>
      </c>
      <c r="B3634" s="6">
        <v>0</v>
      </c>
      <c r="C3634" s="7" t="str">
        <v>趣点购浦发</v>
      </c>
      <c r="D3634" s="8">
        <v>0</v>
      </c>
      <c r="E3634" s="7">
        <v>0</v>
      </c>
      <c r="F3634" s="8">
        <v>0</v>
      </c>
      <c r="G3634" s="7">
        <v>0</v>
      </c>
      <c r="H3634" s="7">
        <v>81211.819999998</v>
      </c>
      <c r="I3634" s="7">
        <v>0</v>
      </c>
      <c r="J3634" s="8">
        <v>0</v>
      </c>
      <c r="K3634" s="9" t="str">
        <v/>
      </c>
    </row>
    <row r="3635" spans="1:11">
      <c r="A3635" t="str">
        <v/>
      </c>
      <c r="B3635" s="6">
        <v>0</v>
      </c>
      <c r="C3635" s="7" t="str">
        <v>趣点购浦发</v>
      </c>
      <c r="D3635" s="8">
        <v>0</v>
      </c>
      <c r="E3635" s="7">
        <v>0</v>
      </c>
      <c r="F3635" s="8">
        <v>0</v>
      </c>
      <c r="G3635" s="7">
        <v>0</v>
      </c>
      <c r="H3635" s="7">
        <v>81211.819999998</v>
      </c>
      <c r="I3635" s="7">
        <v>0</v>
      </c>
      <c r="J3635" s="8">
        <v>0</v>
      </c>
      <c r="K3635" s="9" t="str">
        <v/>
      </c>
    </row>
    <row r="3636" spans="1:11">
      <c r="A3636" t="str">
        <v/>
      </c>
      <c r="B3636" s="6">
        <v>0</v>
      </c>
      <c r="C3636" s="7" t="str">
        <v>趣点购浦发</v>
      </c>
      <c r="D3636" s="8">
        <v>0</v>
      </c>
      <c r="E3636" s="7">
        <v>0</v>
      </c>
      <c r="F3636" s="8">
        <v>0</v>
      </c>
      <c r="G3636" s="7">
        <v>0</v>
      </c>
      <c r="H3636" s="7">
        <v>81211.819999998</v>
      </c>
      <c r="I3636" s="7">
        <v>0</v>
      </c>
      <c r="J3636" s="8">
        <v>0</v>
      </c>
      <c r="K3636" s="9" t="str">
        <v/>
      </c>
    </row>
    <row r="3637" spans="1:11">
      <c r="A3637" t="str">
        <v/>
      </c>
      <c r="B3637" s="6">
        <v>0</v>
      </c>
      <c r="C3637" s="7" t="str">
        <v>趣点购浦发</v>
      </c>
      <c r="D3637" s="8">
        <v>0</v>
      </c>
      <c r="E3637" s="7">
        <v>0</v>
      </c>
      <c r="F3637" s="8">
        <v>0</v>
      </c>
      <c r="G3637" s="7">
        <v>0</v>
      </c>
      <c r="H3637" s="7">
        <v>81211.819999998</v>
      </c>
      <c r="I3637" s="7">
        <v>0</v>
      </c>
      <c r="J3637" s="8">
        <v>0</v>
      </c>
      <c r="K3637" s="9" t="str">
        <v/>
      </c>
    </row>
    <row r="3638" spans="1:11">
      <c r="A3638" t="str">
        <v/>
      </c>
      <c r="B3638" s="6">
        <v>0</v>
      </c>
      <c r="C3638" s="7" t="str">
        <v>趣点购浦发</v>
      </c>
      <c r="D3638" s="8">
        <v>0</v>
      </c>
      <c r="E3638" s="7">
        <v>0</v>
      </c>
      <c r="F3638" s="8">
        <v>0</v>
      </c>
      <c r="G3638" s="7">
        <v>0</v>
      </c>
      <c r="H3638" s="7">
        <v>81211.819999998</v>
      </c>
      <c r="I3638" s="7">
        <v>0</v>
      </c>
      <c r="J3638" s="8">
        <v>0</v>
      </c>
      <c r="K3638" s="9" t="str">
        <v/>
      </c>
    </row>
    <row r="3639" spans="1:11">
      <c r="A3639" t="str">
        <v/>
      </c>
      <c r="B3639" s="6">
        <v>0</v>
      </c>
      <c r="C3639" s="7" t="str">
        <v>趣点购浦发</v>
      </c>
      <c r="D3639" s="8">
        <v>0</v>
      </c>
      <c r="E3639" s="7">
        <v>0</v>
      </c>
      <c r="F3639" s="8">
        <v>0</v>
      </c>
      <c r="G3639" s="7">
        <v>0</v>
      </c>
      <c r="H3639" s="7">
        <v>81211.819999998</v>
      </c>
      <c r="I3639" s="7">
        <v>0</v>
      </c>
      <c r="J3639" s="8">
        <v>0</v>
      </c>
      <c r="K3639" s="9" t="str">
        <v/>
      </c>
    </row>
    <row r="3640" spans="1:11">
      <c r="A3640" t="str">
        <v/>
      </c>
      <c r="B3640" s="6">
        <v>0</v>
      </c>
      <c r="C3640" s="7" t="str">
        <v>趣点购浦发</v>
      </c>
      <c r="D3640" s="8">
        <v>0</v>
      </c>
      <c r="E3640" s="7">
        <v>0</v>
      </c>
      <c r="F3640" s="8">
        <v>0</v>
      </c>
      <c r="G3640" s="7">
        <v>0</v>
      </c>
      <c r="H3640" s="7">
        <v>81211.819999998</v>
      </c>
      <c r="I3640" s="7">
        <v>0</v>
      </c>
      <c r="J3640" s="8">
        <v>0</v>
      </c>
      <c r="K3640" s="9" t="str">
        <v/>
      </c>
    </row>
    <row r="3641" spans="1:11">
      <c r="A3641" t="str">
        <v/>
      </c>
      <c r="B3641" s="6">
        <v>0</v>
      </c>
      <c r="C3641" s="7" t="str">
        <v>趣点购浦发</v>
      </c>
      <c r="D3641" s="8">
        <v>0</v>
      </c>
      <c r="E3641" s="7">
        <v>0</v>
      </c>
      <c r="F3641" s="8">
        <v>0</v>
      </c>
      <c r="G3641" s="7">
        <v>0</v>
      </c>
      <c r="H3641" s="7">
        <v>81211.819999998</v>
      </c>
      <c r="I3641" s="7">
        <v>0</v>
      </c>
      <c r="J3641" s="8">
        <v>0</v>
      </c>
      <c r="K3641" s="9" t="str">
        <v/>
      </c>
    </row>
    <row r="3642" spans="1:11">
      <c r="A3642" t="str">
        <v/>
      </c>
      <c r="B3642" s="6">
        <v>0</v>
      </c>
      <c r="C3642" s="7" t="str">
        <v>趣点购浦发</v>
      </c>
      <c r="D3642" s="8">
        <v>0</v>
      </c>
      <c r="E3642" s="7">
        <v>0</v>
      </c>
      <c r="F3642" s="8">
        <v>0</v>
      </c>
      <c r="G3642" s="7">
        <v>0</v>
      </c>
      <c r="H3642" s="7">
        <v>81211.819999998</v>
      </c>
      <c r="I3642" s="7">
        <v>0</v>
      </c>
      <c r="J3642" s="8">
        <v>0</v>
      </c>
      <c r="K3642" s="9" t="str">
        <v/>
      </c>
    </row>
    <row r="3643" spans="1:11">
      <c r="A3643" t="str">
        <v/>
      </c>
      <c r="B3643" s="6">
        <v>0</v>
      </c>
      <c r="C3643" s="7" t="str">
        <v>趣点购浦发</v>
      </c>
      <c r="D3643" s="8">
        <v>0</v>
      </c>
      <c r="E3643" s="7">
        <v>0</v>
      </c>
      <c r="F3643" s="8">
        <v>0</v>
      </c>
      <c r="G3643" s="7">
        <v>0</v>
      </c>
      <c r="H3643" s="7">
        <v>81211.819999998</v>
      </c>
      <c r="I3643" s="7">
        <v>0</v>
      </c>
      <c r="J3643" s="8">
        <v>0</v>
      </c>
      <c r="K3643" s="9" t="str">
        <v/>
      </c>
    </row>
    <row r="3644" spans="1:11">
      <c r="A3644" t="str">
        <v/>
      </c>
      <c r="B3644" s="6">
        <v>0</v>
      </c>
      <c r="C3644" s="7" t="str">
        <v>趣点购浦发</v>
      </c>
      <c r="D3644" s="8">
        <v>0</v>
      </c>
      <c r="E3644" s="7">
        <v>0</v>
      </c>
      <c r="F3644" s="8">
        <v>0</v>
      </c>
      <c r="G3644" s="7">
        <v>0</v>
      </c>
      <c r="H3644" s="7">
        <v>81211.819999998</v>
      </c>
      <c r="I3644" s="7">
        <v>0</v>
      </c>
      <c r="J3644" s="8">
        <v>0</v>
      </c>
      <c r="K3644" s="9" t="str">
        <v/>
      </c>
    </row>
    <row r="3645" spans="1:11">
      <c r="A3645" t="str">
        <v/>
      </c>
      <c r="B3645" s="6">
        <v>0</v>
      </c>
      <c r="C3645" s="7" t="str">
        <v>趣点购浦发</v>
      </c>
      <c r="D3645" s="8">
        <v>0</v>
      </c>
      <c r="E3645" s="7">
        <v>0</v>
      </c>
      <c r="F3645" s="8">
        <v>0</v>
      </c>
      <c r="G3645" s="7">
        <v>0</v>
      </c>
      <c r="H3645" s="7">
        <v>81211.819999998</v>
      </c>
      <c r="I3645" s="7">
        <v>0</v>
      </c>
      <c r="J3645" s="8">
        <v>0</v>
      </c>
      <c r="K3645" s="9" t="str">
        <v/>
      </c>
    </row>
    <row r="3646" spans="1:11">
      <c r="A3646" t="str">
        <v/>
      </c>
      <c r="B3646" s="6">
        <v>0</v>
      </c>
      <c r="C3646" s="7" t="str">
        <v>趣点购浦发</v>
      </c>
      <c r="D3646" s="8">
        <v>0</v>
      </c>
      <c r="E3646" s="7">
        <v>0</v>
      </c>
      <c r="F3646" s="8">
        <v>0</v>
      </c>
      <c r="G3646" s="7">
        <v>0</v>
      </c>
      <c r="H3646" s="7">
        <v>81211.819999998</v>
      </c>
      <c r="I3646" s="7">
        <v>0</v>
      </c>
      <c r="J3646" s="8">
        <v>0</v>
      </c>
      <c r="K3646" s="9" t="str">
        <v/>
      </c>
    </row>
    <row r="3647" spans="1:11">
      <c r="A3647" t="str">
        <v/>
      </c>
      <c r="B3647" s="6">
        <v>0</v>
      </c>
      <c r="C3647" s="7" t="str">
        <v>趣点购浦发</v>
      </c>
      <c r="D3647" s="8">
        <v>0</v>
      </c>
      <c r="E3647" s="7">
        <v>0</v>
      </c>
      <c r="F3647" s="8">
        <v>0</v>
      </c>
      <c r="G3647" s="7">
        <v>0</v>
      </c>
      <c r="H3647" s="7">
        <v>81211.819999998</v>
      </c>
      <c r="I3647" s="7">
        <v>0</v>
      </c>
      <c r="J3647" s="8">
        <v>0</v>
      </c>
      <c r="K3647" s="9" t="str">
        <v/>
      </c>
    </row>
    <row r="3648" spans="1:11">
      <c r="A3648" t="str">
        <v/>
      </c>
      <c r="B3648" s="6">
        <v>0</v>
      </c>
      <c r="C3648" s="7" t="str">
        <v>趣点购浦发</v>
      </c>
      <c r="D3648" s="8">
        <v>0</v>
      </c>
      <c r="E3648" s="7">
        <v>0</v>
      </c>
      <c r="F3648" s="8">
        <v>0</v>
      </c>
      <c r="G3648" s="7">
        <v>0</v>
      </c>
      <c r="H3648" s="7">
        <v>81211.819999998</v>
      </c>
      <c r="I3648" s="7">
        <v>0</v>
      </c>
      <c r="J3648" s="8">
        <v>0</v>
      </c>
      <c r="K3648" s="9" t="str">
        <v/>
      </c>
    </row>
    <row r="3649" spans="1:11">
      <c r="A3649" t="str">
        <v/>
      </c>
      <c r="B3649" s="6">
        <v>0</v>
      </c>
      <c r="C3649" s="7" t="str">
        <v>趣点购浦发</v>
      </c>
      <c r="D3649" s="8">
        <v>0</v>
      </c>
      <c r="E3649" s="7">
        <v>0</v>
      </c>
      <c r="F3649" s="8">
        <v>0</v>
      </c>
      <c r="G3649" s="7">
        <v>0</v>
      </c>
      <c r="H3649" s="7">
        <v>81211.819999998</v>
      </c>
      <c r="I3649" s="7">
        <v>0</v>
      </c>
      <c r="J3649" s="8">
        <v>0</v>
      </c>
      <c r="K3649" s="9" t="str">
        <v/>
      </c>
    </row>
    <row r="3650" spans="1:11">
      <c r="A3650" t="str">
        <v/>
      </c>
      <c r="B3650" s="6">
        <v>0</v>
      </c>
      <c r="C3650" s="7" t="str">
        <v>趣点购浦发</v>
      </c>
      <c r="D3650" s="8">
        <v>0</v>
      </c>
      <c r="E3650" s="7">
        <v>0</v>
      </c>
      <c r="F3650" s="8">
        <v>0</v>
      </c>
      <c r="G3650" s="7">
        <v>0</v>
      </c>
      <c r="H3650" s="7">
        <v>81211.819999998</v>
      </c>
      <c r="I3650" s="7">
        <v>0</v>
      </c>
      <c r="J3650" s="8">
        <v>0</v>
      </c>
      <c r="K3650" s="9" t="str">
        <v/>
      </c>
    </row>
    <row r="3651" spans="1:11">
      <c r="A3651" t="str">
        <v/>
      </c>
      <c r="B3651" s="6">
        <v>0</v>
      </c>
      <c r="C3651" s="7" t="str">
        <v>趣点购浦发</v>
      </c>
      <c r="D3651" s="8">
        <v>0</v>
      </c>
      <c r="E3651" s="7">
        <v>0</v>
      </c>
      <c r="F3651" s="8">
        <v>0</v>
      </c>
      <c r="G3651" s="7">
        <v>0</v>
      </c>
      <c r="H3651" s="7">
        <v>81211.819999998</v>
      </c>
      <c r="I3651" s="7">
        <v>0</v>
      </c>
      <c r="J3651" s="8">
        <v>0</v>
      </c>
      <c r="K3651" s="9" t="str">
        <v/>
      </c>
    </row>
    <row r="3652" spans="1:11">
      <c r="A3652" t="str">
        <v/>
      </c>
      <c r="B3652" s="6">
        <v>0</v>
      </c>
      <c r="C3652" s="7" t="str">
        <v>趣点购浦发</v>
      </c>
      <c r="D3652" s="8">
        <v>0</v>
      </c>
      <c r="E3652" s="7">
        <v>0</v>
      </c>
      <c r="F3652" s="8">
        <v>0</v>
      </c>
      <c r="G3652" s="7">
        <v>0</v>
      </c>
      <c r="H3652" s="7">
        <v>81211.819999998</v>
      </c>
      <c r="I3652" s="7">
        <v>0</v>
      </c>
      <c r="J3652" s="8">
        <v>0</v>
      </c>
      <c r="K3652" s="9" t="str">
        <v/>
      </c>
    </row>
    <row r="3653" spans="1:11">
      <c r="A3653" t="str">
        <v/>
      </c>
      <c r="B3653" s="6">
        <v>0</v>
      </c>
      <c r="C3653" s="7" t="str">
        <v>趣点购浦发</v>
      </c>
      <c r="D3653" s="8">
        <v>0</v>
      </c>
      <c r="E3653" s="7">
        <v>0</v>
      </c>
      <c r="F3653" s="8">
        <v>0</v>
      </c>
      <c r="G3653" s="7">
        <v>0</v>
      </c>
      <c r="H3653" s="7">
        <v>81211.819999998</v>
      </c>
      <c r="I3653" s="7">
        <v>0</v>
      </c>
      <c r="J3653" s="8">
        <v>0</v>
      </c>
      <c r="K3653" s="9" t="str">
        <v/>
      </c>
    </row>
    <row r="3654" spans="1:11">
      <c r="A3654" t="str">
        <v/>
      </c>
      <c r="B3654" s="6">
        <v>0</v>
      </c>
      <c r="C3654" s="7" t="str">
        <v>趣点购浦发</v>
      </c>
      <c r="D3654" s="8">
        <v>0</v>
      </c>
      <c r="E3654" s="7">
        <v>0</v>
      </c>
      <c r="F3654" s="8">
        <v>0</v>
      </c>
      <c r="G3654" s="7">
        <v>0</v>
      </c>
      <c r="H3654" s="7">
        <v>81211.819999998</v>
      </c>
      <c r="I3654" s="7">
        <v>0</v>
      </c>
      <c r="J3654" s="8">
        <v>0</v>
      </c>
      <c r="K3654" s="9" t="str">
        <v/>
      </c>
    </row>
    <row r="3655" spans="1:11">
      <c r="A3655" t="str">
        <v/>
      </c>
      <c r="B3655" s="6">
        <v>0</v>
      </c>
      <c r="C3655" s="7" t="str">
        <v>趣点购浦发</v>
      </c>
      <c r="D3655" s="8">
        <v>0</v>
      </c>
      <c r="E3655" s="7">
        <v>0</v>
      </c>
      <c r="F3655" s="8">
        <v>0</v>
      </c>
      <c r="G3655" s="7">
        <v>0</v>
      </c>
      <c r="H3655" s="7">
        <v>81211.819999998</v>
      </c>
      <c r="I3655" s="7">
        <v>0</v>
      </c>
      <c r="J3655" s="8">
        <v>0</v>
      </c>
      <c r="K3655" s="9" t="str">
        <v/>
      </c>
    </row>
    <row r="3656" spans="1:11">
      <c r="A3656" t="str">
        <v/>
      </c>
      <c r="B3656" s="6">
        <v>0</v>
      </c>
      <c r="C3656" s="7" t="str">
        <v>趣点购浦发</v>
      </c>
      <c r="D3656" s="8">
        <v>0</v>
      </c>
      <c r="E3656" s="7">
        <v>0</v>
      </c>
      <c r="F3656" s="8">
        <v>0</v>
      </c>
      <c r="G3656" s="7">
        <v>0</v>
      </c>
      <c r="H3656" s="7">
        <v>81211.819999998</v>
      </c>
      <c r="I3656" s="7">
        <v>0</v>
      </c>
      <c r="J3656" s="8">
        <v>0</v>
      </c>
      <c r="K3656" s="9" t="str">
        <v/>
      </c>
    </row>
    <row r="3657" spans="1:11">
      <c r="A3657" t="str">
        <v/>
      </c>
      <c r="B3657" s="6">
        <v>0</v>
      </c>
      <c r="C3657" s="7" t="str">
        <v>趣点购浦发</v>
      </c>
      <c r="D3657" s="8">
        <v>0</v>
      </c>
      <c r="E3657" s="7">
        <v>0</v>
      </c>
      <c r="F3657" s="8">
        <v>0</v>
      </c>
      <c r="G3657" s="7">
        <v>0</v>
      </c>
      <c r="H3657" s="7">
        <v>81211.819999998</v>
      </c>
      <c r="I3657" s="7">
        <v>0</v>
      </c>
      <c r="J3657" s="8">
        <v>0</v>
      </c>
      <c r="K3657" s="9" t="str">
        <v/>
      </c>
    </row>
    <row r="3658" spans="1:11">
      <c r="A3658" t="str">
        <v/>
      </c>
      <c r="B3658" s="6">
        <v>0</v>
      </c>
      <c r="C3658" s="7" t="str">
        <v>趣点购浦发</v>
      </c>
      <c r="D3658" s="8">
        <v>0</v>
      </c>
      <c r="E3658" s="7">
        <v>0</v>
      </c>
      <c r="F3658" s="8">
        <v>0</v>
      </c>
      <c r="G3658" s="7">
        <v>0</v>
      </c>
      <c r="H3658" s="7">
        <v>81211.819999998</v>
      </c>
      <c r="I3658" s="7">
        <v>0</v>
      </c>
      <c r="J3658" s="8">
        <v>0</v>
      </c>
      <c r="K3658" s="9" t="str">
        <v/>
      </c>
    </row>
    <row r="3659" spans="1:11">
      <c r="A3659" t="str">
        <v/>
      </c>
      <c r="B3659" s="6">
        <v>0</v>
      </c>
      <c r="C3659" s="7" t="str">
        <v>趣点购浦发</v>
      </c>
      <c r="D3659" s="8">
        <v>0</v>
      </c>
      <c r="E3659" s="7">
        <v>0</v>
      </c>
      <c r="F3659" s="8">
        <v>0</v>
      </c>
      <c r="G3659" s="7">
        <v>0</v>
      </c>
      <c r="H3659" s="7">
        <v>81211.819999998</v>
      </c>
      <c r="I3659" s="7">
        <v>0</v>
      </c>
      <c r="J3659" s="8">
        <v>0</v>
      </c>
      <c r="K3659" s="9" t="str">
        <v/>
      </c>
    </row>
    <row r="3660" spans="1:11">
      <c r="A3660" t="str">
        <v/>
      </c>
      <c r="B3660" s="6">
        <v>0</v>
      </c>
      <c r="C3660" s="7" t="str">
        <v>趣点购浦发</v>
      </c>
      <c r="D3660" s="8">
        <v>0</v>
      </c>
      <c r="E3660" s="7">
        <v>0</v>
      </c>
      <c r="F3660" s="8">
        <v>0</v>
      </c>
      <c r="G3660" s="7">
        <v>0</v>
      </c>
      <c r="H3660" s="7">
        <v>81211.819999998</v>
      </c>
      <c r="I3660" s="7">
        <v>0</v>
      </c>
      <c r="J3660" s="8">
        <v>0</v>
      </c>
      <c r="K3660" s="9" t="str">
        <v/>
      </c>
    </row>
    <row r="3661" spans="1:11">
      <c r="A3661" t="str">
        <v/>
      </c>
      <c r="B3661" s="6">
        <v>0</v>
      </c>
      <c r="C3661" s="7" t="str">
        <v>趣点购浦发</v>
      </c>
      <c r="D3661" s="8">
        <v>0</v>
      </c>
      <c r="E3661" s="7">
        <v>0</v>
      </c>
      <c r="F3661" s="8">
        <v>0</v>
      </c>
      <c r="G3661" s="7">
        <v>0</v>
      </c>
      <c r="H3661" s="7">
        <v>81211.819999998</v>
      </c>
      <c r="I3661" s="7">
        <v>0</v>
      </c>
      <c r="J3661" s="8">
        <v>0</v>
      </c>
      <c r="K3661" s="9" t="str">
        <v/>
      </c>
    </row>
    <row r="3662" spans="1:11">
      <c r="A3662" t="str">
        <v/>
      </c>
      <c r="B3662" s="6">
        <v>0</v>
      </c>
      <c r="C3662" s="7" t="str">
        <v>趣点购浦发</v>
      </c>
      <c r="D3662" s="8">
        <v>0</v>
      </c>
      <c r="E3662" s="7">
        <v>0</v>
      </c>
      <c r="F3662" s="8">
        <v>0</v>
      </c>
      <c r="G3662" s="7">
        <v>0</v>
      </c>
      <c r="H3662" s="7">
        <v>81211.819999998</v>
      </c>
      <c r="I3662" s="7">
        <v>0</v>
      </c>
      <c r="J3662" s="8">
        <v>0</v>
      </c>
      <c r="K3662" s="9" t="str">
        <v/>
      </c>
    </row>
    <row r="3663" spans="1:11">
      <c r="A3663" t="str">
        <v/>
      </c>
      <c r="B3663" s="6">
        <v>0</v>
      </c>
      <c r="C3663" s="7" t="str">
        <v>趣点购浦发</v>
      </c>
      <c r="D3663" s="8">
        <v>0</v>
      </c>
      <c r="E3663" s="7">
        <v>0</v>
      </c>
      <c r="F3663" s="8">
        <v>0</v>
      </c>
      <c r="G3663" s="7">
        <v>0</v>
      </c>
      <c r="H3663" s="7">
        <v>81211.819999998</v>
      </c>
      <c r="I3663" s="7">
        <v>0</v>
      </c>
      <c r="J3663" s="8">
        <v>0</v>
      </c>
      <c r="K3663" s="9" t="str">
        <v/>
      </c>
    </row>
    <row r="3664" spans="1:11">
      <c r="A3664" t="str">
        <v/>
      </c>
      <c r="B3664" s="6">
        <v>0</v>
      </c>
      <c r="C3664" s="7" t="str">
        <v>趣点购浦发</v>
      </c>
      <c r="D3664" s="8">
        <v>0</v>
      </c>
      <c r="E3664" s="7">
        <v>0</v>
      </c>
      <c r="F3664" s="8">
        <v>0</v>
      </c>
      <c r="G3664" s="7">
        <v>0</v>
      </c>
      <c r="H3664" s="7">
        <v>81211.819999998</v>
      </c>
      <c r="I3664" s="7">
        <v>0</v>
      </c>
      <c r="J3664" s="8">
        <v>0</v>
      </c>
      <c r="K3664" s="9" t="str">
        <v/>
      </c>
    </row>
    <row r="3665" spans="1:11">
      <c r="A3665" t="str">
        <v/>
      </c>
      <c r="B3665" s="6">
        <v>0</v>
      </c>
      <c r="C3665" s="7" t="str">
        <v>趣点购浦发</v>
      </c>
      <c r="D3665" s="8">
        <v>0</v>
      </c>
      <c r="E3665" s="7">
        <v>0</v>
      </c>
      <c r="F3665" s="8">
        <v>0</v>
      </c>
      <c r="G3665" s="7">
        <v>0</v>
      </c>
      <c r="H3665" s="7">
        <v>81211.819999998</v>
      </c>
      <c r="I3665" s="7">
        <v>0</v>
      </c>
      <c r="J3665" s="8">
        <v>0</v>
      </c>
      <c r="K3665" s="9" t="str">
        <v/>
      </c>
    </row>
    <row r="3666" spans="1:11">
      <c r="A3666" t="str">
        <v/>
      </c>
      <c r="B3666" s="6">
        <v>0</v>
      </c>
      <c r="C3666" s="7" t="str">
        <v>趣点购浦发</v>
      </c>
      <c r="D3666" s="8">
        <v>0</v>
      </c>
      <c r="E3666" s="7">
        <v>0</v>
      </c>
      <c r="F3666" s="8">
        <v>0</v>
      </c>
      <c r="G3666" s="7">
        <v>0</v>
      </c>
      <c r="H3666" s="7">
        <v>81211.819999998</v>
      </c>
      <c r="I3666" s="7">
        <v>0</v>
      </c>
      <c r="J3666" s="8">
        <v>0</v>
      </c>
      <c r="K3666" s="9" t="str">
        <v/>
      </c>
    </row>
    <row r="3667" spans="1:11">
      <c r="A3667" t="str">
        <v/>
      </c>
      <c r="B3667" s="6">
        <v>0</v>
      </c>
      <c r="C3667" s="7" t="str">
        <v>趣点购浦发</v>
      </c>
      <c r="D3667" s="8">
        <v>0</v>
      </c>
      <c r="E3667" s="7">
        <v>0</v>
      </c>
      <c r="F3667" s="8">
        <v>0</v>
      </c>
      <c r="G3667" s="7">
        <v>0</v>
      </c>
      <c r="H3667" s="7">
        <v>81211.819999998</v>
      </c>
      <c r="I3667" s="7">
        <v>0</v>
      </c>
      <c r="J3667" s="8">
        <v>0</v>
      </c>
      <c r="K3667" s="9" t="str">
        <v/>
      </c>
    </row>
    <row r="3668" spans="1:11">
      <c r="A3668" t="str">
        <v/>
      </c>
      <c r="B3668" s="6">
        <v>0</v>
      </c>
      <c r="C3668" s="7" t="str">
        <v>趣点购浦发</v>
      </c>
      <c r="D3668" s="8">
        <v>0</v>
      </c>
      <c r="E3668" s="7">
        <v>0</v>
      </c>
      <c r="F3668" s="8">
        <v>0</v>
      </c>
      <c r="G3668" s="7">
        <v>0</v>
      </c>
      <c r="H3668" s="7">
        <v>81211.819999998</v>
      </c>
      <c r="I3668" s="7">
        <v>0</v>
      </c>
      <c r="J3668" s="8">
        <v>0</v>
      </c>
      <c r="K3668" s="9" t="str">
        <v/>
      </c>
    </row>
    <row r="3669" spans="1:11">
      <c r="A3669" t="str">
        <v/>
      </c>
      <c r="B3669" s="6">
        <v>0</v>
      </c>
      <c r="C3669" s="7" t="str">
        <v>趣点购浦发</v>
      </c>
      <c r="D3669" s="8">
        <v>0</v>
      </c>
      <c r="E3669" s="7">
        <v>0</v>
      </c>
      <c r="F3669" s="8">
        <v>0</v>
      </c>
      <c r="G3669" s="7">
        <v>0</v>
      </c>
      <c r="H3669" s="7">
        <v>81211.819999998</v>
      </c>
      <c r="I3669" s="7">
        <v>0</v>
      </c>
      <c r="J3669" s="8">
        <v>0</v>
      </c>
      <c r="K3669" s="9" t="str">
        <v/>
      </c>
    </row>
    <row r="3670" spans="1:11">
      <c r="A3670" t="str">
        <v/>
      </c>
      <c r="B3670" s="6">
        <v>0</v>
      </c>
      <c r="C3670" s="7" t="str">
        <v>趣点购浦发</v>
      </c>
      <c r="D3670" s="8">
        <v>0</v>
      </c>
      <c r="E3670" s="7">
        <v>0</v>
      </c>
      <c r="F3670" s="8">
        <v>0</v>
      </c>
      <c r="G3670" s="7">
        <v>0</v>
      </c>
      <c r="H3670" s="7">
        <v>81211.819999998</v>
      </c>
      <c r="I3670" s="7">
        <v>0</v>
      </c>
      <c r="J3670" s="8">
        <v>0</v>
      </c>
      <c r="K3670" s="9" t="str">
        <v/>
      </c>
    </row>
    <row r="3671" spans="1:11">
      <c r="A3671" t="str">
        <v/>
      </c>
      <c r="B3671" s="6">
        <v>0</v>
      </c>
      <c r="C3671" s="7" t="str">
        <v>趣点购浦发</v>
      </c>
      <c r="D3671" s="8">
        <v>0</v>
      </c>
      <c r="E3671" s="7">
        <v>0</v>
      </c>
      <c r="F3671" s="8">
        <v>0</v>
      </c>
      <c r="G3671" s="7">
        <v>0</v>
      </c>
      <c r="H3671" s="7">
        <v>81211.819999998</v>
      </c>
      <c r="I3671" s="7">
        <v>0</v>
      </c>
      <c r="J3671" s="8">
        <v>0</v>
      </c>
      <c r="K3671" s="9" t="str">
        <v/>
      </c>
    </row>
    <row r="3672" spans="1:11">
      <c r="A3672" t="str">
        <v/>
      </c>
      <c r="B3672" s="6">
        <v>0</v>
      </c>
      <c r="C3672" s="7" t="str">
        <v>趣点购浦发</v>
      </c>
      <c r="D3672" s="8">
        <v>0</v>
      </c>
      <c r="E3672" s="7">
        <v>0</v>
      </c>
      <c r="F3672" s="8">
        <v>0</v>
      </c>
      <c r="G3672" s="7">
        <v>0</v>
      </c>
      <c r="H3672" s="7">
        <v>81211.819999998</v>
      </c>
      <c r="I3672" s="7">
        <v>0</v>
      </c>
      <c r="J3672" s="8">
        <v>0</v>
      </c>
      <c r="K3672" s="9" t="str">
        <v/>
      </c>
    </row>
    <row r="3673" spans="1:11">
      <c r="A3673" t="str">
        <v/>
      </c>
      <c r="B3673" s="6">
        <v>0</v>
      </c>
      <c r="C3673" s="7" t="str">
        <v>趣点购浦发</v>
      </c>
      <c r="D3673" s="8">
        <v>0</v>
      </c>
      <c r="E3673" s="7">
        <v>0</v>
      </c>
      <c r="F3673" s="8">
        <v>0</v>
      </c>
      <c r="G3673" s="7">
        <v>0</v>
      </c>
      <c r="H3673" s="7">
        <v>81211.819999998</v>
      </c>
      <c r="I3673" s="7">
        <v>0</v>
      </c>
      <c r="J3673" s="8">
        <v>0</v>
      </c>
      <c r="K3673" s="9" t="str">
        <v/>
      </c>
    </row>
    <row r="3674" spans="1:11">
      <c r="A3674" t="str">
        <v/>
      </c>
      <c r="B3674" s="6">
        <v>0</v>
      </c>
      <c r="C3674" s="7" t="str">
        <v>趣点购浦发</v>
      </c>
      <c r="D3674" s="8">
        <v>0</v>
      </c>
      <c r="E3674" s="7">
        <v>0</v>
      </c>
      <c r="F3674" s="8">
        <v>0</v>
      </c>
      <c r="G3674" s="7">
        <v>0</v>
      </c>
      <c r="H3674" s="7">
        <v>81211.819999998</v>
      </c>
      <c r="I3674" s="7">
        <v>0</v>
      </c>
      <c r="J3674" s="8">
        <v>0</v>
      </c>
      <c r="K3674" s="9" t="str">
        <v/>
      </c>
    </row>
    <row r="3675" spans="1:11">
      <c r="A3675" t="str">
        <v/>
      </c>
      <c r="B3675" s="6">
        <v>0</v>
      </c>
      <c r="C3675" s="7" t="str">
        <v>趣点购浦发</v>
      </c>
      <c r="D3675" s="8">
        <v>0</v>
      </c>
      <c r="E3675" s="7">
        <v>0</v>
      </c>
      <c r="F3675" s="8">
        <v>0</v>
      </c>
      <c r="G3675" s="7">
        <v>0</v>
      </c>
      <c r="H3675" s="7">
        <v>81211.819999998</v>
      </c>
      <c r="I3675" s="7">
        <v>0</v>
      </c>
      <c r="J3675" s="8">
        <v>0</v>
      </c>
      <c r="K3675" s="9" t="str">
        <v/>
      </c>
    </row>
    <row r="3676" spans="1:11">
      <c r="A3676" t="str">
        <v/>
      </c>
      <c r="B3676" s="6">
        <v>0</v>
      </c>
      <c r="C3676" s="7" t="str">
        <v>趣点购浦发</v>
      </c>
      <c r="D3676" s="8">
        <v>0</v>
      </c>
      <c r="E3676" s="7">
        <v>0</v>
      </c>
      <c r="F3676" s="8">
        <v>0</v>
      </c>
      <c r="G3676" s="7">
        <v>0</v>
      </c>
      <c r="H3676" s="7">
        <v>81211.819999998</v>
      </c>
      <c r="I3676" s="7">
        <v>0</v>
      </c>
      <c r="J3676" s="8">
        <v>0</v>
      </c>
      <c r="K3676" s="9" t="str">
        <v/>
      </c>
    </row>
    <row r="3677" spans="1:11">
      <c r="A3677" t="str">
        <v/>
      </c>
      <c r="B3677" s="6">
        <v>0</v>
      </c>
      <c r="C3677" s="7" t="str">
        <v>趣点购浦发</v>
      </c>
      <c r="D3677" s="8">
        <v>0</v>
      </c>
      <c r="E3677" s="7">
        <v>0</v>
      </c>
      <c r="F3677" s="8">
        <v>0</v>
      </c>
      <c r="G3677" s="7">
        <v>0</v>
      </c>
      <c r="H3677" s="7">
        <v>81211.819999998</v>
      </c>
      <c r="I3677" s="7">
        <v>0</v>
      </c>
      <c r="J3677" s="8">
        <v>0</v>
      </c>
      <c r="K3677" s="9" t="str">
        <v/>
      </c>
    </row>
    <row r="3678" spans="1:11">
      <c r="A3678" t="str">
        <v/>
      </c>
      <c r="B3678" s="6">
        <v>0</v>
      </c>
      <c r="C3678" s="7" t="str">
        <v>趣点购浦发</v>
      </c>
      <c r="D3678" s="8">
        <v>0</v>
      </c>
      <c r="E3678" s="7">
        <v>0</v>
      </c>
      <c r="F3678" s="8">
        <v>0</v>
      </c>
      <c r="G3678" s="7">
        <v>0</v>
      </c>
      <c r="H3678" s="7">
        <v>81211.819999998</v>
      </c>
      <c r="I3678" s="7">
        <v>0</v>
      </c>
      <c r="J3678" s="8">
        <v>0</v>
      </c>
      <c r="K3678" s="9" t="str">
        <v/>
      </c>
    </row>
    <row r="3679" spans="1:11">
      <c r="A3679" t="str">
        <v/>
      </c>
      <c r="B3679" s="6">
        <v>0</v>
      </c>
      <c r="C3679" s="7" t="str">
        <v>趣点购浦发</v>
      </c>
      <c r="D3679" s="8">
        <v>0</v>
      </c>
      <c r="E3679" s="7">
        <v>0</v>
      </c>
      <c r="F3679" s="8">
        <v>0</v>
      </c>
      <c r="G3679" s="7">
        <v>0</v>
      </c>
      <c r="H3679" s="7">
        <v>81211.819999998</v>
      </c>
      <c r="I3679" s="7">
        <v>0</v>
      </c>
      <c r="J3679" s="8">
        <v>0</v>
      </c>
      <c r="K3679" s="9" t="str">
        <v/>
      </c>
    </row>
    <row r="3680" spans="1:11">
      <c r="A3680" t="str">
        <v/>
      </c>
      <c r="B3680" s="6">
        <v>0</v>
      </c>
      <c r="C3680" s="7" t="str">
        <v>趣点购浦发</v>
      </c>
      <c r="D3680" s="8">
        <v>0</v>
      </c>
      <c r="E3680" s="7">
        <v>0</v>
      </c>
      <c r="F3680" s="8">
        <v>0</v>
      </c>
      <c r="G3680" s="7">
        <v>0</v>
      </c>
      <c r="H3680" s="7">
        <v>81211.819999998</v>
      </c>
      <c r="I3680" s="7">
        <v>0</v>
      </c>
      <c r="J3680" s="8">
        <v>0</v>
      </c>
      <c r="K3680" s="9" t="str">
        <v/>
      </c>
    </row>
    <row r="3681" spans="1:11">
      <c r="A3681" t="str">
        <v/>
      </c>
      <c r="B3681" s="6">
        <v>0</v>
      </c>
      <c r="C3681" s="7" t="str">
        <v>趣点购浦发</v>
      </c>
      <c r="D3681" s="8">
        <v>0</v>
      </c>
      <c r="E3681" s="7">
        <v>0</v>
      </c>
      <c r="F3681" s="8">
        <v>0</v>
      </c>
      <c r="G3681" s="7">
        <v>0</v>
      </c>
      <c r="H3681" s="7">
        <v>81211.819999998</v>
      </c>
      <c r="I3681" s="7">
        <v>0</v>
      </c>
      <c r="J3681" s="8">
        <v>0</v>
      </c>
      <c r="K3681" s="9" t="str">
        <v/>
      </c>
    </row>
    <row r="3682" spans="1:11">
      <c r="A3682" t="str">
        <v/>
      </c>
      <c r="B3682" s="6">
        <v>0</v>
      </c>
      <c r="C3682" s="7" t="str">
        <v>趣点购浦发</v>
      </c>
      <c r="D3682" s="8">
        <v>0</v>
      </c>
      <c r="E3682" s="7">
        <v>0</v>
      </c>
      <c r="F3682" s="8">
        <v>0</v>
      </c>
      <c r="G3682" s="7">
        <v>0</v>
      </c>
      <c r="H3682" s="7">
        <v>81211.819999998</v>
      </c>
      <c r="I3682" s="7">
        <v>0</v>
      </c>
      <c r="J3682" s="8">
        <v>0</v>
      </c>
      <c r="K3682" s="9" t="str">
        <v/>
      </c>
    </row>
    <row r="3683" spans="1:11">
      <c r="A3683" t="str">
        <v/>
      </c>
      <c r="B3683" s="6">
        <v>0</v>
      </c>
      <c r="C3683" s="7" t="str">
        <v>趣点购浦发</v>
      </c>
      <c r="D3683" s="8">
        <v>0</v>
      </c>
      <c r="E3683" s="7">
        <v>0</v>
      </c>
      <c r="F3683" s="8">
        <v>0</v>
      </c>
      <c r="G3683" s="7">
        <v>0</v>
      </c>
      <c r="H3683" s="7">
        <v>81211.819999998</v>
      </c>
      <c r="I3683" s="7">
        <v>0</v>
      </c>
      <c r="J3683" s="8">
        <v>0</v>
      </c>
      <c r="K3683" s="9" t="str">
        <v/>
      </c>
    </row>
    <row r="3684" spans="1:11">
      <c r="A3684" t="str">
        <v/>
      </c>
      <c r="B3684" s="6">
        <v>0</v>
      </c>
      <c r="C3684" s="7" t="str">
        <v>趣点购浦发</v>
      </c>
      <c r="D3684" s="8">
        <v>0</v>
      </c>
      <c r="E3684" s="7">
        <v>0</v>
      </c>
      <c r="F3684" s="8">
        <v>0</v>
      </c>
      <c r="G3684" s="7">
        <v>0</v>
      </c>
      <c r="H3684" s="7">
        <v>81211.819999998</v>
      </c>
      <c r="I3684" s="7">
        <v>0</v>
      </c>
      <c r="J3684" s="8">
        <v>0</v>
      </c>
      <c r="K3684" s="9" t="str">
        <v/>
      </c>
    </row>
    <row r="3685" spans="1:11">
      <c r="A3685" t="str">
        <v/>
      </c>
      <c r="B3685" s="6">
        <v>0</v>
      </c>
      <c r="C3685" s="7" t="str">
        <v>趣点购浦发</v>
      </c>
      <c r="D3685" s="8">
        <v>0</v>
      </c>
      <c r="E3685" s="7">
        <v>0</v>
      </c>
      <c r="F3685" s="8">
        <v>0</v>
      </c>
      <c r="G3685" s="7">
        <v>0</v>
      </c>
      <c r="H3685" s="7">
        <v>81211.819999998</v>
      </c>
      <c r="I3685" s="7">
        <v>0</v>
      </c>
      <c r="J3685" s="8">
        <v>0</v>
      </c>
      <c r="K3685" s="9" t="str">
        <v/>
      </c>
    </row>
    <row r="3686" spans="1:11">
      <c r="A3686" t="str">
        <v/>
      </c>
      <c r="B3686" s="6">
        <v>0</v>
      </c>
      <c r="C3686" s="7" t="str">
        <v>趣点购浦发</v>
      </c>
      <c r="D3686" s="8">
        <v>0</v>
      </c>
      <c r="E3686" s="7">
        <v>0</v>
      </c>
      <c r="F3686" s="8">
        <v>0</v>
      </c>
      <c r="G3686" s="7">
        <v>0</v>
      </c>
      <c r="H3686" s="7">
        <v>81211.819999998</v>
      </c>
      <c r="I3686" s="7">
        <v>0</v>
      </c>
      <c r="J3686" s="8">
        <v>0</v>
      </c>
      <c r="K3686" s="9" t="str">
        <v/>
      </c>
    </row>
    <row r="3687" spans="1:11">
      <c r="A3687" t="str">
        <v/>
      </c>
      <c r="B3687" s="6">
        <v>0</v>
      </c>
      <c r="C3687" s="7" t="str">
        <v>趣点购浦发</v>
      </c>
      <c r="D3687" s="8">
        <v>0</v>
      </c>
      <c r="E3687" s="7">
        <v>0</v>
      </c>
      <c r="F3687" s="8">
        <v>0</v>
      </c>
      <c r="G3687" s="7">
        <v>0</v>
      </c>
      <c r="H3687" s="7">
        <v>81211.819999998</v>
      </c>
      <c r="I3687" s="7">
        <v>0</v>
      </c>
      <c r="J3687" s="8">
        <v>0</v>
      </c>
      <c r="K3687" s="9" t="str">
        <v/>
      </c>
    </row>
    <row r="3688" spans="1:11">
      <c r="A3688" t="str">
        <v/>
      </c>
      <c r="B3688" s="6">
        <v>0</v>
      </c>
      <c r="C3688" s="7" t="str">
        <v>趣点购浦发</v>
      </c>
      <c r="D3688" s="8">
        <v>0</v>
      </c>
      <c r="E3688" s="7">
        <v>0</v>
      </c>
      <c r="F3688" s="8">
        <v>0</v>
      </c>
      <c r="G3688" s="7">
        <v>0</v>
      </c>
      <c r="H3688" s="7">
        <v>81211.819999998</v>
      </c>
      <c r="I3688" s="7">
        <v>0</v>
      </c>
      <c r="J3688" s="8">
        <v>0</v>
      </c>
      <c r="K3688" s="9" t="str">
        <v/>
      </c>
    </row>
    <row r="3689" spans="1:11">
      <c r="A3689" t="str">
        <v/>
      </c>
      <c r="B3689" s="6">
        <v>0</v>
      </c>
      <c r="C3689" s="7" t="str">
        <v>趣点购浦发</v>
      </c>
      <c r="D3689" s="8">
        <v>0</v>
      </c>
      <c r="E3689" s="7">
        <v>0</v>
      </c>
      <c r="F3689" s="8">
        <v>0</v>
      </c>
      <c r="G3689" s="7">
        <v>0</v>
      </c>
      <c r="H3689" s="7">
        <v>81211.819999998</v>
      </c>
      <c r="I3689" s="7">
        <v>0</v>
      </c>
      <c r="J3689" s="8">
        <v>0</v>
      </c>
      <c r="K3689" s="9" t="str">
        <v/>
      </c>
    </row>
    <row r="3690" spans="1:11">
      <c r="A3690" t="str">
        <v/>
      </c>
      <c r="B3690" s="6">
        <v>0</v>
      </c>
      <c r="C3690" s="7" t="str">
        <v>趣点购浦发</v>
      </c>
      <c r="D3690" s="8">
        <v>0</v>
      </c>
      <c r="E3690" s="7">
        <v>0</v>
      </c>
      <c r="F3690" s="8">
        <v>0</v>
      </c>
      <c r="G3690" s="7">
        <v>0</v>
      </c>
      <c r="H3690" s="7">
        <v>81211.819999998</v>
      </c>
      <c r="I3690" s="7">
        <v>0</v>
      </c>
      <c r="J3690" s="8">
        <v>0</v>
      </c>
      <c r="K3690" s="9" t="str">
        <v/>
      </c>
    </row>
    <row r="3691" spans="1:11">
      <c r="A3691" t="str">
        <v/>
      </c>
      <c r="B3691" s="6">
        <v>0</v>
      </c>
      <c r="C3691" s="7" t="str">
        <v>趣点购浦发</v>
      </c>
      <c r="D3691" s="8">
        <v>0</v>
      </c>
      <c r="E3691" s="7">
        <v>0</v>
      </c>
      <c r="F3691" s="8">
        <v>0</v>
      </c>
      <c r="G3691" s="7">
        <v>0</v>
      </c>
      <c r="H3691" s="7">
        <v>81211.819999998</v>
      </c>
      <c r="I3691" s="7">
        <v>0</v>
      </c>
      <c r="J3691" s="8">
        <v>0</v>
      </c>
      <c r="K3691" s="9" t="str">
        <v/>
      </c>
    </row>
    <row r="3692" spans="1:11">
      <c r="A3692" t="str">
        <v/>
      </c>
      <c r="B3692" s="6">
        <v>0</v>
      </c>
      <c r="C3692" s="7" t="str">
        <v>趣点购浦发</v>
      </c>
      <c r="D3692" s="8">
        <v>0</v>
      </c>
      <c r="E3692" s="7">
        <v>0</v>
      </c>
      <c r="F3692" s="8">
        <v>0</v>
      </c>
      <c r="G3692" s="7">
        <v>0</v>
      </c>
      <c r="H3692" s="7">
        <v>81211.819999998</v>
      </c>
      <c r="I3692" s="7">
        <v>0</v>
      </c>
      <c r="J3692" s="8">
        <v>0</v>
      </c>
      <c r="K3692" s="9" t="str">
        <v/>
      </c>
    </row>
    <row r="3693" spans="1:11">
      <c r="A3693" t="str">
        <v/>
      </c>
      <c r="B3693" s="6">
        <v>0</v>
      </c>
      <c r="C3693" s="7" t="str">
        <v>趣点购浦发</v>
      </c>
      <c r="D3693" s="8">
        <v>0</v>
      </c>
      <c r="E3693" s="7">
        <v>0</v>
      </c>
      <c r="F3693" s="8">
        <v>0</v>
      </c>
      <c r="G3693" s="7">
        <v>0</v>
      </c>
      <c r="H3693" s="7">
        <v>81211.819999998</v>
      </c>
      <c r="I3693" s="7">
        <v>0</v>
      </c>
      <c r="J3693" s="8">
        <v>0</v>
      </c>
      <c r="K3693" s="9" t="str">
        <v/>
      </c>
    </row>
    <row r="3694" spans="1:11">
      <c r="A3694" t="str">
        <v/>
      </c>
      <c r="B3694" s="6">
        <v>0</v>
      </c>
      <c r="C3694" s="7" t="str">
        <v>趣点购浦发</v>
      </c>
      <c r="D3694" s="8">
        <v>0</v>
      </c>
      <c r="E3694" s="7">
        <v>0</v>
      </c>
      <c r="F3694" s="8">
        <v>0</v>
      </c>
      <c r="G3694" s="7">
        <v>0</v>
      </c>
      <c r="H3694" s="7">
        <v>81211.819999998</v>
      </c>
      <c r="I3694" s="7">
        <v>0</v>
      </c>
      <c r="J3694" s="8">
        <v>0</v>
      </c>
      <c r="K3694" s="9" t="str">
        <v/>
      </c>
    </row>
    <row r="3695" spans="1:11">
      <c r="A3695" t="str">
        <v/>
      </c>
      <c r="B3695" s="6">
        <v>0</v>
      </c>
      <c r="C3695" s="7" t="str">
        <v>趣点购浦发</v>
      </c>
      <c r="D3695" s="8">
        <v>0</v>
      </c>
      <c r="E3695" s="7">
        <v>0</v>
      </c>
      <c r="F3695" s="8">
        <v>0</v>
      </c>
      <c r="G3695" s="7">
        <v>0</v>
      </c>
      <c r="H3695" s="7">
        <v>81211.819999998</v>
      </c>
      <c r="I3695" s="7">
        <v>0</v>
      </c>
      <c r="J3695" s="8">
        <v>0</v>
      </c>
      <c r="K3695" s="9" t="str">
        <v/>
      </c>
    </row>
    <row r="3696" spans="1:11">
      <c r="A3696" t="str">
        <v/>
      </c>
      <c r="B3696" s="6">
        <v>0</v>
      </c>
      <c r="C3696" s="7" t="str">
        <v>趣点购浦发</v>
      </c>
      <c r="D3696" s="8">
        <v>0</v>
      </c>
      <c r="E3696" s="7">
        <v>0</v>
      </c>
      <c r="F3696" s="8">
        <v>0</v>
      </c>
      <c r="G3696" s="7">
        <v>0</v>
      </c>
      <c r="H3696" s="7">
        <v>81211.819999998</v>
      </c>
      <c r="I3696" s="7">
        <v>0</v>
      </c>
      <c r="J3696" s="8">
        <v>0</v>
      </c>
      <c r="K3696" s="9" t="str">
        <v/>
      </c>
    </row>
    <row r="3697" spans="1:11">
      <c r="A3697" t="str">
        <v/>
      </c>
      <c r="B3697" s="6">
        <v>0</v>
      </c>
      <c r="C3697" s="7" t="str">
        <v>趣点购浦发</v>
      </c>
      <c r="D3697" s="8">
        <v>0</v>
      </c>
      <c r="E3697" s="7">
        <v>0</v>
      </c>
      <c r="F3697" s="8">
        <v>0</v>
      </c>
      <c r="G3697" s="7">
        <v>0</v>
      </c>
      <c r="H3697" s="7">
        <v>81211.819999998</v>
      </c>
      <c r="I3697" s="7">
        <v>0</v>
      </c>
      <c r="J3697" s="8">
        <v>0</v>
      </c>
      <c r="K3697" s="9" t="str">
        <v/>
      </c>
    </row>
    <row r="3698" spans="1:11">
      <c r="A3698" t="str">
        <v/>
      </c>
      <c r="B3698" s="6">
        <v>0</v>
      </c>
      <c r="C3698" s="7" t="str">
        <v>趣点购浦发</v>
      </c>
      <c r="D3698" s="8">
        <v>0</v>
      </c>
      <c r="E3698" s="7">
        <v>0</v>
      </c>
      <c r="F3698" s="8">
        <v>0</v>
      </c>
      <c r="G3698" s="7">
        <v>0</v>
      </c>
      <c r="H3698" s="7">
        <v>81211.819999998</v>
      </c>
      <c r="I3698" s="7">
        <v>0</v>
      </c>
      <c r="J3698" s="8">
        <v>0</v>
      </c>
      <c r="K3698" s="9" t="str">
        <v/>
      </c>
    </row>
    <row r="3699" spans="1:11">
      <c r="A3699" t="str">
        <v/>
      </c>
      <c r="B3699" s="6">
        <v>0</v>
      </c>
      <c r="C3699" s="7" t="str">
        <v>趣点购浦发</v>
      </c>
      <c r="D3699" s="8">
        <v>0</v>
      </c>
      <c r="E3699" s="7">
        <v>0</v>
      </c>
      <c r="F3699" s="8">
        <v>0</v>
      </c>
      <c r="G3699" s="7">
        <v>0</v>
      </c>
      <c r="H3699" s="7">
        <v>81211.819999998</v>
      </c>
      <c r="I3699" s="7">
        <v>0</v>
      </c>
      <c r="J3699" s="8">
        <v>0</v>
      </c>
      <c r="K3699" s="9" t="str">
        <v/>
      </c>
    </row>
    <row r="3700" spans="1:11">
      <c r="A3700" t="str">
        <v/>
      </c>
      <c r="B3700" s="6">
        <v>0</v>
      </c>
      <c r="C3700" s="7" t="str">
        <v>趣点购浦发</v>
      </c>
      <c r="D3700" s="8">
        <v>0</v>
      </c>
      <c r="E3700" s="7">
        <v>0</v>
      </c>
      <c r="F3700" s="8">
        <v>0</v>
      </c>
      <c r="G3700" s="7">
        <v>0</v>
      </c>
      <c r="H3700" s="7">
        <v>81211.819999998</v>
      </c>
      <c r="I3700" s="7">
        <v>0</v>
      </c>
      <c r="J3700" s="8">
        <v>0</v>
      </c>
      <c r="K3700" s="9" t="str">
        <v/>
      </c>
    </row>
    <row r="3701" spans="1:11">
      <c r="A3701" t="str">
        <v/>
      </c>
      <c r="B3701" s="6">
        <v>0</v>
      </c>
      <c r="C3701" s="7" t="str">
        <v>趣点购浦发</v>
      </c>
      <c r="D3701" s="8">
        <v>0</v>
      </c>
      <c r="E3701" s="7">
        <v>0</v>
      </c>
      <c r="F3701" s="8">
        <v>0</v>
      </c>
      <c r="G3701" s="7">
        <v>0</v>
      </c>
      <c r="H3701" s="7">
        <v>81211.819999998</v>
      </c>
      <c r="I3701" s="7">
        <v>0</v>
      </c>
      <c r="J3701" s="8">
        <v>0</v>
      </c>
      <c r="K3701" s="9" t="str">
        <v/>
      </c>
    </row>
    <row r="3702" spans="1:11">
      <c r="A3702" t="str">
        <v/>
      </c>
      <c r="B3702" s="6">
        <v>0</v>
      </c>
      <c r="C3702" s="7" t="str">
        <v>趣点购浦发</v>
      </c>
      <c r="D3702" s="8">
        <v>0</v>
      </c>
      <c r="E3702" s="7">
        <v>0</v>
      </c>
      <c r="F3702" s="8">
        <v>0</v>
      </c>
      <c r="G3702" s="7">
        <v>0</v>
      </c>
      <c r="H3702" s="7">
        <v>81211.819999998</v>
      </c>
      <c r="I3702" s="7">
        <v>0</v>
      </c>
      <c r="J3702" s="8">
        <v>0</v>
      </c>
      <c r="K3702" s="9" t="str">
        <v/>
      </c>
    </row>
    <row r="3703" spans="1:11">
      <c r="A3703" t="str">
        <v/>
      </c>
      <c r="B3703" s="6">
        <v>0</v>
      </c>
      <c r="C3703" s="7" t="str">
        <v>趣点购浦发</v>
      </c>
      <c r="D3703" s="8">
        <v>0</v>
      </c>
      <c r="E3703" s="7">
        <v>0</v>
      </c>
      <c r="F3703" s="8">
        <v>0</v>
      </c>
      <c r="G3703" s="7">
        <v>0</v>
      </c>
      <c r="H3703" s="7">
        <v>81211.819999998</v>
      </c>
      <c r="I3703" s="7">
        <v>0</v>
      </c>
      <c r="J3703" s="8">
        <v>0</v>
      </c>
      <c r="K3703" s="9" t="str">
        <v/>
      </c>
    </row>
    <row r="3704" spans="1:11">
      <c r="A3704" t="str">
        <v/>
      </c>
      <c r="B3704" s="6">
        <v>0</v>
      </c>
      <c r="C3704" s="7" t="str">
        <v>趣点购浦发</v>
      </c>
      <c r="D3704" s="8">
        <v>0</v>
      </c>
      <c r="E3704" s="7">
        <v>0</v>
      </c>
      <c r="F3704" s="8">
        <v>0</v>
      </c>
      <c r="G3704" s="7">
        <v>0</v>
      </c>
      <c r="H3704" s="7">
        <v>81211.819999998</v>
      </c>
      <c r="I3704" s="7">
        <v>0</v>
      </c>
      <c r="J3704" s="8">
        <v>0</v>
      </c>
      <c r="K3704" s="9" t="str">
        <v/>
      </c>
    </row>
    <row r="3705" spans="1:11">
      <c r="A3705" t="str">
        <v/>
      </c>
      <c r="B3705" s="6">
        <v>0</v>
      </c>
      <c r="C3705" s="7" t="str">
        <v>趣点购浦发</v>
      </c>
      <c r="D3705" s="8">
        <v>0</v>
      </c>
      <c r="E3705" s="7">
        <v>0</v>
      </c>
      <c r="F3705" s="8">
        <v>0</v>
      </c>
      <c r="G3705" s="7">
        <v>0</v>
      </c>
      <c r="H3705" s="7">
        <v>81211.819999998</v>
      </c>
      <c r="I3705" s="7">
        <v>0</v>
      </c>
      <c r="J3705" s="8">
        <v>0</v>
      </c>
      <c r="K3705" s="9" t="str">
        <v/>
      </c>
    </row>
    <row r="3706" spans="1:11">
      <c r="A3706" t="str">
        <v/>
      </c>
      <c r="B3706" s="6">
        <v>0</v>
      </c>
      <c r="C3706" s="7" t="str">
        <v>趣点购浦发</v>
      </c>
      <c r="D3706" s="8">
        <v>0</v>
      </c>
      <c r="E3706" s="7">
        <v>0</v>
      </c>
      <c r="F3706" s="8">
        <v>0</v>
      </c>
      <c r="G3706" s="7">
        <v>0</v>
      </c>
      <c r="H3706" s="7">
        <v>81211.819999998</v>
      </c>
      <c r="I3706" s="7">
        <v>0</v>
      </c>
      <c r="J3706" s="8">
        <v>0</v>
      </c>
      <c r="K3706" s="9" t="str">
        <v/>
      </c>
    </row>
    <row r="3707" spans="1:11">
      <c r="A3707" t="str">
        <v/>
      </c>
      <c r="B3707" s="6">
        <v>0</v>
      </c>
      <c r="C3707" s="7" t="str">
        <v>趣点购浦发</v>
      </c>
      <c r="D3707" s="8">
        <v>0</v>
      </c>
      <c r="E3707" s="7">
        <v>0</v>
      </c>
      <c r="F3707" s="8">
        <v>0</v>
      </c>
      <c r="G3707" s="7">
        <v>0</v>
      </c>
      <c r="H3707" s="7">
        <v>81211.819999998</v>
      </c>
      <c r="I3707" s="7">
        <v>0</v>
      </c>
      <c r="J3707" s="8">
        <v>0</v>
      </c>
      <c r="K3707" s="9" t="str">
        <v/>
      </c>
    </row>
    <row r="3708" spans="1:11">
      <c r="A3708" t="str">
        <v/>
      </c>
      <c r="B3708" s="6">
        <v>0</v>
      </c>
      <c r="C3708" s="7" t="str">
        <v>趣点购浦发</v>
      </c>
      <c r="D3708" s="8">
        <v>0</v>
      </c>
      <c r="E3708" s="7">
        <v>0</v>
      </c>
      <c r="F3708" s="8">
        <v>0</v>
      </c>
      <c r="G3708" s="7">
        <v>0</v>
      </c>
      <c r="H3708" s="7">
        <v>81211.819999998</v>
      </c>
      <c r="I3708" s="7">
        <v>0</v>
      </c>
      <c r="J3708" s="8">
        <v>0</v>
      </c>
      <c r="K3708" s="9" t="str">
        <v/>
      </c>
    </row>
    <row r="3709" spans="1:11">
      <c r="A3709" t="str">
        <v/>
      </c>
      <c r="B3709" s="6">
        <v>0</v>
      </c>
      <c r="C3709" s="7" t="str">
        <v>趣点购浦发</v>
      </c>
      <c r="D3709" s="8">
        <v>0</v>
      </c>
      <c r="E3709" s="7">
        <v>0</v>
      </c>
      <c r="F3709" s="8">
        <v>0</v>
      </c>
      <c r="G3709" s="7">
        <v>0</v>
      </c>
      <c r="H3709" s="7">
        <v>81211.819999998</v>
      </c>
      <c r="I3709" s="7">
        <v>0</v>
      </c>
      <c r="J3709" s="8">
        <v>0</v>
      </c>
      <c r="K3709" s="9" t="str">
        <v/>
      </c>
    </row>
    <row r="3710" spans="1:11">
      <c r="A3710" t="str">
        <v/>
      </c>
      <c r="B3710" s="6">
        <v>0</v>
      </c>
      <c r="C3710" s="7" t="str">
        <v>趣点购浦发</v>
      </c>
      <c r="D3710" s="8">
        <v>0</v>
      </c>
      <c r="E3710" s="7">
        <v>0</v>
      </c>
      <c r="F3710" s="8">
        <v>0</v>
      </c>
      <c r="G3710" s="7">
        <v>0</v>
      </c>
      <c r="H3710" s="7">
        <v>81211.819999998</v>
      </c>
      <c r="I3710" s="7">
        <v>0</v>
      </c>
      <c r="J3710" s="8">
        <v>0</v>
      </c>
      <c r="K3710" s="9" t="str">
        <v/>
      </c>
    </row>
    <row r="3711" spans="1:11">
      <c r="A3711" t="str">
        <v/>
      </c>
      <c r="B3711" s="6">
        <v>0</v>
      </c>
      <c r="C3711" s="7" t="str">
        <v>趣点购浦发</v>
      </c>
      <c r="D3711" s="8">
        <v>0</v>
      </c>
      <c r="E3711" s="7">
        <v>0</v>
      </c>
      <c r="F3711" s="8">
        <v>0</v>
      </c>
      <c r="G3711" s="7">
        <v>0</v>
      </c>
      <c r="H3711" s="7">
        <v>81211.819999998</v>
      </c>
      <c r="I3711" s="7">
        <v>0</v>
      </c>
      <c r="J3711" s="8">
        <v>0</v>
      </c>
      <c r="K3711" s="9" t="str">
        <v/>
      </c>
    </row>
    <row r="3712" spans="1:11">
      <c r="A3712" t="str">
        <v/>
      </c>
      <c r="B3712" s="6">
        <v>0</v>
      </c>
      <c r="C3712" s="7" t="str">
        <v>趣点购浦发</v>
      </c>
      <c r="D3712" s="8">
        <v>0</v>
      </c>
      <c r="E3712" s="7">
        <v>0</v>
      </c>
      <c r="F3712" s="8">
        <v>0</v>
      </c>
      <c r="G3712" s="7">
        <v>0</v>
      </c>
      <c r="H3712" s="7">
        <v>81211.819999998</v>
      </c>
      <c r="I3712" s="7">
        <v>0</v>
      </c>
      <c r="J3712" s="8">
        <v>0</v>
      </c>
      <c r="K3712" s="9" t="str">
        <v/>
      </c>
    </row>
    <row r="3713" spans="1:11">
      <c r="A3713" t="str">
        <v/>
      </c>
      <c r="B3713" s="6">
        <v>0</v>
      </c>
      <c r="C3713" s="7" t="str">
        <v>趣点购浦发</v>
      </c>
      <c r="D3713" s="8">
        <v>0</v>
      </c>
      <c r="E3713" s="7">
        <v>0</v>
      </c>
      <c r="F3713" s="8">
        <v>0</v>
      </c>
      <c r="G3713" s="7">
        <v>0</v>
      </c>
      <c r="H3713" s="7">
        <v>81211.819999998</v>
      </c>
      <c r="I3713" s="7">
        <v>0</v>
      </c>
      <c r="J3713" s="8">
        <v>0</v>
      </c>
      <c r="K3713" s="9" t="str">
        <v/>
      </c>
    </row>
    <row r="3714" spans="1:11">
      <c r="A3714" t="str">
        <v/>
      </c>
      <c r="B3714" s="6">
        <v>0</v>
      </c>
      <c r="C3714" s="7" t="str">
        <v>趣点购浦发</v>
      </c>
      <c r="D3714" s="8">
        <v>0</v>
      </c>
      <c r="E3714" s="7">
        <v>0</v>
      </c>
      <c r="F3714" s="8">
        <v>0</v>
      </c>
      <c r="G3714" s="7">
        <v>0</v>
      </c>
      <c r="H3714" s="7">
        <v>81211.819999998</v>
      </c>
      <c r="I3714" s="7">
        <v>0</v>
      </c>
      <c r="J3714" s="8">
        <v>0</v>
      </c>
      <c r="K3714" s="9" t="str">
        <v/>
      </c>
    </row>
    <row r="3715" spans="1:11">
      <c r="A3715" t="str">
        <v/>
      </c>
      <c r="B3715" s="6">
        <v>0</v>
      </c>
      <c r="C3715" s="7" t="str">
        <v>趣点购浦发</v>
      </c>
      <c r="D3715" s="8">
        <v>0</v>
      </c>
      <c r="E3715" s="7">
        <v>0</v>
      </c>
      <c r="F3715" s="8">
        <v>0</v>
      </c>
      <c r="G3715" s="7">
        <v>0</v>
      </c>
      <c r="H3715" s="7">
        <v>81211.819999998</v>
      </c>
      <c r="I3715" s="7">
        <v>0</v>
      </c>
      <c r="J3715" s="8">
        <v>0</v>
      </c>
      <c r="K3715" s="9" t="str">
        <v/>
      </c>
    </row>
    <row r="3716" spans="1:11">
      <c r="A3716" t="str">
        <v/>
      </c>
      <c r="B3716" s="6">
        <v>0</v>
      </c>
      <c r="C3716" s="7" t="str">
        <v>趣点购浦发</v>
      </c>
      <c r="D3716" s="8">
        <v>0</v>
      </c>
      <c r="E3716" s="7">
        <v>0</v>
      </c>
      <c r="F3716" s="8">
        <v>0</v>
      </c>
      <c r="G3716" s="7">
        <v>0</v>
      </c>
      <c r="H3716" s="7">
        <v>81211.819999998</v>
      </c>
      <c r="I3716" s="7">
        <v>0</v>
      </c>
      <c r="J3716" s="8">
        <v>0</v>
      </c>
      <c r="K3716" s="9" t="str">
        <v/>
      </c>
    </row>
    <row r="3717" spans="1:11">
      <c r="A3717" t="str">
        <v/>
      </c>
      <c r="B3717" s="6">
        <v>0</v>
      </c>
      <c r="C3717" s="7" t="str">
        <v>趣点购浦发</v>
      </c>
      <c r="D3717" s="8">
        <v>0</v>
      </c>
      <c r="E3717" s="7">
        <v>0</v>
      </c>
      <c r="F3717" s="8">
        <v>0</v>
      </c>
      <c r="G3717" s="7">
        <v>0</v>
      </c>
      <c r="H3717" s="7">
        <v>81211.819999998</v>
      </c>
      <c r="I3717" s="7">
        <v>0</v>
      </c>
      <c r="J3717" s="8">
        <v>0</v>
      </c>
      <c r="K3717" s="9" t="str">
        <v/>
      </c>
    </row>
    <row r="3718" spans="1:11">
      <c r="A3718" t="str">
        <v/>
      </c>
      <c r="B3718" s="6">
        <v>0</v>
      </c>
      <c r="C3718" s="7" t="str">
        <v>趣点购浦发</v>
      </c>
      <c r="D3718" s="8">
        <v>0</v>
      </c>
      <c r="E3718" s="7">
        <v>0</v>
      </c>
      <c r="F3718" s="8">
        <v>0</v>
      </c>
      <c r="G3718" s="7">
        <v>0</v>
      </c>
      <c r="H3718" s="7">
        <v>81211.819999998</v>
      </c>
      <c r="I3718" s="7">
        <v>0</v>
      </c>
      <c r="J3718" s="8">
        <v>0</v>
      </c>
      <c r="K3718" s="9" t="str">
        <v/>
      </c>
    </row>
    <row r="3719" spans="1:11">
      <c r="A3719" t="str">
        <v/>
      </c>
      <c r="B3719" s="6">
        <v>0</v>
      </c>
      <c r="C3719" s="7" t="str">
        <v>趣点购浦发</v>
      </c>
      <c r="D3719" s="8">
        <v>0</v>
      </c>
      <c r="E3719" s="7">
        <v>0</v>
      </c>
      <c r="F3719" s="8">
        <v>0</v>
      </c>
      <c r="G3719" s="7">
        <v>0</v>
      </c>
      <c r="H3719" s="7">
        <v>81211.819999998</v>
      </c>
      <c r="I3719" s="7">
        <v>0</v>
      </c>
      <c r="J3719" s="8">
        <v>0</v>
      </c>
      <c r="K3719" s="9" t="str">
        <v/>
      </c>
    </row>
    <row r="3720" spans="1:11">
      <c r="A3720" t="str">
        <v/>
      </c>
      <c r="B3720" s="6">
        <v>0</v>
      </c>
      <c r="C3720" s="7" t="str">
        <v>趣点购浦发</v>
      </c>
      <c r="D3720" s="8">
        <v>0</v>
      </c>
      <c r="E3720" s="7">
        <v>0</v>
      </c>
      <c r="F3720" s="8">
        <v>0</v>
      </c>
      <c r="G3720" s="7">
        <v>0</v>
      </c>
      <c r="H3720" s="7">
        <v>81211.819999998</v>
      </c>
      <c r="I3720" s="7">
        <v>0</v>
      </c>
      <c r="J3720" s="8">
        <v>0</v>
      </c>
      <c r="K3720" s="9" t="str">
        <v/>
      </c>
    </row>
    <row r="3721" spans="1:11">
      <c r="A3721" t="str">
        <v/>
      </c>
      <c r="B3721" s="6">
        <v>0</v>
      </c>
      <c r="C3721" s="7" t="str">
        <v>趣点购浦发</v>
      </c>
      <c r="D3721" s="8">
        <v>0</v>
      </c>
      <c r="E3721" s="7">
        <v>0</v>
      </c>
      <c r="F3721" s="8">
        <v>0</v>
      </c>
      <c r="G3721" s="7">
        <v>0</v>
      </c>
      <c r="H3721" s="7">
        <v>81211.819999998</v>
      </c>
      <c r="I3721" s="7">
        <v>0</v>
      </c>
      <c r="J3721" s="8">
        <v>0</v>
      </c>
      <c r="K3721" s="9" t="str">
        <v/>
      </c>
    </row>
    <row r="3722" spans="1:11">
      <c r="A3722" t="str">
        <v/>
      </c>
      <c r="B3722" s="6">
        <v>0</v>
      </c>
      <c r="C3722" s="7" t="str">
        <v>趣点购浦发</v>
      </c>
      <c r="D3722" s="8">
        <v>0</v>
      </c>
      <c r="E3722" s="7">
        <v>0</v>
      </c>
      <c r="F3722" s="8">
        <v>0</v>
      </c>
      <c r="G3722" s="7">
        <v>0</v>
      </c>
      <c r="H3722" s="7">
        <v>81211.819999998</v>
      </c>
      <c r="I3722" s="7">
        <v>0</v>
      </c>
      <c r="J3722" s="8">
        <v>0</v>
      </c>
      <c r="K3722" s="9" t="str">
        <v/>
      </c>
    </row>
    <row r="3723" spans="1:11">
      <c r="A3723" t="str">
        <v/>
      </c>
      <c r="B3723" s="6">
        <v>0</v>
      </c>
      <c r="C3723" s="7" t="str">
        <v>趣点购浦发</v>
      </c>
      <c r="D3723" s="8">
        <v>0</v>
      </c>
      <c r="E3723" s="7">
        <v>0</v>
      </c>
      <c r="F3723" s="8">
        <v>0</v>
      </c>
      <c r="G3723" s="7">
        <v>0</v>
      </c>
      <c r="H3723" s="7">
        <v>81211.819999998</v>
      </c>
      <c r="I3723" s="7">
        <v>0</v>
      </c>
      <c r="J3723" s="8">
        <v>0</v>
      </c>
      <c r="K3723" s="9" t="str">
        <v/>
      </c>
    </row>
    <row r="3724" spans="1:11">
      <c r="A3724" t="str">
        <v/>
      </c>
      <c r="B3724" s="6">
        <v>0</v>
      </c>
      <c r="C3724" s="7" t="str">
        <v>趣点购浦发</v>
      </c>
      <c r="D3724" s="8">
        <v>0</v>
      </c>
      <c r="E3724" s="7">
        <v>0</v>
      </c>
      <c r="F3724" s="8">
        <v>0</v>
      </c>
      <c r="G3724" s="7">
        <v>0</v>
      </c>
      <c r="H3724" s="7">
        <v>81211.819999998</v>
      </c>
      <c r="I3724" s="7">
        <v>0</v>
      </c>
      <c r="J3724" s="8">
        <v>0</v>
      </c>
      <c r="K3724" s="9" t="str">
        <v/>
      </c>
    </row>
    <row r="3725" spans="1:11">
      <c r="A3725" t="str">
        <v/>
      </c>
      <c r="B3725" s="6">
        <v>0</v>
      </c>
      <c r="C3725" s="7" t="str">
        <v>趣点购浦发</v>
      </c>
      <c r="D3725" s="8">
        <v>0</v>
      </c>
      <c r="E3725" s="7">
        <v>0</v>
      </c>
      <c r="F3725" s="8">
        <v>0</v>
      </c>
      <c r="G3725" s="7">
        <v>0</v>
      </c>
      <c r="H3725" s="7">
        <v>81211.819999998</v>
      </c>
      <c r="I3725" s="7">
        <v>0</v>
      </c>
      <c r="J3725" s="8">
        <v>0</v>
      </c>
      <c r="K3725" s="9" t="str">
        <v/>
      </c>
    </row>
    <row r="3726" spans="1:11">
      <c r="A3726" t="str">
        <v/>
      </c>
      <c r="B3726" s="6">
        <v>0</v>
      </c>
      <c r="C3726" s="7" t="str">
        <v>趣点购浦发</v>
      </c>
      <c r="D3726" s="8">
        <v>0</v>
      </c>
      <c r="E3726" s="7">
        <v>0</v>
      </c>
      <c r="F3726" s="8">
        <v>0</v>
      </c>
      <c r="G3726" s="7">
        <v>0</v>
      </c>
      <c r="H3726" s="7">
        <v>81211.819999998</v>
      </c>
      <c r="I3726" s="7">
        <v>0</v>
      </c>
      <c r="J3726" s="8">
        <v>0</v>
      </c>
      <c r="K3726" s="9" t="str">
        <v/>
      </c>
    </row>
    <row r="3727" spans="1:11">
      <c r="A3727" t="str">
        <v/>
      </c>
      <c r="B3727" s="6">
        <v>0</v>
      </c>
      <c r="C3727" s="7" t="str">
        <v>趣点购浦发</v>
      </c>
      <c r="D3727" s="8">
        <v>0</v>
      </c>
      <c r="E3727" s="7">
        <v>0</v>
      </c>
      <c r="F3727" s="8">
        <v>0</v>
      </c>
      <c r="G3727" s="7">
        <v>0</v>
      </c>
      <c r="H3727" s="7">
        <v>81211.819999998</v>
      </c>
      <c r="I3727" s="7">
        <v>0</v>
      </c>
      <c r="J3727" s="8">
        <v>0</v>
      </c>
      <c r="K3727" s="9" t="str">
        <v/>
      </c>
    </row>
    <row r="3728" spans="1:11">
      <c r="A3728" t="str">
        <v/>
      </c>
      <c r="B3728" s="6">
        <v>0</v>
      </c>
      <c r="C3728" s="7" t="str">
        <v>趣点购浦发</v>
      </c>
      <c r="D3728" s="8">
        <v>0</v>
      </c>
      <c r="E3728" s="7">
        <v>0</v>
      </c>
      <c r="F3728" s="8">
        <v>0</v>
      </c>
      <c r="G3728" s="7">
        <v>0</v>
      </c>
      <c r="H3728" s="7">
        <v>81211.819999998</v>
      </c>
      <c r="I3728" s="7">
        <v>0</v>
      </c>
      <c r="J3728" s="8">
        <v>0</v>
      </c>
      <c r="K3728" s="9" t="str">
        <v/>
      </c>
    </row>
    <row r="3729" spans="1:11">
      <c r="A3729" t="str">
        <v/>
      </c>
      <c r="B3729" s="6">
        <v>0</v>
      </c>
      <c r="C3729" s="7" t="str">
        <v>趣点购浦发</v>
      </c>
      <c r="D3729" s="8">
        <v>0</v>
      </c>
      <c r="E3729" s="7">
        <v>0</v>
      </c>
      <c r="F3729" s="8">
        <v>0</v>
      </c>
      <c r="G3729" s="7">
        <v>0</v>
      </c>
      <c r="H3729" s="7">
        <v>81211.819999998</v>
      </c>
      <c r="I3729" s="7">
        <v>0</v>
      </c>
      <c r="J3729" s="8">
        <v>0</v>
      </c>
      <c r="K3729" s="9" t="str">
        <v/>
      </c>
    </row>
    <row r="3730" spans="1:11">
      <c r="A3730" t="str">
        <v/>
      </c>
      <c r="B3730" s="6">
        <v>0</v>
      </c>
      <c r="C3730" s="7" t="str">
        <v>趣点购浦发</v>
      </c>
      <c r="D3730" s="8">
        <v>0</v>
      </c>
      <c r="E3730" s="7">
        <v>0</v>
      </c>
      <c r="F3730" s="8">
        <v>0</v>
      </c>
      <c r="G3730" s="7">
        <v>0</v>
      </c>
      <c r="H3730" s="7">
        <v>81211.819999998</v>
      </c>
      <c r="I3730" s="7">
        <v>0</v>
      </c>
      <c r="J3730" s="8">
        <v>0</v>
      </c>
      <c r="K3730" s="9" t="str">
        <v/>
      </c>
    </row>
    <row r="3731" spans="1:11">
      <c r="A3731" t="str">
        <v/>
      </c>
      <c r="B3731" s="6">
        <v>0</v>
      </c>
      <c r="C3731" s="7" t="str">
        <v>趣点购浦发</v>
      </c>
      <c r="D3731" s="8">
        <v>0</v>
      </c>
      <c r="E3731" s="7">
        <v>0</v>
      </c>
      <c r="F3731" s="8">
        <v>0</v>
      </c>
      <c r="G3731" s="7">
        <v>0</v>
      </c>
      <c r="H3731" s="7">
        <v>81211.819999998</v>
      </c>
      <c r="I3731" s="7">
        <v>0</v>
      </c>
      <c r="J3731" s="8">
        <v>0</v>
      </c>
      <c r="K3731" s="9" t="str">
        <v/>
      </c>
    </row>
    <row r="3732" spans="1:11">
      <c r="A3732" t="str">
        <v/>
      </c>
      <c r="B3732" s="6">
        <v>0</v>
      </c>
      <c r="C3732" s="7" t="str">
        <v>趣点购浦发</v>
      </c>
      <c r="D3732" s="8">
        <v>0</v>
      </c>
      <c r="E3732" s="7">
        <v>0</v>
      </c>
      <c r="F3732" s="8">
        <v>0</v>
      </c>
      <c r="G3732" s="7">
        <v>0</v>
      </c>
      <c r="H3732" s="7">
        <v>81211.819999998</v>
      </c>
      <c r="I3732" s="7">
        <v>0</v>
      </c>
      <c r="J3732" s="8">
        <v>0</v>
      </c>
      <c r="K3732" s="9" t="str">
        <v/>
      </c>
    </row>
    <row r="3733" spans="1:11">
      <c r="A3733" t="str">
        <v/>
      </c>
      <c r="B3733" s="6">
        <v>0</v>
      </c>
      <c r="C3733" s="7" t="str">
        <v>趣点购浦发</v>
      </c>
      <c r="D3733" s="8">
        <v>0</v>
      </c>
      <c r="E3733" s="7">
        <v>0</v>
      </c>
      <c r="F3733" s="8">
        <v>0</v>
      </c>
      <c r="G3733" s="7">
        <v>0</v>
      </c>
      <c r="H3733" s="7">
        <v>81211.819999998</v>
      </c>
      <c r="I3733" s="7">
        <v>0</v>
      </c>
      <c r="J3733" s="8">
        <v>0</v>
      </c>
      <c r="K3733" s="9" t="str">
        <v/>
      </c>
    </row>
    <row r="3734" spans="1:11">
      <c r="A3734" t="str">
        <v/>
      </c>
      <c r="B3734" s="6">
        <v>0</v>
      </c>
      <c r="C3734" s="7" t="str">
        <v>趣点购浦发</v>
      </c>
      <c r="D3734" s="8">
        <v>0</v>
      </c>
      <c r="E3734" s="7">
        <v>0</v>
      </c>
      <c r="F3734" s="8">
        <v>0</v>
      </c>
      <c r="G3734" s="7">
        <v>0</v>
      </c>
      <c r="H3734" s="7">
        <v>81211.819999998</v>
      </c>
      <c r="I3734" s="7">
        <v>0</v>
      </c>
      <c r="J3734" s="8">
        <v>0</v>
      </c>
      <c r="K3734" s="9" t="str">
        <v/>
      </c>
    </row>
    <row r="3735" spans="1:11">
      <c r="A3735" t="str">
        <v/>
      </c>
      <c r="B3735" s="6">
        <v>0</v>
      </c>
      <c r="C3735" s="7" t="str">
        <v>趣点购浦发</v>
      </c>
      <c r="D3735" s="8">
        <v>0</v>
      </c>
      <c r="E3735" s="7">
        <v>0</v>
      </c>
      <c r="F3735" s="8">
        <v>0</v>
      </c>
      <c r="G3735" s="7">
        <v>0</v>
      </c>
      <c r="H3735" s="7">
        <v>81211.819999998</v>
      </c>
      <c r="I3735" s="7">
        <v>0</v>
      </c>
      <c r="J3735" s="8">
        <v>0</v>
      </c>
      <c r="K3735" s="9" t="str">
        <v/>
      </c>
    </row>
    <row r="3736" spans="1:11">
      <c r="A3736" t="str">
        <v/>
      </c>
      <c r="B3736" s="6">
        <v>0</v>
      </c>
      <c r="C3736" s="7" t="str">
        <v>趣点购浦发</v>
      </c>
      <c r="D3736" s="8">
        <v>0</v>
      </c>
      <c r="E3736" s="7">
        <v>0</v>
      </c>
      <c r="F3736" s="8">
        <v>0</v>
      </c>
      <c r="G3736" s="7">
        <v>0</v>
      </c>
      <c r="H3736" s="7">
        <v>81211.819999998</v>
      </c>
      <c r="I3736" s="7">
        <v>0</v>
      </c>
      <c r="J3736" s="8">
        <v>0</v>
      </c>
      <c r="K3736" s="9" t="str">
        <v/>
      </c>
    </row>
    <row r="3737" spans="1:11">
      <c r="A3737" t="str">
        <v/>
      </c>
      <c r="B3737" s="6">
        <v>0</v>
      </c>
      <c r="C3737" s="7" t="str">
        <v>趣点购浦发</v>
      </c>
      <c r="D3737" s="8">
        <v>0</v>
      </c>
      <c r="E3737" s="7">
        <v>0</v>
      </c>
      <c r="F3737" s="8">
        <v>0</v>
      </c>
      <c r="G3737" s="7">
        <v>0</v>
      </c>
      <c r="H3737" s="7">
        <v>81211.819999998</v>
      </c>
      <c r="I3737" s="7">
        <v>0</v>
      </c>
      <c r="J3737" s="8">
        <v>0</v>
      </c>
      <c r="K3737" s="9" t="str">
        <v/>
      </c>
    </row>
    <row r="3738" spans="1:11">
      <c r="A3738" t="str">
        <v/>
      </c>
      <c r="B3738" s="6">
        <v>0</v>
      </c>
      <c r="C3738" s="7" t="str">
        <v>趣点购浦发</v>
      </c>
      <c r="D3738" s="8">
        <v>0</v>
      </c>
      <c r="E3738" s="7">
        <v>0</v>
      </c>
      <c r="F3738" s="8">
        <v>0</v>
      </c>
      <c r="G3738" s="7">
        <v>0</v>
      </c>
      <c r="H3738" s="7">
        <v>81211.819999998</v>
      </c>
      <c r="I3738" s="7">
        <v>0</v>
      </c>
      <c r="J3738" s="8">
        <v>0</v>
      </c>
      <c r="K3738" s="9" t="str">
        <v/>
      </c>
    </row>
    <row r="3739" spans="1:11">
      <c r="A3739" t="str">
        <v/>
      </c>
      <c r="B3739" s="6">
        <v>0</v>
      </c>
      <c r="C3739" s="7" t="str">
        <v>趣点购浦发</v>
      </c>
      <c r="D3739" s="8">
        <v>0</v>
      </c>
      <c r="E3739" s="7">
        <v>0</v>
      </c>
      <c r="F3739" s="8">
        <v>0</v>
      </c>
      <c r="G3739" s="7">
        <v>0</v>
      </c>
      <c r="H3739" s="7">
        <v>81211.819999998</v>
      </c>
      <c r="I3739" s="7">
        <v>0</v>
      </c>
      <c r="J3739" s="8">
        <v>0</v>
      </c>
      <c r="K3739" s="9" t="str">
        <v/>
      </c>
    </row>
    <row r="3740" spans="1:11">
      <c r="A3740" t="str">
        <v/>
      </c>
      <c r="B3740" s="6">
        <v>0</v>
      </c>
      <c r="C3740" s="7" t="str">
        <v>趣点购浦发</v>
      </c>
      <c r="D3740" s="8">
        <v>0</v>
      </c>
      <c r="E3740" s="7">
        <v>0</v>
      </c>
      <c r="F3740" s="8">
        <v>0</v>
      </c>
      <c r="G3740" s="7">
        <v>0</v>
      </c>
      <c r="H3740" s="7">
        <v>81211.819999998</v>
      </c>
      <c r="I3740" s="7">
        <v>0</v>
      </c>
      <c r="J3740" s="8">
        <v>0</v>
      </c>
      <c r="K3740" s="9" t="str">
        <v/>
      </c>
    </row>
    <row r="3741" spans="1:11">
      <c r="A3741" t="str">
        <v/>
      </c>
      <c r="B3741" s="6">
        <v>0</v>
      </c>
      <c r="C3741" s="7" t="str">
        <v>趣点购浦发</v>
      </c>
      <c r="D3741" s="8">
        <v>0</v>
      </c>
      <c r="E3741" s="7">
        <v>0</v>
      </c>
      <c r="F3741" s="8">
        <v>0</v>
      </c>
      <c r="G3741" s="7">
        <v>0</v>
      </c>
      <c r="H3741" s="7">
        <v>81211.819999998</v>
      </c>
      <c r="I3741" s="7">
        <v>0</v>
      </c>
      <c r="J3741" s="8">
        <v>0</v>
      </c>
      <c r="K3741" s="9" t="str">
        <v/>
      </c>
    </row>
    <row r="3742" spans="1:11">
      <c r="A3742" t="str">
        <v/>
      </c>
      <c r="B3742" s="6">
        <v>0</v>
      </c>
      <c r="C3742" s="7" t="str">
        <v>趣点购浦发</v>
      </c>
      <c r="D3742" s="8">
        <v>0</v>
      </c>
      <c r="E3742" s="7">
        <v>0</v>
      </c>
      <c r="F3742" s="8">
        <v>0</v>
      </c>
      <c r="G3742" s="7">
        <v>0</v>
      </c>
      <c r="H3742" s="7">
        <v>81211.819999998</v>
      </c>
      <c r="I3742" s="7">
        <v>0</v>
      </c>
      <c r="J3742" s="8">
        <v>0</v>
      </c>
      <c r="K3742" s="9" t="str">
        <v/>
      </c>
    </row>
    <row r="3743" spans="1:11">
      <c r="A3743" t="str">
        <v/>
      </c>
      <c r="B3743" s="6">
        <v>0</v>
      </c>
      <c r="C3743" s="7" t="str">
        <v>趣点购浦发</v>
      </c>
      <c r="D3743" s="8">
        <v>0</v>
      </c>
      <c r="E3743" s="7">
        <v>0</v>
      </c>
      <c r="F3743" s="8">
        <v>0</v>
      </c>
      <c r="G3743" s="7">
        <v>0</v>
      </c>
      <c r="H3743" s="7">
        <v>81211.819999998</v>
      </c>
      <c r="I3743" s="7">
        <v>0</v>
      </c>
      <c r="J3743" s="8">
        <v>0</v>
      </c>
      <c r="K3743" s="9" t="str">
        <v/>
      </c>
    </row>
    <row r="3744" spans="1:11">
      <c r="A3744" t="str">
        <v/>
      </c>
      <c r="B3744" s="6">
        <v>0</v>
      </c>
      <c r="C3744" s="7" t="str">
        <v>趣点购浦发</v>
      </c>
      <c r="D3744" s="8">
        <v>0</v>
      </c>
      <c r="E3744" s="7">
        <v>0</v>
      </c>
      <c r="F3744" s="8">
        <v>0</v>
      </c>
      <c r="G3744" s="7">
        <v>0</v>
      </c>
      <c r="H3744" s="7">
        <v>81211.819999998</v>
      </c>
      <c r="I3744" s="7">
        <v>0</v>
      </c>
      <c r="J3744" s="8">
        <v>0</v>
      </c>
      <c r="K3744" s="9" t="str">
        <v/>
      </c>
    </row>
    <row r="3745" spans="1:11">
      <c r="A3745" t="str">
        <v/>
      </c>
      <c r="B3745" s="6">
        <v>0</v>
      </c>
      <c r="C3745" s="7" t="str">
        <v>趣点购浦发</v>
      </c>
      <c r="D3745" s="8">
        <v>0</v>
      </c>
      <c r="E3745" s="7">
        <v>0</v>
      </c>
      <c r="F3745" s="8">
        <v>0</v>
      </c>
      <c r="G3745" s="7">
        <v>0</v>
      </c>
      <c r="H3745" s="7">
        <v>81211.819999998</v>
      </c>
      <c r="I3745" s="7">
        <v>0</v>
      </c>
      <c r="J3745" s="8">
        <v>0</v>
      </c>
      <c r="K3745" s="9" t="str">
        <v/>
      </c>
    </row>
    <row r="3746" spans="1:11">
      <c r="A3746" t="str">
        <v/>
      </c>
      <c r="B3746" s="6">
        <v>0</v>
      </c>
      <c r="C3746" s="7" t="str">
        <v>趣点购浦发</v>
      </c>
      <c r="D3746" s="8">
        <v>0</v>
      </c>
      <c r="E3746" s="7">
        <v>0</v>
      </c>
      <c r="F3746" s="8">
        <v>0</v>
      </c>
      <c r="G3746" s="7">
        <v>0</v>
      </c>
      <c r="H3746" s="7">
        <v>81211.819999998</v>
      </c>
      <c r="I3746" s="7">
        <v>0</v>
      </c>
      <c r="J3746" s="8">
        <v>0</v>
      </c>
      <c r="K3746" s="9" t="str">
        <v/>
      </c>
    </row>
    <row r="3747" spans="1:11">
      <c r="A3747" t="str">
        <v/>
      </c>
      <c r="B3747" s="6">
        <v>0</v>
      </c>
      <c r="C3747" s="7" t="str">
        <v>趣点购浦发</v>
      </c>
      <c r="D3747" s="8">
        <v>0</v>
      </c>
      <c r="E3747" s="7">
        <v>0</v>
      </c>
      <c r="F3747" s="8">
        <v>0</v>
      </c>
      <c r="G3747" s="7">
        <v>0</v>
      </c>
      <c r="H3747" s="7">
        <v>81211.819999998</v>
      </c>
      <c r="I3747" s="7">
        <v>0</v>
      </c>
      <c r="J3747" s="8">
        <v>0</v>
      </c>
      <c r="K3747" s="9" t="str">
        <v/>
      </c>
    </row>
    <row r="3748" spans="1:11">
      <c r="A3748" t="str">
        <v/>
      </c>
      <c r="B3748" s="6">
        <v>0</v>
      </c>
      <c r="C3748" s="7" t="str">
        <v>趣点购浦发</v>
      </c>
      <c r="D3748" s="8">
        <v>0</v>
      </c>
      <c r="E3748" s="7">
        <v>0</v>
      </c>
      <c r="F3748" s="8">
        <v>0</v>
      </c>
      <c r="G3748" s="7">
        <v>0</v>
      </c>
      <c r="H3748" s="7">
        <v>81211.819999998</v>
      </c>
      <c r="I3748" s="7">
        <v>0</v>
      </c>
      <c r="J3748" s="8">
        <v>0</v>
      </c>
      <c r="K3748" s="9" t="str">
        <v/>
      </c>
    </row>
    <row r="3749" spans="1:11">
      <c r="A3749" t="str">
        <v/>
      </c>
      <c r="B3749" s="6">
        <v>0</v>
      </c>
      <c r="C3749" s="7" t="str">
        <v>趣点购浦发</v>
      </c>
      <c r="D3749" s="8">
        <v>0</v>
      </c>
      <c r="E3749" s="7">
        <v>0</v>
      </c>
      <c r="F3749" s="8">
        <v>0</v>
      </c>
      <c r="G3749" s="7">
        <v>0</v>
      </c>
      <c r="H3749" s="7">
        <v>81211.819999998</v>
      </c>
      <c r="I3749" s="7">
        <v>0</v>
      </c>
      <c r="J3749" s="8">
        <v>0</v>
      </c>
      <c r="K3749" s="9" t="str">
        <v/>
      </c>
    </row>
    <row r="3750" spans="1:11">
      <c r="A3750" t="str">
        <v/>
      </c>
      <c r="B3750" s="6">
        <v>0</v>
      </c>
      <c r="C3750" s="7" t="str">
        <v>趣点购浦发</v>
      </c>
      <c r="D3750" s="8">
        <v>0</v>
      </c>
      <c r="E3750" s="7">
        <v>0</v>
      </c>
      <c r="F3750" s="8">
        <v>0</v>
      </c>
      <c r="G3750" s="7">
        <v>0</v>
      </c>
      <c r="H3750" s="7">
        <v>81211.819999998</v>
      </c>
      <c r="I3750" s="7">
        <v>0</v>
      </c>
      <c r="J3750" s="8">
        <v>0</v>
      </c>
      <c r="K3750" s="9" t="str">
        <v/>
      </c>
    </row>
    <row r="3751" spans="1:11">
      <c r="A3751" t="str">
        <v/>
      </c>
      <c r="B3751" s="6">
        <v>0</v>
      </c>
      <c r="C3751" s="7" t="str">
        <v>趣点购浦发</v>
      </c>
      <c r="D3751" s="8">
        <v>0</v>
      </c>
      <c r="E3751" s="7">
        <v>0</v>
      </c>
      <c r="F3751" s="8">
        <v>0</v>
      </c>
      <c r="G3751" s="7">
        <v>0</v>
      </c>
      <c r="H3751" s="7">
        <v>81211.819999998</v>
      </c>
      <c r="I3751" s="7">
        <v>0</v>
      </c>
      <c r="J3751" s="8">
        <v>0</v>
      </c>
      <c r="K3751" s="9" t="str">
        <v/>
      </c>
    </row>
    <row r="3752" spans="1:11">
      <c r="A3752" t="str">
        <v/>
      </c>
      <c r="B3752" s="6">
        <v>0</v>
      </c>
      <c r="C3752" s="7" t="str">
        <v>趣点购浦发</v>
      </c>
      <c r="D3752" s="8">
        <v>0</v>
      </c>
      <c r="E3752" s="7">
        <v>0</v>
      </c>
      <c r="F3752" s="8">
        <v>0</v>
      </c>
      <c r="G3752" s="7">
        <v>0</v>
      </c>
      <c r="H3752" s="7">
        <v>81211.819999998</v>
      </c>
      <c r="I3752" s="7">
        <v>0</v>
      </c>
      <c r="J3752" s="8">
        <v>0</v>
      </c>
      <c r="K3752" s="9" t="str">
        <v/>
      </c>
    </row>
    <row r="3753" spans="1:11">
      <c r="A3753" t="str">
        <v/>
      </c>
      <c r="B3753" s="6">
        <v>0</v>
      </c>
      <c r="C3753" s="7" t="str">
        <v>趣点购浦发</v>
      </c>
      <c r="D3753" s="8">
        <v>0</v>
      </c>
      <c r="E3753" s="7">
        <v>0</v>
      </c>
      <c r="F3753" s="8">
        <v>0</v>
      </c>
      <c r="G3753" s="7">
        <v>0</v>
      </c>
      <c r="H3753" s="7">
        <v>81211.819999998</v>
      </c>
      <c r="I3753" s="7">
        <v>0</v>
      </c>
      <c r="J3753" s="8">
        <v>0</v>
      </c>
      <c r="K3753" s="9" t="str">
        <v/>
      </c>
    </row>
    <row r="3754" spans="1:11">
      <c r="A3754" t="str">
        <v/>
      </c>
      <c r="B3754" s="6">
        <v>0</v>
      </c>
      <c r="C3754" s="7" t="str">
        <v>趣点购浦发</v>
      </c>
      <c r="D3754" s="8">
        <v>0</v>
      </c>
      <c r="E3754" s="7">
        <v>0</v>
      </c>
      <c r="F3754" s="8">
        <v>0</v>
      </c>
      <c r="G3754" s="7">
        <v>0</v>
      </c>
      <c r="H3754" s="7">
        <v>81211.819999998</v>
      </c>
      <c r="I3754" s="7">
        <v>0</v>
      </c>
      <c r="J3754" s="8">
        <v>0</v>
      </c>
      <c r="K3754" s="9" t="str">
        <v/>
      </c>
    </row>
    <row r="3755" spans="1:11">
      <c r="A3755" t="str">
        <v/>
      </c>
      <c r="B3755" s="6">
        <v>0</v>
      </c>
      <c r="C3755" s="7" t="str">
        <v>趣点购浦发</v>
      </c>
      <c r="D3755" s="8">
        <v>0</v>
      </c>
      <c r="E3755" s="7">
        <v>0</v>
      </c>
      <c r="F3755" s="8">
        <v>0</v>
      </c>
      <c r="G3755" s="7">
        <v>0</v>
      </c>
      <c r="H3755" s="7">
        <v>81211.819999998</v>
      </c>
      <c r="I3755" s="7">
        <v>0</v>
      </c>
      <c r="J3755" s="8">
        <v>0</v>
      </c>
      <c r="K3755" s="9" t="str">
        <v/>
      </c>
    </row>
    <row r="3756" spans="1:11">
      <c r="A3756" t="str">
        <v/>
      </c>
      <c r="B3756" s="6">
        <v>0</v>
      </c>
      <c r="C3756" s="7" t="str">
        <v>趣点购浦发</v>
      </c>
      <c r="D3756" s="8">
        <v>0</v>
      </c>
      <c r="E3756" s="7">
        <v>0</v>
      </c>
      <c r="F3756" s="8">
        <v>0</v>
      </c>
      <c r="G3756" s="7">
        <v>0</v>
      </c>
      <c r="H3756" s="7">
        <v>81211.819999998</v>
      </c>
      <c r="I3756" s="7">
        <v>0</v>
      </c>
      <c r="J3756" s="8">
        <v>0</v>
      </c>
      <c r="K3756" s="9" t="str">
        <v/>
      </c>
    </row>
    <row r="3757" spans="1:11">
      <c r="A3757" t="str">
        <v/>
      </c>
      <c r="B3757" s="6">
        <v>0</v>
      </c>
      <c r="C3757" s="7" t="str">
        <v>趣点购浦发</v>
      </c>
      <c r="D3757" s="8">
        <v>0</v>
      </c>
      <c r="E3757" s="7">
        <v>0</v>
      </c>
      <c r="F3757" s="8">
        <v>0</v>
      </c>
      <c r="G3757" s="7">
        <v>0</v>
      </c>
      <c r="H3757" s="7">
        <v>81211.819999998</v>
      </c>
      <c r="I3757" s="7">
        <v>0</v>
      </c>
      <c r="J3757" s="8">
        <v>0</v>
      </c>
      <c r="K3757" s="9" t="str">
        <v/>
      </c>
    </row>
    <row r="3758" spans="1:11">
      <c r="A3758" t="str">
        <v/>
      </c>
      <c r="B3758" s="6">
        <v>0</v>
      </c>
      <c r="C3758" s="7" t="str">
        <v>趣点购浦发</v>
      </c>
      <c r="D3758" s="8">
        <v>0</v>
      </c>
      <c r="E3758" s="7">
        <v>0</v>
      </c>
      <c r="F3758" s="8">
        <v>0</v>
      </c>
      <c r="G3758" s="7">
        <v>0</v>
      </c>
      <c r="H3758" s="7">
        <v>81211.819999998</v>
      </c>
      <c r="I3758" s="7">
        <v>0</v>
      </c>
      <c r="J3758" s="8">
        <v>0</v>
      </c>
      <c r="K3758" s="9" t="str">
        <v/>
      </c>
    </row>
    <row r="3759" spans="1:11">
      <c r="A3759" t="str">
        <v/>
      </c>
      <c r="B3759" s="6">
        <v>0</v>
      </c>
      <c r="C3759" s="7" t="str">
        <v>趣点购浦发</v>
      </c>
      <c r="D3759" s="8">
        <v>0</v>
      </c>
      <c r="E3759" s="7">
        <v>0</v>
      </c>
      <c r="F3759" s="8">
        <v>0</v>
      </c>
      <c r="G3759" s="7">
        <v>0</v>
      </c>
      <c r="H3759" s="7">
        <v>81211.819999998</v>
      </c>
      <c r="I3759" s="7">
        <v>0</v>
      </c>
      <c r="J3759" s="8">
        <v>0</v>
      </c>
      <c r="K3759" s="9" t="str">
        <v/>
      </c>
    </row>
    <row r="3760" spans="1:11">
      <c r="A3760" t="str">
        <v/>
      </c>
      <c r="B3760" s="6">
        <v>0</v>
      </c>
      <c r="C3760" s="7" t="str">
        <v>趣点购浦发</v>
      </c>
      <c r="D3760" s="8">
        <v>0</v>
      </c>
      <c r="E3760" s="7">
        <v>0</v>
      </c>
      <c r="F3760" s="8">
        <v>0</v>
      </c>
      <c r="G3760" s="7">
        <v>0</v>
      </c>
      <c r="H3760" s="7">
        <v>81211.819999998</v>
      </c>
      <c r="I3760" s="7">
        <v>0</v>
      </c>
      <c r="J3760" s="8">
        <v>0</v>
      </c>
      <c r="K3760" s="9" t="str">
        <v/>
      </c>
    </row>
    <row r="3761" spans="1:11">
      <c r="A3761" t="str">
        <v/>
      </c>
      <c r="B3761" s="6">
        <v>0</v>
      </c>
      <c r="C3761" s="7" t="str">
        <v>趣点购浦发</v>
      </c>
      <c r="D3761" s="8">
        <v>0</v>
      </c>
      <c r="E3761" s="7">
        <v>0</v>
      </c>
      <c r="F3761" s="8">
        <v>0</v>
      </c>
      <c r="G3761" s="7">
        <v>0</v>
      </c>
      <c r="H3761" s="7">
        <v>81211.819999998</v>
      </c>
      <c r="I3761" s="7">
        <v>0</v>
      </c>
      <c r="J3761" s="8">
        <v>0</v>
      </c>
      <c r="K3761" s="9" t="str">
        <v/>
      </c>
    </row>
    <row r="3762" spans="1:11">
      <c r="A3762" t="str">
        <v/>
      </c>
      <c r="B3762" s="6">
        <v>0</v>
      </c>
      <c r="C3762" s="7" t="str">
        <v>趣点购浦发</v>
      </c>
      <c r="D3762" s="8">
        <v>0</v>
      </c>
      <c r="E3762" s="7">
        <v>0</v>
      </c>
      <c r="F3762" s="8">
        <v>0</v>
      </c>
      <c r="G3762" s="7">
        <v>0</v>
      </c>
      <c r="H3762" s="7">
        <v>81211.819999998</v>
      </c>
      <c r="I3762" s="7">
        <v>0</v>
      </c>
      <c r="J3762" s="8">
        <v>0</v>
      </c>
      <c r="K3762" s="9" t="str">
        <v/>
      </c>
    </row>
    <row r="3763" spans="1:11">
      <c r="A3763" t="str">
        <v/>
      </c>
      <c r="B3763" s="6">
        <v>0</v>
      </c>
      <c r="C3763" s="7" t="str">
        <v>趣点购浦发</v>
      </c>
      <c r="D3763" s="8">
        <v>0</v>
      </c>
      <c r="E3763" s="7">
        <v>0</v>
      </c>
      <c r="F3763" s="8">
        <v>0</v>
      </c>
      <c r="G3763" s="7">
        <v>0</v>
      </c>
      <c r="H3763" s="7">
        <v>81211.819999998</v>
      </c>
      <c r="I3763" s="7">
        <v>0</v>
      </c>
      <c r="J3763" s="8">
        <v>0</v>
      </c>
      <c r="K3763" s="9" t="str">
        <v/>
      </c>
    </row>
    <row r="3764" spans="1:11">
      <c r="A3764" t="str">
        <v/>
      </c>
      <c r="B3764" s="6">
        <v>0</v>
      </c>
      <c r="C3764" s="7" t="str">
        <v>趣点购浦发</v>
      </c>
      <c r="D3764" s="8">
        <v>0</v>
      </c>
      <c r="E3764" s="7">
        <v>0</v>
      </c>
      <c r="F3764" s="8">
        <v>0</v>
      </c>
      <c r="G3764" s="7">
        <v>0</v>
      </c>
      <c r="H3764" s="7">
        <v>81211.819999998</v>
      </c>
      <c r="I3764" s="7">
        <v>0</v>
      </c>
      <c r="J3764" s="8">
        <v>0</v>
      </c>
      <c r="K3764" s="9" t="str">
        <v/>
      </c>
    </row>
    <row r="3765" spans="1:11">
      <c r="A3765" t="str">
        <v/>
      </c>
      <c r="B3765" s="6">
        <v>0</v>
      </c>
      <c r="C3765" s="7" t="str">
        <v>趣点购浦发</v>
      </c>
      <c r="D3765" s="8">
        <v>0</v>
      </c>
      <c r="E3765" s="7">
        <v>0</v>
      </c>
      <c r="F3765" s="8">
        <v>0</v>
      </c>
      <c r="G3765" s="7">
        <v>0</v>
      </c>
      <c r="H3765" s="7">
        <v>81211.819999998</v>
      </c>
      <c r="I3765" s="7">
        <v>0</v>
      </c>
      <c r="J3765" s="8">
        <v>0</v>
      </c>
      <c r="K3765" s="9" t="str">
        <v/>
      </c>
    </row>
    <row r="3766" spans="1:11">
      <c r="A3766" t="str">
        <v/>
      </c>
      <c r="B3766" s="6">
        <v>0</v>
      </c>
      <c r="C3766" s="7" t="str">
        <v>趣点购浦发</v>
      </c>
      <c r="D3766" s="8">
        <v>0</v>
      </c>
      <c r="E3766" s="7">
        <v>0</v>
      </c>
      <c r="F3766" s="8">
        <v>0</v>
      </c>
      <c r="G3766" s="7">
        <v>0</v>
      </c>
      <c r="H3766" s="7">
        <v>81211.819999998</v>
      </c>
      <c r="I3766" s="7">
        <v>0</v>
      </c>
      <c r="J3766" s="8">
        <v>0</v>
      </c>
      <c r="K3766" s="9" t="str">
        <v/>
      </c>
    </row>
    <row r="3767" spans="1:11">
      <c r="A3767" t="str">
        <v/>
      </c>
      <c r="B3767" s="6">
        <v>0</v>
      </c>
      <c r="C3767" s="7" t="str">
        <v>趣点购浦发</v>
      </c>
      <c r="D3767" s="8">
        <v>0</v>
      </c>
      <c r="E3767" s="7">
        <v>0</v>
      </c>
      <c r="F3767" s="8">
        <v>0</v>
      </c>
      <c r="G3767" s="7">
        <v>0</v>
      </c>
      <c r="H3767" s="7">
        <v>81211.819999998</v>
      </c>
      <c r="I3767" s="7">
        <v>0</v>
      </c>
      <c r="J3767" s="8">
        <v>0</v>
      </c>
      <c r="K3767" s="9" t="str">
        <v/>
      </c>
    </row>
    <row r="3768" spans="1:11">
      <c r="A3768" t="str">
        <v/>
      </c>
      <c r="B3768" s="6">
        <v>0</v>
      </c>
      <c r="C3768" s="7" t="str">
        <v>趣点购浦发</v>
      </c>
      <c r="D3768" s="8">
        <v>0</v>
      </c>
      <c r="E3768" s="7">
        <v>0</v>
      </c>
      <c r="F3768" s="8">
        <v>0</v>
      </c>
      <c r="G3768" s="7">
        <v>0</v>
      </c>
      <c r="H3768" s="7">
        <v>81211.819999998</v>
      </c>
      <c r="I3768" s="7">
        <v>0</v>
      </c>
      <c r="J3768" s="8">
        <v>0</v>
      </c>
      <c r="K3768" s="9" t="str">
        <v/>
      </c>
    </row>
    <row r="3769" spans="1:11">
      <c r="A3769" t="str">
        <v/>
      </c>
      <c r="B3769" s="6">
        <v>0</v>
      </c>
      <c r="C3769" s="7" t="str">
        <v>趣点购浦发</v>
      </c>
      <c r="D3769" s="8">
        <v>0</v>
      </c>
      <c r="E3769" s="7">
        <v>0</v>
      </c>
      <c r="F3769" s="8">
        <v>0</v>
      </c>
      <c r="G3769" s="7">
        <v>0</v>
      </c>
      <c r="H3769" s="7">
        <v>81211.819999998</v>
      </c>
      <c r="I3769" s="7">
        <v>0</v>
      </c>
      <c r="J3769" s="8">
        <v>0</v>
      </c>
      <c r="K3769" s="9" t="str">
        <v/>
      </c>
    </row>
    <row r="3770" spans="1:11">
      <c r="A3770" t="str">
        <v/>
      </c>
      <c r="B3770" s="6">
        <v>0</v>
      </c>
      <c r="C3770" s="7" t="str">
        <v>趣点购浦发</v>
      </c>
      <c r="D3770" s="8">
        <v>0</v>
      </c>
      <c r="E3770" s="7">
        <v>0</v>
      </c>
      <c r="F3770" s="8">
        <v>0</v>
      </c>
      <c r="G3770" s="7">
        <v>0</v>
      </c>
      <c r="H3770" s="7">
        <v>81211.819999998</v>
      </c>
      <c r="I3770" s="7">
        <v>0</v>
      </c>
      <c r="J3770" s="8">
        <v>0</v>
      </c>
      <c r="K3770" s="9" t="str">
        <v/>
      </c>
    </row>
    <row r="3771" spans="1:11">
      <c r="A3771" t="str">
        <v/>
      </c>
      <c r="B3771" s="6">
        <v>0</v>
      </c>
      <c r="C3771" s="7" t="str">
        <v>趣点购浦发</v>
      </c>
      <c r="D3771" s="8">
        <v>0</v>
      </c>
      <c r="E3771" s="7">
        <v>0</v>
      </c>
      <c r="F3771" s="8">
        <v>0</v>
      </c>
      <c r="G3771" s="7">
        <v>0</v>
      </c>
      <c r="H3771" s="7">
        <v>81211.819999998</v>
      </c>
      <c r="I3771" s="7">
        <v>0</v>
      </c>
      <c r="J3771" s="8">
        <v>0</v>
      </c>
      <c r="K3771" s="9" t="str">
        <v/>
      </c>
    </row>
    <row r="3772" spans="1:11">
      <c r="A3772" t="str">
        <v/>
      </c>
      <c r="B3772" s="6">
        <v>0</v>
      </c>
      <c r="C3772" s="7" t="str">
        <v>趣点购浦发</v>
      </c>
      <c r="D3772" s="8">
        <v>0</v>
      </c>
      <c r="E3772" s="7">
        <v>0</v>
      </c>
      <c r="F3772" s="8">
        <v>0</v>
      </c>
      <c r="G3772" s="7">
        <v>0</v>
      </c>
      <c r="H3772" s="7">
        <v>81211.819999998</v>
      </c>
      <c r="I3772" s="7">
        <v>0</v>
      </c>
      <c r="J3772" s="8">
        <v>0</v>
      </c>
      <c r="K3772" s="9" t="str">
        <v/>
      </c>
    </row>
    <row r="3773" spans="1:11">
      <c r="A3773" t="str">
        <v/>
      </c>
      <c r="B3773" s="6">
        <v>0</v>
      </c>
      <c r="C3773" s="7" t="str">
        <v>趣点购浦发</v>
      </c>
      <c r="D3773" s="8">
        <v>0</v>
      </c>
      <c r="E3773" s="7">
        <v>0</v>
      </c>
      <c r="F3773" s="8">
        <v>0</v>
      </c>
      <c r="G3773" s="7">
        <v>0</v>
      </c>
      <c r="H3773" s="7">
        <v>81211.819999998</v>
      </c>
      <c r="I3773" s="7">
        <v>0</v>
      </c>
      <c r="J3773" s="8">
        <v>0</v>
      </c>
      <c r="K3773" s="9" t="str">
        <v/>
      </c>
    </row>
    <row r="3774" spans="1:11">
      <c r="A3774" t="str">
        <v/>
      </c>
      <c r="B3774" s="6">
        <v>0</v>
      </c>
      <c r="C3774" s="7" t="str">
        <v>趣点购浦发</v>
      </c>
      <c r="D3774" s="8">
        <v>0</v>
      </c>
      <c r="E3774" s="7">
        <v>0</v>
      </c>
      <c r="F3774" s="8">
        <v>0</v>
      </c>
      <c r="G3774" s="7">
        <v>0</v>
      </c>
      <c r="H3774" s="7">
        <v>81211.819999998</v>
      </c>
      <c r="I3774" s="7">
        <v>0</v>
      </c>
      <c r="J3774" s="8">
        <v>0</v>
      </c>
      <c r="K3774" s="9" t="str">
        <v/>
      </c>
    </row>
    <row r="3775" spans="1:11">
      <c r="A3775" t="str">
        <v/>
      </c>
      <c r="B3775" s="6">
        <v>0</v>
      </c>
      <c r="C3775" s="7" t="str">
        <v>趣点购浦发</v>
      </c>
      <c r="D3775" s="8">
        <v>0</v>
      </c>
      <c r="E3775" s="7">
        <v>0</v>
      </c>
      <c r="F3775" s="8">
        <v>0</v>
      </c>
      <c r="G3775" s="7">
        <v>0</v>
      </c>
      <c r="H3775" s="7">
        <v>81211.819999998</v>
      </c>
      <c r="I3775" s="7">
        <v>0</v>
      </c>
      <c r="J3775" s="8">
        <v>0</v>
      </c>
      <c r="K3775" s="9" t="str">
        <v/>
      </c>
    </row>
    <row r="3776" spans="1:11">
      <c r="A3776" t="str">
        <v/>
      </c>
      <c r="B3776" s="6">
        <v>0</v>
      </c>
      <c r="C3776" s="7" t="str">
        <v>趣点购浦发</v>
      </c>
      <c r="D3776" s="8">
        <v>0</v>
      </c>
      <c r="E3776" s="7">
        <v>0</v>
      </c>
      <c r="F3776" s="8">
        <v>0</v>
      </c>
      <c r="G3776" s="7">
        <v>0</v>
      </c>
      <c r="H3776" s="7">
        <v>81211.819999998</v>
      </c>
      <c r="I3776" s="7">
        <v>0</v>
      </c>
      <c r="J3776" s="8">
        <v>0</v>
      </c>
      <c r="K3776" s="9" t="str">
        <v/>
      </c>
    </row>
    <row r="3777" spans="1:11">
      <c r="A3777" t="str">
        <v/>
      </c>
      <c r="B3777" s="6">
        <v>0</v>
      </c>
      <c r="C3777" s="7" t="str">
        <v>趣点购浦发</v>
      </c>
      <c r="D3777" s="8">
        <v>0</v>
      </c>
      <c r="E3777" s="7">
        <v>0</v>
      </c>
      <c r="F3777" s="8">
        <v>0</v>
      </c>
      <c r="G3777" s="7">
        <v>0</v>
      </c>
      <c r="H3777" s="7">
        <v>81211.819999998</v>
      </c>
      <c r="I3777" s="7">
        <v>0</v>
      </c>
      <c r="J3777" s="8">
        <v>0</v>
      </c>
      <c r="K3777" s="9" t="str">
        <v/>
      </c>
    </row>
    <row r="3778" spans="1:11">
      <c r="A3778" t="str">
        <v/>
      </c>
      <c r="B3778" s="6">
        <v>0</v>
      </c>
      <c r="C3778" s="7" t="str">
        <v>趣点购浦发</v>
      </c>
      <c r="D3778" s="8">
        <v>0</v>
      </c>
      <c r="E3778" s="7">
        <v>0</v>
      </c>
      <c r="F3778" s="8">
        <v>0</v>
      </c>
      <c r="G3778" s="7">
        <v>0</v>
      </c>
      <c r="H3778" s="7">
        <v>81211.819999998</v>
      </c>
      <c r="I3778" s="7">
        <v>0</v>
      </c>
      <c r="J3778" s="8">
        <v>0</v>
      </c>
      <c r="K3778" s="9" t="str">
        <v/>
      </c>
    </row>
    <row r="3779" spans="1:11">
      <c r="A3779" t="str">
        <v/>
      </c>
      <c r="B3779" s="6">
        <v>0</v>
      </c>
      <c r="C3779" s="7" t="str">
        <v>趣点购浦发</v>
      </c>
      <c r="D3779" s="8">
        <v>0</v>
      </c>
      <c r="E3779" s="7">
        <v>0</v>
      </c>
      <c r="F3779" s="8">
        <v>0</v>
      </c>
      <c r="G3779" s="7">
        <v>0</v>
      </c>
      <c r="H3779" s="7">
        <v>81211.819999998</v>
      </c>
      <c r="I3779" s="7">
        <v>0</v>
      </c>
      <c r="J3779" s="8">
        <v>0</v>
      </c>
      <c r="K3779" s="9" t="str">
        <v/>
      </c>
    </row>
    <row r="3780" spans="1:11">
      <c r="A3780" t="str">
        <v/>
      </c>
      <c r="B3780" s="6">
        <v>0</v>
      </c>
      <c r="C3780" s="7" t="str">
        <v>趣点购浦发</v>
      </c>
      <c r="D3780" s="8">
        <v>0</v>
      </c>
      <c r="E3780" s="7">
        <v>0</v>
      </c>
      <c r="F3780" s="8">
        <v>0</v>
      </c>
      <c r="G3780" s="7">
        <v>0</v>
      </c>
      <c r="H3780" s="7">
        <v>81211.819999998</v>
      </c>
      <c r="I3780" s="7">
        <v>0</v>
      </c>
      <c r="J3780" s="8">
        <v>0</v>
      </c>
      <c r="K3780" s="9" t="str">
        <v/>
      </c>
    </row>
    <row r="3781" spans="1:11">
      <c r="A3781" t="str">
        <v/>
      </c>
      <c r="B3781" s="6">
        <v>0</v>
      </c>
      <c r="C3781" s="7" t="str">
        <v>趣点购浦发</v>
      </c>
      <c r="D3781" s="8">
        <v>0</v>
      </c>
      <c r="E3781" s="7">
        <v>0</v>
      </c>
      <c r="F3781" s="8">
        <v>0</v>
      </c>
      <c r="G3781" s="7">
        <v>0</v>
      </c>
      <c r="H3781" s="7">
        <v>81211.819999998</v>
      </c>
      <c r="I3781" s="7">
        <v>0</v>
      </c>
      <c r="J3781" s="8">
        <v>0</v>
      </c>
      <c r="K3781" s="9" t="str">
        <v/>
      </c>
    </row>
    <row r="3782" spans="1:11">
      <c r="A3782" t="str">
        <v/>
      </c>
      <c r="B3782" s="6">
        <v>0</v>
      </c>
      <c r="C3782" s="7" t="str">
        <v>趣点购浦发</v>
      </c>
      <c r="D3782" s="8">
        <v>0</v>
      </c>
      <c r="E3782" s="7">
        <v>0</v>
      </c>
      <c r="F3782" s="8">
        <v>0</v>
      </c>
      <c r="G3782" s="7">
        <v>0</v>
      </c>
      <c r="H3782" s="7">
        <v>81211.819999998</v>
      </c>
      <c r="I3782" s="7">
        <v>0</v>
      </c>
      <c r="J3782" s="8">
        <v>0</v>
      </c>
      <c r="K3782" s="9" t="str">
        <v/>
      </c>
    </row>
    <row r="3783" spans="1:11">
      <c r="A3783" t="str">
        <v/>
      </c>
      <c r="B3783" s="6">
        <v>0</v>
      </c>
      <c r="C3783" s="7" t="str">
        <v>趣点购浦发</v>
      </c>
      <c r="D3783" s="8">
        <v>0</v>
      </c>
      <c r="E3783" s="7">
        <v>0</v>
      </c>
      <c r="F3783" s="8">
        <v>0</v>
      </c>
      <c r="G3783" s="7">
        <v>0</v>
      </c>
      <c r="H3783" s="7">
        <v>81211.819999998</v>
      </c>
      <c r="I3783" s="7">
        <v>0</v>
      </c>
      <c r="J3783" s="8">
        <v>0</v>
      </c>
      <c r="K3783" s="9" t="str">
        <v/>
      </c>
    </row>
    <row r="3784" spans="1:11">
      <c r="A3784" t="str">
        <v/>
      </c>
      <c r="B3784" s="6">
        <v>0</v>
      </c>
      <c r="C3784" s="7" t="str">
        <v>趣点购浦发</v>
      </c>
      <c r="D3784" s="8">
        <v>0</v>
      </c>
      <c r="E3784" s="7">
        <v>0</v>
      </c>
      <c r="F3784" s="8">
        <v>0</v>
      </c>
      <c r="G3784" s="7">
        <v>0</v>
      </c>
      <c r="H3784" s="7">
        <v>81211.819999998</v>
      </c>
      <c r="I3784" s="7">
        <v>0</v>
      </c>
      <c r="J3784" s="8">
        <v>0</v>
      </c>
      <c r="K3784" s="9" t="str">
        <v/>
      </c>
    </row>
    <row r="3785" spans="1:11">
      <c r="A3785" t="str">
        <v/>
      </c>
      <c r="B3785" s="6">
        <v>0</v>
      </c>
      <c r="C3785" s="7" t="str">
        <v>趣点购浦发</v>
      </c>
      <c r="D3785" s="8">
        <v>0</v>
      </c>
      <c r="E3785" s="7">
        <v>0</v>
      </c>
      <c r="F3785" s="8">
        <v>0</v>
      </c>
      <c r="G3785" s="7">
        <v>0</v>
      </c>
      <c r="H3785" s="7">
        <v>81211.819999998</v>
      </c>
      <c r="I3785" s="7">
        <v>0</v>
      </c>
      <c r="J3785" s="8">
        <v>0</v>
      </c>
      <c r="K3785" s="9" t="str">
        <v/>
      </c>
    </row>
    <row r="3786" spans="1:11">
      <c r="A3786" t="str">
        <v/>
      </c>
      <c r="B3786" s="6">
        <v>0</v>
      </c>
      <c r="C3786" s="7" t="str">
        <v>趣点购浦发</v>
      </c>
      <c r="D3786" s="8">
        <v>0</v>
      </c>
      <c r="E3786" s="7">
        <v>0</v>
      </c>
      <c r="F3786" s="8">
        <v>0</v>
      </c>
      <c r="G3786" s="7">
        <v>0</v>
      </c>
      <c r="H3786" s="7">
        <v>81211.819999998</v>
      </c>
      <c r="I3786" s="7">
        <v>0</v>
      </c>
      <c r="J3786" s="8">
        <v>0</v>
      </c>
      <c r="K3786" s="9" t="str">
        <v/>
      </c>
    </row>
    <row r="3787" spans="1:11">
      <c r="A3787" t="str">
        <v/>
      </c>
      <c r="B3787" s="6">
        <v>0</v>
      </c>
      <c r="C3787" s="7" t="str">
        <v>趣点购浦发</v>
      </c>
      <c r="D3787" s="8">
        <v>0</v>
      </c>
      <c r="E3787" s="7">
        <v>0</v>
      </c>
      <c r="F3787" s="8">
        <v>0</v>
      </c>
      <c r="G3787" s="7">
        <v>0</v>
      </c>
      <c r="H3787" s="7">
        <v>81211.819999998</v>
      </c>
      <c r="I3787" s="7">
        <v>0</v>
      </c>
      <c r="J3787" s="8">
        <v>0</v>
      </c>
      <c r="K3787" s="9" t="str">
        <v/>
      </c>
    </row>
    <row r="3788" spans="1:11">
      <c r="A3788" t="str">
        <v/>
      </c>
      <c r="B3788" s="6">
        <v>0</v>
      </c>
      <c r="C3788" s="7" t="str">
        <v>趣点购浦发</v>
      </c>
      <c r="D3788" s="8">
        <v>0</v>
      </c>
      <c r="E3788" s="7">
        <v>0</v>
      </c>
      <c r="F3788" s="8">
        <v>0</v>
      </c>
      <c r="G3788" s="7">
        <v>0</v>
      </c>
      <c r="H3788" s="7">
        <v>81211.819999998</v>
      </c>
      <c r="I3788" s="7">
        <v>0</v>
      </c>
      <c r="J3788" s="8">
        <v>0</v>
      </c>
      <c r="K3788" s="9" t="str">
        <v/>
      </c>
    </row>
    <row r="3789" spans="1:11">
      <c r="A3789" t="str">
        <v/>
      </c>
      <c r="B3789" s="6">
        <v>0</v>
      </c>
      <c r="C3789" s="7" t="str">
        <v>趣点购浦发</v>
      </c>
      <c r="D3789" s="8">
        <v>0</v>
      </c>
      <c r="E3789" s="7">
        <v>0</v>
      </c>
      <c r="F3789" s="8">
        <v>0</v>
      </c>
      <c r="G3789" s="7">
        <v>0</v>
      </c>
      <c r="H3789" s="7">
        <v>81211.819999998</v>
      </c>
      <c r="I3789" s="7">
        <v>0</v>
      </c>
      <c r="J3789" s="8">
        <v>0</v>
      </c>
      <c r="K3789" s="9" t="str">
        <v/>
      </c>
    </row>
    <row r="3790" spans="1:11">
      <c r="A3790" t="str">
        <v/>
      </c>
      <c r="B3790" s="6">
        <v>0</v>
      </c>
      <c r="C3790" s="7" t="str">
        <v>趣点购浦发</v>
      </c>
      <c r="D3790" s="8">
        <v>0</v>
      </c>
      <c r="E3790" s="7">
        <v>0</v>
      </c>
      <c r="F3790" s="8">
        <v>0</v>
      </c>
      <c r="G3790" s="7">
        <v>0</v>
      </c>
      <c r="H3790" s="7">
        <v>81211.819999998</v>
      </c>
      <c r="I3790" s="7">
        <v>0</v>
      </c>
      <c r="J3790" s="8">
        <v>0</v>
      </c>
      <c r="K3790" s="9" t="str">
        <v/>
      </c>
    </row>
    <row r="3791" spans="1:11">
      <c r="A3791" t="str">
        <v/>
      </c>
      <c r="B3791" s="6">
        <v>0</v>
      </c>
      <c r="C3791" s="7" t="str">
        <v>趣点购浦发</v>
      </c>
      <c r="D3791" s="8">
        <v>0</v>
      </c>
      <c r="E3791" s="7">
        <v>0</v>
      </c>
      <c r="F3791" s="8">
        <v>0</v>
      </c>
      <c r="G3791" s="7">
        <v>0</v>
      </c>
      <c r="H3791" s="7">
        <v>81211.819999998</v>
      </c>
      <c r="I3791" s="7">
        <v>0</v>
      </c>
      <c r="J3791" s="8">
        <v>0</v>
      </c>
      <c r="K3791" s="9" t="str">
        <v/>
      </c>
    </row>
    <row r="3792" spans="1:11">
      <c r="A3792" t="str">
        <v/>
      </c>
      <c r="B3792" s="6">
        <v>0</v>
      </c>
      <c r="C3792" s="7" t="str">
        <v>趣点购浦发</v>
      </c>
      <c r="D3792" s="8">
        <v>0</v>
      </c>
      <c r="E3792" s="7">
        <v>0</v>
      </c>
      <c r="F3792" s="8">
        <v>0</v>
      </c>
      <c r="G3792" s="7">
        <v>0</v>
      </c>
      <c r="H3792" s="7">
        <v>81211.819999998</v>
      </c>
      <c r="I3792" s="7">
        <v>0</v>
      </c>
      <c r="J3792" s="8">
        <v>0</v>
      </c>
      <c r="K3792" s="9" t="str">
        <v/>
      </c>
    </row>
    <row r="3793" spans="1:11">
      <c r="A3793" t="str">
        <v/>
      </c>
      <c r="B3793" s="6">
        <v>0</v>
      </c>
      <c r="C3793" s="7" t="str">
        <v>趣点购浦发</v>
      </c>
      <c r="D3793" s="8">
        <v>0</v>
      </c>
      <c r="E3793" s="7">
        <v>0</v>
      </c>
      <c r="F3793" s="8">
        <v>0</v>
      </c>
      <c r="G3793" s="7">
        <v>0</v>
      </c>
      <c r="H3793" s="7">
        <v>81211.819999998</v>
      </c>
      <c r="I3793" s="7">
        <v>0</v>
      </c>
      <c r="J3793" s="8">
        <v>0</v>
      </c>
      <c r="K3793" s="9" t="str">
        <v/>
      </c>
    </row>
    <row r="3794" spans="1:11">
      <c r="A3794" t="str">
        <v/>
      </c>
      <c r="B3794" s="6">
        <v>0</v>
      </c>
      <c r="C3794" s="7" t="str">
        <v>趣点购浦发</v>
      </c>
      <c r="D3794" s="8">
        <v>0</v>
      </c>
      <c r="E3794" s="7">
        <v>0</v>
      </c>
      <c r="F3794" s="8">
        <v>0</v>
      </c>
      <c r="G3794" s="7">
        <v>0</v>
      </c>
      <c r="H3794" s="7">
        <v>81211.819999998</v>
      </c>
      <c r="I3794" s="7">
        <v>0</v>
      </c>
      <c r="J3794" s="8">
        <v>0</v>
      </c>
      <c r="K3794" s="9" t="str">
        <v/>
      </c>
    </row>
    <row r="3795" spans="1:11">
      <c r="A3795" t="str">
        <v/>
      </c>
      <c r="B3795" s="6">
        <v>0</v>
      </c>
      <c r="C3795" s="7" t="str">
        <v>趣点购浦发</v>
      </c>
      <c r="D3795" s="8">
        <v>0</v>
      </c>
      <c r="E3795" s="7">
        <v>0</v>
      </c>
      <c r="F3795" s="8">
        <v>0</v>
      </c>
      <c r="G3795" s="7">
        <v>0</v>
      </c>
      <c r="H3795" s="7">
        <v>81211.819999998</v>
      </c>
      <c r="I3795" s="7">
        <v>0</v>
      </c>
      <c r="J3795" s="8">
        <v>0</v>
      </c>
      <c r="K3795" s="9" t="str">
        <v/>
      </c>
    </row>
    <row r="3796" spans="1:11">
      <c r="A3796" t="str">
        <v/>
      </c>
      <c r="B3796" s="6">
        <v>0</v>
      </c>
      <c r="C3796" s="7" t="str">
        <v>趣点购浦发</v>
      </c>
      <c r="D3796" s="8">
        <v>0</v>
      </c>
      <c r="E3796" s="7">
        <v>0</v>
      </c>
      <c r="F3796" s="8">
        <v>0</v>
      </c>
      <c r="G3796" s="7">
        <v>0</v>
      </c>
      <c r="H3796" s="7">
        <v>81211.819999998</v>
      </c>
      <c r="I3796" s="7">
        <v>0</v>
      </c>
      <c r="J3796" s="8">
        <v>0</v>
      </c>
      <c r="K3796" s="9" t="str">
        <v/>
      </c>
    </row>
    <row r="3797" spans="1:11">
      <c r="A3797" t="str">
        <v/>
      </c>
      <c r="B3797" s="6">
        <v>0</v>
      </c>
      <c r="C3797" s="7" t="str">
        <v>趣点购浦发</v>
      </c>
      <c r="D3797" s="8">
        <v>0</v>
      </c>
      <c r="E3797" s="7">
        <v>0</v>
      </c>
      <c r="F3797" s="8">
        <v>0</v>
      </c>
      <c r="G3797" s="7">
        <v>0</v>
      </c>
      <c r="H3797" s="7">
        <v>81211.819999998</v>
      </c>
      <c r="I3797" s="7">
        <v>0</v>
      </c>
      <c r="J3797" s="8">
        <v>0</v>
      </c>
      <c r="K3797" s="9" t="str">
        <v/>
      </c>
    </row>
    <row r="3798" spans="1:11">
      <c r="A3798" t="str">
        <v/>
      </c>
      <c r="B3798" s="6">
        <v>0</v>
      </c>
      <c r="C3798" s="7" t="str">
        <v>趣点购浦发</v>
      </c>
      <c r="D3798" s="8">
        <v>0</v>
      </c>
      <c r="E3798" s="7">
        <v>0</v>
      </c>
      <c r="F3798" s="8">
        <v>0</v>
      </c>
      <c r="G3798" s="7">
        <v>0</v>
      </c>
      <c r="H3798" s="7">
        <v>81211.819999998</v>
      </c>
      <c r="I3798" s="7">
        <v>0</v>
      </c>
      <c r="J3798" s="8">
        <v>0</v>
      </c>
      <c r="K3798" s="9" t="str">
        <v/>
      </c>
    </row>
    <row r="3799" spans="1:11">
      <c r="A3799" t="str">
        <v/>
      </c>
      <c r="B3799" s="6">
        <v>0</v>
      </c>
      <c r="C3799" s="7" t="str">
        <v>趣点购浦发</v>
      </c>
      <c r="D3799" s="8">
        <v>0</v>
      </c>
      <c r="E3799" s="7">
        <v>0</v>
      </c>
      <c r="F3799" s="8">
        <v>0</v>
      </c>
      <c r="G3799" s="7">
        <v>0</v>
      </c>
      <c r="H3799" s="7">
        <v>81211.819999998</v>
      </c>
      <c r="I3799" s="7">
        <v>0</v>
      </c>
      <c r="J3799" s="8">
        <v>0</v>
      </c>
      <c r="K3799" s="9" t="str">
        <v/>
      </c>
    </row>
    <row r="3800" spans="1:11">
      <c r="A3800" t="str">
        <v/>
      </c>
      <c r="B3800" s="6">
        <v>0</v>
      </c>
      <c r="C3800" s="7" t="str">
        <v>趣点购浦发</v>
      </c>
      <c r="D3800" s="8">
        <v>0</v>
      </c>
      <c r="E3800" s="7">
        <v>0</v>
      </c>
      <c r="F3800" s="8">
        <v>0</v>
      </c>
      <c r="G3800" s="7">
        <v>0</v>
      </c>
      <c r="H3800" s="7">
        <v>81211.819999998</v>
      </c>
      <c r="I3800" s="7">
        <v>0</v>
      </c>
      <c r="J3800" s="8">
        <v>0</v>
      </c>
      <c r="K3800" s="9" t="str">
        <v/>
      </c>
    </row>
    <row r="3801" spans="1:11">
      <c r="A3801" t="str">
        <v/>
      </c>
      <c r="B3801" s="6">
        <v>0</v>
      </c>
      <c r="C3801" s="7" t="str">
        <v>趣点购浦发</v>
      </c>
      <c r="D3801" s="8">
        <v>0</v>
      </c>
      <c r="E3801" s="7">
        <v>0</v>
      </c>
      <c r="F3801" s="8">
        <v>0</v>
      </c>
      <c r="G3801" s="7">
        <v>0</v>
      </c>
      <c r="H3801" s="7">
        <v>81211.819999998</v>
      </c>
      <c r="I3801" s="7">
        <v>0</v>
      </c>
      <c r="J3801" s="8">
        <v>0</v>
      </c>
      <c r="K3801" s="9" t="str">
        <v/>
      </c>
    </row>
    <row r="3802" spans="1:11">
      <c r="A3802" t="str">
        <v/>
      </c>
      <c r="B3802" s="6">
        <v>0</v>
      </c>
      <c r="C3802" s="7" t="str">
        <v>趣点购浦发</v>
      </c>
      <c r="D3802" s="8">
        <v>0</v>
      </c>
      <c r="E3802" s="7">
        <v>0</v>
      </c>
      <c r="F3802" s="8">
        <v>0</v>
      </c>
      <c r="G3802" s="7">
        <v>0</v>
      </c>
      <c r="H3802" s="7">
        <v>81211.819999998</v>
      </c>
      <c r="I3802" s="7">
        <v>0</v>
      </c>
      <c r="J3802" s="8">
        <v>0</v>
      </c>
      <c r="K3802" s="9" t="str">
        <v/>
      </c>
    </row>
    <row r="3803" spans="1:11">
      <c r="A3803" t="str">
        <v/>
      </c>
      <c r="B3803" s="6">
        <v>0</v>
      </c>
      <c r="C3803" s="7" t="str">
        <v>趣点购浦发</v>
      </c>
      <c r="D3803" s="8">
        <v>0</v>
      </c>
      <c r="E3803" s="7">
        <v>0</v>
      </c>
      <c r="F3803" s="8">
        <v>0</v>
      </c>
      <c r="G3803" s="7">
        <v>0</v>
      </c>
      <c r="H3803" s="7">
        <v>81211.819999998</v>
      </c>
      <c r="I3803" s="7">
        <v>0</v>
      </c>
      <c r="J3803" s="8">
        <v>0</v>
      </c>
      <c r="K3803" s="9" t="str">
        <v/>
      </c>
    </row>
    <row r="3804" spans="1:11">
      <c r="A3804" t="str">
        <v/>
      </c>
      <c r="B3804" s="6">
        <v>0</v>
      </c>
      <c r="C3804" s="7" t="str">
        <v>趣点购浦发</v>
      </c>
      <c r="D3804" s="8">
        <v>0</v>
      </c>
      <c r="E3804" s="7">
        <v>0</v>
      </c>
      <c r="F3804" s="8">
        <v>0</v>
      </c>
      <c r="G3804" s="7">
        <v>0</v>
      </c>
      <c r="H3804" s="7">
        <v>81211.819999998</v>
      </c>
      <c r="I3804" s="7">
        <v>0</v>
      </c>
      <c r="J3804" s="8">
        <v>0</v>
      </c>
      <c r="K3804" s="9" t="str">
        <v/>
      </c>
    </row>
    <row r="3805" spans="1:11">
      <c r="A3805" t="str">
        <v/>
      </c>
      <c r="B3805" s="6">
        <v>0</v>
      </c>
      <c r="C3805" s="7" t="str">
        <v>趣点购浦发</v>
      </c>
      <c r="D3805" s="8">
        <v>0</v>
      </c>
      <c r="E3805" s="7">
        <v>0</v>
      </c>
      <c r="F3805" s="8">
        <v>0</v>
      </c>
      <c r="G3805" s="7">
        <v>0</v>
      </c>
      <c r="H3805" s="7">
        <v>81211.819999998</v>
      </c>
      <c r="I3805" s="7">
        <v>0</v>
      </c>
      <c r="J3805" s="8">
        <v>0</v>
      </c>
      <c r="K3805" s="9" t="str">
        <v/>
      </c>
    </row>
    <row r="3806" spans="1:11">
      <c r="A3806" t="str">
        <v/>
      </c>
      <c r="B3806" s="6">
        <v>0</v>
      </c>
      <c r="C3806" s="7" t="str">
        <v>趣点购浦发</v>
      </c>
      <c r="D3806" s="8">
        <v>0</v>
      </c>
      <c r="E3806" s="7">
        <v>0</v>
      </c>
      <c r="F3806" s="8">
        <v>0</v>
      </c>
      <c r="G3806" s="7">
        <v>0</v>
      </c>
      <c r="H3806" s="7">
        <v>81211.819999998</v>
      </c>
      <c r="I3806" s="7">
        <v>0</v>
      </c>
      <c r="J3806" s="8">
        <v>0</v>
      </c>
      <c r="K3806" s="9" t="str">
        <v/>
      </c>
    </row>
    <row r="3807" spans="1:11">
      <c r="A3807" t="str">
        <v/>
      </c>
      <c r="B3807" s="6">
        <v>0</v>
      </c>
      <c r="C3807" s="7" t="str">
        <v>趣点购浦发</v>
      </c>
      <c r="D3807" s="8">
        <v>0</v>
      </c>
      <c r="E3807" s="7">
        <v>0</v>
      </c>
      <c r="F3807" s="8">
        <v>0</v>
      </c>
      <c r="G3807" s="7">
        <v>0</v>
      </c>
      <c r="H3807" s="7">
        <v>81211.819999998</v>
      </c>
      <c r="I3807" s="7">
        <v>0</v>
      </c>
      <c r="J3807" s="8">
        <v>0</v>
      </c>
      <c r="K3807" s="9" t="str">
        <v/>
      </c>
    </row>
    <row r="3808" spans="1:11">
      <c r="A3808" t="str">
        <v/>
      </c>
      <c r="B3808" s="6">
        <v>0</v>
      </c>
      <c r="C3808" s="7" t="str">
        <v>趣点购浦发</v>
      </c>
      <c r="D3808" s="8">
        <v>0</v>
      </c>
      <c r="E3808" s="7">
        <v>0</v>
      </c>
      <c r="F3808" s="8">
        <v>0</v>
      </c>
      <c r="G3808" s="7">
        <v>0</v>
      </c>
      <c r="H3808" s="7">
        <v>81211.819999998</v>
      </c>
      <c r="I3808" s="7">
        <v>0</v>
      </c>
      <c r="J3808" s="8">
        <v>0</v>
      </c>
      <c r="K3808" s="9" t="str">
        <v/>
      </c>
    </row>
    <row r="3809" spans="1:11">
      <c r="A3809" t="str">
        <v/>
      </c>
      <c r="B3809" s="6">
        <v>0</v>
      </c>
      <c r="C3809" s="7" t="str">
        <v>趣点购浦发</v>
      </c>
      <c r="D3809" s="8">
        <v>0</v>
      </c>
      <c r="E3809" s="7">
        <v>0</v>
      </c>
      <c r="F3809" s="8">
        <v>0</v>
      </c>
      <c r="G3809" s="7">
        <v>0</v>
      </c>
      <c r="H3809" s="7">
        <v>81211.819999998</v>
      </c>
      <c r="I3809" s="7">
        <v>0</v>
      </c>
      <c r="J3809" s="8">
        <v>0</v>
      </c>
      <c r="K3809" s="9" t="str">
        <v/>
      </c>
    </row>
    <row r="3810" spans="1:11">
      <c r="A3810" t="str">
        <v/>
      </c>
      <c r="B3810" s="6">
        <v>0</v>
      </c>
      <c r="C3810" s="7" t="str">
        <v>趣点购浦发</v>
      </c>
      <c r="D3810" s="8">
        <v>0</v>
      </c>
      <c r="E3810" s="7">
        <v>0</v>
      </c>
      <c r="F3810" s="8">
        <v>0</v>
      </c>
      <c r="G3810" s="7">
        <v>0</v>
      </c>
      <c r="H3810" s="7">
        <v>81211.819999998</v>
      </c>
      <c r="I3810" s="7">
        <v>0</v>
      </c>
      <c r="J3810" s="8">
        <v>0</v>
      </c>
      <c r="K3810" s="9" t="str">
        <v/>
      </c>
    </row>
    <row r="3811" spans="1:11">
      <c r="A3811" t="str">
        <v/>
      </c>
      <c r="B3811" s="6">
        <v>0</v>
      </c>
      <c r="C3811" s="7" t="str">
        <v>趣点购浦发</v>
      </c>
      <c r="D3811" s="8">
        <v>0</v>
      </c>
      <c r="E3811" s="7">
        <v>0</v>
      </c>
      <c r="F3811" s="8">
        <v>0</v>
      </c>
      <c r="G3811" s="7">
        <v>0</v>
      </c>
      <c r="H3811" s="7">
        <v>81211.819999998</v>
      </c>
      <c r="I3811" s="7">
        <v>0</v>
      </c>
      <c r="J3811" s="8">
        <v>0</v>
      </c>
      <c r="K3811" s="9" t="str">
        <v/>
      </c>
    </row>
    <row r="3812" spans="1:11">
      <c r="A3812" t="str">
        <v/>
      </c>
      <c r="B3812" s="6">
        <v>0</v>
      </c>
      <c r="C3812" s="7" t="str">
        <v>趣点购浦发</v>
      </c>
      <c r="D3812" s="8">
        <v>0</v>
      </c>
      <c r="E3812" s="7">
        <v>0</v>
      </c>
      <c r="F3812" s="8">
        <v>0</v>
      </c>
      <c r="G3812" s="7">
        <v>0</v>
      </c>
      <c r="H3812" s="7">
        <v>81211.819999998</v>
      </c>
      <c r="I3812" s="7">
        <v>0</v>
      </c>
      <c r="J3812" s="8">
        <v>0</v>
      </c>
      <c r="K3812" s="9" t="str">
        <v/>
      </c>
    </row>
    <row r="3813" spans="1:11">
      <c r="A3813" t="str">
        <v/>
      </c>
      <c r="B3813" s="6">
        <v>0</v>
      </c>
      <c r="C3813" s="7" t="str">
        <v>趣点购浦发</v>
      </c>
      <c r="D3813" s="8">
        <v>0</v>
      </c>
      <c r="E3813" s="7">
        <v>0</v>
      </c>
      <c r="F3813" s="8">
        <v>0</v>
      </c>
      <c r="G3813" s="7">
        <v>0</v>
      </c>
      <c r="H3813" s="7">
        <v>81211.819999998</v>
      </c>
      <c r="I3813" s="7">
        <v>0</v>
      </c>
      <c r="J3813" s="8">
        <v>0</v>
      </c>
      <c r="K3813" s="9" t="str">
        <v/>
      </c>
    </row>
    <row r="3814" spans="1:11">
      <c r="A3814" t="str">
        <v/>
      </c>
      <c r="B3814" s="6">
        <v>0</v>
      </c>
      <c r="C3814" s="7" t="str">
        <v>趣点购浦发</v>
      </c>
      <c r="D3814" s="8">
        <v>0</v>
      </c>
      <c r="E3814" s="7">
        <v>0</v>
      </c>
      <c r="F3814" s="8">
        <v>0</v>
      </c>
      <c r="G3814" s="7">
        <v>0</v>
      </c>
      <c r="H3814" s="7">
        <v>81211.819999998</v>
      </c>
      <c r="I3814" s="7">
        <v>0</v>
      </c>
      <c r="J3814" s="8">
        <v>0</v>
      </c>
      <c r="K3814" s="9" t="str">
        <v/>
      </c>
    </row>
    <row r="3815" spans="1:11">
      <c r="A3815" t="str">
        <v/>
      </c>
      <c r="B3815" s="6">
        <v>0</v>
      </c>
      <c r="C3815" s="7" t="str">
        <v>趣点购浦发</v>
      </c>
      <c r="D3815" s="8">
        <v>0</v>
      </c>
      <c r="E3815" s="7">
        <v>0</v>
      </c>
      <c r="F3815" s="8">
        <v>0</v>
      </c>
      <c r="G3815" s="7">
        <v>0</v>
      </c>
      <c r="H3815" s="7">
        <v>81211.819999998</v>
      </c>
      <c r="I3815" s="7">
        <v>0</v>
      </c>
      <c r="J3815" s="8">
        <v>0</v>
      </c>
      <c r="K3815" s="9" t="str">
        <v/>
      </c>
    </row>
    <row r="3816" spans="1:11">
      <c r="A3816" t="str">
        <v/>
      </c>
      <c r="B3816" s="6">
        <v>0</v>
      </c>
      <c r="C3816" s="7" t="str">
        <v>趣点购浦发</v>
      </c>
      <c r="D3816" s="8">
        <v>0</v>
      </c>
      <c r="E3816" s="7">
        <v>0</v>
      </c>
      <c r="F3816" s="8">
        <v>0</v>
      </c>
      <c r="G3816" s="7">
        <v>0</v>
      </c>
      <c r="H3816" s="7">
        <v>81211.819999998</v>
      </c>
      <c r="I3816" s="7">
        <v>0</v>
      </c>
      <c r="J3816" s="8">
        <v>0</v>
      </c>
      <c r="K3816" s="9" t="str">
        <v/>
      </c>
    </row>
    <row r="3817" spans="1:11">
      <c r="A3817" t="str">
        <v/>
      </c>
      <c r="B3817" s="6">
        <v>0</v>
      </c>
      <c r="C3817" s="7" t="str">
        <v>趣点购浦发</v>
      </c>
      <c r="D3817" s="8">
        <v>0</v>
      </c>
      <c r="E3817" s="7">
        <v>0</v>
      </c>
      <c r="F3817" s="8">
        <v>0</v>
      </c>
      <c r="G3817" s="7">
        <v>0</v>
      </c>
      <c r="H3817" s="7">
        <v>81211.819999998</v>
      </c>
      <c r="I3817" s="7">
        <v>0</v>
      </c>
      <c r="J3817" s="8">
        <v>0</v>
      </c>
      <c r="K3817" s="9" t="str">
        <v/>
      </c>
    </row>
    <row r="3818" spans="1:11">
      <c r="A3818" t="str">
        <v/>
      </c>
      <c r="B3818" s="6">
        <v>0</v>
      </c>
      <c r="C3818" s="7" t="str">
        <v>趣点购浦发</v>
      </c>
      <c r="D3818" s="8">
        <v>0</v>
      </c>
      <c r="E3818" s="7">
        <v>0</v>
      </c>
      <c r="F3818" s="8">
        <v>0</v>
      </c>
      <c r="G3818" s="7">
        <v>0</v>
      </c>
      <c r="H3818" s="7">
        <v>81211.819999998</v>
      </c>
      <c r="I3818" s="7">
        <v>0</v>
      </c>
      <c r="J3818" s="8">
        <v>0</v>
      </c>
      <c r="K3818" s="9" t="str">
        <v/>
      </c>
    </row>
    <row r="3819" spans="1:11">
      <c r="A3819" t="str">
        <v/>
      </c>
      <c r="B3819" s="6">
        <v>0</v>
      </c>
      <c r="C3819" s="7" t="str">
        <v>趣点购浦发</v>
      </c>
      <c r="D3819" s="8">
        <v>0</v>
      </c>
      <c r="E3819" s="7">
        <v>0</v>
      </c>
      <c r="F3819" s="8">
        <v>0</v>
      </c>
      <c r="G3819" s="7">
        <v>0</v>
      </c>
      <c r="H3819" s="7">
        <v>81211.819999998</v>
      </c>
      <c r="I3819" s="7">
        <v>0</v>
      </c>
      <c r="J3819" s="8">
        <v>0</v>
      </c>
      <c r="K3819" s="9" t="str">
        <v/>
      </c>
    </row>
    <row r="3820" spans="1:11">
      <c r="A3820" t="str">
        <v/>
      </c>
      <c r="B3820" s="6">
        <v>0</v>
      </c>
      <c r="C3820" s="7" t="str">
        <v>趣点购浦发</v>
      </c>
      <c r="D3820" s="8">
        <v>0</v>
      </c>
      <c r="E3820" s="7">
        <v>0</v>
      </c>
      <c r="F3820" s="8">
        <v>0</v>
      </c>
      <c r="G3820" s="7">
        <v>0</v>
      </c>
      <c r="H3820" s="7">
        <v>81211.819999998</v>
      </c>
      <c r="I3820" s="7">
        <v>0</v>
      </c>
      <c r="J3820" s="8">
        <v>0</v>
      </c>
      <c r="K3820" s="9" t="str">
        <v/>
      </c>
    </row>
    <row r="3821" spans="1:11">
      <c r="A3821" t="str">
        <v/>
      </c>
      <c r="B3821" s="6">
        <v>0</v>
      </c>
      <c r="C3821" s="7" t="str">
        <v>趣点购浦发</v>
      </c>
      <c r="D3821" s="8">
        <v>0</v>
      </c>
      <c r="E3821" s="7">
        <v>0</v>
      </c>
      <c r="F3821" s="8">
        <v>0</v>
      </c>
      <c r="G3821" s="7">
        <v>0</v>
      </c>
      <c r="H3821" s="7">
        <v>81211.819999998</v>
      </c>
      <c r="I3821" s="7">
        <v>0</v>
      </c>
      <c r="J3821" s="8">
        <v>0</v>
      </c>
      <c r="K3821" s="9" t="str">
        <v/>
      </c>
    </row>
    <row r="3822" spans="1:11">
      <c r="A3822" t="str">
        <v/>
      </c>
      <c r="B3822" s="6">
        <v>0</v>
      </c>
      <c r="C3822" s="7" t="str">
        <v>趣点购浦发</v>
      </c>
      <c r="D3822" s="8">
        <v>0</v>
      </c>
      <c r="E3822" s="7">
        <v>0</v>
      </c>
      <c r="F3822" s="8">
        <v>0</v>
      </c>
      <c r="G3822" s="7">
        <v>0</v>
      </c>
      <c r="H3822" s="7">
        <v>81211.819999998</v>
      </c>
      <c r="I3822" s="7">
        <v>0</v>
      </c>
      <c r="J3822" s="8">
        <v>0</v>
      </c>
      <c r="K3822" s="9" t="str">
        <v/>
      </c>
    </row>
    <row r="3823" spans="1:11">
      <c r="A3823" t="str">
        <v/>
      </c>
      <c r="B3823" s="6">
        <v>0</v>
      </c>
      <c r="C3823" s="7" t="str">
        <v>趣点购浦发</v>
      </c>
      <c r="D3823" s="8">
        <v>0</v>
      </c>
      <c r="E3823" s="7">
        <v>0</v>
      </c>
      <c r="F3823" s="8">
        <v>0</v>
      </c>
      <c r="G3823" s="7">
        <v>0</v>
      </c>
      <c r="H3823" s="7">
        <v>81211.819999998</v>
      </c>
      <c r="I3823" s="7">
        <v>0</v>
      </c>
      <c r="J3823" s="8">
        <v>0</v>
      </c>
      <c r="K3823" s="9" t="str">
        <v/>
      </c>
    </row>
    <row r="3824" spans="1:11">
      <c r="A3824" t="str">
        <v/>
      </c>
      <c r="B3824" s="6">
        <v>0</v>
      </c>
      <c r="C3824" s="7" t="str">
        <v>趣点购浦发</v>
      </c>
      <c r="D3824" s="8">
        <v>0</v>
      </c>
      <c r="E3824" s="7">
        <v>0</v>
      </c>
      <c r="F3824" s="8">
        <v>0</v>
      </c>
      <c r="G3824" s="7">
        <v>0</v>
      </c>
      <c r="H3824" s="7">
        <v>81211.819999998</v>
      </c>
      <c r="I3824" s="7">
        <v>0</v>
      </c>
      <c r="J3824" s="8">
        <v>0</v>
      </c>
      <c r="K3824" s="9" t="str">
        <v/>
      </c>
    </row>
    <row r="3825" spans="1:11">
      <c r="A3825" t="str">
        <v/>
      </c>
      <c r="B3825" s="6">
        <v>0</v>
      </c>
      <c r="C3825" s="7" t="str">
        <v>趣点购浦发</v>
      </c>
      <c r="D3825" s="8">
        <v>0</v>
      </c>
      <c r="E3825" s="7">
        <v>0</v>
      </c>
      <c r="F3825" s="8">
        <v>0</v>
      </c>
      <c r="G3825" s="7">
        <v>0</v>
      </c>
      <c r="H3825" s="7">
        <v>81211.819999998</v>
      </c>
      <c r="I3825" s="7">
        <v>0</v>
      </c>
      <c r="J3825" s="8">
        <v>0</v>
      </c>
      <c r="K3825" s="9" t="str">
        <v/>
      </c>
    </row>
    <row r="3826" spans="1:11">
      <c r="A3826" t="str">
        <v/>
      </c>
      <c r="B3826" s="6">
        <v>0</v>
      </c>
      <c r="C3826" s="7" t="str">
        <v>趣点购浦发</v>
      </c>
      <c r="D3826" s="8">
        <v>0</v>
      </c>
      <c r="E3826" s="7">
        <v>0</v>
      </c>
      <c r="F3826" s="8">
        <v>0</v>
      </c>
      <c r="G3826" s="7">
        <v>0</v>
      </c>
      <c r="H3826" s="7">
        <v>81211.819999998</v>
      </c>
      <c r="I3826" s="7">
        <v>0</v>
      </c>
      <c r="J3826" s="8">
        <v>0</v>
      </c>
      <c r="K3826" s="9" t="str">
        <v/>
      </c>
    </row>
    <row r="3827" spans="1:11">
      <c r="A3827" t="str">
        <v/>
      </c>
      <c r="B3827" s="6">
        <v>0</v>
      </c>
      <c r="C3827" s="7" t="str">
        <v>趣点购浦发</v>
      </c>
      <c r="D3827" s="8">
        <v>0</v>
      </c>
      <c r="E3827" s="7">
        <v>0</v>
      </c>
      <c r="F3827" s="8">
        <v>0</v>
      </c>
      <c r="G3827" s="7">
        <v>0</v>
      </c>
      <c r="H3827" s="7">
        <v>81211.819999998</v>
      </c>
      <c r="I3827" s="7">
        <v>0</v>
      </c>
      <c r="J3827" s="8">
        <v>0</v>
      </c>
      <c r="K3827" s="9" t="str">
        <v/>
      </c>
    </row>
    <row r="3828" spans="1:11">
      <c r="A3828" t="str">
        <v/>
      </c>
      <c r="B3828" s="6">
        <v>0</v>
      </c>
      <c r="C3828" s="7" t="str">
        <v>趣点购浦发</v>
      </c>
      <c r="D3828" s="8">
        <v>0</v>
      </c>
      <c r="E3828" s="7">
        <v>0</v>
      </c>
      <c r="F3828" s="8">
        <v>0</v>
      </c>
      <c r="G3828" s="7">
        <v>0</v>
      </c>
      <c r="H3828" s="7">
        <v>81211.819999998</v>
      </c>
      <c r="I3828" s="7">
        <v>0</v>
      </c>
      <c r="J3828" s="8">
        <v>0</v>
      </c>
      <c r="K3828" s="9" t="str">
        <v/>
      </c>
    </row>
    <row r="3829" spans="1:11">
      <c r="A3829" t="str">
        <v/>
      </c>
      <c r="B3829" s="6">
        <v>0</v>
      </c>
      <c r="C3829" s="7" t="str">
        <v>趣点购浦发</v>
      </c>
      <c r="D3829" s="8">
        <v>0</v>
      </c>
      <c r="E3829" s="7">
        <v>0</v>
      </c>
      <c r="F3829" s="8">
        <v>0</v>
      </c>
      <c r="G3829" s="7">
        <v>0</v>
      </c>
      <c r="H3829" s="7">
        <v>81211.819999998</v>
      </c>
      <c r="I3829" s="7">
        <v>0</v>
      </c>
      <c r="J3829" s="8">
        <v>0</v>
      </c>
      <c r="K3829" s="9" t="str">
        <v/>
      </c>
    </row>
    <row r="3830" spans="1:11">
      <c r="A3830" t="str">
        <v/>
      </c>
      <c r="B3830" s="6">
        <v>0</v>
      </c>
      <c r="C3830" s="7" t="str">
        <v>趣点购浦发</v>
      </c>
      <c r="D3830" s="8">
        <v>0</v>
      </c>
      <c r="E3830" s="7">
        <v>0</v>
      </c>
      <c r="F3830" s="8">
        <v>0</v>
      </c>
      <c r="G3830" s="7">
        <v>0</v>
      </c>
      <c r="H3830" s="7">
        <v>81211.819999998</v>
      </c>
      <c r="I3830" s="7">
        <v>0</v>
      </c>
      <c r="J3830" s="8">
        <v>0</v>
      </c>
      <c r="K3830" s="9" t="str">
        <v/>
      </c>
    </row>
    <row r="3831" spans="1:11">
      <c r="A3831" t="str">
        <v/>
      </c>
      <c r="B3831" s="6">
        <v>0</v>
      </c>
      <c r="C3831" s="7" t="str">
        <v>趣点购浦发</v>
      </c>
      <c r="D3831" s="8">
        <v>0</v>
      </c>
      <c r="E3831" s="7">
        <v>0</v>
      </c>
      <c r="F3831" s="8">
        <v>0</v>
      </c>
      <c r="G3831" s="7">
        <v>0</v>
      </c>
      <c r="H3831" s="7">
        <v>81211.819999998</v>
      </c>
      <c r="I3831" s="7">
        <v>0</v>
      </c>
      <c r="J3831" s="8">
        <v>0</v>
      </c>
      <c r="K3831" s="9" t="str">
        <v/>
      </c>
    </row>
    <row r="3832" spans="1:11">
      <c r="A3832" t="str">
        <v/>
      </c>
      <c r="B3832" s="6">
        <v>0</v>
      </c>
      <c r="C3832" s="7" t="str">
        <v>趣点购浦发</v>
      </c>
      <c r="D3832" s="8">
        <v>0</v>
      </c>
      <c r="E3832" s="7">
        <v>0</v>
      </c>
      <c r="F3832" s="8">
        <v>0</v>
      </c>
      <c r="G3832" s="7">
        <v>0</v>
      </c>
      <c r="H3832" s="7">
        <v>81211.819999998</v>
      </c>
      <c r="I3832" s="7">
        <v>0</v>
      </c>
      <c r="J3832" s="8">
        <v>0</v>
      </c>
      <c r="K3832" s="9" t="str">
        <v/>
      </c>
    </row>
    <row r="3833" spans="1:11">
      <c r="A3833" t="str">
        <v/>
      </c>
      <c r="B3833" s="6">
        <v>0</v>
      </c>
      <c r="C3833" s="7" t="str">
        <v>趣点购浦发</v>
      </c>
      <c r="D3833" s="8">
        <v>0</v>
      </c>
      <c r="E3833" s="7">
        <v>0</v>
      </c>
      <c r="F3833" s="8">
        <v>0</v>
      </c>
      <c r="G3833" s="7">
        <v>0</v>
      </c>
      <c r="H3833" s="7">
        <v>81211.819999998</v>
      </c>
      <c r="I3833" s="7">
        <v>0</v>
      </c>
      <c r="J3833" s="8">
        <v>0</v>
      </c>
      <c r="K3833" s="9" t="str">
        <v/>
      </c>
    </row>
    <row r="3834" spans="1:11">
      <c r="A3834" t="str">
        <v/>
      </c>
      <c r="B3834" s="6">
        <v>0</v>
      </c>
      <c r="C3834" s="7" t="str">
        <v>趣点购浦发</v>
      </c>
      <c r="D3834" s="8">
        <v>0</v>
      </c>
      <c r="E3834" s="7">
        <v>0</v>
      </c>
      <c r="F3834" s="8">
        <v>0</v>
      </c>
      <c r="G3834" s="7">
        <v>0</v>
      </c>
      <c r="H3834" s="7">
        <v>81211.819999998</v>
      </c>
      <c r="I3834" s="7">
        <v>0</v>
      </c>
      <c r="J3834" s="8">
        <v>0</v>
      </c>
      <c r="K3834" s="9" t="str">
        <v/>
      </c>
    </row>
    <row r="3835" spans="1:11">
      <c r="A3835" t="str">
        <v/>
      </c>
      <c r="B3835" s="6">
        <v>0</v>
      </c>
      <c r="C3835" s="7" t="str">
        <v>趣点购浦发</v>
      </c>
      <c r="D3835" s="8">
        <v>0</v>
      </c>
      <c r="E3835" s="7">
        <v>0</v>
      </c>
      <c r="F3835" s="8">
        <v>0</v>
      </c>
      <c r="G3835" s="7">
        <v>0</v>
      </c>
      <c r="H3835" s="7">
        <v>81211.819999998</v>
      </c>
      <c r="I3835" s="7">
        <v>0</v>
      </c>
      <c r="J3835" s="8">
        <v>0</v>
      </c>
      <c r="K3835" s="9" t="str">
        <v/>
      </c>
    </row>
    <row r="3836" spans="1:11">
      <c r="A3836" t="str">
        <v/>
      </c>
      <c r="B3836" s="6">
        <v>0</v>
      </c>
      <c r="C3836" s="7" t="str">
        <v>趣点购浦发</v>
      </c>
      <c r="D3836" s="8">
        <v>0</v>
      </c>
      <c r="E3836" s="7">
        <v>0</v>
      </c>
      <c r="F3836" s="8">
        <v>0</v>
      </c>
      <c r="G3836" s="7">
        <v>0</v>
      </c>
      <c r="H3836" s="7">
        <v>81211.819999998</v>
      </c>
      <c r="I3836" s="7">
        <v>0</v>
      </c>
      <c r="J3836" s="8">
        <v>0</v>
      </c>
      <c r="K3836" s="9" t="str">
        <v/>
      </c>
    </row>
    <row r="3837" spans="1:11">
      <c r="A3837" t="str">
        <v/>
      </c>
      <c r="B3837" s="6">
        <v>0</v>
      </c>
      <c r="C3837" s="7" t="str">
        <v>趣点购浦发</v>
      </c>
      <c r="D3837" s="8">
        <v>0</v>
      </c>
      <c r="E3837" s="7">
        <v>0</v>
      </c>
      <c r="F3837" s="8">
        <v>0</v>
      </c>
      <c r="G3837" s="7">
        <v>0</v>
      </c>
      <c r="H3837" s="7">
        <v>81211.819999998</v>
      </c>
      <c r="I3837" s="7">
        <v>0</v>
      </c>
      <c r="J3837" s="8">
        <v>0</v>
      </c>
      <c r="K3837" s="9" t="str">
        <v/>
      </c>
    </row>
    <row r="3838" spans="1:11">
      <c r="A3838" t="str">
        <v/>
      </c>
      <c r="B3838" s="6">
        <v>0</v>
      </c>
      <c r="C3838" s="7" t="str">
        <v>趣点购浦发</v>
      </c>
      <c r="D3838" s="8">
        <v>0</v>
      </c>
      <c r="E3838" s="7">
        <v>0</v>
      </c>
      <c r="F3838" s="8">
        <v>0</v>
      </c>
      <c r="G3838" s="7">
        <v>0</v>
      </c>
      <c r="H3838" s="7">
        <v>81211.819999998</v>
      </c>
      <c r="I3838" s="7">
        <v>0</v>
      </c>
      <c r="J3838" s="8">
        <v>0</v>
      </c>
      <c r="K3838" s="9" t="str">
        <v/>
      </c>
    </row>
    <row r="3839" spans="1:11">
      <c r="A3839" t="str">
        <v/>
      </c>
      <c r="B3839" s="6">
        <v>0</v>
      </c>
      <c r="C3839" s="7" t="str">
        <v>趣点购浦发</v>
      </c>
      <c r="D3839" s="8">
        <v>0</v>
      </c>
      <c r="E3839" s="7">
        <v>0</v>
      </c>
      <c r="F3839" s="8">
        <v>0</v>
      </c>
      <c r="G3839" s="7">
        <v>0</v>
      </c>
      <c r="H3839" s="7">
        <v>81211.819999998</v>
      </c>
      <c r="I3839" s="7">
        <v>0</v>
      </c>
      <c r="J3839" s="8">
        <v>0</v>
      </c>
      <c r="K3839" s="9" t="str">
        <v/>
      </c>
    </row>
    <row r="3840" spans="1:11">
      <c r="A3840" t="str">
        <v/>
      </c>
      <c r="B3840" s="6">
        <v>0</v>
      </c>
      <c r="C3840" s="7" t="str">
        <v>趣点购浦发</v>
      </c>
      <c r="D3840" s="8">
        <v>0</v>
      </c>
      <c r="E3840" s="7">
        <v>0</v>
      </c>
      <c r="F3840" s="8">
        <v>0</v>
      </c>
      <c r="G3840" s="7">
        <v>0</v>
      </c>
      <c r="H3840" s="7">
        <v>81211.819999998</v>
      </c>
      <c r="I3840" s="7">
        <v>0</v>
      </c>
      <c r="J3840" s="8">
        <v>0</v>
      </c>
      <c r="K3840" s="9" t="str">
        <v/>
      </c>
    </row>
    <row r="3841" spans="1:11">
      <c r="A3841" t="str">
        <v/>
      </c>
      <c r="B3841" s="6">
        <v>0</v>
      </c>
      <c r="C3841" s="7" t="str">
        <v>趣点购浦发</v>
      </c>
      <c r="D3841" s="8">
        <v>0</v>
      </c>
      <c r="E3841" s="7">
        <v>0</v>
      </c>
      <c r="F3841" s="8">
        <v>0</v>
      </c>
      <c r="G3841" s="7">
        <v>0</v>
      </c>
      <c r="H3841" s="7">
        <v>81211.819999998</v>
      </c>
      <c r="I3841" s="7">
        <v>0</v>
      </c>
      <c r="J3841" s="8">
        <v>0</v>
      </c>
      <c r="K3841" s="9" t="str">
        <v/>
      </c>
    </row>
    <row r="3842" spans="1:11">
      <c r="A3842" t="str">
        <v/>
      </c>
      <c r="B3842" s="6">
        <v>0</v>
      </c>
      <c r="C3842" s="7" t="str">
        <v>趣点购浦发</v>
      </c>
      <c r="D3842" s="8">
        <v>0</v>
      </c>
      <c r="E3842" s="7">
        <v>0</v>
      </c>
      <c r="F3842" s="8">
        <v>0</v>
      </c>
      <c r="G3842" s="7">
        <v>0</v>
      </c>
      <c r="H3842" s="7">
        <v>81211.819999998</v>
      </c>
      <c r="I3842" s="7">
        <v>0</v>
      </c>
      <c r="J3842" s="8">
        <v>0</v>
      </c>
      <c r="K3842" s="9" t="str">
        <v/>
      </c>
    </row>
    <row r="3843" spans="1:11">
      <c r="A3843" t="str">
        <v/>
      </c>
      <c r="B3843" s="6">
        <v>0</v>
      </c>
      <c r="C3843" s="7" t="str">
        <v>趣点购浦发</v>
      </c>
      <c r="D3843" s="8">
        <v>0</v>
      </c>
      <c r="E3843" s="7">
        <v>0</v>
      </c>
      <c r="F3843" s="8">
        <v>0</v>
      </c>
      <c r="G3843" s="7">
        <v>0</v>
      </c>
      <c r="H3843" s="7">
        <v>81211.819999998</v>
      </c>
      <c r="I3843" s="7">
        <v>0</v>
      </c>
      <c r="J3843" s="8">
        <v>0</v>
      </c>
      <c r="K3843" s="9" t="str">
        <v/>
      </c>
    </row>
    <row r="3844" spans="1:11">
      <c r="A3844" t="str">
        <v/>
      </c>
      <c r="B3844" s="6">
        <v>0</v>
      </c>
      <c r="C3844" s="7" t="str">
        <v>趣点购浦发</v>
      </c>
      <c r="D3844" s="8">
        <v>0</v>
      </c>
      <c r="E3844" s="7">
        <v>0</v>
      </c>
      <c r="F3844" s="8">
        <v>0</v>
      </c>
      <c r="G3844" s="7">
        <v>0</v>
      </c>
      <c r="H3844" s="7">
        <v>81211.819999998</v>
      </c>
      <c r="I3844" s="7">
        <v>0</v>
      </c>
      <c r="J3844" s="8">
        <v>0</v>
      </c>
      <c r="K3844" s="9" t="str">
        <v/>
      </c>
    </row>
    <row r="3845" spans="1:11">
      <c r="A3845" t="str">
        <v/>
      </c>
      <c r="B3845" s="6">
        <v>0</v>
      </c>
      <c r="C3845" s="7" t="str">
        <v>趣点购浦发</v>
      </c>
      <c r="D3845" s="8">
        <v>0</v>
      </c>
      <c r="E3845" s="7">
        <v>0</v>
      </c>
      <c r="F3845" s="8">
        <v>0</v>
      </c>
      <c r="G3845" s="7">
        <v>0</v>
      </c>
      <c r="H3845" s="7">
        <v>81211.819999998</v>
      </c>
      <c r="I3845" s="7">
        <v>0</v>
      </c>
      <c r="J3845" s="8">
        <v>0</v>
      </c>
      <c r="K3845" s="9" t="str">
        <v/>
      </c>
    </row>
    <row r="3846" spans="1:11">
      <c r="A3846" t="str">
        <v/>
      </c>
      <c r="B3846" s="6">
        <v>0</v>
      </c>
      <c r="C3846" s="7" t="str">
        <v>趣点购浦发</v>
      </c>
      <c r="D3846" s="8">
        <v>0</v>
      </c>
      <c r="E3846" s="7">
        <v>0</v>
      </c>
      <c r="F3846" s="8">
        <v>0</v>
      </c>
      <c r="G3846" s="7">
        <v>0</v>
      </c>
      <c r="H3846" s="7">
        <v>81211.819999998</v>
      </c>
      <c r="I3846" s="7">
        <v>0</v>
      </c>
      <c r="J3846" s="8">
        <v>0</v>
      </c>
      <c r="K3846" s="9" t="str">
        <v/>
      </c>
    </row>
    <row r="3847" spans="1:11">
      <c r="A3847" t="str">
        <v/>
      </c>
      <c r="B3847" s="6">
        <v>0</v>
      </c>
      <c r="C3847" s="7" t="str">
        <v>趣点购浦发</v>
      </c>
      <c r="D3847" s="8">
        <v>0</v>
      </c>
      <c r="E3847" s="7">
        <v>0</v>
      </c>
      <c r="F3847" s="8">
        <v>0</v>
      </c>
      <c r="G3847" s="7">
        <v>0</v>
      </c>
      <c r="H3847" s="7">
        <v>81211.819999998</v>
      </c>
      <c r="I3847" s="7">
        <v>0</v>
      </c>
      <c r="J3847" s="8">
        <v>0</v>
      </c>
      <c r="K3847" s="9" t="str">
        <v/>
      </c>
    </row>
    <row r="3848" spans="1:11">
      <c r="A3848" t="str">
        <v/>
      </c>
      <c r="B3848" s="6">
        <v>0</v>
      </c>
      <c r="C3848" s="7" t="str">
        <v>趣点购浦发</v>
      </c>
      <c r="D3848" s="8">
        <v>0</v>
      </c>
      <c r="E3848" s="7">
        <v>0</v>
      </c>
      <c r="F3848" s="8">
        <v>0</v>
      </c>
      <c r="G3848" s="7">
        <v>0</v>
      </c>
      <c r="H3848" s="7">
        <v>81211.819999998</v>
      </c>
      <c r="I3848" s="7">
        <v>0</v>
      </c>
      <c r="J3848" s="8">
        <v>0</v>
      </c>
      <c r="K3848" s="9" t="str">
        <v/>
      </c>
    </row>
    <row r="3849" spans="1:11">
      <c r="A3849" t="str">
        <v/>
      </c>
      <c r="B3849" s="6">
        <v>0</v>
      </c>
      <c r="C3849" s="7" t="str">
        <v>趣点购浦发</v>
      </c>
      <c r="D3849" s="8">
        <v>0</v>
      </c>
      <c r="E3849" s="7">
        <v>0</v>
      </c>
      <c r="F3849" s="8">
        <v>0</v>
      </c>
      <c r="G3849" s="7">
        <v>0</v>
      </c>
      <c r="H3849" s="7">
        <v>81211.819999998</v>
      </c>
      <c r="I3849" s="7">
        <v>0</v>
      </c>
      <c r="J3849" s="8">
        <v>0</v>
      </c>
      <c r="K3849" s="9" t="str">
        <v/>
      </c>
    </row>
    <row r="3850" spans="1:11">
      <c r="A3850" t="str">
        <v/>
      </c>
      <c r="B3850" s="6">
        <v>0</v>
      </c>
      <c r="C3850" s="7" t="str">
        <v>趣点购浦发</v>
      </c>
      <c r="D3850" s="8">
        <v>0</v>
      </c>
      <c r="E3850" s="7">
        <v>0</v>
      </c>
      <c r="F3850" s="8">
        <v>0</v>
      </c>
      <c r="G3850" s="7">
        <v>0</v>
      </c>
      <c r="H3850" s="7">
        <v>81211.819999998</v>
      </c>
      <c r="I3850" s="7">
        <v>0</v>
      </c>
      <c r="J3850" s="8">
        <v>0</v>
      </c>
      <c r="K3850" s="9" t="str">
        <v/>
      </c>
    </row>
    <row r="3851" spans="1:11">
      <c r="A3851" t="str">
        <v/>
      </c>
      <c r="B3851" s="6">
        <v>0</v>
      </c>
      <c r="C3851" s="7" t="str">
        <v>趣点购浦发</v>
      </c>
      <c r="D3851" s="8">
        <v>0</v>
      </c>
      <c r="E3851" s="7">
        <v>0</v>
      </c>
      <c r="F3851" s="8">
        <v>0</v>
      </c>
      <c r="G3851" s="7">
        <v>0</v>
      </c>
      <c r="H3851" s="7">
        <v>81211.819999998</v>
      </c>
      <c r="I3851" s="7">
        <v>0</v>
      </c>
      <c r="J3851" s="8">
        <v>0</v>
      </c>
      <c r="K3851" s="9" t="str">
        <v/>
      </c>
    </row>
    <row r="3852" spans="1:11">
      <c r="A3852" t="str">
        <v/>
      </c>
      <c r="B3852" s="6">
        <v>0</v>
      </c>
      <c r="C3852" s="7" t="str">
        <v>趣点购浦发</v>
      </c>
      <c r="D3852" s="8">
        <v>0</v>
      </c>
      <c r="E3852" s="7">
        <v>0</v>
      </c>
      <c r="F3852" s="8">
        <v>0</v>
      </c>
      <c r="G3852" s="7">
        <v>0</v>
      </c>
      <c r="H3852" s="7">
        <v>81211.819999998</v>
      </c>
      <c r="I3852" s="7">
        <v>0</v>
      </c>
      <c r="J3852" s="8">
        <v>0</v>
      </c>
      <c r="K3852" s="9" t="str">
        <v/>
      </c>
    </row>
    <row r="3853" spans="1:11">
      <c r="A3853" t="str">
        <v/>
      </c>
      <c r="B3853" s="6">
        <v>0</v>
      </c>
      <c r="C3853" s="7" t="str">
        <v>趣点购浦发</v>
      </c>
      <c r="D3853" s="8">
        <v>0</v>
      </c>
      <c r="E3853" s="7">
        <v>0</v>
      </c>
      <c r="F3853" s="8">
        <v>0</v>
      </c>
      <c r="G3853" s="7">
        <v>0</v>
      </c>
      <c r="H3853" s="7">
        <v>81211.819999998</v>
      </c>
      <c r="I3853" s="7">
        <v>0</v>
      </c>
      <c r="J3853" s="8">
        <v>0</v>
      </c>
      <c r="K3853" s="9" t="str">
        <v/>
      </c>
    </row>
    <row r="3854" spans="1:11">
      <c r="A3854" t="str">
        <v/>
      </c>
      <c r="B3854" s="6">
        <v>0</v>
      </c>
      <c r="C3854" s="7" t="str">
        <v>趣点购浦发</v>
      </c>
      <c r="D3854" s="8">
        <v>0</v>
      </c>
      <c r="E3854" s="7">
        <v>0</v>
      </c>
      <c r="F3854" s="8">
        <v>0</v>
      </c>
      <c r="G3854" s="7">
        <v>0</v>
      </c>
      <c r="H3854" s="7">
        <v>81211.819999998</v>
      </c>
      <c r="I3854" s="7">
        <v>0</v>
      </c>
      <c r="J3854" s="8">
        <v>0</v>
      </c>
      <c r="K3854" s="9" t="str">
        <v/>
      </c>
    </row>
    <row r="3855" spans="1:11">
      <c r="A3855" t="str">
        <v/>
      </c>
      <c r="B3855" s="6">
        <v>0</v>
      </c>
      <c r="C3855" s="7" t="str">
        <v>趣点购浦发</v>
      </c>
      <c r="D3855" s="8">
        <v>0</v>
      </c>
      <c r="E3855" s="7">
        <v>0</v>
      </c>
      <c r="F3855" s="8">
        <v>0</v>
      </c>
      <c r="G3855" s="7">
        <v>0</v>
      </c>
      <c r="H3855" s="7">
        <v>81211.819999998</v>
      </c>
      <c r="I3855" s="7">
        <v>0</v>
      </c>
      <c r="J3855" s="8">
        <v>0</v>
      </c>
      <c r="K3855" s="9" t="str">
        <v/>
      </c>
    </row>
    <row r="3856" spans="1:11">
      <c r="A3856" t="str">
        <v/>
      </c>
      <c r="B3856" s="6">
        <v>0</v>
      </c>
      <c r="C3856" s="7" t="str">
        <v>趣点购浦发</v>
      </c>
      <c r="D3856" s="8">
        <v>0</v>
      </c>
      <c r="E3856" s="7">
        <v>0</v>
      </c>
      <c r="F3856" s="8">
        <v>0</v>
      </c>
      <c r="G3856" s="7">
        <v>0</v>
      </c>
      <c r="H3856" s="7">
        <v>81211.819999998</v>
      </c>
      <c r="I3856" s="7">
        <v>0</v>
      </c>
      <c r="J3856" s="8">
        <v>0</v>
      </c>
      <c r="K3856" s="9" t="str">
        <v/>
      </c>
    </row>
    <row r="3857" spans="1:11">
      <c r="A3857" t="str">
        <v/>
      </c>
      <c r="B3857" s="6">
        <v>0</v>
      </c>
      <c r="C3857" s="7" t="str">
        <v>趣点购浦发</v>
      </c>
      <c r="D3857" s="8">
        <v>0</v>
      </c>
      <c r="E3857" s="7">
        <v>0</v>
      </c>
      <c r="F3857" s="8">
        <v>0</v>
      </c>
      <c r="G3857" s="7">
        <v>0</v>
      </c>
      <c r="H3857" s="7">
        <v>81211.819999998</v>
      </c>
      <c r="I3857" s="7">
        <v>0</v>
      </c>
      <c r="J3857" s="8">
        <v>0</v>
      </c>
      <c r="K3857" s="9" t="str">
        <v/>
      </c>
    </row>
    <row r="3858" spans="1:11">
      <c r="A3858" t="str">
        <v/>
      </c>
      <c r="B3858" s="6">
        <v>0</v>
      </c>
      <c r="C3858" s="7" t="str">
        <v>趣点购浦发</v>
      </c>
      <c r="D3858" s="8">
        <v>0</v>
      </c>
      <c r="E3858" s="7">
        <v>0</v>
      </c>
      <c r="F3858" s="8">
        <v>0</v>
      </c>
      <c r="G3858" s="7">
        <v>0</v>
      </c>
      <c r="H3858" s="7">
        <v>81211.819999998</v>
      </c>
      <c r="I3858" s="7">
        <v>0</v>
      </c>
      <c r="J3858" s="8">
        <v>0</v>
      </c>
      <c r="K3858" s="9" t="str">
        <v/>
      </c>
    </row>
    <row r="3859" spans="1:11">
      <c r="A3859" t="str">
        <v/>
      </c>
      <c r="B3859" s="6">
        <v>0</v>
      </c>
      <c r="C3859" s="7" t="str">
        <v>趣点购浦发</v>
      </c>
      <c r="D3859" s="8">
        <v>0</v>
      </c>
      <c r="E3859" s="7">
        <v>0</v>
      </c>
      <c r="F3859" s="8">
        <v>0</v>
      </c>
      <c r="G3859" s="7">
        <v>0</v>
      </c>
      <c r="H3859" s="7">
        <v>81211.819999998</v>
      </c>
      <c r="I3859" s="7">
        <v>0</v>
      </c>
      <c r="J3859" s="8">
        <v>0</v>
      </c>
      <c r="K3859" s="9" t="str">
        <v/>
      </c>
    </row>
    <row r="3860" spans="1:11">
      <c r="A3860" t="str">
        <v/>
      </c>
      <c r="B3860" s="6">
        <v>0</v>
      </c>
      <c r="C3860" s="7" t="str">
        <v>趣点购浦发</v>
      </c>
      <c r="D3860" s="8">
        <v>0</v>
      </c>
      <c r="E3860" s="7">
        <v>0</v>
      </c>
      <c r="F3860" s="8">
        <v>0</v>
      </c>
      <c r="G3860" s="7">
        <v>0</v>
      </c>
      <c r="H3860" s="7">
        <v>81211.819999998</v>
      </c>
      <c r="I3860" s="7">
        <v>0</v>
      </c>
      <c r="J3860" s="8">
        <v>0</v>
      </c>
      <c r="K3860" s="9" t="str">
        <v/>
      </c>
    </row>
    <row r="3861" spans="1:11">
      <c r="A3861" t="str">
        <v/>
      </c>
      <c r="B3861" s="6">
        <v>0</v>
      </c>
      <c r="C3861" s="7" t="str">
        <v>趣点购浦发</v>
      </c>
      <c r="D3861" s="8">
        <v>0</v>
      </c>
      <c r="E3861" s="7">
        <v>0</v>
      </c>
      <c r="F3861" s="8">
        <v>0</v>
      </c>
      <c r="G3861" s="7">
        <v>0</v>
      </c>
      <c r="H3861" s="7">
        <v>81211.819999998</v>
      </c>
      <c r="I3861" s="7">
        <v>0</v>
      </c>
      <c r="J3861" s="8">
        <v>0</v>
      </c>
      <c r="K3861" s="9" t="str">
        <v/>
      </c>
    </row>
    <row r="3862" spans="1:11">
      <c r="A3862" t="str">
        <v/>
      </c>
      <c r="B3862" s="6">
        <v>0</v>
      </c>
      <c r="C3862" s="7" t="str">
        <v>趣点购浦发</v>
      </c>
      <c r="D3862" s="8">
        <v>0</v>
      </c>
      <c r="E3862" s="7">
        <v>0</v>
      </c>
      <c r="F3862" s="8">
        <v>0</v>
      </c>
      <c r="G3862" s="7">
        <v>0</v>
      </c>
      <c r="H3862" s="7">
        <v>81211.819999998</v>
      </c>
      <c r="I3862" s="7">
        <v>0</v>
      </c>
      <c r="J3862" s="8">
        <v>0</v>
      </c>
      <c r="K3862" s="9" t="str">
        <v/>
      </c>
    </row>
    <row r="3863" spans="1:11">
      <c r="A3863" t="str">
        <v/>
      </c>
      <c r="B3863" s="6">
        <v>0</v>
      </c>
      <c r="C3863" s="7" t="str">
        <v>趣点购浦发</v>
      </c>
      <c r="D3863" s="8">
        <v>0</v>
      </c>
      <c r="E3863" s="7">
        <v>0</v>
      </c>
      <c r="F3863" s="8">
        <v>0</v>
      </c>
      <c r="G3863" s="7">
        <v>0</v>
      </c>
      <c r="H3863" s="7">
        <v>81211.819999998</v>
      </c>
      <c r="I3863" s="7">
        <v>0</v>
      </c>
      <c r="J3863" s="8">
        <v>0</v>
      </c>
      <c r="K3863" s="9" t="str">
        <v/>
      </c>
    </row>
    <row r="3864" spans="1:11">
      <c r="A3864" t="str">
        <v/>
      </c>
      <c r="B3864" s="6">
        <v>0</v>
      </c>
      <c r="C3864" s="7" t="str">
        <v>趣点购浦发</v>
      </c>
      <c r="D3864" s="8">
        <v>0</v>
      </c>
      <c r="E3864" s="7">
        <v>0</v>
      </c>
      <c r="F3864" s="8">
        <v>0</v>
      </c>
      <c r="G3864" s="7">
        <v>0</v>
      </c>
      <c r="H3864" s="7">
        <v>81211.819999998</v>
      </c>
      <c r="I3864" s="7">
        <v>0</v>
      </c>
      <c r="J3864" s="8">
        <v>0</v>
      </c>
      <c r="K3864" s="9" t="str">
        <v/>
      </c>
    </row>
    <row r="3865" spans="1:11">
      <c r="A3865" t="str">
        <v/>
      </c>
      <c r="B3865" s="6">
        <v>0</v>
      </c>
      <c r="C3865" s="7" t="str">
        <v>趣点购浦发</v>
      </c>
      <c r="D3865" s="8">
        <v>0</v>
      </c>
      <c r="E3865" s="7">
        <v>0</v>
      </c>
      <c r="F3865" s="8">
        <v>0</v>
      </c>
      <c r="G3865" s="7">
        <v>0</v>
      </c>
      <c r="H3865" s="7">
        <v>81211.819999998</v>
      </c>
      <c r="I3865" s="7">
        <v>0</v>
      </c>
      <c r="J3865" s="8">
        <v>0</v>
      </c>
      <c r="K3865" s="9" t="str">
        <v/>
      </c>
    </row>
    <row r="3866" spans="1:11">
      <c r="A3866" t="str">
        <v/>
      </c>
      <c r="B3866" s="6">
        <v>0</v>
      </c>
      <c r="C3866" s="7" t="str">
        <v>趣点购浦发</v>
      </c>
      <c r="D3866" s="8">
        <v>0</v>
      </c>
      <c r="E3866" s="7">
        <v>0</v>
      </c>
      <c r="F3866" s="8">
        <v>0</v>
      </c>
      <c r="G3866" s="7">
        <v>0</v>
      </c>
      <c r="H3866" s="7">
        <v>81211.819999998</v>
      </c>
      <c r="I3866" s="7">
        <v>0</v>
      </c>
      <c r="J3866" s="8">
        <v>0</v>
      </c>
      <c r="K3866" s="9" t="str">
        <v/>
      </c>
    </row>
    <row r="3867" spans="1:11">
      <c r="A3867" t="str">
        <v/>
      </c>
      <c r="B3867" s="6">
        <v>0</v>
      </c>
      <c r="C3867" s="7" t="str">
        <v>趣点购浦发</v>
      </c>
      <c r="D3867" s="8">
        <v>0</v>
      </c>
      <c r="E3867" s="7">
        <v>0</v>
      </c>
      <c r="F3867" s="8">
        <v>0</v>
      </c>
      <c r="G3867" s="7">
        <v>0</v>
      </c>
      <c r="H3867" s="7">
        <v>81211.819999998</v>
      </c>
      <c r="I3867" s="7">
        <v>0</v>
      </c>
      <c r="J3867" s="8">
        <v>0</v>
      </c>
      <c r="K3867" s="9" t="str">
        <v/>
      </c>
    </row>
    <row r="3868" spans="1:11">
      <c r="A3868" t="str">
        <v/>
      </c>
      <c r="B3868" s="6">
        <v>0</v>
      </c>
      <c r="C3868" s="7" t="str">
        <v>趣点购浦发</v>
      </c>
      <c r="D3868" s="8">
        <v>0</v>
      </c>
      <c r="E3868" s="7">
        <v>0</v>
      </c>
      <c r="F3868" s="8">
        <v>0</v>
      </c>
      <c r="G3868" s="7">
        <v>0</v>
      </c>
      <c r="H3868" s="7">
        <v>81211.819999998</v>
      </c>
      <c r="I3868" s="7">
        <v>0</v>
      </c>
      <c r="J3868" s="8">
        <v>0</v>
      </c>
      <c r="K3868" s="9" t="str">
        <v/>
      </c>
    </row>
    <row r="3869" spans="1:11">
      <c r="A3869" t="str">
        <v/>
      </c>
      <c r="B3869" s="6">
        <v>0</v>
      </c>
      <c r="C3869" s="7" t="str">
        <v>趣点购浦发</v>
      </c>
      <c r="D3869" s="8">
        <v>0</v>
      </c>
      <c r="E3869" s="7">
        <v>0</v>
      </c>
      <c r="F3869" s="8">
        <v>0</v>
      </c>
      <c r="G3869" s="7">
        <v>0</v>
      </c>
      <c r="H3869" s="7">
        <v>81211.819999998</v>
      </c>
      <c r="I3869" s="7">
        <v>0</v>
      </c>
      <c r="J3869" s="8">
        <v>0</v>
      </c>
      <c r="K3869" s="9" t="str">
        <v/>
      </c>
    </row>
    <row r="3870" spans="1:11">
      <c r="A3870" t="str">
        <v/>
      </c>
      <c r="B3870" s="6">
        <v>0</v>
      </c>
      <c r="C3870" s="7" t="str">
        <v>趣点购浦发</v>
      </c>
      <c r="D3870" s="8">
        <v>0</v>
      </c>
      <c r="E3870" s="7">
        <v>0</v>
      </c>
      <c r="F3870" s="8">
        <v>0</v>
      </c>
      <c r="G3870" s="7">
        <v>0</v>
      </c>
      <c r="H3870" s="7">
        <v>81211.819999998</v>
      </c>
      <c r="I3870" s="7">
        <v>0</v>
      </c>
      <c r="J3870" s="8">
        <v>0</v>
      </c>
      <c r="K3870" s="9" t="str">
        <v/>
      </c>
    </row>
    <row r="3871" spans="1:11">
      <c r="A3871" t="str">
        <v/>
      </c>
      <c r="B3871" s="6">
        <v>0</v>
      </c>
      <c r="C3871" s="7" t="str">
        <v>趣点购浦发</v>
      </c>
      <c r="D3871" s="8">
        <v>0</v>
      </c>
      <c r="E3871" s="7">
        <v>0</v>
      </c>
      <c r="F3871" s="8">
        <v>0</v>
      </c>
      <c r="G3871" s="7">
        <v>0</v>
      </c>
      <c r="H3871" s="7">
        <v>81211.819999998</v>
      </c>
      <c r="I3871" s="7">
        <v>0</v>
      </c>
      <c r="J3871" s="8">
        <v>0</v>
      </c>
      <c r="K3871" s="9" t="str">
        <v/>
      </c>
    </row>
    <row r="3872" spans="1:11">
      <c r="A3872" t="str">
        <v/>
      </c>
      <c r="B3872" s="6">
        <v>0</v>
      </c>
      <c r="C3872" s="7" t="str">
        <v>趣点购浦发</v>
      </c>
      <c r="D3872" s="8">
        <v>0</v>
      </c>
      <c r="E3872" s="7">
        <v>0</v>
      </c>
      <c r="F3872" s="8">
        <v>0</v>
      </c>
      <c r="G3872" s="7">
        <v>0</v>
      </c>
      <c r="H3872" s="7">
        <v>81211.819999998</v>
      </c>
      <c r="I3872" s="7">
        <v>0</v>
      </c>
      <c r="J3872" s="8">
        <v>0</v>
      </c>
      <c r="K3872" s="9" t="str">
        <v/>
      </c>
    </row>
    <row r="3873" spans="1:11">
      <c r="A3873" t="str">
        <v/>
      </c>
      <c r="B3873" s="6">
        <v>0</v>
      </c>
      <c r="C3873" s="7" t="str">
        <v>趣点购浦发</v>
      </c>
      <c r="D3873" s="8">
        <v>0</v>
      </c>
      <c r="E3873" s="7">
        <v>0</v>
      </c>
      <c r="F3873" s="8">
        <v>0</v>
      </c>
      <c r="G3873" s="7">
        <v>0</v>
      </c>
      <c r="H3873" s="7">
        <v>81211.819999998</v>
      </c>
      <c r="I3873" s="7">
        <v>0</v>
      </c>
      <c r="J3873" s="8">
        <v>0</v>
      </c>
      <c r="K3873" s="9" t="str">
        <v/>
      </c>
    </row>
    <row r="3874" spans="1:11">
      <c r="A3874" t="str">
        <v/>
      </c>
      <c r="B3874" s="6">
        <v>0</v>
      </c>
      <c r="C3874" s="7" t="str">
        <v>趣点购浦发</v>
      </c>
      <c r="D3874" s="8">
        <v>0</v>
      </c>
      <c r="E3874" s="7">
        <v>0</v>
      </c>
      <c r="F3874" s="8">
        <v>0</v>
      </c>
      <c r="G3874" s="7">
        <v>0</v>
      </c>
      <c r="H3874" s="7">
        <v>81211.819999998</v>
      </c>
      <c r="I3874" s="7">
        <v>0</v>
      </c>
      <c r="J3874" s="8">
        <v>0</v>
      </c>
      <c r="K3874" s="9" t="str">
        <v/>
      </c>
    </row>
    <row r="3875" spans="1:11">
      <c r="A3875" t="str">
        <v/>
      </c>
      <c r="B3875" s="6">
        <v>0</v>
      </c>
      <c r="C3875" s="7" t="str">
        <v>趣点购浦发</v>
      </c>
      <c r="D3875" s="8">
        <v>0</v>
      </c>
      <c r="E3875" s="7">
        <v>0</v>
      </c>
      <c r="F3875" s="8">
        <v>0</v>
      </c>
      <c r="G3875" s="7">
        <v>0</v>
      </c>
      <c r="H3875" s="7">
        <v>81211.819999998</v>
      </c>
      <c r="I3875" s="7">
        <v>0</v>
      </c>
      <c r="J3875" s="8">
        <v>0</v>
      </c>
      <c r="K3875" s="9" t="str">
        <v/>
      </c>
    </row>
    <row r="3876" spans="1:11">
      <c r="A3876" t="str">
        <v/>
      </c>
      <c r="B3876" s="6">
        <v>0</v>
      </c>
      <c r="C3876" s="7" t="str">
        <v>趣点购浦发</v>
      </c>
      <c r="D3876" s="8">
        <v>0</v>
      </c>
      <c r="E3876" s="7">
        <v>0</v>
      </c>
      <c r="F3876" s="8">
        <v>0</v>
      </c>
      <c r="G3876" s="7">
        <v>0</v>
      </c>
      <c r="H3876" s="7">
        <v>81211.819999998</v>
      </c>
      <c r="I3876" s="7">
        <v>0</v>
      </c>
      <c r="J3876" s="8">
        <v>0</v>
      </c>
      <c r="K3876" s="9" t="str">
        <v/>
      </c>
    </row>
    <row r="3877" spans="1:11">
      <c r="A3877" t="str">
        <v/>
      </c>
      <c r="B3877" s="6">
        <v>0</v>
      </c>
      <c r="C3877" s="7" t="str">
        <v>趣点购浦发</v>
      </c>
      <c r="D3877" s="8">
        <v>0</v>
      </c>
      <c r="E3877" s="7">
        <v>0</v>
      </c>
      <c r="F3877" s="8">
        <v>0</v>
      </c>
      <c r="G3877" s="7">
        <v>0</v>
      </c>
      <c r="H3877" s="7">
        <v>81211.819999998</v>
      </c>
      <c r="I3877" s="7">
        <v>0</v>
      </c>
      <c r="J3877" s="8">
        <v>0</v>
      </c>
      <c r="K3877" s="9" t="str">
        <v/>
      </c>
    </row>
    <row r="3878" spans="1:11">
      <c r="A3878" t="str">
        <v/>
      </c>
      <c r="B3878" s="6">
        <v>0</v>
      </c>
      <c r="C3878" s="7" t="str">
        <v>趣点购浦发</v>
      </c>
      <c r="D3878" s="8">
        <v>0</v>
      </c>
      <c r="E3878" s="7">
        <v>0</v>
      </c>
      <c r="F3878" s="8">
        <v>0</v>
      </c>
      <c r="G3878" s="7">
        <v>0</v>
      </c>
      <c r="H3878" s="7">
        <v>81211.819999998</v>
      </c>
      <c r="I3878" s="7">
        <v>0</v>
      </c>
      <c r="J3878" s="8">
        <v>0</v>
      </c>
      <c r="K3878" s="9" t="str">
        <v/>
      </c>
    </row>
    <row r="3879" spans="1:11">
      <c r="A3879" t="str">
        <v/>
      </c>
      <c r="B3879" s="6">
        <v>0</v>
      </c>
      <c r="C3879" s="7" t="str">
        <v>趣点购浦发</v>
      </c>
      <c r="D3879" s="8">
        <v>0</v>
      </c>
      <c r="E3879" s="7">
        <v>0</v>
      </c>
      <c r="F3879" s="8">
        <v>0</v>
      </c>
      <c r="G3879" s="7">
        <v>0</v>
      </c>
      <c r="H3879" s="7">
        <v>81211.819999998</v>
      </c>
      <c r="I3879" s="7">
        <v>0</v>
      </c>
      <c r="J3879" s="8">
        <v>0</v>
      </c>
      <c r="K3879" s="9" t="str">
        <v/>
      </c>
    </row>
    <row r="3880" spans="1:11">
      <c r="A3880" t="str">
        <v/>
      </c>
      <c r="B3880" s="6">
        <v>0</v>
      </c>
      <c r="C3880" s="7" t="str">
        <v>趣点购浦发</v>
      </c>
      <c r="D3880" s="8">
        <v>0</v>
      </c>
      <c r="E3880" s="7">
        <v>0</v>
      </c>
      <c r="F3880" s="8">
        <v>0</v>
      </c>
      <c r="G3880" s="7">
        <v>0</v>
      </c>
      <c r="H3880" s="7">
        <v>81211.819999998</v>
      </c>
      <c r="I3880" s="7">
        <v>0</v>
      </c>
      <c r="J3880" s="8">
        <v>0</v>
      </c>
      <c r="K3880" s="9" t="str">
        <v/>
      </c>
    </row>
    <row r="3881" spans="1:11">
      <c r="A3881" t="str">
        <v/>
      </c>
      <c r="B3881" s="6">
        <v>0</v>
      </c>
      <c r="C3881" s="7" t="str">
        <v>趣点购浦发</v>
      </c>
      <c r="D3881" s="8">
        <v>0</v>
      </c>
      <c r="E3881" s="7">
        <v>0</v>
      </c>
      <c r="F3881" s="8">
        <v>0</v>
      </c>
      <c r="G3881" s="7">
        <v>0</v>
      </c>
      <c r="H3881" s="7">
        <v>81211.819999998</v>
      </c>
      <c r="I3881" s="7">
        <v>0</v>
      </c>
      <c r="J3881" s="8">
        <v>0</v>
      </c>
      <c r="K3881" s="9" t="str">
        <v/>
      </c>
    </row>
    <row r="3882" spans="1:11">
      <c r="A3882" t="str">
        <v/>
      </c>
      <c r="B3882" s="6">
        <v>0</v>
      </c>
      <c r="C3882" s="7" t="str">
        <v>趣点购浦发</v>
      </c>
      <c r="D3882" s="8">
        <v>0</v>
      </c>
      <c r="E3882" s="7">
        <v>0</v>
      </c>
      <c r="F3882" s="8">
        <v>0</v>
      </c>
      <c r="G3882" s="7">
        <v>0</v>
      </c>
      <c r="H3882" s="7">
        <v>81211.819999998</v>
      </c>
      <c r="I3882" s="7">
        <v>0</v>
      </c>
      <c r="J3882" s="8">
        <v>0</v>
      </c>
      <c r="K3882" s="9" t="str">
        <v/>
      </c>
    </row>
    <row r="3883" spans="1:11">
      <c r="A3883" t="str">
        <v/>
      </c>
      <c r="B3883" s="6">
        <v>0</v>
      </c>
      <c r="C3883" s="7" t="str">
        <v>趣点购浦发</v>
      </c>
      <c r="D3883" s="8">
        <v>0</v>
      </c>
      <c r="E3883" s="7">
        <v>0</v>
      </c>
      <c r="F3883" s="8">
        <v>0</v>
      </c>
      <c r="G3883" s="7">
        <v>0</v>
      </c>
      <c r="H3883" s="7">
        <v>81211.819999998</v>
      </c>
      <c r="I3883" s="7">
        <v>0</v>
      </c>
      <c r="J3883" s="8">
        <v>0</v>
      </c>
      <c r="K3883" s="9" t="str">
        <v/>
      </c>
    </row>
    <row r="3884" spans="1:11">
      <c r="A3884" t="str">
        <v/>
      </c>
      <c r="B3884" s="6">
        <v>0</v>
      </c>
      <c r="C3884" s="7" t="str">
        <v>趣点购浦发</v>
      </c>
      <c r="D3884" s="8">
        <v>0</v>
      </c>
      <c r="E3884" s="7">
        <v>0</v>
      </c>
      <c r="F3884" s="8">
        <v>0</v>
      </c>
      <c r="G3884" s="7">
        <v>0</v>
      </c>
      <c r="H3884" s="7">
        <v>81211.819999998</v>
      </c>
      <c r="I3884" s="7">
        <v>0</v>
      </c>
      <c r="J3884" s="8">
        <v>0</v>
      </c>
      <c r="K3884" s="9" t="str">
        <v/>
      </c>
    </row>
    <row r="3885" spans="1:11">
      <c r="A3885" t="str">
        <v/>
      </c>
      <c r="B3885" s="6">
        <v>0</v>
      </c>
      <c r="C3885" s="7" t="str">
        <v>趣点购浦发</v>
      </c>
      <c r="D3885" s="8">
        <v>0</v>
      </c>
      <c r="E3885" s="7">
        <v>0</v>
      </c>
      <c r="F3885" s="8">
        <v>0</v>
      </c>
      <c r="G3885" s="7">
        <v>0</v>
      </c>
      <c r="H3885" s="7">
        <v>81211.819999998</v>
      </c>
      <c r="I3885" s="7">
        <v>0</v>
      </c>
      <c r="J3885" s="8">
        <v>0</v>
      </c>
      <c r="K3885" s="9" t="str">
        <v/>
      </c>
    </row>
    <row r="3886" spans="1:11">
      <c r="A3886" t="str">
        <v/>
      </c>
      <c r="B3886" s="6">
        <v>0</v>
      </c>
      <c r="C3886" s="7" t="str">
        <v>趣点购浦发</v>
      </c>
      <c r="D3886" s="8">
        <v>0</v>
      </c>
      <c r="E3886" s="7">
        <v>0</v>
      </c>
      <c r="F3886" s="8">
        <v>0</v>
      </c>
      <c r="G3886" s="7">
        <v>0</v>
      </c>
      <c r="H3886" s="7">
        <v>81211.819999998</v>
      </c>
      <c r="I3886" s="7">
        <v>0</v>
      </c>
      <c r="J3886" s="8">
        <v>0</v>
      </c>
      <c r="K3886" s="9" t="str">
        <v/>
      </c>
    </row>
    <row r="3887" spans="1:11">
      <c r="A3887" t="str">
        <v/>
      </c>
      <c r="B3887" s="6">
        <v>0</v>
      </c>
      <c r="C3887" s="7" t="str">
        <v>趣点购浦发</v>
      </c>
      <c r="D3887" s="8">
        <v>0</v>
      </c>
      <c r="E3887" s="7">
        <v>0</v>
      </c>
      <c r="F3887" s="8">
        <v>0</v>
      </c>
      <c r="G3887" s="7">
        <v>0</v>
      </c>
      <c r="H3887" s="7">
        <v>81211.819999998</v>
      </c>
      <c r="I3887" s="7">
        <v>0</v>
      </c>
      <c r="J3887" s="8">
        <v>0</v>
      </c>
      <c r="K3887" s="9" t="str">
        <v/>
      </c>
    </row>
    <row r="3888" spans="1:11">
      <c r="A3888" t="str">
        <v/>
      </c>
      <c r="B3888" s="6">
        <v>0</v>
      </c>
      <c r="C3888" s="7" t="str">
        <v>趣点购浦发</v>
      </c>
      <c r="D3888" s="8">
        <v>0</v>
      </c>
      <c r="E3888" s="7">
        <v>0</v>
      </c>
      <c r="F3888" s="8">
        <v>0</v>
      </c>
      <c r="G3888" s="7">
        <v>0</v>
      </c>
      <c r="H3888" s="7">
        <v>81211.819999998</v>
      </c>
      <c r="I3888" s="7">
        <v>0</v>
      </c>
      <c r="J3888" s="8">
        <v>0</v>
      </c>
      <c r="K3888" s="9" t="str">
        <v/>
      </c>
    </row>
    <row r="3889" spans="1:11">
      <c r="A3889" t="str">
        <v/>
      </c>
      <c r="B3889" s="6">
        <v>0</v>
      </c>
      <c r="C3889" s="7" t="str">
        <v>趣点购浦发</v>
      </c>
      <c r="D3889" s="8">
        <v>0</v>
      </c>
      <c r="E3889" s="7">
        <v>0</v>
      </c>
      <c r="F3889" s="8">
        <v>0</v>
      </c>
      <c r="G3889" s="7">
        <v>0</v>
      </c>
      <c r="H3889" s="7">
        <v>81211.819999998</v>
      </c>
      <c r="I3889" s="7">
        <v>0</v>
      </c>
      <c r="J3889" s="8">
        <v>0</v>
      </c>
      <c r="K3889" s="9" t="str">
        <v/>
      </c>
    </row>
    <row r="3890" spans="1:11">
      <c r="A3890" t="str">
        <v/>
      </c>
      <c r="B3890" s="6">
        <v>0</v>
      </c>
      <c r="C3890" s="7" t="str">
        <v>趣点购浦发</v>
      </c>
      <c r="D3890" s="8">
        <v>0</v>
      </c>
      <c r="E3890" s="7">
        <v>0</v>
      </c>
      <c r="F3890" s="8">
        <v>0</v>
      </c>
      <c r="G3890" s="7">
        <v>0</v>
      </c>
      <c r="H3890" s="7">
        <v>81211.819999998</v>
      </c>
      <c r="I3890" s="7">
        <v>0</v>
      </c>
      <c r="J3890" s="8">
        <v>0</v>
      </c>
      <c r="K3890" s="9" t="str">
        <v/>
      </c>
    </row>
    <row r="3891" spans="1:11">
      <c r="A3891" t="str">
        <v/>
      </c>
      <c r="B3891" s="6">
        <v>0</v>
      </c>
      <c r="C3891" s="7" t="str">
        <v>趣点购浦发</v>
      </c>
      <c r="D3891" s="8">
        <v>0</v>
      </c>
      <c r="E3891" s="7">
        <v>0</v>
      </c>
      <c r="F3891" s="8">
        <v>0</v>
      </c>
      <c r="G3891" s="7">
        <v>0</v>
      </c>
      <c r="H3891" s="7">
        <v>81211.819999998</v>
      </c>
      <c r="I3891" s="7">
        <v>0</v>
      </c>
      <c r="J3891" s="8">
        <v>0</v>
      </c>
      <c r="K3891" s="9" t="str">
        <v/>
      </c>
    </row>
    <row r="3892" spans="1:11">
      <c r="A3892" t="str">
        <v/>
      </c>
      <c r="B3892" s="6">
        <v>0</v>
      </c>
      <c r="C3892" s="7" t="str">
        <v>趣点购浦发</v>
      </c>
      <c r="D3892" s="8">
        <v>0</v>
      </c>
      <c r="E3892" s="7">
        <v>0</v>
      </c>
      <c r="F3892" s="8">
        <v>0</v>
      </c>
      <c r="G3892" s="7">
        <v>0</v>
      </c>
      <c r="H3892" s="7">
        <v>81211.819999998</v>
      </c>
      <c r="I3892" s="7">
        <v>0</v>
      </c>
      <c r="J3892" s="8">
        <v>0</v>
      </c>
      <c r="K3892" s="9" t="str">
        <v/>
      </c>
    </row>
    <row r="3893" spans="1:11">
      <c r="A3893" t="str">
        <v/>
      </c>
      <c r="B3893" s="6">
        <v>0</v>
      </c>
      <c r="C3893" s="7" t="str">
        <v>趣点购浦发</v>
      </c>
      <c r="D3893" s="8">
        <v>0</v>
      </c>
      <c r="E3893" s="7">
        <v>0</v>
      </c>
      <c r="F3893" s="8">
        <v>0</v>
      </c>
      <c r="G3893" s="7">
        <v>0</v>
      </c>
      <c r="H3893" s="7">
        <v>81211.819999998</v>
      </c>
      <c r="I3893" s="7">
        <v>0</v>
      </c>
      <c r="J3893" s="8">
        <v>0</v>
      </c>
      <c r="K3893" s="9" t="str">
        <v/>
      </c>
    </row>
    <row r="3894" spans="1:11">
      <c r="A3894" t="str">
        <v/>
      </c>
      <c r="B3894" s="6">
        <v>0</v>
      </c>
      <c r="C3894" s="7" t="str">
        <v>趣点购浦发</v>
      </c>
      <c r="D3894" s="8">
        <v>0</v>
      </c>
      <c r="E3894" s="7">
        <v>0</v>
      </c>
      <c r="F3894" s="8">
        <v>0</v>
      </c>
      <c r="G3894" s="7">
        <v>0</v>
      </c>
      <c r="H3894" s="7">
        <v>81211.819999998</v>
      </c>
      <c r="I3894" s="7">
        <v>0</v>
      </c>
      <c r="J3894" s="8">
        <v>0</v>
      </c>
      <c r="K3894" s="9" t="str">
        <v/>
      </c>
    </row>
    <row r="3895" spans="1:11">
      <c r="A3895" t="str">
        <v/>
      </c>
      <c r="B3895" s="6">
        <v>0</v>
      </c>
      <c r="C3895" s="7" t="str">
        <v>趣点购浦发</v>
      </c>
      <c r="D3895" s="8">
        <v>0</v>
      </c>
      <c r="E3895" s="7">
        <v>0</v>
      </c>
      <c r="F3895" s="8">
        <v>0</v>
      </c>
      <c r="G3895" s="7">
        <v>0</v>
      </c>
      <c r="H3895" s="7">
        <v>81211.819999998</v>
      </c>
      <c r="I3895" s="7">
        <v>0</v>
      </c>
      <c r="J3895" s="8">
        <v>0</v>
      </c>
      <c r="K3895" s="9" t="str">
        <v/>
      </c>
    </row>
    <row r="3896" spans="1:11">
      <c r="A3896" t="str">
        <v/>
      </c>
      <c r="B3896" s="6">
        <v>0</v>
      </c>
      <c r="C3896" s="7" t="str">
        <v>趣点购浦发</v>
      </c>
      <c r="D3896" s="8">
        <v>0</v>
      </c>
      <c r="E3896" s="7">
        <v>0</v>
      </c>
      <c r="F3896" s="8">
        <v>0</v>
      </c>
      <c r="G3896" s="7">
        <v>0</v>
      </c>
      <c r="H3896" s="7">
        <v>81211.819999998</v>
      </c>
      <c r="I3896" s="7">
        <v>0</v>
      </c>
      <c r="J3896" s="8">
        <v>0</v>
      </c>
      <c r="K3896" s="9" t="str">
        <v/>
      </c>
    </row>
    <row r="3897" spans="1:11">
      <c r="A3897" t="str">
        <v/>
      </c>
      <c r="B3897" s="6">
        <v>0</v>
      </c>
      <c r="C3897" s="7" t="str">
        <v>趣点购浦发</v>
      </c>
      <c r="D3897" s="8">
        <v>0</v>
      </c>
      <c r="E3897" s="7">
        <v>0</v>
      </c>
      <c r="F3897" s="8">
        <v>0</v>
      </c>
      <c r="G3897" s="7">
        <v>0</v>
      </c>
      <c r="H3897" s="7">
        <v>81211.819999998</v>
      </c>
      <c r="I3897" s="7">
        <v>0</v>
      </c>
      <c r="J3897" s="8">
        <v>0</v>
      </c>
      <c r="K3897" s="9" t="str">
        <v/>
      </c>
    </row>
    <row r="3898" spans="1:11">
      <c r="A3898" t="str">
        <v/>
      </c>
      <c r="B3898" s="6">
        <v>0</v>
      </c>
      <c r="C3898" s="7" t="str">
        <v>趣点购浦发</v>
      </c>
      <c r="D3898" s="8">
        <v>0</v>
      </c>
      <c r="E3898" s="7">
        <v>0</v>
      </c>
      <c r="F3898" s="8">
        <v>0</v>
      </c>
      <c r="G3898" s="7">
        <v>0</v>
      </c>
      <c r="H3898" s="7">
        <v>81211.819999998</v>
      </c>
      <c r="I3898" s="7">
        <v>0</v>
      </c>
      <c r="J3898" s="8">
        <v>0</v>
      </c>
      <c r="K3898" s="9" t="str">
        <v/>
      </c>
    </row>
    <row r="3899" spans="1:11">
      <c r="A3899" t="str">
        <v/>
      </c>
      <c r="B3899" s="6">
        <v>0</v>
      </c>
      <c r="C3899" s="7" t="str">
        <v>趣点购浦发</v>
      </c>
      <c r="D3899" s="8">
        <v>0</v>
      </c>
      <c r="E3899" s="7">
        <v>0</v>
      </c>
      <c r="F3899" s="8">
        <v>0</v>
      </c>
      <c r="G3899" s="7">
        <v>0</v>
      </c>
      <c r="H3899" s="7">
        <v>81211.819999998</v>
      </c>
      <c r="I3899" s="7">
        <v>0</v>
      </c>
      <c r="J3899" s="8">
        <v>0</v>
      </c>
      <c r="K3899" s="9" t="str">
        <v/>
      </c>
    </row>
    <row r="3900" spans="1:11">
      <c r="A3900" t="str">
        <v/>
      </c>
      <c r="B3900" s="6">
        <v>0</v>
      </c>
      <c r="C3900" s="7" t="str">
        <v>趣点购浦发</v>
      </c>
      <c r="D3900" s="8">
        <v>0</v>
      </c>
      <c r="E3900" s="7">
        <v>0</v>
      </c>
      <c r="F3900" s="8">
        <v>0</v>
      </c>
      <c r="G3900" s="7">
        <v>0</v>
      </c>
      <c r="H3900" s="7">
        <v>81211.819999998</v>
      </c>
      <c r="I3900" s="7">
        <v>0</v>
      </c>
      <c r="J3900" s="8">
        <v>0</v>
      </c>
      <c r="K3900" s="9" t="str">
        <v/>
      </c>
    </row>
    <row r="3901" spans="1:11">
      <c r="A3901" t="str">
        <v/>
      </c>
      <c r="B3901" s="6">
        <v>0</v>
      </c>
      <c r="C3901" s="7" t="str">
        <v>趣点购浦发</v>
      </c>
      <c r="D3901" s="8">
        <v>0</v>
      </c>
      <c r="E3901" s="7">
        <v>0</v>
      </c>
      <c r="F3901" s="8">
        <v>0</v>
      </c>
      <c r="G3901" s="7">
        <v>0</v>
      </c>
      <c r="H3901" s="7">
        <v>81211.819999998</v>
      </c>
      <c r="I3901" s="7">
        <v>0</v>
      </c>
      <c r="J3901" s="8">
        <v>0</v>
      </c>
      <c r="K3901" s="9" t="str">
        <v/>
      </c>
    </row>
    <row r="3902" spans="1:11">
      <c r="A3902" t="str">
        <v/>
      </c>
      <c r="B3902" s="6">
        <v>0</v>
      </c>
      <c r="C3902" s="7" t="str">
        <v>趣点购浦发</v>
      </c>
      <c r="D3902" s="8">
        <v>0</v>
      </c>
      <c r="E3902" s="7">
        <v>0</v>
      </c>
      <c r="F3902" s="8">
        <v>0</v>
      </c>
      <c r="G3902" s="7">
        <v>0</v>
      </c>
      <c r="H3902" s="7">
        <v>81211.819999998</v>
      </c>
      <c r="I3902" s="7">
        <v>0</v>
      </c>
      <c r="J3902" s="8">
        <v>0</v>
      </c>
      <c r="K3902" s="9" t="str">
        <v/>
      </c>
    </row>
    <row r="3903" spans="1:11">
      <c r="A3903" t="str">
        <v/>
      </c>
      <c r="B3903" s="6">
        <v>0</v>
      </c>
      <c r="C3903" s="7" t="str">
        <v>趣点购浦发</v>
      </c>
      <c r="D3903" s="8">
        <v>0</v>
      </c>
      <c r="E3903" s="7">
        <v>0</v>
      </c>
      <c r="F3903" s="8">
        <v>0</v>
      </c>
      <c r="G3903" s="7">
        <v>0</v>
      </c>
      <c r="H3903" s="7">
        <v>81211.819999998</v>
      </c>
      <c r="I3903" s="7">
        <v>0</v>
      </c>
      <c r="J3903" s="8">
        <v>0</v>
      </c>
      <c r="K3903" s="9" t="str">
        <v/>
      </c>
    </row>
    <row r="3904" spans="1:11">
      <c r="A3904" t="str">
        <v/>
      </c>
      <c r="B3904" s="6">
        <v>0</v>
      </c>
      <c r="C3904" s="7" t="str">
        <v>趣点购浦发</v>
      </c>
      <c r="D3904" s="8">
        <v>0</v>
      </c>
      <c r="E3904" s="7">
        <v>0</v>
      </c>
      <c r="F3904" s="8">
        <v>0</v>
      </c>
      <c r="G3904" s="7">
        <v>0</v>
      </c>
      <c r="H3904" s="7">
        <v>81211.819999998</v>
      </c>
      <c r="I3904" s="7">
        <v>0</v>
      </c>
      <c r="J3904" s="8">
        <v>0</v>
      </c>
      <c r="K3904" s="9" t="str">
        <v/>
      </c>
    </row>
    <row r="3905" spans="1:11">
      <c r="A3905" t="str">
        <v/>
      </c>
      <c r="B3905" s="6">
        <v>0</v>
      </c>
      <c r="C3905" s="7" t="str">
        <v>趣点购浦发</v>
      </c>
      <c r="D3905" s="8">
        <v>0</v>
      </c>
      <c r="E3905" s="7">
        <v>0</v>
      </c>
      <c r="F3905" s="8">
        <v>0</v>
      </c>
      <c r="G3905" s="7">
        <v>0</v>
      </c>
      <c r="H3905" s="7">
        <v>81211.819999998</v>
      </c>
      <c r="I3905" s="7">
        <v>0</v>
      </c>
      <c r="J3905" s="8">
        <v>0</v>
      </c>
      <c r="K3905" s="9" t="str">
        <v/>
      </c>
    </row>
    <row r="3906" spans="1:11">
      <c r="A3906" t="str">
        <v/>
      </c>
      <c r="B3906" s="6">
        <v>0</v>
      </c>
      <c r="C3906" s="7" t="str">
        <v>趣点购浦发</v>
      </c>
      <c r="D3906" s="8">
        <v>0</v>
      </c>
      <c r="E3906" s="7">
        <v>0</v>
      </c>
      <c r="F3906" s="8">
        <v>0</v>
      </c>
      <c r="G3906" s="7">
        <v>0</v>
      </c>
      <c r="H3906" s="7">
        <v>81211.819999998</v>
      </c>
      <c r="I3906" s="7">
        <v>0</v>
      </c>
      <c r="J3906" s="8">
        <v>0</v>
      </c>
      <c r="K3906" s="9" t="str">
        <v/>
      </c>
    </row>
    <row r="3907" spans="1:11">
      <c r="A3907" t="str">
        <v/>
      </c>
      <c r="B3907" s="6">
        <v>0</v>
      </c>
      <c r="C3907" s="7" t="str">
        <v>趣点购浦发</v>
      </c>
      <c r="D3907" s="8">
        <v>0</v>
      </c>
      <c r="E3907" s="7">
        <v>0</v>
      </c>
      <c r="F3907" s="8">
        <v>0</v>
      </c>
      <c r="G3907" s="7">
        <v>0</v>
      </c>
      <c r="H3907" s="7">
        <v>81211.819999998</v>
      </c>
      <c r="I3907" s="7">
        <v>0</v>
      </c>
      <c r="J3907" s="8">
        <v>0</v>
      </c>
      <c r="K3907" s="9" t="str">
        <v/>
      </c>
    </row>
    <row r="3908" spans="1:11">
      <c r="A3908" t="str">
        <v/>
      </c>
      <c r="B3908" s="6">
        <v>0</v>
      </c>
      <c r="C3908" s="7" t="str">
        <v>趣点购浦发</v>
      </c>
      <c r="D3908" s="8">
        <v>0</v>
      </c>
      <c r="E3908" s="7">
        <v>0</v>
      </c>
      <c r="F3908" s="8">
        <v>0</v>
      </c>
      <c r="G3908" s="7">
        <v>0</v>
      </c>
      <c r="H3908" s="7">
        <v>81211.819999998</v>
      </c>
      <c r="I3908" s="7">
        <v>0</v>
      </c>
      <c r="J3908" s="8">
        <v>0</v>
      </c>
      <c r="K3908" s="9" t="str">
        <v/>
      </c>
    </row>
    <row r="3909" spans="1:11">
      <c r="A3909" t="str">
        <v/>
      </c>
      <c r="B3909" s="6">
        <v>0</v>
      </c>
      <c r="C3909" s="7" t="str">
        <v>趣点购浦发</v>
      </c>
      <c r="D3909" s="8">
        <v>0</v>
      </c>
      <c r="E3909" s="7">
        <v>0</v>
      </c>
      <c r="F3909" s="8">
        <v>0</v>
      </c>
      <c r="G3909" s="7">
        <v>0</v>
      </c>
      <c r="H3909" s="7">
        <v>81211.819999998</v>
      </c>
      <c r="I3909" s="7">
        <v>0</v>
      </c>
      <c r="J3909" s="8">
        <v>0</v>
      </c>
      <c r="K3909" s="9" t="str">
        <v/>
      </c>
    </row>
    <row r="3910" spans="1:11">
      <c r="A3910" t="str">
        <v/>
      </c>
      <c r="B3910" s="6">
        <v>0</v>
      </c>
      <c r="C3910" s="7" t="str">
        <v>趣点购浦发</v>
      </c>
      <c r="D3910" s="8">
        <v>0</v>
      </c>
      <c r="E3910" s="7">
        <v>0</v>
      </c>
      <c r="F3910" s="8">
        <v>0</v>
      </c>
      <c r="G3910" s="7">
        <v>0</v>
      </c>
      <c r="H3910" s="7">
        <v>81211.819999998</v>
      </c>
      <c r="I3910" s="7">
        <v>0</v>
      </c>
      <c r="J3910" s="8">
        <v>0</v>
      </c>
      <c r="K3910" s="9" t="str">
        <v/>
      </c>
    </row>
    <row r="3911" spans="1:11">
      <c r="A3911" t="str">
        <v/>
      </c>
      <c r="B3911" s="6">
        <v>0</v>
      </c>
      <c r="C3911" s="7" t="str">
        <v>趣点购浦发</v>
      </c>
      <c r="D3911" s="8">
        <v>0</v>
      </c>
      <c r="E3911" s="7">
        <v>0</v>
      </c>
      <c r="F3911" s="8">
        <v>0</v>
      </c>
      <c r="G3911" s="7">
        <v>0</v>
      </c>
      <c r="H3911" s="7">
        <v>81211.819999998</v>
      </c>
      <c r="I3911" s="7">
        <v>0</v>
      </c>
      <c r="J3911" s="8">
        <v>0</v>
      </c>
      <c r="K3911" s="9" t="str">
        <v/>
      </c>
    </row>
    <row r="3912" spans="1:11">
      <c r="A3912" t="str">
        <v/>
      </c>
      <c r="B3912" s="6">
        <v>0</v>
      </c>
      <c r="C3912" s="7" t="str">
        <v>趣点购浦发</v>
      </c>
      <c r="D3912" s="8">
        <v>0</v>
      </c>
      <c r="E3912" s="7">
        <v>0</v>
      </c>
      <c r="F3912" s="8">
        <v>0</v>
      </c>
      <c r="G3912" s="7">
        <v>0</v>
      </c>
      <c r="H3912" s="7">
        <v>81211.819999998</v>
      </c>
      <c r="I3912" s="7">
        <v>0</v>
      </c>
      <c r="J3912" s="8">
        <v>0</v>
      </c>
      <c r="K3912" s="9" t="str">
        <v/>
      </c>
    </row>
    <row r="3913" spans="1:11">
      <c r="A3913" t="str">
        <v/>
      </c>
      <c r="B3913" s="6">
        <v>0</v>
      </c>
      <c r="C3913" s="7" t="str">
        <v>趣点购浦发</v>
      </c>
      <c r="D3913" s="8">
        <v>0</v>
      </c>
      <c r="E3913" s="7">
        <v>0</v>
      </c>
      <c r="F3913" s="8">
        <v>0</v>
      </c>
      <c r="G3913" s="7">
        <v>0</v>
      </c>
      <c r="H3913" s="7">
        <v>81211.819999998</v>
      </c>
      <c r="I3913" s="7">
        <v>0</v>
      </c>
      <c r="J3913" s="8">
        <v>0</v>
      </c>
      <c r="K3913" s="9" t="str">
        <v/>
      </c>
    </row>
    <row r="3914" spans="1:11">
      <c r="A3914" t="str">
        <v/>
      </c>
      <c r="B3914" s="6">
        <v>0</v>
      </c>
      <c r="C3914" s="7" t="str">
        <v>趣点购浦发</v>
      </c>
      <c r="D3914" s="8">
        <v>0</v>
      </c>
      <c r="E3914" s="7">
        <v>0</v>
      </c>
      <c r="F3914" s="8">
        <v>0</v>
      </c>
      <c r="G3914" s="7">
        <v>0</v>
      </c>
      <c r="H3914" s="7">
        <v>81211.819999998</v>
      </c>
      <c r="I3914" s="7">
        <v>0</v>
      </c>
      <c r="J3914" s="8">
        <v>0</v>
      </c>
      <c r="K3914" s="9" t="str">
        <v/>
      </c>
    </row>
    <row r="3915" spans="1:11">
      <c r="A3915" t="str">
        <v/>
      </c>
      <c r="B3915" s="6">
        <v>0</v>
      </c>
      <c r="C3915" s="7" t="str">
        <v>趣点购浦发</v>
      </c>
      <c r="D3915" s="8">
        <v>0</v>
      </c>
      <c r="E3915" s="7">
        <v>0</v>
      </c>
      <c r="F3915" s="8">
        <v>0</v>
      </c>
      <c r="G3915" s="7">
        <v>0</v>
      </c>
      <c r="H3915" s="7">
        <v>81211.819999998</v>
      </c>
      <c r="I3915" s="7">
        <v>0</v>
      </c>
      <c r="J3915" s="8">
        <v>0</v>
      </c>
      <c r="K3915" s="9" t="str">
        <v/>
      </c>
    </row>
    <row r="3916" spans="1:11">
      <c r="A3916" t="str">
        <v/>
      </c>
      <c r="B3916" s="6">
        <v>0</v>
      </c>
      <c r="C3916" s="7" t="str">
        <v>趣点购浦发</v>
      </c>
      <c r="D3916" s="8">
        <v>0</v>
      </c>
      <c r="E3916" s="7">
        <v>0</v>
      </c>
      <c r="F3916" s="8">
        <v>0</v>
      </c>
      <c r="G3916" s="7">
        <v>0</v>
      </c>
      <c r="H3916" s="7">
        <v>81211.819999998</v>
      </c>
      <c r="I3916" s="7">
        <v>0</v>
      </c>
      <c r="J3916" s="8">
        <v>0</v>
      </c>
      <c r="K3916" s="9" t="str">
        <v/>
      </c>
    </row>
    <row r="3917" spans="1:11">
      <c r="A3917" t="str">
        <v/>
      </c>
      <c r="B3917" s="6">
        <v>0</v>
      </c>
      <c r="C3917" s="7" t="str">
        <v>趣点购浦发</v>
      </c>
      <c r="D3917" s="8">
        <v>0</v>
      </c>
      <c r="E3917" s="7">
        <v>0</v>
      </c>
      <c r="F3917" s="8">
        <v>0</v>
      </c>
      <c r="G3917" s="7">
        <v>0</v>
      </c>
      <c r="H3917" s="7">
        <v>81211.819999998</v>
      </c>
      <c r="I3917" s="7">
        <v>0</v>
      </c>
      <c r="J3917" s="8">
        <v>0</v>
      </c>
      <c r="K3917" s="9" t="str">
        <v/>
      </c>
    </row>
    <row r="3918" spans="1:11">
      <c r="A3918" t="str">
        <v/>
      </c>
      <c r="B3918" s="6">
        <v>0</v>
      </c>
      <c r="C3918" s="7" t="str">
        <v>趣点购浦发</v>
      </c>
      <c r="D3918" s="8">
        <v>0</v>
      </c>
      <c r="E3918" s="7">
        <v>0</v>
      </c>
      <c r="F3918" s="8">
        <v>0</v>
      </c>
      <c r="G3918" s="7">
        <v>0</v>
      </c>
      <c r="H3918" s="7">
        <v>81211.819999998</v>
      </c>
      <c r="I3918" s="7">
        <v>0</v>
      </c>
      <c r="J3918" s="8">
        <v>0</v>
      </c>
      <c r="K3918" s="9" t="str">
        <v/>
      </c>
    </row>
    <row r="3919" spans="1:11">
      <c r="A3919" t="str">
        <v/>
      </c>
      <c r="B3919" s="6">
        <v>0</v>
      </c>
      <c r="C3919" s="7" t="str">
        <v>趣点购浦发</v>
      </c>
      <c r="D3919" s="8">
        <v>0</v>
      </c>
      <c r="E3919" s="7">
        <v>0</v>
      </c>
      <c r="F3919" s="8">
        <v>0</v>
      </c>
      <c r="G3919" s="7">
        <v>0</v>
      </c>
      <c r="H3919" s="7">
        <v>81211.819999998</v>
      </c>
      <c r="I3919" s="7">
        <v>0</v>
      </c>
      <c r="J3919" s="8">
        <v>0</v>
      </c>
      <c r="K3919" s="9" t="str">
        <v/>
      </c>
    </row>
    <row r="3920" spans="1:11">
      <c r="A3920" t="str">
        <v/>
      </c>
      <c r="B3920" s="6">
        <v>0</v>
      </c>
      <c r="C3920" s="7" t="str">
        <v>趣点购浦发</v>
      </c>
      <c r="D3920" s="8">
        <v>0</v>
      </c>
      <c r="E3920" s="7">
        <v>0</v>
      </c>
      <c r="F3920" s="8">
        <v>0</v>
      </c>
      <c r="G3920" s="7">
        <v>0</v>
      </c>
      <c r="H3920" s="7">
        <v>81211.819999998</v>
      </c>
      <c r="I3920" s="7">
        <v>0</v>
      </c>
      <c r="J3920" s="8">
        <v>0</v>
      </c>
      <c r="K3920" s="9" t="str">
        <v/>
      </c>
    </row>
    <row r="3921" spans="1:11">
      <c r="A3921" t="str">
        <v/>
      </c>
      <c r="B3921" s="6">
        <v>0</v>
      </c>
      <c r="C3921" s="7" t="str">
        <v>趣点购浦发</v>
      </c>
      <c r="D3921" s="8">
        <v>0</v>
      </c>
      <c r="E3921" s="7">
        <v>0</v>
      </c>
      <c r="F3921" s="8">
        <v>0</v>
      </c>
      <c r="G3921" s="7">
        <v>0</v>
      </c>
      <c r="H3921" s="7">
        <v>81211.819999998</v>
      </c>
      <c r="I3921" s="7">
        <v>0</v>
      </c>
      <c r="J3921" s="8">
        <v>0</v>
      </c>
      <c r="K3921" s="9" t="str">
        <v/>
      </c>
    </row>
    <row r="3922" spans="1:11">
      <c r="A3922" t="str">
        <v/>
      </c>
      <c r="B3922" s="6">
        <v>0</v>
      </c>
      <c r="C3922" s="7" t="str">
        <v>趣点购浦发</v>
      </c>
      <c r="D3922" s="8">
        <v>0</v>
      </c>
      <c r="E3922" s="7">
        <v>0</v>
      </c>
      <c r="F3922" s="8">
        <v>0</v>
      </c>
      <c r="G3922" s="7">
        <v>0</v>
      </c>
      <c r="H3922" s="7">
        <v>81211.819999998</v>
      </c>
      <c r="I3922" s="7">
        <v>0</v>
      </c>
      <c r="J3922" s="8">
        <v>0</v>
      </c>
      <c r="K3922" s="9" t="str">
        <v/>
      </c>
    </row>
    <row r="3923" spans="1:11">
      <c r="A3923" t="str">
        <v/>
      </c>
      <c r="B3923" s="6">
        <v>0</v>
      </c>
      <c r="C3923" s="7" t="str">
        <v>趣点购浦发</v>
      </c>
      <c r="D3923" s="8">
        <v>0</v>
      </c>
      <c r="E3923" s="7">
        <v>0</v>
      </c>
      <c r="F3923" s="8">
        <v>0</v>
      </c>
      <c r="G3923" s="7">
        <v>0</v>
      </c>
      <c r="H3923" s="7">
        <v>81211.819999998</v>
      </c>
      <c r="I3923" s="7">
        <v>0</v>
      </c>
      <c r="J3923" s="8">
        <v>0</v>
      </c>
      <c r="K3923" s="9" t="str">
        <v/>
      </c>
    </row>
    <row r="3924" spans="1:11">
      <c r="A3924" t="str">
        <v/>
      </c>
      <c r="B3924" s="6">
        <v>0</v>
      </c>
      <c r="C3924" s="7" t="str">
        <v>趣点购浦发</v>
      </c>
      <c r="D3924" s="8">
        <v>0</v>
      </c>
      <c r="E3924" s="7">
        <v>0</v>
      </c>
      <c r="F3924" s="8">
        <v>0</v>
      </c>
      <c r="G3924" s="7">
        <v>0</v>
      </c>
      <c r="H3924" s="7">
        <v>81211.819999998</v>
      </c>
      <c r="I3924" s="7">
        <v>0</v>
      </c>
      <c r="J3924" s="8">
        <v>0</v>
      </c>
      <c r="K3924" s="9" t="str">
        <v/>
      </c>
    </row>
    <row r="3925" spans="1:11">
      <c r="A3925" t="str">
        <v/>
      </c>
      <c r="B3925" s="6">
        <v>0</v>
      </c>
      <c r="C3925" s="7" t="str">
        <v>趣点购浦发</v>
      </c>
      <c r="D3925" s="8">
        <v>0</v>
      </c>
      <c r="E3925" s="7">
        <v>0</v>
      </c>
      <c r="F3925" s="8">
        <v>0</v>
      </c>
      <c r="G3925" s="7">
        <v>0</v>
      </c>
      <c r="H3925" s="7">
        <v>81211.819999998</v>
      </c>
      <c r="I3925" s="7">
        <v>0</v>
      </c>
      <c r="J3925" s="8">
        <v>0</v>
      </c>
      <c r="K3925" s="9" t="str">
        <v/>
      </c>
    </row>
    <row r="3926" spans="1:11">
      <c r="A3926" t="str">
        <v/>
      </c>
      <c r="B3926" s="6">
        <v>0</v>
      </c>
      <c r="C3926" s="7" t="str">
        <v>趣点购浦发</v>
      </c>
      <c r="D3926" s="8">
        <v>0</v>
      </c>
      <c r="E3926" s="7">
        <v>0</v>
      </c>
      <c r="F3926" s="8">
        <v>0</v>
      </c>
      <c r="G3926" s="7">
        <v>0</v>
      </c>
      <c r="H3926" s="7">
        <v>81211.819999998</v>
      </c>
      <c r="I3926" s="7">
        <v>0</v>
      </c>
      <c r="J3926" s="8">
        <v>0</v>
      </c>
      <c r="K3926" s="9" t="str">
        <v/>
      </c>
    </row>
    <row r="3927" spans="1:11">
      <c r="A3927" t="str">
        <v/>
      </c>
      <c r="B3927" s="6">
        <v>0</v>
      </c>
      <c r="C3927" s="7" t="str">
        <v>趣点购浦发</v>
      </c>
      <c r="D3927" s="8">
        <v>0</v>
      </c>
      <c r="E3927" s="7">
        <v>0</v>
      </c>
      <c r="F3927" s="8">
        <v>0</v>
      </c>
      <c r="G3927" s="7">
        <v>0</v>
      </c>
      <c r="H3927" s="7">
        <v>81211.819999998</v>
      </c>
      <c r="I3927" s="7">
        <v>0</v>
      </c>
      <c r="J3927" s="8">
        <v>0</v>
      </c>
      <c r="K3927" s="9" t="str">
        <v/>
      </c>
    </row>
    <row r="3928" spans="1:11">
      <c r="A3928" t="str">
        <v/>
      </c>
      <c r="B3928" s="6">
        <v>0</v>
      </c>
      <c r="C3928" s="7" t="str">
        <v>趣点购浦发</v>
      </c>
      <c r="D3928" s="8">
        <v>0</v>
      </c>
      <c r="E3928" s="7">
        <v>0</v>
      </c>
      <c r="F3928" s="8">
        <v>0</v>
      </c>
      <c r="G3928" s="7">
        <v>0</v>
      </c>
      <c r="H3928" s="7">
        <v>81211.819999998</v>
      </c>
      <c r="I3928" s="7">
        <v>0</v>
      </c>
      <c r="J3928" s="8">
        <v>0</v>
      </c>
      <c r="K3928" s="9" t="str">
        <v/>
      </c>
    </row>
    <row r="3929" spans="1:11">
      <c r="A3929" t="str">
        <v/>
      </c>
      <c r="B3929" s="6">
        <v>0</v>
      </c>
      <c r="C3929" s="7" t="str">
        <v>趣点购浦发</v>
      </c>
      <c r="D3929" s="8">
        <v>0</v>
      </c>
      <c r="E3929" s="7">
        <v>0</v>
      </c>
      <c r="F3929" s="8">
        <v>0</v>
      </c>
      <c r="G3929" s="7">
        <v>0</v>
      </c>
      <c r="H3929" s="7">
        <v>81211.819999998</v>
      </c>
      <c r="I3929" s="7">
        <v>0</v>
      </c>
      <c r="J3929" s="8">
        <v>0</v>
      </c>
      <c r="K3929" s="9" t="str">
        <v/>
      </c>
    </row>
    <row r="3930" spans="1:11">
      <c r="A3930" t="str">
        <v/>
      </c>
      <c r="B3930" s="6">
        <v>0</v>
      </c>
      <c r="C3930" s="7" t="str">
        <v>趣点购浦发</v>
      </c>
      <c r="D3930" s="8">
        <v>0</v>
      </c>
      <c r="E3930" s="7">
        <v>0</v>
      </c>
      <c r="F3930" s="8">
        <v>0</v>
      </c>
      <c r="G3930" s="7">
        <v>0</v>
      </c>
      <c r="H3930" s="7">
        <v>81211.819999998</v>
      </c>
      <c r="I3930" s="7">
        <v>0</v>
      </c>
      <c r="J3930" s="8">
        <v>0</v>
      </c>
      <c r="K3930" s="9" t="str">
        <v/>
      </c>
    </row>
    <row r="3931" spans="1:11">
      <c r="A3931" t="str">
        <v/>
      </c>
      <c r="B3931" s="6">
        <v>0</v>
      </c>
      <c r="C3931" s="7" t="str">
        <v>趣点购浦发</v>
      </c>
      <c r="D3931" s="8">
        <v>0</v>
      </c>
      <c r="E3931" s="7">
        <v>0</v>
      </c>
      <c r="F3931" s="8">
        <v>0</v>
      </c>
      <c r="G3931" s="7">
        <v>0</v>
      </c>
      <c r="H3931" s="7">
        <v>81211.819999998</v>
      </c>
      <c r="I3931" s="7">
        <v>0</v>
      </c>
      <c r="J3931" s="8">
        <v>0</v>
      </c>
      <c r="K3931" s="9" t="str">
        <v/>
      </c>
    </row>
    <row r="3932" spans="1:11">
      <c r="A3932" t="str">
        <v/>
      </c>
      <c r="B3932" s="6">
        <v>0</v>
      </c>
      <c r="C3932" s="7" t="str">
        <v>趣点购浦发</v>
      </c>
      <c r="D3932" s="8">
        <v>0</v>
      </c>
      <c r="E3932" s="7">
        <v>0</v>
      </c>
      <c r="F3932" s="8">
        <v>0</v>
      </c>
      <c r="G3932" s="7">
        <v>0</v>
      </c>
      <c r="H3932" s="7">
        <v>81211.819999998</v>
      </c>
      <c r="I3932" s="7">
        <v>0</v>
      </c>
      <c r="J3932" s="8">
        <v>0</v>
      </c>
      <c r="K3932" s="9" t="str">
        <v/>
      </c>
    </row>
    <row r="3933" spans="1:11">
      <c r="A3933" t="str">
        <v/>
      </c>
      <c r="B3933" s="6">
        <v>0</v>
      </c>
      <c r="C3933" s="7" t="str">
        <v>趣点购浦发</v>
      </c>
      <c r="D3933" s="8">
        <v>0</v>
      </c>
      <c r="E3933" s="7">
        <v>0</v>
      </c>
      <c r="F3933" s="8">
        <v>0</v>
      </c>
      <c r="G3933" s="7">
        <v>0</v>
      </c>
      <c r="H3933" s="7">
        <v>81211.819999998</v>
      </c>
      <c r="I3933" s="7">
        <v>0</v>
      </c>
      <c r="J3933" s="8">
        <v>0</v>
      </c>
      <c r="K3933" s="9" t="str">
        <v/>
      </c>
    </row>
    <row r="3934" spans="1:11">
      <c r="A3934" t="str">
        <v/>
      </c>
      <c r="B3934" s="6">
        <v>0</v>
      </c>
      <c r="C3934" s="7" t="str">
        <v>趣点购浦发</v>
      </c>
      <c r="D3934" s="8">
        <v>0</v>
      </c>
      <c r="E3934" s="7">
        <v>0</v>
      </c>
      <c r="F3934" s="8">
        <v>0</v>
      </c>
      <c r="G3934" s="7">
        <v>0</v>
      </c>
      <c r="H3934" s="7">
        <v>81211.819999998</v>
      </c>
      <c r="I3934" s="7">
        <v>0</v>
      </c>
      <c r="J3934" s="8">
        <v>0</v>
      </c>
      <c r="K3934" s="9" t="str">
        <v/>
      </c>
    </row>
    <row r="3935" spans="1:11">
      <c r="A3935" t="str">
        <v/>
      </c>
      <c r="B3935" s="6">
        <v>0</v>
      </c>
      <c r="C3935" s="7" t="str">
        <v>趣点购浦发</v>
      </c>
      <c r="D3935" s="8">
        <v>0</v>
      </c>
      <c r="E3935" s="7">
        <v>0</v>
      </c>
      <c r="F3935" s="8">
        <v>0</v>
      </c>
      <c r="G3935" s="7">
        <v>0</v>
      </c>
      <c r="H3935" s="7">
        <v>81211.819999998</v>
      </c>
      <c r="I3935" s="7">
        <v>0</v>
      </c>
      <c r="J3935" s="8">
        <v>0</v>
      </c>
      <c r="K3935" s="9" t="str">
        <v/>
      </c>
    </row>
    <row r="3936" spans="1:11">
      <c r="A3936" t="str">
        <v/>
      </c>
      <c r="B3936" s="6">
        <v>0</v>
      </c>
      <c r="C3936" s="7" t="str">
        <v>趣点购浦发</v>
      </c>
      <c r="D3936" s="8">
        <v>0</v>
      </c>
      <c r="E3936" s="7">
        <v>0</v>
      </c>
      <c r="F3936" s="8">
        <v>0</v>
      </c>
      <c r="G3936" s="7">
        <v>0</v>
      </c>
      <c r="H3936" s="7">
        <v>81211.819999998</v>
      </c>
      <c r="I3936" s="7">
        <v>0</v>
      </c>
      <c r="J3936" s="8">
        <v>0</v>
      </c>
      <c r="K3936" s="9" t="str">
        <v/>
      </c>
    </row>
    <row r="3937" spans="1:11">
      <c r="A3937" t="str">
        <v/>
      </c>
      <c r="B3937" s="6">
        <v>0</v>
      </c>
      <c r="C3937" s="7" t="str">
        <v>趣点购浦发</v>
      </c>
      <c r="D3937" s="8">
        <v>0</v>
      </c>
      <c r="E3937" s="7">
        <v>0</v>
      </c>
      <c r="F3937" s="8">
        <v>0</v>
      </c>
      <c r="G3937" s="7">
        <v>0</v>
      </c>
      <c r="H3937" s="7">
        <v>81211.819999998</v>
      </c>
      <c r="I3937" s="7">
        <v>0</v>
      </c>
      <c r="J3937" s="8">
        <v>0</v>
      </c>
      <c r="K3937" s="9" t="str">
        <v/>
      </c>
    </row>
    <row r="3938" spans="1:11">
      <c r="A3938" t="str">
        <v/>
      </c>
      <c r="B3938" s="6">
        <v>0</v>
      </c>
      <c r="C3938" s="7" t="str">
        <v>趣点购浦发</v>
      </c>
      <c r="D3938" s="8">
        <v>0</v>
      </c>
      <c r="E3938" s="7">
        <v>0</v>
      </c>
      <c r="F3938" s="8">
        <v>0</v>
      </c>
      <c r="G3938" s="7">
        <v>0</v>
      </c>
      <c r="H3938" s="7">
        <v>81211.819999998</v>
      </c>
      <c r="I3938" s="7">
        <v>0</v>
      </c>
      <c r="J3938" s="8">
        <v>0</v>
      </c>
      <c r="K3938" s="9" t="str">
        <v/>
      </c>
    </row>
    <row r="3939" spans="1:11">
      <c r="A3939" t="str">
        <v/>
      </c>
      <c r="B3939" s="6">
        <v>0</v>
      </c>
      <c r="C3939" s="7" t="str">
        <v>趣点购浦发</v>
      </c>
      <c r="D3939" s="8">
        <v>0</v>
      </c>
      <c r="E3939" s="7">
        <v>0</v>
      </c>
      <c r="F3939" s="8">
        <v>0</v>
      </c>
      <c r="G3939" s="7">
        <v>0</v>
      </c>
      <c r="H3939" s="7">
        <v>81211.819999998</v>
      </c>
      <c r="I3939" s="7">
        <v>0</v>
      </c>
      <c r="J3939" s="8">
        <v>0</v>
      </c>
      <c r="K3939" s="9" t="str">
        <v/>
      </c>
    </row>
    <row r="3940" spans="1:11">
      <c r="A3940" t="str">
        <v/>
      </c>
      <c r="B3940" s="6">
        <v>0</v>
      </c>
      <c r="C3940" s="7" t="str">
        <v>趣点购浦发</v>
      </c>
      <c r="D3940" s="8">
        <v>0</v>
      </c>
      <c r="E3940" s="7">
        <v>0</v>
      </c>
      <c r="F3940" s="8">
        <v>0</v>
      </c>
      <c r="G3940" s="7">
        <v>0</v>
      </c>
      <c r="H3940" s="7">
        <v>81211.819999998</v>
      </c>
      <c r="I3940" s="7">
        <v>0</v>
      </c>
      <c r="J3940" s="8">
        <v>0</v>
      </c>
      <c r="K3940" s="9" t="str">
        <v/>
      </c>
    </row>
    <row r="3941" spans="1:11">
      <c r="A3941" t="str">
        <v/>
      </c>
      <c r="B3941" s="6">
        <v>0</v>
      </c>
      <c r="C3941" s="7" t="str">
        <v>趣点购浦发</v>
      </c>
      <c r="D3941" s="8">
        <v>0</v>
      </c>
      <c r="E3941" s="7">
        <v>0</v>
      </c>
      <c r="F3941" s="8">
        <v>0</v>
      </c>
      <c r="G3941" s="7">
        <v>0</v>
      </c>
      <c r="H3941" s="7">
        <v>81211.819999998</v>
      </c>
      <c r="I3941" s="7">
        <v>0</v>
      </c>
      <c r="J3941" s="8">
        <v>0</v>
      </c>
      <c r="K3941" s="9" t="str">
        <v/>
      </c>
    </row>
    <row r="3942" spans="1:11">
      <c r="A3942" t="str">
        <v/>
      </c>
      <c r="B3942" s="6">
        <v>0</v>
      </c>
      <c r="C3942" s="7" t="str">
        <v>趣点购浦发</v>
      </c>
      <c r="D3942" s="8">
        <v>0</v>
      </c>
      <c r="E3942" s="7">
        <v>0</v>
      </c>
      <c r="F3942" s="8">
        <v>0</v>
      </c>
      <c r="G3942" s="7">
        <v>0</v>
      </c>
      <c r="H3942" s="7">
        <v>81211.819999998</v>
      </c>
      <c r="I3942" s="7">
        <v>0</v>
      </c>
      <c r="J3942" s="8">
        <v>0</v>
      </c>
      <c r="K3942" s="9" t="str">
        <v/>
      </c>
    </row>
    <row r="3943" spans="1:11">
      <c r="A3943" t="str">
        <v/>
      </c>
      <c r="B3943" s="6">
        <v>0</v>
      </c>
      <c r="C3943" s="7" t="str">
        <v>趣点购浦发</v>
      </c>
      <c r="D3943" s="8">
        <v>0</v>
      </c>
      <c r="E3943" s="7">
        <v>0</v>
      </c>
      <c r="F3943" s="8">
        <v>0</v>
      </c>
      <c r="G3943" s="7">
        <v>0</v>
      </c>
      <c r="H3943" s="7">
        <v>81211.819999998</v>
      </c>
      <c r="I3943" s="7">
        <v>0</v>
      </c>
      <c r="J3943" s="8">
        <v>0</v>
      </c>
      <c r="K3943" s="9" t="str">
        <v/>
      </c>
    </row>
    <row r="3944" spans="1:11">
      <c r="A3944" t="str">
        <v/>
      </c>
      <c r="B3944" s="6">
        <v>0</v>
      </c>
      <c r="C3944" s="7" t="str">
        <v>趣点购浦发</v>
      </c>
      <c r="D3944" s="8">
        <v>0</v>
      </c>
      <c r="E3944" s="7">
        <v>0</v>
      </c>
      <c r="F3944" s="8">
        <v>0</v>
      </c>
      <c r="G3944" s="7">
        <v>0</v>
      </c>
      <c r="H3944" s="7">
        <v>81211.819999998</v>
      </c>
      <c r="I3944" s="7">
        <v>0</v>
      </c>
      <c r="J3944" s="8">
        <v>0</v>
      </c>
      <c r="K3944" s="9" t="str">
        <v/>
      </c>
    </row>
    <row r="3945" spans="1:11">
      <c r="A3945" t="str">
        <v/>
      </c>
      <c r="B3945" s="6">
        <v>0</v>
      </c>
      <c r="C3945" s="7" t="str">
        <v>趣点购浦发</v>
      </c>
      <c r="D3945" s="8">
        <v>0</v>
      </c>
      <c r="E3945" s="7">
        <v>0</v>
      </c>
      <c r="F3945" s="8">
        <v>0</v>
      </c>
      <c r="G3945" s="7">
        <v>0</v>
      </c>
      <c r="H3945" s="7">
        <v>81211.819999998</v>
      </c>
      <c r="I3945" s="7">
        <v>0</v>
      </c>
      <c r="J3945" s="8">
        <v>0</v>
      </c>
      <c r="K3945" s="9" t="str">
        <v/>
      </c>
    </row>
    <row r="3946" spans="1:11">
      <c r="A3946" t="str">
        <v/>
      </c>
      <c r="B3946" s="6">
        <v>0</v>
      </c>
      <c r="C3946" s="7" t="str">
        <v>趣点购浦发</v>
      </c>
      <c r="D3946" s="8">
        <v>0</v>
      </c>
      <c r="E3946" s="7">
        <v>0</v>
      </c>
      <c r="F3946" s="8">
        <v>0</v>
      </c>
      <c r="G3946" s="7">
        <v>0</v>
      </c>
      <c r="H3946" s="7">
        <v>81211.819999998</v>
      </c>
      <c r="I3946" s="7">
        <v>0</v>
      </c>
      <c r="J3946" s="8">
        <v>0</v>
      </c>
      <c r="K3946" s="9" t="str">
        <v/>
      </c>
    </row>
    <row r="3947" spans="1:11">
      <c r="A3947" t="str">
        <v/>
      </c>
      <c r="B3947" s="6">
        <v>0</v>
      </c>
      <c r="C3947" s="7" t="str">
        <v>趣点购浦发</v>
      </c>
      <c r="D3947" s="8">
        <v>0</v>
      </c>
      <c r="E3947" s="7">
        <v>0</v>
      </c>
      <c r="F3947" s="8">
        <v>0</v>
      </c>
      <c r="G3947" s="7">
        <v>0</v>
      </c>
      <c r="H3947" s="7">
        <v>81211.819999998</v>
      </c>
      <c r="I3947" s="7">
        <v>0</v>
      </c>
      <c r="J3947" s="8">
        <v>0</v>
      </c>
      <c r="K3947" s="9" t="str">
        <v/>
      </c>
    </row>
    <row r="3948" spans="1:11">
      <c r="A3948" t="str">
        <v/>
      </c>
      <c r="B3948" s="6">
        <v>0</v>
      </c>
      <c r="C3948" s="7" t="str">
        <v>趣点购浦发</v>
      </c>
      <c r="D3948" s="8">
        <v>0</v>
      </c>
      <c r="E3948" s="7">
        <v>0</v>
      </c>
      <c r="F3948" s="8">
        <v>0</v>
      </c>
      <c r="G3948" s="7">
        <v>0</v>
      </c>
      <c r="H3948" s="7">
        <v>81211.819999998</v>
      </c>
      <c r="I3948" s="7">
        <v>0</v>
      </c>
      <c r="J3948" s="8">
        <v>0</v>
      </c>
      <c r="K3948" s="9" t="str">
        <v/>
      </c>
    </row>
    <row r="3949" spans="1:11">
      <c r="A3949" t="str">
        <v/>
      </c>
      <c r="B3949" s="6">
        <v>0</v>
      </c>
      <c r="C3949" s="7" t="str">
        <v>趣点购浦发</v>
      </c>
      <c r="D3949" s="8">
        <v>0</v>
      </c>
      <c r="E3949" s="7">
        <v>0</v>
      </c>
      <c r="F3949" s="8">
        <v>0</v>
      </c>
      <c r="G3949" s="7">
        <v>0</v>
      </c>
      <c r="H3949" s="7">
        <v>81211.819999998</v>
      </c>
      <c r="I3949" s="7">
        <v>0</v>
      </c>
      <c r="J3949" s="8">
        <v>0</v>
      </c>
      <c r="K3949" s="9" t="str">
        <v/>
      </c>
    </row>
    <row r="3950" spans="1:11">
      <c r="A3950" t="str">
        <v/>
      </c>
      <c r="B3950" s="6">
        <v>0</v>
      </c>
      <c r="C3950" s="7" t="str">
        <v>趣点购浦发</v>
      </c>
      <c r="D3950" s="8">
        <v>0</v>
      </c>
      <c r="E3950" s="7">
        <v>0</v>
      </c>
      <c r="F3950" s="8">
        <v>0</v>
      </c>
      <c r="G3950" s="7">
        <v>0</v>
      </c>
      <c r="H3950" s="7">
        <v>81211.819999998</v>
      </c>
      <c r="I3950" s="7">
        <v>0</v>
      </c>
      <c r="J3950" s="8">
        <v>0</v>
      </c>
      <c r="K3950" s="9" t="str">
        <v/>
      </c>
    </row>
    <row r="3951" spans="1:11">
      <c r="A3951" t="str">
        <v/>
      </c>
      <c r="B3951" s="6">
        <v>0</v>
      </c>
      <c r="C3951" s="7" t="str">
        <v>趣点购浦发</v>
      </c>
      <c r="D3951" s="8">
        <v>0</v>
      </c>
      <c r="E3951" s="7">
        <v>0</v>
      </c>
      <c r="F3951" s="8">
        <v>0</v>
      </c>
      <c r="G3951" s="7">
        <v>0</v>
      </c>
      <c r="H3951" s="7">
        <v>81211.819999998</v>
      </c>
      <c r="I3951" s="7">
        <v>0</v>
      </c>
      <c r="J3951" s="8">
        <v>0</v>
      </c>
      <c r="K3951" s="9" t="str">
        <v/>
      </c>
    </row>
    <row r="3952" spans="1:11">
      <c r="A3952" t="str">
        <v/>
      </c>
      <c r="B3952" s="6">
        <v>0</v>
      </c>
      <c r="C3952" s="7" t="str">
        <v>趣点购浦发</v>
      </c>
      <c r="D3952" s="8">
        <v>0</v>
      </c>
      <c r="E3952" s="7">
        <v>0</v>
      </c>
      <c r="F3952" s="8">
        <v>0</v>
      </c>
      <c r="G3952" s="7">
        <v>0</v>
      </c>
      <c r="H3952" s="7">
        <v>81211.819999998</v>
      </c>
      <c r="I3952" s="7">
        <v>0</v>
      </c>
      <c r="J3952" s="8">
        <v>0</v>
      </c>
      <c r="K3952" s="9" t="str">
        <v/>
      </c>
    </row>
    <row r="3953" spans="1:11">
      <c r="A3953" t="str">
        <v/>
      </c>
      <c r="B3953" s="6">
        <v>0</v>
      </c>
      <c r="C3953" s="7" t="str">
        <v>趣点购浦发</v>
      </c>
      <c r="D3953" s="8">
        <v>0</v>
      </c>
      <c r="E3953" s="7">
        <v>0</v>
      </c>
      <c r="F3953" s="8">
        <v>0</v>
      </c>
      <c r="G3953" s="7">
        <v>0</v>
      </c>
      <c r="H3953" s="7">
        <v>81211.819999998</v>
      </c>
      <c r="I3953" s="7">
        <v>0</v>
      </c>
      <c r="J3953" s="8">
        <v>0</v>
      </c>
      <c r="K3953" s="9" t="str">
        <v/>
      </c>
    </row>
    <row r="3954" spans="1:11">
      <c r="A3954" t="str">
        <v/>
      </c>
      <c r="B3954" s="6">
        <v>0</v>
      </c>
      <c r="C3954" s="7" t="str">
        <v>趣点购浦发</v>
      </c>
      <c r="D3954" s="8">
        <v>0</v>
      </c>
      <c r="E3954" s="7">
        <v>0</v>
      </c>
      <c r="F3954" s="8">
        <v>0</v>
      </c>
      <c r="G3954" s="7">
        <v>0</v>
      </c>
      <c r="H3954" s="7">
        <v>81211.819999998</v>
      </c>
      <c r="I3954" s="7">
        <v>0</v>
      </c>
      <c r="J3954" s="8">
        <v>0</v>
      </c>
      <c r="K3954" s="9" t="str">
        <v/>
      </c>
    </row>
    <row r="3955" spans="1:11">
      <c r="A3955" t="str">
        <v/>
      </c>
      <c r="B3955" s="6">
        <v>0</v>
      </c>
      <c r="C3955" s="7" t="str">
        <v>趣点购浦发</v>
      </c>
      <c r="D3955" s="8">
        <v>0</v>
      </c>
      <c r="E3955" s="7">
        <v>0</v>
      </c>
      <c r="F3955" s="8">
        <v>0</v>
      </c>
      <c r="G3955" s="7">
        <v>0</v>
      </c>
      <c r="H3955" s="7">
        <v>81211.819999998</v>
      </c>
      <c r="I3955" s="7">
        <v>0</v>
      </c>
      <c r="J3955" s="8">
        <v>0</v>
      </c>
      <c r="K3955" s="9" t="str">
        <v/>
      </c>
    </row>
    <row r="3956" spans="1:11">
      <c r="A3956" t="str">
        <v/>
      </c>
      <c r="B3956" s="6">
        <v>0</v>
      </c>
      <c r="C3956" s="7" t="str">
        <v>趣点购浦发</v>
      </c>
      <c r="D3956" s="8">
        <v>0</v>
      </c>
      <c r="E3956" s="7">
        <v>0</v>
      </c>
      <c r="F3956" s="8">
        <v>0</v>
      </c>
      <c r="G3956" s="7">
        <v>0</v>
      </c>
      <c r="H3956" s="7">
        <v>81211.819999998</v>
      </c>
      <c r="I3956" s="7">
        <v>0</v>
      </c>
      <c r="J3956" s="8">
        <v>0</v>
      </c>
      <c r="K3956" s="9" t="str">
        <v/>
      </c>
    </row>
    <row r="3957" spans="1:11">
      <c r="A3957" t="str">
        <v/>
      </c>
      <c r="B3957" s="6">
        <v>0</v>
      </c>
      <c r="C3957" s="7" t="str">
        <v>趣点购浦发</v>
      </c>
      <c r="D3957" s="8">
        <v>0</v>
      </c>
      <c r="E3957" s="7">
        <v>0</v>
      </c>
      <c r="F3957" s="8">
        <v>0</v>
      </c>
      <c r="G3957" s="7">
        <v>0</v>
      </c>
      <c r="H3957" s="7">
        <v>81211.819999998</v>
      </c>
      <c r="I3957" s="7">
        <v>0</v>
      </c>
      <c r="J3957" s="8">
        <v>0</v>
      </c>
      <c r="K3957" s="9" t="str">
        <v/>
      </c>
    </row>
    <row r="3958" spans="1:11">
      <c r="A3958" t="str">
        <v/>
      </c>
      <c r="B3958" s="6">
        <v>0</v>
      </c>
      <c r="C3958" s="7" t="str">
        <v>趣点购浦发</v>
      </c>
      <c r="D3958" s="8">
        <v>0</v>
      </c>
      <c r="E3958" s="7">
        <v>0</v>
      </c>
      <c r="F3958" s="8">
        <v>0</v>
      </c>
      <c r="G3958" s="7">
        <v>0</v>
      </c>
      <c r="H3958" s="7">
        <v>81211.819999998</v>
      </c>
      <c r="I3958" s="7">
        <v>0</v>
      </c>
      <c r="J3958" s="8">
        <v>0</v>
      </c>
      <c r="K3958" s="9" t="str">
        <v/>
      </c>
    </row>
    <row r="3959" spans="1:11">
      <c r="A3959" t="str">
        <v/>
      </c>
      <c r="B3959" s="6">
        <v>0</v>
      </c>
      <c r="C3959" s="7" t="str">
        <v>趣点购浦发</v>
      </c>
      <c r="D3959" s="8">
        <v>0</v>
      </c>
      <c r="E3959" s="7">
        <v>0</v>
      </c>
      <c r="F3959" s="8">
        <v>0</v>
      </c>
      <c r="G3959" s="7">
        <v>0</v>
      </c>
      <c r="H3959" s="7">
        <v>81211.819999998</v>
      </c>
      <c r="I3959" s="7">
        <v>0</v>
      </c>
      <c r="J3959" s="8">
        <v>0</v>
      </c>
      <c r="K3959" s="9" t="str">
        <v/>
      </c>
    </row>
    <row r="3960" spans="1:11">
      <c r="A3960" t="str">
        <v/>
      </c>
      <c r="B3960" s="6">
        <v>0</v>
      </c>
      <c r="C3960" s="7" t="str">
        <v>趣点购浦发</v>
      </c>
      <c r="D3960" s="8">
        <v>0</v>
      </c>
      <c r="E3960" s="7">
        <v>0</v>
      </c>
      <c r="F3960" s="8">
        <v>0</v>
      </c>
      <c r="G3960" s="7">
        <v>0</v>
      </c>
      <c r="H3960" s="7">
        <v>81211.819999998</v>
      </c>
      <c r="I3960" s="7">
        <v>0</v>
      </c>
      <c r="J3960" s="8">
        <v>0</v>
      </c>
      <c r="K3960" s="9" t="str">
        <v/>
      </c>
    </row>
    <row r="3961" spans="1:11">
      <c r="A3961" t="str">
        <v/>
      </c>
      <c r="B3961" s="6">
        <v>0</v>
      </c>
      <c r="C3961" s="7" t="str">
        <v>趣点购浦发</v>
      </c>
      <c r="D3961" s="8">
        <v>0</v>
      </c>
      <c r="E3961" s="7">
        <v>0</v>
      </c>
      <c r="F3961" s="8">
        <v>0</v>
      </c>
      <c r="G3961" s="7">
        <v>0</v>
      </c>
      <c r="H3961" s="7">
        <v>81211.819999998</v>
      </c>
      <c r="I3961" s="7">
        <v>0</v>
      </c>
      <c r="J3961" s="8">
        <v>0</v>
      </c>
      <c r="K3961" s="9" t="str">
        <v/>
      </c>
    </row>
    <row r="3962" spans="1:11">
      <c r="A3962" t="str">
        <v/>
      </c>
      <c r="B3962" s="6">
        <v>0</v>
      </c>
      <c r="C3962" s="7" t="str">
        <v>趣点购浦发</v>
      </c>
      <c r="D3962" s="8">
        <v>0</v>
      </c>
      <c r="E3962" s="7">
        <v>0</v>
      </c>
      <c r="F3962" s="8">
        <v>0</v>
      </c>
      <c r="G3962" s="7">
        <v>0</v>
      </c>
      <c r="H3962" s="7">
        <v>81211.819999998</v>
      </c>
      <c r="I3962" s="7">
        <v>0</v>
      </c>
      <c r="J3962" s="8">
        <v>0</v>
      </c>
      <c r="K3962" s="9" t="str">
        <v/>
      </c>
    </row>
    <row r="3963" spans="1:11">
      <c r="A3963" t="str">
        <v/>
      </c>
      <c r="B3963" s="6">
        <v>0</v>
      </c>
      <c r="C3963" s="7" t="str">
        <v>趣点购浦发</v>
      </c>
      <c r="D3963" s="8">
        <v>0</v>
      </c>
      <c r="E3963" s="7">
        <v>0</v>
      </c>
      <c r="F3963" s="8">
        <v>0</v>
      </c>
      <c r="G3963" s="7">
        <v>0</v>
      </c>
      <c r="H3963" s="7">
        <v>81211.819999998</v>
      </c>
      <c r="I3963" s="7">
        <v>0</v>
      </c>
      <c r="J3963" s="8">
        <v>0</v>
      </c>
      <c r="K3963" s="9" t="str">
        <v/>
      </c>
    </row>
    <row r="3964" spans="1:11">
      <c r="A3964" t="str">
        <v/>
      </c>
      <c r="B3964" s="6">
        <v>0</v>
      </c>
      <c r="C3964" s="7" t="str">
        <v>趣点购浦发</v>
      </c>
      <c r="D3964" s="8">
        <v>0</v>
      </c>
      <c r="E3964" s="7">
        <v>0</v>
      </c>
      <c r="F3964" s="8">
        <v>0</v>
      </c>
      <c r="G3964" s="7">
        <v>0</v>
      </c>
      <c r="H3964" s="7">
        <v>81211.819999998</v>
      </c>
      <c r="I3964" s="7">
        <v>0</v>
      </c>
      <c r="J3964" s="8">
        <v>0</v>
      </c>
      <c r="K3964" s="9" t="str">
        <v/>
      </c>
    </row>
    <row r="3965" spans="1:11">
      <c r="A3965" t="str">
        <v/>
      </c>
      <c r="B3965" s="6">
        <v>0</v>
      </c>
      <c r="C3965" s="7" t="str">
        <v>趣点购浦发</v>
      </c>
      <c r="D3965" s="8">
        <v>0</v>
      </c>
      <c r="E3965" s="7">
        <v>0</v>
      </c>
      <c r="F3965" s="8">
        <v>0</v>
      </c>
      <c r="G3965" s="7">
        <v>0</v>
      </c>
      <c r="H3965" s="7">
        <v>81211.819999998</v>
      </c>
      <c r="I3965" s="7">
        <v>0</v>
      </c>
      <c r="J3965" s="8">
        <v>0</v>
      </c>
      <c r="K3965" s="9" t="str">
        <v/>
      </c>
    </row>
    <row r="3966" spans="1:11">
      <c r="A3966" t="str">
        <v/>
      </c>
      <c r="B3966" s="6">
        <v>0</v>
      </c>
      <c r="C3966" s="7" t="str">
        <v>趣点购浦发</v>
      </c>
      <c r="D3966" s="8">
        <v>0</v>
      </c>
      <c r="E3966" s="7">
        <v>0</v>
      </c>
      <c r="F3966" s="8">
        <v>0</v>
      </c>
      <c r="G3966" s="7">
        <v>0</v>
      </c>
      <c r="H3966" s="7">
        <v>81211.819999998</v>
      </c>
      <c r="I3966" s="7">
        <v>0</v>
      </c>
      <c r="J3966" s="8">
        <v>0</v>
      </c>
      <c r="K3966" s="9" t="str">
        <v/>
      </c>
    </row>
    <row r="3967" spans="1:11">
      <c r="A3967" t="str">
        <v/>
      </c>
      <c r="B3967" s="6">
        <v>0</v>
      </c>
      <c r="C3967" s="7" t="str">
        <v>趣点购浦发</v>
      </c>
      <c r="D3967" s="8">
        <v>0</v>
      </c>
      <c r="E3967" s="7">
        <v>0</v>
      </c>
      <c r="F3967" s="8">
        <v>0</v>
      </c>
      <c r="G3967" s="7">
        <v>0</v>
      </c>
      <c r="H3967" s="7">
        <v>81211.819999998</v>
      </c>
      <c r="I3967" s="7">
        <v>0</v>
      </c>
      <c r="J3967" s="8">
        <v>0</v>
      </c>
      <c r="K3967" s="9" t="str">
        <v/>
      </c>
    </row>
    <row r="3968" spans="1:11">
      <c r="A3968" t="str">
        <v/>
      </c>
      <c r="B3968" s="6">
        <v>0</v>
      </c>
      <c r="C3968" s="7" t="str">
        <v>趣点购浦发</v>
      </c>
      <c r="D3968" s="8">
        <v>0</v>
      </c>
      <c r="E3968" s="7">
        <v>0</v>
      </c>
      <c r="F3968" s="8">
        <v>0</v>
      </c>
      <c r="G3968" s="7">
        <v>0</v>
      </c>
      <c r="H3968" s="7">
        <v>81211.819999998</v>
      </c>
      <c r="I3968" s="7">
        <v>0</v>
      </c>
      <c r="J3968" s="8">
        <v>0</v>
      </c>
      <c r="K3968" s="9" t="str">
        <v/>
      </c>
    </row>
    <row r="3969" spans="1:11">
      <c r="A3969" t="str">
        <v/>
      </c>
      <c r="B3969" s="6">
        <v>0</v>
      </c>
      <c r="C3969" s="7" t="str">
        <v>趣点购浦发</v>
      </c>
      <c r="D3969" s="8">
        <v>0</v>
      </c>
      <c r="E3969" s="7">
        <v>0</v>
      </c>
      <c r="F3969" s="8">
        <v>0</v>
      </c>
      <c r="G3969" s="7">
        <v>0</v>
      </c>
      <c r="H3969" s="7">
        <v>81211.819999998</v>
      </c>
      <c r="I3969" s="7">
        <v>0</v>
      </c>
      <c r="J3969" s="8">
        <v>0</v>
      </c>
      <c r="K3969" s="9" t="str">
        <v/>
      </c>
    </row>
    <row r="3970" spans="1:11">
      <c r="A3970" t="str">
        <v/>
      </c>
      <c r="B3970" s="6">
        <v>0</v>
      </c>
      <c r="C3970" s="7" t="str">
        <v>趣点购浦发</v>
      </c>
      <c r="D3970" s="8">
        <v>0</v>
      </c>
      <c r="E3970" s="7">
        <v>0</v>
      </c>
      <c r="F3970" s="8">
        <v>0</v>
      </c>
      <c r="G3970" s="7">
        <v>0</v>
      </c>
      <c r="H3970" s="7">
        <v>81211.819999998</v>
      </c>
      <c r="I3970" s="7">
        <v>0</v>
      </c>
      <c r="J3970" s="8">
        <v>0</v>
      </c>
      <c r="K3970" s="9" t="str">
        <v/>
      </c>
    </row>
    <row r="3971" spans="1:11">
      <c r="A3971" t="str">
        <v/>
      </c>
      <c r="B3971" s="6">
        <v>0</v>
      </c>
      <c r="C3971" s="7" t="str">
        <v>趣点购浦发</v>
      </c>
      <c r="D3971" s="8">
        <v>0</v>
      </c>
      <c r="E3971" s="7">
        <v>0</v>
      </c>
      <c r="F3971" s="8">
        <v>0</v>
      </c>
      <c r="G3971" s="7">
        <v>0</v>
      </c>
      <c r="H3971" s="7">
        <v>81211.819999998</v>
      </c>
      <c r="I3971" s="7">
        <v>0</v>
      </c>
      <c r="J3971" s="8">
        <v>0</v>
      </c>
      <c r="K3971" s="9" t="str">
        <v/>
      </c>
    </row>
    <row r="3972" spans="1:11">
      <c r="A3972" t="str">
        <v/>
      </c>
      <c r="B3972" s="6">
        <v>0</v>
      </c>
      <c r="C3972" s="7" t="str">
        <v>趣点购浦发</v>
      </c>
      <c r="D3972" s="8">
        <v>0</v>
      </c>
      <c r="E3972" s="7">
        <v>0</v>
      </c>
      <c r="F3972" s="8">
        <v>0</v>
      </c>
      <c r="G3972" s="7">
        <v>0</v>
      </c>
      <c r="H3972" s="7">
        <v>81211.819999998</v>
      </c>
      <c r="I3972" s="7">
        <v>0</v>
      </c>
      <c r="J3972" s="8">
        <v>0</v>
      </c>
      <c r="K3972" s="9" t="str">
        <v/>
      </c>
    </row>
    <row r="3973" spans="1:11">
      <c r="A3973" t="str">
        <v/>
      </c>
      <c r="B3973" s="6">
        <v>0</v>
      </c>
      <c r="C3973" s="7" t="str">
        <v>趣点购浦发</v>
      </c>
      <c r="D3973" s="8">
        <v>0</v>
      </c>
      <c r="E3973" s="7">
        <v>0</v>
      </c>
      <c r="F3973" s="8">
        <v>0</v>
      </c>
      <c r="G3973" s="7">
        <v>0</v>
      </c>
      <c r="H3973" s="7">
        <v>81211.819999998</v>
      </c>
      <c r="I3973" s="7">
        <v>0</v>
      </c>
      <c r="J3973" s="8">
        <v>0</v>
      </c>
      <c r="K3973" s="9" t="str">
        <v/>
      </c>
    </row>
    <row r="3974" spans="1:11">
      <c r="A3974" t="str">
        <v/>
      </c>
      <c r="B3974" s="6">
        <v>0</v>
      </c>
      <c r="C3974" s="7" t="str">
        <v>趣点购浦发</v>
      </c>
      <c r="D3974" s="8">
        <v>0</v>
      </c>
      <c r="E3974" s="7">
        <v>0</v>
      </c>
      <c r="F3974" s="8">
        <v>0</v>
      </c>
      <c r="G3974" s="7">
        <v>0</v>
      </c>
      <c r="H3974" s="7">
        <v>81211.819999998</v>
      </c>
      <c r="I3974" s="7">
        <v>0</v>
      </c>
      <c r="J3974" s="8">
        <v>0</v>
      </c>
      <c r="K3974" s="9" t="str">
        <v/>
      </c>
    </row>
    <row r="3975" spans="1:11">
      <c r="A3975" t="str">
        <v/>
      </c>
      <c r="B3975" s="6">
        <v>0</v>
      </c>
      <c r="C3975" s="7" t="str">
        <v>趣点购浦发</v>
      </c>
      <c r="D3975" s="8">
        <v>0</v>
      </c>
      <c r="E3975" s="7">
        <v>0</v>
      </c>
      <c r="F3975" s="8">
        <v>0</v>
      </c>
      <c r="G3975" s="7">
        <v>0</v>
      </c>
      <c r="H3975" s="7">
        <v>81211.819999998</v>
      </c>
      <c r="I3975" s="7">
        <v>0</v>
      </c>
      <c r="J3975" s="8">
        <v>0</v>
      </c>
      <c r="K3975" s="9" t="str">
        <v/>
      </c>
    </row>
    <row r="3976" spans="1:11">
      <c r="A3976" t="str">
        <v/>
      </c>
      <c r="B3976" s="6">
        <v>0</v>
      </c>
      <c r="C3976" s="7" t="str">
        <v>趣点购浦发</v>
      </c>
      <c r="D3976" s="8">
        <v>0</v>
      </c>
      <c r="E3976" s="7">
        <v>0</v>
      </c>
      <c r="F3976" s="8">
        <v>0</v>
      </c>
      <c r="G3976" s="7">
        <v>0</v>
      </c>
      <c r="H3976" s="7">
        <v>81211.819999998</v>
      </c>
      <c r="I3976" s="7">
        <v>0</v>
      </c>
      <c r="J3976" s="8">
        <v>0</v>
      </c>
      <c r="K3976" s="9" t="str">
        <v/>
      </c>
    </row>
    <row r="3977" spans="1:11">
      <c r="A3977" t="str">
        <v/>
      </c>
      <c r="B3977" s="6">
        <v>0</v>
      </c>
      <c r="C3977" s="7" t="str">
        <v>趣点购浦发</v>
      </c>
      <c r="D3977" s="8">
        <v>0</v>
      </c>
      <c r="E3977" s="7">
        <v>0</v>
      </c>
      <c r="F3977" s="8">
        <v>0</v>
      </c>
      <c r="G3977" s="7">
        <v>0</v>
      </c>
      <c r="H3977" s="7">
        <v>81211.819999998</v>
      </c>
      <c r="I3977" s="7">
        <v>0</v>
      </c>
      <c r="J3977" s="8">
        <v>0</v>
      </c>
      <c r="K3977" s="9" t="str">
        <v/>
      </c>
    </row>
    <row r="3978" spans="1:11">
      <c r="A3978" t="str">
        <v/>
      </c>
      <c r="B3978" s="6">
        <v>0</v>
      </c>
      <c r="C3978" s="7" t="str">
        <v>趣点购浦发</v>
      </c>
      <c r="D3978" s="8">
        <v>0</v>
      </c>
      <c r="E3978" s="7">
        <v>0</v>
      </c>
      <c r="F3978" s="8">
        <v>0</v>
      </c>
      <c r="G3978" s="7">
        <v>0</v>
      </c>
      <c r="H3978" s="7">
        <v>81211.819999998</v>
      </c>
      <c r="I3978" s="7">
        <v>0</v>
      </c>
      <c r="J3978" s="8">
        <v>0</v>
      </c>
      <c r="K3978" s="9" t="str">
        <v/>
      </c>
    </row>
    <row r="3979" spans="1:11">
      <c r="A3979" t="str">
        <v/>
      </c>
      <c r="B3979" s="6">
        <v>0</v>
      </c>
      <c r="C3979" s="7" t="str">
        <v>趣点购浦发</v>
      </c>
      <c r="D3979" s="8">
        <v>0</v>
      </c>
      <c r="E3979" s="7">
        <v>0</v>
      </c>
      <c r="F3979" s="8">
        <v>0</v>
      </c>
      <c r="G3979" s="7">
        <v>0</v>
      </c>
      <c r="H3979" s="7">
        <v>81211.819999998</v>
      </c>
      <c r="I3979" s="7">
        <v>0</v>
      </c>
      <c r="J3979" s="8">
        <v>0</v>
      </c>
      <c r="K3979" s="9" t="str">
        <v/>
      </c>
    </row>
    <row r="3980" spans="1:11">
      <c r="A3980" t="str">
        <v/>
      </c>
      <c r="B3980" s="6">
        <v>0</v>
      </c>
      <c r="C3980" s="7" t="str">
        <v>趣点购浦发</v>
      </c>
      <c r="D3980" s="8">
        <v>0</v>
      </c>
      <c r="E3980" s="7">
        <v>0</v>
      </c>
      <c r="F3980" s="8">
        <v>0</v>
      </c>
      <c r="G3980" s="7">
        <v>0</v>
      </c>
      <c r="H3980" s="7">
        <v>81211.819999998</v>
      </c>
      <c r="I3980" s="7">
        <v>0</v>
      </c>
      <c r="J3980" s="8">
        <v>0</v>
      </c>
      <c r="K3980" s="9" t="str">
        <v/>
      </c>
    </row>
    <row r="3981" spans="1:11">
      <c r="A3981" t="str">
        <v/>
      </c>
      <c r="B3981" s="6">
        <v>0</v>
      </c>
      <c r="C3981" s="7" t="str">
        <v>趣点购浦发</v>
      </c>
      <c r="D3981" s="8">
        <v>0</v>
      </c>
      <c r="E3981" s="7">
        <v>0</v>
      </c>
      <c r="F3981" s="8">
        <v>0</v>
      </c>
      <c r="G3981" s="7">
        <v>0</v>
      </c>
      <c r="H3981" s="7">
        <v>81211.819999998</v>
      </c>
      <c r="I3981" s="7">
        <v>0</v>
      </c>
      <c r="J3981" s="8">
        <v>0</v>
      </c>
      <c r="K3981" s="9" t="str">
        <v/>
      </c>
    </row>
    <row r="3982" spans="1:11">
      <c r="A3982" t="str">
        <v/>
      </c>
      <c r="B3982" s="6">
        <v>0</v>
      </c>
      <c r="C3982" s="7" t="str">
        <v>趣点购浦发</v>
      </c>
      <c r="D3982" s="8">
        <v>0</v>
      </c>
      <c r="E3982" s="7">
        <v>0</v>
      </c>
      <c r="F3982" s="8">
        <v>0</v>
      </c>
      <c r="G3982" s="7">
        <v>0</v>
      </c>
      <c r="H3982" s="7">
        <v>81211.819999998</v>
      </c>
      <c r="I3982" s="7">
        <v>0</v>
      </c>
      <c r="J3982" s="8">
        <v>0</v>
      </c>
      <c r="K3982" s="9" t="str">
        <v/>
      </c>
    </row>
    <row r="3983" spans="1:11">
      <c r="A3983" t="str">
        <v/>
      </c>
      <c r="B3983" s="6">
        <v>0</v>
      </c>
      <c r="C3983" s="7" t="str">
        <v>趣点购浦发</v>
      </c>
      <c r="D3983" s="8">
        <v>0</v>
      </c>
      <c r="E3983" s="7">
        <v>0</v>
      </c>
      <c r="F3983" s="8">
        <v>0</v>
      </c>
      <c r="G3983" s="7">
        <v>0</v>
      </c>
      <c r="H3983" s="7">
        <v>81211.819999998</v>
      </c>
      <c r="I3983" s="7">
        <v>0</v>
      </c>
      <c r="J3983" s="8">
        <v>0</v>
      </c>
      <c r="K3983" s="9" t="str">
        <v/>
      </c>
    </row>
    <row r="3984" spans="1:11">
      <c r="A3984" t="str">
        <v/>
      </c>
      <c r="B3984" s="6">
        <v>0</v>
      </c>
      <c r="C3984" s="7" t="str">
        <v>趣点购浦发</v>
      </c>
      <c r="D3984" s="8">
        <v>0</v>
      </c>
      <c r="E3984" s="7">
        <v>0</v>
      </c>
      <c r="F3984" s="8">
        <v>0</v>
      </c>
      <c r="G3984" s="7">
        <v>0</v>
      </c>
      <c r="H3984" s="7">
        <v>81211.819999998</v>
      </c>
      <c r="I3984" s="7">
        <v>0</v>
      </c>
      <c r="J3984" s="8">
        <v>0</v>
      </c>
      <c r="K3984" s="9" t="str">
        <v/>
      </c>
    </row>
    <row r="3985" spans="1:11">
      <c r="A3985" t="str">
        <v/>
      </c>
      <c r="B3985" s="6">
        <v>0</v>
      </c>
      <c r="C3985" s="7" t="str">
        <v>趣点购浦发</v>
      </c>
      <c r="D3985" s="8">
        <v>0</v>
      </c>
      <c r="E3985" s="7">
        <v>0</v>
      </c>
      <c r="F3985" s="8">
        <v>0</v>
      </c>
      <c r="G3985" s="7">
        <v>0</v>
      </c>
      <c r="H3985" s="7">
        <v>81211.819999998</v>
      </c>
      <c r="I3985" s="7">
        <v>0</v>
      </c>
      <c r="J3985" s="8">
        <v>0</v>
      </c>
      <c r="K3985" s="9" t="str">
        <v/>
      </c>
    </row>
    <row r="3986" spans="1:11">
      <c r="A3986" t="str">
        <v/>
      </c>
      <c r="B3986" s="6">
        <v>0</v>
      </c>
      <c r="C3986" s="7" t="str">
        <v>趣点购浦发</v>
      </c>
      <c r="D3986" s="8">
        <v>0</v>
      </c>
      <c r="E3986" s="7">
        <v>0</v>
      </c>
      <c r="F3986" s="8">
        <v>0</v>
      </c>
      <c r="G3986" s="7">
        <v>0</v>
      </c>
      <c r="H3986" s="7">
        <v>81211.819999998</v>
      </c>
      <c r="I3986" s="7">
        <v>0</v>
      </c>
      <c r="J3986" s="8">
        <v>0</v>
      </c>
      <c r="K3986" s="9" t="str">
        <v/>
      </c>
    </row>
    <row r="3987" spans="1:11">
      <c r="A3987" t="str">
        <v/>
      </c>
      <c r="B3987" s="6">
        <v>0</v>
      </c>
      <c r="C3987" s="7" t="str">
        <v>趣点购浦发</v>
      </c>
      <c r="D3987" s="8">
        <v>0</v>
      </c>
      <c r="E3987" s="7">
        <v>0</v>
      </c>
      <c r="F3987" s="8">
        <v>0</v>
      </c>
      <c r="G3987" s="7">
        <v>0</v>
      </c>
      <c r="H3987" s="7">
        <v>81211.819999998</v>
      </c>
      <c r="I3987" s="7">
        <v>0</v>
      </c>
      <c r="J3987" s="8">
        <v>0</v>
      </c>
      <c r="K3987" s="9" t="str">
        <v/>
      </c>
    </row>
    <row r="3988" spans="1:11">
      <c r="A3988" t="str">
        <v/>
      </c>
      <c r="B3988" s="6">
        <v>0</v>
      </c>
      <c r="C3988" s="7" t="str">
        <v>趣点购浦发</v>
      </c>
      <c r="D3988" s="8">
        <v>0</v>
      </c>
      <c r="E3988" s="7">
        <v>0</v>
      </c>
      <c r="F3988" s="8">
        <v>0</v>
      </c>
      <c r="G3988" s="7">
        <v>0</v>
      </c>
      <c r="H3988" s="7">
        <v>81211.819999998</v>
      </c>
      <c r="I3988" s="7">
        <v>0</v>
      </c>
      <c r="J3988" s="8">
        <v>0</v>
      </c>
      <c r="K3988" s="9" t="str">
        <v/>
      </c>
    </row>
    <row r="3989" spans="1:11">
      <c r="A3989" t="str">
        <v/>
      </c>
      <c r="B3989" s="6">
        <v>0</v>
      </c>
      <c r="C3989" s="7" t="str">
        <v>趣点购浦发</v>
      </c>
      <c r="D3989" s="8">
        <v>0</v>
      </c>
      <c r="E3989" s="7">
        <v>0</v>
      </c>
      <c r="F3989" s="8">
        <v>0</v>
      </c>
      <c r="G3989" s="7">
        <v>0</v>
      </c>
      <c r="H3989" s="7">
        <v>81211.819999998</v>
      </c>
      <c r="I3989" s="7">
        <v>0</v>
      </c>
      <c r="J3989" s="8">
        <v>0</v>
      </c>
      <c r="K3989" s="9" t="str">
        <v/>
      </c>
    </row>
    <row r="3990" spans="1:11">
      <c r="A3990" t="str">
        <v/>
      </c>
      <c r="B3990" s="6">
        <v>0</v>
      </c>
      <c r="C3990" s="7" t="str">
        <v>趣点购浦发</v>
      </c>
      <c r="D3990" s="8">
        <v>0</v>
      </c>
      <c r="E3990" s="7">
        <v>0</v>
      </c>
      <c r="F3990" s="8">
        <v>0</v>
      </c>
      <c r="G3990" s="7">
        <v>0</v>
      </c>
      <c r="H3990" s="7">
        <v>81211.819999998</v>
      </c>
      <c r="I3990" s="7">
        <v>0</v>
      </c>
      <c r="J3990" s="8">
        <v>0</v>
      </c>
      <c r="K3990" s="9" t="str">
        <v/>
      </c>
    </row>
    <row r="3991" spans="1:11">
      <c r="A3991" t="str">
        <v/>
      </c>
      <c r="B3991" s="6">
        <v>0</v>
      </c>
      <c r="C3991" s="7" t="str">
        <v>趣点购浦发</v>
      </c>
      <c r="D3991" s="8">
        <v>0</v>
      </c>
      <c r="E3991" s="7">
        <v>0</v>
      </c>
      <c r="F3991" s="8">
        <v>0</v>
      </c>
      <c r="G3991" s="7">
        <v>0</v>
      </c>
      <c r="H3991" s="7">
        <v>81211.819999998</v>
      </c>
      <c r="I3991" s="7">
        <v>0</v>
      </c>
      <c r="J3991" s="8">
        <v>0</v>
      </c>
      <c r="K3991" s="9" t="str">
        <v/>
      </c>
    </row>
    <row r="3992" spans="1:11">
      <c r="A3992" t="str">
        <v/>
      </c>
      <c r="B3992" s="6">
        <v>0</v>
      </c>
      <c r="C3992" s="7" t="str">
        <v>趣点购浦发</v>
      </c>
      <c r="D3992" s="8">
        <v>0</v>
      </c>
      <c r="E3992" s="7">
        <v>0</v>
      </c>
      <c r="F3992" s="8">
        <v>0</v>
      </c>
      <c r="G3992" s="7">
        <v>0</v>
      </c>
      <c r="H3992" s="7">
        <v>81211.819999998</v>
      </c>
      <c r="I3992" s="7">
        <v>0</v>
      </c>
      <c r="J3992" s="8">
        <v>0</v>
      </c>
      <c r="K3992" s="9" t="str">
        <v/>
      </c>
    </row>
    <row r="3993" spans="1:11">
      <c r="A3993" t="str">
        <v/>
      </c>
      <c r="B3993" s="6">
        <v>0</v>
      </c>
      <c r="C3993" s="7" t="str">
        <v>趣点购浦发</v>
      </c>
      <c r="D3993" s="8">
        <v>0</v>
      </c>
      <c r="E3993" s="7">
        <v>0</v>
      </c>
      <c r="F3993" s="8">
        <v>0</v>
      </c>
      <c r="G3993" s="7">
        <v>0</v>
      </c>
      <c r="H3993" s="7">
        <v>81211.819999998</v>
      </c>
      <c r="I3993" s="7">
        <v>0</v>
      </c>
      <c r="J3993" s="8">
        <v>0</v>
      </c>
      <c r="K3993" s="9" t="str">
        <v/>
      </c>
    </row>
    <row r="3994" spans="1:11">
      <c r="A3994" t="str">
        <v/>
      </c>
      <c r="B3994" s="6">
        <v>0</v>
      </c>
      <c r="C3994" s="7" t="str">
        <v>趣点购浦发</v>
      </c>
      <c r="D3994" s="8">
        <v>0</v>
      </c>
      <c r="E3994" s="7">
        <v>0</v>
      </c>
      <c r="F3994" s="8">
        <v>0</v>
      </c>
      <c r="G3994" s="7">
        <v>0</v>
      </c>
      <c r="H3994" s="7">
        <v>81211.819999998</v>
      </c>
      <c r="I3994" s="7">
        <v>0</v>
      </c>
      <c r="J3994" s="8">
        <v>0</v>
      </c>
      <c r="K3994" s="9" t="str">
        <v/>
      </c>
    </row>
    <row r="3995" spans="1:11">
      <c r="A3995" t="str">
        <v/>
      </c>
      <c r="B3995" s="6">
        <v>0</v>
      </c>
      <c r="C3995" s="7" t="str">
        <v>趣点购浦发</v>
      </c>
      <c r="D3995" s="8">
        <v>0</v>
      </c>
      <c r="E3995" s="7">
        <v>0</v>
      </c>
      <c r="F3995" s="8">
        <v>0</v>
      </c>
      <c r="G3995" s="7">
        <v>0</v>
      </c>
      <c r="H3995" s="7">
        <v>81211.819999998</v>
      </c>
      <c r="I3995" s="7">
        <v>0</v>
      </c>
      <c r="J3995" s="8">
        <v>0</v>
      </c>
      <c r="K3995" s="9" t="str">
        <v/>
      </c>
    </row>
    <row r="3996" spans="1:11">
      <c r="A3996" t="str">
        <v/>
      </c>
      <c r="B3996" s="6">
        <v>0</v>
      </c>
      <c r="C3996" s="7" t="str">
        <v>趣点购浦发</v>
      </c>
      <c r="D3996" s="8">
        <v>0</v>
      </c>
      <c r="E3996" s="7">
        <v>0</v>
      </c>
      <c r="F3996" s="8">
        <v>0</v>
      </c>
      <c r="G3996" s="7">
        <v>0</v>
      </c>
      <c r="H3996" s="7">
        <v>81211.819999998</v>
      </c>
      <c r="I3996" s="7">
        <v>0</v>
      </c>
      <c r="J3996" s="8">
        <v>0</v>
      </c>
      <c r="K3996" s="9" t="str">
        <v/>
      </c>
    </row>
    <row r="3997" spans="1:11">
      <c r="A3997" t="str">
        <v/>
      </c>
      <c r="B3997" s="6">
        <v>0</v>
      </c>
      <c r="C3997" s="7" t="str">
        <v>趣点购浦发</v>
      </c>
      <c r="D3997" s="8">
        <v>0</v>
      </c>
      <c r="E3997" s="7">
        <v>0</v>
      </c>
      <c r="F3997" s="8">
        <v>0</v>
      </c>
      <c r="G3997" s="7">
        <v>0</v>
      </c>
      <c r="H3997" s="7">
        <v>81211.819999998</v>
      </c>
      <c r="I3997" s="7">
        <v>0</v>
      </c>
      <c r="J3997" s="8">
        <v>0</v>
      </c>
      <c r="K3997" s="9" t="str">
        <v/>
      </c>
    </row>
    <row r="3998" spans="1:11">
      <c r="A3998" t="str">
        <v/>
      </c>
      <c r="B3998" s="6">
        <v>0</v>
      </c>
      <c r="C3998" s="7" t="str">
        <v>趣点购浦发</v>
      </c>
      <c r="D3998" s="8">
        <v>0</v>
      </c>
      <c r="E3998" s="7">
        <v>0</v>
      </c>
      <c r="F3998" s="8">
        <v>0</v>
      </c>
      <c r="G3998" s="7">
        <v>0</v>
      </c>
      <c r="H3998" s="7">
        <v>81211.819999998</v>
      </c>
      <c r="I3998" s="7">
        <v>0</v>
      </c>
      <c r="J3998" s="8">
        <v>0</v>
      </c>
      <c r="K3998" s="9" t="str">
        <v/>
      </c>
    </row>
    <row r="3999" spans="1:11">
      <c r="A3999" t="str">
        <v/>
      </c>
      <c r="B3999" s="6">
        <v>0</v>
      </c>
      <c r="C3999" s="7" t="str">
        <v>趣点购浦发</v>
      </c>
      <c r="D3999" s="8">
        <v>0</v>
      </c>
      <c r="E3999" s="7">
        <v>0</v>
      </c>
      <c r="F3999" s="8">
        <v>0</v>
      </c>
      <c r="G3999" s="7">
        <v>0</v>
      </c>
      <c r="H3999" s="7">
        <v>81211.819999998</v>
      </c>
      <c r="I3999" s="7">
        <v>0</v>
      </c>
      <c r="J3999" s="8">
        <v>0</v>
      </c>
      <c r="K3999" s="9" t="str">
        <v/>
      </c>
    </row>
    <row r="4000" spans="1:11">
      <c r="A4000" t="str">
        <v/>
      </c>
      <c r="B4000" s="6">
        <v>0</v>
      </c>
      <c r="C4000" s="7" t="str">
        <v>趣点购浦发</v>
      </c>
      <c r="D4000" s="8">
        <v>0</v>
      </c>
      <c r="E4000" s="7">
        <v>0</v>
      </c>
      <c r="F4000" s="8">
        <v>0</v>
      </c>
      <c r="G4000" s="7">
        <v>0</v>
      </c>
      <c r="H4000" s="7">
        <v>81211.819999998</v>
      </c>
      <c r="I4000" s="7">
        <v>0</v>
      </c>
      <c r="J4000" s="8">
        <v>0</v>
      </c>
      <c r="K4000" s="9" t="str">
        <v/>
      </c>
    </row>
    <row r="4001" spans="1:11">
      <c r="A4001" t="str">
        <v/>
      </c>
      <c r="B4001" s="6">
        <v>0</v>
      </c>
      <c r="C4001" s="7" t="str">
        <v>趣点购浦发</v>
      </c>
      <c r="D4001" s="8">
        <v>0</v>
      </c>
      <c r="E4001" s="7">
        <v>0</v>
      </c>
      <c r="F4001" s="8">
        <v>0</v>
      </c>
      <c r="G4001" s="7">
        <v>0</v>
      </c>
      <c r="H4001" s="7">
        <v>81211.819999998</v>
      </c>
      <c r="I4001" s="7">
        <v>0</v>
      </c>
      <c r="J4001" s="8">
        <v>0</v>
      </c>
      <c r="K4001" s="9" t="str">
        <v/>
      </c>
    </row>
    <row r="4002" spans="1:11">
      <c r="A4002" t="str">
        <v/>
      </c>
      <c r="B4002" s="6">
        <v>0</v>
      </c>
      <c r="C4002" s="7" t="str">
        <v>趣点购浦发</v>
      </c>
      <c r="D4002" s="8">
        <v>0</v>
      </c>
      <c r="E4002" s="7">
        <v>0</v>
      </c>
      <c r="F4002" s="8">
        <v>0</v>
      </c>
      <c r="G4002" s="7">
        <v>0</v>
      </c>
      <c r="H4002" s="7">
        <v>81211.819999998</v>
      </c>
      <c r="I4002" s="7">
        <v>0</v>
      </c>
      <c r="J4002" s="8">
        <v>0</v>
      </c>
      <c r="K4002" s="9" t="str">
        <v/>
      </c>
    </row>
    <row r="4003" spans="1:11">
      <c r="A4003" t="str">
        <v/>
      </c>
      <c r="B4003" s="6">
        <v>0</v>
      </c>
      <c r="C4003" s="7" t="str">
        <v>趣点购浦发</v>
      </c>
      <c r="D4003" s="8">
        <v>0</v>
      </c>
      <c r="E4003" s="7">
        <v>0</v>
      </c>
      <c r="F4003" s="8">
        <v>0</v>
      </c>
      <c r="G4003" s="7">
        <v>0</v>
      </c>
      <c r="H4003" s="7">
        <v>81211.819999998</v>
      </c>
      <c r="I4003" s="7">
        <v>0</v>
      </c>
      <c r="J4003" s="8">
        <v>0</v>
      </c>
      <c r="K4003" s="9" t="str">
        <v/>
      </c>
    </row>
    <row r="4004" spans="1:11">
      <c r="A4004" t="str">
        <v/>
      </c>
      <c r="B4004" s="6">
        <v>0</v>
      </c>
      <c r="C4004" s="7" t="str">
        <v>趣点购浦发</v>
      </c>
      <c r="D4004" s="8">
        <v>0</v>
      </c>
      <c r="E4004" s="7">
        <v>0</v>
      </c>
      <c r="F4004" s="8">
        <v>0</v>
      </c>
      <c r="G4004" s="7">
        <v>0</v>
      </c>
      <c r="H4004" s="7">
        <v>81211.819999998</v>
      </c>
      <c r="I4004" s="7">
        <v>0</v>
      </c>
      <c r="J4004" s="8">
        <v>0</v>
      </c>
      <c r="K4004" s="9" t="str">
        <v/>
      </c>
    </row>
    <row r="4005" spans="1:11">
      <c r="A4005" t="str">
        <v/>
      </c>
      <c r="B4005" s="6">
        <v>0</v>
      </c>
      <c r="C4005" s="7" t="str">
        <v>趣点购浦发</v>
      </c>
      <c r="D4005" s="8">
        <v>0</v>
      </c>
      <c r="E4005" s="7">
        <v>0</v>
      </c>
      <c r="F4005" s="8">
        <v>0</v>
      </c>
      <c r="G4005" s="7">
        <v>0</v>
      </c>
      <c r="H4005" s="7">
        <v>81211.819999998</v>
      </c>
      <c r="I4005" s="7">
        <v>0</v>
      </c>
      <c r="J4005" s="8">
        <v>0</v>
      </c>
      <c r="K4005" s="9" t="str">
        <v/>
      </c>
    </row>
    <row r="4006" spans="1:11">
      <c r="A4006" t="str">
        <v/>
      </c>
      <c r="B4006" s="6">
        <v>0</v>
      </c>
      <c r="C4006" s="7" t="str">
        <v>趣点购浦发</v>
      </c>
      <c r="D4006" s="8">
        <v>0</v>
      </c>
      <c r="E4006" s="7">
        <v>0</v>
      </c>
      <c r="F4006" s="8">
        <v>0</v>
      </c>
      <c r="G4006" s="7">
        <v>0</v>
      </c>
      <c r="H4006" s="7">
        <v>81211.819999998</v>
      </c>
      <c r="I4006" s="7">
        <v>0</v>
      </c>
      <c r="J4006" s="8">
        <v>0</v>
      </c>
      <c r="K4006" s="9" t="str">
        <v/>
      </c>
    </row>
    <row r="4007" spans="1:11">
      <c r="A4007" t="str">
        <v/>
      </c>
      <c r="B4007" s="6">
        <v>0</v>
      </c>
      <c r="C4007" s="7" t="str">
        <v>趣点购浦发</v>
      </c>
      <c r="D4007" s="8">
        <v>0</v>
      </c>
      <c r="E4007" s="7">
        <v>0</v>
      </c>
      <c r="F4007" s="8">
        <v>0</v>
      </c>
      <c r="G4007" s="7">
        <v>0</v>
      </c>
      <c r="H4007" s="7">
        <v>81211.819999998</v>
      </c>
      <c r="I4007" s="7">
        <v>0</v>
      </c>
      <c r="J4007" s="8">
        <v>0</v>
      </c>
      <c r="K4007" s="9" t="str">
        <v/>
      </c>
    </row>
    <row r="4008" spans="1:11">
      <c r="A4008" t="str">
        <v/>
      </c>
      <c r="B4008" s="6">
        <v>0</v>
      </c>
      <c r="C4008" s="7" t="str">
        <v>趣点购浦发</v>
      </c>
      <c r="D4008" s="8">
        <v>0</v>
      </c>
      <c r="E4008" s="7">
        <v>0</v>
      </c>
      <c r="F4008" s="8">
        <v>0</v>
      </c>
      <c r="G4008" s="7">
        <v>0</v>
      </c>
      <c r="H4008" s="7">
        <v>81211.819999998</v>
      </c>
      <c r="I4008" s="7">
        <v>0</v>
      </c>
      <c r="J4008" s="8">
        <v>0</v>
      </c>
      <c r="K4008" s="9" t="str">
        <v/>
      </c>
    </row>
    <row r="4009" spans="1:11">
      <c r="A4009" t="str">
        <v/>
      </c>
      <c r="B4009" s="6">
        <v>0</v>
      </c>
      <c r="C4009" s="7" t="str">
        <v>趣点购浦发</v>
      </c>
      <c r="D4009" s="8">
        <v>0</v>
      </c>
      <c r="E4009" s="7">
        <v>0</v>
      </c>
      <c r="F4009" s="8">
        <v>0</v>
      </c>
      <c r="G4009" s="7">
        <v>0</v>
      </c>
      <c r="H4009" s="7">
        <v>81211.819999998</v>
      </c>
      <c r="I4009" s="7">
        <v>0</v>
      </c>
      <c r="J4009" s="8">
        <v>0</v>
      </c>
      <c r="K4009" s="9" t="str">
        <v/>
      </c>
    </row>
    <row r="4010" spans="1:11">
      <c r="A4010" t="str">
        <v/>
      </c>
      <c r="B4010" s="6">
        <v>0</v>
      </c>
      <c r="C4010" s="7" t="str">
        <v>趣点购浦发</v>
      </c>
      <c r="D4010" s="8">
        <v>0</v>
      </c>
      <c r="E4010" s="7">
        <v>0</v>
      </c>
      <c r="F4010" s="8">
        <v>0</v>
      </c>
      <c r="G4010" s="7">
        <v>0</v>
      </c>
      <c r="H4010" s="7">
        <v>81211.819999998</v>
      </c>
      <c r="I4010" s="7">
        <v>0</v>
      </c>
      <c r="J4010" s="8">
        <v>0</v>
      </c>
      <c r="K4010" s="9" t="str">
        <v/>
      </c>
    </row>
    <row r="4011" spans="1:11">
      <c r="A4011" t="str">
        <v/>
      </c>
      <c r="B4011" s="6">
        <v>0</v>
      </c>
      <c r="C4011" s="7" t="str">
        <v>趣点购浦发</v>
      </c>
      <c r="D4011" s="8">
        <v>0</v>
      </c>
      <c r="E4011" s="7">
        <v>0</v>
      </c>
      <c r="F4011" s="8">
        <v>0</v>
      </c>
      <c r="G4011" s="7">
        <v>0</v>
      </c>
      <c r="H4011" s="7">
        <v>81211.819999998</v>
      </c>
      <c r="I4011" s="7">
        <v>0</v>
      </c>
      <c r="J4011" s="8">
        <v>0</v>
      </c>
      <c r="K4011" s="9" t="str">
        <v/>
      </c>
    </row>
    <row r="4012" spans="1:11">
      <c r="A4012" t="str">
        <v/>
      </c>
      <c r="B4012" s="6">
        <v>0</v>
      </c>
      <c r="C4012" s="7" t="str">
        <v>趣点购浦发</v>
      </c>
      <c r="D4012" s="8">
        <v>0</v>
      </c>
      <c r="E4012" s="7">
        <v>0</v>
      </c>
      <c r="F4012" s="8">
        <v>0</v>
      </c>
      <c r="G4012" s="7">
        <v>0</v>
      </c>
      <c r="H4012" s="7">
        <v>81211.819999998</v>
      </c>
      <c r="I4012" s="7">
        <v>0</v>
      </c>
      <c r="J4012" s="8">
        <v>0</v>
      </c>
      <c r="K4012" s="9" t="str">
        <v/>
      </c>
    </row>
    <row r="4013" spans="1:11">
      <c r="A4013" t="str">
        <v/>
      </c>
      <c r="B4013" s="6">
        <v>0</v>
      </c>
      <c r="C4013" s="7" t="str">
        <v>趣点购浦发</v>
      </c>
      <c r="D4013" s="8">
        <v>0</v>
      </c>
      <c r="E4013" s="7">
        <v>0</v>
      </c>
      <c r="F4013" s="8">
        <v>0</v>
      </c>
      <c r="G4013" s="7">
        <v>0</v>
      </c>
      <c r="H4013" s="7">
        <v>81211.819999998</v>
      </c>
      <c r="I4013" s="7">
        <v>0</v>
      </c>
      <c r="J4013" s="8">
        <v>0</v>
      </c>
      <c r="K4013" s="9" t="str">
        <v/>
      </c>
    </row>
    <row r="4014" spans="1:11">
      <c r="A4014" t="str">
        <v/>
      </c>
      <c r="B4014" s="6">
        <v>0</v>
      </c>
      <c r="C4014" s="7" t="str">
        <v>趣点购浦发</v>
      </c>
      <c r="D4014" s="8">
        <v>0</v>
      </c>
      <c r="E4014" s="7">
        <v>0</v>
      </c>
      <c r="F4014" s="8">
        <v>0</v>
      </c>
      <c r="G4014" s="7">
        <v>0</v>
      </c>
      <c r="H4014" s="7">
        <v>81211.819999998</v>
      </c>
      <c r="I4014" s="7">
        <v>0</v>
      </c>
      <c r="J4014" s="8">
        <v>0</v>
      </c>
      <c r="K4014" s="9" t="str">
        <v/>
      </c>
    </row>
    <row r="4015" spans="1:11">
      <c r="A4015" t="str">
        <v/>
      </c>
      <c r="B4015" s="6">
        <v>0</v>
      </c>
      <c r="C4015" s="7" t="str">
        <v>趣点购浦发</v>
      </c>
      <c r="D4015" s="8">
        <v>0</v>
      </c>
      <c r="E4015" s="7">
        <v>0</v>
      </c>
      <c r="F4015" s="8">
        <v>0</v>
      </c>
      <c r="G4015" s="7">
        <v>0</v>
      </c>
      <c r="H4015" s="7">
        <v>81211.819999998</v>
      </c>
      <c r="I4015" s="7">
        <v>0</v>
      </c>
      <c r="J4015" s="8">
        <v>0</v>
      </c>
      <c r="K4015" s="9" t="str">
        <v/>
      </c>
    </row>
    <row r="4016" spans="1:11">
      <c r="A4016" t="str">
        <v/>
      </c>
      <c r="B4016" s="6">
        <v>0</v>
      </c>
      <c r="C4016" s="7" t="str">
        <v>趣点购浦发</v>
      </c>
      <c r="D4016" s="8">
        <v>0</v>
      </c>
      <c r="E4016" s="7">
        <v>0</v>
      </c>
      <c r="F4016" s="8">
        <v>0</v>
      </c>
      <c r="G4016" s="7">
        <v>0</v>
      </c>
      <c r="H4016" s="7">
        <v>81211.819999998</v>
      </c>
      <c r="I4016" s="7">
        <v>0</v>
      </c>
      <c r="J4016" s="8">
        <v>0</v>
      </c>
      <c r="K4016" s="9" t="str">
        <v/>
      </c>
    </row>
    <row r="4017" spans="1:11">
      <c r="A4017" t="str">
        <v/>
      </c>
      <c r="B4017" s="6">
        <v>0</v>
      </c>
      <c r="C4017" s="7" t="str">
        <v>趣点购浦发</v>
      </c>
      <c r="D4017" s="8">
        <v>0</v>
      </c>
      <c r="E4017" s="7">
        <v>0</v>
      </c>
      <c r="F4017" s="8">
        <v>0</v>
      </c>
      <c r="G4017" s="7">
        <v>0</v>
      </c>
      <c r="H4017" s="7">
        <v>81211.819999998</v>
      </c>
      <c r="I4017" s="7">
        <v>0</v>
      </c>
      <c r="J4017" s="8">
        <v>0</v>
      </c>
      <c r="K4017" s="9" t="str">
        <v/>
      </c>
    </row>
    <row r="4018" spans="1:11">
      <c r="A4018" t="str">
        <v/>
      </c>
      <c r="B4018" s="6">
        <v>0</v>
      </c>
      <c r="C4018" s="7" t="str">
        <v>趣点购浦发</v>
      </c>
      <c r="D4018" s="8">
        <v>0</v>
      </c>
      <c r="E4018" s="7">
        <v>0</v>
      </c>
      <c r="F4018" s="8">
        <v>0</v>
      </c>
      <c r="G4018" s="7">
        <v>0</v>
      </c>
      <c r="H4018" s="7">
        <v>81211.819999998</v>
      </c>
      <c r="I4018" s="7">
        <v>0</v>
      </c>
      <c r="J4018" s="8">
        <v>0</v>
      </c>
      <c r="K4018" s="9" t="str">
        <v/>
      </c>
    </row>
    <row r="4019" spans="1:11">
      <c r="A4019" t="str">
        <v/>
      </c>
      <c r="B4019" s="6">
        <v>0</v>
      </c>
      <c r="C4019" s="7" t="str">
        <v>趣点购浦发</v>
      </c>
      <c r="D4019" s="8">
        <v>0</v>
      </c>
      <c r="E4019" s="7">
        <v>0</v>
      </c>
      <c r="F4019" s="8">
        <v>0</v>
      </c>
      <c r="G4019" s="7">
        <v>0</v>
      </c>
      <c r="H4019" s="7">
        <v>81211.819999998</v>
      </c>
      <c r="I4019" s="7">
        <v>0</v>
      </c>
      <c r="J4019" s="8">
        <v>0</v>
      </c>
      <c r="K4019" s="9" t="str">
        <v/>
      </c>
    </row>
    <row r="4020" spans="1:11">
      <c r="A4020" t="str">
        <v/>
      </c>
      <c r="B4020" s="6">
        <v>0</v>
      </c>
      <c r="C4020" s="7" t="str">
        <v>趣点购浦发</v>
      </c>
      <c r="D4020" s="8">
        <v>0</v>
      </c>
      <c r="E4020" s="7">
        <v>0</v>
      </c>
      <c r="F4020" s="8">
        <v>0</v>
      </c>
      <c r="G4020" s="7">
        <v>0</v>
      </c>
      <c r="H4020" s="7">
        <v>81211.819999998</v>
      </c>
      <c r="I4020" s="7">
        <v>0</v>
      </c>
      <c r="J4020" s="8">
        <v>0</v>
      </c>
      <c r="K4020" s="9" t="str">
        <v/>
      </c>
    </row>
    <row r="4021" spans="1:11">
      <c r="A4021" t="str">
        <v/>
      </c>
      <c r="B4021" s="6">
        <v>0</v>
      </c>
      <c r="C4021" s="7" t="str">
        <v>趣点购浦发</v>
      </c>
      <c r="D4021" s="8">
        <v>0</v>
      </c>
      <c r="E4021" s="7">
        <v>0</v>
      </c>
      <c r="F4021" s="8">
        <v>0</v>
      </c>
      <c r="G4021" s="7">
        <v>0</v>
      </c>
      <c r="H4021" s="7">
        <v>81211.819999998</v>
      </c>
      <c r="I4021" s="7">
        <v>0</v>
      </c>
      <c r="J4021" s="8">
        <v>0</v>
      </c>
      <c r="K4021" s="9" t="str">
        <v/>
      </c>
    </row>
    <row r="4022" spans="1:11">
      <c r="A4022" t="str">
        <v/>
      </c>
      <c r="B4022" s="6">
        <v>0</v>
      </c>
      <c r="C4022" s="7" t="str">
        <v>趣点购浦发</v>
      </c>
      <c r="D4022" s="8">
        <v>0</v>
      </c>
      <c r="E4022" s="7">
        <v>0</v>
      </c>
      <c r="F4022" s="8">
        <v>0</v>
      </c>
      <c r="G4022" s="7">
        <v>0</v>
      </c>
      <c r="H4022" s="7">
        <v>81211.819999998</v>
      </c>
      <c r="I4022" s="7">
        <v>0</v>
      </c>
      <c r="J4022" s="8">
        <v>0</v>
      </c>
      <c r="K4022" s="9" t="str">
        <v/>
      </c>
    </row>
    <row r="4023" spans="1:11">
      <c r="A4023" t="str">
        <v/>
      </c>
      <c r="B4023" s="6">
        <v>0</v>
      </c>
      <c r="C4023" s="7" t="str">
        <v>趣点购浦发</v>
      </c>
      <c r="D4023" s="8">
        <v>0</v>
      </c>
      <c r="E4023" s="7">
        <v>0</v>
      </c>
      <c r="F4023" s="8">
        <v>0</v>
      </c>
      <c r="G4023" s="7">
        <v>0</v>
      </c>
      <c r="H4023" s="7">
        <v>81211.819999998</v>
      </c>
      <c r="I4023" s="7">
        <v>0</v>
      </c>
      <c r="J4023" s="8">
        <v>0</v>
      </c>
      <c r="K4023" s="9" t="str">
        <v/>
      </c>
    </row>
    <row r="4024" spans="1:11">
      <c r="A4024" t="str">
        <v/>
      </c>
      <c r="B4024" s="6">
        <v>0</v>
      </c>
      <c r="C4024" s="7" t="str">
        <v>趣点购浦发</v>
      </c>
      <c r="D4024" s="8">
        <v>0</v>
      </c>
      <c r="E4024" s="7">
        <v>0</v>
      </c>
      <c r="F4024" s="8">
        <v>0</v>
      </c>
      <c r="G4024" s="7">
        <v>0</v>
      </c>
      <c r="H4024" s="7">
        <v>81211.819999998</v>
      </c>
      <c r="I4024" s="7">
        <v>0</v>
      </c>
      <c r="J4024" s="8">
        <v>0</v>
      </c>
      <c r="K4024" s="9" t="str">
        <v/>
      </c>
    </row>
    <row r="4025" spans="1:11">
      <c r="A4025" t="str">
        <v/>
      </c>
      <c r="B4025" s="6">
        <v>0</v>
      </c>
      <c r="C4025" s="7" t="str">
        <v>趣点购浦发</v>
      </c>
      <c r="D4025" s="8">
        <v>0</v>
      </c>
      <c r="E4025" s="7">
        <v>0</v>
      </c>
      <c r="F4025" s="8">
        <v>0</v>
      </c>
      <c r="G4025" s="7">
        <v>0</v>
      </c>
      <c r="H4025" s="7">
        <v>81211.819999998</v>
      </c>
      <c r="I4025" s="7">
        <v>0</v>
      </c>
      <c r="J4025" s="8">
        <v>0</v>
      </c>
      <c r="K4025" s="9" t="str">
        <v/>
      </c>
    </row>
    <row r="4026" spans="1:11">
      <c r="A4026" t="str">
        <v/>
      </c>
      <c r="B4026" s="6">
        <v>0</v>
      </c>
      <c r="C4026" s="7" t="str">
        <v>趣点购浦发</v>
      </c>
      <c r="D4026" s="8">
        <v>0</v>
      </c>
      <c r="E4026" s="7">
        <v>0</v>
      </c>
      <c r="F4026" s="8">
        <v>0</v>
      </c>
      <c r="G4026" s="7">
        <v>0</v>
      </c>
      <c r="H4026" s="7">
        <v>81211.819999998</v>
      </c>
      <c r="I4026" s="7">
        <v>0</v>
      </c>
      <c r="J4026" s="8">
        <v>0</v>
      </c>
      <c r="K4026" s="9" t="str">
        <v/>
      </c>
    </row>
    <row r="4027" spans="1:11">
      <c r="A4027" t="str">
        <v/>
      </c>
      <c r="B4027" s="6">
        <v>0</v>
      </c>
      <c r="C4027" s="7" t="str">
        <v>趣点购浦发</v>
      </c>
      <c r="D4027" s="8">
        <v>0</v>
      </c>
      <c r="E4027" s="7">
        <v>0</v>
      </c>
      <c r="F4027" s="8">
        <v>0</v>
      </c>
      <c r="G4027" s="7">
        <v>0</v>
      </c>
      <c r="H4027" s="7">
        <v>81211.819999998</v>
      </c>
      <c r="I4027" s="7">
        <v>0</v>
      </c>
      <c r="J4027" s="8">
        <v>0</v>
      </c>
      <c r="K4027" s="9" t="str">
        <v/>
      </c>
    </row>
    <row r="4028" spans="1:11">
      <c r="A4028" t="str">
        <v/>
      </c>
      <c r="B4028" s="6">
        <v>0</v>
      </c>
      <c r="C4028" s="7" t="str">
        <v>趣点购浦发</v>
      </c>
      <c r="D4028" s="8">
        <v>0</v>
      </c>
      <c r="E4028" s="7">
        <v>0</v>
      </c>
      <c r="F4028" s="8">
        <v>0</v>
      </c>
      <c r="G4028" s="7">
        <v>0</v>
      </c>
      <c r="H4028" s="7">
        <v>81211.819999998</v>
      </c>
      <c r="I4028" s="7">
        <v>0</v>
      </c>
      <c r="J4028" s="8">
        <v>0</v>
      </c>
      <c r="K4028" s="9" t="str">
        <v/>
      </c>
    </row>
    <row r="4029" spans="1:11">
      <c r="A4029" t="str">
        <v/>
      </c>
      <c r="B4029" s="6">
        <v>0</v>
      </c>
      <c r="C4029" s="7" t="str">
        <v>趣点购浦发</v>
      </c>
      <c r="D4029" s="8">
        <v>0</v>
      </c>
      <c r="E4029" s="7">
        <v>0</v>
      </c>
      <c r="F4029" s="8">
        <v>0</v>
      </c>
      <c r="G4029" s="7">
        <v>0</v>
      </c>
      <c r="H4029" s="7">
        <v>81211.819999998</v>
      </c>
      <c r="I4029" s="7">
        <v>0</v>
      </c>
      <c r="J4029" s="8">
        <v>0</v>
      </c>
      <c r="K4029" s="9" t="str">
        <v/>
      </c>
    </row>
    <row r="4030" spans="1:11">
      <c r="A4030" t="str">
        <v/>
      </c>
      <c r="B4030" s="6">
        <v>0</v>
      </c>
      <c r="C4030" s="7" t="str">
        <v>趣点购浦发</v>
      </c>
      <c r="D4030" s="8">
        <v>0</v>
      </c>
      <c r="E4030" s="7">
        <v>0</v>
      </c>
      <c r="F4030" s="8">
        <v>0</v>
      </c>
      <c r="G4030" s="7">
        <v>0</v>
      </c>
      <c r="H4030" s="7">
        <v>81211.819999998</v>
      </c>
      <c r="I4030" s="7">
        <v>0</v>
      </c>
      <c r="J4030" s="8">
        <v>0</v>
      </c>
      <c r="K4030" s="9" t="str">
        <v/>
      </c>
    </row>
    <row r="4031" spans="1:11">
      <c r="A4031" t="str">
        <v/>
      </c>
      <c r="B4031" s="6">
        <v>0</v>
      </c>
      <c r="C4031" s="7" t="str">
        <v>趣点购浦发</v>
      </c>
      <c r="D4031" s="8">
        <v>0</v>
      </c>
      <c r="E4031" s="7">
        <v>0</v>
      </c>
      <c r="F4031" s="8">
        <v>0</v>
      </c>
      <c r="G4031" s="7">
        <v>0</v>
      </c>
      <c r="H4031" s="7">
        <v>81211.819999998</v>
      </c>
      <c r="I4031" s="7">
        <v>0</v>
      </c>
      <c r="J4031" s="8">
        <v>0</v>
      </c>
      <c r="K4031" s="9" t="str">
        <v/>
      </c>
    </row>
    <row r="4032" spans="1:11">
      <c r="A4032" t="str">
        <v/>
      </c>
      <c r="B4032" s="6">
        <v>0</v>
      </c>
      <c r="C4032" s="7" t="str">
        <v>趣点购浦发</v>
      </c>
      <c r="D4032" s="8">
        <v>0</v>
      </c>
      <c r="E4032" s="7">
        <v>0</v>
      </c>
      <c r="F4032" s="8">
        <v>0</v>
      </c>
      <c r="G4032" s="7">
        <v>0</v>
      </c>
      <c r="H4032" s="7">
        <v>81211.819999998</v>
      </c>
      <c r="I4032" s="7">
        <v>0</v>
      </c>
      <c r="J4032" s="8">
        <v>0</v>
      </c>
      <c r="K4032" s="9" t="str">
        <v/>
      </c>
    </row>
    <row r="4033" spans="1:11">
      <c r="A4033" t="str">
        <v/>
      </c>
      <c r="B4033" s="6">
        <v>0</v>
      </c>
      <c r="C4033" s="7" t="str">
        <v>趣点购浦发</v>
      </c>
      <c r="D4033" s="8">
        <v>0</v>
      </c>
      <c r="E4033" s="7">
        <v>0</v>
      </c>
      <c r="F4033" s="8">
        <v>0</v>
      </c>
      <c r="G4033" s="7">
        <v>0</v>
      </c>
      <c r="H4033" s="7">
        <v>81211.819999998</v>
      </c>
      <c r="I4033" s="7">
        <v>0</v>
      </c>
      <c r="J4033" s="8">
        <v>0</v>
      </c>
      <c r="K4033" s="9" t="str">
        <v/>
      </c>
    </row>
    <row r="4034" spans="1:11">
      <c r="A4034" t="str">
        <v/>
      </c>
      <c r="B4034" s="6">
        <v>0</v>
      </c>
      <c r="C4034" s="7" t="str">
        <v>趣点购浦发</v>
      </c>
      <c r="D4034" s="8">
        <v>0</v>
      </c>
      <c r="E4034" s="7">
        <v>0</v>
      </c>
      <c r="F4034" s="8">
        <v>0</v>
      </c>
      <c r="G4034" s="7">
        <v>0</v>
      </c>
      <c r="H4034" s="7">
        <v>81211.819999998</v>
      </c>
      <c r="I4034" s="7">
        <v>0</v>
      </c>
      <c r="J4034" s="8">
        <v>0</v>
      </c>
      <c r="K4034" s="9" t="str">
        <v/>
      </c>
    </row>
    <row r="4035" spans="1:11">
      <c r="A4035" t="str">
        <v/>
      </c>
      <c r="B4035" s="6">
        <v>0</v>
      </c>
      <c r="C4035" s="7" t="str">
        <v>趣点购浦发</v>
      </c>
      <c r="D4035" s="8">
        <v>0</v>
      </c>
      <c r="E4035" s="7">
        <v>0</v>
      </c>
      <c r="F4035" s="8">
        <v>0</v>
      </c>
      <c r="G4035" s="7">
        <v>0</v>
      </c>
      <c r="H4035" s="7">
        <v>81211.819999998</v>
      </c>
      <c r="I4035" s="7">
        <v>0</v>
      </c>
      <c r="J4035" s="8">
        <v>0</v>
      </c>
      <c r="K4035" s="9" t="str">
        <v/>
      </c>
    </row>
    <row r="4036" spans="1:11">
      <c r="A4036" t="str">
        <v/>
      </c>
      <c r="B4036" s="6">
        <v>0</v>
      </c>
      <c r="C4036" s="7" t="str">
        <v>趣点购浦发</v>
      </c>
      <c r="D4036" s="8">
        <v>0</v>
      </c>
      <c r="E4036" s="7">
        <v>0</v>
      </c>
      <c r="F4036" s="8">
        <v>0</v>
      </c>
      <c r="G4036" s="7">
        <v>0</v>
      </c>
      <c r="H4036" s="7">
        <v>81211.819999998</v>
      </c>
      <c r="I4036" s="7">
        <v>0</v>
      </c>
      <c r="J4036" s="8">
        <v>0</v>
      </c>
      <c r="K4036" s="9" t="str">
        <v/>
      </c>
    </row>
    <row r="4037" spans="1:11">
      <c r="A4037" t="str">
        <v/>
      </c>
      <c r="B4037" s="6">
        <v>0</v>
      </c>
      <c r="C4037" s="7" t="str">
        <v>趣点购浦发</v>
      </c>
      <c r="D4037" s="8">
        <v>0</v>
      </c>
      <c r="E4037" s="7">
        <v>0</v>
      </c>
      <c r="F4037" s="8">
        <v>0</v>
      </c>
      <c r="G4037" s="7">
        <v>0</v>
      </c>
      <c r="H4037" s="7">
        <v>81211.819999998</v>
      </c>
      <c r="I4037" s="7">
        <v>0</v>
      </c>
      <c r="J4037" s="8">
        <v>0</v>
      </c>
      <c r="K4037" s="9" t="str">
        <v/>
      </c>
    </row>
    <row r="4038" spans="1:11">
      <c r="A4038" t="str">
        <v/>
      </c>
      <c r="B4038" s="6">
        <v>0</v>
      </c>
      <c r="C4038" s="7" t="str">
        <v>趣点购浦发</v>
      </c>
      <c r="D4038" s="8">
        <v>0</v>
      </c>
      <c r="E4038" s="7">
        <v>0</v>
      </c>
      <c r="F4038" s="8">
        <v>0</v>
      </c>
      <c r="G4038" s="7">
        <v>0</v>
      </c>
      <c r="H4038" s="7">
        <v>81211.819999998</v>
      </c>
      <c r="I4038" s="7">
        <v>0</v>
      </c>
      <c r="J4038" s="8">
        <v>0</v>
      </c>
      <c r="K4038" s="9" t="str">
        <v/>
      </c>
    </row>
    <row r="4039" spans="1:11">
      <c r="A4039" t="str">
        <v/>
      </c>
      <c r="B4039" s="6">
        <v>0</v>
      </c>
      <c r="C4039" s="7" t="str">
        <v>趣点购浦发</v>
      </c>
      <c r="D4039" s="8">
        <v>0</v>
      </c>
      <c r="E4039" s="7">
        <v>0</v>
      </c>
      <c r="F4039" s="8">
        <v>0</v>
      </c>
      <c r="G4039" s="7">
        <v>0</v>
      </c>
      <c r="H4039" s="7">
        <v>81211.819999998</v>
      </c>
      <c r="I4039" s="7">
        <v>0</v>
      </c>
      <c r="J4039" s="8">
        <v>0</v>
      </c>
      <c r="K4039" s="9" t="str">
        <v/>
      </c>
    </row>
    <row r="4040" spans="1:11">
      <c r="A4040" t="str">
        <v/>
      </c>
      <c r="B4040" s="6">
        <v>0</v>
      </c>
      <c r="C4040" s="7" t="str">
        <v>趣点购浦发</v>
      </c>
      <c r="D4040" s="8">
        <v>0</v>
      </c>
      <c r="E4040" s="7">
        <v>0</v>
      </c>
      <c r="F4040" s="8">
        <v>0</v>
      </c>
      <c r="G4040" s="7">
        <v>0</v>
      </c>
      <c r="H4040" s="7">
        <v>81211.819999998</v>
      </c>
      <c r="I4040" s="7">
        <v>0</v>
      </c>
      <c r="J4040" s="8">
        <v>0</v>
      </c>
      <c r="K4040" s="9" t="str">
        <v/>
      </c>
    </row>
    <row r="4041" spans="1:11">
      <c r="A4041" t="str">
        <v/>
      </c>
      <c r="B4041" s="6">
        <v>0</v>
      </c>
      <c r="C4041" s="7" t="str">
        <v>趣点购浦发</v>
      </c>
      <c r="D4041" s="8">
        <v>0</v>
      </c>
      <c r="E4041" s="7">
        <v>0</v>
      </c>
      <c r="F4041" s="8">
        <v>0</v>
      </c>
      <c r="G4041" s="7">
        <v>0</v>
      </c>
      <c r="H4041" s="7">
        <v>81211.819999998</v>
      </c>
      <c r="I4041" s="7">
        <v>0</v>
      </c>
      <c r="J4041" s="8">
        <v>0</v>
      </c>
      <c r="K4041" s="9" t="str">
        <v/>
      </c>
    </row>
    <row r="4042" spans="1:11">
      <c r="A4042" t="str">
        <v/>
      </c>
      <c r="B4042" s="6">
        <v>0</v>
      </c>
      <c r="C4042" s="7" t="str">
        <v>趣点购浦发</v>
      </c>
      <c r="D4042" s="8">
        <v>0</v>
      </c>
      <c r="E4042" s="7">
        <v>0</v>
      </c>
      <c r="F4042" s="8">
        <v>0</v>
      </c>
      <c r="G4042" s="7">
        <v>0</v>
      </c>
      <c r="H4042" s="7">
        <v>81211.819999998</v>
      </c>
      <c r="I4042" s="7">
        <v>0</v>
      </c>
      <c r="J4042" s="8">
        <v>0</v>
      </c>
      <c r="K4042" s="9" t="str">
        <v/>
      </c>
    </row>
    <row r="4043" spans="1:11">
      <c r="A4043" t="str">
        <v/>
      </c>
      <c r="B4043" s="6">
        <v>0</v>
      </c>
      <c r="C4043" s="7" t="str">
        <v>趣点购浦发</v>
      </c>
      <c r="D4043" s="8">
        <v>0</v>
      </c>
      <c r="E4043" s="7">
        <v>0</v>
      </c>
      <c r="F4043" s="8">
        <v>0</v>
      </c>
      <c r="G4043" s="7">
        <v>0</v>
      </c>
      <c r="H4043" s="7">
        <v>81211.819999998</v>
      </c>
      <c r="I4043" s="7">
        <v>0</v>
      </c>
      <c r="J4043" s="8">
        <v>0</v>
      </c>
      <c r="K4043" s="9" t="str">
        <v/>
      </c>
    </row>
    <row r="4044" spans="1:11">
      <c r="A4044" t="str">
        <v/>
      </c>
      <c r="B4044" s="6">
        <v>0</v>
      </c>
      <c r="C4044" s="7" t="str">
        <v>趣点购浦发</v>
      </c>
      <c r="D4044" s="8">
        <v>0</v>
      </c>
      <c r="E4044" s="7">
        <v>0</v>
      </c>
      <c r="F4044" s="8">
        <v>0</v>
      </c>
      <c r="G4044" s="7">
        <v>0</v>
      </c>
      <c r="H4044" s="7">
        <v>81211.819999998</v>
      </c>
      <c r="I4044" s="7">
        <v>0</v>
      </c>
      <c r="J4044" s="8">
        <v>0</v>
      </c>
      <c r="K4044" s="9" t="str">
        <v/>
      </c>
    </row>
    <row r="4045" spans="1:11">
      <c r="A4045" t="str">
        <v/>
      </c>
      <c r="B4045" s="6">
        <v>0</v>
      </c>
      <c r="C4045" s="7" t="str">
        <v>趣点购浦发</v>
      </c>
      <c r="D4045" s="8">
        <v>0</v>
      </c>
      <c r="E4045" s="7">
        <v>0</v>
      </c>
      <c r="F4045" s="8">
        <v>0</v>
      </c>
      <c r="G4045" s="7">
        <v>0</v>
      </c>
      <c r="H4045" s="7">
        <v>81211.819999998</v>
      </c>
      <c r="I4045" s="7">
        <v>0</v>
      </c>
      <c r="J4045" s="8">
        <v>0</v>
      </c>
      <c r="K4045" s="9" t="str">
        <v/>
      </c>
    </row>
    <row r="4046" spans="1:11">
      <c r="A4046" t="str">
        <v/>
      </c>
      <c r="B4046" s="6">
        <v>0</v>
      </c>
      <c r="C4046" s="7" t="str">
        <v>趣点购浦发</v>
      </c>
      <c r="D4046" s="8">
        <v>0</v>
      </c>
      <c r="E4046" s="7">
        <v>0</v>
      </c>
      <c r="F4046" s="8">
        <v>0</v>
      </c>
      <c r="G4046" s="7">
        <v>0</v>
      </c>
      <c r="H4046" s="7">
        <v>81211.819999998</v>
      </c>
      <c r="I4046" s="7">
        <v>0</v>
      </c>
      <c r="J4046" s="8">
        <v>0</v>
      </c>
      <c r="K4046" s="9" t="str">
        <v/>
      </c>
    </row>
    <row r="4047" spans="1:11">
      <c r="A4047" t="str">
        <v/>
      </c>
      <c r="B4047" s="6">
        <v>0</v>
      </c>
      <c r="C4047" s="7" t="str">
        <v>趣点购浦发</v>
      </c>
      <c r="D4047" s="8">
        <v>0</v>
      </c>
      <c r="E4047" s="7">
        <v>0</v>
      </c>
      <c r="F4047" s="8">
        <v>0</v>
      </c>
      <c r="G4047" s="7">
        <v>0</v>
      </c>
      <c r="H4047" s="7">
        <v>81211.819999998</v>
      </c>
      <c r="I4047" s="7">
        <v>0</v>
      </c>
      <c r="J4047" s="8">
        <v>0</v>
      </c>
      <c r="K4047" s="9" t="str">
        <v/>
      </c>
    </row>
    <row r="4048" spans="1:11">
      <c r="A4048" t="str">
        <v/>
      </c>
      <c r="B4048" s="6">
        <v>0</v>
      </c>
      <c r="C4048" s="7" t="str">
        <v>趣点购浦发</v>
      </c>
      <c r="D4048" s="8">
        <v>0</v>
      </c>
      <c r="E4048" s="7">
        <v>0</v>
      </c>
      <c r="F4048" s="8">
        <v>0</v>
      </c>
      <c r="G4048" s="7">
        <v>0</v>
      </c>
      <c r="H4048" s="7">
        <v>81211.819999998</v>
      </c>
      <c r="I4048" s="7">
        <v>0</v>
      </c>
      <c r="J4048" s="8">
        <v>0</v>
      </c>
      <c r="K4048" s="9" t="str">
        <v/>
      </c>
    </row>
    <row r="4049" spans="1:11">
      <c r="A4049" t="str">
        <v/>
      </c>
      <c r="B4049" s="6">
        <v>0</v>
      </c>
      <c r="C4049" s="7" t="str">
        <v>趣点购浦发</v>
      </c>
      <c r="D4049" s="8">
        <v>0</v>
      </c>
      <c r="E4049" s="7">
        <v>0</v>
      </c>
      <c r="F4049" s="8">
        <v>0</v>
      </c>
      <c r="G4049" s="7">
        <v>0</v>
      </c>
      <c r="H4049" s="7">
        <v>81211.819999998</v>
      </c>
      <c r="I4049" s="7">
        <v>0</v>
      </c>
      <c r="J4049" s="8">
        <v>0</v>
      </c>
      <c r="K4049" s="9" t="str">
        <v/>
      </c>
    </row>
    <row r="4050" spans="1:11">
      <c r="A4050" t="str">
        <v/>
      </c>
      <c r="B4050" s="6">
        <v>0</v>
      </c>
      <c r="C4050" s="7" t="str">
        <v>趣点购浦发</v>
      </c>
      <c r="D4050" s="8">
        <v>0</v>
      </c>
      <c r="E4050" s="7">
        <v>0</v>
      </c>
      <c r="F4050" s="8">
        <v>0</v>
      </c>
      <c r="G4050" s="7">
        <v>0</v>
      </c>
      <c r="H4050" s="7">
        <v>81211.819999998</v>
      </c>
      <c r="I4050" s="7">
        <v>0</v>
      </c>
      <c r="J4050" s="8">
        <v>0</v>
      </c>
      <c r="K4050" s="9" t="str">
        <v/>
      </c>
    </row>
    <row r="4051" spans="1:11">
      <c r="A4051" t="str">
        <v/>
      </c>
      <c r="B4051" s="6">
        <v>0</v>
      </c>
      <c r="C4051" s="7" t="str">
        <v>趣点购浦发</v>
      </c>
      <c r="D4051" s="8">
        <v>0</v>
      </c>
      <c r="E4051" s="7">
        <v>0</v>
      </c>
      <c r="F4051" s="8">
        <v>0</v>
      </c>
      <c r="G4051" s="7">
        <v>0</v>
      </c>
      <c r="H4051" s="7">
        <v>81211.819999998</v>
      </c>
      <c r="I4051" s="7">
        <v>0</v>
      </c>
      <c r="J4051" s="8">
        <v>0</v>
      </c>
      <c r="K4051" s="9" t="str">
        <v/>
      </c>
    </row>
    <row r="4052" spans="1:11">
      <c r="A4052" t="str">
        <v/>
      </c>
      <c r="B4052" s="6">
        <v>0</v>
      </c>
      <c r="C4052" s="7" t="str">
        <v>趣点购浦发</v>
      </c>
      <c r="D4052" s="8">
        <v>0</v>
      </c>
      <c r="E4052" s="7">
        <v>0</v>
      </c>
      <c r="F4052" s="8">
        <v>0</v>
      </c>
      <c r="G4052" s="7">
        <v>0</v>
      </c>
      <c r="H4052" s="7">
        <v>81211.819999998</v>
      </c>
      <c r="I4052" s="7">
        <v>0</v>
      </c>
      <c r="J4052" s="8">
        <v>0</v>
      </c>
      <c r="K4052" s="9" t="str">
        <v/>
      </c>
    </row>
    <row r="4053" spans="1:11">
      <c r="A4053" t="str">
        <v/>
      </c>
      <c r="B4053" s="6">
        <v>0</v>
      </c>
      <c r="C4053" s="7" t="str">
        <v>趣点购浦发</v>
      </c>
      <c r="D4053" s="8">
        <v>0</v>
      </c>
      <c r="E4053" s="7">
        <v>0</v>
      </c>
      <c r="F4053" s="8">
        <v>0</v>
      </c>
      <c r="G4053" s="7">
        <v>0</v>
      </c>
      <c r="H4053" s="7">
        <v>81211.819999998</v>
      </c>
      <c r="I4053" s="7">
        <v>0</v>
      </c>
      <c r="J4053" s="8">
        <v>0</v>
      </c>
      <c r="K4053" s="9" t="str">
        <v/>
      </c>
    </row>
    <row r="4054" spans="1:11">
      <c r="A4054" t="str">
        <v/>
      </c>
      <c r="B4054" s="6">
        <v>0</v>
      </c>
      <c r="C4054" s="7" t="str">
        <v>趣点购浦发</v>
      </c>
      <c r="D4054" s="8">
        <v>0</v>
      </c>
      <c r="E4054" s="7">
        <v>0</v>
      </c>
      <c r="F4054" s="8">
        <v>0</v>
      </c>
      <c r="G4054" s="7">
        <v>0</v>
      </c>
      <c r="H4054" s="7">
        <v>81211.819999998</v>
      </c>
      <c r="I4054" s="7">
        <v>0</v>
      </c>
      <c r="J4054" s="8">
        <v>0</v>
      </c>
      <c r="K4054" s="9" t="str">
        <v/>
      </c>
    </row>
    <row r="4055" spans="1:11">
      <c r="A4055" t="str">
        <v/>
      </c>
      <c r="B4055" s="6">
        <v>0</v>
      </c>
      <c r="C4055" s="7" t="str">
        <v>趣点购浦发</v>
      </c>
      <c r="D4055" s="8">
        <v>0</v>
      </c>
      <c r="E4055" s="7">
        <v>0</v>
      </c>
      <c r="F4055" s="8">
        <v>0</v>
      </c>
      <c r="G4055" s="7">
        <v>0</v>
      </c>
      <c r="H4055" s="7">
        <v>81211.819999998</v>
      </c>
      <c r="I4055" s="7">
        <v>0</v>
      </c>
      <c r="J4055" s="8">
        <v>0</v>
      </c>
      <c r="K4055" s="9" t="str">
        <v/>
      </c>
    </row>
    <row r="4056" spans="1:11">
      <c r="A4056" t="str">
        <v/>
      </c>
      <c r="B4056" s="6">
        <v>0</v>
      </c>
      <c r="C4056" s="7" t="str">
        <v>趣点购浦发</v>
      </c>
      <c r="D4056" s="8">
        <v>0</v>
      </c>
      <c r="E4056" s="7">
        <v>0</v>
      </c>
      <c r="F4056" s="8">
        <v>0</v>
      </c>
      <c r="G4056" s="7">
        <v>0</v>
      </c>
      <c r="H4056" s="7">
        <v>81211.819999998</v>
      </c>
      <c r="I4056" s="7">
        <v>0</v>
      </c>
      <c r="J4056" s="8">
        <v>0</v>
      </c>
      <c r="K4056" s="9" t="str">
        <v/>
      </c>
    </row>
    <row r="4057" spans="1:11">
      <c r="A4057" t="str">
        <v/>
      </c>
      <c r="B4057" s="6">
        <v>0</v>
      </c>
      <c r="C4057" s="7" t="str">
        <v>趣点购浦发</v>
      </c>
      <c r="D4057" s="8">
        <v>0</v>
      </c>
      <c r="E4057" s="7">
        <v>0</v>
      </c>
      <c r="F4057" s="8">
        <v>0</v>
      </c>
      <c r="G4057" s="7">
        <v>0</v>
      </c>
      <c r="H4057" s="7">
        <v>81211.819999998</v>
      </c>
      <c r="I4057" s="7">
        <v>0</v>
      </c>
      <c r="J4057" s="8">
        <v>0</v>
      </c>
      <c r="K4057" s="9" t="str">
        <v/>
      </c>
    </row>
    <row r="4058" spans="1:11">
      <c r="A4058" t="str">
        <v/>
      </c>
      <c r="B4058" s="6">
        <v>0</v>
      </c>
      <c r="C4058" s="7" t="str">
        <v>趣点购浦发</v>
      </c>
      <c r="D4058" s="8">
        <v>0</v>
      </c>
      <c r="E4058" s="7">
        <v>0</v>
      </c>
      <c r="F4058" s="8">
        <v>0</v>
      </c>
      <c r="G4058" s="7">
        <v>0</v>
      </c>
      <c r="H4058" s="7">
        <v>81211.819999998</v>
      </c>
      <c r="I4058" s="7">
        <v>0</v>
      </c>
      <c r="J4058" s="8">
        <v>0</v>
      </c>
      <c r="K4058" s="9" t="str">
        <v/>
      </c>
    </row>
    <row r="4059" spans="1:11">
      <c r="A4059" t="str">
        <v/>
      </c>
      <c r="B4059" s="6">
        <v>0</v>
      </c>
      <c r="C4059" s="7" t="str">
        <v>趣点购浦发</v>
      </c>
      <c r="D4059" s="8">
        <v>0</v>
      </c>
      <c r="E4059" s="7">
        <v>0</v>
      </c>
      <c r="F4059" s="8">
        <v>0</v>
      </c>
      <c r="G4059" s="7">
        <v>0</v>
      </c>
      <c r="H4059" s="7">
        <v>81211.819999998</v>
      </c>
      <c r="I4059" s="7">
        <v>0</v>
      </c>
      <c r="J4059" s="8">
        <v>0</v>
      </c>
      <c r="K4059" s="9" t="str">
        <v/>
      </c>
    </row>
    <row r="4060" spans="1:11">
      <c r="A4060" t="str">
        <v/>
      </c>
      <c r="B4060" s="6">
        <v>0</v>
      </c>
      <c r="C4060" s="7" t="str">
        <v>趣点购浦发</v>
      </c>
      <c r="D4060" s="8">
        <v>0</v>
      </c>
      <c r="E4060" s="7">
        <v>0</v>
      </c>
      <c r="F4060" s="8">
        <v>0</v>
      </c>
      <c r="G4060" s="7">
        <v>0</v>
      </c>
      <c r="H4060" s="7">
        <v>81211.819999998</v>
      </c>
      <c r="I4060" s="7">
        <v>0</v>
      </c>
      <c r="J4060" s="8">
        <v>0</v>
      </c>
      <c r="K4060" s="9" t="str">
        <v/>
      </c>
    </row>
    <row r="4061" spans="1:11">
      <c r="A4061" t="str">
        <v/>
      </c>
      <c r="B4061" s="6">
        <v>0</v>
      </c>
      <c r="C4061" s="7" t="str">
        <v>趣点购浦发</v>
      </c>
      <c r="D4061" s="8">
        <v>0</v>
      </c>
      <c r="E4061" s="7">
        <v>0</v>
      </c>
      <c r="F4061" s="8">
        <v>0</v>
      </c>
      <c r="G4061" s="7">
        <v>0</v>
      </c>
      <c r="H4061" s="7">
        <v>81211.819999998</v>
      </c>
      <c r="I4061" s="7">
        <v>0</v>
      </c>
      <c r="J4061" s="8">
        <v>0</v>
      </c>
      <c r="K4061" s="9" t="str">
        <v/>
      </c>
    </row>
    <row r="4062" spans="1:11">
      <c r="A4062" t="str">
        <v/>
      </c>
      <c r="B4062" s="6">
        <v>0</v>
      </c>
      <c r="C4062" s="7" t="str">
        <v>趣点购浦发</v>
      </c>
      <c r="D4062" s="8">
        <v>0</v>
      </c>
      <c r="E4062" s="7">
        <v>0</v>
      </c>
      <c r="F4062" s="8">
        <v>0</v>
      </c>
      <c r="G4062" s="7">
        <v>0</v>
      </c>
      <c r="H4062" s="7">
        <v>81211.819999998</v>
      </c>
      <c r="I4062" s="7">
        <v>0</v>
      </c>
      <c r="J4062" s="8">
        <v>0</v>
      </c>
      <c r="K4062" s="9" t="str">
        <v/>
      </c>
    </row>
    <row r="4063" spans="1:11">
      <c r="A4063" t="str">
        <v/>
      </c>
      <c r="B4063" s="6">
        <v>0</v>
      </c>
      <c r="C4063" s="7" t="str">
        <v>趣点购浦发</v>
      </c>
      <c r="D4063" s="8">
        <v>0</v>
      </c>
      <c r="E4063" s="7">
        <v>0</v>
      </c>
      <c r="F4063" s="8">
        <v>0</v>
      </c>
      <c r="G4063" s="7">
        <v>0</v>
      </c>
      <c r="H4063" s="7">
        <v>81211.819999998</v>
      </c>
      <c r="I4063" s="7">
        <v>0</v>
      </c>
      <c r="J4063" s="8">
        <v>0</v>
      </c>
      <c r="K4063" s="9" t="str">
        <v/>
      </c>
    </row>
    <row r="4064" spans="1:11">
      <c r="A4064" t="str">
        <v/>
      </c>
      <c r="B4064" s="6">
        <v>0</v>
      </c>
      <c r="C4064" s="7" t="str">
        <v>趣点购浦发</v>
      </c>
      <c r="D4064" s="8">
        <v>0</v>
      </c>
      <c r="E4064" s="7">
        <v>0</v>
      </c>
      <c r="F4064" s="8">
        <v>0</v>
      </c>
      <c r="G4064" s="7">
        <v>0</v>
      </c>
      <c r="H4064" s="7">
        <v>81211.819999998</v>
      </c>
      <c r="I4064" s="7">
        <v>0</v>
      </c>
      <c r="J4064" s="8">
        <v>0</v>
      </c>
      <c r="K4064" s="9" t="str">
        <v/>
      </c>
    </row>
    <row r="4065" spans="1:11">
      <c r="A4065" t="str">
        <v/>
      </c>
      <c r="B4065" s="6">
        <v>0</v>
      </c>
      <c r="C4065" s="7" t="str">
        <v>趣点购浦发</v>
      </c>
      <c r="D4065" s="8">
        <v>0</v>
      </c>
      <c r="E4065" s="7">
        <v>0</v>
      </c>
      <c r="F4065" s="8">
        <v>0</v>
      </c>
      <c r="G4065" s="7">
        <v>0</v>
      </c>
      <c r="H4065" s="7">
        <v>81211.819999998</v>
      </c>
      <c r="I4065" s="7">
        <v>0</v>
      </c>
      <c r="J4065" s="8">
        <v>0</v>
      </c>
      <c r="K4065" s="9" t="str">
        <v/>
      </c>
    </row>
    <row r="4066" spans="1:11">
      <c r="A4066" t="str">
        <v/>
      </c>
      <c r="B4066" s="6">
        <v>0</v>
      </c>
      <c r="C4066" s="7" t="str">
        <v>趣点购浦发</v>
      </c>
      <c r="D4066" s="8">
        <v>0</v>
      </c>
      <c r="E4066" s="7">
        <v>0</v>
      </c>
      <c r="F4066" s="8">
        <v>0</v>
      </c>
      <c r="G4066" s="7">
        <v>0</v>
      </c>
      <c r="H4066" s="7">
        <v>81211.819999998</v>
      </c>
      <c r="I4066" s="7">
        <v>0</v>
      </c>
      <c r="J4066" s="8">
        <v>0</v>
      </c>
      <c r="K4066" s="9" t="str">
        <v/>
      </c>
    </row>
    <row r="4067" spans="1:11">
      <c r="A4067" t="str">
        <v/>
      </c>
      <c r="B4067" s="6">
        <v>0</v>
      </c>
      <c r="C4067" s="7" t="str">
        <v>趣点购浦发</v>
      </c>
      <c r="D4067" s="8">
        <v>0</v>
      </c>
      <c r="E4067" s="7">
        <v>0</v>
      </c>
      <c r="F4067" s="8">
        <v>0</v>
      </c>
      <c r="G4067" s="7">
        <v>0</v>
      </c>
      <c r="H4067" s="7">
        <v>81211.819999998</v>
      </c>
      <c r="I4067" s="7">
        <v>0</v>
      </c>
      <c r="J4067" s="8">
        <v>0</v>
      </c>
      <c r="K4067" s="9" t="str">
        <v/>
      </c>
    </row>
    <row r="4068" spans="1:11">
      <c r="A4068" t="str">
        <v/>
      </c>
      <c r="B4068" s="6">
        <v>0</v>
      </c>
      <c r="C4068" s="7" t="str">
        <v>趣点购浦发</v>
      </c>
      <c r="D4068" s="8">
        <v>0</v>
      </c>
      <c r="E4068" s="7">
        <v>0</v>
      </c>
      <c r="F4068" s="8">
        <v>0</v>
      </c>
      <c r="G4068" s="7">
        <v>0</v>
      </c>
      <c r="H4068" s="7">
        <v>81211.819999998</v>
      </c>
      <c r="I4068" s="7">
        <v>0</v>
      </c>
      <c r="J4068" s="8">
        <v>0</v>
      </c>
      <c r="K4068" s="9" t="str">
        <v/>
      </c>
    </row>
    <row r="4069" spans="1:11">
      <c r="A4069" t="str">
        <v/>
      </c>
      <c r="B4069" s="6">
        <v>0</v>
      </c>
      <c r="C4069" s="7" t="str">
        <v>趣点购浦发</v>
      </c>
      <c r="D4069" s="8">
        <v>0</v>
      </c>
      <c r="E4069" s="7">
        <v>0</v>
      </c>
      <c r="F4069" s="8">
        <v>0</v>
      </c>
      <c r="G4069" s="7">
        <v>0</v>
      </c>
      <c r="H4069" s="7">
        <v>81211.819999998</v>
      </c>
      <c r="I4069" s="7">
        <v>0</v>
      </c>
      <c r="J4069" s="8">
        <v>0</v>
      </c>
      <c r="K4069" s="9" t="str">
        <v/>
      </c>
    </row>
    <row r="4070" spans="1:11">
      <c r="A4070" t="str">
        <v/>
      </c>
      <c r="B4070" s="6">
        <v>0</v>
      </c>
      <c r="C4070" s="7" t="str">
        <v>趣点购浦发</v>
      </c>
      <c r="D4070" s="8">
        <v>0</v>
      </c>
      <c r="E4070" s="7">
        <v>0</v>
      </c>
      <c r="F4070" s="8">
        <v>0</v>
      </c>
      <c r="G4070" s="7">
        <v>0</v>
      </c>
      <c r="H4070" s="7">
        <v>81211.819999998</v>
      </c>
      <c r="I4070" s="7">
        <v>0</v>
      </c>
      <c r="J4070" s="8">
        <v>0</v>
      </c>
      <c r="K4070" s="9" t="str">
        <v/>
      </c>
    </row>
    <row r="4071" spans="1:11">
      <c r="A4071" t="str">
        <v/>
      </c>
      <c r="B4071" s="6">
        <v>0</v>
      </c>
      <c r="C4071" s="7" t="str">
        <v>趣点购浦发</v>
      </c>
      <c r="D4071" s="8">
        <v>0</v>
      </c>
      <c r="E4071" s="7">
        <v>0</v>
      </c>
      <c r="F4071" s="8">
        <v>0</v>
      </c>
      <c r="G4071" s="7">
        <v>0</v>
      </c>
      <c r="H4071" s="7">
        <v>81211.819999998</v>
      </c>
      <c r="I4071" s="7">
        <v>0</v>
      </c>
      <c r="J4071" s="8">
        <v>0</v>
      </c>
      <c r="K4071" s="9" t="str">
        <v/>
      </c>
    </row>
    <row r="4072" spans="1:11">
      <c r="A4072" t="str">
        <v/>
      </c>
      <c r="B4072" s="6">
        <v>0</v>
      </c>
      <c r="C4072" s="7" t="str">
        <v>趣点购浦发</v>
      </c>
      <c r="D4072" s="8">
        <v>0</v>
      </c>
      <c r="E4072" s="7">
        <v>0</v>
      </c>
      <c r="F4072" s="8">
        <v>0</v>
      </c>
      <c r="G4072" s="7">
        <v>0</v>
      </c>
      <c r="H4072" s="7">
        <v>81211.819999998</v>
      </c>
      <c r="I4072" s="7">
        <v>0</v>
      </c>
      <c r="J4072" s="8">
        <v>0</v>
      </c>
      <c r="K4072" s="9" t="str">
        <v/>
      </c>
    </row>
    <row r="4073" spans="1:11">
      <c r="A4073" t="str">
        <v/>
      </c>
      <c r="B4073" s="6">
        <v>0</v>
      </c>
      <c r="C4073" s="7" t="str">
        <v>趣点购浦发</v>
      </c>
      <c r="D4073" s="8">
        <v>0</v>
      </c>
      <c r="E4073" s="7">
        <v>0</v>
      </c>
      <c r="F4073" s="8">
        <v>0</v>
      </c>
      <c r="G4073" s="7">
        <v>0</v>
      </c>
      <c r="H4073" s="7">
        <v>81211.819999998</v>
      </c>
      <c r="I4073" s="7">
        <v>0</v>
      </c>
      <c r="J4073" s="8">
        <v>0</v>
      </c>
      <c r="K4073" s="9" t="str">
        <v/>
      </c>
    </row>
    <row r="4074" spans="1:11">
      <c r="A4074" t="str">
        <v/>
      </c>
      <c r="B4074" s="6">
        <v>0</v>
      </c>
      <c r="C4074" s="7" t="str">
        <v>趣点购浦发</v>
      </c>
      <c r="D4074" s="8">
        <v>0</v>
      </c>
      <c r="E4074" s="7">
        <v>0</v>
      </c>
      <c r="F4074" s="8">
        <v>0</v>
      </c>
      <c r="G4074" s="7">
        <v>0</v>
      </c>
      <c r="H4074" s="7">
        <v>81211.819999998</v>
      </c>
      <c r="I4074" s="7">
        <v>0</v>
      </c>
      <c r="J4074" s="8">
        <v>0</v>
      </c>
      <c r="K4074" s="9" t="str">
        <v/>
      </c>
    </row>
    <row r="4075" spans="1:11">
      <c r="A4075" t="str">
        <v/>
      </c>
      <c r="B4075" s="6">
        <v>0</v>
      </c>
      <c r="C4075" s="7" t="str">
        <v>趣点购浦发</v>
      </c>
      <c r="D4075" s="8">
        <v>0</v>
      </c>
      <c r="E4075" s="7">
        <v>0</v>
      </c>
      <c r="F4075" s="8">
        <v>0</v>
      </c>
      <c r="G4075" s="7">
        <v>0</v>
      </c>
      <c r="H4075" s="7">
        <v>81211.819999998</v>
      </c>
      <c r="I4075" s="7">
        <v>0</v>
      </c>
      <c r="J4075" s="8">
        <v>0</v>
      </c>
      <c r="K4075" s="9" t="str">
        <v/>
      </c>
    </row>
    <row r="4076" spans="1:11">
      <c r="A4076" t="str">
        <v/>
      </c>
      <c r="B4076" s="6">
        <v>0</v>
      </c>
      <c r="C4076" s="7" t="str">
        <v>趣点购浦发</v>
      </c>
      <c r="D4076" s="8">
        <v>0</v>
      </c>
      <c r="E4076" s="7">
        <v>0</v>
      </c>
      <c r="F4076" s="8">
        <v>0</v>
      </c>
      <c r="G4076" s="7">
        <v>0</v>
      </c>
      <c r="H4076" s="7">
        <v>81211.819999998</v>
      </c>
      <c r="I4076" s="7">
        <v>0</v>
      </c>
      <c r="J4076" s="8">
        <v>0</v>
      </c>
      <c r="K4076" s="9" t="str">
        <v/>
      </c>
    </row>
    <row r="4077" spans="1:11">
      <c r="A4077" t="str">
        <v/>
      </c>
      <c r="B4077" s="6">
        <v>0</v>
      </c>
      <c r="C4077" s="7" t="str">
        <v>趣点购浦发</v>
      </c>
      <c r="D4077" s="8">
        <v>0</v>
      </c>
      <c r="E4077" s="7">
        <v>0</v>
      </c>
      <c r="F4077" s="8">
        <v>0</v>
      </c>
      <c r="G4077" s="7">
        <v>0</v>
      </c>
      <c r="H4077" s="7">
        <v>81211.819999998</v>
      </c>
      <c r="I4077" s="7">
        <v>0</v>
      </c>
      <c r="J4077" s="8">
        <v>0</v>
      </c>
      <c r="K4077" s="9" t="str">
        <v/>
      </c>
    </row>
    <row r="4078" spans="1:11">
      <c r="A4078" t="str">
        <v/>
      </c>
      <c r="B4078" s="6">
        <v>0</v>
      </c>
      <c r="C4078" s="7" t="str">
        <v>趣点购浦发</v>
      </c>
      <c r="D4078" s="8">
        <v>0</v>
      </c>
      <c r="E4078" s="7">
        <v>0</v>
      </c>
      <c r="F4078" s="8">
        <v>0</v>
      </c>
      <c r="G4078" s="7">
        <v>0</v>
      </c>
      <c r="H4078" s="7">
        <v>81211.819999998</v>
      </c>
      <c r="I4078" s="7">
        <v>0</v>
      </c>
      <c r="J4078" s="8">
        <v>0</v>
      </c>
      <c r="K4078" s="9" t="str">
        <v/>
      </c>
    </row>
    <row r="4079" spans="1:11">
      <c r="A4079" t="str">
        <v/>
      </c>
      <c r="B4079" s="6">
        <v>0</v>
      </c>
      <c r="C4079" s="7" t="str">
        <v>趣点购浦发</v>
      </c>
      <c r="D4079" s="8">
        <v>0</v>
      </c>
      <c r="E4079" s="7">
        <v>0</v>
      </c>
      <c r="F4079" s="8">
        <v>0</v>
      </c>
      <c r="G4079" s="7">
        <v>0</v>
      </c>
      <c r="H4079" s="7">
        <v>81211.819999998</v>
      </c>
      <c r="I4079" s="7">
        <v>0</v>
      </c>
      <c r="J4079" s="8">
        <v>0</v>
      </c>
      <c r="K4079" s="9" t="str">
        <v/>
      </c>
    </row>
    <row r="4080" spans="1:11">
      <c r="A4080" t="str">
        <v/>
      </c>
      <c r="B4080" s="6">
        <v>0</v>
      </c>
      <c r="C4080" s="7" t="str">
        <v>趣点购浦发</v>
      </c>
      <c r="D4080" s="8">
        <v>0</v>
      </c>
      <c r="E4080" s="7">
        <v>0</v>
      </c>
      <c r="F4080" s="8">
        <v>0</v>
      </c>
      <c r="G4080" s="7">
        <v>0</v>
      </c>
      <c r="H4080" s="7">
        <v>81211.819999998</v>
      </c>
      <c r="I4080" s="7">
        <v>0</v>
      </c>
      <c r="J4080" s="8">
        <v>0</v>
      </c>
      <c r="K4080" s="9" t="str">
        <v/>
      </c>
    </row>
    <row r="4081" spans="1:11">
      <c r="A4081" t="str">
        <v/>
      </c>
      <c r="B4081" s="6">
        <v>0</v>
      </c>
      <c r="C4081" s="7" t="str">
        <v>趣点购浦发</v>
      </c>
      <c r="D4081" s="8">
        <v>0</v>
      </c>
      <c r="E4081" s="7">
        <v>0</v>
      </c>
      <c r="F4081" s="8">
        <v>0</v>
      </c>
      <c r="G4081" s="7">
        <v>0</v>
      </c>
      <c r="H4081" s="7">
        <v>81211.819999998</v>
      </c>
      <c r="I4081" s="7">
        <v>0</v>
      </c>
      <c r="J4081" s="8">
        <v>0</v>
      </c>
      <c r="K4081" s="9" t="str">
        <v/>
      </c>
    </row>
    <row r="4082" spans="1:11">
      <c r="A4082" t="str">
        <v/>
      </c>
      <c r="B4082" s="6">
        <v>0</v>
      </c>
      <c r="C4082" s="7" t="str">
        <v>趣点购浦发</v>
      </c>
      <c r="D4082" s="8">
        <v>0</v>
      </c>
      <c r="E4082" s="7">
        <v>0</v>
      </c>
      <c r="F4082" s="8">
        <v>0</v>
      </c>
      <c r="G4082" s="7">
        <v>0</v>
      </c>
      <c r="H4082" s="7">
        <v>81211.819999998</v>
      </c>
      <c r="I4082" s="7">
        <v>0</v>
      </c>
      <c r="J4082" s="8">
        <v>0</v>
      </c>
      <c r="K4082" s="9" t="str">
        <v/>
      </c>
    </row>
    <row r="4083" spans="1:11">
      <c r="A4083" t="str">
        <v/>
      </c>
      <c r="B4083" s="6">
        <v>0</v>
      </c>
      <c r="C4083" s="7" t="str">
        <v>趣点购浦发</v>
      </c>
      <c r="D4083" s="8">
        <v>0</v>
      </c>
      <c r="E4083" s="7">
        <v>0</v>
      </c>
      <c r="F4083" s="8">
        <v>0</v>
      </c>
      <c r="G4083" s="7">
        <v>0</v>
      </c>
      <c r="H4083" s="7">
        <v>81211.819999998</v>
      </c>
      <c r="I4083" s="7">
        <v>0</v>
      </c>
      <c r="J4083" s="8">
        <v>0</v>
      </c>
      <c r="K4083" s="9" t="str">
        <v/>
      </c>
    </row>
    <row r="4084" spans="1:11">
      <c r="A4084" t="str">
        <v/>
      </c>
      <c r="B4084" s="6">
        <v>0</v>
      </c>
      <c r="C4084" s="7" t="str">
        <v>趣点购浦发</v>
      </c>
      <c r="D4084" s="8">
        <v>0</v>
      </c>
      <c r="E4084" s="7">
        <v>0</v>
      </c>
      <c r="F4084" s="8">
        <v>0</v>
      </c>
      <c r="G4084" s="7">
        <v>0</v>
      </c>
      <c r="H4084" s="7">
        <v>81211.819999998</v>
      </c>
      <c r="I4084" s="7">
        <v>0</v>
      </c>
      <c r="J4084" s="8">
        <v>0</v>
      </c>
      <c r="K4084" s="9" t="str">
        <v/>
      </c>
    </row>
    <row r="4085" spans="1:11">
      <c r="A4085" t="str">
        <v/>
      </c>
      <c r="B4085" s="6">
        <v>0</v>
      </c>
      <c r="C4085" s="7" t="str">
        <v>趣点购浦发</v>
      </c>
      <c r="D4085" s="8">
        <v>0</v>
      </c>
      <c r="E4085" s="7">
        <v>0</v>
      </c>
      <c r="F4085" s="8">
        <v>0</v>
      </c>
      <c r="G4085" s="7">
        <v>0</v>
      </c>
      <c r="H4085" s="7">
        <v>81211.819999998</v>
      </c>
      <c r="I4085" s="7">
        <v>0</v>
      </c>
      <c r="J4085" s="8">
        <v>0</v>
      </c>
      <c r="K4085" s="9" t="str">
        <v/>
      </c>
    </row>
    <row r="4086" spans="1:11">
      <c r="A4086" t="str">
        <v/>
      </c>
      <c r="B4086" s="6">
        <v>0</v>
      </c>
      <c r="C4086" s="7" t="str">
        <v>趣点购浦发</v>
      </c>
      <c r="D4086" s="8">
        <v>0</v>
      </c>
      <c r="E4086" s="7">
        <v>0</v>
      </c>
      <c r="F4086" s="8">
        <v>0</v>
      </c>
      <c r="G4086" s="7">
        <v>0</v>
      </c>
      <c r="H4086" s="7">
        <v>81211.819999998</v>
      </c>
      <c r="I4086" s="7">
        <v>0</v>
      </c>
      <c r="J4086" s="8">
        <v>0</v>
      </c>
      <c r="K4086" s="9" t="str">
        <v/>
      </c>
    </row>
    <row r="4087" spans="1:11">
      <c r="A4087" t="str">
        <v/>
      </c>
      <c r="B4087" s="6">
        <v>0</v>
      </c>
      <c r="C4087" s="7" t="str">
        <v>趣点购浦发</v>
      </c>
      <c r="D4087" s="8">
        <v>0</v>
      </c>
      <c r="E4087" s="7">
        <v>0</v>
      </c>
      <c r="F4087" s="8">
        <v>0</v>
      </c>
      <c r="G4087" s="7">
        <v>0</v>
      </c>
      <c r="H4087" s="7">
        <v>81211.819999998</v>
      </c>
      <c r="I4087" s="7">
        <v>0</v>
      </c>
      <c r="J4087" s="8">
        <v>0</v>
      </c>
      <c r="K4087" s="9" t="str">
        <v/>
      </c>
    </row>
    <row r="4088" spans="1:11">
      <c r="A4088" t="str">
        <v/>
      </c>
      <c r="B4088" s="6">
        <v>0</v>
      </c>
      <c r="C4088" s="7" t="str">
        <v>趣点购浦发</v>
      </c>
      <c r="D4088" s="8">
        <v>0</v>
      </c>
      <c r="E4088" s="7">
        <v>0</v>
      </c>
      <c r="F4088" s="8">
        <v>0</v>
      </c>
      <c r="G4088" s="7">
        <v>0</v>
      </c>
      <c r="H4088" s="7">
        <v>81211.819999998</v>
      </c>
      <c r="I4088" s="7">
        <v>0</v>
      </c>
      <c r="J4088" s="8">
        <v>0</v>
      </c>
      <c r="K4088" s="9" t="str">
        <v/>
      </c>
    </row>
    <row r="4089" spans="1:11">
      <c r="A4089" t="str">
        <v/>
      </c>
      <c r="B4089" s="6">
        <v>0</v>
      </c>
      <c r="C4089" s="7" t="str">
        <v>趣点购浦发</v>
      </c>
      <c r="D4089" s="8">
        <v>0</v>
      </c>
      <c r="E4089" s="7">
        <v>0</v>
      </c>
      <c r="F4089" s="8">
        <v>0</v>
      </c>
      <c r="G4089" s="7">
        <v>0</v>
      </c>
      <c r="H4089" s="7">
        <v>81211.819999998</v>
      </c>
      <c r="I4089" s="7">
        <v>0</v>
      </c>
      <c r="J4089" s="8">
        <v>0</v>
      </c>
      <c r="K4089" s="9" t="str">
        <v/>
      </c>
    </row>
    <row r="4090" spans="1:11">
      <c r="A4090" t="str">
        <v/>
      </c>
      <c r="B4090" s="6">
        <v>0</v>
      </c>
      <c r="C4090" s="7" t="str">
        <v>趣点购浦发</v>
      </c>
      <c r="D4090" s="8">
        <v>0</v>
      </c>
      <c r="E4090" s="7">
        <v>0</v>
      </c>
      <c r="F4090" s="8">
        <v>0</v>
      </c>
      <c r="G4090" s="7">
        <v>0</v>
      </c>
      <c r="H4090" s="7">
        <v>81211.819999998</v>
      </c>
      <c r="I4090" s="7">
        <v>0</v>
      </c>
      <c r="J4090" s="8">
        <v>0</v>
      </c>
      <c r="K4090" s="9" t="str">
        <v/>
      </c>
    </row>
    <row r="4091" spans="1:11">
      <c r="A4091" t="str">
        <v/>
      </c>
      <c r="B4091" s="6">
        <v>0</v>
      </c>
      <c r="C4091" s="7" t="str">
        <v>趣点购浦发</v>
      </c>
      <c r="D4091" s="8">
        <v>0</v>
      </c>
      <c r="E4091" s="7">
        <v>0</v>
      </c>
      <c r="F4091" s="8">
        <v>0</v>
      </c>
      <c r="G4091" s="7">
        <v>0</v>
      </c>
      <c r="H4091" s="7">
        <v>81211.819999998</v>
      </c>
      <c r="I4091" s="7">
        <v>0</v>
      </c>
      <c r="J4091" s="8">
        <v>0</v>
      </c>
      <c r="K4091" s="9" t="str">
        <v/>
      </c>
    </row>
    <row r="4092" spans="1:11">
      <c r="A4092" t="str">
        <v/>
      </c>
      <c r="B4092" s="6">
        <v>0</v>
      </c>
      <c r="C4092" s="7" t="str">
        <v>趣点购浦发</v>
      </c>
      <c r="D4092" s="8">
        <v>0</v>
      </c>
      <c r="E4092" s="7">
        <v>0</v>
      </c>
      <c r="F4092" s="8">
        <v>0</v>
      </c>
      <c r="G4092" s="7">
        <v>0</v>
      </c>
      <c r="H4092" s="7">
        <v>81211.819999998</v>
      </c>
      <c r="I4092" s="7">
        <v>0</v>
      </c>
      <c r="J4092" s="8">
        <v>0</v>
      </c>
      <c r="K4092" s="9" t="str">
        <v/>
      </c>
    </row>
    <row r="4093" spans="1:11">
      <c r="A4093" t="str">
        <v/>
      </c>
      <c r="B4093" s="6">
        <v>0</v>
      </c>
      <c r="C4093" s="7" t="str">
        <v>趣点购浦发</v>
      </c>
      <c r="D4093" s="8">
        <v>0</v>
      </c>
      <c r="E4093" s="7">
        <v>0</v>
      </c>
      <c r="F4093" s="8">
        <v>0</v>
      </c>
      <c r="G4093" s="7">
        <v>0</v>
      </c>
      <c r="H4093" s="7">
        <v>81211.819999998</v>
      </c>
      <c r="I4093" s="7">
        <v>0</v>
      </c>
      <c r="J4093" s="8">
        <v>0</v>
      </c>
      <c r="K4093" s="9" t="str">
        <v/>
      </c>
    </row>
    <row r="4094" spans="1:11">
      <c r="A4094" t="str">
        <v/>
      </c>
      <c r="B4094" s="6">
        <v>0</v>
      </c>
      <c r="C4094" s="7" t="str">
        <v>趣点购浦发</v>
      </c>
      <c r="D4094" s="8">
        <v>0</v>
      </c>
      <c r="E4094" s="7">
        <v>0</v>
      </c>
      <c r="F4094" s="8">
        <v>0</v>
      </c>
      <c r="G4094" s="7">
        <v>0</v>
      </c>
      <c r="H4094" s="7">
        <v>81211.819999998</v>
      </c>
      <c r="I4094" s="7">
        <v>0</v>
      </c>
      <c r="J4094" s="8">
        <v>0</v>
      </c>
      <c r="K4094" s="9" t="str">
        <v/>
      </c>
    </row>
    <row r="4095" spans="1:11">
      <c r="A4095" t="str">
        <v/>
      </c>
      <c r="B4095" s="6">
        <v>0</v>
      </c>
      <c r="C4095" s="7" t="str">
        <v>趣点购浦发</v>
      </c>
      <c r="D4095" s="8">
        <v>0</v>
      </c>
      <c r="E4095" s="7">
        <v>0</v>
      </c>
      <c r="F4095" s="8">
        <v>0</v>
      </c>
      <c r="G4095" s="7">
        <v>0</v>
      </c>
      <c r="H4095" s="7">
        <v>81211.819999998</v>
      </c>
      <c r="I4095" s="7">
        <v>0</v>
      </c>
      <c r="J4095" s="8">
        <v>0</v>
      </c>
      <c r="K4095" s="9" t="str">
        <v/>
      </c>
    </row>
    <row r="4096" spans="1:11">
      <c r="A4096" t="str">
        <v/>
      </c>
      <c r="B4096" s="6">
        <v>0</v>
      </c>
      <c r="C4096" s="7" t="str">
        <v>趣点购浦发</v>
      </c>
      <c r="D4096" s="8">
        <v>0</v>
      </c>
      <c r="E4096" s="7">
        <v>0</v>
      </c>
      <c r="F4096" s="8">
        <v>0</v>
      </c>
      <c r="G4096" s="7">
        <v>0</v>
      </c>
      <c r="H4096" s="7">
        <v>81211.819999998</v>
      </c>
      <c r="I4096" s="7">
        <v>0</v>
      </c>
      <c r="J4096" s="8">
        <v>0</v>
      </c>
      <c r="K4096" s="9" t="str">
        <v/>
      </c>
    </row>
    <row r="4097" spans="1:11">
      <c r="A4097" t="str">
        <v/>
      </c>
      <c r="B4097" s="6">
        <v>0</v>
      </c>
      <c r="C4097" s="7" t="str">
        <v>趣点购浦发</v>
      </c>
      <c r="D4097" s="8">
        <v>0</v>
      </c>
      <c r="E4097" s="7">
        <v>0</v>
      </c>
      <c r="F4097" s="8">
        <v>0</v>
      </c>
      <c r="G4097" s="7">
        <v>0</v>
      </c>
      <c r="H4097" s="7">
        <v>81211.819999998</v>
      </c>
      <c r="I4097" s="7">
        <v>0</v>
      </c>
      <c r="J4097" s="8">
        <v>0</v>
      </c>
      <c r="K4097" s="9" t="str">
        <v/>
      </c>
    </row>
    <row r="4098" spans="1:11">
      <c r="A4098" t="str">
        <v/>
      </c>
      <c r="B4098" s="6">
        <v>0</v>
      </c>
      <c r="C4098" s="7" t="str">
        <v>趣点购浦发</v>
      </c>
      <c r="D4098" s="8">
        <v>0</v>
      </c>
      <c r="E4098" s="7">
        <v>0</v>
      </c>
      <c r="F4098" s="8">
        <v>0</v>
      </c>
      <c r="G4098" s="7">
        <v>0</v>
      </c>
      <c r="H4098" s="7">
        <v>81211.819999998</v>
      </c>
      <c r="I4098" s="7">
        <v>0</v>
      </c>
      <c r="J4098" s="8">
        <v>0</v>
      </c>
      <c r="K4098" s="9" t="str">
        <v/>
      </c>
    </row>
    <row r="4099" spans="1:11">
      <c r="A4099" t="str">
        <v/>
      </c>
      <c r="B4099" s="6">
        <v>0</v>
      </c>
      <c r="C4099" s="7" t="str">
        <v>趣点购浦发</v>
      </c>
      <c r="D4099" s="8">
        <v>0</v>
      </c>
      <c r="E4099" s="7">
        <v>0</v>
      </c>
      <c r="F4099" s="8">
        <v>0</v>
      </c>
      <c r="G4099" s="7">
        <v>0</v>
      </c>
      <c r="H4099" s="7">
        <v>81211.819999998</v>
      </c>
      <c r="I4099" s="7">
        <v>0</v>
      </c>
      <c r="J4099" s="8">
        <v>0</v>
      </c>
      <c r="K4099" s="9" t="str">
        <v/>
      </c>
    </row>
    <row r="4100" spans="1:11">
      <c r="A4100" t="str">
        <v/>
      </c>
      <c r="B4100" s="6">
        <v>0</v>
      </c>
      <c r="C4100" s="7" t="str">
        <v>趣点购浦发</v>
      </c>
      <c r="D4100" s="8">
        <v>0</v>
      </c>
      <c r="E4100" s="7">
        <v>0</v>
      </c>
      <c r="F4100" s="8">
        <v>0</v>
      </c>
      <c r="G4100" s="7">
        <v>0</v>
      </c>
      <c r="H4100" s="7">
        <v>81211.819999998</v>
      </c>
      <c r="I4100" s="7">
        <v>0</v>
      </c>
      <c r="J4100" s="8">
        <v>0</v>
      </c>
      <c r="K4100" s="9" t="str">
        <v/>
      </c>
    </row>
    <row r="4101" spans="1:11">
      <c r="A4101" t="str">
        <v/>
      </c>
      <c r="B4101" s="6">
        <v>0</v>
      </c>
      <c r="C4101" s="7" t="str">
        <v>趣点购浦发</v>
      </c>
      <c r="D4101" s="8">
        <v>0</v>
      </c>
      <c r="E4101" s="7">
        <v>0</v>
      </c>
      <c r="F4101" s="8">
        <v>0</v>
      </c>
      <c r="G4101" s="7">
        <v>0</v>
      </c>
      <c r="H4101" s="7">
        <v>81211.819999998</v>
      </c>
      <c r="I4101" s="7">
        <v>0</v>
      </c>
      <c r="J4101" s="8">
        <v>0</v>
      </c>
      <c r="K4101" s="9" t="str">
        <v/>
      </c>
    </row>
    <row r="4102" spans="1:11">
      <c r="A4102" t="str">
        <v/>
      </c>
      <c r="B4102" s="6">
        <v>0</v>
      </c>
      <c r="C4102" s="7" t="str">
        <v>趣点购浦发</v>
      </c>
      <c r="D4102" s="8">
        <v>0</v>
      </c>
      <c r="E4102" s="7">
        <v>0</v>
      </c>
      <c r="F4102" s="8">
        <v>0</v>
      </c>
      <c r="G4102" s="7">
        <v>0</v>
      </c>
      <c r="H4102" s="7">
        <v>81211.819999998</v>
      </c>
      <c r="I4102" s="7">
        <v>0</v>
      </c>
      <c r="J4102" s="8">
        <v>0</v>
      </c>
      <c r="K4102" s="9" t="str">
        <v/>
      </c>
    </row>
    <row r="4103" spans="1:11">
      <c r="A4103" t="str">
        <v/>
      </c>
      <c r="B4103" s="6">
        <v>0</v>
      </c>
      <c r="C4103" s="7" t="str">
        <v>趣点购浦发</v>
      </c>
      <c r="D4103" s="8">
        <v>0</v>
      </c>
      <c r="E4103" s="7">
        <v>0</v>
      </c>
      <c r="F4103" s="8">
        <v>0</v>
      </c>
      <c r="G4103" s="7">
        <v>0</v>
      </c>
      <c r="H4103" s="7">
        <v>81211.819999998</v>
      </c>
      <c r="I4103" s="7">
        <v>0</v>
      </c>
      <c r="J4103" s="8">
        <v>0</v>
      </c>
      <c r="K4103" s="9" t="str">
        <v/>
      </c>
    </row>
    <row r="4104" spans="1:11">
      <c r="A4104" t="str">
        <v/>
      </c>
      <c r="B4104" s="6">
        <v>0</v>
      </c>
      <c r="C4104" s="7" t="str">
        <v>趣点购浦发</v>
      </c>
      <c r="D4104" s="8">
        <v>0</v>
      </c>
      <c r="E4104" s="7">
        <v>0</v>
      </c>
      <c r="F4104" s="8">
        <v>0</v>
      </c>
      <c r="G4104" s="7">
        <v>0</v>
      </c>
      <c r="H4104" s="7">
        <v>81211.819999998</v>
      </c>
      <c r="I4104" s="7">
        <v>0</v>
      </c>
      <c r="J4104" s="8">
        <v>0</v>
      </c>
      <c r="K4104" s="9" t="str">
        <v/>
      </c>
    </row>
    <row r="4105" spans="1:11">
      <c r="A4105" t="str">
        <v/>
      </c>
      <c r="B4105" s="6">
        <v>0</v>
      </c>
      <c r="C4105" s="7" t="str">
        <v>趣点购浦发</v>
      </c>
      <c r="D4105" s="8">
        <v>0</v>
      </c>
      <c r="E4105" s="7">
        <v>0</v>
      </c>
      <c r="F4105" s="8">
        <v>0</v>
      </c>
      <c r="G4105" s="7">
        <v>0</v>
      </c>
      <c r="H4105" s="7">
        <v>81211.819999998</v>
      </c>
      <c r="I4105" s="7">
        <v>0</v>
      </c>
      <c r="J4105" s="8">
        <v>0</v>
      </c>
      <c r="K4105" s="9" t="str">
        <v/>
      </c>
    </row>
    <row r="4106" spans="1:11">
      <c r="A4106" t="str">
        <v/>
      </c>
      <c r="B4106" s="6">
        <v>0</v>
      </c>
      <c r="C4106" s="7" t="str">
        <v>趣点购浦发</v>
      </c>
      <c r="D4106" s="8">
        <v>0</v>
      </c>
      <c r="E4106" s="7">
        <v>0</v>
      </c>
      <c r="F4106" s="8">
        <v>0</v>
      </c>
      <c r="G4106" s="7">
        <v>0</v>
      </c>
      <c r="H4106" s="7">
        <v>81211.819999998</v>
      </c>
      <c r="I4106" s="7">
        <v>0</v>
      </c>
      <c r="J4106" s="8">
        <v>0</v>
      </c>
      <c r="K4106" s="9" t="str">
        <v/>
      </c>
    </row>
    <row r="4107" spans="1:11">
      <c r="A4107" t="str">
        <v/>
      </c>
      <c r="B4107" s="6">
        <v>0</v>
      </c>
      <c r="C4107" s="7" t="str">
        <v>趣点购浦发</v>
      </c>
      <c r="D4107" s="8">
        <v>0</v>
      </c>
      <c r="E4107" s="7">
        <v>0</v>
      </c>
      <c r="F4107" s="8">
        <v>0</v>
      </c>
      <c r="G4107" s="7">
        <v>0</v>
      </c>
      <c r="H4107" s="7">
        <v>81211.819999998</v>
      </c>
      <c r="I4107" s="7">
        <v>0</v>
      </c>
      <c r="J4107" s="8">
        <v>0</v>
      </c>
      <c r="K4107" s="9" t="str">
        <v/>
      </c>
    </row>
    <row r="4108" spans="1:11">
      <c r="A4108" t="str">
        <v/>
      </c>
      <c r="B4108" s="6">
        <v>0</v>
      </c>
      <c r="C4108" s="7" t="str">
        <v>趣点购浦发</v>
      </c>
      <c r="D4108" s="8">
        <v>0</v>
      </c>
      <c r="E4108" s="7">
        <v>0</v>
      </c>
      <c r="F4108" s="8">
        <v>0</v>
      </c>
      <c r="G4108" s="7">
        <v>0</v>
      </c>
      <c r="H4108" s="7">
        <v>81211.819999998</v>
      </c>
      <c r="I4108" s="7">
        <v>0</v>
      </c>
      <c r="J4108" s="8">
        <v>0</v>
      </c>
      <c r="K4108" s="9" t="str">
        <v/>
      </c>
    </row>
    <row r="4109" spans="1:11">
      <c r="A4109" t="str">
        <v/>
      </c>
      <c r="B4109" s="6">
        <v>0</v>
      </c>
      <c r="C4109" s="7" t="str">
        <v>趣点购浦发</v>
      </c>
      <c r="D4109" s="8">
        <v>0</v>
      </c>
      <c r="E4109" s="7">
        <v>0</v>
      </c>
      <c r="F4109" s="8">
        <v>0</v>
      </c>
      <c r="G4109" s="7">
        <v>0</v>
      </c>
      <c r="H4109" s="7">
        <v>81211.819999998</v>
      </c>
      <c r="I4109" s="7">
        <v>0</v>
      </c>
      <c r="J4109" s="8">
        <v>0</v>
      </c>
      <c r="K4109" s="9" t="str">
        <v/>
      </c>
    </row>
    <row r="4110" spans="1:11">
      <c r="A4110" t="str">
        <v/>
      </c>
      <c r="B4110" s="6">
        <v>0</v>
      </c>
      <c r="C4110" s="7" t="str">
        <v>趣点购浦发</v>
      </c>
      <c r="D4110" s="8">
        <v>0</v>
      </c>
      <c r="E4110" s="7">
        <v>0</v>
      </c>
      <c r="F4110" s="8">
        <v>0</v>
      </c>
      <c r="G4110" s="7">
        <v>0</v>
      </c>
      <c r="H4110" s="7">
        <v>81211.819999998</v>
      </c>
      <c r="I4110" s="7">
        <v>0</v>
      </c>
      <c r="J4110" s="8">
        <v>0</v>
      </c>
      <c r="K4110" s="9" t="str">
        <v/>
      </c>
    </row>
    <row r="4111" spans="1:11">
      <c r="A4111" t="str">
        <v/>
      </c>
      <c r="B4111" s="6">
        <v>0</v>
      </c>
      <c r="C4111" s="7" t="str">
        <v>趣点购浦发</v>
      </c>
      <c r="D4111" s="8">
        <v>0</v>
      </c>
      <c r="E4111" s="7">
        <v>0</v>
      </c>
      <c r="F4111" s="8">
        <v>0</v>
      </c>
      <c r="G4111" s="7">
        <v>0</v>
      </c>
      <c r="H4111" s="7">
        <v>81211.819999998</v>
      </c>
      <c r="I4111" s="7">
        <v>0</v>
      </c>
      <c r="J4111" s="8">
        <v>0</v>
      </c>
      <c r="K4111" s="9" t="str">
        <v/>
      </c>
    </row>
    <row r="4112" spans="1:11">
      <c r="A4112" t="str">
        <v/>
      </c>
      <c r="B4112" s="6">
        <v>0</v>
      </c>
      <c r="C4112" s="7" t="str">
        <v>趣点购浦发</v>
      </c>
      <c r="D4112" s="8">
        <v>0</v>
      </c>
      <c r="E4112" s="7">
        <v>0</v>
      </c>
      <c r="F4112" s="8">
        <v>0</v>
      </c>
      <c r="G4112" s="7">
        <v>0</v>
      </c>
      <c r="H4112" s="7">
        <v>81211.819999998</v>
      </c>
      <c r="I4112" s="7">
        <v>0</v>
      </c>
      <c r="J4112" s="8">
        <v>0</v>
      </c>
      <c r="K4112" s="9" t="str">
        <v/>
      </c>
    </row>
    <row r="4113" spans="1:11">
      <c r="A4113" t="str">
        <v/>
      </c>
      <c r="B4113" s="6">
        <v>0</v>
      </c>
      <c r="C4113" s="7" t="str">
        <v>趣点购浦发</v>
      </c>
      <c r="D4113" s="8">
        <v>0</v>
      </c>
      <c r="E4113" s="7">
        <v>0</v>
      </c>
      <c r="F4113" s="8">
        <v>0</v>
      </c>
      <c r="G4113" s="7">
        <v>0</v>
      </c>
      <c r="H4113" s="7">
        <v>81211.819999998</v>
      </c>
      <c r="I4113" s="7">
        <v>0</v>
      </c>
      <c r="J4113" s="8">
        <v>0</v>
      </c>
      <c r="K4113" s="9" t="str">
        <v/>
      </c>
    </row>
    <row r="4114" spans="1:11">
      <c r="A4114" t="str">
        <v/>
      </c>
      <c r="B4114" s="6">
        <v>0</v>
      </c>
      <c r="C4114" s="7" t="str">
        <v>趣点购浦发</v>
      </c>
      <c r="D4114" s="8">
        <v>0</v>
      </c>
      <c r="E4114" s="7">
        <v>0</v>
      </c>
      <c r="F4114" s="8">
        <v>0</v>
      </c>
      <c r="G4114" s="7">
        <v>0</v>
      </c>
      <c r="H4114" s="7">
        <v>81211.819999998</v>
      </c>
      <c r="I4114" s="7">
        <v>0</v>
      </c>
      <c r="J4114" s="8">
        <v>0</v>
      </c>
      <c r="K4114" s="9" t="str">
        <v/>
      </c>
    </row>
    <row r="4115" spans="1:11">
      <c r="A4115" t="str">
        <v/>
      </c>
      <c r="B4115" s="6">
        <v>0</v>
      </c>
      <c r="C4115" s="7" t="str">
        <v>趣点购浦发</v>
      </c>
      <c r="D4115" s="8">
        <v>0</v>
      </c>
      <c r="E4115" s="7">
        <v>0</v>
      </c>
      <c r="F4115" s="8">
        <v>0</v>
      </c>
      <c r="G4115" s="7">
        <v>0</v>
      </c>
      <c r="H4115" s="7">
        <v>81211.819999998</v>
      </c>
      <c r="I4115" s="7">
        <v>0</v>
      </c>
      <c r="J4115" s="8">
        <v>0</v>
      </c>
      <c r="K4115" s="9" t="str">
        <v/>
      </c>
    </row>
    <row r="4116" spans="1:11">
      <c r="A4116" t="str">
        <v/>
      </c>
      <c r="B4116" s="6">
        <v>0</v>
      </c>
      <c r="C4116" s="7" t="str">
        <v>趣点购浦发</v>
      </c>
      <c r="D4116" s="8">
        <v>0</v>
      </c>
      <c r="E4116" s="7">
        <v>0</v>
      </c>
      <c r="F4116" s="8">
        <v>0</v>
      </c>
      <c r="G4116" s="7">
        <v>0</v>
      </c>
      <c r="H4116" s="7">
        <v>81211.819999998</v>
      </c>
      <c r="I4116" s="7">
        <v>0</v>
      </c>
      <c r="J4116" s="8">
        <v>0</v>
      </c>
      <c r="K4116" s="9" t="str">
        <v/>
      </c>
    </row>
    <row r="4117" spans="1:11">
      <c r="A4117" t="str">
        <v/>
      </c>
      <c r="B4117" s="6">
        <v>0</v>
      </c>
      <c r="C4117" s="7" t="str">
        <v>趣点购浦发</v>
      </c>
      <c r="D4117" s="8">
        <v>0</v>
      </c>
      <c r="E4117" s="7">
        <v>0</v>
      </c>
      <c r="F4117" s="8">
        <v>0</v>
      </c>
      <c r="G4117" s="7">
        <v>0</v>
      </c>
      <c r="H4117" s="7">
        <v>81211.819999998</v>
      </c>
      <c r="I4117" s="7">
        <v>0</v>
      </c>
      <c r="J4117" s="8">
        <v>0</v>
      </c>
      <c r="K4117" s="9" t="str">
        <v/>
      </c>
    </row>
    <row r="4118" spans="1:11">
      <c r="A4118" t="str">
        <v/>
      </c>
      <c r="B4118" s="6">
        <v>0</v>
      </c>
      <c r="C4118" s="7" t="str">
        <v>趣点购浦发</v>
      </c>
      <c r="D4118" s="8">
        <v>0</v>
      </c>
      <c r="E4118" s="7">
        <v>0</v>
      </c>
      <c r="F4118" s="8">
        <v>0</v>
      </c>
      <c r="G4118" s="7">
        <v>0</v>
      </c>
      <c r="H4118" s="7">
        <v>81211.819999998</v>
      </c>
      <c r="I4118" s="7">
        <v>0</v>
      </c>
      <c r="J4118" s="8">
        <v>0</v>
      </c>
      <c r="K4118" s="9" t="str">
        <v/>
      </c>
    </row>
    <row r="4119" spans="1:11">
      <c r="A4119" t="str">
        <v/>
      </c>
      <c r="B4119" s="6">
        <v>0</v>
      </c>
      <c r="C4119" s="7" t="str">
        <v>趣点购浦发</v>
      </c>
      <c r="D4119" s="8">
        <v>0</v>
      </c>
      <c r="E4119" s="7">
        <v>0</v>
      </c>
      <c r="F4119" s="8">
        <v>0</v>
      </c>
      <c r="G4119" s="7">
        <v>0</v>
      </c>
      <c r="H4119" s="7">
        <v>81211.819999998</v>
      </c>
      <c r="I4119" s="7">
        <v>0</v>
      </c>
      <c r="J4119" s="8">
        <v>0</v>
      </c>
      <c r="K4119" s="9" t="str">
        <v/>
      </c>
    </row>
    <row r="4120" spans="1:11">
      <c r="A4120" t="str">
        <v/>
      </c>
      <c r="B4120" s="6">
        <v>0</v>
      </c>
      <c r="C4120" s="7" t="str">
        <v>趣点购浦发</v>
      </c>
      <c r="D4120" s="8">
        <v>0</v>
      </c>
      <c r="E4120" s="7">
        <v>0</v>
      </c>
      <c r="F4120" s="8">
        <v>0</v>
      </c>
      <c r="G4120" s="7">
        <v>0</v>
      </c>
      <c r="H4120" s="7">
        <v>81211.819999998</v>
      </c>
      <c r="I4120" s="7">
        <v>0</v>
      </c>
      <c r="J4120" s="8">
        <v>0</v>
      </c>
      <c r="K4120" s="9" t="str">
        <v/>
      </c>
    </row>
    <row r="4121" spans="1:11">
      <c r="A4121" t="str">
        <v/>
      </c>
      <c r="B4121" s="6">
        <v>0</v>
      </c>
      <c r="C4121" s="7" t="str">
        <v>趣点购浦发</v>
      </c>
      <c r="D4121" s="8">
        <v>0</v>
      </c>
      <c r="E4121" s="7">
        <v>0</v>
      </c>
      <c r="F4121" s="8">
        <v>0</v>
      </c>
      <c r="G4121" s="7">
        <v>0</v>
      </c>
      <c r="H4121" s="7">
        <v>81211.819999998</v>
      </c>
      <c r="I4121" s="7">
        <v>0</v>
      </c>
      <c r="J4121" s="8">
        <v>0</v>
      </c>
      <c r="K4121" s="9" t="str">
        <v/>
      </c>
    </row>
    <row r="4122" spans="1:11">
      <c r="A4122" t="str">
        <v/>
      </c>
      <c r="B4122" s="6">
        <v>0</v>
      </c>
      <c r="C4122" s="7" t="str">
        <v>趣点购浦发</v>
      </c>
      <c r="D4122" s="8">
        <v>0</v>
      </c>
      <c r="E4122" s="7">
        <v>0</v>
      </c>
      <c r="F4122" s="8">
        <v>0</v>
      </c>
      <c r="G4122" s="7">
        <v>0</v>
      </c>
      <c r="H4122" s="7">
        <v>81211.819999998</v>
      </c>
      <c r="I4122" s="7">
        <v>0</v>
      </c>
      <c r="J4122" s="8">
        <v>0</v>
      </c>
      <c r="K4122" s="9" t="str">
        <v/>
      </c>
    </row>
    <row r="4123" spans="1:11">
      <c r="A4123" t="str">
        <v/>
      </c>
      <c r="B4123" s="6">
        <v>0</v>
      </c>
      <c r="C4123" s="7" t="str">
        <v>趣点购浦发</v>
      </c>
      <c r="D4123" s="8">
        <v>0</v>
      </c>
      <c r="E4123" s="7">
        <v>0</v>
      </c>
      <c r="F4123" s="8">
        <v>0</v>
      </c>
      <c r="G4123" s="7">
        <v>0</v>
      </c>
      <c r="H4123" s="7">
        <v>81211.819999998</v>
      </c>
      <c r="I4123" s="7">
        <v>0</v>
      </c>
      <c r="J4123" s="8">
        <v>0</v>
      </c>
      <c r="K4123" s="9" t="str">
        <v/>
      </c>
    </row>
    <row r="4124" spans="1:11">
      <c r="A4124" t="str">
        <v/>
      </c>
      <c r="B4124" s="6">
        <v>0</v>
      </c>
      <c r="C4124" s="7" t="str">
        <v>趣点购浦发</v>
      </c>
      <c r="D4124" s="8">
        <v>0</v>
      </c>
      <c r="E4124" s="7">
        <v>0</v>
      </c>
      <c r="F4124" s="8">
        <v>0</v>
      </c>
      <c r="G4124" s="7">
        <v>0</v>
      </c>
      <c r="H4124" s="7">
        <v>81211.819999998</v>
      </c>
      <c r="I4124" s="7">
        <v>0</v>
      </c>
      <c r="J4124" s="8">
        <v>0</v>
      </c>
      <c r="K4124" s="9" t="str">
        <v/>
      </c>
    </row>
    <row r="4125" spans="1:11">
      <c r="A4125" t="str">
        <v/>
      </c>
      <c r="B4125" s="6">
        <v>0</v>
      </c>
      <c r="C4125" s="7" t="str">
        <v>趣点购浦发</v>
      </c>
      <c r="D4125" s="8">
        <v>0</v>
      </c>
      <c r="E4125" s="7">
        <v>0</v>
      </c>
      <c r="F4125" s="8">
        <v>0</v>
      </c>
      <c r="G4125" s="7">
        <v>0</v>
      </c>
      <c r="H4125" s="7">
        <v>81211.819999998</v>
      </c>
      <c r="I4125" s="7">
        <v>0</v>
      </c>
      <c r="J4125" s="8">
        <v>0</v>
      </c>
      <c r="K4125" s="9" t="str">
        <v/>
      </c>
    </row>
    <row r="4126" spans="1:11">
      <c r="A4126" t="str">
        <v/>
      </c>
      <c r="B4126" s="6">
        <v>0</v>
      </c>
      <c r="C4126" s="7" t="str">
        <v>趣点购浦发</v>
      </c>
      <c r="D4126" s="8">
        <v>0</v>
      </c>
      <c r="E4126" s="7">
        <v>0</v>
      </c>
      <c r="F4126" s="8">
        <v>0</v>
      </c>
      <c r="G4126" s="7">
        <v>0</v>
      </c>
      <c r="H4126" s="7">
        <v>81211.819999998</v>
      </c>
      <c r="I4126" s="7">
        <v>0</v>
      </c>
      <c r="J4126" s="8">
        <v>0</v>
      </c>
      <c r="K4126" s="9" t="str">
        <v/>
      </c>
    </row>
    <row r="4127" spans="1:11">
      <c r="A4127" t="str">
        <v/>
      </c>
      <c r="B4127" s="6">
        <v>0</v>
      </c>
      <c r="C4127" s="7" t="str">
        <v>趣点购浦发</v>
      </c>
      <c r="D4127" s="8">
        <v>0</v>
      </c>
      <c r="E4127" s="7">
        <v>0</v>
      </c>
      <c r="F4127" s="8">
        <v>0</v>
      </c>
      <c r="G4127" s="7">
        <v>0</v>
      </c>
      <c r="H4127" s="7">
        <v>81211.819999998</v>
      </c>
      <c r="I4127" s="7">
        <v>0</v>
      </c>
      <c r="J4127" s="8">
        <v>0</v>
      </c>
      <c r="K4127" s="9" t="str">
        <v/>
      </c>
    </row>
    <row r="4128" spans="1:11">
      <c r="A4128" t="str">
        <v/>
      </c>
      <c r="B4128" s="6">
        <v>0</v>
      </c>
      <c r="C4128" s="7" t="str">
        <v>趣点购浦发</v>
      </c>
      <c r="D4128" s="8">
        <v>0</v>
      </c>
      <c r="E4128" s="7">
        <v>0</v>
      </c>
      <c r="F4128" s="8">
        <v>0</v>
      </c>
      <c r="G4128" s="7">
        <v>0</v>
      </c>
      <c r="H4128" s="7">
        <v>81211.819999998</v>
      </c>
      <c r="I4128" s="7">
        <v>0</v>
      </c>
      <c r="J4128" s="8">
        <v>0</v>
      </c>
      <c r="K4128" s="9" t="str">
        <v/>
      </c>
    </row>
    <row r="4129" spans="1:11">
      <c r="A4129" t="str">
        <v/>
      </c>
      <c r="B4129" s="6">
        <v>0</v>
      </c>
      <c r="C4129" s="7" t="str">
        <v>趣点购浦发</v>
      </c>
      <c r="D4129" s="8">
        <v>0</v>
      </c>
      <c r="E4129" s="7">
        <v>0</v>
      </c>
      <c r="F4129" s="8">
        <v>0</v>
      </c>
      <c r="G4129" s="7">
        <v>0</v>
      </c>
      <c r="H4129" s="7">
        <v>81211.819999998</v>
      </c>
      <c r="I4129" s="7">
        <v>0</v>
      </c>
      <c r="J4129" s="8">
        <v>0</v>
      </c>
      <c r="K4129" s="9" t="str">
        <v/>
      </c>
    </row>
    <row r="4130" spans="1:11">
      <c r="A4130" t="str">
        <v/>
      </c>
      <c r="B4130" s="6">
        <v>0</v>
      </c>
      <c r="C4130" s="7" t="str">
        <v>趣点购浦发</v>
      </c>
      <c r="D4130" s="8">
        <v>0</v>
      </c>
      <c r="E4130" s="7">
        <v>0</v>
      </c>
      <c r="F4130" s="8">
        <v>0</v>
      </c>
      <c r="G4130" s="7">
        <v>0</v>
      </c>
      <c r="H4130" s="7">
        <v>81211.819999998</v>
      </c>
      <c r="I4130" s="7">
        <v>0</v>
      </c>
      <c r="J4130" s="8">
        <v>0</v>
      </c>
      <c r="K4130" s="9" t="str">
        <v/>
      </c>
    </row>
    <row r="4131" spans="1:11">
      <c r="A4131" t="str">
        <v/>
      </c>
      <c r="B4131" s="6">
        <v>0</v>
      </c>
      <c r="C4131" s="7" t="str">
        <v>趣点购浦发</v>
      </c>
      <c r="D4131" s="8">
        <v>0</v>
      </c>
      <c r="E4131" s="7">
        <v>0</v>
      </c>
      <c r="F4131" s="8">
        <v>0</v>
      </c>
      <c r="G4131" s="7">
        <v>0</v>
      </c>
      <c r="H4131" s="7">
        <v>81211.819999998</v>
      </c>
      <c r="I4131" s="7">
        <v>0</v>
      </c>
      <c r="J4131" s="8">
        <v>0</v>
      </c>
      <c r="K4131" s="9" t="str">
        <v/>
      </c>
    </row>
    <row r="4132" spans="1:11">
      <c r="A4132" t="str">
        <v/>
      </c>
      <c r="B4132" s="6">
        <v>0</v>
      </c>
      <c r="C4132" s="7" t="str">
        <v>趣点购浦发</v>
      </c>
      <c r="D4132" s="8">
        <v>0</v>
      </c>
      <c r="E4132" s="7">
        <v>0</v>
      </c>
      <c r="F4132" s="8">
        <v>0</v>
      </c>
      <c r="G4132" s="7">
        <v>0</v>
      </c>
      <c r="H4132" s="7">
        <v>81211.819999998</v>
      </c>
      <c r="I4132" s="7">
        <v>0</v>
      </c>
      <c r="J4132" s="8">
        <v>0</v>
      </c>
      <c r="K4132" s="9" t="str">
        <v/>
      </c>
    </row>
    <row r="4133" spans="1:11">
      <c r="A4133" t="str">
        <v/>
      </c>
      <c r="B4133" s="6">
        <v>0</v>
      </c>
      <c r="C4133" s="7" t="str">
        <v>趣点购浦发</v>
      </c>
      <c r="D4133" s="8">
        <v>0</v>
      </c>
      <c r="E4133" s="7">
        <v>0</v>
      </c>
      <c r="F4133" s="8">
        <v>0</v>
      </c>
      <c r="G4133" s="7">
        <v>0</v>
      </c>
      <c r="H4133" s="7">
        <v>81211.819999998</v>
      </c>
      <c r="I4133" s="7">
        <v>0</v>
      </c>
      <c r="J4133" s="8">
        <v>0</v>
      </c>
      <c r="K4133" s="9" t="str">
        <v/>
      </c>
    </row>
    <row r="4134" spans="1:11">
      <c r="A4134" t="str">
        <v/>
      </c>
      <c r="B4134" s="6">
        <v>0</v>
      </c>
      <c r="C4134" s="7" t="str">
        <v>趣点购浦发</v>
      </c>
      <c r="D4134" s="8">
        <v>0</v>
      </c>
      <c r="E4134" s="7">
        <v>0</v>
      </c>
      <c r="F4134" s="8">
        <v>0</v>
      </c>
      <c r="G4134" s="7">
        <v>0</v>
      </c>
      <c r="H4134" s="7">
        <v>81211.819999998</v>
      </c>
      <c r="I4134" s="7">
        <v>0</v>
      </c>
      <c r="J4134" s="8">
        <v>0</v>
      </c>
      <c r="K4134" s="9" t="str">
        <v/>
      </c>
    </row>
    <row r="4135" spans="1:11">
      <c r="A4135" t="str">
        <v/>
      </c>
      <c r="B4135" s="6">
        <v>0</v>
      </c>
      <c r="C4135" s="7" t="str">
        <v>趣点购浦发</v>
      </c>
      <c r="D4135" s="8">
        <v>0</v>
      </c>
      <c r="E4135" s="7">
        <v>0</v>
      </c>
      <c r="F4135" s="8">
        <v>0</v>
      </c>
      <c r="G4135" s="7">
        <v>0</v>
      </c>
      <c r="H4135" s="7">
        <v>81211.819999998</v>
      </c>
      <c r="I4135" s="7">
        <v>0</v>
      </c>
      <c r="J4135" s="8">
        <v>0</v>
      </c>
      <c r="K4135" s="9" t="str">
        <v/>
      </c>
    </row>
    <row r="4136" spans="1:11">
      <c r="A4136" t="str">
        <v/>
      </c>
      <c r="B4136" s="6">
        <v>0</v>
      </c>
      <c r="C4136" s="7" t="str">
        <v>趣点购浦发</v>
      </c>
      <c r="D4136" s="8">
        <v>0</v>
      </c>
      <c r="E4136" s="7">
        <v>0</v>
      </c>
      <c r="F4136" s="8">
        <v>0</v>
      </c>
      <c r="G4136" s="7">
        <v>0</v>
      </c>
      <c r="H4136" s="7">
        <v>81211.819999998</v>
      </c>
      <c r="I4136" s="7">
        <v>0</v>
      </c>
      <c r="J4136" s="8">
        <v>0</v>
      </c>
      <c r="K4136" s="9" t="str">
        <v/>
      </c>
    </row>
    <row r="4137" spans="1:11">
      <c r="A4137" t="str">
        <v/>
      </c>
      <c r="B4137" s="6">
        <v>0</v>
      </c>
      <c r="C4137" s="7" t="str">
        <v>趣点购浦发</v>
      </c>
      <c r="D4137" s="8">
        <v>0</v>
      </c>
      <c r="E4137" s="7">
        <v>0</v>
      </c>
      <c r="F4137" s="8">
        <v>0</v>
      </c>
      <c r="G4137" s="7">
        <v>0</v>
      </c>
      <c r="H4137" s="7">
        <v>81211.819999998</v>
      </c>
      <c r="I4137" s="7">
        <v>0</v>
      </c>
      <c r="J4137" s="8">
        <v>0</v>
      </c>
      <c r="K4137" s="9" t="str">
        <v/>
      </c>
    </row>
    <row r="4138" spans="1:11">
      <c r="A4138" t="str">
        <v/>
      </c>
      <c r="B4138" s="6">
        <v>0</v>
      </c>
      <c r="C4138" s="7" t="str">
        <v>趣点购浦发</v>
      </c>
      <c r="D4138" s="8">
        <v>0</v>
      </c>
      <c r="E4138" s="7">
        <v>0</v>
      </c>
      <c r="F4138" s="8">
        <v>0</v>
      </c>
      <c r="G4138" s="7">
        <v>0</v>
      </c>
      <c r="H4138" s="7">
        <v>81211.819999998</v>
      </c>
      <c r="I4138" s="7">
        <v>0</v>
      </c>
      <c r="J4138" s="8">
        <v>0</v>
      </c>
      <c r="K4138" s="9" t="str">
        <v/>
      </c>
    </row>
    <row r="4139" spans="1:11">
      <c r="A4139" t="str">
        <v/>
      </c>
      <c r="B4139" s="6">
        <v>0</v>
      </c>
      <c r="C4139" s="7" t="str">
        <v>趣点购浦发</v>
      </c>
      <c r="D4139" s="8">
        <v>0</v>
      </c>
      <c r="E4139" s="7">
        <v>0</v>
      </c>
      <c r="F4139" s="8">
        <v>0</v>
      </c>
      <c r="G4139" s="7">
        <v>0</v>
      </c>
      <c r="H4139" s="7">
        <v>81211.819999998</v>
      </c>
      <c r="I4139" s="7">
        <v>0</v>
      </c>
      <c r="J4139" s="8">
        <v>0</v>
      </c>
      <c r="K4139" s="9" t="str">
        <v/>
      </c>
    </row>
    <row r="4140" spans="1:11">
      <c r="A4140" t="str">
        <v/>
      </c>
      <c r="B4140" s="6">
        <v>0</v>
      </c>
      <c r="C4140" s="7" t="str">
        <v>趣点购浦发</v>
      </c>
      <c r="D4140" s="8">
        <v>0</v>
      </c>
      <c r="E4140" s="7">
        <v>0</v>
      </c>
      <c r="F4140" s="8">
        <v>0</v>
      </c>
      <c r="G4140" s="7">
        <v>0</v>
      </c>
      <c r="H4140" s="7">
        <v>81211.819999998</v>
      </c>
      <c r="I4140" s="7">
        <v>0</v>
      </c>
      <c r="J4140" s="8">
        <v>0</v>
      </c>
      <c r="K4140" s="9" t="str">
        <v/>
      </c>
    </row>
    <row r="4141" spans="1:11">
      <c r="A4141" t="str">
        <v/>
      </c>
      <c r="B4141" s="6">
        <v>0</v>
      </c>
      <c r="C4141" s="7" t="str">
        <v>趣点购浦发</v>
      </c>
      <c r="D4141" s="8">
        <v>0</v>
      </c>
      <c r="E4141" s="7">
        <v>0</v>
      </c>
      <c r="F4141" s="8">
        <v>0</v>
      </c>
      <c r="G4141" s="7">
        <v>0</v>
      </c>
      <c r="H4141" s="7">
        <v>81211.819999998</v>
      </c>
      <c r="I4141" s="7">
        <v>0</v>
      </c>
      <c r="J4141" s="8">
        <v>0</v>
      </c>
      <c r="K4141" s="9" t="str">
        <v/>
      </c>
    </row>
    <row r="4142" spans="1:11">
      <c r="A4142" t="str">
        <v/>
      </c>
      <c r="B4142" s="6">
        <v>0</v>
      </c>
      <c r="C4142" s="7" t="str">
        <v>趣点购浦发</v>
      </c>
      <c r="D4142" s="8">
        <v>0</v>
      </c>
      <c r="E4142" s="7">
        <v>0</v>
      </c>
      <c r="F4142" s="8">
        <v>0</v>
      </c>
      <c r="G4142" s="7">
        <v>0</v>
      </c>
      <c r="H4142" s="7">
        <v>81211.819999998</v>
      </c>
      <c r="I4142" s="7">
        <v>0</v>
      </c>
      <c r="J4142" s="8">
        <v>0</v>
      </c>
      <c r="K4142" s="9" t="str">
        <v/>
      </c>
    </row>
    <row r="4143" spans="1:11">
      <c r="A4143" t="str">
        <v/>
      </c>
      <c r="B4143" s="6">
        <v>0</v>
      </c>
      <c r="C4143" s="7" t="str">
        <v>趣点购浦发</v>
      </c>
      <c r="D4143" s="8">
        <v>0</v>
      </c>
      <c r="E4143" s="7">
        <v>0</v>
      </c>
      <c r="F4143" s="8">
        <v>0</v>
      </c>
      <c r="G4143" s="7">
        <v>0</v>
      </c>
      <c r="H4143" s="7">
        <v>81211.819999998</v>
      </c>
      <c r="I4143" s="7">
        <v>0</v>
      </c>
      <c r="J4143" s="8">
        <v>0</v>
      </c>
      <c r="K4143" s="9" t="str">
        <v/>
      </c>
    </row>
    <row r="4144" spans="1:11">
      <c r="A4144" t="str">
        <v/>
      </c>
      <c r="B4144" s="6">
        <v>0</v>
      </c>
      <c r="C4144" s="7" t="str">
        <v>趣点购浦发</v>
      </c>
      <c r="D4144" s="8">
        <v>0</v>
      </c>
      <c r="E4144" s="7">
        <v>0</v>
      </c>
      <c r="F4144" s="8">
        <v>0</v>
      </c>
      <c r="G4144" s="7">
        <v>0</v>
      </c>
      <c r="H4144" s="7">
        <v>81211.819999998</v>
      </c>
      <c r="I4144" s="7">
        <v>0</v>
      </c>
      <c r="J4144" s="8">
        <v>0</v>
      </c>
      <c r="K4144" s="9" t="str">
        <v/>
      </c>
    </row>
    <row r="4145" spans="1:11">
      <c r="A4145" t="str">
        <v/>
      </c>
      <c r="B4145" s="6">
        <v>0</v>
      </c>
      <c r="C4145" s="7" t="str">
        <v>趣点购浦发</v>
      </c>
      <c r="D4145" s="8">
        <v>0</v>
      </c>
      <c r="E4145" s="7">
        <v>0</v>
      </c>
      <c r="F4145" s="8">
        <v>0</v>
      </c>
      <c r="G4145" s="7">
        <v>0</v>
      </c>
      <c r="H4145" s="7">
        <v>81211.819999998</v>
      </c>
      <c r="I4145" s="7">
        <v>0</v>
      </c>
      <c r="J4145" s="8">
        <v>0</v>
      </c>
      <c r="K4145" s="9" t="str">
        <v/>
      </c>
    </row>
    <row r="4146" spans="1:11">
      <c r="A4146" t="str">
        <v/>
      </c>
      <c r="B4146" s="6">
        <v>0</v>
      </c>
      <c r="C4146" s="7" t="str">
        <v>趣点购浦发</v>
      </c>
      <c r="D4146" s="8">
        <v>0</v>
      </c>
      <c r="E4146" s="7">
        <v>0</v>
      </c>
      <c r="F4146" s="8">
        <v>0</v>
      </c>
      <c r="G4146" s="7">
        <v>0</v>
      </c>
      <c r="H4146" s="7">
        <v>81211.819999998</v>
      </c>
      <c r="I4146" s="7">
        <v>0</v>
      </c>
      <c r="J4146" s="8">
        <v>0</v>
      </c>
      <c r="K4146" s="9" t="str">
        <v/>
      </c>
    </row>
    <row r="4147" spans="1:11">
      <c r="A4147" t="str">
        <v/>
      </c>
      <c r="B4147" s="6">
        <v>0</v>
      </c>
      <c r="C4147" s="7" t="str">
        <v>趣点购浦发</v>
      </c>
      <c r="D4147" s="8">
        <v>0</v>
      </c>
      <c r="E4147" s="7">
        <v>0</v>
      </c>
      <c r="F4147" s="8">
        <v>0</v>
      </c>
      <c r="G4147" s="7">
        <v>0</v>
      </c>
      <c r="H4147" s="7">
        <v>81211.819999998</v>
      </c>
      <c r="I4147" s="7">
        <v>0</v>
      </c>
      <c r="J4147" s="8">
        <v>0</v>
      </c>
      <c r="K4147" s="9" t="str">
        <v/>
      </c>
    </row>
    <row r="4148" spans="1:11">
      <c r="A4148" t="str">
        <v/>
      </c>
      <c r="B4148" s="6">
        <v>0</v>
      </c>
      <c r="C4148" s="7" t="str">
        <v>趣点购浦发</v>
      </c>
      <c r="D4148" s="8">
        <v>0</v>
      </c>
      <c r="E4148" s="7">
        <v>0</v>
      </c>
      <c r="F4148" s="8">
        <v>0</v>
      </c>
      <c r="G4148" s="7">
        <v>0</v>
      </c>
      <c r="H4148" s="7">
        <v>81211.819999998</v>
      </c>
      <c r="I4148" s="7">
        <v>0</v>
      </c>
      <c r="J4148" s="8">
        <v>0</v>
      </c>
      <c r="K4148" s="9" t="str">
        <v/>
      </c>
    </row>
    <row r="4149" spans="1:11">
      <c r="A4149" t="str">
        <v/>
      </c>
      <c r="B4149" s="6">
        <v>0</v>
      </c>
      <c r="C4149" s="7" t="str">
        <v>趣点购浦发</v>
      </c>
      <c r="D4149" s="8">
        <v>0</v>
      </c>
      <c r="E4149" s="7">
        <v>0</v>
      </c>
      <c r="F4149" s="8">
        <v>0</v>
      </c>
      <c r="G4149" s="7">
        <v>0</v>
      </c>
      <c r="H4149" s="7">
        <v>81211.819999998</v>
      </c>
      <c r="I4149" s="7">
        <v>0</v>
      </c>
      <c r="J4149" s="8">
        <v>0</v>
      </c>
      <c r="K4149" s="9" t="str">
        <v/>
      </c>
    </row>
    <row r="4150" spans="1:11">
      <c r="A4150" t="str">
        <v/>
      </c>
      <c r="B4150" s="6">
        <v>0</v>
      </c>
      <c r="C4150" s="7" t="str">
        <v>趣点购浦发</v>
      </c>
      <c r="D4150" s="8">
        <v>0</v>
      </c>
      <c r="E4150" s="7">
        <v>0</v>
      </c>
      <c r="F4150" s="8">
        <v>0</v>
      </c>
      <c r="G4150" s="7">
        <v>0</v>
      </c>
      <c r="H4150" s="7">
        <v>81211.819999998</v>
      </c>
      <c r="I4150" s="7">
        <v>0</v>
      </c>
      <c r="J4150" s="8">
        <v>0</v>
      </c>
      <c r="K4150" s="9" t="str">
        <v/>
      </c>
    </row>
    <row r="4151" spans="1:11">
      <c r="A4151" t="str">
        <v/>
      </c>
      <c r="B4151" s="6">
        <v>0</v>
      </c>
      <c r="C4151" s="7" t="str">
        <v>趣点购浦发</v>
      </c>
      <c r="D4151" s="8">
        <v>0</v>
      </c>
      <c r="E4151" s="7">
        <v>0</v>
      </c>
      <c r="F4151" s="8">
        <v>0</v>
      </c>
      <c r="G4151" s="7">
        <v>0</v>
      </c>
      <c r="H4151" s="7">
        <v>81211.819999998</v>
      </c>
      <c r="I4151" s="7">
        <v>0</v>
      </c>
      <c r="J4151" s="8">
        <v>0</v>
      </c>
      <c r="K4151" s="9" t="str">
        <v/>
      </c>
    </row>
    <row r="4152" spans="1:11">
      <c r="A4152" t="str">
        <v/>
      </c>
      <c r="B4152" s="6">
        <v>0</v>
      </c>
      <c r="C4152" s="7" t="str">
        <v>趣点购浦发</v>
      </c>
      <c r="D4152" s="8">
        <v>0</v>
      </c>
      <c r="E4152" s="7">
        <v>0</v>
      </c>
      <c r="F4152" s="8">
        <v>0</v>
      </c>
      <c r="G4152" s="7">
        <v>0</v>
      </c>
      <c r="H4152" s="7">
        <v>81211.819999998</v>
      </c>
      <c r="I4152" s="7">
        <v>0</v>
      </c>
      <c r="J4152" s="8">
        <v>0</v>
      </c>
      <c r="K4152" s="9" t="str">
        <v/>
      </c>
    </row>
    <row r="4153" spans="1:11">
      <c r="A4153" t="str">
        <v/>
      </c>
      <c r="B4153" s="6">
        <v>0</v>
      </c>
      <c r="C4153" s="7" t="str">
        <v>趣点购浦发</v>
      </c>
      <c r="D4153" s="8">
        <v>0</v>
      </c>
      <c r="E4153" s="7">
        <v>0</v>
      </c>
      <c r="F4153" s="8">
        <v>0</v>
      </c>
      <c r="G4153" s="7">
        <v>0</v>
      </c>
      <c r="H4153" s="7">
        <v>81211.819999998</v>
      </c>
      <c r="I4153" s="7">
        <v>0</v>
      </c>
      <c r="J4153" s="8">
        <v>0</v>
      </c>
      <c r="K4153" s="9" t="str">
        <v/>
      </c>
    </row>
    <row r="4154" spans="1:11">
      <c r="A4154" t="str">
        <v/>
      </c>
      <c r="B4154" s="6">
        <v>0</v>
      </c>
      <c r="C4154" s="7" t="str">
        <v>趣点购浦发</v>
      </c>
      <c r="D4154" s="8">
        <v>0</v>
      </c>
      <c r="E4154" s="7">
        <v>0</v>
      </c>
      <c r="F4154" s="8">
        <v>0</v>
      </c>
      <c r="G4154" s="7">
        <v>0</v>
      </c>
      <c r="H4154" s="7">
        <v>81211.819999998</v>
      </c>
      <c r="I4154" s="7">
        <v>0</v>
      </c>
      <c r="J4154" s="8">
        <v>0</v>
      </c>
      <c r="K4154" s="9" t="str">
        <v/>
      </c>
    </row>
    <row r="4155" spans="1:11">
      <c r="A4155" t="str">
        <v/>
      </c>
      <c r="B4155" s="6">
        <v>0</v>
      </c>
      <c r="C4155" s="7" t="str">
        <v>趣点购浦发</v>
      </c>
      <c r="D4155" s="8">
        <v>0</v>
      </c>
      <c r="E4155" s="7">
        <v>0</v>
      </c>
      <c r="F4155" s="8">
        <v>0</v>
      </c>
      <c r="G4155" s="7">
        <v>0</v>
      </c>
      <c r="H4155" s="7">
        <v>81211.819999998</v>
      </c>
      <c r="I4155" s="7">
        <v>0</v>
      </c>
      <c r="J4155" s="8">
        <v>0</v>
      </c>
      <c r="K4155" s="9" t="str">
        <v/>
      </c>
    </row>
    <row r="4156" spans="1:11">
      <c r="A4156" t="str">
        <v/>
      </c>
      <c r="B4156" s="6">
        <v>0</v>
      </c>
      <c r="C4156" s="7" t="str">
        <v>趣点购浦发</v>
      </c>
      <c r="D4156" s="8">
        <v>0</v>
      </c>
      <c r="E4156" s="7">
        <v>0</v>
      </c>
      <c r="F4156" s="8">
        <v>0</v>
      </c>
      <c r="G4156" s="7">
        <v>0</v>
      </c>
      <c r="H4156" s="7">
        <v>81211.819999998</v>
      </c>
      <c r="I4156" s="7">
        <v>0</v>
      </c>
      <c r="J4156" s="8">
        <v>0</v>
      </c>
      <c r="K4156" s="9" t="str">
        <v/>
      </c>
    </row>
    <row r="4157" spans="1:11">
      <c r="A4157" t="str">
        <v/>
      </c>
      <c r="B4157" s="6">
        <v>0</v>
      </c>
      <c r="C4157" s="7" t="str">
        <v>趣点购浦发</v>
      </c>
      <c r="D4157" s="8">
        <v>0</v>
      </c>
      <c r="E4157" s="7">
        <v>0</v>
      </c>
      <c r="F4157" s="8">
        <v>0</v>
      </c>
      <c r="G4157" s="7">
        <v>0</v>
      </c>
      <c r="H4157" s="7">
        <v>81211.819999998</v>
      </c>
      <c r="I4157" s="7">
        <v>0</v>
      </c>
      <c r="J4157" s="8">
        <v>0</v>
      </c>
      <c r="K4157" s="9" t="str">
        <v/>
      </c>
    </row>
    <row r="4158" spans="1:11">
      <c r="A4158" t="str">
        <v/>
      </c>
      <c r="B4158" s="6">
        <v>0</v>
      </c>
      <c r="C4158" s="7" t="str">
        <v>趣点购浦发</v>
      </c>
      <c r="D4158" s="8">
        <v>0</v>
      </c>
      <c r="E4158" s="7">
        <v>0</v>
      </c>
      <c r="F4158" s="8">
        <v>0</v>
      </c>
      <c r="G4158" s="7">
        <v>0</v>
      </c>
      <c r="H4158" s="7">
        <v>81211.819999998</v>
      </c>
      <c r="I4158" s="7">
        <v>0</v>
      </c>
      <c r="J4158" s="8">
        <v>0</v>
      </c>
      <c r="K4158" s="9" t="str">
        <v/>
      </c>
    </row>
    <row r="4159" spans="1:11">
      <c r="A4159" t="str">
        <v/>
      </c>
      <c r="B4159" s="6">
        <v>0</v>
      </c>
      <c r="C4159" s="7" t="str">
        <v>趣点购浦发</v>
      </c>
      <c r="D4159" s="8">
        <v>0</v>
      </c>
      <c r="E4159" s="7">
        <v>0</v>
      </c>
      <c r="F4159" s="8">
        <v>0</v>
      </c>
      <c r="G4159" s="7">
        <v>0</v>
      </c>
      <c r="H4159" s="7">
        <v>81211.819999998</v>
      </c>
      <c r="I4159" s="7">
        <v>0</v>
      </c>
      <c r="J4159" s="8">
        <v>0</v>
      </c>
      <c r="K4159" s="9" t="str">
        <v/>
      </c>
    </row>
    <row r="4160" spans="1:11">
      <c r="A4160" t="str">
        <v/>
      </c>
      <c r="B4160" s="6">
        <v>0</v>
      </c>
      <c r="C4160" s="7" t="str">
        <v>趣点购浦发</v>
      </c>
      <c r="D4160" s="8">
        <v>0</v>
      </c>
      <c r="E4160" s="7">
        <v>0</v>
      </c>
      <c r="F4160" s="8">
        <v>0</v>
      </c>
      <c r="G4160" s="7">
        <v>0</v>
      </c>
      <c r="H4160" s="7">
        <v>81211.819999998</v>
      </c>
      <c r="I4160" s="7">
        <v>0</v>
      </c>
      <c r="J4160" s="8">
        <v>0</v>
      </c>
      <c r="K4160" s="9" t="str">
        <v/>
      </c>
    </row>
    <row r="4161" spans="1:11">
      <c r="A4161" t="str">
        <v/>
      </c>
      <c r="B4161" s="6">
        <v>0</v>
      </c>
      <c r="C4161" s="7" t="str">
        <v>趣点购浦发</v>
      </c>
      <c r="D4161" s="8">
        <v>0</v>
      </c>
      <c r="E4161" s="7">
        <v>0</v>
      </c>
      <c r="F4161" s="8">
        <v>0</v>
      </c>
      <c r="G4161" s="7">
        <v>0</v>
      </c>
      <c r="H4161" s="7">
        <v>81211.819999998</v>
      </c>
      <c r="I4161" s="7">
        <v>0</v>
      </c>
      <c r="J4161" s="8">
        <v>0</v>
      </c>
      <c r="K4161" s="9" t="str">
        <v/>
      </c>
    </row>
    <row r="4162" spans="1:11">
      <c r="A4162" t="str">
        <v/>
      </c>
      <c r="B4162" s="6">
        <v>0</v>
      </c>
      <c r="C4162" s="7" t="str">
        <v>趣点购浦发</v>
      </c>
      <c r="D4162" s="8">
        <v>0</v>
      </c>
      <c r="E4162" s="7">
        <v>0</v>
      </c>
      <c r="F4162" s="8">
        <v>0</v>
      </c>
      <c r="G4162" s="7">
        <v>0</v>
      </c>
      <c r="H4162" s="7">
        <v>81211.819999998</v>
      </c>
      <c r="I4162" s="7">
        <v>0</v>
      </c>
      <c r="J4162" s="8">
        <v>0</v>
      </c>
      <c r="K4162" s="9" t="str">
        <v/>
      </c>
    </row>
    <row r="4163" spans="1:11">
      <c r="A4163" t="str">
        <v/>
      </c>
      <c r="B4163" s="6">
        <v>0</v>
      </c>
      <c r="C4163" s="7" t="str">
        <v>趣点购浦发</v>
      </c>
      <c r="D4163" s="8">
        <v>0</v>
      </c>
      <c r="E4163" s="7">
        <v>0</v>
      </c>
      <c r="F4163" s="8">
        <v>0</v>
      </c>
      <c r="G4163" s="7">
        <v>0</v>
      </c>
      <c r="H4163" s="7">
        <v>81211.819999998</v>
      </c>
      <c r="I4163" s="7">
        <v>0</v>
      </c>
      <c r="J4163" s="8">
        <v>0</v>
      </c>
      <c r="K4163" s="9" t="str">
        <v/>
      </c>
    </row>
    <row r="4164" spans="1:11">
      <c r="A4164" t="str">
        <v/>
      </c>
      <c r="B4164" s="6">
        <v>0</v>
      </c>
      <c r="C4164" s="7" t="str">
        <v>趣点购浦发</v>
      </c>
      <c r="D4164" s="8">
        <v>0</v>
      </c>
      <c r="E4164" s="7">
        <v>0</v>
      </c>
      <c r="F4164" s="8">
        <v>0</v>
      </c>
      <c r="G4164" s="7">
        <v>0</v>
      </c>
      <c r="H4164" s="7">
        <v>81211.819999998</v>
      </c>
      <c r="I4164" s="7">
        <v>0</v>
      </c>
      <c r="J4164" s="8">
        <v>0</v>
      </c>
      <c r="K4164" s="9" t="str">
        <v/>
      </c>
    </row>
    <row r="4165" spans="1:11">
      <c r="A4165" t="str">
        <v/>
      </c>
      <c r="B4165" s="6">
        <v>0</v>
      </c>
      <c r="C4165" s="7" t="str">
        <v>趣点购浦发</v>
      </c>
      <c r="D4165" s="8">
        <v>0</v>
      </c>
      <c r="E4165" s="7">
        <v>0</v>
      </c>
      <c r="F4165" s="8">
        <v>0</v>
      </c>
      <c r="G4165" s="7">
        <v>0</v>
      </c>
      <c r="H4165" s="7">
        <v>81211.819999998</v>
      </c>
      <c r="I4165" s="7">
        <v>0</v>
      </c>
      <c r="J4165" s="8">
        <v>0</v>
      </c>
      <c r="K4165" s="9" t="str">
        <v/>
      </c>
    </row>
    <row r="4166" spans="1:11">
      <c r="A4166" t="str">
        <v/>
      </c>
      <c r="B4166" s="6">
        <v>0</v>
      </c>
      <c r="C4166" s="7" t="str">
        <v>趣点购浦发</v>
      </c>
      <c r="D4166" s="8">
        <v>0</v>
      </c>
      <c r="E4166" s="7">
        <v>0</v>
      </c>
      <c r="F4166" s="8">
        <v>0</v>
      </c>
      <c r="G4166" s="7">
        <v>0</v>
      </c>
      <c r="H4166" s="7">
        <v>81211.819999998</v>
      </c>
      <c r="I4166" s="7">
        <v>0</v>
      </c>
      <c r="J4166" s="8">
        <v>0</v>
      </c>
      <c r="K4166" s="9" t="str">
        <v/>
      </c>
    </row>
    <row r="4167" spans="1:11">
      <c r="A4167" t="str">
        <v/>
      </c>
      <c r="B4167" s="6">
        <v>0</v>
      </c>
      <c r="C4167" s="7" t="str">
        <v>趣点购浦发</v>
      </c>
      <c r="D4167" s="8">
        <v>0</v>
      </c>
      <c r="E4167" s="7">
        <v>0</v>
      </c>
      <c r="F4167" s="8">
        <v>0</v>
      </c>
      <c r="G4167" s="7">
        <v>0</v>
      </c>
      <c r="H4167" s="7">
        <v>81211.819999998</v>
      </c>
      <c r="I4167" s="7">
        <v>0</v>
      </c>
      <c r="J4167" s="8">
        <v>0</v>
      </c>
      <c r="K4167" s="9" t="str">
        <v/>
      </c>
    </row>
    <row r="4168" spans="1:11">
      <c r="A4168" t="str">
        <v/>
      </c>
      <c r="B4168" s="6">
        <v>0</v>
      </c>
      <c r="C4168" s="7" t="str">
        <v>趣点购浦发</v>
      </c>
      <c r="D4168" s="8">
        <v>0</v>
      </c>
      <c r="E4168" s="7">
        <v>0</v>
      </c>
      <c r="F4168" s="8">
        <v>0</v>
      </c>
      <c r="G4168" s="7">
        <v>0</v>
      </c>
      <c r="H4168" s="7">
        <v>81211.819999998</v>
      </c>
      <c r="I4168" s="7">
        <v>0</v>
      </c>
      <c r="J4168" s="8">
        <v>0</v>
      </c>
      <c r="K4168" s="9" t="str">
        <v/>
      </c>
    </row>
    <row r="4169" spans="1:11">
      <c r="A4169" t="str">
        <v/>
      </c>
      <c r="B4169" s="6">
        <v>0</v>
      </c>
      <c r="C4169" s="7" t="str">
        <v>趣点购浦发</v>
      </c>
      <c r="D4169" s="8">
        <v>0</v>
      </c>
      <c r="E4169" s="7">
        <v>0</v>
      </c>
      <c r="F4169" s="8">
        <v>0</v>
      </c>
      <c r="G4169" s="7">
        <v>0</v>
      </c>
      <c r="H4169" s="7">
        <v>81211.819999998</v>
      </c>
      <c r="I4169" s="7">
        <v>0</v>
      </c>
      <c r="J4169" s="8">
        <v>0</v>
      </c>
      <c r="K4169" s="9" t="str">
        <v/>
      </c>
    </row>
    <row r="4170" spans="1:11">
      <c r="A4170" t="str">
        <v/>
      </c>
      <c r="B4170" s="6">
        <v>0</v>
      </c>
      <c r="C4170" s="7" t="str">
        <v>趣点购浦发</v>
      </c>
      <c r="D4170" s="8">
        <v>0</v>
      </c>
      <c r="E4170" s="7">
        <v>0</v>
      </c>
      <c r="F4170" s="8">
        <v>0</v>
      </c>
      <c r="G4170" s="7">
        <v>0</v>
      </c>
      <c r="H4170" s="7">
        <v>81211.819999998</v>
      </c>
      <c r="I4170" s="7">
        <v>0</v>
      </c>
      <c r="J4170" s="8">
        <v>0</v>
      </c>
      <c r="K4170" s="9" t="str">
        <v/>
      </c>
    </row>
    <row r="4171" spans="1:11">
      <c r="A4171" t="str">
        <v/>
      </c>
      <c r="B4171" s="6">
        <v>0</v>
      </c>
      <c r="C4171" s="7" t="str">
        <v>趣点购浦发</v>
      </c>
      <c r="D4171" s="8">
        <v>0</v>
      </c>
      <c r="E4171" s="7">
        <v>0</v>
      </c>
      <c r="F4171" s="8">
        <v>0</v>
      </c>
      <c r="G4171" s="7">
        <v>0</v>
      </c>
      <c r="H4171" s="7">
        <v>81211.819999998</v>
      </c>
      <c r="I4171" s="7">
        <v>0</v>
      </c>
      <c r="J4171" s="8">
        <v>0</v>
      </c>
      <c r="K4171" s="9" t="str">
        <v/>
      </c>
    </row>
    <row r="4172" spans="1:11">
      <c r="A4172" t="str">
        <v/>
      </c>
      <c r="B4172" s="6">
        <v>0</v>
      </c>
      <c r="C4172" s="7" t="str">
        <v>趣点购浦发</v>
      </c>
      <c r="D4172" s="8">
        <v>0</v>
      </c>
      <c r="E4172" s="7">
        <v>0</v>
      </c>
      <c r="F4172" s="8">
        <v>0</v>
      </c>
      <c r="G4172" s="7">
        <v>0</v>
      </c>
      <c r="H4172" s="7">
        <v>81211.819999998</v>
      </c>
      <c r="I4172" s="7">
        <v>0</v>
      </c>
      <c r="J4172" s="8">
        <v>0</v>
      </c>
      <c r="K4172" s="9" t="str">
        <v/>
      </c>
    </row>
    <row r="4173" spans="1:11">
      <c r="A4173" t="str">
        <v/>
      </c>
      <c r="B4173" s="6">
        <v>0</v>
      </c>
      <c r="C4173" s="7" t="str">
        <v>趣点购浦发</v>
      </c>
      <c r="D4173" s="8">
        <v>0</v>
      </c>
      <c r="E4173" s="7">
        <v>0</v>
      </c>
      <c r="F4173" s="8">
        <v>0</v>
      </c>
      <c r="G4173" s="7">
        <v>0</v>
      </c>
      <c r="H4173" s="7">
        <v>81211.819999998</v>
      </c>
      <c r="I4173" s="7">
        <v>0</v>
      </c>
      <c r="J4173" s="8">
        <v>0</v>
      </c>
      <c r="K4173" s="9" t="str">
        <v/>
      </c>
    </row>
    <row r="4174" spans="1:11">
      <c r="A4174" t="str">
        <v/>
      </c>
      <c r="B4174" s="6">
        <v>0</v>
      </c>
      <c r="C4174" s="7" t="str">
        <v>趣点购浦发</v>
      </c>
      <c r="D4174" s="8">
        <v>0</v>
      </c>
      <c r="E4174" s="7">
        <v>0</v>
      </c>
      <c r="F4174" s="8">
        <v>0</v>
      </c>
      <c r="G4174" s="7">
        <v>0</v>
      </c>
      <c r="H4174" s="7">
        <v>81211.819999998</v>
      </c>
      <c r="I4174" s="7">
        <v>0</v>
      </c>
      <c r="J4174" s="8">
        <v>0</v>
      </c>
      <c r="K4174" s="9" t="str">
        <v/>
      </c>
    </row>
    <row r="4175" spans="1:11">
      <c r="A4175" t="str">
        <v/>
      </c>
      <c r="B4175" s="6">
        <v>0</v>
      </c>
      <c r="C4175" s="7" t="str">
        <v>趣点购浦发</v>
      </c>
      <c r="D4175" s="8">
        <v>0</v>
      </c>
      <c r="E4175" s="7">
        <v>0</v>
      </c>
      <c r="F4175" s="8">
        <v>0</v>
      </c>
      <c r="G4175" s="7">
        <v>0</v>
      </c>
      <c r="H4175" s="7">
        <v>81211.819999998</v>
      </c>
      <c r="I4175" s="7">
        <v>0</v>
      </c>
      <c r="J4175" s="8">
        <v>0</v>
      </c>
      <c r="K4175" s="9" t="str">
        <v/>
      </c>
    </row>
    <row r="4176" spans="1:11">
      <c r="A4176" t="str">
        <v/>
      </c>
      <c r="B4176" s="6">
        <v>0</v>
      </c>
      <c r="C4176" s="7" t="str">
        <v>趣点购浦发</v>
      </c>
      <c r="D4176" s="8">
        <v>0</v>
      </c>
      <c r="E4176" s="7">
        <v>0</v>
      </c>
      <c r="F4176" s="8">
        <v>0</v>
      </c>
      <c r="G4176" s="7">
        <v>0</v>
      </c>
      <c r="H4176" s="7">
        <v>81211.819999998</v>
      </c>
      <c r="I4176" s="7">
        <v>0</v>
      </c>
      <c r="J4176" s="8">
        <v>0</v>
      </c>
      <c r="K4176" s="9" t="str">
        <v/>
      </c>
    </row>
    <row r="4177" spans="1:11">
      <c r="A4177" t="str">
        <v/>
      </c>
      <c r="B4177" s="6">
        <v>0</v>
      </c>
      <c r="C4177" s="7" t="str">
        <v>趣点购浦发</v>
      </c>
      <c r="D4177" s="8">
        <v>0</v>
      </c>
      <c r="E4177" s="7">
        <v>0</v>
      </c>
      <c r="F4177" s="8">
        <v>0</v>
      </c>
      <c r="G4177" s="7">
        <v>0</v>
      </c>
      <c r="H4177" s="7">
        <v>81211.819999998</v>
      </c>
      <c r="I4177" s="7">
        <v>0</v>
      </c>
      <c r="J4177" s="8">
        <v>0</v>
      </c>
      <c r="K4177" s="9" t="str">
        <v/>
      </c>
    </row>
    <row r="4178" spans="1:11">
      <c r="A4178" t="str">
        <v/>
      </c>
      <c r="B4178" s="6">
        <v>0</v>
      </c>
      <c r="C4178" s="7" t="str">
        <v>趣点购浦发</v>
      </c>
      <c r="D4178" s="8">
        <v>0</v>
      </c>
      <c r="E4178" s="7">
        <v>0</v>
      </c>
      <c r="F4178" s="8">
        <v>0</v>
      </c>
      <c r="G4178" s="7">
        <v>0</v>
      </c>
      <c r="H4178" s="7">
        <v>81211.819999998</v>
      </c>
      <c r="I4178" s="7">
        <v>0</v>
      </c>
      <c r="J4178" s="8">
        <v>0</v>
      </c>
      <c r="K4178" s="9" t="str">
        <v/>
      </c>
    </row>
    <row r="4179" spans="1:11">
      <c r="A4179" t="str">
        <v/>
      </c>
      <c r="B4179" s="6">
        <v>0</v>
      </c>
      <c r="C4179" s="7" t="str">
        <v>趣点购浦发</v>
      </c>
      <c r="D4179" s="8">
        <v>0</v>
      </c>
      <c r="E4179" s="7">
        <v>0</v>
      </c>
      <c r="F4179" s="8">
        <v>0</v>
      </c>
      <c r="G4179" s="7">
        <v>0</v>
      </c>
      <c r="H4179" s="7">
        <v>81211.819999998</v>
      </c>
      <c r="I4179" s="7">
        <v>0</v>
      </c>
      <c r="J4179" s="8">
        <v>0</v>
      </c>
      <c r="K4179" s="9" t="str">
        <v/>
      </c>
    </row>
    <row r="4180" spans="1:11">
      <c r="A4180" t="str">
        <v/>
      </c>
      <c r="B4180" s="6">
        <v>0</v>
      </c>
      <c r="C4180" s="7" t="str">
        <v>趣点购浦发</v>
      </c>
      <c r="D4180" s="8">
        <v>0</v>
      </c>
      <c r="E4180" s="7">
        <v>0</v>
      </c>
      <c r="F4180" s="8">
        <v>0</v>
      </c>
      <c r="G4180" s="7">
        <v>0</v>
      </c>
      <c r="H4180" s="7">
        <v>81211.819999998</v>
      </c>
      <c r="I4180" s="7">
        <v>0</v>
      </c>
      <c r="J4180" s="8">
        <v>0</v>
      </c>
      <c r="K4180" s="9" t="str">
        <v/>
      </c>
    </row>
    <row r="4181" spans="1:11">
      <c r="A4181" t="str">
        <v/>
      </c>
      <c r="B4181" s="6">
        <v>0</v>
      </c>
      <c r="C4181" s="7" t="str">
        <v>趣点购浦发</v>
      </c>
      <c r="D4181" s="8">
        <v>0</v>
      </c>
      <c r="E4181" s="7">
        <v>0</v>
      </c>
      <c r="F4181" s="8">
        <v>0</v>
      </c>
      <c r="G4181" s="7">
        <v>0</v>
      </c>
      <c r="H4181" s="7">
        <v>81211.819999998</v>
      </c>
      <c r="I4181" s="7">
        <v>0</v>
      </c>
      <c r="J4181" s="8">
        <v>0</v>
      </c>
      <c r="K4181" s="9" t="str">
        <v/>
      </c>
    </row>
    <row r="4182" spans="1:11">
      <c r="A4182" t="str">
        <v/>
      </c>
      <c r="B4182" s="6">
        <v>0</v>
      </c>
      <c r="C4182" s="7" t="str">
        <v>趣点购浦发</v>
      </c>
      <c r="D4182" s="8">
        <v>0</v>
      </c>
      <c r="E4182" s="7">
        <v>0</v>
      </c>
      <c r="F4182" s="8">
        <v>0</v>
      </c>
      <c r="G4182" s="7">
        <v>0</v>
      </c>
      <c r="H4182" s="7">
        <v>81211.819999998</v>
      </c>
      <c r="I4182" s="7">
        <v>0</v>
      </c>
      <c r="J4182" s="8">
        <v>0</v>
      </c>
      <c r="K4182" s="9" t="str">
        <v/>
      </c>
    </row>
    <row r="4183" spans="1:11">
      <c r="A4183" t="str">
        <v/>
      </c>
      <c r="B4183" s="6">
        <v>0</v>
      </c>
      <c r="C4183" s="7" t="str">
        <v>趣点购浦发</v>
      </c>
      <c r="D4183" s="8">
        <v>0</v>
      </c>
      <c r="E4183" s="7">
        <v>0</v>
      </c>
      <c r="F4183" s="8">
        <v>0</v>
      </c>
      <c r="G4183" s="7">
        <v>0</v>
      </c>
      <c r="H4183" s="7">
        <v>81211.819999998</v>
      </c>
      <c r="I4183" s="7">
        <v>0</v>
      </c>
      <c r="J4183" s="8">
        <v>0</v>
      </c>
      <c r="K4183" s="9" t="str">
        <v/>
      </c>
    </row>
    <row r="4184" spans="1:11">
      <c r="A4184" t="str">
        <v/>
      </c>
      <c r="B4184" s="6">
        <v>0</v>
      </c>
      <c r="C4184" s="7" t="str">
        <v>趣点购浦发</v>
      </c>
      <c r="D4184" s="8">
        <v>0</v>
      </c>
      <c r="E4184" s="7">
        <v>0</v>
      </c>
      <c r="F4184" s="8">
        <v>0</v>
      </c>
      <c r="G4184" s="7">
        <v>0</v>
      </c>
      <c r="H4184" s="7">
        <v>81211.819999998</v>
      </c>
      <c r="I4184" s="7">
        <v>0</v>
      </c>
      <c r="J4184" s="8">
        <v>0</v>
      </c>
      <c r="K4184" s="9" t="str">
        <v/>
      </c>
    </row>
    <row r="4185" spans="1:11">
      <c r="A4185" t="str">
        <v/>
      </c>
      <c r="B4185" s="6">
        <v>0</v>
      </c>
      <c r="C4185" s="7" t="str">
        <v>趣点购浦发</v>
      </c>
      <c r="D4185" s="8">
        <v>0</v>
      </c>
      <c r="E4185" s="7">
        <v>0</v>
      </c>
      <c r="F4185" s="8">
        <v>0</v>
      </c>
      <c r="G4185" s="7">
        <v>0</v>
      </c>
      <c r="H4185" s="7">
        <v>81211.819999998</v>
      </c>
      <c r="I4185" s="7">
        <v>0</v>
      </c>
      <c r="J4185" s="8">
        <v>0</v>
      </c>
      <c r="K4185" s="9" t="str">
        <v/>
      </c>
    </row>
    <row r="4186" spans="1:11">
      <c r="A4186" t="str">
        <v/>
      </c>
      <c r="B4186" s="6">
        <v>0</v>
      </c>
      <c r="C4186" s="7" t="str">
        <v>趣点购浦发</v>
      </c>
      <c r="D4186" s="8">
        <v>0</v>
      </c>
      <c r="E4186" s="7">
        <v>0</v>
      </c>
      <c r="F4186" s="8">
        <v>0</v>
      </c>
      <c r="G4186" s="7">
        <v>0</v>
      </c>
      <c r="H4186" s="7">
        <v>81211.819999998</v>
      </c>
      <c r="I4186" s="7">
        <v>0</v>
      </c>
      <c r="J4186" s="8">
        <v>0</v>
      </c>
      <c r="K4186" s="9" t="str">
        <v/>
      </c>
    </row>
    <row r="4187" spans="1:11">
      <c r="A4187" t="str">
        <v/>
      </c>
      <c r="B4187" s="6">
        <v>0</v>
      </c>
      <c r="C4187" s="7" t="str">
        <v>趣点购浦发</v>
      </c>
      <c r="D4187" s="8">
        <v>0</v>
      </c>
      <c r="E4187" s="7">
        <v>0</v>
      </c>
      <c r="F4187" s="8">
        <v>0</v>
      </c>
      <c r="G4187" s="7">
        <v>0</v>
      </c>
      <c r="H4187" s="7">
        <v>81211.819999998</v>
      </c>
      <c r="I4187" s="7">
        <v>0</v>
      </c>
      <c r="J4187" s="8">
        <v>0</v>
      </c>
      <c r="K4187" s="9" t="str">
        <v/>
      </c>
    </row>
    <row r="4188" spans="1:11">
      <c r="A4188" t="str">
        <v/>
      </c>
      <c r="B4188" s="6">
        <v>0</v>
      </c>
      <c r="C4188" s="7" t="str">
        <v>趣点购浦发</v>
      </c>
      <c r="D4188" s="8">
        <v>0</v>
      </c>
      <c r="E4188" s="7">
        <v>0</v>
      </c>
      <c r="F4188" s="8">
        <v>0</v>
      </c>
      <c r="G4188" s="7">
        <v>0</v>
      </c>
      <c r="H4188" s="7">
        <v>81211.819999998</v>
      </c>
      <c r="I4188" s="7">
        <v>0</v>
      </c>
      <c r="J4188" s="8">
        <v>0</v>
      </c>
      <c r="K4188" s="9" t="str">
        <v/>
      </c>
    </row>
    <row r="4189" spans="1:11">
      <c r="A4189" t="str">
        <v/>
      </c>
      <c r="B4189" s="6">
        <v>0</v>
      </c>
      <c r="C4189" s="7" t="str">
        <v>趣点购浦发</v>
      </c>
      <c r="D4189" s="8">
        <v>0</v>
      </c>
      <c r="E4189" s="7">
        <v>0</v>
      </c>
      <c r="F4189" s="8">
        <v>0</v>
      </c>
      <c r="G4189" s="7">
        <v>0</v>
      </c>
      <c r="H4189" s="7">
        <v>81211.819999998</v>
      </c>
      <c r="I4189" s="7">
        <v>0</v>
      </c>
      <c r="J4189" s="8">
        <v>0</v>
      </c>
      <c r="K4189" s="9" t="str">
        <v/>
      </c>
    </row>
    <row r="4190" spans="1:11">
      <c r="A4190" t="str">
        <v/>
      </c>
      <c r="B4190" s="6">
        <v>0</v>
      </c>
      <c r="C4190" s="7" t="str">
        <v>趣点购浦发</v>
      </c>
      <c r="D4190" s="8">
        <v>0</v>
      </c>
      <c r="E4190" s="7">
        <v>0</v>
      </c>
      <c r="F4190" s="8">
        <v>0</v>
      </c>
      <c r="G4190" s="7">
        <v>0</v>
      </c>
      <c r="H4190" s="7">
        <v>81211.819999998</v>
      </c>
      <c r="I4190" s="7">
        <v>0</v>
      </c>
      <c r="J4190" s="8">
        <v>0</v>
      </c>
      <c r="K4190" s="9" t="str">
        <v/>
      </c>
    </row>
    <row r="4191" spans="1:11">
      <c r="A4191" t="str">
        <v/>
      </c>
      <c r="B4191" s="6">
        <v>0</v>
      </c>
      <c r="C4191" s="7" t="str">
        <v>趣点购浦发</v>
      </c>
      <c r="D4191" s="8">
        <v>0</v>
      </c>
      <c r="E4191" s="7">
        <v>0</v>
      </c>
      <c r="F4191" s="8">
        <v>0</v>
      </c>
      <c r="G4191" s="7">
        <v>0</v>
      </c>
      <c r="H4191" s="7">
        <v>81211.819999998</v>
      </c>
      <c r="I4191" s="7">
        <v>0</v>
      </c>
      <c r="J4191" s="8">
        <v>0</v>
      </c>
      <c r="K4191" s="9" t="str">
        <v/>
      </c>
    </row>
    <row r="4192" spans="1:11">
      <c r="A4192" t="str">
        <v/>
      </c>
      <c r="B4192" s="6">
        <v>0</v>
      </c>
      <c r="C4192" s="7" t="str">
        <v>趣点购浦发</v>
      </c>
      <c r="D4192" s="8">
        <v>0</v>
      </c>
      <c r="E4192" s="7">
        <v>0</v>
      </c>
      <c r="F4192" s="8">
        <v>0</v>
      </c>
      <c r="G4192" s="7">
        <v>0</v>
      </c>
      <c r="H4192" s="7">
        <v>81211.819999998</v>
      </c>
      <c r="I4192" s="7">
        <v>0</v>
      </c>
      <c r="J4192" s="8">
        <v>0</v>
      </c>
      <c r="K4192" s="9" t="str">
        <v/>
      </c>
    </row>
    <row r="4193" spans="1:11">
      <c r="A4193" t="str">
        <v/>
      </c>
      <c r="B4193" s="6">
        <v>0</v>
      </c>
      <c r="C4193" s="7" t="str">
        <v>趣点购浦发</v>
      </c>
      <c r="D4193" s="8">
        <v>0</v>
      </c>
      <c r="E4193" s="7">
        <v>0</v>
      </c>
      <c r="F4193" s="8">
        <v>0</v>
      </c>
      <c r="G4193" s="7">
        <v>0</v>
      </c>
      <c r="H4193" s="7">
        <v>81211.819999998</v>
      </c>
      <c r="I4193" s="7">
        <v>0</v>
      </c>
      <c r="J4193" s="8">
        <v>0</v>
      </c>
      <c r="K4193" s="9" t="str">
        <v/>
      </c>
    </row>
    <row r="4194" spans="1:11">
      <c r="A4194" t="str">
        <v/>
      </c>
      <c r="B4194" s="6">
        <v>0</v>
      </c>
      <c r="C4194" s="7" t="str">
        <v>趣点购浦发</v>
      </c>
      <c r="D4194" s="8">
        <v>0</v>
      </c>
      <c r="E4194" s="7">
        <v>0</v>
      </c>
      <c r="F4194" s="8">
        <v>0</v>
      </c>
      <c r="G4194" s="7">
        <v>0</v>
      </c>
      <c r="H4194" s="7">
        <v>81211.819999998</v>
      </c>
      <c r="I4194" s="7">
        <v>0</v>
      </c>
      <c r="J4194" s="8">
        <v>0</v>
      </c>
      <c r="K4194" s="9" t="str">
        <v/>
      </c>
    </row>
    <row r="4195" spans="1:11">
      <c r="A4195" t="str">
        <v/>
      </c>
      <c r="B4195" s="6">
        <v>0</v>
      </c>
      <c r="C4195" s="7" t="str">
        <v>趣点购浦发</v>
      </c>
      <c r="D4195" s="8">
        <v>0</v>
      </c>
      <c r="E4195" s="7">
        <v>0</v>
      </c>
      <c r="F4195" s="8">
        <v>0</v>
      </c>
      <c r="G4195" s="7">
        <v>0</v>
      </c>
      <c r="H4195" s="7">
        <v>81211.819999998</v>
      </c>
      <c r="I4195" s="7">
        <v>0</v>
      </c>
      <c r="J4195" s="8">
        <v>0</v>
      </c>
      <c r="K4195" s="9" t="str">
        <v/>
      </c>
    </row>
    <row r="4196" spans="1:11">
      <c r="A4196" t="str">
        <v/>
      </c>
      <c r="B4196" s="6">
        <v>0</v>
      </c>
      <c r="C4196" s="7" t="str">
        <v>趣点购浦发</v>
      </c>
      <c r="D4196" s="8">
        <v>0</v>
      </c>
      <c r="E4196" s="7">
        <v>0</v>
      </c>
      <c r="F4196" s="8">
        <v>0</v>
      </c>
      <c r="G4196" s="7">
        <v>0</v>
      </c>
      <c r="H4196" s="7">
        <v>81211.819999998</v>
      </c>
      <c r="I4196" s="7">
        <v>0</v>
      </c>
      <c r="J4196" s="8">
        <v>0</v>
      </c>
      <c r="K4196" s="9" t="str">
        <v/>
      </c>
    </row>
    <row r="4197" spans="1:11">
      <c r="A4197" t="str">
        <v/>
      </c>
      <c r="B4197" s="6">
        <v>0</v>
      </c>
      <c r="C4197" s="7" t="str">
        <v>趣点购浦发</v>
      </c>
      <c r="D4197" s="8">
        <v>0</v>
      </c>
      <c r="E4197" s="7">
        <v>0</v>
      </c>
      <c r="F4197" s="8">
        <v>0</v>
      </c>
      <c r="G4197" s="7">
        <v>0</v>
      </c>
      <c r="H4197" s="7">
        <v>81211.819999998</v>
      </c>
      <c r="I4197" s="7">
        <v>0</v>
      </c>
      <c r="J4197" s="8">
        <v>0</v>
      </c>
      <c r="K4197" s="9" t="str">
        <v/>
      </c>
    </row>
    <row r="4198" spans="1:11">
      <c r="A4198" t="str">
        <v/>
      </c>
      <c r="B4198" s="6">
        <v>0</v>
      </c>
      <c r="C4198" s="7" t="str">
        <v>趣点购浦发</v>
      </c>
      <c r="D4198" s="8">
        <v>0</v>
      </c>
      <c r="E4198" s="7">
        <v>0</v>
      </c>
      <c r="F4198" s="8">
        <v>0</v>
      </c>
      <c r="G4198" s="7">
        <v>0</v>
      </c>
      <c r="H4198" s="7">
        <v>81211.819999998</v>
      </c>
      <c r="I4198" s="7">
        <v>0</v>
      </c>
      <c r="J4198" s="8">
        <v>0</v>
      </c>
      <c r="K4198" s="9" t="str">
        <v/>
      </c>
    </row>
    <row r="4199" spans="1:11">
      <c r="A4199" t="str">
        <v/>
      </c>
      <c r="B4199" s="6">
        <v>0</v>
      </c>
      <c r="C4199" s="7" t="str">
        <v>趣点购浦发</v>
      </c>
      <c r="D4199" s="8">
        <v>0</v>
      </c>
      <c r="E4199" s="7">
        <v>0</v>
      </c>
      <c r="F4199" s="8">
        <v>0</v>
      </c>
      <c r="G4199" s="7">
        <v>0</v>
      </c>
      <c r="H4199" s="7">
        <v>81211.819999998</v>
      </c>
      <c r="I4199" s="7">
        <v>0</v>
      </c>
      <c r="J4199" s="8">
        <v>0</v>
      </c>
      <c r="K4199" s="9" t="str">
        <v/>
      </c>
    </row>
    <row r="4200" spans="1:11">
      <c r="A4200" t="str">
        <v/>
      </c>
      <c r="B4200" s="6">
        <v>0</v>
      </c>
      <c r="C4200" s="7" t="str">
        <v>趣点购浦发</v>
      </c>
      <c r="D4200" s="8">
        <v>0</v>
      </c>
      <c r="E4200" s="7">
        <v>0</v>
      </c>
      <c r="F4200" s="8">
        <v>0</v>
      </c>
      <c r="G4200" s="7">
        <v>0</v>
      </c>
      <c r="H4200" s="7">
        <v>81211.819999998</v>
      </c>
      <c r="I4200" s="7">
        <v>0</v>
      </c>
      <c r="J4200" s="8">
        <v>0</v>
      </c>
      <c r="K4200" s="9" t="str">
        <v/>
      </c>
    </row>
    <row r="4201" spans="1:11">
      <c r="A4201" t="str">
        <v/>
      </c>
      <c r="B4201" s="6">
        <v>0</v>
      </c>
      <c r="C4201" s="7" t="str">
        <v>趣点购浦发</v>
      </c>
      <c r="D4201" s="8">
        <v>0</v>
      </c>
      <c r="E4201" s="7">
        <v>0</v>
      </c>
      <c r="F4201" s="8">
        <v>0</v>
      </c>
      <c r="G4201" s="7">
        <v>0</v>
      </c>
      <c r="H4201" s="7">
        <v>81211.819999998</v>
      </c>
      <c r="I4201" s="7">
        <v>0</v>
      </c>
      <c r="J4201" s="8">
        <v>0</v>
      </c>
      <c r="K4201" s="9" t="str">
        <v/>
      </c>
    </row>
    <row r="4202" spans="1:11">
      <c r="A4202" t="str">
        <v/>
      </c>
      <c r="B4202" s="6">
        <v>0</v>
      </c>
      <c r="C4202" s="7" t="str">
        <v>趣点购浦发</v>
      </c>
      <c r="D4202" s="8">
        <v>0</v>
      </c>
      <c r="E4202" s="7">
        <v>0</v>
      </c>
      <c r="F4202" s="8">
        <v>0</v>
      </c>
      <c r="G4202" s="7">
        <v>0</v>
      </c>
      <c r="H4202" s="7">
        <v>81211.819999998</v>
      </c>
      <c r="I4202" s="7">
        <v>0</v>
      </c>
      <c r="J4202" s="8">
        <v>0</v>
      </c>
      <c r="K4202" s="9" t="str">
        <v/>
      </c>
    </row>
    <row r="4203" spans="1:11">
      <c r="A4203" t="str">
        <v/>
      </c>
      <c r="B4203" s="6">
        <v>0</v>
      </c>
      <c r="C4203" s="7" t="str">
        <v>趣点购浦发</v>
      </c>
      <c r="D4203" s="8">
        <v>0</v>
      </c>
      <c r="E4203" s="7">
        <v>0</v>
      </c>
      <c r="F4203" s="8">
        <v>0</v>
      </c>
      <c r="G4203" s="7">
        <v>0</v>
      </c>
      <c r="H4203" s="7">
        <v>81211.819999998</v>
      </c>
      <c r="I4203" s="7">
        <v>0</v>
      </c>
      <c r="J4203" s="8">
        <v>0</v>
      </c>
      <c r="K4203" s="9" t="str">
        <v/>
      </c>
    </row>
    <row r="4204" spans="1:11">
      <c r="A4204" t="str">
        <v/>
      </c>
      <c r="B4204" s="6">
        <v>0</v>
      </c>
      <c r="C4204" s="7" t="str">
        <v>趣点购浦发</v>
      </c>
      <c r="D4204" s="8">
        <v>0</v>
      </c>
      <c r="E4204" s="7">
        <v>0</v>
      </c>
      <c r="F4204" s="8">
        <v>0</v>
      </c>
      <c r="G4204" s="7">
        <v>0</v>
      </c>
      <c r="H4204" s="7">
        <v>81211.819999998</v>
      </c>
      <c r="I4204" s="7">
        <v>0</v>
      </c>
      <c r="J4204" s="8">
        <v>0</v>
      </c>
      <c r="K4204" s="9" t="str">
        <v/>
      </c>
    </row>
    <row r="4205" spans="1:11">
      <c r="A4205" t="str">
        <v/>
      </c>
      <c r="B4205" s="6">
        <v>0</v>
      </c>
      <c r="C4205" s="7" t="str">
        <v>趣点购浦发</v>
      </c>
      <c r="D4205" s="8">
        <v>0</v>
      </c>
      <c r="E4205" s="7">
        <v>0</v>
      </c>
      <c r="F4205" s="8">
        <v>0</v>
      </c>
      <c r="G4205" s="7">
        <v>0</v>
      </c>
      <c r="H4205" s="7">
        <v>81211.819999998</v>
      </c>
      <c r="I4205" s="7">
        <v>0</v>
      </c>
      <c r="J4205" s="8">
        <v>0</v>
      </c>
      <c r="K4205" s="9" t="str">
        <v/>
      </c>
    </row>
    <row r="4206" spans="1:11">
      <c r="A4206" t="str">
        <v/>
      </c>
      <c r="B4206" s="6">
        <v>0</v>
      </c>
      <c r="C4206" s="7" t="str">
        <v>趣点购浦发</v>
      </c>
      <c r="D4206" s="8">
        <v>0</v>
      </c>
      <c r="E4206" s="7">
        <v>0</v>
      </c>
      <c r="F4206" s="8">
        <v>0</v>
      </c>
      <c r="G4206" s="7">
        <v>0</v>
      </c>
      <c r="H4206" s="7">
        <v>81211.819999998</v>
      </c>
      <c r="I4206" s="7">
        <v>0</v>
      </c>
      <c r="J4206" s="8">
        <v>0</v>
      </c>
      <c r="K4206" s="9" t="str">
        <v/>
      </c>
    </row>
    <row r="4207" spans="1:11">
      <c r="A4207" t="str">
        <v/>
      </c>
      <c r="B4207" s="6">
        <v>0</v>
      </c>
      <c r="C4207" s="7" t="str">
        <v>趣点购浦发</v>
      </c>
      <c r="D4207" s="8">
        <v>0</v>
      </c>
      <c r="E4207" s="7">
        <v>0</v>
      </c>
      <c r="F4207" s="8">
        <v>0</v>
      </c>
      <c r="G4207" s="7">
        <v>0</v>
      </c>
      <c r="H4207" s="7">
        <v>81211.819999998</v>
      </c>
      <c r="I4207" s="7">
        <v>0</v>
      </c>
      <c r="J4207" s="8">
        <v>0</v>
      </c>
      <c r="K4207" s="9" t="str">
        <v/>
      </c>
    </row>
    <row r="4208" spans="1:11">
      <c r="A4208" t="str">
        <v/>
      </c>
      <c r="B4208" s="6">
        <v>0</v>
      </c>
      <c r="C4208" s="7" t="str">
        <v>趣点购浦发</v>
      </c>
      <c r="D4208" s="8">
        <v>0</v>
      </c>
      <c r="E4208" s="7">
        <v>0</v>
      </c>
      <c r="F4208" s="8">
        <v>0</v>
      </c>
      <c r="G4208" s="7">
        <v>0</v>
      </c>
      <c r="H4208" s="7">
        <v>81211.819999998</v>
      </c>
      <c r="I4208" s="7">
        <v>0</v>
      </c>
      <c r="J4208" s="8">
        <v>0</v>
      </c>
      <c r="K4208" s="9" t="str">
        <v/>
      </c>
    </row>
    <row r="4209" spans="1:11">
      <c r="A4209" t="str">
        <v/>
      </c>
      <c r="B4209" s="6">
        <v>0</v>
      </c>
      <c r="C4209" s="7" t="str">
        <v>趣点购浦发</v>
      </c>
      <c r="D4209" s="8">
        <v>0</v>
      </c>
      <c r="E4209" s="7">
        <v>0</v>
      </c>
      <c r="F4209" s="8">
        <v>0</v>
      </c>
      <c r="G4209" s="7">
        <v>0</v>
      </c>
      <c r="H4209" s="7">
        <v>81211.819999998</v>
      </c>
      <c r="I4209" s="7">
        <v>0</v>
      </c>
      <c r="J4209" s="8">
        <v>0</v>
      </c>
      <c r="K4209" s="9" t="str">
        <v/>
      </c>
    </row>
    <row r="4210" spans="1:11">
      <c r="A4210" t="str">
        <v/>
      </c>
      <c r="B4210" s="6">
        <v>0</v>
      </c>
      <c r="C4210" s="7" t="str">
        <v>趣点购浦发</v>
      </c>
      <c r="D4210" s="8">
        <v>0</v>
      </c>
      <c r="E4210" s="7">
        <v>0</v>
      </c>
      <c r="F4210" s="8">
        <v>0</v>
      </c>
      <c r="G4210" s="7">
        <v>0</v>
      </c>
      <c r="H4210" s="7">
        <v>81211.819999998</v>
      </c>
      <c r="I4210" s="7">
        <v>0</v>
      </c>
      <c r="J4210" s="8">
        <v>0</v>
      </c>
      <c r="K4210" s="9" t="str">
        <v/>
      </c>
    </row>
    <row r="4211" spans="1:11">
      <c r="A4211" t="str">
        <v/>
      </c>
      <c r="B4211" s="6">
        <v>0</v>
      </c>
      <c r="C4211" s="7" t="str">
        <v>趣点购浦发</v>
      </c>
      <c r="D4211" s="8">
        <v>0</v>
      </c>
      <c r="E4211" s="7">
        <v>0</v>
      </c>
      <c r="F4211" s="8">
        <v>0</v>
      </c>
      <c r="G4211" s="7">
        <v>0</v>
      </c>
      <c r="H4211" s="7">
        <v>81211.819999998</v>
      </c>
      <c r="I4211" s="7">
        <v>0</v>
      </c>
      <c r="J4211" s="8">
        <v>0</v>
      </c>
      <c r="K4211" s="9" t="str">
        <v/>
      </c>
    </row>
    <row r="4212" spans="1:11">
      <c r="A4212" t="str">
        <v/>
      </c>
      <c r="B4212" s="6">
        <v>0</v>
      </c>
      <c r="C4212" s="7" t="str">
        <v>趣点购浦发</v>
      </c>
      <c r="D4212" s="8">
        <v>0</v>
      </c>
      <c r="E4212" s="7">
        <v>0</v>
      </c>
      <c r="F4212" s="8">
        <v>0</v>
      </c>
      <c r="G4212" s="7">
        <v>0</v>
      </c>
      <c r="H4212" s="7">
        <v>81211.819999998</v>
      </c>
      <c r="I4212" s="7">
        <v>0</v>
      </c>
      <c r="J4212" s="8">
        <v>0</v>
      </c>
      <c r="K4212" s="9" t="str">
        <v/>
      </c>
    </row>
    <row r="4213" spans="1:11">
      <c r="A4213" t="str">
        <v/>
      </c>
      <c r="B4213" s="6">
        <v>0</v>
      </c>
      <c r="C4213" s="7" t="str">
        <v>趣点购浦发</v>
      </c>
      <c r="D4213" s="8">
        <v>0</v>
      </c>
      <c r="E4213" s="7">
        <v>0</v>
      </c>
      <c r="F4213" s="8">
        <v>0</v>
      </c>
      <c r="G4213" s="7">
        <v>0</v>
      </c>
      <c r="H4213" s="7">
        <v>81211.819999998</v>
      </c>
      <c r="I4213" s="7">
        <v>0</v>
      </c>
      <c r="J4213" s="8">
        <v>0</v>
      </c>
      <c r="K4213" s="9" t="str">
        <v/>
      </c>
    </row>
    <row r="4214" spans="1:11">
      <c r="A4214" t="str">
        <v/>
      </c>
      <c r="B4214" s="6">
        <v>0</v>
      </c>
      <c r="C4214" s="7" t="str">
        <v>趣点购浦发</v>
      </c>
      <c r="D4214" s="8">
        <v>0</v>
      </c>
      <c r="E4214" s="7">
        <v>0</v>
      </c>
      <c r="F4214" s="8">
        <v>0</v>
      </c>
      <c r="G4214" s="7">
        <v>0</v>
      </c>
      <c r="H4214" s="7">
        <v>81211.819999998</v>
      </c>
      <c r="I4214" s="7">
        <v>0</v>
      </c>
      <c r="J4214" s="8">
        <v>0</v>
      </c>
      <c r="K4214" s="9" t="str">
        <v/>
      </c>
    </row>
    <row r="4215" spans="1:11">
      <c r="A4215" t="str">
        <v/>
      </c>
      <c r="B4215" s="6">
        <v>0</v>
      </c>
      <c r="C4215" s="7" t="str">
        <v>趣点购浦发</v>
      </c>
      <c r="D4215" s="8">
        <v>0</v>
      </c>
      <c r="E4215" s="7">
        <v>0</v>
      </c>
      <c r="F4215" s="8">
        <v>0</v>
      </c>
      <c r="G4215" s="7">
        <v>0</v>
      </c>
      <c r="H4215" s="7">
        <v>81211.819999998</v>
      </c>
      <c r="I4215" s="7">
        <v>0</v>
      </c>
      <c r="J4215" s="8">
        <v>0</v>
      </c>
      <c r="K4215" s="9" t="str">
        <v/>
      </c>
    </row>
    <row r="4216" spans="1:11">
      <c r="A4216" t="str">
        <v/>
      </c>
      <c r="B4216" s="6">
        <v>0</v>
      </c>
      <c r="C4216" s="7" t="str">
        <v>趣点购浦发</v>
      </c>
      <c r="D4216" s="8">
        <v>0</v>
      </c>
      <c r="E4216" s="7">
        <v>0</v>
      </c>
      <c r="F4216" s="8">
        <v>0</v>
      </c>
      <c r="G4216" s="7">
        <v>0</v>
      </c>
      <c r="H4216" s="7">
        <v>81211.819999998</v>
      </c>
      <c r="I4216" s="7">
        <v>0</v>
      </c>
      <c r="J4216" s="8">
        <v>0</v>
      </c>
      <c r="K4216" s="9" t="str">
        <v/>
      </c>
    </row>
    <row r="4217" spans="1:11">
      <c r="A4217" t="str">
        <v/>
      </c>
      <c r="B4217" s="6">
        <v>0</v>
      </c>
      <c r="C4217" s="7" t="str">
        <v>趣点购浦发</v>
      </c>
      <c r="D4217" s="8">
        <v>0</v>
      </c>
      <c r="E4217" s="7">
        <v>0</v>
      </c>
      <c r="F4217" s="8">
        <v>0</v>
      </c>
      <c r="G4217" s="7">
        <v>0</v>
      </c>
      <c r="H4217" s="7">
        <v>81211.819999998</v>
      </c>
      <c r="I4217" s="7">
        <v>0</v>
      </c>
      <c r="J4217" s="8">
        <v>0</v>
      </c>
      <c r="K4217" s="9" t="str">
        <v/>
      </c>
    </row>
    <row r="4218" spans="1:11">
      <c r="A4218" t="str">
        <v/>
      </c>
      <c r="B4218" s="6">
        <v>0</v>
      </c>
      <c r="C4218" s="7" t="str">
        <v>趣点购浦发</v>
      </c>
      <c r="D4218" s="8">
        <v>0</v>
      </c>
      <c r="E4218" s="7">
        <v>0</v>
      </c>
      <c r="F4218" s="8">
        <v>0</v>
      </c>
      <c r="G4218" s="7">
        <v>0</v>
      </c>
      <c r="H4218" s="7">
        <v>81211.819999998</v>
      </c>
      <c r="I4218" s="7">
        <v>0</v>
      </c>
      <c r="J4218" s="8">
        <v>0</v>
      </c>
      <c r="K4218" s="9" t="str">
        <v/>
      </c>
    </row>
    <row r="4219" spans="1:11">
      <c r="A4219" t="str">
        <v/>
      </c>
      <c r="B4219" s="6">
        <v>0</v>
      </c>
      <c r="C4219" s="7" t="str">
        <v>趣点购浦发</v>
      </c>
      <c r="D4219" s="8">
        <v>0</v>
      </c>
      <c r="E4219" s="7">
        <v>0</v>
      </c>
      <c r="F4219" s="8">
        <v>0</v>
      </c>
      <c r="G4219" s="7">
        <v>0</v>
      </c>
      <c r="H4219" s="7">
        <v>81211.819999998</v>
      </c>
      <c r="I4219" s="7">
        <v>0</v>
      </c>
      <c r="J4219" s="8">
        <v>0</v>
      </c>
      <c r="K4219" s="9" t="str">
        <v/>
      </c>
    </row>
    <row r="4220" spans="1:11">
      <c r="A4220" t="str">
        <v/>
      </c>
      <c r="B4220" s="6">
        <v>0</v>
      </c>
      <c r="C4220" s="7" t="str">
        <v>趣点购浦发</v>
      </c>
      <c r="D4220" s="8">
        <v>0</v>
      </c>
      <c r="E4220" s="7">
        <v>0</v>
      </c>
      <c r="F4220" s="8">
        <v>0</v>
      </c>
      <c r="G4220" s="7">
        <v>0</v>
      </c>
      <c r="H4220" s="7">
        <v>81211.819999998</v>
      </c>
      <c r="I4220" s="7">
        <v>0</v>
      </c>
      <c r="J4220" s="8">
        <v>0</v>
      </c>
      <c r="K4220" s="9" t="str">
        <v/>
      </c>
    </row>
    <row r="4221" spans="1:11">
      <c r="A4221" t="str">
        <v/>
      </c>
      <c r="B4221" s="6">
        <v>0</v>
      </c>
      <c r="C4221" s="7" t="str">
        <v>趣点购浦发</v>
      </c>
      <c r="D4221" s="8">
        <v>0</v>
      </c>
      <c r="E4221" s="7">
        <v>0</v>
      </c>
      <c r="F4221" s="8">
        <v>0</v>
      </c>
      <c r="G4221" s="7">
        <v>0</v>
      </c>
      <c r="H4221" s="7">
        <v>81211.819999998</v>
      </c>
      <c r="I4221" s="7">
        <v>0</v>
      </c>
      <c r="J4221" s="8">
        <v>0</v>
      </c>
      <c r="K4221" s="9" t="str">
        <v/>
      </c>
    </row>
    <row r="4222" spans="1:11">
      <c r="A4222" t="str">
        <v/>
      </c>
      <c r="B4222" s="6">
        <v>0</v>
      </c>
      <c r="C4222" s="7" t="str">
        <v>趣点购浦发</v>
      </c>
      <c r="D4222" s="8">
        <v>0</v>
      </c>
      <c r="E4222" s="7">
        <v>0</v>
      </c>
      <c r="F4222" s="8">
        <v>0</v>
      </c>
      <c r="G4222" s="7">
        <v>0</v>
      </c>
      <c r="H4222" s="7">
        <v>81211.819999998</v>
      </c>
      <c r="I4222" s="7">
        <v>0</v>
      </c>
      <c r="J4222" s="8">
        <v>0</v>
      </c>
      <c r="K4222" s="9" t="str">
        <v/>
      </c>
    </row>
    <row r="4223" spans="1:11">
      <c r="A4223" t="str">
        <v/>
      </c>
      <c r="B4223" s="6">
        <v>0</v>
      </c>
      <c r="C4223" s="7" t="str">
        <v>趣点购浦发</v>
      </c>
      <c r="D4223" s="8">
        <v>0</v>
      </c>
      <c r="E4223" s="7">
        <v>0</v>
      </c>
      <c r="F4223" s="8">
        <v>0</v>
      </c>
      <c r="G4223" s="7">
        <v>0</v>
      </c>
      <c r="H4223" s="7">
        <v>81211.819999998</v>
      </c>
      <c r="I4223" s="7">
        <v>0</v>
      </c>
      <c r="J4223" s="8">
        <v>0</v>
      </c>
      <c r="K4223" s="9" t="str">
        <v/>
      </c>
    </row>
    <row r="4224" spans="1:11">
      <c r="A4224" t="str">
        <v/>
      </c>
      <c r="B4224" s="6">
        <v>0</v>
      </c>
      <c r="C4224" s="7" t="str">
        <v>趣点购浦发</v>
      </c>
      <c r="D4224" s="8">
        <v>0</v>
      </c>
      <c r="E4224" s="7">
        <v>0</v>
      </c>
      <c r="F4224" s="8">
        <v>0</v>
      </c>
      <c r="G4224" s="7">
        <v>0</v>
      </c>
      <c r="H4224" s="7">
        <v>81211.819999998</v>
      </c>
      <c r="I4224" s="7">
        <v>0</v>
      </c>
      <c r="J4224" s="8">
        <v>0</v>
      </c>
      <c r="K4224" s="9" t="str">
        <v/>
      </c>
    </row>
    <row r="4225" spans="1:11">
      <c r="A4225" t="str">
        <v/>
      </c>
      <c r="B4225" s="6">
        <v>0</v>
      </c>
      <c r="C4225" s="7" t="str">
        <v>趣点购浦发</v>
      </c>
      <c r="D4225" s="8">
        <v>0</v>
      </c>
      <c r="E4225" s="7">
        <v>0</v>
      </c>
      <c r="F4225" s="8">
        <v>0</v>
      </c>
      <c r="G4225" s="7">
        <v>0</v>
      </c>
      <c r="H4225" s="7">
        <v>81211.819999998</v>
      </c>
      <c r="I4225" s="7">
        <v>0</v>
      </c>
      <c r="J4225" s="8">
        <v>0</v>
      </c>
      <c r="K4225" s="9" t="str">
        <v/>
      </c>
    </row>
    <row r="4226" spans="1:11">
      <c r="A4226" t="str">
        <v/>
      </c>
      <c r="B4226" s="6">
        <v>0</v>
      </c>
      <c r="C4226" s="7" t="str">
        <v>趣点购浦发</v>
      </c>
      <c r="D4226" s="8">
        <v>0</v>
      </c>
      <c r="E4226" s="7">
        <v>0</v>
      </c>
      <c r="F4226" s="8">
        <v>0</v>
      </c>
      <c r="G4226" s="7">
        <v>0</v>
      </c>
      <c r="H4226" s="7">
        <v>81211.819999998</v>
      </c>
      <c r="I4226" s="7">
        <v>0</v>
      </c>
      <c r="J4226" s="8">
        <v>0</v>
      </c>
      <c r="K4226" s="9" t="str">
        <v/>
      </c>
    </row>
    <row r="4227" spans="1:11">
      <c r="A4227" t="str">
        <v/>
      </c>
      <c r="B4227" s="6">
        <v>0</v>
      </c>
      <c r="C4227" s="7" t="str">
        <v>趣点购浦发</v>
      </c>
      <c r="D4227" s="8">
        <v>0</v>
      </c>
      <c r="E4227" s="7">
        <v>0</v>
      </c>
      <c r="F4227" s="8">
        <v>0</v>
      </c>
      <c r="G4227" s="7">
        <v>0</v>
      </c>
      <c r="H4227" s="7">
        <v>81211.819999998</v>
      </c>
      <c r="I4227" s="7">
        <v>0</v>
      </c>
      <c r="J4227" s="8">
        <v>0</v>
      </c>
      <c r="K4227" s="9" t="str">
        <v/>
      </c>
    </row>
    <row r="4228" spans="1:11">
      <c r="A4228" t="str">
        <v/>
      </c>
      <c r="B4228" s="6">
        <v>0</v>
      </c>
      <c r="C4228" s="7" t="str">
        <v>趣点购浦发</v>
      </c>
      <c r="D4228" s="8">
        <v>0</v>
      </c>
      <c r="E4228" s="7">
        <v>0</v>
      </c>
      <c r="F4228" s="8">
        <v>0</v>
      </c>
      <c r="G4228" s="7">
        <v>0</v>
      </c>
      <c r="H4228" s="7">
        <v>81211.819999998</v>
      </c>
      <c r="I4228" s="7">
        <v>0</v>
      </c>
      <c r="J4228" s="8">
        <v>0</v>
      </c>
      <c r="K4228" s="9" t="str">
        <v/>
      </c>
    </row>
    <row r="4229" spans="1:11">
      <c r="A4229" t="str">
        <v/>
      </c>
      <c r="B4229" s="6">
        <v>0</v>
      </c>
      <c r="C4229" s="7" t="str">
        <v>趣点购浦发</v>
      </c>
      <c r="D4229" s="8">
        <v>0</v>
      </c>
      <c r="E4229" s="7">
        <v>0</v>
      </c>
      <c r="F4229" s="8">
        <v>0</v>
      </c>
      <c r="G4229" s="7">
        <v>0</v>
      </c>
      <c r="H4229" s="7">
        <v>81211.819999998</v>
      </c>
      <c r="I4229" s="7">
        <v>0</v>
      </c>
      <c r="J4229" s="8">
        <v>0</v>
      </c>
      <c r="K4229" s="9" t="str">
        <v/>
      </c>
    </row>
    <row r="4230" spans="1:11">
      <c r="A4230" t="str">
        <v/>
      </c>
      <c r="B4230" s="6">
        <v>0</v>
      </c>
      <c r="C4230" s="7" t="str">
        <v>趣点购浦发</v>
      </c>
      <c r="D4230" s="8">
        <v>0</v>
      </c>
      <c r="E4230" s="7">
        <v>0</v>
      </c>
      <c r="F4230" s="8">
        <v>0</v>
      </c>
      <c r="G4230" s="7">
        <v>0</v>
      </c>
      <c r="H4230" s="7">
        <v>81211.819999998</v>
      </c>
      <c r="I4230" s="7">
        <v>0</v>
      </c>
      <c r="J4230" s="8">
        <v>0</v>
      </c>
      <c r="K4230" s="9" t="str">
        <v/>
      </c>
    </row>
    <row r="4231" spans="1:11">
      <c r="A4231" t="str">
        <v/>
      </c>
      <c r="B4231" s="6">
        <v>0</v>
      </c>
      <c r="C4231" s="7" t="str">
        <v>趣点购浦发</v>
      </c>
      <c r="D4231" s="8">
        <v>0</v>
      </c>
      <c r="E4231" s="7">
        <v>0</v>
      </c>
      <c r="F4231" s="8">
        <v>0</v>
      </c>
      <c r="G4231" s="7">
        <v>0</v>
      </c>
      <c r="H4231" s="7">
        <v>81211.819999998</v>
      </c>
      <c r="I4231" s="7">
        <v>0</v>
      </c>
      <c r="J4231" s="8">
        <v>0</v>
      </c>
      <c r="K4231" s="9" t="str">
        <v/>
      </c>
    </row>
    <row r="4232" spans="1:11">
      <c r="A4232" t="str">
        <v/>
      </c>
      <c r="B4232" s="6">
        <v>0</v>
      </c>
      <c r="C4232" s="7" t="str">
        <v>趣点购浦发</v>
      </c>
      <c r="D4232" s="8">
        <v>0</v>
      </c>
      <c r="E4232" s="7">
        <v>0</v>
      </c>
      <c r="F4232" s="8">
        <v>0</v>
      </c>
      <c r="G4232" s="7">
        <v>0</v>
      </c>
      <c r="H4232" s="7">
        <v>81211.819999998</v>
      </c>
      <c r="I4232" s="7">
        <v>0</v>
      </c>
      <c r="J4232" s="8">
        <v>0</v>
      </c>
      <c r="K4232" s="9" t="str">
        <v/>
      </c>
    </row>
    <row r="4233" spans="1:11">
      <c r="A4233" t="str">
        <v/>
      </c>
      <c r="B4233" s="6">
        <v>0</v>
      </c>
      <c r="C4233" s="7" t="str">
        <v>趣点购浦发</v>
      </c>
      <c r="D4233" s="8">
        <v>0</v>
      </c>
      <c r="E4233" s="7">
        <v>0</v>
      </c>
      <c r="F4233" s="8">
        <v>0</v>
      </c>
      <c r="G4233" s="7">
        <v>0</v>
      </c>
      <c r="H4233" s="7">
        <v>81211.819999998</v>
      </c>
      <c r="I4233" s="7">
        <v>0</v>
      </c>
      <c r="J4233" s="8">
        <v>0</v>
      </c>
      <c r="K4233" s="9" t="str">
        <v/>
      </c>
    </row>
    <row r="4234" spans="1:11">
      <c r="A4234" t="str">
        <v/>
      </c>
      <c r="B4234" s="6">
        <v>0</v>
      </c>
      <c r="C4234" s="7" t="str">
        <v>趣点购浦发</v>
      </c>
      <c r="D4234" s="8">
        <v>0</v>
      </c>
      <c r="E4234" s="7">
        <v>0</v>
      </c>
      <c r="F4234" s="8">
        <v>0</v>
      </c>
      <c r="G4234" s="7">
        <v>0</v>
      </c>
      <c r="H4234" s="7">
        <v>81211.819999998</v>
      </c>
      <c r="I4234" s="7">
        <v>0</v>
      </c>
      <c r="J4234" s="8">
        <v>0</v>
      </c>
      <c r="K4234" s="9" t="str">
        <v/>
      </c>
    </row>
    <row r="4235" spans="1:11">
      <c r="A4235" t="str">
        <v/>
      </c>
      <c r="B4235" s="6">
        <v>0</v>
      </c>
      <c r="C4235" s="7" t="str">
        <v>趣点购浦发</v>
      </c>
      <c r="D4235" s="8">
        <v>0</v>
      </c>
      <c r="E4235" s="7">
        <v>0</v>
      </c>
      <c r="F4235" s="8">
        <v>0</v>
      </c>
      <c r="G4235" s="7">
        <v>0</v>
      </c>
      <c r="H4235" s="7">
        <v>81211.819999998</v>
      </c>
      <c r="I4235" s="7">
        <v>0</v>
      </c>
      <c r="J4235" s="8">
        <v>0</v>
      </c>
      <c r="K4235" s="9" t="str">
        <v/>
      </c>
    </row>
    <row r="4236" spans="1:11">
      <c r="A4236" t="str">
        <v/>
      </c>
      <c r="B4236" s="6">
        <v>0</v>
      </c>
      <c r="C4236" s="7" t="str">
        <v>趣点购浦发</v>
      </c>
      <c r="D4236" s="8">
        <v>0</v>
      </c>
      <c r="E4236" s="7">
        <v>0</v>
      </c>
      <c r="F4236" s="8">
        <v>0</v>
      </c>
      <c r="G4236" s="7">
        <v>0</v>
      </c>
      <c r="H4236" s="7">
        <v>81211.819999998</v>
      </c>
      <c r="I4236" s="7">
        <v>0</v>
      </c>
      <c r="J4236" s="8">
        <v>0</v>
      </c>
      <c r="K4236" s="9" t="str">
        <v/>
      </c>
    </row>
    <row r="4237" spans="1:11">
      <c r="A4237" t="str">
        <v/>
      </c>
      <c r="B4237" s="6">
        <v>0</v>
      </c>
      <c r="C4237" s="7" t="str">
        <v>趣点购浦发</v>
      </c>
      <c r="D4237" s="8">
        <v>0</v>
      </c>
      <c r="E4237" s="7">
        <v>0</v>
      </c>
      <c r="F4237" s="8">
        <v>0</v>
      </c>
      <c r="G4237" s="7">
        <v>0</v>
      </c>
      <c r="H4237" s="7">
        <v>81211.819999998</v>
      </c>
      <c r="I4237" s="7">
        <v>0</v>
      </c>
      <c r="J4237" s="8">
        <v>0</v>
      </c>
      <c r="K4237" s="9" t="str">
        <v/>
      </c>
    </row>
    <row r="4238" spans="1:11">
      <c r="A4238" t="str">
        <v/>
      </c>
      <c r="B4238" s="6">
        <v>0</v>
      </c>
      <c r="C4238" s="7" t="str">
        <v>趣点购浦发</v>
      </c>
      <c r="D4238" s="8">
        <v>0</v>
      </c>
      <c r="E4238" s="7">
        <v>0</v>
      </c>
      <c r="F4238" s="8">
        <v>0</v>
      </c>
      <c r="G4238" s="7">
        <v>0</v>
      </c>
      <c r="H4238" s="7">
        <v>81211.819999998</v>
      </c>
      <c r="I4238" s="7">
        <v>0</v>
      </c>
      <c r="J4238" s="8">
        <v>0</v>
      </c>
      <c r="K4238" s="9" t="str">
        <v/>
      </c>
    </row>
    <row r="4239" spans="1:11">
      <c r="A4239" t="str">
        <v/>
      </c>
      <c r="B4239" s="6">
        <v>0</v>
      </c>
      <c r="C4239" s="7" t="str">
        <v>趣点购浦发</v>
      </c>
      <c r="D4239" s="8">
        <v>0</v>
      </c>
      <c r="E4239" s="7">
        <v>0</v>
      </c>
      <c r="F4239" s="8">
        <v>0</v>
      </c>
      <c r="G4239" s="7">
        <v>0</v>
      </c>
      <c r="H4239" s="7">
        <v>81211.819999998</v>
      </c>
      <c r="I4239" s="7">
        <v>0</v>
      </c>
      <c r="J4239" s="8">
        <v>0</v>
      </c>
      <c r="K4239" s="9" t="str">
        <v/>
      </c>
    </row>
    <row r="4240" spans="1:11">
      <c r="A4240" t="str">
        <v/>
      </c>
      <c r="B4240" s="6">
        <v>0</v>
      </c>
      <c r="C4240" s="7" t="str">
        <v>趣点购浦发</v>
      </c>
      <c r="D4240" s="8">
        <v>0</v>
      </c>
      <c r="E4240" s="7">
        <v>0</v>
      </c>
      <c r="F4240" s="8">
        <v>0</v>
      </c>
      <c r="G4240" s="7">
        <v>0</v>
      </c>
      <c r="H4240" s="7">
        <v>81211.819999998</v>
      </c>
      <c r="I4240" s="7">
        <v>0</v>
      </c>
      <c r="J4240" s="8">
        <v>0</v>
      </c>
      <c r="K4240" s="9" t="str">
        <v/>
      </c>
    </row>
    <row r="4241" spans="1:11">
      <c r="A4241" t="str">
        <v/>
      </c>
      <c r="B4241" s="6">
        <v>0</v>
      </c>
      <c r="C4241" s="7" t="str">
        <v>趣点购浦发</v>
      </c>
      <c r="D4241" s="8">
        <v>0</v>
      </c>
      <c r="E4241" s="7">
        <v>0</v>
      </c>
      <c r="F4241" s="8">
        <v>0</v>
      </c>
      <c r="G4241" s="7">
        <v>0</v>
      </c>
      <c r="H4241" s="7">
        <v>81211.819999998</v>
      </c>
      <c r="I4241" s="7">
        <v>0</v>
      </c>
      <c r="J4241" s="8">
        <v>0</v>
      </c>
      <c r="K4241" s="9" t="str">
        <v/>
      </c>
    </row>
    <row r="4242" spans="1:11">
      <c r="A4242" t="str">
        <v/>
      </c>
      <c r="B4242" s="6">
        <v>0</v>
      </c>
      <c r="C4242" s="7" t="str">
        <v>趣点购浦发</v>
      </c>
      <c r="D4242" s="8">
        <v>0</v>
      </c>
      <c r="E4242" s="7">
        <v>0</v>
      </c>
      <c r="F4242" s="8">
        <v>0</v>
      </c>
      <c r="G4242" s="7">
        <v>0</v>
      </c>
      <c r="H4242" s="7">
        <v>81211.819999998</v>
      </c>
      <c r="I4242" s="7">
        <v>0</v>
      </c>
      <c r="J4242" s="8">
        <v>0</v>
      </c>
      <c r="K4242" s="9" t="str">
        <v/>
      </c>
    </row>
    <row r="4243" spans="1:11">
      <c r="A4243" t="str">
        <v/>
      </c>
      <c r="B4243" s="6">
        <v>0</v>
      </c>
      <c r="C4243" s="7" t="str">
        <v>趣点购浦发</v>
      </c>
      <c r="D4243" s="8">
        <v>0</v>
      </c>
      <c r="E4243" s="7">
        <v>0</v>
      </c>
      <c r="F4243" s="8">
        <v>0</v>
      </c>
      <c r="G4243" s="7">
        <v>0</v>
      </c>
      <c r="H4243" s="7">
        <v>81211.819999998</v>
      </c>
      <c r="I4243" s="7">
        <v>0</v>
      </c>
      <c r="J4243" s="8">
        <v>0</v>
      </c>
      <c r="K4243" s="9" t="str">
        <v/>
      </c>
    </row>
    <row r="4244" spans="1:11">
      <c r="A4244" t="str">
        <v/>
      </c>
      <c r="B4244" s="6">
        <v>0</v>
      </c>
      <c r="C4244" s="7" t="str">
        <v>趣点购浦发</v>
      </c>
      <c r="D4244" s="8">
        <v>0</v>
      </c>
      <c r="E4244" s="7">
        <v>0</v>
      </c>
      <c r="F4244" s="8">
        <v>0</v>
      </c>
      <c r="G4244" s="7">
        <v>0</v>
      </c>
      <c r="H4244" s="7">
        <v>81211.819999998</v>
      </c>
      <c r="I4244" s="7">
        <v>0</v>
      </c>
      <c r="J4244" s="8">
        <v>0</v>
      </c>
      <c r="K4244" s="9" t="str">
        <v/>
      </c>
    </row>
    <row r="4245" spans="1:11">
      <c r="A4245" t="str">
        <v/>
      </c>
      <c r="B4245" s="6">
        <v>0</v>
      </c>
      <c r="C4245" s="7" t="str">
        <v>趣点购浦发</v>
      </c>
      <c r="D4245" s="8">
        <v>0</v>
      </c>
      <c r="E4245" s="7">
        <v>0</v>
      </c>
      <c r="F4245" s="8">
        <v>0</v>
      </c>
      <c r="G4245" s="7">
        <v>0</v>
      </c>
      <c r="H4245" s="7">
        <v>81211.819999998</v>
      </c>
      <c r="I4245" s="7">
        <v>0</v>
      </c>
      <c r="J4245" s="8">
        <v>0</v>
      </c>
      <c r="K4245" s="9" t="str">
        <v/>
      </c>
    </row>
    <row r="4246" spans="1:11">
      <c r="A4246" t="str">
        <v/>
      </c>
      <c r="B4246" s="6">
        <v>0</v>
      </c>
      <c r="C4246" s="7" t="str">
        <v>趣点购浦发</v>
      </c>
      <c r="D4246" s="8">
        <v>0</v>
      </c>
      <c r="E4246" s="7">
        <v>0</v>
      </c>
      <c r="F4246" s="8">
        <v>0</v>
      </c>
      <c r="G4246" s="7">
        <v>0</v>
      </c>
      <c r="H4246" s="7">
        <v>81211.819999998</v>
      </c>
      <c r="I4246" s="7">
        <v>0</v>
      </c>
      <c r="J4246" s="8">
        <v>0</v>
      </c>
      <c r="K4246" s="9" t="str">
        <v/>
      </c>
    </row>
    <row r="4247" spans="1:11">
      <c r="A4247" t="str">
        <v/>
      </c>
      <c r="B4247" s="6">
        <v>0</v>
      </c>
      <c r="C4247" s="7" t="str">
        <v>趣点购浦发</v>
      </c>
      <c r="D4247" s="8">
        <v>0</v>
      </c>
      <c r="E4247" s="7">
        <v>0</v>
      </c>
      <c r="F4247" s="8">
        <v>0</v>
      </c>
      <c r="G4247" s="7">
        <v>0</v>
      </c>
      <c r="H4247" s="7">
        <v>81211.819999998</v>
      </c>
      <c r="I4247" s="7">
        <v>0</v>
      </c>
      <c r="J4247" s="8">
        <v>0</v>
      </c>
      <c r="K4247" s="9" t="str">
        <v/>
      </c>
    </row>
    <row r="4248" spans="1:11">
      <c r="A4248" t="str">
        <v/>
      </c>
      <c r="B4248" s="6">
        <v>0</v>
      </c>
      <c r="C4248" s="7" t="str">
        <v>趣点购浦发</v>
      </c>
      <c r="D4248" s="8">
        <v>0</v>
      </c>
      <c r="E4248" s="7">
        <v>0</v>
      </c>
      <c r="F4248" s="8">
        <v>0</v>
      </c>
      <c r="G4248" s="7">
        <v>0</v>
      </c>
      <c r="H4248" s="7">
        <v>81211.819999998</v>
      </c>
      <c r="I4248" s="7">
        <v>0</v>
      </c>
      <c r="J4248" s="8">
        <v>0</v>
      </c>
      <c r="K4248" s="9" t="str">
        <v/>
      </c>
    </row>
    <row r="4249" spans="1:11">
      <c r="A4249" t="str">
        <v/>
      </c>
      <c r="B4249" s="6">
        <v>0</v>
      </c>
      <c r="C4249" s="7" t="str">
        <v>趣点购浦发</v>
      </c>
      <c r="D4249" s="8">
        <v>0</v>
      </c>
      <c r="E4249" s="7">
        <v>0</v>
      </c>
      <c r="F4249" s="8">
        <v>0</v>
      </c>
      <c r="G4249" s="7">
        <v>0</v>
      </c>
      <c r="H4249" s="7">
        <v>81211.819999998</v>
      </c>
      <c r="I4249" s="7">
        <v>0</v>
      </c>
      <c r="J4249" s="8">
        <v>0</v>
      </c>
      <c r="K4249" s="9" t="str">
        <v/>
      </c>
    </row>
    <row r="4250" spans="1:11">
      <c r="A4250" t="str">
        <v/>
      </c>
      <c r="B4250" s="6">
        <v>0</v>
      </c>
      <c r="C4250" s="7" t="str">
        <v>趣点购浦发</v>
      </c>
      <c r="D4250" s="8">
        <v>0</v>
      </c>
      <c r="E4250" s="7">
        <v>0</v>
      </c>
      <c r="F4250" s="8">
        <v>0</v>
      </c>
      <c r="G4250" s="7">
        <v>0</v>
      </c>
      <c r="H4250" s="7">
        <v>81211.819999998</v>
      </c>
      <c r="I4250" s="7">
        <v>0</v>
      </c>
      <c r="J4250" s="8">
        <v>0</v>
      </c>
      <c r="K4250" s="9" t="str">
        <v/>
      </c>
    </row>
    <row r="4251" spans="1:11">
      <c r="A4251" t="str">
        <v/>
      </c>
      <c r="B4251" s="6">
        <v>0</v>
      </c>
      <c r="C4251" s="7" t="str">
        <v>趣点购浦发</v>
      </c>
      <c r="D4251" s="8">
        <v>0</v>
      </c>
      <c r="E4251" s="7">
        <v>0</v>
      </c>
      <c r="F4251" s="8">
        <v>0</v>
      </c>
      <c r="G4251" s="7">
        <v>0</v>
      </c>
      <c r="H4251" s="7">
        <v>81211.819999998</v>
      </c>
      <c r="I4251" s="7">
        <v>0</v>
      </c>
      <c r="J4251" s="8">
        <v>0</v>
      </c>
      <c r="K4251" s="9" t="str">
        <v/>
      </c>
    </row>
    <row r="4252" spans="1:11">
      <c r="A4252" t="str">
        <v/>
      </c>
      <c r="B4252" s="6">
        <v>0</v>
      </c>
      <c r="C4252" s="7" t="str">
        <v>趣点购浦发</v>
      </c>
      <c r="D4252" s="8">
        <v>0</v>
      </c>
      <c r="E4252" s="7">
        <v>0</v>
      </c>
      <c r="F4252" s="8">
        <v>0</v>
      </c>
      <c r="G4252" s="7">
        <v>0</v>
      </c>
      <c r="H4252" s="7">
        <v>81211.819999998</v>
      </c>
      <c r="I4252" s="7">
        <v>0</v>
      </c>
      <c r="J4252" s="8">
        <v>0</v>
      </c>
      <c r="K4252" s="9" t="str">
        <v/>
      </c>
    </row>
    <row r="4253" spans="1:11">
      <c r="A4253" t="str">
        <v/>
      </c>
      <c r="B4253" s="6">
        <v>0</v>
      </c>
      <c r="C4253" s="7" t="str">
        <v>趣点购浦发</v>
      </c>
      <c r="D4253" s="8">
        <v>0</v>
      </c>
      <c r="E4253" s="7">
        <v>0</v>
      </c>
      <c r="F4253" s="8">
        <v>0</v>
      </c>
      <c r="G4253" s="7">
        <v>0</v>
      </c>
      <c r="H4253" s="7">
        <v>81211.819999998</v>
      </c>
      <c r="I4253" s="7">
        <v>0</v>
      </c>
      <c r="J4253" s="8">
        <v>0</v>
      </c>
      <c r="K4253" s="9" t="str">
        <v/>
      </c>
    </row>
    <row r="4254" spans="1:11">
      <c r="A4254" t="str">
        <v/>
      </c>
      <c r="B4254" s="6">
        <v>0</v>
      </c>
      <c r="C4254" s="7" t="str">
        <v>趣点购浦发</v>
      </c>
      <c r="D4254" s="8">
        <v>0</v>
      </c>
      <c r="E4254" s="7">
        <v>0</v>
      </c>
      <c r="F4254" s="8">
        <v>0</v>
      </c>
      <c r="G4254" s="7">
        <v>0</v>
      </c>
      <c r="H4254" s="7">
        <v>81211.819999998</v>
      </c>
      <c r="I4254" s="7">
        <v>0</v>
      </c>
      <c r="J4254" s="8">
        <v>0</v>
      </c>
      <c r="K4254" s="9" t="str">
        <v/>
      </c>
    </row>
    <row r="4255" spans="1:11">
      <c r="A4255" t="str">
        <v/>
      </c>
      <c r="B4255" s="6">
        <v>0</v>
      </c>
      <c r="C4255" s="7" t="str">
        <v>趣点购浦发</v>
      </c>
      <c r="D4255" s="8">
        <v>0</v>
      </c>
      <c r="E4255" s="7">
        <v>0</v>
      </c>
      <c r="F4255" s="8">
        <v>0</v>
      </c>
      <c r="G4255" s="7">
        <v>0</v>
      </c>
      <c r="H4255" s="7">
        <v>81211.819999998</v>
      </c>
      <c r="I4255" s="7">
        <v>0</v>
      </c>
      <c r="J4255" s="8">
        <v>0</v>
      </c>
      <c r="K4255" s="9" t="str">
        <v/>
      </c>
    </row>
    <row r="4256" spans="1:11">
      <c r="A4256" t="str">
        <v/>
      </c>
      <c r="B4256" s="6">
        <v>0</v>
      </c>
      <c r="C4256" s="7" t="str">
        <v>趣点购浦发</v>
      </c>
      <c r="D4256" s="8">
        <v>0</v>
      </c>
      <c r="E4256" s="7">
        <v>0</v>
      </c>
      <c r="F4256" s="8">
        <v>0</v>
      </c>
      <c r="G4256" s="7">
        <v>0</v>
      </c>
      <c r="H4256" s="7">
        <v>81211.819999998</v>
      </c>
      <c r="I4256" s="7">
        <v>0</v>
      </c>
      <c r="J4256" s="8">
        <v>0</v>
      </c>
      <c r="K4256" s="9" t="str">
        <v/>
      </c>
    </row>
    <row r="4257" spans="1:11">
      <c r="A4257" t="str">
        <v/>
      </c>
      <c r="B4257" s="6">
        <v>0</v>
      </c>
      <c r="C4257" s="7" t="str">
        <v>趣点购浦发</v>
      </c>
      <c r="D4257" s="8">
        <v>0</v>
      </c>
      <c r="E4257" s="7">
        <v>0</v>
      </c>
      <c r="F4257" s="8">
        <v>0</v>
      </c>
      <c r="G4257" s="7">
        <v>0</v>
      </c>
      <c r="H4257" s="7">
        <v>81211.819999998</v>
      </c>
      <c r="I4257" s="7">
        <v>0</v>
      </c>
      <c r="J4257" s="8">
        <v>0</v>
      </c>
      <c r="K4257" s="9" t="str">
        <v/>
      </c>
    </row>
    <row r="4258" spans="1:11">
      <c r="A4258" t="str">
        <v/>
      </c>
      <c r="B4258" s="6">
        <v>0</v>
      </c>
      <c r="C4258" s="7" t="str">
        <v>趣点购浦发</v>
      </c>
      <c r="D4258" s="8">
        <v>0</v>
      </c>
      <c r="E4258" s="7">
        <v>0</v>
      </c>
      <c r="F4258" s="8">
        <v>0</v>
      </c>
      <c r="G4258" s="7">
        <v>0</v>
      </c>
      <c r="H4258" s="7">
        <v>81211.819999998</v>
      </c>
      <c r="I4258" s="7">
        <v>0</v>
      </c>
      <c r="J4258" s="8">
        <v>0</v>
      </c>
      <c r="K4258" s="9" t="str">
        <v/>
      </c>
    </row>
    <row r="4259" spans="1:11">
      <c r="A4259" t="str">
        <v/>
      </c>
      <c r="B4259" s="6">
        <v>0</v>
      </c>
      <c r="C4259" s="7" t="str">
        <v>趣点购浦发</v>
      </c>
      <c r="D4259" s="8">
        <v>0</v>
      </c>
      <c r="E4259" s="7">
        <v>0</v>
      </c>
      <c r="F4259" s="8">
        <v>0</v>
      </c>
      <c r="G4259" s="7">
        <v>0</v>
      </c>
      <c r="H4259" s="7">
        <v>81211.819999998</v>
      </c>
      <c r="I4259" s="7">
        <v>0</v>
      </c>
      <c r="J4259" s="8">
        <v>0</v>
      </c>
      <c r="K4259" s="9" t="str">
        <v/>
      </c>
    </row>
    <row r="4260" spans="1:11">
      <c r="A4260" t="str">
        <v/>
      </c>
      <c r="B4260" s="6">
        <v>0</v>
      </c>
      <c r="C4260" s="7" t="str">
        <v>趣点购浦发</v>
      </c>
      <c r="D4260" s="8">
        <v>0</v>
      </c>
      <c r="E4260" s="7">
        <v>0</v>
      </c>
      <c r="F4260" s="8">
        <v>0</v>
      </c>
      <c r="G4260" s="7">
        <v>0</v>
      </c>
      <c r="H4260" s="7">
        <v>81211.819999998</v>
      </c>
      <c r="I4260" s="7">
        <v>0</v>
      </c>
      <c r="J4260" s="8">
        <v>0</v>
      </c>
      <c r="K4260" s="9" t="str">
        <v/>
      </c>
    </row>
    <row r="4261" spans="1:11">
      <c r="A4261" t="str">
        <v/>
      </c>
      <c r="B4261" s="6">
        <v>0</v>
      </c>
      <c r="C4261" s="7" t="str">
        <v>趣点购浦发</v>
      </c>
      <c r="D4261" s="8">
        <v>0</v>
      </c>
      <c r="E4261" s="7">
        <v>0</v>
      </c>
      <c r="F4261" s="8">
        <v>0</v>
      </c>
      <c r="G4261" s="7">
        <v>0</v>
      </c>
      <c r="H4261" s="7">
        <v>81211.819999998</v>
      </c>
      <c r="I4261" s="7">
        <v>0</v>
      </c>
      <c r="J4261" s="8">
        <v>0</v>
      </c>
      <c r="K4261" s="9" t="str">
        <v/>
      </c>
    </row>
    <row r="4262" spans="1:11">
      <c r="A4262" t="str">
        <v/>
      </c>
      <c r="B4262" s="6">
        <v>0</v>
      </c>
      <c r="C4262" s="7" t="str">
        <v>趣点购浦发</v>
      </c>
      <c r="D4262" s="8">
        <v>0</v>
      </c>
      <c r="E4262" s="7">
        <v>0</v>
      </c>
      <c r="F4262" s="8">
        <v>0</v>
      </c>
      <c r="G4262" s="7">
        <v>0</v>
      </c>
      <c r="H4262" s="7">
        <v>81211.819999998</v>
      </c>
      <c r="I4262" s="7">
        <v>0</v>
      </c>
      <c r="J4262" s="8">
        <v>0</v>
      </c>
      <c r="K4262" s="9" t="str">
        <v/>
      </c>
    </row>
    <row r="4263" spans="1:11">
      <c r="A4263" t="str">
        <v/>
      </c>
      <c r="B4263" s="6">
        <v>0</v>
      </c>
      <c r="C4263" s="7" t="str">
        <v>趣点购浦发</v>
      </c>
      <c r="D4263" s="8">
        <v>0</v>
      </c>
      <c r="E4263" s="7">
        <v>0</v>
      </c>
      <c r="F4263" s="8">
        <v>0</v>
      </c>
      <c r="G4263" s="7">
        <v>0</v>
      </c>
      <c r="H4263" s="7">
        <v>81211.819999998</v>
      </c>
      <c r="I4263" s="7">
        <v>0</v>
      </c>
      <c r="J4263" s="8">
        <v>0</v>
      </c>
      <c r="K4263" s="9" t="str">
        <v/>
      </c>
    </row>
    <row r="4264" spans="1:11">
      <c r="A4264" t="str">
        <v/>
      </c>
      <c r="B4264" s="6">
        <v>0</v>
      </c>
      <c r="C4264" s="7" t="str">
        <v>趣点购浦发</v>
      </c>
      <c r="D4264" s="8">
        <v>0</v>
      </c>
      <c r="E4264" s="7">
        <v>0</v>
      </c>
      <c r="F4264" s="8">
        <v>0</v>
      </c>
      <c r="G4264" s="7">
        <v>0</v>
      </c>
      <c r="H4264" s="7">
        <v>81211.819999998</v>
      </c>
      <c r="I4264" s="7">
        <v>0</v>
      </c>
      <c r="J4264" s="8">
        <v>0</v>
      </c>
      <c r="K4264" s="9" t="str">
        <v/>
      </c>
    </row>
    <row r="4265" spans="1:11">
      <c r="A4265" t="str">
        <v/>
      </c>
      <c r="B4265" s="6">
        <v>0</v>
      </c>
      <c r="C4265" s="7" t="str">
        <v>趣点购浦发</v>
      </c>
      <c r="D4265" s="8">
        <v>0</v>
      </c>
      <c r="E4265" s="7">
        <v>0</v>
      </c>
      <c r="F4265" s="8">
        <v>0</v>
      </c>
      <c r="G4265" s="7">
        <v>0</v>
      </c>
      <c r="H4265" s="7">
        <v>81211.819999998</v>
      </c>
      <c r="I4265" s="7">
        <v>0</v>
      </c>
      <c r="J4265" s="8">
        <v>0</v>
      </c>
      <c r="K4265" s="9" t="str">
        <v/>
      </c>
    </row>
    <row r="4266" spans="1:11">
      <c r="A4266" t="str">
        <v/>
      </c>
      <c r="B4266" s="6">
        <v>0</v>
      </c>
      <c r="C4266" s="7" t="str">
        <v>趣点购浦发</v>
      </c>
      <c r="D4266" s="8">
        <v>0</v>
      </c>
      <c r="E4266" s="7">
        <v>0</v>
      </c>
      <c r="F4266" s="8">
        <v>0</v>
      </c>
      <c r="G4266" s="7">
        <v>0</v>
      </c>
      <c r="H4266" s="7">
        <v>81211.819999998</v>
      </c>
      <c r="I4266" s="7">
        <v>0</v>
      </c>
      <c r="J4266" s="8">
        <v>0</v>
      </c>
      <c r="K4266" s="9" t="str">
        <v/>
      </c>
    </row>
    <row r="4267" spans="1:11">
      <c r="A4267" t="str">
        <v/>
      </c>
      <c r="B4267" s="6">
        <v>0</v>
      </c>
      <c r="C4267" s="7" t="str">
        <v>趣点购浦发</v>
      </c>
      <c r="D4267" s="8">
        <v>0</v>
      </c>
      <c r="E4267" s="7">
        <v>0</v>
      </c>
      <c r="F4267" s="8">
        <v>0</v>
      </c>
      <c r="G4267" s="7">
        <v>0</v>
      </c>
      <c r="H4267" s="7">
        <v>81211.819999998</v>
      </c>
      <c r="I4267" s="7">
        <v>0</v>
      </c>
      <c r="J4267" s="8">
        <v>0</v>
      </c>
      <c r="K4267" s="9" t="str">
        <v/>
      </c>
    </row>
    <row r="4268" spans="1:11">
      <c r="A4268" t="str">
        <v/>
      </c>
      <c r="B4268" s="6">
        <v>0</v>
      </c>
      <c r="C4268" s="7" t="str">
        <v>趣点购浦发</v>
      </c>
      <c r="D4268" s="8">
        <v>0</v>
      </c>
      <c r="E4268" s="7">
        <v>0</v>
      </c>
      <c r="F4268" s="8">
        <v>0</v>
      </c>
      <c r="G4268" s="7">
        <v>0</v>
      </c>
      <c r="H4268" s="7">
        <v>81211.819999998</v>
      </c>
      <c r="I4268" s="7">
        <v>0</v>
      </c>
      <c r="J4268" s="8">
        <v>0</v>
      </c>
      <c r="K4268" s="9" t="str">
        <v/>
      </c>
    </row>
    <row r="4269" spans="1:11">
      <c r="A4269" t="str">
        <v/>
      </c>
      <c r="B4269" s="6">
        <v>0</v>
      </c>
      <c r="C4269" s="7" t="str">
        <v>趣点购浦发</v>
      </c>
      <c r="D4269" s="8">
        <v>0</v>
      </c>
      <c r="E4269" s="7">
        <v>0</v>
      </c>
      <c r="F4269" s="8">
        <v>0</v>
      </c>
      <c r="G4269" s="7">
        <v>0</v>
      </c>
      <c r="H4269" s="7">
        <v>81211.819999998</v>
      </c>
      <c r="I4269" s="7">
        <v>0</v>
      </c>
      <c r="J4269" s="8">
        <v>0</v>
      </c>
      <c r="K4269" s="9" t="str">
        <v/>
      </c>
    </row>
    <row r="4270" spans="1:11">
      <c r="A4270" t="str">
        <v/>
      </c>
      <c r="B4270" s="6">
        <v>0</v>
      </c>
      <c r="C4270" s="7" t="str">
        <v>趣点购浦发</v>
      </c>
      <c r="D4270" s="8">
        <v>0</v>
      </c>
      <c r="E4270" s="7">
        <v>0</v>
      </c>
      <c r="F4270" s="8">
        <v>0</v>
      </c>
      <c r="G4270" s="7">
        <v>0</v>
      </c>
      <c r="H4270" s="7">
        <v>81211.819999998</v>
      </c>
      <c r="I4270" s="7">
        <v>0</v>
      </c>
      <c r="J4270" s="8">
        <v>0</v>
      </c>
      <c r="K4270" s="9" t="str">
        <v/>
      </c>
    </row>
    <row r="4271" spans="1:11">
      <c r="A4271" t="str">
        <v/>
      </c>
      <c r="B4271" s="6">
        <v>0</v>
      </c>
      <c r="C4271" s="7" t="str">
        <v>趣点购浦发</v>
      </c>
      <c r="D4271" s="8">
        <v>0</v>
      </c>
      <c r="E4271" s="7">
        <v>0</v>
      </c>
      <c r="F4271" s="8">
        <v>0</v>
      </c>
      <c r="G4271" s="7">
        <v>0</v>
      </c>
      <c r="H4271" s="7">
        <v>81211.819999998</v>
      </c>
      <c r="I4271" s="7">
        <v>0</v>
      </c>
      <c r="J4271" s="8">
        <v>0</v>
      </c>
      <c r="K4271" s="9" t="str">
        <v/>
      </c>
    </row>
    <row r="4272" spans="1:11">
      <c r="A4272" t="str">
        <v/>
      </c>
      <c r="B4272" s="6">
        <v>0</v>
      </c>
      <c r="C4272" s="7" t="str">
        <v>趣点购浦发</v>
      </c>
      <c r="D4272" s="8">
        <v>0</v>
      </c>
      <c r="E4272" s="7">
        <v>0</v>
      </c>
      <c r="F4272" s="8">
        <v>0</v>
      </c>
      <c r="G4272" s="7">
        <v>0</v>
      </c>
      <c r="H4272" s="7">
        <v>81211.819999998</v>
      </c>
      <c r="I4272" s="7">
        <v>0</v>
      </c>
      <c r="J4272" s="8">
        <v>0</v>
      </c>
      <c r="K4272" s="9" t="str">
        <v/>
      </c>
    </row>
    <row r="4273" spans="1:11">
      <c r="A4273" t="str">
        <v/>
      </c>
      <c r="B4273" s="6">
        <v>0</v>
      </c>
      <c r="C4273" s="7" t="str">
        <v>趣点购浦发</v>
      </c>
      <c r="D4273" s="8">
        <v>0</v>
      </c>
      <c r="E4273" s="7">
        <v>0</v>
      </c>
      <c r="F4273" s="8">
        <v>0</v>
      </c>
      <c r="G4273" s="7">
        <v>0</v>
      </c>
      <c r="H4273" s="7">
        <v>81211.819999998</v>
      </c>
      <c r="I4273" s="7">
        <v>0</v>
      </c>
      <c r="J4273" s="8">
        <v>0</v>
      </c>
      <c r="K4273" s="9" t="str">
        <v/>
      </c>
    </row>
    <row r="4274" spans="1:11">
      <c r="A4274" t="str">
        <v/>
      </c>
      <c r="B4274" s="6">
        <v>0</v>
      </c>
      <c r="C4274" s="7" t="str">
        <v>趣点购浦发</v>
      </c>
      <c r="D4274" s="8">
        <v>0</v>
      </c>
      <c r="E4274" s="7">
        <v>0</v>
      </c>
      <c r="F4274" s="8">
        <v>0</v>
      </c>
      <c r="G4274" s="7">
        <v>0</v>
      </c>
      <c r="H4274" s="7">
        <v>81211.819999998</v>
      </c>
      <c r="I4274" s="7">
        <v>0</v>
      </c>
      <c r="J4274" s="8">
        <v>0</v>
      </c>
      <c r="K4274" s="9" t="str">
        <v/>
      </c>
    </row>
    <row r="4275" spans="1:11">
      <c r="A4275" t="str">
        <v/>
      </c>
      <c r="B4275" s="6">
        <v>0</v>
      </c>
      <c r="C4275" s="7" t="str">
        <v>趣点购浦发</v>
      </c>
      <c r="D4275" s="8">
        <v>0</v>
      </c>
      <c r="E4275" s="7">
        <v>0</v>
      </c>
      <c r="F4275" s="8">
        <v>0</v>
      </c>
      <c r="G4275" s="7">
        <v>0</v>
      </c>
      <c r="H4275" s="7">
        <v>81211.819999998</v>
      </c>
      <c r="I4275" s="7">
        <v>0</v>
      </c>
      <c r="J4275" s="8">
        <v>0</v>
      </c>
      <c r="K4275" s="9" t="str">
        <v/>
      </c>
    </row>
    <row r="4276" spans="1:11">
      <c r="A4276" t="str">
        <v/>
      </c>
      <c r="B4276" s="6">
        <v>0</v>
      </c>
      <c r="C4276" s="7" t="str">
        <v>趣点购浦发</v>
      </c>
      <c r="D4276" s="8">
        <v>0</v>
      </c>
      <c r="E4276" s="7">
        <v>0</v>
      </c>
      <c r="F4276" s="8">
        <v>0</v>
      </c>
      <c r="G4276" s="7">
        <v>0</v>
      </c>
      <c r="H4276" s="7">
        <v>81211.819999998</v>
      </c>
      <c r="I4276" s="7">
        <v>0</v>
      </c>
      <c r="J4276" s="8">
        <v>0</v>
      </c>
      <c r="K4276" s="9" t="str">
        <v/>
      </c>
    </row>
    <row r="4277" spans="1:11">
      <c r="A4277" t="str">
        <v/>
      </c>
      <c r="B4277" s="6">
        <v>0</v>
      </c>
      <c r="C4277" s="7" t="str">
        <v>趣点购浦发</v>
      </c>
      <c r="D4277" s="8">
        <v>0</v>
      </c>
      <c r="E4277" s="7">
        <v>0</v>
      </c>
      <c r="F4277" s="8">
        <v>0</v>
      </c>
      <c r="G4277" s="7">
        <v>0</v>
      </c>
      <c r="H4277" s="7">
        <v>81211.819999998</v>
      </c>
      <c r="I4277" s="7">
        <v>0</v>
      </c>
      <c r="J4277" s="8">
        <v>0</v>
      </c>
      <c r="K4277" s="9" t="str">
        <v/>
      </c>
    </row>
    <row r="4278" spans="1:11">
      <c r="A4278" t="str">
        <v/>
      </c>
      <c r="B4278" s="6">
        <v>0</v>
      </c>
      <c r="C4278" s="7" t="str">
        <v>趣点购浦发</v>
      </c>
      <c r="D4278" s="8">
        <v>0</v>
      </c>
      <c r="E4278" s="7">
        <v>0</v>
      </c>
      <c r="F4278" s="8">
        <v>0</v>
      </c>
      <c r="G4278" s="7">
        <v>0</v>
      </c>
      <c r="H4278" s="7">
        <v>81211.819999998</v>
      </c>
      <c r="I4278" s="7">
        <v>0</v>
      </c>
      <c r="J4278" s="8">
        <v>0</v>
      </c>
      <c r="K4278" s="9" t="str">
        <v/>
      </c>
    </row>
    <row r="4279" spans="1:11">
      <c r="A4279" t="str">
        <v/>
      </c>
      <c r="B4279" s="6">
        <v>0</v>
      </c>
      <c r="C4279" s="7" t="str">
        <v>趣点购浦发</v>
      </c>
      <c r="D4279" s="8">
        <v>0</v>
      </c>
      <c r="E4279" s="7">
        <v>0</v>
      </c>
      <c r="F4279" s="8">
        <v>0</v>
      </c>
      <c r="G4279" s="7">
        <v>0</v>
      </c>
      <c r="H4279" s="7">
        <v>81211.819999998</v>
      </c>
      <c r="I4279" s="7">
        <v>0</v>
      </c>
      <c r="J4279" s="8">
        <v>0</v>
      </c>
      <c r="K4279" s="9" t="str">
        <v/>
      </c>
    </row>
    <row r="4280" spans="1:11">
      <c r="A4280" t="str">
        <v/>
      </c>
      <c r="B4280" s="6">
        <v>0</v>
      </c>
      <c r="C4280" s="7" t="str">
        <v>趣点购浦发</v>
      </c>
      <c r="D4280" s="8">
        <v>0</v>
      </c>
      <c r="E4280" s="7">
        <v>0</v>
      </c>
      <c r="F4280" s="8">
        <v>0</v>
      </c>
      <c r="G4280" s="7">
        <v>0</v>
      </c>
      <c r="H4280" s="7">
        <v>81211.819999998</v>
      </c>
      <c r="I4280" s="7">
        <v>0</v>
      </c>
      <c r="J4280" s="8">
        <v>0</v>
      </c>
      <c r="K4280" s="9" t="str">
        <v/>
      </c>
    </row>
    <row r="4281" spans="1:11">
      <c r="A4281" t="str">
        <v/>
      </c>
      <c r="B4281" s="6">
        <v>0</v>
      </c>
      <c r="C4281" s="7" t="str">
        <v>趣点购浦发</v>
      </c>
      <c r="D4281" s="8">
        <v>0</v>
      </c>
      <c r="E4281" s="7">
        <v>0</v>
      </c>
      <c r="F4281" s="8">
        <v>0</v>
      </c>
      <c r="G4281" s="7">
        <v>0</v>
      </c>
      <c r="H4281" s="7">
        <v>81211.819999998</v>
      </c>
      <c r="I4281" s="7">
        <v>0</v>
      </c>
      <c r="J4281" s="8">
        <v>0</v>
      </c>
      <c r="K4281" s="9" t="str">
        <v/>
      </c>
    </row>
    <row r="4282" spans="1:11">
      <c r="A4282" t="str">
        <v/>
      </c>
      <c r="B4282" s="6">
        <v>0</v>
      </c>
      <c r="C4282" s="7" t="str">
        <v>趣点购浦发</v>
      </c>
      <c r="D4282" s="8">
        <v>0</v>
      </c>
      <c r="E4282" s="7">
        <v>0</v>
      </c>
      <c r="F4282" s="8">
        <v>0</v>
      </c>
      <c r="G4282" s="7">
        <v>0</v>
      </c>
      <c r="H4282" s="7">
        <v>81211.819999998</v>
      </c>
      <c r="I4282" s="7">
        <v>0</v>
      </c>
      <c r="J4282" s="8">
        <v>0</v>
      </c>
      <c r="K4282" s="9" t="str">
        <v/>
      </c>
    </row>
    <row r="4283" spans="1:11">
      <c r="A4283" t="str">
        <v/>
      </c>
      <c r="B4283" s="6">
        <v>0</v>
      </c>
      <c r="C4283" s="7" t="str">
        <v>趣点购浦发</v>
      </c>
      <c r="D4283" s="8">
        <v>0</v>
      </c>
      <c r="E4283" s="7">
        <v>0</v>
      </c>
      <c r="F4283" s="8">
        <v>0</v>
      </c>
      <c r="G4283" s="7">
        <v>0</v>
      </c>
      <c r="H4283" s="7">
        <v>81211.819999998</v>
      </c>
      <c r="I4283" s="7">
        <v>0</v>
      </c>
      <c r="J4283" s="8">
        <v>0</v>
      </c>
      <c r="K4283" s="9" t="str">
        <v/>
      </c>
    </row>
    <row r="4284" spans="1:11">
      <c r="A4284" t="str">
        <v/>
      </c>
      <c r="B4284" s="6">
        <v>0</v>
      </c>
      <c r="C4284" s="7" t="str">
        <v>趣点购浦发</v>
      </c>
      <c r="D4284" s="8">
        <v>0</v>
      </c>
      <c r="E4284" s="7">
        <v>0</v>
      </c>
      <c r="F4284" s="8">
        <v>0</v>
      </c>
      <c r="G4284" s="7">
        <v>0</v>
      </c>
      <c r="H4284" s="7">
        <v>81211.819999998</v>
      </c>
      <c r="I4284" s="7">
        <v>0</v>
      </c>
      <c r="J4284" s="8">
        <v>0</v>
      </c>
      <c r="K4284" s="9" t="str">
        <v/>
      </c>
    </row>
    <row r="4285" spans="1:11">
      <c r="A4285" t="str">
        <v/>
      </c>
      <c r="B4285" s="6">
        <v>0</v>
      </c>
      <c r="C4285" s="7" t="str">
        <v>趣点购浦发</v>
      </c>
      <c r="D4285" s="8">
        <v>0</v>
      </c>
      <c r="E4285" s="7">
        <v>0</v>
      </c>
      <c r="F4285" s="8">
        <v>0</v>
      </c>
      <c r="G4285" s="7">
        <v>0</v>
      </c>
      <c r="H4285" s="7">
        <v>81211.819999998</v>
      </c>
      <c r="I4285" s="7">
        <v>0</v>
      </c>
      <c r="J4285" s="8">
        <v>0</v>
      </c>
      <c r="K4285" s="9" t="str">
        <v/>
      </c>
    </row>
    <row r="4286" spans="1:11">
      <c r="A4286" t="str">
        <v/>
      </c>
      <c r="B4286" s="6">
        <v>0</v>
      </c>
      <c r="C4286" s="7" t="str">
        <v>趣点购浦发</v>
      </c>
      <c r="D4286" s="8">
        <v>0</v>
      </c>
      <c r="E4286" s="7">
        <v>0</v>
      </c>
      <c r="F4286" s="8">
        <v>0</v>
      </c>
      <c r="G4286" s="7">
        <v>0</v>
      </c>
      <c r="H4286" s="7">
        <v>81211.819999998</v>
      </c>
      <c r="I4286" s="7">
        <v>0</v>
      </c>
      <c r="J4286" s="8">
        <v>0</v>
      </c>
      <c r="K4286" s="9" t="str">
        <v/>
      </c>
    </row>
    <row r="4287" spans="1:11">
      <c r="A4287" t="str">
        <v/>
      </c>
      <c r="B4287" s="6">
        <v>0</v>
      </c>
      <c r="C4287" s="7" t="str">
        <v>趣点购浦发</v>
      </c>
      <c r="D4287" s="8">
        <v>0</v>
      </c>
      <c r="E4287" s="7">
        <v>0</v>
      </c>
      <c r="F4287" s="8">
        <v>0</v>
      </c>
      <c r="G4287" s="7">
        <v>0</v>
      </c>
      <c r="H4287" s="7">
        <v>81211.819999998</v>
      </c>
      <c r="I4287" s="7">
        <v>0</v>
      </c>
      <c r="J4287" s="8">
        <v>0</v>
      </c>
      <c r="K4287" s="9" t="str">
        <v/>
      </c>
    </row>
    <row r="4288" spans="1:11">
      <c r="A4288" t="str">
        <v/>
      </c>
      <c r="B4288" s="6">
        <v>0</v>
      </c>
      <c r="C4288" s="7" t="str">
        <v>趣点购浦发</v>
      </c>
      <c r="D4288" s="8">
        <v>0</v>
      </c>
      <c r="E4288" s="7">
        <v>0</v>
      </c>
      <c r="F4288" s="8">
        <v>0</v>
      </c>
      <c r="G4288" s="7">
        <v>0</v>
      </c>
      <c r="H4288" s="7">
        <v>81211.819999998</v>
      </c>
      <c r="I4288" s="7">
        <v>0</v>
      </c>
      <c r="J4288" s="8">
        <v>0</v>
      </c>
      <c r="K4288" s="9" t="str">
        <v/>
      </c>
    </row>
    <row r="4289" spans="1:11">
      <c r="A4289" t="str">
        <v/>
      </c>
      <c r="B4289" s="6">
        <v>0</v>
      </c>
      <c r="C4289" s="7" t="str">
        <v>趣点购浦发</v>
      </c>
      <c r="D4289" s="8">
        <v>0</v>
      </c>
      <c r="E4289" s="7">
        <v>0</v>
      </c>
      <c r="F4289" s="8">
        <v>0</v>
      </c>
      <c r="G4289" s="7">
        <v>0</v>
      </c>
      <c r="H4289" s="7">
        <v>81211.819999998</v>
      </c>
      <c r="I4289" s="7">
        <v>0</v>
      </c>
      <c r="J4289" s="8">
        <v>0</v>
      </c>
      <c r="K4289" s="9" t="str">
        <v/>
      </c>
    </row>
    <row r="4290" spans="1:11">
      <c r="A4290" t="str">
        <v/>
      </c>
      <c r="B4290" s="6">
        <v>0</v>
      </c>
      <c r="C4290" s="7" t="str">
        <v>趣点购浦发</v>
      </c>
      <c r="D4290" s="8">
        <v>0</v>
      </c>
      <c r="E4290" s="7">
        <v>0</v>
      </c>
      <c r="F4290" s="8">
        <v>0</v>
      </c>
      <c r="G4290" s="7">
        <v>0</v>
      </c>
      <c r="H4290" s="7">
        <v>81211.819999998</v>
      </c>
      <c r="I4290" s="7">
        <v>0</v>
      </c>
      <c r="J4290" s="8">
        <v>0</v>
      </c>
      <c r="K4290" s="9" t="str">
        <v/>
      </c>
    </row>
    <row r="4291" spans="1:11">
      <c r="A4291" t="str">
        <v/>
      </c>
      <c r="B4291" s="6">
        <v>0</v>
      </c>
      <c r="C4291" s="7" t="str">
        <v>趣点购浦发</v>
      </c>
      <c r="D4291" s="8">
        <v>0</v>
      </c>
      <c r="E4291" s="7">
        <v>0</v>
      </c>
      <c r="F4291" s="8">
        <v>0</v>
      </c>
      <c r="G4291" s="7">
        <v>0</v>
      </c>
      <c r="H4291" s="7">
        <v>81211.819999998</v>
      </c>
      <c r="I4291" s="7">
        <v>0</v>
      </c>
      <c r="J4291" s="8">
        <v>0</v>
      </c>
      <c r="K4291" s="9" t="str">
        <v/>
      </c>
    </row>
    <row r="4292" spans="1:11">
      <c r="A4292" t="str">
        <v/>
      </c>
      <c r="B4292" s="6">
        <v>0</v>
      </c>
      <c r="C4292" s="7" t="str">
        <v>趣点购浦发</v>
      </c>
      <c r="D4292" s="8">
        <v>0</v>
      </c>
      <c r="E4292" s="7">
        <v>0</v>
      </c>
      <c r="F4292" s="8">
        <v>0</v>
      </c>
      <c r="G4292" s="7">
        <v>0</v>
      </c>
      <c r="H4292" s="7">
        <v>81211.819999998</v>
      </c>
      <c r="I4292" s="7">
        <v>0</v>
      </c>
      <c r="J4292" s="8">
        <v>0</v>
      </c>
      <c r="K4292" s="9" t="str">
        <v/>
      </c>
    </row>
    <row r="4293" spans="1:11">
      <c r="A4293" t="str">
        <v/>
      </c>
      <c r="B4293" s="6">
        <v>0</v>
      </c>
      <c r="C4293" s="7" t="str">
        <v>趣点购浦发</v>
      </c>
      <c r="D4293" s="8">
        <v>0</v>
      </c>
      <c r="E4293" s="7">
        <v>0</v>
      </c>
      <c r="F4293" s="8">
        <v>0</v>
      </c>
      <c r="G4293" s="7">
        <v>0</v>
      </c>
      <c r="H4293" s="7">
        <v>81211.819999998</v>
      </c>
      <c r="I4293" s="7">
        <v>0</v>
      </c>
      <c r="J4293" s="8">
        <v>0</v>
      </c>
      <c r="K4293" s="9" t="str">
        <v/>
      </c>
    </row>
    <row r="4294" spans="1:11">
      <c r="A4294" t="str">
        <v/>
      </c>
      <c r="B4294" s="6">
        <v>0</v>
      </c>
      <c r="C4294" s="7" t="str">
        <v>趣点购浦发</v>
      </c>
      <c r="D4294" s="8">
        <v>0</v>
      </c>
      <c r="E4294" s="7">
        <v>0</v>
      </c>
      <c r="F4294" s="8">
        <v>0</v>
      </c>
      <c r="G4294" s="7">
        <v>0</v>
      </c>
      <c r="H4294" s="7">
        <v>81211.819999998</v>
      </c>
      <c r="I4294" s="7">
        <v>0</v>
      </c>
      <c r="J4294" s="8">
        <v>0</v>
      </c>
      <c r="K4294" s="9" t="str">
        <v/>
      </c>
    </row>
    <row r="4295" spans="1:11">
      <c r="A4295" t="str">
        <v/>
      </c>
      <c r="B4295" s="6">
        <v>0</v>
      </c>
      <c r="C4295" s="7" t="str">
        <v>趣点购浦发</v>
      </c>
      <c r="D4295" s="8">
        <v>0</v>
      </c>
      <c r="E4295" s="7">
        <v>0</v>
      </c>
      <c r="F4295" s="8">
        <v>0</v>
      </c>
      <c r="G4295" s="7">
        <v>0</v>
      </c>
      <c r="H4295" s="7">
        <v>81211.819999998</v>
      </c>
      <c r="I4295" s="7">
        <v>0</v>
      </c>
      <c r="J4295" s="8">
        <v>0</v>
      </c>
      <c r="K4295" s="9" t="str">
        <v/>
      </c>
    </row>
    <row r="4296" spans="1:11">
      <c r="A4296" t="str">
        <v/>
      </c>
      <c r="B4296" s="6">
        <v>0</v>
      </c>
      <c r="C4296" s="7" t="str">
        <v>趣点购浦发</v>
      </c>
      <c r="D4296" s="8">
        <v>0</v>
      </c>
      <c r="E4296" s="7">
        <v>0</v>
      </c>
      <c r="F4296" s="8">
        <v>0</v>
      </c>
      <c r="G4296" s="7">
        <v>0</v>
      </c>
      <c r="H4296" s="7">
        <v>81211.819999998</v>
      </c>
      <c r="I4296" s="7">
        <v>0</v>
      </c>
      <c r="J4296" s="8">
        <v>0</v>
      </c>
      <c r="K4296" s="9" t="str">
        <v/>
      </c>
    </row>
    <row r="4297" spans="1:11">
      <c r="A4297" t="str">
        <v/>
      </c>
      <c r="B4297" s="6">
        <v>0</v>
      </c>
      <c r="C4297" s="7" t="str">
        <v>趣点购浦发</v>
      </c>
      <c r="D4297" s="8">
        <v>0</v>
      </c>
      <c r="E4297" s="7">
        <v>0</v>
      </c>
      <c r="F4297" s="8">
        <v>0</v>
      </c>
      <c r="G4297" s="7">
        <v>0</v>
      </c>
      <c r="H4297" s="7">
        <v>81211.819999998</v>
      </c>
      <c r="I4297" s="7">
        <v>0</v>
      </c>
      <c r="J4297" s="8">
        <v>0</v>
      </c>
      <c r="K4297" s="9" t="str">
        <v/>
      </c>
    </row>
    <row r="4298" spans="1:11">
      <c r="A4298" t="str">
        <v/>
      </c>
      <c r="B4298" s="6">
        <v>0</v>
      </c>
      <c r="C4298" s="7" t="str">
        <v>趣点购浦发</v>
      </c>
      <c r="D4298" s="8">
        <v>0</v>
      </c>
      <c r="E4298" s="7">
        <v>0</v>
      </c>
      <c r="F4298" s="8">
        <v>0</v>
      </c>
      <c r="G4298" s="7">
        <v>0</v>
      </c>
      <c r="H4298" s="7">
        <v>81211.819999998</v>
      </c>
      <c r="I4298" s="7">
        <v>0</v>
      </c>
      <c r="J4298" s="8">
        <v>0</v>
      </c>
      <c r="K4298" s="9" t="str">
        <v/>
      </c>
    </row>
    <row r="4299" spans="1:11">
      <c r="A4299" t="str">
        <v/>
      </c>
      <c r="B4299" s="6">
        <v>0</v>
      </c>
      <c r="C4299" s="7" t="str">
        <v>趣点购浦发</v>
      </c>
      <c r="D4299" s="8">
        <v>0</v>
      </c>
      <c r="E4299" s="7">
        <v>0</v>
      </c>
      <c r="F4299" s="8">
        <v>0</v>
      </c>
      <c r="G4299" s="7">
        <v>0</v>
      </c>
      <c r="H4299" s="7">
        <v>81211.819999998</v>
      </c>
      <c r="I4299" s="7">
        <v>0</v>
      </c>
      <c r="J4299" s="8">
        <v>0</v>
      </c>
      <c r="K4299" s="9" t="str">
        <v/>
      </c>
    </row>
    <row r="4300" spans="1:11">
      <c r="A4300" t="str">
        <v/>
      </c>
      <c r="B4300" s="6">
        <v>0</v>
      </c>
      <c r="C4300" s="7" t="str">
        <v>趣点购浦发</v>
      </c>
      <c r="D4300" s="8">
        <v>0</v>
      </c>
      <c r="E4300" s="7">
        <v>0</v>
      </c>
      <c r="F4300" s="8">
        <v>0</v>
      </c>
      <c r="G4300" s="7">
        <v>0</v>
      </c>
      <c r="H4300" s="7">
        <v>81211.819999998</v>
      </c>
      <c r="I4300" s="7">
        <v>0</v>
      </c>
      <c r="J4300" s="8">
        <v>0</v>
      </c>
      <c r="K4300" s="9" t="str">
        <v/>
      </c>
    </row>
    <row r="4301" spans="1:11">
      <c r="A4301" t="str">
        <v/>
      </c>
      <c r="B4301" s="6">
        <v>0</v>
      </c>
      <c r="C4301" s="7" t="str">
        <v>趣点购浦发</v>
      </c>
      <c r="D4301" s="8">
        <v>0</v>
      </c>
      <c r="E4301" s="7">
        <v>0</v>
      </c>
      <c r="F4301" s="8">
        <v>0</v>
      </c>
      <c r="G4301" s="7">
        <v>0</v>
      </c>
      <c r="H4301" s="7">
        <v>81211.819999998</v>
      </c>
      <c r="I4301" s="7">
        <v>0</v>
      </c>
      <c r="J4301" s="8">
        <v>0</v>
      </c>
      <c r="K4301" s="9" t="str">
        <v/>
      </c>
    </row>
    <row r="4302" spans="1:11">
      <c r="A4302" t="str">
        <v/>
      </c>
      <c r="B4302" s="6">
        <v>0</v>
      </c>
      <c r="C4302" s="7" t="str">
        <v>趣点购浦发</v>
      </c>
      <c r="D4302" s="8">
        <v>0</v>
      </c>
      <c r="E4302" s="7">
        <v>0</v>
      </c>
      <c r="F4302" s="8">
        <v>0</v>
      </c>
      <c r="G4302" s="7">
        <v>0</v>
      </c>
      <c r="H4302" s="7">
        <v>81211.819999998</v>
      </c>
      <c r="I4302" s="7">
        <v>0</v>
      </c>
      <c r="J4302" s="8">
        <v>0</v>
      </c>
      <c r="K4302" s="9" t="str">
        <v/>
      </c>
    </row>
    <row r="4303" spans="1:11">
      <c r="A4303" t="str">
        <v/>
      </c>
      <c r="B4303" s="6">
        <v>0</v>
      </c>
      <c r="C4303" s="7" t="str">
        <v>趣点购浦发</v>
      </c>
      <c r="D4303" s="8">
        <v>0</v>
      </c>
      <c r="E4303" s="7">
        <v>0</v>
      </c>
      <c r="F4303" s="8">
        <v>0</v>
      </c>
      <c r="G4303" s="7">
        <v>0</v>
      </c>
      <c r="H4303" s="7">
        <v>81211.819999998</v>
      </c>
      <c r="I4303" s="7">
        <v>0</v>
      </c>
      <c r="J4303" s="8">
        <v>0</v>
      </c>
      <c r="K4303" s="9" t="str">
        <v/>
      </c>
    </row>
    <row r="4304" spans="1:11">
      <c r="A4304" t="str">
        <v/>
      </c>
      <c r="B4304" s="6">
        <v>0</v>
      </c>
      <c r="C4304" s="7" t="str">
        <v>趣点购浦发</v>
      </c>
      <c r="D4304" s="8">
        <v>0</v>
      </c>
      <c r="E4304" s="7">
        <v>0</v>
      </c>
      <c r="F4304" s="8">
        <v>0</v>
      </c>
      <c r="G4304" s="7">
        <v>0</v>
      </c>
      <c r="H4304" s="7">
        <v>81211.819999998</v>
      </c>
      <c r="I4304" s="7">
        <v>0</v>
      </c>
      <c r="J4304" s="8">
        <v>0</v>
      </c>
      <c r="K4304" s="9" t="str">
        <v/>
      </c>
    </row>
    <row r="4305" spans="1:11">
      <c r="A4305" t="str">
        <v/>
      </c>
      <c r="B4305" s="6">
        <v>0</v>
      </c>
      <c r="C4305" s="7" t="str">
        <v>趣点购浦发</v>
      </c>
      <c r="D4305" s="8">
        <v>0</v>
      </c>
      <c r="E4305" s="7">
        <v>0</v>
      </c>
      <c r="F4305" s="8">
        <v>0</v>
      </c>
      <c r="G4305" s="7">
        <v>0</v>
      </c>
      <c r="H4305" s="7">
        <v>81211.819999998</v>
      </c>
      <c r="I4305" s="7">
        <v>0</v>
      </c>
      <c r="J4305" s="8">
        <v>0</v>
      </c>
      <c r="K4305" s="9" t="str">
        <v/>
      </c>
    </row>
    <row r="4306" spans="1:11">
      <c r="A4306" t="str">
        <v/>
      </c>
      <c r="B4306" s="6">
        <v>0</v>
      </c>
      <c r="C4306" s="7" t="str">
        <v>趣点购浦发</v>
      </c>
      <c r="D4306" s="8">
        <v>0</v>
      </c>
      <c r="E4306" s="7">
        <v>0</v>
      </c>
      <c r="F4306" s="8">
        <v>0</v>
      </c>
      <c r="G4306" s="7">
        <v>0</v>
      </c>
      <c r="H4306" s="7">
        <v>81211.819999998</v>
      </c>
      <c r="I4306" s="7">
        <v>0</v>
      </c>
      <c r="J4306" s="8">
        <v>0</v>
      </c>
      <c r="K4306" s="9" t="str">
        <v/>
      </c>
    </row>
    <row r="4307" spans="1:11">
      <c r="A4307" t="str">
        <v/>
      </c>
      <c r="B4307" s="6">
        <v>0</v>
      </c>
      <c r="C4307" s="7" t="str">
        <v>趣点购浦发</v>
      </c>
      <c r="D4307" s="8">
        <v>0</v>
      </c>
      <c r="E4307" s="7">
        <v>0</v>
      </c>
      <c r="F4307" s="8">
        <v>0</v>
      </c>
      <c r="G4307" s="7">
        <v>0</v>
      </c>
      <c r="H4307" s="7">
        <v>81211.819999998</v>
      </c>
      <c r="I4307" s="7">
        <v>0</v>
      </c>
      <c r="J4307" s="8">
        <v>0</v>
      </c>
      <c r="K4307" s="9" t="str">
        <v/>
      </c>
    </row>
    <row r="4308" spans="1:11">
      <c r="A4308" t="str">
        <v/>
      </c>
      <c r="B4308" s="6">
        <v>0</v>
      </c>
      <c r="C4308" s="7" t="str">
        <v>趣点购浦发</v>
      </c>
      <c r="D4308" s="8">
        <v>0</v>
      </c>
      <c r="E4308" s="7">
        <v>0</v>
      </c>
      <c r="F4308" s="8">
        <v>0</v>
      </c>
      <c r="G4308" s="7">
        <v>0</v>
      </c>
      <c r="H4308" s="7">
        <v>81211.819999998</v>
      </c>
      <c r="I4308" s="7">
        <v>0</v>
      </c>
      <c r="J4308" s="8">
        <v>0</v>
      </c>
      <c r="K4308" s="9" t="str">
        <v/>
      </c>
    </row>
    <row r="4309" spans="1:11">
      <c r="A4309" t="str">
        <v/>
      </c>
      <c r="B4309" s="6">
        <v>0</v>
      </c>
      <c r="C4309" s="7" t="str">
        <v>趣点购浦发</v>
      </c>
      <c r="D4309" s="8">
        <v>0</v>
      </c>
      <c r="E4309" s="7">
        <v>0</v>
      </c>
      <c r="F4309" s="8">
        <v>0</v>
      </c>
      <c r="G4309" s="7">
        <v>0</v>
      </c>
      <c r="H4309" s="7">
        <v>81211.819999998</v>
      </c>
      <c r="I4309" s="7">
        <v>0</v>
      </c>
      <c r="J4309" s="8">
        <v>0</v>
      </c>
      <c r="K4309" s="9" t="str">
        <v/>
      </c>
    </row>
    <row r="4310" spans="1:11">
      <c r="A4310" t="str">
        <v/>
      </c>
      <c r="B4310" s="6">
        <v>0</v>
      </c>
      <c r="C4310" s="7" t="str">
        <v>趣点购浦发</v>
      </c>
      <c r="D4310" s="8">
        <v>0</v>
      </c>
      <c r="E4310" s="7">
        <v>0</v>
      </c>
      <c r="F4310" s="8">
        <v>0</v>
      </c>
      <c r="G4310" s="7">
        <v>0</v>
      </c>
      <c r="H4310" s="7">
        <v>81211.819999998</v>
      </c>
      <c r="I4310" s="7">
        <v>0</v>
      </c>
      <c r="J4310" s="8">
        <v>0</v>
      </c>
      <c r="K4310" s="9" t="str">
        <v/>
      </c>
    </row>
    <row r="4311" spans="1:11">
      <c r="A4311" t="str">
        <v/>
      </c>
      <c r="B4311" s="6">
        <v>0</v>
      </c>
      <c r="C4311" s="7" t="str">
        <v>趣点购浦发</v>
      </c>
      <c r="D4311" s="8">
        <v>0</v>
      </c>
      <c r="E4311" s="7">
        <v>0</v>
      </c>
      <c r="F4311" s="8">
        <v>0</v>
      </c>
      <c r="G4311" s="7">
        <v>0</v>
      </c>
      <c r="H4311" s="7">
        <v>81211.819999998</v>
      </c>
      <c r="I4311" s="7">
        <v>0</v>
      </c>
      <c r="J4311" s="8">
        <v>0</v>
      </c>
      <c r="K4311" s="9" t="str">
        <v/>
      </c>
    </row>
    <row r="4312" spans="1:11">
      <c r="A4312" t="str">
        <v/>
      </c>
      <c r="B4312" s="6">
        <v>0</v>
      </c>
      <c r="C4312" s="7" t="str">
        <v>趣点购浦发</v>
      </c>
      <c r="D4312" s="8">
        <v>0</v>
      </c>
      <c r="E4312" s="7">
        <v>0</v>
      </c>
      <c r="F4312" s="8">
        <v>0</v>
      </c>
      <c r="G4312" s="7">
        <v>0</v>
      </c>
      <c r="H4312" s="7">
        <v>81211.819999998</v>
      </c>
      <c r="I4312" s="7">
        <v>0</v>
      </c>
      <c r="J4312" s="8">
        <v>0</v>
      </c>
      <c r="K4312" s="9" t="str">
        <v/>
      </c>
    </row>
    <row r="4313" spans="1:11">
      <c r="A4313" t="str">
        <v/>
      </c>
      <c r="B4313" s="6">
        <v>0</v>
      </c>
      <c r="C4313" s="7" t="str">
        <v>趣点购浦发</v>
      </c>
      <c r="D4313" s="8">
        <v>0</v>
      </c>
      <c r="E4313" s="7">
        <v>0</v>
      </c>
      <c r="F4313" s="8">
        <v>0</v>
      </c>
      <c r="G4313" s="7">
        <v>0</v>
      </c>
      <c r="H4313" s="7">
        <v>81211.819999998</v>
      </c>
      <c r="I4313" s="7">
        <v>0</v>
      </c>
      <c r="J4313" s="8">
        <v>0</v>
      </c>
      <c r="K4313" s="9" t="str">
        <v/>
      </c>
    </row>
    <row r="4314" spans="1:11">
      <c r="A4314" t="str">
        <v/>
      </c>
      <c r="B4314" s="6">
        <v>0</v>
      </c>
      <c r="C4314" s="7" t="str">
        <v>趣点购浦发</v>
      </c>
      <c r="D4314" s="8">
        <v>0</v>
      </c>
      <c r="E4314" s="7">
        <v>0</v>
      </c>
      <c r="F4314" s="8">
        <v>0</v>
      </c>
      <c r="G4314" s="7">
        <v>0</v>
      </c>
      <c r="H4314" s="7">
        <v>81211.819999998</v>
      </c>
      <c r="I4314" s="7">
        <v>0</v>
      </c>
      <c r="J4314" s="8">
        <v>0</v>
      </c>
      <c r="K4314" s="9" t="str">
        <v/>
      </c>
    </row>
    <row r="4315" spans="1:11">
      <c r="A4315" t="str">
        <v/>
      </c>
      <c r="B4315" s="6">
        <v>0</v>
      </c>
      <c r="C4315" s="7" t="str">
        <v>趣点购浦发</v>
      </c>
      <c r="D4315" s="8">
        <v>0</v>
      </c>
      <c r="E4315" s="7">
        <v>0</v>
      </c>
      <c r="F4315" s="8">
        <v>0</v>
      </c>
      <c r="G4315" s="7">
        <v>0</v>
      </c>
      <c r="H4315" s="7">
        <v>81211.819999998</v>
      </c>
      <c r="I4315" s="7">
        <v>0</v>
      </c>
      <c r="J4315" s="8">
        <v>0</v>
      </c>
      <c r="K4315" s="9" t="str">
        <v/>
      </c>
    </row>
    <row r="4316" spans="1:11">
      <c r="A4316" t="str">
        <v/>
      </c>
      <c r="B4316" s="6">
        <v>0</v>
      </c>
      <c r="C4316" s="7" t="str">
        <v>趣点购浦发</v>
      </c>
      <c r="D4316" s="8">
        <v>0</v>
      </c>
      <c r="E4316" s="7">
        <v>0</v>
      </c>
      <c r="F4316" s="8">
        <v>0</v>
      </c>
      <c r="G4316" s="7">
        <v>0</v>
      </c>
      <c r="H4316" s="7">
        <v>81211.819999998</v>
      </c>
      <c r="I4316" s="7">
        <v>0</v>
      </c>
      <c r="J4316" s="8">
        <v>0</v>
      </c>
      <c r="K4316" s="9" t="str">
        <v/>
      </c>
    </row>
    <row r="4317" spans="1:11">
      <c r="A4317" t="str">
        <v/>
      </c>
      <c r="B4317" s="6">
        <v>0</v>
      </c>
      <c r="C4317" s="7" t="str">
        <v>趣点购浦发</v>
      </c>
      <c r="D4317" s="8">
        <v>0</v>
      </c>
      <c r="E4317" s="7">
        <v>0</v>
      </c>
      <c r="F4317" s="8">
        <v>0</v>
      </c>
      <c r="G4317" s="7">
        <v>0</v>
      </c>
      <c r="H4317" s="7">
        <v>81211.819999998</v>
      </c>
      <c r="I4317" s="7">
        <v>0</v>
      </c>
      <c r="J4317" s="8">
        <v>0</v>
      </c>
      <c r="K4317" s="9" t="str">
        <v/>
      </c>
    </row>
    <row r="4318" spans="1:11">
      <c r="A4318" t="str">
        <v/>
      </c>
      <c r="B4318" s="6">
        <v>0</v>
      </c>
      <c r="C4318" s="7" t="str">
        <v>趣点购浦发</v>
      </c>
      <c r="D4318" s="8">
        <v>0</v>
      </c>
      <c r="E4318" s="7">
        <v>0</v>
      </c>
      <c r="F4318" s="8">
        <v>0</v>
      </c>
      <c r="G4318" s="7">
        <v>0</v>
      </c>
      <c r="H4318" s="7">
        <v>81211.819999998</v>
      </c>
      <c r="I4318" s="7">
        <v>0</v>
      </c>
      <c r="J4318" s="8">
        <v>0</v>
      </c>
      <c r="K4318" s="9" t="str">
        <v/>
      </c>
    </row>
    <row r="4319" spans="1:11">
      <c r="A4319" t="str">
        <v/>
      </c>
      <c r="B4319" s="6">
        <v>0</v>
      </c>
      <c r="C4319" s="7" t="str">
        <v>趣点购浦发</v>
      </c>
      <c r="D4319" s="8">
        <v>0</v>
      </c>
      <c r="E4319" s="7">
        <v>0</v>
      </c>
      <c r="F4319" s="8">
        <v>0</v>
      </c>
      <c r="G4319" s="7">
        <v>0</v>
      </c>
      <c r="H4319" s="7">
        <v>81211.819999998</v>
      </c>
      <c r="I4319" s="7">
        <v>0</v>
      </c>
      <c r="J4319" s="8">
        <v>0</v>
      </c>
      <c r="K4319" s="9" t="str">
        <v/>
      </c>
    </row>
    <row r="4320" spans="1:11">
      <c r="A4320" t="str">
        <v/>
      </c>
      <c r="B4320" s="6">
        <v>0</v>
      </c>
      <c r="C4320" s="7" t="str">
        <v>趣点购浦发</v>
      </c>
      <c r="D4320" s="8">
        <v>0</v>
      </c>
      <c r="E4320" s="7">
        <v>0</v>
      </c>
      <c r="F4320" s="8">
        <v>0</v>
      </c>
      <c r="G4320" s="7">
        <v>0</v>
      </c>
      <c r="H4320" s="7">
        <v>81211.819999998</v>
      </c>
      <c r="I4320" s="7">
        <v>0</v>
      </c>
      <c r="J4320" s="8">
        <v>0</v>
      </c>
      <c r="K4320" s="9" t="str">
        <v/>
      </c>
    </row>
    <row r="4321" spans="1:11">
      <c r="A4321" t="str">
        <v/>
      </c>
      <c r="B4321" s="6">
        <v>0</v>
      </c>
      <c r="C4321" s="7" t="str">
        <v>趣点购浦发</v>
      </c>
      <c r="D4321" s="8">
        <v>0</v>
      </c>
      <c r="E4321" s="7">
        <v>0</v>
      </c>
      <c r="F4321" s="8">
        <v>0</v>
      </c>
      <c r="G4321" s="7">
        <v>0</v>
      </c>
      <c r="H4321" s="7">
        <v>81211.819999998</v>
      </c>
      <c r="I4321" s="7">
        <v>0</v>
      </c>
      <c r="J4321" s="8">
        <v>0</v>
      </c>
      <c r="K4321" s="9" t="str">
        <v/>
      </c>
    </row>
    <row r="4322" spans="1:11">
      <c r="A4322" t="str">
        <v/>
      </c>
      <c r="B4322" s="6">
        <v>0</v>
      </c>
      <c r="C4322" s="7" t="str">
        <v>趣点购浦发</v>
      </c>
      <c r="D4322" s="8">
        <v>0</v>
      </c>
      <c r="E4322" s="7">
        <v>0</v>
      </c>
      <c r="F4322" s="8">
        <v>0</v>
      </c>
      <c r="G4322" s="7">
        <v>0</v>
      </c>
      <c r="H4322" s="7">
        <v>81211.819999998</v>
      </c>
      <c r="I4322" s="7">
        <v>0</v>
      </c>
      <c r="J4322" s="8">
        <v>0</v>
      </c>
      <c r="K4322" s="9" t="str">
        <v/>
      </c>
    </row>
    <row r="4323" spans="1:11">
      <c r="A4323" t="str">
        <v/>
      </c>
      <c r="B4323" s="6">
        <v>0</v>
      </c>
      <c r="C4323" s="7" t="str">
        <v>趣点购浦发</v>
      </c>
      <c r="D4323" s="8">
        <v>0</v>
      </c>
      <c r="E4323" s="7">
        <v>0</v>
      </c>
      <c r="F4323" s="8">
        <v>0</v>
      </c>
      <c r="G4323" s="7">
        <v>0</v>
      </c>
      <c r="H4323" s="7">
        <v>81211.819999998</v>
      </c>
      <c r="I4323" s="7">
        <v>0</v>
      </c>
      <c r="J4323" s="8">
        <v>0</v>
      </c>
      <c r="K4323" s="9" t="str">
        <v/>
      </c>
    </row>
    <row r="4324" spans="1:11">
      <c r="A4324" t="str">
        <v/>
      </c>
      <c r="B4324" s="6">
        <v>0</v>
      </c>
      <c r="C4324" s="7" t="str">
        <v>趣点购浦发</v>
      </c>
      <c r="D4324" s="8">
        <v>0</v>
      </c>
      <c r="E4324" s="7">
        <v>0</v>
      </c>
      <c r="F4324" s="8">
        <v>0</v>
      </c>
      <c r="G4324" s="7">
        <v>0</v>
      </c>
      <c r="H4324" s="7">
        <v>81211.819999998</v>
      </c>
      <c r="I4324" s="7">
        <v>0</v>
      </c>
      <c r="J4324" s="8">
        <v>0</v>
      </c>
      <c r="K4324" s="9" t="str">
        <v/>
      </c>
    </row>
    <row r="4325" spans="1:11">
      <c r="A4325" t="str">
        <v/>
      </c>
      <c r="B4325" s="6">
        <v>0</v>
      </c>
      <c r="C4325" s="7" t="str">
        <v>趣点购浦发</v>
      </c>
      <c r="D4325" s="8">
        <v>0</v>
      </c>
      <c r="E4325" s="7">
        <v>0</v>
      </c>
      <c r="F4325" s="8">
        <v>0</v>
      </c>
      <c r="G4325" s="7">
        <v>0</v>
      </c>
      <c r="H4325" s="7">
        <v>81211.819999998</v>
      </c>
      <c r="I4325" s="7">
        <v>0</v>
      </c>
      <c r="J4325" s="8">
        <v>0</v>
      </c>
      <c r="K4325" s="9" t="str">
        <v/>
      </c>
    </row>
    <row r="4326" spans="1:11">
      <c r="A4326" t="str">
        <v/>
      </c>
      <c r="B4326" s="6">
        <v>0</v>
      </c>
      <c r="C4326" s="7" t="str">
        <v>趣点购浦发</v>
      </c>
      <c r="D4326" s="8">
        <v>0</v>
      </c>
      <c r="E4326" s="7">
        <v>0</v>
      </c>
      <c r="F4326" s="8">
        <v>0</v>
      </c>
      <c r="G4326" s="7">
        <v>0</v>
      </c>
      <c r="H4326" s="7">
        <v>81211.819999998</v>
      </c>
      <c r="I4326" s="7">
        <v>0</v>
      </c>
      <c r="J4326" s="8">
        <v>0</v>
      </c>
      <c r="K4326" s="9" t="str">
        <v/>
      </c>
    </row>
    <row r="4327" spans="1:11">
      <c r="A4327" t="str">
        <v/>
      </c>
      <c r="B4327" s="6">
        <v>0</v>
      </c>
      <c r="C4327" s="7" t="str">
        <v>趣点购浦发</v>
      </c>
      <c r="D4327" s="8">
        <v>0</v>
      </c>
      <c r="E4327" s="7">
        <v>0</v>
      </c>
      <c r="F4327" s="8">
        <v>0</v>
      </c>
      <c r="G4327" s="7">
        <v>0</v>
      </c>
      <c r="H4327" s="7">
        <v>81211.819999998</v>
      </c>
      <c r="I4327" s="7">
        <v>0</v>
      </c>
      <c r="J4327" s="8">
        <v>0</v>
      </c>
      <c r="K4327" s="9" t="str">
        <v/>
      </c>
    </row>
    <row r="4328" spans="1:11">
      <c r="A4328" t="str">
        <v/>
      </c>
      <c r="B4328" s="6">
        <v>0</v>
      </c>
      <c r="C4328" s="7" t="str">
        <v>趣点购浦发</v>
      </c>
      <c r="D4328" s="8">
        <v>0</v>
      </c>
      <c r="E4328" s="7">
        <v>0</v>
      </c>
      <c r="F4328" s="8">
        <v>0</v>
      </c>
      <c r="G4328" s="7">
        <v>0</v>
      </c>
      <c r="H4328" s="7">
        <v>81211.819999998</v>
      </c>
      <c r="I4328" s="7">
        <v>0</v>
      </c>
      <c r="J4328" s="8">
        <v>0</v>
      </c>
      <c r="K4328" s="9" t="str">
        <v/>
      </c>
    </row>
    <row r="4329" spans="1:11">
      <c r="A4329" t="str">
        <v/>
      </c>
      <c r="B4329" s="6">
        <v>0</v>
      </c>
      <c r="C4329" s="7" t="str">
        <v>趣点购浦发</v>
      </c>
      <c r="D4329" s="8">
        <v>0</v>
      </c>
      <c r="E4329" s="7">
        <v>0</v>
      </c>
      <c r="F4329" s="8">
        <v>0</v>
      </c>
      <c r="G4329" s="7">
        <v>0</v>
      </c>
      <c r="H4329" s="7">
        <v>81211.819999998</v>
      </c>
      <c r="I4329" s="7">
        <v>0</v>
      </c>
      <c r="J4329" s="8">
        <v>0</v>
      </c>
      <c r="K4329" s="9" t="str">
        <v/>
      </c>
    </row>
    <row r="4330" spans="1:11">
      <c r="A4330" t="str">
        <v/>
      </c>
      <c r="B4330" s="6">
        <v>0</v>
      </c>
      <c r="C4330" s="7" t="str">
        <v>趣点购浦发</v>
      </c>
      <c r="D4330" s="8">
        <v>0</v>
      </c>
      <c r="E4330" s="7">
        <v>0</v>
      </c>
      <c r="F4330" s="8">
        <v>0</v>
      </c>
      <c r="G4330" s="7">
        <v>0</v>
      </c>
      <c r="H4330" s="7">
        <v>81211.819999998</v>
      </c>
      <c r="I4330" s="7">
        <v>0</v>
      </c>
      <c r="J4330" s="8">
        <v>0</v>
      </c>
      <c r="K4330" s="9" t="str">
        <v/>
      </c>
    </row>
    <row r="4331" spans="1:11">
      <c r="A4331" t="str">
        <v/>
      </c>
      <c r="B4331" s="6">
        <v>0</v>
      </c>
      <c r="C4331" s="7" t="str">
        <v>趣点购浦发</v>
      </c>
      <c r="D4331" s="8">
        <v>0</v>
      </c>
      <c r="E4331" s="7">
        <v>0</v>
      </c>
      <c r="F4331" s="8">
        <v>0</v>
      </c>
      <c r="G4331" s="7">
        <v>0</v>
      </c>
      <c r="H4331" s="7">
        <v>81211.819999998</v>
      </c>
      <c r="I4331" s="7">
        <v>0</v>
      </c>
      <c r="J4331" s="8">
        <v>0</v>
      </c>
      <c r="K4331" s="9" t="str">
        <v/>
      </c>
    </row>
    <row r="4332" spans="1:11">
      <c r="A4332" t="str">
        <v/>
      </c>
      <c r="B4332" s="6">
        <v>0</v>
      </c>
      <c r="C4332" s="7" t="str">
        <v>趣点购浦发</v>
      </c>
      <c r="D4332" s="8">
        <v>0</v>
      </c>
      <c r="E4332" s="7">
        <v>0</v>
      </c>
      <c r="F4332" s="8">
        <v>0</v>
      </c>
      <c r="G4332" s="7">
        <v>0</v>
      </c>
      <c r="H4332" s="7">
        <v>81211.819999998</v>
      </c>
      <c r="I4332" s="7">
        <v>0</v>
      </c>
      <c r="J4332" s="8">
        <v>0</v>
      </c>
      <c r="K4332" s="9" t="str">
        <v/>
      </c>
    </row>
    <row r="4333" spans="1:11">
      <c r="A4333" t="str">
        <v/>
      </c>
      <c r="B4333" s="6">
        <v>0</v>
      </c>
      <c r="C4333" s="7" t="str">
        <v>趣点购浦发</v>
      </c>
      <c r="D4333" s="8">
        <v>0</v>
      </c>
      <c r="E4333" s="7">
        <v>0</v>
      </c>
      <c r="F4333" s="8">
        <v>0</v>
      </c>
      <c r="G4333" s="7">
        <v>0</v>
      </c>
      <c r="H4333" s="7">
        <v>81211.819999998</v>
      </c>
      <c r="I4333" s="7">
        <v>0</v>
      </c>
      <c r="J4333" s="8">
        <v>0</v>
      </c>
      <c r="K4333" s="9" t="str">
        <v/>
      </c>
    </row>
    <row r="4334" spans="1:11">
      <c r="A4334" t="str">
        <v/>
      </c>
      <c r="B4334" s="6">
        <v>0</v>
      </c>
      <c r="C4334" s="7" t="str">
        <v>趣点购浦发</v>
      </c>
      <c r="D4334" s="8">
        <v>0</v>
      </c>
      <c r="E4334" s="7">
        <v>0</v>
      </c>
      <c r="F4334" s="8">
        <v>0</v>
      </c>
      <c r="G4334" s="7">
        <v>0</v>
      </c>
      <c r="H4334" s="7">
        <v>81211.819999998</v>
      </c>
      <c r="I4334" s="7">
        <v>0</v>
      </c>
      <c r="J4334" s="8">
        <v>0</v>
      </c>
      <c r="K4334" s="9" t="str">
        <v/>
      </c>
    </row>
    <row r="4335" spans="1:11">
      <c r="A4335" t="str">
        <v/>
      </c>
      <c r="B4335" s="6">
        <v>0</v>
      </c>
      <c r="C4335" s="7" t="str">
        <v>趣点购浦发</v>
      </c>
      <c r="D4335" s="8">
        <v>0</v>
      </c>
      <c r="E4335" s="7">
        <v>0</v>
      </c>
      <c r="F4335" s="8">
        <v>0</v>
      </c>
      <c r="G4335" s="7">
        <v>0</v>
      </c>
      <c r="H4335" s="7">
        <v>81211.819999998</v>
      </c>
      <c r="I4335" s="7">
        <v>0</v>
      </c>
      <c r="J4335" s="8">
        <v>0</v>
      </c>
      <c r="K4335" s="9" t="str">
        <v/>
      </c>
    </row>
    <row r="4336" spans="1:11">
      <c r="A4336" t="str">
        <v/>
      </c>
      <c r="B4336" s="6">
        <v>0</v>
      </c>
      <c r="C4336" s="7" t="str">
        <v>趣点购浦发</v>
      </c>
      <c r="D4336" s="8">
        <v>0</v>
      </c>
      <c r="E4336" s="7">
        <v>0</v>
      </c>
      <c r="F4336" s="8">
        <v>0</v>
      </c>
      <c r="G4336" s="7">
        <v>0</v>
      </c>
      <c r="H4336" s="7">
        <v>81211.819999998</v>
      </c>
      <c r="I4336" s="7">
        <v>0</v>
      </c>
      <c r="J4336" s="8">
        <v>0</v>
      </c>
      <c r="K4336" s="9" t="str">
        <v/>
      </c>
    </row>
    <row r="4337" spans="1:11">
      <c r="A4337" t="str">
        <v/>
      </c>
      <c r="B4337" s="6">
        <v>0</v>
      </c>
      <c r="C4337" s="7" t="str">
        <v>趣点购浦发</v>
      </c>
      <c r="D4337" s="8">
        <v>0</v>
      </c>
      <c r="E4337" s="7">
        <v>0</v>
      </c>
      <c r="F4337" s="8">
        <v>0</v>
      </c>
      <c r="G4337" s="7">
        <v>0</v>
      </c>
      <c r="H4337" s="7">
        <v>81211.819999998</v>
      </c>
      <c r="I4337" s="7">
        <v>0</v>
      </c>
      <c r="J4337" s="8">
        <v>0</v>
      </c>
      <c r="K4337" s="9" t="str">
        <v/>
      </c>
    </row>
    <row r="4338" spans="1:11">
      <c r="A4338" t="str">
        <v/>
      </c>
      <c r="B4338" s="6">
        <v>0</v>
      </c>
      <c r="C4338" s="7" t="str">
        <v>趣点购浦发</v>
      </c>
      <c r="D4338" s="8">
        <v>0</v>
      </c>
      <c r="E4338" s="7">
        <v>0</v>
      </c>
      <c r="F4338" s="8">
        <v>0</v>
      </c>
      <c r="G4338" s="7">
        <v>0</v>
      </c>
      <c r="H4338" s="7">
        <v>81211.819999998</v>
      </c>
      <c r="I4338" s="7">
        <v>0</v>
      </c>
      <c r="J4338" s="8">
        <v>0</v>
      </c>
      <c r="K4338" s="9" t="str">
        <v/>
      </c>
    </row>
    <row r="4339" spans="1:11">
      <c r="A4339" t="str">
        <v/>
      </c>
      <c r="B4339" s="6">
        <v>0</v>
      </c>
      <c r="C4339" s="7" t="str">
        <v>趣点购浦发</v>
      </c>
      <c r="D4339" s="8">
        <v>0</v>
      </c>
      <c r="E4339" s="7">
        <v>0</v>
      </c>
      <c r="F4339" s="8">
        <v>0</v>
      </c>
      <c r="G4339" s="7">
        <v>0</v>
      </c>
      <c r="H4339" s="7">
        <v>81211.819999998</v>
      </c>
      <c r="I4339" s="7">
        <v>0</v>
      </c>
      <c r="J4339" s="8">
        <v>0</v>
      </c>
      <c r="K4339" s="9" t="str">
        <v/>
      </c>
    </row>
    <row r="4340" spans="1:11">
      <c r="A4340" t="str">
        <v/>
      </c>
      <c r="B4340" s="6">
        <v>0</v>
      </c>
      <c r="C4340" s="7" t="str">
        <v>趣点购浦发</v>
      </c>
      <c r="D4340" s="8">
        <v>0</v>
      </c>
      <c r="E4340" s="7">
        <v>0</v>
      </c>
      <c r="F4340" s="8">
        <v>0</v>
      </c>
      <c r="G4340" s="7">
        <v>0</v>
      </c>
      <c r="H4340" s="7">
        <v>81211.819999998</v>
      </c>
      <c r="I4340" s="7">
        <v>0</v>
      </c>
      <c r="J4340" s="8">
        <v>0</v>
      </c>
      <c r="K4340" s="9" t="str">
        <v/>
      </c>
    </row>
    <row r="4341" spans="1:11">
      <c r="A4341" t="str">
        <v/>
      </c>
      <c r="B4341" s="6">
        <v>0</v>
      </c>
      <c r="C4341" s="7" t="str">
        <v>趣点购浦发</v>
      </c>
      <c r="D4341" s="8">
        <v>0</v>
      </c>
      <c r="E4341" s="7">
        <v>0</v>
      </c>
      <c r="F4341" s="8">
        <v>0</v>
      </c>
      <c r="G4341" s="7">
        <v>0</v>
      </c>
      <c r="H4341" s="7">
        <v>81211.819999998</v>
      </c>
      <c r="I4341" s="7">
        <v>0</v>
      </c>
      <c r="J4341" s="8">
        <v>0</v>
      </c>
      <c r="K4341" s="9" t="str">
        <v/>
      </c>
    </row>
    <row r="4342" spans="1:11">
      <c r="A4342" t="str">
        <v/>
      </c>
      <c r="B4342" s="6">
        <v>0</v>
      </c>
      <c r="C4342" s="7" t="str">
        <v>趣点购浦发</v>
      </c>
      <c r="D4342" s="8">
        <v>0</v>
      </c>
      <c r="E4342" s="7">
        <v>0</v>
      </c>
      <c r="F4342" s="8">
        <v>0</v>
      </c>
      <c r="G4342" s="7">
        <v>0</v>
      </c>
      <c r="H4342" s="7">
        <v>81211.819999998</v>
      </c>
      <c r="I4342" s="7">
        <v>0</v>
      </c>
      <c r="J4342" s="8">
        <v>0</v>
      </c>
      <c r="K4342" s="9" t="str">
        <v/>
      </c>
    </row>
    <row r="4343" spans="1:11">
      <c r="A4343" t="str">
        <v/>
      </c>
      <c r="B4343" s="6">
        <v>0</v>
      </c>
      <c r="C4343" s="7" t="str">
        <v>趣点购浦发</v>
      </c>
      <c r="D4343" s="8">
        <v>0</v>
      </c>
      <c r="E4343" s="7">
        <v>0</v>
      </c>
      <c r="F4343" s="8">
        <v>0</v>
      </c>
      <c r="G4343" s="7">
        <v>0</v>
      </c>
      <c r="H4343" s="7">
        <v>81211.819999998</v>
      </c>
      <c r="I4343" s="7">
        <v>0</v>
      </c>
      <c r="J4343" s="8">
        <v>0</v>
      </c>
      <c r="K4343" s="9" t="str">
        <v/>
      </c>
    </row>
    <row r="4344" spans="1:11">
      <c r="A4344" t="str">
        <v/>
      </c>
      <c r="B4344" s="6">
        <v>0</v>
      </c>
      <c r="C4344" s="7" t="str">
        <v>趣点购浦发</v>
      </c>
      <c r="D4344" s="8">
        <v>0</v>
      </c>
      <c r="E4344" s="7">
        <v>0</v>
      </c>
      <c r="F4344" s="8">
        <v>0</v>
      </c>
      <c r="G4344" s="7">
        <v>0</v>
      </c>
      <c r="H4344" s="7">
        <v>81211.819999998</v>
      </c>
      <c r="I4344" s="7">
        <v>0</v>
      </c>
      <c r="J4344" s="8">
        <v>0</v>
      </c>
      <c r="K4344" s="9" t="str">
        <v/>
      </c>
    </row>
    <row r="4345" spans="1:11">
      <c r="A4345" t="str">
        <v/>
      </c>
      <c r="B4345" s="6">
        <v>0</v>
      </c>
      <c r="C4345" s="7" t="str">
        <v>趣点购浦发</v>
      </c>
      <c r="D4345" s="8">
        <v>0</v>
      </c>
      <c r="E4345" s="7">
        <v>0</v>
      </c>
      <c r="F4345" s="8">
        <v>0</v>
      </c>
      <c r="G4345" s="7">
        <v>0</v>
      </c>
      <c r="H4345" s="7">
        <v>81211.819999998</v>
      </c>
      <c r="I4345" s="7">
        <v>0</v>
      </c>
      <c r="J4345" s="8">
        <v>0</v>
      </c>
      <c r="K4345" s="9" t="str">
        <v/>
      </c>
    </row>
    <row r="4346" spans="1:11">
      <c r="A4346" t="str">
        <v/>
      </c>
      <c r="B4346" s="6">
        <v>0</v>
      </c>
      <c r="C4346" s="7" t="str">
        <v>趣点购浦发</v>
      </c>
      <c r="D4346" s="8">
        <v>0</v>
      </c>
      <c r="E4346" s="7">
        <v>0</v>
      </c>
      <c r="F4346" s="8">
        <v>0</v>
      </c>
      <c r="G4346" s="7">
        <v>0</v>
      </c>
      <c r="H4346" s="7">
        <v>81211.819999998</v>
      </c>
      <c r="I4346" s="7">
        <v>0</v>
      </c>
      <c r="J4346" s="8">
        <v>0</v>
      </c>
      <c r="K4346" s="9" t="str">
        <v/>
      </c>
    </row>
    <row r="4347" spans="1:11">
      <c r="A4347" t="str">
        <v/>
      </c>
      <c r="B4347" s="6">
        <v>0</v>
      </c>
      <c r="C4347" s="7" t="str">
        <v>趣点购浦发</v>
      </c>
      <c r="D4347" s="8">
        <v>0</v>
      </c>
      <c r="E4347" s="7">
        <v>0</v>
      </c>
      <c r="F4347" s="8">
        <v>0</v>
      </c>
      <c r="G4347" s="7">
        <v>0</v>
      </c>
      <c r="H4347" s="7">
        <v>81211.819999998</v>
      </c>
      <c r="I4347" s="7">
        <v>0</v>
      </c>
      <c r="J4347" s="8">
        <v>0</v>
      </c>
      <c r="K4347" s="9" t="str">
        <v/>
      </c>
    </row>
    <row r="4348" spans="1:11">
      <c r="A4348" t="str">
        <v/>
      </c>
      <c r="B4348" s="6">
        <v>0</v>
      </c>
      <c r="C4348" s="7" t="str">
        <v>趣点购浦发</v>
      </c>
      <c r="D4348" s="8">
        <v>0</v>
      </c>
      <c r="E4348" s="7">
        <v>0</v>
      </c>
      <c r="F4348" s="8">
        <v>0</v>
      </c>
      <c r="G4348" s="7">
        <v>0</v>
      </c>
      <c r="H4348" s="7">
        <v>81211.819999998</v>
      </c>
      <c r="I4348" s="7">
        <v>0</v>
      </c>
      <c r="J4348" s="8">
        <v>0</v>
      </c>
      <c r="K4348" s="9" t="str">
        <v/>
      </c>
    </row>
    <row r="4349" spans="1:11">
      <c r="A4349" t="str">
        <v/>
      </c>
      <c r="B4349" s="6">
        <v>0</v>
      </c>
      <c r="C4349" s="7" t="str">
        <v>趣点购浦发</v>
      </c>
      <c r="D4349" s="8">
        <v>0</v>
      </c>
      <c r="E4349" s="7">
        <v>0</v>
      </c>
      <c r="F4349" s="8">
        <v>0</v>
      </c>
      <c r="G4349" s="7">
        <v>0</v>
      </c>
      <c r="H4349" s="7">
        <v>81211.819999998</v>
      </c>
      <c r="I4349" s="7">
        <v>0</v>
      </c>
      <c r="J4349" s="8">
        <v>0</v>
      </c>
      <c r="K4349" s="9" t="str">
        <v/>
      </c>
    </row>
    <row r="4350" spans="1:11">
      <c r="A4350" t="str">
        <v/>
      </c>
      <c r="B4350" s="6">
        <v>0</v>
      </c>
      <c r="C4350" s="7" t="str">
        <v>趣点购浦发</v>
      </c>
      <c r="D4350" s="8">
        <v>0</v>
      </c>
      <c r="E4350" s="7">
        <v>0</v>
      </c>
      <c r="F4350" s="8">
        <v>0</v>
      </c>
      <c r="G4350" s="7">
        <v>0</v>
      </c>
      <c r="H4350" s="7">
        <v>81211.819999998</v>
      </c>
      <c r="I4350" s="7">
        <v>0</v>
      </c>
      <c r="J4350" s="8">
        <v>0</v>
      </c>
      <c r="K4350" s="9" t="str">
        <v/>
      </c>
    </row>
    <row r="4351" spans="1:11">
      <c r="A4351" t="str">
        <v/>
      </c>
      <c r="B4351" s="6">
        <v>0</v>
      </c>
      <c r="C4351" s="7" t="str">
        <v>趣点购浦发</v>
      </c>
      <c r="D4351" s="8">
        <v>0</v>
      </c>
      <c r="E4351" s="7">
        <v>0</v>
      </c>
      <c r="F4351" s="8">
        <v>0</v>
      </c>
      <c r="G4351" s="7">
        <v>0</v>
      </c>
      <c r="H4351" s="7">
        <v>81211.819999998</v>
      </c>
      <c r="I4351" s="7">
        <v>0</v>
      </c>
      <c r="J4351" s="8">
        <v>0</v>
      </c>
      <c r="K4351" s="9" t="str">
        <v/>
      </c>
    </row>
    <row r="4352" spans="1:11">
      <c r="A4352" t="str">
        <v/>
      </c>
      <c r="B4352" s="6">
        <v>0</v>
      </c>
      <c r="C4352" s="7" t="str">
        <v>趣点购浦发</v>
      </c>
      <c r="D4352" s="8">
        <v>0</v>
      </c>
      <c r="E4352" s="7">
        <v>0</v>
      </c>
      <c r="F4352" s="8">
        <v>0</v>
      </c>
      <c r="G4352" s="7">
        <v>0</v>
      </c>
      <c r="H4352" s="7">
        <v>81211.819999998</v>
      </c>
      <c r="I4352" s="7">
        <v>0</v>
      </c>
      <c r="J4352" s="8">
        <v>0</v>
      </c>
      <c r="K4352" s="9" t="str">
        <v/>
      </c>
    </row>
    <row r="4353" spans="1:11">
      <c r="A4353" t="str">
        <v/>
      </c>
      <c r="B4353" s="6">
        <v>0</v>
      </c>
      <c r="C4353" s="7" t="str">
        <v>趣点购浦发</v>
      </c>
      <c r="D4353" s="8">
        <v>0</v>
      </c>
      <c r="E4353" s="7">
        <v>0</v>
      </c>
      <c r="F4353" s="8">
        <v>0</v>
      </c>
      <c r="G4353" s="7">
        <v>0</v>
      </c>
      <c r="H4353" s="7">
        <v>81211.819999998</v>
      </c>
      <c r="I4353" s="7">
        <v>0</v>
      </c>
      <c r="J4353" s="8">
        <v>0</v>
      </c>
      <c r="K4353" s="9" t="str">
        <v/>
      </c>
    </row>
    <row r="4354" spans="1:11">
      <c r="A4354" t="str">
        <v/>
      </c>
      <c r="B4354" s="6">
        <v>0</v>
      </c>
      <c r="C4354" s="7" t="str">
        <v>趣点购浦发</v>
      </c>
      <c r="D4354" s="8">
        <v>0</v>
      </c>
      <c r="E4354" s="7">
        <v>0</v>
      </c>
      <c r="F4354" s="8">
        <v>0</v>
      </c>
      <c r="G4354" s="7">
        <v>0</v>
      </c>
      <c r="H4354" s="7">
        <v>81211.819999998</v>
      </c>
      <c r="I4354" s="7">
        <v>0</v>
      </c>
      <c r="J4354" s="8">
        <v>0</v>
      </c>
      <c r="K4354" s="9" t="str">
        <v/>
      </c>
    </row>
    <row r="4355" spans="1:11">
      <c r="A4355" t="str">
        <v/>
      </c>
      <c r="B4355" s="6">
        <v>0</v>
      </c>
      <c r="C4355" s="7" t="str">
        <v>趣点购浦发</v>
      </c>
      <c r="D4355" s="8">
        <v>0</v>
      </c>
      <c r="E4355" s="7">
        <v>0</v>
      </c>
      <c r="F4355" s="8">
        <v>0</v>
      </c>
      <c r="G4355" s="7">
        <v>0</v>
      </c>
      <c r="H4355" s="7">
        <v>81211.819999998</v>
      </c>
      <c r="I4355" s="7">
        <v>0</v>
      </c>
      <c r="J4355" s="8">
        <v>0</v>
      </c>
      <c r="K4355" s="9" t="str">
        <v/>
      </c>
    </row>
    <row r="4356" spans="1:11">
      <c r="A4356" t="str">
        <v/>
      </c>
      <c r="B4356" s="6">
        <v>0</v>
      </c>
      <c r="C4356" s="7" t="str">
        <v>趣点购浦发</v>
      </c>
      <c r="D4356" s="8">
        <v>0</v>
      </c>
      <c r="E4356" s="7">
        <v>0</v>
      </c>
      <c r="F4356" s="8">
        <v>0</v>
      </c>
      <c r="G4356" s="7">
        <v>0</v>
      </c>
      <c r="H4356" s="7">
        <v>81211.819999998</v>
      </c>
      <c r="I4356" s="7">
        <v>0</v>
      </c>
      <c r="J4356" s="8">
        <v>0</v>
      </c>
      <c r="K4356" s="9" t="str">
        <v/>
      </c>
    </row>
    <row r="4357" spans="1:11">
      <c r="A4357" t="str">
        <v/>
      </c>
      <c r="B4357" s="6">
        <v>0</v>
      </c>
      <c r="C4357" s="7" t="str">
        <v>趣点购浦发</v>
      </c>
      <c r="D4357" s="8">
        <v>0</v>
      </c>
      <c r="E4357" s="7">
        <v>0</v>
      </c>
      <c r="F4357" s="8">
        <v>0</v>
      </c>
      <c r="G4357" s="7">
        <v>0</v>
      </c>
      <c r="H4357" s="7">
        <v>81211.819999998</v>
      </c>
      <c r="I4357" s="7">
        <v>0</v>
      </c>
      <c r="J4357" s="8">
        <v>0</v>
      </c>
      <c r="K4357" s="9" t="str">
        <v/>
      </c>
    </row>
    <row r="4358" spans="1:11">
      <c r="A4358" t="str">
        <v/>
      </c>
      <c r="B4358" s="6">
        <v>0</v>
      </c>
      <c r="C4358" s="7" t="str">
        <v>趣点购浦发</v>
      </c>
      <c r="D4358" s="8">
        <v>0</v>
      </c>
      <c r="E4358" s="7">
        <v>0</v>
      </c>
      <c r="F4358" s="8">
        <v>0</v>
      </c>
      <c r="G4358" s="7">
        <v>0</v>
      </c>
      <c r="H4358" s="7">
        <v>81211.819999998</v>
      </c>
      <c r="I4358" s="7">
        <v>0</v>
      </c>
      <c r="J4358" s="8">
        <v>0</v>
      </c>
      <c r="K4358" s="9" t="str">
        <v/>
      </c>
    </row>
    <row r="4359" spans="1:11">
      <c r="A4359" t="str">
        <v/>
      </c>
      <c r="B4359" s="6">
        <v>0</v>
      </c>
      <c r="C4359" s="7" t="str">
        <v>趣点购浦发</v>
      </c>
      <c r="D4359" s="8">
        <v>0</v>
      </c>
      <c r="E4359" s="7">
        <v>0</v>
      </c>
      <c r="F4359" s="8">
        <v>0</v>
      </c>
      <c r="G4359" s="7">
        <v>0</v>
      </c>
      <c r="H4359" s="7">
        <v>81211.819999998</v>
      </c>
      <c r="I4359" s="7">
        <v>0</v>
      </c>
      <c r="J4359" s="8">
        <v>0</v>
      </c>
      <c r="K4359" s="9" t="str">
        <v/>
      </c>
    </row>
    <row r="4360" spans="1:11">
      <c r="A4360" t="str">
        <v/>
      </c>
      <c r="B4360" s="6">
        <v>0</v>
      </c>
      <c r="C4360" s="7" t="str">
        <v>趣点购浦发</v>
      </c>
      <c r="D4360" s="8">
        <v>0</v>
      </c>
      <c r="E4360" s="7">
        <v>0</v>
      </c>
      <c r="F4360" s="8">
        <v>0</v>
      </c>
      <c r="G4360" s="7">
        <v>0</v>
      </c>
      <c r="H4360" s="7">
        <v>81211.819999998</v>
      </c>
      <c r="I4360" s="7">
        <v>0</v>
      </c>
      <c r="J4360" s="8">
        <v>0</v>
      </c>
      <c r="K4360" s="9" t="str">
        <v/>
      </c>
    </row>
    <row r="4361" spans="1:11">
      <c r="A4361" t="str">
        <v/>
      </c>
      <c r="B4361" s="6">
        <v>0</v>
      </c>
      <c r="C4361" s="7" t="str">
        <v>趣点购浦发</v>
      </c>
      <c r="D4361" s="8">
        <v>0</v>
      </c>
      <c r="E4361" s="7">
        <v>0</v>
      </c>
      <c r="F4361" s="8">
        <v>0</v>
      </c>
      <c r="G4361" s="7">
        <v>0</v>
      </c>
      <c r="H4361" s="7">
        <v>81211.819999998</v>
      </c>
      <c r="I4361" s="7">
        <v>0</v>
      </c>
      <c r="J4361" s="8">
        <v>0</v>
      </c>
      <c r="K4361" s="9" t="str">
        <v/>
      </c>
    </row>
    <row r="4362" spans="1:11">
      <c r="A4362" t="str">
        <v/>
      </c>
      <c r="B4362" s="6">
        <v>0</v>
      </c>
      <c r="C4362" s="7" t="str">
        <v>趣点购浦发</v>
      </c>
      <c r="D4362" s="8">
        <v>0</v>
      </c>
      <c r="E4362" s="7">
        <v>0</v>
      </c>
      <c r="F4362" s="8">
        <v>0</v>
      </c>
      <c r="G4362" s="7">
        <v>0</v>
      </c>
      <c r="H4362" s="7">
        <v>81211.819999998</v>
      </c>
      <c r="I4362" s="7">
        <v>0</v>
      </c>
      <c r="J4362" s="8">
        <v>0</v>
      </c>
      <c r="K4362" s="9" t="str">
        <v/>
      </c>
    </row>
    <row r="4363" spans="1:11">
      <c r="A4363" t="str">
        <v/>
      </c>
      <c r="B4363" s="6">
        <v>0</v>
      </c>
      <c r="C4363" s="7" t="str">
        <v>趣点购浦发</v>
      </c>
      <c r="D4363" s="8">
        <v>0</v>
      </c>
      <c r="E4363" s="7">
        <v>0</v>
      </c>
      <c r="F4363" s="8">
        <v>0</v>
      </c>
      <c r="G4363" s="7">
        <v>0</v>
      </c>
      <c r="H4363" s="7">
        <v>81211.819999998</v>
      </c>
      <c r="I4363" s="7">
        <v>0</v>
      </c>
      <c r="J4363" s="8">
        <v>0</v>
      </c>
      <c r="K4363" s="9" t="str">
        <v/>
      </c>
    </row>
    <row r="4364" spans="1:11">
      <c r="A4364" t="str">
        <v/>
      </c>
      <c r="B4364" s="6">
        <v>0</v>
      </c>
      <c r="C4364" s="7" t="str">
        <v>趣点购浦发</v>
      </c>
      <c r="D4364" s="8">
        <v>0</v>
      </c>
      <c r="E4364" s="7">
        <v>0</v>
      </c>
      <c r="F4364" s="8">
        <v>0</v>
      </c>
      <c r="G4364" s="7">
        <v>0</v>
      </c>
      <c r="H4364" s="7">
        <v>81211.819999998</v>
      </c>
      <c r="I4364" s="7">
        <v>0</v>
      </c>
      <c r="J4364" s="8">
        <v>0</v>
      </c>
      <c r="K4364" s="9" t="str">
        <v/>
      </c>
    </row>
    <row r="4365" spans="1:11">
      <c r="A4365" t="str">
        <v/>
      </c>
      <c r="B4365" s="6">
        <v>0</v>
      </c>
      <c r="C4365" s="7" t="str">
        <v>趣点购浦发</v>
      </c>
      <c r="D4365" s="8">
        <v>0</v>
      </c>
      <c r="E4365" s="7">
        <v>0</v>
      </c>
      <c r="F4365" s="8">
        <v>0</v>
      </c>
      <c r="G4365" s="7">
        <v>0</v>
      </c>
      <c r="H4365" s="7">
        <v>81211.819999998</v>
      </c>
      <c r="I4365" s="7">
        <v>0</v>
      </c>
      <c r="J4365" s="8">
        <v>0</v>
      </c>
      <c r="K4365" s="9" t="str">
        <v/>
      </c>
    </row>
    <row r="4366" spans="1:11">
      <c r="A4366" t="str">
        <v/>
      </c>
      <c r="B4366" s="6">
        <v>0</v>
      </c>
      <c r="C4366" s="7" t="str">
        <v>趣点购浦发</v>
      </c>
      <c r="D4366" s="8">
        <v>0</v>
      </c>
      <c r="E4366" s="7">
        <v>0</v>
      </c>
      <c r="F4366" s="8">
        <v>0</v>
      </c>
      <c r="G4366" s="7">
        <v>0</v>
      </c>
      <c r="H4366" s="7">
        <v>81211.819999998</v>
      </c>
      <c r="I4366" s="7">
        <v>0</v>
      </c>
      <c r="J4366" s="8">
        <v>0</v>
      </c>
      <c r="K4366" s="9" t="str">
        <v/>
      </c>
    </row>
    <row r="4367" spans="1:11">
      <c r="A4367" t="str">
        <v/>
      </c>
      <c r="B4367" s="6">
        <v>0</v>
      </c>
      <c r="C4367" s="7" t="str">
        <v>趣点购浦发</v>
      </c>
      <c r="D4367" s="8">
        <v>0</v>
      </c>
      <c r="E4367" s="7">
        <v>0</v>
      </c>
      <c r="F4367" s="8">
        <v>0</v>
      </c>
      <c r="G4367" s="7">
        <v>0</v>
      </c>
      <c r="H4367" s="7">
        <v>81211.819999998</v>
      </c>
      <c r="I4367" s="7">
        <v>0</v>
      </c>
      <c r="J4367" s="8">
        <v>0</v>
      </c>
      <c r="K4367" s="9" t="str">
        <v/>
      </c>
    </row>
    <row r="4368" spans="1:11">
      <c r="A4368" t="str">
        <v/>
      </c>
      <c r="B4368" s="6">
        <v>0</v>
      </c>
      <c r="C4368" s="7" t="str">
        <v>趣点购浦发</v>
      </c>
      <c r="D4368" s="8">
        <v>0</v>
      </c>
      <c r="E4368" s="7">
        <v>0</v>
      </c>
      <c r="F4368" s="8">
        <v>0</v>
      </c>
      <c r="G4368" s="7">
        <v>0</v>
      </c>
      <c r="H4368" s="7">
        <v>81211.819999998</v>
      </c>
      <c r="I4368" s="7">
        <v>0</v>
      </c>
      <c r="J4368" s="8">
        <v>0</v>
      </c>
      <c r="K4368" s="9" t="str">
        <v/>
      </c>
    </row>
    <row r="4369" spans="1:11">
      <c r="A4369" t="str">
        <v/>
      </c>
      <c r="B4369" s="6">
        <v>0</v>
      </c>
      <c r="C4369" s="7" t="str">
        <v>趣点购浦发</v>
      </c>
      <c r="D4369" s="8">
        <v>0</v>
      </c>
      <c r="E4369" s="7">
        <v>0</v>
      </c>
      <c r="F4369" s="8">
        <v>0</v>
      </c>
      <c r="G4369" s="7">
        <v>0</v>
      </c>
      <c r="H4369" s="7">
        <v>81211.819999998</v>
      </c>
      <c r="I4369" s="7">
        <v>0</v>
      </c>
      <c r="J4369" s="8">
        <v>0</v>
      </c>
      <c r="K4369" s="9" t="str">
        <v/>
      </c>
    </row>
    <row r="4370" spans="1:11">
      <c r="A4370" t="str">
        <v/>
      </c>
      <c r="B4370" s="6">
        <v>0</v>
      </c>
      <c r="C4370" s="7" t="str">
        <v>趣点购浦发</v>
      </c>
      <c r="D4370" s="8">
        <v>0</v>
      </c>
      <c r="E4370" s="7">
        <v>0</v>
      </c>
      <c r="F4370" s="8">
        <v>0</v>
      </c>
      <c r="G4370" s="7">
        <v>0</v>
      </c>
      <c r="H4370" s="7">
        <v>81211.819999998</v>
      </c>
      <c r="I4370" s="7">
        <v>0</v>
      </c>
      <c r="J4370" s="8">
        <v>0</v>
      </c>
      <c r="K4370" s="9" t="str">
        <v/>
      </c>
    </row>
    <row r="4371" spans="1:11">
      <c r="A4371" t="str">
        <v/>
      </c>
      <c r="B4371" s="6">
        <v>0</v>
      </c>
      <c r="C4371" s="7" t="str">
        <v>趣点购浦发</v>
      </c>
      <c r="D4371" s="8">
        <v>0</v>
      </c>
      <c r="E4371" s="7">
        <v>0</v>
      </c>
      <c r="F4371" s="8">
        <v>0</v>
      </c>
      <c r="G4371" s="7">
        <v>0</v>
      </c>
      <c r="H4371" s="7">
        <v>81211.819999998</v>
      </c>
      <c r="I4371" s="7">
        <v>0</v>
      </c>
      <c r="J4371" s="8">
        <v>0</v>
      </c>
      <c r="K4371" s="9" t="str">
        <v/>
      </c>
    </row>
    <row r="4372" spans="1:11">
      <c r="A4372" t="str">
        <v/>
      </c>
      <c r="B4372" s="6">
        <v>0</v>
      </c>
      <c r="C4372" s="7" t="str">
        <v>趣点购浦发</v>
      </c>
      <c r="D4372" s="8">
        <v>0</v>
      </c>
      <c r="E4372" s="7">
        <v>0</v>
      </c>
      <c r="F4372" s="8">
        <v>0</v>
      </c>
      <c r="G4372" s="7">
        <v>0</v>
      </c>
      <c r="H4372" s="7">
        <v>81211.819999998</v>
      </c>
      <c r="I4372" s="7">
        <v>0</v>
      </c>
      <c r="J4372" s="8">
        <v>0</v>
      </c>
      <c r="K4372" s="9" t="str">
        <v/>
      </c>
    </row>
    <row r="4373" spans="1:11">
      <c r="A4373" t="str">
        <v/>
      </c>
      <c r="B4373" s="6">
        <v>0</v>
      </c>
      <c r="C4373" s="7" t="str">
        <v>趣点购浦发</v>
      </c>
      <c r="D4373" s="8">
        <v>0</v>
      </c>
      <c r="E4373" s="7">
        <v>0</v>
      </c>
      <c r="F4373" s="8">
        <v>0</v>
      </c>
      <c r="G4373" s="7">
        <v>0</v>
      </c>
      <c r="H4373" s="7">
        <v>81211.819999998</v>
      </c>
      <c r="I4373" s="7">
        <v>0</v>
      </c>
      <c r="J4373" s="8">
        <v>0</v>
      </c>
      <c r="K4373" s="9" t="str">
        <v/>
      </c>
    </row>
    <row r="4374" spans="1:11">
      <c r="A4374" t="str">
        <v/>
      </c>
      <c r="B4374" s="6">
        <v>0</v>
      </c>
      <c r="C4374" s="7" t="str">
        <v>趣点购浦发</v>
      </c>
      <c r="D4374" s="8">
        <v>0</v>
      </c>
      <c r="E4374" s="7">
        <v>0</v>
      </c>
      <c r="F4374" s="8">
        <v>0</v>
      </c>
      <c r="G4374" s="7">
        <v>0</v>
      </c>
      <c r="H4374" s="7">
        <v>81211.819999998</v>
      </c>
      <c r="I4374" s="7">
        <v>0</v>
      </c>
      <c r="J4374" s="8">
        <v>0</v>
      </c>
      <c r="K4374" s="9" t="str">
        <v/>
      </c>
    </row>
    <row r="4375" spans="1:11">
      <c r="A4375" t="str">
        <v/>
      </c>
      <c r="B4375" s="6">
        <v>0</v>
      </c>
      <c r="C4375" s="7" t="str">
        <v>趣点购浦发</v>
      </c>
      <c r="D4375" s="8">
        <v>0</v>
      </c>
      <c r="E4375" s="7">
        <v>0</v>
      </c>
      <c r="F4375" s="8">
        <v>0</v>
      </c>
      <c r="G4375" s="7">
        <v>0</v>
      </c>
      <c r="H4375" s="7">
        <v>81211.819999998</v>
      </c>
      <c r="I4375" s="7">
        <v>0</v>
      </c>
      <c r="J4375" s="8">
        <v>0</v>
      </c>
      <c r="K4375" s="9" t="str">
        <v/>
      </c>
    </row>
    <row r="4376" spans="1:11">
      <c r="A4376" t="str">
        <v/>
      </c>
      <c r="B4376" s="6">
        <v>0</v>
      </c>
      <c r="C4376" s="7" t="str">
        <v>趣点购浦发</v>
      </c>
      <c r="D4376" s="8">
        <v>0</v>
      </c>
      <c r="E4376" s="7">
        <v>0</v>
      </c>
      <c r="F4376" s="8">
        <v>0</v>
      </c>
      <c r="G4376" s="7">
        <v>0</v>
      </c>
      <c r="H4376" s="7">
        <v>81211.819999998</v>
      </c>
      <c r="I4376" s="7">
        <v>0</v>
      </c>
      <c r="J4376" s="8">
        <v>0</v>
      </c>
      <c r="K4376" s="9" t="str">
        <v/>
      </c>
    </row>
    <row r="4377" spans="1:11">
      <c r="A4377" t="str">
        <v/>
      </c>
      <c r="B4377" s="6">
        <v>0</v>
      </c>
      <c r="C4377" s="7" t="str">
        <v>趣点购浦发</v>
      </c>
      <c r="D4377" s="8">
        <v>0</v>
      </c>
      <c r="E4377" s="7">
        <v>0</v>
      </c>
      <c r="F4377" s="8">
        <v>0</v>
      </c>
      <c r="G4377" s="7">
        <v>0</v>
      </c>
      <c r="H4377" s="7">
        <v>81211.819999998</v>
      </c>
      <c r="I4377" s="7">
        <v>0</v>
      </c>
      <c r="J4377" s="8">
        <v>0</v>
      </c>
      <c r="K4377" s="9" t="str">
        <v/>
      </c>
    </row>
    <row r="4378" spans="1:11">
      <c r="A4378" t="str">
        <v/>
      </c>
      <c r="B4378" s="6">
        <v>0</v>
      </c>
      <c r="C4378" s="7" t="str">
        <v>趣点购浦发</v>
      </c>
      <c r="D4378" s="8">
        <v>0</v>
      </c>
      <c r="E4378" s="7">
        <v>0</v>
      </c>
      <c r="F4378" s="8">
        <v>0</v>
      </c>
      <c r="G4378" s="7">
        <v>0</v>
      </c>
      <c r="H4378" s="7">
        <v>81211.819999998</v>
      </c>
      <c r="I4378" s="7">
        <v>0</v>
      </c>
      <c r="J4378" s="8">
        <v>0</v>
      </c>
      <c r="K4378" s="9" t="str">
        <v/>
      </c>
    </row>
    <row r="4379" spans="1:11">
      <c r="A4379" t="str">
        <v/>
      </c>
      <c r="B4379" s="6">
        <v>0</v>
      </c>
      <c r="C4379" s="7" t="str">
        <v>趣点购浦发</v>
      </c>
      <c r="D4379" s="8">
        <v>0</v>
      </c>
      <c r="E4379" s="7">
        <v>0</v>
      </c>
      <c r="F4379" s="8">
        <v>0</v>
      </c>
      <c r="G4379" s="7">
        <v>0</v>
      </c>
      <c r="H4379" s="7">
        <v>81211.819999998</v>
      </c>
      <c r="I4379" s="7">
        <v>0</v>
      </c>
      <c r="J4379" s="8">
        <v>0</v>
      </c>
      <c r="K4379" s="9" t="str">
        <v/>
      </c>
    </row>
    <row r="4380" spans="1:11">
      <c r="A4380" t="str">
        <v/>
      </c>
      <c r="B4380" s="6">
        <v>0</v>
      </c>
      <c r="C4380" s="7" t="str">
        <v>趣点购浦发</v>
      </c>
      <c r="D4380" s="8">
        <v>0</v>
      </c>
      <c r="E4380" s="7">
        <v>0</v>
      </c>
      <c r="F4380" s="8">
        <v>0</v>
      </c>
      <c r="G4380" s="7">
        <v>0</v>
      </c>
      <c r="H4380" s="7">
        <v>81211.819999998</v>
      </c>
      <c r="I4380" s="7">
        <v>0</v>
      </c>
      <c r="J4380" s="8">
        <v>0</v>
      </c>
      <c r="K4380" s="9" t="str">
        <v/>
      </c>
    </row>
    <row r="4381" spans="1:11">
      <c r="A4381" t="str">
        <v/>
      </c>
      <c r="B4381" s="6">
        <v>0</v>
      </c>
      <c r="C4381" s="7" t="str">
        <v>趣点购浦发</v>
      </c>
      <c r="D4381" s="8">
        <v>0</v>
      </c>
      <c r="E4381" s="7">
        <v>0</v>
      </c>
      <c r="F4381" s="8">
        <v>0</v>
      </c>
      <c r="G4381" s="7">
        <v>0</v>
      </c>
      <c r="H4381" s="7">
        <v>81211.819999998</v>
      </c>
      <c r="I4381" s="7">
        <v>0</v>
      </c>
      <c r="J4381" s="8">
        <v>0</v>
      </c>
      <c r="K4381" s="9" t="str">
        <v/>
      </c>
    </row>
    <row r="4382" spans="1:11">
      <c r="A4382" t="str">
        <v/>
      </c>
      <c r="B4382" s="6">
        <v>0</v>
      </c>
      <c r="C4382" s="7" t="str">
        <v>趣点购浦发</v>
      </c>
      <c r="D4382" s="8">
        <v>0</v>
      </c>
      <c r="E4382" s="7">
        <v>0</v>
      </c>
      <c r="F4382" s="8">
        <v>0</v>
      </c>
      <c r="G4382" s="7">
        <v>0</v>
      </c>
      <c r="H4382" s="7">
        <v>81211.819999998</v>
      </c>
      <c r="I4382" s="7">
        <v>0</v>
      </c>
      <c r="J4382" s="8">
        <v>0</v>
      </c>
      <c r="K4382" s="9" t="str">
        <v/>
      </c>
    </row>
    <row r="4383" spans="1:11">
      <c r="A4383" t="str">
        <v/>
      </c>
      <c r="B4383" s="6">
        <v>0</v>
      </c>
      <c r="C4383" s="7" t="str">
        <v>趣点购浦发</v>
      </c>
      <c r="D4383" s="8">
        <v>0</v>
      </c>
      <c r="E4383" s="7">
        <v>0</v>
      </c>
      <c r="F4383" s="8">
        <v>0</v>
      </c>
      <c r="G4383" s="7">
        <v>0</v>
      </c>
      <c r="H4383" s="7">
        <v>81211.819999998</v>
      </c>
      <c r="I4383" s="7">
        <v>0</v>
      </c>
      <c r="J4383" s="8">
        <v>0</v>
      </c>
      <c r="K4383" s="9" t="str">
        <v/>
      </c>
    </row>
    <row r="4384" spans="1:11">
      <c r="A4384" t="str">
        <v/>
      </c>
      <c r="B4384" s="6">
        <v>0</v>
      </c>
      <c r="C4384" s="7" t="str">
        <v>趣点购浦发</v>
      </c>
      <c r="D4384" s="8">
        <v>0</v>
      </c>
      <c r="E4384" s="7">
        <v>0</v>
      </c>
      <c r="F4384" s="8">
        <v>0</v>
      </c>
      <c r="G4384" s="7">
        <v>0</v>
      </c>
      <c r="H4384" s="7">
        <v>81211.819999998</v>
      </c>
      <c r="I4384" s="7">
        <v>0</v>
      </c>
      <c r="J4384" s="8">
        <v>0</v>
      </c>
      <c r="K4384" s="9" t="str">
        <v/>
      </c>
    </row>
    <row r="4385" spans="1:11">
      <c r="A4385" t="str">
        <v/>
      </c>
      <c r="B4385" s="6">
        <v>0</v>
      </c>
      <c r="C4385" s="7" t="str">
        <v>趣点购浦发</v>
      </c>
      <c r="D4385" s="8">
        <v>0</v>
      </c>
      <c r="E4385" s="7">
        <v>0</v>
      </c>
      <c r="F4385" s="8">
        <v>0</v>
      </c>
      <c r="G4385" s="7">
        <v>0</v>
      </c>
      <c r="H4385" s="7">
        <v>81211.819999998</v>
      </c>
      <c r="I4385" s="7">
        <v>0</v>
      </c>
      <c r="J4385" s="8">
        <v>0</v>
      </c>
      <c r="K4385" s="9" t="str">
        <v/>
      </c>
    </row>
    <row r="4386" spans="1:11">
      <c r="A4386" t="str">
        <v/>
      </c>
      <c r="B4386" s="6">
        <v>0</v>
      </c>
      <c r="C4386" s="7" t="str">
        <v>趣点购浦发</v>
      </c>
      <c r="D4386" s="8">
        <v>0</v>
      </c>
      <c r="E4386" s="7">
        <v>0</v>
      </c>
      <c r="F4386" s="8">
        <v>0</v>
      </c>
      <c r="G4386" s="7">
        <v>0</v>
      </c>
      <c r="H4386" s="7">
        <v>81211.819999998</v>
      </c>
      <c r="I4386" s="7">
        <v>0</v>
      </c>
      <c r="J4386" s="8">
        <v>0</v>
      </c>
      <c r="K4386" s="9" t="str">
        <v/>
      </c>
    </row>
    <row r="4387" spans="1:11">
      <c r="A4387" t="str">
        <v/>
      </c>
      <c r="B4387" s="6">
        <v>0</v>
      </c>
      <c r="C4387" s="7" t="str">
        <v>趣点购浦发</v>
      </c>
      <c r="D4387" s="8">
        <v>0</v>
      </c>
      <c r="E4387" s="7">
        <v>0</v>
      </c>
      <c r="F4387" s="8">
        <v>0</v>
      </c>
      <c r="G4387" s="7">
        <v>0</v>
      </c>
      <c r="H4387" s="7">
        <v>81211.819999998</v>
      </c>
      <c r="I4387" s="7">
        <v>0</v>
      </c>
      <c r="J4387" s="8">
        <v>0</v>
      </c>
      <c r="K4387" s="9" t="str">
        <v/>
      </c>
    </row>
    <row r="4388" spans="1:11">
      <c r="A4388" t="str">
        <v/>
      </c>
      <c r="B4388" s="6">
        <v>0</v>
      </c>
      <c r="C4388" s="7" t="str">
        <v>趣点购浦发</v>
      </c>
      <c r="D4388" s="8">
        <v>0</v>
      </c>
      <c r="E4388" s="7">
        <v>0</v>
      </c>
      <c r="F4388" s="8">
        <v>0</v>
      </c>
      <c r="G4388" s="7">
        <v>0</v>
      </c>
      <c r="H4388" s="7">
        <v>81211.819999998</v>
      </c>
      <c r="I4388" s="7">
        <v>0</v>
      </c>
      <c r="J4388" s="8">
        <v>0</v>
      </c>
      <c r="K4388" s="9" t="str">
        <v/>
      </c>
    </row>
    <row r="4389" spans="1:11">
      <c r="A4389" t="str">
        <v/>
      </c>
      <c r="B4389" s="6">
        <v>0</v>
      </c>
      <c r="C4389" s="7" t="str">
        <v>趣点购浦发</v>
      </c>
      <c r="D4389" s="8">
        <v>0</v>
      </c>
      <c r="E4389" s="7">
        <v>0</v>
      </c>
      <c r="F4389" s="8">
        <v>0</v>
      </c>
      <c r="G4389" s="7">
        <v>0</v>
      </c>
      <c r="H4389" s="7">
        <v>81211.819999998</v>
      </c>
      <c r="I4389" s="7">
        <v>0</v>
      </c>
      <c r="J4389" s="8">
        <v>0</v>
      </c>
      <c r="K4389" s="9" t="str">
        <v/>
      </c>
    </row>
    <row r="4390" spans="1:11">
      <c r="A4390" t="str">
        <v/>
      </c>
      <c r="B4390" s="6">
        <v>0</v>
      </c>
      <c r="C4390" s="7" t="str">
        <v>趣点购浦发</v>
      </c>
      <c r="D4390" s="8">
        <v>0</v>
      </c>
      <c r="E4390" s="7">
        <v>0</v>
      </c>
      <c r="F4390" s="8">
        <v>0</v>
      </c>
      <c r="G4390" s="7">
        <v>0</v>
      </c>
      <c r="H4390" s="7">
        <v>81211.819999998</v>
      </c>
      <c r="I4390" s="7">
        <v>0</v>
      </c>
      <c r="J4390" s="8">
        <v>0</v>
      </c>
      <c r="K4390" s="9" t="str">
        <v/>
      </c>
    </row>
    <row r="4391" spans="1:11">
      <c r="A4391" t="str">
        <v/>
      </c>
      <c r="B4391" s="6">
        <v>0</v>
      </c>
      <c r="C4391" s="7" t="str">
        <v>趣点购浦发</v>
      </c>
      <c r="D4391" s="8">
        <v>0</v>
      </c>
      <c r="E4391" s="7">
        <v>0</v>
      </c>
      <c r="F4391" s="8">
        <v>0</v>
      </c>
      <c r="G4391" s="7">
        <v>0</v>
      </c>
      <c r="H4391" s="7">
        <v>81211.819999998</v>
      </c>
      <c r="I4391" s="7">
        <v>0</v>
      </c>
      <c r="J4391" s="8">
        <v>0</v>
      </c>
      <c r="K4391" s="9" t="str">
        <v/>
      </c>
    </row>
    <row r="4392" spans="1:11">
      <c r="A4392" t="str">
        <v/>
      </c>
      <c r="B4392" s="6">
        <v>0</v>
      </c>
      <c r="C4392" s="7" t="str">
        <v>趣点购浦发</v>
      </c>
      <c r="D4392" s="8">
        <v>0</v>
      </c>
      <c r="E4392" s="7">
        <v>0</v>
      </c>
      <c r="F4392" s="8">
        <v>0</v>
      </c>
      <c r="G4392" s="7">
        <v>0</v>
      </c>
      <c r="H4392" s="7">
        <v>81211.819999998</v>
      </c>
      <c r="I4392" s="7">
        <v>0</v>
      </c>
      <c r="J4392" s="8">
        <v>0</v>
      </c>
      <c r="K4392" s="9" t="str">
        <v/>
      </c>
    </row>
    <row r="4393" spans="1:11">
      <c r="A4393" t="str">
        <v/>
      </c>
      <c r="B4393" s="6">
        <v>0</v>
      </c>
      <c r="C4393" s="7" t="str">
        <v>趣点购浦发</v>
      </c>
      <c r="D4393" s="8">
        <v>0</v>
      </c>
      <c r="E4393" s="7">
        <v>0</v>
      </c>
      <c r="F4393" s="8">
        <v>0</v>
      </c>
      <c r="G4393" s="7">
        <v>0</v>
      </c>
      <c r="H4393" s="7">
        <v>81211.819999998</v>
      </c>
      <c r="I4393" s="7">
        <v>0</v>
      </c>
      <c r="J4393" s="8">
        <v>0</v>
      </c>
      <c r="K4393" s="9" t="str">
        <v/>
      </c>
    </row>
    <row r="4394" spans="1:11">
      <c r="A4394" t="str">
        <v/>
      </c>
      <c r="B4394" s="6">
        <v>0</v>
      </c>
      <c r="C4394" s="7" t="str">
        <v>趣点购浦发</v>
      </c>
      <c r="D4394" s="8">
        <v>0</v>
      </c>
      <c r="E4394" s="7">
        <v>0</v>
      </c>
      <c r="F4394" s="8">
        <v>0</v>
      </c>
      <c r="G4394" s="7">
        <v>0</v>
      </c>
      <c r="H4394" s="7">
        <v>81211.819999998</v>
      </c>
      <c r="I4394" s="7">
        <v>0</v>
      </c>
      <c r="J4394" s="8">
        <v>0</v>
      </c>
      <c r="K4394" s="9" t="str">
        <v/>
      </c>
    </row>
    <row r="4395" spans="1:11">
      <c r="A4395" t="str">
        <v/>
      </c>
      <c r="B4395" s="6">
        <v>0</v>
      </c>
      <c r="C4395" s="7" t="str">
        <v>趣点购浦发</v>
      </c>
      <c r="D4395" s="8">
        <v>0</v>
      </c>
      <c r="E4395" s="7">
        <v>0</v>
      </c>
      <c r="F4395" s="8">
        <v>0</v>
      </c>
      <c r="G4395" s="7">
        <v>0</v>
      </c>
      <c r="H4395" s="7">
        <v>81211.819999998</v>
      </c>
      <c r="I4395" s="7">
        <v>0</v>
      </c>
      <c r="J4395" s="8">
        <v>0</v>
      </c>
      <c r="K4395" s="9" t="str">
        <v/>
      </c>
    </row>
    <row r="4396" spans="1:11">
      <c r="A4396" t="str">
        <v/>
      </c>
      <c r="B4396" s="6">
        <v>0</v>
      </c>
      <c r="C4396" s="7" t="str">
        <v>趣点购浦发</v>
      </c>
      <c r="D4396" s="8">
        <v>0</v>
      </c>
      <c r="E4396" s="7">
        <v>0</v>
      </c>
      <c r="F4396" s="8">
        <v>0</v>
      </c>
      <c r="G4396" s="7">
        <v>0</v>
      </c>
      <c r="H4396" s="7">
        <v>81211.819999998</v>
      </c>
      <c r="I4396" s="7">
        <v>0</v>
      </c>
      <c r="J4396" s="8">
        <v>0</v>
      </c>
      <c r="K4396" s="9" t="str">
        <v/>
      </c>
    </row>
    <row r="4397" spans="1:11">
      <c r="A4397" t="str">
        <v/>
      </c>
      <c r="B4397" s="6">
        <v>0</v>
      </c>
      <c r="C4397" s="7" t="str">
        <v>趣点购浦发</v>
      </c>
      <c r="D4397" s="8">
        <v>0</v>
      </c>
      <c r="E4397" s="7">
        <v>0</v>
      </c>
      <c r="F4397" s="8">
        <v>0</v>
      </c>
      <c r="G4397" s="7">
        <v>0</v>
      </c>
      <c r="H4397" s="7">
        <v>81211.819999998</v>
      </c>
      <c r="I4397" s="7">
        <v>0</v>
      </c>
      <c r="J4397" s="8">
        <v>0</v>
      </c>
      <c r="K4397" s="9" t="str">
        <v/>
      </c>
    </row>
    <row r="4398" spans="1:11">
      <c r="A4398" t="str">
        <v/>
      </c>
      <c r="B4398" s="6">
        <v>0</v>
      </c>
      <c r="C4398" s="7" t="str">
        <v>趣点购浦发</v>
      </c>
      <c r="D4398" s="8">
        <v>0</v>
      </c>
      <c r="E4398" s="7">
        <v>0</v>
      </c>
      <c r="F4398" s="8">
        <v>0</v>
      </c>
      <c r="G4398" s="7">
        <v>0</v>
      </c>
      <c r="H4398" s="7">
        <v>81211.819999998</v>
      </c>
      <c r="I4398" s="7">
        <v>0</v>
      </c>
      <c r="J4398" s="8">
        <v>0</v>
      </c>
      <c r="K4398" s="9" t="str">
        <v/>
      </c>
    </row>
    <row r="4399" spans="1:11">
      <c r="A4399" t="str">
        <v/>
      </c>
      <c r="B4399" s="6">
        <v>0</v>
      </c>
      <c r="C4399" s="7" t="str">
        <v>趣点购浦发</v>
      </c>
      <c r="D4399" s="8">
        <v>0</v>
      </c>
      <c r="E4399" s="7">
        <v>0</v>
      </c>
      <c r="F4399" s="8">
        <v>0</v>
      </c>
      <c r="G4399" s="7">
        <v>0</v>
      </c>
      <c r="H4399" s="7">
        <v>81211.819999998</v>
      </c>
      <c r="I4399" s="7">
        <v>0</v>
      </c>
      <c r="J4399" s="8">
        <v>0</v>
      </c>
      <c r="K4399" s="9" t="str">
        <v/>
      </c>
    </row>
    <row r="4400" spans="1:11">
      <c r="A4400" t="str">
        <v/>
      </c>
      <c r="B4400" s="6">
        <v>0</v>
      </c>
      <c r="C4400" s="7" t="str">
        <v>趣点购浦发</v>
      </c>
      <c r="D4400" s="8">
        <v>0</v>
      </c>
      <c r="E4400" s="7">
        <v>0</v>
      </c>
      <c r="F4400" s="8">
        <v>0</v>
      </c>
      <c r="G4400" s="7">
        <v>0</v>
      </c>
      <c r="H4400" s="7">
        <v>81211.819999998</v>
      </c>
      <c r="I4400" s="7">
        <v>0</v>
      </c>
      <c r="J4400" s="8">
        <v>0</v>
      </c>
      <c r="K4400" s="9" t="str">
        <v/>
      </c>
    </row>
    <row r="4401" spans="1:11">
      <c r="A4401" t="str">
        <v/>
      </c>
      <c r="B4401" s="6">
        <v>0</v>
      </c>
      <c r="C4401" s="7" t="str">
        <v>趣点购浦发</v>
      </c>
      <c r="D4401" s="8">
        <v>0</v>
      </c>
      <c r="E4401" s="7">
        <v>0</v>
      </c>
      <c r="F4401" s="8">
        <v>0</v>
      </c>
      <c r="G4401" s="7">
        <v>0</v>
      </c>
      <c r="H4401" s="7">
        <v>81211.819999998</v>
      </c>
      <c r="I4401" s="7">
        <v>0</v>
      </c>
      <c r="J4401" s="8">
        <v>0</v>
      </c>
      <c r="K4401" s="9" t="str">
        <v/>
      </c>
    </row>
    <row r="4402" spans="1:11">
      <c r="A4402" t="str">
        <v/>
      </c>
      <c r="B4402" s="6">
        <v>0</v>
      </c>
      <c r="C4402" s="7" t="str">
        <v>趣点购浦发</v>
      </c>
      <c r="D4402" s="8">
        <v>0</v>
      </c>
      <c r="E4402" s="7">
        <v>0</v>
      </c>
      <c r="F4402" s="8">
        <v>0</v>
      </c>
      <c r="G4402" s="7">
        <v>0</v>
      </c>
      <c r="H4402" s="7">
        <v>81211.819999998</v>
      </c>
      <c r="I4402" s="7">
        <v>0</v>
      </c>
      <c r="J4402" s="8">
        <v>0</v>
      </c>
      <c r="K4402" s="9" t="str">
        <v/>
      </c>
    </row>
    <row r="4403" spans="1:11">
      <c r="A4403" t="str">
        <v/>
      </c>
      <c r="B4403" s="6">
        <v>0</v>
      </c>
      <c r="C4403" s="7" t="str">
        <v>趣点购浦发</v>
      </c>
      <c r="D4403" s="8">
        <v>0</v>
      </c>
      <c r="E4403" s="7">
        <v>0</v>
      </c>
      <c r="F4403" s="8">
        <v>0</v>
      </c>
      <c r="G4403" s="7">
        <v>0</v>
      </c>
      <c r="H4403" s="7">
        <v>81211.819999998</v>
      </c>
      <c r="I4403" s="7">
        <v>0</v>
      </c>
      <c r="J4403" s="8">
        <v>0</v>
      </c>
      <c r="K4403" s="9" t="str">
        <v/>
      </c>
    </row>
    <row r="4404" spans="1:11">
      <c r="A4404" t="str">
        <v/>
      </c>
      <c r="B4404" s="6">
        <v>0</v>
      </c>
      <c r="C4404" s="7" t="str">
        <v>趣点购浦发</v>
      </c>
      <c r="D4404" s="8">
        <v>0</v>
      </c>
      <c r="E4404" s="7">
        <v>0</v>
      </c>
      <c r="F4404" s="8">
        <v>0</v>
      </c>
      <c r="G4404" s="7">
        <v>0</v>
      </c>
      <c r="H4404" s="7">
        <v>81211.819999998</v>
      </c>
      <c r="I4404" s="7">
        <v>0</v>
      </c>
      <c r="J4404" s="8">
        <v>0</v>
      </c>
      <c r="K4404" s="9" t="str">
        <v/>
      </c>
    </row>
    <row r="4405" spans="1:11">
      <c r="A4405" t="str">
        <v/>
      </c>
      <c r="B4405" s="6">
        <v>0</v>
      </c>
      <c r="C4405" s="7" t="str">
        <v>趣点购浦发</v>
      </c>
      <c r="D4405" s="8">
        <v>0</v>
      </c>
      <c r="E4405" s="7">
        <v>0</v>
      </c>
      <c r="F4405" s="8">
        <v>0</v>
      </c>
      <c r="G4405" s="7">
        <v>0</v>
      </c>
      <c r="H4405" s="7">
        <v>81211.819999998</v>
      </c>
      <c r="I4405" s="7">
        <v>0</v>
      </c>
      <c r="J4405" s="8">
        <v>0</v>
      </c>
      <c r="K4405" s="9" t="str">
        <v/>
      </c>
    </row>
    <row r="4406" spans="1:11">
      <c r="A4406" t="str">
        <v/>
      </c>
      <c r="B4406" s="6">
        <v>0</v>
      </c>
      <c r="C4406" s="7" t="str">
        <v>趣点购浦发</v>
      </c>
      <c r="D4406" s="8">
        <v>0</v>
      </c>
      <c r="E4406" s="7">
        <v>0</v>
      </c>
      <c r="F4406" s="8">
        <v>0</v>
      </c>
      <c r="G4406" s="7">
        <v>0</v>
      </c>
      <c r="H4406" s="7">
        <v>81211.819999998</v>
      </c>
      <c r="I4406" s="7">
        <v>0</v>
      </c>
      <c r="J4406" s="8">
        <v>0</v>
      </c>
      <c r="K4406" s="9" t="str">
        <v/>
      </c>
    </row>
    <row r="4407" spans="1:11">
      <c r="A4407" t="str">
        <v/>
      </c>
      <c r="B4407" s="6">
        <v>0</v>
      </c>
      <c r="C4407" s="7" t="str">
        <v>趣点购浦发</v>
      </c>
      <c r="D4407" s="8">
        <v>0</v>
      </c>
      <c r="E4407" s="7">
        <v>0</v>
      </c>
      <c r="F4407" s="8">
        <v>0</v>
      </c>
      <c r="G4407" s="7">
        <v>0</v>
      </c>
      <c r="H4407" s="7">
        <v>81211.819999998</v>
      </c>
      <c r="I4407" s="7">
        <v>0</v>
      </c>
      <c r="J4407" s="8">
        <v>0</v>
      </c>
      <c r="K4407" s="9" t="str">
        <v/>
      </c>
    </row>
    <row r="4408" spans="1:11">
      <c r="A4408" t="str">
        <v/>
      </c>
      <c r="B4408" s="6">
        <v>0</v>
      </c>
      <c r="C4408" s="7" t="str">
        <v>趣点购浦发</v>
      </c>
      <c r="D4408" s="8">
        <v>0</v>
      </c>
      <c r="E4408" s="7">
        <v>0</v>
      </c>
      <c r="F4408" s="8">
        <v>0</v>
      </c>
      <c r="G4408" s="7">
        <v>0</v>
      </c>
      <c r="H4408" s="7">
        <v>81211.819999998</v>
      </c>
      <c r="I4408" s="7">
        <v>0</v>
      </c>
      <c r="J4408" s="8">
        <v>0</v>
      </c>
      <c r="K4408" s="9" t="str">
        <v/>
      </c>
    </row>
    <row r="4409" spans="1:11">
      <c r="A4409" t="str">
        <v/>
      </c>
      <c r="B4409" s="6">
        <v>0</v>
      </c>
      <c r="C4409" s="7" t="str">
        <v>趣点购浦发</v>
      </c>
      <c r="D4409" s="8">
        <v>0</v>
      </c>
      <c r="E4409" s="7">
        <v>0</v>
      </c>
      <c r="F4409" s="8">
        <v>0</v>
      </c>
      <c r="G4409" s="7">
        <v>0</v>
      </c>
      <c r="H4409" s="7">
        <v>81211.819999998</v>
      </c>
      <c r="I4409" s="7">
        <v>0</v>
      </c>
      <c r="J4409" s="8">
        <v>0</v>
      </c>
      <c r="K4409" s="9" t="str">
        <v/>
      </c>
    </row>
    <row r="4410" spans="1:11">
      <c r="A4410" t="str">
        <v/>
      </c>
      <c r="B4410" s="6">
        <v>0</v>
      </c>
      <c r="C4410" s="7" t="str">
        <v>趣点购浦发</v>
      </c>
      <c r="D4410" s="8">
        <v>0</v>
      </c>
      <c r="E4410" s="7">
        <v>0</v>
      </c>
      <c r="F4410" s="8">
        <v>0</v>
      </c>
      <c r="G4410" s="7">
        <v>0</v>
      </c>
      <c r="H4410" s="7">
        <v>81211.819999998</v>
      </c>
      <c r="I4410" s="7">
        <v>0</v>
      </c>
      <c r="J4410" s="8">
        <v>0</v>
      </c>
      <c r="K4410" s="9" t="str">
        <v/>
      </c>
    </row>
    <row r="4411" spans="1:11">
      <c r="A4411" t="str">
        <v/>
      </c>
      <c r="B4411" s="6">
        <v>0</v>
      </c>
      <c r="C4411" s="7" t="str">
        <v>趣点购浦发</v>
      </c>
      <c r="D4411" s="8">
        <v>0</v>
      </c>
      <c r="E4411" s="7">
        <v>0</v>
      </c>
      <c r="F4411" s="8">
        <v>0</v>
      </c>
      <c r="G4411" s="7">
        <v>0</v>
      </c>
      <c r="H4411" s="7">
        <v>81211.819999998</v>
      </c>
      <c r="I4411" s="7">
        <v>0</v>
      </c>
      <c r="J4411" s="8">
        <v>0</v>
      </c>
      <c r="K4411" s="9" t="str">
        <v/>
      </c>
    </row>
    <row r="4412" spans="1:11">
      <c r="A4412" t="str">
        <v/>
      </c>
      <c r="B4412" s="6">
        <v>0</v>
      </c>
      <c r="C4412" s="7" t="str">
        <v>趣点购浦发</v>
      </c>
      <c r="D4412" s="8">
        <v>0</v>
      </c>
      <c r="E4412" s="7">
        <v>0</v>
      </c>
      <c r="F4412" s="8">
        <v>0</v>
      </c>
      <c r="G4412" s="7">
        <v>0</v>
      </c>
      <c r="H4412" s="7">
        <v>81211.819999998</v>
      </c>
      <c r="I4412" s="7">
        <v>0</v>
      </c>
      <c r="J4412" s="8">
        <v>0</v>
      </c>
      <c r="K4412" s="9" t="str">
        <v/>
      </c>
    </row>
    <row r="4413" spans="1:11">
      <c r="A4413" t="str">
        <v/>
      </c>
      <c r="B4413" s="6">
        <v>0</v>
      </c>
      <c r="C4413" s="7" t="str">
        <v>趣点购浦发</v>
      </c>
      <c r="D4413" s="8">
        <v>0</v>
      </c>
      <c r="E4413" s="7">
        <v>0</v>
      </c>
      <c r="F4413" s="8">
        <v>0</v>
      </c>
      <c r="G4413" s="7">
        <v>0</v>
      </c>
      <c r="H4413" s="7">
        <v>81211.819999998</v>
      </c>
      <c r="I4413" s="7">
        <v>0</v>
      </c>
      <c r="J4413" s="8">
        <v>0</v>
      </c>
      <c r="K4413" s="9" t="str">
        <v/>
      </c>
    </row>
    <row r="4414" spans="1:11">
      <c r="A4414" t="str">
        <v/>
      </c>
      <c r="B4414" s="6">
        <v>0</v>
      </c>
      <c r="C4414" s="7" t="str">
        <v>趣点购浦发</v>
      </c>
      <c r="D4414" s="8">
        <v>0</v>
      </c>
      <c r="E4414" s="7">
        <v>0</v>
      </c>
      <c r="F4414" s="8">
        <v>0</v>
      </c>
      <c r="G4414" s="7">
        <v>0</v>
      </c>
      <c r="H4414" s="7">
        <v>81211.819999998</v>
      </c>
      <c r="I4414" s="7">
        <v>0</v>
      </c>
      <c r="J4414" s="8">
        <v>0</v>
      </c>
      <c r="K4414" s="9" t="str">
        <v/>
      </c>
    </row>
    <row r="4415" spans="1:11">
      <c r="A4415" t="str">
        <v/>
      </c>
      <c r="B4415" s="6">
        <v>0</v>
      </c>
      <c r="C4415" s="7" t="str">
        <v>趣点购浦发</v>
      </c>
      <c r="D4415" s="8">
        <v>0</v>
      </c>
      <c r="E4415" s="7">
        <v>0</v>
      </c>
      <c r="F4415" s="8">
        <v>0</v>
      </c>
      <c r="G4415" s="7">
        <v>0</v>
      </c>
      <c r="H4415" s="7">
        <v>81211.819999998</v>
      </c>
      <c r="I4415" s="7">
        <v>0</v>
      </c>
      <c r="J4415" s="8">
        <v>0</v>
      </c>
      <c r="K4415" s="9" t="str">
        <v/>
      </c>
    </row>
    <row r="4416" spans="1:11">
      <c r="A4416" t="str">
        <v/>
      </c>
      <c r="B4416" s="6">
        <v>0</v>
      </c>
      <c r="C4416" s="7" t="str">
        <v>趣点购浦发</v>
      </c>
      <c r="D4416" s="8">
        <v>0</v>
      </c>
      <c r="E4416" s="7">
        <v>0</v>
      </c>
      <c r="F4416" s="8">
        <v>0</v>
      </c>
      <c r="G4416" s="7">
        <v>0</v>
      </c>
      <c r="H4416" s="7">
        <v>81211.819999998</v>
      </c>
      <c r="I4416" s="7">
        <v>0</v>
      </c>
      <c r="J4416" s="8">
        <v>0</v>
      </c>
      <c r="K4416" s="9" t="str">
        <v/>
      </c>
    </row>
    <row r="4417" spans="1:11">
      <c r="A4417" t="str">
        <v/>
      </c>
      <c r="B4417" s="6">
        <v>0</v>
      </c>
      <c r="C4417" s="7" t="str">
        <v>趣点购浦发</v>
      </c>
      <c r="D4417" s="8">
        <v>0</v>
      </c>
      <c r="E4417" s="7">
        <v>0</v>
      </c>
      <c r="F4417" s="8">
        <v>0</v>
      </c>
      <c r="G4417" s="7">
        <v>0</v>
      </c>
      <c r="H4417" s="7">
        <v>81211.819999998</v>
      </c>
      <c r="I4417" s="7">
        <v>0</v>
      </c>
      <c r="J4417" s="8">
        <v>0</v>
      </c>
      <c r="K4417" s="9" t="str">
        <v/>
      </c>
    </row>
    <row r="4418" spans="1:11">
      <c r="A4418" t="str">
        <v/>
      </c>
      <c r="B4418" s="6">
        <v>0</v>
      </c>
      <c r="C4418" s="7" t="str">
        <v>趣点购浦发</v>
      </c>
      <c r="D4418" s="8">
        <v>0</v>
      </c>
      <c r="E4418" s="7">
        <v>0</v>
      </c>
      <c r="F4418" s="8">
        <v>0</v>
      </c>
      <c r="G4418" s="7">
        <v>0</v>
      </c>
      <c r="H4418" s="7">
        <v>81211.819999998</v>
      </c>
      <c r="I4418" s="7">
        <v>0</v>
      </c>
      <c r="J4418" s="8">
        <v>0</v>
      </c>
      <c r="K4418" s="9" t="str">
        <v/>
      </c>
    </row>
    <row r="4419" spans="1:11">
      <c r="A4419" t="str">
        <v/>
      </c>
      <c r="B4419" s="6">
        <v>0</v>
      </c>
      <c r="C4419" s="7" t="str">
        <v>趣点购浦发</v>
      </c>
      <c r="D4419" s="8">
        <v>0</v>
      </c>
      <c r="E4419" s="7">
        <v>0</v>
      </c>
      <c r="F4419" s="8">
        <v>0</v>
      </c>
      <c r="G4419" s="7">
        <v>0</v>
      </c>
      <c r="H4419" s="7">
        <v>81211.819999998</v>
      </c>
      <c r="I4419" s="7">
        <v>0</v>
      </c>
      <c r="J4419" s="8">
        <v>0</v>
      </c>
      <c r="K4419" s="9" t="str">
        <v/>
      </c>
    </row>
    <row r="4420" spans="1:11">
      <c r="A4420" t="str">
        <v/>
      </c>
      <c r="B4420" s="6">
        <v>0</v>
      </c>
      <c r="C4420" s="7" t="str">
        <v>趣点购浦发</v>
      </c>
      <c r="D4420" s="8">
        <v>0</v>
      </c>
      <c r="E4420" s="7">
        <v>0</v>
      </c>
      <c r="F4420" s="8">
        <v>0</v>
      </c>
      <c r="G4420" s="7">
        <v>0</v>
      </c>
      <c r="H4420" s="7">
        <v>81211.819999998</v>
      </c>
      <c r="I4420" s="7">
        <v>0</v>
      </c>
      <c r="J4420" s="8">
        <v>0</v>
      </c>
      <c r="K4420" s="9" t="str">
        <v/>
      </c>
    </row>
    <row r="4421" spans="1:11">
      <c r="A4421" t="str">
        <v/>
      </c>
      <c r="B4421" s="6">
        <v>0</v>
      </c>
      <c r="C4421" s="7" t="str">
        <v>趣点购浦发</v>
      </c>
      <c r="D4421" s="8">
        <v>0</v>
      </c>
      <c r="E4421" s="7">
        <v>0</v>
      </c>
      <c r="F4421" s="8">
        <v>0</v>
      </c>
      <c r="G4421" s="7">
        <v>0</v>
      </c>
      <c r="H4421" s="7">
        <v>81211.819999998</v>
      </c>
      <c r="I4421" s="7">
        <v>0</v>
      </c>
      <c r="J4421" s="8">
        <v>0</v>
      </c>
      <c r="K4421" s="9" t="str">
        <v/>
      </c>
    </row>
    <row r="4422" spans="1:11">
      <c r="A4422" t="str">
        <v/>
      </c>
      <c r="B4422" s="6">
        <v>0</v>
      </c>
      <c r="C4422" s="7" t="str">
        <v>趣点购浦发</v>
      </c>
      <c r="D4422" s="8">
        <v>0</v>
      </c>
      <c r="E4422" s="7">
        <v>0</v>
      </c>
      <c r="F4422" s="8">
        <v>0</v>
      </c>
      <c r="G4422" s="7">
        <v>0</v>
      </c>
      <c r="H4422" s="7">
        <v>81211.819999998</v>
      </c>
      <c r="I4422" s="7">
        <v>0</v>
      </c>
      <c r="J4422" s="8">
        <v>0</v>
      </c>
      <c r="K4422" s="9" t="str">
        <v/>
      </c>
    </row>
    <row r="4423" spans="1:11">
      <c r="A4423" t="str">
        <v/>
      </c>
      <c r="B4423" s="6">
        <v>0</v>
      </c>
      <c r="C4423" s="7" t="str">
        <v>趣点购浦发</v>
      </c>
      <c r="D4423" s="8">
        <v>0</v>
      </c>
      <c r="E4423" s="7">
        <v>0</v>
      </c>
      <c r="F4423" s="8">
        <v>0</v>
      </c>
      <c r="G4423" s="7">
        <v>0</v>
      </c>
      <c r="H4423" s="7">
        <v>81211.819999998</v>
      </c>
      <c r="I4423" s="7">
        <v>0</v>
      </c>
      <c r="J4423" s="8">
        <v>0</v>
      </c>
      <c r="K4423" s="9" t="str">
        <v/>
      </c>
    </row>
    <row r="4424" spans="1:11">
      <c r="A4424" t="str">
        <v/>
      </c>
      <c r="B4424" s="6">
        <v>0</v>
      </c>
      <c r="C4424" s="7" t="str">
        <v>趣点购浦发</v>
      </c>
      <c r="D4424" s="8">
        <v>0</v>
      </c>
      <c r="E4424" s="7">
        <v>0</v>
      </c>
      <c r="F4424" s="8">
        <v>0</v>
      </c>
      <c r="G4424" s="7">
        <v>0</v>
      </c>
      <c r="H4424" s="7">
        <v>81211.819999998</v>
      </c>
      <c r="I4424" s="7">
        <v>0</v>
      </c>
      <c r="J4424" s="8">
        <v>0</v>
      </c>
      <c r="K4424" s="9" t="str">
        <v/>
      </c>
    </row>
    <row r="4425" spans="1:11">
      <c r="A4425" t="str">
        <v/>
      </c>
      <c r="B4425" s="6">
        <v>0</v>
      </c>
      <c r="C4425" s="7" t="str">
        <v>趣点购浦发</v>
      </c>
      <c r="D4425" s="8">
        <v>0</v>
      </c>
      <c r="E4425" s="7">
        <v>0</v>
      </c>
      <c r="F4425" s="8">
        <v>0</v>
      </c>
      <c r="G4425" s="7">
        <v>0</v>
      </c>
      <c r="H4425" s="7">
        <v>81211.819999998</v>
      </c>
      <c r="I4425" s="7">
        <v>0</v>
      </c>
      <c r="J4425" s="8">
        <v>0</v>
      </c>
      <c r="K4425" s="9" t="str">
        <v/>
      </c>
    </row>
    <row r="4426" spans="1:11">
      <c r="A4426" t="str">
        <v/>
      </c>
      <c r="B4426" s="6">
        <v>0</v>
      </c>
      <c r="C4426" s="7" t="str">
        <v>趣点购浦发</v>
      </c>
      <c r="D4426" s="8">
        <v>0</v>
      </c>
      <c r="E4426" s="7">
        <v>0</v>
      </c>
      <c r="F4426" s="8">
        <v>0</v>
      </c>
      <c r="G4426" s="7">
        <v>0</v>
      </c>
      <c r="H4426" s="7">
        <v>81211.819999998</v>
      </c>
      <c r="I4426" s="7">
        <v>0</v>
      </c>
      <c r="J4426" s="8">
        <v>0</v>
      </c>
      <c r="K4426" s="9" t="str">
        <v/>
      </c>
    </row>
    <row r="4427" spans="1:11">
      <c r="A4427" t="str">
        <v/>
      </c>
      <c r="B4427" s="6">
        <v>0</v>
      </c>
      <c r="C4427" s="7" t="str">
        <v>趣点购浦发</v>
      </c>
      <c r="D4427" s="8">
        <v>0</v>
      </c>
      <c r="E4427" s="7">
        <v>0</v>
      </c>
      <c r="F4427" s="8">
        <v>0</v>
      </c>
      <c r="G4427" s="7">
        <v>0</v>
      </c>
      <c r="H4427" s="7">
        <v>81211.819999998</v>
      </c>
      <c r="I4427" s="7">
        <v>0</v>
      </c>
      <c r="J4427" s="8">
        <v>0</v>
      </c>
      <c r="K4427" s="9" t="str">
        <v/>
      </c>
    </row>
    <row r="4428" spans="1:11">
      <c r="A4428" t="str">
        <v/>
      </c>
      <c r="B4428" s="6">
        <v>0</v>
      </c>
      <c r="C4428" s="7" t="str">
        <v>趣点购浦发</v>
      </c>
      <c r="D4428" s="8">
        <v>0</v>
      </c>
      <c r="E4428" s="7">
        <v>0</v>
      </c>
      <c r="F4428" s="8">
        <v>0</v>
      </c>
      <c r="G4428" s="7">
        <v>0</v>
      </c>
      <c r="H4428" s="7">
        <v>81211.819999998</v>
      </c>
      <c r="I4428" s="7">
        <v>0</v>
      </c>
      <c r="J4428" s="8">
        <v>0</v>
      </c>
      <c r="K4428" s="9" t="str">
        <v/>
      </c>
    </row>
    <row r="4429" spans="1:11">
      <c r="A4429" t="str">
        <v/>
      </c>
      <c r="B4429" s="6">
        <v>0</v>
      </c>
      <c r="C4429" s="7" t="str">
        <v>趣点购浦发</v>
      </c>
      <c r="D4429" s="8">
        <v>0</v>
      </c>
      <c r="E4429" s="7">
        <v>0</v>
      </c>
      <c r="F4429" s="8">
        <v>0</v>
      </c>
      <c r="G4429" s="7">
        <v>0</v>
      </c>
      <c r="H4429" s="7">
        <v>81211.819999998</v>
      </c>
      <c r="I4429" s="7">
        <v>0</v>
      </c>
      <c r="J4429" s="8">
        <v>0</v>
      </c>
      <c r="K4429" s="9" t="str">
        <v/>
      </c>
    </row>
    <row r="4430" spans="1:11">
      <c r="A4430" t="str">
        <v/>
      </c>
      <c r="B4430" s="6">
        <v>0</v>
      </c>
      <c r="C4430" s="7" t="str">
        <v>趣点购浦发</v>
      </c>
      <c r="D4430" s="8">
        <v>0</v>
      </c>
      <c r="E4430" s="7">
        <v>0</v>
      </c>
      <c r="F4430" s="8">
        <v>0</v>
      </c>
      <c r="G4430" s="7">
        <v>0</v>
      </c>
      <c r="H4430" s="7">
        <v>81211.819999998</v>
      </c>
      <c r="I4430" s="7">
        <v>0</v>
      </c>
      <c r="J4430" s="8">
        <v>0</v>
      </c>
      <c r="K4430" s="9" t="str">
        <v/>
      </c>
    </row>
    <row r="4431" spans="1:11">
      <c r="A4431" t="str">
        <v/>
      </c>
      <c r="B4431" s="6">
        <v>0</v>
      </c>
      <c r="C4431" s="7" t="str">
        <v>趣点购浦发</v>
      </c>
      <c r="D4431" s="8">
        <v>0</v>
      </c>
      <c r="E4431" s="7">
        <v>0</v>
      </c>
      <c r="F4431" s="8">
        <v>0</v>
      </c>
      <c r="G4431" s="7">
        <v>0</v>
      </c>
      <c r="H4431" s="7">
        <v>81211.819999998</v>
      </c>
      <c r="I4431" s="7">
        <v>0</v>
      </c>
      <c r="J4431" s="8">
        <v>0</v>
      </c>
      <c r="K4431" s="9" t="str">
        <v/>
      </c>
    </row>
    <row r="4432" spans="1:11">
      <c r="A4432" t="str">
        <v/>
      </c>
      <c r="B4432" s="6">
        <v>0</v>
      </c>
      <c r="C4432" s="7" t="str">
        <v>趣点购浦发</v>
      </c>
      <c r="D4432" s="8">
        <v>0</v>
      </c>
      <c r="E4432" s="7">
        <v>0</v>
      </c>
      <c r="F4432" s="8">
        <v>0</v>
      </c>
      <c r="G4432" s="7">
        <v>0</v>
      </c>
      <c r="H4432" s="7">
        <v>81211.819999998</v>
      </c>
      <c r="I4432" s="7">
        <v>0</v>
      </c>
      <c r="J4432" s="8">
        <v>0</v>
      </c>
      <c r="K4432" s="9" t="str">
        <v/>
      </c>
    </row>
    <row r="4433" spans="1:11">
      <c r="A4433" t="str">
        <v/>
      </c>
      <c r="B4433" s="6">
        <v>0</v>
      </c>
      <c r="C4433" s="7" t="str">
        <v>趣点购浦发</v>
      </c>
      <c r="D4433" s="8">
        <v>0</v>
      </c>
      <c r="E4433" s="7">
        <v>0</v>
      </c>
      <c r="F4433" s="8">
        <v>0</v>
      </c>
      <c r="G4433" s="7">
        <v>0</v>
      </c>
      <c r="H4433" s="7">
        <v>81211.819999998</v>
      </c>
      <c r="I4433" s="7">
        <v>0</v>
      </c>
      <c r="J4433" s="8">
        <v>0</v>
      </c>
      <c r="K4433" s="9" t="str">
        <v/>
      </c>
    </row>
    <row r="4434" spans="1:11">
      <c r="A4434" t="str">
        <v/>
      </c>
      <c r="B4434" s="6">
        <v>0</v>
      </c>
      <c r="C4434" s="7" t="str">
        <v>趣点购浦发</v>
      </c>
      <c r="D4434" s="8">
        <v>0</v>
      </c>
      <c r="E4434" s="7">
        <v>0</v>
      </c>
      <c r="F4434" s="8">
        <v>0</v>
      </c>
      <c r="G4434" s="7">
        <v>0</v>
      </c>
      <c r="H4434" s="7">
        <v>81211.819999998</v>
      </c>
      <c r="I4434" s="7">
        <v>0</v>
      </c>
      <c r="J4434" s="8">
        <v>0</v>
      </c>
      <c r="K4434" s="9" t="str">
        <v/>
      </c>
    </row>
    <row r="4435" spans="1:11">
      <c r="A4435" t="str">
        <v/>
      </c>
      <c r="B4435" s="6">
        <v>0</v>
      </c>
      <c r="C4435" s="7" t="str">
        <v>趣点购浦发</v>
      </c>
      <c r="D4435" s="8">
        <v>0</v>
      </c>
      <c r="E4435" s="7">
        <v>0</v>
      </c>
      <c r="F4435" s="8">
        <v>0</v>
      </c>
      <c r="G4435" s="7">
        <v>0</v>
      </c>
      <c r="H4435" s="7">
        <v>81211.819999998</v>
      </c>
      <c r="I4435" s="7">
        <v>0</v>
      </c>
      <c r="J4435" s="8">
        <v>0</v>
      </c>
      <c r="K4435" s="9" t="str">
        <v/>
      </c>
    </row>
    <row r="4436" spans="1:11">
      <c r="A4436" t="str">
        <v/>
      </c>
      <c r="B4436" s="6">
        <v>0</v>
      </c>
      <c r="C4436" s="7" t="str">
        <v>趣点购浦发</v>
      </c>
      <c r="D4436" s="8">
        <v>0</v>
      </c>
      <c r="E4436" s="7">
        <v>0</v>
      </c>
      <c r="F4436" s="8">
        <v>0</v>
      </c>
      <c r="G4436" s="7">
        <v>0</v>
      </c>
      <c r="H4436" s="7">
        <v>81211.819999998</v>
      </c>
      <c r="I4436" s="7">
        <v>0</v>
      </c>
      <c r="J4436" s="8">
        <v>0</v>
      </c>
      <c r="K4436" s="9" t="str">
        <v/>
      </c>
    </row>
    <row r="4437" spans="1:11">
      <c r="A4437" t="str">
        <v/>
      </c>
      <c r="B4437" s="6">
        <v>0</v>
      </c>
      <c r="C4437" s="7" t="str">
        <v>趣点购浦发</v>
      </c>
      <c r="D4437" s="8">
        <v>0</v>
      </c>
      <c r="E4437" s="7">
        <v>0</v>
      </c>
      <c r="F4437" s="8">
        <v>0</v>
      </c>
      <c r="G4437" s="7">
        <v>0</v>
      </c>
      <c r="H4437" s="7">
        <v>81211.819999998</v>
      </c>
      <c r="I4437" s="7">
        <v>0</v>
      </c>
      <c r="J4437" s="8">
        <v>0</v>
      </c>
      <c r="K4437" s="9" t="str">
        <v/>
      </c>
    </row>
    <row r="4438" spans="1:11">
      <c r="A4438" t="str">
        <v/>
      </c>
      <c r="B4438" s="6">
        <v>0</v>
      </c>
      <c r="C4438" s="7" t="str">
        <v>趣点购浦发</v>
      </c>
      <c r="D4438" s="8">
        <v>0</v>
      </c>
      <c r="E4438" s="7">
        <v>0</v>
      </c>
      <c r="F4438" s="8">
        <v>0</v>
      </c>
      <c r="G4438" s="7">
        <v>0</v>
      </c>
      <c r="H4438" s="7">
        <v>81211.819999998</v>
      </c>
      <c r="I4438" s="7">
        <v>0</v>
      </c>
      <c r="J4438" s="8">
        <v>0</v>
      </c>
      <c r="K4438" s="9" t="str">
        <v/>
      </c>
    </row>
    <row r="4439" spans="1:11">
      <c r="A4439" t="str">
        <v/>
      </c>
      <c r="B4439" s="6">
        <v>0</v>
      </c>
      <c r="C4439" s="7" t="str">
        <v>趣点购浦发</v>
      </c>
      <c r="D4439" s="8">
        <v>0</v>
      </c>
      <c r="E4439" s="7">
        <v>0</v>
      </c>
      <c r="F4439" s="8">
        <v>0</v>
      </c>
      <c r="G4439" s="7">
        <v>0</v>
      </c>
      <c r="H4439" s="7">
        <v>81211.819999998</v>
      </c>
      <c r="I4439" s="7">
        <v>0</v>
      </c>
      <c r="J4439" s="8">
        <v>0</v>
      </c>
      <c r="K4439" s="9" t="str">
        <v/>
      </c>
    </row>
    <row r="4440" spans="1:11">
      <c r="A4440" t="str">
        <v/>
      </c>
      <c r="B4440" s="6">
        <v>0</v>
      </c>
      <c r="C4440" s="7" t="str">
        <v>趣点购浦发</v>
      </c>
      <c r="D4440" s="8">
        <v>0</v>
      </c>
      <c r="E4440" s="7">
        <v>0</v>
      </c>
      <c r="F4440" s="8">
        <v>0</v>
      </c>
      <c r="G4440" s="7">
        <v>0</v>
      </c>
      <c r="H4440" s="7">
        <v>81211.819999998</v>
      </c>
      <c r="I4440" s="7">
        <v>0</v>
      </c>
      <c r="J4440" s="8">
        <v>0</v>
      </c>
      <c r="K4440" s="9" t="str">
        <v/>
      </c>
    </row>
    <row r="4441" spans="1:11">
      <c r="A4441" t="str">
        <v/>
      </c>
      <c r="B4441" s="6">
        <v>0</v>
      </c>
      <c r="C4441" s="7" t="str">
        <v>趣点购浦发</v>
      </c>
      <c r="D4441" s="8">
        <v>0</v>
      </c>
      <c r="E4441" s="7">
        <v>0</v>
      </c>
      <c r="F4441" s="8">
        <v>0</v>
      </c>
      <c r="G4441" s="7">
        <v>0</v>
      </c>
      <c r="H4441" s="7">
        <v>81211.819999998</v>
      </c>
      <c r="I4441" s="7">
        <v>0</v>
      </c>
      <c r="J4441" s="8">
        <v>0</v>
      </c>
      <c r="K4441" s="9" t="str">
        <v/>
      </c>
    </row>
    <row r="4442" spans="1:11">
      <c r="A4442" t="str">
        <v/>
      </c>
      <c r="B4442" s="6">
        <v>0</v>
      </c>
      <c r="C4442" s="7" t="str">
        <v>趣点购浦发</v>
      </c>
      <c r="D4442" s="8">
        <v>0</v>
      </c>
      <c r="E4442" s="7">
        <v>0</v>
      </c>
      <c r="F4442" s="8">
        <v>0</v>
      </c>
      <c r="G4442" s="7">
        <v>0</v>
      </c>
      <c r="H4442" s="7">
        <v>81211.819999998</v>
      </c>
      <c r="I4442" s="7">
        <v>0</v>
      </c>
      <c r="J4442" s="8">
        <v>0</v>
      </c>
      <c r="K4442" s="9" t="str">
        <v/>
      </c>
    </row>
    <row r="4443" spans="1:11">
      <c r="A4443" t="str">
        <v/>
      </c>
      <c r="B4443" s="6">
        <v>0</v>
      </c>
      <c r="C4443" s="7" t="str">
        <v>趣点购浦发</v>
      </c>
      <c r="D4443" s="8">
        <v>0</v>
      </c>
      <c r="E4443" s="7">
        <v>0</v>
      </c>
      <c r="F4443" s="8">
        <v>0</v>
      </c>
      <c r="G4443" s="7">
        <v>0</v>
      </c>
      <c r="H4443" s="7">
        <v>81211.819999998</v>
      </c>
      <c r="I4443" s="7">
        <v>0</v>
      </c>
      <c r="J4443" s="8">
        <v>0</v>
      </c>
      <c r="K4443" s="9" t="str">
        <v/>
      </c>
    </row>
    <row r="4444" spans="1:11">
      <c r="A4444" t="str">
        <v/>
      </c>
      <c r="B4444" s="6">
        <v>0</v>
      </c>
      <c r="C4444" s="7" t="str">
        <v>趣点购浦发</v>
      </c>
      <c r="D4444" s="8">
        <v>0</v>
      </c>
      <c r="E4444" s="7">
        <v>0</v>
      </c>
      <c r="F4444" s="8">
        <v>0</v>
      </c>
      <c r="G4444" s="7">
        <v>0</v>
      </c>
      <c r="H4444" s="7">
        <v>81211.819999998</v>
      </c>
      <c r="I4444" s="7">
        <v>0</v>
      </c>
      <c r="J4444" s="8">
        <v>0</v>
      </c>
      <c r="K4444" s="9" t="str">
        <v/>
      </c>
    </row>
    <row r="4445" spans="1:11">
      <c r="A4445" t="str">
        <v/>
      </c>
      <c r="B4445" s="6">
        <v>0</v>
      </c>
      <c r="C4445" s="7" t="str">
        <v>趣点购浦发</v>
      </c>
      <c r="D4445" s="8">
        <v>0</v>
      </c>
      <c r="E4445" s="7">
        <v>0</v>
      </c>
      <c r="F4445" s="8">
        <v>0</v>
      </c>
      <c r="G4445" s="7">
        <v>0</v>
      </c>
      <c r="H4445" s="7">
        <v>81211.819999998</v>
      </c>
      <c r="I4445" s="7">
        <v>0</v>
      </c>
      <c r="J4445" s="8">
        <v>0</v>
      </c>
      <c r="K4445" s="9" t="str">
        <v/>
      </c>
    </row>
    <row r="4446" spans="1:11">
      <c r="A4446" t="str">
        <v/>
      </c>
      <c r="B4446" s="6">
        <v>0</v>
      </c>
      <c r="C4446" s="7" t="str">
        <v>趣点购浦发</v>
      </c>
      <c r="D4446" s="8">
        <v>0</v>
      </c>
      <c r="E4446" s="7">
        <v>0</v>
      </c>
      <c r="F4446" s="8">
        <v>0</v>
      </c>
      <c r="G4446" s="7">
        <v>0</v>
      </c>
      <c r="H4446" s="7">
        <v>81211.819999998</v>
      </c>
      <c r="I4446" s="7">
        <v>0</v>
      </c>
      <c r="J4446" s="8">
        <v>0</v>
      </c>
      <c r="K4446" s="9" t="str">
        <v/>
      </c>
    </row>
    <row r="4447" spans="1:11">
      <c r="A4447" t="str">
        <v/>
      </c>
      <c r="B4447" s="6">
        <v>0</v>
      </c>
      <c r="C4447" s="7" t="str">
        <v>趣点购浦发</v>
      </c>
      <c r="D4447" s="8">
        <v>0</v>
      </c>
      <c r="E4447" s="7">
        <v>0</v>
      </c>
      <c r="F4447" s="8">
        <v>0</v>
      </c>
      <c r="G4447" s="7">
        <v>0</v>
      </c>
      <c r="H4447" s="7">
        <v>81211.819999998</v>
      </c>
      <c r="I4447" s="7">
        <v>0</v>
      </c>
      <c r="J4447" s="8">
        <v>0</v>
      </c>
      <c r="K4447" s="9" t="str">
        <v/>
      </c>
    </row>
    <row r="4448" spans="1:11">
      <c r="A4448" t="str">
        <v/>
      </c>
      <c r="B4448" s="6">
        <v>0</v>
      </c>
      <c r="C4448" s="7" t="str">
        <v>趣点购浦发</v>
      </c>
      <c r="D4448" s="8">
        <v>0</v>
      </c>
      <c r="E4448" s="7">
        <v>0</v>
      </c>
      <c r="F4448" s="8">
        <v>0</v>
      </c>
      <c r="G4448" s="7">
        <v>0</v>
      </c>
      <c r="H4448" s="7">
        <v>81211.819999998</v>
      </c>
      <c r="I4448" s="7">
        <v>0</v>
      </c>
      <c r="J4448" s="8">
        <v>0</v>
      </c>
      <c r="K4448" s="9" t="str">
        <v/>
      </c>
    </row>
    <row r="4449" spans="1:11">
      <c r="A4449" t="str">
        <v/>
      </c>
      <c r="B4449" s="6">
        <v>0</v>
      </c>
      <c r="C4449" s="7" t="str">
        <v>趣点购浦发</v>
      </c>
      <c r="D4449" s="8">
        <v>0</v>
      </c>
      <c r="E4449" s="7">
        <v>0</v>
      </c>
      <c r="F4449" s="8">
        <v>0</v>
      </c>
      <c r="G4449" s="7">
        <v>0</v>
      </c>
      <c r="H4449" s="7">
        <v>81211.819999998</v>
      </c>
      <c r="I4449" s="7">
        <v>0</v>
      </c>
      <c r="J4449" s="8">
        <v>0</v>
      </c>
      <c r="K4449" s="9" t="str">
        <v/>
      </c>
    </row>
    <row r="4450" spans="1:11">
      <c r="A4450" t="str">
        <v/>
      </c>
      <c r="B4450" s="6">
        <v>0</v>
      </c>
      <c r="C4450" s="7" t="str">
        <v>趣点购浦发</v>
      </c>
      <c r="D4450" s="8">
        <v>0</v>
      </c>
      <c r="E4450" s="7">
        <v>0</v>
      </c>
      <c r="F4450" s="8">
        <v>0</v>
      </c>
      <c r="G4450" s="7">
        <v>0</v>
      </c>
      <c r="H4450" s="7">
        <v>81211.819999998</v>
      </c>
      <c r="I4450" s="7">
        <v>0</v>
      </c>
      <c r="J4450" s="8">
        <v>0</v>
      </c>
      <c r="K4450" s="9" t="str">
        <v/>
      </c>
    </row>
    <row r="4451" spans="1:11">
      <c r="A4451" t="str">
        <v/>
      </c>
      <c r="B4451" s="6">
        <v>0</v>
      </c>
      <c r="C4451" s="7" t="str">
        <v>趣点购浦发</v>
      </c>
      <c r="D4451" s="8">
        <v>0</v>
      </c>
      <c r="E4451" s="7">
        <v>0</v>
      </c>
      <c r="F4451" s="8">
        <v>0</v>
      </c>
      <c r="G4451" s="7">
        <v>0</v>
      </c>
      <c r="H4451" s="7">
        <v>81211.819999998</v>
      </c>
      <c r="I4451" s="7">
        <v>0</v>
      </c>
      <c r="J4451" s="8">
        <v>0</v>
      </c>
      <c r="K4451" s="9" t="str">
        <v/>
      </c>
    </row>
    <row r="4452" spans="1:11">
      <c r="A4452" t="str">
        <v/>
      </c>
      <c r="B4452" s="6">
        <v>0</v>
      </c>
      <c r="C4452" s="7" t="str">
        <v>趣点购浦发</v>
      </c>
      <c r="D4452" s="8">
        <v>0</v>
      </c>
      <c r="E4452" s="7">
        <v>0</v>
      </c>
      <c r="F4452" s="8">
        <v>0</v>
      </c>
      <c r="G4452" s="7">
        <v>0</v>
      </c>
      <c r="H4452" s="7">
        <v>81211.819999998</v>
      </c>
      <c r="I4452" s="7">
        <v>0</v>
      </c>
      <c r="J4452" s="8">
        <v>0</v>
      </c>
      <c r="K4452" s="9" t="str">
        <v/>
      </c>
    </row>
    <row r="4453" spans="1:11">
      <c r="A4453" t="str">
        <v/>
      </c>
      <c r="B4453" s="6">
        <v>0</v>
      </c>
      <c r="C4453" s="7" t="str">
        <v>趣点购浦发</v>
      </c>
      <c r="D4453" s="8">
        <v>0</v>
      </c>
      <c r="E4453" s="7">
        <v>0</v>
      </c>
      <c r="F4453" s="8">
        <v>0</v>
      </c>
      <c r="G4453" s="7">
        <v>0</v>
      </c>
      <c r="H4453" s="7">
        <v>81211.819999998</v>
      </c>
      <c r="I4453" s="7">
        <v>0</v>
      </c>
      <c r="J4453" s="8">
        <v>0</v>
      </c>
      <c r="K4453" s="9" t="str">
        <v/>
      </c>
    </row>
    <row r="4454" spans="1:11">
      <c r="A4454" t="str">
        <v/>
      </c>
      <c r="B4454" s="6">
        <v>0</v>
      </c>
      <c r="C4454" s="7" t="str">
        <v>趣点购浦发</v>
      </c>
      <c r="D4454" s="8">
        <v>0</v>
      </c>
      <c r="E4454" s="7">
        <v>0</v>
      </c>
      <c r="F4454" s="8">
        <v>0</v>
      </c>
      <c r="G4454" s="7">
        <v>0</v>
      </c>
      <c r="H4454" s="7">
        <v>81211.819999998</v>
      </c>
      <c r="I4454" s="7">
        <v>0</v>
      </c>
      <c r="J4454" s="8">
        <v>0</v>
      </c>
      <c r="K4454" s="9" t="str">
        <v/>
      </c>
    </row>
    <row r="4455" spans="1:11">
      <c r="A4455" t="str">
        <v/>
      </c>
      <c r="B4455" s="6">
        <v>0</v>
      </c>
      <c r="C4455" s="7" t="str">
        <v>趣点购浦发</v>
      </c>
      <c r="D4455" s="8">
        <v>0</v>
      </c>
      <c r="E4455" s="7">
        <v>0</v>
      </c>
      <c r="F4455" s="8">
        <v>0</v>
      </c>
      <c r="G4455" s="7">
        <v>0</v>
      </c>
      <c r="H4455" s="7">
        <v>81211.819999998</v>
      </c>
      <c r="I4455" s="7">
        <v>0</v>
      </c>
      <c r="J4455" s="8">
        <v>0</v>
      </c>
      <c r="K4455" s="9" t="str">
        <v/>
      </c>
    </row>
    <row r="4456" spans="1:11">
      <c r="A4456" t="str">
        <v/>
      </c>
      <c r="B4456" s="6">
        <v>0</v>
      </c>
      <c r="C4456" s="7" t="str">
        <v>趣点购浦发</v>
      </c>
      <c r="D4456" s="8">
        <v>0</v>
      </c>
      <c r="E4456" s="7">
        <v>0</v>
      </c>
      <c r="F4456" s="8">
        <v>0</v>
      </c>
      <c r="G4456" s="7">
        <v>0</v>
      </c>
      <c r="H4456" s="7">
        <v>81211.819999998</v>
      </c>
      <c r="I4456" s="7">
        <v>0</v>
      </c>
      <c r="J4456" s="8">
        <v>0</v>
      </c>
      <c r="K4456" s="9" t="str">
        <v/>
      </c>
    </row>
    <row r="4457" spans="1:11">
      <c r="A4457" t="str">
        <v/>
      </c>
      <c r="B4457" s="6">
        <v>0</v>
      </c>
      <c r="C4457" s="7" t="str">
        <v>趣点购浦发</v>
      </c>
      <c r="D4457" s="8">
        <v>0</v>
      </c>
      <c r="E4457" s="7">
        <v>0</v>
      </c>
      <c r="F4457" s="8">
        <v>0</v>
      </c>
      <c r="G4457" s="7">
        <v>0</v>
      </c>
      <c r="H4457" s="7">
        <v>81211.819999998</v>
      </c>
      <c r="I4457" s="7">
        <v>0</v>
      </c>
      <c r="J4457" s="8">
        <v>0</v>
      </c>
      <c r="K4457" s="9" t="str">
        <v/>
      </c>
    </row>
    <row r="4458" spans="1:11">
      <c r="A4458" t="str">
        <v/>
      </c>
      <c r="B4458" s="6">
        <v>0</v>
      </c>
      <c r="C4458" s="7" t="str">
        <v>趣点购浦发</v>
      </c>
      <c r="D4458" s="8">
        <v>0</v>
      </c>
      <c r="E4458" s="7">
        <v>0</v>
      </c>
      <c r="F4458" s="8">
        <v>0</v>
      </c>
      <c r="G4458" s="7">
        <v>0</v>
      </c>
      <c r="H4458" s="7">
        <v>81211.819999998</v>
      </c>
      <c r="I4458" s="7">
        <v>0</v>
      </c>
      <c r="J4458" s="8">
        <v>0</v>
      </c>
      <c r="K4458" s="9" t="str">
        <v/>
      </c>
    </row>
    <row r="4459" spans="1:11">
      <c r="A4459" t="str">
        <v/>
      </c>
      <c r="B4459" s="6">
        <v>0</v>
      </c>
      <c r="C4459" s="7" t="str">
        <v>趣点购浦发</v>
      </c>
      <c r="D4459" s="8">
        <v>0</v>
      </c>
      <c r="E4459" s="7">
        <v>0</v>
      </c>
      <c r="F4459" s="8">
        <v>0</v>
      </c>
      <c r="G4459" s="7">
        <v>0</v>
      </c>
      <c r="H4459" s="7">
        <v>81211.819999998</v>
      </c>
      <c r="I4459" s="7">
        <v>0</v>
      </c>
      <c r="J4459" s="8">
        <v>0</v>
      </c>
      <c r="K4459" s="9" t="str">
        <v/>
      </c>
    </row>
    <row r="4460" spans="1:11">
      <c r="A4460" t="str">
        <v/>
      </c>
      <c r="B4460" s="6">
        <v>0</v>
      </c>
      <c r="C4460" s="7" t="str">
        <v>趣点购浦发</v>
      </c>
      <c r="D4460" s="8">
        <v>0</v>
      </c>
      <c r="E4460" s="7">
        <v>0</v>
      </c>
      <c r="F4460" s="8">
        <v>0</v>
      </c>
      <c r="G4460" s="7">
        <v>0</v>
      </c>
      <c r="H4460" s="7">
        <v>81211.819999998</v>
      </c>
      <c r="I4460" s="7">
        <v>0</v>
      </c>
      <c r="J4460" s="8">
        <v>0</v>
      </c>
      <c r="K4460" s="9" t="str">
        <v/>
      </c>
    </row>
    <row r="4461" spans="1:11">
      <c r="A4461" t="str">
        <v/>
      </c>
      <c r="B4461" s="6">
        <v>0</v>
      </c>
      <c r="C4461" s="7" t="str">
        <v>趣点购浦发</v>
      </c>
      <c r="D4461" s="8">
        <v>0</v>
      </c>
      <c r="E4461" s="7">
        <v>0</v>
      </c>
      <c r="F4461" s="8">
        <v>0</v>
      </c>
      <c r="G4461" s="7">
        <v>0</v>
      </c>
      <c r="H4461" s="7">
        <v>81211.819999998</v>
      </c>
      <c r="I4461" s="7">
        <v>0</v>
      </c>
      <c r="J4461" s="8">
        <v>0</v>
      </c>
      <c r="K4461" s="9" t="str">
        <v/>
      </c>
    </row>
    <row r="4462" spans="1:11">
      <c r="A4462" t="str">
        <v/>
      </c>
      <c r="B4462" s="6">
        <v>0</v>
      </c>
      <c r="C4462" s="7" t="str">
        <v>趣点购浦发</v>
      </c>
      <c r="D4462" s="8">
        <v>0</v>
      </c>
      <c r="E4462" s="7">
        <v>0</v>
      </c>
      <c r="F4462" s="8">
        <v>0</v>
      </c>
      <c r="G4462" s="7">
        <v>0</v>
      </c>
      <c r="H4462" s="7">
        <v>81211.819999998</v>
      </c>
      <c r="I4462" s="7">
        <v>0</v>
      </c>
      <c r="J4462" s="8">
        <v>0</v>
      </c>
      <c r="K4462" s="9" t="str">
        <v/>
      </c>
    </row>
    <row r="4463" spans="1:11">
      <c r="A4463" t="str">
        <v/>
      </c>
      <c r="B4463" s="6">
        <v>0</v>
      </c>
      <c r="C4463" s="7" t="str">
        <v>趣点购浦发</v>
      </c>
      <c r="D4463" s="8">
        <v>0</v>
      </c>
      <c r="E4463" s="7">
        <v>0</v>
      </c>
      <c r="F4463" s="8">
        <v>0</v>
      </c>
      <c r="G4463" s="7">
        <v>0</v>
      </c>
      <c r="H4463" s="7">
        <v>81211.819999998</v>
      </c>
      <c r="I4463" s="7">
        <v>0</v>
      </c>
      <c r="J4463" s="8">
        <v>0</v>
      </c>
      <c r="K4463" s="9" t="str">
        <v/>
      </c>
    </row>
    <row r="4464" spans="1:11">
      <c r="A4464" t="str">
        <v/>
      </c>
      <c r="B4464" s="6">
        <v>0</v>
      </c>
      <c r="C4464" s="7" t="str">
        <v>趣点购浦发</v>
      </c>
      <c r="D4464" s="8">
        <v>0</v>
      </c>
      <c r="E4464" s="7">
        <v>0</v>
      </c>
      <c r="F4464" s="8">
        <v>0</v>
      </c>
      <c r="G4464" s="7">
        <v>0</v>
      </c>
      <c r="H4464" s="7">
        <v>81211.819999998</v>
      </c>
      <c r="I4464" s="7">
        <v>0</v>
      </c>
      <c r="J4464" s="8">
        <v>0</v>
      </c>
      <c r="K4464" s="9" t="str">
        <v/>
      </c>
    </row>
    <row r="4465" spans="1:11">
      <c r="A4465" t="str">
        <v/>
      </c>
      <c r="B4465" s="6">
        <v>0</v>
      </c>
      <c r="C4465" s="7" t="str">
        <v>趣点购浦发</v>
      </c>
      <c r="D4465" s="8">
        <v>0</v>
      </c>
      <c r="E4465" s="7">
        <v>0</v>
      </c>
      <c r="F4465" s="8">
        <v>0</v>
      </c>
      <c r="G4465" s="7">
        <v>0</v>
      </c>
      <c r="H4465" s="7">
        <v>81211.819999998</v>
      </c>
      <c r="I4465" s="7">
        <v>0</v>
      </c>
      <c r="J4465" s="8">
        <v>0</v>
      </c>
      <c r="K4465" s="9" t="str">
        <v/>
      </c>
    </row>
    <row r="4466" spans="1:11">
      <c r="A4466" t="str">
        <v/>
      </c>
      <c r="B4466" s="6">
        <v>0</v>
      </c>
      <c r="C4466" s="7" t="str">
        <v>趣点购浦发</v>
      </c>
      <c r="D4466" s="8">
        <v>0</v>
      </c>
      <c r="E4466" s="7">
        <v>0</v>
      </c>
      <c r="F4466" s="8">
        <v>0</v>
      </c>
      <c r="G4466" s="7">
        <v>0</v>
      </c>
      <c r="H4466" s="7">
        <v>81211.819999998</v>
      </c>
      <c r="I4466" s="7">
        <v>0</v>
      </c>
      <c r="J4466" s="8">
        <v>0</v>
      </c>
      <c r="K4466" s="9" t="str">
        <v/>
      </c>
    </row>
    <row r="4467" spans="1:11">
      <c r="A4467" t="str">
        <v/>
      </c>
      <c r="B4467" s="6">
        <v>0</v>
      </c>
      <c r="C4467" s="7" t="str">
        <v>趣点购浦发</v>
      </c>
      <c r="D4467" s="8">
        <v>0</v>
      </c>
      <c r="E4467" s="7">
        <v>0</v>
      </c>
      <c r="F4467" s="8">
        <v>0</v>
      </c>
      <c r="G4467" s="7">
        <v>0</v>
      </c>
      <c r="H4467" s="7">
        <v>81211.819999998</v>
      </c>
      <c r="I4467" s="7">
        <v>0</v>
      </c>
      <c r="J4467" s="8">
        <v>0</v>
      </c>
      <c r="K4467" s="9" t="str">
        <v/>
      </c>
    </row>
    <row r="4468" spans="1:11">
      <c r="A4468" t="str">
        <v/>
      </c>
      <c r="B4468" s="6">
        <v>0</v>
      </c>
      <c r="C4468" s="7" t="str">
        <v>趣点购浦发</v>
      </c>
      <c r="D4468" s="8">
        <v>0</v>
      </c>
      <c r="E4468" s="7">
        <v>0</v>
      </c>
      <c r="F4468" s="8">
        <v>0</v>
      </c>
      <c r="G4468" s="7">
        <v>0</v>
      </c>
      <c r="H4468" s="7">
        <v>81211.819999998</v>
      </c>
      <c r="I4468" s="7">
        <v>0</v>
      </c>
      <c r="J4468" s="8">
        <v>0</v>
      </c>
      <c r="K4468" s="9" t="str">
        <v/>
      </c>
    </row>
    <row r="4469" spans="1:11">
      <c r="A4469" t="str">
        <v/>
      </c>
      <c r="B4469" s="6">
        <v>0</v>
      </c>
      <c r="C4469" s="7" t="str">
        <v>趣点购浦发</v>
      </c>
      <c r="D4469" s="8">
        <v>0</v>
      </c>
      <c r="E4469" s="7">
        <v>0</v>
      </c>
      <c r="F4469" s="8">
        <v>0</v>
      </c>
      <c r="G4469" s="7">
        <v>0</v>
      </c>
      <c r="H4469" s="7">
        <v>81211.819999998</v>
      </c>
      <c r="I4469" s="7">
        <v>0</v>
      </c>
      <c r="J4469" s="8">
        <v>0</v>
      </c>
      <c r="K4469" s="9" t="str">
        <v/>
      </c>
    </row>
    <row r="4470" spans="1:11">
      <c r="A4470" t="str">
        <v/>
      </c>
      <c r="B4470" s="6">
        <v>0</v>
      </c>
      <c r="C4470" s="7" t="str">
        <v>趣点购浦发</v>
      </c>
      <c r="D4470" s="8">
        <v>0</v>
      </c>
      <c r="E4470" s="7">
        <v>0</v>
      </c>
      <c r="F4470" s="8">
        <v>0</v>
      </c>
      <c r="G4470" s="7">
        <v>0</v>
      </c>
      <c r="H4470" s="7">
        <v>81211.819999998</v>
      </c>
      <c r="I4470" s="7">
        <v>0</v>
      </c>
      <c r="J4470" s="8">
        <v>0</v>
      </c>
      <c r="K4470" s="9" t="str">
        <v/>
      </c>
    </row>
    <row r="4471" spans="1:11">
      <c r="A4471" t="str">
        <v/>
      </c>
      <c r="B4471" s="6">
        <v>0</v>
      </c>
      <c r="C4471" s="7" t="str">
        <v>趣点购浦发</v>
      </c>
      <c r="D4471" s="8">
        <v>0</v>
      </c>
      <c r="E4471" s="7">
        <v>0</v>
      </c>
      <c r="F4471" s="8">
        <v>0</v>
      </c>
      <c r="G4471" s="7">
        <v>0</v>
      </c>
      <c r="H4471" s="7">
        <v>81211.819999998</v>
      </c>
      <c r="I4471" s="7">
        <v>0</v>
      </c>
      <c r="J4471" s="8">
        <v>0</v>
      </c>
      <c r="K4471" s="9" t="str">
        <v/>
      </c>
    </row>
    <row r="4472" spans="1:11">
      <c r="A4472" t="str">
        <v/>
      </c>
      <c r="B4472" s="6">
        <v>0</v>
      </c>
      <c r="C4472" s="7" t="str">
        <v>趣点购浦发</v>
      </c>
      <c r="D4472" s="8">
        <v>0</v>
      </c>
      <c r="E4472" s="7">
        <v>0</v>
      </c>
      <c r="F4472" s="8">
        <v>0</v>
      </c>
      <c r="G4472" s="7">
        <v>0</v>
      </c>
      <c r="H4472" s="7">
        <v>81211.819999998</v>
      </c>
      <c r="I4472" s="7">
        <v>0</v>
      </c>
      <c r="J4472" s="8">
        <v>0</v>
      </c>
      <c r="K4472" s="9" t="str">
        <v/>
      </c>
    </row>
    <row r="4473" spans="1:11">
      <c r="A4473" t="str">
        <v/>
      </c>
      <c r="B4473" s="6">
        <v>0</v>
      </c>
      <c r="C4473" s="7" t="str">
        <v>趣点购浦发</v>
      </c>
      <c r="D4473" s="8">
        <v>0</v>
      </c>
      <c r="E4473" s="7">
        <v>0</v>
      </c>
      <c r="F4473" s="8">
        <v>0</v>
      </c>
      <c r="G4473" s="7">
        <v>0</v>
      </c>
      <c r="H4473" s="7">
        <v>81211.819999998</v>
      </c>
      <c r="I4473" s="7">
        <v>0</v>
      </c>
      <c r="J4473" s="8">
        <v>0</v>
      </c>
      <c r="K4473" s="9" t="str">
        <v/>
      </c>
    </row>
    <row r="4474" spans="1:11">
      <c r="A4474" t="str">
        <v/>
      </c>
      <c r="B4474" s="6">
        <v>0</v>
      </c>
      <c r="C4474" s="7" t="str">
        <v>趣点购浦发</v>
      </c>
      <c r="D4474" s="8">
        <v>0</v>
      </c>
      <c r="E4474" s="7">
        <v>0</v>
      </c>
      <c r="F4474" s="8">
        <v>0</v>
      </c>
      <c r="G4474" s="7">
        <v>0</v>
      </c>
      <c r="H4474" s="7">
        <v>81211.819999998</v>
      </c>
      <c r="I4474" s="7">
        <v>0</v>
      </c>
      <c r="J4474" s="8">
        <v>0</v>
      </c>
      <c r="K4474" s="9" t="str">
        <v/>
      </c>
    </row>
    <row r="4475" spans="1:11">
      <c r="A4475" t="str">
        <v/>
      </c>
      <c r="B4475" s="6">
        <v>0</v>
      </c>
      <c r="C4475" s="7" t="str">
        <v>趣点购浦发</v>
      </c>
      <c r="D4475" s="8">
        <v>0</v>
      </c>
      <c r="E4475" s="7">
        <v>0</v>
      </c>
      <c r="F4475" s="8">
        <v>0</v>
      </c>
      <c r="G4475" s="7">
        <v>0</v>
      </c>
      <c r="H4475" s="7">
        <v>81211.819999998</v>
      </c>
      <c r="I4475" s="7">
        <v>0</v>
      </c>
      <c r="J4475" s="8">
        <v>0</v>
      </c>
      <c r="K4475" s="9" t="str">
        <v/>
      </c>
    </row>
    <row r="4476" spans="1:11">
      <c r="A4476" t="str">
        <v/>
      </c>
      <c r="B4476" s="6">
        <v>0</v>
      </c>
      <c r="C4476" s="7" t="str">
        <v>趣点购浦发</v>
      </c>
      <c r="D4476" s="8">
        <v>0</v>
      </c>
      <c r="E4476" s="7">
        <v>0</v>
      </c>
      <c r="F4476" s="8">
        <v>0</v>
      </c>
      <c r="G4476" s="7">
        <v>0</v>
      </c>
      <c r="H4476" s="7">
        <v>81211.819999998</v>
      </c>
      <c r="I4476" s="7">
        <v>0</v>
      </c>
      <c r="J4476" s="8">
        <v>0</v>
      </c>
      <c r="K4476" s="9" t="str">
        <v/>
      </c>
    </row>
    <row r="4477" spans="1:11">
      <c r="A4477" t="str">
        <v/>
      </c>
      <c r="B4477" s="6">
        <v>0</v>
      </c>
      <c r="C4477" s="7" t="str">
        <v>趣点购浦发</v>
      </c>
      <c r="D4477" s="8">
        <v>0</v>
      </c>
      <c r="E4477" s="7">
        <v>0</v>
      </c>
      <c r="F4477" s="8">
        <v>0</v>
      </c>
      <c r="G4477" s="7">
        <v>0</v>
      </c>
      <c r="H4477" s="7">
        <v>81211.819999998</v>
      </c>
      <c r="I4477" s="7">
        <v>0</v>
      </c>
      <c r="J4477" s="8">
        <v>0</v>
      </c>
      <c r="K4477" s="9" t="str">
        <v/>
      </c>
    </row>
    <row r="4478" spans="1:11">
      <c r="A4478" t="str">
        <v/>
      </c>
      <c r="B4478" s="6">
        <v>0</v>
      </c>
      <c r="C4478" s="7" t="str">
        <v>趣点购浦发</v>
      </c>
      <c r="D4478" s="8">
        <v>0</v>
      </c>
      <c r="E4478" s="7">
        <v>0</v>
      </c>
      <c r="F4478" s="8">
        <v>0</v>
      </c>
      <c r="G4478" s="7">
        <v>0</v>
      </c>
      <c r="H4478" s="7">
        <v>81211.819999998</v>
      </c>
      <c r="I4478" s="7">
        <v>0</v>
      </c>
      <c r="J4478" s="8">
        <v>0</v>
      </c>
      <c r="K4478" s="9" t="str">
        <v/>
      </c>
    </row>
    <row r="4479" spans="1:11">
      <c r="A4479" t="str">
        <v/>
      </c>
      <c r="B4479" s="6">
        <v>0</v>
      </c>
      <c r="C4479" s="7" t="str">
        <v>趣点购浦发</v>
      </c>
      <c r="D4479" s="8">
        <v>0</v>
      </c>
      <c r="E4479" s="7">
        <v>0</v>
      </c>
      <c r="F4479" s="8">
        <v>0</v>
      </c>
      <c r="G4479" s="7">
        <v>0</v>
      </c>
      <c r="H4479" s="7">
        <v>81211.819999998</v>
      </c>
      <c r="I4479" s="7">
        <v>0</v>
      </c>
      <c r="J4479" s="8">
        <v>0</v>
      </c>
      <c r="K4479" s="9" t="str">
        <v/>
      </c>
    </row>
    <row r="4480" spans="1:11">
      <c r="A4480" t="str">
        <v/>
      </c>
      <c r="B4480" s="6">
        <v>0</v>
      </c>
      <c r="C4480" s="7" t="str">
        <v>趣点购浦发</v>
      </c>
      <c r="D4480" s="8">
        <v>0</v>
      </c>
      <c r="E4480" s="7">
        <v>0</v>
      </c>
      <c r="F4480" s="8">
        <v>0</v>
      </c>
      <c r="G4480" s="7">
        <v>0</v>
      </c>
      <c r="H4480" s="7">
        <v>81211.819999998</v>
      </c>
      <c r="I4480" s="7">
        <v>0</v>
      </c>
      <c r="J4480" s="8">
        <v>0</v>
      </c>
      <c r="K4480" s="9" t="str">
        <v/>
      </c>
    </row>
    <row r="4481" spans="1:11">
      <c r="A4481" t="str">
        <v/>
      </c>
      <c r="B4481" s="6">
        <v>0</v>
      </c>
      <c r="C4481" s="7" t="str">
        <v>趣点购浦发</v>
      </c>
      <c r="D4481" s="8">
        <v>0</v>
      </c>
      <c r="E4481" s="7">
        <v>0</v>
      </c>
      <c r="F4481" s="8">
        <v>0</v>
      </c>
      <c r="G4481" s="7">
        <v>0</v>
      </c>
      <c r="H4481" s="7">
        <v>81211.819999998</v>
      </c>
      <c r="I4481" s="7">
        <v>0</v>
      </c>
      <c r="J4481" s="8">
        <v>0</v>
      </c>
      <c r="K4481" s="9" t="str">
        <v/>
      </c>
    </row>
    <row r="4482" spans="1:11">
      <c r="A4482" t="str">
        <v/>
      </c>
      <c r="B4482" s="6">
        <v>0</v>
      </c>
      <c r="C4482" s="7" t="str">
        <v>趣点购浦发</v>
      </c>
      <c r="D4482" s="8">
        <v>0</v>
      </c>
      <c r="E4482" s="7">
        <v>0</v>
      </c>
      <c r="F4482" s="8">
        <v>0</v>
      </c>
      <c r="G4482" s="7">
        <v>0</v>
      </c>
      <c r="H4482" s="7">
        <v>81211.819999998</v>
      </c>
      <c r="I4482" s="7">
        <v>0</v>
      </c>
      <c r="J4482" s="8">
        <v>0</v>
      </c>
      <c r="K4482" s="9" t="str">
        <v/>
      </c>
    </row>
    <row r="4483" spans="1:11">
      <c r="A4483" t="str">
        <v/>
      </c>
      <c r="B4483" s="6">
        <v>0</v>
      </c>
      <c r="C4483" s="7" t="str">
        <v>趣点购浦发</v>
      </c>
      <c r="D4483" s="8">
        <v>0</v>
      </c>
      <c r="E4483" s="7">
        <v>0</v>
      </c>
      <c r="F4483" s="8">
        <v>0</v>
      </c>
      <c r="G4483" s="7">
        <v>0</v>
      </c>
      <c r="H4483" s="7">
        <v>81211.819999998</v>
      </c>
      <c r="I4483" s="7">
        <v>0</v>
      </c>
      <c r="J4483" s="8">
        <v>0</v>
      </c>
      <c r="K4483" s="9" t="str">
        <v/>
      </c>
    </row>
    <row r="4484" spans="1:11">
      <c r="A4484" t="str">
        <v/>
      </c>
      <c r="B4484" s="6">
        <v>0</v>
      </c>
      <c r="C4484" s="7" t="str">
        <v>趣点购浦发</v>
      </c>
      <c r="D4484" s="8">
        <v>0</v>
      </c>
      <c r="E4484" s="7">
        <v>0</v>
      </c>
      <c r="F4484" s="8">
        <v>0</v>
      </c>
      <c r="G4484" s="7">
        <v>0</v>
      </c>
      <c r="H4484" s="7">
        <v>81211.819999998</v>
      </c>
      <c r="I4484" s="7">
        <v>0</v>
      </c>
      <c r="J4484" s="8">
        <v>0</v>
      </c>
      <c r="K4484" s="9" t="str">
        <v/>
      </c>
    </row>
    <row r="4485" spans="1:11">
      <c r="A4485" t="str">
        <v/>
      </c>
      <c r="B4485" s="6">
        <v>0</v>
      </c>
      <c r="C4485" s="7" t="str">
        <v>趣点购浦发</v>
      </c>
      <c r="D4485" s="8">
        <v>0</v>
      </c>
      <c r="E4485" s="7">
        <v>0</v>
      </c>
      <c r="F4485" s="8">
        <v>0</v>
      </c>
      <c r="G4485" s="7">
        <v>0</v>
      </c>
      <c r="H4485" s="7">
        <v>81211.819999998</v>
      </c>
      <c r="I4485" s="7">
        <v>0</v>
      </c>
      <c r="J4485" s="8">
        <v>0</v>
      </c>
      <c r="K4485" s="9" t="str">
        <v/>
      </c>
    </row>
    <row r="4486" spans="1:11">
      <c r="A4486" t="str">
        <v/>
      </c>
      <c r="B4486" s="6">
        <v>0</v>
      </c>
      <c r="C4486" s="7" t="str">
        <v>趣点购浦发</v>
      </c>
      <c r="D4486" s="8">
        <v>0</v>
      </c>
      <c r="E4486" s="7">
        <v>0</v>
      </c>
      <c r="F4486" s="8">
        <v>0</v>
      </c>
      <c r="G4486" s="7">
        <v>0</v>
      </c>
      <c r="H4486" s="7">
        <v>81211.819999998</v>
      </c>
      <c r="I4486" s="7">
        <v>0</v>
      </c>
      <c r="J4486" s="8">
        <v>0</v>
      </c>
      <c r="K4486" s="9" t="str">
        <v/>
      </c>
    </row>
    <row r="4487" spans="1:11">
      <c r="A4487" t="str">
        <v/>
      </c>
      <c r="B4487" s="6">
        <v>0</v>
      </c>
      <c r="C4487" s="7" t="str">
        <v>趣点购浦发</v>
      </c>
      <c r="D4487" s="8">
        <v>0</v>
      </c>
      <c r="E4487" s="7">
        <v>0</v>
      </c>
      <c r="F4487" s="8">
        <v>0</v>
      </c>
      <c r="G4487" s="7">
        <v>0</v>
      </c>
      <c r="H4487" s="7">
        <v>81211.819999998</v>
      </c>
      <c r="I4487" s="7">
        <v>0</v>
      </c>
      <c r="J4487" s="8">
        <v>0</v>
      </c>
      <c r="K4487" s="9" t="str">
        <v/>
      </c>
    </row>
    <row r="4488" spans="1:11">
      <c r="A4488" t="str">
        <v/>
      </c>
      <c r="B4488" s="6">
        <v>0</v>
      </c>
      <c r="C4488" s="7" t="str">
        <v>趣点购浦发</v>
      </c>
      <c r="D4488" s="8">
        <v>0</v>
      </c>
      <c r="E4488" s="7">
        <v>0</v>
      </c>
      <c r="F4488" s="8">
        <v>0</v>
      </c>
      <c r="G4488" s="7">
        <v>0</v>
      </c>
      <c r="H4488" s="7">
        <v>81211.819999998</v>
      </c>
      <c r="I4488" s="7">
        <v>0</v>
      </c>
      <c r="J4488" s="8">
        <v>0</v>
      </c>
      <c r="K4488" s="9" t="str">
        <v/>
      </c>
    </row>
    <row r="4489" spans="1:11">
      <c r="A4489" t="str">
        <v/>
      </c>
      <c r="B4489" s="6">
        <v>0</v>
      </c>
      <c r="C4489" s="7" t="str">
        <v>趣点购浦发</v>
      </c>
      <c r="D4489" s="8">
        <v>0</v>
      </c>
      <c r="E4489" s="7">
        <v>0</v>
      </c>
      <c r="F4489" s="8">
        <v>0</v>
      </c>
      <c r="G4489" s="7">
        <v>0</v>
      </c>
      <c r="H4489" s="7">
        <v>81211.819999998</v>
      </c>
      <c r="I4489" s="7">
        <v>0</v>
      </c>
      <c r="J4489" s="8">
        <v>0</v>
      </c>
      <c r="K4489" s="9" t="str">
        <v/>
      </c>
    </row>
    <row r="4490" spans="1:11">
      <c r="A4490" t="str">
        <v/>
      </c>
      <c r="B4490" s="6">
        <v>0</v>
      </c>
      <c r="C4490" s="7" t="str">
        <v>趣点购浦发</v>
      </c>
      <c r="D4490" s="8">
        <v>0</v>
      </c>
      <c r="E4490" s="7">
        <v>0</v>
      </c>
      <c r="F4490" s="8">
        <v>0</v>
      </c>
      <c r="G4490" s="7">
        <v>0</v>
      </c>
      <c r="H4490" s="7">
        <v>81211.819999998</v>
      </c>
      <c r="I4490" s="7">
        <v>0</v>
      </c>
      <c r="J4490" s="8">
        <v>0</v>
      </c>
      <c r="K4490" s="9" t="str">
        <v/>
      </c>
    </row>
    <row r="4491" spans="1:11">
      <c r="A4491" t="str">
        <v/>
      </c>
      <c r="B4491" s="6">
        <v>0</v>
      </c>
      <c r="C4491" s="7" t="str">
        <v>趣点购浦发</v>
      </c>
      <c r="D4491" s="8">
        <v>0</v>
      </c>
      <c r="E4491" s="7">
        <v>0</v>
      </c>
      <c r="F4491" s="8">
        <v>0</v>
      </c>
      <c r="G4491" s="7">
        <v>0</v>
      </c>
      <c r="H4491" s="7">
        <v>81211.819999998</v>
      </c>
      <c r="I4491" s="7">
        <v>0</v>
      </c>
      <c r="J4491" s="8">
        <v>0</v>
      </c>
      <c r="K4491" s="9" t="str">
        <v/>
      </c>
    </row>
    <row r="4492" spans="1:11">
      <c r="A4492" t="str">
        <v/>
      </c>
      <c r="B4492" s="6">
        <v>0</v>
      </c>
      <c r="C4492" s="7" t="str">
        <v>趣点购浦发</v>
      </c>
      <c r="D4492" s="8">
        <v>0</v>
      </c>
      <c r="E4492" s="7">
        <v>0</v>
      </c>
      <c r="F4492" s="8">
        <v>0</v>
      </c>
      <c r="G4492" s="7">
        <v>0</v>
      </c>
      <c r="H4492" s="7">
        <v>81211.819999998</v>
      </c>
      <c r="I4492" s="7">
        <v>0</v>
      </c>
      <c r="J4492" s="8">
        <v>0</v>
      </c>
      <c r="K4492" s="9" t="str">
        <v/>
      </c>
    </row>
    <row r="4493" spans="1:11">
      <c r="A4493" t="str">
        <v/>
      </c>
      <c r="B4493" s="6">
        <v>0</v>
      </c>
      <c r="C4493" s="7" t="str">
        <v>趣点购浦发</v>
      </c>
      <c r="D4493" s="8">
        <v>0</v>
      </c>
      <c r="E4493" s="7">
        <v>0</v>
      </c>
      <c r="F4493" s="8">
        <v>0</v>
      </c>
      <c r="G4493" s="7">
        <v>0</v>
      </c>
      <c r="H4493" s="7">
        <v>81211.819999998</v>
      </c>
      <c r="I4493" s="7">
        <v>0</v>
      </c>
      <c r="J4493" s="8">
        <v>0</v>
      </c>
      <c r="K4493" s="9" t="str">
        <v/>
      </c>
    </row>
    <row r="4494" spans="1:11">
      <c r="A4494" t="str">
        <v/>
      </c>
      <c r="B4494" s="6">
        <v>0</v>
      </c>
      <c r="C4494" s="7" t="str">
        <v>趣点购浦发</v>
      </c>
      <c r="D4494" s="8">
        <v>0</v>
      </c>
      <c r="E4494" s="7">
        <v>0</v>
      </c>
      <c r="F4494" s="8">
        <v>0</v>
      </c>
      <c r="G4494" s="7">
        <v>0</v>
      </c>
      <c r="H4494" s="7">
        <v>81211.819999998</v>
      </c>
      <c r="I4494" s="7">
        <v>0</v>
      </c>
      <c r="J4494" s="8">
        <v>0</v>
      </c>
      <c r="K4494" s="9" t="str">
        <v/>
      </c>
    </row>
    <row r="4495" spans="1:11">
      <c r="A4495" t="str">
        <v/>
      </c>
      <c r="B4495" s="6">
        <v>0</v>
      </c>
      <c r="C4495" s="7" t="str">
        <v>趣点购浦发</v>
      </c>
      <c r="D4495" s="8">
        <v>0</v>
      </c>
      <c r="E4495" s="7">
        <v>0</v>
      </c>
      <c r="F4495" s="8">
        <v>0</v>
      </c>
      <c r="G4495" s="7">
        <v>0</v>
      </c>
      <c r="H4495" s="7">
        <v>81211.819999998</v>
      </c>
      <c r="I4495" s="7">
        <v>0</v>
      </c>
      <c r="J4495" s="8">
        <v>0</v>
      </c>
      <c r="K4495" s="9" t="str">
        <v/>
      </c>
    </row>
    <row r="4496" spans="1:11">
      <c r="A4496" t="str">
        <v/>
      </c>
      <c r="B4496" s="6">
        <v>0</v>
      </c>
      <c r="C4496" s="7" t="str">
        <v>趣点购浦发</v>
      </c>
      <c r="D4496" s="8">
        <v>0</v>
      </c>
      <c r="E4496" s="7">
        <v>0</v>
      </c>
      <c r="F4496" s="8">
        <v>0</v>
      </c>
      <c r="G4496" s="7">
        <v>0</v>
      </c>
      <c r="H4496" s="7">
        <v>81211.819999998</v>
      </c>
      <c r="I4496" s="7">
        <v>0</v>
      </c>
      <c r="J4496" s="8">
        <v>0</v>
      </c>
      <c r="K4496" s="9" t="str">
        <v/>
      </c>
    </row>
    <row r="4497" spans="1:11">
      <c r="A4497" t="str">
        <v/>
      </c>
      <c r="B4497" s="6">
        <v>0</v>
      </c>
      <c r="C4497" s="7" t="str">
        <v>趣点购浦发</v>
      </c>
      <c r="D4497" s="8">
        <v>0</v>
      </c>
      <c r="E4497" s="7">
        <v>0</v>
      </c>
      <c r="F4497" s="8">
        <v>0</v>
      </c>
      <c r="G4497" s="7">
        <v>0</v>
      </c>
      <c r="H4497" s="7">
        <v>81211.819999998</v>
      </c>
      <c r="I4497" s="7">
        <v>0</v>
      </c>
      <c r="J4497" s="8">
        <v>0</v>
      </c>
      <c r="K4497" s="9" t="str">
        <v/>
      </c>
    </row>
    <row r="4498" spans="1:11">
      <c r="A4498" t="str">
        <v/>
      </c>
      <c r="B4498" s="6">
        <v>0</v>
      </c>
      <c r="C4498" s="7" t="str">
        <v>趣点购浦发</v>
      </c>
      <c r="D4498" s="8">
        <v>0</v>
      </c>
      <c r="E4498" s="7">
        <v>0</v>
      </c>
      <c r="F4498" s="8">
        <v>0</v>
      </c>
      <c r="G4498" s="7">
        <v>0</v>
      </c>
      <c r="H4498" s="7">
        <v>81211.819999998</v>
      </c>
      <c r="I4498" s="7">
        <v>0</v>
      </c>
      <c r="J4498" s="8">
        <v>0</v>
      </c>
      <c r="K4498" s="9" t="str">
        <v/>
      </c>
    </row>
    <row r="4499" spans="1:11">
      <c r="A4499" t="str">
        <v/>
      </c>
      <c r="B4499" s="6">
        <v>0</v>
      </c>
      <c r="C4499" s="7" t="str">
        <v>趣点购浦发</v>
      </c>
      <c r="D4499" s="8">
        <v>0</v>
      </c>
      <c r="E4499" s="7">
        <v>0</v>
      </c>
      <c r="F4499" s="8">
        <v>0</v>
      </c>
      <c r="G4499" s="7">
        <v>0</v>
      </c>
      <c r="H4499" s="7">
        <v>81211.819999998</v>
      </c>
      <c r="I4499" s="7">
        <v>0</v>
      </c>
      <c r="J4499" s="8">
        <v>0</v>
      </c>
      <c r="K4499" s="9" t="str">
        <v/>
      </c>
    </row>
    <row r="4500" spans="1:11">
      <c r="A4500" t="str">
        <v/>
      </c>
      <c r="B4500" s="6">
        <v>0</v>
      </c>
      <c r="C4500" s="7" t="str">
        <v>趣点购浦发</v>
      </c>
      <c r="D4500" s="8">
        <v>0</v>
      </c>
      <c r="E4500" s="7">
        <v>0</v>
      </c>
      <c r="F4500" s="8">
        <v>0</v>
      </c>
      <c r="G4500" s="7">
        <v>0</v>
      </c>
      <c r="H4500" s="7">
        <v>81211.819999998</v>
      </c>
      <c r="I4500" s="7">
        <v>0</v>
      </c>
      <c r="J4500" s="8">
        <v>0</v>
      </c>
      <c r="K4500" s="9" t="str">
        <v/>
      </c>
    </row>
    <row r="4501" spans="1:11">
      <c r="A4501" t="str">
        <v/>
      </c>
      <c r="B4501" s="6">
        <v>0</v>
      </c>
      <c r="C4501" s="7" t="str">
        <v>趣点购浦发</v>
      </c>
      <c r="D4501" s="8">
        <v>0</v>
      </c>
      <c r="E4501" s="7">
        <v>0</v>
      </c>
      <c r="F4501" s="8">
        <v>0</v>
      </c>
      <c r="G4501" s="7">
        <v>0</v>
      </c>
      <c r="H4501" s="7">
        <v>81211.819999998</v>
      </c>
      <c r="I4501" s="7">
        <v>0</v>
      </c>
      <c r="J4501" s="8">
        <v>0</v>
      </c>
      <c r="K4501" s="9" t="str">
        <v/>
      </c>
    </row>
    <row r="4502" spans="1:11">
      <c r="A4502" t="str">
        <v/>
      </c>
      <c r="B4502" s="6">
        <v>0</v>
      </c>
      <c r="C4502" s="7" t="str">
        <v>趣点购浦发</v>
      </c>
      <c r="D4502" s="8">
        <v>0</v>
      </c>
      <c r="E4502" s="7">
        <v>0</v>
      </c>
      <c r="F4502" s="8">
        <v>0</v>
      </c>
      <c r="G4502" s="7">
        <v>0</v>
      </c>
      <c r="H4502" s="7">
        <v>81211.819999998</v>
      </c>
      <c r="I4502" s="7">
        <v>0</v>
      </c>
      <c r="J4502" s="8">
        <v>0</v>
      </c>
      <c r="K4502" s="9" t="str">
        <v/>
      </c>
    </row>
    <row r="4503" spans="1:11">
      <c r="A4503" t="str">
        <v/>
      </c>
      <c r="B4503" s="6">
        <v>0</v>
      </c>
      <c r="C4503" s="7" t="str">
        <v>趣点购浦发</v>
      </c>
      <c r="D4503" s="8">
        <v>0</v>
      </c>
      <c r="E4503" s="7">
        <v>0</v>
      </c>
      <c r="F4503" s="8">
        <v>0</v>
      </c>
      <c r="G4503" s="7">
        <v>0</v>
      </c>
      <c r="H4503" s="7">
        <v>81211.819999998</v>
      </c>
      <c r="I4503" s="7">
        <v>0</v>
      </c>
      <c r="J4503" s="8">
        <v>0</v>
      </c>
      <c r="K4503" s="9" t="str">
        <v/>
      </c>
    </row>
    <row r="4504" spans="1:11">
      <c r="A4504" t="str">
        <v/>
      </c>
      <c r="B4504" s="6">
        <v>0</v>
      </c>
      <c r="C4504" s="7" t="str">
        <v>趣点购浦发</v>
      </c>
      <c r="D4504" s="8">
        <v>0</v>
      </c>
      <c r="E4504" s="7">
        <v>0</v>
      </c>
      <c r="F4504" s="8">
        <v>0</v>
      </c>
      <c r="G4504" s="7">
        <v>0</v>
      </c>
      <c r="H4504" s="7">
        <v>81211.819999998</v>
      </c>
      <c r="I4504" s="7">
        <v>0</v>
      </c>
      <c r="J4504" s="8">
        <v>0</v>
      </c>
      <c r="K4504" s="9" t="str">
        <v/>
      </c>
    </row>
    <row r="4505" spans="1:11">
      <c r="A4505" t="str">
        <v/>
      </c>
      <c r="B4505" s="6">
        <v>0</v>
      </c>
      <c r="C4505" s="7" t="str">
        <v>趣点购浦发</v>
      </c>
      <c r="D4505" s="8">
        <v>0</v>
      </c>
      <c r="E4505" s="7">
        <v>0</v>
      </c>
      <c r="F4505" s="8">
        <v>0</v>
      </c>
      <c r="G4505" s="7">
        <v>0</v>
      </c>
      <c r="H4505" s="7">
        <v>81211.819999998</v>
      </c>
      <c r="I4505" s="7">
        <v>0</v>
      </c>
      <c r="J4505" s="8">
        <v>0</v>
      </c>
      <c r="K4505" s="9" t="str">
        <v/>
      </c>
    </row>
    <row r="4506" spans="1:11">
      <c r="A4506" t="str">
        <v/>
      </c>
      <c r="B4506" s="6">
        <v>0</v>
      </c>
      <c r="C4506" s="7" t="str">
        <v>趣点购浦发</v>
      </c>
      <c r="D4506" s="8">
        <v>0</v>
      </c>
      <c r="E4506" s="7">
        <v>0</v>
      </c>
      <c r="F4506" s="8">
        <v>0</v>
      </c>
      <c r="G4506" s="7">
        <v>0</v>
      </c>
      <c r="H4506" s="7">
        <v>81211.819999998</v>
      </c>
      <c r="I4506" s="7">
        <v>0</v>
      </c>
      <c r="J4506" s="8">
        <v>0</v>
      </c>
      <c r="K4506" s="9" t="str">
        <v/>
      </c>
    </row>
    <row r="4507" spans="1:11">
      <c r="A4507" t="str">
        <v/>
      </c>
      <c r="B4507" s="6">
        <v>0</v>
      </c>
      <c r="C4507" s="7" t="str">
        <v>趣点购浦发</v>
      </c>
      <c r="D4507" s="8">
        <v>0</v>
      </c>
      <c r="E4507" s="7">
        <v>0</v>
      </c>
      <c r="F4507" s="8">
        <v>0</v>
      </c>
      <c r="G4507" s="7">
        <v>0</v>
      </c>
      <c r="H4507" s="7">
        <v>81211.819999998</v>
      </c>
      <c r="I4507" s="7">
        <v>0</v>
      </c>
      <c r="J4507" s="8">
        <v>0</v>
      </c>
      <c r="K4507" s="9" t="str">
        <v/>
      </c>
    </row>
    <row r="4508" spans="1:11">
      <c r="A4508" t="str">
        <v/>
      </c>
      <c r="B4508" s="6">
        <v>0</v>
      </c>
      <c r="C4508" s="7" t="str">
        <v>趣点购浦发</v>
      </c>
      <c r="D4508" s="8">
        <v>0</v>
      </c>
      <c r="E4508" s="7">
        <v>0</v>
      </c>
      <c r="F4508" s="8">
        <v>0</v>
      </c>
      <c r="G4508" s="7">
        <v>0</v>
      </c>
      <c r="H4508" s="7">
        <v>81211.819999998</v>
      </c>
      <c r="I4508" s="7">
        <v>0</v>
      </c>
      <c r="J4508" s="8">
        <v>0</v>
      </c>
      <c r="K4508" s="9" t="str">
        <v/>
      </c>
    </row>
    <row r="4509" spans="1:11">
      <c r="A4509" t="str">
        <v/>
      </c>
      <c r="B4509" s="6">
        <v>0</v>
      </c>
      <c r="C4509" s="7" t="str">
        <v>趣点购浦发</v>
      </c>
      <c r="D4509" s="8">
        <v>0</v>
      </c>
      <c r="E4509" s="7">
        <v>0</v>
      </c>
      <c r="F4509" s="8">
        <v>0</v>
      </c>
      <c r="G4509" s="7">
        <v>0</v>
      </c>
      <c r="H4509" s="7">
        <v>81211.819999998</v>
      </c>
      <c r="I4509" s="7">
        <v>0</v>
      </c>
      <c r="J4509" s="8">
        <v>0</v>
      </c>
      <c r="K4509" s="9" t="str">
        <v/>
      </c>
    </row>
    <row r="4510" spans="1:11">
      <c r="A4510" t="str">
        <v/>
      </c>
      <c r="B4510" s="6">
        <v>0</v>
      </c>
      <c r="C4510" s="7" t="str">
        <v>趣点购浦发</v>
      </c>
      <c r="D4510" s="8">
        <v>0</v>
      </c>
      <c r="E4510" s="7">
        <v>0</v>
      </c>
      <c r="F4510" s="8">
        <v>0</v>
      </c>
      <c r="G4510" s="7">
        <v>0</v>
      </c>
      <c r="H4510" s="7">
        <v>81211.819999998</v>
      </c>
      <c r="I4510" s="7">
        <v>0</v>
      </c>
      <c r="J4510" s="8">
        <v>0</v>
      </c>
      <c r="K4510" s="9" t="str">
        <v/>
      </c>
    </row>
    <row r="4511" spans="1:11">
      <c r="A4511" t="str">
        <v/>
      </c>
      <c r="B4511" s="6">
        <v>0</v>
      </c>
      <c r="C4511" s="7" t="str">
        <v>趣点购浦发</v>
      </c>
      <c r="D4511" s="8">
        <v>0</v>
      </c>
      <c r="E4511" s="7">
        <v>0</v>
      </c>
      <c r="F4511" s="8">
        <v>0</v>
      </c>
      <c r="G4511" s="7">
        <v>0</v>
      </c>
      <c r="H4511" s="7">
        <v>81211.819999998</v>
      </c>
      <c r="I4511" s="7">
        <v>0</v>
      </c>
      <c r="J4511" s="8">
        <v>0</v>
      </c>
      <c r="K4511" s="9" t="str">
        <v/>
      </c>
    </row>
    <row r="4512" spans="1:11">
      <c r="A4512" t="str">
        <v/>
      </c>
      <c r="B4512" s="6">
        <v>0</v>
      </c>
      <c r="C4512" s="7" t="str">
        <v>趣点购浦发</v>
      </c>
      <c r="D4512" s="8">
        <v>0</v>
      </c>
      <c r="E4512" s="7">
        <v>0</v>
      </c>
      <c r="F4512" s="8">
        <v>0</v>
      </c>
      <c r="G4512" s="7">
        <v>0</v>
      </c>
      <c r="H4512" s="7">
        <v>81211.819999998</v>
      </c>
      <c r="I4512" s="7">
        <v>0</v>
      </c>
      <c r="J4512" s="8">
        <v>0</v>
      </c>
      <c r="K4512" s="9" t="str">
        <v/>
      </c>
    </row>
    <row r="4513" spans="1:11">
      <c r="A4513" t="str">
        <v/>
      </c>
      <c r="B4513" s="6">
        <v>0</v>
      </c>
      <c r="C4513" s="7" t="str">
        <v>趣点购浦发</v>
      </c>
      <c r="D4513" s="8">
        <v>0</v>
      </c>
      <c r="E4513" s="7">
        <v>0</v>
      </c>
      <c r="F4513" s="8">
        <v>0</v>
      </c>
      <c r="G4513" s="7">
        <v>0</v>
      </c>
      <c r="H4513" s="7">
        <v>81211.819999998</v>
      </c>
      <c r="I4513" s="7">
        <v>0</v>
      </c>
      <c r="J4513" s="8">
        <v>0</v>
      </c>
      <c r="K4513" s="9" t="str">
        <v/>
      </c>
    </row>
    <row r="4514" spans="1:11">
      <c r="A4514" t="str">
        <v/>
      </c>
      <c r="B4514" s="6">
        <v>0</v>
      </c>
      <c r="C4514" s="7" t="str">
        <v>趣点购浦发</v>
      </c>
      <c r="D4514" s="8">
        <v>0</v>
      </c>
      <c r="E4514" s="7">
        <v>0</v>
      </c>
      <c r="F4514" s="8">
        <v>0</v>
      </c>
      <c r="G4514" s="7">
        <v>0</v>
      </c>
      <c r="H4514" s="7">
        <v>81211.819999998</v>
      </c>
      <c r="I4514" s="7">
        <v>0</v>
      </c>
      <c r="J4514" s="8">
        <v>0</v>
      </c>
      <c r="K4514" s="9" t="str">
        <v/>
      </c>
    </row>
    <row r="4515" spans="1:11">
      <c r="A4515" t="str">
        <v/>
      </c>
      <c r="B4515" s="6">
        <v>0</v>
      </c>
      <c r="C4515" s="7" t="str">
        <v>趣点购浦发</v>
      </c>
      <c r="D4515" s="8">
        <v>0</v>
      </c>
      <c r="E4515" s="7">
        <v>0</v>
      </c>
      <c r="F4515" s="8">
        <v>0</v>
      </c>
      <c r="G4515" s="7">
        <v>0</v>
      </c>
      <c r="H4515" s="7">
        <v>81211.819999998</v>
      </c>
      <c r="I4515" s="7">
        <v>0</v>
      </c>
      <c r="J4515" s="8">
        <v>0</v>
      </c>
      <c r="K4515" s="9" t="str">
        <v/>
      </c>
    </row>
    <row r="4516" spans="1:11">
      <c r="A4516" t="str">
        <v/>
      </c>
      <c r="B4516" s="6">
        <v>0</v>
      </c>
      <c r="C4516" s="7" t="str">
        <v>趣点购浦发</v>
      </c>
      <c r="D4516" s="8">
        <v>0</v>
      </c>
      <c r="E4516" s="7">
        <v>0</v>
      </c>
      <c r="F4516" s="8">
        <v>0</v>
      </c>
      <c r="G4516" s="7">
        <v>0</v>
      </c>
      <c r="H4516" s="7">
        <v>81211.819999998</v>
      </c>
      <c r="I4516" s="7">
        <v>0</v>
      </c>
      <c r="J4516" s="8">
        <v>0</v>
      </c>
      <c r="K4516" s="9" t="str">
        <v/>
      </c>
    </row>
    <row r="4517" spans="1:11">
      <c r="A4517" t="str">
        <v/>
      </c>
      <c r="B4517" s="6">
        <v>0</v>
      </c>
      <c r="C4517" s="7" t="str">
        <v>趣点购浦发</v>
      </c>
      <c r="D4517" s="8">
        <v>0</v>
      </c>
      <c r="E4517" s="7">
        <v>0</v>
      </c>
      <c r="F4517" s="8">
        <v>0</v>
      </c>
      <c r="G4517" s="7">
        <v>0</v>
      </c>
      <c r="H4517" s="7">
        <v>81211.819999998</v>
      </c>
      <c r="I4517" s="7">
        <v>0</v>
      </c>
      <c r="J4517" s="8">
        <v>0</v>
      </c>
      <c r="K4517" s="9" t="str">
        <v/>
      </c>
    </row>
    <row r="4518" spans="1:11">
      <c r="A4518" t="str">
        <v/>
      </c>
      <c r="B4518" s="6">
        <v>0</v>
      </c>
      <c r="C4518" s="7" t="str">
        <v>趣点购浦发</v>
      </c>
      <c r="D4518" s="8">
        <v>0</v>
      </c>
      <c r="E4518" s="7">
        <v>0</v>
      </c>
      <c r="F4518" s="8">
        <v>0</v>
      </c>
      <c r="G4518" s="7">
        <v>0</v>
      </c>
      <c r="H4518" s="7">
        <v>81211.819999998</v>
      </c>
      <c r="I4518" s="7">
        <v>0</v>
      </c>
      <c r="J4518" s="8">
        <v>0</v>
      </c>
      <c r="K4518" s="9" t="str">
        <v/>
      </c>
    </row>
    <row r="4519" spans="1:11">
      <c r="A4519" t="str">
        <v/>
      </c>
      <c r="B4519" s="6">
        <v>0</v>
      </c>
      <c r="C4519" s="7" t="str">
        <v>趣点购浦发</v>
      </c>
      <c r="D4519" s="8">
        <v>0</v>
      </c>
      <c r="E4519" s="7">
        <v>0</v>
      </c>
      <c r="F4519" s="8">
        <v>0</v>
      </c>
      <c r="G4519" s="7">
        <v>0</v>
      </c>
      <c r="H4519" s="7">
        <v>81211.819999998</v>
      </c>
      <c r="I4519" s="7">
        <v>0</v>
      </c>
      <c r="J4519" s="8">
        <v>0</v>
      </c>
      <c r="K4519" s="9" t="str">
        <v/>
      </c>
    </row>
    <row r="4520" spans="1:11">
      <c r="A4520" t="str">
        <v/>
      </c>
      <c r="B4520" s="6">
        <v>0</v>
      </c>
      <c r="C4520" s="7" t="str">
        <v>趣点购浦发</v>
      </c>
      <c r="D4520" s="8">
        <v>0</v>
      </c>
      <c r="E4520" s="7">
        <v>0</v>
      </c>
      <c r="F4520" s="8">
        <v>0</v>
      </c>
      <c r="G4520" s="7">
        <v>0</v>
      </c>
      <c r="H4520" s="7">
        <v>81211.819999998</v>
      </c>
      <c r="I4520" s="7">
        <v>0</v>
      </c>
      <c r="J4520" s="8">
        <v>0</v>
      </c>
      <c r="K4520" s="9" t="str">
        <v/>
      </c>
    </row>
    <row r="4521" spans="1:11">
      <c r="A4521" t="str">
        <v/>
      </c>
      <c r="B4521" s="6">
        <v>0</v>
      </c>
      <c r="C4521" s="7" t="str">
        <v>趣点购浦发</v>
      </c>
      <c r="D4521" s="8">
        <v>0</v>
      </c>
      <c r="E4521" s="7">
        <v>0</v>
      </c>
      <c r="F4521" s="8">
        <v>0</v>
      </c>
      <c r="G4521" s="7">
        <v>0</v>
      </c>
      <c r="H4521" s="7">
        <v>81211.819999998</v>
      </c>
      <c r="I4521" s="7">
        <v>0</v>
      </c>
      <c r="J4521" s="8">
        <v>0</v>
      </c>
      <c r="K4521" s="9" t="str">
        <v/>
      </c>
    </row>
    <row r="4522" spans="1:11">
      <c r="A4522" t="str">
        <v/>
      </c>
      <c r="B4522" s="6">
        <v>0</v>
      </c>
      <c r="C4522" s="7" t="str">
        <v>趣点购浦发</v>
      </c>
      <c r="D4522" s="8">
        <v>0</v>
      </c>
      <c r="E4522" s="7">
        <v>0</v>
      </c>
      <c r="F4522" s="8">
        <v>0</v>
      </c>
      <c r="G4522" s="7">
        <v>0</v>
      </c>
      <c r="H4522" s="7">
        <v>81211.819999998</v>
      </c>
      <c r="I4522" s="7">
        <v>0</v>
      </c>
      <c r="J4522" s="8">
        <v>0</v>
      </c>
      <c r="K4522" s="9" t="str">
        <v/>
      </c>
    </row>
    <row r="4523" spans="1:11">
      <c r="A4523" t="str">
        <v/>
      </c>
      <c r="B4523" s="6">
        <v>0</v>
      </c>
      <c r="C4523" s="7" t="str">
        <v>趣点购浦发</v>
      </c>
      <c r="D4523" s="8">
        <v>0</v>
      </c>
      <c r="E4523" s="7">
        <v>0</v>
      </c>
      <c r="F4523" s="8">
        <v>0</v>
      </c>
      <c r="G4523" s="7">
        <v>0</v>
      </c>
      <c r="H4523" s="7">
        <v>81211.819999998</v>
      </c>
      <c r="I4523" s="7">
        <v>0</v>
      </c>
      <c r="J4523" s="8">
        <v>0</v>
      </c>
      <c r="K4523" s="9" t="str">
        <v/>
      </c>
    </row>
    <row r="4524" spans="1:11">
      <c r="A4524" t="str">
        <v/>
      </c>
      <c r="B4524" s="6">
        <v>0</v>
      </c>
      <c r="C4524" s="7" t="str">
        <v>趣点购浦发</v>
      </c>
      <c r="D4524" s="8">
        <v>0</v>
      </c>
      <c r="E4524" s="7">
        <v>0</v>
      </c>
      <c r="F4524" s="8">
        <v>0</v>
      </c>
      <c r="G4524" s="7">
        <v>0</v>
      </c>
      <c r="H4524" s="7">
        <v>81211.819999998</v>
      </c>
      <c r="I4524" s="7">
        <v>0</v>
      </c>
      <c r="J4524" s="8">
        <v>0</v>
      </c>
      <c r="K4524" s="9" t="str">
        <v/>
      </c>
    </row>
    <row r="4525" spans="1:11">
      <c r="A4525" t="str">
        <v/>
      </c>
      <c r="B4525" s="6">
        <v>0</v>
      </c>
      <c r="C4525" s="7" t="str">
        <v>趣点购浦发</v>
      </c>
      <c r="D4525" s="8">
        <v>0</v>
      </c>
      <c r="E4525" s="7">
        <v>0</v>
      </c>
      <c r="F4525" s="8">
        <v>0</v>
      </c>
      <c r="G4525" s="7">
        <v>0</v>
      </c>
      <c r="H4525" s="7">
        <v>81211.819999998</v>
      </c>
      <c r="I4525" s="7">
        <v>0</v>
      </c>
      <c r="J4525" s="8">
        <v>0</v>
      </c>
      <c r="K4525" s="9" t="str">
        <v/>
      </c>
    </row>
    <row r="4526" spans="1:11">
      <c r="A4526" t="str">
        <v/>
      </c>
      <c r="B4526" s="6">
        <v>0</v>
      </c>
      <c r="C4526" s="7" t="str">
        <v>趣点购浦发</v>
      </c>
      <c r="D4526" s="8">
        <v>0</v>
      </c>
      <c r="E4526" s="7">
        <v>0</v>
      </c>
      <c r="F4526" s="8">
        <v>0</v>
      </c>
      <c r="G4526" s="7">
        <v>0</v>
      </c>
      <c r="H4526" s="7">
        <v>81211.819999998</v>
      </c>
      <c r="I4526" s="7">
        <v>0</v>
      </c>
      <c r="J4526" s="8">
        <v>0</v>
      </c>
      <c r="K4526" s="9" t="str">
        <v/>
      </c>
    </row>
    <row r="4527" spans="1:11">
      <c r="A4527" t="str">
        <v/>
      </c>
      <c r="B4527" s="6">
        <v>0</v>
      </c>
      <c r="C4527" s="7" t="str">
        <v>趣点购浦发</v>
      </c>
      <c r="D4527" s="8">
        <v>0</v>
      </c>
      <c r="E4527" s="7">
        <v>0</v>
      </c>
      <c r="F4527" s="8">
        <v>0</v>
      </c>
      <c r="G4527" s="7">
        <v>0</v>
      </c>
      <c r="H4527" s="7">
        <v>81211.819999998</v>
      </c>
      <c r="I4527" s="7">
        <v>0</v>
      </c>
      <c r="J4527" s="8">
        <v>0</v>
      </c>
      <c r="K4527" s="9" t="str">
        <v/>
      </c>
    </row>
    <row r="4528" spans="1:11">
      <c r="A4528" t="str">
        <v/>
      </c>
      <c r="B4528" s="6">
        <v>0</v>
      </c>
      <c r="C4528" s="7" t="str">
        <v>趣点购浦发</v>
      </c>
      <c r="D4528" s="8">
        <v>0</v>
      </c>
      <c r="E4528" s="7">
        <v>0</v>
      </c>
      <c r="F4528" s="8">
        <v>0</v>
      </c>
      <c r="G4528" s="7">
        <v>0</v>
      </c>
      <c r="H4528" s="7">
        <v>81211.819999998</v>
      </c>
      <c r="I4528" s="7">
        <v>0</v>
      </c>
      <c r="J4528" s="8">
        <v>0</v>
      </c>
      <c r="K4528" s="9" t="str">
        <v/>
      </c>
    </row>
    <row r="4529" spans="1:11">
      <c r="A4529" t="str">
        <v/>
      </c>
      <c r="B4529" s="6">
        <v>0</v>
      </c>
      <c r="C4529" s="7" t="str">
        <v>趣点购浦发</v>
      </c>
      <c r="D4529" s="8">
        <v>0</v>
      </c>
      <c r="E4529" s="7">
        <v>0</v>
      </c>
      <c r="F4529" s="8">
        <v>0</v>
      </c>
      <c r="G4529" s="7">
        <v>0</v>
      </c>
      <c r="H4529" s="7">
        <v>81211.819999998</v>
      </c>
      <c r="I4529" s="7">
        <v>0</v>
      </c>
      <c r="J4529" s="8">
        <v>0</v>
      </c>
      <c r="K4529" s="9" t="str">
        <v/>
      </c>
    </row>
    <row r="4530" spans="1:11">
      <c r="A4530" t="str">
        <v/>
      </c>
      <c r="B4530" s="6">
        <v>0</v>
      </c>
      <c r="C4530" s="7" t="str">
        <v>趣点购浦发</v>
      </c>
      <c r="D4530" s="8">
        <v>0</v>
      </c>
      <c r="E4530" s="7">
        <v>0</v>
      </c>
      <c r="F4530" s="8">
        <v>0</v>
      </c>
      <c r="G4530" s="7">
        <v>0</v>
      </c>
      <c r="H4530" s="7">
        <v>81211.819999998</v>
      </c>
      <c r="I4530" s="7">
        <v>0</v>
      </c>
      <c r="J4530" s="8">
        <v>0</v>
      </c>
      <c r="K4530" s="9" t="str">
        <v/>
      </c>
    </row>
    <row r="4531" spans="1:11">
      <c r="A4531" t="str">
        <v/>
      </c>
      <c r="B4531" s="6">
        <v>0</v>
      </c>
      <c r="C4531" s="7" t="str">
        <v>趣点购浦发</v>
      </c>
      <c r="D4531" s="8">
        <v>0</v>
      </c>
      <c r="E4531" s="7">
        <v>0</v>
      </c>
      <c r="F4531" s="8">
        <v>0</v>
      </c>
      <c r="G4531" s="7">
        <v>0</v>
      </c>
      <c r="H4531" s="7">
        <v>81211.819999998</v>
      </c>
      <c r="I4531" s="7">
        <v>0</v>
      </c>
      <c r="J4531" s="8">
        <v>0</v>
      </c>
      <c r="K4531" s="9" t="str">
        <v/>
      </c>
    </row>
    <row r="4532" spans="1:11">
      <c r="A4532" t="str">
        <v/>
      </c>
      <c r="B4532" s="6">
        <v>0</v>
      </c>
      <c r="C4532" s="7" t="str">
        <v>趣点购浦发</v>
      </c>
      <c r="D4532" s="8">
        <v>0</v>
      </c>
      <c r="E4532" s="7">
        <v>0</v>
      </c>
      <c r="F4532" s="8">
        <v>0</v>
      </c>
      <c r="G4532" s="7">
        <v>0</v>
      </c>
      <c r="H4532" s="7">
        <v>81211.819999998</v>
      </c>
      <c r="I4532" s="7">
        <v>0</v>
      </c>
      <c r="J4532" s="8">
        <v>0</v>
      </c>
      <c r="K4532" s="9" t="str">
        <v/>
      </c>
    </row>
    <row r="4533" spans="1:11">
      <c r="A4533" t="str">
        <v/>
      </c>
      <c r="B4533" s="6">
        <v>0</v>
      </c>
      <c r="C4533" s="7" t="str">
        <v>趣点购浦发</v>
      </c>
      <c r="D4533" s="8">
        <v>0</v>
      </c>
      <c r="E4533" s="7">
        <v>0</v>
      </c>
      <c r="F4533" s="8">
        <v>0</v>
      </c>
      <c r="G4533" s="7">
        <v>0</v>
      </c>
      <c r="H4533" s="7">
        <v>81211.819999998</v>
      </c>
      <c r="I4533" s="7">
        <v>0</v>
      </c>
      <c r="J4533" s="8">
        <v>0</v>
      </c>
      <c r="K4533" s="9" t="str">
        <v/>
      </c>
    </row>
    <row r="4534" spans="1:11">
      <c r="A4534" t="str">
        <v/>
      </c>
      <c r="B4534" s="6">
        <v>0</v>
      </c>
      <c r="C4534" s="7" t="str">
        <v>趣点购浦发</v>
      </c>
      <c r="D4534" s="8">
        <v>0</v>
      </c>
      <c r="E4534" s="7">
        <v>0</v>
      </c>
      <c r="F4534" s="8">
        <v>0</v>
      </c>
      <c r="G4534" s="7">
        <v>0</v>
      </c>
      <c r="H4534" s="7">
        <v>81211.819999998</v>
      </c>
      <c r="I4534" s="7">
        <v>0</v>
      </c>
      <c r="J4534" s="8">
        <v>0</v>
      </c>
      <c r="K4534" s="9" t="str">
        <v/>
      </c>
    </row>
    <row r="4535" spans="1:11">
      <c r="A4535" t="str">
        <v/>
      </c>
      <c r="B4535" s="6">
        <v>0</v>
      </c>
      <c r="C4535" s="7" t="str">
        <v>趣点购浦发</v>
      </c>
      <c r="D4535" s="8">
        <v>0</v>
      </c>
      <c r="E4535" s="7">
        <v>0</v>
      </c>
      <c r="F4535" s="8">
        <v>0</v>
      </c>
      <c r="G4535" s="7">
        <v>0</v>
      </c>
      <c r="H4535" s="7">
        <v>81211.819999998</v>
      </c>
      <c r="I4535" s="7">
        <v>0</v>
      </c>
      <c r="J4535" s="8">
        <v>0</v>
      </c>
      <c r="K4535" s="9" t="str">
        <v/>
      </c>
    </row>
    <row r="4536" spans="1:11">
      <c r="A4536" t="str">
        <v/>
      </c>
      <c r="B4536" s="6">
        <v>0</v>
      </c>
      <c r="C4536" s="7" t="str">
        <v>趣点购浦发</v>
      </c>
      <c r="D4536" s="8">
        <v>0</v>
      </c>
      <c r="E4536" s="7">
        <v>0</v>
      </c>
      <c r="F4536" s="8">
        <v>0</v>
      </c>
      <c r="G4536" s="7">
        <v>0</v>
      </c>
      <c r="H4536" s="7">
        <v>81211.819999998</v>
      </c>
      <c r="I4536" s="7">
        <v>0</v>
      </c>
      <c r="J4536" s="8">
        <v>0</v>
      </c>
      <c r="K4536" s="9" t="str">
        <v/>
      </c>
    </row>
    <row r="4537" spans="1:11">
      <c r="A4537" t="str">
        <v/>
      </c>
      <c r="B4537" s="6">
        <v>0</v>
      </c>
      <c r="C4537" s="7" t="str">
        <v>趣点购浦发</v>
      </c>
      <c r="D4537" s="8">
        <v>0</v>
      </c>
      <c r="E4537" s="7">
        <v>0</v>
      </c>
      <c r="F4537" s="8">
        <v>0</v>
      </c>
      <c r="G4537" s="7">
        <v>0</v>
      </c>
      <c r="H4537" s="7">
        <v>81211.819999998</v>
      </c>
      <c r="I4537" s="7">
        <v>0</v>
      </c>
      <c r="J4537" s="8">
        <v>0</v>
      </c>
      <c r="K4537" s="9" t="str">
        <v/>
      </c>
    </row>
    <row r="4538" spans="1:11">
      <c r="A4538" t="str">
        <v/>
      </c>
      <c r="B4538" s="6">
        <v>0</v>
      </c>
      <c r="C4538" s="7" t="str">
        <v>趣点购浦发</v>
      </c>
      <c r="D4538" s="8">
        <v>0</v>
      </c>
      <c r="E4538" s="7">
        <v>0</v>
      </c>
      <c r="F4538" s="8">
        <v>0</v>
      </c>
      <c r="G4538" s="7">
        <v>0</v>
      </c>
      <c r="H4538" s="7">
        <v>81211.819999998</v>
      </c>
      <c r="I4538" s="7">
        <v>0</v>
      </c>
      <c r="J4538" s="8">
        <v>0</v>
      </c>
      <c r="K4538" s="9" t="str">
        <v/>
      </c>
    </row>
    <row r="4539" spans="1:11">
      <c r="A4539" t="str">
        <v/>
      </c>
      <c r="B4539" s="6">
        <v>0</v>
      </c>
      <c r="C4539" s="7" t="str">
        <v>趣点购浦发</v>
      </c>
      <c r="D4539" s="8">
        <v>0</v>
      </c>
      <c r="E4539" s="7">
        <v>0</v>
      </c>
      <c r="F4539" s="8">
        <v>0</v>
      </c>
      <c r="G4539" s="7">
        <v>0</v>
      </c>
      <c r="H4539" s="7">
        <v>81211.819999998</v>
      </c>
      <c r="I4539" s="7">
        <v>0</v>
      </c>
      <c r="J4539" s="8">
        <v>0</v>
      </c>
      <c r="K4539" s="9" t="str">
        <v/>
      </c>
    </row>
    <row r="4540" spans="1:11">
      <c r="A4540" t="str">
        <v/>
      </c>
      <c r="B4540" s="6">
        <v>0</v>
      </c>
      <c r="C4540" s="7" t="str">
        <v>趣点购浦发</v>
      </c>
      <c r="D4540" s="8">
        <v>0</v>
      </c>
      <c r="E4540" s="7">
        <v>0</v>
      </c>
      <c r="F4540" s="8">
        <v>0</v>
      </c>
      <c r="G4540" s="7">
        <v>0</v>
      </c>
      <c r="H4540" s="7">
        <v>81211.819999998</v>
      </c>
      <c r="I4540" s="7">
        <v>0</v>
      </c>
      <c r="J4540" s="8">
        <v>0</v>
      </c>
      <c r="K4540" s="9" t="str">
        <v/>
      </c>
    </row>
    <row r="4541" spans="1:11">
      <c r="A4541" t="str">
        <v/>
      </c>
      <c r="B4541" s="6">
        <v>0</v>
      </c>
      <c r="C4541" s="7" t="str">
        <v>趣点购浦发</v>
      </c>
      <c r="D4541" s="8">
        <v>0</v>
      </c>
      <c r="E4541" s="7">
        <v>0</v>
      </c>
      <c r="F4541" s="8">
        <v>0</v>
      </c>
      <c r="G4541" s="7">
        <v>0</v>
      </c>
      <c r="H4541" s="7">
        <v>81211.819999998</v>
      </c>
      <c r="I4541" s="7">
        <v>0</v>
      </c>
      <c r="J4541" s="8">
        <v>0</v>
      </c>
      <c r="K4541" s="9" t="str">
        <v/>
      </c>
    </row>
    <row r="4542" spans="1:11">
      <c r="A4542" t="str">
        <v/>
      </c>
      <c r="B4542" s="6">
        <v>0</v>
      </c>
      <c r="C4542" s="7" t="str">
        <v>趣点购浦发</v>
      </c>
      <c r="D4542" s="8">
        <v>0</v>
      </c>
      <c r="E4542" s="7">
        <v>0</v>
      </c>
      <c r="F4542" s="8">
        <v>0</v>
      </c>
      <c r="G4542" s="7">
        <v>0</v>
      </c>
      <c r="H4542" s="7">
        <v>81211.819999998</v>
      </c>
      <c r="I4542" s="7">
        <v>0</v>
      </c>
      <c r="J4542" s="8">
        <v>0</v>
      </c>
      <c r="K4542" s="9" t="str">
        <v/>
      </c>
    </row>
    <row r="4543" spans="1:11">
      <c r="A4543" t="str">
        <v/>
      </c>
      <c r="B4543" s="6">
        <v>0</v>
      </c>
      <c r="C4543" s="7" t="str">
        <v>趣点购浦发</v>
      </c>
      <c r="D4543" s="8">
        <v>0</v>
      </c>
      <c r="E4543" s="7">
        <v>0</v>
      </c>
      <c r="F4543" s="8">
        <v>0</v>
      </c>
      <c r="G4543" s="7">
        <v>0</v>
      </c>
      <c r="H4543" s="7">
        <v>81211.819999998</v>
      </c>
      <c r="I4543" s="7">
        <v>0</v>
      </c>
      <c r="J4543" s="8">
        <v>0</v>
      </c>
      <c r="K4543" s="9" t="str">
        <v/>
      </c>
    </row>
    <row r="4544" spans="1:11">
      <c r="A4544" t="str">
        <v/>
      </c>
      <c r="B4544" s="6">
        <v>0</v>
      </c>
      <c r="C4544" s="7" t="str">
        <v>趣点购浦发</v>
      </c>
      <c r="D4544" s="8">
        <v>0</v>
      </c>
      <c r="E4544" s="7">
        <v>0</v>
      </c>
      <c r="F4544" s="8">
        <v>0</v>
      </c>
      <c r="G4544" s="7">
        <v>0</v>
      </c>
      <c r="H4544" s="7">
        <v>81211.819999998</v>
      </c>
      <c r="I4544" s="7">
        <v>0</v>
      </c>
      <c r="J4544" s="8">
        <v>0</v>
      </c>
      <c r="K4544" s="9" t="str">
        <v/>
      </c>
    </row>
    <row r="4545" spans="1:11">
      <c r="A4545" t="str">
        <v/>
      </c>
      <c r="B4545" s="6">
        <v>0</v>
      </c>
      <c r="C4545" s="7" t="str">
        <v>趣点购浦发</v>
      </c>
      <c r="D4545" s="8">
        <v>0</v>
      </c>
      <c r="E4545" s="7">
        <v>0</v>
      </c>
      <c r="F4545" s="8">
        <v>0</v>
      </c>
      <c r="G4545" s="7">
        <v>0</v>
      </c>
      <c r="H4545" s="7">
        <v>81211.819999998</v>
      </c>
      <c r="I4545" s="7">
        <v>0</v>
      </c>
      <c r="J4545" s="8">
        <v>0</v>
      </c>
      <c r="K4545" s="9" t="str">
        <v/>
      </c>
    </row>
    <row r="4546" spans="1:11">
      <c r="A4546" t="str">
        <v/>
      </c>
      <c r="B4546" s="6">
        <v>0</v>
      </c>
      <c r="C4546" s="7" t="str">
        <v>趣点购浦发</v>
      </c>
      <c r="D4546" s="8">
        <v>0</v>
      </c>
      <c r="E4546" s="7">
        <v>0</v>
      </c>
      <c r="F4546" s="8">
        <v>0</v>
      </c>
      <c r="G4546" s="7">
        <v>0</v>
      </c>
      <c r="H4546" s="7">
        <v>81211.819999998</v>
      </c>
      <c r="I4546" s="7">
        <v>0</v>
      </c>
      <c r="J4546" s="8">
        <v>0</v>
      </c>
      <c r="K4546" s="9" t="str">
        <v/>
      </c>
    </row>
    <row r="4547" spans="1:11">
      <c r="A4547" t="str">
        <v/>
      </c>
      <c r="B4547" s="6">
        <v>0</v>
      </c>
      <c r="C4547" s="7" t="str">
        <v>趣点购浦发</v>
      </c>
      <c r="D4547" s="8">
        <v>0</v>
      </c>
      <c r="E4547" s="7">
        <v>0</v>
      </c>
      <c r="F4547" s="8">
        <v>0</v>
      </c>
      <c r="G4547" s="7">
        <v>0</v>
      </c>
      <c r="H4547" s="7">
        <v>81211.819999998</v>
      </c>
      <c r="I4547" s="7">
        <v>0</v>
      </c>
      <c r="J4547" s="8">
        <v>0</v>
      </c>
      <c r="K4547" s="9" t="str">
        <v/>
      </c>
    </row>
    <row r="4548" spans="1:11">
      <c r="A4548" t="str">
        <v/>
      </c>
      <c r="B4548" s="6">
        <v>0</v>
      </c>
      <c r="C4548" s="7" t="str">
        <v>趣点购浦发</v>
      </c>
      <c r="D4548" s="8">
        <v>0</v>
      </c>
      <c r="E4548" s="7">
        <v>0</v>
      </c>
      <c r="F4548" s="8">
        <v>0</v>
      </c>
      <c r="G4548" s="7">
        <v>0</v>
      </c>
      <c r="H4548" s="7">
        <v>81211.819999998</v>
      </c>
      <c r="I4548" s="7">
        <v>0</v>
      </c>
      <c r="J4548" s="8">
        <v>0</v>
      </c>
      <c r="K4548" s="9" t="str">
        <v/>
      </c>
    </row>
    <row r="4549" spans="1:11">
      <c r="A4549" t="str">
        <v/>
      </c>
      <c r="B4549" s="6">
        <v>0</v>
      </c>
      <c r="C4549" s="7" t="str">
        <v>趣点购浦发</v>
      </c>
      <c r="D4549" s="8">
        <v>0</v>
      </c>
      <c r="E4549" s="7">
        <v>0</v>
      </c>
      <c r="F4549" s="8">
        <v>0</v>
      </c>
      <c r="G4549" s="7">
        <v>0</v>
      </c>
      <c r="H4549" s="7">
        <v>81211.819999998</v>
      </c>
      <c r="I4549" s="7">
        <v>0</v>
      </c>
      <c r="J4549" s="8">
        <v>0</v>
      </c>
      <c r="K4549" s="9" t="str">
        <v/>
      </c>
    </row>
    <row r="4550" spans="1:11">
      <c r="A4550" t="str">
        <v/>
      </c>
      <c r="B4550" s="6">
        <v>0</v>
      </c>
      <c r="C4550" s="7" t="str">
        <v>趣点购浦发</v>
      </c>
      <c r="D4550" s="8">
        <v>0</v>
      </c>
      <c r="E4550" s="7">
        <v>0</v>
      </c>
      <c r="F4550" s="8">
        <v>0</v>
      </c>
      <c r="G4550" s="7">
        <v>0</v>
      </c>
      <c r="H4550" s="7">
        <v>81211.819999998</v>
      </c>
      <c r="I4550" s="7">
        <v>0</v>
      </c>
      <c r="J4550" s="8">
        <v>0</v>
      </c>
      <c r="K4550" s="9" t="str">
        <v/>
      </c>
    </row>
    <row r="4551" spans="1:11">
      <c r="A4551" t="str">
        <v/>
      </c>
      <c r="B4551" s="6">
        <v>0</v>
      </c>
      <c r="C4551" s="7" t="str">
        <v>趣点购浦发</v>
      </c>
      <c r="D4551" s="8">
        <v>0</v>
      </c>
      <c r="E4551" s="7">
        <v>0</v>
      </c>
      <c r="F4551" s="8">
        <v>0</v>
      </c>
      <c r="G4551" s="7">
        <v>0</v>
      </c>
      <c r="H4551" s="7">
        <v>81211.819999998</v>
      </c>
      <c r="I4551" s="7">
        <v>0</v>
      </c>
      <c r="J4551" s="8">
        <v>0</v>
      </c>
      <c r="K4551" s="9" t="str">
        <v/>
      </c>
    </row>
    <row r="4552" spans="1:11">
      <c r="A4552" t="str">
        <v/>
      </c>
      <c r="B4552" s="6">
        <v>0</v>
      </c>
      <c r="C4552" s="7" t="str">
        <v>趣点购浦发</v>
      </c>
      <c r="D4552" s="8">
        <v>0</v>
      </c>
      <c r="E4552" s="7">
        <v>0</v>
      </c>
      <c r="F4552" s="8">
        <v>0</v>
      </c>
      <c r="G4552" s="7">
        <v>0</v>
      </c>
      <c r="H4552" s="7">
        <v>81211.819999998</v>
      </c>
      <c r="I4552" s="7">
        <v>0</v>
      </c>
      <c r="J4552" s="8">
        <v>0</v>
      </c>
      <c r="K4552" s="9" t="str">
        <v/>
      </c>
    </row>
    <row r="4553" spans="1:11">
      <c r="A4553" t="str">
        <v/>
      </c>
      <c r="B4553" s="6">
        <v>0</v>
      </c>
      <c r="C4553" s="7" t="str">
        <v>趣点购浦发</v>
      </c>
      <c r="D4553" s="8">
        <v>0</v>
      </c>
      <c r="E4553" s="7">
        <v>0</v>
      </c>
      <c r="F4553" s="8">
        <v>0</v>
      </c>
      <c r="G4553" s="7">
        <v>0</v>
      </c>
      <c r="H4553" s="7">
        <v>81211.819999998</v>
      </c>
      <c r="I4553" s="7">
        <v>0</v>
      </c>
      <c r="J4553" s="8">
        <v>0</v>
      </c>
      <c r="K4553" s="9" t="str">
        <v/>
      </c>
    </row>
    <row r="4554" spans="1:11">
      <c r="A4554" t="str">
        <v/>
      </c>
      <c r="B4554" s="6">
        <v>0</v>
      </c>
      <c r="C4554" s="7" t="str">
        <v>趣点购浦发</v>
      </c>
      <c r="D4554" s="8">
        <v>0</v>
      </c>
      <c r="E4554" s="7">
        <v>0</v>
      </c>
      <c r="F4554" s="8">
        <v>0</v>
      </c>
      <c r="G4554" s="7">
        <v>0</v>
      </c>
      <c r="H4554" s="7">
        <v>81211.819999998</v>
      </c>
      <c r="I4554" s="7">
        <v>0</v>
      </c>
      <c r="J4554" s="8">
        <v>0</v>
      </c>
      <c r="K4554" s="9" t="str">
        <v/>
      </c>
    </row>
    <row r="4555" spans="1:11">
      <c r="A4555" t="str">
        <v/>
      </c>
      <c r="B4555" s="6">
        <v>0</v>
      </c>
      <c r="C4555" s="7" t="str">
        <v>趣点购浦发</v>
      </c>
      <c r="D4555" s="8">
        <v>0</v>
      </c>
      <c r="E4555" s="7">
        <v>0</v>
      </c>
      <c r="F4555" s="8">
        <v>0</v>
      </c>
      <c r="G4555" s="7">
        <v>0</v>
      </c>
      <c r="H4555" s="7">
        <v>81211.819999998</v>
      </c>
      <c r="I4555" s="7">
        <v>0</v>
      </c>
      <c r="J4555" s="8">
        <v>0</v>
      </c>
      <c r="K4555" s="9" t="str">
        <v/>
      </c>
    </row>
    <row r="4556" spans="1:11">
      <c r="A4556" t="str">
        <v/>
      </c>
      <c r="B4556" s="6">
        <v>0</v>
      </c>
      <c r="C4556" s="7" t="str">
        <v>趣点购浦发</v>
      </c>
      <c r="D4556" s="8">
        <v>0</v>
      </c>
      <c r="E4556" s="7">
        <v>0</v>
      </c>
      <c r="F4556" s="8">
        <v>0</v>
      </c>
      <c r="G4556" s="7">
        <v>0</v>
      </c>
      <c r="H4556" s="7">
        <v>81211.819999998</v>
      </c>
      <c r="I4556" s="7">
        <v>0</v>
      </c>
      <c r="J4556" s="8">
        <v>0</v>
      </c>
      <c r="K4556" s="9" t="str">
        <v/>
      </c>
    </row>
    <row r="4557" spans="1:11">
      <c r="A4557" t="str">
        <v/>
      </c>
      <c r="B4557" s="6">
        <v>0</v>
      </c>
      <c r="C4557" s="7" t="str">
        <v>趣点购浦发</v>
      </c>
      <c r="D4557" s="8">
        <v>0</v>
      </c>
      <c r="E4557" s="7">
        <v>0</v>
      </c>
      <c r="F4557" s="8">
        <v>0</v>
      </c>
      <c r="G4557" s="7">
        <v>0</v>
      </c>
      <c r="H4557" s="7">
        <v>81211.819999998</v>
      </c>
      <c r="I4557" s="7">
        <v>0</v>
      </c>
      <c r="J4557" s="8">
        <v>0</v>
      </c>
      <c r="K4557" s="9" t="str">
        <v/>
      </c>
    </row>
    <row r="4558" spans="1:11">
      <c r="A4558" t="str">
        <v/>
      </c>
      <c r="B4558" s="6">
        <v>0</v>
      </c>
      <c r="C4558" s="7" t="str">
        <v>趣点购浦发</v>
      </c>
      <c r="D4558" s="8">
        <v>0</v>
      </c>
      <c r="E4558" s="7">
        <v>0</v>
      </c>
      <c r="F4558" s="8">
        <v>0</v>
      </c>
      <c r="G4558" s="7">
        <v>0</v>
      </c>
      <c r="H4558" s="7">
        <v>81211.819999998</v>
      </c>
      <c r="I4558" s="7">
        <v>0</v>
      </c>
      <c r="J4558" s="8">
        <v>0</v>
      </c>
      <c r="K4558" s="9" t="str">
        <v/>
      </c>
    </row>
    <row r="4559" spans="1:11">
      <c r="A4559" t="str">
        <v/>
      </c>
      <c r="B4559" s="6">
        <v>0</v>
      </c>
      <c r="C4559" s="7" t="str">
        <v>趣点购浦发</v>
      </c>
      <c r="D4559" s="8">
        <v>0</v>
      </c>
      <c r="E4559" s="7">
        <v>0</v>
      </c>
      <c r="F4559" s="8">
        <v>0</v>
      </c>
      <c r="G4559" s="7">
        <v>0</v>
      </c>
      <c r="H4559" s="7">
        <v>81211.819999998</v>
      </c>
      <c r="I4559" s="7">
        <v>0</v>
      </c>
      <c r="J4559" s="8">
        <v>0</v>
      </c>
      <c r="K4559" s="9" t="str">
        <v/>
      </c>
    </row>
    <row r="4560" spans="1:11">
      <c r="A4560" t="str">
        <v/>
      </c>
      <c r="B4560" s="6">
        <v>0</v>
      </c>
      <c r="C4560" s="7" t="str">
        <v>趣点购浦发</v>
      </c>
      <c r="D4560" s="8">
        <v>0</v>
      </c>
      <c r="E4560" s="7">
        <v>0</v>
      </c>
      <c r="F4560" s="8">
        <v>0</v>
      </c>
      <c r="G4560" s="7">
        <v>0</v>
      </c>
      <c r="H4560" s="7">
        <v>81211.819999998</v>
      </c>
      <c r="I4560" s="7">
        <v>0</v>
      </c>
      <c r="J4560" s="8">
        <v>0</v>
      </c>
      <c r="K4560" s="9" t="str">
        <v/>
      </c>
    </row>
    <row r="4561" spans="1:11">
      <c r="A4561" t="str">
        <v/>
      </c>
      <c r="B4561" s="6">
        <v>0</v>
      </c>
      <c r="C4561" s="7" t="str">
        <v>趣点购浦发</v>
      </c>
      <c r="D4561" s="8">
        <v>0</v>
      </c>
      <c r="E4561" s="7">
        <v>0</v>
      </c>
      <c r="F4561" s="8">
        <v>0</v>
      </c>
      <c r="G4561" s="7">
        <v>0</v>
      </c>
      <c r="H4561" s="7">
        <v>81211.819999998</v>
      </c>
      <c r="I4561" s="7">
        <v>0</v>
      </c>
      <c r="J4561" s="8">
        <v>0</v>
      </c>
      <c r="K4561" s="9" t="str">
        <v/>
      </c>
    </row>
    <row r="4562" spans="1:11">
      <c r="A4562" t="str">
        <v/>
      </c>
      <c r="B4562" s="6">
        <v>0</v>
      </c>
      <c r="C4562" s="7" t="str">
        <v>趣点购浦发</v>
      </c>
      <c r="D4562" s="8">
        <v>0</v>
      </c>
      <c r="E4562" s="7">
        <v>0</v>
      </c>
      <c r="F4562" s="8">
        <v>0</v>
      </c>
      <c r="G4562" s="7">
        <v>0</v>
      </c>
      <c r="H4562" s="7">
        <v>81211.819999998</v>
      </c>
      <c r="I4562" s="7">
        <v>0</v>
      </c>
      <c r="J4562" s="8">
        <v>0</v>
      </c>
      <c r="K4562" s="9" t="str">
        <v/>
      </c>
    </row>
    <row r="4563" spans="1:11">
      <c r="A4563" t="str">
        <v/>
      </c>
      <c r="B4563" s="6">
        <v>0</v>
      </c>
      <c r="C4563" s="7" t="str">
        <v>趣点购浦发</v>
      </c>
      <c r="D4563" s="8">
        <v>0</v>
      </c>
      <c r="E4563" s="7">
        <v>0</v>
      </c>
      <c r="F4563" s="8">
        <v>0</v>
      </c>
      <c r="G4563" s="7">
        <v>0</v>
      </c>
      <c r="H4563" s="7">
        <v>81211.819999998</v>
      </c>
      <c r="I4563" s="7">
        <v>0</v>
      </c>
      <c r="J4563" s="8">
        <v>0</v>
      </c>
      <c r="K4563" s="9" t="str">
        <v/>
      </c>
    </row>
    <row r="4564" spans="1:11">
      <c r="A4564" t="str">
        <v/>
      </c>
      <c r="B4564" s="6">
        <v>0</v>
      </c>
      <c r="C4564" s="7" t="str">
        <v>趣点购浦发</v>
      </c>
      <c r="D4564" s="8">
        <v>0</v>
      </c>
      <c r="E4564" s="7">
        <v>0</v>
      </c>
      <c r="F4564" s="8">
        <v>0</v>
      </c>
      <c r="G4564" s="7">
        <v>0</v>
      </c>
      <c r="H4564" s="7">
        <v>81211.819999998</v>
      </c>
      <c r="I4564" s="7">
        <v>0</v>
      </c>
      <c r="J4564" s="8">
        <v>0</v>
      </c>
      <c r="K4564" s="9" t="str">
        <v/>
      </c>
    </row>
    <row r="4565" spans="1:11">
      <c r="A4565" t="str">
        <v/>
      </c>
      <c r="B4565" s="6">
        <v>0</v>
      </c>
      <c r="C4565" s="7" t="str">
        <v>趣点购浦发</v>
      </c>
      <c r="D4565" s="8">
        <v>0</v>
      </c>
      <c r="E4565" s="7">
        <v>0</v>
      </c>
      <c r="F4565" s="8">
        <v>0</v>
      </c>
      <c r="G4565" s="7">
        <v>0</v>
      </c>
      <c r="H4565" s="7">
        <v>81211.819999998</v>
      </c>
      <c r="I4565" s="7">
        <v>0</v>
      </c>
      <c r="J4565" s="8">
        <v>0</v>
      </c>
      <c r="K4565" s="9" t="str">
        <v/>
      </c>
    </row>
    <row r="4566" spans="1:11">
      <c r="A4566" t="str">
        <v/>
      </c>
      <c r="B4566" s="6">
        <v>0</v>
      </c>
      <c r="C4566" s="7" t="str">
        <v>趣点购浦发</v>
      </c>
      <c r="D4566" s="8">
        <v>0</v>
      </c>
      <c r="E4566" s="7">
        <v>0</v>
      </c>
      <c r="F4566" s="8">
        <v>0</v>
      </c>
      <c r="G4566" s="7">
        <v>0</v>
      </c>
      <c r="H4566" s="7">
        <v>81211.819999998</v>
      </c>
      <c r="I4566" s="7">
        <v>0</v>
      </c>
      <c r="J4566" s="8">
        <v>0</v>
      </c>
      <c r="K4566" s="9" t="str">
        <v/>
      </c>
    </row>
    <row r="4567" spans="1:11">
      <c r="A4567" t="str">
        <v/>
      </c>
      <c r="B4567" s="6">
        <v>0</v>
      </c>
      <c r="C4567" s="7" t="str">
        <v>趣点购浦发</v>
      </c>
      <c r="D4567" s="8">
        <v>0</v>
      </c>
      <c r="E4567" s="7">
        <v>0</v>
      </c>
      <c r="F4567" s="8">
        <v>0</v>
      </c>
      <c r="G4567" s="7">
        <v>0</v>
      </c>
      <c r="H4567" s="7">
        <v>81211.819999998</v>
      </c>
      <c r="I4567" s="7">
        <v>0</v>
      </c>
      <c r="J4567" s="8">
        <v>0</v>
      </c>
      <c r="K4567" s="9" t="str">
        <v/>
      </c>
    </row>
    <row r="4568" spans="1:11">
      <c r="A4568" t="str">
        <v/>
      </c>
      <c r="B4568" s="6">
        <v>0</v>
      </c>
      <c r="C4568" s="7" t="str">
        <v>趣点购浦发</v>
      </c>
      <c r="D4568" s="8">
        <v>0</v>
      </c>
      <c r="E4568" s="7">
        <v>0</v>
      </c>
      <c r="F4568" s="8">
        <v>0</v>
      </c>
      <c r="G4568" s="7">
        <v>0</v>
      </c>
      <c r="H4568" s="7">
        <v>81211.819999998</v>
      </c>
      <c r="I4568" s="7">
        <v>0</v>
      </c>
      <c r="J4568" s="8">
        <v>0</v>
      </c>
      <c r="K4568" s="9" t="str">
        <v/>
      </c>
    </row>
    <row r="4569" spans="1:11">
      <c r="A4569" t="str">
        <v/>
      </c>
      <c r="B4569" s="6">
        <v>0</v>
      </c>
      <c r="C4569" s="7" t="str">
        <v>趣点购浦发</v>
      </c>
      <c r="D4569" s="8">
        <v>0</v>
      </c>
      <c r="E4569" s="7">
        <v>0</v>
      </c>
      <c r="F4569" s="8">
        <v>0</v>
      </c>
      <c r="G4569" s="7">
        <v>0</v>
      </c>
      <c r="H4569" s="7">
        <v>81211.819999998</v>
      </c>
      <c r="I4569" s="7">
        <v>0</v>
      </c>
      <c r="J4569" s="8">
        <v>0</v>
      </c>
      <c r="K4569" s="9" t="str">
        <v/>
      </c>
    </row>
    <row r="4570" spans="1:11">
      <c r="A4570" t="str">
        <v/>
      </c>
      <c r="B4570" s="6">
        <v>0</v>
      </c>
      <c r="C4570" s="7" t="str">
        <v>趣点购浦发</v>
      </c>
      <c r="D4570" s="8">
        <v>0</v>
      </c>
      <c r="E4570" s="7">
        <v>0</v>
      </c>
      <c r="F4570" s="8">
        <v>0</v>
      </c>
      <c r="G4570" s="7">
        <v>0</v>
      </c>
      <c r="H4570" s="7">
        <v>81211.819999998</v>
      </c>
      <c r="I4570" s="7">
        <v>0</v>
      </c>
      <c r="J4570" s="8">
        <v>0</v>
      </c>
      <c r="K4570" s="9" t="str">
        <v/>
      </c>
    </row>
    <row r="4571" spans="1:11">
      <c r="A4571" t="str">
        <v/>
      </c>
      <c r="B4571" s="6">
        <v>0</v>
      </c>
      <c r="C4571" s="7" t="str">
        <v>趣点购浦发</v>
      </c>
      <c r="D4571" s="8">
        <v>0</v>
      </c>
      <c r="E4571" s="7">
        <v>0</v>
      </c>
      <c r="F4571" s="8">
        <v>0</v>
      </c>
      <c r="G4571" s="7">
        <v>0</v>
      </c>
      <c r="H4571" s="7">
        <v>81211.819999998</v>
      </c>
      <c r="I4571" s="7">
        <v>0</v>
      </c>
      <c r="J4571" s="8">
        <v>0</v>
      </c>
      <c r="K4571" s="9" t="str">
        <v/>
      </c>
    </row>
    <row r="4572" spans="1:11">
      <c r="A4572" t="str">
        <v/>
      </c>
      <c r="B4572" s="6">
        <v>0</v>
      </c>
      <c r="C4572" s="7" t="str">
        <v>趣点购浦发</v>
      </c>
      <c r="D4572" s="8">
        <v>0</v>
      </c>
      <c r="E4572" s="7">
        <v>0</v>
      </c>
      <c r="F4572" s="8">
        <v>0</v>
      </c>
      <c r="G4572" s="7">
        <v>0</v>
      </c>
      <c r="H4572" s="7">
        <v>81211.819999998</v>
      </c>
      <c r="I4572" s="7">
        <v>0</v>
      </c>
      <c r="J4572" s="8">
        <v>0</v>
      </c>
      <c r="K4572" s="9" t="str">
        <v/>
      </c>
    </row>
    <row r="4573" spans="1:11">
      <c r="A4573" t="str">
        <v/>
      </c>
      <c r="B4573" s="6">
        <v>0</v>
      </c>
      <c r="C4573" s="7" t="str">
        <v>趣点购浦发</v>
      </c>
      <c r="D4573" s="8">
        <v>0</v>
      </c>
      <c r="E4573" s="7">
        <v>0</v>
      </c>
      <c r="F4573" s="8">
        <v>0</v>
      </c>
      <c r="G4573" s="7">
        <v>0</v>
      </c>
      <c r="H4573" s="7">
        <v>81211.819999998</v>
      </c>
      <c r="I4573" s="7">
        <v>0</v>
      </c>
      <c r="J4573" s="8">
        <v>0</v>
      </c>
      <c r="K4573" s="9" t="str">
        <v/>
      </c>
    </row>
    <row r="4574" spans="1:11">
      <c r="A4574" t="str">
        <v/>
      </c>
      <c r="B4574" s="6">
        <v>0</v>
      </c>
      <c r="C4574" s="7" t="str">
        <v>趣点购浦发</v>
      </c>
      <c r="D4574" s="8">
        <v>0</v>
      </c>
      <c r="E4574" s="7">
        <v>0</v>
      </c>
      <c r="F4574" s="8">
        <v>0</v>
      </c>
      <c r="G4574" s="7">
        <v>0</v>
      </c>
      <c r="H4574" s="7">
        <v>81211.819999998</v>
      </c>
      <c r="I4574" s="7">
        <v>0</v>
      </c>
      <c r="J4574" s="8">
        <v>0</v>
      </c>
      <c r="K4574" s="9" t="str">
        <v/>
      </c>
    </row>
    <row r="4575" spans="1:11">
      <c r="A4575" t="str">
        <v/>
      </c>
      <c r="B4575" s="6">
        <v>0</v>
      </c>
      <c r="C4575" s="7" t="str">
        <v>趣点购浦发</v>
      </c>
      <c r="D4575" s="8">
        <v>0</v>
      </c>
      <c r="E4575" s="7">
        <v>0</v>
      </c>
      <c r="F4575" s="8">
        <v>0</v>
      </c>
      <c r="G4575" s="7">
        <v>0</v>
      </c>
      <c r="H4575" s="7">
        <v>81211.819999998</v>
      </c>
      <c r="I4575" s="7">
        <v>0</v>
      </c>
      <c r="J4575" s="8">
        <v>0</v>
      </c>
      <c r="K4575" s="9" t="str">
        <v/>
      </c>
    </row>
    <row r="4576" spans="1:11">
      <c r="A4576" t="str">
        <v/>
      </c>
      <c r="B4576" s="6">
        <v>0</v>
      </c>
      <c r="C4576" s="7" t="str">
        <v>趣点购浦发</v>
      </c>
      <c r="D4576" s="8">
        <v>0</v>
      </c>
      <c r="E4576" s="7">
        <v>0</v>
      </c>
      <c r="F4576" s="8">
        <v>0</v>
      </c>
      <c r="G4576" s="7">
        <v>0</v>
      </c>
      <c r="H4576" s="7">
        <v>81211.819999998</v>
      </c>
      <c r="I4576" s="7">
        <v>0</v>
      </c>
      <c r="J4576" s="8">
        <v>0</v>
      </c>
      <c r="K4576" s="9" t="str">
        <v/>
      </c>
    </row>
    <row r="4577" spans="1:11">
      <c r="A4577" t="str">
        <v/>
      </c>
      <c r="B4577" s="6">
        <v>0</v>
      </c>
      <c r="C4577" s="7" t="str">
        <v>趣点购浦发</v>
      </c>
      <c r="D4577" s="8">
        <v>0</v>
      </c>
      <c r="E4577" s="7">
        <v>0</v>
      </c>
      <c r="F4577" s="8">
        <v>0</v>
      </c>
      <c r="G4577" s="7">
        <v>0</v>
      </c>
      <c r="H4577" s="7">
        <v>81211.819999998</v>
      </c>
      <c r="I4577" s="7">
        <v>0</v>
      </c>
      <c r="J4577" s="8">
        <v>0</v>
      </c>
      <c r="K4577" s="9" t="str">
        <v/>
      </c>
    </row>
    <row r="4578" spans="1:11">
      <c r="A4578" t="str">
        <v/>
      </c>
      <c r="B4578" s="6">
        <v>0</v>
      </c>
      <c r="C4578" s="7" t="str">
        <v>趣点购浦发</v>
      </c>
      <c r="D4578" s="8">
        <v>0</v>
      </c>
      <c r="E4578" s="7">
        <v>0</v>
      </c>
      <c r="F4578" s="8">
        <v>0</v>
      </c>
      <c r="G4578" s="7">
        <v>0</v>
      </c>
      <c r="H4578" s="7">
        <v>81211.819999998</v>
      </c>
      <c r="I4578" s="7">
        <v>0</v>
      </c>
      <c r="J4578" s="8">
        <v>0</v>
      </c>
      <c r="K4578" s="9" t="str">
        <v/>
      </c>
    </row>
    <row r="4579" spans="1:11">
      <c r="A4579" t="str">
        <v/>
      </c>
      <c r="B4579" s="6">
        <v>0</v>
      </c>
      <c r="C4579" s="7" t="str">
        <v>趣点购浦发</v>
      </c>
      <c r="D4579" s="8">
        <v>0</v>
      </c>
      <c r="E4579" s="7">
        <v>0</v>
      </c>
      <c r="F4579" s="8">
        <v>0</v>
      </c>
      <c r="G4579" s="7">
        <v>0</v>
      </c>
      <c r="H4579" s="7">
        <v>81211.819999998</v>
      </c>
      <c r="I4579" s="7">
        <v>0</v>
      </c>
      <c r="J4579" s="8">
        <v>0</v>
      </c>
      <c r="K4579" s="9" t="str">
        <v/>
      </c>
    </row>
    <row r="4580" spans="1:11">
      <c r="A4580" t="str">
        <v/>
      </c>
      <c r="B4580" s="6">
        <v>0</v>
      </c>
      <c r="C4580" s="7" t="str">
        <v>趣点购浦发</v>
      </c>
      <c r="D4580" s="8">
        <v>0</v>
      </c>
      <c r="E4580" s="7">
        <v>0</v>
      </c>
      <c r="F4580" s="8">
        <v>0</v>
      </c>
      <c r="G4580" s="7">
        <v>0</v>
      </c>
      <c r="H4580" s="7">
        <v>81211.819999998</v>
      </c>
      <c r="I4580" s="7">
        <v>0</v>
      </c>
      <c r="J4580" s="8">
        <v>0</v>
      </c>
      <c r="K4580" s="9" t="str">
        <v/>
      </c>
    </row>
    <row r="4581" spans="1:11">
      <c r="A4581" t="str">
        <v/>
      </c>
      <c r="B4581" s="6">
        <v>0</v>
      </c>
      <c r="C4581" s="7" t="str">
        <v>趣点购浦发</v>
      </c>
      <c r="D4581" s="8">
        <v>0</v>
      </c>
      <c r="E4581" s="7">
        <v>0</v>
      </c>
      <c r="F4581" s="8">
        <v>0</v>
      </c>
      <c r="G4581" s="7">
        <v>0</v>
      </c>
      <c r="H4581" s="7">
        <v>81211.819999998</v>
      </c>
      <c r="I4581" s="7">
        <v>0</v>
      </c>
      <c r="J4581" s="8">
        <v>0</v>
      </c>
      <c r="K4581" s="9" t="str">
        <v/>
      </c>
    </row>
    <row r="4582" spans="1:11">
      <c r="A4582" t="str">
        <v/>
      </c>
      <c r="B4582" s="6">
        <v>0</v>
      </c>
      <c r="C4582" s="7" t="str">
        <v>趣点购浦发</v>
      </c>
      <c r="D4582" s="8">
        <v>0</v>
      </c>
      <c r="E4582" s="7">
        <v>0</v>
      </c>
      <c r="F4582" s="8">
        <v>0</v>
      </c>
      <c r="G4582" s="7">
        <v>0</v>
      </c>
      <c r="H4582" s="7">
        <v>81211.819999998</v>
      </c>
      <c r="I4582" s="7">
        <v>0</v>
      </c>
      <c r="J4582" s="8">
        <v>0</v>
      </c>
      <c r="K4582" s="9" t="str">
        <v/>
      </c>
    </row>
    <row r="4583" spans="1:11">
      <c r="A4583" t="str">
        <v/>
      </c>
      <c r="B4583" s="6">
        <v>0</v>
      </c>
      <c r="C4583" s="7" t="str">
        <v>趣点购浦发</v>
      </c>
      <c r="D4583" s="8">
        <v>0</v>
      </c>
      <c r="E4583" s="7">
        <v>0</v>
      </c>
      <c r="F4583" s="8">
        <v>0</v>
      </c>
      <c r="G4583" s="7">
        <v>0</v>
      </c>
      <c r="H4583" s="7">
        <v>81211.819999998</v>
      </c>
      <c r="I4583" s="7">
        <v>0</v>
      </c>
      <c r="J4583" s="8">
        <v>0</v>
      </c>
      <c r="K4583" s="9" t="str">
        <v/>
      </c>
    </row>
    <row r="4584" spans="1:11">
      <c r="A4584" t="str">
        <v/>
      </c>
      <c r="B4584" s="6">
        <v>0</v>
      </c>
      <c r="C4584" s="7" t="str">
        <v>趣点购浦发</v>
      </c>
      <c r="D4584" s="8">
        <v>0</v>
      </c>
      <c r="E4584" s="7">
        <v>0</v>
      </c>
      <c r="F4584" s="8">
        <v>0</v>
      </c>
      <c r="G4584" s="7">
        <v>0</v>
      </c>
      <c r="H4584" s="7">
        <v>81211.819999998</v>
      </c>
      <c r="I4584" s="7">
        <v>0</v>
      </c>
      <c r="J4584" s="8">
        <v>0</v>
      </c>
      <c r="K4584" s="9" t="str">
        <v/>
      </c>
    </row>
    <row r="4585" spans="1:11">
      <c r="A4585" t="str">
        <v/>
      </c>
      <c r="B4585" s="6">
        <v>0</v>
      </c>
      <c r="C4585" s="7" t="str">
        <v>趣点购浦发</v>
      </c>
      <c r="D4585" s="8">
        <v>0</v>
      </c>
      <c r="E4585" s="7">
        <v>0</v>
      </c>
      <c r="F4585" s="8">
        <v>0</v>
      </c>
      <c r="G4585" s="7">
        <v>0</v>
      </c>
      <c r="H4585" s="7">
        <v>81211.819999998</v>
      </c>
      <c r="I4585" s="7">
        <v>0</v>
      </c>
      <c r="J4585" s="8">
        <v>0</v>
      </c>
      <c r="K4585" s="9" t="str">
        <v/>
      </c>
    </row>
    <row r="4586" spans="1:11">
      <c r="A4586" t="str">
        <v/>
      </c>
      <c r="B4586" s="6">
        <v>0</v>
      </c>
      <c r="C4586" s="7" t="str">
        <v>趣点购浦发</v>
      </c>
      <c r="D4586" s="8">
        <v>0</v>
      </c>
      <c r="E4586" s="7">
        <v>0</v>
      </c>
      <c r="F4586" s="8">
        <v>0</v>
      </c>
      <c r="G4586" s="7">
        <v>0</v>
      </c>
      <c r="H4586" s="7">
        <v>81211.819999998</v>
      </c>
      <c r="I4586" s="7">
        <v>0</v>
      </c>
      <c r="J4586" s="8">
        <v>0</v>
      </c>
      <c r="K4586" s="9" t="str">
        <v/>
      </c>
    </row>
    <row r="4587" spans="1:11">
      <c r="A4587" t="str">
        <v/>
      </c>
      <c r="B4587" s="6">
        <v>0</v>
      </c>
      <c r="C4587" s="7" t="str">
        <v>趣点购浦发</v>
      </c>
      <c r="D4587" s="8">
        <v>0</v>
      </c>
      <c r="E4587" s="7">
        <v>0</v>
      </c>
      <c r="F4587" s="8">
        <v>0</v>
      </c>
      <c r="G4587" s="7">
        <v>0</v>
      </c>
      <c r="H4587" s="7">
        <v>81211.819999998</v>
      </c>
      <c r="I4587" s="7">
        <v>0</v>
      </c>
      <c r="J4587" s="8">
        <v>0</v>
      </c>
      <c r="K4587" s="9" t="str">
        <v/>
      </c>
    </row>
    <row r="4588" spans="1:11">
      <c r="A4588" t="str">
        <v/>
      </c>
      <c r="B4588" s="6">
        <v>0</v>
      </c>
      <c r="C4588" s="7" t="str">
        <v>趣点购浦发</v>
      </c>
      <c r="D4588" s="8">
        <v>0</v>
      </c>
      <c r="E4588" s="7">
        <v>0</v>
      </c>
      <c r="F4588" s="8">
        <v>0</v>
      </c>
      <c r="G4588" s="7">
        <v>0</v>
      </c>
      <c r="H4588" s="7">
        <v>81211.819999998</v>
      </c>
      <c r="I4588" s="7">
        <v>0</v>
      </c>
      <c r="J4588" s="8">
        <v>0</v>
      </c>
      <c r="K4588" s="9" t="str">
        <v/>
      </c>
    </row>
    <row r="4589" spans="1:11">
      <c r="A4589" t="str">
        <v/>
      </c>
      <c r="B4589" s="6">
        <v>0</v>
      </c>
      <c r="C4589" s="7" t="str">
        <v>趣点购浦发</v>
      </c>
      <c r="D4589" s="8">
        <v>0</v>
      </c>
      <c r="E4589" s="7">
        <v>0</v>
      </c>
      <c r="F4589" s="8">
        <v>0</v>
      </c>
      <c r="G4589" s="7">
        <v>0</v>
      </c>
      <c r="H4589" s="7">
        <v>81211.819999998</v>
      </c>
      <c r="I4589" s="7">
        <v>0</v>
      </c>
      <c r="J4589" s="8">
        <v>0</v>
      </c>
      <c r="K4589" s="9" t="str">
        <v/>
      </c>
    </row>
    <row r="4590" spans="1:11">
      <c r="A4590" t="str">
        <v/>
      </c>
      <c r="B4590" s="6">
        <v>0</v>
      </c>
      <c r="C4590" s="7" t="str">
        <v>趣点购浦发</v>
      </c>
      <c r="D4590" s="8">
        <v>0</v>
      </c>
      <c r="E4590" s="7">
        <v>0</v>
      </c>
      <c r="F4590" s="8">
        <v>0</v>
      </c>
      <c r="G4590" s="7">
        <v>0</v>
      </c>
      <c r="H4590" s="7">
        <v>81211.819999998</v>
      </c>
      <c r="I4590" s="7">
        <v>0</v>
      </c>
      <c r="J4590" s="8">
        <v>0</v>
      </c>
      <c r="K4590" s="9" t="str">
        <v/>
      </c>
    </row>
    <row r="4591" spans="1:11">
      <c r="A4591" t="str">
        <v/>
      </c>
      <c r="B4591" s="6">
        <v>0</v>
      </c>
      <c r="C4591" s="7" t="str">
        <v>趣点购浦发</v>
      </c>
      <c r="D4591" s="8">
        <v>0</v>
      </c>
      <c r="E4591" s="7">
        <v>0</v>
      </c>
      <c r="F4591" s="8">
        <v>0</v>
      </c>
      <c r="G4591" s="7">
        <v>0</v>
      </c>
      <c r="H4591" s="7">
        <v>81211.819999998</v>
      </c>
      <c r="I4591" s="7">
        <v>0</v>
      </c>
      <c r="J4591" s="8">
        <v>0</v>
      </c>
      <c r="K4591" s="9" t="str">
        <v/>
      </c>
    </row>
    <row r="4592" spans="1:11">
      <c r="A4592" t="str">
        <v/>
      </c>
      <c r="B4592" s="6">
        <v>0</v>
      </c>
      <c r="C4592" s="7" t="str">
        <v>趣点购浦发</v>
      </c>
      <c r="D4592" s="8">
        <v>0</v>
      </c>
      <c r="E4592" s="7">
        <v>0</v>
      </c>
      <c r="F4592" s="8">
        <v>0</v>
      </c>
      <c r="G4592" s="7">
        <v>0</v>
      </c>
      <c r="H4592" s="7">
        <v>81211.819999998</v>
      </c>
      <c r="I4592" s="7">
        <v>0</v>
      </c>
      <c r="J4592" s="8">
        <v>0</v>
      </c>
      <c r="K4592" s="9" t="str">
        <v/>
      </c>
    </row>
    <row r="4593" spans="1:11">
      <c r="A4593" t="str">
        <v/>
      </c>
      <c r="B4593" s="6">
        <v>0</v>
      </c>
      <c r="C4593" s="7" t="str">
        <v>趣点购浦发</v>
      </c>
      <c r="D4593" s="8">
        <v>0</v>
      </c>
      <c r="E4593" s="7">
        <v>0</v>
      </c>
      <c r="F4593" s="8">
        <v>0</v>
      </c>
      <c r="G4593" s="7">
        <v>0</v>
      </c>
      <c r="H4593" s="7">
        <v>81211.819999998</v>
      </c>
      <c r="I4593" s="7">
        <v>0</v>
      </c>
      <c r="J4593" s="8">
        <v>0</v>
      </c>
      <c r="K4593" s="9" t="str">
        <v/>
      </c>
    </row>
    <row r="4594" spans="1:11">
      <c r="A4594" t="str">
        <v/>
      </c>
      <c r="B4594" s="6">
        <v>0</v>
      </c>
      <c r="C4594" s="7" t="str">
        <v>趣点购浦发</v>
      </c>
      <c r="D4594" s="8">
        <v>0</v>
      </c>
      <c r="E4594" s="7">
        <v>0</v>
      </c>
      <c r="F4594" s="8">
        <v>0</v>
      </c>
      <c r="G4594" s="7">
        <v>0</v>
      </c>
      <c r="H4594" s="7">
        <v>81211.819999998</v>
      </c>
      <c r="I4594" s="7">
        <v>0</v>
      </c>
      <c r="J4594" s="8">
        <v>0</v>
      </c>
      <c r="K4594" s="9" t="str">
        <v/>
      </c>
    </row>
    <row r="4595" spans="1:11">
      <c r="A4595" t="str">
        <v/>
      </c>
      <c r="B4595" s="6">
        <v>0</v>
      </c>
      <c r="C4595" s="7" t="str">
        <v>趣点购浦发</v>
      </c>
      <c r="D4595" s="8">
        <v>0</v>
      </c>
      <c r="E4595" s="7">
        <v>0</v>
      </c>
      <c r="F4595" s="8">
        <v>0</v>
      </c>
      <c r="G4595" s="7">
        <v>0</v>
      </c>
      <c r="H4595" s="7">
        <v>81211.819999998</v>
      </c>
      <c r="I4595" s="7">
        <v>0</v>
      </c>
      <c r="J4595" s="8">
        <v>0</v>
      </c>
      <c r="K4595" s="9" t="str">
        <v/>
      </c>
    </row>
    <row r="4596" spans="1:11">
      <c r="A4596" t="str">
        <v/>
      </c>
      <c r="B4596" s="6">
        <v>0</v>
      </c>
      <c r="C4596" s="7" t="str">
        <v>趣点购浦发</v>
      </c>
      <c r="D4596" s="8">
        <v>0</v>
      </c>
      <c r="E4596" s="7">
        <v>0</v>
      </c>
      <c r="F4596" s="8">
        <v>0</v>
      </c>
      <c r="G4596" s="7">
        <v>0</v>
      </c>
      <c r="H4596" s="7">
        <v>81211.819999998</v>
      </c>
      <c r="I4596" s="7">
        <v>0</v>
      </c>
      <c r="J4596" s="8">
        <v>0</v>
      </c>
      <c r="K4596" s="9" t="str">
        <v/>
      </c>
    </row>
    <row r="4597" spans="1:11">
      <c r="A4597" t="str">
        <v/>
      </c>
      <c r="B4597" s="6">
        <v>0</v>
      </c>
      <c r="C4597" s="7" t="str">
        <v>趣点购浦发</v>
      </c>
      <c r="D4597" s="8">
        <v>0</v>
      </c>
      <c r="E4597" s="7">
        <v>0</v>
      </c>
      <c r="F4597" s="8">
        <v>0</v>
      </c>
      <c r="G4597" s="7">
        <v>0</v>
      </c>
      <c r="H4597" s="7">
        <v>81211.819999998</v>
      </c>
      <c r="I4597" s="7">
        <v>0</v>
      </c>
      <c r="J4597" s="8">
        <v>0</v>
      </c>
      <c r="K4597" s="9" t="str">
        <v/>
      </c>
    </row>
    <row r="4598" spans="1:11">
      <c r="A4598" t="str">
        <v/>
      </c>
      <c r="B4598" s="6">
        <v>0</v>
      </c>
      <c r="C4598" s="7" t="str">
        <v>趣点购浦发</v>
      </c>
      <c r="D4598" s="8">
        <v>0</v>
      </c>
      <c r="E4598" s="7">
        <v>0</v>
      </c>
      <c r="F4598" s="8">
        <v>0</v>
      </c>
      <c r="G4598" s="7">
        <v>0</v>
      </c>
      <c r="H4598" s="7">
        <v>81211.819999998</v>
      </c>
      <c r="I4598" s="7">
        <v>0</v>
      </c>
      <c r="J4598" s="8">
        <v>0</v>
      </c>
      <c r="K4598" s="9" t="str">
        <v/>
      </c>
    </row>
    <row r="4599" spans="1:11">
      <c r="A4599" t="str">
        <v/>
      </c>
      <c r="B4599" s="6">
        <v>0</v>
      </c>
      <c r="C4599" s="7" t="str">
        <v>趣点购浦发</v>
      </c>
      <c r="D4599" s="8">
        <v>0</v>
      </c>
      <c r="E4599" s="7">
        <v>0</v>
      </c>
      <c r="F4599" s="8">
        <v>0</v>
      </c>
      <c r="G4599" s="7">
        <v>0</v>
      </c>
      <c r="H4599" s="7">
        <v>81211.819999998</v>
      </c>
      <c r="I4599" s="7">
        <v>0</v>
      </c>
      <c r="J4599" s="8">
        <v>0</v>
      </c>
      <c r="K4599" s="9" t="str">
        <v/>
      </c>
    </row>
    <row r="4600" spans="1:11">
      <c r="A4600" t="str">
        <v/>
      </c>
      <c r="B4600" s="6">
        <v>0</v>
      </c>
      <c r="C4600" s="7" t="str">
        <v>趣点购浦发</v>
      </c>
      <c r="D4600" s="8">
        <v>0</v>
      </c>
      <c r="E4600" s="7">
        <v>0</v>
      </c>
      <c r="F4600" s="8">
        <v>0</v>
      </c>
      <c r="G4600" s="7">
        <v>0</v>
      </c>
      <c r="H4600" s="7">
        <v>81211.819999998</v>
      </c>
      <c r="I4600" s="7">
        <v>0</v>
      </c>
      <c r="J4600" s="8">
        <v>0</v>
      </c>
      <c r="K4600" s="9" t="str">
        <v/>
      </c>
    </row>
    <row r="4601" spans="1:11">
      <c r="A4601" t="str">
        <v/>
      </c>
      <c r="B4601" s="6">
        <v>0</v>
      </c>
      <c r="C4601" s="7" t="str">
        <v>趣点购浦发</v>
      </c>
      <c r="D4601" s="8">
        <v>0</v>
      </c>
      <c r="E4601" s="7">
        <v>0</v>
      </c>
      <c r="F4601" s="8">
        <v>0</v>
      </c>
      <c r="G4601" s="7">
        <v>0</v>
      </c>
      <c r="H4601" s="7">
        <v>81211.819999998</v>
      </c>
      <c r="I4601" s="7">
        <v>0</v>
      </c>
      <c r="J4601" s="8">
        <v>0</v>
      </c>
      <c r="K4601" s="9" t="str">
        <v/>
      </c>
    </row>
    <row r="4602" spans="1:11">
      <c r="A4602" t="str">
        <v/>
      </c>
      <c r="B4602" s="6">
        <v>0</v>
      </c>
      <c r="C4602" s="7" t="str">
        <v>趣点购浦发</v>
      </c>
      <c r="D4602" s="8">
        <v>0</v>
      </c>
      <c r="E4602" s="7">
        <v>0</v>
      </c>
      <c r="F4602" s="8">
        <v>0</v>
      </c>
      <c r="G4602" s="7">
        <v>0</v>
      </c>
      <c r="H4602" s="7">
        <v>81211.819999998</v>
      </c>
      <c r="I4602" s="7">
        <v>0</v>
      </c>
      <c r="J4602" s="8">
        <v>0</v>
      </c>
      <c r="K4602" s="9" t="str">
        <v/>
      </c>
    </row>
    <row r="4603" spans="1:11">
      <c r="A4603" t="str">
        <v/>
      </c>
      <c r="B4603" s="6">
        <v>0</v>
      </c>
      <c r="C4603" s="7" t="str">
        <v>趣点购浦发</v>
      </c>
      <c r="D4603" s="8">
        <v>0</v>
      </c>
      <c r="E4603" s="7">
        <v>0</v>
      </c>
      <c r="F4603" s="8">
        <v>0</v>
      </c>
      <c r="G4603" s="7">
        <v>0</v>
      </c>
      <c r="H4603" s="7">
        <v>81211.819999998</v>
      </c>
      <c r="I4603" s="7">
        <v>0</v>
      </c>
      <c r="J4603" s="8">
        <v>0</v>
      </c>
      <c r="K4603" s="9" t="str">
        <v/>
      </c>
    </row>
    <row r="4604" spans="1:11">
      <c r="A4604" t="str">
        <v/>
      </c>
      <c r="B4604" s="6">
        <v>0</v>
      </c>
      <c r="C4604" s="7" t="str">
        <v>趣点购浦发</v>
      </c>
      <c r="D4604" s="8">
        <v>0</v>
      </c>
      <c r="E4604" s="7">
        <v>0</v>
      </c>
      <c r="F4604" s="8">
        <v>0</v>
      </c>
      <c r="G4604" s="7">
        <v>0</v>
      </c>
      <c r="H4604" s="7">
        <v>81211.819999998</v>
      </c>
      <c r="I4604" s="7">
        <v>0</v>
      </c>
      <c r="J4604" s="8">
        <v>0</v>
      </c>
      <c r="K4604" s="9" t="str">
        <v/>
      </c>
    </row>
    <row r="4605" spans="1:11">
      <c r="A4605" t="str">
        <v/>
      </c>
      <c r="B4605" s="6">
        <v>0</v>
      </c>
      <c r="C4605" s="7" t="str">
        <v>趣点购浦发</v>
      </c>
      <c r="D4605" s="8">
        <v>0</v>
      </c>
      <c r="E4605" s="7">
        <v>0</v>
      </c>
      <c r="F4605" s="8">
        <v>0</v>
      </c>
      <c r="G4605" s="7">
        <v>0</v>
      </c>
      <c r="H4605" s="7">
        <v>81211.819999998</v>
      </c>
      <c r="I4605" s="7">
        <v>0</v>
      </c>
      <c r="J4605" s="8">
        <v>0</v>
      </c>
      <c r="K4605" s="9" t="str">
        <v/>
      </c>
    </row>
    <row r="4606" spans="1:11">
      <c r="A4606" t="str">
        <v/>
      </c>
      <c r="B4606" s="6">
        <v>0</v>
      </c>
      <c r="C4606" s="7" t="str">
        <v>趣点购浦发</v>
      </c>
      <c r="D4606" s="8">
        <v>0</v>
      </c>
      <c r="E4606" s="7">
        <v>0</v>
      </c>
      <c r="F4606" s="8">
        <v>0</v>
      </c>
      <c r="G4606" s="7">
        <v>0</v>
      </c>
      <c r="H4606" s="7">
        <v>81211.819999998</v>
      </c>
      <c r="I4606" s="7">
        <v>0</v>
      </c>
      <c r="J4606" s="8">
        <v>0</v>
      </c>
      <c r="K4606" s="9" t="str">
        <v/>
      </c>
    </row>
    <row r="4607" spans="1:11">
      <c r="A4607" t="str">
        <v/>
      </c>
      <c r="B4607" s="6">
        <v>0</v>
      </c>
      <c r="C4607" s="7" t="str">
        <v>趣点购浦发</v>
      </c>
      <c r="D4607" s="8">
        <v>0</v>
      </c>
      <c r="E4607" s="7">
        <v>0</v>
      </c>
      <c r="F4607" s="8">
        <v>0</v>
      </c>
      <c r="G4607" s="7">
        <v>0</v>
      </c>
      <c r="H4607" s="7">
        <v>81211.819999998</v>
      </c>
      <c r="I4607" s="7">
        <v>0</v>
      </c>
      <c r="J4607" s="8">
        <v>0</v>
      </c>
      <c r="K4607" s="9" t="str">
        <v/>
      </c>
    </row>
    <row r="4608" spans="1:11">
      <c r="A4608" t="str">
        <v/>
      </c>
      <c r="B4608" s="6">
        <v>0</v>
      </c>
      <c r="C4608" s="7" t="str">
        <v>趣点购浦发</v>
      </c>
      <c r="D4608" s="8">
        <v>0</v>
      </c>
      <c r="E4608" s="7">
        <v>0</v>
      </c>
      <c r="F4608" s="8">
        <v>0</v>
      </c>
      <c r="G4608" s="7">
        <v>0</v>
      </c>
      <c r="H4608" s="7">
        <v>81211.819999998</v>
      </c>
      <c r="I4608" s="7">
        <v>0</v>
      </c>
      <c r="J4608" s="8">
        <v>0</v>
      </c>
      <c r="K4608" s="9" t="str">
        <v/>
      </c>
    </row>
    <row r="4609" spans="1:11">
      <c r="A4609" t="str">
        <v/>
      </c>
      <c r="B4609" s="6">
        <v>0</v>
      </c>
      <c r="C4609" s="7" t="str">
        <v>趣点购浦发</v>
      </c>
      <c r="D4609" s="8">
        <v>0</v>
      </c>
      <c r="E4609" s="7">
        <v>0</v>
      </c>
      <c r="F4609" s="8">
        <v>0</v>
      </c>
      <c r="G4609" s="7">
        <v>0</v>
      </c>
      <c r="H4609" s="7">
        <v>81211.819999998</v>
      </c>
      <c r="I4609" s="7">
        <v>0</v>
      </c>
      <c r="J4609" s="8">
        <v>0</v>
      </c>
      <c r="K4609" s="9" t="str">
        <v/>
      </c>
    </row>
    <row r="4610" spans="1:11">
      <c r="A4610" t="str">
        <v/>
      </c>
      <c r="B4610" s="6">
        <v>0</v>
      </c>
      <c r="C4610" s="7" t="str">
        <v>趣点购浦发</v>
      </c>
      <c r="D4610" s="8">
        <v>0</v>
      </c>
      <c r="E4610" s="7">
        <v>0</v>
      </c>
      <c r="F4610" s="8">
        <v>0</v>
      </c>
      <c r="G4610" s="7">
        <v>0</v>
      </c>
      <c r="H4610" s="7">
        <v>81211.819999998</v>
      </c>
      <c r="I4610" s="7">
        <v>0</v>
      </c>
      <c r="J4610" s="8">
        <v>0</v>
      </c>
      <c r="K4610" s="9" t="str">
        <v/>
      </c>
    </row>
    <row r="4611" spans="1:11">
      <c r="A4611" t="str">
        <v/>
      </c>
      <c r="B4611" s="6">
        <v>0</v>
      </c>
      <c r="C4611" s="7" t="str">
        <v>趣点购浦发</v>
      </c>
      <c r="D4611" s="8">
        <v>0</v>
      </c>
      <c r="E4611" s="7">
        <v>0</v>
      </c>
      <c r="F4611" s="8">
        <v>0</v>
      </c>
      <c r="G4611" s="7">
        <v>0</v>
      </c>
      <c r="H4611" s="7">
        <v>81211.819999998</v>
      </c>
      <c r="I4611" s="7">
        <v>0</v>
      </c>
      <c r="J4611" s="8">
        <v>0</v>
      </c>
      <c r="K4611" s="9" t="str">
        <v/>
      </c>
    </row>
    <row r="4612" spans="1:11">
      <c r="A4612" t="str">
        <v/>
      </c>
      <c r="B4612" s="6">
        <v>0</v>
      </c>
      <c r="C4612" s="7" t="str">
        <v>趣点购浦发</v>
      </c>
      <c r="D4612" s="8">
        <v>0</v>
      </c>
      <c r="E4612" s="7">
        <v>0</v>
      </c>
      <c r="F4612" s="8">
        <v>0</v>
      </c>
      <c r="G4612" s="7">
        <v>0</v>
      </c>
      <c r="H4612" s="7">
        <v>81211.819999998</v>
      </c>
      <c r="I4612" s="7">
        <v>0</v>
      </c>
      <c r="J4612" s="8">
        <v>0</v>
      </c>
      <c r="K4612" s="9" t="str">
        <v/>
      </c>
    </row>
    <row r="4613" spans="1:11">
      <c r="A4613" t="str">
        <v/>
      </c>
      <c r="B4613" s="6">
        <v>0</v>
      </c>
      <c r="C4613" s="7" t="str">
        <v>趣点购浦发</v>
      </c>
      <c r="D4613" s="8">
        <v>0</v>
      </c>
      <c r="E4613" s="7">
        <v>0</v>
      </c>
      <c r="F4613" s="8">
        <v>0</v>
      </c>
      <c r="G4613" s="7">
        <v>0</v>
      </c>
      <c r="H4613" s="7">
        <v>81211.819999998</v>
      </c>
      <c r="I4613" s="7">
        <v>0</v>
      </c>
      <c r="J4613" s="8">
        <v>0</v>
      </c>
      <c r="K4613" s="9" t="str">
        <v/>
      </c>
    </row>
    <row r="4614" spans="1:11">
      <c r="A4614" t="str">
        <v/>
      </c>
      <c r="B4614" s="6">
        <v>0</v>
      </c>
      <c r="C4614" s="7" t="str">
        <v>趣点购浦发</v>
      </c>
      <c r="D4614" s="8">
        <v>0</v>
      </c>
      <c r="E4614" s="7">
        <v>0</v>
      </c>
      <c r="F4614" s="8">
        <v>0</v>
      </c>
      <c r="G4614" s="7">
        <v>0</v>
      </c>
      <c r="H4614" s="7">
        <v>81211.819999998</v>
      </c>
      <c r="I4614" s="7">
        <v>0</v>
      </c>
      <c r="J4614" s="8">
        <v>0</v>
      </c>
      <c r="K4614" s="9" t="str">
        <v/>
      </c>
    </row>
    <row r="4615" spans="1:11">
      <c r="A4615" t="str">
        <v/>
      </c>
      <c r="B4615" s="6">
        <v>0</v>
      </c>
      <c r="C4615" s="7" t="str">
        <v>趣点购浦发</v>
      </c>
      <c r="D4615" s="8">
        <v>0</v>
      </c>
      <c r="E4615" s="7">
        <v>0</v>
      </c>
      <c r="F4615" s="8">
        <v>0</v>
      </c>
      <c r="G4615" s="7">
        <v>0</v>
      </c>
      <c r="H4615" s="7">
        <v>81211.819999998</v>
      </c>
      <c r="I4615" s="7">
        <v>0</v>
      </c>
      <c r="J4615" s="8">
        <v>0</v>
      </c>
      <c r="K4615" s="9" t="str">
        <v/>
      </c>
    </row>
    <row r="4616" spans="1:11">
      <c r="A4616" t="str">
        <v/>
      </c>
      <c r="B4616" s="6">
        <v>0</v>
      </c>
      <c r="C4616" s="7" t="str">
        <v>趣点购浦发</v>
      </c>
      <c r="D4616" s="8">
        <v>0</v>
      </c>
      <c r="E4616" s="7">
        <v>0</v>
      </c>
      <c r="F4616" s="8">
        <v>0</v>
      </c>
      <c r="G4616" s="7">
        <v>0</v>
      </c>
      <c r="H4616" s="7">
        <v>81211.819999998</v>
      </c>
      <c r="I4616" s="7">
        <v>0</v>
      </c>
      <c r="J4616" s="8">
        <v>0</v>
      </c>
      <c r="K4616" s="9" t="str">
        <v/>
      </c>
    </row>
    <row r="4617" spans="1:11">
      <c r="A4617" t="str">
        <v/>
      </c>
      <c r="B4617" s="6">
        <v>0</v>
      </c>
      <c r="C4617" s="7" t="str">
        <v>趣点购浦发</v>
      </c>
      <c r="D4617" s="8">
        <v>0</v>
      </c>
      <c r="E4617" s="7">
        <v>0</v>
      </c>
      <c r="F4617" s="8">
        <v>0</v>
      </c>
      <c r="G4617" s="7">
        <v>0</v>
      </c>
      <c r="H4617" s="7">
        <v>81211.819999998</v>
      </c>
      <c r="I4617" s="7">
        <v>0</v>
      </c>
      <c r="J4617" s="8">
        <v>0</v>
      </c>
      <c r="K4617" s="9" t="str">
        <v/>
      </c>
    </row>
    <row r="4618" spans="1:11">
      <c r="A4618" t="str">
        <v/>
      </c>
      <c r="B4618" s="6">
        <v>0</v>
      </c>
      <c r="C4618" s="7" t="str">
        <v>趣点购浦发</v>
      </c>
      <c r="D4618" s="8">
        <v>0</v>
      </c>
      <c r="E4618" s="7">
        <v>0</v>
      </c>
      <c r="F4618" s="8">
        <v>0</v>
      </c>
      <c r="G4618" s="7">
        <v>0</v>
      </c>
      <c r="H4618" s="7">
        <v>81211.819999998</v>
      </c>
      <c r="I4618" s="7">
        <v>0</v>
      </c>
      <c r="J4618" s="8">
        <v>0</v>
      </c>
      <c r="K4618" s="9" t="str">
        <v/>
      </c>
    </row>
    <row r="4619" spans="1:11">
      <c r="A4619" t="str">
        <v/>
      </c>
      <c r="B4619" s="6">
        <v>0</v>
      </c>
      <c r="C4619" s="7" t="str">
        <v>趣点购浦发</v>
      </c>
      <c r="D4619" s="8">
        <v>0</v>
      </c>
      <c r="E4619" s="7">
        <v>0</v>
      </c>
      <c r="F4619" s="8">
        <v>0</v>
      </c>
      <c r="G4619" s="7">
        <v>0</v>
      </c>
      <c r="H4619" s="7">
        <v>81211.819999998</v>
      </c>
      <c r="I4619" s="7">
        <v>0</v>
      </c>
      <c r="J4619" s="8">
        <v>0</v>
      </c>
      <c r="K4619" s="9" t="str">
        <v/>
      </c>
    </row>
    <row r="4620" spans="1:11">
      <c r="A4620" t="str">
        <v/>
      </c>
      <c r="B4620" s="6">
        <v>0</v>
      </c>
      <c r="C4620" s="7" t="str">
        <v>趣点购浦发</v>
      </c>
      <c r="D4620" s="8">
        <v>0</v>
      </c>
      <c r="E4620" s="7">
        <v>0</v>
      </c>
      <c r="F4620" s="8">
        <v>0</v>
      </c>
      <c r="G4620" s="7">
        <v>0</v>
      </c>
      <c r="H4620" s="7">
        <v>81211.819999998</v>
      </c>
      <c r="I4620" s="7">
        <v>0</v>
      </c>
      <c r="J4620" s="8">
        <v>0</v>
      </c>
      <c r="K4620" s="9" t="str">
        <v/>
      </c>
    </row>
    <row r="4621" spans="1:11">
      <c r="A4621" t="str">
        <v/>
      </c>
      <c r="B4621" s="6">
        <v>0</v>
      </c>
      <c r="C4621" s="7" t="str">
        <v>趣点购浦发</v>
      </c>
      <c r="D4621" s="8">
        <v>0</v>
      </c>
      <c r="E4621" s="7">
        <v>0</v>
      </c>
      <c r="F4621" s="8">
        <v>0</v>
      </c>
      <c r="G4621" s="7">
        <v>0</v>
      </c>
      <c r="H4621" s="7">
        <v>81211.819999998</v>
      </c>
      <c r="I4621" s="7">
        <v>0</v>
      </c>
      <c r="J4621" s="8">
        <v>0</v>
      </c>
      <c r="K4621" s="9" t="str">
        <v/>
      </c>
    </row>
    <row r="4622" spans="1:11">
      <c r="A4622" t="str">
        <v/>
      </c>
      <c r="B4622" s="6">
        <v>0</v>
      </c>
      <c r="C4622" s="7" t="str">
        <v>趣点购浦发</v>
      </c>
      <c r="D4622" s="8">
        <v>0</v>
      </c>
      <c r="E4622" s="7">
        <v>0</v>
      </c>
      <c r="F4622" s="8">
        <v>0</v>
      </c>
      <c r="G4622" s="7">
        <v>0</v>
      </c>
      <c r="H4622" s="7">
        <v>81211.819999998</v>
      </c>
      <c r="I4622" s="7">
        <v>0</v>
      </c>
      <c r="J4622" s="8">
        <v>0</v>
      </c>
      <c r="K4622" s="9" t="str">
        <v/>
      </c>
    </row>
    <row r="4623" spans="1:11">
      <c r="A4623" t="str">
        <v/>
      </c>
      <c r="B4623" s="6">
        <v>0</v>
      </c>
      <c r="C4623" s="7" t="str">
        <v>趣点购浦发</v>
      </c>
      <c r="D4623" s="8">
        <v>0</v>
      </c>
      <c r="E4623" s="7">
        <v>0</v>
      </c>
      <c r="F4623" s="8">
        <v>0</v>
      </c>
      <c r="G4623" s="7">
        <v>0</v>
      </c>
      <c r="H4623" s="7">
        <v>81211.819999998</v>
      </c>
      <c r="I4623" s="7">
        <v>0</v>
      </c>
      <c r="J4623" s="8">
        <v>0</v>
      </c>
      <c r="K4623" s="9" t="str">
        <v/>
      </c>
    </row>
    <row r="4624" spans="1:11">
      <c r="A4624" t="str">
        <v/>
      </c>
      <c r="B4624" s="6">
        <v>0</v>
      </c>
      <c r="C4624" s="7" t="str">
        <v>趣点购浦发</v>
      </c>
      <c r="D4624" s="8">
        <v>0</v>
      </c>
      <c r="E4624" s="7">
        <v>0</v>
      </c>
      <c r="F4624" s="8">
        <v>0</v>
      </c>
      <c r="G4624" s="7">
        <v>0</v>
      </c>
      <c r="H4624" s="7">
        <v>81211.819999998</v>
      </c>
      <c r="I4624" s="7">
        <v>0</v>
      </c>
      <c r="J4624" s="8">
        <v>0</v>
      </c>
      <c r="K4624" s="9" t="str">
        <v/>
      </c>
    </row>
    <row r="4625" spans="1:11">
      <c r="A4625" t="str">
        <v/>
      </c>
      <c r="B4625" s="6">
        <v>0</v>
      </c>
      <c r="C4625" s="7" t="str">
        <v>趣点购浦发</v>
      </c>
      <c r="D4625" s="8">
        <v>0</v>
      </c>
      <c r="E4625" s="7">
        <v>0</v>
      </c>
      <c r="F4625" s="8">
        <v>0</v>
      </c>
      <c r="G4625" s="7">
        <v>0</v>
      </c>
      <c r="H4625" s="7">
        <v>81211.819999998</v>
      </c>
      <c r="I4625" s="7">
        <v>0</v>
      </c>
      <c r="J4625" s="8">
        <v>0</v>
      </c>
      <c r="K4625" s="9" t="str">
        <v/>
      </c>
    </row>
    <row r="4626" spans="1:11">
      <c r="A4626" t="str">
        <v/>
      </c>
      <c r="B4626" s="6">
        <v>0</v>
      </c>
      <c r="C4626" s="7" t="str">
        <v>趣点购浦发</v>
      </c>
      <c r="D4626" s="8">
        <v>0</v>
      </c>
      <c r="E4626" s="7">
        <v>0</v>
      </c>
      <c r="F4626" s="8">
        <v>0</v>
      </c>
      <c r="G4626" s="7">
        <v>0</v>
      </c>
      <c r="H4626" s="7">
        <v>81211.819999998</v>
      </c>
      <c r="I4626" s="7">
        <v>0</v>
      </c>
      <c r="J4626" s="8">
        <v>0</v>
      </c>
      <c r="K4626" s="9" t="str">
        <v/>
      </c>
    </row>
    <row r="4627" spans="1:11">
      <c r="A4627" t="str">
        <v/>
      </c>
      <c r="B4627" s="6">
        <v>0</v>
      </c>
      <c r="C4627" s="7" t="str">
        <v>趣点购浦发</v>
      </c>
      <c r="D4627" s="8">
        <v>0</v>
      </c>
      <c r="E4627" s="7">
        <v>0</v>
      </c>
      <c r="F4627" s="8">
        <v>0</v>
      </c>
      <c r="G4627" s="7">
        <v>0</v>
      </c>
      <c r="H4627" s="7">
        <v>81211.819999998</v>
      </c>
      <c r="I4627" s="7">
        <v>0</v>
      </c>
      <c r="J4627" s="8">
        <v>0</v>
      </c>
      <c r="K4627" s="9" t="str">
        <v/>
      </c>
    </row>
    <row r="4628" spans="1:11">
      <c r="A4628" t="str">
        <v/>
      </c>
      <c r="B4628" s="6">
        <v>0</v>
      </c>
      <c r="C4628" s="7" t="str">
        <v>趣点购浦发</v>
      </c>
      <c r="D4628" s="8">
        <v>0</v>
      </c>
      <c r="E4628" s="7">
        <v>0</v>
      </c>
      <c r="F4628" s="8">
        <v>0</v>
      </c>
      <c r="G4628" s="7">
        <v>0</v>
      </c>
      <c r="H4628" s="7">
        <v>81211.819999998</v>
      </c>
      <c r="I4628" s="7">
        <v>0</v>
      </c>
      <c r="J4628" s="8">
        <v>0</v>
      </c>
      <c r="K4628" s="9" t="str">
        <v/>
      </c>
    </row>
    <row r="4629" spans="1:11">
      <c r="A4629" t="str">
        <v/>
      </c>
      <c r="B4629" s="6">
        <v>0</v>
      </c>
      <c r="C4629" s="7" t="str">
        <v>趣点购浦发</v>
      </c>
      <c r="D4629" s="8">
        <v>0</v>
      </c>
      <c r="E4629" s="7">
        <v>0</v>
      </c>
      <c r="F4629" s="8">
        <v>0</v>
      </c>
      <c r="G4629" s="7">
        <v>0</v>
      </c>
      <c r="H4629" s="7">
        <v>81211.819999998</v>
      </c>
      <c r="I4629" s="7">
        <v>0</v>
      </c>
      <c r="J4629" s="8">
        <v>0</v>
      </c>
      <c r="K4629" s="9" t="str">
        <v/>
      </c>
    </row>
    <row r="4630" spans="1:11">
      <c r="A4630" t="str">
        <v/>
      </c>
      <c r="B4630" s="6">
        <v>0</v>
      </c>
      <c r="C4630" s="7" t="str">
        <v>趣点购浦发</v>
      </c>
      <c r="D4630" s="8">
        <v>0</v>
      </c>
      <c r="E4630" s="7">
        <v>0</v>
      </c>
      <c r="F4630" s="8">
        <v>0</v>
      </c>
      <c r="G4630" s="7">
        <v>0</v>
      </c>
      <c r="H4630" s="7">
        <v>81211.819999998</v>
      </c>
      <c r="I4630" s="7">
        <v>0</v>
      </c>
      <c r="J4630" s="8">
        <v>0</v>
      </c>
      <c r="K4630" s="9" t="str">
        <v/>
      </c>
    </row>
    <row r="4631" spans="1:11">
      <c r="A4631" t="str">
        <v/>
      </c>
      <c r="B4631" s="6">
        <v>0</v>
      </c>
      <c r="C4631" s="7" t="str">
        <v>趣点购浦发</v>
      </c>
      <c r="D4631" s="8">
        <v>0</v>
      </c>
      <c r="E4631" s="7">
        <v>0</v>
      </c>
      <c r="F4631" s="8">
        <v>0</v>
      </c>
      <c r="G4631" s="7">
        <v>0</v>
      </c>
      <c r="H4631" s="7">
        <v>81211.819999998</v>
      </c>
      <c r="I4631" s="7">
        <v>0</v>
      </c>
      <c r="J4631" s="8">
        <v>0</v>
      </c>
      <c r="K4631" s="9" t="str">
        <v/>
      </c>
    </row>
    <row r="4632" spans="1:11">
      <c r="A4632" t="str">
        <v/>
      </c>
      <c r="B4632" s="6">
        <v>0</v>
      </c>
      <c r="C4632" s="7" t="str">
        <v>趣点购浦发</v>
      </c>
      <c r="D4632" s="8">
        <v>0</v>
      </c>
      <c r="E4632" s="7">
        <v>0</v>
      </c>
      <c r="F4632" s="8">
        <v>0</v>
      </c>
      <c r="G4632" s="7">
        <v>0</v>
      </c>
      <c r="H4632" s="7">
        <v>81211.819999998</v>
      </c>
      <c r="I4632" s="7">
        <v>0</v>
      </c>
      <c r="J4632" s="8">
        <v>0</v>
      </c>
      <c r="K4632" s="9" t="str">
        <v/>
      </c>
    </row>
    <row r="4633" spans="1:11">
      <c r="A4633" t="str">
        <v/>
      </c>
      <c r="B4633" s="6">
        <v>0</v>
      </c>
      <c r="C4633" s="7" t="str">
        <v>趣点购浦发</v>
      </c>
      <c r="D4633" s="8">
        <v>0</v>
      </c>
      <c r="E4633" s="7">
        <v>0</v>
      </c>
      <c r="F4633" s="8">
        <v>0</v>
      </c>
      <c r="G4633" s="7">
        <v>0</v>
      </c>
      <c r="H4633" s="7">
        <v>81211.819999998</v>
      </c>
      <c r="I4633" s="7">
        <v>0</v>
      </c>
      <c r="J4633" s="8">
        <v>0</v>
      </c>
      <c r="K4633" s="9" t="str">
        <v/>
      </c>
    </row>
    <row r="4634" spans="1:11">
      <c r="A4634" t="str">
        <v/>
      </c>
      <c r="B4634" s="6">
        <v>0</v>
      </c>
      <c r="C4634" s="7" t="str">
        <v>趣点购浦发</v>
      </c>
      <c r="D4634" s="8">
        <v>0</v>
      </c>
      <c r="E4634" s="7">
        <v>0</v>
      </c>
      <c r="F4634" s="8">
        <v>0</v>
      </c>
      <c r="G4634" s="7">
        <v>0</v>
      </c>
      <c r="H4634" s="7">
        <v>81211.819999998</v>
      </c>
      <c r="I4634" s="7">
        <v>0</v>
      </c>
      <c r="J4634" s="8">
        <v>0</v>
      </c>
      <c r="K4634" s="9" t="str">
        <v/>
      </c>
    </row>
    <row r="4635" spans="1:11">
      <c r="A4635" t="str">
        <v/>
      </c>
      <c r="B4635" s="6">
        <v>0</v>
      </c>
      <c r="C4635" s="7" t="str">
        <v>趣点购浦发</v>
      </c>
      <c r="D4635" s="8">
        <v>0</v>
      </c>
      <c r="E4635" s="7">
        <v>0</v>
      </c>
      <c r="F4635" s="8">
        <v>0</v>
      </c>
      <c r="G4635" s="7">
        <v>0</v>
      </c>
      <c r="H4635" s="7">
        <v>81211.819999998</v>
      </c>
      <c r="I4635" s="7">
        <v>0</v>
      </c>
      <c r="J4635" s="8">
        <v>0</v>
      </c>
      <c r="K4635" s="9" t="str">
        <v/>
      </c>
    </row>
    <row r="4636" spans="1:11">
      <c r="A4636" t="str">
        <v/>
      </c>
      <c r="B4636" s="6">
        <v>0</v>
      </c>
      <c r="C4636" s="7" t="str">
        <v>趣点购浦发</v>
      </c>
      <c r="D4636" s="8">
        <v>0</v>
      </c>
      <c r="E4636" s="7">
        <v>0</v>
      </c>
      <c r="F4636" s="8">
        <v>0</v>
      </c>
      <c r="G4636" s="7">
        <v>0</v>
      </c>
      <c r="H4636" s="7">
        <v>81211.819999998</v>
      </c>
      <c r="I4636" s="7">
        <v>0</v>
      </c>
      <c r="J4636" s="8">
        <v>0</v>
      </c>
      <c r="K4636" s="9" t="str">
        <v/>
      </c>
    </row>
    <row r="4637" spans="1:11">
      <c r="A4637" t="str">
        <v/>
      </c>
      <c r="B4637" s="6">
        <v>0</v>
      </c>
      <c r="C4637" s="7" t="str">
        <v>趣点购浦发</v>
      </c>
      <c r="D4637" s="8">
        <v>0</v>
      </c>
      <c r="E4637" s="7">
        <v>0</v>
      </c>
      <c r="F4637" s="8">
        <v>0</v>
      </c>
      <c r="G4637" s="7">
        <v>0</v>
      </c>
      <c r="H4637" s="7">
        <v>81211.819999998</v>
      </c>
      <c r="I4637" s="7">
        <v>0</v>
      </c>
      <c r="J4637" s="8">
        <v>0</v>
      </c>
      <c r="K4637" s="9" t="str">
        <v/>
      </c>
    </row>
    <row r="4638" spans="1:11">
      <c r="A4638" t="str">
        <v/>
      </c>
      <c r="B4638" s="6">
        <v>0</v>
      </c>
      <c r="C4638" s="7" t="str">
        <v>趣点购浦发</v>
      </c>
      <c r="D4638" s="8">
        <v>0</v>
      </c>
      <c r="E4638" s="7">
        <v>0</v>
      </c>
      <c r="F4638" s="8">
        <v>0</v>
      </c>
      <c r="G4638" s="7">
        <v>0</v>
      </c>
      <c r="H4638" s="7">
        <v>81211.819999998</v>
      </c>
      <c r="I4638" s="7">
        <v>0</v>
      </c>
      <c r="J4638" s="8">
        <v>0</v>
      </c>
      <c r="K4638" s="9" t="str">
        <v/>
      </c>
    </row>
    <row r="4639" spans="1:11">
      <c r="A4639" t="str">
        <v/>
      </c>
      <c r="B4639" s="6">
        <v>0</v>
      </c>
      <c r="C4639" s="7" t="str">
        <v>趣点购浦发</v>
      </c>
      <c r="D4639" s="8">
        <v>0</v>
      </c>
      <c r="E4639" s="7">
        <v>0</v>
      </c>
      <c r="F4639" s="8">
        <v>0</v>
      </c>
      <c r="G4639" s="7">
        <v>0</v>
      </c>
      <c r="H4639" s="7">
        <v>81211.819999998</v>
      </c>
      <c r="I4639" s="7">
        <v>0</v>
      </c>
      <c r="J4639" s="8">
        <v>0</v>
      </c>
      <c r="K4639" s="9" t="str">
        <v/>
      </c>
    </row>
    <row r="4640" spans="1:11">
      <c r="A4640" t="str">
        <v/>
      </c>
      <c r="B4640" s="6">
        <v>0</v>
      </c>
      <c r="C4640" s="7" t="str">
        <v>趣点购浦发</v>
      </c>
      <c r="D4640" s="8">
        <v>0</v>
      </c>
      <c r="E4640" s="7">
        <v>0</v>
      </c>
      <c r="F4640" s="8">
        <v>0</v>
      </c>
      <c r="G4640" s="7">
        <v>0</v>
      </c>
      <c r="H4640" s="7">
        <v>81211.819999998</v>
      </c>
      <c r="I4640" s="7">
        <v>0</v>
      </c>
      <c r="J4640" s="8">
        <v>0</v>
      </c>
      <c r="K4640" s="9" t="str">
        <v/>
      </c>
    </row>
    <row r="4641" spans="1:11">
      <c r="A4641" t="str">
        <v/>
      </c>
      <c r="B4641" s="6">
        <v>0</v>
      </c>
      <c r="C4641" s="7" t="str">
        <v>趣点购浦发</v>
      </c>
      <c r="D4641" s="8">
        <v>0</v>
      </c>
      <c r="E4641" s="7">
        <v>0</v>
      </c>
      <c r="F4641" s="8">
        <v>0</v>
      </c>
      <c r="G4641" s="7">
        <v>0</v>
      </c>
      <c r="H4641" s="7">
        <v>81211.819999998</v>
      </c>
      <c r="I4641" s="7">
        <v>0</v>
      </c>
      <c r="J4641" s="8">
        <v>0</v>
      </c>
      <c r="K4641" s="9" t="str">
        <v/>
      </c>
    </row>
    <row r="4642" spans="1:11">
      <c r="A4642" t="str">
        <v/>
      </c>
      <c r="B4642" s="6">
        <v>0</v>
      </c>
      <c r="C4642" s="7" t="str">
        <v>趣点购浦发</v>
      </c>
      <c r="D4642" s="8">
        <v>0</v>
      </c>
      <c r="E4642" s="7">
        <v>0</v>
      </c>
      <c r="F4642" s="8">
        <v>0</v>
      </c>
      <c r="G4642" s="7">
        <v>0</v>
      </c>
      <c r="H4642" s="7">
        <v>81211.819999998</v>
      </c>
      <c r="I4642" s="7">
        <v>0</v>
      </c>
      <c r="J4642" s="8">
        <v>0</v>
      </c>
      <c r="K4642" s="9" t="str">
        <v/>
      </c>
    </row>
    <row r="4643" spans="1:11">
      <c r="A4643" t="str">
        <v/>
      </c>
      <c r="B4643" s="6">
        <v>0</v>
      </c>
      <c r="C4643" s="7" t="str">
        <v>趣点购浦发</v>
      </c>
      <c r="D4643" s="8">
        <v>0</v>
      </c>
      <c r="E4643" s="7">
        <v>0</v>
      </c>
      <c r="F4643" s="8">
        <v>0</v>
      </c>
      <c r="G4643" s="7">
        <v>0</v>
      </c>
      <c r="H4643" s="7">
        <v>81211.819999998</v>
      </c>
      <c r="I4643" s="7">
        <v>0</v>
      </c>
      <c r="J4643" s="8">
        <v>0</v>
      </c>
      <c r="K4643" s="9" t="str">
        <v/>
      </c>
    </row>
    <row r="4644" spans="1:11">
      <c r="A4644" t="str">
        <v/>
      </c>
      <c r="B4644" s="6">
        <v>0</v>
      </c>
      <c r="C4644" s="7" t="str">
        <v>趣点购浦发</v>
      </c>
      <c r="D4644" s="8">
        <v>0</v>
      </c>
      <c r="E4644" s="7">
        <v>0</v>
      </c>
      <c r="F4644" s="8">
        <v>0</v>
      </c>
      <c r="G4644" s="7">
        <v>0</v>
      </c>
      <c r="H4644" s="7">
        <v>81211.819999998</v>
      </c>
      <c r="I4644" s="7">
        <v>0</v>
      </c>
      <c r="J4644" s="8">
        <v>0</v>
      </c>
      <c r="K4644" s="9" t="str">
        <v/>
      </c>
    </row>
    <row r="4645" spans="1:11">
      <c r="A4645" t="str">
        <v/>
      </c>
      <c r="B4645" s="6">
        <v>0</v>
      </c>
      <c r="C4645" s="7" t="str">
        <v>趣点购浦发</v>
      </c>
      <c r="D4645" s="8">
        <v>0</v>
      </c>
      <c r="E4645" s="7">
        <v>0</v>
      </c>
      <c r="F4645" s="8">
        <v>0</v>
      </c>
      <c r="G4645" s="7">
        <v>0</v>
      </c>
      <c r="H4645" s="7">
        <v>81211.819999998</v>
      </c>
      <c r="I4645" s="7">
        <v>0</v>
      </c>
      <c r="J4645" s="8">
        <v>0</v>
      </c>
      <c r="K4645" s="9" t="str">
        <v/>
      </c>
    </row>
    <row r="4646" spans="1:11">
      <c r="A4646" t="str">
        <v/>
      </c>
      <c r="B4646" s="6">
        <v>0</v>
      </c>
      <c r="C4646" s="7" t="str">
        <v>趣点购浦发</v>
      </c>
      <c r="D4646" s="8">
        <v>0</v>
      </c>
      <c r="E4646" s="7">
        <v>0</v>
      </c>
      <c r="F4646" s="8">
        <v>0</v>
      </c>
      <c r="G4646" s="7">
        <v>0</v>
      </c>
      <c r="H4646" s="7">
        <v>81211.819999998</v>
      </c>
      <c r="I4646" s="7">
        <v>0</v>
      </c>
      <c r="J4646" s="8">
        <v>0</v>
      </c>
      <c r="K4646" s="9" t="str">
        <v/>
      </c>
    </row>
    <row r="4647" spans="1:11">
      <c r="A4647" t="str">
        <v/>
      </c>
      <c r="B4647" s="6">
        <v>0</v>
      </c>
      <c r="C4647" s="7" t="str">
        <v>趣点购浦发</v>
      </c>
      <c r="D4647" s="8">
        <v>0</v>
      </c>
      <c r="E4647" s="7">
        <v>0</v>
      </c>
      <c r="F4647" s="8">
        <v>0</v>
      </c>
      <c r="G4647" s="7">
        <v>0</v>
      </c>
      <c r="H4647" s="7">
        <v>81211.819999998</v>
      </c>
      <c r="I4647" s="7">
        <v>0</v>
      </c>
      <c r="J4647" s="8">
        <v>0</v>
      </c>
      <c r="K4647" s="9" t="str">
        <v/>
      </c>
    </row>
    <row r="4648" spans="1:11">
      <c r="A4648" t="str">
        <v/>
      </c>
      <c r="B4648" s="6">
        <v>0</v>
      </c>
      <c r="C4648" s="7" t="str">
        <v>趣点购浦发</v>
      </c>
      <c r="D4648" s="8">
        <v>0</v>
      </c>
      <c r="E4648" s="7">
        <v>0</v>
      </c>
      <c r="F4648" s="8">
        <v>0</v>
      </c>
      <c r="G4648" s="7">
        <v>0</v>
      </c>
      <c r="H4648" s="7">
        <v>81211.819999998</v>
      </c>
      <c r="I4648" s="7">
        <v>0</v>
      </c>
      <c r="J4648" s="8">
        <v>0</v>
      </c>
      <c r="K4648" s="9" t="str">
        <v/>
      </c>
    </row>
    <row r="4649" spans="1:11">
      <c r="A4649" t="str">
        <v/>
      </c>
      <c r="B4649" s="6">
        <v>0</v>
      </c>
      <c r="C4649" s="7" t="str">
        <v>趣点购浦发</v>
      </c>
      <c r="D4649" s="8">
        <v>0</v>
      </c>
      <c r="E4649" s="7">
        <v>0</v>
      </c>
      <c r="F4649" s="8">
        <v>0</v>
      </c>
      <c r="G4649" s="7">
        <v>0</v>
      </c>
      <c r="H4649" s="7">
        <v>81211.819999998</v>
      </c>
      <c r="I4649" s="7">
        <v>0</v>
      </c>
      <c r="J4649" s="8">
        <v>0</v>
      </c>
      <c r="K4649" s="9" t="str">
        <v/>
      </c>
    </row>
    <row r="4650" spans="1:11">
      <c r="A4650" t="str">
        <v/>
      </c>
      <c r="B4650" s="6">
        <v>0</v>
      </c>
      <c r="C4650" s="7" t="str">
        <v>趣点购浦发</v>
      </c>
      <c r="D4650" s="8">
        <v>0</v>
      </c>
      <c r="E4650" s="7">
        <v>0</v>
      </c>
      <c r="F4650" s="8">
        <v>0</v>
      </c>
      <c r="G4650" s="7">
        <v>0</v>
      </c>
      <c r="H4650" s="7">
        <v>81211.819999998</v>
      </c>
      <c r="I4650" s="7">
        <v>0</v>
      </c>
      <c r="J4650" s="8">
        <v>0</v>
      </c>
      <c r="K4650" s="9" t="str">
        <v/>
      </c>
    </row>
    <row r="4651" spans="1:11">
      <c r="A4651" t="str">
        <v/>
      </c>
      <c r="B4651" s="6">
        <v>0</v>
      </c>
      <c r="C4651" s="7" t="str">
        <v>趣点购浦发</v>
      </c>
      <c r="D4651" s="8">
        <v>0</v>
      </c>
      <c r="E4651" s="7">
        <v>0</v>
      </c>
      <c r="F4651" s="8">
        <v>0</v>
      </c>
      <c r="G4651" s="7">
        <v>0</v>
      </c>
      <c r="H4651" s="7">
        <v>81211.819999998</v>
      </c>
      <c r="I4651" s="7">
        <v>0</v>
      </c>
      <c r="J4651" s="8">
        <v>0</v>
      </c>
      <c r="K4651" s="9" t="str">
        <v/>
      </c>
    </row>
    <row r="4652" spans="1:11">
      <c r="A4652" t="str">
        <v/>
      </c>
      <c r="B4652" s="6">
        <v>0</v>
      </c>
      <c r="C4652" s="7" t="str">
        <v>趣点购浦发</v>
      </c>
      <c r="D4652" s="8">
        <v>0</v>
      </c>
      <c r="E4652" s="7">
        <v>0</v>
      </c>
      <c r="F4652" s="8">
        <v>0</v>
      </c>
      <c r="G4652" s="7">
        <v>0</v>
      </c>
      <c r="H4652" s="7">
        <v>81211.819999998</v>
      </c>
      <c r="I4652" s="7">
        <v>0</v>
      </c>
      <c r="J4652" s="8">
        <v>0</v>
      </c>
      <c r="K4652" s="9" t="str">
        <v/>
      </c>
    </row>
    <row r="4653" spans="1:11">
      <c r="A4653" t="str">
        <v/>
      </c>
      <c r="B4653" s="6">
        <v>0</v>
      </c>
      <c r="C4653" s="7" t="str">
        <v>趣点购浦发</v>
      </c>
      <c r="D4653" s="8">
        <v>0</v>
      </c>
      <c r="E4653" s="7">
        <v>0</v>
      </c>
      <c r="F4653" s="8">
        <v>0</v>
      </c>
      <c r="G4653" s="7">
        <v>0</v>
      </c>
      <c r="H4653" s="7">
        <v>81211.819999998</v>
      </c>
      <c r="I4653" s="7">
        <v>0</v>
      </c>
      <c r="J4653" s="8">
        <v>0</v>
      </c>
      <c r="K4653" s="9" t="str">
        <v/>
      </c>
    </row>
    <row r="4654" spans="1:11">
      <c r="A4654" t="str">
        <v/>
      </c>
      <c r="B4654" s="6">
        <v>0</v>
      </c>
      <c r="C4654" s="7" t="str">
        <v>趣点购浦发</v>
      </c>
      <c r="D4654" s="8">
        <v>0</v>
      </c>
      <c r="E4654" s="7">
        <v>0</v>
      </c>
      <c r="F4654" s="8">
        <v>0</v>
      </c>
      <c r="G4654" s="7">
        <v>0</v>
      </c>
      <c r="H4654" s="7">
        <v>81211.819999998</v>
      </c>
      <c r="I4654" s="7">
        <v>0</v>
      </c>
      <c r="J4654" s="8">
        <v>0</v>
      </c>
      <c r="K4654" s="9" t="str">
        <v/>
      </c>
    </row>
    <row r="4655" spans="1:11">
      <c r="A4655" t="str">
        <v/>
      </c>
      <c r="B4655" s="6">
        <v>0</v>
      </c>
      <c r="C4655" s="7" t="str">
        <v>趣点购浦发</v>
      </c>
      <c r="D4655" s="8">
        <v>0</v>
      </c>
      <c r="E4655" s="7">
        <v>0</v>
      </c>
      <c r="F4655" s="8">
        <v>0</v>
      </c>
      <c r="G4655" s="7">
        <v>0</v>
      </c>
      <c r="H4655" s="7">
        <v>81211.819999998</v>
      </c>
      <c r="I4655" s="7">
        <v>0</v>
      </c>
      <c r="J4655" s="8">
        <v>0</v>
      </c>
      <c r="K4655" s="9" t="str">
        <v/>
      </c>
    </row>
    <row r="4656" spans="1:11">
      <c r="A4656" t="str">
        <v/>
      </c>
      <c r="B4656" s="6">
        <v>0</v>
      </c>
      <c r="C4656" s="7" t="str">
        <v>趣点购浦发</v>
      </c>
      <c r="D4656" s="8">
        <v>0</v>
      </c>
      <c r="E4656" s="7">
        <v>0</v>
      </c>
      <c r="F4656" s="8">
        <v>0</v>
      </c>
      <c r="G4656" s="7">
        <v>0</v>
      </c>
      <c r="H4656" s="7">
        <v>81211.819999998</v>
      </c>
      <c r="I4656" s="7">
        <v>0</v>
      </c>
      <c r="J4656" s="8">
        <v>0</v>
      </c>
      <c r="K4656" s="9" t="str">
        <v/>
      </c>
    </row>
    <row r="4657" spans="1:11">
      <c r="A4657" t="str">
        <v/>
      </c>
      <c r="B4657" s="6">
        <v>0</v>
      </c>
      <c r="C4657" s="7" t="str">
        <v>趣点购浦发</v>
      </c>
      <c r="D4657" s="8">
        <v>0</v>
      </c>
      <c r="E4657" s="7">
        <v>0</v>
      </c>
      <c r="F4657" s="8">
        <v>0</v>
      </c>
      <c r="G4657" s="7">
        <v>0</v>
      </c>
      <c r="H4657" s="7">
        <v>81211.819999998</v>
      </c>
      <c r="I4657" s="7">
        <v>0</v>
      </c>
      <c r="J4657" s="8">
        <v>0</v>
      </c>
      <c r="K4657" s="9" t="str">
        <v/>
      </c>
    </row>
    <row r="4658" spans="1:11">
      <c r="A4658" t="str">
        <v/>
      </c>
      <c r="B4658" s="6">
        <v>0</v>
      </c>
      <c r="C4658" s="7" t="str">
        <v>趣点购浦发</v>
      </c>
      <c r="D4658" s="8">
        <v>0</v>
      </c>
      <c r="E4658" s="7">
        <v>0</v>
      </c>
      <c r="F4658" s="8">
        <v>0</v>
      </c>
      <c r="G4658" s="7">
        <v>0</v>
      </c>
      <c r="H4658" s="7">
        <v>81211.819999998</v>
      </c>
      <c r="I4658" s="7">
        <v>0</v>
      </c>
      <c r="J4658" s="8">
        <v>0</v>
      </c>
      <c r="K4658" s="9" t="str">
        <v/>
      </c>
    </row>
    <row r="4659" spans="1:11">
      <c r="A4659" t="str">
        <v/>
      </c>
      <c r="B4659" s="6">
        <v>0</v>
      </c>
      <c r="C4659" s="7" t="str">
        <v>趣点购浦发</v>
      </c>
      <c r="D4659" s="8">
        <v>0</v>
      </c>
      <c r="E4659" s="7">
        <v>0</v>
      </c>
      <c r="F4659" s="8">
        <v>0</v>
      </c>
      <c r="G4659" s="7">
        <v>0</v>
      </c>
      <c r="H4659" s="7">
        <v>81211.819999998</v>
      </c>
      <c r="I4659" s="7">
        <v>0</v>
      </c>
      <c r="J4659" s="8">
        <v>0</v>
      </c>
      <c r="K4659" s="9" t="str">
        <v/>
      </c>
    </row>
    <row r="4660" spans="1:11">
      <c r="A4660" t="str">
        <v/>
      </c>
      <c r="B4660" s="6">
        <v>0</v>
      </c>
      <c r="C4660" s="7" t="str">
        <v>趣点购浦发</v>
      </c>
      <c r="D4660" s="8">
        <v>0</v>
      </c>
      <c r="E4660" s="7">
        <v>0</v>
      </c>
      <c r="F4660" s="8">
        <v>0</v>
      </c>
      <c r="G4660" s="7">
        <v>0</v>
      </c>
      <c r="H4660" s="7">
        <v>81211.819999998</v>
      </c>
      <c r="I4660" s="7">
        <v>0</v>
      </c>
      <c r="J4660" s="8">
        <v>0</v>
      </c>
      <c r="K4660" s="9" t="str">
        <v/>
      </c>
    </row>
    <row r="4661" spans="1:11">
      <c r="A4661" t="str">
        <v/>
      </c>
      <c r="B4661" s="6">
        <v>0</v>
      </c>
      <c r="C4661" s="7" t="str">
        <v>趣点购浦发</v>
      </c>
      <c r="D4661" s="8">
        <v>0</v>
      </c>
      <c r="E4661" s="7">
        <v>0</v>
      </c>
      <c r="F4661" s="8">
        <v>0</v>
      </c>
      <c r="G4661" s="7">
        <v>0</v>
      </c>
      <c r="H4661" s="7">
        <v>81211.819999998</v>
      </c>
      <c r="I4661" s="7">
        <v>0</v>
      </c>
      <c r="J4661" s="8">
        <v>0</v>
      </c>
      <c r="K4661" s="9" t="str">
        <v/>
      </c>
    </row>
    <row r="4662" spans="1:11">
      <c r="A4662" t="str">
        <v/>
      </c>
      <c r="B4662" s="6">
        <v>0</v>
      </c>
      <c r="C4662" s="7" t="str">
        <v>趣点购浦发</v>
      </c>
      <c r="D4662" s="8">
        <v>0</v>
      </c>
      <c r="E4662" s="7">
        <v>0</v>
      </c>
      <c r="F4662" s="8">
        <v>0</v>
      </c>
      <c r="G4662" s="7">
        <v>0</v>
      </c>
      <c r="H4662" s="7">
        <v>81211.819999998</v>
      </c>
      <c r="I4662" s="7">
        <v>0</v>
      </c>
      <c r="J4662" s="8">
        <v>0</v>
      </c>
      <c r="K4662" s="9" t="str">
        <v/>
      </c>
    </row>
    <row r="4663" spans="1:11">
      <c r="A4663" t="str">
        <v/>
      </c>
      <c r="B4663" s="6">
        <v>0</v>
      </c>
      <c r="C4663" s="7" t="str">
        <v>趣点购浦发</v>
      </c>
      <c r="D4663" s="8">
        <v>0</v>
      </c>
      <c r="E4663" s="7">
        <v>0</v>
      </c>
      <c r="F4663" s="8">
        <v>0</v>
      </c>
      <c r="G4663" s="7">
        <v>0</v>
      </c>
      <c r="H4663" s="7">
        <v>81211.819999998</v>
      </c>
      <c r="I4663" s="7">
        <v>0</v>
      </c>
      <c r="J4663" s="8">
        <v>0</v>
      </c>
      <c r="K4663" s="9" t="str">
        <v/>
      </c>
    </row>
    <row r="4664" spans="1:11">
      <c r="A4664" t="str">
        <v/>
      </c>
      <c r="B4664" s="6">
        <v>0</v>
      </c>
      <c r="C4664" s="7" t="str">
        <v>趣点购浦发</v>
      </c>
      <c r="D4664" s="8">
        <v>0</v>
      </c>
      <c r="E4664" s="7">
        <v>0</v>
      </c>
      <c r="F4664" s="8">
        <v>0</v>
      </c>
      <c r="G4664" s="7">
        <v>0</v>
      </c>
      <c r="H4664" s="7">
        <v>81211.819999998</v>
      </c>
      <c r="I4664" s="7">
        <v>0</v>
      </c>
      <c r="J4664" s="8">
        <v>0</v>
      </c>
      <c r="K4664" s="9" t="str">
        <v/>
      </c>
    </row>
    <row r="4665" spans="1:11">
      <c r="A4665" t="str">
        <v/>
      </c>
      <c r="B4665" s="6">
        <v>0</v>
      </c>
      <c r="C4665" s="7" t="str">
        <v>趣点购浦发</v>
      </c>
      <c r="D4665" s="8">
        <v>0</v>
      </c>
      <c r="E4665" s="7">
        <v>0</v>
      </c>
      <c r="F4665" s="8">
        <v>0</v>
      </c>
      <c r="G4665" s="7">
        <v>0</v>
      </c>
      <c r="H4665" s="7">
        <v>81211.819999998</v>
      </c>
      <c r="I4665" s="7">
        <v>0</v>
      </c>
      <c r="J4665" s="8">
        <v>0</v>
      </c>
      <c r="K4665" s="9" t="str">
        <v/>
      </c>
    </row>
    <row r="4666" spans="1:11">
      <c r="A4666" t="str">
        <v/>
      </c>
      <c r="B4666" s="6">
        <v>0</v>
      </c>
      <c r="C4666" s="7" t="str">
        <v>趣点购浦发</v>
      </c>
      <c r="D4666" s="8">
        <v>0</v>
      </c>
      <c r="E4666" s="7">
        <v>0</v>
      </c>
      <c r="F4666" s="8">
        <v>0</v>
      </c>
      <c r="G4666" s="7">
        <v>0</v>
      </c>
      <c r="H4666" s="7">
        <v>81211.819999998</v>
      </c>
      <c r="I4666" s="7">
        <v>0</v>
      </c>
      <c r="J4666" s="8">
        <v>0</v>
      </c>
      <c r="K4666" s="9" t="str">
        <v/>
      </c>
    </row>
    <row r="4667" spans="1:11">
      <c r="A4667" t="str">
        <v/>
      </c>
      <c r="B4667" s="6">
        <v>0</v>
      </c>
      <c r="C4667" s="7" t="str">
        <v>趣点购浦发</v>
      </c>
      <c r="D4667" s="8">
        <v>0</v>
      </c>
      <c r="E4667" s="7">
        <v>0</v>
      </c>
      <c r="F4667" s="8">
        <v>0</v>
      </c>
      <c r="G4667" s="7">
        <v>0</v>
      </c>
      <c r="H4667" s="7">
        <v>81211.819999998</v>
      </c>
      <c r="I4667" s="7">
        <v>0</v>
      </c>
      <c r="J4667" s="8">
        <v>0</v>
      </c>
      <c r="K4667" s="9" t="str">
        <v/>
      </c>
    </row>
    <row r="4668" spans="1:11">
      <c r="A4668" t="str">
        <v/>
      </c>
      <c r="B4668" s="6">
        <v>0</v>
      </c>
      <c r="C4668" s="7" t="str">
        <v>趣点购浦发</v>
      </c>
      <c r="D4668" s="8">
        <v>0</v>
      </c>
      <c r="E4668" s="7">
        <v>0</v>
      </c>
      <c r="F4668" s="8">
        <v>0</v>
      </c>
      <c r="G4668" s="7">
        <v>0</v>
      </c>
      <c r="H4668" s="7">
        <v>81211.819999998</v>
      </c>
      <c r="I4668" s="7">
        <v>0</v>
      </c>
      <c r="J4668" s="8">
        <v>0</v>
      </c>
      <c r="K4668" s="9" t="str">
        <v/>
      </c>
    </row>
    <row r="4669" spans="1:11">
      <c r="A4669" t="str">
        <v/>
      </c>
      <c r="B4669" s="6">
        <v>0</v>
      </c>
      <c r="C4669" s="7" t="str">
        <v>趣点购浦发</v>
      </c>
      <c r="D4669" s="8">
        <v>0</v>
      </c>
      <c r="E4669" s="7">
        <v>0</v>
      </c>
      <c r="F4669" s="8">
        <v>0</v>
      </c>
      <c r="G4669" s="7">
        <v>0</v>
      </c>
      <c r="H4669" s="7">
        <v>81211.819999998</v>
      </c>
      <c r="I4669" s="7">
        <v>0</v>
      </c>
      <c r="J4669" s="8">
        <v>0</v>
      </c>
      <c r="K4669" s="9" t="str">
        <v/>
      </c>
    </row>
    <row r="4670" spans="1:11">
      <c r="A4670" t="str">
        <v/>
      </c>
      <c r="B4670" s="6">
        <v>0</v>
      </c>
      <c r="C4670" s="7" t="str">
        <v>趣点购浦发</v>
      </c>
      <c r="D4670" s="8">
        <v>0</v>
      </c>
      <c r="E4670" s="7">
        <v>0</v>
      </c>
      <c r="F4670" s="8">
        <v>0</v>
      </c>
      <c r="G4670" s="7">
        <v>0</v>
      </c>
      <c r="H4670" s="7">
        <v>81211.819999998</v>
      </c>
      <c r="I4670" s="7">
        <v>0</v>
      </c>
      <c r="J4670" s="8">
        <v>0</v>
      </c>
      <c r="K4670" s="9" t="str">
        <v/>
      </c>
    </row>
    <row r="4671" spans="1:11">
      <c r="A4671" t="str">
        <v/>
      </c>
      <c r="B4671" s="6">
        <v>0</v>
      </c>
      <c r="C4671" s="7" t="str">
        <v>趣点购浦发</v>
      </c>
      <c r="D4671" s="8">
        <v>0</v>
      </c>
      <c r="E4671" s="7">
        <v>0</v>
      </c>
      <c r="F4671" s="8">
        <v>0</v>
      </c>
      <c r="G4671" s="7">
        <v>0</v>
      </c>
      <c r="H4671" s="7">
        <v>81211.819999998</v>
      </c>
      <c r="I4671" s="7">
        <v>0</v>
      </c>
      <c r="J4671" s="8">
        <v>0</v>
      </c>
      <c r="K4671" s="9" t="str">
        <v/>
      </c>
    </row>
    <row r="4672" spans="1:11">
      <c r="A4672" t="str">
        <v/>
      </c>
      <c r="B4672" s="6">
        <v>0</v>
      </c>
      <c r="C4672" s="7" t="str">
        <v>趣点购浦发</v>
      </c>
      <c r="D4672" s="8">
        <v>0</v>
      </c>
      <c r="E4672" s="7">
        <v>0</v>
      </c>
      <c r="F4672" s="8">
        <v>0</v>
      </c>
      <c r="G4672" s="7">
        <v>0</v>
      </c>
      <c r="H4672" s="7">
        <v>81211.819999998</v>
      </c>
      <c r="I4672" s="7">
        <v>0</v>
      </c>
      <c r="J4672" s="8">
        <v>0</v>
      </c>
      <c r="K4672" s="9" t="str">
        <v/>
      </c>
    </row>
    <row r="4673" spans="1:11">
      <c r="A4673" t="str">
        <v/>
      </c>
      <c r="B4673" s="6">
        <v>0</v>
      </c>
      <c r="C4673" s="7" t="str">
        <v>趣点购浦发</v>
      </c>
      <c r="D4673" s="8">
        <v>0</v>
      </c>
      <c r="E4673" s="7">
        <v>0</v>
      </c>
      <c r="F4673" s="8">
        <v>0</v>
      </c>
      <c r="G4673" s="7">
        <v>0</v>
      </c>
      <c r="H4673" s="7">
        <v>81211.819999998</v>
      </c>
      <c r="I4673" s="7">
        <v>0</v>
      </c>
      <c r="J4673" s="8">
        <v>0</v>
      </c>
      <c r="K4673" s="9" t="str">
        <v/>
      </c>
    </row>
    <row r="4674" spans="1:11">
      <c r="A4674" t="str">
        <v/>
      </c>
      <c r="B4674" s="6">
        <v>0</v>
      </c>
      <c r="C4674" s="7" t="str">
        <v>趣点购浦发</v>
      </c>
      <c r="D4674" s="8">
        <v>0</v>
      </c>
      <c r="E4674" s="7">
        <v>0</v>
      </c>
      <c r="F4674" s="8">
        <v>0</v>
      </c>
      <c r="G4674" s="7">
        <v>0</v>
      </c>
      <c r="H4674" s="7">
        <v>81211.819999998</v>
      </c>
      <c r="I4674" s="7">
        <v>0</v>
      </c>
      <c r="J4674" s="8">
        <v>0</v>
      </c>
      <c r="K4674" s="9" t="str">
        <v/>
      </c>
    </row>
    <row r="4675" spans="1:11">
      <c r="A4675" t="str">
        <v/>
      </c>
      <c r="B4675" s="6">
        <v>0</v>
      </c>
      <c r="C4675" s="7" t="str">
        <v>趣点购浦发</v>
      </c>
      <c r="D4675" s="8">
        <v>0</v>
      </c>
      <c r="E4675" s="7">
        <v>0</v>
      </c>
      <c r="F4675" s="8">
        <v>0</v>
      </c>
      <c r="G4675" s="7">
        <v>0</v>
      </c>
      <c r="H4675" s="7">
        <v>81211.819999998</v>
      </c>
      <c r="I4675" s="7">
        <v>0</v>
      </c>
      <c r="J4675" s="8">
        <v>0</v>
      </c>
      <c r="K4675" s="9" t="str">
        <v/>
      </c>
    </row>
    <row r="4676" spans="1:11">
      <c r="A4676" t="str">
        <v/>
      </c>
      <c r="B4676" s="6">
        <v>0</v>
      </c>
      <c r="C4676" s="7" t="str">
        <v>趣点购浦发</v>
      </c>
      <c r="D4676" s="8">
        <v>0</v>
      </c>
      <c r="E4676" s="7">
        <v>0</v>
      </c>
      <c r="F4676" s="8">
        <v>0</v>
      </c>
      <c r="G4676" s="7">
        <v>0</v>
      </c>
      <c r="H4676" s="7">
        <v>81211.819999998</v>
      </c>
      <c r="I4676" s="7">
        <v>0</v>
      </c>
      <c r="J4676" s="8">
        <v>0</v>
      </c>
      <c r="K4676" s="9" t="str">
        <v/>
      </c>
    </row>
    <row r="4677" spans="1:11">
      <c r="A4677" t="str">
        <v/>
      </c>
      <c r="B4677" s="6">
        <v>0</v>
      </c>
      <c r="C4677" s="7" t="str">
        <v>趣点购浦发</v>
      </c>
      <c r="D4677" s="8">
        <v>0</v>
      </c>
      <c r="E4677" s="7">
        <v>0</v>
      </c>
      <c r="F4677" s="8">
        <v>0</v>
      </c>
      <c r="G4677" s="7">
        <v>0</v>
      </c>
      <c r="H4677" s="7">
        <v>81211.819999998</v>
      </c>
      <c r="I4677" s="7">
        <v>0</v>
      </c>
      <c r="J4677" s="8">
        <v>0</v>
      </c>
      <c r="K4677" s="9" t="str">
        <v/>
      </c>
    </row>
    <row r="4678" spans="1:11">
      <c r="A4678" t="str">
        <v/>
      </c>
      <c r="B4678" s="6">
        <v>0</v>
      </c>
      <c r="C4678" s="7" t="str">
        <v>趣点购浦发</v>
      </c>
      <c r="D4678" s="8">
        <v>0</v>
      </c>
      <c r="E4678" s="7">
        <v>0</v>
      </c>
      <c r="F4678" s="8">
        <v>0</v>
      </c>
      <c r="G4678" s="7">
        <v>0</v>
      </c>
      <c r="H4678" s="7">
        <v>81211.819999998</v>
      </c>
      <c r="I4678" s="7">
        <v>0</v>
      </c>
      <c r="J4678" s="8">
        <v>0</v>
      </c>
      <c r="K4678" s="9" t="str">
        <v/>
      </c>
    </row>
    <row r="4679" spans="1:11">
      <c r="A4679" t="str">
        <v/>
      </c>
      <c r="B4679" s="6">
        <v>0</v>
      </c>
      <c r="C4679" s="7" t="str">
        <v>趣点购浦发</v>
      </c>
      <c r="D4679" s="8">
        <v>0</v>
      </c>
      <c r="E4679" s="7">
        <v>0</v>
      </c>
      <c r="F4679" s="8">
        <v>0</v>
      </c>
      <c r="G4679" s="7">
        <v>0</v>
      </c>
      <c r="H4679" s="7">
        <v>81211.819999998</v>
      </c>
      <c r="I4679" s="7">
        <v>0</v>
      </c>
      <c r="J4679" s="8">
        <v>0</v>
      </c>
      <c r="K4679" s="9" t="str">
        <v/>
      </c>
    </row>
    <row r="4680" spans="1:11">
      <c r="A4680" t="str">
        <v/>
      </c>
      <c r="B4680" s="6">
        <v>0</v>
      </c>
      <c r="C4680" s="7" t="str">
        <v>趣点购浦发</v>
      </c>
      <c r="D4680" s="8">
        <v>0</v>
      </c>
      <c r="E4680" s="7">
        <v>0</v>
      </c>
      <c r="F4680" s="8">
        <v>0</v>
      </c>
      <c r="G4680" s="7">
        <v>0</v>
      </c>
      <c r="H4680" s="7">
        <v>81211.819999998</v>
      </c>
      <c r="I4680" s="7">
        <v>0</v>
      </c>
      <c r="J4680" s="8">
        <v>0</v>
      </c>
      <c r="K4680" s="9" t="str">
        <v/>
      </c>
    </row>
    <row r="4681" spans="1:11">
      <c r="A4681" t="str">
        <v/>
      </c>
      <c r="B4681" s="6">
        <v>0</v>
      </c>
      <c r="C4681" s="7" t="str">
        <v>趣点购浦发</v>
      </c>
      <c r="D4681" s="8">
        <v>0</v>
      </c>
      <c r="E4681" s="7">
        <v>0</v>
      </c>
      <c r="F4681" s="8">
        <v>0</v>
      </c>
      <c r="G4681" s="7">
        <v>0</v>
      </c>
      <c r="H4681" s="7">
        <v>81211.819999998</v>
      </c>
      <c r="I4681" s="7">
        <v>0</v>
      </c>
      <c r="J4681" s="8">
        <v>0</v>
      </c>
      <c r="K4681" s="9" t="str">
        <v/>
      </c>
    </row>
    <row r="4682" spans="1:11">
      <c r="A4682" t="str">
        <v/>
      </c>
      <c r="B4682" s="6">
        <v>0</v>
      </c>
      <c r="C4682" s="7" t="str">
        <v>趣点购浦发</v>
      </c>
      <c r="D4682" s="8">
        <v>0</v>
      </c>
      <c r="E4682" s="7">
        <v>0</v>
      </c>
      <c r="F4682" s="8">
        <v>0</v>
      </c>
      <c r="G4682" s="7">
        <v>0</v>
      </c>
      <c r="H4682" s="7">
        <v>81211.819999998</v>
      </c>
      <c r="I4682" s="7">
        <v>0</v>
      </c>
      <c r="J4682" s="8">
        <v>0</v>
      </c>
      <c r="K4682" s="9" t="str">
        <v/>
      </c>
    </row>
    <row r="4683" spans="1:11">
      <c r="A4683" t="str">
        <v/>
      </c>
      <c r="B4683" s="6">
        <v>0</v>
      </c>
      <c r="C4683" s="7" t="str">
        <v>趣点购浦发</v>
      </c>
      <c r="D4683" s="8">
        <v>0</v>
      </c>
      <c r="E4683" s="7">
        <v>0</v>
      </c>
      <c r="F4683" s="8">
        <v>0</v>
      </c>
      <c r="G4683" s="7">
        <v>0</v>
      </c>
      <c r="H4683" s="7">
        <v>81211.819999998</v>
      </c>
      <c r="I4683" s="7">
        <v>0</v>
      </c>
      <c r="J4683" s="8">
        <v>0</v>
      </c>
      <c r="K4683" s="9" t="str">
        <v/>
      </c>
    </row>
    <row r="4684" spans="1:11">
      <c r="A4684" t="str">
        <v/>
      </c>
      <c r="B4684" s="6">
        <v>0</v>
      </c>
      <c r="C4684" s="7" t="str">
        <v>趣点购浦发</v>
      </c>
      <c r="D4684" s="8">
        <v>0</v>
      </c>
      <c r="E4684" s="7">
        <v>0</v>
      </c>
      <c r="F4684" s="8">
        <v>0</v>
      </c>
      <c r="G4684" s="7">
        <v>0</v>
      </c>
      <c r="H4684" s="7">
        <v>81211.819999998</v>
      </c>
      <c r="I4684" s="7">
        <v>0</v>
      </c>
      <c r="J4684" s="8">
        <v>0</v>
      </c>
      <c r="K4684" s="9" t="str">
        <v/>
      </c>
    </row>
    <row r="4685" spans="1:11">
      <c r="A4685" t="str">
        <v/>
      </c>
      <c r="B4685" s="6">
        <v>0</v>
      </c>
      <c r="C4685" s="7" t="str">
        <v>趣点购浦发</v>
      </c>
      <c r="D4685" s="8">
        <v>0</v>
      </c>
      <c r="E4685" s="7">
        <v>0</v>
      </c>
      <c r="F4685" s="8">
        <v>0</v>
      </c>
      <c r="G4685" s="7">
        <v>0</v>
      </c>
      <c r="H4685" s="7">
        <v>81211.819999998</v>
      </c>
      <c r="I4685" s="7">
        <v>0</v>
      </c>
      <c r="J4685" s="8">
        <v>0</v>
      </c>
      <c r="K4685" s="9" t="str">
        <v/>
      </c>
    </row>
    <row r="4686" spans="1:11">
      <c r="A4686" t="str">
        <v/>
      </c>
      <c r="B4686" s="6">
        <v>0</v>
      </c>
      <c r="C4686" s="7" t="str">
        <v>趣点购浦发</v>
      </c>
      <c r="D4686" s="8">
        <v>0</v>
      </c>
      <c r="E4686" s="7">
        <v>0</v>
      </c>
      <c r="F4686" s="8">
        <v>0</v>
      </c>
      <c r="G4686" s="7">
        <v>0</v>
      </c>
      <c r="H4686" s="7">
        <v>81211.819999998</v>
      </c>
      <c r="I4686" s="7">
        <v>0</v>
      </c>
      <c r="J4686" s="8">
        <v>0</v>
      </c>
      <c r="K4686" s="9" t="str">
        <v/>
      </c>
    </row>
    <row r="4687" spans="1:11">
      <c r="A4687" t="str">
        <v/>
      </c>
      <c r="B4687" s="6">
        <v>0</v>
      </c>
      <c r="C4687" s="7" t="str">
        <v>趣点购浦发</v>
      </c>
      <c r="D4687" s="8">
        <v>0</v>
      </c>
      <c r="E4687" s="7">
        <v>0</v>
      </c>
      <c r="F4687" s="8">
        <v>0</v>
      </c>
      <c r="G4687" s="7">
        <v>0</v>
      </c>
      <c r="H4687" s="7">
        <v>81211.819999998</v>
      </c>
      <c r="I4687" s="7">
        <v>0</v>
      </c>
      <c r="J4687" s="8">
        <v>0</v>
      </c>
      <c r="K4687" s="9" t="str">
        <v/>
      </c>
    </row>
    <row r="4688" spans="1:11">
      <c r="A4688" t="str">
        <v/>
      </c>
      <c r="B4688" s="6">
        <v>0</v>
      </c>
      <c r="C4688" s="7" t="str">
        <v>趣点购浦发</v>
      </c>
      <c r="D4688" s="8">
        <v>0</v>
      </c>
      <c r="E4688" s="7">
        <v>0</v>
      </c>
      <c r="F4688" s="8">
        <v>0</v>
      </c>
      <c r="G4688" s="7">
        <v>0</v>
      </c>
      <c r="H4688" s="7">
        <v>81211.819999998</v>
      </c>
      <c r="I4688" s="7">
        <v>0</v>
      </c>
      <c r="J4688" s="8">
        <v>0</v>
      </c>
      <c r="K4688" s="9" t="str">
        <v/>
      </c>
    </row>
    <row r="4689" spans="1:11">
      <c r="A4689" t="str">
        <v/>
      </c>
      <c r="B4689" s="6">
        <v>0</v>
      </c>
      <c r="C4689" s="7" t="str">
        <v>趣点购浦发</v>
      </c>
      <c r="D4689" s="8">
        <v>0</v>
      </c>
      <c r="E4689" s="7">
        <v>0</v>
      </c>
      <c r="F4689" s="8">
        <v>0</v>
      </c>
      <c r="G4689" s="7">
        <v>0</v>
      </c>
      <c r="H4689" s="7">
        <v>81211.819999998</v>
      </c>
      <c r="I4689" s="7">
        <v>0</v>
      </c>
      <c r="J4689" s="8">
        <v>0</v>
      </c>
      <c r="K4689" s="9" t="str">
        <v/>
      </c>
    </row>
    <row r="4690" spans="1:11">
      <c r="A4690" t="str">
        <v/>
      </c>
      <c r="B4690" s="6">
        <v>0</v>
      </c>
      <c r="C4690" s="7" t="str">
        <v>趣点购浦发</v>
      </c>
      <c r="D4690" s="8">
        <v>0</v>
      </c>
      <c r="E4690" s="7">
        <v>0</v>
      </c>
      <c r="F4690" s="8">
        <v>0</v>
      </c>
      <c r="G4690" s="7">
        <v>0</v>
      </c>
      <c r="H4690" s="7">
        <v>81211.819999998</v>
      </c>
      <c r="I4690" s="7">
        <v>0</v>
      </c>
      <c r="J4690" s="8">
        <v>0</v>
      </c>
      <c r="K4690" s="9" t="str">
        <v/>
      </c>
    </row>
    <row r="4691" spans="1:11">
      <c r="A4691" t="str">
        <v/>
      </c>
      <c r="B4691" s="6">
        <v>0</v>
      </c>
      <c r="C4691" s="7" t="str">
        <v>趣点购浦发</v>
      </c>
      <c r="D4691" s="8">
        <v>0</v>
      </c>
      <c r="E4691" s="7">
        <v>0</v>
      </c>
      <c r="F4691" s="8">
        <v>0</v>
      </c>
      <c r="G4691" s="7">
        <v>0</v>
      </c>
      <c r="H4691" s="7">
        <v>81211.819999998</v>
      </c>
      <c r="I4691" s="7">
        <v>0</v>
      </c>
      <c r="J4691" s="8">
        <v>0</v>
      </c>
      <c r="K4691" s="9" t="str">
        <v/>
      </c>
    </row>
    <row r="4692" spans="1:11">
      <c r="A4692" t="str">
        <v/>
      </c>
      <c r="B4692" s="6">
        <v>0</v>
      </c>
      <c r="C4692" s="7" t="str">
        <v>趣点购浦发</v>
      </c>
      <c r="D4692" s="8">
        <v>0</v>
      </c>
      <c r="E4692" s="7">
        <v>0</v>
      </c>
      <c r="F4692" s="8">
        <v>0</v>
      </c>
      <c r="G4692" s="7">
        <v>0</v>
      </c>
      <c r="H4692" s="7">
        <v>81211.819999998</v>
      </c>
      <c r="I4692" s="7">
        <v>0</v>
      </c>
      <c r="J4692" s="8">
        <v>0</v>
      </c>
      <c r="K4692" s="9" t="str">
        <v/>
      </c>
    </row>
    <row r="4693" spans="1:11">
      <c r="A4693" t="str">
        <v/>
      </c>
      <c r="B4693" s="6">
        <v>0</v>
      </c>
      <c r="C4693" s="7" t="str">
        <v>趣点购浦发</v>
      </c>
      <c r="D4693" s="8">
        <v>0</v>
      </c>
      <c r="E4693" s="7">
        <v>0</v>
      </c>
      <c r="F4693" s="8">
        <v>0</v>
      </c>
      <c r="G4693" s="7">
        <v>0</v>
      </c>
      <c r="H4693" s="7">
        <v>81211.819999998</v>
      </c>
      <c r="I4693" s="7">
        <v>0</v>
      </c>
      <c r="J4693" s="8">
        <v>0</v>
      </c>
      <c r="K4693" s="9" t="str">
        <v/>
      </c>
    </row>
    <row r="4694" spans="1:11">
      <c r="A4694" t="str">
        <v/>
      </c>
      <c r="B4694" s="6">
        <v>0</v>
      </c>
      <c r="C4694" s="7" t="str">
        <v>趣点购浦发</v>
      </c>
      <c r="D4694" s="8">
        <v>0</v>
      </c>
      <c r="E4694" s="7">
        <v>0</v>
      </c>
      <c r="F4694" s="8">
        <v>0</v>
      </c>
      <c r="G4694" s="7">
        <v>0</v>
      </c>
      <c r="H4694" s="7">
        <v>81211.819999998</v>
      </c>
      <c r="I4694" s="7">
        <v>0</v>
      </c>
      <c r="J4694" s="8">
        <v>0</v>
      </c>
      <c r="K4694" s="9" t="str">
        <v/>
      </c>
    </row>
    <row r="4695" spans="1:11">
      <c r="A4695" t="str">
        <v/>
      </c>
      <c r="B4695" s="6">
        <v>0</v>
      </c>
      <c r="C4695" s="7" t="str">
        <v>趣点购浦发</v>
      </c>
      <c r="D4695" s="8">
        <v>0</v>
      </c>
      <c r="E4695" s="7">
        <v>0</v>
      </c>
      <c r="F4695" s="8">
        <v>0</v>
      </c>
      <c r="G4695" s="7">
        <v>0</v>
      </c>
      <c r="H4695" s="7">
        <v>81211.819999998</v>
      </c>
      <c r="I4695" s="7">
        <v>0</v>
      </c>
      <c r="J4695" s="8">
        <v>0</v>
      </c>
      <c r="K4695" s="9" t="str">
        <v/>
      </c>
    </row>
    <row r="4696" spans="1:11">
      <c r="A4696" t="str">
        <v/>
      </c>
      <c r="B4696" s="6">
        <v>0</v>
      </c>
      <c r="C4696" s="7" t="str">
        <v>趣点购浦发</v>
      </c>
      <c r="D4696" s="8">
        <v>0</v>
      </c>
      <c r="E4696" s="7">
        <v>0</v>
      </c>
      <c r="F4696" s="8">
        <v>0</v>
      </c>
      <c r="G4696" s="7">
        <v>0</v>
      </c>
      <c r="H4696" s="7">
        <v>81211.819999998</v>
      </c>
      <c r="I4696" s="7">
        <v>0</v>
      </c>
      <c r="J4696" s="8">
        <v>0</v>
      </c>
      <c r="K4696" s="9" t="str">
        <v/>
      </c>
    </row>
    <row r="4697" spans="1:11">
      <c r="A4697" t="str">
        <v/>
      </c>
      <c r="B4697" s="6">
        <v>0</v>
      </c>
      <c r="C4697" s="7" t="str">
        <v>趣点购浦发</v>
      </c>
      <c r="D4697" s="8">
        <v>0</v>
      </c>
      <c r="E4697" s="7">
        <v>0</v>
      </c>
      <c r="F4697" s="8">
        <v>0</v>
      </c>
      <c r="G4697" s="7">
        <v>0</v>
      </c>
      <c r="H4697" s="7">
        <v>81211.819999998</v>
      </c>
      <c r="I4697" s="7">
        <v>0</v>
      </c>
      <c r="J4697" s="8">
        <v>0</v>
      </c>
      <c r="K4697" s="9" t="str">
        <v/>
      </c>
    </row>
    <row r="4698" spans="1:11">
      <c r="A4698" t="str">
        <v/>
      </c>
      <c r="B4698" s="6">
        <v>0</v>
      </c>
      <c r="C4698" s="7" t="str">
        <v>趣点购浦发</v>
      </c>
      <c r="D4698" s="8">
        <v>0</v>
      </c>
      <c r="E4698" s="7">
        <v>0</v>
      </c>
      <c r="F4698" s="8">
        <v>0</v>
      </c>
      <c r="G4698" s="7">
        <v>0</v>
      </c>
      <c r="H4698" s="7">
        <v>81211.819999998</v>
      </c>
      <c r="I4698" s="7">
        <v>0</v>
      </c>
      <c r="J4698" s="8">
        <v>0</v>
      </c>
      <c r="K4698" s="9" t="str">
        <v/>
      </c>
    </row>
    <row r="4699" spans="1:11">
      <c r="A4699" t="str">
        <v/>
      </c>
      <c r="B4699" s="6">
        <v>0</v>
      </c>
      <c r="C4699" s="7" t="str">
        <v>趣点购浦发</v>
      </c>
      <c r="D4699" s="8">
        <v>0</v>
      </c>
      <c r="E4699" s="7">
        <v>0</v>
      </c>
      <c r="F4699" s="8">
        <v>0</v>
      </c>
      <c r="G4699" s="7">
        <v>0</v>
      </c>
      <c r="H4699" s="7">
        <v>81211.819999998</v>
      </c>
      <c r="I4699" s="7">
        <v>0</v>
      </c>
      <c r="J4699" s="8">
        <v>0</v>
      </c>
      <c r="K4699" s="9" t="str">
        <v/>
      </c>
    </row>
    <row r="4700" spans="1:11">
      <c r="A4700" t="str">
        <v/>
      </c>
      <c r="B4700" s="6">
        <v>0</v>
      </c>
      <c r="C4700" s="7" t="str">
        <v>趣点购浦发</v>
      </c>
      <c r="D4700" s="8">
        <v>0</v>
      </c>
      <c r="E4700" s="7">
        <v>0</v>
      </c>
      <c r="F4700" s="8">
        <v>0</v>
      </c>
      <c r="G4700" s="7">
        <v>0</v>
      </c>
      <c r="H4700" s="7">
        <v>81211.819999998</v>
      </c>
      <c r="I4700" s="7">
        <v>0</v>
      </c>
      <c r="J4700" s="8">
        <v>0</v>
      </c>
      <c r="K4700" s="9" t="str">
        <v/>
      </c>
    </row>
    <row r="4701" spans="1:11">
      <c r="A4701" t="str">
        <v/>
      </c>
      <c r="B4701" s="6">
        <v>0</v>
      </c>
      <c r="C4701" s="7" t="str">
        <v>趣点购浦发</v>
      </c>
      <c r="D4701" s="8">
        <v>0</v>
      </c>
      <c r="E4701" s="7">
        <v>0</v>
      </c>
      <c r="F4701" s="8">
        <v>0</v>
      </c>
      <c r="G4701" s="7">
        <v>0</v>
      </c>
      <c r="H4701" s="7">
        <v>81211.819999998</v>
      </c>
      <c r="I4701" s="7">
        <v>0</v>
      </c>
      <c r="J4701" s="8">
        <v>0</v>
      </c>
      <c r="K4701" s="9" t="str">
        <v/>
      </c>
    </row>
    <row r="4702" spans="1:11">
      <c r="A4702" t="str">
        <v/>
      </c>
      <c r="B4702" s="6">
        <v>0</v>
      </c>
      <c r="C4702" s="7" t="str">
        <v>趣点购浦发</v>
      </c>
      <c r="D4702" s="8">
        <v>0</v>
      </c>
      <c r="E4702" s="7">
        <v>0</v>
      </c>
      <c r="F4702" s="8">
        <v>0</v>
      </c>
      <c r="G4702" s="7">
        <v>0</v>
      </c>
      <c r="H4702" s="7">
        <v>81211.819999998</v>
      </c>
      <c r="I4702" s="7">
        <v>0</v>
      </c>
      <c r="J4702" s="8">
        <v>0</v>
      </c>
      <c r="K4702" s="9" t="str">
        <v/>
      </c>
    </row>
    <row r="4703" spans="1:11">
      <c r="A4703" t="str">
        <v/>
      </c>
      <c r="B4703" s="6">
        <v>0</v>
      </c>
      <c r="C4703" s="7" t="str">
        <v>趣点购浦发</v>
      </c>
      <c r="D4703" s="8">
        <v>0</v>
      </c>
      <c r="E4703" s="7">
        <v>0</v>
      </c>
      <c r="F4703" s="8">
        <v>0</v>
      </c>
      <c r="G4703" s="7">
        <v>0</v>
      </c>
      <c r="H4703" s="7">
        <v>81211.819999998</v>
      </c>
      <c r="I4703" s="7">
        <v>0</v>
      </c>
      <c r="J4703" s="8">
        <v>0</v>
      </c>
      <c r="K4703" s="9" t="str">
        <v/>
      </c>
    </row>
    <row r="4704" spans="1:11">
      <c r="A4704" t="str">
        <v/>
      </c>
      <c r="B4704" s="6">
        <v>0</v>
      </c>
      <c r="C4704" s="7" t="str">
        <v>趣点购浦发</v>
      </c>
      <c r="D4704" s="8">
        <v>0</v>
      </c>
      <c r="E4704" s="7">
        <v>0</v>
      </c>
      <c r="F4704" s="8">
        <v>0</v>
      </c>
      <c r="G4704" s="7">
        <v>0</v>
      </c>
      <c r="H4704" s="7">
        <v>81211.819999998</v>
      </c>
      <c r="I4704" s="7">
        <v>0</v>
      </c>
      <c r="J4704" s="8">
        <v>0</v>
      </c>
      <c r="K4704" s="9" t="str">
        <v/>
      </c>
    </row>
    <row r="4705" spans="1:11">
      <c r="A4705" t="str">
        <v/>
      </c>
      <c r="B4705" s="6">
        <v>0</v>
      </c>
      <c r="C4705" s="7" t="str">
        <v>趣点购浦发</v>
      </c>
      <c r="D4705" s="8">
        <v>0</v>
      </c>
      <c r="E4705" s="7">
        <v>0</v>
      </c>
      <c r="F4705" s="8">
        <v>0</v>
      </c>
      <c r="G4705" s="7">
        <v>0</v>
      </c>
      <c r="H4705" s="7">
        <v>81211.819999998</v>
      </c>
      <c r="I4705" s="7">
        <v>0</v>
      </c>
      <c r="J4705" s="8">
        <v>0</v>
      </c>
      <c r="K4705" s="9" t="str">
        <v/>
      </c>
    </row>
    <row r="4706" spans="1:11">
      <c r="A4706" t="str">
        <v/>
      </c>
      <c r="B4706" s="6">
        <v>0</v>
      </c>
      <c r="C4706" s="7" t="str">
        <v>趣点购浦发</v>
      </c>
      <c r="D4706" s="8">
        <v>0</v>
      </c>
      <c r="E4706" s="7">
        <v>0</v>
      </c>
      <c r="F4706" s="8">
        <v>0</v>
      </c>
      <c r="G4706" s="7">
        <v>0</v>
      </c>
      <c r="H4706" s="7">
        <v>81211.819999998</v>
      </c>
      <c r="I4706" s="7">
        <v>0</v>
      </c>
      <c r="J4706" s="8">
        <v>0</v>
      </c>
      <c r="K4706" s="9" t="str">
        <v/>
      </c>
    </row>
    <row r="4707" spans="1:11">
      <c r="A4707" t="str">
        <v/>
      </c>
      <c r="B4707" s="6">
        <v>0</v>
      </c>
      <c r="C4707" s="7" t="str">
        <v>趣点购浦发</v>
      </c>
      <c r="D4707" s="8">
        <v>0</v>
      </c>
      <c r="E4707" s="7">
        <v>0</v>
      </c>
      <c r="F4707" s="8">
        <v>0</v>
      </c>
      <c r="G4707" s="7">
        <v>0</v>
      </c>
      <c r="H4707" s="7">
        <v>81211.819999998</v>
      </c>
      <c r="I4707" s="7">
        <v>0</v>
      </c>
      <c r="J4707" s="8">
        <v>0</v>
      </c>
      <c r="K4707" s="9" t="str">
        <v/>
      </c>
    </row>
    <row r="4708" spans="1:11">
      <c r="A4708" t="str">
        <v/>
      </c>
      <c r="B4708" s="6">
        <v>0</v>
      </c>
      <c r="C4708" s="7" t="str">
        <v>趣点购浦发</v>
      </c>
      <c r="D4708" s="8">
        <v>0</v>
      </c>
      <c r="E4708" s="7">
        <v>0</v>
      </c>
      <c r="F4708" s="8">
        <v>0</v>
      </c>
      <c r="G4708" s="7">
        <v>0</v>
      </c>
      <c r="H4708" s="7">
        <v>81211.819999998</v>
      </c>
      <c r="I4708" s="7">
        <v>0</v>
      </c>
      <c r="J4708" s="8">
        <v>0</v>
      </c>
      <c r="K4708" s="9" t="str">
        <v/>
      </c>
    </row>
    <row r="4709" spans="1:11">
      <c r="A4709" t="str">
        <v/>
      </c>
      <c r="B4709" s="6">
        <v>0</v>
      </c>
      <c r="C4709" s="7" t="str">
        <v>趣点购浦发</v>
      </c>
      <c r="D4709" s="8">
        <v>0</v>
      </c>
      <c r="E4709" s="7">
        <v>0</v>
      </c>
      <c r="F4709" s="8">
        <v>0</v>
      </c>
      <c r="G4709" s="7">
        <v>0</v>
      </c>
      <c r="H4709" s="7">
        <v>81211.819999998</v>
      </c>
      <c r="I4709" s="7">
        <v>0</v>
      </c>
      <c r="J4709" s="8">
        <v>0</v>
      </c>
      <c r="K4709" s="9" t="str">
        <v/>
      </c>
    </row>
    <row r="4710" spans="1:11">
      <c r="A4710" t="str">
        <v/>
      </c>
      <c r="B4710" s="6">
        <v>0</v>
      </c>
      <c r="C4710" s="7" t="str">
        <v>趣点购浦发</v>
      </c>
      <c r="D4710" s="8">
        <v>0</v>
      </c>
      <c r="E4710" s="7">
        <v>0</v>
      </c>
      <c r="F4710" s="8">
        <v>0</v>
      </c>
      <c r="G4710" s="7">
        <v>0</v>
      </c>
      <c r="H4710" s="7">
        <v>81211.819999998</v>
      </c>
      <c r="I4710" s="7">
        <v>0</v>
      </c>
      <c r="J4710" s="8">
        <v>0</v>
      </c>
      <c r="K4710" s="9" t="str">
        <v/>
      </c>
    </row>
    <row r="4711" spans="1:11">
      <c r="A4711" t="str">
        <v/>
      </c>
      <c r="B4711" s="6">
        <v>0</v>
      </c>
      <c r="C4711" s="7" t="str">
        <v>趣点购浦发</v>
      </c>
      <c r="D4711" s="8">
        <v>0</v>
      </c>
      <c r="E4711" s="7">
        <v>0</v>
      </c>
      <c r="F4711" s="8">
        <v>0</v>
      </c>
      <c r="G4711" s="7">
        <v>0</v>
      </c>
      <c r="H4711" s="7">
        <v>81211.819999998</v>
      </c>
      <c r="I4711" s="7">
        <v>0</v>
      </c>
      <c r="J4711" s="8">
        <v>0</v>
      </c>
      <c r="K4711" s="9" t="str">
        <v/>
      </c>
    </row>
    <row r="4712" spans="1:11">
      <c r="A4712" t="str">
        <v/>
      </c>
      <c r="B4712" s="6">
        <v>0</v>
      </c>
      <c r="C4712" s="7" t="str">
        <v>趣点购浦发</v>
      </c>
      <c r="D4712" s="8">
        <v>0</v>
      </c>
      <c r="E4712" s="7">
        <v>0</v>
      </c>
      <c r="F4712" s="8">
        <v>0</v>
      </c>
      <c r="G4712" s="7">
        <v>0</v>
      </c>
      <c r="H4712" s="7">
        <v>81211.819999998</v>
      </c>
      <c r="I4712" s="7">
        <v>0</v>
      </c>
      <c r="J4712" s="8">
        <v>0</v>
      </c>
      <c r="K4712" s="9" t="str">
        <v/>
      </c>
    </row>
    <row r="4713" spans="1:11">
      <c r="A4713" t="str">
        <v/>
      </c>
      <c r="B4713" s="6">
        <v>0</v>
      </c>
      <c r="C4713" s="7" t="str">
        <v>趣点购浦发</v>
      </c>
      <c r="D4713" s="8">
        <v>0</v>
      </c>
      <c r="E4713" s="7">
        <v>0</v>
      </c>
      <c r="F4713" s="8">
        <v>0</v>
      </c>
      <c r="G4713" s="7">
        <v>0</v>
      </c>
      <c r="H4713" s="7">
        <v>81211.819999998</v>
      </c>
      <c r="I4713" s="7">
        <v>0</v>
      </c>
      <c r="J4713" s="8">
        <v>0</v>
      </c>
      <c r="K4713" s="9" t="str">
        <v/>
      </c>
    </row>
    <row r="4714" spans="1:11">
      <c r="A4714" t="str">
        <v/>
      </c>
      <c r="B4714" s="6">
        <v>0</v>
      </c>
      <c r="C4714" s="7" t="str">
        <v>趣点购浦发</v>
      </c>
      <c r="D4714" s="8">
        <v>0</v>
      </c>
      <c r="E4714" s="7">
        <v>0</v>
      </c>
      <c r="F4714" s="8">
        <v>0</v>
      </c>
      <c r="G4714" s="7">
        <v>0</v>
      </c>
      <c r="H4714" s="7">
        <v>81211.819999998</v>
      </c>
      <c r="I4714" s="7">
        <v>0</v>
      </c>
      <c r="J4714" s="8">
        <v>0</v>
      </c>
      <c r="K4714" s="9" t="str">
        <v/>
      </c>
    </row>
    <row r="4715" spans="1:11">
      <c r="A4715" t="str">
        <v/>
      </c>
      <c r="B4715" s="6">
        <v>0</v>
      </c>
      <c r="C4715" s="7" t="str">
        <v>趣点购浦发</v>
      </c>
      <c r="D4715" s="8">
        <v>0</v>
      </c>
      <c r="E4715" s="7">
        <v>0</v>
      </c>
      <c r="F4715" s="8">
        <v>0</v>
      </c>
      <c r="G4715" s="7">
        <v>0</v>
      </c>
      <c r="H4715" s="7">
        <v>81211.819999998</v>
      </c>
      <c r="I4715" s="7">
        <v>0</v>
      </c>
      <c r="J4715" s="8">
        <v>0</v>
      </c>
      <c r="K4715" s="9" t="str">
        <v/>
      </c>
    </row>
    <row r="4716" spans="1:11">
      <c r="A4716" t="str">
        <v/>
      </c>
      <c r="B4716" s="6">
        <v>0</v>
      </c>
      <c r="C4716" s="7" t="str">
        <v>趣点购浦发</v>
      </c>
      <c r="D4716" s="8">
        <v>0</v>
      </c>
      <c r="E4716" s="7">
        <v>0</v>
      </c>
      <c r="F4716" s="8">
        <v>0</v>
      </c>
      <c r="G4716" s="7">
        <v>0</v>
      </c>
      <c r="H4716" s="7">
        <v>81211.819999998</v>
      </c>
      <c r="I4716" s="7">
        <v>0</v>
      </c>
      <c r="J4716" s="8">
        <v>0</v>
      </c>
      <c r="K4716" s="9" t="str">
        <v/>
      </c>
    </row>
    <row r="4717" spans="1:11">
      <c r="A4717" t="str">
        <v/>
      </c>
      <c r="B4717" s="6">
        <v>0</v>
      </c>
      <c r="C4717" s="7" t="str">
        <v>趣点购浦发</v>
      </c>
      <c r="D4717" s="8">
        <v>0</v>
      </c>
      <c r="E4717" s="7">
        <v>0</v>
      </c>
      <c r="F4717" s="8">
        <v>0</v>
      </c>
      <c r="G4717" s="7">
        <v>0</v>
      </c>
      <c r="H4717" s="7">
        <v>81211.819999998</v>
      </c>
      <c r="I4717" s="7">
        <v>0</v>
      </c>
      <c r="J4717" s="8">
        <v>0</v>
      </c>
      <c r="K4717" s="9" t="str">
        <v/>
      </c>
    </row>
    <row r="4718" spans="1:11">
      <c r="A4718" t="str">
        <v/>
      </c>
      <c r="B4718" s="6">
        <v>0</v>
      </c>
      <c r="C4718" s="7" t="str">
        <v>趣点购浦发</v>
      </c>
      <c r="D4718" s="8">
        <v>0</v>
      </c>
      <c r="E4718" s="7">
        <v>0</v>
      </c>
      <c r="F4718" s="8">
        <v>0</v>
      </c>
      <c r="G4718" s="7">
        <v>0</v>
      </c>
      <c r="H4718" s="7">
        <v>81211.819999998</v>
      </c>
      <c r="I4718" s="7">
        <v>0</v>
      </c>
      <c r="J4718" s="8">
        <v>0</v>
      </c>
      <c r="K4718" s="9" t="str">
        <v/>
      </c>
    </row>
    <row r="4719" spans="1:11">
      <c r="A4719" t="str">
        <v/>
      </c>
      <c r="B4719" s="6">
        <v>0</v>
      </c>
      <c r="C4719" s="7" t="str">
        <v>趣点购浦发</v>
      </c>
      <c r="D4719" s="8">
        <v>0</v>
      </c>
      <c r="E4719" s="7">
        <v>0</v>
      </c>
      <c r="F4719" s="8">
        <v>0</v>
      </c>
      <c r="G4719" s="7">
        <v>0</v>
      </c>
      <c r="H4719" s="7">
        <v>81211.819999998</v>
      </c>
      <c r="I4719" s="7">
        <v>0</v>
      </c>
      <c r="J4719" s="8">
        <v>0</v>
      </c>
      <c r="K4719" s="9" t="str">
        <v/>
      </c>
    </row>
    <row r="4720" spans="1:11">
      <c r="A4720" t="str">
        <v/>
      </c>
      <c r="B4720" s="6">
        <v>0</v>
      </c>
      <c r="C4720" s="7" t="str">
        <v>趣点购浦发</v>
      </c>
      <c r="D4720" s="8">
        <v>0</v>
      </c>
      <c r="E4720" s="7">
        <v>0</v>
      </c>
      <c r="F4720" s="8">
        <v>0</v>
      </c>
      <c r="G4720" s="7">
        <v>0</v>
      </c>
      <c r="H4720" s="7">
        <v>81211.819999998</v>
      </c>
      <c r="I4720" s="7">
        <v>0</v>
      </c>
      <c r="J4720" s="8">
        <v>0</v>
      </c>
      <c r="K4720" s="9" t="str">
        <v/>
      </c>
    </row>
    <row r="4721" spans="1:11">
      <c r="A4721" t="str">
        <v/>
      </c>
      <c r="B4721" s="6">
        <v>0</v>
      </c>
      <c r="C4721" s="7" t="str">
        <v>趣点购浦发</v>
      </c>
      <c r="D4721" s="8">
        <v>0</v>
      </c>
      <c r="E4721" s="7">
        <v>0</v>
      </c>
      <c r="F4721" s="8">
        <v>0</v>
      </c>
      <c r="G4721" s="7">
        <v>0</v>
      </c>
      <c r="H4721" s="7">
        <v>81211.819999998</v>
      </c>
      <c r="I4721" s="7">
        <v>0</v>
      </c>
      <c r="J4721" s="8">
        <v>0</v>
      </c>
      <c r="K4721" s="9" t="str">
        <v/>
      </c>
    </row>
    <row r="4722" spans="1:11">
      <c r="A4722" t="str">
        <v/>
      </c>
      <c r="B4722" s="6">
        <v>0</v>
      </c>
      <c r="C4722" s="7" t="str">
        <v>趣点购浦发</v>
      </c>
      <c r="D4722" s="8">
        <v>0</v>
      </c>
      <c r="E4722" s="7">
        <v>0</v>
      </c>
      <c r="F4722" s="8">
        <v>0</v>
      </c>
      <c r="G4722" s="7">
        <v>0</v>
      </c>
      <c r="H4722" s="7">
        <v>81211.819999998</v>
      </c>
      <c r="I4722" s="7">
        <v>0</v>
      </c>
      <c r="J4722" s="8">
        <v>0</v>
      </c>
      <c r="K4722" s="9" t="str">
        <v/>
      </c>
    </row>
    <row r="4723" spans="1:11">
      <c r="A4723" t="str">
        <v/>
      </c>
      <c r="B4723" s="6">
        <v>0</v>
      </c>
      <c r="C4723" s="7" t="str">
        <v>趣点购浦发</v>
      </c>
      <c r="D4723" s="8">
        <v>0</v>
      </c>
      <c r="E4723" s="7">
        <v>0</v>
      </c>
      <c r="F4723" s="8">
        <v>0</v>
      </c>
      <c r="G4723" s="7">
        <v>0</v>
      </c>
      <c r="H4723" s="7">
        <v>81211.819999998</v>
      </c>
      <c r="I4723" s="7">
        <v>0</v>
      </c>
      <c r="J4723" s="8">
        <v>0</v>
      </c>
      <c r="K4723" s="9" t="str">
        <v/>
      </c>
    </row>
    <row r="4724" spans="1:11">
      <c r="A4724" t="str">
        <v/>
      </c>
      <c r="B4724" s="6">
        <v>0</v>
      </c>
      <c r="C4724" s="7" t="str">
        <v>趣点购浦发</v>
      </c>
      <c r="D4724" s="8">
        <v>0</v>
      </c>
      <c r="E4724" s="7">
        <v>0</v>
      </c>
      <c r="F4724" s="8">
        <v>0</v>
      </c>
      <c r="G4724" s="7">
        <v>0</v>
      </c>
      <c r="H4724" s="7">
        <v>81211.819999998</v>
      </c>
      <c r="I4724" s="7">
        <v>0</v>
      </c>
      <c r="J4724" s="8">
        <v>0</v>
      </c>
      <c r="K4724" s="9" t="str">
        <v/>
      </c>
    </row>
    <row r="4725" spans="1:11">
      <c r="A4725" t="str">
        <v/>
      </c>
      <c r="B4725" s="6">
        <v>0</v>
      </c>
      <c r="C4725" s="7" t="str">
        <v>趣点购浦发</v>
      </c>
      <c r="D4725" s="8">
        <v>0</v>
      </c>
      <c r="E4725" s="7">
        <v>0</v>
      </c>
      <c r="F4725" s="8">
        <v>0</v>
      </c>
      <c r="G4725" s="7">
        <v>0</v>
      </c>
      <c r="H4725" s="7">
        <v>81211.819999998</v>
      </c>
      <c r="I4725" s="7">
        <v>0</v>
      </c>
      <c r="J4725" s="8">
        <v>0</v>
      </c>
      <c r="K4725" s="9" t="str">
        <v/>
      </c>
    </row>
    <row r="4726" spans="1:11">
      <c r="A4726" t="str">
        <v/>
      </c>
      <c r="B4726" s="6">
        <v>0</v>
      </c>
      <c r="C4726" s="7" t="str">
        <v>趣点购浦发</v>
      </c>
      <c r="D4726" s="8">
        <v>0</v>
      </c>
      <c r="E4726" s="7">
        <v>0</v>
      </c>
      <c r="F4726" s="8">
        <v>0</v>
      </c>
      <c r="G4726" s="7">
        <v>0</v>
      </c>
      <c r="H4726" s="7">
        <v>81211.819999998</v>
      </c>
      <c r="I4726" s="7">
        <v>0</v>
      </c>
      <c r="J4726" s="8">
        <v>0</v>
      </c>
      <c r="K4726" s="9" t="str">
        <v/>
      </c>
    </row>
    <row r="4727" spans="1:11">
      <c r="A4727" t="str">
        <v/>
      </c>
      <c r="B4727" s="6">
        <v>0</v>
      </c>
      <c r="C4727" s="7" t="str">
        <v>趣点购浦发</v>
      </c>
      <c r="D4727" s="8">
        <v>0</v>
      </c>
      <c r="E4727" s="7">
        <v>0</v>
      </c>
      <c r="F4727" s="8">
        <v>0</v>
      </c>
      <c r="G4727" s="7">
        <v>0</v>
      </c>
      <c r="H4727" s="7">
        <v>81211.819999998</v>
      </c>
      <c r="I4727" s="7">
        <v>0</v>
      </c>
      <c r="J4727" s="8">
        <v>0</v>
      </c>
      <c r="K4727" s="9" t="str">
        <v/>
      </c>
    </row>
    <row r="4728" spans="1:11">
      <c r="A4728" t="str">
        <v/>
      </c>
      <c r="B4728" s="6">
        <v>0</v>
      </c>
      <c r="C4728" s="7" t="str">
        <v>趣点购浦发</v>
      </c>
      <c r="D4728" s="8">
        <v>0</v>
      </c>
      <c r="E4728" s="7">
        <v>0</v>
      </c>
      <c r="F4728" s="8">
        <v>0</v>
      </c>
      <c r="G4728" s="7">
        <v>0</v>
      </c>
      <c r="H4728" s="7">
        <v>81211.819999998</v>
      </c>
      <c r="I4728" s="7">
        <v>0</v>
      </c>
      <c r="J4728" s="8">
        <v>0</v>
      </c>
      <c r="K4728" s="9" t="str">
        <v/>
      </c>
    </row>
    <row r="4729" spans="1:11">
      <c r="A4729" t="str">
        <v/>
      </c>
      <c r="B4729" s="6">
        <v>0</v>
      </c>
      <c r="C4729" s="7" t="str">
        <v>趣点购浦发</v>
      </c>
      <c r="D4729" s="8">
        <v>0</v>
      </c>
      <c r="E4729" s="7">
        <v>0</v>
      </c>
      <c r="F4729" s="8">
        <v>0</v>
      </c>
      <c r="G4729" s="7">
        <v>0</v>
      </c>
      <c r="H4729" s="7">
        <v>81211.819999998</v>
      </c>
      <c r="I4729" s="7">
        <v>0</v>
      </c>
      <c r="J4729" s="8">
        <v>0</v>
      </c>
      <c r="K4729" s="9" t="str">
        <v/>
      </c>
    </row>
    <row r="4730" spans="1:11">
      <c r="A4730" t="str">
        <v/>
      </c>
      <c r="B4730" s="6">
        <v>0</v>
      </c>
      <c r="C4730" s="7" t="str">
        <v>趣点购浦发</v>
      </c>
      <c r="D4730" s="8">
        <v>0</v>
      </c>
      <c r="E4730" s="7">
        <v>0</v>
      </c>
      <c r="F4730" s="8">
        <v>0</v>
      </c>
      <c r="G4730" s="7">
        <v>0</v>
      </c>
      <c r="H4730" s="7">
        <v>81211.819999998</v>
      </c>
      <c r="I4730" s="7">
        <v>0</v>
      </c>
      <c r="J4730" s="8">
        <v>0</v>
      </c>
      <c r="K4730" s="9" t="str">
        <v/>
      </c>
    </row>
    <row r="4731" spans="1:11">
      <c r="A4731" t="str">
        <v/>
      </c>
      <c r="B4731" s="6">
        <v>0</v>
      </c>
      <c r="C4731" s="7" t="str">
        <v>趣点购浦发</v>
      </c>
      <c r="D4731" s="8">
        <v>0</v>
      </c>
      <c r="E4731" s="7">
        <v>0</v>
      </c>
      <c r="F4731" s="8">
        <v>0</v>
      </c>
      <c r="G4731" s="7">
        <v>0</v>
      </c>
      <c r="H4731" s="7">
        <v>81211.819999998</v>
      </c>
      <c r="I4731" s="7">
        <v>0</v>
      </c>
      <c r="J4731" s="8">
        <v>0</v>
      </c>
      <c r="K4731" s="9" t="str">
        <v/>
      </c>
    </row>
    <row r="4732" spans="1:11">
      <c r="A4732" t="str">
        <v/>
      </c>
      <c r="B4732" s="6">
        <v>0</v>
      </c>
      <c r="C4732" s="7" t="str">
        <v>趣点购浦发</v>
      </c>
      <c r="D4732" s="8">
        <v>0</v>
      </c>
      <c r="E4732" s="7">
        <v>0</v>
      </c>
      <c r="F4732" s="8">
        <v>0</v>
      </c>
      <c r="G4732" s="7">
        <v>0</v>
      </c>
      <c r="H4732" s="7">
        <v>81211.819999998</v>
      </c>
      <c r="I4732" s="7">
        <v>0</v>
      </c>
      <c r="J4732" s="8">
        <v>0</v>
      </c>
      <c r="K4732" s="9" t="str">
        <v/>
      </c>
    </row>
    <row r="4733" spans="1:11">
      <c r="A4733" t="str">
        <v/>
      </c>
      <c r="B4733" s="6">
        <v>0</v>
      </c>
      <c r="C4733" s="7" t="str">
        <v>趣点购浦发</v>
      </c>
      <c r="D4733" s="8">
        <v>0</v>
      </c>
      <c r="E4733" s="7">
        <v>0</v>
      </c>
      <c r="F4733" s="8">
        <v>0</v>
      </c>
      <c r="G4733" s="7">
        <v>0</v>
      </c>
      <c r="H4733" s="7">
        <v>81211.819999998</v>
      </c>
      <c r="I4733" s="7">
        <v>0</v>
      </c>
      <c r="J4733" s="8">
        <v>0</v>
      </c>
      <c r="K4733" s="9" t="str">
        <v/>
      </c>
    </row>
    <row r="4734" spans="1:11">
      <c r="A4734" t="str">
        <v/>
      </c>
      <c r="B4734" s="6">
        <v>0</v>
      </c>
      <c r="C4734" s="7" t="str">
        <v>趣点购浦发</v>
      </c>
      <c r="D4734" s="8">
        <v>0</v>
      </c>
      <c r="E4734" s="7">
        <v>0</v>
      </c>
      <c r="F4734" s="8">
        <v>0</v>
      </c>
      <c r="G4734" s="7">
        <v>0</v>
      </c>
      <c r="H4734" s="7">
        <v>81211.819999998</v>
      </c>
      <c r="I4734" s="7">
        <v>0</v>
      </c>
      <c r="J4734" s="8">
        <v>0</v>
      </c>
      <c r="K4734" s="9" t="str">
        <v/>
      </c>
    </row>
    <row r="4735" spans="1:11">
      <c r="A4735" t="str">
        <v/>
      </c>
      <c r="B4735" s="6">
        <v>0</v>
      </c>
      <c r="C4735" s="7" t="str">
        <v>趣点购浦发</v>
      </c>
      <c r="D4735" s="8">
        <v>0</v>
      </c>
      <c r="E4735" s="7">
        <v>0</v>
      </c>
      <c r="F4735" s="8">
        <v>0</v>
      </c>
      <c r="G4735" s="7">
        <v>0</v>
      </c>
      <c r="H4735" s="7">
        <v>81211.819999998</v>
      </c>
      <c r="I4735" s="7">
        <v>0</v>
      </c>
      <c r="J4735" s="8">
        <v>0</v>
      </c>
      <c r="K4735" s="9" t="str">
        <v/>
      </c>
    </row>
    <row r="4736" spans="1:11">
      <c r="A4736" t="str">
        <v/>
      </c>
      <c r="B4736" s="6">
        <v>0</v>
      </c>
      <c r="C4736" s="7" t="str">
        <v>趣点购浦发</v>
      </c>
      <c r="D4736" s="8">
        <v>0</v>
      </c>
      <c r="E4736" s="7">
        <v>0</v>
      </c>
      <c r="F4736" s="8">
        <v>0</v>
      </c>
      <c r="G4736" s="7">
        <v>0</v>
      </c>
      <c r="H4736" s="7">
        <v>81211.819999998</v>
      </c>
      <c r="I4736" s="7">
        <v>0</v>
      </c>
      <c r="J4736" s="8">
        <v>0</v>
      </c>
      <c r="K4736" s="9" t="str">
        <v/>
      </c>
    </row>
    <row r="4737" spans="1:11">
      <c r="A4737" t="str">
        <v/>
      </c>
      <c r="B4737" s="6">
        <v>0</v>
      </c>
      <c r="C4737" s="7" t="str">
        <v>趣点购浦发</v>
      </c>
      <c r="D4737" s="8">
        <v>0</v>
      </c>
      <c r="E4737" s="7">
        <v>0</v>
      </c>
      <c r="F4737" s="8">
        <v>0</v>
      </c>
      <c r="G4737" s="7">
        <v>0</v>
      </c>
      <c r="H4737" s="7">
        <v>81211.819999998</v>
      </c>
      <c r="I4737" s="7">
        <v>0</v>
      </c>
      <c r="J4737" s="8">
        <v>0</v>
      </c>
      <c r="K4737" s="9" t="str">
        <v/>
      </c>
    </row>
    <row r="4738" spans="1:11">
      <c r="A4738" t="str">
        <v/>
      </c>
      <c r="B4738" s="6">
        <v>0</v>
      </c>
      <c r="C4738" s="7" t="str">
        <v>趣点购浦发</v>
      </c>
      <c r="D4738" s="8">
        <v>0</v>
      </c>
      <c r="E4738" s="7">
        <v>0</v>
      </c>
      <c r="F4738" s="8">
        <v>0</v>
      </c>
      <c r="G4738" s="7">
        <v>0</v>
      </c>
      <c r="H4738" s="7">
        <v>81211.819999998</v>
      </c>
      <c r="I4738" s="7">
        <v>0</v>
      </c>
      <c r="J4738" s="8">
        <v>0</v>
      </c>
      <c r="K4738" s="9" t="str">
        <v/>
      </c>
    </row>
    <row r="4739" spans="1:11">
      <c r="A4739" t="str">
        <v/>
      </c>
      <c r="B4739" s="6">
        <v>0</v>
      </c>
      <c r="C4739" s="7" t="str">
        <v>趣点购浦发</v>
      </c>
      <c r="D4739" s="8">
        <v>0</v>
      </c>
      <c r="E4739" s="7">
        <v>0</v>
      </c>
      <c r="F4739" s="8">
        <v>0</v>
      </c>
      <c r="G4739" s="7">
        <v>0</v>
      </c>
      <c r="H4739" s="7">
        <v>81211.819999998</v>
      </c>
      <c r="I4739" s="7">
        <v>0</v>
      </c>
      <c r="J4739" s="8">
        <v>0</v>
      </c>
      <c r="K4739" s="9" t="str">
        <v/>
      </c>
    </row>
    <row r="4740" spans="1:11">
      <c r="A4740" t="str">
        <v/>
      </c>
      <c r="B4740" s="6">
        <v>0</v>
      </c>
      <c r="C4740" s="7" t="str">
        <v>趣点购浦发</v>
      </c>
      <c r="D4740" s="8">
        <v>0</v>
      </c>
      <c r="E4740" s="7">
        <v>0</v>
      </c>
      <c r="F4740" s="8">
        <v>0</v>
      </c>
      <c r="G4740" s="7">
        <v>0</v>
      </c>
      <c r="H4740" s="7">
        <v>81211.819999998</v>
      </c>
      <c r="I4740" s="7">
        <v>0</v>
      </c>
      <c r="J4740" s="8">
        <v>0</v>
      </c>
      <c r="K4740" s="9" t="str">
        <v/>
      </c>
    </row>
    <row r="4741" spans="1:11">
      <c r="A4741" t="str">
        <v/>
      </c>
      <c r="B4741" s="6">
        <v>0</v>
      </c>
      <c r="C4741" s="7" t="str">
        <v>趣点购浦发</v>
      </c>
      <c r="D4741" s="8">
        <v>0</v>
      </c>
      <c r="E4741" s="7">
        <v>0</v>
      </c>
      <c r="F4741" s="8">
        <v>0</v>
      </c>
      <c r="G4741" s="7">
        <v>0</v>
      </c>
      <c r="H4741" s="7">
        <v>81211.819999998</v>
      </c>
      <c r="I4741" s="7">
        <v>0</v>
      </c>
      <c r="J4741" s="8">
        <v>0</v>
      </c>
      <c r="K4741" s="9" t="str">
        <v/>
      </c>
    </row>
    <row r="4742" spans="1:11">
      <c r="A4742" t="str">
        <v/>
      </c>
      <c r="B4742" s="6">
        <v>0</v>
      </c>
      <c r="C4742" s="7" t="str">
        <v>趣点购浦发</v>
      </c>
      <c r="D4742" s="8">
        <v>0</v>
      </c>
      <c r="E4742" s="7">
        <v>0</v>
      </c>
      <c r="F4742" s="8">
        <v>0</v>
      </c>
      <c r="G4742" s="7">
        <v>0</v>
      </c>
      <c r="H4742" s="7">
        <v>81211.819999998</v>
      </c>
      <c r="I4742" s="7">
        <v>0</v>
      </c>
      <c r="J4742" s="8">
        <v>0</v>
      </c>
      <c r="K4742" s="9" t="str">
        <v/>
      </c>
    </row>
    <row r="4743" spans="1:11">
      <c r="A4743" t="str">
        <v/>
      </c>
      <c r="B4743" s="6">
        <v>0</v>
      </c>
      <c r="C4743" s="7" t="str">
        <v>趣点购浦发</v>
      </c>
      <c r="D4743" s="8">
        <v>0</v>
      </c>
      <c r="E4743" s="7">
        <v>0</v>
      </c>
      <c r="F4743" s="8">
        <v>0</v>
      </c>
      <c r="G4743" s="7">
        <v>0</v>
      </c>
      <c r="H4743" s="7">
        <v>81211.819999998</v>
      </c>
      <c r="I4743" s="7">
        <v>0</v>
      </c>
      <c r="J4743" s="8">
        <v>0</v>
      </c>
      <c r="K4743" s="9" t="str">
        <v/>
      </c>
    </row>
    <row r="4744" spans="1:11">
      <c r="A4744" t="str">
        <v/>
      </c>
      <c r="B4744" s="6">
        <v>0</v>
      </c>
      <c r="C4744" s="7" t="str">
        <v>趣点购浦发</v>
      </c>
      <c r="D4744" s="8">
        <v>0</v>
      </c>
      <c r="E4744" s="7">
        <v>0</v>
      </c>
      <c r="F4744" s="8">
        <v>0</v>
      </c>
      <c r="G4744" s="7">
        <v>0</v>
      </c>
      <c r="H4744" s="7">
        <v>81211.819999998</v>
      </c>
      <c r="I4744" s="7">
        <v>0</v>
      </c>
      <c r="J4744" s="8">
        <v>0</v>
      </c>
      <c r="K4744" s="9" t="str">
        <v/>
      </c>
    </row>
    <row r="4745" spans="1:11">
      <c r="A4745" t="str">
        <v/>
      </c>
      <c r="B4745" s="6">
        <v>0</v>
      </c>
      <c r="C4745" s="7" t="str">
        <v>趣点购浦发</v>
      </c>
      <c r="D4745" s="8">
        <v>0</v>
      </c>
      <c r="E4745" s="7">
        <v>0</v>
      </c>
      <c r="F4745" s="8">
        <v>0</v>
      </c>
      <c r="G4745" s="7">
        <v>0</v>
      </c>
      <c r="H4745" s="7">
        <v>81211.819999998</v>
      </c>
      <c r="I4745" s="7">
        <v>0</v>
      </c>
      <c r="J4745" s="8">
        <v>0</v>
      </c>
      <c r="K4745" s="9" t="str">
        <v/>
      </c>
    </row>
    <row r="4746" spans="1:11">
      <c r="A4746" t="str">
        <v/>
      </c>
      <c r="B4746" s="6">
        <v>0</v>
      </c>
      <c r="C4746" s="7" t="str">
        <v>趣点购浦发</v>
      </c>
      <c r="D4746" s="8">
        <v>0</v>
      </c>
      <c r="E4746" s="7">
        <v>0</v>
      </c>
      <c r="F4746" s="8">
        <v>0</v>
      </c>
      <c r="G4746" s="7">
        <v>0</v>
      </c>
      <c r="H4746" s="7">
        <v>81211.819999998</v>
      </c>
      <c r="I4746" s="7">
        <v>0</v>
      </c>
      <c r="J4746" s="8">
        <v>0</v>
      </c>
      <c r="K4746" s="9" t="str">
        <v/>
      </c>
    </row>
    <row r="4747" spans="1:11">
      <c r="A4747" t="str">
        <v/>
      </c>
      <c r="B4747" s="6">
        <v>0</v>
      </c>
      <c r="C4747" s="7" t="str">
        <v>趣点购浦发</v>
      </c>
      <c r="D4747" s="8">
        <v>0</v>
      </c>
      <c r="E4747" s="7">
        <v>0</v>
      </c>
      <c r="F4747" s="8">
        <v>0</v>
      </c>
      <c r="G4747" s="7">
        <v>0</v>
      </c>
      <c r="H4747" s="7">
        <v>81211.819999998</v>
      </c>
      <c r="I4747" s="7">
        <v>0</v>
      </c>
      <c r="J4747" s="8">
        <v>0</v>
      </c>
      <c r="K4747" s="9" t="str">
        <v/>
      </c>
    </row>
    <row r="4748" spans="1:11">
      <c r="A4748" t="str">
        <v/>
      </c>
      <c r="B4748" s="6">
        <v>0</v>
      </c>
      <c r="C4748" s="7" t="str">
        <v>趣点购浦发</v>
      </c>
      <c r="D4748" s="8">
        <v>0</v>
      </c>
      <c r="E4748" s="7">
        <v>0</v>
      </c>
      <c r="F4748" s="8">
        <v>0</v>
      </c>
      <c r="G4748" s="7">
        <v>0</v>
      </c>
      <c r="H4748" s="7">
        <v>81211.819999998</v>
      </c>
      <c r="I4748" s="7">
        <v>0</v>
      </c>
      <c r="J4748" s="8">
        <v>0</v>
      </c>
      <c r="K4748" s="9" t="str">
        <v/>
      </c>
    </row>
    <row r="4749" spans="1:11">
      <c r="A4749" t="str">
        <v/>
      </c>
      <c r="B4749" s="6">
        <v>0</v>
      </c>
      <c r="C4749" s="7" t="str">
        <v>趣点购浦发</v>
      </c>
      <c r="D4749" s="8">
        <v>0</v>
      </c>
      <c r="E4749" s="7">
        <v>0</v>
      </c>
      <c r="F4749" s="8">
        <v>0</v>
      </c>
      <c r="G4749" s="7">
        <v>0</v>
      </c>
      <c r="H4749" s="7">
        <v>81211.819999998</v>
      </c>
      <c r="I4749" s="7">
        <v>0</v>
      </c>
      <c r="J4749" s="8">
        <v>0</v>
      </c>
      <c r="K4749" s="9" t="str">
        <v/>
      </c>
    </row>
    <row r="4750" spans="1:11">
      <c r="A4750" t="str">
        <v/>
      </c>
      <c r="B4750" s="6">
        <v>0</v>
      </c>
      <c r="C4750" s="7" t="str">
        <v>趣点购浦发</v>
      </c>
      <c r="D4750" s="8">
        <v>0</v>
      </c>
      <c r="E4750" s="7">
        <v>0</v>
      </c>
      <c r="F4750" s="8">
        <v>0</v>
      </c>
      <c r="G4750" s="7">
        <v>0</v>
      </c>
      <c r="H4750" s="7">
        <v>81211.819999998</v>
      </c>
      <c r="I4750" s="7">
        <v>0</v>
      </c>
      <c r="J4750" s="8">
        <v>0</v>
      </c>
      <c r="K4750" s="9" t="str">
        <v/>
      </c>
    </row>
    <row r="4751" spans="1:11">
      <c r="A4751" t="str">
        <v/>
      </c>
      <c r="B4751" s="6">
        <v>0</v>
      </c>
      <c r="C4751" s="7" t="str">
        <v>趣点购浦发</v>
      </c>
      <c r="D4751" s="8">
        <v>0</v>
      </c>
      <c r="E4751" s="7">
        <v>0</v>
      </c>
      <c r="F4751" s="8">
        <v>0</v>
      </c>
      <c r="G4751" s="7">
        <v>0</v>
      </c>
      <c r="H4751" s="7">
        <v>81211.819999998</v>
      </c>
      <c r="I4751" s="7">
        <v>0</v>
      </c>
      <c r="J4751" s="8">
        <v>0</v>
      </c>
      <c r="K4751" s="9" t="str">
        <v/>
      </c>
    </row>
    <row r="4752" spans="1:11">
      <c r="A4752" t="str">
        <v/>
      </c>
      <c r="B4752" s="6">
        <v>0</v>
      </c>
      <c r="C4752" s="7" t="str">
        <v>趣点购浦发</v>
      </c>
      <c r="D4752" s="8">
        <v>0</v>
      </c>
      <c r="E4752" s="7">
        <v>0</v>
      </c>
      <c r="F4752" s="8">
        <v>0</v>
      </c>
      <c r="G4752" s="7">
        <v>0</v>
      </c>
      <c r="H4752" s="7">
        <v>81211.819999998</v>
      </c>
      <c r="I4752" s="7">
        <v>0</v>
      </c>
      <c r="J4752" s="8">
        <v>0</v>
      </c>
      <c r="K4752" s="9" t="str">
        <v/>
      </c>
    </row>
    <row r="4753" spans="1:11">
      <c r="A4753" t="str">
        <v/>
      </c>
      <c r="B4753" s="6">
        <v>0</v>
      </c>
      <c r="C4753" s="7" t="str">
        <v>趣点购浦发</v>
      </c>
      <c r="D4753" s="8">
        <v>0</v>
      </c>
      <c r="E4753" s="7">
        <v>0</v>
      </c>
      <c r="F4753" s="8">
        <v>0</v>
      </c>
      <c r="G4753" s="7">
        <v>0</v>
      </c>
      <c r="H4753" s="7">
        <v>81211.819999998</v>
      </c>
      <c r="I4753" s="7">
        <v>0</v>
      </c>
      <c r="J4753" s="8">
        <v>0</v>
      </c>
      <c r="K4753" s="9" t="str">
        <v/>
      </c>
    </row>
    <row r="4754" spans="1:11">
      <c r="A4754" t="str">
        <v/>
      </c>
      <c r="B4754" s="6">
        <v>0</v>
      </c>
      <c r="C4754" s="7" t="str">
        <v>趣点购浦发</v>
      </c>
      <c r="D4754" s="8">
        <v>0</v>
      </c>
      <c r="E4754" s="7">
        <v>0</v>
      </c>
      <c r="F4754" s="8">
        <v>0</v>
      </c>
      <c r="G4754" s="7">
        <v>0</v>
      </c>
      <c r="H4754" s="7">
        <v>81211.819999998</v>
      </c>
      <c r="I4754" s="7">
        <v>0</v>
      </c>
      <c r="J4754" s="8">
        <v>0</v>
      </c>
      <c r="K4754" s="9" t="str">
        <v/>
      </c>
    </row>
    <row r="4755" spans="1:11">
      <c r="A4755" t="str">
        <v/>
      </c>
      <c r="B4755" s="6">
        <v>0</v>
      </c>
      <c r="C4755" s="7" t="str">
        <v>趣点购浦发</v>
      </c>
      <c r="D4755" s="8">
        <v>0</v>
      </c>
      <c r="E4755" s="7">
        <v>0</v>
      </c>
      <c r="F4755" s="8">
        <v>0</v>
      </c>
      <c r="G4755" s="7">
        <v>0</v>
      </c>
      <c r="H4755" s="7">
        <v>81211.819999998</v>
      </c>
      <c r="I4755" s="7">
        <v>0</v>
      </c>
      <c r="J4755" s="8">
        <v>0</v>
      </c>
      <c r="K4755" s="9" t="str">
        <v/>
      </c>
    </row>
    <row r="4756" spans="1:11">
      <c r="A4756" t="str">
        <v/>
      </c>
      <c r="B4756" s="6">
        <v>0</v>
      </c>
      <c r="C4756" s="7" t="str">
        <v>趣点购浦发</v>
      </c>
      <c r="D4756" s="8">
        <v>0</v>
      </c>
      <c r="E4756" s="7">
        <v>0</v>
      </c>
      <c r="F4756" s="8">
        <v>0</v>
      </c>
      <c r="G4756" s="7">
        <v>0</v>
      </c>
      <c r="H4756" s="7">
        <v>81211.819999998</v>
      </c>
      <c r="I4756" s="7">
        <v>0</v>
      </c>
      <c r="J4756" s="8">
        <v>0</v>
      </c>
      <c r="K4756" s="9" t="str">
        <v/>
      </c>
    </row>
    <row r="4757" spans="1:11">
      <c r="A4757" t="str">
        <v/>
      </c>
      <c r="B4757" s="6">
        <v>0</v>
      </c>
      <c r="C4757" s="7" t="str">
        <v>趣点购浦发</v>
      </c>
      <c r="D4757" s="8">
        <v>0</v>
      </c>
      <c r="E4757" s="7">
        <v>0</v>
      </c>
      <c r="F4757" s="8">
        <v>0</v>
      </c>
      <c r="G4757" s="7">
        <v>0</v>
      </c>
      <c r="H4757" s="7">
        <v>81211.819999998</v>
      </c>
      <c r="I4757" s="7">
        <v>0</v>
      </c>
      <c r="J4757" s="8">
        <v>0</v>
      </c>
      <c r="K4757" s="9" t="str">
        <v/>
      </c>
    </row>
    <row r="4758" spans="1:11">
      <c r="A4758" t="str">
        <v/>
      </c>
      <c r="B4758" s="6">
        <v>0</v>
      </c>
      <c r="C4758" s="7" t="str">
        <v>趣点购浦发</v>
      </c>
      <c r="D4758" s="8">
        <v>0</v>
      </c>
      <c r="E4758" s="7">
        <v>0</v>
      </c>
      <c r="F4758" s="8">
        <v>0</v>
      </c>
      <c r="G4758" s="7">
        <v>0</v>
      </c>
      <c r="H4758" s="7">
        <v>81211.819999998</v>
      </c>
      <c r="I4758" s="7">
        <v>0</v>
      </c>
      <c r="J4758" s="8">
        <v>0</v>
      </c>
      <c r="K4758" s="9" t="str">
        <v/>
      </c>
    </row>
    <row r="4759" spans="1:11">
      <c r="A4759" t="str">
        <v/>
      </c>
      <c r="B4759" s="6">
        <v>0</v>
      </c>
      <c r="C4759" s="7" t="str">
        <v>趣点购浦发</v>
      </c>
      <c r="D4759" s="8">
        <v>0</v>
      </c>
      <c r="E4759" s="7">
        <v>0</v>
      </c>
      <c r="F4759" s="8">
        <v>0</v>
      </c>
      <c r="G4759" s="7">
        <v>0</v>
      </c>
      <c r="H4759" s="7">
        <v>81211.819999998</v>
      </c>
      <c r="I4759" s="7">
        <v>0</v>
      </c>
      <c r="J4759" s="8">
        <v>0</v>
      </c>
      <c r="K4759" s="9" t="str">
        <v/>
      </c>
    </row>
    <row r="4760" spans="1:11">
      <c r="A4760" t="str">
        <v/>
      </c>
      <c r="B4760" s="6">
        <v>0</v>
      </c>
      <c r="C4760" s="7" t="str">
        <v>趣点购浦发</v>
      </c>
      <c r="D4760" s="8">
        <v>0</v>
      </c>
      <c r="E4760" s="7">
        <v>0</v>
      </c>
      <c r="F4760" s="8">
        <v>0</v>
      </c>
      <c r="G4760" s="7">
        <v>0</v>
      </c>
      <c r="H4760" s="7">
        <v>81211.819999998</v>
      </c>
      <c r="I4760" s="7">
        <v>0</v>
      </c>
      <c r="J4760" s="8">
        <v>0</v>
      </c>
      <c r="K4760" s="9" t="str">
        <v/>
      </c>
    </row>
    <row r="4761" spans="1:11">
      <c r="A4761" t="str">
        <v/>
      </c>
      <c r="B4761" s="6">
        <v>0</v>
      </c>
      <c r="C4761" s="7" t="str">
        <v>趣点购浦发</v>
      </c>
      <c r="D4761" s="8">
        <v>0</v>
      </c>
      <c r="E4761" s="7">
        <v>0</v>
      </c>
      <c r="F4761" s="8">
        <v>0</v>
      </c>
      <c r="G4761" s="7">
        <v>0</v>
      </c>
      <c r="H4761" s="7">
        <v>81211.819999998</v>
      </c>
      <c r="I4761" s="7">
        <v>0</v>
      </c>
      <c r="J4761" s="8">
        <v>0</v>
      </c>
      <c r="K4761" s="9" t="str">
        <v/>
      </c>
    </row>
    <row r="4762" spans="1:11">
      <c r="A4762" t="str">
        <v/>
      </c>
      <c r="B4762" s="6">
        <v>0</v>
      </c>
      <c r="C4762" s="7" t="str">
        <v>趣点购浦发</v>
      </c>
      <c r="D4762" s="8">
        <v>0</v>
      </c>
      <c r="E4762" s="7">
        <v>0</v>
      </c>
      <c r="F4762" s="8">
        <v>0</v>
      </c>
      <c r="G4762" s="7">
        <v>0</v>
      </c>
      <c r="H4762" s="7">
        <v>81211.819999998</v>
      </c>
      <c r="I4762" s="7">
        <v>0</v>
      </c>
      <c r="J4762" s="8">
        <v>0</v>
      </c>
      <c r="K4762" s="9" t="str">
        <v/>
      </c>
    </row>
    <row r="4763" spans="1:11">
      <c r="A4763" t="str">
        <v/>
      </c>
      <c r="B4763" s="6">
        <v>0</v>
      </c>
      <c r="C4763" s="7" t="str">
        <v>趣点购浦发</v>
      </c>
      <c r="D4763" s="8">
        <v>0</v>
      </c>
      <c r="E4763" s="7">
        <v>0</v>
      </c>
      <c r="F4763" s="8">
        <v>0</v>
      </c>
      <c r="G4763" s="7">
        <v>0</v>
      </c>
      <c r="H4763" s="7">
        <v>81211.819999998</v>
      </c>
      <c r="I4763" s="7">
        <v>0</v>
      </c>
      <c r="J4763" s="8">
        <v>0</v>
      </c>
      <c r="K4763" s="9" t="str">
        <v/>
      </c>
    </row>
    <row r="4764" spans="1:11">
      <c r="A4764" t="str">
        <v/>
      </c>
      <c r="B4764" s="6">
        <v>0</v>
      </c>
      <c r="C4764" s="7" t="str">
        <v>趣点购浦发</v>
      </c>
      <c r="D4764" s="8">
        <v>0</v>
      </c>
      <c r="E4764" s="7">
        <v>0</v>
      </c>
      <c r="F4764" s="8">
        <v>0</v>
      </c>
      <c r="G4764" s="7">
        <v>0</v>
      </c>
      <c r="H4764" s="7">
        <v>81211.819999998</v>
      </c>
      <c r="I4764" s="7">
        <v>0</v>
      </c>
      <c r="J4764" s="8">
        <v>0</v>
      </c>
      <c r="K4764" s="9" t="str">
        <v/>
      </c>
    </row>
    <row r="4765" spans="1:11">
      <c r="A4765" t="str">
        <v/>
      </c>
      <c r="B4765" s="6">
        <v>0</v>
      </c>
      <c r="C4765" s="7" t="str">
        <v>趣点购浦发</v>
      </c>
      <c r="D4765" s="8">
        <v>0</v>
      </c>
      <c r="E4765" s="7">
        <v>0</v>
      </c>
      <c r="F4765" s="8">
        <v>0</v>
      </c>
      <c r="G4765" s="7">
        <v>0</v>
      </c>
      <c r="H4765" s="7">
        <v>81211.819999998</v>
      </c>
      <c r="I4765" s="7">
        <v>0</v>
      </c>
      <c r="J4765" s="8">
        <v>0</v>
      </c>
      <c r="K4765" s="9" t="str">
        <v/>
      </c>
    </row>
    <row r="4766" spans="1:11">
      <c r="A4766" t="str">
        <v/>
      </c>
      <c r="B4766" s="6">
        <v>0</v>
      </c>
      <c r="C4766" s="7" t="str">
        <v>趣点购浦发</v>
      </c>
      <c r="D4766" s="8">
        <v>0</v>
      </c>
      <c r="E4766" s="7">
        <v>0</v>
      </c>
      <c r="F4766" s="8">
        <v>0</v>
      </c>
      <c r="G4766" s="7">
        <v>0</v>
      </c>
      <c r="H4766" s="7">
        <v>81211.819999998</v>
      </c>
      <c r="I4766" s="7">
        <v>0</v>
      </c>
      <c r="J4766" s="8">
        <v>0</v>
      </c>
      <c r="K4766" s="9" t="str">
        <v/>
      </c>
    </row>
    <row r="4767" spans="1:11">
      <c r="A4767" t="str">
        <v/>
      </c>
      <c r="B4767" s="6">
        <v>0</v>
      </c>
      <c r="C4767" s="7" t="str">
        <v>趣点购浦发</v>
      </c>
      <c r="D4767" s="8">
        <v>0</v>
      </c>
      <c r="E4767" s="7">
        <v>0</v>
      </c>
      <c r="F4767" s="8">
        <v>0</v>
      </c>
      <c r="G4767" s="7">
        <v>0</v>
      </c>
      <c r="H4767" s="7">
        <v>81211.819999998</v>
      </c>
      <c r="I4767" s="7">
        <v>0</v>
      </c>
      <c r="J4767" s="8">
        <v>0</v>
      </c>
      <c r="K4767" s="9" t="str">
        <v/>
      </c>
    </row>
    <row r="4768" spans="1:11">
      <c r="A4768" t="str">
        <v/>
      </c>
      <c r="B4768" s="6">
        <v>0</v>
      </c>
      <c r="C4768" s="7" t="str">
        <v>趣点购浦发</v>
      </c>
      <c r="D4768" s="8">
        <v>0</v>
      </c>
      <c r="E4768" s="7">
        <v>0</v>
      </c>
      <c r="F4768" s="8">
        <v>0</v>
      </c>
      <c r="G4768" s="7">
        <v>0</v>
      </c>
      <c r="H4768" s="7">
        <v>81211.819999998</v>
      </c>
      <c r="I4768" s="7">
        <v>0</v>
      </c>
      <c r="J4768" s="8">
        <v>0</v>
      </c>
      <c r="K4768" s="9" t="str">
        <v/>
      </c>
    </row>
    <row r="4769" spans="1:11">
      <c r="A4769" t="str">
        <v/>
      </c>
      <c r="B4769" s="6">
        <v>0</v>
      </c>
      <c r="C4769" s="7" t="str">
        <v>趣点购浦发</v>
      </c>
      <c r="D4769" s="8">
        <v>0</v>
      </c>
      <c r="E4769" s="7">
        <v>0</v>
      </c>
      <c r="F4769" s="8">
        <v>0</v>
      </c>
      <c r="G4769" s="7">
        <v>0</v>
      </c>
      <c r="H4769" s="7">
        <v>81211.819999998</v>
      </c>
      <c r="I4769" s="7">
        <v>0</v>
      </c>
      <c r="J4769" s="8">
        <v>0</v>
      </c>
      <c r="K4769" s="9" t="str">
        <v/>
      </c>
    </row>
    <row r="4770" spans="1:11">
      <c r="A4770" t="str">
        <v/>
      </c>
      <c r="B4770" s="6">
        <v>0</v>
      </c>
      <c r="C4770" s="7" t="str">
        <v>趣点购浦发</v>
      </c>
      <c r="D4770" s="8">
        <v>0</v>
      </c>
      <c r="E4770" s="7">
        <v>0</v>
      </c>
      <c r="F4770" s="8">
        <v>0</v>
      </c>
      <c r="G4770" s="7">
        <v>0</v>
      </c>
      <c r="H4770" s="7">
        <v>81211.819999998</v>
      </c>
      <c r="I4770" s="7">
        <v>0</v>
      </c>
      <c r="J4770" s="8">
        <v>0</v>
      </c>
      <c r="K4770" s="9" t="str">
        <v/>
      </c>
    </row>
    <row r="4771" spans="1:11">
      <c r="A4771" t="str">
        <v/>
      </c>
      <c r="B4771" s="6">
        <v>0</v>
      </c>
      <c r="C4771" s="7" t="str">
        <v>趣点购浦发</v>
      </c>
      <c r="D4771" s="8">
        <v>0</v>
      </c>
      <c r="E4771" s="7">
        <v>0</v>
      </c>
      <c r="F4771" s="8">
        <v>0</v>
      </c>
      <c r="G4771" s="7">
        <v>0</v>
      </c>
      <c r="H4771" s="7">
        <v>81211.819999998</v>
      </c>
      <c r="I4771" s="7">
        <v>0</v>
      </c>
      <c r="J4771" s="8">
        <v>0</v>
      </c>
      <c r="K4771" s="9" t="str">
        <v/>
      </c>
    </row>
    <row r="4772" spans="1:11">
      <c r="A4772" t="str">
        <v/>
      </c>
      <c r="B4772" s="6">
        <v>0</v>
      </c>
      <c r="C4772" s="7" t="str">
        <v>趣点购浦发</v>
      </c>
      <c r="D4772" s="8">
        <v>0</v>
      </c>
      <c r="E4772" s="7">
        <v>0</v>
      </c>
      <c r="F4772" s="8">
        <v>0</v>
      </c>
      <c r="G4772" s="7">
        <v>0</v>
      </c>
      <c r="H4772" s="7">
        <v>81211.819999998</v>
      </c>
      <c r="I4772" s="7">
        <v>0</v>
      </c>
      <c r="J4772" s="8">
        <v>0</v>
      </c>
      <c r="K4772" s="9" t="str">
        <v/>
      </c>
    </row>
    <row r="4773" spans="1:11">
      <c r="A4773" t="str">
        <v/>
      </c>
      <c r="B4773" s="6">
        <v>0</v>
      </c>
      <c r="C4773" s="7" t="str">
        <v>趣点购浦发</v>
      </c>
      <c r="D4773" s="8">
        <v>0</v>
      </c>
      <c r="E4773" s="7">
        <v>0</v>
      </c>
      <c r="F4773" s="8">
        <v>0</v>
      </c>
      <c r="G4773" s="7">
        <v>0</v>
      </c>
      <c r="H4773" s="7">
        <v>81211.819999998</v>
      </c>
      <c r="I4773" s="7">
        <v>0</v>
      </c>
      <c r="J4773" s="8">
        <v>0</v>
      </c>
      <c r="K4773" s="9" t="str">
        <v/>
      </c>
    </row>
    <row r="4774" spans="1:11">
      <c r="A4774" t="str">
        <v/>
      </c>
      <c r="B4774" s="6">
        <v>0</v>
      </c>
      <c r="C4774" s="7" t="str">
        <v>趣点购浦发</v>
      </c>
      <c r="D4774" s="8">
        <v>0</v>
      </c>
      <c r="E4774" s="7">
        <v>0</v>
      </c>
      <c r="F4774" s="8">
        <v>0</v>
      </c>
      <c r="G4774" s="7">
        <v>0</v>
      </c>
      <c r="H4774" s="7">
        <v>81211.819999998</v>
      </c>
      <c r="I4774" s="7">
        <v>0</v>
      </c>
      <c r="J4774" s="8">
        <v>0</v>
      </c>
      <c r="K4774" s="9" t="str">
        <v/>
      </c>
    </row>
    <row r="4775" spans="1:11">
      <c r="A4775" t="str">
        <v/>
      </c>
      <c r="B4775" s="6">
        <v>0</v>
      </c>
      <c r="C4775" s="7" t="str">
        <v>趣点购浦发</v>
      </c>
      <c r="D4775" s="8">
        <v>0</v>
      </c>
      <c r="E4775" s="7">
        <v>0</v>
      </c>
      <c r="F4775" s="8">
        <v>0</v>
      </c>
      <c r="G4775" s="7">
        <v>0</v>
      </c>
      <c r="H4775" s="7">
        <v>81211.819999998</v>
      </c>
      <c r="I4775" s="7">
        <v>0</v>
      </c>
      <c r="J4775" s="8">
        <v>0</v>
      </c>
      <c r="K4775" s="9" t="str">
        <v/>
      </c>
    </row>
    <row r="4776" spans="1:11">
      <c r="A4776" t="str">
        <v/>
      </c>
      <c r="B4776" s="6">
        <v>0</v>
      </c>
      <c r="C4776" s="7" t="str">
        <v>趣点购浦发</v>
      </c>
      <c r="D4776" s="8">
        <v>0</v>
      </c>
      <c r="E4776" s="7">
        <v>0</v>
      </c>
      <c r="F4776" s="8">
        <v>0</v>
      </c>
      <c r="G4776" s="7">
        <v>0</v>
      </c>
      <c r="H4776" s="7">
        <v>81211.819999998</v>
      </c>
      <c r="I4776" s="7">
        <v>0</v>
      </c>
      <c r="J4776" s="8">
        <v>0</v>
      </c>
      <c r="K4776" s="9" t="str">
        <v/>
      </c>
    </row>
    <row r="4777" spans="1:11">
      <c r="A4777" t="str">
        <v/>
      </c>
      <c r="B4777" s="6">
        <v>0</v>
      </c>
      <c r="C4777" s="7" t="str">
        <v>趣点购浦发</v>
      </c>
      <c r="D4777" s="8">
        <v>0</v>
      </c>
      <c r="E4777" s="7">
        <v>0</v>
      </c>
      <c r="F4777" s="8">
        <v>0</v>
      </c>
      <c r="G4777" s="7">
        <v>0</v>
      </c>
      <c r="H4777" s="7">
        <v>81211.819999998</v>
      </c>
      <c r="I4777" s="7">
        <v>0</v>
      </c>
      <c r="J4777" s="8">
        <v>0</v>
      </c>
      <c r="K4777" s="9" t="str">
        <v/>
      </c>
    </row>
    <row r="4778" spans="1:11">
      <c r="A4778" t="str">
        <v/>
      </c>
      <c r="B4778" s="6">
        <v>0</v>
      </c>
      <c r="C4778" s="7" t="str">
        <v>趣点购浦发</v>
      </c>
      <c r="D4778" s="8">
        <v>0</v>
      </c>
      <c r="E4778" s="7">
        <v>0</v>
      </c>
      <c r="F4778" s="8">
        <v>0</v>
      </c>
      <c r="G4778" s="7">
        <v>0</v>
      </c>
      <c r="H4778" s="7">
        <v>81211.819999998</v>
      </c>
      <c r="I4778" s="7">
        <v>0</v>
      </c>
      <c r="J4778" s="8">
        <v>0</v>
      </c>
      <c r="K4778" s="9" t="str">
        <v/>
      </c>
    </row>
    <row r="4779" spans="1:11">
      <c r="A4779" t="str">
        <v/>
      </c>
      <c r="B4779" s="6">
        <v>0</v>
      </c>
      <c r="C4779" s="7" t="str">
        <v>趣点购浦发</v>
      </c>
      <c r="D4779" s="8">
        <v>0</v>
      </c>
      <c r="E4779" s="7">
        <v>0</v>
      </c>
      <c r="F4779" s="8">
        <v>0</v>
      </c>
      <c r="G4779" s="7">
        <v>0</v>
      </c>
      <c r="H4779" s="7">
        <v>81211.819999998</v>
      </c>
      <c r="I4779" s="7">
        <v>0</v>
      </c>
      <c r="J4779" s="8">
        <v>0</v>
      </c>
      <c r="K4779" s="9" t="str">
        <v/>
      </c>
    </row>
    <row r="4780" spans="1:11">
      <c r="A4780" t="str">
        <v/>
      </c>
      <c r="B4780" s="6">
        <v>0</v>
      </c>
      <c r="C4780" s="7" t="str">
        <v>趣点购浦发</v>
      </c>
      <c r="D4780" s="8">
        <v>0</v>
      </c>
      <c r="E4780" s="7">
        <v>0</v>
      </c>
      <c r="F4780" s="8">
        <v>0</v>
      </c>
      <c r="G4780" s="7">
        <v>0</v>
      </c>
      <c r="H4780" s="7">
        <v>81211.819999998</v>
      </c>
      <c r="I4780" s="7">
        <v>0</v>
      </c>
      <c r="J4780" s="8">
        <v>0</v>
      </c>
      <c r="K4780" s="9" t="str">
        <v/>
      </c>
    </row>
    <row r="4781" spans="1:11">
      <c r="A4781" t="str">
        <v/>
      </c>
      <c r="B4781" s="6">
        <v>0</v>
      </c>
      <c r="C4781" s="7" t="str">
        <v>趣点购浦发</v>
      </c>
      <c r="D4781" s="8">
        <v>0</v>
      </c>
      <c r="E4781" s="7">
        <v>0</v>
      </c>
      <c r="F4781" s="8">
        <v>0</v>
      </c>
      <c r="G4781" s="7">
        <v>0</v>
      </c>
      <c r="H4781" s="7">
        <v>81211.819999998</v>
      </c>
      <c r="I4781" s="7">
        <v>0</v>
      </c>
      <c r="J4781" s="8">
        <v>0</v>
      </c>
      <c r="K4781" s="9" t="str">
        <v/>
      </c>
    </row>
    <row r="4782" spans="1:11">
      <c r="A4782" t="str">
        <v/>
      </c>
      <c r="B4782" s="6">
        <v>0</v>
      </c>
      <c r="C4782" s="7" t="str">
        <v>趣点购浦发</v>
      </c>
      <c r="D4782" s="8">
        <v>0</v>
      </c>
      <c r="E4782" s="7">
        <v>0</v>
      </c>
      <c r="F4782" s="8">
        <v>0</v>
      </c>
      <c r="G4782" s="7">
        <v>0</v>
      </c>
      <c r="H4782" s="7">
        <v>81211.819999998</v>
      </c>
      <c r="I4782" s="7">
        <v>0</v>
      </c>
      <c r="J4782" s="8">
        <v>0</v>
      </c>
      <c r="K4782" s="9" t="str">
        <v/>
      </c>
    </row>
    <row r="4783" spans="1:11">
      <c r="A4783" t="str">
        <v/>
      </c>
      <c r="B4783" s="6">
        <v>0</v>
      </c>
      <c r="C4783" s="7" t="str">
        <v>趣点购浦发</v>
      </c>
      <c r="D4783" s="8">
        <v>0</v>
      </c>
      <c r="E4783" s="7">
        <v>0</v>
      </c>
      <c r="F4783" s="8">
        <v>0</v>
      </c>
      <c r="G4783" s="7">
        <v>0</v>
      </c>
      <c r="H4783" s="7">
        <v>81211.819999998</v>
      </c>
      <c r="I4783" s="7">
        <v>0</v>
      </c>
      <c r="J4783" s="8">
        <v>0</v>
      </c>
      <c r="K4783" s="9" t="str">
        <v/>
      </c>
    </row>
    <row r="4784" spans="1:11">
      <c r="A4784" t="str">
        <v/>
      </c>
      <c r="B4784" s="6">
        <v>0</v>
      </c>
      <c r="C4784" s="7" t="str">
        <v>趣点购浦发</v>
      </c>
      <c r="D4784" s="8">
        <v>0</v>
      </c>
      <c r="E4784" s="7">
        <v>0</v>
      </c>
      <c r="F4784" s="8">
        <v>0</v>
      </c>
      <c r="G4784" s="7">
        <v>0</v>
      </c>
      <c r="H4784" s="7">
        <v>81211.819999998</v>
      </c>
      <c r="I4784" s="7">
        <v>0</v>
      </c>
      <c r="J4784" s="8">
        <v>0</v>
      </c>
      <c r="K4784" s="9" t="str">
        <v/>
      </c>
    </row>
    <row r="4785" spans="1:11">
      <c r="A4785" t="str">
        <v/>
      </c>
      <c r="B4785" s="6">
        <v>0</v>
      </c>
      <c r="C4785" s="7" t="str">
        <v>趣点购浦发</v>
      </c>
      <c r="D4785" s="8">
        <v>0</v>
      </c>
      <c r="E4785" s="7">
        <v>0</v>
      </c>
      <c r="F4785" s="8">
        <v>0</v>
      </c>
      <c r="G4785" s="7">
        <v>0</v>
      </c>
      <c r="H4785" s="7">
        <v>81211.819999998</v>
      </c>
      <c r="I4785" s="7">
        <v>0</v>
      </c>
      <c r="J4785" s="8">
        <v>0</v>
      </c>
      <c r="K4785" s="9" t="str">
        <v/>
      </c>
    </row>
    <row r="4786" spans="1:11">
      <c r="A4786" t="str">
        <v/>
      </c>
      <c r="B4786" s="6">
        <v>0</v>
      </c>
      <c r="C4786" s="7" t="str">
        <v>趣点购浦发</v>
      </c>
      <c r="D4786" s="8">
        <v>0</v>
      </c>
      <c r="E4786" s="7">
        <v>0</v>
      </c>
      <c r="F4786" s="8">
        <v>0</v>
      </c>
      <c r="G4786" s="7">
        <v>0</v>
      </c>
      <c r="H4786" s="7">
        <v>81211.819999998</v>
      </c>
      <c r="I4786" s="7">
        <v>0</v>
      </c>
      <c r="J4786" s="8">
        <v>0</v>
      </c>
      <c r="K4786" s="9" t="str">
        <v/>
      </c>
    </row>
    <row r="4787" spans="1:11">
      <c r="A4787" t="str">
        <v/>
      </c>
      <c r="B4787" s="6">
        <v>0</v>
      </c>
      <c r="C4787" s="7" t="str">
        <v>趣点购浦发</v>
      </c>
      <c r="D4787" s="8">
        <v>0</v>
      </c>
      <c r="E4787" s="7">
        <v>0</v>
      </c>
      <c r="F4787" s="8">
        <v>0</v>
      </c>
      <c r="G4787" s="7">
        <v>0</v>
      </c>
      <c r="H4787" s="7">
        <v>81211.819999998</v>
      </c>
      <c r="I4787" s="7">
        <v>0</v>
      </c>
      <c r="J4787" s="8">
        <v>0</v>
      </c>
      <c r="K4787" s="9" t="str">
        <v/>
      </c>
    </row>
    <row r="4788" spans="1:11">
      <c r="A4788" t="str">
        <v/>
      </c>
      <c r="B4788" s="6">
        <v>0</v>
      </c>
      <c r="C4788" s="7" t="str">
        <v>趣点购浦发</v>
      </c>
      <c r="D4788" s="8">
        <v>0</v>
      </c>
      <c r="E4788" s="7">
        <v>0</v>
      </c>
      <c r="F4788" s="8">
        <v>0</v>
      </c>
      <c r="G4788" s="7">
        <v>0</v>
      </c>
      <c r="H4788" s="7">
        <v>81211.819999998</v>
      </c>
      <c r="I4788" s="7">
        <v>0</v>
      </c>
      <c r="J4788" s="8">
        <v>0</v>
      </c>
      <c r="K4788" s="9" t="str">
        <v/>
      </c>
    </row>
    <row r="4789" spans="1:11">
      <c r="A4789" t="str">
        <v/>
      </c>
      <c r="B4789" s="6">
        <v>0</v>
      </c>
      <c r="C4789" s="7" t="str">
        <v>趣点购浦发</v>
      </c>
      <c r="D4789" s="8">
        <v>0</v>
      </c>
      <c r="E4789" s="7">
        <v>0</v>
      </c>
      <c r="F4789" s="8">
        <v>0</v>
      </c>
      <c r="G4789" s="7">
        <v>0</v>
      </c>
      <c r="H4789" s="7">
        <v>81211.819999998</v>
      </c>
      <c r="I4789" s="7">
        <v>0</v>
      </c>
      <c r="J4789" s="8">
        <v>0</v>
      </c>
      <c r="K4789" s="9" t="str">
        <v/>
      </c>
    </row>
    <row r="4790" spans="1:11">
      <c r="A4790" t="str">
        <v/>
      </c>
      <c r="B4790" s="6">
        <v>0</v>
      </c>
      <c r="C4790" s="7" t="str">
        <v>趣点购浦发</v>
      </c>
      <c r="D4790" s="8">
        <v>0</v>
      </c>
      <c r="E4790" s="7">
        <v>0</v>
      </c>
      <c r="F4790" s="8">
        <v>0</v>
      </c>
      <c r="G4790" s="7">
        <v>0</v>
      </c>
      <c r="H4790" s="7">
        <v>81211.819999998</v>
      </c>
      <c r="I4790" s="7">
        <v>0</v>
      </c>
      <c r="J4790" s="8">
        <v>0</v>
      </c>
      <c r="K4790" s="9" t="str">
        <v/>
      </c>
    </row>
    <row r="4791" spans="1:11">
      <c r="A4791" t="str">
        <v/>
      </c>
      <c r="B4791" s="6">
        <v>0</v>
      </c>
      <c r="C4791" s="7" t="str">
        <v>趣点购浦发</v>
      </c>
      <c r="D4791" s="8">
        <v>0</v>
      </c>
      <c r="E4791" s="7">
        <v>0</v>
      </c>
      <c r="F4791" s="8">
        <v>0</v>
      </c>
      <c r="G4791" s="7">
        <v>0</v>
      </c>
      <c r="H4791" s="7">
        <v>81211.819999998</v>
      </c>
      <c r="I4791" s="7">
        <v>0</v>
      </c>
      <c r="J4791" s="8">
        <v>0</v>
      </c>
      <c r="K4791" s="9" t="str">
        <v/>
      </c>
    </row>
    <row r="4792" spans="1:11">
      <c r="A4792" t="str">
        <v/>
      </c>
      <c r="B4792" s="6">
        <v>0</v>
      </c>
      <c r="C4792" s="7" t="str">
        <v>趣点购浦发</v>
      </c>
      <c r="D4792" s="8">
        <v>0</v>
      </c>
      <c r="E4792" s="7">
        <v>0</v>
      </c>
      <c r="F4792" s="8">
        <v>0</v>
      </c>
      <c r="G4792" s="7">
        <v>0</v>
      </c>
      <c r="H4792" s="7">
        <v>81211.819999998</v>
      </c>
      <c r="I4792" s="7">
        <v>0</v>
      </c>
      <c r="J4792" s="8">
        <v>0</v>
      </c>
      <c r="K4792" s="9" t="str">
        <v/>
      </c>
    </row>
    <row r="4793" spans="1:11">
      <c r="A4793" t="str">
        <v/>
      </c>
      <c r="B4793" s="6">
        <v>0</v>
      </c>
      <c r="C4793" s="7" t="str">
        <v>趣点购浦发</v>
      </c>
      <c r="D4793" s="8">
        <v>0</v>
      </c>
      <c r="E4793" s="7">
        <v>0</v>
      </c>
      <c r="F4793" s="8">
        <v>0</v>
      </c>
      <c r="G4793" s="7">
        <v>0</v>
      </c>
      <c r="H4793" s="7">
        <v>81211.819999998</v>
      </c>
      <c r="I4793" s="7">
        <v>0</v>
      </c>
      <c r="J4793" s="8">
        <v>0</v>
      </c>
      <c r="K4793" s="9" t="str">
        <v/>
      </c>
    </row>
    <row r="4794" spans="1:11">
      <c r="A4794" t="str">
        <v/>
      </c>
      <c r="B4794" s="6">
        <v>0</v>
      </c>
      <c r="C4794" s="7" t="str">
        <v>趣点购浦发</v>
      </c>
      <c r="D4794" s="8">
        <v>0</v>
      </c>
      <c r="E4794" s="7">
        <v>0</v>
      </c>
      <c r="F4794" s="8">
        <v>0</v>
      </c>
      <c r="G4794" s="7">
        <v>0</v>
      </c>
      <c r="H4794" s="7">
        <v>81211.819999998</v>
      </c>
      <c r="I4794" s="7">
        <v>0</v>
      </c>
      <c r="J4794" s="8">
        <v>0</v>
      </c>
      <c r="K4794" s="9" t="str">
        <v/>
      </c>
    </row>
    <row r="4795" spans="1:11">
      <c r="A4795" t="str">
        <v/>
      </c>
      <c r="B4795" s="6">
        <v>0</v>
      </c>
      <c r="C4795" s="7" t="str">
        <v>趣点购浦发</v>
      </c>
      <c r="D4795" s="8">
        <v>0</v>
      </c>
      <c r="E4795" s="7">
        <v>0</v>
      </c>
      <c r="F4795" s="8">
        <v>0</v>
      </c>
      <c r="G4795" s="7">
        <v>0</v>
      </c>
      <c r="H4795" s="7">
        <v>81211.819999998</v>
      </c>
      <c r="I4795" s="7">
        <v>0</v>
      </c>
      <c r="J4795" s="8">
        <v>0</v>
      </c>
      <c r="K4795" s="9" t="str">
        <v/>
      </c>
    </row>
    <row r="4796" spans="1:11">
      <c r="A4796" t="str">
        <v/>
      </c>
      <c r="B4796" s="6">
        <v>0</v>
      </c>
      <c r="C4796" s="7" t="str">
        <v>趣点购浦发</v>
      </c>
      <c r="D4796" s="8">
        <v>0</v>
      </c>
      <c r="E4796" s="7">
        <v>0</v>
      </c>
      <c r="F4796" s="8">
        <v>0</v>
      </c>
      <c r="G4796" s="7">
        <v>0</v>
      </c>
      <c r="H4796" s="7">
        <v>81211.819999998</v>
      </c>
      <c r="I4796" s="7">
        <v>0</v>
      </c>
      <c r="J4796" s="8">
        <v>0</v>
      </c>
      <c r="K4796" s="9" t="str">
        <v/>
      </c>
    </row>
    <row r="4797" spans="1:11">
      <c r="A4797" t="str">
        <v/>
      </c>
      <c r="B4797" s="6">
        <v>0</v>
      </c>
      <c r="C4797" s="7" t="str">
        <v>趣点购浦发</v>
      </c>
      <c r="D4797" s="8">
        <v>0</v>
      </c>
      <c r="E4797" s="7">
        <v>0</v>
      </c>
      <c r="F4797" s="8">
        <v>0</v>
      </c>
      <c r="G4797" s="7">
        <v>0</v>
      </c>
      <c r="H4797" s="7">
        <v>81211.819999998</v>
      </c>
      <c r="I4797" s="7">
        <v>0</v>
      </c>
      <c r="J4797" s="8">
        <v>0</v>
      </c>
      <c r="K4797" s="9" t="str">
        <v/>
      </c>
    </row>
    <row r="4798" spans="1:11">
      <c r="A4798" t="str">
        <v/>
      </c>
      <c r="B4798" s="6">
        <v>0</v>
      </c>
      <c r="C4798" s="7" t="str">
        <v>趣点购浦发</v>
      </c>
      <c r="D4798" s="8">
        <v>0</v>
      </c>
      <c r="E4798" s="7">
        <v>0</v>
      </c>
      <c r="F4798" s="8">
        <v>0</v>
      </c>
      <c r="G4798" s="7">
        <v>0</v>
      </c>
      <c r="H4798" s="7">
        <v>81211.819999998</v>
      </c>
      <c r="I4798" s="7">
        <v>0</v>
      </c>
      <c r="J4798" s="8">
        <v>0</v>
      </c>
      <c r="K4798" s="9" t="str">
        <v/>
      </c>
    </row>
    <row r="4799" spans="1:11">
      <c r="A4799" t="str">
        <v/>
      </c>
      <c r="B4799" s="6">
        <v>0</v>
      </c>
      <c r="C4799" s="7" t="str">
        <v>趣点购浦发</v>
      </c>
      <c r="D4799" s="8">
        <v>0</v>
      </c>
      <c r="E4799" s="7">
        <v>0</v>
      </c>
      <c r="F4799" s="8">
        <v>0</v>
      </c>
      <c r="G4799" s="7">
        <v>0</v>
      </c>
      <c r="H4799" s="7">
        <v>81211.819999998</v>
      </c>
      <c r="I4799" s="7">
        <v>0</v>
      </c>
      <c r="J4799" s="8">
        <v>0</v>
      </c>
      <c r="K4799" s="9" t="str">
        <v/>
      </c>
    </row>
    <row r="4800" spans="1:11">
      <c r="A4800" t="str">
        <v/>
      </c>
      <c r="B4800" s="6">
        <v>0</v>
      </c>
      <c r="C4800" s="7" t="str">
        <v>趣点购浦发</v>
      </c>
      <c r="D4800" s="8">
        <v>0</v>
      </c>
      <c r="E4800" s="7">
        <v>0</v>
      </c>
      <c r="F4800" s="8">
        <v>0</v>
      </c>
      <c r="G4800" s="7">
        <v>0</v>
      </c>
      <c r="H4800" s="7">
        <v>81211.819999998</v>
      </c>
      <c r="I4800" s="7">
        <v>0</v>
      </c>
      <c r="J4800" s="8">
        <v>0</v>
      </c>
      <c r="K4800" s="9" t="str">
        <v/>
      </c>
    </row>
    <row r="4801" spans="1:11">
      <c r="A4801" t="str">
        <v/>
      </c>
      <c r="B4801" s="6">
        <v>0</v>
      </c>
      <c r="C4801" s="7" t="str">
        <v>趣点购浦发</v>
      </c>
      <c r="D4801" s="8">
        <v>0</v>
      </c>
      <c r="E4801" s="7">
        <v>0</v>
      </c>
      <c r="F4801" s="8">
        <v>0</v>
      </c>
      <c r="G4801" s="7">
        <v>0</v>
      </c>
      <c r="H4801" s="7">
        <v>81211.819999998</v>
      </c>
      <c r="I4801" s="7">
        <v>0</v>
      </c>
      <c r="J4801" s="8">
        <v>0</v>
      </c>
      <c r="K4801" s="9" t="str">
        <v/>
      </c>
    </row>
    <row r="4802" spans="1:11">
      <c r="A4802" t="str">
        <v/>
      </c>
      <c r="B4802" s="6">
        <v>0</v>
      </c>
      <c r="C4802" s="7" t="str">
        <v>趣点购浦发</v>
      </c>
      <c r="D4802" s="8">
        <v>0</v>
      </c>
      <c r="E4802" s="7">
        <v>0</v>
      </c>
      <c r="F4802" s="8">
        <v>0</v>
      </c>
      <c r="G4802" s="7">
        <v>0</v>
      </c>
      <c r="H4802" s="7">
        <v>81211.819999998</v>
      </c>
      <c r="I4802" s="7">
        <v>0</v>
      </c>
      <c r="J4802" s="8">
        <v>0</v>
      </c>
      <c r="K4802" s="9" t="str">
        <v/>
      </c>
    </row>
    <row r="4803" spans="1:11">
      <c r="A4803" t="str">
        <v/>
      </c>
      <c r="B4803" s="6">
        <v>0</v>
      </c>
      <c r="C4803" s="7" t="str">
        <v>趣点购浦发</v>
      </c>
      <c r="D4803" s="8">
        <v>0</v>
      </c>
      <c r="E4803" s="7">
        <v>0</v>
      </c>
      <c r="F4803" s="8">
        <v>0</v>
      </c>
      <c r="G4803" s="7">
        <v>0</v>
      </c>
      <c r="H4803" s="7">
        <v>81211.819999998</v>
      </c>
      <c r="I4803" s="7">
        <v>0</v>
      </c>
      <c r="J4803" s="8">
        <v>0</v>
      </c>
      <c r="K4803" s="9" t="str">
        <v/>
      </c>
    </row>
    <row r="4804" spans="1:11">
      <c r="A4804" t="str">
        <v/>
      </c>
      <c r="B4804" s="6">
        <v>0</v>
      </c>
      <c r="C4804" s="7" t="str">
        <v>趣点购浦发</v>
      </c>
      <c r="D4804" s="8">
        <v>0</v>
      </c>
      <c r="E4804" s="7">
        <v>0</v>
      </c>
      <c r="F4804" s="8">
        <v>0</v>
      </c>
      <c r="G4804" s="7">
        <v>0</v>
      </c>
      <c r="H4804" s="7">
        <v>81211.819999998</v>
      </c>
      <c r="I4804" s="7">
        <v>0</v>
      </c>
      <c r="J4804" s="8">
        <v>0</v>
      </c>
      <c r="K4804" s="9" t="str">
        <v/>
      </c>
    </row>
    <row r="4805" spans="1:11">
      <c r="A4805" t="str">
        <v/>
      </c>
      <c r="B4805" s="6">
        <v>0</v>
      </c>
      <c r="C4805" s="7" t="str">
        <v>趣点购浦发</v>
      </c>
      <c r="D4805" s="8">
        <v>0</v>
      </c>
      <c r="E4805" s="7">
        <v>0</v>
      </c>
      <c r="F4805" s="8">
        <v>0</v>
      </c>
      <c r="G4805" s="7">
        <v>0</v>
      </c>
      <c r="H4805" s="7">
        <v>81211.819999998</v>
      </c>
      <c r="I4805" s="7">
        <v>0</v>
      </c>
      <c r="J4805" s="8">
        <v>0</v>
      </c>
      <c r="K4805" s="9" t="str">
        <v/>
      </c>
    </row>
    <row r="4806" spans="1:11">
      <c r="A4806" t="str">
        <v/>
      </c>
      <c r="B4806" s="6">
        <v>0</v>
      </c>
      <c r="C4806" s="7" t="str">
        <v>趣点购浦发</v>
      </c>
      <c r="D4806" s="8">
        <v>0</v>
      </c>
      <c r="E4806" s="7">
        <v>0</v>
      </c>
      <c r="F4806" s="8">
        <v>0</v>
      </c>
      <c r="G4806" s="7">
        <v>0</v>
      </c>
      <c r="H4806" s="7">
        <v>81211.819999998</v>
      </c>
      <c r="I4806" s="7">
        <v>0</v>
      </c>
      <c r="J4806" s="8">
        <v>0</v>
      </c>
      <c r="K4806" s="9" t="str">
        <v/>
      </c>
    </row>
    <row r="4807" spans="1:11">
      <c r="A4807" t="str">
        <v/>
      </c>
      <c r="B4807" s="6">
        <v>0</v>
      </c>
      <c r="C4807" s="7" t="str">
        <v>趣点购浦发</v>
      </c>
      <c r="D4807" s="8">
        <v>0</v>
      </c>
      <c r="E4807" s="7">
        <v>0</v>
      </c>
      <c r="F4807" s="8">
        <v>0</v>
      </c>
      <c r="G4807" s="7">
        <v>0</v>
      </c>
      <c r="H4807" s="7">
        <v>81211.819999998</v>
      </c>
      <c r="I4807" s="7">
        <v>0</v>
      </c>
      <c r="J4807" s="8">
        <v>0</v>
      </c>
      <c r="K4807" s="9" t="str">
        <v/>
      </c>
    </row>
    <row r="4808" spans="1:11">
      <c r="A4808" t="str">
        <v/>
      </c>
      <c r="B4808" s="6">
        <v>0</v>
      </c>
      <c r="C4808" s="7" t="str">
        <v>趣点购浦发</v>
      </c>
      <c r="D4808" s="8">
        <v>0</v>
      </c>
      <c r="E4808" s="7">
        <v>0</v>
      </c>
      <c r="F4808" s="8">
        <v>0</v>
      </c>
      <c r="G4808" s="7">
        <v>0</v>
      </c>
      <c r="H4808" s="7">
        <v>81211.819999998</v>
      </c>
      <c r="I4808" s="7">
        <v>0</v>
      </c>
      <c r="J4808" s="8">
        <v>0</v>
      </c>
      <c r="K4808" s="9" t="str">
        <v/>
      </c>
    </row>
    <row r="4809" spans="1:11">
      <c r="A4809" t="str">
        <v/>
      </c>
      <c r="B4809" s="6">
        <v>0</v>
      </c>
      <c r="C4809" s="7" t="str">
        <v>趣点购浦发</v>
      </c>
      <c r="D4809" s="8">
        <v>0</v>
      </c>
      <c r="E4809" s="7">
        <v>0</v>
      </c>
      <c r="F4809" s="8">
        <v>0</v>
      </c>
      <c r="G4809" s="7">
        <v>0</v>
      </c>
      <c r="H4809" s="7">
        <v>81211.819999998</v>
      </c>
      <c r="I4809" s="7">
        <v>0</v>
      </c>
      <c r="J4809" s="8">
        <v>0</v>
      </c>
      <c r="K4809" s="9" t="str">
        <v/>
      </c>
    </row>
    <row r="4810" spans="1:11">
      <c r="A4810" t="str">
        <v/>
      </c>
      <c r="B4810" s="6">
        <v>0</v>
      </c>
      <c r="C4810" s="7" t="str">
        <v>趣点购浦发</v>
      </c>
      <c r="D4810" s="8">
        <v>0</v>
      </c>
      <c r="E4810" s="7">
        <v>0</v>
      </c>
      <c r="F4810" s="8">
        <v>0</v>
      </c>
      <c r="G4810" s="7">
        <v>0</v>
      </c>
      <c r="H4810" s="7">
        <v>81211.819999998</v>
      </c>
      <c r="I4810" s="7">
        <v>0</v>
      </c>
      <c r="J4810" s="8">
        <v>0</v>
      </c>
      <c r="K4810" s="9" t="str">
        <v/>
      </c>
    </row>
    <row r="4811" spans="1:11">
      <c r="A4811" t="str">
        <v/>
      </c>
      <c r="B4811" s="6">
        <v>0</v>
      </c>
      <c r="C4811" s="7" t="str">
        <v>趣点购浦发</v>
      </c>
      <c r="D4811" s="8">
        <v>0</v>
      </c>
      <c r="E4811" s="7">
        <v>0</v>
      </c>
      <c r="F4811" s="8">
        <v>0</v>
      </c>
      <c r="G4811" s="7">
        <v>0</v>
      </c>
      <c r="H4811" s="7">
        <v>81211.819999998</v>
      </c>
      <c r="I4811" s="7">
        <v>0</v>
      </c>
      <c r="J4811" s="8">
        <v>0</v>
      </c>
      <c r="K4811" s="9" t="str">
        <v/>
      </c>
    </row>
    <row r="4812" spans="1:11">
      <c r="A4812" t="str">
        <v/>
      </c>
      <c r="B4812" s="6">
        <v>0</v>
      </c>
      <c r="C4812" s="7" t="str">
        <v>趣点购浦发</v>
      </c>
      <c r="D4812" s="8">
        <v>0</v>
      </c>
      <c r="E4812" s="7">
        <v>0</v>
      </c>
      <c r="F4812" s="8">
        <v>0</v>
      </c>
      <c r="G4812" s="7">
        <v>0</v>
      </c>
      <c r="H4812" s="7">
        <v>81211.819999998</v>
      </c>
      <c r="I4812" s="7">
        <v>0</v>
      </c>
      <c r="J4812" s="8">
        <v>0</v>
      </c>
      <c r="K4812" s="9" t="str">
        <v/>
      </c>
    </row>
    <row r="4813" spans="1:11">
      <c r="A4813" t="str">
        <v/>
      </c>
      <c r="B4813" s="6">
        <v>0</v>
      </c>
      <c r="C4813" s="7" t="str">
        <v>趣点购浦发</v>
      </c>
      <c r="D4813" s="8">
        <v>0</v>
      </c>
      <c r="E4813" s="7">
        <v>0</v>
      </c>
      <c r="F4813" s="8">
        <v>0</v>
      </c>
      <c r="G4813" s="7">
        <v>0</v>
      </c>
      <c r="H4813" s="7">
        <v>81211.819999998</v>
      </c>
      <c r="I4813" s="7">
        <v>0</v>
      </c>
      <c r="J4813" s="8">
        <v>0</v>
      </c>
      <c r="K4813" s="9" t="str">
        <v/>
      </c>
    </row>
    <row r="4814" spans="1:11">
      <c r="A4814" t="str">
        <v/>
      </c>
      <c r="B4814" s="6">
        <v>0</v>
      </c>
      <c r="C4814" s="7" t="str">
        <v>趣点购浦发</v>
      </c>
      <c r="D4814" s="8">
        <v>0</v>
      </c>
      <c r="E4814" s="7">
        <v>0</v>
      </c>
      <c r="F4814" s="8">
        <v>0</v>
      </c>
      <c r="G4814" s="7">
        <v>0</v>
      </c>
      <c r="H4814" s="7">
        <v>81211.819999998</v>
      </c>
      <c r="I4814" s="7">
        <v>0</v>
      </c>
      <c r="J4814" s="8">
        <v>0</v>
      </c>
      <c r="K4814" s="9" t="str">
        <v/>
      </c>
    </row>
    <row r="4815" spans="1:11">
      <c r="A4815" t="str">
        <v/>
      </c>
      <c r="B4815" s="6">
        <v>0</v>
      </c>
      <c r="C4815" s="7" t="str">
        <v>趣点购浦发</v>
      </c>
      <c r="D4815" s="8">
        <v>0</v>
      </c>
      <c r="E4815" s="7">
        <v>0</v>
      </c>
      <c r="F4815" s="8">
        <v>0</v>
      </c>
      <c r="G4815" s="7">
        <v>0</v>
      </c>
      <c r="H4815" s="7">
        <v>81211.819999998</v>
      </c>
      <c r="I4815" s="7">
        <v>0</v>
      </c>
      <c r="J4815" s="8">
        <v>0</v>
      </c>
      <c r="K4815" s="9" t="str">
        <v/>
      </c>
    </row>
    <row r="4816" spans="1:11">
      <c r="A4816" t="str">
        <v/>
      </c>
      <c r="B4816" s="6">
        <v>0</v>
      </c>
      <c r="C4816" s="7" t="str">
        <v>趣点购浦发</v>
      </c>
      <c r="D4816" s="8">
        <v>0</v>
      </c>
      <c r="E4816" s="7">
        <v>0</v>
      </c>
      <c r="F4816" s="8">
        <v>0</v>
      </c>
      <c r="G4816" s="7">
        <v>0</v>
      </c>
      <c r="H4816" s="7">
        <v>81211.819999998</v>
      </c>
      <c r="I4816" s="7">
        <v>0</v>
      </c>
      <c r="J4816" s="8">
        <v>0</v>
      </c>
      <c r="K4816" s="9" t="str">
        <v/>
      </c>
    </row>
    <row r="4817" spans="1:11">
      <c r="A4817" t="str">
        <v/>
      </c>
      <c r="B4817" s="6">
        <v>0</v>
      </c>
      <c r="C4817" s="7" t="str">
        <v>趣点购浦发</v>
      </c>
      <c r="D4817" s="8">
        <v>0</v>
      </c>
      <c r="E4817" s="7">
        <v>0</v>
      </c>
      <c r="F4817" s="8">
        <v>0</v>
      </c>
      <c r="G4817" s="7">
        <v>0</v>
      </c>
      <c r="H4817" s="7">
        <v>81211.819999998</v>
      </c>
      <c r="I4817" s="7">
        <v>0</v>
      </c>
      <c r="J4817" s="8">
        <v>0</v>
      </c>
      <c r="K4817" s="9" t="str">
        <v/>
      </c>
    </row>
    <row r="4818" spans="1:11">
      <c r="A4818" t="str">
        <v/>
      </c>
      <c r="B4818" s="6">
        <v>0</v>
      </c>
      <c r="C4818" s="7" t="str">
        <v>趣点购浦发</v>
      </c>
      <c r="D4818" s="8">
        <v>0</v>
      </c>
      <c r="E4818" s="7">
        <v>0</v>
      </c>
      <c r="F4818" s="8">
        <v>0</v>
      </c>
      <c r="G4818" s="7">
        <v>0</v>
      </c>
      <c r="H4818" s="7">
        <v>81211.819999998</v>
      </c>
      <c r="I4818" s="7">
        <v>0</v>
      </c>
      <c r="J4818" s="8">
        <v>0</v>
      </c>
      <c r="K4818" s="9" t="str">
        <v/>
      </c>
    </row>
    <row r="4819" spans="1:11">
      <c r="A4819" t="str">
        <v/>
      </c>
      <c r="B4819" s="6">
        <v>0</v>
      </c>
      <c r="C4819" s="7" t="str">
        <v>趣点购浦发</v>
      </c>
      <c r="D4819" s="8">
        <v>0</v>
      </c>
      <c r="E4819" s="7">
        <v>0</v>
      </c>
      <c r="F4819" s="8">
        <v>0</v>
      </c>
      <c r="G4819" s="7">
        <v>0</v>
      </c>
      <c r="H4819" s="7">
        <v>81211.819999998</v>
      </c>
      <c r="I4819" s="7">
        <v>0</v>
      </c>
      <c r="J4819" s="8">
        <v>0</v>
      </c>
      <c r="K4819" s="9" t="str">
        <v/>
      </c>
    </row>
    <row r="4820" spans="1:11">
      <c r="A4820" t="str">
        <v/>
      </c>
      <c r="B4820" s="6">
        <v>0</v>
      </c>
      <c r="C4820" s="7" t="str">
        <v>趣点购浦发</v>
      </c>
      <c r="D4820" s="8">
        <v>0</v>
      </c>
      <c r="E4820" s="7">
        <v>0</v>
      </c>
      <c r="F4820" s="8">
        <v>0</v>
      </c>
      <c r="G4820" s="7">
        <v>0</v>
      </c>
      <c r="H4820" s="7">
        <v>81211.819999998</v>
      </c>
      <c r="I4820" s="7">
        <v>0</v>
      </c>
      <c r="J4820" s="8">
        <v>0</v>
      </c>
      <c r="K4820" s="9" t="str">
        <v/>
      </c>
    </row>
    <row r="4821" spans="1:11">
      <c r="A4821" t="str">
        <v/>
      </c>
      <c r="B4821" s="6">
        <v>0</v>
      </c>
      <c r="C4821" s="7" t="str">
        <v>趣点购浦发</v>
      </c>
      <c r="D4821" s="8">
        <v>0</v>
      </c>
      <c r="E4821" s="7">
        <v>0</v>
      </c>
      <c r="F4821" s="8">
        <v>0</v>
      </c>
      <c r="G4821" s="7">
        <v>0</v>
      </c>
      <c r="H4821" s="7">
        <v>81211.819999998</v>
      </c>
      <c r="I4821" s="7">
        <v>0</v>
      </c>
      <c r="J4821" s="8">
        <v>0</v>
      </c>
      <c r="K4821" s="9" t="str">
        <v/>
      </c>
    </row>
    <row r="4822" spans="1:11">
      <c r="A4822" t="str">
        <v/>
      </c>
      <c r="B4822" s="6">
        <v>0</v>
      </c>
      <c r="C4822" s="7" t="str">
        <v>趣点购浦发</v>
      </c>
      <c r="D4822" s="8">
        <v>0</v>
      </c>
      <c r="E4822" s="7">
        <v>0</v>
      </c>
      <c r="F4822" s="8">
        <v>0</v>
      </c>
      <c r="G4822" s="7">
        <v>0</v>
      </c>
      <c r="H4822" s="7">
        <v>81211.819999998</v>
      </c>
      <c r="I4822" s="7">
        <v>0</v>
      </c>
      <c r="J4822" s="8">
        <v>0</v>
      </c>
      <c r="K4822" s="9" t="str">
        <v/>
      </c>
    </row>
    <row r="4823" spans="1:11">
      <c r="A4823" t="str">
        <v/>
      </c>
      <c r="B4823" s="6">
        <v>0</v>
      </c>
      <c r="C4823" s="7" t="str">
        <v>趣点购浦发</v>
      </c>
      <c r="D4823" s="8">
        <v>0</v>
      </c>
      <c r="E4823" s="7">
        <v>0</v>
      </c>
      <c r="F4823" s="8">
        <v>0</v>
      </c>
      <c r="G4823" s="7">
        <v>0</v>
      </c>
      <c r="H4823" s="7">
        <v>81211.819999998</v>
      </c>
      <c r="I4823" s="7">
        <v>0</v>
      </c>
      <c r="J4823" s="8">
        <v>0</v>
      </c>
      <c r="K4823" s="9" t="str">
        <v/>
      </c>
    </row>
    <row r="4824" spans="1:11">
      <c r="A4824" t="str">
        <v/>
      </c>
      <c r="B4824" s="6">
        <v>0</v>
      </c>
      <c r="C4824" s="7" t="str">
        <v>趣点购浦发</v>
      </c>
      <c r="D4824" s="8">
        <v>0</v>
      </c>
      <c r="E4824" s="7">
        <v>0</v>
      </c>
      <c r="F4824" s="8">
        <v>0</v>
      </c>
      <c r="G4824" s="7">
        <v>0</v>
      </c>
      <c r="H4824" s="7">
        <v>81211.819999998</v>
      </c>
      <c r="I4824" s="7">
        <v>0</v>
      </c>
      <c r="J4824" s="8">
        <v>0</v>
      </c>
      <c r="K4824" s="9" t="str">
        <v/>
      </c>
    </row>
    <row r="4825" spans="1:11">
      <c r="A4825" t="str">
        <v/>
      </c>
      <c r="B4825" s="6">
        <v>0</v>
      </c>
      <c r="C4825" s="7" t="str">
        <v>趣点购浦发</v>
      </c>
      <c r="D4825" s="8">
        <v>0</v>
      </c>
      <c r="E4825" s="7">
        <v>0</v>
      </c>
      <c r="F4825" s="8">
        <v>0</v>
      </c>
      <c r="G4825" s="7">
        <v>0</v>
      </c>
      <c r="H4825" s="7">
        <v>81211.819999998</v>
      </c>
      <c r="I4825" s="7">
        <v>0</v>
      </c>
      <c r="J4825" s="8">
        <v>0</v>
      </c>
      <c r="K4825" s="9" t="str">
        <v/>
      </c>
    </row>
    <row r="4826" spans="1:11">
      <c r="A4826" t="str">
        <v/>
      </c>
      <c r="B4826" s="6">
        <v>0</v>
      </c>
      <c r="C4826" s="7" t="str">
        <v>趣点购浦发</v>
      </c>
      <c r="D4826" s="8">
        <v>0</v>
      </c>
      <c r="E4826" s="7">
        <v>0</v>
      </c>
      <c r="F4826" s="8">
        <v>0</v>
      </c>
      <c r="G4826" s="7">
        <v>0</v>
      </c>
      <c r="H4826" s="7">
        <v>81211.819999998</v>
      </c>
      <c r="I4826" s="7">
        <v>0</v>
      </c>
      <c r="J4826" s="8">
        <v>0</v>
      </c>
      <c r="K4826" s="9" t="str">
        <v/>
      </c>
    </row>
    <row r="4827" spans="1:11">
      <c r="A4827" t="str">
        <v/>
      </c>
      <c r="B4827" s="6">
        <v>0</v>
      </c>
      <c r="C4827" s="7" t="str">
        <v>趣点购浦发</v>
      </c>
      <c r="D4827" s="8">
        <v>0</v>
      </c>
      <c r="E4827" s="7">
        <v>0</v>
      </c>
      <c r="F4827" s="8">
        <v>0</v>
      </c>
      <c r="G4827" s="7">
        <v>0</v>
      </c>
      <c r="H4827" s="7">
        <v>81211.819999998</v>
      </c>
      <c r="I4827" s="7">
        <v>0</v>
      </c>
      <c r="J4827" s="8">
        <v>0</v>
      </c>
      <c r="K4827" s="9" t="str">
        <v/>
      </c>
    </row>
    <row r="4828" spans="1:11">
      <c r="A4828" t="str">
        <v/>
      </c>
      <c r="B4828" s="6">
        <v>0</v>
      </c>
      <c r="C4828" s="7" t="str">
        <v>趣点购浦发</v>
      </c>
      <c r="D4828" s="8">
        <v>0</v>
      </c>
      <c r="E4828" s="7">
        <v>0</v>
      </c>
      <c r="F4828" s="8">
        <v>0</v>
      </c>
      <c r="G4828" s="7">
        <v>0</v>
      </c>
      <c r="H4828" s="7">
        <v>81211.819999998</v>
      </c>
      <c r="I4828" s="7">
        <v>0</v>
      </c>
      <c r="J4828" s="8">
        <v>0</v>
      </c>
      <c r="K4828" s="9" t="str">
        <v/>
      </c>
    </row>
    <row r="4829" spans="1:11">
      <c r="A4829" t="str">
        <v/>
      </c>
      <c r="B4829" s="6">
        <v>0</v>
      </c>
      <c r="C4829" s="7" t="str">
        <v>趣点购浦发</v>
      </c>
      <c r="D4829" s="8">
        <v>0</v>
      </c>
      <c r="E4829" s="7">
        <v>0</v>
      </c>
      <c r="F4829" s="8">
        <v>0</v>
      </c>
      <c r="G4829" s="7">
        <v>0</v>
      </c>
      <c r="H4829" s="7">
        <v>81211.819999998</v>
      </c>
      <c r="I4829" s="7">
        <v>0</v>
      </c>
      <c r="J4829" s="8">
        <v>0</v>
      </c>
      <c r="K4829" s="9" t="str">
        <v/>
      </c>
    </row>
    <row r="4830" spans="1:11">
      <c r="A4830" t="str">
        <v/>
      </c>
      <c r="B4830" s="6">
        <v>0</v>
      </c>
      <c r="C4830" s="7" t="str">
        <v>趣点购浦发</v>
      </c>
      <c r="D4830" s="8">
        <v>0</v>
      </c>
      <c r="E4830" s="7">
        <v>0</v>
      </c>
      <c r="F4830" s="8">
        <v>0</v>
      </c>
      <c r="G4830" s="7">
        <v>0</v>
      </c>
      <c r="H4830" s="7">
        <v>81211.819999998</v>
      </c>
      <c r="I4830" s="7">
        <v>0</v>
      </c>
      <c r="J4830" s="8">
        <v>0</v>
      </c>
      <c r="K4830" s="9" t="str">
        <v/>
      </c>
    </row>
    <row r="4831" spans="1:11">
      <c r="A4831" t="str">
        <v/>
      </c>
      <c r="B4831" s="6">
        <v>0</v>
      </c>
      <c r="C4831" s="7" t="str">
        <v>趣点购浦发</v>
      </c>
      <c r="D4831" s="8">
        <v>0</v>
      </c>
      <c r="E4831" s="7">
        <v>0</v>
      </c>
      <c r="F4831" s="8">
        <v>0</v>
      </c>
      <c r="G4831" s="7">
        <v>0</v>
      </c>
      <c r="H4831" s="7">
        <v>81211.819999998</v>
      </c>
      <c r="I4831" s="7">
        <v>0</v>
      </c>
      <c r="J4831" s="8">
        <v>0</v>
      </c>
      <c r="K4831" s="9" t="str">
        <v/>
      </c>
    </row>
    <row r="4832" spans="1:11">
      <c r="A4832" t="str">
        <v/>
      </c>
      <c r="B4832" s="6">
        <v>0</v>
      </c>
      <c r="C4832" s="7" t="str">
        <v>趣点购浦发</v>
      </c>
      <c r="D4832" s="8">
        <v>0</v>
      </c>
      <c r="E4832" s="7">
        <v>0</v>
      </c>
      <c r="F4832" s="8">
        <v>0</v>
      </c>
      <c r="G4832" s="7">
        <v>0</v>
      </c>
      <c r="H4832" s="7">
        <v>81211.819999998</v>
      </c>
      <c r="I4832" s="7">
        <v>0</v>
      </c>
      <c r="J4832" s="8">
        <v>0</v>
      </c>
      <c r="K4832" s="9" t="str">
        <v/>
      </c>
    </row>
    <row r="4833" spans="1:11">
      <c r="A4833" t="str">
        <v/>
      </c>
      <c r="B4833" s="6">
        <v>0</v>
      </c>
      <c r="C4833" s="7" t="str">
        <v>趣点购浦发</v>
      </c>
      <c r="D4833" s="8">
        <v>0</v>
      </c>
      <c r="E4833" s="7">
        <v>0</v>
      </c>
      <c r="F4833" s="8">
        <v>0</v>
      </c>
      <c r="G4833" s="7">
        <v>0</v>
      </c>
      <c r="H4833" s="7">
        <v>81211.819999998</v>
      </c>
      <c r="I4833" s="7">
        <v>0</v>
      </c>
      <c r="J4833" s="8">
        <v>0</v>
      </c>
      <c r="K4833" s="9" t="str">
        <v/>
      </c>
    </row>
    <row r="4834" spans="1:11">
      <c r="A4834" t="str">
        <v/>
      </c>
      <c r="B4834" s="6">
        <v>0</v>
      </c>
      <c r="C4834" s="7" t="str">
        <v>趣点购浦发</v>
      </c>
      <c r="D4834" s="8">
        <v>0</v>
      </c>
      <c r="E4834" s="7">
        <v>0</v>
      </c>
      <c r="F4834" s="8">
        <v>0</v>
      </c>
      <c r="G4834" s="7">
        <v>0</v>
      </c>
      <c r="H4834" s="7">
        <v>81211.819999998</v>
      </c>
      <c r="I4834" s="7">
        <v>0</v>
      </c>
      <c r="J4834" s="8">
        <v>0</v>
      </c>
      <c r="K4834" s="9" t="str">
        <v/>
      </c>
    </row>
    <row r="4835" spans="1:11">
      <c r="A4835" t="str">
        <v/>
      </c>
      <c r="B4835" s="6">
        <v>0</v>
      </c>
      <c r="C4835" s="7" t="str">
        <v>趣点购浦发</v>
      </c>
      <c r="D4835" s="8">
        <v>0</v>
      </c>
      <c r="E4835" s="7">
        <v>0</v>
      </c>
      <c r="F4835" s="8">
        <v>0</v>
      </c>
      <c r="G4835" s="7">
        <v>0</v>
      </c>
      <c r="H4835" s="7">
        <v>81211.819999998</v>
      </c>
      <c r="I4835" s="7">
        <v>0</v>
      </c>
      <c r="J4835" s="8">
        <v>0</v>
      </c>
      <c r="K4835" s="9" t="str">
        <v/>
      </c>
    </row>
    <row r="4836" spans="1:11">
      <c r="A4836" t="str">
        <v/>
      </c>
      <c r="B4836" s="6">
        <v>0</v>
      </c>
      <c r="C4836" s="7" t="str">
        <v>趣点购浦发</v>
      </c>
      <c r="D4836" s="8">
        <v>0</v>
      </c>
      <c r="E4836" s="7">
        <v>0</v>
      </c>
      <c r="F4836" s="8">
        <v>0</v>
      </c>
      <c r="G4836" s="7">
        <v>0</v>
      </c>
      <c r="H4836" s="7">
        <v>81211.819999998</v>
      </c>
      <c r="I4836" s="7">
        <v>0</v>
      </c>
      <c r="J4836" s="8">
        <v>0</v>
      </c>
      <c r="K4836" s="9" t="str">
        <v/>
      </c>
    </row>
    <row r="4837" spans="1:11">
      <c r="A4837" t="str">
        <v/>
      </c>
      <c r="B4837" s="6">
        <v>0</v>
      </c>
      <c r="C4837" s="7" t="str">
        <v>趣点购浦发</v>
      </c>
      <c r="D4837" s="8">
        <v>0</v>
      </c>
      <c r="E4837" s="7">
        <v>0</v>
      </c>
      <c r="F4837" s="8">
        <v>0</v>
      </c>
      <c r="G4837" s="7">
        <v>0</v>
      </c>
      <c r="H4837" s="7">
        <v>81211.819999998</v>
      </c>
      <c r="I4837" s="7">
        <v>0</v>
      </c>
      <c r="J4837" s="8">
        <v>0</v>
      </c>
      <c r="K4837" s="9" t="str">
        <v/>
      </c>
    </row>
    <row r="4838" spans="1:11">
      <c r="A4838" t="str">
        <v/>
      </c>
      <c r="B4838" s="6">
        <v>0</v>
      </c>
      <c r="C4838" s="7" t="str">
        <v>趣点购浦发</v>
      </c>
      <c r="D4838" s="8">
        <v>0</v>
      </c>
      <c r="E4838" s="7">
        <v>0</v>
      </c>
      <c r="F4838" s="8">
        <v>0</v>
      </c>
      <c r="G4838" s="7">
        <v>0</v>
      </c>
      <c r="H4838" s="7">
        <v>81211.819999998</v>
      </c>
      <c r="I4838" s="7">
        <v>0</v>
      </c>
      <c r="J4838" s="8">
        <v>0</v>
      </c>
      <c r="K4838" s="9" t="str">
        <v/>
      </c>
    </row>
    <row r="4839" spans="1:11">
      <c r="A4839" t="str">
        <v/>
      </c>
      <c r="B4839" s="6">
        <v>0</v>
      </c>
      <c r="C4839" s="7" t="str">
        <v>趣点购浦发</v>
      </c>
      <c r="D4839" s="8">
        <v>0</v>
      </c>
      <c r="E4839" s="7">
        <v>0</v>
      </c>
      <c r="F4839" s="8">
        <v>0</v>
      </c>
      <c r="G4839" s="7">
        <v>0</v>
      </c>
      <c r="H4839" s="7">
        <v>81211.819999998</v>
      </c>
      <c r="I4839" s="7">
        <v>0</v>
      </c>
      <c r="J4839" s="8">
        <v>0</v>
      </c>
      <c r="K4839" s="9" t="str">
        <v/>
      </c>
    </row>
    <row r="4840" spans="1:11">
      <c r="A4840" t="str">
        <v/>
      </c>
      <c r="B4840" s="6">
        <v>0</v>
      </c>
      <c r="C4840" s="7" t="str">
        <v>趣点购浦发</v>
      </c>
      <c r="D4840" s="8">
        <v>0</v>
      </c>
      <c r="E4840" s="7">
        <v>0</v>
      </c>
      <c r="F4840" s="8">
        <v>0</v>
      </c>
      <c r="G4840" s="7">
        <v>0</v>
      </c>
      <c r="H4840" s="7">
        <v>81211.819999998</v>
      </c>
      <c r="I4840" s="7">
        <v>0</v>
      </c>
      <c r="J4840" s="8">
        <v>0</v>
      </c>
      <c r="K4840" s="9" t="str">
        <v/>
      </c>
    </row>
    <row r="4841" spans="1:11">
      <c r="A4841" t="str">
        <v/>
      </c>
      <c r="B4841" s="6">
        <v>0</v>
      </c>
      <c r="C4841" s="7" t="str">
        <v>趣点购浦发</v>
      </c>
      <c r="D4841" s="8">
        <v>0</v>
      </c>
      <c r="E4841" s="7">
        <v>0</v>
      </c>
      <c r="F4841" s="8">
        <v>0</v>
      </c>
      <c r="G4841" s="7">
        <v>0</v>
      </c>
      <c r="H4841" s="7">
        <v>81211.819999998</v>
      </c>
      <c r="I4841" s="7">
        <v>0</v>
      </c>
      <c r="J4841" s="8">
        <v>0</v>
      </c>
      <c r="K4841" s="9" t="str">
        <v/>
      </c>
    </row>
    <row r="4842" spans="1:11">
      <c r="A4842" t="str">
        <v/>
      </c>
      <c r="B4842" s="6">
        <v>0</v>
      </c>
      <c r="C4842" s="7" t="str">
        <v>趣点购浦发</v>
      </c>
      <c r="D4842" s="8">
        <v>0</v>
      </c>
      <c r="E4842" s="7">
        <v>0</v>
      </c>
      <c r="F4842" s="8">
        <v>0</v>
      </c>
      <c r="G4842" s="7">
        <v>0</v>
      </c>
      <c r="H4842" s="7">
        <v>81211.819999998</v>
      </c>
      <c r="I4842" s="7">
        <v>0</v>
      </c>
      <c r="J4842" s="8">
        <v>0</v>
      </c>
      <c r="K4842" s="9" t="str">
        <v/>
      </c>
    </row>
    <row r="4843" spans="1:11">
      <c r="A4843" t="str">
        <v/>
      </c>
      <c r="B4843" s="6">
        <v>0</v>
      </c>
      <c r="C4843" s="7" t="str">
        <v>趣点购浦发</v>
      </c>
      <c r="D4843" s="8">
        <v>0</v>
      </c>
      <c r="E4843" s="7">
        <v>0</v>
      </c>
      <c r="F4843" s="8">
        <v>0</v>
      </c>
      <c r="G4843" s="7">
        <v>0</v>
      </c>
      <c r="H4843" s="7">
        <v>81211.819999998</v>
      </c>
      <c r="I4843" s="7">
        <v>0</v>
      </c>
      <c r="J4843" s="8">
        <v>0</v>
      </c>
      <c r="K4843" s="9" t="str">
        <v/>
      </c>
    </row>
    <row r="4844" spans="1:11">
      <c r="A4844" t="str">
        <v/>
      </c>
      <c r="B4844" s="6">
        <v>0</v>
      </c>
      <c r="C4844" s="7" t="str">
        <v>趣点购浦发</v>
      </c>
      <c r="D4844" s="8">
        <v>0</v>
      </c>
      <c r="E4844" s="7">
        <v>0</v>
      </c>
      <c r="F4844" s="8">
        <v>0</v>
      </c>
      <c r="G4844" s="7">
        <v>0</v>
      </c>
      <c r="H4844" s="7">
        <v>81211.819999998</v>
      </c>
      <c r="I4844" s="7">
        <v>0</v>
      </c>
      <c r="J4844" s="8">
        <v>0</v>
      </c>
      <c r="K4844" s="9" t="str">
        <v/>
      </c>
    </row>
    <row r="4845" spans="1:11">
      <c r="A4845" t="str">
        <v/>
      </c>
      <c r="B4845" s="6">
        <v>0</v>
      </c>
      <c r="C4845" s="7" t="str">
        <v>趣点购浦发</v>
      </c>
      <c r="D4845" s="8">
        <v>0</v>
      </c>
      <c r="E4845" s="7">
        <v>0</v>
      </c>
      <c r="F4845" s="8">
        <v>0</v>
      </c>
      <c r="G4845" s="7">
        <v>0</v>
      </c>
      <c r="H4845" s="7">
        <v>81211.819999998</v>
      </c>
      <c r="I4845" s="7">
        <v>0</v>
      </c>
      <c r="J4845" s="8">
        <v>0</v>
      </c>
      <c r="K4845" s="9" t="str">
        <v/>
      </c>
    </row>
    <row r="4846" spans="1:11">
      <c r="A4846" t="str">
        <v/>
      </c>
      <c r="B4846" s="6">
        <v>0</v>
      </c>
      <c r="C4846" s="7" t="str">
        <v>趣点购浦发</v>
      </c>
      <c r="D4846" s="8">
        <v>0</v>
      </c>
      <c r="E4846" s="7">
        <v>0</v>
      </c>
      <c r="F4846" s="8">
        <v>0</v>
      </c>
      <c r="G4846" s="7">
        <v>0</v>
      </c>
      <c r="H4846" s="7">
        <v>81211.819999998</v>
      </c>
      <c r="I4846" s="7">
        <v>0</v>
      </c>
      <c r="J4846" s="8">
        <v>0</v>
      </c>
      <c r="K4846" s="9" t="str">
        <v/>
      </c>
    </row>
    <row r="4847" spans="1:11">
      <c r="A4847" t="str">
        <v/>
      </c>
      <c r="B4847" s="6">
        <v>0</v>
      </c>
      <c r="C4847" s="7" t="str">
        <v>趣点购浦发</v>
      </c>
      <c r="D4847" s="8">
        <v>0</v>
      </c>
      <c r="E4847" s="7">
        <v>0</v>
      </c>
      <c r="F4847" s="8">
        <v>0</v>
      </c>
      <c r="G4847" s="7">
        <v>0</v>
      </c>
      <c r="H4847" s="7">
        <v>81211.819999998</v>
      </c>
      <c r="I4847" s="7">
        <v>0</v>
      </c>
      <c r="J4847" s="8">
        <v>0</v>
      </c>
      <c r="K4847" s="9" t="str">
        <v/>
      </c>
    </row>
    <row r="4848" spans="1:11">
      <c r="A4848" t="str">
        <v/>
      </c>
      <c r="B4848" s="6">
        <v>0</v>
      </c>
      <c r="C4848" s="7" t="str">
        <v>趣点购浦发</v>
      </c>
      <c r="D4848" s="8">
        <v>0</v>
      </c>
      <c r="E4848" s="7">
        <v>0</v>
      </c>
      <c r="F4848" s="8">
        <v>0</v>
      </c>
      <c r="G4848" s="7">
        <v>0</v>
      </c>
      <c r="H4848" s="7">
        <v>81211.819999998</v>
      </c>
      <c r="I4848" s="7">
        <v>0</v>
      </c>
      <c r="J4848" s="8">
        <v>0</v>
      </c>
      <c r="K4848" s="9" t="str">
        <v/>
      </c>
    </row>
    <row r="4849" spans="1:11">
      <c r="A4849" t="str">
        <v/>
      </c>
      <c r="B4849" s="6">
        <v>0</v>
      </c>
      <c r="C4849" s="7" t="str">
        <v>趣点购浦发</v>
      </c>
      <c r="D4849" s="8">
        <v>0</v>
      </c>
      <c r="E4849" s="7">
        <v>0</v>
      </c>
      <c r="F4849" s="8">
        <v>0</v>
      </c>
      <c r="G4849" s="7">
        <v>0</v>
      </c>
      <c r="H4849" s="7">
        <v>81211.819999998</v>
      </c>
      <c r="I4849" s="7">
        <v>0</v>
      </c>
      <c r="J4849" s="8">
        <v>0</v>
      </c>
      <c r="K4849" s="9" t="str">
        <v/>
      </c>
    </row>
    <row r="4850" spans="1:11">
      <c r="A4850" t="str">
        <v/>
      </c>
      <c r="B4850" s="6">
        <v>0</v>
      </c>
      <c r="C4850" s="7" t="str">
        <v>趣点购浦发</v>
      </c>
      <c r="D4850" s="8">
        <v>0</v>
      </c>
      <c r="E4850" s="7">
        <v>0</v>
      </c>
      <c r="F4850" s="8">
        <v>0</v>
      </c>
      <c r="G4850" s="7">
        <v>0</v>
      </c>
      <c r="H4850" s="7">
        <v>81211.819999998</v>
      </c>
      <c r="I4850" s="7">
        <v>0</v>
      </c>
      <c r="J4850" s="8">
        <v>0</v>
      </c>
      <c r="K4850" s="9" t="str">
        <v/>
      </c>
    </row>
    <row r="4851" spans="1:11">
      <c r="A4851" t="str">
        <v/>
      </c>
      <c r="B4851" s="6">
        <v>0</v>
      </c>
      <c r="C4851" s="7" t="str">
        <v>趣点购浦发</v>
      </c>
      <c r="D4851" s="8">
        <v>0</v>
      </c>
      <c r="E4851" s="7">
        <v>0</v>
      </c>
      <c r="F4851" s="8">
        <v>0</v>
      </c>
      <c r="G4851" s="7">
        <v>0</v>
      </c>
      <c r="H4851" s="7">
        <v>81211.819999998</v>
      </c>
      <c r="I4851" s="7">
        <v>0</v>
      </c>
      <c r="J4851" s="8">
        <v>0</v>
      </c>
      <c r="K4851" s="9" t="str">
        <v/>
      </c>
    </row>
    <row r="4852" spans="1:11">
      <c r="A4852" t="str">
        <v/>
      </c>
      <c r="B4852" s="6">
        <v>0</v>
      </c>
      <c r="C4852" s="7" t="str">
        <v>趣点购浦发</v>
      </c>
      <c r="D4852" s="8">
        <v>0</v>
      </c>
      <c r="E4852" s="7">
        <v>0</v>
      </c>
      <c r="F4852" s="8">
        <v>0</v>
      </c>
      <c r="G4852" s="7">
        <v>0</v>
      </c>
      <c r="H4852" s="7">
        <v>81211.819999998</v>
      </c>
      <c r="I4852" s="7">
        <v>0</v>
      </c>
      <c r="J4852" s="8">
        <v>0</v>
      </c>
      <c r="K4852" s="9" t="str">
        <v/>
      </c>
    </row>
    <row r="4853" spans="1:11">
      <c r="A4853" t="str">
        <v/>
      </c>
      <c r="B4853" s="6">
        <v>0</v>
      </c>
      <c r="C4853" s="7" t="str">
        <v>趣点购浦发</v>
      </c>
      <c r="D4853" s="8">
        <v>0</v>
      </c>
      <c r="E4853" s="7">
        <v>0</v>
      </c>
      <c r="F4853" s="8">
        <v>0</v>
      </c>
      <c r="G4853" s="7">
        <v>0</v>
      </c>
      <c r="H4853" s="7">
        <v>81211.819999998</v>
      </c>
      <c r="I4853" s="7">
        <v>0</v>
      </c>
      <c r="J4853" s="8">
        <v>0</v>
      </c>
      <c r="K4853" s="9" t="str">
        <v/>
      </c>
    </row>
    <row r="4854" spans="1:11">
      <c r="A4854" t="str">
        <v/>
      </c>
      <c r="B4854" s="6">
        <v>0</v>
      </c>
      <c r="C4854" s="7" t="str">
        <v>趣点购浦发</v>
      </c>
      <c r="D4854" s="8">
        <v>0</v>
      </c>
      <c r="E4854" s="7">
        <v>0</v>
      </c>
      <c r="F4854" s="8">
        <v>0</v>
      </c>
      <c r="G4854" s="7">
        <v>0</v>
      </c>
      <c r="H4854" s="7">
        <v>81211.819999998</v>
      </c>
      <c r="I4854" s="7">
        <v>0</v>
      </c>
      <c r="J4854" s="8">
        <v>0</v>
      </c>
      <c r="K4854" s="9" t="str">
        <v/>
      </c>
    </row>
    <row r="4855" spans="1:11">
      <c r="A4855" t="str">
        <v/>
      </c>
      <c r="B4855" s="6">
        <v>0</v>
      </c>
      <c r="C4855" s="7" t="str">
        <v>趣点购浦发</v>
      </c>
      <c r="D4855" s="8">
        <v>0</v>
      </c>
      <c r="E4855" s="7">
        <v>0</v>
      </c>
      <c r="F4855" s="8">
        <v>0</v>
      </c>
      <c r="G4855" s="7">
        <v>0</v>
      </c>
      <c r="H4855" s="7">
        <v>81211.819999998</v>
      </c>
      <c r="I4855" s="7">
        <v>0</v>
      </c>
      <c r="J4855" s="8">
        <v>0</v>
      </c>
      <c r="K4855" s="9" t="str">
        <v/>
      </c>
    </row>
    <row r="4856" spans="1:11">
      <c r="A4856" t="str">
        <v/>
      </c>
      <c r="B4856" s="6">
        <v>0</v>
      </c>
      <c r="C4856" s="7" t="str">
        <v>趣点购浦发</v>
      </c>
      <c r="D4856" s="8">
        <v>0</v>
      </c>
      <c r="E4856" s="7">
        <v>0</v>
      </c>
      <c r="F4856" s="8">
        <v>0</v>
      </c>
      <c r="G4856" s="7">
        <v>0</v>
      </c>
      <c r="H4856" s="7">
        <v>81211.819999998</v>
      </c>
      <c r="I4856" s="7">
        <v>0</v>
      </c>
      <c r="J4856" s="8">
        <v>0</v>
      </c>
      <c r="K4856" s="9" t="str">
        <v/>
      </c>
    </row>
    <row r="4857" spans="1:11">
      <c r="A4857" t="str">
        <v/>
      </c>
      <c r="B4857" s="6">
        <v>0</v>
      </c>
      <c r="C4857" s="7" t="str">
        <v>趣点购浦发</v>
      </c>
      <c r="D4857" s="8">
        <v>0</v>
      </c>
      <c r="E4857" s="7">
        <v>0</v>
      </c>
      <c r="F4857" s="8">
        <v>0</v>
      </c>
      <c r="G4857" s="7">
        <v>0</v>
      </c>
      <c r="H4857" s="7">
        <v>81211.819999998</v>
      </c>
      <c r="I4857" s="7">
        <v>0</v>
      </c>
      <c r="J4857" s="8">
        <v>0</v>
      </c>
      <c r="K4857" s="9" t="str">
        <v/>
      </c>
    </row>
    <row r="4858" spans="1:11">
      <c r="A4858" t="str">
        <v/>
      </c>
      <c r="B4858" s="6">
        <v>0</v>
      </c>
      <c r="C4858" s="7" t="str">
        <v>趣点购浦发</v>
      </c>
      <c r="D4858" s="8">
        <v>0</v>
      </c>
      <c r="E4858" s="7">
        <v>0</v>
      </c>
      <c r="F4858" s="8">
        <v>0</v>
      </c>
      <c r="G4858" s="7">
        <v>0</v>
      </c>
      <c r="H4858" s="7">
        <v>81211.819999998</v>
      </c>
      <c r="I4858" s="7">
        <v>0</v>
      </c>
      <c r="J4858" s="8">
        <v>0</v>
      </c>
      <c r="K4858" s="9" t="str">
        <v/>
      </c>
    </row>
    <row r="4859" spans="1:11">
      <c r="A4859" t="str">
        <v/>
      </c>
      <c r="B4859" s="6">
        <v>0</v>
      </c>
      <c r="C4859" s="7" t="str">
        <v>趣点购浦发</v>
      </c>
      <c r="D4859" s="8">
        <v>0</v>
      </c>
      <c r="E4859" s="7">
        <v>0</v>
      </c>
      <c r="F4859" s="8">
        <v>0</v>
      </c>
      <c r="G4859" s="7">
        <v>0</v>
      </c>
      <c r="H4859" s="7">
        <v>81211.819999998</v>
      </c>
      <c r="I4859" s="7">
        <v>0</v>
      </c>
      <c r="J4859" s="8">
        <v>0</v>
      </c>
      <c r="K4859" s="9" t="str">
        <v/>
      </c>
    </row>
    <row r="4860" spans="1:11">
      <c r="A4860" t="str">
        <v/>
      </c>
      <c r="B4860" s="6">
        <v>0</v>
      </c>
      <c r="C4860" s="7" t="str">
        <v>趣点购浦发</v>
      </c>
      <c r="D4860" s="8">
        <v>0</v>
      </c>
      <c r="E4860" s="7">
        <v>0</v>
      </c>
      <c r="F4860" s="8">
        <v>0</v>
      </c>
      <c r="G4860" s="7">
        <v>0</v>
      </c>
      <c r="H4860" s="7">
        <v>81211.819999998</v>
      </c>
      <c r="I4860" s="7">
        <v>0</v>
      </c>
      <c r="J4860" s="8">
        <v>0</v>
      </c>
      <c r="K4860" s="9" t="str">
        <v/>
      </c>
    </row>
    <row r="4861" spans="1:11">
      <c r="A4861" t="str">
        <v/>
      </c>
      <c r="B4861" s="6">
        <v>0</v>
      </c>
      <c r="C4861" s="7" t="str">
        <v>趣点购浦发</v>
      </c>
      <c r="D4861" s="8">
        <v>0</v>
      </c>
      <c r="E4861" s="7">
        <v>0</v>
      </c>
      <c r="F4861" s="8">
        <v>0</v>
      </c>
      <c r="G4861" s="7">
        <v>0</v>
      </c>
      <c r="H4861" s="7">
        <v>81211.819999998</v>
      </c>
      <c r="I4861" s="7">
        <v>0</v>
      </c>
      <c r="J4861" s="8">
        <v>0</v>
      </c>
      <c r="K4861" s="9" t="str">
        <v/>
      </c>
    </row>
    <row r="4862" spans="1:11">
      <c r="A4862" t="str">
        <v/>
      </c>
      <c r="B4862" s="6">
        <v>0</v>
      </c>
      <c r="C4862" s="7" t="str">
        <v>趣点购浦发</v>
      </c>
      <c r="D4862" s="8">
        <v>0</v>
      </c>
      <c r="E4862" s="7">
        <v>0</v>
      </c>
      <c r="F4862" s="8">
        <v>0</v>
      </c>
      <c r="G4862" s="7">
        <v>0</v>
      </c>
      <c r="H4862" s="7">
        <v>81211.819999998</v>
      </c>
      <c r="I4862" s="7">
        <v>0</v>
      </c>
      <c r="J4862" s="8">
        <v>0</v>
      </c>
      <c r="K4862" s="9" t="str">
        <v/>
      </c>
    </row>
    <row r="4863" spans="1:11">
      <c r="A4863" t="str">
        <v/>
      </c>
      <c r="B4863" s="6">
        <v>0</v>
      </c>
      <c r="C4863" s="7" t="str">
        <v>趣点购浦发</v>
      </c>
      <c r="D4863" s="8">
        <v>0</v>
      </c>
      <c r="E4863" s="7">
        <v>0</v>
      </c>
      <c r="F4863" s="8">
        <v>0</v>
      </c>
      <c r="G4863" s="7">
        <v>0</v>
      </c>
      <c r="H4863" s="7">
        <v>81211.819999998</v>
      </c>
      <c r="I4863" s="7">
        <v>0</v>
      </c>
      <c r="J4863" s="8">
        <v>0</v>
      </c>
      <c r="K4863" s="9" t="str">
        <v/>
      </c>
    </row>
    <row r="4864" spans="1:11">
      <c r="A4864" t="str">
        <v/>
      </c>
      <c r="B4864" s="6">
        <v>0</v>
      </c>
      <c r="C4864" s="7" t="str">
        <v>趣点购浦发</v>
      </c>
      <c r="D4864" s="8">
        <v>0</v>
      </c>
      <c r="E4864" s="7">
        <v>0</v>
      </c>
      <c r="F4864" s="8">
        <v>0</v>
      </c>
      <c r="G4864" s="7">
        <v>0</v>
      </c>
      <c r="H4864" s="7">
        <v>81211.819999998</v>
      </c>
      <c r="I4864" s="7">
        <v>0</v>
      </c>
      <c r="J4864" s="8">
        <v>0</v>
      </c>
      <c r="K4864" s="9" t="str">
        <v/>
      </c>
    </row>
    <row r="4865" spans="1:11">
      <c r="A4865" t="str">
        <v/>
      </c>
      <c r="B4865" s="6">
        <v>0</v>
      </c>
      <c r="C4865" s="7" t="str">
        <v>趣点购浦发</v>
      </c>
      <c r="D4865" s="8">
        <v>0</v>
      </c>
      <c r="E4865" s="7">
        <v>0</v>
      </c>
      <c r="F4865" s="8">
        <v>0</v>
      </c>
      <c r="G4865" s="7">
        <v>0</v>
      </c>
      <c r="H4865" s="7">
        <v>81211.819999998</v>
      </c>
      <c r="I4865" s="7">
        <v>0</v>
      </c>
      <c r="J4865" s="8">
        <v>0</v>
      </c>
      <c r="K4865" s="9" t="str">
        <v/>
      </c>
    </row>
    <row r="4866" spans="1:11">
      <c r="A4866" t="str">
        <v/>
      </c>
      <c r="B4866" s="6">
        <v>0</v>
      </c>
      <c r="C4866" s="7" t="str">
        <v>趣点购浦发</v>
      </c>
      <c r="D4866" s="8">
        <v>0</v>
      </c>
      <c r="E4866" s="7">
        <v>0</v>
      </c>
      <c r="F4866" s="8">
        <v>0</v>
      </c>
      <c r="G4866" s="7">
        <v>0</v>
      </c>
      <c r="H4866" s="7">
        <v>81211.819999998</v>
      </c>
      <c r="I4866" s="7">
        <v>0</v>
      </c>
      <c r="J4866" s="8">
        <v>0</v>
      </c>
      <c r="K4866" s="9" t="str">
        <v/>
      </c>
    </row>
    <row r="4867" spans="1:11">
      <c r="A4867" t="str">
        <v/>
      </c>
      <c r="B4867" s="6">
        <v>0</v>
      </c>
      <c r="C4867" s="7" t="str">
        <v>趣点购浦发</v>
      </c>
      <c r="D4867" s="8">
        <v>0</v>
      </c>
      <c r="E4867" s="7">
        <v>0</v>
      </c>
      <c r="F4867" s="8">
        <v>0</v>
      </c>
      <c r="G4867" s="7">
        <v>0</v>
      </c>
      <c r="H4867" s="7">
        <v>81211.819999998</v>
      </c>
      <c r="I4867" s="7">
        <v>0</v>
      </c>
      <c r="J4867" s="8">
        <v>0</v>
      </c>
      <c r="K4867" s="9" t="str">
        <v/>
      </c>
    </row>
    <row r="4868" spans="1:11">
      <c r="A4868" t="str">
        <v/>
      </c>
      <c r="B4868" s="6">
        <v>0</v>
      </c>
      <c r="C4868" s="7" t="str">
        <v>趣点购浦发</v>
      </c>
      <c r="D4868" s="8">
        <v>0</v>
      </c>
      <c r="E4868" s="7">
        <v>0</v>
      </c>
      <c r="F4868" s="8">
        <v>0</v>
      </c>
      <c r="G4868" s="7">
        <v>0</v>
      </c>
      <c r="H4868" s="7">
        <v>81211.819999998</v>
      </c>
      <c r="I4868" s="7">
        <v>0</v>
      </c>
      <c r="J4868" s="8">
        <v>0</v>
      </c>
      <c r="K4868" s="9" t="str">
        <v/>
      </c>
    </row>
    <row r="4869" spans="1:11">
      <c r="A4869" t="str">
        <v/>
      </c>
      <c r="B4869" s="6">
        <v>0</v>
      </c>
      <c r="C4869" s="7" t="str">
        <v>趣点购浦发</v>
      </c>
      <c r="D4869" s="8">
        <v>0</v>
      </c>
      <c r="E4869" s="7">
        <v>0</v>
      </c>
      <c r="F4869" s="8">
        <v>0</v>
      </c>
      <c r="G4869" s="7">
        <v>0</v>
      </c>
      <c r="H4869" s="7">
        <v>81211.819999998</v>
      </c>
      <c r="I4869" s="7">
        <v>0</v>
      </c>
      <c r="J4869" s="8">
        <v>0</v>
      </c>
      <c r="K4869" s="9" t="str">
        <v/>
      </c>
    </row>
    <row r="4870" spans="1:11">
      <c r="A4870" t="str">
        <v/>
      </c>
      <c r="B4870" s="6">
        <v>0</v>
      </c>
      <c r="C4870" s="7" t="str">
        <v>趣点购浦发</v>
      </c>
      <c r="D4870" s="8">
        <v>0</v>
      </c>
      <c r="E4870" s="7">
        <v>0</v>
      </c>
      <c r="F4870" s="8">
        <v>0</v>
      </c>
      <c r="G4870" s="7">
        <v>0</v>
      </c>
      <c r="H4870" s="7">
        <v>81211.819999998</v>
      </c>
      <c r="I4870" s="7">
        <v>0</v>
      </c>
      <c r="J4870" s="8">
        <v>0</v>
      </c>
      <c r="K4870" s="9" t="str">
        <v/>
      </c>
    </row>
    <row r="4871" spans="1:11">
      <c r="A4871" t="str">
        <v/>
      </c>
      <c r="B4871" s="6">
        <v>0</v>
      </c>
      <c r="C4871" s="7" t="str">
        <v>趣点购浦发</v>
      </c>
      <c r="D4871" s="8">
        <v>0</v>
      </c>
      <c r="E4871" s="7">
        <v>0</v>
      </c>
      <c r="F4871" s="8">
        <v>0</v>
      </c>
      <c r="G4871" s="7">
        <v>0</v>
      </c>
      <c r="H4871" s="7">
        <v>81211.819999998</v>
      </c>
      <c r="I4871" s="7">
        <v>0</v>
      </c>
      <c r="J4871" s="8">
        <v>0</v>
      </c>
      <c r="K4871" s="9" t="str">
        <v/>
      </c>
    </row>
    <row r="4872" spans="1:11">
      <c r="A4872" t="str">
        <v/>
      </c>
      <c r="B4872" s="6">
        <v>0</v>
      </c>
      <c r="C4872" s="7" t="str">
        <v>趣点购浦发</v>
      </c>
      <c r="D4872" s="8">
        <v>0</v>
      </c>
      <c r="E4872" s="7">
        <v>0</v>
      </c>
      <c r="F4872" s="8">
        <v>0</v>
      </c>
      <c r="G4872" s="7">
        <v>0</v>
      </c>
      <c r="H4872" s="7">
        <v>81211.819999998</v>
      </c>
      <c r="I4872" s="7">
        <v>0</v>
      </c>
      <c r="J4872" s="8">
        <v>0</v>
      </c>
      <c r="K4872" s="9" t="str">
        <v/>
      </c>
    </row>
    <row r="4873" spans="1:11">
      <c r="A4873" t="str">
        <v/>
      </c>
      <c r="B4873" s="6">
        <v>0</v>
      </c>
      <c r="C4873" s="7" t="str">
        <v>趣点购浦发</v>
      </c>
      <c r="D4873" s="8">
        <v>0</v>
      </c>
      <c r="E4873" s="7">
        <v>0</v>
      </c>
      <c r="F4873" s="8">
        <v>0</v>
      </c>
      <c r="G4873" s="7">
        <v>0</v>
      </c>
      <c r="H4873" s="7">
        <v>81211.819999998</v>
      </c>
      <c r="I4873" s="7">
        <v>0</v>
      </c>
      <c r="J4873" s="8">
        <v>0</v>
      </c>
      <c r="K4873" s="9" t="str">
        <v/>
      </c>
    </row>
    <row r="4874" spans="1:11">
      <c r="A4874" t="str">
        <v/>
      </c>
      <c r="B4874" s="6">
        <v>0</v>
      </c>
      <c r="C4874" s="7" t="str">
        <v>趣点购浦发</v>
      </c>
      <c r="D4874" s="8">
        <v>0</v>
      </c>
      <c r="E4874" s="7">
        <v>0</v>
      </c>
      <c r="F4874" s="8">
        <v>0</v>
      </c>
      <c r="G4874" s="7">
        <v>0</v>
      </c>
      <c r="H4874" s="7">
        <v>81211.819999998</v>
      </c>
      <c r="I4874" s="7">
        <v>0</v>
      </c>
      <c r="J4874" s="8">
        <v>0</v>
      </c>
      <c r="K4874" s="9" t="str">
        <v/>
      </c>
    </row>
    <row r="4875" spans="1:11">
      <c r="A4875" t="str">
        <v/>
      </c>
      <c r="B4875" s="6">
        <v>0</v>
      </c>
      <c r="C4875" s="7" t="str">
        <v>趣点购浦发</v>
      </c>
      <c r="D4875" s="8">
        <v>0</v>
      </c>
      <c r="E4875" s="7">
        <v>0</v>
      </c>
      <c r="F4875" s="8">
        <v>0</v>
      </c>
      <c r="G4875" s="7">
        <v>0</v>
      </c>
      <c r="H4875" s="7">
        <v>81211.819999998</v>
      </c>
      <c r="I4875" s="7">
        <v>0</v>
      </c>
      <c r="J4875" s="8">
        <v>0</v>
      </c>
      <c r="K4875" s="9" t="str">
        <v/>
      </c>
    </row>
    <row r="4876" spans="1:11">
      <c r="A4876" t="str">
        <v/>
      </c>
      <c r="B4876" s="6">
        <v>0</v>
      </c>
      <c r="C4876" s="7" t="str">
        <v>趣点购浦发</v>
      </c>
      <c r="D4876" s="8">
        <v>0</v>
      </c>
      <c r="E4876" s="7">
        <v>0</v>
      </c>
      <c r="F4876" s="8">
        <v>0</v>
      </c>
      <c r="G4876" s="7">
        <v>0</v>
      </c>
      <c r="H4876" s="7">
        <v>81211.819999998</v>
      </c>
      <c r="I4876" s="7">
        <v>0</v>
      </c>
      <c r="J4876" s="8">
        <v>0</v>
      </c>
      <c r="K4876" s="9" t="str">
        <v/>
      </c>
    </row>
    <row r="4877" spans="1:11">
      <c r="A4877" t="str">
        <v/>
      </c>
      <c r="B4877" s="6">
        <v>0</v>
      </c>
      <c r="C4877" s="7" t="str">
        <v>趣点购浦发</v>
      </c>
      <c r="D4877" s="8">
        <v>0</v>
      </c>
      <c r="E4877" s="7">
        <v>0</v>
      </c>
      <c r="F4877" s="8">
        <v>0</v>
      </c>
      <c r="G4877" s="7">
        <v>0</v>
      </c>
      <c r="H4877" s="7">
        <v>81211.819999998</v>
      </c>
      <c r="I4877" s="7">
        <v>0</v>
      </c>
      <c r="J4877" s="8">
        <v>0</v>
      </c>
      <c r="K4877" s="9" t="str">
        <v/>
      </c>
    </row>
    <row r="4878" spans="1:11">
      <c r="A4878" t="str">
        <v/>
      </c>
      <c r="B4878" s="6">
        <v>0</v>
      </c>
      <c r="C4878" s="7" t="str">
        <v>趣点购浦发</v>
      </c>
      <c r="D4878" s="8">
        <v>0</v>
      </c>
      <c r="E4878" s="7">
        <v>0</v>
      </c>
      <c r="F4878" s="8">
        <v>0</v>
      </c>
      <c r="G4878" s="7">
        <v>0</v>
      </c>
      <c r="H4878" s="7">
        <v>81211.819999998</v>
      </c>
      <c r="I4878" s="7">
        <v>0</v>
      </c>
      <c r="J4878" s="8">
        <v>0</v>
      </c>
      <c r="K4878" s="9" t="str">
        <v/>
      </c>
    </row>
    <row r="4879" spans="1:11">
      <c r="A4879" t="str">
        <v/>
      </c>
      <c r="B4879" s="6">
        <v>0</v>
      </c>
      <c r="C4879" s="7" t="str">
        <v>趣点购浦发</v>
      </c>
      <c r="D4879" s="8">
        <v>0</v>
      </c>
      <c r="E4879" s="7">
        <v>0</v>
      </c>
      <c r="F4879" s="8">
        <v>0</v>
      </c>
      <c r="G4879" s="7">
        <v>0</v>
      </c>
      <c r="H4879" s="7">
        <v>81211.819999998</v>
      </c>
      <c r="I4879" s="7">
        <v>0</v>
      </c>
      <c r="J4879" s="8">
        <v>0</v>
      </c>
      <c r="K4879" s="9" t="str">
        <v/>
      </c>
    </row>
    <row r="4880" spans="1:11">
      <c r="A4880" t="str">
        <v/>
      </c>
      <c r="B4880" s="6">
        <v>0</v>
      </c>
      <c r="C4880" s="7" t="str">
        <v>趣点购浦发</v>
      </c>
      <c r="D4880" s="8">
        <v>0</v>
      </c>
      <c r="E4880" s="7">
        <v>0</v>
      </c>
      <c r="F4880" s="8">
        <v>0</v>
      </c>
      <c r="G4880" s="7">
        <v>0</v>
      </c>
      <c r="H4880" s="7">
        <v>81211.819999998</v>
      </c>
      <c r="I4880" s="7">
        <v>0</v>
      </c>
      <c r="J4880" s="8">
        <v>0</v>
      </c>
      <c r="K4880" s="9" t="str">
        <v/>
      </c>
    </row>
    <row r="4881" spans="1:11">
      <c r="A4881" t="str">
        <v/>
      </c>
      <c r="B4881" s="6">
        <v>0</v>
      </c>
      <c r="C4881" s="7" t="str">
        <v>趣点购浦发</v>
      </c>
      <c r="D4881" s="8">
        <v>0</v>
      </c>
      <c r="E4881" s="7">
        <v>0</v>
      </c>
      <c r="F4881" s="8">
        <v>0</v>
      </c>
      <c r="G4881" s="7">
        <v>0</v>
      </c>
      <c r="H4881" s="7">
        <v>81211.819999998</v>
      </c>
      <c r="I4881" s="7">
        <v>0</v>
      </c>
      <c r="J4881" s="8">
        <v>0</v>
      </c>
      <c r="K4881" s="9" t="str">
        <v/>
      </c>
    </row>
    <row r="4882" spans="1:11">
      <c r="A4882" t="str">
        <v/>
      </c>
      <c r="B4882" s="6">
        <v>0</v>
      </c>
      <c r="C4882" s="7" t="str">
        <v>趣点购浦发</v>
      </c>
      <c r="D4882" s="8">
        <v>0</v>
      </c>
      <c r="E4882" s="7">
        <v>0</v>
      </c>
      <c r="F4882" s="8">
        <v>0</v>
      </c>
      <c r="G4882" s="7">
        <v>0</v>
      </c>
      <c r="H4882" s="7">
        <v>81211.819999998</v>
      </c>
      <c r="I4882" s="7">
        <v>0</v>
      </c>
      <c r="J4882" s="8">
        <v>0</v>
      </c>
      <c r="K4882" s="9" t="str">
        <v/>
      </c>
    </row>
    <row r="4883" spans="1:11">
      <c r="A4883" t="str">
        <v/>
      </c>
      <c r="B4883" s="6">
        <v>0</v>
      </c>
      <c r="C4883" s="7" t="str">
        <v>趣点购浦发</v>
      </c>
      <c r="D4883" s="8">
        <v>0</v>
      </c>
      <c r="E4883" s="7">
        <v>0</v>
      </c>
      <c r="F4883" s="8">
        <v>0</v>
      </c>
      <c r="G4883" s="7">
        <v>0</v>
      </c>
      <c r="H4883" s="7">
        <v>81211.819999998</v>
      </c>
      <c r="I4883" s="7">
        <v>0</v>
      </c>
      <c r="J4883" s="8">
        <v>0</v>
      </c>
      <c r="K4883" s="9" t="str">
        <v/>
      </c>
    </row>
    <row r="4884" spans="1:11">
      <c r="A4884" t="str">
        <v/>
      </c>
      <c r="B4884" s="6">
        <v>0</v>
      </c>
      <c r="C4884" s="7" t="str">
        <v>趣点购浦发</v>
      </c>
      <c r="D4884" s="8">
        <v>0</v>
      </c>
      <c r="E4884" s="7">
        <v>0</v>
      </c>
      <c r="F4884" s="8">
        <v>0</v>
      </c>
      <c r="G4884" s="7">
        <v>0</v>
      </c>
      <c r="H4884" s="7">
        <v>81211.819999998</v>
      </c>
      <c r="I4884" s="7">
        <v>0</v>
      </c>
      <c r="J4884" s="8">
        <v>0</v>
      </c>
      <c r="K4884" s="9" t="str">
        <v/>
      </c>
    </row>
    <row r="4885" spans="1:11">
      <c r="A4885" t="str">
        <v/>
      </c>
      <c r="B4885" s="6">
        <v>0</v>
      </c>
      <c r="C4885" s="7" t="str">
        <v>趣点购浦发</v>
      </c>
      <c r="D4885" s="8">
        <v>0</v>
      </c>
      <c r="E4885" s="7">
        <v>0</v>
      </c>
      <c r="F4885" s="8">
        <v>0</v>
      </c>
      <c r="G4885" s="7">
        <v>0</v>
      </c>
      <c r="H4885" s="7">
        <v>81211.819999998</v>
      </c>
      <c r="I4885" s="7">
        <v>0</v>
      </c>
      <c r="J4885" s="8">
        <v>0</v>
      </c>
      <c r="K4885" s="9" t="str">
        <v/>
      </c>
    </row>
    <row r="4886" spans="1:11">
      <c r="A4886" t="str">
        <v/>
      </c>
      <c r="B4886" s="6">
        <v>0</v>
      </c>
      <c r="C4886" s="7" t="str">
        <v>趣点购浦发</v>
      </c>
      <c r="D4886" s="8">
        <v>0</v>
      </c>
      <c r="E4886" s="7">
        <v>0</v>
      </c>
      <c r="F4886" s="8">
        <v>0</v>
      </c>
      <c r="G4886" s="7">
        <v>0</v>
      </c>
      <c r="H4886" s="7">
        <v>81211.819999998</v>
      </c>
      <c r="I4886" s="7">
        <v>0</v>
      </c>
      <c r="J4886" s="8">
        <v>0</v>
      </c>
      <c r="K4886" s="9" t="str">
        <v/>
      </c>
    </row>
    <row r="4887" spans="1:11">
      <c r="A4887" t="str">
        <v/>
      </c>
      <c r="B4887" s="6">
        <v>0</v>
      </c>
      <c r="C4887" s="7" t="str">
        <v>趣点购浦发</v>
      </c>
      <c r="D4887" s="8">
        <v>0</v>
      </c>
      <c r="E4887" s="7">
        <v>0</v>
      </c>
      <c r="F4887" s="8">
        <v>0</v>
      </c>
      <c r="G4887" s="7">
        <v>0</v>
      </c>
      <c r="H4887" s="7">
        <v>81211.819999998</v>
      </c>
      <c r="I4887" s="7">
        <v>0</v>
      </c>
      <c r="J4887" s="8">
        <v>0</v>
      </c>
      <c r="K4887" s="9" t="str">
        <v/>
      </c>
    </row>
    <row r="4888" spans="1:11">
      <c r="A4888" t="str">
        <v/>
      </c>
      <c r="B4888" s="6">
        <v>0</v>
      </c>
      <c r="C4888" s="7" t="str">
        <v>趣点购浦发</v>
      </c>
      <c r="D4888" s="8">
        <v>0</v>
      </c>
      <c r="E4888" s="7">
        <v>0</v>
      </c>
      <c r="F4888" s="8">
        <v>0</v>
      </c>
      <c r="G4888" s="7">
        <v>0</v>
      </c>
      <c r="H4888" s="7">
        <v>81211.819999998</v>
      </c>
      <c r="I4888" s="7">
        <v>0</v>
      </c>
      <c r="J4888" s="8">
        <v>0</v>
      </c>
      <c r="K4888" s="9" t="str">
        <v/>
      </c>
    </row>
    <row r="4889" spans="1:11">
      <c r="A4889" t="str">
        <v/>
      </c>
      <c r="B4889" s="6">
        <v>0</v>
      </c>
      <c r="C4889" s="7" t="str">
        <v>趣点购浦发</v>
      </c>
      <c r="D4889" s="8">
        <v>0</v>
      </c>
      <c r="E4889" s="7">
        <v>0</v>
      </c>
      <c r="F4889" s="8">
        <v>0</v>
      </c>
      <c r="G4889" s="7">
        <v>0</v>
      </c>
      <c r="H4889" s="7">
        <v>81211.819999998</v>
      </c>
      <c r="I4889" s="7">
        <v>0</v>
      </c>
      <c r="J4889" s="8">
        <v>0</v>
      </c>
      <c r="K4889" s="9" t="str">
        <v/>
      </c>
    </row>
    <row r="4890" spans="1:11">
      <c r="A4890" t="str">
        <v/>
      </c>
      <c r="B4890" s="6">
        <v>0</v>
      </c>
      <c r="C4890" s="7" t="str">
        <v>趣点购浦发</v>
      </c>
      <c r="D4890" s="8">
        <v>0</v>
      </c>
      <c r="E4890" s="7">
        <v>0</v>
      </c>
      <c r="F4890" s="8">
        <v>0</v>
      </c>
      <c r="G4890" s="7">
        <v>0</v>
      </c>
      <c r="H4890" s="7">
        <v>81211.819999998</v>
      </c>
      <c r="I4890" s="7">
        <v>0</v>
      </c>
      <c r="J4890" s="8">
        <v>0</v>
      </c>
      <c r="K4890" s="9" t="str">
        <v/>
      </c>
    </row>
    <row r="4891" spans="1:11">
      <c r="A4891" t="str">
        <v/>
      </c>
      <c r="B4891" s="6">
        <v>0</v>
      </c>
      <c r="C4891" s="7" t="str">
        <v>趣点购浦发</v>
      </c>
      <c r="D4891" s="8">
        <v>0</v>
      </c>
      <c r="E4891" s="7">
        <v>0</v>
      </c>
      <c r="F4891" s="8">
        <v>0</v>
      </c>
      <c r="G4891" s="7">
        <v>0</v>
      </c>
      <c r="H4891" s="7">
        <v>81211.819999998</v>
      </c>
      <c r="I4891" s="7">
        <v>0</v>
      </c>
      <c r="J4891" s="8">
        <v>0</v>
      </c>
      <c r="K4891" s="9" t="str">
        <v/>
      </c>
    </row>
    <row r="4892" spans="1:11">
      <c r="A4892" t="str">
        <v/>
      </c>
      <c r="B4892" s="6">
        <v>0</v>
      </c>
      <c r="C4892" s="7" t="str">
        <v>趣点购浦发</v>
      </c>
      <c r="D4892" s="8">
        <v>0</v>
      </c>
      <c r="E4892" s="7">
        <v>0</v>
      </c>
      <c r="F4892" s="8">
        <v>0</v>
      </c>
      <c r="G4892" s="7">
        <v>0</v>
      </c>
      <c r="H4892" s="7">
        <v>81211.819999998</v>
      </c>
      <c r="I4892" s="7">
        <v>0</v>
      </c>
      <c r="J4892" s="8">
        <v>0</v>
      </c>
      <c r="K4892" s="9" t="str">
        <v/>
      </c>
    </row>
    <row r="4893" spans="1:11">
      <c r="A4893" t="str">
        <v/>
      </c>
      <c r="B4893" s="6">
        <v>0</v>
      </c>
      <c r="C4893" s="7" t="str">
        <v>趣点购浦发</v>
      </c>
      <c r="D4893" s="8">
        <v>0</v>
      </c>
      <c r="E4893" s="7">
        <v>0</v>
      </c>
      <c r="F4893" s="8">
        <v>0</v>
      </c>
      <c r="G4893" s="7">
        <v>0</v>
      </c>
      <c r="H4893" s="7">
        <v>81211.819999998</v>
      </c>
      <c r="I4893" s="7">
        <v>0</v>
      </c>
      <c r="J4893" s="8">
        <v>0</v>
      </c>
      <c r="K4893" s="9" t="str">
        <v/>
      </c>
    </row>
    <row r="4894" spans="1:11">
      <c r="A4894" t="str">
        <v/>
      </c>
      <c r="B4894" s="6">
        <v>0</v>
      </c>
      <c r="C4894" s="7" t="str">
        <v>趣点购浦发</v>
      </c>
      <c r="D4894" s="8">
        <v>0</v>
      </c>
      <c r="E4894" s="7">
        <v>0</v>
      </c>
      <c r="F4894" s="8">
        <v>0</v>
      </c>
      <c r="G4894" s="7">
        <v>0</v>
      </c>
      <c r="H4894" s="7">
        <v>81211.819999998</v>
      </c>
      <c r="I4894" s="7">
        <v>0</v>
      </c>
      <c r="J4894" s="8">
        <v>0</v>
      </c>
      <c r="K4894" s="9" t="str">
        <v/>
      </c>
    </row>
    <row r="4895" spans="1:11">
      <c r="A4895" t="str">
        <v/>
      </c>
      <c r="B4895" s="6">
        <v>0</v>
      </c>
      <c r="C4895" s="7" t="str">
        <v>趣点购浦发</v>
      </c>
      <c r="D4895" s="8">
        <v>0</v>
      </c>
      <c r="E4895" s="7">
        <v>0</v>
      </c>
      <c r="F4895" s="8">
        <v>0</v>
      </c>
      <c r="G4895" s="7">
        <v>0</v>
      </c>
      <c r="H4895" s="7">
        <v>81211.819999998</v>
      </c>
      <c r="I4895" s="7">
        <v>0</v>
      </c>
      <c r="J4895" s="8">
        <v>0</v>
      </c>
      <c r="K4895" s="9" t="str">
        <v/>
      </c>
    </row>
    <row r="4896" spans="1:11">
      <c r="A4896" t="str">
        <v/>
      </c>
      <c r="B4896" s="6">
        <v>0</v>
      </c>
      <c r="C4896" s="7" t="str">
        <v>趣点购浦发</v>
      </c>
      <c r="D4896" s="8">
        <v>0</v>
      </c>
      <c r="E4896" s="7">
        <v>0</v>
      </c>
      <c r="F4896" s="8">
        <v>0</v>
      </c>
      <c r="G4896" s="7">
        <v>0</v>
      </c>
      <c r="H4896" s="7">
        <v>81211.819999998</v>
      </c>
      <c r="I4896" s="7">
        <v>0</v>
      </c>
      <c r="J4896" s="8">
        <v>0</v>
      </c>
      <c r="K4896" s="9" t="str">
        <v/>
      </c>
    </row>
    <row r="4897" spans="1:11">
      <c r="A4897" t="str">
        <v/>
      </c>
      <c r="B4897" s="6">
        <v>0</v>
      </c>
      <c r="C4897" s="7" t="str">
        <v>趣点购浦发</v>
      </c>
      <c r="D4897" s="8">
        <v>0</v>
      </c>
      <c r="E4897" s="7">
        <v>0</v>
      </c>
      <c r="F4897" s="8">
        <v>0</v>
      </c>
      <c r="G4897" s="7">
        <v>0</v>
      </c>
      <c r="H4897" s="7">
        <v>81211.819999998</v>
      </c>
      <c r="I4897" s="7">
        <v>0</v>
      </c>
      <c r="J4897" s="8">
        <v>0</v>
      </c>
      <c r="K4897" s="9" t="str">
        <v/>
      </c>
    </row>
    <row r="4898" spans="1:11">
      <c r="A4898" t="str">
        <v/>
      </c>
      <c r="B4898" s="6">
        <v>0</v>
      </c>
      <c r="C4898" s="7" t="str">
        <v>趣点购浦发</v>
      </c>
      <c r="D4898" s="8">
        <v>0</v>
      </c>
      <c r="E4898" s="7">
        <v>0</v>
      </c>
      <c r="F4898" s="8">
        <v>0</v>
      </c>
      <c r="G4898" s="7">
        <v>0</v>
      </c>
      <c r="H4898" s="7">
        <v>81211.819999998</v>
      </c>
      <c r="I4898" s="7">
        <v>0</v>
      </c>
      <c r="J4898" s="8">
        <v>0</v>
      </c>
      <c r="K4898" s="9" t="str">
        <v/>
      </c>
    </row>
    <row r="4899" spans="1:11">
      <c r="A4899" t="str">
        <v/>
      </c>
      <c r="B4899" s="6">
        <v>0</v>
      </c>
      <c r="C4899" s="7" t="str">
        <v>趣点购浦发</v>
      </c>
      <c r="D4899" s="8">
        <v>0</v>
      </c>
      <c r="E4899" s="7">
        <v>0</v>
      </c>
      <c r="F4899" s="8">
        <v>0</v>
      </c>
      <c r="G4899" s="7">
        <v>0</v>
      </c>
      <c r="H4899" s="7">
        <v>81211.819999998</v>
      </c>
      <c r="I4899" s="7">
        <v>0</v>
      </c>
      <c r="J4899" s="8">
        <v>0</v>
      </c>
      <c r="K4899" s="9" t="str">
        <v/>
      </c>
    </row>
    <row r="4900" spans="1:11">
      <c r="A4900" t="str">
        <v/>
      </c>
      <c r="B4900" s="6">
        <v>0</v>
      </c>
      <c r="C4900" s="7" t="str">
        <v>趣点购浦发</v>
      </c>
      <c r="D4900" s="8">
        <v>0</v>
      </c>
      <c r="E4900" s="7">
        <v>0</v>
      </c>
      <c r="F4900" s="8">
        <v>0</v>
      </c>
      <c r="G4900" s="7">
        <v>0</v>
      </c>
      <c r="H4900" s="7">
        <v>81211.819999998</v>
      </c>
      <c r="I4900" s="7">
        <v>0</v>
      </c>
      <c r="J4900" s="8">
        <v>0</v>
      </c>
      <c r="K4900" s="9" t="str">
        <v/>
      </c>
    </row>
    <row r="4901" spans="1:11">
      <c r="A4901" t="str">
        <v/>
      </c>
      <c r="B4901" s="6">
        <v>0</v>
      </c>
      <c r="C4901" s="7" t="str">
        <v>趣点购浦发</v>
      </c>
      <c r="D4901" s="8">
        <v>0</v>
      </c>
      <c r="E4901" s="7">
        <v>0</v>
      </c>
      <c r="F4901" s="8">
        <v>0</v>
      </c>
      <c r="G4901" s="7">
        <v>0</v>
      </c>
      <c r="H4901" s="7">
        <v>81211.819999998</v>
      </c>
      <c r="I4901" s="7">
        <v>0</v>
      </c>
      <c r="J4901" s="8">
        <v>0</v>
      </c>
      <c r="K4901" s="9" t="str">
        <v/>
      </c>
    </row>
    <row r="4902" spans="1:11">
      <c r="A4902" t="str">
        <v/>
      </c>
      <c r="B4902" s="6">
        <v>0</v>
      </c>
      <c r="C4902" s="7" t="str">
        <v>趣点购浦发</v>
      </c>
      <c r="D4902" s="8">
        <v>0</v>
      </c>
      <c r="E4902" s="7">
        <v>0</v>
      </c>
      <c r="F4902" s="8">
        <v>0</v>
      </c>
      <c r="G4902" s="7">
        <v>0</v>
      </c>
      <c r="H4902" s="7">
        <v>81211.819999998</v>
      </c>
      <c r="I4902" s="7">
        <v>0</v>
      </c>
      <c r="J4902" s="8">
        <v>0</v>
      </c>
      <c r="K4902" s="9" t="str">
        <v/>
      </c>
    </row>
    <row r="4903" spans="1:11">
      <c r="A4903" t="str">
        <v/>
      </c>
      <c r="B4903" s="6">
        <v>0</v>
      </c>
      <c r="C4903" s="7" t="str">
        <v>趣点购浦发</v>
      </c>
      <c r="D4903" s="8">
        <v>0</v>
      </c>
      <c r="E4903" s="7">
        <v>0</v>
      </c>
      <c r="F4903" s="8">
        <v>0</v>
      </c>
      <c r="G4903" s="7">
        <v>0</v>
      </c>
      <c r="H4903" s="7">
        <v>81211.819999998</v>
      </c>
      <c r="I4903" s="7">
        <v>0</v>
      </c>
      <c r="J4903" s="8">
        <v>0</v>
      </c>
      <c r="K4903" s="9" t="str">
        <v/>
      </c>
    </row>
    <row r="4904" spans="1:11">
      <c r="A4904" t="str">
        <v/>
      </c>
      <c r="B4904" s="6">
        <v>0</v>
      </c>
      <c r="C4904" s="7" t="str">
        <v>趣点购浦发</v>
      </c>
      <c r="D4904" s="8">
        <v>0</v>
      </c>
      <c r="E4904" s="7">
        <v>0</v>
      </c>
      <c r="F4904" s="8">
        <v>0</v>
      </c>
      <c r="G4904" s="7">
        <v>0</v>
      </c>
      <c r="H4904" s="7">
        <v>81211.819999998</v>
      </c>
      <c r="I4904" s="7">
        <v>0</v>
      </c>
      <c r="J4904" s="8">
        <v>0</v>
      </c>
      <c r="K4904" s="9" t="str">
        <v/>
      </c>
    </row>
    <row r="4905" spans="1:11">
      <c r="A4905" t="str">
        <v/>
      </c>
      <c r="B4905" s="6">
        <v>0</v>
      </c>
      <c r="C4905" s="7" t="str">
        <v>趣点购浦发</v>
      </c>
      <c r="D4905" s="8">
        <v>0</v>
      </c>
      <c r="E4905" s="7">
        <v>0</v>
      </c>
      <c r="F4905" s="8">
        <v>0</v>
      </c>
      <c r="G4905" s="7">
        <v>0</v>
      </c>
      <c r="H4905" s="7">
        <v>81211.819999998</v>
      </c>
      <c r="I4905" s="7">
        <v>0</v>
      </c>
      <c r="J4905" s="8">
        <v>0</v>
      </c>
      <c r="K4905" s="9" t="str">
        <v/>
      </c>
    </row>
    <row r="4906" spans="1:11">
      <c r="A4906" t="str">
        <v/>
      </c>
      <c r="B4906" s="6">
        <v>0</v>
      </c>
      <c r="C4906" s="7" t="str">
        <v>趣点购浦发</v>
      </c>
      <c r="D4906" s="8">
        <v>0</v>
      </c>
      <c r="E4906" s="7">
        <v>0</v>
      </c>
      <c r="F4906" s="8">
        <v>0</v>
      </c>
      <c r="G4906" s="7">
        <v>0</v>
      </c>
      <c r="H4906" s="7">
        <v>81211.819999998</v>
      </c>
      <c r="I4906" s="7">
        <v>0</v>
      </c>
      <c r="J4906" s="8">
        <v>0</v>
      </c>
      <c r="K4906" s="9" t="str">
        <v/>
      </c>
    </row>
    <row r="4907" spans="1:11">
      <c r="A4907" t="str">
        <v/>
      </c>
      <c r="B4907" s="6">
        <v>0</v>
      </c>
      <c r="C4907" s="7" t="str">
        <v>趣点购浦发</v>
      </c>
      <c r="D4907" s="8">
        <v>0</v>
      </c>
      <c r="E4907" s="7">
        <v>0</v>
      </c>
      <c r="F4907" s="8">
        <v>0</v>
      </c>
      <c r="G4907" s="7">
        <v>0</v>
      </c>
      <c r="H4907" s="7">
        <v>81211.819999998</v>
      </c>
      <c r="I4907" s="7">
        <v>0</v>
      </c>
      <c r="J4907" s="8">
        <v>0</v>
      </c>
      <c r="K4907" s="9" t="str">
        <v/>
      </c>
    </row>
    <row r="4908" spans="1:11">
      <c r="A4908" t="str">
        <v/>
      </c>
      <c r="B4908" s="6">
        <v>0</v>
      </c>
      <c r="C4908" s="7" t="str">
        <v>趣点购浦发</v>
      </c>
      <c r="D4908" s="8">
        <v>0</v>
      </c>
      <c r="E4908" s="7">
        <v>0</v>
      </c>
      <c r="F4908" s="8">
        <v>0</v>
      </c>
      <c r="G4908" s="7">
        <v>0</v>
      </c>
      <c r="H4908" s="7">
        <v>81211.819999998</v>
      </c>
      <c r="I4908" s="7">
        <v>0</v>
      </c>
      <c r="J4908" s="8">
        <v>0</v>
      </c>
      <c r="K4908" s="9" t="str">
        <v/>
      </c>
    </row>
    <row r="4909" spans="1:11">
      <c r="A4909" t="str">
        <v/>
      </c>
      <c r="B4909" s="6">
        <v>0</v>
      </c>
      <c r="C4909" s="7" t="str">
        <v>趣点购浦发</v>
      </c>
      <c r="D4909" s="8">
        <v>0</v>
      </c>
      <c r="E4909" s="7">
        <v>0</v>
      </c>
      <c r="F4909" s="8">
        <v>0</v>
      </c>
      <c r="G4909" s="7">
        <v>0</v>
      </c>
      <c r="H4909" s="7">
        <v>81211.819999998</v>
      </c>
      <c r="I4909" s="7">
        <v>0</v>
      </c>
      <c r="J4909" s="8">
        <v>0</v>
      </c>
      <c r="K4909" s="9" t="str">
        <v/>
      </c>
    </row>
    <row r="4910" spans="1:11">
      <c r="A4910" t="str">
        <v/>
      </c>
      <c r="B4910" s="6">
        <v>0</v>
      </c>
      <c r="C4910" s="7" t="str">
        <v>趣点购浦发</v>
      </c>
      <c r="D4910" s="8">
        <v>0</v>
      </c>
      <c r="E4910" s="7">
        <v>0</v>
      </c>
      <c r="F4910" s="8">
        <v>0</v>
      </c>
      <c r="G4910" s="7">
        <v>0</v>
      </c>
      <c r="H4910" s="7">
        <v>81211.819999998</v>
      </c>
      <c r="I4910" s="7">
        <v>0</v>
      </c>
      <c r="J4910" s="8">
        <v>0</v>
      </c>
      <c r="K4910" s="9" t="str">
        <v/>
      </c>
    </row>
    <row r="4911" spans="1:11">
      <c r="A4911" t="str">
        <v/>
      </c>
      <c r="B4911" s="6">
        <v>0</v>
      </c>
      <c r="C4911" s="7" t="str">
        <v>趣点购浦发</v>
      </c>
      <c r="D4911" s="8">
        <v>0</v>
      </c>
      <c r="E4911" s="7">
        <v>0</v>
      </c>
      <c r="F4911" s="8">
        <v>0</v>
      </c>
      <c r="G4911" s="7">
        <v>0</v>
      </c>
      <c r="H4911" s="7">
        <v>81211.819999998</v>
      </c>
      <c r="I4911" s="7">
        <v>0</v>
      </c>
      <c r="J4911" s="8">
        <v>0</v>
      </c>
      <c r="K4911" s="9" t="str">
        <v/>
      </c>
    </row>
    <row r="4912" spans="1:11">
      <c r="A4912" t="str">
        <v/>
      </c>
      <c r="B4912" s="6">
        <v>0</v>
      </c>
      <c r="C4912" s="7" t="str">
        <v>趣点购浦发</v>
      </c>
      <c r="D4912" s="8">
        <v>0</v>
      </c>
      <c r="E4912" s="7">
        <v>0</v>
      </c>
      <c r="F4912" s="8">
        <v>0</v>
      </c>
      <c r="G4912" s="7">
        <v>0</v>
      </c>
      <c r="H4912" s="7">
        <v>81211.819999998</v>
      </c>
      <c r="I4912" s="7">
        <v>0</v>
      </c>
      <c r="J4912" s="8">
        <v>0</v>
      </c>
      <c r="K4912" s="9" t="str">
        <v/>
      </c>
    </row>
    <row r="4913" spans="1:11">
      <c r="A4913" t="str">
        <v/>
      </c>
      <c r="B4913" s="6">
        <v>0</v>
      </c>
      <c r="C4913" s="7" t="str">
        <v>趣点购浦发</v>
      </c>
      <c r="D4913" s="8">
        <v>0</v>
      </c>
      <c r="E4913" s="7">
        <v>0</v>
      </c>
      <c r="F4913" s="8">
        <v>0</v>
      </c>
      <c r="G4913" s="7">
        <v>0</v>
      </c>
      <c r="H4913" s="7">
        <v>81211.819999998</v>
      </c>
      <c r="I4913" s="7">
        <v>0</v>
      </c>
      <c r="J4913" s="8">
        <v>0</v>
      </c>
      <c r="K4913" s="9" t="str">
        <v/>
      </c>
    </row>
    <row r="4914" spans="1:11">
      <c r="A4914" t="str">
        <v/>
      </c>
      <c r="B4914" s="6">
        <v>0</v>
      </c>
      <c r="C4914" s="7" t="str">
        <v>趣点购浦发</v>
      </c>
      <c r="D4914" s="8">
        <v>0</v>
      </c>
      <c r="E4914" s="7">
        <v>0</v>
      </c>
      <c r="F4914" s="8">
        <v>0</v>
      </c>
      <c r="G4914" s="7">
        <v>0</v>
      </c>
      <c r="H4914" s="7">
        <v>81211.819999998</v>
      </c>
      <c r="I4914" s="7">
        <v>0</v>
      </c>
      <c r="J4914" s="8">
        <v>0</v>
      </c>
      <c r="K4914" s="9" t="str">
        <v/>
      </c>
    </row>
    <row r="4915" spans="1:11">
      <c r="A4915" t="str">
        <v/>
      </c>
      <c r="B4915" s="6">
        <v>0</v>
      </c>
      <c r="C4915" s="7" t="str">
        <v>趣点购浦发</v>
      </c>
      <c r="D4915" s="8">
        <v>0</v>
      </c>
      <c r="E4915" s="7">
        <v>0</v>
      </c>
      <c r="F4915" s="8">
        <v>0</v>
      </c>
      <c r="G4915" s="7">
        <v>0</v>
      </c>
      <c r="H4915" s="7">
        <v>81211.819999998</v>
      </c>
      <c r="I4915" s="7">
        <v>0</v>
      </c>
      <c r="J4915" s="8">
        <v>0</v>
      </c>
      <c r="K4915" s="9" t="str">
        <v/>
      </c>
    </row>
    <row r="4916" spans="1:11">
      <c r="A4916" t="str">
        <v/>
      </c>
      <c r="B4916" s="6">
        <v>0</v>
      </c>
      <c r="C4916" s="7" t="str">
        <v>趣点购浦发</v>
      </c>
      <c r="D4916" s="8">
        <v>0</v>
      </c>
      <c r="E4916" s="7">
        <v>0</v>
      </c>
      <c r="F4916" s="8">
        <v>0</v>
      </c>
      <c r="G4916" s="7">
        <v>0</v>
      </c>
      <c r="H4916" s="7">
        <v>81211.819999998</v>
      </c>
      <c r="I4916" s="7">
        <v>0</v>
      </c>
      <c r="J4916" s="8">
        <v>0</v>
      </c>
      <c r="K4916" s="9" t="str">
        <v/>
      </c>
    </row>
    <row r="4917" spans="1:11">
      <c r="A4917" t="str">
        <v/>
      </c>
      <c r="B4917" s="6">
        <v>0</v>
      </c>
      <c r="C4917" s="7" t="str">
        <v>趣点购浦发</v>
      </c>
      <c r="D4917" s="8">
        <v>0</v>
      </c>
      <c r="E4917" s="7">
        <v>0</v>
      </c>
      <c r="F4917" s="8">
        <v>0</v>
      </c>
      <c r="G4917" s="7">
        <v>0</v>
      </c>
      <c r="H4917" s="7">
        <v>81211.819999998</v>
      </c>
      <c r="I4917" s="7">
        <v>0</v>
      </c>
      <c r="J4917" s="8">
        <v>0</v>
      </c>
      <c r="K4917" s="9" t="str">
        <v/>
      </c>
    </row>
    <row r="4918" spans="1:11">
      <c r="A4918" t="str">
        <v/>
      </c>
      <c r="B4918" s="6">
        <v>0</v>
      </c>
      <c r="C4918" s="7" t="str">
        <v>趣点购浦发</v>
      </c>
      <c r="D4918" s="8">
        <v>0</v>
      </c>
      <c r="E4918" s="7">
        <v>0</v>
      </c>
      <c r="F4918" s="8">
        <v>0</v>
      </c>
      <c r="G4918" s="7">
        <v>0</v>
      </c>
      <c r="H4918" s="7">
        <v>81211.819999998</v>
      </c>
      <c r="I4918" s="7">
        <v>0</v>
      </c>
      <c r="J4918" s="8">
        <v>0</v>
      </c>
      <c r="K4918" s="9" t="str">
        <v/>
      </c>
    </row>
    <row r="4919" spans="1:11">
      <c r="A4919" t="str">
        <v/>
      </c>
      <c r="B4919" s="6">
        <v>0</v>
      </c>
      <c r="C4919" s="7" t="str">
        <v>趣点购浦发</v>
      </c>
      <c r="D4919" s="8">
        <v>0</v>
      </c>
      <c r="E4919" s="7">
        <v>0</v>
      </c>
      <c r="F4919" s="8">
        <v>0</v>
      </c>
      <c r="G4919" s="7">
        <v>0</v>
      </c>
      <c r="H4919" s="7">
        <v>81211.819999998</v>
      </c>
      <c r="I4919" s="7">
        <v>0</v>
      </c>
      <c r="J4919" s="8">
        <v>0</v>
      </c>
      <c r="K4919" s="9" t="str">
        <v/>
      </c>
    </row>
    <row r="4920" spans="1:11">
      <c r="A4920" t="str">
        <v/>
      </c>
      <c r="B4920" s="6">
        <v>0</v>
      </c>
      <c r="C4920" s="7" t="str">
        <v>趣点购浦发</v>
      </c>
      <c r="D4920" s="8">
        <v>0</v>
      </c>
      <c r="E4920" s="7">
        <v>0</v>
      </c>
      <c r="F4920" s="8">
        <v>0</v>
      </c>
      <c r="G4920" s="7">
        <v>0</v>
      </c>
      <c r="H4920" s="7">
        <v>81211.819999998</v>
      </c>
      <c r="I4920" s="7">
        <v>0</v>
      </c>
      <c r="J4920" s="8">
        <v>0</v>
      </c>
      <c r="K4920" s="9" t="str">
        <v/>
      </c>
    </row>
    <row r="4921" spans="1:11">
      <c r="A4921" t="str">
        <v/>
      </c>
      <c r="B4921" s="6">
        <v>0</v>
      </c>
      <c r="C4921" s="7" t="str">
        <v>趣点购浦发</v>
      </c>
      <c r="D4921" s="8">
        <v>0</v>
      </c>
      <c r="E4921" s="7">
        <v>0</v>
      </c>
      <c r="F4921" s="8">
        <v>0</v>
      </c>
      <c r="G4921" s="7">
        <v>0</v>
      </c>
      <c r="H4921" s="7">
        <v>81211.819999998</v>
      </c>
      <c r="I4921" s="7">
        <v>0</v>
      </c>
      <c r="J4921" s="8">
        <v>0</v>
      </c>
      <c r="K4921" s="9" t="str">
        <v/>
      </c>
    </row>
    <row r="4922" spans="1:11">
      <c r="A4922" t="str">
        <v/>
      </c>
      <c r="B4922" s="6">
        <v>0</v>
      </c>
      <c r="C4922" s="7" t="str">
        <v>趣点购浦发</v>
      </c>
      <c r="D4922" s="8">
        <v>0</v>
      </c>
      <c r="E4922" s="7">
        <v>0</v>
      </c>
      <c r="F4922" s="8">
        <v>0</v>
      </c>
      <c r="G4922" s="7">
        <v>0</v>
      </c>
      <c r="H4922" s="7">
        <v>81211.819999998</v>
      </c>
      <c r="I4922" s="7">
        <v>0</v>
      </c>
      <c r="J4922" s="8">
        <v>0</v>
      </c>
      <c r="K4922" s="9" t="str">
        <v/>
      </c>
    </row>
    <row r="4923" spans="1:11">
      <c r="A4923" t="str">
        <v/>
      </c>
      <c r="B4923" s="6">
        <v>0</v>
      </c>
      <c r="C4923" s="7" t="str">
        <v>趣点购浦发</v>
      </c>
      <c r="D4923" s="8">
        <v>0</v>
      </c>
      <c r="E4923" s="7">
        <v>0</v>
      </c>
      <c r="F4923" s="8">
        <v>0</v>
      </c>
      <c r="G4923" s="7">
        <v>0</v>
      </c>
      <c r="H4923" s="7">
        <v>81211.819999998</v>
      </c>
      <c r="I4923" s="7">
        <v>0</v>
      </c>
      <c r="J4923" s="8">
        <v>0</v>
      </c>
      <c r="K4923" s="9" t="str">
        <v/>
      </c>
    </row>
    <row r="4924" spans="1:11">
      <c r="A4924" t="str">
        <v/>
      </c>
      <c r="B4924" s="6">
        <v>0</v>
      </c>
      <c r="C4924" s="7" t="str">
        <v>趣点购浦发</v>
      </c>
      <c r="D4924" s="8">
        <v>0</v>
      </c>
      <c r="E4924" s="7">
        <v>0</v>
      </c>
      <c r="F4924" s="8">
        <v>0</v>
      </c>
      <c r="G4924" s="7">
        <v>0</v>
      </c>
      <c r="H4924" s="7">
        <v>81211.819999998</v>
      </c>
      <c r="I4924" s="7">
        <v>0</v>
      </c>
      <c r="J4924" s="8">
        <v>0</v>
      </c>
      <c r="K4924" s="9" t="str">
        <v/>
      </c>
    </row>
    <row r="4925" spans="1:11">
      <c r="A4925" t="str">
        <v/>
      </c>
      <c r="B4925" s="6">
        <v>0</v>
      </c>
      <c r="C4925" s="7" t="str">
        <v>趣点购浦发</v>
      </c>
      <c r="D4925" s="8">
        <v>0</v>
      </c>
      <c r="E4925" s="7">
        <v>0</v>
      </c>
      <c r="F4925" s="8">
        <v>0</v>
      </c>
      <c r="G4925" s="7">
        <v>0</v>
      </c>
      <c r="H4925" s="7">
        <v>81211.819999998</v>
      </c>
      <c r="I4925" s="7">
        <v>0</v>
      </c>
      <c r="J4925" s="8">
        <v>0</v>
      </c>
      <c r="K4925" s="9" t="str">
        <v/>
      </c>
    </row>
    <row r="4926" spans="1:11">
      <c r="A4926" t="str">
        <v/>
      </c>
      <c r="B4926" s="6">
        <v>0</v>
      </c>
      <c r="C4926" s="7" t="str">
        <v>趣点购浦发</v>
      </c>
      <c r="D4926" s="8">
        <v>0</v>
      </c>
      <c r="E4926" s="7">
        <v>0</v>
      </c>
      <c r="F4926" s="8">
        <v>0</v>
      </c>
      <c r="G4926" s="7">
        <v>0</v>
      </c>
      <c r="H4926" s="7">
        <v>81211.819999998</v>
      </c>
      <c r="I4926" s="7">
        <v>0</v>
      </c>
      <c r="J4926" s="8">
        <v>0</v>
      </c>
      <c r="K4926" s="9" t="str">
        <v/>
      </c>
    </row>
    <row r="4927" spans="1:11">
      <c r="A4927" t="str">
        <v/>
      </c>
      <c r="B4927" s="6">
        <v>0</v>
      </c>
      <c r="C4927" s="7" t="str">
        <v>趣点购浦发</v>
      </c>
      <c r="D4927" s="8">
        <v>0</v>
      </c>
      <c r="E4927" s="7">
        <v>0</v>
      </c>
      <c r="F4927" s="8">
        <v>0</v>
      </c>
      <c r="G4927" s="7">
        <v>0</v>
      </c>
      <c r="H4927" s="7">
        <v>81211.819999998</v>
      </c>
      <c r="I4927" s="7">
        <v>0</v>
      </c>
      <c r="J4927" s="8">
        <v>0</v>
      </c>
      <c r="K4927" s="9" t="str">
        <v/>
      </c>
    </row>
    <row r="4928" spans="1:11">
      <c r="A4928" t="str">
        <v/>
      </c>
      <c r="B4928" s="6">
        <v>0</v>
      </c>
      <c r="C4928" s="7" t="str">
        <v>趣点购浦发</v>
      </c>
      <c r="D4928" s="8">
        <v>0</v>
      </c>
      <c r="E4928" s="7">
        <v>0</v>
      </c>
      <c r="F4928" s="8">
        <v>0</v>
      </c>
      <c r="G4928" s="7">
        <v>0</v>
      </c>
      <c r="H4928" s="7">
        <v>81211.819999998</v>
      </c>
      <c r="I4928" s="7">
        <v>0</v>
      </c>
      <c r="J4928" s="8">
        <v>0</v>
      </c>
      <c r="K4928" s="9" t="str">
        <v/>
      </c>
    </row>
    <row r="4929" spans="1:11">
      <c r="A4929" t="str">
        <v/>
      </c>
      <c r="B4929" s="6">
        <v>0</v>
      </c>
      <c r="C4929" s="7" t="str">
        <v>趣点购浦发</v>
      </c>
      <c r="D4929" s="8">
        <v>0</v>
      </c>
      <c r="E4929" s="7">
        <v>0</v>
      </c>
      <c r="F4929" s="8">
        <v>0</v>
      </c>
      <c r="G4929" s="7">
        <v>0</v>
      </c>
      <c r="H4929" s="7">
        <v>81211.819999998</v>
      </c>
      <c r="I4929" s="7">
        <v>0</v>
      </c>
      <c r="J4929" s="8">
        <v>0</v>
      </c>
      <c r="K4929" s="9" t="str">
        <v/>
      </c>
    </row>
    <row r="4930" spans="1:11">
      <c r="A4930" t="str">
        <v/>
      </c>
      <c r="B4930" s="6">
        <v>0</v>
      </c>
      <c r="C4930" s="7" t="str">
        <v>趣点购浦发</v>
      </c>
      <c r="D4930" s="8">
        <v>0</v>
      </c>
      <c r="E4930" s="7">
        <v>0</v>
      </c>
      <c r="F4930" s="8">
        <v>0</v>
      </c>
      <c r="G4930" s="7">
        <v>0</v>
      </c>
      <c r="H4930" s="7">
        <v>81211.819999998</v>
      </c>
      <c r="I4930" s="7">
        <v>0</v>
      </c>
      <c r="J4930" s="8">
        <v>0</v>
      </c>
      <c r="K4930" s="9" t="str">
        <v/>
      </c>
    </row>
    <row r="4931" spans="1:11">
      <c r="A4931" t="str">
        <v/>
      </c>
      <c r="B4931" s="6">
        <v>0</v>
      </c>
      <c r="C4931" s="7" t="str">
        <v>趣点购浦发</v>
      </c>
      <c r="D4931" s="8">
        <v>0</v>
      </c>
      <c r="E4931" s="7">
        <v>0</v>
      </c>
      <c r="F4931" s="8">
        <v>0</v>
      </c>
      <c r="G4931" s="7">
        <v>0</v>
      </c>
      <c r="H4931" s="7">
        <v>81211.819999998</v>
      </c>
      <c r="I4931" s="7">
        <v>0</v>
      </c>
      <c r="J4931" s="8">
        <v>0</v>
      </c>
      <c r="K4931" s="9" t="str">
        <v/>
      </c>
    </row>
    <row r="4932" spans="1:11">
      <c r="A4932" t="str">
        <v/>
      </c>
      <c r="B4932" s="6">
        <v>0</v>
      </c>
      <c r="C4932" s="7" t="str">
        <v>趣点购浦发</v>
      </c>
      <c r="D4932" s="8">
        <v>0</v>
      </c>
      <c r="E4932" s="7">
        <v>0</v>
      </c>
      <c r="F4932" s="8">
        <v>0</v>
      </c>
      <c r="G4932" s="7">
        <v>0</v>
      </c>
      <c r="H4932" s="7">
        <v>81211.819999998</v>
      </c>
      <c r="I4932" s="7">
        <v>0</v>
      </c>
      <c r="J4932" s="8">
        <v>0</v>
      </c>
      <c r="K4932" s="9" t="str">
        <v/>
      </c>
    </row>
    <row r="4933" spans="1:11">
      <c r="A4933" t="str">
        <v/>
      </c>
      <c r="B4933" s="6">
        <v>0</v>
      </c>
      <c r="C4933" s="7" t="str">
        <v>趣点购浦发</v>
      </c>
      <c r="D4933" s="8">
        <v>0</v>
      </c>
      <c r="E4933" s="7">
        <v>0</v>
      </c>
      <c r="F4933" s="8">
        <v>0</v>
      </c>
      <c r="G4933" s="7">
        <v>0</v>
      </c>
      <c r="H4933" s="7">
        <v>81211.819999998</v>
      </c>
      <c r="I4933" s="7">
        <v>0</v>
      </c>
      <c r="J4933" s="8">
        <v>0</v>
      </c>
      <c r="K4933" s="9" t="str">
        <v/>
      </c>
    </row>
    <row r="4934" spans="1:11">
      <c r="A4934" t="str">
        <v/>
      </c>
      <c r="B4934" s="6">
        <v>0</v>
      </c>
      <c r="C4934" s="7" t="str">
        <v>趣点购浦发</v>
      </c>
      <c r="D4934" s="8">
        <v>0</v>
      </c>
      <c r="E4934" s="7">
        <v>0</v>
      </c>
      <c r="F4934" s="8">
        <v>0</v>
      </c>
      <c r="G4934" s="7">
        <v>0</v>
      </c>
      <c r="H4934" s="7">
        <v>81211.819999998</v>
      </c>
      <c r="I4934" s="7">
        <v>0</v>
      </c>
      <c r="J4934" s="8">
        <v>0</v>
      </c>
      <c r="K4934" s="9" t="str">
        <v/>
      </c>
    </row>
    <row r="4935" spans="1:11">
      <c r="A4935" t="str">
        <v/>
      </c>
      <c r="B4935" s="6">
        <v>0</v>
      </c>
      <c r="C4935" s="7" t="str">
        <v>趣点购浦发</v>
      </c>
      <c r="D4935" s="8">
        <v>0</v>
      </c>
      <c r="E4935" s="7">
        <v>0</v>
      </c>
      <c r="F4935" s="8">
        <v>0</v>
      </c>
      <c r="G4935" s="7">
        <v>0</v>
      </c>
      <c r="H4935" s="7">
        <v>81211.819999998</v>
      </c>
      <c r="I4935" s="7">
        <v>0</v>
      </c>
      <c r="J4935" s="8">
        <v>0</v>
      </c>
      <c r="K4935" s="9" t="str">
        <v/>
      </c>
    </row>
    <row r="4936" spans="1:11">
      <c r="A4936" t="str">
        <v/>
      </c>
      <c r="B4936" s="6">
        <v>0</v>
      </c>
      <c r="C4936" s="7" t="str">
        <v>趣点购浦发</v>
      </c>
      <c r="D4936" s="8">
        <v>0</v>
      </c>
      <c r="E4936" s="7">
        <v>0</v>
      </c>
      <c r="F4936" s="8">
        <v>0</v>
      </c>
      <c r="G4936" s="7">
        <v>0</v>
      </c>
      <c r="H4936" s="7">
        <v>81211.819999998</v>
      </c>
      <c r="I4936" s="7">
        <v>0</v>
      </c>
      <c r="J4936" s="8">
        <v>0</v>
      </c>
      <c r="K4936" s="9" t="str">
        <v/>
      </c>
    </row>
    <row r="4937" spans="1:11">
      <c r="A4937" t="str">
        <v/>
      </c>
      <c r="B4937" s="6">
        <v>0</v>
      </c>
      <c r="C4937" s="7" t="str">
        <v>趣点购浦发</v>
      </c>
      <c r="D4937" s="8">
        <v>0</v>
      </c>
      <c r="E4937" s="7">
        <v>0</v>
      </c>
      <c r="F4937" s="8">
        <v>0</v>
      </c>
      <c r="G4937" s="7">
        <v>0</v>
      </c>
      <c r="H4937" s="7">
        <v>81211.819999998</v>
      </c>
      <c r="I4937" s="7">
        <v>0</v>
      </c>
      <c r="J4937" s="8">
        <v>0</v>
      </c>
      <c r="K4937" s="9" t="str">
        <v/>
      </c>
    </row>
    <row r="4938" spans="1:11">
      <c r="A4938" t="str">
        <v/>
      </c>
      <c r="B4938" s="6">
        <v>0</v>
      </c>
      <c r="C4938" s="7" t="str">
        <v>趣点购浦发</v>
      </c>
      <c r="D4938" s="8">
        <v>0</v>
      </c>
      <c r="E4938" s="7">
        <v>0</v>
      </c>
      <c r="F4938" s="8">
        <v>0</v>
      </c>
      <c r="G4938" s="7">
        <v>0</v>
      </c>
      <c r="H4938" s="7">
        <v>81211.819999998</v>
      </c>
      <c r="I4938" s="7">
        <v>0</v>
      </c>
      <c r="J4938" s="8">
        <v>0</v>
      </c>
      <c r="K4938" s="9" t="str">
        <v/>
      </c>
    </row>
    <row r="4939" spans="1:11">
      <c r="A4939" t="str">
        <v/>
      </c>
      <c r="B4939" s="6">
        <v>0</v>
      </c>
      <c r="C4939" s="7" t="str">
        <v>趣点购浦发</v>
      </c>
      <c r="D4939" s="8">
        <v>0</v>
      </c>
      <c r="E4939" s="7">
        <v>0</v>
      </c>
      <c r="F4939" s="8">
        <v>0</v>
      </c>
      <c r="G4939" s="7">
        <v>0</v>
      </c>
      <c r="H4939" s="7">
        <v>81211.819999998</v>
      </c>
      <c r="I4939" s="7">
        <v>0</v>
      </c>
      <c r="J4939" s="8">
        <v>0</v>
      </c>
      <c r="K4939" s="9" t="str">
        <v/>
      </c>
    </row>
    <row r="4940" spans="1:11">
      <c r="A4940" t="str">
        <v/>
      </c>
      <c r="B4940" s="6">
        <v>0</v>
      </c>
      <c r="C4940" s="7" t="str">
        <v>趣点购浦发</v>
      </c>
      <c r="D4940" s="8">
        <v>0</v>
      </c>
      <c r="E4940" s="7">
        <v>0</v>
      </c>
      <c r="F4940" s="8">
        <v>0</v>
      </c>
      <c r="G4940" s="7">
        <v>0</v>
      </c>
      <c r="H4940" s="7">
        <v>81211.819999998</v>
      </c>
      <c r="I4940" s="7">
        <v>0</v>
      </c>
      <c r="J4940" s="8">
        <v>0</v>
      </c>
      <c r="K4940" s="9" t="str">
        <v/>
      </c>
    </row>
    <row r="4941" spans="1:11">
      <c r="A4941" t="str">
        <v/>
      </c>
      <c r="B4941" s="6">
        <v>0</v>
      </c>
      <c r="C4941" s="7" t="str">
        <v>趣点购浦发</v>
      </c>
      <c r="D4941" s="8">
        <v>0</v>
      </c>
      <c r="E4941" s="7">
        <v>0</v>
      </c>
      <c r="F4941" s="8">
        <v>0</v>
      </c>
      <c r="G4941" s="7">
        <v>0</v>
      </c>
      <c r="H4941" s="7">
        <v>81211.819999998</v>
      </c>
      <c r="I4941" s="7">
        <v>0</v>
      </c>
      <c r="J4941" s="8">
        <v>0</v>
      </c>
      <c r="K4941" s="9" t="str">
        <v/>
      </c>
    </row>
    <row r="4942" spans="1:11">
      <c r="A4942" t="str">
        <v/>
      </c>
      <c r="B4942" s="6">
        <v>0</v>
      </c>
      <c r="C4942" s="7" t="str">
        <v>趣点购浦发</v>
      </c>
      <c r="D4942" s="8">
        <v>0</v>
      </c>
      <c r="E4942" s="7">
        <v>0</v>
      </c>
      <c r="F4942" s="8">
        <v>0</v>
      </c>
      <c r="G4942" s="7">
        <v>0</v>
      </c>
      <c r="H4942" s="7">
        <v>81211.819999998</v>
      </c>
      <c r="I4942" s="7">
        <v>0</v>
      </c>
      <c r="J4942" s="8">
        <v>0</v>
      </c>
      <c r="K4942" s="9" t="str">
        <v/>
      </c>
    </row>
    <row r="4943" spans="1:11">
      <c r="A4943" t="str">
        <v/>
      </c>
      <c r="B4943" s="6">
        <v>0</v>
      </c>
      <c r="C4943" s="7" t="str">
        <v>趣点购浦发</v>
      </c>
      <c r="D4943" s="8">
        <v>0</v>
      </c>
      <c r="E4943" s="7">
        <v>0</v>
      </c>
      <c r="F4943" s="8">
        <v>0</v>
      </c>
      <c r="G4943" s="7">
        <v>0</v>
      </c>
      <c r="H4943" s="7">
        <v>81211.819999998</v>
      </c>
      <c r="I4943" s="7">
        <v>0</v>
      </c>
      <c r="J4943" s="8">
        <v>0</v>
      </c>
      <c r="K4943" s="9" t="str">
        <v/>
      </c>
    </row>
    <row r="4944" spans="1:11">
      <c r="A4944" t="str">
        <v/>
      </c>
      <c r="B4944" s="6">
        <v>0</v>
      </c>
      <c r="C4944" s="7" t="str">
        <v>趣点购浦发</v>
      </c>
      <c r="D4944" s="8">
        <v>0</v>
      </c>
      <c r="E4944" s="7">
        <v>0</v>
      </c>
      <c r="F4944" s="8">
        <v>0</v>
      </c>
      <c r="G4944" s="7">
        <v>0</v>
      </c>
      <c r="H4944" s="7">
        <v>81211.819999998</v>
      </c>
      <c r="I4944" s="7">
        <v>0</v>
      </c>
      <c r="J4944" s="8">
        <v>0</v>
      </c>
      <c r="K4944" s="9" t="str">
        <v/>
      </c>
    </row>
    <row r="4945" spans="1:11">
      <c r="A4945" t="str">
        <v/>
      </c>
      <c r="B4945" s="6">
        <v>0</v>
      </c>
      <c r="C4945" s="7" t="str">
        <v>趣点购浦发</v>
      </c>
      <c r="D4945" s="8">
        <v>0</v>
      </c>
      <c r="E4945" s="7">
        <v>0</v>
      </c>
      <c r="F4945" s="8">
        <v>0</v>
      </c>
      <c r="G4945" s="7">
        <v>0</v>
      </c>
      <c r="H4945" s="7">
        <v>81211.819999998</v>
      </c>
      <c r="I4945" s="7">
        <v>0</v>
      </c>
      <c r="J4945" s="8">
        <v>0</v>
      </c>
      <c r="K4945" s="9" t="str">
        <v/>
      </c>
    </row>
    <row r="4946" spans="1:11">
      <c r="A4946" t="str">
        <v/>
      </c>
      <c r="B4946" s="6">
        <v>0</v>
      </c>
      <c r="C4946" s="7" t="str">
        <v>趣点购浦发</v>
      </c>
      <c r="D4946" s="8">
        <v>0</v>
      </c>
      <c r="E4946" s="7">
        <v>0</v>
      </c>
      <c r="F4946" s="8">
        <v>0</v>
      </c>
      <c r="G4946" s="7">
        <v>0</v>
      </c>
      <c r="H4946" s="7">
        <v>81211.819999998</v>
      </c>
      <c r="I4946" s="7">
        <v>0</v>
      </c>
      <c r="J4946" s="8">
        <v>0</v>
      </c>
      <c r="K4946" s="9" t="str">
        <v/>
      </c>
    </row>
    <row r="4947" spans="1:11">
      <c r="A4947" t="str">
        <v/>
      </c>
      <c r="B4947" s="6">
        <v>0</v>
      </c>
      <c r="C4947" s="7" t="str">
        <v>趣点购浦发</v>
      </c>
      <c r="D4947" s="8">
        <v>0</v>
      </c>
      <c r="E4947" s="7">
        <v>0</v>
      </c>
      <c r="F4947" s="8">
        <v>0</v>
      </c>
      <c r="G4947" s="7">
        <v>0</v>
      </c>
      <c r="H4947" s="7">
        <v>81211.819999998</v>
      </c>
      <c r="I4947" s="7">
        <v>0</v>
      </c>
      <c r="J4947" s="8">
        <v>0</v>
      </c>
      <c r="K4947" s="9" t="str">
        <v/>
      </c>
    </row>
    <row r="4948" spans="1:11">
      <c r="A4948" t="str">
        <v/>
      </c>
      <c r="B4948" s="6">
        <v>0</v>
      </c>
      <c r="C4948" s="7" t="str">
        <v>趣点购浦发</v>
      </c>
      <c r="D4948" s="8">
        <v>0</v>
      </c>
      <c r="E4948" s="7">
        <v>0</v>
      </c>
      <c r="F4948" s="8">
        <v>0</v>
      </c>
      <c r="G4948" s="7">
        <v>0</v>
      </c>
      <c r="H4948" s="7">
        <v>81211.819999998</v>
      </c>
      <c r="I4948" s="7">
        <v>0</v>
      </c>
      <c r="J4948" s="8">
        <v>0</v>
      </c>
      <c r="K4948" s="9" t="str">
        <v/>
      </c>
    </row>
    <row r="4949" spans="1:11">
      <c r="A4949" t="str">
        <v/>
      </c>
      <c r="B4949" s="6">
        <v>0</v>
      </c>
      <c r="C4949" s="7" t="str">
        <v>趣点购浦发</v>
      </c>
      <c r="D4949" s="8">
        <v>0</v>
      </c>
      <c r="E4949" s="7">
        <v>0</v>
      </c>
      <c r="F4949" s="8">
        <v>0</v>
      </c>
      <c r="G4949" s="7">
        <v>0</v>
      </c>
      <c r="H4949" s="7">
        <v>81211.819999998</v>
      </c>
      <c r="I4949" s="7">
        <v>0</v>
      </c>
      <c r="J4949" s="8">
        <v>0</v>
      </c>
      <c r="K4949" s="9" t="str">
        <v/>
      </c>
    </row>
    <row r="4950" spans="1:11">
      <c r="A4950" t="str">
        <v/>
      </c>
      <c r="B4950" s="6">
        <v>0</v>
      </c>
      <c r="C4950" s="7" t="str">
        <v>趣点购浦发</v>
      </c>
      <c r="D4950" s="8">
        <v>0</v>
      </c>
      <c r="E4950" s="7">
        <v>0</v>
      </c>
      <c r="F4950" s="8">
        <v>0</v>
      </c>
      <c r="G4950" s="7">
        <v>0</v>
      </c>
      <c r="H4950" s="7">
        <v>81211.819999998</v>
      </c>
      <c r="I4950" s="7">
        <v>0</v>
      </c>
      <c r="J4950" s="8">
        <v>0</v>
      </c>
      <c r="K4950" s="9" t="str">
        <v/>
      </c>
    </row>
    <row r="4951" spans="1:11">
      <c r="A4951" t="str">
        <v/>
      </c>
      <c r="B4951" s="6">
        <v>0</v>
      </c>
      <c r="C4951" s="7" t="str">
        <v>趣点购浦发</v>
      </c>
      <c r="D4951" s="8">
        <v>0</v>
      </c>
      <c r="E4951" s="7">
        <v>0</v>
      </c>
      <c r="F4951" s="8">
        <v>0</v>
      </c>
      <c r="G4951" s="7">
        <v>0</v>
      </c>
      <c r="H4951" s="7">
        <v>81211.819999998</v>
      </c>
      <c r="I4951" s="7">
        <v>0</v>
      </c>
      <c r="J4951" s="8">
        <v>0</v>
      </c>
      <c r="K4951" s="9" t="str">
        <v/>
      </c>
    </row>
    <row r="4952" spans="1:11">
      <c r="A4952" t="str">
        <v/>
      </c>
      <c r="B4952" s="6">
        <v>0</v>
      </c>
      <c r="C4952" s="7" t="str">
        <v>趣点购浦发</v>
      </c>
      <c r="D4952" s="8">
        <v>0</v>
      </c>
      <c r="E4952" s="7">
        <v>0</v>
      </c>
      <c r="F4952" s="8">
        <v>0</v>
      </c>
      <c r="G4952" s="7">
        <v>0</v>
      </c>
      <c r="H4952" s="7">
        <v>81211.819999998</v>
      </c>
      <c r="I4952" s="7">
        <v>0</v>
      </c>
      <c r="J4952" s="8">
        <v>0</v>
      </c>
      <c r="K4952" s="9" t="str">
        <v/>
      </c>
    </row>
    <row r="4953" spans="1:11">
      <c r="A4953" t="str">
        <v/>
      </c>
      <c r="B4953" s="6">
        <v>0</v>
      </c>
      <c r="C4953" s="7" t="str">
        <v>趣点购浦发</v>
      </c>
      <c r="D4953" s="8">
        <v>0</v>
      </c>
      <c r="E4953" s="7">
        <v>0</v>
      </c>
      <c r="F4953" s="8">
        <v>0</v>
      </c>
      <c r="G4953" s="7">
        <v>0</v>
      </c>
      <c r="H4953" s="7">
        <v>81211.819999998</v>
      </c>
      <c r="I4953" s="7">
        <v>0</v>
      </c>
      <c r="J4953" s="8">
        <v>0</v>
      </c>
      <c r="K4953" s="9" t="str">
        <v/>
      </c>
    </row>
    <row r="4954" spans="1:11">
      <c r="A4954" t="str">
        <v/>
      </c>
      <c r="B4954" s="6">
        <v>0</v>
      </c>
      <c r="C4954" s="7" t="str">
        <v>趣点购浦发</v>
      </c>
      <c r="D4954" s="8">
        <v>0</v>
      </c>
      <c r="E4954" s="7">
        <v>0</v>
      </c>
      <c r="F4954" s="8">
        <v>0</v>
      </c>
      <c r="G4954" s="7">
        <v>0</v>
      </c>
      <c r="H4954" s="7">
        <v>81211.819999998</v>
      </c>
      <c r="I4954" s="7">
        <v>0</v>
      </c>
      <c r="J4954" s="8">
        <v>0</v>
      </c>
      <c r="K4954" s="9" t="str">
        <v/>
      </c>
    </row>
    <row r="4955" spans="1:11">
      <c r="A4955" t="str">
        <v/>
      </c>
      <c r="B4955" s="6">
        <v>0</v>
      </c>
      <c r="C4955" s="7" t="str">
        <v>趣点购浦发</v>
      </c>
      <c r="D4955" s="8">
        <v>0</v>
      </c>
      <c r="E4955" s="7">
        <v>0</v>
      </c>
      <c r="F4955" s="8">
        <v>0</v>
      </c>
      <c r="G4955" s="7">
        <v>0</v>
      </c>
      <c r="H4955" s="7">
        <v>81211.819999998</v>
      </c>
      <c r="I4955" s="7">
        <v>0</v>
      </c>
      <c r="J4955" s="8">
        <v>0</v>
      </c>
      <c r="K4955" s="9" t="str">
        <v/>
      </c>
    </row>
    <row r="4956" spans="1:11">
      <c r="A4956" t="str">
        <v/>
      </c>
      <c r="B4956" s="6">
        <v>0</v>
      </c>
      <c r="C4956" s="7" t="str">
        <v>趣点购浦发</v>
      </c>
      <c r="D4956" s="8">
        <v>0</v>
      </c>
      <c r="E4956" s="7">
        <v>0</v>
      </c>
      <c r="F4956" s="8">
        <v>0</v>
      </c>
      <c r="G4956" s="7">
        <v>0</v>
      </c>
      <c r="H4956" s="7">
        <v>81211.819999998</v>
      </c>
      <c r="I4956" s="7">
        <v>0</v>
      </c>
      <c r="J4956" s="8">
        <v>0</v>
      </c>
      <c r="K4956" s="9" t="str">
        <v/>
      </c>
    </row>
    <row r="4957" spans="1:11">
      <c r="A4957" t="str">
        <v/>
      </c>
      <c r="B4957" s="6">
        <v>0</v>
      </c>
      <c r="C4957" s="7" t="str">
        <v>趣点购浦发</v>
      </c>
      <c r="D4957" s="8">
        <v>0</v>
      </c>
      <c r="E4957" s="7">
        <v>0</v>
      </c>
      <c r="F4957" s="8">
        <v>0</v>
      </c>
      <c r="G4957" s="7">
        <v>0</v>
      </c>
      <c r="H4957" s="7">
        <v>81211.819999998</v>
      </c>
      <c r="I4957" s="7">
        <v>0</v>
      </c>
      <c r="J4957" s="8">
        <v>0</v>
      </c>
      <c r="K4957" s="9" t="str">
        <v/>
      </c>
    </row>
    <row r="4958" spans="1:11">
      <c r="A4958" t="str">
        <v/>
      </c>
      <c r="B4958" s="6">
        <v>0</v>
      </c>
      <c r="C4958" s="7" t="str">
        <v>趣点购浦发</v>
      </c>
      <c r="D4958" s="8">
        <v>0</v>
      </c>
      <c r="E4958" s="7">
        <v>0</v>
      </c>
      <c r="F4958" s="8">
        <v>0</v>
      </c>
      <c r="G4958" s="7">
        <v>0</v>
      </c>
      <c r="H4958" s="7">
        <v>81211.819999998</v>
      </c>
      <c r="I4958" s="7">
        <v>0</v>
      </c>
      <c r="J4958" s="8">
        <v>0</v>
      </c>
      <c r="K4958" s="9" t="str">
        <v/>
      </c>
    </row>
    <row r="4959" spans="1:11">
      <c r="A4959" t="str">
        <v/>
      </c>
      <c r="B4959" s="6">
        <v>0</v>
      </c>
      <c r="C4959" s="7" t="str">
        <v>趣点购浦发</v>
      </c>
      <c r="D4959" s="8">
        <v>0</v>
      </c>
      <c r="E4959" s="7">
        <v>0</v>
      </c>
      <c r="F4959" s="8">
        <v>0</v>
      </c>
      <c r="G4959" s="7">
        <v>0</v>
      </c>
      <c r="H4959" s="7">
        <v>81211.819999998</v>
      </c>
      <c r="I4959" s="7">
        <v>0</v>
      </c>
      <c r="J4959" s="8">
        <v>0</v>
      </c>
      <c r="K4959" s="9" t="str">
        <v/>
      </c>
    </row>
    <row r="4960" spans="1:11">
      <c r="A4960" t="str">
        <v/>
      </c>
      <c r="B4960" s="6">
        <v>0</v>
      </c>
      <c r="C4960" s="7" t="str">
        <v>趣点购浦发</v>
      </c>
      <c r="D4960" s="8">
        <v>0</v>
      </c>
      <c r="E4960" s="7">
        <v>0</v>
      </c>
      <c r="F4960" s="8">
        <v>0</v>
      </c>
      <c r="G4960" s="7">
        <v>0</v>
      </c>
      <c r="H4960" s="7">
        <v>81211.819999998</v>
      </c>
      <c r="I4960" s="7">
        <v>0</v>
      </c>
      <c r="J4960" s="8">
        <v>0</v>
      </c>
      <c r="K4960" s="9" t="str">
        <v/>
      </c>
    </row>
    <row r="4961" spans="1:11">
      <c r="A4961" t="str">
        <v/>
      </c>
      <c r="B4961" s="6">
        <v>0</v>
      </c>
      <c r="C4961" s="7" t="str">
        <v>趣点购浦发</v>
      </c>
      <c r="D4961" s="8">
        <v>0</v>
      </c>
      <c r="E4961" s="7">
        <v>0</v>
      </c>
      <c r="F4961" s="8">
        <v>0</v>
      </c>
      <c r="G4961" s="7">
        <v>0</v>
      </c>
      <c r="H4961" s="7">
        <v>81211.819999998</v>
      </c>
      <c r="I4961" s="7">
        <v>0</v>
      </c>
      <c r="J4961" s="8">
        <v>0</v>
      </c>
      <c r="K4961" s="9" t="str">
        <v/>
      </c>
    </row>
    <row r="4962" spans="1:11">
      <c r="A4962" t="str">
        <v/>
      </c>
      <c r="B4962" s="6">
        <v>0</v>
      </c>
      <c r="C4962" s="7" t="str">
        <v>趣点购浦发</v>
      </c>
      <c r="D4962" s="8">
        <v>0</v>
      </c>
      <c r="E4962" s="7">
        <v>0</v>
      </c>
      <c r="F4962" s="8">
        <v>0</v>
      </c>
      <c r="G4962" s="7">
        <v>0</v>
      </c>
      <c r="H4962" s="7">
        <v>81211.819999998</v>
      </c>
      <c r="I4962" s="7">
        <v>0</v>
      </c>
      <c r="J4962" s="8">
        <v>0</v>
      </c>
      <c r="K4962" s="9" t="str">
        <v/>
      </c>
    </row>
    <row r="4963" spans="1:11">
      <c r="A4963" t="str">
        <v/>
      </c>
      <c r="B4963" s="6">
        <v>0</v>
      </c>
      <c r="C4963" s="7" t="str">
        <v>趣点购浦发</v>
      </c>
      <c r="D4963" s="8">
        <v>0</v>
      </c>
      <c r="E4963" s="7">
        <v>0</v>
      </c>
      <c r="F4963" s="8">
        <v>0</v>
      </c>
      <c r="G4963" s="7">
        <v>0</v>
      </c>
      <c r="H4963" s="7">
        <v>81211.819999998</v>
      </c>
      <c r="I4963" s="7">
        <v>0</v>
      </c>
      <c r="J4963" s="8">
        <v>0</v>
      </c>
      <c r="K4963" s="9" t="str">
        <v/>
      </c>
    </row>
    <row r="4964" spans="1:11">
      <c r="A4964" t="str">
        <v/>
      </c>
      <c r="B4964" s="6">
        <v>0</v>
      </c>
      <c r="C4964" s="7" t="str">
        <v>趣点购浦发</v>
      </c>
      <c r="D4964" s="8">
        <v>0</v>
      </c>
      <c r="E4964" s="7">
        <v>0</v>
      </c>
      <c r="F4964" s="8">
        <v>0</v>
      </c>
      <c r="G4964" s="7">
        <v>0</v>
      </c>
      <c r="H4964" s="7">
        <v>81211.819999998</v>
      </c>
      <c r="I4964" s="7">
        <v>0</v>
      </c>
      <c r="J4964" s="8">
        <v>0</v>
      </c>
      <c r="K4964" s="9" t="str">
        <v/>
      </c>
    </row>
    <row r="4965" spans="1:11">
      <c r="A4965" t="str">
        <v/>
      </c>
      <c r="B4965" s="6">
        <v>0</v>
      </c>
      <c r="C4965" s="7" t="str">
        <v>趣点购浦发</v>
      </c>
      <c r="D4965" s="8">
        <v>0</v>
      </c>
      <c r="E4965" s="7">
        <v>0</v>
      </c>
      <c r="F4965" s="8">
        <v>0</v>
      </c>
      <c r="G4965" s="7">
        <v>0</v>
      </c>
      <c r="H4965" s="7">
        <v>81211.819999998</v>
      </c>
      <c r="I4965" s="7">
        <v>0</v>
      </c>
      <c r="J4965" s="8">
        <v>0</v>
      </c>
      <c r="K4965" s="9" t="str">
        <v/>
      </c>
    </row>
    <row r="4966" spans="1:11">
      <c r="A4966" t="str">
        <v/>
      </c>
      <c r="B4966" s="6">
        <v>0</v>
      </c>
      <c r="C4966" s="7" t="str">
        <v>趣点购浦发</v>
      </c>
      <c r="D4966" s="8">
        <v>0</v>
      </c>
      <c r="E4966" s="7">
        <v>0</v>
      </c>
      <c r="F4966" s="8">
        <v>0</v>
      </c>
      <c r="G4966" s="7">
        <v>0</v>
      </c>
      <c r="H4966" s="7">
        <v>81211.819999998</v>
      </c>
      <c r="I4966" s="7">
        <v>0</v>
      </c>
      <c r="J4966" s="8">
        <v>0</v>
      </c>
      <c r="K4966" s="9" t="str">
        <v/>
      </c>
    </row>
    <row r="4967" spans="1:11">
      <c r="A4967" t="str">
        <v/>
      </c>
      <c r="B4967" s="6">
        <v>0</v>
      </c>
      <c r="C4967" s="7" t="str">
        <v>趣点购浦发</v>
      </c>
      <c r="D4967" s="8">
        <v>0</v>
      </c>
      <c r="E4967" s="7">
        <v>0</v>
      </c>
      <c r="F4967" s="8">
        <v>0</v>
      </c>
      <c r="G4967" s="7">
        <v>0</v>
      </c>
      <c r="H4967" s="7">
        <v>81211.819999998</v>
      </c>
      <c r="I4967" s="7">
        <v>0</v>
      </c>
      <c r="J4967" s="8">
        <v>0</v>
      </c>
      <c r="K4967" s="9" t="str">
        <v/>
      </c>
    </row>
    <row r="4968" spans="1:11">
      <c r="A4968" t="str">
        <v/>
      </c>
      <c r="B4968" s="6">
        <v>0</v>
      </c>
      <c r="C4968" s="7" t="str">
        <v>趣点购浦发</v>
      </c>
      <c r="D4968" s="8">
        <v>0</v>
      </c>
      <c r="E4968" s="7">
        <v>0</v>
      </c>
      <c r="F4968" s="8">
        <v>0</v>
      </c>
      <c r="G4968" s="7">
        <v>0</v>
      </c>
      <c r="H4968" s="7">
        <v>81211.819999998</v>
      </c>
      <c r="I4968" s="7">
        <v>0</v>
      </c>
      <c r="J4968" s="8">
        <v>0</v>
      </c>
      <c r="K4968" s="9" t="str">
        <v/>
      </c>
    </row>
    <row r="4969" spans="1:11">
      <c r="A4969" t="str">
        <v/>
      </c>
      <c r="B4969" s="6">
        <v>0</v>
      </c>
      <c r="C4969" s="7" t="str">
        <v>趣点购浦发</v>
      </c>
      <c r="D4969" s="8">
        <v>0</v>
      </c>
      <c r="E4969" s="7">
        <v>0</v>
      </c>
      <c r="F4969" s="8">
        <v>0</v>
      </c>
      <c r="G4969" s="7">
        <v>0</v>
      </c>
      <c r="H4969" s="7">
        <v>81211.819999998</v>
      </c>
      <c r="I4969" s="7">
        <v>0</v>
      </c>
      <c r="J4969" s="8">
        <v>0</v>
      </c>
      <c r="K4969" s="9" t="str">
        <v/>
      </c>
    </row>
    <row r="4970" spans="1:11">
      <c r="A4970" t="str">
        <v/>
      </c>
      <c r="B4970" s="6">
        <v>0</v>
      </c>
      <c r="C4970" s="7" t="str">
        <v>趣点购浦发</v>
      </c>
      <c r="D4970" s="8">
        <v>0</v>
      </c>
      <c r="E4970" s="7">
        <v>0</v>
      </c>
      <c r="F4970" s="8">
        <v>0</v>
      </c>
      <c r="G4970" s="7">
        <v>0</v>
      </c>
      <c r="H4970" s="7">
        <v>81211.819999998</v>
      </c>
      <c r="I4970" s="7">
        <v>0</v>
      </c>
      <c r="J4970" s="8">
        <v>0</v>
      </c>
      <c r="K4970" s="9" t="str">
        <v/>
      </c>
    </row>
    <row r="4971" spans="1:11">
      <c r="A4971" t="str">
        <v/>
      </c>
      <c r="B4971" s="6">
        <v>0</v>
      </c>
      <c r="C4971" s="7" t="str">
        <v>趣点购浦发</v>
      </c>
      <c r="D4971" s="8">
        <v>0</v>
      </c>
      <c r="E4971" s="7">
        <v>0</v>
      </c>
      <c r="F4971" s="8">
        <v>0</v>
      </c>
      <c r="G4971" s="7">
        <v>0</v>
      </c>
      <c r="H4971" s="7">
        <v>81211.819999998</v>
      </c>
      <c r="I4971" s="7">
        <v>0</v>
      </c>
      <c r="J4971" s="8">
        <v>0</v>
      </c>
      <c r="K4971" s="9" t="str">
        <v/>
      </c>
    </row>
    <row r="4972" spans="1:11">
      <c r="A4972" t="str">
        <v/>
      </c>
      <c r="B4972" s="6">
        <v>0</v>
      </c>
      <c r="C4972" s="7" t="str">
        <v>趣点购浦发</v>
      </c>
      <c r="D4972" s="8">
        <v>0</v>
      </c>
      <c r="E4972" s="7">
        <v>0</v>
      </c>
      <c r="F4972" s="8">
        <v>0</v>
      </c>
      <c r="G4972" s="7">
        <v>0</v>
      </c>
      <c r="H4972" s="7">
        <v>81211.819999998</v>
      </c>
      <c r="I4972" s="7">
        <v>0</v>
      </c>
      <c r="J4972" s="8">
        <v>0</v>
      </c>
      <c r="K4972" s="9" t="str">
        <v/>
      </c>
    </row>
    <row r="4973" spans="1:11">
      <c r="A4973" t="str">
        <v/>
      </c>
      <c r="B4973" s="6">
        <v>0</v>
      </c>
      <c r="C4973" s="7" t="str">
        <v>趣点购浦发</v>
      </c>
      <c r="D4973" s="8">
        <v>0</v>
      </c>
      <c r="E4973" s="7">
        <v>0</v>
      </c>
      <c r="F4973" s="8">
        <v>0</v>
      </c>
      <c r="G4973" s="7">
        <v>0</v>
      </c>
      <c r="H4973" s="7">
        <v>81211.819999998</v>
      </c>
      <c r="I4973" s="7">
        <v>0</v>
      </c>
      <c r="J4973" s="8">
        <v>0</v>
      </c>
      <c r="K4973" s="9" t="str">
        <v/>
      </c>
    </row>
    <row r="4974" spans="1:11">
      <c r="A4974" t="str">
        <v/>
      </c>
      <c r="B4974" s="6">
        <v>0</v>
      </c>
      <c r="C4974" s="7" t="str">
        <v>趣点购浦发</v>
      </c>
      <c r="D4974" s="8">
        <v>0</v>
      </c>
      <c r="E4974" s="7">
        <v>0</v>
      </c>
      <c r="F4974" s="8">
        <v>0</v>
      </c>
      <c r="G4974" s="7">
        <v>0</v>
      </c>
      <c r="H4974" s="7">
        <v>81211.819999998</v>
      </c>
      <c r="I4974" s="7">
        <v>0</v>
      </c>
      <c r="J4974" s="8">
        <v>0</v>
      </c>
      <c r="K4974" s="9" t="str">
        <v/>
      </c>
    </row>
    <row r="4975" spans="1:11">
      <c r="A4975" t="str">
        <v/>
      </c>
      <c r="B4975" s="6">
        <v>0</v>
      </c>
      <c r="C4975" s="7" t="str">
        <v>趣点购浦发</v>
      </c>
      <c r="D4975" s="8">
        <v>0</v>
      </c>
      <c r="E4975" s="7">
        <v>0</v>
      </c>
      <c r="F4975" s="8">
        <v>0</v>
      </c>
      <c r="G4975" s="7">
        <v>0</v>
      </c>
      <c r="H4975" s="7">
        <v>81211.819999998</v>
      </c>
      <c r="I4975" s="7">
        <v>0</v>
      </c>
      <c r="J4975" s="8">
        <v>0</v>
      </c>
      <c r="K4975" s="9" t="str">
        <v/>
      </c>
    </row>
    <row r="4976" spans="1:11">
      <c r="A4976" t="str">
        <v/>
      </c>
      <c r="B4976" s="6">
        <v>0</v>
      </c>
      <c r="C4976" s="7" t="str">
        <v>趣点购浦发</v>
      </c>
      <c r="D4976" s="8">
        <v>0</v>
      </c>
      <c r="E4976" s="7">
        <v>0</v>
      </c>
      <c r="F4976" s="8">
        <v>0</v>
      </c>
      <c r="G4976" s="7">
        <v>0</v>
      </c>
      <c r="H4976" s="7">
        <v>81211.819999998</v>
      </c>
      <c r="I4976" s="7">
        <v>0</v>
      </c>
      <c r="J4976" s="8">
        <v>0</v>
      </c>
      <c r="K4976" s="9" t="str">
        <v/>
      </c>
    </row>
    <row r="4977" spans="1:11">
      <c r="A4977" t="str">
        <v/>
      </c>
      <c r="B4977" s="6">
        <v>0</v>
      </c>
      <c r="C4977" s="7" t="str">
        <v>趣点购浦发</v>
      </c>
      <c r="D4977" s="8">
        <v>0</v>
      </c>
      <c r="E4977" s="7">
        <v>0</v>
      </c>
      <c r="F4977" s="8">
        <v>0</v>
      </c>
      <c r="G4977" s="7">
        <v>0</v>
      </c>
      <c r="H4977" s="7">
        <v>81211.819999998</v>
      </c>
      <c r="I4977" s="7">
        <v>0</v>
      </c>
      <c r="J4977" s="8">
        <v>0</v>
      </c>
      <c r="K4977" s="9" t="str">
        <v/>
      </c>
    </row>
    <row r="4978" spans="1:11">
      <c r="A4978" t="str">
        <v/>
      </c>
      <c r="B4978" s="6">
        <v>0</v>
      </c>
      <c r="C4978" s="7" t="str">
        <v>趣点购浦发</v>
      </c>
      <c r="D4978" s="8">
        <v>0</v>
      </c>
      <c r="E4978" s="7">
        <v>0</v>
      </c>
      <c r="F4978" s="8">
        <v>0</v>
      </c>
      <c r="G4978" s="7">
        <v>0</v>
      </c>
      <c r="H4978" s="7">
        <v>81211.819999998</v>
      </c>
      <c r="I4978" s="7">
        <v>0</v>
      </c>
      <c r="J4978" s="8">
        <v>0</v>
      </c>
      <c r="K4978" s="9" t="str">
        <v/>
      </c>
    </row>
    <row r="4979" spans="1:11">
      <c r="A4979" t="str">
        <v/>
      </c>
      <c r="B4979" s="6">
        <v>0</v>
      </c>
      <c r="C4979" s="7" t="str">
        <v>趣点购浦发</v>
      </c>
      <c r="D4979" s="8">
        <v>0</v>
      </c>
      <c r="E4979" s="7">
        <v>0</v>
      </c>
      <c r="F4979" s="8">
        <v>0</v>
      </c>
      <c r="G4979" s="7">
        <v>0</v>
      </c>
      <c r="H4979" s="7">
        <v>81211.819999998</v>
      </c>
      <c r="I4979" s="7">
        <v>0</v>
      </c>
      <c r="J4979" s="8">
        <v>0</v>
      </c>
      <c r="K4979" s="9" t="str">
        <v/>
      </c>
    </row>
    <row r="4980" spans="1:11">
      <c r="A4980" t="str">
        <v/>
      </c>
      <c r="B4980" s="6">
        <v>0</v>
      </c>
      <c r="C4980" s="7" t="str">
        <v>趣点购浦发</v>
      </c>
      <c r="D4980" s="8">
        <v>0</v>
      </c>
      <c r="E4980" s="7">
        <v>0</v>
      </c>
      <c r="F4980" s="8">
        <v>0</v>
      </c>
      <c r="G4980" s="7">
        <v>0</v>
      </c>
      <c r="H4980" s="7">
        <v>81211.819999998</v>
      </c>
      <c r="I4980" s="7">
        <v>0</v>
      </c>
      <c r="J4980" s="8">
        <v>0</v>
      </c>
      <c r="K4980" s="9" t="str">
        <v/>
      </c>
    </row>
    <row r="4981" spans="1:11">
      <c r="A4981" t="str">
        <v/>
      </c>
      <c r="B4981" s="6">
        <v>0</v>
      </c>
      <c r="C4981" s="7" t="str">
        <v>趣点购浦发</v>
      </c>
      <c r="D4981" s="8">
        <v>0</v>
      </c>
      <c r="E4981" s="7">
        <v>0</v>
      </c>
      <c r="F4981" s="8">
        <v>0</v>
      </c>
      <c r="G4981" s="7">
        <v>0</v>
      </c>
      <c r="H4981" s="7">
        <v>81211.819999998</v>
      </c>
      <c r="I4981" s="7">
        <v>0</v>
      </c>
      <c r="J4981" s="8">
        <v>0</v>
      </c>
      <c r="K4981" s="9" t="str">
        <v/>
      </c>
    </row>
    <row r="4982" spans="1:11">
      <c r="A4982" t="str">
        <v/>
      </c>
      <c r="B4982" s="6">
        <v>0</v>
      </c>
      <c r="C4982" s="7" t="str">
        <v>趣点购浦发</v>
      </c>
      <c r="D4982" s="8">
        <v>0</v>
      </c>
      <c r="E4982" s="7">
        <v>0</v>
      </c>
      <c r="F4982" s="8">
        <v>0</v>
      </c>
      <c r="G4982" s="7">
        <v>0</v>
      </c>
      <c r="H4982" s="7">
        <v>81211.819999998</v>
      </c>
      <c r="I4982" s="7">
        <v>0</v>
      </c>
      <c r="J4982" s="8">
        <v>0</v>
      </c>
      <c r="K4982" s="9" t="str">
        <v/>
      </c>
    </row>
    <row r="4983" spans="1:11">
      <c r="A4983" t="str">
        <v/>
      </c>
      <c r="B4983" s="6">
        <v>0</v>
      </c>
      <c r="C4983" s="7" t="str">
        <v>趣点购浦发</v>
      </c>
      <c r="D4983" s="8">
        <v>0</v>
      </c>
      <c r="E4983" s="7">
        <v>0</v>
      </c>
      <c r="F4983" s="8">
        <v>0</v>
      </c>
      <c r="G4983" s="7">
        <v>0</v>
      </c>
      <c r="H4983" s="7">
        <v>81211.819999998</v>
      </c>
      <c r="I4983" s="7">
        <v>0</v>
      </c>
      <c r="J4983" s="8">
        <v>0</v>
      </c>
      <c r="K4983" s="9" t="str">
        <v/>
      </c>
    </row>
    <row r="4984" spans="1:11">
      <c r="A4984" t="str">
        <v/>
      </c>
      <c r="B4984" s="6">
        <v>0</v>
      </c>
      <c r="C4984" s="7" t="str">
        <v>趣点购浦发</v>
      </c>
      <c r="D4984" s="8">
        <v>0</v>
      </c>
      <c r="E4984" s="7">
        <v>0</v>
      </c>
      <c r="F4984" s="8">
        <v>0</v>
      </c>
      <c r="G4984" s="7">
        <v>0</v>
      </c>
      <c r="H4984" s="7">
        <v>81211.819999998</v>
      </c>
      <c r="I4984" s="7">
        <v>0</v>
      </c>
      <c r="J4984" s="8">
        <v>0</v>
      </c>
      <c r="K4984" s="9" t="str">
        <v/>
      </c>
    </row>
  </sheetData>
  <autoFilter xmlns:etc="http://www.wps.cn/officeDocument/2017/etCustomData" ref="A3:K4984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K503"/>
  <sheetViews>
    <sheetView showGridLines="0" workbookViewId="0">
      <pane ySplit="3" topLeftCell="A4" activePane="bottomLeft" state="frozen"/>
      <selection/>
      <selection pane="bottomLeft" activeCell="D9" sqref="D9"/>
    </sheetView>
  </sheetViews>
  <sheetFormatPr defaultColWidth="9" defaultRowHeight="13.5"/>
  <cols>
    <col min="1" max="1" width="8" customWidth="1"/>
    <col min="2" max="2" width="14.1416666666667" style="6" customWidth="1"/>
    <col min="3" max="3" width="18" style="7" customWidth="1"/>
    <col min="4" max="4" width="14" style="8" customWidth="1"/>
    <col min="5" max="5" width="20" style="7" customWidth="1"/>
    <col min="6" max="6" width="18" style="8" customWidth="1"/>
    <col min="7" max="8" width="12" style="7" customWidth="1"/>
    <col min="9" max="9" width="16" style="7" customWidth="1"/>
    <col min="10" max="10" width="12" style="8" customWidth="1"/>
    <col min="11" max="11" width="7.375" style="9" customWidth="1"/>
    <col min="12" max="16372" width="10" style="5" customWidth="1"/>
    <col min="16373" max="16373" width="10" style="5"/>
    <col min="16374" max="16377" width="9" style="5"/>
    <col min="16378" max="16378" width="10" style="5"/>
    <col min="16379" max="16384" width="9" style="5"/>
  </cols>
  <sheetData>
    <row r="1" s="5" customFormat="1" ht="28" customHeight="1" spans="1:11">
      <c r="A1" s="10" t="s">
        <v>301</v>
      </c>
      <c r="B1" s="11"/>
      <c r="C1" s="12"/>
      <c r="D1" s="12"/>
      <c r="E1" s="12"/>
      <c r="F1" s="12"/>
      <c r="G1" s="12"/>
      <c r="H1" s="12"/>
      <c r="I1" s="12"/>
      <c r="J1" s="12"/>
      <c r="K1" s="13"/>
    </row>
    <row r="2" s="5" customFormat="1" ht="24" customHeight="1" spans="1:11">
      <c r="A2" s="14" t="s">
        <v>295</v>
      </c>
      <c r="B2" s="15" t="s">
        <v>52</v>
      </c>
      <c r="C2" s="16" t="s">
        <v>100</v>
      </c>
      <c r="D2" s="17">
        <f>IFERROR(VLOOKUP($B$2,数据录入!$C$5:$H$18,6,0),0)</f>
        <v>0</v>
      </c>
      <c r="E2" s="16" t="s">
        <v>296</v>
      </c>
      <c r="F2" s="17">
        <f>SUMIFS(数据录入!$F$19:$F$10000,数据录入!$C$19:$C$10000,$B$2)</f>
        <v>0</v>
      </c>
      <c r="G2" s="16" t="s">
        <v>297</v>
      </c>
      <c r="H2" s="17">
        <f>SUMIFS(数据录入!$G$19:$G$10000,数据录入!$C$19:$C$10000,$B$2)</f>
        <v>0</v>
      </c>
      <c r="I2" s="16" t="s">
        <v>298</v>
      </c>
      <c r="J2" s="17">
        <f>D2+F2-H2</f>
        <v>0</v>
      </c>
      <c r="K2" s="18"/>
    </row>
    <row r="3" s="5" customFormat="1" ht="24" customHeight="1" spans="1:11">
      <c r="A3" s="19" t="s">
        <v>92</v>
      </c>
      <c r="B3" s="19" t="s">
        <v>93</v>
      </c>
      <c r="C3" s="19" t="s">
        <v>94</v>
      </c>
      <c r="D3" s="19" t="s">
        <v>38</v>
      </c>
      <c r="E3" s="19" t="s">
        <v>95</v>
      </c>
      <c r="F3" s="19" t="s">
        <v>96</v>
      </c>
      <c r="G3" s="19" t="s">
        <v>97</v>
      </c>
      <c r="H3" s="19" t="s">
        <v>91</v>
      </c>
      <c r="I3" s="20" t="s">
        <v>39</v>
      </c>
      <c r="J3" s="20" t="s">
        <v>41</v>
      </c>
      <c r="K3" s="21" t="s">
        <v>98</v>
      </c>
    </row>
    <row r="4" s="5" customFormat="1" ht="20" customHeight="1" spans="1:11">
      <c r="A4" s="22" vm="1" t="e" cm="1">
        <f t="array" ref="A4">_xlfn._xlws.FILTER(数据录入!$A$19:$K$10000,数据录入!$C$19:$C$10000=$B$2)</f>
        <v>#VALUE!</v>
      </c>
      <c r="B4" s="23"/>
      <c r="C4" s="24"/>
      <c r="D4" s="24"/>
      <c r="E4" s="24"/>
      <c r="F4" s="24"/>
      <c r="G4" s="24"/>
      <c r="H4" s="24"/>
      <c r="I4" s="24"/>
      <c r="J4" s="24"/>
      <c r="K4" s="25"/>
    </row>
    <row r="5" s="5" customFormat="1" ht="20" customHeight="1" spans="1:11">
      <c r="A5" s="22"/>
      <c r="B5" s="23"/>
      <c r="C5" s="24"/>
      <c r="D5" s="24"/>
      <c r="E5" s="24"/>
      <c r="F5" s="24"/>
      <c r="G5" s="24"/>
      <c r="H5" s="24"/>
      <c r="I5" s="24"/>
      <c r="J5" s="24"/>
      <c r="K5" s="25"/>
    </row>
    <row r="6" s="5" customFormat="1" ht="20" customHeight="1" spans="1:11">
      <c r="A6" s="22"/>
      <c r="B6" s="23"/>
      <c r="C6" s="24"/>
      <c r="D6" s="24"/>
      <c r="E6" s="24"/>
      <c r="F6" s="24"/>
      <c r="G6" s="24"/>
      <c r="H6" s="24"/>
      <c r="I6" s="24"/>
      <c r="J6" s="24"/>
      <c r="K6" s="25"/>
    </row>
    <row r="7" s="5" customFormat="1" ht="20" customHeight="1" spans="1:11">
      <c r="A7" s="22"/>
      <c r="B7" s="23"/>
      <c r="C7" s="24"/>
      <c r="D7" s="24"/>
      <c r="E7" s="24"/>
      <c r="F7" s="24"/>
      <c r="G7" s="24"/>
      <c r="H7" s="24"/>
      <c r="I7" s="24"/>
      <c r="J7" s="24"/>
      <c r="K7" s="25"/>
    </row>
    <row r="8" s="5" customFormat="1" ht="20" customHeight="1" spans="1:11">
      <c r="A8" s="22"/>
      <c r="B8" s="23"/>
      <c r="C8" s="24"/>
      <c r="D8" s="24"/>
      <c r="E8" s="24"/>
      <c r="F8" s="24"/>
      <c r="G8" s="24"/>
      <c r="H8" s="24"/>
      <c r="I8" s="24"/>
      <c r="J8" s="24"/>
      <c r="K8" s="25"/>
    </row>
    <row r="9" s="5" customFormat="1" ht="20" customHeight="1" spans="1:11">
      <c r="A9" s="22"/>
      <c r="B9" s="23"/>
      <c r="C9" s="24"/>
      <c r="D9" s="24"/>
      <c r="E9" s="24"/>
      <c r="F9" s="24"/>
      <c r="G9" s="24"/>
      <c r="H9" s="24"/>
      <c r="I9" s="24"/>
      <c r="J9" s="24"/>
      <c r="K9" s="25"/>
    </row>
    <row r="10" s="5" customFormat="1" ht="20" customHeight="1" spans="1:11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5"/>
    </row>
    <row r="11" s="5" customFormat="1" ht="20" customHeight="1" spans="1:11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5"/>
    </row>
    <row r="12" s="5" customFormat="1" ht="20" customHeight="1" spans="1:11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5"/>
    </row>
    <row r="13" s="5" customFormat="1" ht="20" customHeight="1" spans="1:11">
      <c r="A13" s="22"/>
      <c r="B13" s="23"/>
      <c r="C13" s="24"/>
      <c r="D13" s="24"/>
      <c r="E13" s="24"/>
      <c r="F13" s="24"/>
      <c r="G13" s="24"/>
      <c r="H13" s="24"/>
      <c r="I13" s="24"/>
      <c r="J13" s="24"/>
      <c r="K13" s="25"/>
    </row>
    <row r="14" s="5" customFormat="1" ht="20" customHeight="1" spans="1:1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5"/>
    </row>
    <row r="15" s="5" customFormat="1" ht="20" customHeight="1" spans="1:11">
      <c r="A15" s="22"/>
      <c r="B15" s="23"/>
      <c r="C15" s="24"/>
      <c r="D15" s="24"/>
      <c r="E15" s="24"/>
      <c r="F15" s="24"/>
      <c r="G15" s="24"/>
      <c r="H15" s="24"/>
      <c r="I15" s="24"/>
      <c r="J15" s="24"/>
      <c r="K15" s="25"/>
    </row>
    <row r="16" s="5" customFormat="1" ht="20" customHeight="1" spans="1:11">
      <c r="A16" s="22"/>
      <c r="B16" s="23"/>
      <c r="C16" s="24"/>
      <c r="D16" s="24"/>
      <c r="E16" s="24"/>
      <c r="F16" s="24"/>
      <c r="G16" s="24"/>
      <c r="H16" s="24"/>
      <c r="I16" s="24"/>
      <c r="J16" s="24"/>
      <c r="K16" s="25"/>
    </row>
    <row r="17" s="5" customFormat="1" ht="20" customHeight="1" spans="1:11">
      <c r="A17" s="22"/>
      <c r="B17" s="23"/>
      <c r="C17" s="24"/>
      <c r="D17" s="24"/>
      <c r="E17" s="24"/>
      <c r="F17" s="24"/>
      <c r="G17" s="24"/>
      <c r="H17" s="24"/>
      <c r="I17" s="24"/>
      <c r="J17" s="24"/>
      <c r="K17" s="25"/>
    </row>
    <row r="18" s="5" customFormat="1" ht="20" customHeight="1" spans="1:11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5"/>
    </row>
    <row r="19" s="5" customFormat="1" ht="20" customHeight="1" spans="1:11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25"/>
    </row>
    <row r="20" s="5" customFormat="1" ht="20" customHeight="1" spans="1:11">
      <c r="A20" s="22"/>
      <c r="B20" s="23"/>
      <c r="C20" s="24"/>
      <c r="D20" s="24"/>
      <c r="E20" s="24"/>
      <c r="F20" s="24"/>
      <c r="G20" s="24"/>
      <c r="H20" s="24"/>
      <c r="I20" s="24"/>
      <c r="J20" s="24"/>
      <c r="K20" s="25"/>
    </row>
    <row r="21" s="5" customFormat="1" ht="20" customHeight="1" spans="1:11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5"/>
    </row>
    <row r="22" s="5" customFormat="1" ht="20" customHeight="1" spans="1:11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5"/>
    </row>
    <row r="23" s="5" customFormat="1" ht="20" customHeight="1" spans="1:11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5"/>
    </row>
    <row r="24" s="5" customFormat="1" ht="20" customHeight="1" spans="1:11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5"/>
    </row>
    <row r="25" s="5" customFormat="1" ht="20" customHeight="1" spans="1:11">
      <c r="A25" s="22"/>
      <c r="B25" s="23"/>
      <c r="C25" s="24"/>
      <c r="D25" s="24"/>
      <c r="E25" s="24"/>
      <c r="F25" s="24"/>
      <c r="G25" s="24"/>
      <c r="H25" s="24"/>
      <c r="I25" s="24"/>
      <c r="J25" s="24"/>
      <c r="K25" s="25"/>
    </row>
    <row r="26" s="5" customFormat="1" ht="20" customHeight="1" spans="1:11">
      <c r="A26" s="22"/>
      <c r="B26" s="23"/>
      <c r="C26" s="24"/>
      <c r="D26" s="24"/>
      <c r="E26" s="24"/>
      <c r="F26" s="24"/>
      <c r="G26" s="24"/>
      <c r="H26" s="24"/>
      <c r="I26" s="24"/>
      <c r="J26" s="24"/>
      <c r="K26" s="25"/>
    </row>
    <row r="27" s="5" customFormat="1" ht="20" customHeight="1" spans="1:11">
      <c r="A27" s="22"/>
      <c r="B27" s="23"/>
      <c r="C27" s="24"/>
      <c r="D27" s="24"/>
      <c r="E27" s="24"/>
      <c r="F27" s="24"/>
      <c r="G27" s="24"/>
      <c r="H27" s="24"/>
      <c r="I27" s="24"/>
      <c r="J27" s="24"/>
      <c r="K27" s="25"/>
    </row>
    <row r="28" s="5" customFormat="1" ht="20" customHeight="1" spans="1:1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5"/>
    </row>
    <row r="29" s="5" customFormat="1" ht="20" customHeight="1" spans="1:11">
      <c r="A29" s="22"/>
      <c r="B29" s="23"/>
      <c r="C29" s="24"/>
      <c r="D29" s="24"/>
      <c r="E29" s="24"/>
      <c r="F29" s="24"/>
      <c r="G29" s="24"/>
      <c r="H29" s="24"/>
      <c r="I29" s="24"/>
      <c r="J29" s="24"/>
      <c r="K29" s="25"/>
    </row>
    <row r="30" s="5" customFormat="1" ht="20" customHeight="1" spans="1:11">
      <c r="A30" s="22"/>
      <c r="B30" s="23"/>
      <c r="C30" s="24"/>
      <c r="D30" s="24"/>
      <c r="E30" s="24"/>
      <c r="F30" s="24"/>
      <c r="G30" s="24"/>
      <c r="H30" s="24"/>
      <c r="I30" s="24"/>
      <c r="J30" s="24"/>
      <c r="K30" s="25"/>
    </row>
    <row r="31" s="5" customFormat="1" ht="20" customHeight="1" spans="1:11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5"/>
    </row>
    <row r="32" s="5" customFormat="1" ht="20" customHeight="1" spans="1:11">
      <c r="A32" s="22"/>
      <c r="B32" s="23"/>
      <c r="C32" s="24"/>
      <c r="D32" s="24"/>
      <c r="E32" s="24"/>
      <c r="F32" s="24"/>
      <c r="G32" s="24"/>
      <c r="H32" s="24"/>
      <c r="I32" s="24"/>
      <c r="J32" s="24"/>
      <c r="K32" s="25"/>
    </row>
    <row r="33" s="5" customFormat="1" ht="20" customHeight="1" spans="1:11">
      <c r="A33" s="22"/>
      <c r="B33" s="23"/>
      <c r="C33" s="24"/>
      <c r="D33" s="24"/>
      <c r="E33" s="24"/>
      <c r="F33" s="24"/>
      <c r="G33" s="24"/>
      <c r="H33" s="24"/>
      <c r="I33" s="24"/>
      <c r="J33" s="24"/>
      <c r="K33" s="25"/>
    </row>
    <row r="34" s="5" customFormat="1" ht="20" customHeight="1" spans="1:11">
      <c r="A34" s="22"/>
      <c r="B34" s="23"/>
      <c r="C34" s="24"/>
      <c r="D34" s="24"/>
      <c r="E34" s="24"/>
      <c r="F34" s="24"/>
      <c r="G34" s="24"/>
      <c r="H34" s="24"/>
      <c r="I34" s="24"/>
      <c r="J34" s="24"/>
      <c r="K34" s="25"/>
    </row>
    <row r="35" s="5" customFormat="1" ht="20" customHeight="1" spans="1:11">
      <c r="A35" s="22"/>
      <c r="B35" s="23"/>
      <c r="C35" s="24"/>
      <c r="D35" s="24"/>
      <c r="E35" s="24"/>
      <c r="F35" s="24"/>
      <c r="G35" s="24"/>
      <c r="H35" s="24"/>
      <c r="I35" s="24"/>
      <c r="J35" s="24"/>
      <c r="K35" s="25"/>
    </row>
    <row r="36" s="5" customFormat="1" ht="20" customHeight="1" spans="1:11">
      <c r="A36" s="22"/>
      <c r="B36" s="23"/>
      <c r="C36" s="24"/>
      <c r="D36" s="24"/>
      <c r="E36" s="24"/>
      <c r="F36" s="24"/>
      <c r="G36" s="24"/>
      <c r="H36" s="24"/>
      <c r="I36" s="24"/>
      <c r="J36" s="24"/>
      <c r="K36" s="25"/>
    </row>
    <row r="37" s="5" customFormat="1" ht="20" customHeight="1" spans="1:11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5"/>
    </row>
    <row r="38" s="5" customFormat="1" ht="20" customHeight="1" spans="1:11">
      <c r="A38" s="22"/>
      <c r="B38" s="23"/>
      <c r="C38" s="24"/>
      <c r="D38" s="24"/>
      <c r="E38" s="24"/>
      <c r="F38" s="24"/>
      <c r="G38" s="24"/>
      <c r="H38" s="24"/>
      <c r="I38" s="24"/>
      <c r="J38" s="24"/>
      <c r="K38" s="25"/>
    </row>
    <row r="39" s="5" customFormat="1" ht="20" customHeight="1" spans="1:11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5"/>
    </row>
    <row r="40" s="5" customFormat="1" ht="20" customHeight="1" spans="1:11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5"/>
    </row>
    <row r="41" s="5" customFormat="1" ht="20" customHeight="1" spans="1:11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5"/>
    </row>
    <row r="42" s="5" customFormat="1" ht="20" customHeight="1" spans="1:11">
      <c r="A42" s="22"/>
      <c r="B42" s="23"/>
      <c r="C42" s="24"/>
      <c r="D42" s="24"/>
      <c r="E42" s="24"/>
      <c r="F42" s="24"/>
      <c r="G42" s="24"/>
      <c r="H42" s="24"/>
      <c r="I42" s="24"/>
      <c r="J42" s="24"/>
      <c r="K42" s="25"/>
    </row>
    <row r="43" s="5" customFormat="1" ht="20" customHeight="1" spans="1:1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5"/>
    </row>
    <row r="44" s="5" customFormat="1" ht="20" customHeight="1" spans="1:11">
      <c r="A44" s="22"/>
      <c r="B44" s="23"/>
      <c r="C44" s="24"/>
      <c r="D44" s="24"/>
      <c r="E44" s="24"/>
      <c r="F44" s="24"/>
      <c r="G44" s="24"/>
      <c r="H44" s="24"/>
      <c r="I44" s="24"/>
      <c r="J44" s="24"/>
      <c r="K44" s="25"/>
    </row>
    <row r="45" s="5" customFormat="1" ht="20" customHeight="1" spans="1:11">
      <c r="A45" s="22"/>
      <c r="B45" s="23"/>
      <c r="C45" s="24"/>
      <c r="D45" s="24"/>
      <c r="E45" s="24"/>
      <c r="F45" s="24"/>
      <c r="G45" s="24"/>
      <c r="H45" s="24"/>
      <c r="I45" s="24"/>
      <c r="J45" s="24"/>
      <c r="K45" s="25"/>
    </row>
    <row r="46" s="5" customFormat="1" ht="20" customHeight="1" spans="1:11">
      <c r="A46" s="22"/>
      <c r="B46" s="23"/>
      <c r="C46" s="24"/>
      <c r="D46" s="24"/>
      <c r="E46" s="24"/>
      <c r="F46" s="24"/>
      <c r="G46" s="24"/>
      <c r="H46" s="24"/>
      <c r="I46" s="24"/>
      <c r="J46" s="24"/>
      <c r="K46" s="25"/>
    </row>
    <row r="47" s="5" customFormat="1" ht="20" customHeight="1" spans="1:11">
      <c r="A47" s="22"/>
      <c r="B47" s="23"/>
      <c r="C47" s="24"/>
      <c r="D47" s="24"/>
      <c r="E47" s="24"/>
      <c r="F47" s="24"/>
      <c r="G47" s="24"/>
      <c r="H47" s="24"/>
      <c r="I47" s="24"/>
      <c r="J47" s="24"/>
      <c r="K47" s="25"/>
    </row>
    <row r="48" s="5" customFormat="1" ht="20" customHeight="1" spans="1:11">
      <c r="A48" s="22"/>
      <c r="B48" s="23"/>
      <c r="C48" s="24"/>
      <c r="D48" s="24"/>
      <c r="E48" s="24"/>
      <c r="F48" s="24"/>
      <c r="G48" s="24"/>
      <c r="H48" s="24"/>
      <c r="I48" s="24"/>
      <c r="J48" s="24"/>
      <c r="K48" s="25"/>
    </row>
    <row r="49" s="5" customFormat="1" ht="20" customHeight="1" spans="1:11">
      <c r="A49" s="22"/>
      <c r="B49" s="23"/>
      <c r="C49" s="24"/>
      <c r="D49" s="24"/>
      <c r="E49" s="24"/>
      <c r="F49" s="24"/>
      <c r="G49" s="24"/>
      <c r="H49" s="24"/>
      <c r="I49" s="24"/>
      <c r="J49" s="24"/>
      <c r="K49" s="25"/>
    </row>
    <row r="50" s="5" customFormat="1" ht="20" customHeight="1" spans="1:11">
      <c r="A50" s="22"/>
      <c r="B50" s="23"/>
      <c r="C50" s="24"/>
      <c r="D50" s="24"/>
      <c r="E50" s="24"/>
      <c r="F50" s="24"/>
      <c r="G50" s="24"/>
      <c r="H50" s="24"/>
      <c r="I50" s="24"/>
      <c r="J50" s="24"/>
      <c r="K50" s="25"/>
    </row>
    <row r="51" s="5" customFormat="1" ht="20" customHeight="1" spans="1:11">
      <c r="A51" s="22"/>
      <c r="B51" s="23"/>
      <c r="C51" s="24"/>
      <c r="D51" s="24"/>
      <c r="E51" s="24"/>
      <c r="F51" s="24"/>
      <c r="G51" s="24"/>
      <c r="H51" s="24"/>
      <c r="I51" s="24"/>
      <c r="J51" s="24"/>
      <c r="K51" s="25"/>
    </row>
    <row r="52" s="5" customFormat="1" ht="20" customHeight="1" spans="1:11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5"/>
    </row>
    <row r="53" s="5" customFormat="1" ht="20" customHeight="1" spans="1:11">
      <c r="A53" s="22"/>
      <c r="B53" s="23"/>
      <c r="C53" s="24"/>
      <c r="D53" s="24"/>
      <c r="E53" s="24"/>
      <c r="F53" s="24"/>
      <c r="G53" s="24"/>
      <c r="H53" s="24"/>
      <c r="I53" s="24"/>
      <c r="J53" s="24"/>
      <c r="K53" s="25"/>
    </row>
    <row r="54" s="5" customFormat="1" ht="20" customHeight="1" spans="1:11">
      <c r="A54" s="22"/>
      <c r="B54" s="23"/>
      <c r="C54" s="24"/>
      <c r="D54" s="24"/>
      <c r="E54" s="24"/>
      <c r="F54" s="24"/>
      <c r="G54" s="24"/>
      <c r="H54" s="24"/>
      <c r="I54" s="24"/>
      <c r="J54" s="24"/>
      <c r="K54" s="25"/>
    </row>
    <row r="55" s="5" customFormat="1" ht="20" customHeight="1" spans="1:11">
      <c r="A55" s="22"/>
      <c r="B55" s="23"/>
      <c r="C55" s="24"/>
      <c r="D55" s="24"/>
      <c r="E55" s="24"/>
      <c r="F55" s="24"/>
      <c r="G55" s="24"/>
      <c r="H55" s="24"/>
      <c r="I55" s="24"/>
      <c r="J55" s="24"/>
      <c r="K55" s="25"/>
    </row>
    <row r="56" s="5" customFormat="1" ht="20" customHeight="1" spans="1:11">
      <c r="A56" s="22"/>
      <c r="B56" s="23"/>
      <c r="C56" s="24"/>
      <c r="D56" s="24"/>
      <c r="E56" s="24"/>
      <c r="F56" s="24"/>
      <c r="G56" s="24"/>
      <c r="H56" s="24"/>
      <c r="I56" s="24"/>
      <c r="J56" s="24"/>
      <c r="K56" s="25"/>
    </row>
    <row r="57" s="5" customFormat="1" ht="20" customHeight="1" spans="1:11">
      <c r="A57" s="22"/>
      <c r="B57" s="23"/>
      <c r="C57" s="24"/>
      <c r="D57" s="24"/>
      <c r="E57" s="24"/>
      <c r="F57" s="24"/>
      <c r="G57" s="24"/>
      <c r="H57" s="24"/>
      <c r="I57" s="24"/>
      <c r="J57" s="24"/>
      <c r="K57" s="25"/>
    </row>
    <row r="58" s="5" customFormat="1" ht="20" customHeight="1" spans="1:11">
      <c r="A58" s="22"/>
      <c r="B58" s="23"/>
      <c r="C58" s="24"/>
      <c r="D58" s="24"/>
      <c r="E58" s="24"/>
      <c r="F58" s="24"/>
      <c r="G58" s="24"/>
      <c r="H58" s="24"/>
      <c r="I58" s="24"/>
      <c r="J58" s="24"/>
      <c r="K58" s="25"/>
    </row>
    <row r="59" s="5" customFormat="1" ht="20" customHeight="1" spans="1:11">
      <c r="A59" s="22"/>
      <c r="B59" s="23"/>
      <c r="C59" s="24"/>
      <c r="D59" s="24"/>
      <c r="E59" s="24"/>
      <c r="F59" s="24"/>
      <c r="G59" s="24"/>
      <c r="H59" s="24"/>
      <c r="I59" s="24"/>
      <c r="J59" s="24"/>
      <c r="K59" s="25"/>
    </row>
    <row r="60" s="5" customFormat="1" ht="20" customHeight="1" spans="1:11">
      <c r="A60" s="22"/>
      <c r="B60" s="23"/>
      <c r="C60" s="24"/>
      <c r="D60" s="24"/>
      <c r="E60" s="24"/>
      <c r="F60" s="24"/>
      <c r="G60" s="24"/>
      <c r="H60" s="24"/>
      <c r="I60" s="24"/>
      <c r="J60" s="24"/>
      <c r="K60" s="25"/>
    </row>
    <row r="61" s="5" customFormat="1" ht="20" customHeight="1" spans="1:11">
      <c r="A61" s="22"/>
      <c r="B61" s="23"/>
      <c r="C61" s="24"/>
      <c r="D61" s="24"/>
      <c r="E61" s="24"/>
      <c r="F61" s="24"/>
      <c r="G61" s="24"/>
      <c r="H61" s="24"/>
      <c r="I61" s="24"/>
      <c r="J61" s="24"/>
      <c r="K61" s="25"/>
    </row>
    <row r="62" s="5" customFormat="1" ht="20" customHeight="1" spans="1:11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5"/>
    </row>
    <row r="63" s="5" customFormat="1" ht="20" customHeight="1" spans="1:1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5"/>
    </row>
    <row r="64" s="5" customFormat="1" ht="20" customHeight="1" spans="1:11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5"/>
    </row>
    <row r="65" s="5" customFormat="1" ht="20" customHeight="1" spans="1:11">
      <c r="A65" s="22"/>
      <c r="B65" s="23"/>
      <c r="C65" s="24"/>
      <c r="D65" s="24"/>
      <c r="E65" s="24"/>
      <c r="F65" s="24"/>
      <c r="G65" s="24"/>
      <c r="H65" s="24"/>
      <c r="I65" s="24"/>
      <c r="J65" s="24"/>
      <c r="K65" s="25"/>
    </row>
    <row r="66" s="5" customFormat="1" ht="20" customHeight="1" spans="1:11">
      <c r="A66" s="22"/>
      <c r="B66" s="23"/>
      <c r="C66" s="24"/>
      <c r="D66" s="24"/>
      <c r="E66" s="24"/>
      <c r="F66" s="24"/>
      <c r="G66" s="24"/>
      <c r="H66" s="24"/>
      <c r="I66" s="24"/>
      <c r="J66" s="24"/>
      <c r="K66" s="25"/>
    </row>
    <row r="67" s="5" customFormat="1" ht="20" customHeight="1" spans="1:11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5"/>
    </row>
    <row r="68" s="5" customFormat="1" ht="20" customHeight="1" spans="1:11">
      <c r="A68" s="22"/>
      <c r="B68" s="23"/>
      <c r="C68" s="24"/>
      <c r="D68" s="24"/>
      <c r="E68" s="24"/>
      <c r="F68" s="24"/>
      <c r="G68" s="24"/>
      <c r="H68" s="24"/>
      <c r="I68" s="24"/>
      <c r="J68" s="24"/>
      <c r="K68" s="25"/>
    </row>
    <row r="69" s="5" customFormat="1" ht="20" customHeight="1" spans="1:11">
      <c r="A69" s="22"/>
      <c r="B69" s="23"/>
      <c r="C69" s="24"/>
      <c r="D69" s="24"/>
      <c r="E69" s="24"/>
      <c r="F69" s="24"/>
      <c r="G69" s="24"/>
      <c r="H69" s="24"/>
      <c r="I69" s="24"/>
      <c r="J69" s="24"/>
      <c r="K69" s="25"/>
    </row>
    <row r="70" s="5" customFormat="1" ht="20" customHeight="1" spans="1:11">
      <c r="A70" s="22"/>
      <c r="B70" s="23"/>
      <c r="C70" s="24"/>
      <c r="D70" s="24"/>
      <c r="E70" s="24"/>
      <c r="F70" s="24"/>
      <c r="G70" s="24"/>
      <c r="H70" s="24"/>
      <c r="I70" s="24"/>
      <c r="J70" s="24"/>
      <c r="K70" s="25"/>
    </row>
    <row r="71" s="5" customFormat="1" ht="20" customHeight="1" spans="1:11">
      <c r="A71" s="22"/>
      <c r="B71" s="23"/>
      <c r="C71" s="24"/>
      <c r="D71" s="24"/>
      <c r="E71" s="24"/>
      <c r="F71" s="24"/>
      <c r="G71" s="24"/>
      <c r="H71" s="24"/>
      <c r="I71" s="24"/>
      <c r="J71" s="24"/>
      <c r="K71" s="25"/>
    </row>
    <row r="72" s="5" customFormat="1" ht="20" customHeight="1" spans="1:11">
      <c r="A72" s="22"/>
      <c r="B72" s="23"/>
      <c r="C72" s="24"/>
      <c r="D72" s="24"/>
      <c r="E72" s="24"/>
      <c r="F72" s="24"/>
      <c r="G72" s="24"/>
      <c r="H72" s="24"/>
      <c r="I72" s="24"/>
      <c r="J72" s="24"/>
      <c r="K72" s="25"/>
    </row>
    <row r="73" s="5" customFormat="1" ht="20" customHeight="1" spans="1:11">
      <c r="A73" s="22"/>
      <c r="B73" s="23"/>
      <c r="C73" s="24"/>
      <c r="D73" s="24"/>
      <c r="E73" s="24"/>
      <c r="F73" s="24"/>
      <c r="G73" s="24"/>
      <c r="H73" s="24"/>
      <c r="I73" s="24"/>
      <c r="J73" s="24"/>
      <c r="K73" s="25"/>
    </row>
    <row r="74" s="5" customFormat="1" ht="20" customHeight="1" spans="1:11">
      <c r="A74" s="22"/>
      <c r="B74" s="23"/>
      <c r="C74" s="24"/>
      <c r="D74" s="24"/>
      <c r="E74" s="24"/>
      <c r="F74" s="24"/>
      <c r="G74" s="24"/>
      <c r="H74" s="24"/>
      <c r="I74" s="24"/>
      <c r="J74" s="24"/>
      <c r="K74" s="25"/>
    </row>
    <row r="75" s="5" customFormat="1" ht="20" customHeight="1" spans="1:11">
      <c r="A75" s="22"/>
      <c r="B75" s="23"/>
      <c r="C75" s="24"/>
      <c r="D75" s="24"/>
      <c r="E75" s="24"/>
      <c r="F75" s="24"/>
      <c r="G75" s="24"/>
      <c r="H75" s="24"/>
      <c r="I75" s="24"/>
      <c r="J75" s="24"/>
      <c r="K75" s="25"/>
    </row>
    <row r="76" s="5" customFormat="1" ht="20" customHeight="1" spans="1:11">
      <c r="A76" s="22"/>
      <c r="B76" s="23"/>
      <c r="C76" s="24"/>
      <c r="D76" s="24"/>
      <c r="E76" s="24"/>
      <c r="F76" s="24"/>
      <c r="G76" s="24"/>
      <c r="H76" s="24"/>
      <c r="I76" s="24"/>
      <c r="J76" s="24"/>
      <c r="K76" s="25"/>
    </row>
    <row r="77" s="5" customFormat="1" ht="20" customHeight="1" spans="1:11">
      <c r="A77" s="22"/>
      <c r="B77" s="23"/>
      <c r="C77" s="24"/>
      <c r="D77" s="24"/>
      <c r="E77" s="24"/>
      <c r="F77" s="24"/>
      <c r="G77" s="24"/>
      <c r="H77" s="24"/>
      <c r="I77" s="24"/>
      <c r="J77" s="24"/>
      <c r="K77" s="25"/>
    </row>
    <row r="78" s="5" customFormat="1" ht="20" customHeight="1" spans="1:11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5"/>
    </row>
    <row r="79" s="5" customFormat="1" ht="20" customHeight="1" spans="1:11">
      <c r="A79" s="22"/>
      <c r="B79" s="23"/>
      <c r="C79" s="24"/>
      <c r="D79" s="24"/>
      <c r="E79" s="24"/>
      <c r="F79" s="24"/>
      <c r="G79" s="24"/>
      <c r="H79" s="24"/>
      <c r="I79" s="24"/>
      <c r="J79" s="24"/>
      <c r="K79" s="25"/>
    </row>
    <row r="80" s="5" customFormat="1" ht="20" customHeight="1" spans="1:11">
      <c r="A80" s="22"/>
      <c r="B80" s="23"/>
      <c r="C80" s="24"/>
      <c r="D80" s="24"/>
      <c r="E80" s="24"/>
      <c r="F80" s="24"/>
      <c r="G80" s="24"/>
      <c r="H80" s="24"/>
      <c r="I80" s="24"/>
      <c r="J80" s="24"/>
      <c r="K80" s="25"/>
    </row>
    <row r="81" s="5" customFormat="1" ht="20" customHeight="1" spans="1:11">
      <c r="A81" s="22"/>
      <c r="B81" s="23"/>
      <c r="C81" s="24"/>
      <c r="D81" s="24"/>
      <c r="E81" s="24"/>
      <c r="F81" s="24"/>
      <c r="G81" s="24"/>
      <c r="H81" s="24"/>
      <c r="I81" s="24"/>
      <c r="J81" s="24"/>
      <c r="K81" s="25"/>
    </row>
    <row r="82" s="5" customFormat="1" ht="20" customHeight="1" spans="1:11">
      <c r="A82" s="22"/>
      <c r="B82" s="23"/>
      <c r="C82" s="24"/>
      <c r="D82" s="24"/>
      <c r="E82" s="24"/>
      <c r="F82" s="24"/>
      <c r="G82" s="24"/>
      <c r="H82" s="24"/>
      <c r="I82" s="24"/>
      <c r="J82" s="24"/>
      <c r="K82" s="25"/>
    </row>
    <row r="83" s="5" customFormat="1" ht="20" customHeight="1" spans="1:11">
      <c r="A83" s="22"/>
      <c r="B83" s="23"/>
      <c r="C83" s="24"/>
      <c r="D83" s="24"/>
      <c r="E83" s="24"/>
      <c r="F83" s="24"/>
      <c r="G83" s="24"/>
      <c r="H83" s="24"/>
      <c r="I83" s="24"/>
      <c r="J83" s="24"/>
      <c r="K83" s="25"/>
    </row>
    <row r="84" s="5" customFormat="1" ht="20" customHeight="1" spans="1:11">
      <c r="A84" s="22"/>
      <c r="B84" s="23"/>
      <c r="C84" s="24"/>
      <c r="D84" s="24"/>
      <c r="E84" s="24"/>
      <c r="F84" s="24"/>
      <c r="G84" s="24"/>
      <c r="H84" s="24"/>
      <c r="I84" s="24"/>
      <c r="J84" s="24"/>
      <c r="K84" s="25"/>
    </row>
    <row r="85" s="5" customFormat="1" ht="20" customHeight="1" spans="1:11">
      <c r="A85" s="22"/>
      <c r="B85" s="23"/>
      <c r="C85" s="24"/>
      <c r="D85" s="24"/>
      <c r="E85" s="24"/>
      <c r="F85" s="24"/>
      <c r="G85" s="24"/>
      <c r="H85" s="24"/>
      <c r="I85" s="24"/>
      <c r="J85" s="24"/>
      <c r="K85" s="25"/>
    </row>
    <row r="86" s="5" customFormat="1" ht="20" customHeight="1" spans="1:11">
      <c r="A86" s="22"/>
      <c r="B86" s="23"/>
      <c r="C86" s="24"/>
      <c r="D86" s="24"/>
      <c r="E86" s="24"/>
      <c r="F86" s="24"/>
      <c r="G86" s="24"/>
      <c r="H86" s="24"/>
      <c r="I86" s="24"/>
      <c r="J86" s="24"/>
      <c r="K86" s="25"/>
    </row>
    <row r="87" s="5" customFormat="1" ht="20" customHeight="1" spans="1:11">
      <c r="A87" s="22"/>
      <c r="B87" s="23"/>
      <c r="C87" s="24"/>
      <c r="D87" s="24"/>
      <c r="E87" s="24"/>
      <c r="F87" s="24"/>
      <c r="G87" s="24"/>
      <c r="H87" s="24"/>
      <c r="I87" s="24"/>
      <c r="J87" s="24"/>
      <c r="K87" s="25"/>
    </row>
    <row r="88" s="5" customFormat="1" ht="20" customHeight="1" spans="1:11">
      <c r="A88" s="22"/>
      <c r="B88" s="23"/>
      <c r="C88" s="24"/>
      <c r="D88" s="24"/>
      <c r="E88" s="24"/>
      <c r="F88" s="24"/>
      <c r="G88" s="24"/>
      <c r="H88" s="24"/>
      <c r="I88" s="24"/>
      <c r="J88" s="24"/>
      <c r="K88" s="25"/>
    </row>
    <row r="89" s="5" customFormat="1" ht="20" customHeight="1" spans="1:11">
      <c r="A89" s="22"/>
      <c r="B89" s="23"/>
      <c r="C89" s="24"/>
      <c r="D89" s="24"/>
      <c r="E89" s="24"/>
      <c r="F89" s="24"/>
      <c r="G89" s="24"/>
      <c r="H89" s="24"/>
      <c r="I89" s="24"/>
      <c r="J89" s="24"/>
      <c r="K89" s="25"/>
    </row>
    <row r="90" s="5" customFormat="1" ht="20" customHeight="1" spans="1:11">
      <c r="A90" s="22"/>
      <c r="B90" s="23"/>
      <c r="C90" s="24"/>
      <c r="D90" s="24"/>
      <c r="E90" s="24"/>
      <c r="F90" s="24"/>
      <c r="G90" s="24"/>
      <c r="H90" s="24"/>
      <c r="I90" s="24"/>
      <c r="J90" s="24"/>
      <c r="K90" s="25"/>
    </row>
    <row r="91" s="5" customFormat="1" ht="20" customHeight="1" spans="1:11">
      <c r="A91" s="22"/>
      <c r="B91" s="23"/>
      <c r="C91" s="24"/>
      <c r="D91" s="24"/>
      <c r="E91" s="24"/>
      <c r="F91" s="24"/>
      <c r="G91" s="24"/>
      <c r="H91" s="24"/>
      <c r="I91" s="24"/>
      <c r="J91" s="24"/>
      <c r="K91" s="25"/>
    </row>
    <row r="92" s="5" customFormat="1" ht="20" customHeight="1" spans="1:11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5"/>
    </row>
    <row r="93" s="5" customFormat="1" ht="20" customHeight="1" spans="1:11">
      <c r="A93" s="22"/>
      <c r="B93" s="23"/>
      <c r="C93" s="24"/>
      <c r="D93" s="24"/>
      <c r="E93" s="24"/>
      <c r="F93" s="24"/>
      <c r="G93" s="24"/>
      <c r="H93" s="24"/>
      <c r="I93" s="24"/>
      <c r="J93" s="24"/>
      <c r="K93" s="25"/>
    </row>
    <row r="94" s="5" customFormat="1" ht="20" customHeight="1" spans="1:11">
      <c r="A94" s="22"/>
      <c r="B94" s="23"/>
      <c r="C94" s="24"/>
      <c r="D94" s="24"/>
      <c r="E94" s="24"/>
      <c r="F94" s="24"/>
      <c r="G94" s="24"/>
      <c r="H94" s="24"/>
      <c r="I94" s="24"/>
      <c r="J94" s="24"/>
      <c r="K94" s="25"/>
    </row>
    <row r="95" s="5" customFormat="1" ht="20" customHeight="1" spans="1:11">
      <c r="A95" s="22"/>
      <c r="B95" s="23"/>
      <c r="C95" s="24"/>
      <c r="D95" s="24"/>
      <c r="E95" s="24"/>
      <c r="F95" s="24"/>
      <c r="G95" s="24"/>
      <c r="H95" s="24"/>
      <c r="I95" s="24"/>
      <c r="J95" s="24"/>
      <c r="K95" s="25"/>
    </row>
    <row r="96" s="5" customFormat="1" ht="20" customHeight="1" spans="1:11">
      <c r="A96" s="22"/>
      <c r="B96" s="23"/>
      <c r="C96" s="24"/>
      <c r="D96" s="24"/>
      <c r="E96" s="24"/>
      <c r="F96" s="24"/>
      <c r="G96" s="24"/>
      <c r="H96" s="24"/>
      <c r="I96" s="24"/>
      <c r="J96" s="24"/>
      <c r="K96" s="25"/>
    </row>
    <row r="97" s="5" customFormat="1" ht="20" customHeight="1" spans="1:11">
      <c r="A97" s="22"/>
      <c r="B97" s="23"/>
      <c r="C97" s="24"/>
      <c r="D97" s="24"/>
      <c r="E97" s="24"/>
      <c r="F97" s="24"/>
      <c r="G97" s="24"/>
      <c r="H97" s="24"/>
      <c r="I97" s="24"/>
      <c r="J97" s="24"/>
      <c r="K97" s="25"/>
    </row>
    <row r="98" s="5" customFormat="1" ht="20" customHeight="1" spans="1:11">
      <c r="A98" s="22"/>
      <c r="B98" s="23"/>
      <c r="C98" s="24"/>
      <c r="D98" s="24"/>
      <c r="E98" s="24"/>
      <c r="F98" s="24"/>
      <c r="G98" s="24"/>
      <c r="H98" s="24"/>
      <c r="I98" s="24"/>
      <c r="J98" s="24"/>
      <c r="K98" s="25"/>
    </row>
    <row r="99" s="5" customFormat="1" ht="20" customHeight="1" spans="1:11">
      <c r="A99" s="22"/>
      <c r="B99" s="23"/>
      <c r="C99" s="24"/>
      <c r="D99" s="24"/>
      <c r="E99" s="24"/>
      <c r="F99" s="24"/>
      <c r="G99" s="24"/>
      <c r="H99" s="24"/>
      <c r="I99" s="24"/>
      <c r="J99" s="24"/>
      <c r="K99" s="25"/>
    </row>
    <row r="100" s="5" customFormat="1" ht="20" customHeight="1" spans="1:11">
      <c r="A100" s="22"/>
      <c r="B100" s="23"/>
      <c r="C100" s="24"/>
      <c r="D100" s="24"/>
      <c r="E100" s="24"/>
      <c r="F100" s="24"/>
      <c r="G100" s="24"/>
      <c r="H100" s="24"/>
      <c r="I100" s="24"/>
      <c r="J100" s="24"/>
      <c r="K100" s="25"/>
    </row>
    <row r="101" s="5" customFormat="1" ht="20" customHeight="1" spans="1:11">
      <c r="A101" s="22"/>
      <c r="B101" s="23"/>
      <c r="C101" s="24"/>
      <c r="D101" s="24"/>
      <c r="E101" s="24"/>
      <c r="F101" s="24"/>
      <c r="G101" s="24"/>
      <c r="H101" s="24"/>
      <c r="I101" s="24"/>
      <c r="J101" s="24"/>
      <c r="K101" s="25"/>
    </row>
    <row r="102" s="5" customFormat="1" ht="20" customHeight="1" spans="1:11">
      <c r="A102" s="22"/>
      <c r="B102" s="23"/>
      <c r="C102" s="24"/>
      <c r="D102" s="24"/>
      <c r="E102" s="24"/>
      <c r="F102" s="24"/>
      <c r="G102" s="24"/>
      <c r="H102" s="24"/>
      <c r="I102" s="24"/>
      <c r="J102" s="24"/>
      <c r="K102" s="25"/>
    </row>
    <row r="103" s="5" customFormat="1" ht="20" customHeight="1" spans="1:11">
      <c r="A103" s="22"/>
      <c r="B103" s="23"/>
      <c r="C103" s="24"/>
      <c r="D103" s="24"/>
      <c r="E103" s="24"/>
      <c r="F103" s="24"/>
      <c r="G103" s="24"/>
      <c r="H103" s="24"/>
      <c r="I103" s="24"/>
      <c r="J103" s="24"/>
      <c r="K103" s="25"/>
    </row>
    <row r="104" s="5" customFormat="1" ht="20" customHeight="1" spans="1:11">
      <c r="A104" s="22"/>
      <c r="B104" s="23"/>
      <c r="C104" s="24"/>
      <c r="D104" s="24"/>
      <c r="E104" s="24"/>
      <c r="F104" s="24"/>
      <c r="G104" s="24"/>
      <c r="H104" s="24"/>
      <c r="I104" s="24"/>
      <c r="J104" s="24"/>
      <c r="K104" s="25"/>
    </row>
    <row r="105" s="5" customFormat="1" ht="20" customHeight="1" spans="1:11">
      <c r="A105" s="22"/>
      <c r="B105" s="23"/>
      <c r="C105" s="24"/>
      <c r="D105" s="24"/>
      <c r="E105" s="24"/>
      <c r="F105" s="24"/>
      <c r="G105" s="24"/>
      <c r="H105" s="24"/>
      <c r="I105" s="24"/>
      <c r="J105" s="24"/>
      <c r="K105" s="25"/>
    </row>
    <row r="106" s="5" customFormat="1" ht="20" customHeight="1" spans="1:11">
      <c r="A106" s="22"/>
      <c r="B106" s="23"/>
      <c r="C106" s="24"/>
      <c r="D106" s="24"/>
      <c r="E106" s="24"/>
      <c r="F106" s="24"/>
      <c r="G106" s="24"/>
      <c r="H106" s="24"/>
      <c r="I106" s="24"/>
      <c r="J106" s="24"/>
      <c r="K106" s="25"/>
    </row>
    <row r="107" s="5" customFormat="1" ht="20" customHeight="1" spans="1:11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5"/>
    </row>
    <row r="108" s="5" customFormat="1" ht="20" customHeight="1" spans="1:11">
      <c r="A108" s="22"/>
      <c r="B108" s="23"/>
      <c r="C108" s="24"/>
      <c r="D108" s="24"/>
      <c r="E108" s="24"/>
      <c r="F108" s="24"/>
      <c r="G108" s="24"/>
      <c r="H108" s="24"/>
      <c r="I108" s="24"/>
      <c r="J108" s="24"/>
      <c r="K108" s="25"/>
    </row>
    <row r="109" s="5" customFormat="1" ht="20" customHeight="1" spans="1:11">
      <c r="A109" s="22"/>
      <c r="B109" s="23"/>
      <c r="C109" s="24"/>
      <c r="D109" s="24"/>
      <c r="E109" s="24"/>
      <c r="F109" s="24"/>
      <c r="G109" s="24"/>
      <c r="H109" s="24"/>
      <c r="I109" s="24"/>
      <c r="J109" s="24"/>
      <c r="K109" s="25"/>
    </row>
    <row r="110" s="5" customFormat="1" ht="20" customHeight="1" spans="1:11">
      <c r="A110" s="22"/>
      <c r="B110" s="23"/>
      <c r="C110" s="24"/>
      <c r="D110" s="24"/>
      <c r="E110" s="24"/>
      <c r="F110" s="24"/>
      <c r="G110" s="24"/>
      <c r="H110" s="24"/>
      <c r="I110" s="24"/>
      <c r="J110" s="24"/>
      <c r="K110" s="25"/>
    </row>
    <row r="111" s="5" customFormat="1" ht="20" customHeight="1" spans="1:11">
      <c r="A111" s="22"/>
      <c r="B111" s="23"/>
      <c r="C111" s="24"/>
      <c r="D111" s="24"/>
      <c r="E111" s="24"/>
      <c r="F111" s="24"/>
      <c r="G111" s="24"/>
      <c r="H111" s="24"/>
      <c r="I111" s="24"/>
      <c r="J111" s="24"/>
      <c r="K111" s="25"/>
    </row>
    <row r="112" s="5" customFormat="1" ht="20" customHeight="1" spans="1:11">
      <c r="A112" s="22"/>
      <c r="B112" s="23"/>
      <c r="C112" s="24"/>
      <c r="D112" s="24"/>
      <c r="E112" s="24"/>
      <c r="F112" s="24"/>
      <c r="G112" s="24"/>
      <c r="H112" s="24"/>
      <c r="I112" s="24"/>
      <c r="J112" s="24"/>
      <c r="K112" s="25"/>
    </row>
    <row r="113" s="5" customFormat="1" ht="20" customHeight="1" spans="1:11">
      <c r="A113" s="22"/>
      <c r="B113" s="23"/>
      <c r="C113" s="24"/>
      <c r="D113" s="24"/>
      <c r="E113" s="24"/>
      <c r="F113" s="24"/>
      <c r="G113" s="24"/>
      <c r="H113" s="24"/>
      <c r="I113" s="24"/>
      <c r="J113" s="24"/>
      <c r="K113" s="25"/>
    </row>
    <row r="114" s="5" customFormat="1" ht="20" customHeight="1" spans="1:11">
      <c r="A114" s="22"/>
      <c r="B114" s="23"/>
      <c r="C114" s="24"/>
      <c r="D114" s="24"/>
      <c r="E114" s="24"/>
      <c r="F114" s="24"/>
      <c r="G114" s="24"/>
      <c r="H114" s="24"/>
      <c r="I114" s="24"/>
      <c r="J114" s="24"/>
      <c r="K114" s="25"/>
    </row>
    <row r="115" s="5" customFormat="1" ht="20" customHeight="1" spans="1:11">
      <c r="A115" s="22"/>
      <c r="B115" s="23"/>
      <c r="C115" s="24"/>
      <c r="D115" s="24"/>
      <c r="E115" s="24"/>
      <c r="F115" s="24"/>
      <c r="G115" s="24"/>
      <c r="H115" s="24"/>
      <c r="I115" s="24"/>
      <c r="J115" s="24"/>
      <c r="K115" s="25"/>
    </row>
    <row r="116" s="5" customFormat="1" ht="20" customHeight="1" spans="1:11">
      <c r="A116" s="22"/>
      <c r="B116" s="23"/>
      <c r="C116" s="24"/>
      <c r="D116" s="24"/>
      <c r="E116" s="24"/>
      <c r="F116" s="24"/>
      <c r="G116" s="24"/>
      <c r="H116" s="24"/>
      <c r="I116" s="24"/>
      <c r="J116" s="24"/>
      <c r="K116" s="25"/>
    </row>
    <row r="117" s="5" customFormat="1" ht="20" customHeight="1" spans="1:11">
      <c r="A117" s="22"/>
      <c r="B117" s="23"/>
      <c r="C117" s="24"/>
      <c r="D117" s="24"/>
      <c r="E117" s="24"/>
      <c r="F117" s="24"/>
      <c r="G117" s="24"/>
      <c r="H117" s="24"/>
      <c r="I117" s="24"/>
      <c r="J117" s="24"/>
      <c r="K117" s="25"/>
    </row>
    <row r="118" s="5" customFormat="1" ht="20" customHeight="1" spans="1:11">
      <c r="A118" s="22"/>
      <c r="B118" s="23"/>
      <c r="C118" s="24"/>
      <c r="D118" s="24"/>
      <c r="E118" s="24"/>
      <c r="F118" s="24"/>
      <c r="G118" s="24"/>
      <c r="H118" s="24"/>
      <c r="I118" s="24"/>
      <c r="J118" s="24"/>
      <c r="K118" s="25"/>
    </row>
    <row r="119" s="5" customFormat="1" ht="20" customHeight="1" spans="1:11">
      <c r="A119" s="22"/>
      <c r="B119" s="23"/>
      <c r="C119" s="24"/>
      <c r="D119" s="24"/>
      <c r="E119" s="24"/>
      <c r="F119" s="24"/>
      <c r="G119" s="24"/>
      <c r="H119" s="24"/>
      <c r="I119" s="24"/>
      <c r="J119" s="24"/>
      <c r="K119" s="25"/>
    </row>
    <row r="120" s="5" customFormat="1" ht="20" customHeight="1" spans="1:11">
      <c r="A120" s="22"/>
      <c r="B120" s="23"/>
      <c r="C120" s="24"/>
      <c r="D120" s="24"/>
      <c r="E120" s="24"/>
      <c r="F120" s="24"/>
      <c r="G120" s="24"/>
      <c r="H120" s="24"/>
      <c r="I120" s="24"/>
      <c r="J120" s="24"/>
      <c r="K120" s="25"/>
    </row>
    <row r="121" s="5" customFormat="1" ht="20" customHeight="1" spans="1:11">
      <c r="A121" s="22"/>
      <c r="B121" s="23"/>
      <c r="C121" s="24"/>
      <c r="D121" s="24"/>
      <c r="E121" s="24"/>
      <c r="F121" s="24"/>
      <c r="G121" s="24"/>
      <c r="H121" s="24"/>
      <c r="I121" s="24"/>
      <c r="J121" s="24"/>
      <c r="K121" s="25"/>
    </row>
    <row r="122" s="5" customFormat="1" ht="20" customHeight="1" spans="1:11">
      <c r="A122" s="22"/>
      <c r="B122" s="23"/>
      <c r="C122" s="24"/>
      <c r="D122" s="24"/>
      <c r="E122" s="24"/>
      <c r="F122" s="24"/>
      <c r="G122" s="24"/>
      <c r="H122" s="24"/>
      <c r="I122" s="24"/>
      <c r="J122" s="24"/>
      <c r="K122" s="25"/>
    </row>
    <row r="123" s="5" customFormat="1" ht="20" customHeight="1" spans="1:11">
      <c r="A123" s="22"/>
      <c r="B123" s="23"/>
      <c r="C123" s="24"/>
      <c r="D123" s="24"/>
      <c r="E123" s="24"/>
      <c r="F123" s="24"/>
      <c r="G123" s="24"/>
      <c r="H123" s="24"/>
      <c r="I123" s="24"/>
      <c r="J123" s="24"/>
      <c r="K123" s="25"/>
    </row>
    <row r="124" s="5" customFormat="1" ht="20" customHeight="1" spans="1:11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5"/>
    </row>
    <row r="125" s="5" customFormat="1" ht="20" customHeight="1" spans="1:11">
      <c r="A125" s="22"/>
      <c r="B125" s="23"/>
      <c r="C125" s="24"/>
      <c r="D125" s="24"/>
      <c r="E125" s="24"/>
      <c r="F125" s="24"/>
      <c r="G125" s="24"/>
      <c r="H125" s="24"/>
      <c r="I125" s="24"/>
      <c r="J125" s="24"/>
      <c r="K125" s="25"/>
    </row>
    <row r="126" s="5" customFormat="1" ht="20" customHeight="1" spans="1:11">
      <c r="A126" s="22"/>
      <c r="B126" s="23"/>
      <c r="C126" s="24"/>
      <c r="D126" s="24"/>
      <c r="E126" s="24"/>
      <c r="F126" s="24"/>
      <c r="G126" s="24"/>
      <c r="H126" s="24"/>
      <c r="I126" s="24"/>
      <c r="J126" s="24"/>
      <c r="K126" s="25"/>
    </row>
    <row r="127" s="5" customFormat="1" ht="20" customHeight="1" spans="1:11">
      <c r="A127" s="22"/>
      <c r="B127" s="23"/>
      <c r="C127" s="24"/>
      <c r="D127" s="24"/>
      <c r="E127" s="24"/>
      <c r="F127" s="24"/>
      <c r="G127" s="24"/>
      <c r="H127" s="24"/>
      <c r="I127" s="24"/>
      <c r="J127" s="24"/>
      <c r="K127" s="25"/>
    </row>
    <row r="128" s="5" customFormat="1" ht="20" customHeight="1" spans="1:11">
      <c r="A128" s="22"/>
      <c r="B128" s="23"/>
      <c r="C128" s="24"/>
      <c r="D128" s="24"/>
      <c r="E128" s="24"/>
      <c r="F128" s="24"/>
      <c r="G128" s="24"/>
      <c r="H128" s="24"/>
      <c r="I128" s="24"/>
      <c r="J128" s="24"/>
      <c r="K128" s="25"/>
    </row>
    <row r="129" s="5" customFormat="1" ht="20" customHeight="1" spans="1:11">
      <c r="A129" s="22"/>
      <c r="B129" s="23"/>
      <c r="C129" s="24"/>
      <c r="D129" s="24"/>
      <c r="E129" s="24"/>
      <c r="F129" s="24"/>
      <c r="G129" s="24"/>
      <c r="H129" s="24"/>
      <c r="I129" s="24"/>
      <c r="J129" s="24"/>
      <c r="K129" s="25"/>
    </row>
    <row r="130" s="5" customFormat="1" ht="20" customHeight="1" spans="1:11">
      <c r="A130" s="22"/>
      <c r="B130" s="23"/>
      <c r="C130" s="24"/>
      <c r="D130" s="24"/>
      <c r="E130" s="24"/>
      <c r="F130" s="24"/>
      <c r="G130" s="24"/>
      <c r="H130" s="24"/>
      <c r="I130" s="24"/>
      <c r="J130" s="24"/>
      <c r="K130" s="25"/>
    </row>
    <row r="131" s="5" customFormat="1" ht="20" customHeight="1" spans="1:11">
      <c r="A131" s="22"/>
      <c r="B131" s="23"/>
      <c r="C131" s="24"/>
      <c r="D131" s="24"/>
      <c r="E131" s="24"/>
      <c r="F131" s="24"/>
      <c r="G131" s="24"/>
      <c r="H131" s="24"/>
      <c r="I131" s="24"/>
      <c r="J131" s="24"/>
      <c r="K131" s="25"/>
    </row>
    <row r="132" s="5" customFormat="1" ht="20" customHeight="1" spans="1:11">
      <c r="A132" s="22"/>
      <c r="B132" s="23"/>
      <c r="C132" s="24"/>
      <c r="D132" s="24"/>
      <c r="E132" s="24"/>
      <c r="F132" s="24"/>
      <c r="G132" s="24"/>
      <c r="H132" s="24"/>
      <c r="I132" s="24"/>
      <c r="J132" s="24"/>
      <c r="K132" s="25"/>
    </row>
    <row r="133" s="5" customFormat="1" ht="20" customHeight="1" spans="1:11">
      <c r="A133" s="22"/>
      <c r="B133" s="23"/>
      <c r="C133" s="24"/>
      <c r="D133" s="24"/>
      <c r="E133" s="24"/>
      <c r="F133" s="24"/>
      <c r="G133" s="24"/>
      <c r="H133" s="24"/>
      <c r="I133" s="24"/>
      <c r="J133" s="24"/>
      <c r="K133" s="25"/>
    </row>
    <row r="134" s="5" customFormat="1" ht="20" customHeight="1" spans="1:11">
      <c r="A134" s="22"/>
      <c r="B134" s="23"/>
      <c r="C134" s="24"/>
      <c r="D134" s="24"/>
      <c r="E134" s="24"/>
      <c r="F134" s="24"/>
      <c r="G134" s="24"/>
      <c r="H134" s="24"/>
      <c r="I134" s="24"/>
      <c r="J134" s="24"/>
      <c r="K134" s="25"/>
    </row>
    <row r="135" s="5" customFormat="1" ht="20" customHeight="1" spans="1:11">
      <c r="A135" s="22"/>
      <c r="B135" s="23"/>
      <c r="C135" s="24"/>
      <c r="D135" s="24"/>
      <c r="E135" s="24"/>
      <c r="F135" s="24"/>
      <c r="G135" s="24"/>
      <c r="H135" s="24"/>
      <c r="I135" s="24"/>
      <c r="J135" s="24"/>
      <c r="K135" s="25"/>
    </row>
    <row r="136" s="5" customFormat="1" ht="20" customHeight="1" spans="1:11">
      <c r="A136" s="22"/>
      <c r="B136" s="23"/>
      <c r="C136" s="24"/>
      <c r="D136" s="24"/>
      <c r="E136" s="24"/>
      <c r="F136" s="24"/>
      <c r="G136" s="24"/>
      <c r="H136" s="24"/>
      <c r="I136" s="24"/>
      <c r="J136" s="24"/>
      <c r="K136" s="25"/>
    </row>
    <row r="137" s="5" customFormat="1" ht="20" customHeight="1" spans="1:11">
      <c r="A137" s="22"/>
      <c r="B137" s="23"/>
      <c r="C137" s="24"/>
      <c r="D137" s="24"/>
      <c r="E137" s="24"/>
      <c r="F137" s="24"/>
      <c r="G137" s="24"/>
      <c r="H137" s="24"/>
      <c r="I137" s="24"/>
      <c r="J137" s="24"/>
      <c r="K137" s="25"/>
    </row>
    <row r="138" s="5" customFormat="1" ht="20" customHeight="1" spans="1:11">
      <c r="A138" s="22"/>
      <c r="B138" s="23"/>
      <c r="C138" s="24"/>
      <c r="D138" s="24"/>
      <c r="E138" s="24"/>
      <c r="F138" s="24"/>
      <c r="G138" s="24"/>
      <c r="H138" s="24"/>
      <c r="I138" s="24"/>
      <c r="J138" s="24"/>
      <c r="K138" s="25"/>
    </row>
    <row r="139" s="5" customFormat="1" ht="20" customHeight="1" spans="1:11">
      <c r="A139" s="22"/>
      <c r="B139" s="23"/>
      <c r="C139" s="24"/>
      <c r="D139" s="24"/>
      <c r="E139" s="24"/>
      <c r="F139" s="24"/>
      <c r="G139" s="24"/>
      <c r="H139" s="24"/>
      <c r="I139" s="24"/>
      <c r="J139" s="24"/>
      <c r="K139" s="25"/>
    </row>
    <row r="140" s="5" customFormat="1" ht="20" customHeight="1" spans="1:11">
      <c r="A140" s="22"/>
      <c r="B140" s="23"/>
      <c r="C140" s="24"/>
      <c r="D140" s="24"/>
      <c r="E140" s="24"/>
      <c r="F140" s="24"/>
      <c r="G140" s="24"/>
      <c r="H140" s="24"/>
      <c r="I140" s="24"/>
      <c r="J140" s="24"/>
      <c r="K140" s="25"/>
    </row>
    <row r="141" s="5" customFormat="1" ht="20" customHeight="1" spans="1:11">
      <c r="A141" s="22"/>
      <c r="B141" s="23"/>
      <c r="C141" s="24"/>
      <c r="D141" s="24"/>
      <c r="E141" s="24"/>
      <c r="F141" s="24"/>
      <c r="G141" s="24"/>
      <c r="H141" s="24"/>
      <c r="I141" s="24"/>
      <c r="J141" s="24"/>
      <c r="K141" s="25"/>
    </row>
    <row r="142" s="5" customFormat="1" ht="20" customHeight="1" spans="1:11">
      <c r="A142" s="22"/>
      <c r="B142" s="23"/>
      <c r="C142" s="24"/>
      <c r="D142" s="24"/>
      <c r="E142" s="24"/>
      <c r="F142" s="24"/>
      <c r="G142" s="24"/>
      <c r="H142" s="24"/>
      <c r="I142" s="24"/>
      <c r="J142" s="24"/>
      <c r="K142" s="25"/>
    </row>
    <row r="143" s="5" customFormat="1" ht="20" customHeight="1" spans="1:11">
      <c r="A143" s="22"/>
      <c r="B143" s="23"/>
      <c r="C143" s="24"/>
      <c r="D143" s="24"/>
      <c r="E143" s="24"/>
      <c r="F143" s="24"/>
      <c r="G143" s="24"/>
      <c r="H143" s="24"/>
      <c r="I143" s="24"/>
      <c r="J143" s="24"/>
      <c r="K143" s="25"/>
    </row>
    <row r="144" s="5" customFormat="1" ht="20" customHeight="1" spans="1:11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5"/>
    </row>
    <row r="145" s="5" customFormat="1" ht="20" customHeight="1" spans="1:11">
      <c r="A145" s="22"/>
      <c r="B145" s="23"/>
      <c r="C145" s="24"/>
      <c r="D145" s="24"/>
      <c r="E145" s="24"/>
      <c r="F145" s="24"/>
      <c r="G145" s="24"/>
      <c r="H145" s="24"/>
      <c r="I145" s="24"/>
      <c r="J145" s="24"/>
      <c r="K145" s="25"/>
    </row>
    <row r="146" s="5" customFormat="1" ht="20" customHeight="1" spans="1:11">
      <c r="A146" s="22"/>
      <c r="B146" s="23"/>
      <c r="C146" s="24"/>
      <c r="D146" s="24"/>
      <c r="E146" s="24"/>
      <c r="F146" s="24"/>
      <c r="G146" s="24"/>
      <c r="H146" s="24"/>
      <c r="I146" s="24"/>
      <c r="J146" s="24"/>
      <c r="K146" s="25"/>
    </row>
    <row r="147" s="5" customFormat="1" ht="20" customHeight="1" spans="1:11">
      <c r="A147" s="22"/>
      <c r="B147" s="23"/>
      <c r="C147" s="24"/>
      <c r="D147" s="24"/>
      <c r="E147" s="24"/>
      <c r="F147" s="24"/>
      <c r="G147" s="24"/>
      <c r="H147" s="24"/>
      <c r="I147" s="24"/>
      <c r="J147" s="24"/>
      <c r="K147" s="25"/>
    </row>
    <row r="148" s="5" customFormat="1" ht="20" customHeight="1" spans="1:11">
      <c r="A148" s="22"/>
      <c r="B148" s="23"/>
      <c r="C148" s="24"/>
      <c r="D148" s="24"/>
      <c r="E148" s="24"/>
      <c r="F148" s="24"/>
      <c r="G148" s="24"/>
      <c r="H148" s="24"/>
      <c r="I148" s="24"/>
      <c r="J148" s="24"/>
      <c r="K148" s="25"/>
    </row>
    <row r="149" s="5" customFormat="1" ht="20" customHeight="1" spans="1:11">
      <c r="A149" s="22"/>
      <c r="B149" s="23"/>
      <c r="C149" s="24"/>
      <c r="D149" s="24"/>
      <c r="E149" s="24"/>
      <c r="F149" s="24"/>
      <c r="G149" s="24"/>
      <c r="H149" s="24"/>
      <c r="I149" s="24"/>
      <c r="J149" s="24"/>
      <c r="K149" s="25"/>
    </row>
    <row r="150" s="5" customFormat="1" ht="20" customHeight="1" spans="1:11">
      <c r="A150" s="22"/>
      <c r="B150" s="23"/>
      <c r="C150" s="24"/>
      <c r="D150" s="24"/>
      <c r="E150" s="24"/>
      <c r="F150" s="24"/>
      <c r="G150" s="24"/>
      <c r="H150" s="24"/>
      <c r="I150" s="24"/>
      <c r="J150" s="24"/>
      <c r="K150" s="25"/>
    </row>
    <row r="151" s="5" customFormat="1" ht="20" customHeight="1" spans="1:11">
      <c r="A151" s="22"/>
      <c r="B151" s="23"/>
      <c r="C151" s="24"/>
      <c r="D151" s="24"/>
      <c r="E151" s="24"/>
      <c r="F151" s="24"/>
      <c r="G151" s="24"/>
      <c r="H151" s="24"/>
      <c r="I151" s="24"/>
      <c r="J151" s="24"/>
      <c r="K151" s="25"/>
    </row>
    <row r="152" s="5" customFormat="1" ht="20" customHeight="1" spans="1:11">
      <c r="A152" s="22"/>
      <c r="B152" s="23"/>
      <c r="C152" s="24"/>
      <c r="D152" s="24"/>
      <c r="E152" s="24"/>
      <c r="F152" s="24"/>
      <c r="G152" s="24"/>
      <c r="H152" s="24"/>
      <c r="I152" s="24"/>
      <c r="J152" s="24"/>
      <c r="K152" s="25"/>
    </row>
    <row r="153" s="5" customFormat="1" ht="20" customHeight="1" spans="1:11">
      <c r="A153" s="22"/>
      <c r="B153" s="23"/>
      <c r="C153" s="24"/>
      <c r="D153" s="24"/>
      <c r="E153" s="24"/>
      <c r="F153" s="24"/>
      <c r="G153" s="24"/>
      <c r="H153" s="24"/>
      <c r="I153" s="24"/>
      <c r="J153" s="24"/>
      <c r="K153" s="25"/>
    </row>
    <row r="154" s="5" customFormat="1" ht="20" customHeight="1" spans="1:11">
      <c r="A154" s="22"/>
      <c r="B154" s="23"/>
      <c r="C154" s="24"/>
      <c r="D154" s="24"/>
      <c r="E154" s="24"/>
      <c r="F154" s="24"/>
      <c r="G154" s="24"/>
      <c r="H154" s="24"/>
      <c r="I154" s="24"/>
      <c r="J154" s="24"/>
      <c r="K154" s="25"/>
    </row>
    <row r="155" s="5" customFormat="1" ht="20" customHeight="1" spans="1:11">
      <c r="A155" s="22"/>
      <c r="B155" s="23"/>
      <c r="C155" s="24"/>
      <c r="D155" s="24"/>
      <c r="E155" s="24"/>
      <c r="F155" s="24"/>
      <c r="G155" s="24"/>
      <c r="H155" s="24"/>
      <c r="I155" s="24"/>
      <c r="J155" s="24"/>
      <c r="K155" s="25"/>
    </row>
    <row r="156" s="5" customFormat="1" ht="20" customHeight="1" spans="1:11">
      <c r="A156" s="22"/>
      <c r="B156" s="23"/>
      <c r="C156" s="24"/>
      <c r="D156" s="24"/>
      <c r="E156" s="24"/>
      <c r="F156" s="24"/>
      <c r="G156" s="24"/>
      <c r="H156" s="24"/>
      <c r="I156" s="24"/>
      <c r="J156" s="24"/>
      <c r="K156" s="25"/>
    </row>
    <row r="157" s="5" customFormat="1" ht="20" customHeight="1" spans="1:11">
      <c r="A157" s="22"/>
      <c r="B157" s="23"/>
      <c r="C157" s="24"/>
      <c r="D157" s="24"/>
      <c r="E157" s="24"/>
      <c r="F157" s="24"/>
      <c r="G157" s="24"/>
      <c r="H157" s="24"/>
      <c r="I157" s="24"/>
      <c r="J157" s="24"/>
      <c r="K157" s="25"/>
    </row>
    <row r="158" s="5" customFormat="1" ht="20" customHeight="1" spans="1:11">
      <c r="A158" s="22"/>
      <c r="B158" s="23"/>
      <c r="C158" s="24"/>
      <c r="D158" s="24"/>
      <c r="E158" s="24"/>
      <c r="F158" s="24"/>
      <c r="G158" s="24"/>
      <c r="H158" s="24"/>
      <c r="I158" s="24"/>
      <c r="J158" s="24"/>
      <c r="K158" s="25"/>
    </row>
    <row r="159" s="5" customFormat="1" ht="20" customHeight="1" spans="1:11">
      <c r="A159" s="22"/>
      <c r="B159" s="23"/>
      <c r="C159" s="24"/>
      <c r="D159" s="24"/>
      <c r="E159" s="24"/>
      <c r="F159" s="24"/>
      <c r="G159" s="24"/>
      <c r="H159" s="24"/>
      <c r="I159" s="24"/>
      <c r="J159" s="24"/>
      <c r="K159" s="25"/>
    </row>
    <row r="160" s="5" customFormat="1" ht="20" customHeight="1" spans="1:11">
      <c r="A160" s="22"/>
      <c r="B160" s="23"/>
      <c r="C160" s="24"/>
      <c r="D160" s="24"/>
      <c r="E160" s="24"/>
      <c r="F160" s="24"/>
      <c r="G160" s="24"/>
      <c r="H160" s="24"/>
      <c r="I160" s="24"/>
      <c r="J160" s="24"/>
      <c r="K160" s="25"/>
    </row>
    <row r="161" s="5" customFormat="1" ht="20" customHeight="1" spans="1:11">
      <c r="A161" s="22"/>
      <c r="B161" s="23"/>
      <c r="C161" s="24"/>
      <c r="D161" s="24"/>
      <c r="E161" s="24"/>
      <c r="F161" s="24"/>
      <c r="G161" s="24"/>
      <c r="H161" s="24"/>
      <c r="I161" s="24"/>
      <c r="J161" s="24"/>
      <c r="K161" s="25"/>
    </row>
    <row r="162" s="5" customFormat="1" ht="20" customHeight="1" spans="1:11">
      <c r="A162" s="22"/>
      <c r="B162" s="23"/>
      <c r="C162" s="24"/>
      <c r="D162" s="24"/>
      <c r="E162" s="24"/>
      <c r="F162" s="24"/>
      <c r="G162" s="24"/>
      <c r="H162" s="24"/>
      <c r="I162" s="24"/>
      <c r="J162" s="24"/>
      <c r="K162" s="25"/>
    </row>
    <row r="163" s="5" customFormat="1" ht="20" customHeight="1" spans="1:11">
      <c r="A163" s="22"/>
      <c r="B163" s="23"/>
      <c r="C163" s="24"/>
      <c r="D163" s="24"/>
      <c r="E163" s="24"/>
      <c r="F163" s="24"/>
      <c r="G163" s="24"/>
      <c r="H163" s="24"/>
      <c r="I163" s="24"/>
      <c r="J163" s="24"/>
      <c r="K163" s="25"/>
    </row>
    <row r="164" s="5" customFormat="1" ht="20" customHeight="1" spans="1:11">
      <c r="A164" s="22"/>
      <c r="B164" s="23"/>
      <c r="C164" s="24"/>
      <c r="D164" s="24"/>
      <c r="E164" s="24"/>
      <c r="F164" s="24"/>
      <c r="G164" s="24"/>
      <c r="H164" s="24"/>
      <c r="I164" s="24"/>
      <c r="J164" s="24"/>
      <c r="K164" s="25"/>
    </row>
    <row r="165" s="5" customFormat="1" ht="20" customHeight="1" spans="1:11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5"/>
    </row>
    <row r="166" s="5" customFormat="1" ht="20" customHeight="1" spans="1:11">
      <c r="A166" s="22"/>
      <c r="B166" s="23"/>
      <c r="C166" s="24"/>
      <c r="D166" s="24"/>
      <c r="E166" s="24"/>
      <c r="F166" s="24"/>
      <c r="G166" s="24"/>
      <c r="H166" s="24"/>
      <c r="I166" s="24"/>
      <c r="J166" s="24"/>
      <c r="K166" s="25"/>
    </row>
    <row r="167" s="5" customFormat="1" ht="20" customHeight="1" spans="1:11">
      <c r="A167" s="22"/>
      <c r="B167" s="23"/>
      <c r="C167" s="24"/>
      <c r="D167" s="24"/>
      <c r="E167" s="24"/>
      <c r="F167" s="24"/>
      <c r="G167" s="24"/>
      <c r="H167" s="24"/>
      <c r="I167" s="24"/>
      <c r="J167" s="24"/>
      <c r="K167" s="25"/>
    </row>
    <row r="168" s="5" customFormat="1" ht="20" customHeight="1" spans="1:11">
      <c r="A168" s="22"/>
      <c r="B168" s="23"/>
      <c r="C168" s="24"/>
      <c r="D168" s="24"/>
      <c r="E168" s="24"/>
      <c r="F168" s="24"/>
      <c r="G168" s="24"/>
      <c r="H168" s="24"/>
      <c r="I168" s="24"/>
      <c r="J168" s="24"/>
      <c r="K168" s="25"/>
    </row>
    <row r="169" s="5" customFormat="1" ht="20" customHeight="1" spans="1:11">
      <c r="A169" s="22"/>
      <c r="B169" s="23"/>
      <c r="C169" s="24"/>
      <c r="D169" s="24"/>
      <c r="E169" s="24"/>
      <c r="F169" s="24"/>
      <c r="G169" s="24"/>
      <c r="H169" s="24"/>
      <c r="I169" s="24"/>
      <c r="J169" s="24"/>
      <c r="K169" s="25"/>
    </row>
    <row r="170" s="5" customFormat="1" ht="20" customHeight="1" spans="1:11">
      <c r="A170" s="22"/>
      <c r="B170" s="23"/>
      <c r="C170" s="24"/>
      <c r="D170" s="24"/>
      <c r="E170" s="24"/>
      <c r="F170" s="24"/>
      <c r="G170" s="24"/>
      <c r="H170" s="24"/>
      <c r="I170" s="24"/>
      <c r="J170" s="24"/>
      <c r="K170" s="25"/>
    </row>
    <row r="171" s="5" customFormat="1" ht="20" customHeight="1" spans="1:11">
      <c r="A171" s="22"/>
      <c r="B171" s="23"/>
      <c r="C171" s="24"/>
      <c r="D171" s="24"/>
      <c r="E171" s="24"/>
      <c r="F171" s="24"/>
      <c r="G171" s="24"/>
      <c r="H171" s="24"/>
      <c r="I171" s="24"/>
      <c r="J171" s="24"/>
      <c r="K171" s="25"/>
    </row>
    <row r="172" s="5" customFormat="1" ht="20" customHeight="1" spans="1:11">
      <c r="A172" s="22"/>
      <c r="B172" s="23"/>
      <c r="C172" s="24"/>
      <c r="D172" s="24"/>
      <c r="E172" s="24"/>
      <c r="F172" s="24"/>
      <c r="G172" s="24"/>
      <c r="H172" s="24"/>
      <c r="I172" s="24"/>
      <c r="J172" s="24"/>
      <c r="K172" s="25"/>
    </row>
    <row r="173" s="5" customFormat="1" ht="20" customHeight="1" spans="1:11">
      <c r="A173" s="22"/>
      <c r="B173" s="23"/>
      <c r="C173" s="24"/>
      <c r="D173" s="24"/>
      <c r="E173" s="24"/>
      <c r="F173" s="24"/>
      <c r="G173" s="24"/>
      <c r="H173" s="24"/>
      <c r="I173" s="24"/>
      <c r="J173" s="24"/>
      <c r="K173" s="25"/>
    </row>
    <row r="174" s="5" customFormat="1" ht="20" customHeight="1" spans="1:11">
      <c r="A174" s="22"/>
      <c r="B174" s="23"/>
      <c r="C174" s="24"/>
      <c r="D174" s="24"/>
      <c r="E174" s="24"/>
      <c r="F174" s="24"/>
      <c r="G174" s="24"/>
      <c r="H174" s="24"/>
      <c r="I174" s="24"/>
      <c r="J174" s="24"/>
      <c r="K174" s="25"/>
    </row>
    <row r="175" s="5" customFormat="1" ht="20" customHeight="1" spans="1:11">
      <c r="A175" s="22"/>
      <c r="B175" s="23"/>
      <c r="C175" s="24"/>
      <c r="D175" s="24"/>
      <c r="E175" s="24"/>
      <c r="F175" s="24"/>
      <c r="G175" s="24"/>
      <c r="H175" s="24"/>
      <c r="I175" s="24"/>
      <c r="J175" s="24"/>
      <c r="K175" s="25"/>
    </row>
    <row r="176" s="5" customFormat="1" ht="20" customHeight="1" spans="1:11">
      <c r="A176" s="22"/>
      <c r="B176" s="23"/>
      <c r="C176" s="24"/>
      <c r="D176" s="24"/>
      <c r="E176" s="24"/>
      <c r="F176" s="24"/>
      <c r="G176" s="24"/>
      <c r="H176" s="24"/>
      <c r="I176" s="24"/>
      <c r="J176" s="24"/>
      <c r="K176" s="25"/>
    </row>
    <row r="177" s="5" customFormat="1" ht="20" customHeight="1" spans="1:11">
      <c r="A177" s="22"/>
      <c r="B177" s="23"/>
      <c r="C177" s="24"/>
      <c r="D177" s="24"/>
      <c r="E177" s="24"/>
      <c r="F177" s="24"/>
      <c r="G177" s="24"/>
      <c r="H177" s="24"/>
      <c r="I177" s="24"/>
      <c r="J177" s="24"/>
      <c r="K177" s="25"/>
    </row>
    <row r="178" s="5" customFormat="1" ht="20" customHeight="1" spans="1:11">
      <c r="A178" s="22"/>
      <c r="B178" s="23"/>
      <c r="C178" s="24"/>
      <c r="D178" s="24"/>
      <c r="E178" s="24"/>
      <c r="F178" s="24"/>
      <c r="G178" s="24"/>
      <c r="H178" s="24"/>
      <c r="I178" s="24"/>
      <c r="J178" s="24"/>
      <c r="K178" s="25"/>
    </row>
    <row r="179" s="5" customFormat="1" ht="20" customHeight="1" spans="1:11">
      <c r="A179" s="22"/>
      <c r="B179" s="23"/>
      <c r="C179" s="24"/>
      <c r="D179" s="24"/>
      <c r="E179" s="24"/>
      <c r="F179" s="24"/>
      <c r="G179" s="24"/>
      <c r="H179" s="24"/>
      <c r="I179" s="24"/>
      <c r="J179" s="24"/>
      <c r="K179" s="25"/>
    </row>
    <row r="180" s="5" customFormat="1" ht="20" customHeight="1" spans="1:11">
      <c r="A180" s="22"/>
      <c r="B180" s="23"/>
      <c r="C180" s="24"/>
      <c r="D180" s="24"/>
      <c r="E180" s="24"/>
      <c r="F180" s="24"/>
      <c r="G180" s="24"/>
      <c r="H180" s="24"/>
      <c r="I180" s="24"/>
      <c r="J180" s="24"/>
      <c r="K180" s="25"/>
    </row>
    <row r="181" s="5" customFormat="1" ht="20" customHeight="1" spans="1:11">
      <c r="A181" s="22"/>
      <c r="B181" s="23"/>
      <c r="C181" s="24"/>
      <c r="D181" s="24"/>
      <c r="E181" s="24"/>
      <c r="F181" s="24"/>
      <c r="G181" s="24"/>
      <c r="H181" s="24"/>
      <c r="I181" s="24"/>
      <c r="J181" s="24"/>
      <c r="K181" s="25"/>
    </row>
    <row r="182" s="5" customFormat="1" ht="20" customHeight="1" spans="1:11">
      <c r="A182" s="22"/>
      <c r="B182" s="23"/>
      <c r="C182" s="24"/>
      <c r="D182" s="24"/>
      <c r="E182" s="24"/>
      <c r="F182" s="24"/>
      <c r="G182" s="24"/>
      <c r="H182" s="24"/>
      <c r="I182" s="24"/>
      <c r="J182" s="24"/>
      <c r="K182" s="25"/>
    </row>
    <row r="183" s="5" customFormat="1" ht="20" customHeight="1" spans="1:11">
      <c r="A183" s="22"/>
      <c r="B183" s="23"/>
      <c r="C183" s="24"/>
      <c r="D183" s="24"/>
      <c r="E183" s="24"/>
      <c r="F183" s="24"/>
      <c r="G183" s="24"/>
      <c r="H183" s="24"/>
      <c r="I183" s="24"/>
      <c r="J183" s="24"/>
      <c r="K183" s="25"/>
    </row>
    <row r="184" s="5" customFormat="1" ht="20" customHeight="1" spans="1:11">
      <c r="A184" s="22"/>
      <c r="B184" s="23"/>
      <c r="C184" s="24"/>
      <c r="D184" s="24"/>
      <c r="E184" s="24"/>
      <c r="F184" s="24"/>
      <c r="G184" s="24"/>
      <c r="H184" s="24"/>
      <c r="I184" s="24"/>
      <c r="J184" s="24"/>
      <c r="K184" s="25"/>
    </row>
    <row r="185" s="5" customFormat="1" ht="20" customHeight="1" spans="1:11">
      <c r="A185" s="22"/>
      <c r="B185" s="23"/>
      <c r="C185" s="24"/>
      <c r="D185" s="24"/>
      <c r="E185" s="24"/>
      <c r="F185" s="24"/>
      <c r="G185" s="24"/>
      <c r="H185" s="24"/>
      <c r="I185" s="24"/>
      <c r="J185" s="24"/>
      <c r="K185" s="25"/>
    </row>
    <row r="186" s="5" customFormat="1" ht="20" customHeight="1" spans="1:11">
      <c r="A186" s="22"/>
      <c r="B186" s="23"/>
      <c r="C186" s="24"/>
      <c r="D186" s="24"/>
      <c r="E186" s="24"/>
      <c r="F186" s="24"/>
      <c r="G186" s="24"/>
      <c r="H186" s="24"/>
      <c r="I186" s="24"/>
      <c r="J186" s="24"/>
      <c r="K186" s="25"/>
    </row>
    <row r="187" s="5" customFormat="1" ht="20" customHeight="1" spans="1:11">
      <c r="A187" s="22"/>
      <c r="B187" s="23"/>
      <c r="C187" s="24"/>
      <c r="D187" s="24"/>
      <c r="E187" s="24"/>
      <c r="F187" s="24"/>
      <c r="G187" s="24"/>
      <c r="H187" s="24"/>
      <c r="I187" s="24"/>
      <c r="J187" s="24"/>
      <c r="K187" s="25"/>
    </row>
    <row r="188" s="5" customFormat="1" ht="20" customHeight="1" spans="1:11">
      <c r="A188" s="22"/>
      <c r="B188" s="23"/>
      <c r="C188" s="24"/>
      <c r="D188" s="24"/>
      <c r="E188" s="24"/>
      <c r="F188" s="24"/>
      <c r="G188" s="24"/>
      <c r="H188" s="24"/>
      <c r="I188" s="24"/>
      <c r="J188" s="24"/>
      <c r="K188" s="25"/>
    </row>
    <row r="189" s="5" customFormat="1" ht="20" customHeight="1" spans="1:11">
      <c r="A189" s="22"/>
      <c r="B189" s="23"/>
      <c r="C189" s="24"/>
      <c r="D189" s="24"/>
      <c r="E189" s="24"/>
      <c r="F189" s="24"/>
      <c r="G189" s="24"/>
      <c r="H189" s="24"/>
      <c r="I189" s="24"/>
      <c r="J189" s="24"/>
      <c r="K189" s="25"/>
    </row>
    <row r="190" s="5" customFormat="1" ht="20" customHeight="1" spans="1:11">
      <c r="A190" s="22"/>
      <c r="B190" s="23"/>
      <c r="C190" s="24"/>
      <c r="D190" s="24"/>
      <c r="E190" s="24"/>
      <c r="F190" s="24"/>
      <c r="G190" s="24"/>
      <c r="H190" s="24"/>
      <c r="I190" s="24"/>
      <c r="J190" s="24"/>
      <c r="K190" s="25"/>
    </row>
    <row r="191" s="5" customFormat="1" ht="20" customHeight="1" spans="1:11">
      <c r="A191" s="22"/>
      <c r="B191" s="23"/>
      <c r="C191" s="24"/>
      <c r="D191" s="24"/>
      <c r="E191" s="24"/>
      <c r="F191" s="24"/>
      <c r="G191" s="24"/>
      <c r="H191" s="24"/>
      <c r="I191" s="24"/>
      <c r="J191" s="24"/>
      <c r="K191" s="25"/>
    </row>
    <row r="192" s="5" customFormat="1" ht="20" customHeight="1" spans="1:11">
      <c r="A192" s="22"/>
      <c r="B192" s="23"/>
      <c r="C192" s="24"/>
      <c r="D192" s="24"/>
      <c r="E192" s="24"/>
      <c r="F192" s="24"/>
      <c r="G192" s="24"/>
      <c r="H192" s="24"/>
      <c r="I192" s="24"/>
      <c r="J192" s="24"/>
      <c r="K192" s="25"/>
    </row>
    <row r="193" s="5" customFormat="1" ht="20" customHeight="1" spans="1:11">
      <c r="A193" s="22"/>
      <c r="B193" s="23"/>
      <c r="C193" s="24"/>
      <c r="D193" s="24"/>
      <c r="E193" s="24"/>
      <c r="F193" s="24"/>
      <c r="G193" s="24"/>
      <c r="H193" s="24"/>
      <c r="I193" s="24"/>
      <c r="J193" s="24"/>
      <c r="K193" s="25"/>
    </row>
    <row r="194" s="5" customFormat="1" ht="20" customHeight="1" spans="1:11">
      <c r="A194" s="22"/>
      <c r="B194" s="23"/>
      <c r="C194" s="24"/>
      <c r="D194" s="24"/>
      <c r="E194" s="24"/>
      <c r="F194" s="24"/>
      <c r="G194" s="24"/>
      <c r="H194" s="24"/>
      <c r="I194" s="24"/>
      <c r="J194" s="24"/>
      <c r="K194" s="25"/>
    </row>
    <row r="195" s="5" customFormat="1" ht="20" customHeight="1" spans="1:11">
      <c r="A195" s="22"/>
      <c r="B195" s="23"/>
      <c r="C195" s="24"/>
      <c r="D195" s="24"/>
      <c r="E195" s="24"/>
      <c r="F195" s="24"/>
      <c r="G195" s="24"/>
      <c r="H195" s="24"/>
      <c r="I195" s="24"/>
      <c r="J195" s="24"/>
      <c r="K195" s="25"/>
    </row>
    <row r="196" s="5" customFormat="1" ht="20" customHeight="1" spans="1:11">
      <c r="A196" s="22"/>
      <c r="B196" s="23"/>
      <c r="C196" s="24"/>
      <c r="D196" s="24"/>
      <c r="E196" s="24"/>
      <c r="F196" s="24"/>
      <c r="G196" s="24"/>
      <c r="H196" s="24"/>
      <c r="I196" s="24"/>
      <c r="J196" s="24"/>
      <c r="K196" s="25"/>
    </row>
    <row r="197" s="5" customFormat="1" ht="20" customHeight="1" spans="1:11">
      <c r="A197" s="22"/>
      <c r="B197" s="23"/>
      <c r="C197" s="24"/>
      <c r="D197" s="24"/>
      <c r="E197" s="24"/>
      <c r="F197" s="24"/>
      <c r="G197" s="24"/>
      <c r="H197" s="24"/>
      <c r="I197" s="24"/>
      <c r="J197" s="24"/>
      <c r="K197" s="25"/>
    </row>
    <row r="198" s="5" customFormat="1" ht="20" customHeight="1" spans="1:11">
      <c r="A198" s="22"/>
      <c r="B198" s="23"/>
      <c r="C198" s="24"/>
      <c r="D198" s="24"/>
      <c r="E198" s="24"/>
      <c r="F198" s="24"/>
      <c r="G198" s="24"/>
      <c r="H198" s="24"/>
      <c r="I198" s="24"/>
      <c r="J198" s="24"/>
      <c r="K198" s="25"/>
    </row>
    <row r="199" s="5" customFormat="1" ht="20" customHeight="1" spans="1:11">
      <c r="A199" s="22"/>
      <c r="B199" s="23"/>
      <c r="C199" s="24"/>
      <c r="D199" s="24"/>
      <c r="E199" s="24"/>
      <c r="F199" s="24"/>
      <c r="G199" s="24"/>
      <c r="H199" s="24"/>
      <c r="I199" s="24"/>
      <c r="J199" s="24"/>
      <c r="K199" s="25"/>
    </row>
    <row r="200" s="5" customFormat="1" ht="20" customHeight="1" spans="1:11">
      <c r="A200" s="22"/>
      <c r="B200" s="23"/>
      <c r="C200" s="24"/>
      <c r="D200" s="24"/>
      <c r="E200" s="24"/>
      <c r="F200" s="24"/>
      <c r="G200" s="24"/>
      <c r="H200" s="24"/>
      <c r="I200" s="24"/>
      <c r="J200" s="24"/>
      <c r="K200" s="25"/>
    </row>
    <row r="201" s="5" customFormat="1" ht="20" customHeight="1" spans="1:11">
      <c r="A201" s="22"/>
      <c r="B201" s="23"/>
      <c r="C201" s="24"/>
      <c r="D201" s="24"/>
      <c r="E201" s="24"/>
      <c r="F201" s="24"/>
      <c r="G201" s="24"/>
      <c r="H201" s="24"/>
      <c r="I201" s="24"/>
      <c r="J201" s="24"/>
      <c r="K201" s="25"/>
    </row>
    <row r="202" s="5" customFormat="1" ht="20" customHeight="1" spans="1:11">
      <c r="A202" s="22"/>
      <c r="B202" s="23"/>
      <c r="C202" s="24"/>
      <c r="D202" s="24"/>
      <c r="E202" s="24"/>
      <c r="F202" s="24"/>
      <c r="G202" s="24"/>
      <c r="H202" s="24"/>
      <c r="I202" s="24"/>
      <c r="J202" s="24"/>
      <c r="K202" s="25"/>
    </row>
    <row r="203" s="5" customFormat="1" ht="20" customHeight="1" spans="1:11">
      <c r="A203" s="22"/>
      <c r="B203" s="23"/>
      <c r="C203" s="24"/>
      <c r="D203" s="24"/>
      <c r="E203" s="24"/>
      <c r="F203" s="24"/>
      <c r="G203" s="24"/>
      <c r="H203" s="24"/>
      <c r="I203" s="24"/>
      <c r="J203" s="24"/>
      <c r="K203" s="25"/>
    </row>
    <row r="204" s="5" customFormat="1" ht="20" customHeight="1" spans="1:11">
      <c r="A204" s="22"/>
      <c r="B204" s="23"/>
      <c r="C204" s="24"/>
      <c r="D204" s="24"/>
      <c r="E204" s="24"/>
      <c r="F204" s="24"/>
      <c r="G204" s="24"/>
      <c r="H204" s="24"/>
      <c r="I204" s="24"/>
      <c r="J204" s="24"/>
      <c r="K204" s="25"/>
    </row>
    <row r="205" s="5" customFormat="1" ht="20" customHeight="1" spans="1:11">
      <c r="A205" s="22"/>
      <c r="B205" s="23"/>
      <c r="C205" s="24"/>
      <c r="D205" s="24"/>
      <c r="E205" s="24"/>
      <c r="F205" s="24"/>
      <c r="G205" s="24"/>
      <c r="H205" s="24"/>
      <c r="I205" s="24"/>
      <c r="J205" s="24"/>
      <c r="K205" s="25"/>
    </row>
    <row r="206" s="5" customFormat="1" ht="20" customHeight="1" spans="1:11">
      <c r="A206" s="22"/>
      <c r="B206" s="23"/>
      <c r="C206" s="24"/>
      <c r="D206" s="24"/>
      <c r="E206" s="24"/>
      <c r="F206" s="24"/>
      <c r="G206" s="24"/>
      <c r="H206" s="24"/>
      <c r="I206" s="24"/>
      <c r="J206" s="24"/>
      <c r="K206" s="25"/>
    </row>
    <row r="207" s="5" customFormat="1" ht="20" customHeight="1" spans="1:11">
      <c r="A207" s="22"/>
      <c r="B207" s="23"/>
      <c r="C207" s="24"/>
      <c r="D207" s="24"/>
      <c r="E207" s="24"/>
      <c r="F207" s="24"/>
      <c r="G207" s="24"/>
      <c r="H207" s="24"/>
      <c r="I207" s="24"/>
      <c r="J207" s="24"/>
      <c r="K207" s="25"/>
    </row>
    <row r="208" s="5" customFormat="1" ht="20" customHeight="1" spans="1:11">
      <c r="A208" s="22"/>
      <c r="B208" s="23"/>
      <c r="C208" s="24"/>
      <c r="D208" s="24"/>
      <c r="E208" s="24"/>
      <c r="F208" s="24"/>
      <c r="G208" s="24"/>
      <c r="H208" s="24"/>
      <c r="I208" s="24"/>
      <c r="J208" s="24"/>
      <c r="K208" s="25"/>
    </row>
    <row r="209" s="5" customFormat="1" ht="20" customHeight="1" spans="1:11">
      <c r="A209" s="22"/>
      <c r="B209" s="23"/>
      <c r="C209" s="24"/>
      <c r="D209" s="24"/>
      <c r="E209" s="24"/>
      <c r="F209" s="24"/>
      <c r="G209" s="24"/>
      <c r="H209" s="24"/>
      <c r="I209" s="24"/>
      <c r="J209" s="24"/>
      <c r="K209" s="25"/>
    </row>
    <row r="210" s="5" customFormat="1" ht="20" customHeight="1" spans="1:11">
      <c r="A210" s="22"/>
      <c r="B210" s="23"/>
      <c r="C210" s="24"/>
      <c r="D210" s="24"/>
      <c r="E210" s="24"/>
      <c r="F210" s="24"/>
      <c r="G210" s="24"/>
      <c r="H210" s="24"/>
      <c r="I210" s="24"/>
      <c r="J210" s="24"/>
      <c r="K210" s="25"/>
    </row>
    <row r="211" s="5" customFormat="1" ht="20" customHeight="1" spans="1:11">
      <c r="A211" s="22"/>
      <c r="B211" s="23"/>
      <c r="C211" s="24"/>
      <c r="D211" s="24"/>
      <c r="E211" s="24"/>
      <c r="F211" s="24"/>
      <c r="G211" s="24"/>
      <c r="H211" s="24"/>
      <c r="I211" s="24"/>
      <c r="J211" s="24"/>
      <c r="K211" s="25"/>
    </row>
    <row r="212" s="5" customFormat="1" ht="20" customHeight="1" spans="1:11">
      <c r="A212" s="22"/>
      <c r="B212" s="23"/>
      <c r="C212" s="24"/>
      <c r="D212" s="24"/>
      <c r="E212" s="24"/>
      <c r="F212" s="24"/>
      <c r="G212" s="24"/>
      <c r="H212" s="24"/>
      <c r="I212" s="24"/>
      <c r="J212" s="24"/>
      <c r="K212" s="25"/>
    </row>
    <row r="213" s="5" customFormat="1" ht="20" customHeight="1" spans="1:11">
      <c r="A213" s="22"/>
      <c r="B213" s="23"/>
      <c r="C213" s="24"/>
      <c r="D213" s="24"/>
      <c r="E213" s="24"/>
      <c r="F213" s="24"/>
      <c r="G213" s="24"/>
      <c r="H213" s="24"/>
      <c r="I213" s="24"/>
      <c r="J213" s="24"/>
      <c r="K213" s="25"/>
    </row>
    <row r="214" s="5" customFormat="1" ht="20" customHeight="1" spans="1:11">
      <c r="A214" s="22"/>
      <c r="B214" s="23"/>
      <c r="C214" s="24"/>
      <c r="D214" s="24"/>
      <c r="E214" s="24"/>
      <c r="F214" s="24"/>
      <c r="G214" s="24"/>
      <c r="H214" s="24"/>
      <c r="I214" s="24"/>
      <c r="J214" s="24"/>
      <c r="K214" s="25"/>
    </row>
    <row r="215" s="5" customFormat="1" ht="20" customHeight="1" spans="1:11">
      <c r="A215" s="22"/>
      <c r="B215" s="23"/>
      <c r="C215" s="24"/>
      <c r="D215" s="24"/>
      <c r="E215" s="24"/>
      <c r="F215" s="24"/>
      <c r="G215" s="24"/>
      <c r="H215" s="24"/>
      <c r="I215" s="24"/>
      <c r="J215" s="24"/>
      <c r="K215" s="25"/>
    </row>
    <row r="216" s="5" customFormat="1" ht="20" customHeight="1" spans="1:11">
      <c r="A216" s="22"/>
      <c r="B216" s="23"/>
      <c r="C216" s="24"/>
      <c r="D216" s="24"/>
      <c r="E216" s="24"/>
      <c r="F216" s="24"/>
      <c r="G216" s="24"/>
      <c r="H216" s="24"/>
      <c r="I216" s="24"/>
      <c r="J216" s="24"/>
      <c r="K216" s="25"/>
    </row>
    <row r="217" s="5" customFormat="1" ht="20" customHeight="1" spans="1:11">
      <c r="A217" s="22"/>
      <c r="B217" s="23"/>
      <c r="C217" s="24"/>
      <c r="D217" s="24"/>
      <c r="E217" s="24"/>
      <c r="F217" s="24"/>
      <c r="G217" s="24"/>
      <c r="H217" s="24"/>
      <c r="I217" s="24"/>
      <c r="J217" s="24"/>
      <c r="K217" s="25"/>
    </row>
    <row r="218" s="5" customFormat="1" ht="20" customHeight="1" spans="1:11">
      <c r="A218" s="22"/>
      <c r="B218" s="23"/>
      <c r="C218" s="24"/>
      <c r="D218" s="24"/>
      <c r="E218" s="24"/>
      <c r="F218" s="24"/>
      <c r="G218" s="24"/>
      <c r="H218" s="24"/>
      <c r="I218" s="24"/>
      <c r="J218" s="24"/>
      <c r="K218" s="25"/>
    </row>
    <row r="219" s="5" customFormat="1" ht="20" customHeight="1" spans="1:11">
      <c r="A219" s="22"/>
      <c r="B219" s="23"/>
      <c r="C219" s="24"/>
      <c r="D219" s="24"/>
      <c r="E219" s="24"/>
      <c r="F219" s="24"/>
      <c r="G219" s="24"/>
      <c r="H219" s="24"/>
      <c r="I219" s="24"/>
      <c r="J219" s="24"/>
      <c r="K219" s="25"/>
    </row>
    <row r="220" s="5" customFormat="1" ht="20" customHeight="1" spans="1:11">
      <c r="A220" s="22"/>
      <c r="B220" s="23"/>
      <c r="C220" s="24"/>
      <c r="D220" s="24"/>
      <c r="E220" s="24"/>
      <c r="F220" s="24"/>
      <c r="G220" s="24"/>
      <c r="H220" s="24"/>
      <c r="I220" s="24"/>
      <c r="J220" s="24"/>
      <c r="K220" s="25"/>
    </row>
    <row r="221" s="5" customFormat="1" ht="20" customHeight="1" spans="1:11">
      <c r="A221" s="22"/>
      <c r="B221" s="23"/>
      <c r="C221" s="24"/>
      <c r="D221" s="24"/>
      <c r="E221" s="24"/>
      <c r="F221" s="24"/>
      <c r="G221" s="24"/>
      <c r="H221" s="24"/>
      <c r="I221" s="24"/>
      <c r="J221" s="24"/>
      <c r="K221" s="25"/>
    </row>
    <row r="222" s="5" customFormat="1" ht="20" customHeight="1" spans="1:11">
      <c r="A222" s="22"/>
      <c r="B222" s="23"/>
      <c r="C222" s="24"/>
      <c r="D222" s="24"/>
      <c r="E222" s="24"/>
      <c r="F222" s="24"/>
      <c r="G222" s="24"/>
      <c r="H222" s="24"/>
      <c r="I222" s="24"/>
      <c r="J222" s="24"/>
      <c r="K222" s="25"/>
    </row>
    <row r="223" s="5" customFormat="1" ht="20" customHeight="1" spans="1:11">
      <c r="A223" s="22"/>
      <c r="B223" s="23"/>
      <c r="C223" s="24"/>
      <c r="D223" s="24"/>
      <c r="E223" s="24"/>
      <c r="F223" s="24"/>
      <c r="G223" s="24"/>
      <c r="H223" s="24"/>
      <c r="I223" s="24"/>
      <c r="J223" s="24"/>
      <c r="K223" s="25"/>
    </row>
    <row r="224" s="5" customFormat="1" ht="20" customHeight="1" spans="1:11">
      <c r="A224" s="22"/>
      <c r="B224" s="23"/>
      <c r="C224" s="24"/>
      <c r="D224" s="24"/>
      <c r="E224" s="24"/>
      <c r="F224" s="24"/>
      <c r="G224" s="24"/>
      <c r="H224" s="24"/>
      <c r="I224" s="24"/>
      <c r="J224" s="24"/>
      <c r="K224" s="25"/>
    </row>
    <row r="225" s="5" customFormat="1" ht="20" customHeight="1" spans="1:11">
      <c r="A225" s="22"/>
      <c r="B225" s="23"/>
      <c r="C225" s="24"/>
      <c r="D225" s="24"/>
      <c r="E225" s="24"/>
      <c r="F225" s="24"/>
      <c r="G225" s="24"/>
      <c r="H225" s="24"/>
      <c r="I225" s="24"/>
      <c r="J225" s="24"/>
      <c r="K225" s="25"/>
    </row>
    <row r="226" s="5" customFormat="1" ht="20" customHeight="1" spans="1:11">
      <c r="A226" s="22"/>
      <c r="B226" s="23"/>
      <c r="C226" s="24"/>
      <c r="D226" s="24"/>
      <c r="E226" s="24"/>
      <c r="F226" s="24"/>
      <c r="G226" s="24"/>
      <c r="H226" s="24"/>
      <c r="I226" s="24"/>
      <c r="J226" s="24"/>
      <c r="K226" s="25"/>
    </row>
    <row r="227" s="5" customFormat="1" ht="20" customHeight="1" spans="1:11">
      <c r="A227" s="22"/>
      <c r="B227" s="23"/>
      <c r="C227" s="24"/>
      <c r="D227" s="24"/>
      <c r="E227" s="24"/>
      <c r="F227" s="24"/>
      <c r="G227" s="24"/>
      <c r="H227" s="24"/>
      <c r="I227" s="24"/>
      <c r="J227" s="24"/>
      <c r="K227" s="25"/>
    </row>
    <row r="228" s="5" customFormat="1" ht="20" customHeight="1" spans="1:11">
      <c r="A228" s="22"/>
      <c r="B228" s="23"/>
      <c r="C228" s="24"/>
      <c r="D228" s="24"/>
      <c r="E228" s="24"/>
      <c r="F228" s="24"/>
      <c r="G228" s="24"/>
      <c r="H228" s="24"/>
      <c r="I228" s="24"/>
      <c r="J228" s="24"/>
      <c r="K228" s="25"/>
    </row>
    <row r="229" s="5" customFormat="1" ht="20" customHeight="1" spans="1:11">
      <c r="A229" s="22"/>
      <c r="B229" s="23"/>
      <c r="C229" s="24"/>
      <c r="D229" s="24"/>
      <c r="E229" s="24"/>
      <c r="F229" s="24"/>
      <c r="G229" s="24"/>
      <c r="H229" s="24"/>
      <c r="I229" s="24"/>
      <c r="J229" s="24"/>
      <c r="K229" s="25"/>
    </row>
    <row r="230" s="5" customFormat="1" ht="20" customHeight="1" spans="1:11">
      <c r="A230" s="22"/>
      <c r="B230" s="23"/>
      <c r="C230" s="24"/>
      <c r="D230" s="24"/>
      <c r="E230" s="24"/>
      <c r="F230" s="24"/>
      <c r="G230" s="24"/>
      <c r="H230" s="24"/>
      <c r="I230" s="24"/>
      <c r="J230" s="24"/>
      <c r="K230" s="25"/>
    </row>
    <row r="231" s="5" customFormat="1" ht="20" customHeight="1" spans="1:11">
      <c r="A231" s="22"/>
      <c r="B231" s="23"/>
      <c r="C231" s="24"/>
      <c r="D231" s="24"/>
      <c r="E231" s="24"/>
      <c r="F231" s="24"/>
      <c r="G231" s="24"/>
      <c r="H231" s="24"/>
      <c r="I231" s="24"/>
      <c r="J231" s="24"/>
      <c r="K231" s="25"/>
    </row>
    <row r="232" s="5" customFormat="1" ht="20" customHeight="1" spans="1:11">
      <c r="A232" s="22"/>
      <c r="B232" s="23"/>
      <c r="C232" s="24"/>
      <c r="D232" s="24"/>
      <c r="E232" s="24"/>
      <c r="F232" s="24"/>
      <c r="G232" s="24"/>
      <c r="H232" s="24"/>
      <c r="I232" s="24"/>
      <c r="J232" s="24"/>
      <c r="K232" s="25"/>
    </row>
    <row r="233" s="5" customFormat="1" ht="20" customHeight="1" spans="1:11">
      <c r="A233" s="22"/>
      <c r="B233" s="23"/>
      <c r="C233" s="24"/>
      <c r="D233" s="24"/>
      <c r="E233" s="24"/>
      <c r="F233" s="24"/>
      <c r="G233" s="24"/>
      <c r="H233" s="24"/>
      <c r="I233" s="24"/>
      <c r="J233" s="24"/>
      <c r="K233" s="25"/>
    </row>
    <row r="234" s="5" customFormat="1" ht="20" customHeight="1" spans="1:11">
      <c r="A234" s="22"/>
      <c r="B234" s="23"/>
      <c r="C234" s="24"/>
      <c r="D234" s="24"/>
      <c r="E234" s="24"/>
      <c r="F234" s="24"/>
      <c r="G234" s="24"/>
      <c r="H234" s="24"/>
      <c r="I234" s="24"/>
      <c r="J234" s="24"/>
      <c r="K234" s="25"/>
    </row>
    <row r="235" s="5" customFormat="1" ht="20" customHeight="1" spans="1:11">
      <c r="A235" s="22"/>
      <c r="B235" s="23"/>
      <c r="C235" s="24"/>
      <c r="D235" s="24"/>
      <c r="E235" s="24"/>
      <c r="F235" s="24"/>
      <c r="G235" s="24"/>
      <c r="H235" s="24"/>
      <c r="I235" s="24"/>
      <c r="J235" s="24"/>
      <c r="K235" s="25"/>
    </row>
    <row r="236" s="5" customFormat="1" ht="20" customHeight="1" spans="1:11">
      <c r="A236" s="22"/>
      <c r="B236" s="23"/>
      <c r="C236" s="24"/>
      <c r="D236" s="24"/>
      <c r="E236" s="24"/>
      <c r="F236" s="24"/>
      <c r="G236" s="24"/>
      <c r="H236" s="24"/>
      <c r="I236" s="24"/>
      <c r="J236" s="24"/>
      <c r="K236" s="25"/>
    </row>
    <row r="237" s="5" customFormat="1" ht="20" customHeight="1" spans="1:11">
      <c r="A237" s="22"/>
      <c r="B237" s="23"/>
      <c r="C237" s="24"/>
      <c r="D237" s="24"/>
      <c r="E237" s="24"/>
      <c r="F237" s="24"/>
      <c r="G237" s="24"/>
      <c r="H237" s="24"/>
      <c r="I237" s="24"/>
      <c r="J237" s="24"/>
      <c r="K237" s="25"/>
    </row>
    <row r="238" s="5" customFormat="1" ht="20" customHeight="1" spans="1:11">
      <c r="A238" s="22"/>
      <c r="B238" s="23"/>
      <c r="C238" s="24"/>
      <c r="D238" s="24"/>
      <c r="E238" s="24"/>
      <c r="F238" s="24"/>
      <c r="G238" s="24"/>
      <c r="H238" s="24"/>
      <c r="I238" s="24"/>
      <c r="J238" s="24"/>
      <c r="K238" s="25"/>
    </row>
    <row r="239" s="5" customFormat="1" ht="20" customHeight="1" spans="1:11">
      <c r="A239" s="22"/>
      <c r="B239" s="23"/>
      <c r="C239" s="24"/>
      <c r="D239" s="24"/>
      <c r="E239" s="24"/>
      <c r="F239" s="24"/>
      <c r="G239" s="24"/>
      <c r="H239" s="24"/>
      <c r="I239" s="24"/>
      <c r="J239" s="24"/>
      <c r="K239" s="25"/>
    </row>
    <row r="240" s="5" customFormat="1" ht="20" customHeight="1" spans="1:11">
      <c r="A240" s="22"/>
      <c r="B240" s="23"/>
      <c r="C240" s="24"/>
      <c r="D240" s="24"/>
      <c r="E240" s="24"/>
      <c r="F240" s="24"/>
      <c r="G240" s="24"/>
      <c r="H240" s="24"/>
      <c r="I240" s="24"/>
      <c r="J240" s="24"/>
      <c r="K240" s="25"/>
    </row>
    <row r="241" s="5" customFormat="1" ht="20" customHeight="1" spans="1:11">
      <c r="A241" s="22"/>
      <c r="B241" s="23"/>
      <c r="C241" s="24"/>
      <c r="D241" s="24"/>
      <c r="E241" s="24"/>
      <c r="F241" s="24"/>
      <c r="G241" s="24"/>
      <c r="H241" s="24"/>
      <c r="I241" s="24"/>
      <c r="J241" s="24"/>
      <c r="K241" s="25"/>
    </row>
    <row r="242" s="5" customFormat="1" ht="20" customHeight="1" spans="1:11">
      <c r="A242" s="22"/>
      <c r="B242" s="23"/>
      <c r="C242" s="24"/>
      <c r="D242" s="24"/>
      <c r="E242" s="24"/>
      <c r="F242" s="24"/>
      <c r="G242" s="24"/>
      <c r="H242" s="24"/>
      <c r="I242" s="24"/>
      <c r="J242" s="24"/>
      <c r="K242" s="25"/>
    </row>
    <row r="243" s="5" customFormat="1" ht="20" customHeight="1" spans="1:11">
      <c r="A243" s="22"/>
      <c r="B243" s="23"/>
      <c r="C243" s="24"/>
      <c r="D243" s="24"/>
      <c r="E243" s="24"/>
      <c r="F243" s="24"/>
      <c r="G243" s="24"/>
      <c r="H243" s="24"/>
      <c r="I243" s="24"/>
      <c r="J243" s="24"/>
      <c r="K243" s="25"/>
    </row>
    <row r="244" s="5" customFormat="1" ht="20" customHeight="1" spans="1:11">
      <c r="A244" s="22"/>
      <c r="B244" s="23"/>
      <c r="C244" s="24"/>
      <c r="D244" s="24"/>
      <c r="E244" s="24"/>
      <c r="F244" s="24"/>
      <c r="G244" s="24"/>
      <c r="H244" s="24"/>
      <c r="I244" s="24"/>
      <c r="J244" s="24"/>
      <c r="K244" s="25"/>
    </row>
    <row r="245" s="5" customFormat="1" ht="20" customHeight="1" spans="1:11">
      <c r="A245" s="22"/>
      <c r="B245" s="23"/>
      <c r="C245" s="24"/>
      <c r="D245" s="24"/>
      <c r="E245" s="24"/>
      <c r="F245" s="24"/>
      <c r="G245" s="24"/>
      <c r="H245" s="24"/>
      <c r="I245" s="24"/>
      <c r="J245" s="24"/>
      <c r="K245" s="25"/>
    </row>
    <row r="246" s="5" customFormat="1" ht="20" customHeight="1" spans="1:11">
      <c r="A246" s="22"/>
      <c r="B246" s="23"/>
      <c r="C246" s="24"/>
      <c r="D246" s="24"/>
      <c r="E246" s="24"/>
      <c r="F246" s="24"/>
      <c r="G246" s="24"/>
      <c r="H246" s="24"/>
      <c r="I246" s="24"/>
      <c r="J246" s="24"/>
      <c r="K246" s="25"/>
    </row>
    <row r="247" s="5" customFormat="1" ht="20" customHeight="1" spans="1:11">
      <c r="A247" s="22"/>
      <c r="B247" s="23"/>
      <c r="C247" s="24"/>
      <c r="D247" s="24"/>
      <c r="E247" s="24"/>
      <c r="F247" s="24"/>
      <c r="G247" s="24"/>
      <c r="H247" s="24"/>
      <c r="I247" s="24"/>
      <c r="J247" s="24"/>
      <c r="K247" s="25"/>
    </row>
    <row r="248" s="5" customFormat="1" ht="20" customHeight="1" spans="1:11">
      <c r="A248" s="22"/>
      <c r="B248" s="23"/>
      <c r="C248" s="24"/>
      <c r="D248" s="24"/>
      <c r="E248" s="24"/>
      <c r="F248" s="24"/>
      <c r="G248" s="24"/>
      <c r="H248" s="24"/>
      <c r="I248" s="24"/>
      <c r="J248" s="24"/>
      <c r="K248" s="25"/>
    </row>
    <row r="249" s="5" customFormat="1" ht="20" customHeight="1" spans="1:11">
      <c r="A249" s="22"/>
      <c r="B249" s="23"/>
      <c r="C249" s="24"/>
      <c r="D249" s="24"/>
      <c r="E249" s="24"/>
      <c r="F249" s="24"/>
      <c r="G249" s="24"/>
      <c r="H249" s="24"/>
      <c r="I249" s="24"/>
      <c r="J249" s="24"/>
      <c r="K249" s="25"/>
    </row>
    <row r="250" s="5" customFormat="1" ht="20" customHeight="1" spans="1:11">
      <c r="A250" s="22"/>
      <c r="B250" s="23"/>
      <c r="C250" s="24"/>
      <c r="D250" s="24"/>
      <c r="E250" s="24"/>
      <c r="F250" s="24"/>
      <c r="G250" s="24"/>
      <c r="H250" s="24"/>
      <c r="I250" s="24"/>
      <c r="J250" s="24"/>
      <c r="K250" s="25"/>
    </row>
    <row r="251" s="5" customFormat="1" ht="20" customHeight="1" spans="1:11">
      <c r="A251" s="22"/>
      <c r="B251" s="23"/>
      <c r="C251" s="24"/>
      <c r="D251" s="24"/>
      <c r="E251" s="24"/>
      <c r="F251" s="24"/>
      <c r="G251" s="24"/>
      <c r="H251" s="24"/>
      <c r="I251" s="24"/>
      <c r="J251" s="24"/>
      <c r="K251" s="25"/>
    </row>
    <row r="252" s="5" customFormat="1" ht="16.5" spans="1:11">
      <c r="A252" s="22"/>
      <c r="B252" s="23"/>
      <c r="C252" s="24"/>
      <c r="D252" s="24"/>
      <c r="E252" s="24"/>
      <c r="F252" s="24"/>
      <c r="G252" s="24"/>
      <c r="H252" s="24"/>
      <c r="I252" s="24"/>
      <c r="J252" s="24"/>
      <c r="K252" s="25"/>
    </row>
    <row r="253" s="5" customFormat="1" ht="16.5" spans="1:11">
      <c r="A253" s="22"/>
      <c r="B253" s="23"/>
      <c r="C253" s="24"/>
      <c r="D253" s="24"/>
      <c r="E253" s="24"/>
      <c r="F253" s="24"/>
      <c r="G253" s="24"/>
      <c r="H253" s="24"/>
      <c r="I253" s="24"/>
      <c r="J253" s="24"/>
      <c r="K253" s="25"/>
    </row>
    <row r="254" s="5" customFormat="1" ht="16.5" spans="1:11">
      <c r="A254" s="22"/>
      <c r="B254" s="23"/>
      <c r="C254" s="24"/>
      <c r="D254" s="24"/>
      <c r="E254" s="24"/>
      <c r="F254" s="24"/>
      <c r="G254" s="24"/>
      <c r="H254" s="24"/>
      <c r="I254" s="24"/>
      <c r="J254" s="24"/>
      <c r="K254" s="25"/>
    </row>
    <row r="255" s="5" customFormat="1" ht="16.5" spans="1:11">
      <c r="A255" s="22"/>
      <c r="B255" s="23"/>
      <c r="C255" s="24"/>
      <c r="D255" s="24"/>
      <c r="E255" s="24"/>
      <c r="F255" s="24"/>
      <c r="G255" s="24"/>
      <c r="H255" s="24"/>
      <c r="I255" s="24"/>
      <c r="J255" s="24"/>
      <c r="K255" s="25"/>
    </row>
    <row r="256" s="5" customFormat="1" ht="16.5" spans="1:11">
      <c r="A256" s="22"/>
      <c r="B256" s="23"/>
      <c r="C256" s="24"/>
      <c r="D256" s="24"/>
      <c r="E256" s="24"/>
      <c r="F256" s="24"/>
      <c r="G256" s="24"/>
      <c r="H256" s="24"/>
      <c r="I256" s="24"/>
      <c r="J256" s="24"/>
      <c r="K256" s="25"/>
    </row>
    <row r="257" s="5" customFormat="1" ht="16.5" spans="1:11">
      <c r="A257" s="22"/>
      <c r="B257" s="23"/>
      <c r="C257" s="24"/>
      <c r="D257" s="24"/>
      <c r="E257" s="24"/>
      <c r="F257" s="24"/>
      <c r="G257" s="24"/>
      <c r="H257" s="24"/>
      <c r="I257" s="24"/>
      <c r="J257" s="24"/>
      <c r="K257" s="25"/>
    </row>
    <row r="258" s="5" customFormat="1" ht="16.5" spans="1:11">
      <c r="A258" s="22"/>
      <c r="B258" s="23"/>
      <c r="C258" s="24"/>
      <c r="D258" s="24"/>
      <c r="E258" s="24"/>
      <c r="F258" s="24"/>
      <c r="G258" s="24"/>
      <c r="H258" s="24"/>
      <c r="I258" s="24"/>
      <c r="J258" s="24"/>
      <c r="K258" s="25"/>
    </row>
    <row r="259" s="5" customFormat="1" ht="16.5" spans="1:11">
      <c r="A259" s="22"/>
      <c r="B259" s="23"/>
      <c r="C259" s="24"/>
      <c r="D259" s="24"/>
      <c r="E259" s="24"/>
      <c r="F259" s="24"/>
      <c r="G259" s="24"/>
      <c r="H259" s="24"/>
      <c r="I259" s="24"/>
      <c r="J259" s="24"/>
      <c r="K259" s="25"/>
    </row>
    <row r="260" s="5" customFormat="1" ht="16.5" spans="1:11">
      <c r="A260" s="22"/>
      <c r="B260" s="23"/>
      <c r="C260" s="24"/>
      <c r="D260" s="24"/>
      <c r="E260" s="24"/>
      <c r="F260" s="24"/>
      <c r="G260" s="24"/>
      <c r="H260" s="24"/>
      <c r="I260" s="24"/>
      <c r="J260" s="24"/>
      <c r="K260" s="25"/>
    </row>
    <row r="261" s="5" customFormat="1" ht="16.5" spans="1:11">
      <c r="A261" s="22"/>
      <c r="B261" s="23"/>
      <c r="C261" s="24"/>
      <c r="D261" s="24"/>
      <c r="E261" s="24"/>
      <c r="F261" s="24"/>
      <c r="G261" s="24"/>
      <c r="H261" s="24"/>
      <c r="I261" s="24"/>
      <c r="J261" s="24"/>
      <c r="K261" s="25"/>
    </row>
    <row r="262" s="5" customFormat="1" ht="16.5" spans="1:11">
      <c r="A262" s="22"/>
      <c r="B262" s="23"/>
      <c r="C262" s="24"/>
      <c r="D262" s="24"/>
      <c r="E262" s="24"/>
      <c r="F262" s="24"/>
      <c r="G262" s="24"/>
      <c r="H262" s="24"/>
      <c r="I262" s="24"/>
      <c r="J262" s="24"/>
      <c r="K262" s="25"/>
    </row>
    <row r="263" s="5" customFormat="1" ht="16.5" spans="1:11">
      <c r="A263" s="22"/>
      <c r="B263" s="23"/>
      <c r="C263" s="24"/>
      <c r="D263" s="24"/>
      <c r="E263" s="24"/>
      <c r="F263" s="24"/>
      <c r="G263" s="24"/>
      <c r="H263" s="24"/>
      <c r="I263" s="24"/>
      <c r="J263" s="24"/>
      <c r="K263" s="25"/>
    </row>
    <row r="264" s="5" customFormat="1" ht="16.5" spans="1:11">
      <c r="A264" s="22"/>
      <c r="B264" s="23"/>
      <c r="C264" s="24"/>
      <c r="D264" s="24"/>
      <c r="E264" s="24"/>
      <c r="F264" s="24"/>
      <c r="G264" s="24"/>
      <c r="H264" s="24"/>
      <c r="I264" s="24"/>
      <c r="J264" s="24"/>
      <c r="K264" s="25"/>
    </row>
    <row r="265" s="5" customFormat="1" ht="16.5" spans="1:11">
      <c r="A265" s="22"/>
      <c r="B265" s="23"/>
      <c r="C265" s="24"/>
      <c r="D265" s="24"/>
      <c r="E265" s="24"/>
      <c r="F265" s="24"/>
      <c r="G265" s="24"/>
      <c r="H265" s="24"/>
      <c r="I265" s="24"/>
      <c r="J265" s="24"/>
      <c r="K265" s="25"/>
    </row>
    <row r="266" s="5" customFormat="1" ht="16.5" spans="1:11">
      <c r="A266" s="22"/>
      <c r="B266" s="23"/>
      <c r="C266" s="24"/>
      <c r="D266" s="24"/>
      <c r="E266" s="24"/>
      <c r="F266" s="24"/>
      <c r="G266" s="24"/>
      <c r="H266" s="24"/>
      <c r="I266" s="24"/>
      <c r="J266" s="24"/>
      <c r="K266" s="25"/>
    </row>
    <row r="267" s="5" customFormat="1" ht="16.5" spans="1:11">
      <c r="A267" s="22"/>
      <c r="B267" s="23"/>
      <c r="C267" s="24"/>
      <c r="D267" s="24"/>
      <c r="E267" s="24"/>
      <c r="F267" s="24"/>
      <c r="G267" s="24"/>
      <c r="H267" s="24"/>
      <c r="I267" s="24"/>
      <c r="J267" s="24"/>
      <c r="K267" s="25"/>
    </row>
    <row r="268" s="5" customFormat="1" ht="16.5" spans="1:11">
      <c r="A268" s="22"/>
      <c r="B268" s="23"/>
      <c r="C268" s="24"/>
      <c r="D268" s="24"/>
      <c r="E268" s="24"/>
      <c r="F268" s="24"/>
      <c r="G268" s="24"/>
      <c r="H268" s="24"/>
      <c r="I268" s="24"/>
      <c r="J268" s="24"/>
      <c r="K268" s="25"/>
    </row>
    <row r="269" s="5" customFormat="1" ht="16.5" spans="1:11">
      <c r="A269" s="22"/>
      <c r="B269" s="23"/>
      <c r="C269" s="24"/>
      <c r="D269" s="24"/>
      <c r="E269" s="24"/>
      <c r="F269" s="24"/>
      <c r="G269" s="24"/>
      <c r="H269" s="24"/>
      <c r="I269" s="24"/>
      <c r="J269" s="24"/>
      <c r="K269" s="25"/>
    </row>
    <row r="270" s="5" customFormat="1" ht="16.5" spans="1:11">
      <c r="A270" s="22"/>
      <c r="B270" s="23"/>
      <c r="C270" s="24"/>
      <c r="D270" s="24"/>
      <c r="E270" s="24"/>
      <c r="F270" s="24"/>
      <c r="G270" s="24"/>
      <c r="H270" s="24"/>
      <c r="I270" s="24"/>
      <c r="J270" s="24"/>
      <c r="K270" s="25"/>
    </row>
    <row r="271" s="5" customFormat="1" ht="16.5" spans="1:11">
      <c r="A271" s="22"/>
      <c r="B271" s="23"/>
      <c r="C271" s="24"/>
      <c r="D271" s="24"/>
      <c r="E271" s="24"/>
      <c r="F271" s="24"/>
      <c r="G271" s="24"/>
      <c r="H271" s="24"/>
      <c r="I271" s="24"/>
      <c r="J271" s="24"/>
      <c r="K271" s="25"/>
    </row>
    <row r="272" s="5" customFormat="1" ht="16.5" spans="1:11">
      <c r="A272" s="22"/>
      <c r="B272" s="23"/>
      <c r="C272" s="24"/>
      <c r="D272" s="24"/>
      <c r="E272" s="24"/>
      <c r="F272" s="24"/>
      <c r="G272" s="24"/>
      <c r="H272" s="24"/>
      <c r="I272" s="24"/>
      <c r="J272" s="24"/>
      <c r="K272" s="25"/>
    </row>
    <row r="273" s="5" customFormat="1" ht="16.5" spans="1:11">
      <c r="A273" s="22"/>
      <c r="B273" s="23"/>
      <c r="C273" s="24"/>
      <c r="D273" s="24"/>
      <c r="E273" s="24"/>
      <c r="F273" s="24"/>
      <c r="G273" s="24"/>
      <c r="H273" s="24"/>
      <c r="I273" s="24"/>
      <c r="J273" s="24"/>
      <c r="K273" s="25"/>
    </row>
    <row r="274" s="5" customFormat="1" ht="16.5" spans="1:11">
      <c r="A274" s="22"/>
      <c r="B274" s="23"/>
      <c r="C274" s="24"/>
      <c r="D274" s="24"/>
      <c r="E274" s="24"/>
      <c r="F274" s="24"/>
      <c r="G274" s="24"/>
      <c r="H274" s="24"/>
      <c r="I274" s="24"/>
      <c r="J274" s="24"/>
      <c r="K274" s="25"/>
    </row>
    <row r="275" s="5" customFormat="1" ht="16.5" spans="1:11">
      <c r="A275" s="22"/>
      <c r="B275" s="23"/>
      <c r="C275" s="24"/>
      <c r="D275" s="24"/>
      <c r="E275" s="24"/>
      <c r="F275" s="24"/>
      <c r="G275" s="24"/>
      <c r="H275" s="24"/>
      <c r="I275" s="24"/>
      <c r="J275" s="24"/>
      <c r="K275" s="25"/>
    </row>
    <row r="276" s="5" customFormat="1" ht="16.5" spans="1:11">
      <c r="A276" s="22"/>
      <c r="B276" s="23"/>
      <c r="C276" s="24"/>
      <c r="D276" s="24"/>
      <c r="E276" s="24"/>
      <c r="F276" s="24"/>
      <c r="G276" s="24"/>
      <c r="H276" s="24"/>
      <c r="I276" s="24"/>
      <c r="J276" s="24"/>
      <c r="K276" s="25"/>
    </row>
    <row r="277" s="5" customFormat="1" ht="16.5" spans="1:11">
      <c r="A277" s="22"/>
      <c r="B277" s="23"/>
      <c r="C277" s="24"/>
      <c r="D277" s="24"/>
      <c r="E277" s="24"/>
      <c r="F277" s="24"/>
      <c r="G277" s="24"/>
      <c r="H277" s="24"/>
      <c r="I277" s="24"/>
      <c r="J277" s="24"/>
      <c r="K277" s="25"/>
    </row>
    <row r="278" s="5" customFormat="1" ht="16.5" spans="1:11">
      <c r="A278" s="22"/>
      <c r="B278" s="23"/>
      <c r="C278" s="24"/>
      <c r="D278" s="24"/>
      <c r="E278" s="24"/>
      <c r="F278" s="24"/>
      <c r="G278" s="24"/>
      <c r="H278" s="24"/>
      <c r="I278" s="24"/>
      <c r="J278" s="24"/>
      <c r="K278" s="25"/>
    </row>
    <row r="279" s="5" customFormat="1" ht="16.5" spans="1:11">
      <c r="A279" s="22"/>
      <c r="B279" s="23"/>
      <c r="C279" s="24"/>
      <c r="D279" s="24"/>
      <c r="E279" s="24"/>
      <c r="F279" s="24"/>
      <c r="G279" s="24"/>
      <c r="H279" s="24"/>
      <c r="I279" s="24"/>
      <c r="J279" s="24"/>
      <c r="K279" s="25"/>
    </row>
    <row r="280" s="5" customFormat="1" ht="16.5" spans="1:11">
      <c r="A280" s="22"/>
      <c r="B280" s="23"/>
      <c r="C280" s="24"/>
      <c r="D280" s="24"/>
      <c r="E280" s="24"/>
      <c r="F280" s="24"/>
      <c r="G280" s="24"/>
      <c r="H280" s="24"/>
      <c r="I280" s="24"/>
      <c r="J280" s="24"/>
      <c r="K280" s="25"/>
    </row>
    <row r="281" s="5" customFormat="1" ht="16.5" spans="1:11">
      <c r="A281" s="22"/>
      <c r="B281" s="23"/>
      <c r="C281" s="24"/>
      <c r="D281" s="24"/>
      <c r="E281" s="24"/>
      <c r="F281" s="24"/>
      <c r="G281" s="24"/>
      <c r="H281" s="24"/>
      <c r="I281" s="24"/>
      <c r="J281" s="24"/>
      <c r="K281" s="25"/>
    </row>
    <row r="282" s="5" customFormat="1" ht="16.5" spans="1:11">
      <c r="A282" s="22"/>
      <c r="B282" s="23"/>
      <c r="C282" s="24"/>
      <c r="D282" s="24"/>
      <c r="E282" s="24"/>
      <c r="F282" s="24"/>
      <c r="G282" s="24"/>
      <c r="H282" s="24"/>
      <c r="I282" s="24"/>
      <c r="J282" s="24"/>
      <c r="K282" s="25"/>
    </row>
    <row r="283" s="5" customFormat="1" ht="16.5" spans="1:11">
      <c r="A283" s="22"/>
      <c r="B283" s="23"/>
      <c r="C283" s="24"/>
      <c r="D283" s="24"/>
      <c r="E283" s="24"/>
      <c r="F283" s="24"/>
      <c r="G283" s="24"/>
      <c r="H283" s="24"/>
      <c r="I283" s="24"/>
      <c r="J283" s="24"/>
      <c r="K283" s="25"/>
    </row>
    <row r="284" s="5" customFormat="1" ht="16.5" spans="1:11">
      <c r="A284" s="22"/>
      <c r="B284" s="23"/>
      <c r="C284" s="24"/>
      <c r="D284" s="24"/>
      <c r="E284" s="24"/>
      <c r="F284" s="24"/>
      <c r="G284" s="24"/>
      <c r="H284" s="24"/>
      <c r="I284" s="24"/>
      <c r="J284" s="24"/>
      <c r="K284" s="25"/>
    </row>
    <row r="285" s="5" customFormat="1" ht="16.5" spans="1:11">
      <c r="A285" s="22"/>
      <c r="B285" s="23"/>
      <c r="C285" s="24"/>
      <c r="D285" s="24"/>
      <c r="E285" s="24"/>
      <c r="F285" s="24"/>
      <c r="G285" s="24"/>
      <c r="H285" s="24"/>
      <c r="I285" s="24"/>
      <c r="J285" s="24"/>
      <c r="K285" s="25"/>
    </row>
    <row r="286" s="5" customFormat="1" ht="16.5" spans="1:11">
      <c r="A286" s="22"/>
      <c r="B286" s="23"/>
      <c r="C286" s="24"/>
      <c r="D286" s="24"/>
      <c r="E286" s="24"/>
      <c r="F286" s="24"/>
      <c r="G286" s="24"/>
      <c r="H286" s="24"/>
      <c r="I286" s="24"/>
      <c r="J286" s="24"/>
      <c r="K286" s="25"/>
    </row>
    <row r="287" s="5" customFormat="1" ht="16.5" spans="1:11">
      <c r="A287" s="22"/>
      <c r="B287" s="23"/>
      <c r="C287" s="24"/>
      <c r="D287" s="24"/>
      <c r="E287" s="24"/>
      <c r="F287" s="24"/>
      <c r="G287" s="24"/>
      <c r="H287" s="24"/>
      <c r="I287" s="24"/>
      <c r="J287" s="24"/>
      <c r="K287" s="25"/>
    </row>
    <row r="288" s="5" customFormat="1" ht="16.5" spans="1:11">
      <c r="A288" s="22"/>
      <c r="B288" s="23"/>
      <c r="C288" s="24"/>
      <c r="D288" s="24"/>
      <c r="E288" s="24"/>
      <c r="F288" s="24"/>
      <c r="G288" s="24"/>
      <c r="H288" s="24"/>
      <c r="I288" s="24"/>
      <c r="J288" s="24"/>
      <c r="K288" s="25"/>
    </row>
    <row r="289" s="5" customFormat="1" ht="16.5" spans="1:11">
      <c r="A289" s="22"/>
      <c r="B289" s="23"/>
      <c r="C289" s="24"/>
      <c r="D289" s="24"/>
      <c r="E289" s="24"/>
      <c r="F289" s="24"/>
      <c r="G289" s="24"/>
      <c r="H289" s="24"/>
      <c r="I289" s="24"/>
      <c r="J289" s="24"/>
      <c r="K289" s="25"/>
    </row>
    <row r="290" s="5" customFormat="1" ht="16.5" spans="1:11">
      <c r="A290" s="22"/>
      <c r="B290" s="23"/>
      <c r="C290" s="24"/>
      <c r="D290" s="24"/>
      <c r="E290" s="24"/>
      <c r="F290" s="24"/>
      <c r="G290" s="24"/>
      <c r="H290" s="24"/>
      <c r="I290" s="24"/>
      <c r="J290" s="24"/>
      <c r="K290" s="25"/>
    </row>
    <row r="291" s="5" customFormat="1" ht="16.5" spans="1:11">
      <c r="A291" s="22"/>
      <c r="B291" s="23"/>
      <c r="C291" s="24"/>
      <c r="D291" s="24"/>
      <c r="E291" s="24"/>
      <c r="F291" s="24"/>
      <c r="G291" s="24"/>
      <c r="H291" s="24"/>
      <c r="I291" s="24"/>
      <c r="J291" s="24"/>
      <c r="K291" s="25"/>
    </row>
    <row r="292" s="5" customFormat="1" ht="16.5" spans="1:11">
      <c r="A292" s="22"/>
      <c r="B292" s="23"/>
      <c r="C292" s="24"/>
      <c r="D292" s="24"/>
      <c r="E292" s="24"/>
      <c r="F292" s="24"/>
      <c r="G292" s="24"/>
      <c r="H292" s="24"/>
      <c r="I292" s="24"/>
      <c r="J292" s="24"/>
      <c r="K292" s="25"/>
    </row>
    <row r="293" s="5" customFormat="1" ht="16.5" spans="1:11">
      <c r="A293" s="22"/>
      <c r="B293" s="23"/>
      <c r="C293" s="24"/>
      <c r="D293" s="24"/>
      <c r="E293" s="24"/>
      <c r="F293" s="24"/>
      <c r="G293" s="24"/>
      <c r="H293" s="24"/>
      <c r="I293" s="24"/>
      <c r="J293" s="24"/>
      <c r="K293" s="25"/>
    </row>
    <row r="294" s="5" customFormat="1" ht="16.5" spans="1:11">
      <c r="A294" s="22"/>
      <c r="B294" s="23"/>
      <c r="C294" s="24"/>
      <c r="D294" s="24"/>
      <c r="E294" s="24"/>
      <c r="F294" s="24"/>
      <c r="G294" s="24"/>
      <c r="H294" s="24"/>
      <c r="I294" s="24"/>
      <c r="J294" s="24"/>
      <c r="K294" s="25"/>
    </row>
    <row r="295" s="5" customFormat="1" ht="16.5" spans="1:11">
      <c r="A295" s="22"/>
      <c r="B295" s="23"/>
      <c r="C295" s="24"/>
      <c r="D295" s="24"/>
      <c r="E295" s="24"/>
      <c r="F295" s="24"/>
      <c r="G295" s="24"/>
      <c r="H295" s="24"/>
      <c r="I295" s="24"/>
      <c r="J295" s="24"/>
      <c r="K295" s="25"/>
    </row>
    <row r="296" s="5" customFormat="1" ht="16.5" spans="1:11">
      <c r="A296" s="22"/>
      <c r="B296" s="23"/>
      <c r="C296" s="24"/>
      <c r="D296" s="24"/>
      <c r="E296" s="24"/>
      <c r="F296" s="24"/>
      <c r="G296" s="24"/>
      <c r="H296" s="24"/>
      <c r="I296" s="24"/>
      <c r="J296" s="24"/>
      <c r="K296" s="25"/>
    </row>
    <row r="297" s="5" customFormat="1" ht="16.5" spans="1:11">
      <c r="A297" s="22"/>
      <c r="B297" s="23"/>
      <c r="C297" s="24"/>
      <c r="D297" s="24"/>
      <c r="E297" s="24"/>
      <c r="F297" s="24"/>
      <c r="G297" s="24"/>
      <c r="H297" s="24"/>
      <c r="I297" s="24"/>
      <c r="J297" s="24"/>
      <c r="K297" s="25"/>
    </row>
    <row r="298" s="5" customFormat="1" ht="16.5" spans="1:11">
      <c r="A298" s="22"/>
      <c r="B298" s="23"/>
      <c r="C298" s="24"/>
      <c r="D298" s="24"/>
      <c r="E298" s="24"/>
      <c r="F298" s="24"/>
      <c r="G298" s="24"/>
      <c r="H298" s="24"/>
      <c r="I298" s="24"/>
      <c r="J298" s="24"/>
      <c r="K298" s="25"/>
    </row>
    <row r="299" s="5" customFormat="1" ht="16.5" spans="1:11">
      <c r="A299" s="22"/>
      <c r="B299" s="23"/>
      <c r="C299" s="24"/>
      <c r="D299" s="24"/>
      <c r="E299" s="24"/>
      <c r="F299" s="24"/>
      <c r="G299" s="24"/>
      <c r="H299" s="24"/>
      <c r="I299" s="24"/>
      <c r="J299" s="24"/>
      <c r="K299" s="25"/>
    </row>
    <row r="300" s="5" customFormat="1" ht="16.5" spans="1:11">
      <c r="A300" s="22"/>
      <c r="B300" s="23"/>
      <c r="C300" s="24"/>
      <c r="D300" s="24"/>
      <c r="E300" s="24"/>
      <c r="F300" s="24"/>
      <c r="G300" s="24"/>
      <c r="H300" s="24"/>
      <c r="I300" s="24"/>
      <c r="J300" s="24"/>
      <c r="K300" s="25"/>
    </row>
    <row r="301" s="5" customFormat="1" ht="16.5" spans="1:11">
      <c r="A301" s="22"/>
      <c r="B301" s="23"/>
      <c r="C301" s="24"/>
      <c r="D301" s="24"/>
      <c r="E301" s="24"/>
      <c r="F301" s="24"/>
      <c r="G301" s="24"/>
      <c r="H301" s="24"/>
      <c r="I301" s="24"/>
      <c r="J301" s="24"/>
      <c r="K301" s="25"/>
    </row>
    <row r="302" s="5" customFormat="1" ht="16.5" spans="1:11">
      <c r="A302" s="22"/>
      <c r="B302" s="23"/>
      <c r="C302" s="24"/>
      <c r="D302" s="24"/>
      <c r="E302" s="24"/>
      <c r="F302" s="24"/>
      <c r="G302" s="24"/>
      <c r="H302" s="24"/>
      <c r="I302" s="24"/>
      <c r="J302" s="24"/>
      <c r="K302" s="25"/>
    </row>
    <row r="303" s="5" customFormat="1" ht="16.5" spans="1:11">
      <c r="A303" s="22"/>
      <c r="B303" s="23"/>
      <c r="C303" s="24"/>
      <c r="D303" s="24"/>
      <c r="E303" s="24"/>
      <c r="F303" s="24"/>
      <c r="G303" s="24"/>
      <c r="H303" s="24"/>
      <c r="I303" s="24"/>
      <c r="J303" s="24"/>
      <c r="K303" s="25"/>
    </row>
    <row r="304" s="5" customFormat="1" ht="16.5" spans="1:11">
      <c r="A304" s="22"/>
      <c r="B304" s="23"/>
      <c r="C304" s="24"/>
      <c r="D304" s="24"/>
      <c r="E304" s="24"/>
      <c r="F304" s="24"/>
      <c r="G304" s="24"/>
      <c r="H304" s="24"/>
      <c r="I304" s="24"/>
      <c r="J304" s="24"/>
      <c r="K304" s="25"/>
    </row>
    <row r="305" s="5" customFormat="1" ht="16.5" spans="1:11">
      <c r="A305" s="22"/>
      <c r="B305" s="23"/>
      <c r="C305" s="24"/>
      <c r="D305" s="24"/>
      <c r="E305" s="24"/>
      <c r="F305" s="24"/>
      <c r="G305" s="24"/>
      <c r="H305" s="24"/>
      <c r="I305" s="24"/>
      <c r="J305" s="24"/>
      <c r="K305" s="25"/>
    </row>
    <row r="306" s="5" customFormat="1" ht="16.5" spans="1:11">
      <c r="A306" s="22"/>
      <c r="B306" s="23"/>
      <c r="C306" s="24"/>
      <c r="D306" s="24"/>
      <c r="E306" s="24"/>
      <c r="F306" s="24"/>
      <c r="G306" s="24"/>
      <c r="H306" s="24"/>
      <c r="I306" s="24"/>
      <c r="J306" s="24"/>
      <c r="K306" s="25"/>
    </row>
    <row r="307" s="5" customFormat="1" ht="16.5" spans="1:11">
      <c r="A307" s="22"/>
      <c r="B307" s="23"/>
      <c r="C307" s="24"/>
      <c r="D307" s="24"/>
      <c r="E307" s="24"/>
      <c r="F307" s="24"/>
      <c r="G307" s="24"/>
      <c r="H307" s="24"/>
      <c r="I307" s="24"/>
      <c r="J307" s="24"/>
      <c r="K307" s="25"/>
    </row>
    <row r="308" s="5" customFormat="1" ht="16.5" spans="1:11">
      <c r="A308" s="22"/>
      <c r="B308" s="23"/>
      <c r="C308" s="24"/>
      <c r="D308" s="24"/>
      <c r="E308" s="24"/>
      <c r="F308" s="24"/>
      <c r="G308" s="24"/>
      <c r="H308" s="24"/>
      <c r="I308" s="24"/>
      <c r="J308" s="24"/>
      <c r="K308" s="25"/>
    </row>
    <row r="309" s="5" customFormat="1" ht="16.5" spans="1:11">
      <c r="A309" s="22"/>
      <c r="B309" s="23"/>
      <c r="C309" s="24"/>
      <c r="D309" s="24"/>
      <c r="E309" s="24"/>
      <c r="F309" s="24"/>
      <c r="G309" s="24"/>
      <c r="H309" s="24"/>
      <c r="I309" s="24"/>
      <c r="J309" s="24"/>
      <c r="K309" s="25"/>
    </row>
    <row r="310" s="5" customFormat="1" ht="16.5" spans="1:11">
      <c r="A310" s="22"/>
      <c r="B310" s="23"/>
      <c r="C310" s="24"/>
      <c r="D310" s="24"/>
      <c r="E310" s="24"/>
      <c r="F310" s="24"/>
      <c r="G310" s="24"/>
      <c r="H310" s="24"/>
      <c r="I310" s="24"/>
      <c r="J310" s="24"/>
      <c r="K310" s="25"/>
    </row>
    <row r="311" s="5" customFormat="1" ht="16.5" spans="1:11">
      <c r="A311" s="22"/>
      <c r="B311" s="23"/>
      <c r="C311" s="24"/>
      <c r="D311" s="24"/>
      <c r="E311" s="24"/>
      <c r="F311" s="24"/>
      <c r="G311" s="24"/>
      <c r="H311" s="24"/>
      <c r="I311" s="24"/>
      <c r="J311" s="24"/>
      <c r="K311" s="25"/>
    </row>
    <row r="312" s="5" customFormat="1" ht="16.5" spans="1:11">
      <c r="A312" s="22"/>
      <c r="B312" s="23"/>
      <c r="C312" s="24"/>
      <c r="D312" s="24"/>
      <c r="E312" s="24"/>
      <c r="F312" s="24"/>
      <c r="G312" s="24"/>
      <c r="H312" s="24"/>
      <c r="I312" s="24"/>
      <c r="J312" s="24"/>
      <c r="K312" s="25"/>
    </row>
    <row r="313" s="5" customFormat="1" ht="16.5" spans="1:11">
      <c r="A313" s="22"/>
      <c r="B313" s="23"/>
      <c r="C313" s="24"/>
      <c r="D313" s="24"/>
      <c r="E313" s="24"/>
      <c r="F313" s="24"/>
      <c r="G313" s="24"/>
      <c r="H313" s="24"/>
      <c r="I313" s="24"/>
      <c r="J313" s="24"/>
      <c r="K313" s="25"/>
    </row>
    <row r="314" s="5" customFormat="1" ht="16.5" spans="1:11">
      <c r="A314" s="22"/>
      <c r="B314" s="23"/>
      <c r="C314" s="24"/>
      <c r="D314" s="24"/>
      <c r="E314" s="24"/>
      <c r="F314" s="24"/>
      <c r="G314" s="24"/>
      <c r="H314" s="24"/>
      <c r="I314" s="24"/>
      <c r="J314" s="24"/>
      <c r="K314" s="25"/>
    </row>
    <row r="315" s="5" customFormat="1" ht="16.5" spans="1:11">
      <c r="A315" s="22"/>
      <c r="B315" s="23"/>
      <c r="C315" s="24"/>
      <c r="D315" s="24"/>
      <c r="E315" s="24"/>
      <c r="F315" s="24"/>
      <c r="G315" s="24"/>
      <c r="H315" s="24"/>
      <c r="I315" s="24"/>
      <c r="J315" s="24"/>
      <c r="K315" s="25"/>
    </row>
    <row r="316" s="5" customFormat="1" ht="16.5" spans="1:11">
      <c r="A316" s="22"/>
      <c r="B316" s="23"/>
      <c r="C316" s="24"/>
      <c r="D316" s="24"/>
      <c r="E316" s="24"/>
      <c r="F316" s="24"/>
      <c r="G316" s="24"/>
      <c r="H316" s="24"/>
      <c r="I316" s="24"/>
      <c r="J316" s="24"/>
      <c r="K316" s="25"/>
    </row>
    <row r="317" s="5" customFormat="1" ht="16.5" spans="1:11">
      <c r="A317" s="22"/>
      <c r="B317" s="23"/>
      <c r="C317" s="24"/>
      <c r="D317" s="24"/>
      <c r="E317" s="24"/>
      <c r="F317" s="24"/>
      <c r="G317" s="24"/>
      <c r="H317" s="24"/>
      <c r="I317" s="24"/>
      <c r="J317" s="24"/>
      <c r="K317" s="25"/>
    </row>
    <row r="318" s="5" customFormat="1" ht="16.5" spans="1:11">
      <c r="A318" s="22"/>
      <c r="B318" s="23"/>
      <c r="C318" s="24"/>
      <c r="D318" s="24"/>
      <c r="E318" s="24"/>
      <c r="F318" s="24"/>
      <c r="G318" s="24"/>
      <c r="H318" s="24"/>
      <c r="I318" s="24"/>
      <c r="J318" s="24"/>
      <c r="K318" s="25"/>
    </row>
    <row r="319" s="5" customFormat="1" ht="16.5" spans="1:11">
      <c r="A319" s="22"/>
      <c r="B319" s="23"/>
      <c r="C319" s="24"/>
      <c r="D319" s="24"/>
      <c r="E319" s="24"/>
      <c r="F319" s="24"/>
      <c r="G319" s="24"/>
      <c r="H319" s="24"/>
      <c r="I319" s="24"/>
      <c r="J319" s="24"/>
      <c r="K319" s="25"/>
    </row>
    <row r="320" s="5" customFormat="1" ht="16.5" spans="1:11">
      <c r="A320" s="22"/>
      <c r="B320" s="23"/>
      <c r="C320" s="24"/>
      <c r="D320" s="24"/>
      <c r="E320" s="24"/>
      <c r="F320" s="24"/>
      <c r="G320" s="24"/>
      <c r="H320" s="24"/>
      <c r="I320" s="24"/>
      <c r="J320" s="24"/>
      <c r="K320" s="25"/>
    </row>
    <row r="321" s="5" customFormat="1" ht="16.5" spans="1:11">
      <c r="A321" s="22"/>
      <c r="B321" s="23"/>
      <c r="C321" s="24"/>
      <c r="D321" s="24"/>
      <c r="E321" s="24"/>
      <c r="F321" s="24"/>
      <c r="G321" s="24"/>
      <c r="H321" s="24"/>
      <c r="I321" s="24"/>
      <c r="J321" s="24"/>
      <c r="K321" s="25"/>
    </row>
    <row r="322" s="5" customFormat="1" ht="16.5" spans="1:11">
      <c r="A322" s="22"/>
      <c r="B322" s="23"/>
      <c r="C322" s="24"/>
      <c r="D322" s="24"/>
      <c r="E322" s="24"/>
      <c r="F322" s="24"/>
      <c r="G322" s="24"/>
      <c r="H322" s="24"/>
      <c r="I322" s="24"/>
      <c r="J322" s="24"/>
      <c r="K322" s="25"/>
    </row>
    <row r="323" s="5" customFormat="1" ht="16.5" spans="1:11">
      <c r="A323" s="22"/>
      <c r="B323" s="23"/>
      <c r="C323" s="24"/>
      <c r="D323" s="24"/>
      <c r="E323" s="24"/>
      <c r="F323" s="24"/>
      <c r="G323" s="24"/>
      <c r="H323" s="24"/>
      <c r="I323" s="24"/>
      <c r="J323" s="24"/>
      <c r="K323" s="25"/>
    </row>
    <row r="324" s="5" customFormat="1" ht="16.5" spans="1:11">
      <c r="A324" s="22"/>
      <c r="B324" s="23"/>
      <c r="C324" s="24"/>
      <c r="D324" s="24"/>
      <c r="E324" s="24"/>
      <c r="F324" s="24"/>
      <c r="G324" s="24"/>
      <c r="H324" s="24"/>
      <c r="I324" s="24"/>
      <c r="J324" s="24"/>
      <c r="K324" s="25"/>
    </row>
    <row r="325" s="5" customFormat="1" ht="16.5" spans="1:11">
      <c r="A325" s="22"/>
      <c r="B325" s="23"/>
      <c r="C325" s="24"/>
      <c r="D325" s="24"/>
      <c r="E325" s="24"/>
      <c r="F325" s="24"/>
      <c r="G325" s="24"/>
      <c r="H325" s="24"/>
      <c r="I325" s="24"/>
      <c r="J325" s="24"/>
      <c r="K325" s="25"/>
    </row>
    <row r="326" s="5" customFormat="1" ht="16.5" spans="1:11">
      <c r="A326" s="22"/>
      <c r="B326" s="23"/>
      <c r="C326" s="24"/>
      <c r="D326" s="24"/>
      <c r="E326" s="24"/>
      <c r="F326" s="24"/>
      <c r="G326" s="24"/>
      <c r="H326" s="24"/>
      <c r="I326" s="24"/>
      <c r="J326" s="24"/>
      <c r="K326" s="25"/>
    </row>
    <row r="327" s="5" customFormat="1" ht="16.5" spans="1:11">
      <c r="A327" s="22"/>
      <c r="B327" s="23"/>
      <c r="C327" s="24"/>
      <c r="D327" s="24"/>
      <c r="E327" s="24"/>
      <c r="F327" s="24"/>
      <c r="G327" s="24"/>
      <c r="H327" s="24"/>
      <c r="I327" s="24"/>
      <c r="J327" s="24"/>
      <c r="K327" s="25"/>
    </row>
    <row r="328" s="5" customFormat="1" ht="16.5" spans="1:11">
      <c r="A328" s="22"/>
      <c r="B328" s="23"/>
      <c r="C328" s="24"/>
      <c r="D328" s="24"/>
      <c r="E328" s="24"/>
      <c r="F328" s="24"/>
      <c r="G328" s="24"/>
      <c r="H328" s="24"/>
      <c r="I328" s="24"/>
      <c r="J328" s="24"/>
      <c r="K328" s="25"/>
    </row>
    <row r="329" s="5" customFormat="1" ht="16.5" spans="1:11">
      <c r="A329" s="22"/>
      <c r="B329" s="23"/>
      <c r="C329" s="24"/>
      <c r="D329" s="24"/>
      <c r="E329" s="24"/>
      <c r="F329" s="24"/>
      <c r="G329" s="24"/>
      <c r="H329" s="24"/>
      <c r="I329" s="24"/>
      <c r="J329" s="24"/>
      <c r="K329" s="25"/>
    </row>
    <row r="330" s="5" customFormat="1" ht="16.5" spans="1:11">
      <c r="A330" s="22"/>
      <c r="B330" s="23"/>
      <c r="C330" s="24"/>
      <c r="D330" s="24"/>
      <c r="E330" s="24"/>
      <c r="F330" s="24"/>
      <c r="G330" s="24"/>
      <c r="H330" s="24"/>
      <c r="I330" s="24"/>
      <c r="J330" s="24"/>
      <c r="K330" s="25"/>
    </row>
    <row r="331" s="5" customFormat="1" ht="16.5" spans="1:11">
      <c r="A331" s="22"/>
      <c r="B331" s="23"/>
      <c r="C331" s="24"/>
      <c r="D331" s="24"/>
      <c r="E331" s="24"/>
      <c r="F331" s="24"/>
      <c r="G331" s="24"/>
      <c r="H331" s="24"/>
      <c r="I331" s="24"/>
      <c r="J331" s="24"/>
      <c r="K331" s="25"/>
    </row>
    <row r="332" s="5" customFormat="1" ht="16.5" spans="1:11">
      <c r="A332" s="22"/>
      <c r="B332" s="23"/>
      <c r="C332" s="24"/>
      <c r="D332" s="24"/>
      <c r="E332" s="24"/>
      <c r="F332" s="24"/>
      <c r="G332" s="24"/>
      <c r="H332" s="24"/>
      <c r="I332" s="24"/>
      <c r="J332" s="24"/>
      <c r="K332" s="25"/>
    </row>
    <row r="333" s="5" customFormat="1" ht="16.5" spans="1:11">
      <c r="A333" s="22"/>
      <c r="B333" s="23"/>
      <c r="C333" s="24"/>
      <c r="D333" s="24"/>
      <c r="E333" s="24"/>
      <c r="F333" s="24"/>
      <c r="G333" s="24"/>
      <c r="H333" s="24"/>
      <c r="I333" s="24"/>
      <c r="J333" s="24"/>
      <c r="K333" s="25"/>
    </row>
    <row r="334" s="5" customFormat="1" ht="16.5" spans="1:11">
      <c r="A334" s="22"/>
      <c r="B334" s="23"/>
      <c r="C334" s="24"/>
      <c r="D334" s="24"/>
      <c r="E334" s="24"/>
      <c r="F334" s="24"/>
      <c r="G334" s="24"/>
      <c r="H334" s="24"/>
      <c r="I334" s="24"/>
      <c r="J334" s="24"/>
      <c r="K334" s="25"/>
    </row>
    <row r="335" s="5" customFormat="1" ht="16.5" spans="1:11">
      <c r="A335" s="22"/>
      <c r="B335" s="23"/>
      <c r="C335" s="24"/>
      <c r="D335" s="24"/>
      <c r="E335" s="24"/>
      <c r="F335" s="24"/>
      <c r="G335" s="24"/>
      <c r="H335" s="24"/>
      <c r="I335" s="24"/>
      <c r="J335" s="24"/>
      <c r="K335" s="25"/>
    </row>
    <row r="336" s="5" customFormat="1" ht="16.5" spans="1:11">
      <c r="A336" s="22"/>
      <c r="B336" s="23"/>
      <c r="C336" s="24"/>
      <c r="D336" s="24"/>
      <c r="E336" s="24"/>
      <c r="F336" s="24"/>
      <c r="G336" s="24"/>
      <c r="H336" s="24"/>
      <c r="I336" s="24"/>
      <c r="J336" s="24"/>
      <c r="K336" s="25"/>
    </row>
    <row r="337" s="5" customFormat="1" ht="16.5" spans="1:11">
      <c r="A337" s="22"/>
      <c r="B337" s="23"/>
      <c r="C337" s="24"/>
      <c r="D337" s="24"/>
      <c r="E337" s="24"/>
      <c r="F337" s="24"/>
      <c r="G337" s="24"/>
      <c r="H337" s="24"/>
      <c r="I337" s="24"/>
      <c r="J337" s="24"/>
      <c r="K337" s="25"/>
    </row>
    <row r="338" s="5" customFormat="1" ht="16.5" spans="1:11">
      <c r="A338" s="22"/>
      <c r="B338" s="23"/>
      <c r="C338" s="24"/>
      <c r="D338" s="24"/>
      <c r="E338" s="24"/>
      <c r="F338" s="24"/>
      <c r="G338" s="24"/>
      <c r="H338" s="24"/>
      <c r="I338" s="24"/>
      <c r="J338" s="24"/>
      <c r="K338" s="25"/>
    </row>
    <row r="339" s="5" customFormat="1" ht="16.5" spans="1:11">
      <c r="A339" s="22"/>
      <c r="B339" s="23"/>
      <c r="C339" s="24"/>
      <c r="D339" s="24"/>
      <c r="E339" s="24"/>
      <c r="F339" s="24"/>
      <c r="G339" s="24"/>
      <c r="H339" s="24"/>
      <c r="I339" s="24"/>
      <c r="J339" s="24"/>
      <c r="K339" s="25"/>
    </row>
    <row r="340" s="5" customFormat="1" ht="16.5" spans="1:11">
      <c r="A340" s="22"/>
      <c r="B340" s="23"/>
      <c r="C340" s="24"/>
      <c r="D340" s="24"/>
      <c r="E340" s="24"/>
      <c r="F340" s="24"/>
      <c r="G340" s="24"/>
      <c r="H340" s="24"/>
      <c r="I340" s="24"/>
      <c r="J340" s="24"/>
      <c r="K340" s="25"/>
    </row>
    <row r="341" s="5" customFormat="1" ht="16.5" spans="1:11">
      <c r="A341" s="22"/>
      <c r="B341" s="23"/>
      <c r="C341" s="24"/>
      <c r="D341" s="24"/>
      <c r="E341" s="24"/>
      <c r="F341" s="24"/>
      <c r="G341" s="24"/>
      <c r="H341" s="24"/>
      <c r="I341" s="24"/>
      <c r="J341" s="24"/>
      <c r="K341" s="25"/>
    </row>
    <row r="342" s="5" customFormat="1" ht="16.5" spans="1:11">
      <c r="A342" s="22"/>
      <c r="B342" s="23"/>
      <c r="C342" s="24"/>
      <c r="D342" s="24"/>
      <c r="E342" s="24"/>
      <c r="F342" s="24"/>
      <c r="G342" s="24"/>
      <c r="H342" s="24"/>
      <c r="I342" s="24"/>
      <c r="J342" s="24"/>
      <c r="K342" s="25"/>
    </row>
    <row r="343" s="5" customFormat="1" ht="16.5" spans="1:11">
      <c r="A343" s="22"/>
      <c r="B343" s="23"/>
      <c r="C343" s="24"/>
      <c r="D343" s="24"/>
      <c r="E343" s="24"/>
      <c r="F343" s="24"/>
      <c r="G343" s="24"/>
      <c r="H343" s="24"/>
      <c r="I343" s="24"/>
      <c r="J343" s="24"/>
      <c r="K343" s="25"/>
    </row>
    <row r="344" s="5" customFormat="1" ht="16.5" spans="1:11">
      <c r="A344" s="22"/>
      <c r="B344" s="23"/>
      <c r="C344" s="24"/>
      <c r="D344" s="24"/>
      <c r="E344" s="24"/>
      <c r="F344" s="24"/>
      <c r="G344" s="24"/>
      <c r="H344" s="24"/>
      <c r="I344" s="24"/>
      <c r="J344" s="24"/>
      <c r="K344" s="25"/>
    </row>
    <row r="345" s="5" customFormat="1" ht="16.5" spans="1:11">
      <c r="A345" s="22"/>
      <c r="B345" s="23"/>
      <c r="C345" s="24"/>
      <c r="D345" s="24"/>
      <c r="E345" s="24"/>
      <c r="F345" s="24"/>
      <c r="G345" s="24"/>
      <c r="H345" s="24"/>
      <c r="I345" s="24"/>
      <c r="J345" s="24"/>
      <c r="K345" s="25"/>
    </row>
    <row r="346" s="5" customFormat="1" ht="16.5" spans="1:11">
      <c r="A346" s="22"/>
      <c r="B346" s="23"/>
      <c r="C346" s="24"/>
      <c r="D346" s="24"/>
      <c r="E346" s="24"/>
      <c r="F346" s="24"/>
      <c r="G346" s="24"/>
      <c r="H346" s="24"/>
      <c r="I346" s="24"/>
      <c r="J346" s="24"/>
      <c r="K346" s="25"/>
    </row>
    <row r="347" s="5" customFormat="1" ht="16.5" spans="1:11">
      <c r="A347" s="22"/>
      <c r="B347" s="23"/>
      <c r="C347" s="24"/>
      <c r="D347" s="24"/>
      <c r="E347" s="24"/>
      <c r="F347" s="24"/>
      <c r="G347" s="24"/>
      <c r="H347" s="24"/>
      <c r="I347" s="24"/>
      <c r="J347" s="24"/>
      <c r="K347" s="25"/>
    </row>
    <row r="348" s="5" customFormat="1" ht="16.5" spans="1:11">
      <c r="A348" s="22"/>
      <c r="B348" s="23"/>
      <c r="C348" s="24"/>
      <c r="D348" s="24"/>
      <c r="E348" s="24"/>
      <c r="F348" s="24"/>
      <c r="G348" s="24"/>
      <c r="H348" s="24"/>
      <c r="I348" s="24"/>
      <c r="J348" s="24"/>
      <c r="K348" s="25"/>
    </row>
    <row r="349" s="5" customFormat="1" ht="16.5" spans="1:11">
      <c r="A349" s="22"/>
      <c r="B349" s="23"/>
      <c r="C349" s="24"/>
      <c r="D349" s="24"/>
      <c r="E349" s="24"/>
      <c r="F349" s="24"/>
      <c r="G349" s="24"/>
      <c r="H349" s="24"/>
      <c r="I349" s="24"/>
      <c r="J349" s="24"/>
      <c r="K349" s="25"/>
    </row>
    <row r="350" s="5" customFormat="1" ht="16.5" spans="1:11">
      <c r="A350" s="22"/>
      <c r="B350" s="23"/>
      <c r="C350" s="24"/>
      <c r="D350" s="24"/>
      <c r="E350" s="24"/>
      <c r="F350" s="24"/>
      <c r="G350" s="24"/>
      <c r="H350" s="24"/>
      <c r="I350" s="24"/>
      <c r="J350" s="24"/>
      <c r="K350" s="25"/>
    </row>
    <row r="351" s="5" customFormat="1" ht="16.5" spans="1:11">
      <c r="A351" s="22"/>
      <c r="B351" s="23"/>
      <c r="C351" s="24"/>
      <c r="D351" s="24"/>
      <c r="E351" s="24"/>
      <c r="F351" s="24"/>
      <c r="G351" s="24"/>
      <c r="H351" s="24"/>
      <c r="I351" s="24"/>
      <c r="J351" s="24"/>
      <c r="K351" s="25"/>
    </row>
    <row r="352" s="5" customFormat="1" ht="16.5" spans="1:11">
      <c r="A352" s="22"/>
      <c r="B352" s="23"/>
      <c r="C352" s="24"/>
      <c r="D352" s="24"/>
      <c r="E352" s="24"/>
      <c r="F352" s="24"/>
      <c r="G352" s="24"/>
      <c r="H352" s="24"/>
      <c r="I352" s="24"/>
      <c r="J352" s="24"/>
      <c r="K352" s="25"/>
    </row>
    <row r="353" s="5" customFormat="1" ht="16.5" spans="1:11">
      <c r="A353" s="22"/>
      <c r="B353" s="23"/>
      <c r="C353" s="24"/>
      <c r="D353" s="24"/>
      <c r="E353" s="24"/>
      <c r="F353" s="24"/>
      <c r="G353" s="24"/>
      <c r="H353" s="24"/>
      <c r="I353" s="24"/>
      <c r="J353" s="24"/>
      <c r="K353" s="25"/>
    </row>
    <row r="354" s="5" customFormat="1" ht="16.5" spans="1:11">
      <c r="A354" s="22"/>
      <c r="B354" s="23"/>
      <c r="C354" s="24"/>
      <c r="D354" s="24"/>
      <c r="E354" s="24"/>
      <c r="F354" s="24"/>
      <c r="G354" s="24"/>
      <c r="H354" s="24"/>
      <c r="I354" s="24"/>
      <c r="J354" s="24"/>
      <c r="K354" s="25"/>
    </row>
    <row r="355" s="5" customFormat="1" ht="16.5" spans="1:11">
      <c r="A355" s="22"/>
      <c r="B355" s="23"/>
      <c r="C355" s="24"/>
      <c r="D355" s="24"/>
      <c r="E355" s="24"/>
      <c r="F355" s="24"/>
      <c r="G355" s="24"/>
      <c r="H355" s="24"/>
      <c r="I355" s="24"/>
      <c r="J355" s="24"/>
      <c r="K355" s="25"/>
    </row>
    <row r="356" s="5" customFormat="1" ht="16.5" spans="1:11">
      <c r="A356" s="22"/>
      <c r="B356" s="23"/>
      <c r="C356" s="24"/>
      <c r="D356" s="24"/>
      <c r="E356" s="24"/>
      <c r="F356" s="24"/>
      <c r="G356" s="24"/>
      <c r="H356" s="24"/>
      <c r="I356" s="24"/>
      <c r="J356" s="24"/>
      <c r="K356" s="25"/>
    </row>
    <row r="357" s="5" customFormat="1" ht="16.5" spans="1:11">
      <c r="A357" s="22"/>
      <c r="B357" s="23"/>
      <c r="C357" s="24"/>
      <c r="D357" s="24"/>
      <c r="E357" s="24"/>
      <c r="F357" s="24"/>
      <c r="G357" s="24"/>
      <c r="H357" s="24"/>
      <c r="I357" s="24"/>
      <c r="J357" s="24"/>
      <c r="K357" s="25"/>
    </row>
    <row r="358" s="5" customFormat="1" ht="16.5" spans="1:11">
      <c r="A358" s="22"/>
      <c r="B358" s="23"/>
      <c r="C358" s="24"/>
      <c r="D358" s="24"/>
      <c r="E358" s="24"/>
      <c r="F358" s="24"/>
      <c r="G358" s="24"/>
      <c r="H358" s="24"/>
      <c r="I358" s="24"/>
      <c r="J358" s="24"/>
      <c r="K358" s="25"/>
    </row>
    <row r="359" s="5" customFormat="1" ht="16.5" spans="1:11">
      <c r="A359" s="22"/>
      <c r="B359" s="23"/>
      <c r="C359" s="24"/>
      <c r="D359" s="24"/>
      <c r="E359" s="24"/>
      <c r="F359" s="24"/>
      <c r="G359" s="24"/>
      <c r="H359" s="24"/>
      <c r="I359" s="24"/>
      <c r="J359" s="24"/>
      <c r="K359" s="25"/>
    </row>
    <row r="360" s="5" customFormat="1" ht="16.5" spans="1:11">
      <c r="A360" s="22"/>
      <c r="B360" s="23"/>
      <c r="C360" s="24"/>
      <c r="D360" s="24"/>
      <c r="E360" s="24"/>
      <c r="F360" s="24"/>
      <c r="G360" s="24"/>
      <c r="H360" s="24"/>
      <c r="I360" s="24"/>
      <c r="J360" s="24"/>
      <c r="K360" s="25"/>
    </row>
    <row r="361" s="5" customFormat="1" ht="16.5" spans="1:11">
      <c r="A361" s="22"/>
      <c r="B361" s="23"/>
      <c r="C361" s="24"/>
      <c r="D361" s="24"/>
      <c r="E361" s="24"/>
      <c r="F361" s="24"/>
      <c r="G361" s="24"/>
      <c r="H361" s="24"/>
      <c r="I361" s="24"/>
      <c r="J361" s="24"/>
      <c r="K361" s="25"/>
    </row>
    <row r="362" s="5" customFormat="1" ht="16.5" spans="1:11">
      <c r="A362" s="22"/>
      <c r="B362" s="23"/>
      <c r="C362" s="24"/>
      <c r="D362" s="24"/>
      <c r="E362" s="24"/>
      <c r="F362" s="24"/>
      <c r="G362" s="24"/>
      <c r="H362" s="24"/>
      <c r="I362" s="24"/>
      <c r="J362" s="24"/>
      <c r="K362" s="25"/>
    </row>
    <row r="363" s="5" customFormat="1" ht="16.5" spans="1:11">
      <c r="A363" s="22"/>
      <c r="B363" s="23"/>
      <c r="C363" s="24"/>
      <c r="D363" s="24"/>
      <c r="E363" s="24"/>
      <c r="F363" s="24"/>
      <c r="G363" s="24"/>
      <c r="H363" s="24"/>
      <c r="I363" s="24"/>
      <c r="J363" s="24"/>
      <c r="K363" s="25"/>
    </row>
    <row r="364" s="5" customFormat="1" ht="16.5" spans="1:11">
      <c r="A364" s="22"/>
      <c r="B364" s="23"/>
      <c r="C364" s="24"/>
      <c r="D364" s="24"/>
      <c r="E364" s="24"/>
      <c r="F364" s="24"/>
      <c r="G364" s="24"/>
      <c r="H364" s="24"/>
      <c r="I364" s="24"/>
      <c r="J364" s="24"/>
      <c r="K364" s="25"/>
    </row>
    <row r="365" s="5" customFormat="1" ht="16.5" spans="1:11">
      <c r="A365" s="22"/>
      <c r="B365" s="23"/>
      <c r="C365" s="24"/>
      <c r="D365" s="24"/>
      <c r="E365" s="24"/>
      <c r="F365" s="24"/>
      <c r="G365" s="24"/>
      <c r="H365" s="24"/>
      <c r="I365" s="24"/>
      <c r="J365" s="24"/>
      <c r="K365" s="25"/>
    </row>
    <row r="366" s="5" customFormat="1" ht="16.5" spans="1:11">
      <c r="A366" s="22"/>
      <c r="B366" s="23"/>
      <c r="C366" s="24"/>
      <c r="D366" s="24"/>
      <c r="E366" s="24"/>
      <c r="F366" s="24"/>
      <c r="G366" s="24"/>
      <c r="H366" s="24"/>
      <c r="I366" s="24"/>
      <c r="J366" s="24"/>
      <c r="K366" s="25"/>
    </row>
    <row r="367" s="5" customFormat="1" ht="16.5" spans="1:11">
      <c r="A367" s="22"/>
      <c r="B367" s="23"/>
      <c r="C367" s="24"/>
      <c r="D367" s="24"/>
      <c r="E367" s="24"/>
      <c r="F367" s="24"/>
      <c r="G367" s="24"/>
      <c r="H367" s="24"/>
      <c r="I367" s="24"/>
      <c r="J367" s="24"/>
      <c r="K367" s="25"/>
    </row>
    <row r="368" s="5" customFormat="1" ht="16.5" spans="1:11">
      <c r="A368" s="22"/>
      <c r="B368" s="23"/>
      <c r="C368" s="24"/>
      <c r="D368" s="24"/>
      <c r="E368" s="24"/>
      <c r="F368" s="24"/>
      <c r="G368" s="24"/>
      <c r="H368" s="24"/>
      <c r="I368" s="24"/>
      <c r="J368" s="24"/>
      <c r="K368" s="25"/>
    </row>
    <row r="369" s="5" customFormat="1" ht="16.5" spans="1:11">
      <c r="A369" s="22"/>
      <c r="B369" s="23"/>
      <c r="C369" s="24"/>
      <c r="D369" s="24"/>
      <c r="E369" s="24"/>
      <c r="F369" s="24"/>
      <c r="G369" s="24"/>
      <c r="H369" s="24"/>
      <c r="I369" s="24"/>
      <c r="J369" s="24"/>
      <c r="K369" s="25"/>
    </row>
    <row r="370" s="5" customFormat="1" ht="16.5" spans="1:11">
      <c r="A370" s="22"/>
      <c r="B370" s="23"/>
      <c r="C370" s="24"/>
      <c r="D370" s="24"/>
      <c r="E370" s="24"/>
      <c r="F370" s="24"/>
      <c r="G370" s="24"/>
      <c r="H370" s="24"/>
      <c r="I370" s="24"/>
      <c r="J370" s="24"/>
      <c r="K370" s="25"/>
    </row>
    <row r="371" s="5" customFormat="1" ht="16.5" spans="1:11">
      <c r="A371" s="22"/>
      <c r="B371" s="23"/>
      <c r="C371" s="24"/>
      <c r="D371" s="24"/>
      <c r="E371" s="24"/>
      <c r="F371" s="24"/>
      <c r="G371" s="24"/>
      <c r="H371" s="24"/>
      <c r="I371" s="24"/>
      <c r="J371" s="24"/>
      <c r="K371" s="25"/>
    </row>
    <row r="372" s="5" customFormat="1" ht="16.5" spans="1:11">
      <c r="A372" s="22"/>
      <c r="B372" s="23"/>
      <c r="C372" s="24"/>
      <c r="D372" s="24"/>
      <c r="E372" s="24"/>
      <c r="F372" s="24"/>
      <c r="G372" s="24"/>
      <c r="H372" s="24"/>
      <c r="I372" s="24"/>
      <c r="J372" s="24"/>
      <c r="K372" s="25"/>
    </row>
    <row r="373" s="5" customFormat="1" ht="16.5" spans="1:11">
      <c r="A373" s="22"/>
      <c r="B373" s="23"/>
      <c r="C373" s="24"/>
      <c r="D373" s="24"/>
      <c r="E373" s="24"/>
      <c r="F373" s="24"/>
      <c r="G373" s="24"/>
      <c r="H373" s="24"/>
      <c r="I373" s="24"/>
      <c r="J373" s="24"/>
      <c r="K373" s="25"/>
    </row>
    <row r="374" s="5" customFormat="1" ht="16.5" spans="1:11">
      <c r="A374" s="22"/>
      <c r="B374" s="23"/>
      <c r="C374" s="24"/>
      <c r="D374" s="24"/>
      <c r="E374" s="24"/>
      <c r="F374" s="24"/>
      <c r="G374" s="24"/>
      <c r="H374" s="24"/>
      <c r="I374" s="24"/>
      <c r="J374" s="24"/>
      <c r="K374" s="25"/>
    </row>
    <row r="375" s="5" customFormat="1" ht="16.5" spans="1:11">
      <c r="A375" s="22"/>
      <c r="B375" s="23"/>
      <c r="C375" s="24"/>
      <c r="D375" s="24"/>
      <c r="E375" s="24"/>
      <c r="F375" s="24"/>
      <c r="G375" s="24"/>
      <c r="H375" s="24"/>
      <c r="I375" s="24"/>
      <c r="J375" s="24"/>
      <c r="K375" s="25"/>
    </row>
    <row r="376" s="5" customFormat="1" ht="16.5" spans="1:11">
      <c r="A376" s="22"/>
      <c r="B376" s="23"/>
      <c r="C376" s="24"/>
      <c r="D376" s="24"/>
      <c r="E376" s="24"/>
      <c r="F376" s="24"/>
      <c r="G376" s="24"/>
      <c r="H376" s="24"/>
      <c r="I376" s="24"/>
      <c r="J376" s="24"/>
      <c r="K376" s="25"/>
    </row>
    <row r="377" s="5" customFormat="1" ht="16.5" spans="1:11">
      <c r="A377" s="22"/>
      <c r="B377" s="23"/>
      <c r="C377" s="24"/>
      <c r="D377" s="24"/>
      <c r="E377" s="24"/>
      <c r="F377" s="24"/>
      <c r="G377" s="24"/>
      <c r="H377" s="24"/>
      <c r="I377" s="24"/>
      <c r="J377" s="24"/>
      <c r="K377" s="25"/>
    </row>
    <row r="378" s="5" customFormat="1" ht="16.5" spans="1:11">
      <c r="A378" s="22"/>
      <c r="B378" s="23"/>
      <c r="C378" s="24"/>
      <c r="D378" s="24"/>
      <c r="E378" s="24"/>
      <c r="F378" s="24"/>
      <c r="G378" s="24"/>
      <c r="H378" s="24"/>
      <c r="I378" s="24"/>
      <c r="J378" s="24"/>
      <c r="K378" s="25"/>
    </row>
    <row r="379" s="5" customFormat="1" ht="16.5" spans="1:11">
      <c r="A379" s="22"/>
      <c r="B379" s="23"/>
      <c r="C379" s="24"/>
      <c r="D379" s="24"/>
      <c r="E379" s="24"/>
      <c r="F379" s="24"/>
      <c r="G379" s="24"/>
      <c r="H379" s="24"/>
      <c r="I379" s="24"/>
      <c r="J379" s="24"/>
      <c r="K379" s="25"/>
    </row>
    <row r="380" s="5" customFormat="1" ht="16.5" spans="1:11">
      <c r="A380" s="22"/>
      <c r="B380" s="23"/>
      <c r="C380" s="24"/>
      <c r="D380" s="24"/>
      <c r="E380" s="24"/>
      <c r="F380" s="24"/>
      <c r="G380" s="24"/>
      <c r="H380" s="24"/>
      <c r="I380" s="24"/>
      <c r="J380" s="24"/>
      <c r="K380" s="25"/>
    </row>
    <row r="381" s="5" customFormat="1" ht="16.5" spans="1:11">
      <c r="A381" s="22"/>
      <c r="B381" s="23"/>
      <c r="C381" s="24"/>
      <c r="D381" s="24"/>
      <c r="E381" s="24"/>
      <c r="F381" s="24"/>
      <c r="G381" s="24"/>
      <c r="H381" s="24"/>
      <c r="I381" s="24"/>
      <c r="J381" s="24"/>
      <c r="K381" s="25"/>
    </row>
    <row r="382" s="5" customFormat="1" ht="16.5" spans="1:11">
      <c r="A382" s="22"/>
      <c r="B382" s="23"/>
      <c r="C382" s="24"/>
      <c r="D382" s="24"/>
      <c r="E382" s="24"/>
      <c r="F382" s="24"/>
      <c r="G382" s="24"/>
      <c r="H382" s="24"/>
      <c r="I382" s="24"/>
      <c r="J382" s="24"/>
      <c r="K382" s="25"/>
    </row>
    <row r="383" s="5" customFormat="1" ht="16.5" spans="1:11">
      <c r="A383" s="22"/>
      <c r="B383" s="23"/>
      <c r="C383" s="24"/>
      <c r="D383" s="24"/>
      <c r="E383" s="24"/>
      <c r="F383" s="24"/>
      <c r="G383" s="24"/>
      <c r="H383" s="24"/>
      <c r="I383" s="24"/>
      <c r="J383" s="24"/>
      <c r="K383" s="25"/>
    </row>
    <row r="384" s="5" customFormat="1" ht="16.5" spans="1:11">
      <c r="A384" s="22"/>
      <c r="B384" s="23"/>
      <c r="C384" s="24"/>
      <c r="D384" s="24"/>
      <c r="E384" s="24"/>
      <c r="F384" s="24"/>
      <c r="G384" s="24"/>
      <c r="H384" s="24"/>
      <c r="I384" s="24"/>
      <c r="J384" s="24"/>
      <c r="K384" s="25"/>
    </row>
    <row r="385" s="5" customFormat="1" ht="16.5" spans="1:11">
      <c r="A385" s="22"/>
      <c r="B385" s="23"/>
      <c r="C385" s="24"/>
      <c r="D385" s="24"/>
      <c r="E385" s="24"/>
      <c r="F385" s="24"/>
      <c r="G385" s="24"/>
      <c r="H385" s="24"/>
      <c r="I385" s="24"/>
      <c r="J385" s="24"/>
      <c r="K385" s="25"/>
    </row>
    <row r="386" s="5" customFormat="1" ht="16.5" spans="1:11">
      <c r="A386" s="22"/>
      <c r="B386" s="23"/>
      <c r="C386" s="24"/>
      <c r="D386" s="24"/>
      <c r="E386" s="24"/>
      <c r="F386" s="24"/>
      <c r="G386" s="24"/>
      <c r="H386" s="24"/>
      <c r="I386" s="24"/>
      <c r="J386" s="24"/>
      <c r="K386" s="25"/>
    </row>
    <row r="387" s="5" customFormat="1" ht="16.5" spans="1:11">
      <c r="A387" s="22"/>
      <c r="B387" s="23"/>
      <c r="C387" s="24"/>
      <c r="D387" s="24"/>
      <c r="E387" s="24"/>
      <c r="F387" s="24"/>
      <c r="G387" s="24"/>
      <c r="H387" s="24"/>
      <c r="I387" s="24"/>
      <c r="J387" s="24"/>
      <c r="K387" s="25"/>
    </row>
    <row r="388" s="5" customFormat="1" ht="16.5" spans="1:11">
      <c r="A388" s="22"/>
      <c r="B388" s="23"/>
      <c r="C388" s="24"/>
      <c r="D388" s="24"/>
      <c r="E388" s="24"/>
      <c r="F388" s="24"/>
      <c r="G388" s="24"/>
      <c r="H388" s="24"/>
      <c r="I388" s="24"/>
      <c r="J388" s="24"/>
      <c r="K388" s="25"/>
    </row>
    <row r="389" s="5" customFormat="1" ht="16.5" spans="1:11">
      <c r="A389" s="22"/>
      <c r="B389" s="23"/>
      <c r="C389" s="24"/>
      <c r="D389" s="24"/>
      <c r="E389" s="24"/>
      <c r="F389" s="24"/>
      <c r="G389" s="24"/>
      <c r="H389" s="24"/>
      <c r="I389" s="24"/>
      <c r="J389" s="24"/>
      <c r="K389" s="25"/>
    </row>
    <row r="390" s="5" customFormat="1" ht="16.5" spans="1:11">
      <c r="A390" s="22"/>
      <c r="B390" s="23"/>
      <c r="C390" s="24"/>
      <c r="D390" s="24"/>
      <c r="E390" s="24"/>
      <c r="F390" s="24"/>
      <c r="G390" s="24"/>
      <c r="H390" s="24"/>
      <c r="I390" s="24"/>
      <c r="J390" s="24"/>
      <c r="K390" s="25"/>
    </row>
    <row r="391" s="5" customFormat="1" ht="16.5" spans="1:11">
      <c r="A391" s="22"/>
      <c r="B391" s="23"/>
      <c r="C391" s="24"/>
      <c r="D391" s="24"/>
      <c r="E391" s="24"/>
      <c r="F391" s="24"/>
      <c r="G391" s="24"/>
      <c r="H391" s="24"/>
      <c r="I391" s="24"/>
      <c r="J391" s="24"/>
      <c r="K391" s="25"/>
    </row>
    <row r="392" s="5" customFormat="1" ht="16.5" spans="1:11">
      <c r="A392" s="22"/>
      <c r="B392" s="23"/>
      <c r="C392" s="24"/>
      <c r="D392" s="24"/>
      <c r="E392" s="24"/>
      <c r="F392" s="24"/>
      <c r="G392" s="24"/>
      <c r="H392" s="24"/>
      <c r="I392" s="24"/>
      <c r="J392" s="24"/>
      <c r="K392" s="25"/>
    </row>
    <row r="393" s="5" customFormat="1" ht="16.5" spans="1:11">
      <c r="A393" s="22"/>
      <c r="B393" s="23"/>
      <c r="C393" s="24"/>
      <c r="D393" s="24"/>
      <c r="E393" s="24"/>
      <c r="F393" s="24"/>
      <c r="G393" s="24"/>
      <c r="H393" s="24"/>
      <c r="I393" s="24"/>
      <c r="J393" s="24"/>
      <c r="K393" s="25"/>
    </row>
    <row r="394" s="5" customFormat="1" ht="16.5" spans="1:11">
      <c r="A394" s="22"/>
      <c r="B394" s="23"/>
      <c r="C394" s="24"/>
      <c r="D394" s="24"/>
      <c r="E394" s="24"/>
      <c r="F394" s="24"/>
      <c r="G394" s="24"/>
      <c r="H394" s="24"/>
      <c r="I394" s="24"/>
      <c r="J394" s="24"/>
      <c r="K394" s="25"/>
    </row>
    <row r="395" s="5" customFormat="1" ht="16.5" spans="1:11">
      <c r="A395" s="22"/>
      <c r="B395" s="23"/>
      <c r="C395" s="24"/>
      <c r="D395" s="24"/>
      <c r="E395" s="24"/>
      <c r="F395" s="24"/>
      <c r="G395" s="24"/>
      <c r="H395" s="24"/>
      <c r="I395" s="24"/>
      <c r="J395" s="24"/>
      <c r="K395" s="25"/>
    </row>
    <row r="396" s="5" customFormat="1" ht="16.5" spans="1:11">
      <c r="A396" s="22"/>
      <c r="B396" s="23"/>
      <c r="C396" s="24"/>
      <c r="D396" s="24"/>
      <c r="E396" s="24"/>
      <c r="F396" s="24"/>
      <c r="G396" s="24"/>
      <c r="H396" s="24"/>
      <c r="I396" s="24"/>
      <c r="J396" s="24"/>
      <c r="K396" s="25"/>
    </row>
    <row r="397" s="5" customFormat="1" ht="16.5" spans="1:11">
      <c r="A397" s="22"/>
      <c r="B397" s="23"/>
      <c r="C397" s="24"/>
      <c r="D397" s="24"/>
      <c r="E397" s="24"/>
      <c r="F397" s="24"/>
      <c r="G397" s="24"/>
      <c r="H397" s="24"/>
      <c r="I397" s="24"/>
      <c r="J397" s="24"/>
      <c r="K397" s="25"/>
    </row>
    <row r="398" s="5" customFormat="1" ht="16.5" spans="1:11">
      <c r="A398" s="22"/>
      <c r="B398" s="23"/>
      <c r="C398" s="24"/>
      <c r="D398" s="24"/>
      <c r="E398" s="24"/>
      <c r="F398" s="24"/>
      <c r="G398" s="24"/>
      <c r="H398" s="24"/>
      <c r="I398" s="24"/>
      <c r="J398" s="24"/>
      <c r="K398" s="25"/>
    </row>
    <row r="399" s="5" customFormat="1" ht="16.5" spans="1:11">
      <c r="A399" s="22"/>
      <c r="B399" s="23"/>
      <c r="C399" s="24"/>
      <c r="D399" s="24"/>
      <c r="E399" s="24"/>
      <c r="F399" s="24"/>
      <c r="G399" s="24"/>
      <c r="H399" s="24"/>
      <c r="I399" s="24"/>
      <c r="J399" s="24"/>
      <c r="K399" s="25"/>
    </row>
    <row r="400" s="5" customFormat="1" ht="16.5" spans="1:11">
      <c r="A400" s="22"/>
      <c r="B400" s="23"/>
      <c r="C400" s="24"/>
      <c r="D400" s="24"/>
      <c r="E400" s="24"/>
      <c r="F400" s="24"/>
      <c r="G400" s="24"/>
      <c r="H400" s="24"/>
      <c r="I400" s="24"/>
      <c r="J400" s="24"/>
      <c r="K400" s="25"/>
    </row>
    <row r="401" s="5" customFormat="1" ht="16.5" spans="1:11">
      <c r="A401" s="22"/>
      <c r="B401" s="23"/>
      <c r="C401" s="24"/>
      <c r="D401" s="24"/>
      <c r="E401" s="24"/>
      <c r="F401" s="24"/>
      <c r="G401" s="24"/>
      <c r="H401" s="24"/>
      <c r="I401" s="24"/>
      <c r="J401" s="24"/>
      <c r="K401" s="25"/>
    </row>
    <row r="402" s="5" customFormat="1" ht="16.5" spans="1:11">
      <c r="A402" s="22"/>
      <c r="B402" s="23"/>
      <c r="C402" s="24"/>
      <c r="D402" s="24"/>
      <c r="E402" s="24"/>
      <c r="F402" s="24"/>
      <c r="G402" s="24"/>
      <c r="H402" s="24"/>
      <c r="I402" s="24"/>
      <c r="J402" s="24"/>
      <c r="K402" s="25"/>
    </row>
    <row r="403" s="5" customFormat="1" ht="16.5" spans="1:11">
      <c r="A403" s="22"/>
      <c r="B403" s="23"/>
      <c r="C403" s="24"/>
      <c r="D403" s="24"/>
      <c r="E403" s="24"/>
      <c r="F403" s="24"/>
      <c r="G403" s="24"/>
      <c r="H403" s="24"/>
      <c r="I403" s="24"/>
      <c r="J403" s="24"/>
      <c r="K403" s="25"/>
    </row>
    <row r="404" s="5" customFormat="1" ht="16.5" spans="1:11">
      <c r="A404" s="22"/>
      <c r="B404" s="23"/>
      <c r="C404" s="24"/>
      <c r="D404" s="24"/>
      <c r="E404" s="24"/>
      <c r="F404" s="24"/>
      <c r="G404" s="24"/>
      <c r="H404" s="24"/>
      <c r="I404" s="24"/>
      <c r="J404" s="24"/>
      <c r="K404" s="25"/>
    </row>
    <row r="405" s="5" customFormat="1" ht="16.5" spans="1:11">
      <c r="A405" s="22"/>
      <c r="B405" s="23"/>
      <c r="C405" s="24"/>
      <c r="D405" s="24"/>
      <c r="E405" s="24"/>
      <c r="F405" s="24"/>
      <c r="G405" s="24"/>
      <c r="H405" s="24"/>
      <c r="I405" s="24"/>
      <c r="J405" s="24"/>
      <c r="K405" s="25"/>
    </row>
    <row r="406" s="5" customFormat="1" ht="16.5" spans="1:11">
      <c r="A406" s="22"/>
      <c r="B406" s="23"/>
      <c r="C406" s="24"/>
      <c r="D406" s="24"/>
      <c r="E406" s="24"/>
      <c r="F406" s="24"/>
      <c r="G406" s="24"/>
      <c r="H406" s="24"/>
      <c r="I406" s="24"/>
      <c r="J406" s="24"/>
      <c r="K406" s="25"/>
    </row>
    <row r="407" s="5" customFormat="1" ht="16.5" spans="1:11">
      <c r="A407" s="22"/>
      <c r="B407" s="23"/>
      <c r="C407" s="24"/>
      <c r="D407" s="24"/>
      <c r="E407" s="24"/>
      <c r="F407" s="24"/>
      <c r="G407" s="24"/>
      <c r="H407" s="24"/>
      <c r="I407" s="24"/>
      <c r="J407" s="24"/>
      <c r="K407" s="25"/>
    </row>
    <row r="408" s="5" customFormat="1" ht="16.5" spans="1:11">
      <c r="A408" s="22"/>
      <c r="B408" s="23"/>
      <c r="C408" s="24"/>
      <c r="D408" s="24"/>
      <c r="E408" s="24"/>
      <c r="F408" s="24"/>
      <c r="G408" s="24"/>
      <c r="H408" s="24"/>
      <c r="I408" s="24"/>
      <c r="J408" s="24"/>
      <c r="K408" s="25"/>
    </row>
    <row r="409" s="5" customFormat="1" ht="16.5" spans="1:11">
      <c r="A409" s="22"/>
      <c r="B409" s="23"/>
      <c r="C409" s="24"/>
      <c r="D409" s="24"/>
      <c r="E409" s="24"/>
      <c r="F409" s="24"/>
      <c r="G409" s="24"/>
      <c r="H409" s="24"/>
      <c r="I409" s="24"/>
      <c r="J409" s="24"/>
      <c r="K409" s="25"/>
    </row>
    <row r="410" s="5" customFormat="1" ht="16.5" spans="1:11">
      <c r="A410" s="22"/>
      <c r="B410" s="23"/>
      <c r="C410" s="24"/>
      <c r="D410" s="24"/>
      <c r="E410" s="24"/>
      <c r="F410" s="24"/>
      <c r="G410" s="24"/>
      <c r="H410" s="24"/>
      <c r="I410" s="24"/>
      <c r="J410" s="24"/>
      <c r="K410" s="25"/>
    </row>
    <row r="411" s="5" customFormat="1" ht="16.5" spans="1:11">
      <c r="A411" s="22"/>
      <c r="B411" s="23"/>
      <c r="C411" s="24"/>
      <c r="D411" s="24"/>
      <c r="E411" s="24"/>
      <c r="F411" s="24"/>
      <c r="G411" s="24"/>
      <c r="H411" s="24"/>
      <c r="I411" s="24"/>
      <c r="J411" s="24"/>
      <c r="K411" s="25"/>
    </row>
    <row r="412" s="5" customFormat="1" ht="16.5" spans="1:11">
      <c r="A412" s="22"/>
      <c r="B412" s="23"/>
      <c r="C412" s="24"/>
      <c r="D412" s="24"/>
      <c r="E412" s="24"/>
      <c r="F412" s="24"/>
      <c r="G412" s="24"/>
      <c r="H412" s="24"/>
      <c r="I412" s="24"/>
      <c r="J412" s="24"/>
      <c r="K412" s="25"/>
    </row>
    <row r="413" s="5" customFormat="1" ht="16.5" spans="1:11">
      <c r="A413" s="22"/>
      <c r="B413" s="23"/>
      <c r="C413" s="24"/>
      <c r="D413" s="24"/>
      <c r="E413" s="24"/>
      <c r="F413" s="24"/>
      <c r="G413" s="24"/>
      <c r="H413" s="24"/>
      <c r="I413" s="24"/>
      <c r="J413" s="24"/>
      <c r="K413" s="25"/>
    </row>
    <row r="414" s="5" customFormat="1" ht="16.5" spans="1:11">
      <c r="A414" s="22"/>
      <c r="B414" s="23"/>
      <c r="C414" s="24"/>
      <c r="D414" s="24"/>
      <c r="E414" s="24"/>
      <c r="F414" s="24"/>
      <c r="G414" s="24"/>
      <c r="H414" s="24"/>
      <c r="I414" s="24"/>
      <c r="J414" s="24"/>
      <c r="K414" s="25"/>
    </row>
    <row r="415" s="5" customFormat="1" ht="16.5" spans="1:11">
      <c r="A415" s="22"/>
      <c r="B415" s="23"/>
      <c r="C415" s="24"/>
      <c r="D415" s="24"/>
      <c r="E415" s="24"/>
      <c r="F415" s="24"/>
      <c r="G415" s="24"/>
      <c r="H415" s="24"/>
      <c r="I415" s="24"/>
      <c r="J415" s="24"/>
      <c r="K415" s="25"/>
    </row>
    <row r="416" s="5" customFormat="1" ht="16.5" spans="1:11">
      <c r="A416" s="22"/>
      <c r="B416" s="23"/>
      <c r="C416" s="24"/>
      <c r="D416" s="24"/>
      <c r="E416" s="24"/>
      <c r="F416" s="24"/>
      <c r="G416" s="24"/>
      <c r="H416" s="24"/>
      <c r="I416" s="24"/>
      <c r="J416" s="24"/>
      <c r="K416" s="25"/>
    </row>
    <row r="417" s="5" customFormat="1" ht="16.5" spans="1:11">
      <c r="A417" s="22"/>
      <c r="B417" s="23"/>
      <c r="C417" s="24"/>
      <c r="D417" s="24"/>
      <c r="E417" s="24"/>
      <c r="F417" s="24"/>
      <c r="G417" s="24"/>
      <c r="H417" s="24"/>
      <c r="I417" s="24"/>
      <c r="J417" s="24"/>
      <c r="K417" s="25"/>
    </row>
    <row r="418" s="5" customFormat="1" ht="16.5" spans="1:11">
      <c r="A418" s="22"/>
      <c r="B418" s="23"/>
      <c r="C418" s="24"/>
      <c r="D418" s="24"/>
      <c r="E418" s="24"/>
      <c r="F418" s="24"/>
      <c r="G418" s="24"/>
      <c r="H418" s="24"/>
      <c r="I418" s="24"/>
      <c r="J418" s="24"/>
      <c r="K418" s="25"/>
    </row>
    <row r="419" s="5" customFormat="1" ht="16.5" spans="1:11">
      <c r="A419" s="22"/>
      <c r="B419" s="23"/>
      <c r="C419" s="24"/>
      <c r="D419" s="24"/>
      <c r="E419" s="24"/>
      <c r="F419" s="24"/>
      <c r="G419" s="24"/>
      <c r="H419" s="24"/>
      <c r="I419" s="24"/>
      <c r="J419" s="24"/>
      <c r="K419" s="25"/>
    </row>
    <row r="420" s="5" customFormat="1" ht="16.5" spans="1:11">
      <c r="A420" s="22"/>
      <c r="B420" s="23"/>
      <c r="C420" s="24"/>
      <c r="D420" s="24"/>
      <c r="E420" s="24"/>
      <c r="F420" s="24"/>
      <c r="G420" s="24"/>
      <c r="H420" s="24"/>
      <c r="I420" s="24"/>
      <c r="J420" s="24"/>
      <c r="K420" s="25"/>
    </row>
    <row r="421" s="5" customFormat="1" ht="16.5" spans="1:11">
      <c r="A421" s="22"/>
      <c r="B421" s="23"/>
      <c r="C421" s="24"/>
      <c r="D421" s="24"/>
      <c r="E421" s="24"/>
      <c r="F421" s="24"/>
      <c r="G421" s="24"/>
      <c r="H421" s="24"/>
      <c r="I421" s="24"/>
      <c r="J421" s="24"/>
      <c r="K421" s="25"/>
    </row>
    <row r="422" s="5" customFormat="1" ht="16.5" spans="1:11">
      <c r="A422" s="22"/>
      <c r="B422" s="23"/>
      <c r="C422" s="24"/>
      <c r="D422" s="24"/>
      <c r="E422" s="24"/>
      <c r="F422" s="24"/>
      <c r="G422" s="24"/>
      <c r="H422" s="24"/>
      <c r="I422" s="24"/>
      <c r="J422" s="24"/>
      <c r="K422" s="25"/>
    </row>
    <row r="423" s="5" customFormat="1" ht="16.5" spans="1:11">
      <c r="A423" s="22"/>
      <c r="B423" s="23"/>
      <c r="C423" s="24"/>
      <c r="D423" s="24"/>
      <c r="E423" s="24"/>
      <c r="F423" s="24"/>
      <c r="G423" s="24"/>
      <c r="H423" s="24"/>
      <c r="I423" s="24"/>
      <c r="J423" s="24"/>
      <c r="K423" s="25"/>
    </row>
    <row r="424" s="5" customFormat="1" ht="16.5" spans="1:11">
      <c r="A424" s="22"/>
      <c r="B424" s="23"/>
      <c r="C424" s="24"/>
      <c r="D424" s="24"/>
      <c r="E424" s="24"/>
      <c r="F424" s="24"/>
      <c r="G424" s="24"/>
      <c r="H424" s="24"/>
      <c r="I424" s="24"/>
      <c r="J424" s="24"/>
      <c r="K424" s="25"/>
    </row>
    <row r="425" s="5" customFormat="1" ht="16.5" spans="1:11">
      <c r="A425" s="22"/>
      <c r="B425" s="23"/>
      <c r="C425" s="24"/>
      <c r="D425" s="24"/>
      <c r="E425" s="24"/>
      <c r="F425" s="24"/>
      <c r="G425" s="24"/>
      <c r="H425" s="24"/>
      <c r="I425" s="24"/>
      <c r="J425" s="24"/>
      <c r="K425" s="25"/>
    </row>
    <row r="426" s="5" customFormat="1" ht="16.5" spans="1:11">
      <c r="A426" s="22"/>
      <c r="B426" s="23"/>
      <c r="C426" s="24"/>
      <c r="D426" s="24"/>
      <c r="E426" s="24"/>
      <c r="F426" s="24"/>
      <c r="G426" s="24"/>
      <c r="H426" s="24"/>
      <c r="I426" s="24"/>
      <c r="J426" s="24"/>
      <c r="K426" s="25"/>
    </row>
    <row r="427" s="5" customFormat="1" ht="16.5" spans="1:11">
      <c r="A427" s="22"/>
      <c r="B427" s="23"/>
      <c r="C427" s="24"/>
      <c r="D427" s="24"/>
      <c r="E427" s="24"/>
      <c r="F427" s="24"/>
      <c r="G427" s="24"/>
      <c r="H427" s="24"/>
      <c r="I427" s="24"/>
      <c r="J427" s="24"/>
      <c r="K427" s="25"/>
    </row>
    <row r="428" s="5" customFormat="1" ht="16.5" spans="1:11">
      <c r="A428" s="22"/>
      <c r="B428" s="23"/>
      <c r="C428" s="24"/>
      <c r="D428" s="24"/>
      <c r="E428" s="24"/>
      <c r="F428" s="24"/>
      <c r="G428" s="24"/>
      <c r="H428" s="24"/>
      <c r="I428" s="24"/>
      <c r="J428" s="24"/>
      <c r="K428" s="25"/>
    </row>
    <row r="429" s="5" customFormat="1" ht="16.5" spans="1:11">
      <c r="A429" s="22"/>
      <c r="B429" s="23"/>
      <c r="C429" s="24"/>
      <c r="D429" s="24"/>
      <c r="E429" s="24"/>
      <c r="F429" s="24"/>
      <c r="G429" s="24"/>
      <c r="H429" s="24"/>
      <c r="I429" s="24"/>
      <c r="J429" s="24"/>
      <c r="K429" s="25"/>
    </row>
    <row r="430" s="5" customFormat="1" ht="16.5" spans="1:11">
      <c r="A430" s="22"/>
      <c r="B430" s="23"/>
      <c r="C430" s="24"/>
      <c r="D430" s="24"/>
      <c r="E430" s="24"/>
      <c r="F430" s="24"/>
      <c r="G430" s="24"/>
      <c r="H430" s="24"/>
      <c r="I430" s="24"/>
      <c r="J430" s="24"/>
      <c r="K430" s="25"/>
    </row>
    <row r="431" s="5" customFormat="1" ht="16.5" spans="1:11">
      <c r="A431" s="22"/>
      <c r="B431" s="23"/>
      <c r="C431" s="24"/>
      <c r="D431" s="24"/>
      <c r="E431" s="24"/>
      <c r="F431" s="24"/>
      <c r="G431" s="24"/>
      <c r="H431" s="24"/>
      <c r="I431" s="24"/>
      <c r="J431" s="24"/>
      <c r="K431" s="25"/>
    </row>
    <row r="432" s="5" customFormat="1" ht="16.5" spans="1:11">
      <c r="A432" s="22"/>
      <c r="B432" s="23"/>
      <c r="C432" s="24"/>
      <c r="D432" s="24"/>
      <c r="E432" s="24"/>
      <c r="F432" s="24"/>
      <c r="G432" s="24"/>
      <c r="H432" s="24"/>
      <c r="I432" s="24"/>
      <c r="J432" s="24"/>
      <c r="K432" s="25"/>
    </row>
    <row r="433" s="5" customFormat="1" ht="16.5" spans="1:11">
      <c r="A433" s="22"/>
      <c r="B433" s="23"/>
      <c r="C433" s="24"/>
      <c r="D433" s="24"/>
      <c r="E433" s="24"/>
      <c r="F433" s="24"/>
      <c r="G433" s="24"/>
      <c r="H433" s="24"/>
      <c r="I433" s="24"/>
      <c r="J433" s="24"/>
      <c r="K433" s="25"/>
    </row>
    <row r="434" s="5" customFormat="1" ht="16.5" spans="1:11">
      <c r="A434" s="22"/>
      <c r="B434" s="23"/>
      <c r="C434" s="24"/>
      <c r="D434" s="24"/>
      <c r="E434" s="24"/>
      <c r="F434" s="24"/>
      <c r="G434" s="24"/>
      <c r="H434" s="24"/>
      <c r="I434" s="24"/>
      <c r="J434" s="24"/>
      <c r="K434" s="25"/>
    </row>
    <row r="435" s="5" customFormat="1" ht="16.5" spans="1:11">
      <c r="A435" s="22"/>
      <c r="B435" s="23"/>
      <c r="C435" s="24"/>
      <c r="D435" s="24"/>
      <c r="E435" s="24"/>
      <c r="F435" s="24"/>
      <c r="G435" s="24"/>
      <c r="H435" s="24"/>
      <c r="I435" s="24"/>
      <c r="J435" s="24"/>
      <c r="K435" s="25"/>
    </row>
    <row r="436" s="5" customFormat="1" ht="16.5" spans="1:11">
      <c r="A436" s="22"/>
      <c r="B436" s="23"/>
      <c r="C436" s="24"/>
      <c r="D436" s="24"/>
      <c r="E436" s="24"/>
      <c r="F436" s="24"/>
      <c r="G436" s="24"/>
      <c r="H436" s="24"/>
      <c r="I436" s="24"/>
      <c r="J436" s="24"/>
      <c r="K436" s="25"/>
    </row>
    <row r="437" s="5" customFormat="1" ht="16.5" spans="1:11">
      <c r="A437" s="22"/>
      <c r="B437" s="23"/>
      <c r="C437" s="24"/>
      <c r="D437" s="24"/>
      <c r="E437" s="24"/>
      <c r="F437" s="24"/>
      <c r="G437" s="24"/>
      <c r="H437" s="24"/>
      <c r="I437" s="24"/>
      <c r="J437" s="24"/>
      <c r="K437" s="25"/>
    </row>
    <row r="438" s="5" customFormat="1" ht="16.5" spans="1:11">
      <c r="A438" s="22"/>
      <c r="B438" s="23"/>
      <c r="C438" s="24"/>
      <c r="D438" s="24"/>
      <c r="E438" s="24"/>
      <c r="F438" s="24"/>
      <c r="G438" s="24"/>
      <c r="H438" s="24"/>
      <c r="I438" s="24"/>
      <c r="J438" s="24"/>
      <c r="K438" s="25"/>
    </row>
    <row r="439" s="5" customFormat="1" ht="16.5" spans="1:11">
      <c r="A439" s="22"/>
      <c r="B439" s="23"/>
      <c r="C439" s="24"/>
      <c r="D439" s="24"/>
      <c r="E439" s="24"/>
      <c r="F439" s="24"/>
      <c r="G439" s="24"/>
      <c r="H439" s="24"/>
      <c r="I439" s="24"/>
      <c r="J439" s="24"/>
      <c r="K439" s="25"/>
    </row>
    <row r="440" s="5" customFormat="1" ht="16.5" spans="1:11">
      <c r="A440" s="22"/>
      <c r="B440" s="23"/>
      <c r="C440" s="24"/>
      <c r="D440" s="24"/>
      <c r="E440" s="24"/>
      <c r="F440" s="24"/>
      <c r="G440" s="24"/>
      <c r="H440" s="24"/>
      <c r="I440" s="24"/>
      <c r="J440" s="24"/>
      <c r="K440" s="25"/>
    </row>
    <row r="441" s="5" customFormat="1" ht="16.5" spans="1:11">
      <c r="A441" s="22"/>
      <c r="B441" s="23"/>
      <c r="C441" s="24"/>
      <c r="D441" s="24"/>
      <c r="E441" s="24"/>
      <c r="F441" s="24"/>
      <c r="G441" s="24"/>
      <c r="H441" s="24"/>
      <c r="I441" s="24"/>
      <c r="J441" s="24"/>
      <c r="K441" s="25"/>
    </row>
    <row r="442" s="5" customFormat="1" ht="16.5" spans="1:11">
      <c r="A442" s="22"/>
      <c r="B442" s="23"/>
      <c r="C442" s="24"/>
      <c r="D442" s="24"/>
      <c r="E442" s="24"/>
      <c r="F442" s="24"/>
      <c r="G442" s="24"/>
      <c r="H442" s="24"/>
      <c r="I442" s="24"/>
      <c r="J442" s="24"/>
      <c r="K442" s="25"/>
    </row>
    <row r="443" s="5" customFormat="1" ht="16.5" spans="1:11">
      <c r="A443" s="22"/>
      <c r="B443" s="23"/>
      <c r="C443" s="24"/>
      <c r="D443" s="24"/>
      <c r="E443" s="24"/>
      <c r="F443" s="24"/>
      <c r="G443" s="24"/>
      <c r="H443" s="24"/>
      <c r="I443" s="24"/>
      <c r="J443" s="24"/>
      <c r="K443" s="25"/>
    </row>
    <row r="444" s="5" customFormat="1" ht="16.5" spans="1:11">
      <c r="A444" s="22"/>
      <c r="B444" s="23"/>
      <c r="C444" s="24"/>
      <c r="D444" s="24"/>
      <c r="E444" s="24"/>
      <c r="F444" s="24"/>
      <c r="G444" s="24"/>
      <c r="H444" s="24"/>
      <c r="I444" s="24"/>
      <c r="J444" s="24"/>
      <c r="K444" s="25"/>
    </row>
    <row r="445" s="5" customFormat="1" ht="16.5" spans="1:11">
      <c r="A445" s="22"/>
      <c r="B445" s="23"/>
      <c r="C445" s="24"/>
      <c r="D445" s="24"/>
      <c r="E445" s="24"/>
      <c r="F445" s="24"/>
      <c r="G445" s="24"/>
      <c r="H445" s="24"/>
      <c r="I445" s="24"/>
      <c r="J445" s="24"/>
      <c r="K445" s="25"/>
    </row>
    <row r="446" s="5" customFormat="1" ht="16.5" spans="1:11">
      <c r="A446" s="22"/>
      <c r="B446" s="23"/>
      <c r="C446" s="24"/>
      <c r="D446" s="24"/>
      <c r="E446" s="24"/>
      <c r="F446" s="24"/>
      <c r="G446" s="24"/>
      <c r="H446" s="24"/>
      <c r="I446" s="24"/>
      <c r="J446" s="24"/>
      <c r="K446" s="25"/>
    </row>
    <row r="447" s="5" customFormat="1" ht="16.5" spans="1:11">
      <c r="A447" s="22"/>
      <c r="B447" s="23"/>
      <c r="C447" s="24"/>
      <c r="D447" s="24"/>
      <c r="E447" s="24"/>
      <c r="F447" s="24"/>
      <c r="G447" s="24"/>
      <c r="H447" s="24"/>
      <c r="I447" s="24"/>
      <c r="J447" s="24"/>
      <c r="K447" s="25"/>
    </row>
    <row r="448" s="5" customFormat="1" ht="16.5" spans="1:11">
      <c r="A448" s="22"/>
      <c r="B448" s="23"/>
      <c r="C448" s="24"/>
      <c r="D448" s="24"/>
      <c r="E448" s="24"/>
      <c r="F448" s="24"/>
      <c r="G448" s="24"/>
      <c r="H448" s="24"/>
      <c r="I448" s="24"/>
      <c r="J448" s="24"/>
      <c r="K448" s="25"/>
    </row>
    <row r="449" s="5" customFormat="1" ht="16.5" spans="1:11">
      <c r="A449" s="22"/>
      <c r="B449" s="23"/>
      <c r="C449" s="24"/>
      <c r="D449" s="24"/>
      <c r="E449" s="24"/>
      <c r="F449" s="24"/>
      <c r="G449" s="24"/>
      <c r="H449" s="24"/>
      <c r="I449" s="24"/>
      <c r="J449" s="24"/>
      <c r="K449" s="25"/>
    </row>
    <row r="450" s="5" customFormat="1" ht="16.5" spans="1:11">
      <c r="A450" s="22"/>
      <c r="B450" s="23"/>
      <c r="C450" s="24"/>
      <c r="D450" s="24"/>
      <c r="E450" s="24"/>
      <c r="F450" s="24"/>
      <c r="G450" s="24"/>
      <c r="H450" s="24"/>
      <c r="I450" s="24"/>
      <c r="J450" s="24"/>
      <c r="K450" s="25"/>
    </row>
    <row r="451" s="5" customFormat="1" ht="16.5" spans="1:11">
      <c r="A451" s="22"/>
      <c r="B451" s="23"/>
      <c r="C451" s="24"/>
      <c r="D451" s="24"/>
      <c r="E451" s="24"/>
      <c r="F451" s="24"/>
      <c r="G451" s="24"/>
      <c r="H451" s="24"/>
      <c r="I451" s="24"/>
      <c r="J451" s="24"/>
      <c r="K451" s="25"/>
    </row>
    <row r="452" s="5" customFormat="1" ht="16.5" spans="1:11">
      <c r="A452" s="22"/>
      <c r="B452" s="23"/>
      <c r="C452" s="24"/>
      <c r="D452" s="24"/>
      <c r="E452" s="24"/>
      <c r="F452" s="24"/>
      <c r="G452" s="24"/>
      <c r="H452" s="24"/>
      <c r="I452" s="24"/>
      <c r="J452" s="24"/>
      <c r="K452" s="25"/>
    </row>
    <row r="453" s="5" customFormat="1" ht="16.5" spans="1:11">
      <c r="A453" s="22"/>
      <c r="B453" s="23"/>
      <c r="C453" s="24"/>
      <c r="D453" s="24"/>
      <c r="E453" s="24"/>
      <c r="F453" s="24"/>
      <c r="G453" s="24"/>
      <c r="H453" s="24"/>
      <c r="I453" s="24"/>
      <c r="J453" s="24"/>
      <c r="K453" s="25"/>
    </row>
    <row r="454" s="5" customFormat="1" ht="16.5" spans="1:11">
      <c r="A454" s="22"/>
      <c r="B454" s="23"/>
      <c r="C454" s="24"/>
      <c r="D454" s="24"/>
      <c r="E454" s="24"/>
      <c r="F454" s="24"/>
      <c r="G454" s="24"/>
      <c r="H454" s="24"/>
      <c r="I454" s="24"/>
      <c r="J454" s="24"/>
      <c r="K454" s="25"/>
    </row>
    <row r="455" s="5" customFormat="1" ht="16.5" spans="1:11">
      <c r="A455" s="22"/>
      <c r="B455" s="23"/>
      <c r="C455" s="24"/>
      <c r="D455" s="24"/>
      <c r="E455" s="24"/>
      <c r="F455" s="24"/>
      <c r="G455" s="24"/>
      <c r="H455" s="24"/>
      <c r="I455" s="24"/>
      <c r="J455" s="24"/>
      <c r="K455" s="25"/>
    </row>
    <row r="456" s="5" customFormat="1" ht="16.5" spans="1:11">
      <c r="A456" s="22"/>
      <c r="B456" s="23"/>
      <c r="C456" s="24"/>
      <c r="D456" s="24"/>
      <c r="E456" s="24"/>
      <c r="F456" s="24"/>
      <c r="G456" s="24"/>
      <c r="H456" s="24"/>
      <c r="I456" s="24"/>
      <c r="J456" s="24"/>
      <c r="K456" s="25"/>
    </row>
    <row r="457" s="5" customFormat="1" ht="16.5" spans="1:11">
      <c r="A457" s="22"/>
      <c r="B457" s="23"/>
      <c r="C457" s="24"/>
      <c r="D457" s="24"/>
      <c r="E457" s="24"/>
      <c r="F457" s="24"/>
      <c r="G457" s="24"/>
      <c r="H457" s="24"/>
      <c r="I457" s="24"/>
      <c r="J457" s="24"/>
      <c r="K457" s="25"/>
    </row>
    <row r="458" s="5" customFormat="1" ht="16.5" spans="1:11">
      <c r="A458" s="22"/>
      <c r="B458" s="23"/>
      <c r="C458" s="24"/>
      <c r="D458" s="24"/>
      <c r="E458" s="24"/>
      <c r="F458" s="24"/>
      <c r="G458" s="24"/>
      <c r="H458" s="24"/>
      <c r="I458" s="24"/>
      <c r="J458" s="24"/>
      <c r="K458" s="25"/>
    </row>
    <row r="459" s="5" customFormat="1" ht="16.5" spans="1:11">
      <c r="A459" s="22"/>
      <c r="B459" s="23"/>
      <c r="C459" s="24"/>
      <c r="D459" s="24"/>
      <c r="E459" s="24"/>
      <c r="F459" s="24"/>
      <c r="G459" s="24"/>
      <c r="H459" s="24"/>
      <c r="I459" s="24"/>
      <c r="J459" s="24"/>
      <c r="K459" s="25"/>
    </row>
    <row r="460" s="5" customFormat="1" ht="16.5" spans="1:11">
      <c r="A460" s="22"/>
      <c r="B460" s="23"/>
      <c r="C460" s="24"/>
      <c r="D460" s="24"/>
      <c r="E460" s="24"/>
      <c r="F460" s="24"/>
      <c r="G460" s="24"/>
      <c r="H460" s="24"/>
      <c r="I460" s="24"/>
      <c r="J460" s="24"/>
      <c r="K460" s="25"/>
    </row>
    <row r="461" s="5" customFormat="1" ht="16.5" spans="1:11">
      <c r="A461" s="22"/>
      <c r="B461" s="23"/>
      <c r="C461" s="24"/>
      <c r="D461" s="24"/>
      <c r="E461" s="24"/>
      <c r="F461" s="24"/>
      <c r="G461" s="24"/>
      <c r="H461" s="24"/>
      <c r="I461" s="24"/>
      <c r="J461" s="24"/>
      <c r="K461" s="25"/>
    </row>
    <row r="462" s="5" customFormat="1" ht="16.5" spans="1:11">
      <c r="A462" s="22"/>
      <c r="B462" s="23"/>
      <c r="C462" s="24"/>
      <c r="D462" s="24"/>
      <c r="E462" s="24"/>
      <c r="F462" s="24"/>
      <c r="G462" s="24"/>
      <c r="H462" s="24"/>
      <c r="I462" s="24"/>
      <c r="J462" s="24"/>
      <c r="K462" s="25"/>
    </row>
    <row r="463" s="5" customFormat="1" ht="16.5" spans="1:11">
      <c r="A463" s="22"/>
      <c r="B463" s="23"/>
      <c r="C463" s="24"/>
      <c r="D463" s="24"/>
      <c r="E463" s="24"/>
      <c r="F463" s="24"/>
      <c r="G463" s="24"/>
      <c r="H463" s="24"/>
      <c r="I463" s="24"/>
      <c r="J463" s="24"/>
      <c r="K463" s="25"/>
    </row>
    <row r="464" s="5" customFormat="1" ht="16.5" spans="1:11">
      <c r="A464" s="22"/>
      <c r="B464" s="23"/>
      <c r="C464" s="24"/>
      <c r="D464" s="24"/>
      <c r="E464" s="24"/>
      <c r="F464" s="24"/>
      <c r="G464" s="24"/>
      <c r="H464" s="24"/>
      <c r="I464" s="24"/>
      <c r="J464" s="24"/>
      <c r="K464" s="25"/>
    </row>
    <row r="465" s="5" customFormat="1" ht="16.5" spans="1:11">
      <c r="A465" s="22"/>
      <c r="B465" s="23"/>
      <c r="C465" s="24"/>
      <c r="D465" s="24"/>
      <c r="E465" s="24"/>
      <c r="F465" s="24"/>
      <c r="G465" s="24"/>
      <c r="H465" s="24"/>
      <c r="I465" s="24"/>
      <c r="J465" s="24"/>
      <c r="K465" s="25"/>
    </row>
    <row r="466" s="5" customFormat="1" ht="16.5" spans="1:11">
      <c r="A466" s="22"/>
      <c r="B466" s="23"/>
      <c r="C466" s="24"/>
      <c r="D466" s="24"/>
      <c r="E466" s="24"/>
      <c r="F466" s="24"/>
      <c r="G466" s="24"/>
      <c r="H466" s="24"/>
      <c r="I466" s="24"/>
      <c r="J466" s="24"/>
      <c r="K466" s="25"/>
    </row>
    <row r="467" s="5" customFormat="1" ht="16.5" spans="1:11">
      <c r="A467" s="22"/>
      <c r="B467" s="23"/>
      <c r="C467" s="24"/>
      <c r="D467" s="24"/>
      <c r="E467" s="24"/>
      <c r="F467" s="24"/>
      <c r="G467" s="24"/>
      <c r="H467" s="24"/>
      <c r="I467" s="24"/>
      <c r="J467" s="24"/>
      <c r="K467" s="25"/>
    </row>
    <row r="468" s="5" customFormat="1" ht="16.5" spans="1:11">
      <c r="A468" s="22"/>
      <c r="B468" s="23"/>
      <c r="C468" s="24"/>
      <c r="D468" s="24"/>
      <c r="E468" s="24"/>
      <c r="F468" s="24"/>
      <c r="G468" s="24"/>
      <c r="H468" s="24"/>
      <c r="I468" s="24"/>
      <c r="J468" s="24"/>
      <c r="K468" s="25"/>
    </row>
    <row r="469" s="5" customFormat="1" ht="16.5" spans="1:11">
      <c r="A469" s="22"/>
      <c r="B469" s="23"/>
      <c r="C469" s="24"/>
      <c r="D469" s="24"/>
      <c r="E469" s="24"/>
      <c r="F469" s="24"/>
      <c r="G469" s="24"/>
      <c r="H469" s="24"/>
      <c r="I469" s="24"/>
      <c r="J469" s="24"/>
      <c r="K469" s="25"/>
    </row>
    <row r="470" s="5" customFormat="1" ht="16.5" spans="1:11">
      <c r="A470" s="22"/>
      <c r="B470" s="23"/>
      <c r="C470" s="24"/>
      <c r="D470" s="24"/>
      <c r="E470" s="24"/>
      <c r="F470" s="24"/>
      <c r="G470" s="24"/>
      <c r="H470" s="24"/>
      <c r="I470" s="24"/>
      <c r="J470" s="24"/>
      <c r="K470" s="25"/>
    </row>
    <row r="471" s="5" customFormat="1" ht="16.5" spans="1:11">
      <c r="A471" s="22"/>
      <c r="B471" s="23"/>
      <c r="C471" s="24"/>
      <c r="D471" s="24"/>
      <c r="E471" s="24"/>
      <c r="F471" s="24"/>
      <c r="G471" s="24"/>
      <c r="H471" s="24"/>
      <c r="I471" s="24"/>
      <c r="J471" s="24"/>
      <c r="K471" s="25"/>
    </row>
    <row r="472" s="5" customFormat="1" ht="16.5" spans="1:11">
      <c r="A472" s="22"/>
      <c r="B472" s="23"/>
      <c r="C472" s="24"/>
      <c r="D472" s="24"/>
      <c r="E472" s="24"/>
      <c r="F472" s="24"/>
      <c r="G472" s="24"/>
      <c r="H472" s="24"/>
      <c r="I472" s="24"/>
      <c r="J472" s="24"/>
      <c r="K472" s="25"/>
    </row>
    <row r="473" s="5" customFormat="1" ht="16.5" spans="1:11">
      <c r="A473" s="22"/>
      <c r="B473" s="23"/>
      <c r="C473" s="24"/>
      <c r="D473" s="24"/>
      <c r="E473" s="24"/>
      <c r="F473" s="24"/>
      <c r="G473" s="24"/>
      <c r="H473" s="24"/>
      <c r="I473" s="24"/>
      <c r="J473" s="24"/>
      <c r="K473" s="25"/>
    </row>
    <row r="474" s="5" customFormat="1" ht="16.5" spans="1:11">
      <c r="A474" s="22"/>
      <c r="B474" s="23"/>
      <c r="C474" s="24"/>
      <c r="D474" s="24"/>
      <c r="E474" s="24"/>
      <c r="F474" s="24"/>
      <c r="G474" s="24"/>
      <c r="H474" s="24"/>
      <c r="I474" s="24"/>
      <c r="J474" s="24"/>
      <c r="K474" s="25"/>
    </row>
    <row r="475" s="5" customFormat="1" ht="16.5" spans="1:11">
      <c r="A475" s="22"/>
      <c r="B475" s="23"/>
      <c r="C475" s="24"/>
      <c r="D475" s="24"/>
      <c r="E475" s="24"/>
      <c r="F475" s="24"/>
      <c r="G475" s="24"/>
      <c r="H475" s="24"/>
      <c r="I475" s="24"/>
      <c r="J475" s="24"/>
      <c r="K475" s="25"/>
    </row>
    <row r="476" s="5" customFormat="1" ht="16.5" spans="1:11">
      <c r="A476" s="22"/>
      <c r="B476" s="23"/>
      <c r="C476" s="24"/>
      <c r="D476" s="24"/>
      <c r="E476" s="24"/>
      <c r="F476" s="24"/>
      <c r="G476" s="24"/>
      <c r="H476" s="24"/>
      <c r="I476" s="24"/>
      <c r="J476" s="24"/>
      <c r="K476" s="25"/>
    </row>
    <row r="477" s="5" customFormat="1" ht="16.5" spans="1:11">
      <c r="A477" s="22"/>
      <c r="B477" s="23"/>
      <c r="C477" s="24"/>
      <c r="D477" s="24"/>
      <c r="E477" s="24"/>
      <c r="F477" s="24"/>
      <c r="G477" s="24"/>
      <c r="H477" s="24"/>
      <c r="I477" s="24"/>
      <c r="J477" s="24"/>
      <c r="K477" s="25"/>
    </row>
    <row r="478" s="5" customFormat="1" ht="16.5" spans="1:11">
      <c r="A478" s="22"/>
      <c r="B478" s="23"/>
      <c r="C478" s="24"/>
      <c r="D478" s="24"/>
      <c r="E478" s="24"/>
      <c r="F478" s="24"/>
      <c r="G478" s="24"/>
      <c r="H478" s="24"/>
      <c r="I478" s="24"/>
      <c r="J478" s="24"/>
      <c r="K478" s="25"/>
    </row>
    <row r="479" s="5" customFormat="1" ht="16.5" spans="1:11">
      <c r="A479" s="22"/>
      <c r="B479" s="23"/>
      <c r="C479" s="24"/>
      <c r="D479" s="24"/>
      <c r="E479" s="24"/>
      <c r="F479" s="24"/>
      <c r="G479" s="24"/>
      <c r="H479" s="24"/>
      <c r="I479" s="24"/>
      <c r="J479" s="24"/>
      <c r="K479" s="25"/>
    </row>
    <row r="480" s="5" customFormat="1" ht="16.5" spans="1:11">
      <c r="A480" s="22"/>
      <c r="B480" s="23"/>
      <c r="C480" s="24"/>
      <c r="D480" s="24"/>
      <c r="E480" s="24"/>
      <c r="F480" s="24"/>
      <c r="G480" s="24"/>
      <c r="H480" s="24"/>
      <c r="I480" s="24"/>
      <c r="J480" s="24"/>
      <c r="K480" s="25"/>
    </row>
    <row r="481" s="5" customFormat="1" ht="16.5" spans="1:11">
      <c r="A481" s="22"/>
      <c r="B481" s="23"/>
      <c r="C481" s="24"/>
      <c r="D481" s="24"/>
      <c r="E481" s="24"/>
      <c r="F481" s="24"/>
      <c r="G481" s="24"/>
      <c r="H481" s="24"/>
      <c r="I481" s="24"/>
      <c r="J481" s="24"/>
      <c r="K481" s="25"/>
    </row>
    <row r="482" s="5" customFormat="1" ht="16.5" spans="1:11">
      <c r="A482" s="22"/>
      <c r="B482" s="23"/>
      <c r="C482" s="24"/>
      <c r="D482" s="24"/>
      <c r="E482" s="24"/>
      <c r="F482" s="24"/>
      <c r="G482" s="24"/>
      <c r="H482" s="24"/>
      <c r="I482" s="24"/>
      <c r="J482" s="24"/>
      <c r="K482" s="25"/>
    </row>
    <row r="483" s="5" customFormat="1" ht="16.5" spans="1:11">
      <c r="A483" s="22"/>
      <c r="B483" s="23"/>
      <c r="C483" s="24"/>
      <c r="D483" s="24"/>
      <c r="E483" s="24"/>
      <c r="F483" s="24"/>
      <c r="G483" s="24"/>
      <c r="H483" s="24"/>
      <c r="I483" s="24"/>
      <c r="J483" s="24"/>
      <c r="K483" s="25"/>
    </row>
    <row r="484" s="5" customFormat="1" ht="16.5" spans="1:11">
      <c r="A484" s="22"/>
      <c r="B484" s="23"/>
      <c r="C484" s="24"/>
      <c r="D484" s="24"/>
      <c r="E484" s="24"/>
      <c r="F484" s="24"/>
      <c r="G484" s="24"/>
      <c r="H484" s="24"/>
      <c r="I484" s="24"/>
      <c r="J484" s="24"/>
      <c r="K484" s="25"/>
    </row>
    <row r="485" s="5" customFormat="1" ht="16.5" spans="1:11">
      <c r="A485" s="22"/>
      <c r="B485" s="23"/>
      <c r="C485" s="24"/>
      <c r="D485" s="24"/>
      <c r="E485" s="24"/>
      <c r="F485" s="24"/>
      <c r="G485" s="24"/>
      <c r="H485" s="24"/>
      <c r="I485" s="24"/>
      <c r="J485" s="24"/>
      <c r="K485" s="25"/>
    </row>
    <row r="486" s="5" customFormat="1" ht="16.5" spans="1:11">
      <c r="A486" s="22"/>
      <c r="B486" s="23"/>
      <c r="C486" s="24"/>
      <c r="D486" s="24"/>
      <c r="E486" s="24"/>
      <c r="F486" s="24"/>
      <c r="G486" s="24"/>
      <c r="H486" s="24"/>
      <c r="I486" s="24"/>
      <c r="J486" s="24"/>
      <c r="K486" s="25"/>
    </row>
    <row r="487" s="5" customFormat="1" ht="16.5" spans="1:11">
      <c r="A487" s="22"/>
      <c r="B487" s="23"/>
      <c r="C487" s="24"/>
      <c r="D487" s="24"/>
      <c r="E487" s="24"/>
      <c r="F487" s="24"/>
      <c r="G487" s="24"/>
      <c r="H487" s="24"/>
      <c r="I487" s="24"/>
      <c r="J487" s="24"/>
      <c r="K487" s="25"/>
    </row>
    <row r="488" s="5" customFormat="1" ht="16.5" spans="1:11">
      <c r="A488" s="22"/>
      <c r="B488" s="23"/>
      <c r="C488" s="24"/>
      <c r="D488" s="24"/>
      <c r="E488" s="24"/>
      <c r="F488" s="24"/>
      <c r="G488" s="24"/>
      <c r="H488" s="24"/>
      <c r="I488" s="24"/>
      <c r="J488" s="24"/>
      <c r="K488" s="25"/>
    </row>
    <row r="489" s="5" customFormat="1" ht="16.5" spans="1:11">
      <c r="A489" s="22"/>
      <c r="B489" s="23"/>
      <c r="C489" s="24"/>
      <c r="D489" s="24"/>
      <c r="E489" s="24"/>
      <c r="F489" s="24"/>
      <c r="G489" s="24"/>
      <c r="H489" s="24"/>
      <c r="I489" s="24"/>
      <c r="J489" s="24"/>
      <c r="K489" s="25"/>
    </row>
    <row r="490" s="5" customFormat="1" ht="16.5" spans="1:11">
      <c r="A490" s="22"/>
      <c r="B490" s="23"/>
      <c r="C490" s="24"/>
      <c r="D490" s="24"/>
      <c r="E490" s="24"/>
      <c r="F490" s="24"/>
      <c r="G490" s="24"/>
      <c r="H490" s="24"/>
      <c r="I490" s="24"/>
      <c r="J490" s="24"/>
      <c r="K490" s="25"/>
    </row>
    <row r="491" s="5" customFormat="1" ht="16.5" spans="1:11">
      <c r="A491" s="22"/>
      <c r="B491" s="23"/>
      <c r="C491" s="24"/>
      <c r="D491" s="24"/>
      <c r="E491" s="24"/>
      <c r="F491" s="24"/>
      <c r="G491" s="24"/>
      <c r="H491" s="24"/>
      <c r="I491" s="24"/>
      <c r="J491" s="24"/>
      <c r="K491" s="25"/>
    </row>
    <row r="492" s="5" customFormat="1" ht="16.5" spans="1:11">
      <c r="A492" s="22"/>
      <c r="B492" s="23"/>
      <c r="C492" s="24"/>
      <c r="D492" s="24"/>
      <c r="E492" s="24"/>
      <c r="F492" s="24"/>
      <c r="G492" s="24"/>
      <c r="H492" s="24"/>
      <c r="I492" s="24"/>
      <c r="J492" s="24"/>
      <c r="K492" s="25"/>
    </row>
    <row r="493" s="5" customFormat="1" ht="16.5" spans="1:11">
      <c r="A493" s="22"/>
      <c r="B493" s="23"/>
      <c r="C493" s="24"/>
      <c r="D493" s="24"/>
      <c r="E493" s="24"/>
      <c r="F493" s="24"/>
      <c r="G493" s="24"/>
      <c r="H493" s="24"/>
      <c r="I493" s="24"/>
      <c r="J493" s="24"/>
      <c r="K493" s="25"/>
    </row>
    <row r="494" s="5" customFormat="1" ht="16.5" spans="1:11">
      <c r="A494" s="22"/>
      <c r="B494" s="23"/>
      <c r="C494" s="24"/>
      <c r="D494" s="24"/>
      <c r="E494" s="24"/>
      <c r="F494" s="24"/>
      <c r="G494" s="24"/>
      <c r="H494" s="24"/>
      <c r="I494" s="24"/>
      <c r="J494" s="24"/>
      <c r="K494" s="25"/>
    </row>
    <row r="495" s="5" customFormat="1" ht="16.5" spans="1:11">
      <c r="A495" s="22"/>
      <c r="B495" s="23"/>
      <c r="C495" s="24"/>
      <c r="D495" s="24"/>
      <c r="E495" s="24"/>
      <c r="F495" s="24"/>
      <c r="G495" s="24"/>
      <c r="H495" s="24"/>
      <c r="I495" s="24"/>
      <c r="J495" s="24"/>
      <c r="K495" s="25"/>
    </row>
    <row r="496" s="5" customFormat="1" ht="16.5" spans="1:11">
      <c r="A496" s="22"/>
      <c r="B496" s="23"/>
      <c r="C496" s="24"/>
      <c r="D496" s="24"/>
      <c r="E496" s="24"/>
      <c r="F496" s="24"/>
      <c r="G496" s="24"/>
      <c r="H496" s="24"/>
      <c r="I496" s="24"/>
      <c r="J496" s="24"/>
      <c r="K496" s="25"/>
    </row>
    <row r="497" s="5" customFormat="1" ht="16.5" spans="1:11">
      <c r="A497" s="22"/>
      <c r="B497" s="23"/>
      <c r="C497" s="24"/>
      <c r="D497" s="24"/>
      <c r="E497" s="24"/>
      <c r="F497" s="24"/>
      <c r="G497" s="24"/>
      <c r="H497" s="24"/>
      <c r="I497" s="24"/>
      <c r="J497" s="24"/>
      <c r="K497" s="25"/>
    </row>
    <row r="498" s="5" customFormat="1" ht="16.5" spans="1:11">
      <c r="A498" s="22"/>
      <c r="B498" s="23"/>
      <c r="C498" s="24"/>
      <c r="D498" s="24"/>
      <c r="E498" s="24"/>
      <c r="F498" s="24"/>
      <c r="G498" s="24"/>
      <c r="H498" s="24"/>
      <c r="I498" s="24"/>
      <c r="J498" s="24"/>
      <c r="K498" s="25"/>
    </row>
    <row r="499" s="5" customFormat="1" ht="16.5" spans="1:11">
      <c r="A499" s="22"/>
      <c r="B499" s="23"/>
      <c r="C499" s="24"/>
      <c r="D499" s="24"/>
      <c r="E499" s="24"/>
      <c r="F499" s="24"/>
      <c r="G499" s="24"/>
      <c r="H499" s="24"/>
      <c r="I499" s="24"/>
      <c r="J499" s="24"/>
      <c r="K499" s="25"/>
    </row>
    <row r="500" s="5" customFormat="1" ht="16.5" spans="1:11">
      <c r="A500" s="22"/>
      <c r="B500" s="23"/>
      <c r="C500" s="24"/>
      <c r="D500" s="24"/>
      <c r="E500" s="24"/>
      <c r="F500" s="24"/>
      <c r="G500" s="24"/>
      <c r="H500" s="24"/>
      <c r="I500" s="24"/>
      <c r="J500" s="24"/>
      <c r="K500" s="25"/>
    </row>
    <row r="501" s="5" customFormat="1" ht="16.5" spans="1:11">
      <c r="A501" s="22"/>
      <c r="B501" s="23"/>
      <c r="C501" s="24"/>
      <c r="D501" s="24"/>
      <c r="E501" s="24"/>
      <c r="F501" s="24"/>
      <c r="G501" s="24"/>
      <c r="H501" s="24"/>
      <c r="I501" s="24"/>
      <c r="J501" s="24"/>
      <c r="K501" s="25"/>
    </row>
    <row r="502" s="5" customFormat="1" ht="16.5" spans="1:11">
      <c r="A502" s="22"/>
      <c r="B502" s="23"/>
      <c r="C502" s="24"/>
      <c r="D502" s="24"/>
      <c r="E502" s="24"/>
      <c r="F502" s="24"/>
      <c r="G502" s="24"/>
      <c r="H502" s="24"/>
      <c r="I502" s="24"/>
      <c r="J502" s="24"/>
      <c r="K502" s="25"/>
    </row>
    <row r="503" s="5" customFormat="1" ht="16.5" spans="1:11">
      <c r="A503" s="22"/>
      <c r="B503" s="23"/>
      <c r="C503" s="24"/>
      <c r="D503" s="24"/>
      <c r="E503" s="24"/>
      <c r="F503" s="24"/>
      <c r="G503" s="24"/>
      <c r="H503" s="24"/>
      <c r="I503" s="24"/>
      <c r="J503" s="24"/>
      <c r="K503" s="25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K503"/>
  <sheetViews>
    <sheetView showGridLines="0" workbookViewId="0">
      <pane ySplit="3" topLeftCell="A4" activePane="bottomLeft" state="frozen"/>
      <selection/>
      <selection pane="bottomLeft" activeCell="A4" sqref="A4"/>
    </sheetView>
  </sheetViews>
  <sheetFormatPr defaultColWidth="9" defaultRowHeight="13.5"/>
  <cols>
    <col min="1" max="1" width="8" customWidth="1"/>
    <col min="2" max="2" width="12" style="6" customWidth="1"/>
    <col min="3" max="3" width="18" style="7" customWidth="1"/>
    <col min="4" max="4" width="14" style="8" customWidth="1"/>
    <col min="5" max="5" width="20" style="7" customWidth="1"/>
    <col min="6" max="6" width="18" style="8" customWidth="1"/>
    <col min="7" max="8" width="12" style="7" customWidth="1"/>
    <col min="9" max="9" width="16" style="7" customWidth="1"/>
    <col min="10" max="10" width="12" style="8" customWidth="1"/>
    <col min="11" max="11" width="7.375" style="9" customWidth="1"/>
    <col min="12" max="16373" width="10" style="5" customWidth="1"/>
    <col min="16374" max="16374" width="10" style="5"/>
    <col min="16375" max="16378" width="9" style="5"/>
    <col min="16379" max="16379" width="10" style="5"/>
    <col min="16380" max="16384" width="9" style="5"/>
  </cols>
  <sheetData>
    <row r="1" s="5" customFormat="1" ht="28" customHeight="1" spans="1:11">
      <c r="A1" s="10" t="s">
        <v>302</v>
      </c>
      <c r="B1" s="11"/>
      <c r="C1" s="12"/>
      <c r="D1" s="12"/>
      <c r="E1" s="12"/>
      <c r="F1" s="12"/>
      <c r="G1" s="12"/>
      <c r="H1" s="12"/>
      <c r="I1" s="12"/>
      <c r="J1" s="12"/>
      <c r="K1" s="13"/>
    </row>
    <row r="2" s="5" customFormat="1" ht="24" customHeight="1" spans="1:11">
      <c r="A2" s="14" t="s">
        <v>295</v>
      </c>
      <c r="B2" s="15" t="s">
        <v>103</v>
      </c>
      <c r="C2" s="16" t="s">
        <v>100</v>
      </c>
      <c r="D2" s="17">
        <f>IFERROR(VLOOKUP($B$2,数据录入!$C$5:$H$18,6,0),0)</f>
        <v>0</v>
      </c>
      <c r="E2" s="16" t="s">
        <v>296</v>
      </c>
      <c r="F2" s="17">
        <f>SUMIFS(数据录入!$F$19:$F$10000,数据录入!$C$19:$C$10000,$B$2)</f>
        <v>0</v>
      </c>
      <c r="G2" s="16" t="s">
        <v>297</v>
      </c>
      <c r="H2" s="17">
        <f>SUMIFS(数据录入!$G$19:$G$10000,数据录入!$C$19:$C$10000,$B$2)</f>
        <v>0</v>
      </c>
      <c r="I2" s="16" t="s">
        <v>298</v>
      </c>
      <c r="J2" s="17">
        <f>D2+F2-H2</f>
        <v>0</v>
      </c>
      <c r="K2" s="18"/>
    </row>
    <row r="3" s="5" customFormat="1" ht="24" customHeight="1" spans="1:11">
      <c r="A3" s="19" t="s">
        <v>92</v>
      </c>
      <c r="B3" s="19" t="s">
        <v>93</v>
      </c>
      <c r="C3" s="19" t="s">
        <v>94</v>
      </c>
      <c r="D3" s="19" t="s">
        <v>38</v>
      </c>
      <c r="E3" s="19" t="s">
        <v>95</v>
      </c>
      <c r="F3" s="19" t="s">
        <v>96</v>
      </c>
      <c r="G3" s="19" t="s">
        <v>97</v>
      </c>
      <c r="H3" s="19" t="s">
        <v>91</v>
      </c>
      <c r="I3" s="20" t="s">
        <v>39</v>
      </c>
      <c r="J3" s="20" t="s">
        <v>41</v>
      </c>
      <c r="K3" s="21" t="s">
        <v>98</v>
      </c>
    </row>
    <row r="4" s="5" customFormat="1" ht="20" customHeight="1" spans="1:11">
      <c r="A4" s="22" vm="1" t="e" cm="1">
        <f t="array" ref="A4">_xlfn._xlws.FILTER(数据录入!$A$19:$K$10000,数据录入!$C$19:$C$10000=$B$2)</f>
        <v>#VALUE!</v>
      </c>
      <c r="B4" s="23"/>
      <c r="C4" s="24"/>
      <c r="D4" s="24"/>
      <c r="E4" s="24"/>
      <c r="F4" s="24"/>
      <c r="G4" s="24"/>
      <c r="H4" s="24"/>
      <c r="I4" s="24"/>
      <c r="J4" s="24"/>
      <c r="K4" s="25"/>
    </row>
    <row r="5" s="5" customFormat="1" ht="20" customHeight="1" spans="1:11">
      <c r="A5" s="22"/>
      <c r="B5" s="23"/>
      <c r="C5" s="24"/>
      <c r="D5" s="24"/>
      <c r="E5" s="24"/>
      <c r="F5" s="24"/>
      <c r="G5" s="24"/>
      <c r="H5" s="24"/>
      <c r="I5" s="24"/>
      <c r="J5" s="24"/>
      <c r="K5" s="25"/>
    </row>
    <row r="6" s="5" customFormat="1" ht="20" customHeight="1" spans="1:11">
      <c r="A6" s="22"/>
      <c r="B6" s="23"/>
      <c r="C6" s="24"/>
      <c r="D6" s="24"/>
      <c r="E6" s="24"/>
      <c r="F6" s="24"/>
      <c r="G6" s="24"/>
      <c r="H6" s="24"/>
      <c r="I6" s="24"/>
      <c r="J6" s="24"/>
      <c r="K6" s="25"/>
    </row>
    <row r="7" s="5" customFormat="1" ht="20" customHeight="1" spans="1:11">
      <c r="A7" s="22"/>
      <c r="B7" s="23"/>
      <c r="C7" s="24"/>
      <c r="D7" s="24"/>
      <c r="E7" s="24"/>
      <c r="F7" s="24"/>
      <c r="G7" s="24"/>
      <c r="H7" s="24"/>
      <c r="I7" s="24"/>
      <c r="J7" s="24"/>
      <c r="K7" s="25"/>
    </row>
    <row r="8" s="5" customFormat="1" ht="20" customHeight="1" spans="1:11">
      <c r="A8" s="22"/>
      <c r="B8" s="23"/>
      <c r="C8" s="24"/>
      <c r="D8" s="24"/>
      <c r="E8" s="24"/>
      <c r="F8" s="24"/>
      <c r="G8" s="24"/>
      <c r="H8" s="24"/>
      <c r="I8" s="24"/>
      <c r="J8" s="24"/>
      <c r="K8" s="25"/>
    </row>
    <row r="9" s="5" customFormat="1" ht="20" customHeight="1" spans="1:11">
      <c r="A9" s="22"/>
      <c r="B9" s="23"/>
      <c r="C9" s="24"/>
      <c r="D9" s="24"/>
      <c r="E9" s="24"/>
      <c r="F9" s="24"/>
      <c r="G9" s="24"/>
      <c r="H9" s="24"/>
      <c r="I9" s="24"/>
      <c r="J9" s="24"/>
      <c r="K9" s="25"/>
    </row>
    <row r="10" s="5" customFormat="1" ht="20" customHeight="1" spans="1:11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5"/>
    </row>
    <row r="11" s="5" customFormat="1" ht="20" customHeight="1" spans="1:11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5"/>
    </row>
    <row r="12" s="5" customFormat="1" ht="20" customHeight="1" spans="1:11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5"/>
    </row>
    <row r="13" s="5" customFormat="1" ht="20" customHeight="1" spans="1:11">
      <c r="A13" s="22"/>
      <c r="B13" s="23"/>
      <c r="C13" s="24"/>
      <c r="D13" s="24"/>
      <c r="E13" s="24"/>
      <c r="F13" s="24"/>
      <c r="G13" s="24"/>
      <c r="H13" s="24"/>
      <c r="I13" s="24"/>
      <c r="J13" s="24"/>
      <c r="K13" s="25"/>
    </row>
    <row r="14" s="5" customFormat="1" ht="20" customHeight="1" spans="1:1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5"/>
    </row>
    <row r="15" s="5" customFormat="1" ht="20" customHeight="1" spans="1:11">
      <c r="A15" s="22"/>
      <c r="B15" s="23"/>
      <c r="C15" s="24"/>
      <c r="D15" s="24"/>
      <c r="E15" s="24"/>
      <c r="F15" s="24"/>
      <c r="G15" s="24"/>
      <c r="H15" s="24"/>
      <c r="I15" s="24"/>
      <c r="J15" s="24"/>
      <c r="K15" s="25"/>
    </row>
    <row r="16" s="5" customFormat="1" ht="20" customHeight="1" spans="1:11">
      <c r="A16" s="22"/>
      <c r="B16" s="23"/>
      <c r="C16" s="24"/>
      <c r="D16" s="24"/>
      <c r="E16" s="24"/>
      <c r="F16" s="24"/>
      <c r="G16" s="24"/>
      <c r="H16" s="24"/>
      <c r="I16" s="24"/>
      <c r="J16" s="24"/>
      <c r="K16" s="25"/>
    </row>
    <row r="17" s="5" customFormat="1" ht="20" customHeight="1" spans="1:11">
      <c r="A17" s="22"/>
      <c r="B17" s="23"/>
      <c r="C17" s="24"/>
      <c r="D17" s="24"/>
      <c r="E17" s="24"/>
      <c r="F17" s="24"/>
      <c r="G17" s="24"/>
      <c r="H17" s="24"/>
      <c r="I17" s="24"/>
      <c r="J17" s="24"/>
      <c r="K17" s="25"/>
    </row>
    <row r="18" s="5" customFormat="1" ht="20" customHeight="1" spans="1:11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5"/>
    </row>
    <row r="19" s="5" customFormat="1" ht="20" customHeight="1" spans="1:11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25"/>
    </row>
    <row r="20" s="5" customFormat="1" ht="20" customHeight="1" spans="1:11">
      <c r="A20" s="22"/>
      <c r="B20" s="23"/>
      <c r="C20" s="24"/>
      <c r="D20" s="24"/>
      <c r="E20" s="24"/>
      <c r="F20" s="24"/>
      <c r="G20" s="24"/>
      <c r="H20" s="24"/>
      <c r="I20" s="24"/>
      <c r="J20" s="24"/>
      <c r="K20" s="25"/>
    </row>
    <row r="21" s="5" customFormat="1" ht="20" customHeight="1" spans="1:11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5"/>
    </row>
    <row r="22" s="5" customFormat="1" ht="20" customHeight="1" spans="1:11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5"/>
    </row>
    <row r="23" s="5" customFormat="1" ht="20" customHeight="1" spans="1:11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5"/>
    </row>
    <row r="24" s="5" customFormat="1" ht="20" customHeight="1" spans="1:11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5"/>
    </row>
    <row r="25" s="5" customFormat="1" ht="20" customHeight="1" spans="1:11">
      <c r="A25" s="22"/>
      <c r="B25" s="23"/>
      <c r="C25" s="24"/>
      <c r="D25" s="24"/>
      <c r="E25" s="24"/>
      <c r="F25" s="24"/>
      <c r="G25" s="24"/>
      <c r="H25" s="24"/>
      <c r="I25" s="24"/>
      <c r="J25" s="24"/>
      <c r="K25" s="25"/>
    </row>
    <row r="26" s="5" customFormat="1" ht="20" customHeight="1" spans="1:11">
      <c r="A26" s="22"/>
      <c r="B26" s="23"/>
      <c r="C26" s="24"/>
      <c r="D26" s="24"/>
      <c r="E26" s="24"/>
      <c r="F26" s="24"/>
      <c r="G26" s="24"/>
      <c r="H26" s="24"/>
      <c r="I26" s="24"/>
      <c r="J26" s="24"/>
      <c r="K26" s="25"/>
    </row>
    <row r="27" s="5" customFormat="1" ht="20" customHeight="1" spans="1:11">
      <c r="A27" s="22"/>
      <c r="B27" s="23"/>
      <c r="C27" s="24"/>
      <c r="D27" s="24"/>
      <c r="E27" s="24"/>
      <c r="F27" s="24"/>
      <c r="G27" s="24"/>
      <c r="H27" s="24"/>
      <c r="I27" s="24"/>
      <c r="J27" s="24"/>
      <c r="K27" s="25"/>
    </row>
    <row r="28" s="5" customFormat="1" ht="20" customHeight="1" spans="1:1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5"/>
    </row>
    <row r="29" s="5" customFormat="1" ht="20" customHeight="1" spans="1:11">
      <c r="A29" s="22"/>
      <c r="B29" s="23"/>
      <c r="C29" s="24"/>
      <c r="D29" s="24"/>
      <c r="E29" s="24"/>
      <c r="F29" s="24"/>
      <c r="G29" s="24"/>
      <c r="H29" s="24"/>
      <c r="I29" s="24"/>
      <c r="J29" s="24"/>
      <c r="K29" s="25"/>
    </row>
    <row r="30" s="5" customFormat="1" ht="20" customHeight="1" spans="1:11">
      <c r="A30" s="22"/>
      <c r="B30" s="23"/>
      <c r="C30" s="24"/>
      <c r="D30" s="24"/>
      <c r="E30" s="24"/>
      <c r="F30" s="24"/>
      <c r="G30" s="24"/>
      <c r="H30" s="24"/>
      <c r="I30" s="24"/>
      <c r="J30" s="24"/>
      <c r="K30" s="25"/>
    </row>
    <row r="31" s="5" customFormat="1" ht="20" customHeight="1" spans="1:11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5"/>
    </row>
    <row r="32" s="5" customFormat="1" ht="20" customHeight="1" spans="1:11">
      <c r="A32" s="22"/>
      <c r="B32" s="23"/>
      <c r="C32" s="24"/>
      <c r="D32" s="24"/>
      <c r="E32" s="24"/>
      <c r="F32" s="24"/>
      <c r="G32" s="24"/>
      <c r="H32" s="24"/>
      <c r="I32" s="24"/>
      <c r="J32" s="24"/>
      <c r="K32" s="25"/>
    </row>
    <row r="33" s="5" customFormat="1" ht="20" customHeight="1" spans="1:11">
      <c r="A33" s="22"/>
      <c r="B33" s="23"/>
      <c r="C33" s="24"/>
      <c r="D33" s="24"/>
      <c r="E33" s="24"/>
      <c r="F33" s="24"/>
      <c r="G33" s="24"/>
      <c r="H33" s="24"/>
      <c r="I33" s="24"/>
      <c r="J33" s="24"/>
      <c r="K33" s="25"/>
    </row>
    <row r="34" s="5" customFormat="1" ht="20" customHeight="1" spans="1:11">
      <c r="A34" s="22"/>
      <c r="B34" s="23"/>
      <c r="C34" s="24"/>
      <c r="D34" s="24"/>
      <c r="E34" s="24"/>
      <c r="F34" s="24"/>
      <c r="G34" s="24"/>
      <c r="H34" s="24"/>
      <c r="I34" s="24"/>
      <c r="J34" s="24"/>
      <c r="K34" s="25"/>
    </row>
    <row r="35" s="5" customFormat="1" ht="20" customHeight="1" spans="1:11">
      <c r="A35" s="22"/>
      <c r="B35" s="23"/>
      <c r="C35" s="24"/>
      <c r="D35" s="24"/>
      <c r="E35" s="24"/>
      <c r="F35" s="24"/>
      <c r="G35" s="24"/>
      <c r="H35" s="24"/>
      <c r="I35" s="24"/>
      <c r="J35" s="24"/>
      <c r="K35" s="25"/>
    </row>
    <row r="36" s="5" customFormat="1" ht="20" customHeight="1" spans="1:11">
      <c r="A36" s="22"/>
      <c r="B36" s="23"/>
      <c r="C36" s="24"/>
      <c r="D36" s="24"/>
      <c r="E36" s="24"/>
      <c r="F36" s="24"/>
      <c r="G36" s="24"/>
      <c r="H36" s="24"/>
      <c r="I36" s="24"/>
      <c r="J36" s="24"/>
      <c r="K36" s="25"/>
    </row>
    <row r="37" s="5" customFormat="1" ht="20" customHeight="1" spans="1:11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5"/>
    </row>
    <row r="38" s="5" customFormat="1" ht="20" customHeight="1" spans="1:11">
      <c r="A38" s="22"/>
      <c r="B38" s="23"/>
      <c r="C38" s="24"/>
      <c r="D38" s="24"/>
      <c r="E38" s="24"/>
      <c r="F38" s="24"/>
      <c r="G38" s="24"/>
      <c r="H38" s="24"/>
      <c r="I38" s="24"/>
      <c r="J38" s="24"/>
      <c r="K38" s="25"/>
    </row>
    <row r="39" s="5" customFormat="1" ht="20" customHeight="1" spans="1:11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5"/>
    </row>
    <row r="40" s="5" customFormat="1" ht="20" customHeight="1" spans="1:11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5"/>
    </row>
    <row r="41" s="5" customFormat="1" ht="20" customHeight="1" spans="1:11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5"/>
    </row>
    <row r="42" s="5" customFormat="1" ht="20" customHeight="1" spans="1:11">
      <c r="A42" s="22"/>
      <c r="B42" s="23"/>
      <c r="C42" s="24"/>
      <c r="D42" s="24"/>
      <c r="E42" s="24"/>
      <c r="F42" s="24"/>
      <c r="G42" s="24"/>
      <c r="H42" s="24"/>
      <c r="I42" s="24"/>
      <c r="J42" s="24"/>
      <c r="K42" s="25"/>
    </row>
    <row r="43" s="5" customFormat="1" ht="20" customHeight="1" spans="1:1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5"/>
    </row>
    <row r="44" s="5" customFormat="1" ht="20" customHeight="1" spans="1:11">
      <c r="A44" s="22"/>
      <c r="B44" s="23"/>
      <c r="C44" s="24"/>
      <c r="D44" s="24"/>
      <c r="E44" s="24"/>
      <c r="F44" s="24"/>
      <c r="G44" s="24"/>
      <c r="H44" s="24"/>
      <c r="I44" s="24"/>
      <c r="J44" s="24"/>
      <c r="K44" s="25"/>
    </row>
    <row r="45" s="5" customFormat="1" ht="20" customHeight="1" spans="1:11">
      <c r="A45" s="22"/>
      <c r="B45" s="23"/>
      <c r="C45" s="24"/>
      <c r="D45" s="24"/>
      <c r="E45" s="24"/>
      <c r="F45" s="24"/>
      <c r="G45" s="24"/>
      <c r="H45" s="24"/>
      <c r="I45" s="24"/>
      <c r="J45" s="24"/>
      <c r="K45" s="25"/>
    </row>
    <row r="46" s="5" customFormat="1" ht="20" customHeight="1" spans="1:11">
      <c r="A46" s="22"/>
      <c r="B46" s="23"/>
      <c r="C46" s="24"/>
      <c r="D46" s="24"/>
      <c r="E46" s="24"/>
      <c r="F46" s="24"/>
      <c r="G46" s="24"/>
      <c r="H46" s="24"/>
      <c r="I46" s="24"/>
      <c r="J46" s="24"/>
      <c r="K46" s="25"/>
    </row>
    <row r="47" s="5" customFormat="1" ht="20" customHeight="1" spans="1:11">
      <c r="A47" s="22"/>
      <c r="B47" s="23"/>
      <c r="C47" s="24"/>
      <c r="D47" s="24"/>
      <c r="E47" s="24"/>
      <c r="F47" s="24"/>
      <c r="G47" s="24"/>
      <c r="H47" s="24"/>
      <c r="I47" s="24"/>
      <c r="J47" s="24"/>
      <c r="K47" s="25"/>
    </row>
    <row r="48" s="5" customFormat="1" ht="20" customHeight="1" spans="1:11">
      <c r="A48" s="22"/>
      <c r="B48" s="23"/>
      <c r="C48" s="24"/>
      <c r="D48" s="24"/>
      <c r="E48" s="24"/>
      <c r="F48" s="24"/>
      <c r="G48" s="24"/>
      <c r="H48" s="24"/>
      <c r="I48" s="24"/>
      <c r="J48" s="24"/>
      <c r="K48" s="25"/>
    </row>
    <row r="49" s="5" customFormat="1" ht="20" customHeight="1" spans="1:11">
      <c r="A49" s="22"/>
      <c r="B49" s="23"/>
      <c r="C49" s="24"/>
      <c r="D49" s="24"/>
      <c r="E49" s="24"/>
      <c r="F49" s="24"/>
      <c r="G49" s="24"/>
      <c r="H49" s="24"/>
      <c r="I49" s="24"/>
      <c r="J49" s="24"/>
      <c r="K49" s="25"/>
    </row>
    <row r="50" s="5" customFormat="1" ht="20" customHeight="1" spans="1:11">
      <c r="A50" s="22"/>
      <c r="B50" s="23"/>
      <c r="C50" s="24"/>
      <c r="D50" s="24"/>
      <c r="E50" s="24"/>
      <c r="F50" s="24"/>
      <c r="G50" s="24"/>
      <c r="H50" s="24"/>
      <c r="I50" s="24"/>
      <c r="J50" s="24"/>
      <c r="K50" s="25"/>
    </row>
    <row r="51" s="5" customFormat="1" ht="20" customHeight="1" spans="1:11">
      <c r="A51" s="22"/>
      <c r="B51" s="23"/>
      <c r="C51" s="24"/>
      <c r="D51" s="24"/>
      <c r="E51" s="24"/>
      <c r="F51" s="24"/>
      <c r="G51" s="24"/>
      <c r="H51" s="24"/>
      <c r="I51" s="24"/>
      <c r="J51" s="24"/>
      <c r="K51" s="25"/>
    </row>
    <row r="52" s="5" customFormat="1" ht="20" customHeight="1" spans="1:11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5"/>
    </row>
    <row r="53" s="5" customFormat="1" ht="20" customHeight="1" spans="1:11">
      <c r="A53" s="22"/>
      <c r="B53" s="23"/>
      <c r="C53" s="24"/>
      <c r="D53" s="24"/>
      <c r="E53" s="24"/>
      <c r="F53" s="24"/>
      <c r="G53" s="24"/>
      <c r="H53" s="24"/>
      <c r="I53" s="24"/>
      <c r="J53" s="24"/>
      <c r="K53" s="25"/>
    </row>
    <row r="54" s="5" customFormat="1" ht="20" customHeight="1" spans="1:11">
      <c r="A54" s="22"/>
      <c r="B54" s="23"/>
      <c r="C54" s="24"/>
      <c r="D54" s="24"/>
      <c r="E54" s="24"/>
      <c r="F54" s="24"/>
      <c r="G54" s="24"/>
      <c r="H54" s="24"/>
      <c r="I54" s="24"/>
      <c r="J54" s="24"/>
      <c r="K54" s="25"/>
    </row>
    <row r="55" s="5" customFormat="1" ht="20" customHeight="1" spans="1:11">
      <c r="A55" s="22"/>
      <c r="B55" s="23"/>
      <c r="C55" s="24"/>
      <c r="D55" s="24"/>
      <c r="E55" s="24"/>
      <c r="F55" s="24"/>
      <c r="G55" s="24"/>
      <c r="H55" s="24"/>
      <c r="I55" s="24"/>
      <c r="J55" s="24"/>
      <c r="K55" s="25"/>
    </row>
    <row r="56" s="5" customFormat="1" ht="20" customHeight="1" spans="1:11">
      <c r="A56" s="22"/>
      <c r="B56" s="23"/>
      <c r="C56" s="24"/>
      <c r="D56" s="24"/>
      <c r="E56" s="24"/>
      <c r="F56" s="24"/>
      <c r="G56" s="24"/>
      <c r="H56" s="24"/>
      <c r="I56" s="24"/>
      <c r="J56" s="24"/>
      <c r="K56" s="25"/>
    </row>
    <row r="57" s="5" customFormat="1" ht="20" customHeight="1" spans="1:11">
      <c r="A57" s="22"/>
      <c r="B57" s="23"/>
      <c r="C57" s="24"/>
      <c r="D57" s="24"/>
      <c r="E57" s="24"/>
      <c r="F57" s="24"/>
      <c r="G57" s="24"/>
      <c r="H57" s="24"/>
      <c r="I57" s="24"/>
      <c r="J57" s="24"/>
      <c r="K57" s="25"/>
    </row>
    <row r="58" s="5" customFormat="1" ht="20" customHeight="1" spans="1:11">
      <c r="A58" s="22"/>
      <c r="B58" s="23"/>
      <c r="C58" s="24"/>
      <c r="D58" s="24"/>
      <c r="E58" s="24"/>
      <c r="F58" s="24"/>
      <c r="G58" s="24"/>
      <c r="H58" s="24"/>
      <c r="I58" s="24"/>
      <c r="J58" s="24"/>
      <c r="K58" s="25"/>
    </row>
    <row r="59" s="5" customFormat="1" ht="20" customHeight="1" spans="1:11">
      <c r="A59" s="22"/>
      <c r="B59" s="23"/>
      <c r="C59" s="24"/>
      <c r="D59" s="24"/>
      <c r="E59" s="24"/>
      <c r="F59" s="24"/>
      <c r="G59" s="24"/>
      <c r="H59" s="24"/>
      <c r="I59" s="24"/>
      <c r="J59" s="24"/>
      <c r="K59" s="25"/>
    </row>
    <row r="60" s="5" customFormat="1" ht="20" customHeight="1" spans="1:11">
      <c r="A60" s="22"/>
      <c r="B60" s="23"/>
      <c r="C60" s="24"/>
      <c r="D60" s="24"/>
      <c r="E60" s="24"/>
      <c r="F60" s="24"/>
      <c r="G60" s="24"/>
      <c r="H60" s="24"/>
      <c r="I60" s="24"/>
      <c r="J60" s="24"/>
      <c r="K60" s="25"/>
    </row>
    <row r="61" s="5" customFormat="1" ht="20" customHeight="1" spans="1:11">
      <c r="A61" s="22"/>
      <c r="B61" s="23"/>
      <c r="C61" s="24"/>
      <c r="D61" s="24"/>
      <c r="E61" s="24"/>
      <c r="F61" s="24"/>
      <c r="G61" s="24"/>
      <c r="H61" s="24"/>
      <c r="I61" s="24"/>
      <c r="J61" s="24"/>
      <c r="K61" s="25"/>
    </row>
    <row r="62" s="5" customFormat="1" ht="20" customHeight="1" spans="1:11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5"/>
    </row>
    <row r="63" s="5" customFormat="1" ht="20" customHeight="1" spans="1:1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5"/>
    </row>
    <row r="64" s="5" customFormat="1" ht="20" customHeight="1" spans="1:11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5"/>
    </row>
    <row r="65" s="5" customFormat="1" ht="20" customHeight="1" spans="1:11">
      <c r="A65" s="22"/>
      <c r="B65" s="23"/>
      <c r="C65" s="24"/>
      <c r="D65" s="24"/>
      <c r="E65" s="24"/>
      <c r="F65" s="24"/>
      <c r="G65" s="24"/>
      <c r="H65" s="24"/>
      <c r="I65" s="24"/>
      <c r="J65" s="24"/>
      <c r="K65" s="25"/>
    </row>
    <row r="66" s="5" customFormat="1" ht="20" customHeight="1" spans="1:11">
      <c r="A66" s="22"/>
      <c r="B66" s="23"/>
      <c r="C66" s="24"/>
      <c r="D66" s="24"/>
      <c r="E66" s="24"/>
      <c r="F66" s="24"/>
      <c r="G66" s="24"/>
      <c r="H66" s="24"/>
      <c r="I66" s="24"/>
      <c r="J66" s="24"/>
      <c r="K66" s="25"/>
    </row>
    <row r="67" s="5" customFormat="1" ht="20" customHeight="1" spans="1:11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5"/>
    </row>
    <row r="68" s="5" customFormat="1" ht="20" customHeight="1" spans="1:11">
      <c r="A68" s="22"/>
      <c r="B68" s="23"/>
      <c r="C68" s="24"/>
      <c r="D68" s="24"/>
      <c r="E68" s="24"/>
      <c r="F68" s="24"/>
      <c r="G68" s="24"/>
      <c r="H68" s="24"/>
      <c r="I68" s="24"/>
      <c r="J68" s="24"/>
      <c r="K68" s="25"/>
    </row>
    <row r="69" s="5" customFormat="1" ht="20" customHeight="1" spans="1:11">
      <c r="A69" s="22"/>
      <c r="B69" s="23"/>
      <c r="C69" s="24"/>
      <c r="D69" s="24"/>
      <c r="E69" s="24"/>
      <c r="F69" s="24"/>
      <c r="G69" s="24"/>
      <c r="H69" s="24"/>
      <c r="I69" s="24"/>
      <c r="J69" s="24"/>
      <c r="K69" s="25"/>
    </row>
    <row r="70" s="5" customFormat="1" ht="20" customHeight="1" spans="1:11">
      <c r="A70" s="22"/>
      <c r="B70" s="23"/>
      <c r="C70" s="24"/>
      <c r="D70" s="24"/>
      <c r="E70" s="24"/>
      <c r="F70" s="24"/>
      <c r="G70" s="24"/>
      <c r="H70" s="24"/>
      <c r="I70" s="24"/>
      <c r="J70" s="24"/>
      <c r="K70" s="25"/>
    </row>
    <row r="71" s="5" customFormat="1" ht="20" customHeight="1" spans="1:11">
      <c r="A71" s="22"/>
      <c r="B71" s="23"/>
      <c r="C71" s="24"/>
      <c r="D71" s="24"/>
      <c r="E71" s="24"/>
      <c r="F71" s="24"/>
      <c r="G71" s="24"/>
      <c r="H71" s="24"/>
      <c r="I71" s="24"/>
      <c r="J71" s="24"/>
      <c r="K71" s="25"/>
    </row>
    <row r="72" s="5" customFormat="1" ht="20" customHeight="1" spans="1:11">
      <c r="A72" s="22"/>
      <c r="B72" s="23"/>
      <c r="C72" s="24"/>
      <c r="D72" s="24"/>
      <c r="E72" s="24"/>
      <c r="F72" s="24"/>
      <c r="G72" s="24"/>
      <c r="H72" s="24"/>
      <c r="I72" s="24"/>
      <c r="J72" s="24"/>
      <c r="K72" s="25"/>
    </row>
    <row r="73" s="5" customFormat="1" ht="20" customHeight="1" spans="1:11">
      <c r="A73" s="22"/>
      <c r="B73" s="23"/>
      <c r="C73" s="24"/>
      <c r="D73" s="24"/>
      <c r="E73" s="24"/>
      <c r="F73" s="24"/>
      <c r="G73" s="24"/>
      <c r="H73" s="24"/>
      <c r="I73" s="24"/>
      <c r="J73" s="24"/>
      <c r="K73" s="25"/>
    </row>
    <row r="74" s="5" customFormat="1" ht="20" customHeight="1" spans="1:11">
      <c r="A74" s="22"/>
      <c r="B74" s="23"/>
      <c r="C74" s="24"/>
      <c r="D74" s="24"/>
      <c r="E74" s="24"/>
      <c r="F74" s="24"/>
      <c r="G74" s="24"/>
      <c r="H74" s="24"/>
      <c r="I74" s="24"/>
      <c r="J74" s="24"/>
      <c r="K74" s="25"/>
    </row>
    <row r="75" s="5" customFormat="1" ht="20" customHeight="1" spans="1:11">
      <c r="A75" s="22"/>
      <c r="B75" s="23"/>
      <c r="C75" s="24"/>
      <c r="D75" s="24"/>
      <c r="E75" s="24"/>
      <c r="F75" s="24"/>
      <c r="G75" s="24"/>
      <c r="H75" s="24"/>
      <c r="I75" s="24"/>
      <c r="J75" s="24"/>
      <c r="K75" s="25"/>
    </row>
    <row r="76" s="5" customFormat="1" ht="20" customHeight="1" spans="1:11">
      <c r="A76" s="22"/>
      <c r="B76" s="23"/>
      <c r="C76" s="24"/>
      <c r="D76" s="24"/>
      <c r="E76" s="24"/>
      <c r="F76" s="24"/>
      <c r="G76" s="24"/>
      <c r="H76" s="24"/>
      <c r="I76" s="24"/>
      <c r="J76" s="24"/>
      <c r="K76" s="25"/>
    </row>
    <row r="77" s="5" customFormat="1" ht="20" customHeight="1" spans="1:11">
      <c r="A77" s="22"/>
      <c r="B77" s="23"/>
      <c r="C77" s="24"/>
      <c r="D77" s="24"/>
      <c r="E77" s="24"/>
      <c r="F77" s="24"/>
      <c r="G77" s="24"/>
      <c r="H77" s="24"/>
      <c r="I77" s="24"/>
      <c r="J77" s="24"/>
      <c r="K77" s="25"/>
    </row>
    <row r="78" s="5" customFormat="1" ht="20" customHeight="1" spans="1:11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5"/>
    </row>
    <row r="79" s="5" customFormat="1" ht="20" customHeight="1" spans="1:11">
      <c r="A79" s="22"/>
      <c r="B79" s="23"/>
      <c r="C79" s="24"/>
      <c r="D79" s="24"/>
      <c r="E79" s="24"/>
      <c r="F79" s="24"/>
      <c r="G79" s="24"/>
      <c r="H79" s="24"/>
      <c r="I79" s="24"/>
      <c r="J79" s="24"/>
      <c r="K79" s="25"/>
    </row>
    <row r="80" s="5" customFormat="1" ht="20" customHeight="1" spans="1:11">
      <c r="A80" s="22"/>
      <c r="B80" s="23"/>
      <c r="C80" s="24"/>
      <c r="D80" s="24"/>
      <c r="E80" s="24"/>
      <c r="F80" s="24"/>
      <c r="G80" s="24"/>
      <c r="H80" s="24"/>
      <c r="I80" s="24"/>
      <c r="J80" s="24"/>
      <c r="K80" s="25"/>
    </row>
    <row r="81" s="5" customFormat="1" ht="20" customHeight="1" spans="1:11">
      <c r="A81" s="22"/>
      <c r="B81" s="23"/>
      <c r="C81" s="24"/>
      <c r="D81" s="24"/>
      <c r="E81" s="24"/>
      <c r="F81" s="24"/>
      <c r="G81" s="24"/>
      <c r="H81" s="24"/>
      <c r="I81" s="24"/>
      <c r="J81" s="24"/>
      <c r="K81" s="25"/>
    </row>
    <row r="82" s="5" customFormat="1" ht="20" customHeight="1" spans="1:11">
      <c r="A82" s="22"/>
      <c r="B82" s="23"/>
      <c r="C82" s="24"/>
      <c r="D82" s="24"/>
      <c r="E82" s="24"/>
      <c r="F82" s="24"/>
      <c r="G82" s="24"/>
      <c r="H82" s="24"/>
      <c r="I82" s="24"/>
      <c r="J82" s="24"/>
      <c r="K82" s="25"/>
    </row>
    <row r="83" s="5" customFormat="1" ht="20" customHeight="1" spans="1:11">
      <c r="A83" s="22"/>
      <c r="B83" s="23"/>
      <c r="C83" s="24"/>
      <c r="D83" s="24"/>
      <c r="E83" s="24"/>
      <c r="F83" s="24"/>
      <c r="G83" s="24"/>
      <c r="H83" s="24"/>
      <c r="I83" s="24"/>
      <c r="J83" s="24"/>
      <c r="K83" s="25"/>
    </row>
    <row r="84" s="5" customFormat="1" ht="20" customHeight="1" spans="1:11">
      <c r="A84" s="22"/>
      <c r="B84" s="23"/>
      <c r="C84" s="24"/>
      <c r="D84" s="24"/>
      <c r="E84" s="24"/>
      <c r="F84" s="24"/>
      <c r="G84" s="24"/>
      <c r="H84" s="24"/>
      <c r="I84" s="24"/>
      <c r="J84" s="24"/>
      <c r="K84" s="25"/>
    </row>
    <row r="85" s="5" customFormat="1" ht="20" customHeight="1" spans="1:11">
      <c r="A85" s="22"/>
      <c r="B85" s="23"/>
      <c r="C85" s="24"/>
      <c r="D85" s="24"/>
      <c r="E85" s="24"/>
      <c r="F85" s="24"/>
      <c r="G85" s="24"/>
      <c r="H85" s="24"/>
      <c r="I85" s="24"/>
      <c r="J85" s="24"/>
      <c r="K85" s="25"/>
    </row>
    <row r="86" s="5" customFormat="1" ht="20" customHeight="1" spans="1:11">
      <c r="A86" s="22"/>
      <c r="B86" s="23"/>
      <c r="C86" s="24"/>
      <c r="D86" s="24"/>
      <c r="E86" s="24"/>
      <c r="F86" s="24"/>
      <c r="G86" s="24"/>
      <c r="H86" s="24"/>
      <c r="I86" s="24"/>
      <c r="J86" s="24"/>
      <c r="K86" s="25"/>
    </row>
    <row r="87" s="5" customFormat="1" ht="20" customHeight="1" spans="1:11">
      <c r="A87" s="22"/>
      <c r="B87" s="23"/>
      <c r="C87" s="24"/>
      <c r="D87" s="24"/>
      <c r="E87" s="24"/>
      <c r="F87" s="24"/>
      <c r="G87" s="24"/>
      <c r="H87" s="24"/>
      <c r="I87" s="24"/>
      <c r="J87" s="24"/>
      <c r="K87" s="25"/>
    </row>
    <row r="88" s="5" customFormat="1" ht="20" customHeight="1" spans="1:11">
      <c r="A88" s="22"/>
      <c r="B88" s="23"/>
      <c r="C88" s="24"/>
      <c r="D88" s="24"/>
      <c r="E88" s="24"/>
      <c r="F88" s="24"/>
      <c r="G88" s="24"/>
      <c r="H88" s="24"/>
      <c r="I88" s="24"/>
      <c r="J88" s="24"/>
      <c r="K88" s="25"/>
    </row>
    <row r="89" s="5" customFormat="1" ht="20" customHeight="1" spans="1:11">
      <c r="A89" s="22"/>
      <c r="B89" s="23"/>
      <c r="C89" s="24"/>
      <c r="D89" s="24"/>
      <c r="E89" s="24"/>
      <c r="F89" s="24"/>
      <c r="G89" s="24"/>
      <c r="H89" s="24"/>
      <c r="I89" s="24"/>
      <c r="J89" s="24"/>
      <c r="K89" s="25"/>
    </row>
    <row r="90" s="5" customFormat="1" ht="20" customHeight="1" spans="1:11">
      <c r="A90" s="22"/>
      <c r="B90" s="23"/>
      <c r="C90" s="24"/>
      <c r="D90" s="24"/>
      <c r="E90" s="24"/>
      <c r="F90" s="24"/>
      <c r="G90" s="24"/>
      <c r="H90" s="24"/>
      <c r="I90" s="24"/>
      <c r="J90" s="24"/>
      <c r="K90" s="25"/>
    </row>
    <row r="91" s="5" customFormat="1" ht="20" customHeight="1" spans="1:11">
      <c r="A91" s="22"/>
      <c r="B91" s="23"/>
      <c r="C91" s="24"/>
      <c r="D91" s="24"/>
      <c r="E91" s="24"/>
      <c r="F91" s="24"/>
      <c r="G91" s="24"/>
      <c r="H91" s="24"/>
      <c r="I91" s="24"/>
      <c r="J91" s="24"/>
      <c r="K91" s="25"/>
    </row>
    <row r="92" s="5" customFormat="1" ht="20" customHeight="1" spans="1:11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5"/>
    </row>
    <row r="93" s="5" customFormat="1" ht="20" customHeight="1" spans="1:11">
      <c r="A93" s="22"/>
      <c r="B93" s="23"/>
      <c r="C93" s="24"/>
      <c r="D93" s="24"/>
      <c r="E93" s="24"/>
      <c r="F93" s="24"/>
      <c r="G93" s="24"/>
      <c r="H93" s="24"/>
      <c r="I93" s="24"/>
      <c r="J93" s="24"/>
      <c r="K93" s="25"/>
    </row>
    <row r="94" s="5" customFormat="1" ht="20" customHeight="1" spans="1:11">
      <c r="A94" s="22"/>
      <c r="B94" s="23"/>
      <c r="C94" s="24"/>
      <c r="D94" s="24"/>
      <c r="E94" s="24"/>
      <c r="F94" s="24"/>
      <c r="G94" s="24"/>
      <c r="H94" s="24"/>
      <c r="I94" s="24"/>
      <c r="J94" s="24"/>
      <c r="K94" s="25"/>
    </row>
    <row r="95" s="5" customFormat="1" ht="20" customHeight="1" spans="1:11">
      <c r="A95" s="22"/>
      <c r="B95" s="23"/>
      <c r="C95" s="24"/>
      <c r="D95" s="24"/>
      <c r="E95" s="24"/>
      <c r="F95" s="24"/>
      <c r="G95" s="24"/>
      <c r="H95" s="24"/>
      <c r="I95" s="24"/>
      <c r="J95" s="24"/>
      <c r="K95" s="25"/>
    </row>
    <row r="96" s="5" customFormat="1" ht="20" customHeight="1" spans="1:11">
      <c r="A96" s="22"/>
      <c r="B96" s="23"/>
      <c r="C96" s="24"/>
      <c r="D96" s="24"/>
      <c r="E96" s="24"/>
      <c r="F96" s="24"/>
      <c r="G96" s="24"/>
      <c r="H96" s="24"/>
      <c r="I96" s="24"/>
      <c r="J96" s="24"/>
      <c r="K96" s="25"/>
    </row>
    <row r="97" s="5" customFormat="1" ht="20" customHeight="1" spans="1:11">
      <c r="A97" s="22"/>
      <c r="B97" s="23"/>
      <c r="C97" s="24"/>
      <c r="D97" s="24"/>
      <c r="E97" s="24"/>
      <c r="F97" s="24"/>
      <c r="G97" s="24"/>
      <c r="H97" s="24"/>
      <c r="I97" s="24"/>
      <c r="J97" s="24"/>
      <c r="K97" s="25"/>
    </row>
    <row r="98" s="5" customFormat="1" ht="20" customHeight="1" spans="1:11">
      <c r="A98" s="22"/>
      <c r="B98" s="23"/>
      <c r="C98" s="24"/>
      <c r="D98" s="24"/>
      <c r="E98" s="24"/>
      <c r="F98" s="24"/>
      <c r="G98" s="24"/>
      <c r="H98" s="24"/>
      <c r="I98" s="24"/>
      <c r="J98" s="24"/>
      <c r="K98" s="25"/>
    </row>
    <row r="99" s="5" customFormat="1" ht="20" customHeight="1" spans="1:11">
      <c r="A99" s="22"/>
      <c r="B99" s="23"/>
      <c r="C99" s="24"/>
      <c r="D99" s="24"/>
      <c r="E99" s="24"/>
      <c r="F99" s="24"/>
      <c r="G99" s="24"/>
      <c r="H99" s="24"/>
      <c r="I99" s="24"/>
      <c r="J99" s="24"/>
      <c r="K99" s="25"/>
    </row>
    <row r="100" s="5" customFormat="1" ht="20" customHeight="1" spans="1:11">
      <c r="A100" s="22"/>
      <c r="B100" s="23"/>
      <c r="C100" s="24"/>
      <c r="D100" s="24"/>
      <c r="E100" s="24"/>
      <c r="F100" s="24"/>
      <c r="G100" s="24"/>
      <c r="H100" s="24"/>
      <c r="I100" s="24"/>
      <c r="J100" s="24"/>
      <c r="K100" s="25"/>
    </row>
    <row r="101" s="5" customFormat="1" ht="20" customHeight="1" spans="1:11">
      <c r="A101" s="22"/>
      <c r="B101" s="23"/>
      <c r="C101" s="24"/>
      <c r="D101" s="24"/>
      <c r="E101" s="24"/>
      <c r="F101" s="24"/>
      <c r="G101" s="24"/>
      <c r="H101" s="24"/>
      <c r="I101" s="24"/>
      <c r="J101" s="24"/>
      <c r="K101" s="25"/>
    </row>
    <row r="102" s="5" customFormat="1" ht="20" customHeight="1" spans="1:11">
      <c r="A102" s="22"/>
      <c r="B102" s="23"/>
      <c r="C102" s="24"/>
      <c r="D102" s="24"/>
      <c r="E102" s="24"/>
      <c r="F102" s="24"/>
      <c r="G102" s="24"/>
      <c r="H102" s="24"/>
      <c r="I102" s="24"/>
      <c r="J102" s="24"/>
      <c r="K102" s="25"/>
    </row>
    <row r="103" s="5" customFormat="1" ht="20" customHeight="1" spans="1:11">
      <c r="A103" s="22"/>
      <c r="B103" s="23"/>
      <c r="C103" s="24"/>
      <c r="D103" s="24"/>
      <c r="E103" s="24"/>
      <c r="F103" s="24"/>
      <c r="G103" s="24"/>
      <c r="H103" s="24"/>
      <c r="I103" s="24"/>
      <c r="J103" s="24"/>
      <c r="K103" s="25"/>
    </row>
    <row r="104" s="5" customFormat="1" ht="20" customHeight="1" spans="1:11">
      <c r="A104" s="22"/>
      <c r="B104" s="23"/>
      <c r="C104" s="24"/>
      <c r="D104" s="24"/>
      <c r="E104" s="24"/>
      <c r="F104" s="24"/>
      <c r="G104" s="24"/>
      <c r="H104" s="24"/>
      <c r="I104" s="24"/>
      <c r="J104" s="24"/>
      <c r="K104" s="25"/>
    </row>
    <row r="105" s="5" customFormat="1" ht="20" customHeight="1" spans="1:11">
      <c r="A105" s="22"/>
      <c r="B105" s="23"/>
      <c r="C105" s="24"/>
      <c r="D105" s="24"/>
      <c r="E105" s="24"/>
      <c r="F105" s="24"/>
      <c r="G105" s="24"/>
      <c r="H105" s="24"/>
      <c r="I105" s="24"/>
      <c r="J105" s="24"/>
      <c r="K105" s="25"/>
    </row>
    <row r="106" s="5" customFormat="1" ht="20" customHeight="1" spans="1:11">
      <c r="A106" s="22"/>
      <c r="B106" s="23"/>
      <c r="C106" s="24"/>
      <c r="D106" s="24"/>
      <c r="E106" s="24"/>
      <c r="F106" s="24"/>
      <c r="G106" s="24"/>
      <c r="H106" s="24"/>
      <c r="I106" s="24"/>
      <c r="J106" s="24"/>
      <c r="K106" s="25"/>
    </row>
    <row r="107" s="5" customFormat="1" ht="20" customHeight="1" spans="1:11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5"/>
    </row>
    <row r="108" s="5" customFormat="1" ht="20" customHeight="1" spans="1:11">
      <c r="A108" s="22"/>
      <c r="B108" s="23"/>
      <c r="C108" s="24"/>
      <c r="D108" s="24"/>
      <c r="E108" s="24"/>
      <c r="F108" s="24"/>
      <c r="G108" s="24"/>
      <c r="H108" s="24"/>
      <c r="I108" s="24"/>
      <c r="J108" s="24"/>
      <c r="K108" s="25"/>
    </row>
    <row r="109" s="5" customFormat="1" ht="20" customHeight="1" spans="1:11">
      <c r="A109" s="22"/>
      <c r="B109" s="23"/>
      <c r="C109" s="24"/>
      <c r="D109" s="24"/>
      <c r="E109" s="24"/>
      <c r="F109" s="24"/>
      <c r="G109" s="24"/>
      <c r="H109" s="24"/>
      <c r="I109" s="24"/>
      <c r="J109" s="24"/>
      <c r="K109" s="25"/>
    </row>
    <row r="110" s="5" customFormat="1" ht="20" customHeight="1" spans="1:11">
      <c r="A110" s="22"/>
      <c r="B110" s="23"/>
      <c r="C110" s="24"/>
      <c r="D110" s="24"/>
      <c r="E110" s="24"/>
      <c r="F110" s="24"/>
      <c r="G110" s="24"/>
      <c r="H110" s="24"/>
      <c r="I110" s="24"/>
      <c r="J110" s="24"/>
      <c r="K110" s="25"/>
    </row>
    <row r="111" s="5" customFormat="1" ht="20" customHeight="1" spans="1:11">
      <c r="A111" s="22"/>
      <c r="B111" s="23"/>
      <c r="C111" s="24"/>
      <c r="D111" s="24"/>
      <c r="E111" s="24"/>
      <c r="F111" s="24"/>
      <c r="G111" s="24"/>
      <c r="H111" s="24"/>
      <c r="I111" s="24"/>
      <c r="J111" s="24"/>
      <c r="K111" s="25"/>
    </row>
    <row r="112" s="5" customFormat="1" ht="20" customHeight="1" spans="1:11">
      <c r="A112" s="22"/>
      <c r="B112" s="23"/>
      <c r="C112" s="24"/>
      <c r="D112" s="24"/>
      <c r="E112" s="24"/>
      <c r="F112" s="24"/>
      <c r="G112" s="24"/>
      <c r="H112" s="24"/>
      <c r="I112" s="24"/>
      <c r="J112" s="24"/>
      <c r="K112" s="25"/>
    </row>
    <row r="113" s="5" customFormat="1" ht="20" customHeight="1" spans="1:11">
      <c r="A113" s="22"/>
      <c r="B113" s="23"/>
      <c r="C113" s="24"/>
      <c r="D113" s="24"/>
      <c r="E113" s="24"/>
      <c r="F113" s="24"/>
      <c r="G113" s="24"/>
      <c r="H113" s="24"/>
      <c r="I113" s="24"/>
      <c r="J113" s="24"/>
      <c r="K113" s="25"/>
    </row>
    <row r="114" s="5" customFormat="1" ht="20" customHeight="1" spans="1:11">
      <c r="A114" s="22"/>
      <c r="B114" s="23"/>
      <c r="C114" s="24"/>
      <c r="D114" s="24"/>
      <c r="E114" s="24"/>
      <c r="F114" s="24"/>
      <c r="G114" s="24"/>
      <c r="H114" s="24"/>
      <c r="I114" s="24"/>
      <c r="J114" s="24"/>
      <c r="K114" s="25"/>
    </row>
    <row r="115" s="5" customFormat="1" ht="20" customHeight="1" spans="1:11">
      <c r="A115" s="22"/>
      <c r="B115" s="23"/>
      <c r="C115" s="24"/>
      <c r="D115" s="24"/>
      <c r="E115" s="24"/>
      <c r="F115" s="24"/>
      <c r="G115" s="24"/>
      <c r="H115" s="24"/>
      <c r="I115" s="24"/>
      <c r="J115" s="24"/>
      <c r="K115" s="25"/>
    </row>
    <row r="116" s="5" customFormat="1" ht="20" customHeight="1" spans="1:11">
      <c r="A116" s="22"/>
      <c r="B116" s="23"/>
      <c r="C116" s="24"/>
      <c r="D116" s="24"/>
      <c r="E116" s="24"/>
      <c r="F116" s="24"/>
      <c r="G116" s="24"/>
      <c r="H116" s="24"/>
      <c r="I116" s="24"/>
      <c r="J116" s="24"/>
      <c r="K116" s="25"/>
    </row>
    <row r="117" s="5" customFormat="1" ht="20" customHeight="1" spans="1:11">
      <c r="A117" s="22"/>
      <c r="B117" s="23"/>
      <c r="C117" s="24"/>
      <c r="D117" s="24"/>
      <c r="E117" s="24"/>
      <c r="F117" s="24"/>
      <c r="G117" s="24"/>
      <c r="H117" s="24"/>
      <c r="I117" s="24"/>
      <c r="J117" s="24"/>
      <c r="K117" s="25"/>
    </row>
    <row r="118" s="5" customFormat="1" ht="20" customHeight="1" spans="1:11">
      <c r="A118" s="22"/>
      <c r="B118" s="23"/>
      <c r="C118" s="24"/>
      <c r="D118" s="24"/>
      <c r="E118" s="24"/>
      <c r="F118" s="24"/>
      <c r="G118" s="24"/>
      <c r="H118" s="24"/>
      <c r="I118" s="24"/>
      <c r="J118" s="24"/>
      <c r="K118" s="25"/>
    </row>
    <row r="119" s="5" customFormat="1" ht="20" customHeight="1" spans="1:11">
      <c r="A119" s="22"/>
      <c r="B119" s="23"/>
      <c r="C119" s="24"/>
      <c r="D119" s="24"/>
      <c r="E119" s="24"/>
      <c r="F119" s="24"/>
      <c r="G119" s="24"/>
      <c r="H119" s="24"/>
      <c r="I119" s="24"/>
      <c r="J119" s="24"/>
      <c r="K119" s="25"/>
    </row>
    <row r="120" s="5" customFormat="1" ht="20" customHeight="1" spans="1:11">
      <c r="A120" s="22"/>
      <c r="B120" s="23"/>
      <c r="C120" s="24"/>
      <c r="D120" s="24"/>
      <c r="E120" s="24"/>
      <c r="F120" s="24"/>
      <c r="G120" s="24"/>
      <c r="H120" s="24"/>
      <c r="I120" s="24"/>
      <c r="J120" s="24"/>
      <c r="K120" s="25"/>
    </row>
    <row r="121" s="5" customFormat="1" ht="20" customHeight="1" spans="1:11">
      <c r="A121" s="22"/>
      <c r="B121" s="23"/>
      <c r="C121" s="24"/>
      <c r="D121" s="24"/>
      <c r="E121" s="24"/>
      <c r="F121" s="24"/>
      <c r="G121" s="24"/>
      <c r="H121" s="24"/>
      <c r="I121" s="24"/>
      <c r="J121" s="24"/>
      <c r="K121" s="25"/>
    </row>
    <row r="122" s="5" customFormat="1" ht="20" customHeight="1" spans="1:11">
      <c r="A122" s="22"/>
      <c r="B122" s="23"/>
      <c r="C122" s="24"/>
      <c r="D122" s="24"/>
      <c r="E122" s="24"/>
      <c r="F122" s="24"/>
      <c r="G122" s="24"/>
      <c r="H122" s="24"/>
      <c r="I122" s="24"/>
      <c r="J122" s="24"/>
      <c r="K122" s="25"/>
    </row>
    <row r="123" s="5" customFormat="1" ht="20" customHeight="1" spans="1:11">
      <c r="A123" s="22"/>
      <c r="B123" s="23"/>
      <c r="C123" s="24"/>
      <c r="D123" s="24"/>
      <c r="E123" s="24"/>
      <c r="F123" s="24"/>
      <c r="G123" s="24"/>
      <c r="H123" s="24"/>
      <c r="I123" s="24"/>
      <c r="J123" s="24"/>
      <c r="K123" s="25"/>
    </row>
    <row r="124" s="5" customFormat="1" ht="20" customHeight="1" spans="1:11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5"/>
    </row>
    <row r="125" s="5" customFormat="1" ht="20" customHeight="1" spans="1:11">
      <c r="A125" s="22"/>
      <c r="B125" s="23"/>
      <c r="C125" s="24"/>
      <c r="D125" s="24"/>
      <c r="E125" s="24"/>
      <c r="F125" s="24"/>
      <c r="G125" s="24"/>
      <c r="H125" s="24"/>
      <c r="I125" s="24"/>
      <c r="J125" s="24"/>
      <c r="K125" s="25"/>
    </row>
    <row r="126" s="5" customFormat="1" ht="20" customHeight="1" spans="1:11">
      <c r="A126" s="22"/>
      <c r="B126" s="23"/>
      <c r="C126" s="24"/>
      <c r="D126" s="24"/>
      <c r="E126" s="24"/>
      <c r="F126" s="24"/>
      <c r="G126" s="24"/>
      <c r="H126" s="24"/>
      <c r="I126" s="24"/>
      <c r="J126" s="24"/>
      <c r="K126" s="25"/>
    </row>
    <row r="127" s="5" customFormat="1" ht="20" customHeight="1" spans="1:11">
      <c r="A127" s="22"/>
      <c r="B127" s="23"/>
      <c r="C127" s="24"/>
      <c r="D127" s="24"/>
      <c r="E127" s="24"/>
      <c r="F127" s="24"/>
      <c r="G127" s="24"/>
      <c r="H127" s="24"/>
      <c r="I127" s="24"/>
      <c r="J127" s="24"/>
      <c r="K127" s="25"/>
    </row>
    <row r="128" s="5" customFormat="1" ht="20" customHeight="1" spans="1:11">
      <c r="A128" s="22"/>
      <c r="B128" s="23"/>
      <c r="C128" s="24"/>
      <c r="D128" s="24"/>
      <c r="E128" s="24"/>
      <c r="F128" s="24"/>
      <c r="G128" s="24"/>
      <c r="H128" s="24"/>
      <c r="I128" s="24"/>
      <c r="J128" s="24"/>
      <c r="K128" s="25"/>
    </row>
    <row r="129" s="5" customFormat="1" ht="20" customHeight="1" spans="1:11">
      <c r="A129" s="22"/>
      <c r="B129" s="23"/>
      <c r="C129" s="24"/>
      <c r="D129" s="24"/>
      <c r="E129" s="24"/>
      <c r="F129" s="24"/>
      <c r="G129" s="24"/>
      <c r="H129" s="24"/>
      <c r="I129" s="24"/>
      <c r="J129" s="24"/>
      <c r="K129" s="25"/>
    </row>
    <row r="130" s="5" customFormat="1" ht="20" customHeight="1" spans="1:11">
      <c r="A130" s="22"/>
      <c r="B130" s="23"/>
      <c r="C130" s="24"/>
      <c r="D130" s="24"/>
      <c r="E130" s="24"/>
      <c r="F130" s="24"/>
      <c r="G130" s="24"/>
      <c r="H130" s="24"/>
      <c r="I130" s="24"/>
      <c r="J130" s="24"/>
      <c r="K130" s="25"/>
    </row>
    <row r="131" s="5" customFormat="1" ht="20" customHeight="1" spans="1:11">
      <c r="A131" s="22"/>
      <c r="B131" s="23"/>
      <c r="C131" s="24"/>
      <c r="D131" s="24"/>
      <c r="E131" s="24"/>
      <c r="F131" s="24"/>
      <c r="G131" s="24"/>
      <c r="H131" s="24"/>
      <c r="I131" s="24"/>
      <c r="J131" s="24"/>
      <c r="K131" s="25"/>
    </row>
    <row r="132" s="5" customFormat="1" ht="20" customHeight="1" spans="1:11">
      <c r="A132" s="22"/>
      <c r="B132" s="23"/>
      <c r="C132" s="24"/>
      <c r="D132" s="24"/>
      <c r="E132" s="24"/>
      <c r="F132" s="24"/>
      <c r="G132" s="24"/>
      <c r="H132" s="24"/>
      <c r="I132" s="24"/>
      <c r="J132" s="24"/>
      <c r="K132" s="25"/>
    </row>
    <row r="133" s="5" customFormat="1" ht="20" customHeight="1" spans="1:11">
      <c r="A133" s="22"/>
      <c r="B133" s="23"/>
      <c r="C133" s="24"/>
      <c r="D133" s="24"/>
      <c r="E133" s="24"/>
      <c r="F133" s="24"/>
      <c r="G133" s="24"/>
      <c r="H133" s="24"/>
      <c r="I133" s="24"/>
      <c r="J133" s="24"/>
      <c r="K133" s="25"/>
    </row>
    <row r="134" s="5" customFormat="1" ht="20" customHeight="1" spans="1:11">
      <c r="A134" s="22"/>
      <c r="B134" s="23"/>
      <c r="C134" s="24"/>
      <c r="D134" s="24"/>
      <c r="E134" s="24"/>
      <c r="F134" s="24"/>
      <c r="G134" s="24"/>
      <c r="H134" s="24"/>
      <c r="I134" s="24"/>
      <c r="J134" s="24"/>
      <c r="K134" s="25"/>
    </row>
    <row r="135" s="5" customFormat="1" ht="20" customHeight="1" spans="1:11">
      <c r="A135" s="22"/>
      <c r="B135" s="23"/>
      <c r="C135" s="24"/>
      <c r="D135" s="24"/>
      <c r="E135" s="24"/>
      <c r="F135" s="24"/>
      <c r="G135" s="24"/>
      <c r="H135" s="24"/>
      <c r="I135" s="24"/>
      <c r="J135" s="24"/>
      <c r="K135" s="25"/>
    </row>
    <row r="136" s="5" customFormat="1" ht="20" customHeight="1" spans="1:11">
      <c r="A136" s="22"/>
      <c r="B136" s="23"/>
      <c r="C136" s="24"/>
      <c r="D136" s="24"/>
      <c r="E136" s="24"/>
      <c r="F136" s="24"/>
      <c r="G136" s="24"/>
      <c r="H136" s="24"/>
      <c r="I136" s="24"/>
      <c r="J136" s="24"/>
      <c r="K136" s="25"/>
    </row>
    <row r="137" s="5" customFormat="1" ht="20" customHeight="1" spans="1:11">
      <c r="A137" s="22"/>
      <c r="B137" s="23"/>
      <c r="C137" s="24"/>
      <c r="D137" s="24"/>
      <c r="E137" s="24"/>
      <c r="F137" s="24"/>
      <c r="G137" s="24"/>
      <c r="H137" s="24"/>
      <c r="I137" s="24"/>
      <c r="J137" s="24"/>
      <c r="K137" s="25"/>
    </row>
    <row r="138" s="5" customFormat="1" ht="20" customHeight="1" spans="1:11">
      <c r="A138" s="22"/>
      <c r="B138" s="23"/>
      <c r="C138" s="24"/>
      <c r="D138" s="24"/>
      <c r="E138" s="24"/>
      <c r="F138" s="24"/>
      <c r="G138" s="24"/>
      <c r="H138" s="24"/>
      <c r="I138" s="24"/>
      <c r="J138" s="24"/>
      <c r="K138" s="25"/>
    </row>
    <row r="139" s="5" customFormat="1" ht="20" customHeight="1" spans="1:11">
      <c r="A139" s="22"/>
      <c r="B139" s="23"/>
      <c r="C139" s="24"/>
      <c r="D139" s="24"/>
      <c r="E139" s="24"/>
      <c r="F139" s="24"/>
      <c r="G139" s="24"/>
      <c r="H139" s="24"/>
      <c r="I139" s="24"/>
      <c r="J139" s="24"/>
      <c r="K139" s="25"/>
    </row>
    <row r="140" s="5" customFormat="1" ht="20" customHeight="1" spans="1:11">
      <c r="A140" s="22"/>
      <c r="B140" s="23"/>
      <c r="C140" s="24"/>
      <c r="D140" s="24"/>
      <c r="E140" s="24"/>
      <c r="F140" s="24"/>
      <c r="G140" s="24"/>
      <c r="H140" s="24"/>
      <c r="I140" s="24"/>
      <c r="J140" s="24"/>
      <c r="K140" s="25"/>
    </row>
    <row r="141" s="5" customFormat="1" ht="20" customHeight="1" spans="1:11">
      <c r="A141" s="22"/>
      <c r="B141" s="23"/>
      <c r="C141" s="24"/>
      <c r="D141" s="24"/>
      <c r="E141" s="24"/>
      <c r="F141" s="24"/>
      <c r="G141" s="24"/>
      <c r="H141" s="24"/>
      <c r="I141" s="24"/>
      <c r="J141" s="24"/>
      <c r="K141" s="25"/>
    </row>
    <row r="142" s="5" customFormat="1" ht="20" customHeight="1" spans="1:11">
      <c r="A142" s="22"/>
      <c r="B142" s="23"/>
      <c r="C142" s="24"/>
      <c r="D142" s="24"/>
      <c r="E142" s="24"/>
      <c r="F142" s="24"/>
      <c r="G142" s="24"/>
      <c r="H142" s="24"/>
      <c r="I142" s="24"/>
      <c r="J142" s="24"/>
      <c r="K142" s="25"/>
    </row>
    <row r="143" s="5" customFormat="1" ht="20" customHeight="1" spans="1:11">
      <c r="A143" s="22"/>
      <c r="B143" s="23"/>
      <c r="C143" s="24"/>
      <c r="D143" s="24"/>
      <c r="E143" s="24"/>
      <c r="F143" s="24"/>
      <c r="G143" s="24"/>
      <c r="H143" s="24"/>
      <c r="I143" s="24"/>
      <c r="J143" s="24"/>
      <c r="K143" s="25"/>
    </row>
    <row r="144" s="5" customFormat="1" ht="20" customHeight="1" spans="1:11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5"/>
    </row>
    <row r="145" s="5" customFormat="1" ht="20" customHeight="1" spans="1:11">
      <c r="A145" s="22"/>
      <c r="B145" s="23"/>
      <c r="C145" s="24"/>
      <c r="D145" s="24"/>
      <c r="E145" s="24"/>
      <c r="F145" s="24"/>
      <c r="G145" s="24"/>
      <c r="H145" s="24"/>
      <c r="I145" s="24"/>
      <c r="J145" s="24"/>
      <c r="K145" s="25"/>
    </row>
    <row r="146" s="5" customFormat="1" ht="20" customHeight="1" spans="1:11">
      <c r="A146" s="22"/>
      <c r="B146" s="23"/>
      <c r="C146" s="24"/>
      <c r="D146" s="24"/>
      <c r="E146" s="24"/>
      <c r="F146" s="24"/>
      <c r="G146" s="24"/>
      <c r="H146" s="24"/>
      <c r="I146" s="24"/>
      <c r="J146" s="24"/>
      <c r="K146" s="25"/>
    </row>
    <row r="147" s="5" customFormat="1" ht="20" customHeight="1" spans="1:11">
      <c r="A147" s="22"/>
      <c r="B147" s="23"/>
      <c r="C147" s="24"/>
      <c r="D147" s="24"/>
      <c r="E147" s="24"/>
      <c r="F147" s="24"/>
      <c r="G147" s="24"/>
      <c r="H147" s="24"/>
      <c r="I147" s="24"/>
      <c r="J147" s="24"/>
      <c r="K147" s="25"/>
    </row>
    <row r="148" s="5" customFormat="1" ht="20" customHeight="1" spans="1:11">
      <c r="A148" s="22"/>
      <c r="B148" s="23"/>
      <c r="C148" s="24"/>
      <c r="D148" s="24"/>
      <c r="E148" s="24"/>
      <c r="F148" s="24"/>
      <c r="G148" s="24"/>
      <c r="H148" s="24"/>
      <c r="I148" s="24"/>
      <c r="J148" s="24"/>
      <c r="K148" s="25"/>
    </row>
    <row r="149" s="5" customFormat="1" ht="20" customHeight="1" spans="1:11">
      <c r="A149" s="22"/>
      <c r="B149" s="23"/>
      <c r="C149" s="24"/>
      <c r="D149" s="24"/>
      <c r="E149" s="24"/>
      <c r="F149" s="24"/>
      <c r="G149" s="24"/>
      <c r="H149" s="24"/>
      <c r="I149" s="24"/>
      <c r="J149" s="24"/>
      <c r="K149" s="25"/>
    </row>
    <row r="150" s="5" customFormat="1" ht="20" customHeight="1" spans="1:11">
      <c r="A150" s="22"/>
      <c r="B150" s="23"/>
      <c r="C150" s="24"/>
      <c r="D150" s="24"/>
      <c r="E150" s="24"/>
      <c r="F150" s="24"/>
      <c r="G150" s="24"/>
      <c r="H150" s="24"/>
      <c r="I150" s="24"/>
      <c r="J150" s="24"/>
      <c r="K150" s="25"/>
    </row>
    <row r="151" s="5" customFormat="1" ht="20" customHeight="1" spans="1:11">
      <c r="A151" s="22"/>
      <c r="B151" s="23"/>
      <c r="C151" s="24"/>
      <c r="D151" s="24"/>
      <c r="E151" s="24"/>
      <c r="F151" s="24"/>
      <c r="G151" s="24"/>
      <c r="H151" s="24"/>
      <c r="I151" s="24"/>
      <c r="J151" s="24"/>
      <c r="K151" s="25"/>
    </row>
    <row r="152" s="5" customFormat="1" ht="20" customHeight="1" spans="1:11">
      <c r="A152" s="22"/>
      <c r="B152" s="23"/>
      <c r="C152" s="24"/>
      <c r="D152" s="24"/>
      <c r="E152" s="24"/>
      <c r="F152" s="24"/>
      <c r="G152" s="24"/>
      <c r="H152" s="24"/>
      <c r="I152" s="24"/>
      <c r="J152" s="24"/>
      <c r="K152" s="25"/>
    </row>
    <row r="153" s="5" customFormat="1" ht="20" customHeight="1" spans="1:11">
      <c r="A153" s="22"/>
      <c r="B153" s="23"/>
      <c r="C153" s="24"/>
      <c r="D153" s="24"/>
      <c r="E153" s="24"/>
      <c r="F153" s="24"/>
      <c r="G153" s="24"/>
      <c r="H153" s="24"/>
      <c r="I153" s="24"/>
      <c r="J153" s="24"/>
      <c r="K153" s="25"/>
    </row>
    <row r="154" s="5" customFormat="1" ht="20" customHeight="1" spans="1:11">
      <c r="A154" s="22"/>
      <c r="B154" s="23"/>
      <c r="C154" s="24"/>
      <c r="D154" s="24"/>
      <c r="E154" s="24"/>
      <c r="F154" s="24"/>
      <c r="G154" s="24"/>
      <c r="H154" s="24"/>
      <c r="I154" s="24"/>
      <c r="J154" s="24"/>
      <c r="K154" s="25"/>
    </row>
    <row r="155" s="5" customFormat="1" ht="20" customHeight="1" spans="1:11">
      <c r="A155" s="22"/>
      <c r="B155" s="23"/>
      <c r="C155" s="24"/>
      <c r="D155" s="24"/>
      <c r="E155" s="24"/>
      <c r="F155" s="24"/>
      <c r="G155" s="24"/>
      <c r="H155" s="24"/>
      <c r="I155" s="24"/>
      <c r="J155" s="24"/>
      <c r="K155" s="25"/>
    </row>
    <row r="156" s="5" customFormat="1" ht="20" customHeight="1" spans="1:11">
      <c r="A156" s="22"/>
      <c r="B156" s="23"/>
      <c r="C156" s="24"/>
      <c r="D156" s="24"/>
      <c r="E156" s="24"/>
      <c r="F156" s="24"/>
      <c r="G156" s="24"/>
      <c r="H156" s="24"/>
      <c r="I156" s="24"/>
      <c r="J156" s="24"/>
      <c r="K156" s="25"/>
    </row>
    <row r="157" s="5" customFormat="1" ht="20" customHeight="1" spans="1:11">
      <c r="A157" s="22"/>
      <c r="B157" s="23"/>
      <c r="C157" s="24"/>
      <c r="D157" s="24"/>
      <c r="E157" s="24"/>
      <c r="F157" s="24"/>
      <c r="G157" s="24"/>
      <c r="H157" s="24"/>
      <c r="I157" s="24"/>
      <c r="J157" s="24"/>
      <c r="K157" s="25"/>
    </row>
    <row r="158" s="5" customFormat="1" ht="20" customHeight="1" spans="1:11">
      <c r="A158" s="22"/>
      <c r="B158" s="23"/>
      <c r="C158" s="24"/>
      <c r="D158" s="24"/>
      <c r="E158" s="24"/>
      <c r="F158" s="24"/>
      <c r="G158" s="24"/>
      <c r="H158" s="24"/>
      <c r="I158" s="24"/>
      <c r="J158" s="24"/>
      <c r="K158" s="25"/>
    </row>
    <row r="159" s="5" customFormat="1" ht="20" customHeight="1" spans="1:11">
      <c r="A159" s="22"/>
      <c r="B159" s="23"/>
      <c r="C159" s="24"/>
      <c r="D159" s="24"/>
      <c r="E159" s="24"/>
      <c r="F159" s="24"/>
      <c r="G159" s="24"/>
      <c r="H159" s="24"/>
      <c r="I159" s="24"/>
      <c r="J159" s="24"/>
      <c r="K159" s="25"/>
    </row>
    <row r="160" s="5" customFormat="1" ht="20" customHeight="1" spans="1:11">
      <c r="A160" s="22"/>
      <c r="B160" s="23"/>
      <c r="C160" s="24"/>
      <c r="D160" s="24"/>
      <c r="E160" s="24"/>
      <c r="F160" s="24"/>
      <c r="G160" s="24"/>
      <c r="H160" s="24"/>
      <c r="I160" s="24"/>
      <c r="J160" s="24"/>
      <c r="K160" s="25"/>
    </row>
    <row r="161" s="5" customFormat="1" ht="20" customHeight="1" spans="1:11">
      <c r="A161" s="22"/>
      <c r="B161" s="23"/>
      <c r="C161" s="24"/>
      <c r="D161" s="24"/>
      <c r="E161" s="24"/>
      <c r="F161" s="24"/>
      <c r="G161" s="24"/>
      <c r="H161" s="24"/>
      <c r="I161" s="24"/>
      <c r="J161" s="24"/>
      <c r="K161" s="25"/>
    </row>
    <row r="162" s="5" customFormat="1" ht="20" customHeight="1" spans="1:11">
      <c r="A162" s="22"/>
      <c r="B162" s="23"/>
      <c r="C162" s="24"/>
      <c r="D162" s="24"/>
      <c r="E162" s="24"/>
      <c r="F162" s="24"/>
      <c r="G162" s="24"/>
      <c r="H162" s="24"/>
      <c r="I162" s="24"/>
      <c r="J162" s="24"/>
      <c r="K162" s="25"/>
    </row>
    <row r="163" s="5" customFormat="1" ht="20" customHeight="1" spans="1:11">
      <c r="A163" s="22"/>
      <c r="B163" s="23"/>
      <c r="C163" s="24"/>
      <c r="D163" s="24"/>
      <c r="E163" s="24"/>
      <c r="F163" s="24"/>
      <c r="G163" s="24"/>
      <c r="H163" s="24"/>
      <c r="I163" s="24"/>
      <c r="J163" s="24"/>
      <c r="K163" s="25"/>
    </row>
    <row r="164" s="5" customFormat="1" ht="20" customHeight="1" spans="1:11">
      <c r="A164" s="22"/>
      <c r="B164" s="23"/>
      <c r="C164" s="24"/>
      <c r="D164" s="24"/>
      <c r="E164" s="24"/>
      <c r="F164" s="24"/>
      <c r="G164" s="24"/>
      <c r="H164" s="24"/>
      <c r="I164" s="24"/>
      <c r="J164" s="24"/>
      <c r="K164" s="25"/>
    </row>
    <row r="165" s="5" customFormat="1" ht="20" customHeight="1" spans="1:11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5"/>
    </row>
    <row r="166" s="5" customFormat="1" ht="20" customHeight="1" spans="1:11">
      <c r="A166" s="22"/>
      <c r="B166" s="23"/>
      <c r="C166" s="24"/>
      <c r="D166" s="24"/>
      <c r="E166" s="24"/>
      <c r="F166" s="24"/>
      <c r="G166" s="24"/>
      <c r="H166" s="24"/>
      <c r="I166" s="24"/>
      <c r="J166" s="24"/>
      <c r="K166" s="25"/>
    </row>
    <row r="167" s="5" customFormat="1" ht="20" customHeight="1" spans="1:11">
      <c r="A167" s="22"/>
      <c r="B167" s="23"/>
      <c r="C167" s="24"/>
      <c r="D167" s="24"/>
      <c r="E167" s="24"/>
      <c r="F167" s="24"/>
      <c r="G167" s="24"/>
      <c r="H167" s="24"/>
      <c r="I167" s="24"/>
      <c r="J167" s="24"/>
      <c r="K167" s="25"/>
    </row>
    <row r="168" s="5" customFormat="1" ht="20" customHeight="1" spans="1:11">
      <c r="A168" s="22"/>
      <c r="B168" s="23"/>
      <c r="C168" s="24"/>
      <c r="D168" s="24"/>
      <c r="E168" s="24"/>
      <c r="F168" s="24"/>
      <c r="G168" s="24"/>
      <c r="H168" s="24"/>
      <c r="I168" s="24"/>
      <c r="J168" s="24"/>
      <c r="K168" s="25"/>
    </row>
    <row r="169" s="5" customFormat="1" ht="20" customHeight="1" spans="1:11">
      <c r="A169" s="22"/>
      <c r="B169" s="23"/>
      <c r="C169" s="24"/>
      <c r="D169" s="24"/>
      <c r="E169" s="24"/>
      <c r="F169" s="24"/>
      <c r="G169" s="24"/>
      <c r="H169" s="24"/>
      <c r="I169" s="24"/>
      <c r="J169" s="24"/>
      <c r="K169" s="25"/>
    </row>
    <row r="170" s="5" customFormat="1" ht="20" customHeight="1" spans="1:11">
      <c r="A170" s="22"/>
      <c r="B170" s="23"/>
      <c r="C170" s="24"/>
      <c r="D170" s="24"/>
      <c r="E170" s="24"/>
      <c r="F170" s="24"/>
      <c r="G170" s="24"/>
      <c r="H170" s="24"/>
      <c r="I170" s="24"/>
      <c r="J170" s="24"/>
      <c r="K170" s="25"/>
    </row>
    <row r="171" s="5" customFormat="1" ht="20" customHeight="1" spans="1:11">
      <c r="A171" s="22"/>
      <c r="B171" s="23"/>
      <c r="C171" s="24"/>
      <c r="D171" s="24"/>
      <c r="E171" s="24"/>
      <c r="F171" s="24"/>
      <c r="G171" s="24"/>
      <c r="H171" s="24"/>
      <c r="I171" s="24"/>
      <c r="J171" s="24"/>
      <c r="K171" s="25"/>
    </row>
    <row r="172" s="5" customFormat="1" ht="20" customHeight="1" spans="1:11">
      <c r="A172" s="22"/>
      <c r="B172" s="23"/>
      <c r="C172" s="24"/>
      <c r="D172" s="24"/>
      <c r="E172" s="24"/>
      <c r="F172" s="24"/>
      <c r="G172" s="24"/>
      <c r="H172" s="24"/>
      <c r="I172" s="24"/>
      <c r="J172" s="24"/>
      <c r="K172" s="25"/>
    </row>
    <row r="173" s="5" customFormat="1" ht="20" customHeight="1" spans="1:11">
      <c r="A173" s="22"/>
      <c r="B173" s="23"/>
      <c r="C173" s="24"/>
      <c r="D173" s="24"/>
      <c r="E173" s="24"/>
      <c r="F173" s="24"/>
      <c r="G173" s="24"/>
      <c r="H173" s="24"/>
      <c r="I173" s="24"/>
      <c r="J173" s="24"/>
      <c r="K173" s="25"/>
    </row>
    <row r="174" s="5" customFormat="1" ht="20" customHeight="1" spans="1:11">
      <c r="A174" s="22"/>
      <c r="B174" s="23"/>
      <c r="C174" s="24"/>
      <c r="D174" s="24"/>
      <c r="E174" s="24"/>
      <c r="F174" s="24"/>
      <c r="G174" s="24"/>
      <c r="H174" s="24"/>
      <c r="I174" s="24"/>
      <c r="J174" s="24"/>
      <c r="K174" s="25"/>
    </row>
    <row r="175" s="5" customFormat="1" ht="20" customHeight="1" spans="1:11">
      <c r="A175" s="22"/>
      <c r="B175" s="23"/>
      <c r="C175" s="24"/>
      <c r="D175" s="24"/>
      <c r="E175" s="24"/>
      <c r="F175" s="24"/>
      <c r="G175" s="24"/>
      <c r="H175" s="24"/>
      <c r="I175" s="24"/>
      <c r="J175" s="24"/>
      <c r="K175" s="25"/>
    </row>
    <row r="176" s="5" customFormat="1" ht="20" customHeight="1" spans="1:11">
      <c r="A176" s="22"/>
      <c r="B176" s="23"/>
      <c r="C176" s="24"/>
      <c r="D176" s="24"/>
      <c r="E176" s="24"/>
      <c r="F176" s="24"/>
      <c r="G176" s="24"/>
      <c r="H176" s="24"/>
      <c r="I176" s="24"/>
      <c r="J176" s="24"/>
      <c r="K176" s="25"/>
    </row>
    <row r="177" s="5" customFormat="1" ht="20" customHeight="1" spans="1:11">
      <c r="A177" s="22"/>
      <c r="B177" s="23"/>
      <c r="C177" s="24"/>
      <c r="D177" s="24"/>
      <c r="E177" s="24"/>
      <c r="F177" s="24"/>
      <c r="G177" s="24"/>
      <c r="H177" s="24"/>
      <c r="I177" s="24"/>
      <c r="J177" s="24"/>
      <c r="K177" s="25"/>
    </row>
    <row r="178" s="5" customFormat="1" ht="20" customHeight="1" spans="1:11">
      <c r="A178" s="22"/>
      <c r="B178" s="23"/>
      <c r="C178" s="24"/>
      <c r="D178" s="24"/>
      <c r="E178" s="24"/>
      <c r="F178" s="24"/>
      <c r="G178" s="24"/>
      <c r="H178" s="24"/>
      <c r="I178" s="24"/>
      <c r="J178" s="24"/>
      <c r="K178" s="25"/>
    </row>
    <row r="179" s="5" customFormat="1" ht="20" customHeight="1" spans="1:11">
      <c r="A179" s="22"/>
      <c r="B179" s="23"/>
      <c r="C179" s="24"/>
      <c r="D179" s="24"/>
      <c r="E179" s="24"/>
      <c r="F179" s="24"/>
      <c r="G179" s="24"/>
      <c r="H179" s="24"/>
      <c r="I179" s="24"/>
      <c r="J179" s="24"/>
      <c r="K179" s="25"/>
    </row>
    <row r="180" s="5" customFormat="1" ht="20" customHeight="1" spans="1:11">
      <c r="A180" s="22"/>
      <c r="B180" s="23"/>
      <c r="C180" s="24"/>
      <c r="D180" s="24"/>
      <c r="E180" s="24"/>
      <c r="F180" s="24"/>
      <c r="G180" s="24"/>
      <c r="H180" s="24"/>
      <c r="I180" s="24"/>
      <c r="J180" s="24"/>
      <c r="K180" s="25"/>
    </row>
    <row r="181" s="5" customFormat="1" ht="20" customHeight="1" spans="1:11">
      <c r="A181" s="22"/>
      <c r="B181" s="23"/>
      <c r="C181" s="24"/>
      <c r="D181" s="24"/>
      <c r="E181" s="24"/>
      <c r="F181" s="24"/>
      <c r="G181" s="24"/>
      <c r="H181" s="24"/>
      <c r="I181" s="24"/>
      <c r="J181" s="24"/>
      <c r="K181" s="25"/>
    </row>
    <row r="182" s="5" customFormat="1" ht="20" customHeight="1" spans="1:11">
      <c r="A182" s="22"/>
      <c r="B182" s="23"/>
      <c r="C182" s="24"/>
      <c r="D182" s="24"/>
      <c r="E182" s="24"/>
      <c r="F182" s="24"/>
      <c r="G182" s="24"/>
      <c r="H182" s="24"/>
      <c r="I182" s="24"/>
      <c r="J182" s="24"/>
      <c r="K182" s="25"/>
    </row>
    <row r="183" s="5" customFormat="1" ht="20" customHeight="1" spans="1:11">
      <c r="A183" s="22"/>
      <c r="B183" s="23"/>
      <c r="C183" s="24"/>
      <c r="D183" s="24"/>
      <c r="E183" s="24"/>
      <c r="F183" s="24"/>
      <c r="G183" s="24"/>
      <c r="H183" s="24"/>
      <c r="I183" s="24"/>
      <c r="J183" s="24"/>
      <c r="K183" s="25"/>
    </row>
    <row r="184" s="5" customFormat="1" ht="20" customHeight="1" spans="1:11">
      <c r="A184" s="22"/>
      <c r="B184" s="23"/>
      <c r="C184" s="24"/>
      <c r="D184" s="24"/>
      <c r="E184" s="24"/>
      <c r="F184" s="24"/>
      <c r="G184" s="24"/>
      <c r="H184" s="24"/>
      <c r="I184" s="24"/>
      <c r="J184" s="24"/>
      <c r="K184" s="25"/>
    </row>
    <row r="185" s="5" customFormat="1" ht="20" customHeight="1" spans="1:11">
      <c r="A185" s="22"/>
      <c r="B185" s="23"/>
      <c r="C185" s="24"/>
      <c r="D185" s="24"/>
      <c r="E185" s="24"/>
      <c r="F185" s="24"/>
      <c r="G185" s="24"/>
      <c r="H185" s="24"/>
      <c r="I185" s="24"/>
      <c r="J185" s="24"/>
      <c r="K185" s="25"/>
    </row>
    <row r="186" s="5" customFormat="1" ht="20" customHeight="1" spans="1:11">
      <c r="A186" s="22"/>
      <c r="B186" s="23"/>
      <c r="C186" s="24"/>
      <c r="D186" s="24"/>
      <c r="E186" s="24"/>
      <c r="F186" s="24"/>
      <c r="G186" s="24"/>
      <c r="H186" s="24"/>
      <c r="I186" s="24"/>
      <c r="J186" s="24"/>
      <c r="K186" s="25"/>
    </row>
    <row r="187" s="5" customFormat="1" ht="20" customHeight="1" spans="1:11">
      <c r="A187" s="22"/>
      <c r="B187" s="23"/>
      <c r="C187" s="24"/>
      <c r="D187" s="24"/>
      <c r="E187" s="24"/>
      <c r="F187" s="24"/>
      <c r="G187" s="24"/>
      <c r="H187" s="24"/>
      <c r="I187" s="24"/>
      <c r="J187" s="24"/>
      <c r="K187" s="25"/>
    </row>
    <row r="188" s="5" customFormat="1" ht="20" customHeight="1" spans="1:11">
      <c r="A188" s="22"/>
      <c r="B188" s="23"/>
      <c r="C188" s="24"/>
      <c r="D188" s="24"/>
      <c r="E188" s="24"/>
      <c r="F188" s="24"/>
      <c r="G188" s="24"/>
      <c r="H188" s="24"/>
      <c r="I188" s="24"/>
      <c r="J188" s="24"/>
      <c r="K188" s="25"/>
    </row>
    <row r="189" s="5" customFormat="1" ht="20" customHeight="1" spans="1:11">
      <c r="A189" s="22"/>
      <c r="B189" s="23"/>
      <c r="C189" s="24"/>
      <c r="D189" s="24"/>
      <c r="E189" s="24"/>
      <c r="F189" s="24"/>
      <c r="G189" s="24"/>
      <c r="H189" s="24"/>
      <c r="I189" s="24"/>
      <c r="J189" s="24"/>
      <c r="K189" s="25"/>
    </row>
    <row r="190" s="5" customFormat="1" ht="20" customHeight="1" spans="1:11">
      <c r="A190" s="22"/>
      <c r="B190" s="23"/>
      <c r="C190" s="24"/>
      <c r="D190" s="24"/>
      <c r="E190" s="24"/>
      <c r="F190" s="24"/>
      <c r="G190" s="24"/>
      <c r="H190" s="24"/>
      <c r="I190" s="24"/>
      <c r="J190" s="24"/>
      <c r="K190" s="25"/>
    </row>
    <row r="191" s="5" customFormat="1" ht="20" customHeight="1" spans="1:11">
      <c r="A191" s="22"/>
      <c r="B191" s="23"/>
      <c r="C191" s="24"/>
      <c r="D191" s="24"/>
      <c r="E191" s="24"/>
      <c r="F191" s="24"/>
      <c r="G191" s="24"/>
      <c r="H191" s="24"/>
      <c r="I191" s="24"/>
      <c r="J191" s="24"/>
      <c r="K191" s="25"/>
    </row>
    <row r="192" s="5" customFormat="1" ht="20" customHeight="1" spans="1:11">
      <c r="A192" s="22"/>
      <c r="B192" s="23"/>
      <c r="C192" s="24"/>
      <c r="D192" s="24"/>
      <c r="E192" s="24"/>
      <c r="F192" s="24"/>
      <c r="G192" s="24"/>
      <c r="H192" s="24"/>
      <c r="I192" s="24"/>
      <c r="J192" s="24"/>
      <c r="K192" s="25"/>
    </row>
    <row r="193" s="5" customFormat="1" ht="20" customHeight="1" spans="1:11">
      <c r="A193" s="22"/>
      <c r="B193" s="23"/>
      <c r="C193" s="24"/>
      <c r="D193" s="24"/>
      <c r="E193" s="24"/>
      <c r="F193" s="24"/>
      <c r="G193" s="24"/>
      <c r="H193" s="24"/>
      <c r="I193" s="24"/>
      <c r="J193" s="24"/>
      <c r="K193" s="25"/>
    </row>
    <row r="194" s="5" customFormat="1" ht="20" customHeight="1" spans="1:11">
      <c r="A194" s="22"/>
      <c r="B194" s="23"/>
      <c r="C194" s="24"/>
      <c r="D194" s="24"/>
      <c r="E194" s="24"/>
      <c r="F194" s="24"/>
      <c r="G194" s="24"/>
      <c r="H194" s="24"/>
      <c r="I194" s="24"/>
      <c r="J194" s="24"/>
      <c r="K194" s="25"/>
    </row>
    <row r="195" s="5" customFormat="1" ht="20" customHeight="1" spans="1:11">
      <c r="A195" s="22"/>
      <c r="B195" s="23"/>
      <c r="C195" s="24"/>
      <c r="D195" s="24"/>
      <c r="E195" s="24"/>
      <c r="F195" s="24"/>
      <c r="G195" s="24"/>
      <c r="H195" s="24"/>
      <c r="I195" s="24"/>
      <c r="J195" s="24"/>
      <c r="K195" s="25"/>
    </row>
    <row r="196" s="5" customFormat="1" ht="20" customHeight="1" spans="1:11">
      <c r="A196" s="22"/>
      <c r="B196" s="23"/>
      <c r="C196" s="24"/>
      <c r="D196" s="24"/>
      <c r="E196" s="24"/>
      <c r="F196" s="24"/>
      <c r="G196" s="24"/>
      <c r="H196" s="24"/>
      <c r="I196" s="24"/>
      <c r="J196" s="24"/>
      <c r="K196" s="25"/>
    </row>
    <row r="197" s="5" customFormat="1" ht="20" customHeight="1" spans="1:11">
      <c r="A197" s="22"/>
      <c r="B197" s="23"/>
      <c r="C197" s="24"/>
      <c r="D197" s="24"/>
      <c r="E197" s="24"/>
      <c r="F197" s="24"/>
      <c r="G197" s="24"/>
      <c r="H197" s="24"/>
      <c r="I197" s="24"/>
      <c r="J197" s="24"/>
      <c r="K197" s="25"/>
    </row>
    <row r="198" s="5" customFormat="1" ht="20" customHeight="1" spans="1:11">
      <c r="A198" s="22"/>
      <c r="B198" s="23"/>
      <c r="C198" s="24"/>
      <c r="D198" s="24"/>
      <c r="E198" s="24"/>
      <c r="F198" s="24"/>
      <c r="G198" s="24"/>
      <c r="H198" s="24"/>
      <c r="I198" s="24"/>
      <c r="J198" s="24"/>
      <c r="K198" s="25"/>
    </row>
    <row r="199" s="5" customFormat="1" ht="20" customHeight="1" spans="1:11">
      <c r="A199" s="22"/>
      <c r="B199" s="23"/>
      <c r="C199" s="24"/>
      <c r="D199" s="24"/>
      <c r="E199" s="24"/>
      <c r="F199" s="24"/>
      <c r="G199" s="24"/>
      <c r="H199" s="24"/>
      <c r="I199" s="24"/>
      <c r="J199" s="24"/>
      <c r="K199" s="25"/>
    </row>
    <row r="200" s="5" customFormat="1" ht="20" customHeight="1" spans="1:11">
      <c r="A200" s="22"/>
      <c r="B200" s="23"/>
      <c r="C200" s="24"/>
      <c r="D200" s="24"/>
      <c r="E200" s="24"/>
      <c r="F200" s="24"/>
      <c r="G200" s="24"/>
      <c r="H200" s="24"/>
      <c r="I200" s="24"/>
      <c r="J200" s="24"/>
      <c r="K200" s="25"/>
    </row>
    <row r="201" s="5" customFormat="1" ht="20" customHeight="1" spans="1:11">
      <c r="A201" s="22"/>
      <c r="B201" s="23"/>
      <c r="C201" s="24"/>
      <c r="D201" s="24"/>
      <c r="E201" s="24"/>
      <c r="F201" s="24"/>
      <c r="G201" s="24"/>
      <c r="H201" s="24"/>
      <c r="I201" s="24"/>
      <c r="J201" s="24"/>
      <c r="K201" s="25"/>
    </row>
    <row r="202" s="5" customFormat="1" ht="20" customHeight="1" spans="1:11">
      <c r="A202" s="22"/>
      <c r="B202" s="23"/>
      <c r="C202" s="24"/>
      <c r="D202" s="24"/>
      <c r="E202" s="24"/>
      <c r="F202" s="24"/>
      <c r="G202" s="24"/>
      <c r="H202" s="24"/>
      <c r="I202" s="24"/>
      <c r="J202" s="24"/>
      <c r="K202" s="25"/>
    </row>
    <row r="203" s="5" customFormat="1" ht="20" customHeight="1" spans="1:11">
      <c r="A203" s="22"/>
      <c r="B203" s="23"/>
      <c r="C203" s="24"/>
      <c r="D203" s="24"/>
      <c r="E203" s="24"/>
      <c r="F203" s="24"/>
      <c r="G203" s="24"/>
      <c r="H203" s="24"/>
      <c r="I203" s="24"/>
      <c r="J203" s="24"/>
      <c r="K203" s="25"/>
    </row>
    <row r="204" s="5" customFormat="1" ht="20" customHeight="1" spans="1:11">
      <c r="A204" s="22"/>
      <c r="B204" s="23"/>
      <c r="C204" s="24"/>
      <c r="D204" s="24"/>
      <c r="E204" s="24"/>
      <c r="F204" s="24"/>
      <c r="G204" s="24"/>
      <c r="H204" s="24"/>
      <c r="I204" s="24"/>
      <c r="J204" s="24"/>
      <c r="K204" s="25"/>
    </row>
    <row r="205" s="5" customFormat="1" ht="20" customHeight="1" spans="1:11">
      <c r="A205" s="22"/>
      <c r="B205" s="23"/>
      <c r="C205" s="24"/>
      <c r="D205" s="24"/>
      <c r="E205" s="24"/>
      <c r="F205" s="24"/>
      <c r="G205" s="24"/>
      <c r="H205" s="24"/>
      <c r="I205" s="24"/>
      <c r="J205" s="24"/>
      <c r="K205" s="25"/>
    </row>
    <row r="206" s="5" customFormat="1" ht="20" customHeight="1" spans="1:11">
      <c r="A206" s="22"/>
      <c r="B206" s="23"/>
      <c r="C206" s="24"/>
      <c r="D206" s="24"/>
      <c r="E206" s="24"/>
      <c r="F206" s="24"/>
      <c r="G206" s="24"/>
      <c r="H206" s="24"/>
      <c r="I206" s="24"/>
      <c r="J206" s="24"/>
      <c r="K206" s="25"/>
    </row>
    <row r="207" s="5" customFormat="1" ht="20" customHeight="1" spans="1:11">
      <c r="A207" s="22"/>
      <c r="B207" s="23"/>
      <c r="C207" s="24"/>
      <c r="D207" s="24"/>
      <c r="E207" s="24"/>
      <c r="F207" s="24"/>
      <c r="G207" s="24"/>
      <c r="H207" s="24"/>
      <c r="I207" s="24"/>
      <c r="J207" s="24"/>
      <c r="K207" s="25"/>
    </row>
    <row r="208" s="5" customFormat="1" ht="20" customHeight="1" spans="1:11">
      <c r="A208" s="22"/>
      <c r="B208" s="23"/>
      <c r="C208" s="24"/>
      <c r="D208" s="24"/>
      <c r="E208" s="24"/>
      <c r="F208" s="24"/>
      <c r="G208" s="24"/>
      <c r="H208" s="24"/>
      <c r="I208" s="24"/>
      <c r="J208" s="24"/>
      <c r="K208" s="25"/>
    </row>
    <row r="209" s="5" customFormat="1" ht="20" customHeight="1" spans="1:11">
      <c r="A209" s="22"/>
      <c r="B209" s="23"/>
      <c r="C209" s="24"/>
      <c r="D209" s="24"/>
      <c r="E209" s="24"/>
      <c r="F209" s="24"/>
      <c r="G209" s="24"/>
      <c r="H209" s="24"/>
      <c r="I209" s="24"/>
      <c r="J209" s="24"/>
      <c r="K209" s="25"/>
    </row>
    <row r="210" s="5" customFormat="1" ht="20" customHeight="1" spans="1:11">
      <c r="A210" s="22"/>
      <c r="B210" s="23"/>
      <c r="C210" s="24"/>
      <c r="D210" s="24"/>
      <c r="E210" s="24"/>
      <c r="F210" s="24"/>
      <c r="G210" s="24"/>
      <c r="H210" s="24"/>
      <c r="I210" s="24"/>
      <c r="J210" s="24"/>
      <c r="K210" s="25"/>
    </row>
    <row r="211" s="5" customFormat="1" ht="20" customHeight="1" spans="1:11">
      <c r="A211" s="22"/>
      <c r="B211" s="23"/>
      <c r="C211" s="24"/>
      <c r="D211" s="24"/>
      <c r="E211" s="24"/>
      <c r="F211" s="24"/>
      <c r="G211" s="24"/>
      <c r="H211" s="24"/>
      <c r="I211" s="24"/>
      <c r="J211" s="24"/>
      <c r="K211" s="25"/>
    </row>
    <row r="212" s="5" customFormat="1" ht="20" customHeight="1" spans="1:11">
      <c r="A212" s="22"/>
      <c r="B212" s="23"/>
      <c r="C212" s="24"/>
      <c r="D212" s="24"/>
      <c r="E212" s="24"/>
      <c r="F212" s="24"/>
      <c r="G212" s="24"/>
      <c r="H212" s="24"/>
      <c r="I212" s="24"/>
      <c r="J212" s="24"/>
      <c r="K212" s="25"/>
    </row>
    <row r="213" s="5" customFormat="1" ht="20" customHeight="1" spans="1:11">
      <c r="A213" s="22"/>
      <c r="B213" s="23"/>
      <c r="C213" s="24"/>
      <c r="D213" s="24"/>
      <c r="E213" s="24"/>
      <c r="F213" s="24"/>
      <c r="G213" s="24"/>
      <c r="H213" s="24"/>
      <c r="I213" s="24"/>
      <c r="J213" s="24"/>
      <c r="K213" s="25"/>
    </row>
    <row r="214" s="5" customFormat="1" ht="20" customHeight="1" spans="1:11">
      <c r="A214" s="22"/>
      <c r="B214" s="23"/>
      <c r="C214" s="24"/>
      <c r="D214" s="24"/>
      <c r="E214" s="24"/>
      <c r="F214" s="24"/>
      <c r="G214" s="24"/>
      <c r="H214" s="24"/>
      <c r="I214" s="24"/>
      <c r="J214" s="24"/>
      <c r="K214" s="25"/>
    </row>
    <row r="215" s="5" customFormat="1" ht="20" customHeight="1" spans="1:11">
      <c r="A215" s="22"/>
      <c r="B215" s="23"/>
      <c r="C215" s="24"/>
      <c r="D215" s="24"/>
      <c r="E215" s="24"/>
      <c r="F215" s="24"/>
      <c r="G215" s="24"/>
      <c r="H215" s="24"/>
      <c r="I215" s="24"/>
      <c r="J215" s="24"/>
      <c r="K215" s="25"/>
    </row>
    <row r="216" s="5" customFormat="1" ht="20" customHeight="1" spans="1:11">
      <c r="A216" s="22"/>
      <c r="B216" s="23"/>
      <c r="C216" s="24"/>
      <c r="D216" s="24"/>
      <c r="E216" s="24"/>
      <c r="F216" s="24"/>
      <c r="G216" s="24"/>
      <c r="H216" s="24"/>
      <c r="I216" s="24"/>
      <c r="J216" s="24"/>
      <c r="K216" s="25"/>
    </row>
    <row r="217" s="5" customFormat="1" ht="20" customHeight="1" spans="1:11">
      <c r="A217" s="22"/>
      <c r="B217" s="23"/>
      <c r="C217" s="24"/>
      <c r="D217" s="24"/>
      <c r="E217" s="24"/>
      <c r="F217" s="24"/>
      <c r="G217" s="24"/>
      <c r="H217" s="24"/>
      <c r="I217" s="24"/>
      <c r="J217" s="24"/>
      <c r="K217" s="25"/>
    </row>
    <row r="218" s="5" customFormat="1" ht="20" customHeight="1" spans="1:11">
      <c r="A218" s="22"/>
      <c r="B218" s="23"/>
      <c r="C218" s="24"/>
      <c r="D218" s="24"/>
      <c r="E218" s="24"/>
      <c r="F218" s="24"/>
      <c r="G218" s="24"/>
      <c r="H218" s="24"/>
      <c r="I218" s="24"/>
      <c r="J218" s="24"/>
      <c r="K218" s="25"/>
    </row>
    <row r="219" s="5" customFormat="1" ht="20" customHeight="1" spans="1:11">
      <c r="A219" s="22"/>
      <c r="B219" s="23"/>
      <c r="C219" s="24"/>
      <c r="D219" s="24"/>
      <c r="E219" s="24"/>
      <c r="F219" s="24"/>
      <c r="G219" s="24"/>
      <c r="H219" s="24"/>
      <c r="I219" s="24"/>
      <c r="J219" s="24"/>
      <c r="K219" s="25"/>
    </row>
    <row r="220" s="5" customFormat="1" ht="20" customHeight="1" spans="1:11">
      <c r="A220" s="22"/>
      <c r="B220" s="23"/>
      <c r="C220" s="24"/>
      <c r="D220" s="24"/>
      <c r="E220" s="24"/>
      <c r="F220" s="24"/>
      <c r="G220" s="24"/>
      <c r="H220" s="24"/>
      <c r="I220" s="24"/>
      <c r="J220" s="24"/>
      <c r="K220" s="25"/>
    </row>
    <row r="221" s="5" customFormat="1" ht="20" customHeight="1" spans="1:11">
      <c r="A221" s="22"/>
      <c r="B221" s="23"/>
      <c r="C221" s="24"/>
      <c r="D221" s="24"/>
      <c r="E221" s="24"/>
      <c r="F221" s="24"/>
      <c r="G221" s="24"/>
      <c r="H221" s="24"/>
      <c r="I221" s="24"/>
      <c r="J221" s="24"/>
      <c r="K221" s="25"/>
    </row>
    <row r="222" s="5" customFormat="1" ht="20" customHeight="1" spans="1:11">
      <c r="A222" s="22"/>
      <c r="B222" s="23"/>
      <c r="C222" s="24"/>
      <c r="D222" s="24"/>
      <c r="E222" s="24"/>
      <c r="F222" s="24"/>
      <c r="G222" s="24"/>
      <c r="H222" s="24"/>
      <c r="I222" s="24"/>
      <c r="J222" s="24"/>
      <c r="K222" s="25"/>
    </row>
    <row r="223" s="5" customFormat="1" ht="20" customHeight="1" spans="1:11">
      <c r="A223" s="22"/>
      <c r="B223" s="23"/>
      <c r="C223" s="24"/>
      <c r="D223" s="24"/>
      <c r="E223" s="24"/>
      <c r="F223" s="24"/>
      <c r="G223" s="24"/>
      <c r="H223" s="24"/>
      <c r="I223" s="24"/>
      <c r="J223" s="24"/>
      <c r="K223" s="25"/>
    </row>
    <row r="224" s="5" customFormat="1" ht="20" customHeight="1" spans="1:11">
      <c r="A224" s="22"/>
      <c r="B224" s="23"/>
      <c r="C224" s="24"/>
      <c r="D224" s="24"/>
      <c r="E224" s="24"/>
      <c r="F224" s="24"/>
      <c r="G224" s="24"/>
      <c r="H224" s="24"/>
      <c r="I224" s="24"/>
      <c r="J224" s="24"/>
      <c r="K224" s="25"/>
    </row>
    <row r="225" s="5" customFormat="1" ht="20" customHeight="1" spans="1:11">
      <c r="A225" s="22"/>
      <c r="B225" s="23"/>
      <c r="C225" s="24"/>
      <c r="D225" s="24"/>
      <c r="E225" s="24"/>
      <c r="F225" s="24"/>
      <c r="G225" s="24"/>
      <c r="H225" s="24"/>
      <c r="I225" s="24"/>
      <c r="J225" s="24"/>
      <c r="K225" s="25"/>
    </row>
    <row r="226" s="5" customFormat="1" ht="20" customHeight="1" spans="1:11">
      <c r="A226" s="22"/>
      <c r="B226" s="23"/>
      <c r="C226" s="24"/>
      <c r="D226" s="24"/>
      <c r="E226" s="24"/>
      <c r="F226" s="24"/>
      <c r="G226" s="24"/>
      <c r="H226" s="24"/>
      <c r="I226" s="24"/>
      <c r="J226" s="24"/>
      <c r="K226" s="25"/>
    </row>
    <row r="227" s="5" customFormat="1" ht="20" customHeight="1" spans="1:11">
      <c r="A227" s="22"/>
      <c r="B227" s="23"/>
      <c r="C227" s="24"/>
      <c r="D227" s="24"/>
      <c r="E227" s="24"/>
      <c r="F227" s="24"/>
      <c r="G227" s="24"/>
      <c r="H227" s="24"/>
      <c r="I227" s="24"/>
      <c r="J227" s="24"/>
      <c r="K227" s="25"/>
    </row>
    <row r="228" s="5" customFormat="1" ht="20" customHeight="1" spans="1:11">
      <c r="A228" s="22"/>
      <c r="B228" s="23"/>
      <c r="C228" s="24"/>
      <c r="D228" s="24"/>
      <c r="E228" s="24"/>
      <c r="F228" s="24"/>
      <c r="G228" s="24"/>
      <c r="H228" s="24"/>
      <c r="I228" s="24"/>
      <c r="J228" s="24"/>
      <c r="K228" s="25"/>
    </row>
    <row r="229" s="5" customFormat="1" ht="20" customHeight="1" spans="1:11">
      <c r="A229" s="22"/>
      <c r="B229" s="23"/>
      <c r="C229" s="24"/>
      <c r="D229" s="24"/>
      <c r="E229" s="24"/>
      <c r="F229" s="24"/>
      <c r="G229" s="24"/>
      <c r="H229" s="24"/>
      <c r="I229" s="24"/>
      <c r="J229" s="24"/>
      <c r="K229" s="25"/>
    </row>
    <row r="230" s="5" customFormat="1" ht="20" customHeight="1" spans="1:11">
      <c r="A230" s="22"/>
      <c r="B230" s="23"/>
      <c r="C230" s="24"/>
      <c r="D230" s="24"/>
      <c r="E230" s="24"/>
      <c r="F230" s="24"/>
      <c r="G230" s="24"/>
      <c r="H230" s="24"/>
      <c r="I230" s="24"/>
      <c r="J230" s="24"/>
      <c r="K230" s="25"/>
    </row>
    <row r="231" s="5" customFormat="1" ht="20" customHeight="1" spans="1:11">
      <c r="A231" s="22"/>
      <c r="B231" s="23"/>
      <c r="C231" s="24"/>
      <c r="D231" s="24"/>
      <c r="E231" s="24"/>
      <c r="F231" s="24"/>
      <c r="G231" s="24"/>
      <c r="H231" s="24"/>
      <c r="I231" s="24"/>
      <c r="J231" s="24"/>
      <c r="K231" s="25"/>
    </row>
    <row r="232" s="5" customFormat="1" ht="20" customHeight="1" spans="1:11">
      <c r="A232" s="22"/>
      <c r="B232" s="23"/>
      <c r="C232" s="24"/>
      <c r="D232" s="24"/>
      <c r="E232" s="24"/>
      <c r="F232" s="24"/>
      <c r="G232" s="24"/>
      <c r="H232" s="24"/>
      <c r="I232" s="24"/>
      <c r="J232" s="24"/>
      <c r="K232" s="25"/>
    </row>
    <row r="233" s="5" customFormat="1" ht="20" customHeight="1" spans="1:11">
      <c r="A233" s="22"/>
      <c r="B233" s="23"/>
      <c r="C233" s="24"/>
      <c r="D233" s="24"/>
      <c r="E233" s="24"/>
      <c r="F233" s="24"/>
      <c r="G233" s="24"/>
      <c r="H233" s="24"/>
      <c r="I233" s="24"/>
      <c r="J233" s="24"/>
      <c r="K233" s="25"/>
    </row>
    <row r="234" s="5" customFormat="1" ht="20" customHeight="1" spans="1:11">
      <c r="A234" s="22"/>
      <c r="B234" s="23"/>
      <c r="C234" s="24"/>
      <c r="D234" s="24"/>
      <c r="E234" s="24"/>
      <c r="F234" s="24"/>
      <c r="G234" s="24"/>
      <c r="H234" s="24"/>
      <c r="I234" s="24"/>
      <c r="J234" s="24"/>
      <c r="K234" s="25"/>
    </row>
    <row r="235" s="5" customFormat="1" ht="20" customHeight="1" spans="1:11">
      <c r="A235" s="22"/>
      <c r="B235" s="23"/>
      <c r="C235" s="24"/>
      <c r="D235" s="24"/>
      <c r="E235" s="24"/>
      <c r="F235" s="24"/>
      <c r="G235" s="24"/>
      <c r="H235" s="24"/>
      <c r="I235" s="24"/>
      <c r="J235" s="24"/>
      <c r="K235" s="25"/>
    </row>
    <row r="236" s="5" customFormat="1" ht="20" customHeight="1" spans="1:11">
      <c r="A236" s="22"/>
      <c r="B236" s="23"/>
      <c r="C236" s="24"/>
      <c r="D236" s="24"/>
      <c r="E236" s="24"/>
      <c r="F236" s="24"/>
      <c r="G236" s="24"/>
      <c r="H236" s="24"/>
      <c r="I236" s="24"/>
      <c r="J236" s="24"/>
      <c r="K236" s="25"/>
    </row>
    <row r="237" s="5" customFormat="1" ht="20" customHeight="1" spans="1:11">
      <c r="A237" s="22"/>
      <c r="B237" s="23"/>
      <c r="C237" s="24"/>
      <c r="D237" s="24"/>
      <c r="E237" s="24"/>
      <c r="F237" s="24"/>
      <c r="G237" s="24"/>
      <c r="H237" s="24"/>
      <c r="I237" s="24"/>
      <c r="J237" s="24"/>
      <c r="K237" s="25"/>
    </row>
    <row r="238" s="5" customFormat="1" ht="20" customHeight="1" spans="1:11">
      <c r="A238" s="22"/>
      <c r="B238" s="23"/>
      <c r="C238" s="24"/>
      <c r="D238" s="24"/>
      <c r="E238" s="24"/>
      <c r="F238" s="24"/>
      <c r="G238" s="24"/>
      <c r="H238" s="24"/>
      <c r="I238" s="24"/>
      <c r="J238" s="24"/>
      <c r="K238" s="25"/>
    </row>
    <row r="239" s="5" customFormat="1" ht="20" customHeight="1" spans="1:11">
      <c r="A239" s="22"/>
      <c r="B239" s="23"/>
      <c r="C239" s="24"/>
      <c r="D239" s="24"/>
      <c r="E239" s="24"/>
      <c r="F239" s="24"/>
      <c r="G239" s="24"/>
      <c r="H239" s="24"/>
      <c r="I239" s="24"/>
      <c r="J239" s="24"/>
      <c r="K239" s="25"/>
    </row>
    <row r="240" s="5" customFormat="1" ht="20" customHeight="1" spans="1:11">
      <c r="A240" s="22"/>
      <c r="B240" s="23"/>
      <c r="C240" s="24"/>
      <c r="D240" s="24"/>
      <c r="E240" s="24"/>
      <c r="F240" s="24"/>
      <c r="G240" s="24"/>
      <c r="H240" s="24"/>
      <c r="I240" s="24"/>
      <c r="J240" s="24"/>
      <c r="K240" s="25"/>
    </row>
    <row r="241" s="5" customFormat="1" ht="20" customHeight="1" spans="1:11">
      <c r="A241" s="22"/>
      <c r="B241" s="23"/>
      <c r="C241" s="24"/>
      <c r="D241" s="24"/>
      <c r="E241" s="24"/>
      <c r="F241" s="24"/>
      <c r="G241" s="24"/>
      <c r="H241" s="24"/>
      <c r="I241" s="24"/>
      <c r="J241" s="24"/>
      <c r="K241" s="25"/>
    </row>
    <row r="242" s="5" customFormat="1" ht="20" customHeight="1" spans="1:11">
      <c r="A242" s="22"/>
      <c r="B242" s="23"/>
      <c r="C242" s="24"/>
      <c r="D242" s="24"/>
      <c r="E242" s="24"/>
      <c r="F242" s="24"/>
      <c r="G242" s="24"/>
      <c r="H242" s="24"/>
      <c r="I242" s="24"/>
      <c r="J242" s="24"/>
      <c r="K242" s="25"/>
    </row>
    <row r="243" s="5" customFormat="1" ht="20" customHeight="1" spans="1:11">
      <c r="A243" s="22"/>
      <c r="B243" s="23"/>
      <c r="C243" s="24"/>
      <c r="D243" s="24"/>
      <c r="E243" s="24"/>
      <c r="F243" s="24"/>
      <c r="G243" s="24"/>
      <c r="H243" s="24"/>
      <c r="I243" s="24"/>
      <c r="J243" s="24"/>
      <c r="K243" s="25"/>
    </row>
    <row r="244" s="5" customFormat="1" ht="20" customHeight="1" spans="1:11">
      <c r="A244" s="22"/>
      <c r="B244" s="23"/>
      <c r="C244" s="24"/>
      <c r="D244" s="24"/>
      <c r="E244" s="24"/>
      <c r="F244" s="24"/>
      <c r="G244" s="24"/>
      <c r="H244" s="24"/>
      <c r="I244" s="24"/>
      <c r="J244" s="24"/>
      <c r="K244" s="25"/>
    </row>
    <row r="245" s="5" customFormat="1" ht="20" customHeight="1" spans="1:11">
      <c r="A245" s="22"/>
      <c r="B245" s="23"/>
      <c r="C245" s="24"/>
      <c r="D245" s="24"/>
      <c r="E245" s="24"/>
      <c r="F245" s="24"/>
      <c r="G245" s="24"/>
      <c r="H245" s="24"/>
      <c r="I245" s="24"/>
      <c r="J245" s="24"/>
      <c r="K245" s="25"/>
    </row>
    <row r="246" s="5" customFormat="1" ht="20" customHeight="1" spans="1:11">
      <c r="A246" s="22"/>
      <c r="B246" s="23"/>
      <c r="C246" s="24"/>
      <c r="D246" s="24"/>
      <c r="E246" s="24"/>
      <c r="F246" s="24"/>
      <c r="G246" s="24"/>
      <c r="H246" s="24"/>
      <c r="I246" s="24"/>
      <c r="J246" s="24"/>
      <c r="K246" s="25"/>
    </row>
    <row r="247" s="5" customFormat="1" ht="20" customHeight="1" spans="1:11">
      <c r="A247" s="22"/>
      <c r="B247" s="23"/>
      <c r="C247" s="24"/>
      <c r="D247" s="24"/>
      <c r="E247" s="24"/>
      <c r="F247" s="24"/>
      <c r="G247" s="24"/>
      <c r="H247" s="24"/>
      <c r="I247" s="24"/>
      <c r="J247" s="24"/>
      <c r="K247" s="25"/>
    </row>
    <row r="248" s="5" customFormat="1" ht="20" customHeight="1" spans="1:11">
      <c r="A248" s="22"/>
      <c r="B248" s="23"/>
      <c r="C248" s="24"/>
      <c r="D248" s="24"/>
      <c r="E248" s="24"/>
      <c r="F248" s="24"/>
      <c r="G248" s="24"/>
      <c r="H248" s="24"/>
      <c r="I248" s="24"/>
      <c r="J248" s="24"/>
      <c r="K248" s="25"/>
    </row>
    <row r="249" s="5" customFormat="1" ht="20" customHeight="1" spans="1:11">
      <c r="A249" s="22"/>
      <c r="B249" s="23"/>
      <c r="C249" s="24"/>
      <c r="D249" s="24"/>
      <c r="E249" s="24"/>
      <c r="F249" s="24"/>
      <c r="G249" s="24"/>
      <c r="H249" s="24"/>
      <c r="I249" s="24"/>
      <c r="J249" s="24"/>
      <c r="K249" s="25"/>
    </row>
    <row r="250" s="5" customFormat="1" ht="20" customHeight="1" spans="1:11">
      <c r="A250" s="22"/>
      <c r="B250" s="23"/>
      <c r="C250" s="24"/>
      <c r="D250" s="24"/>
      <c r="E250" s="24"/>
      <c r="F250" s="24"/>
      <c r="G250" s="24"/>
      <c r="H250" s="24"/>
      <c r="I250" s="24"/>
      <c r="J250" s="24"/>
      <c r="K250" s="25"/>
    </row>
    <row r="251" s="5" customFormat="1" ht="20" customHeight="1" spans="1:11">
      <c r="A251" s="22"/>
      <c r="B251" s="23"/>
      <c r="C251" s="24"/>
      <c r="D251" s="24"/>
      <c r="E251" s="24"/>
      <c r="F251" s="24"/>
      <c r="G251" s="24"/>
      <c r="H251" s="24"/>
      <c r="I251" s="24"/>
      <c r="J251" s="24"/>
      <c r="K251" s="25"/>
    </row>
    <row r="252" s="5" customFormat="1" ht="16.5" spans="1:11">
      <c r="A252" s="22"/>
      <c r="B252" s="23"/>
      <c r="C252" s="24"/>
      <c r="D252" s="24"/>
      <c r="E252" s="24"/>
      <c r="F252" s="24"/>
      <c r="G252" s="24"/>
      <c r="H252" s="24"/>
      <c r="I252" s="24"/>
      <c r="J252" s="24"/>
      <c r="K252" s="25"/>
    </row>
    <row r="253" s="5" customFormat="1" ht="16.5" spans="1:11">
      <c r="A253" s="22"/>
      <c r="B253" s="23"/>
      <c r="C253" s="24"/>
      <c r="D253" s="24"/>
      <c r="E253" s="24"/>
      <c r="F253" s="24"/>
      <c r="G253" s="24"/>
      <c r="H253" s="24"/>
      <c r="I253" s="24"/>
      <c r="J253" s="24"/>
      <c r="K253" s="25"/>
    </row>
    <row r="254" s="5" customFormat="1" ht="16.5" spans="1:11">
      <c r="A254" s="22"/>
      <c r="B254" s="23"/>
      <c r="C254" s="24"/>
      <c r="D254" s="24"/>
      <c r="E254" s="24"/>
      <c r="F254" s="24"/>
      <c r="G254" s="24"/>
      <c r="H254" s="24"/>
      <c r="I254" s="24"/>
      <c r="J254" s="24"/>
      <c r="K254" s="25"/>
    </row>
    <row r="255" s="5" customFormat="1" ht="16.5" spans="1:11">
      <c r="A255" s="22"/>
      <c r="B255" s="23"/>
      <c r="C255" s="24"/>
      <c r="D255" s="24"/>
      <c r="E255" s="24"/>
      <c r="F255" s="24"/>
      <c r="G255" s="24"/>
      <c r="H255" s="24"/>
      <c r="I255" s="24"/>
      <c r="J255" s="24"/>
      <c r="K255" s="25"/>
    </row>
    <row r="256" s="5" customFormat="1" ht="16.5" spans="1:11">
      <c r="A256" s="22"/>
      <c r="B256" s="23"/>
      <c r="C256" s="24"/>
      <c r="D256" s="24"/>
      <c r="E256" s="24"/>
      <c r="F256" s="24"/>
      <c r="G256" s="24"/>
      <c r="H256" s="24"/>
      <c r="I256" s="24"/>
      <c r="J256" s="24"/>
      <c r="K256" s="25"/>
    </row>
    <row r="257" s="5" customFormat="1" ht="16.5" spans="1:11">
      <c r="A257" s="22"/>
      <c r="B257" s="23"/>
      <c r="C257" s="24"/>
      <c r="D257" s="24"/>
      <c r="E257" s="24"/>
      <c r="F257" s="24"/>
      <c r="G257" s="24"/>
      <c r="H257" s="24"/>
      <c r="I257" s="24"/>
      <c r="J257" s="24"/>
      <c r="K257" s="25"/>
    </row>
    <row r="258" s="5" customFormat="1" ht="16.5" spans="1:11">
      <c r="A258" s="22"/>
      <c r="B258" s="23"/>
      <c r="C258" s="24"/>
      <c r="D258" s="24"/>
      <c r="E258" s="24"/>
      <c r="F258" s="24"/>
      <c r="G258" s="24"/>
      <c r="H258" s="24"/>
      <c r="I258" s="24"/>
      <c r="J258" s="24"/>
      <c r="K258" s="25"/>
    </row>
    <row r="259" s="5" customFormat="1" ht="16.5" spans="1:11">
      <c r="A259" s="22"/>
      <c r="B259" s="23"/>
      <c r="C259" s="24"/>
      <c r="D259" s="24"/>
      <c r="E259" s="24"/>
      <c r="F259" s="24"/>
      <c r="G259" s="24"/>
      <c r="H259" s="24"/>
      <c r="I259" s="24"/>
      <c r="J259" s="24"/>
      <c r="K259" s="25"/>
    </row>
    <row r="260" s="5" customFormat="1" ht="16.5" spans="1:11">
      <c r="A260" s="22"/>
      <c r="B260" s="23"/>
      <c r="C260" s="24"/>
      <c r="D260" s="24"/>
      <c r="E260" s="24"/>
      <c r="F260" s="24"/>
      <c r="G260" s="24"/>
      <c r="H260" s="24"/>
      <c r="I260" s="24"/>
      <c r="J260" s="24"/>
      <c r="K260" s="25"/>
    </row>
    <row r="261" s="5" customFormat="1" ht="16.5" spans="1:11">
      <c r="A261" s="22"/>
      <c r="B261" s="23"/>
      <c r="C261" s="24"/>
      <c r="D261" s="24"/>
      <c r="E261" s="24"/>
      <c r="F261" s="24"/>
      <c r="G261" s="24"/>
      <c r="H261" s="24"/>
      <c r="I261" s="24"/>
      <c r="J261" s="24"/>
      <c r="K261" s="25"/>
    </row>
    <row r="262" s="5" customFormat="1" ht="16.5" spans="1:11">
      <c r="A262" s="22"/>
      <c r="B262" s="23"/>
      <c r="C262" s="24"/>
      <c r="D262" s="24"/>
      <c r="E262" s="24"/>
      <c r="F262" s="24"/>
      <c r="G262" s="24"/>
      <c r="H262" s="24"/>
      <c r="I262" s="24"/>
      <c r="J262" s="24"/>
      <c r="K262" s="25"/>
    </row>
    <row r="263" s="5" customFormat="1" ht="16.5" spans="1:11">
      <c r="A263" s="22"/>
      <c r="B263" s="23"/>
      <c r="C263" s="24"/>
      <c r="D263" s="24"/>
      <c r="E263" s="24"/>
      <c r="F263" s="24"/>
      <c r="G263" s="24"/>
      <c r="H263" s="24"/>
      <c r="I263" s="24"/>
      <c r="J263" s="24"/>
      <c r="K263" s="25"/>
    </row>
    <row r="264" s="5" customFormat="1" ht="16.5" spans="1:11">
      <c r="A264" s="22"/>
      <c r="B264" s="23"/>
      <c r="C264" s="24"/>
      <c r="D264" s="24"/>
      <c r="E264" s="24"/>
      <c r="F264" s="24"/>
      <c r="G264" s="24"/>
      <c r="H264" s="24"/>
      <c r="I264" s="24"/>
      <c r="J264" s="24"/>
      <c r="K264" s="25"/>
    </row>
    <row r="265" s="5" customFormat="1" ht="16.5" spans="1:11">
      <c r="A265" s="22"/>
      <c r="B265" s="23"/>
      <c r="C265" s="24"/>
      <c r="D265" s="24"/>
      <c r="E265" s="24"/>
      <c r="F265" s="24"/>
      <c r="G265" s="24"/>
      <c r="H265" s="24"/>
      <c r="I265" s="24"/>
      <c r="J265" s="24"/>
      <c r="K265" s="25"/>
    </row>
    <row r="266" s="5" customFormat="1" ht="16.5" spans="1:11">
      <c r="A266" s="22"/>
      <c r="B266" s="23"/>
      <c r="C266" s="24"/>
      <c r="D266" s="24"/>
      <c r="E266" s="24"/>
      <c r="F266" s="24"/>
      <c r="G266" s="24"/>
      <c r="H266" s="24"/>
      <c r="I266" s="24"/>
      <c r="J266" s="24"/>
      <c r="K266" s="25"/>
    </row>
    <row r="267" s="5" customFormat="1" ht="16.5" spans="1:11">
      <c r="A267" s="22"/>
      <c r="B267" s="23"/>
      <c r="C267" s="24"/>
      <c r="D267" s="24"/>
      <c r="E267" s="24"/>
      <c r="F267" s="24"/>
      <c r="G267" s="24"/>
      <c r="H267" s="24"/>
      <c r="I267" s="24"/>
      <c r="J267" s="24"/>
      <c r="K267" s="25"/>
    </row>
    <row r="268" s="5" customFormat="1" ht="16.5" spans="1:11">
      <c r="A268" s="22"/>
      <c r="B268" s="23"/>
      <c r="C268" s="24"/>
      <c r="D268" s="24"/>
      <c r="E268" s="24"/>
      <c r="F268" s="24"/>
      <c r="G268" s="24"/>
      <c r="H268" s="24"/>
      <c r="I268" s="24"/>
      <c r="J268" s="24"/>
      <c r="K268" s="25"/>
    </row>
    <row r="269" s="5" customFormat="1" ht="16.5" spans="1:11">
      <c r="A269" s="22"/>
      <c r="B269" s="23"/>
      <c r="C269" s="24"/>
      <c r="D269" s="24"/>
      <c r="E269" s="24"/>
      <c r="F269" s="24"/>
      <c r="G269" s="24"/>
      <c r="H269" s="24"/>
      <c r="I269" s="24"/>
      <c r="J269" s="24"/>
      <c r="K269" s="25"/>
    </row>
    <row r="270" s="5" customFormat="1" ht="16.5" spans="1:11">
      <c r="A270" s="22"/>
      <c r="B270" s="23"/>
      <c r="C270" s="24"/>
      <c r="D270" s="24"/>
      <c r="E270" s="24"/>
      <c r="F270" s="24"/>
      <c r="G270" s="24"/>
      <c r="H270" s="24"/>
      <c r="I270" s="24"/>
      <c r="J270" s="24"/>
      <c r="K270" s="25"/>
    </row>
    <row r="271" s="5" customFormat="1" ht="16.5" spans="1:11">
      <c r="A271" s="22"/>
      <c r="B271" s="23"/>
      <c r="C271" s="24"/>
      <c r="D271" s="24"/>
      <c r="E271" s="24"/>
      <c r="F271" s="24"/>
      <c r="G271" s="24"/>
      <c r="H271" s="24"/>
      <c r="I271" s="24"/>
      <c r="J271" s="24"/>
      <c r="K271" s="25"/>
    </row>
    <row r="272" s="5" customFormat="1" ht="16.5" spans="1:11">
      <c r="A272" s="22"/>
      <c r="B272" s="23"/>
      <c r="C272" s="24"/>
      <c r="D272" s="24"/>
      <c r="E272" s="24"/>
      <c r="F272" s="24"/>
      <c r="G272" s="24"/>
      <c r="H272" s="24"/>
      <c r="I272" s="24"/>
      <c r="J272" s="24"/>
      <c r="K272" s="25"/>
    </row>
    <row r="273" s="5" customFormat="1" ht="16.5" spans="1:11">
      <c r="A273" s="22"/>
      <c r="B273" s="23"/>
      <c r="C273" s="24"/>
      <c r="D273" s="24"/>
      <c r="E273" s="24"/>
      <c r="F273" s="24"/>
      <c r="G273" s="24"/>
      <c r="H273" s="24"/>
      <c r="I273" s="24"/>
      <c r="J273" s="24"/>
      <c r="K273" s="25"/>
    </row>
    <row r="274" s="5" customFormat="1" ht="16.5" spans="1:11">
      <c r="A274" s="22"/>
      <c r="B274" s="23"/>
      <c r="C274" s="24"/>
      <c r="D274" s="24"/>
      <c r="E274" s="24"/>
      <c r="F274" s="24"/>
      <c r="G274" s="24"/>
      <c r="H274" s="24"/>
      <c r="I274" s="24"/>
      <c r="J274" s="24"/>
      <c r="K274" s="25"/>
    </row>
    <row r="275" s="5" customFormat="1" ht="16.5" spans="1:11">
      <c r="A275" s="22"/>
      <c r="B275" s="23"/>
      <c r="C275" s="24"/>
      <c r="D275" s="24"/>
      <c r="E275" s="24"/>
      <c r="F275" s="24"/>
      <c r="G275" s="24"/>
      <c r="H275" s="24"/>
      <c r="I275" s="24"/>
      <c r="J275" s="24"/>
      <c r="K275" s="25"/>
    </row>
    <row r="276" s="5" customFormat="1" ht="16.5" spans="1:11">
      <c r="A276" s="22"/>
      <c r="B276" s="23"/>
      <c r="C276" s="24"/>
      <c r="D276" s="24"/>
      <c r="E276" s="24"/>
      <c r="F276" s="24"/>
      <c r="G276" s="24"/>
      <c r="H276" s="24"/>
      <c r="I276" s="24"/>
      <c r="J276" s="24"/>
      <c r="K276" s="25"/>
    </row>
    <row r="277" s="5" customFormat="1" ht="16.5" spans="1:11">
      <c r="A277" s="22"/>
      <c r="B277" s="23"/>
      <c r="C277" s="24"/>
      <c r="D277" s="24"/>
      <c r="E277" s="24"/>
      <c r="F277" s="24"/>
      <c r="G277" s="24"/>
      <c r="H277" s="24"/>
      <c r="I277" s="24"/>
      <c r="J277" s="24"/>
      <c r="K277" s="25"/>
    </row>
    <row r="278" s="5" customFormat="1" ht="16.5" spans="1:11">
      <c r="A278" s="22"/>
      <c r="B278" s="23"/>
      <c r="C278" s="24"/>
      <c r="D278" s="24"/>
      <c r="E278" s="24"/>
      <c r="F278" s="24"/>
      <c r="G278" s="24"/>
      <c r="H278" s="24"/>
      <c r="I278" s="24"/>
      <c r="J278" s="24"/>
      <c r="K278" s="25"/>
    </row>
    <row r="279" s="5" customFormat="1" ht="16.5" spans="1:11">
      <c r="A279" s="22"/>
      <c r="B279" s="23"/>
      <c r="C279" s="24"/>
      <c r="D279" s="24"/>
      <c r="E279" s="24"/>
      <c r="F279" s="24"/>
      <c r="G279" s="24"/>
      <c r="H279" s="24"/>
      <c r="I279" s="24"/>
      <c r="J279" s="24"/>
      <c r="K279" s="25"/>
    </row>
    <row r="280" s="5" customFormat="1" ht="16.5" spans="1:11">
      <c r="A280" s="22"/>
      <c r="B280" s="23"/>
      <c r="C280" s="24"/>
      <c r="D280" s="24"/>
      <c r="E280" s="24"/>
      <c r="F280" s="24"/>
      <c r="G280" s="24"/>
      <c r="H280" s="24"/>
      <c r="I280" s="24"/>
      <c r="J280" s="24"/>
      <c r="K280" s="25"/>
    </row>
    <row r="281" s="5" customFormat="1" ht="16.5" spans="1:11">
      <c r="A281" s="22"/>
      <c r="B281" s="23"/>
      <c r="C281" s="24"/>
      <c r="D281" s="24"/>
      <c r="E281" s="24"/>
      <c r="F281" s="24"/>
      <c r="G281" s="24"/>
      <c r="H281" s="24"/>
      <c r="I281" s="24"/>
      <c r="J281" s="24"/>
      <c r="K281" s="25"/>
    </row>
    <row r="282" s="5" customFormat="1" ht="16.5" spans="1:11">
      <c r="A282" s="22"/>
      <c r="B282" s="23"/>
      <c r="C282" s="24"/>
      <c r="D282" s="24"/>
      <c r="E282" s="24"/>
      <c r="F282" s="24"/>
      <c r="G282" s="24"/>
      <c r="H282" s="24"/>
      <c r="I282" s="24"/>
      <c r="J282" s="24"/>
      <c r="K282" s="25"/>
    </row>
    <row r="283" s="5" customFormat="1" ht="16.5" spans="1:11">
      <c r="A283" s="22"/>
      <c r="B283" s="23"/>
      <c r="C283" s="24"/>
      <c r="D283" s="24"/>
      <c r="E283" s="24"/>
      <c r="F283" s="24"/>
      <c r="G283" s="24"/>
      <c r="H283" s="24"/>
      <c r="I283" s="24"/>
      <c r="J283" s="24"/>
      <c r="K283" s="25"/>
    </row>
    <row r="284" s="5" customFormat="1" ht="16.5" spans="1:11">
      <c r="A284" s="22"/>
      <c r="B284" s="23"/>
      <c r="C284" s="24"/>
      <c r="D284" s="24"/>
      <c r="E284" s="24"/>
      <c r="F284" s="24"/>
      <c r="G284" s="24"/>
      <c r="H284" s="24"/>
      <c r="I284" s="24"/>
      <c r="J284" s="24"/>
      <c r="K284" s="25"/>
    </row>
    <row r="285" s="5" customFormat="1" ht="16.5" spans="1:11">
      <c r="A285" s="22"/>
      <c r="B285" s="23"/>
      <c r="C285" s="24"/>
      <c r="D285" s="24"/>
      <c r="E285" s="24"/>
      <c r="F285" s="24"/>
      <c r="G285" s="24"/>
      <c r="H285" s="24"/>
      <c r="I285" s="24"/>
      <c r="J285" s="24"/>
      <c r="K285" s="25"/>
    </row>
    <row r="286" s="5" customFormat="1" ht="16.5" spans="1:11">
      <c r="A286" s="22"/>
      <c r="B286" s="23"/>
      <c r="C286" s="24"/>
      <c r="D286" s="24"/>
      <c r="E286" s="24"/>
      <c r="F286" s="24"/>
      <c r="G286" s="24"/>
      <c r="H286" s="24"/>
      <c r="I286" s="24"/>
      <c r="J286" s="24"/>
      <c r="K286" s="25"/>
    </row>
    <row r="287" s="5" customFormat="1" ht="16.5" spans="1:11">
      <c r="A287" s="22"/>
      <c r="B287" s="23"/>
      <c r="C287" s="24"/>
      <c r="D287" s="24"/>
      <c r="E287" s="24"/>
      <c r="F287" s="24"/>
      <c r="G287" s="24"/>
      <c r="H287" s="24"/>
      <c r="I287" s="24"/>
      <c r="J287" s="24"/>
      <c r="K287" s="25"/>
    </row>
    <row r="288" s="5" customFormat="1" ht="16.5" spans="1:11">
      <c r="A288" s="22"/>
      <c r="B288" s="23"/>
      <c r="C288" s="24"/>
      <c r="D288" s="24"/>
      <c r="E288" s="24"/>
      <c r="F288" s="24"/>
      <c r="G288" s="24"/>
      <c r="H288" s="24"/>
      <c r="I288" s="24"/>
      <c r="J288" s="24"/>
      <c r="K288" s="25"/>
    </row>
    <row r="289" s="5" customFormat="1" ht="16.5" spans="1:11">
      <c r="A289" s="22"/>
      <c r="B289" s="23"/>
      <c r="C289" s="24"/>
      <c r="D289" s="24"/>
      <c r="E289" s="24"/>
      <c r="F289" s="24"/>
      <c r="G289" s="24"/>
      <c r="H289" s="24"/>
      <c r="I289" s="24"/>
      <c r="J289" s="24"/>
      <c r="K289" s="25"/>
    </row>
    <row r="290" s="5" customFormat="1" ht="16.5" spans="1:11">
      <c r="A290" s="22"/>
      <c r="B290" s="23"/>
      <c r="C290" s="24"/>
      <c r="D290" s="24"/>
      <c r="E290" s="24"/>
      <c r="F290" s="24"/>
      <c r="G290" s="24"/>
      <c r="H290" s="24"/>
      <c r="I290" s="24"/>
      <c r="J290" s="24"/>
      <c r="K290" s="25"/>
    </row>
    <row r="291" s="5" customFormat="1" ht="16.5" spans="1:11">
      <c r="A291" s="22"/>
      <c r="B291" s="23"/>
      <c r="C291" s="24"/>
      <c r="D291" s="24"/>
      <c r="E291" s="24"/>
      <c r="F291" s="24"/>
      <c r="G291" s="24"/>
      <c r="H291" s="24"/>
      <c r="I291" s="24"/>
      <c r="J291" s="24"/>
      <c r="K291" s="25"/>
    </row>
    <row r="292" s="5" customFormat="1" ht="16.5" spans="1:11">
      <c r="A292" s="22"/>
      <c r="B292" s="23"/>
      <c r="C292" s="24"/>
      <c r="D292" s="24"/>
      <c r="E292" s="24"/>
      <c r="F292" s="24"/>
      <c r="G292" s="24"/>
      <c r="H292" s="24"/>
      <c r="I292" s="24"/>
      <c r="J292" s="24"/>
      <c r="K292" s="25"/>
    </row>
    <row r="293" s="5" customFormat="1" ht="16.5" spans="1:11">
      <c r="A293" s="22"/>
      <c r="B293" s="23"/>
      <c r="C293" s="24"/>
      <c r="D293" s="24"/>
      <c r="E293" s="24"/>
      <c r="F293" s="24"/>
      <c r="G293" s="24"/>
      <c r="H293" s="24"/>
      <c r="I293" s="24"/>
      <c r="J293" s="24"/>
      <c r="K293" s="25"/>
    </row>
    <row r="294" s="5" customFormat="1" ht="16.5" spans="1:11">
      <c r="A294" s="22"/>
      <c r="B294" s="23"/>
      <c r="C294" s="24"/>
      <c r="D294" s="24"/>
      <c r="E294" s="24"/>
      <c r="F294" s="24"/>
      <c r="G294" s="24"/>
      <c r="H294" s="24"/>
      <c r="I294" s="24"/>
      <c r="J294" s="24"/>
      <c r="K294" s="25"/>
    </row>
    <row r="295" s="5" customFormat="1" ht="16.5" spans="1:11">
      <c r="A295" s="22"/>
      <c r="B295" s="23"/>
      <c r="C295" s="24"/>
      <c r="D295" s="24"/>
      <c r="E295" s="24"/>
      <c r="F295" s="24"/>
      <c r="G295" s="24"/>
      <c r="H295" s="24"/>
      <c r="I295" s="24"/>
      <c r="J295" s="24"/>
      <c r="K295" s="25"/>
    </row>
    <row r="296" s="5" customFormat="1" ht="16.5" spans="1:11">
      <c r="A296" s="22"/>
      <c r="B296" s="23"/>
      <c r="C296" s="24"/>
      <c r="D296" s="24"/>
      <c r="E296" s="24"/>
      <c r="F296" s="24"/>
      <c r="G296" s="24"/>
      <c r="H296" s="24"/>
      <c r="I296" s="24"/>
      <c r="J296" s="24"/>
      <c r="K296" s="25"/>
    </row>
    <row r="297" s="5" customFormat="1" ht="16.5" spans="1:11">
      <c r="A297" s="22"/>
      <c r="B297" s="23"/>
      <c r="C297" s="24"/>
      <c r="D297" s="24"/>
      <c r="E297" s="24"/>
      <c r="F297" s="24"/>
      <c r="G297" s="24"/>
      <c r="H297" s="24"/>
      <c r="I297" s="24"/>
      <c r="J297" s="24"/>
      <c r="K297" s="25"/>
    </row>
    <row r="298" s="5" customFormat="1" ht="16.5" spans="1:11">
      <c r="A298" s="22"/>
      <c r="B298" s="23"/>
      <c r="C298" s="24"/>
      <c r="D298" s="24"/>
      <c r="E298" s="24"/>
      <c r="F298" s="24"/>
      <c r="G298" s="24"/>
      <c r="H298" s="24"/>
      <c r="I298" s="24"/>
      <c r="J298" s="24"/>
      <c r="K298" s="25"/>
    </row>
    <row r="299" s="5" customFormat="1" ht="16.5" spans="1:11">
      <c r="A299" s="22"/>
      <c r="B299" s="23"/>
      <c r="C299" s="24"/>
      <c r="D299" s="24"/>
      <c r="E299" s="24"/>
      <c r="F299" s="24"/>
      <c r="G299" s="24"/>
      <c r="H299" s="24"/>
      <c r="I299" s="24"/>
      <c r="J299" s="24"/>
      <c r="K299" s="25"/>
    </row>
    <row r="300" s="5" customFormat="1" ht="16.5" spans="1:11">
      <c r="A300" s="22"/>
      <c r="B300" s="23"/>
      <c r="C300" s="24"/>
      <c r="D300" s="24"/>
      <c r="E300" s="24"/>
      <c r="F300" s="24"/>
      <c r="G300" s="24"/>
      <c r="H300" s="24"/>
      <c r="I300" s="24"/>
      <c r="J300" s="24"/>
      <c r="K300" s="25"/>
    </row>
    <row r="301" s="5" customFormat="1" ht="16.5" spans="1:11">
      <c r="A301" s="22"/>
      <c r="B301" s="23"/>
      <c r="C301" s="24"/>
      <c r="D301" s="24"/>
      <c r="E301" s="24"/>
      <c r="F301" s="24"/>
      <c r="G301" s="24"/>
      <c r="H301" s="24"/>
      <c r="I301" s="24"/>
      <c r="J301" s="24"/>
      <c r="K301" s="25"/>
    </row>
    <row r="302" s="5" customFormat="1" ht="16.5" spans="1:11">
      <c r="A302" s="22"/>
      <c r="B302" s="23"/>
      <c r="C302" s="24"/>
      <c r="D302" s="24"/>
      <c r="E302" s="24"/>
      <c r="F302" s="24"/>
      <c r="G302" s="24"/>
      <c r="H302" s="24"/>
      <c r="I302" s="24"/>
      <c r="J302" s="24"/>
      <c r="K302" s="25"/>
    </row>
    <row r="303" s="5" customFormat="1" ht="16.5" spans="1:11">
      <c r="A303" s="22"/>
      <c r="B303" s="23"/>
      <c r="C303" s="24"/>
      <c r="D303" s="24"/>
      <c r="E303" s="24"/>
      <c r="F303" s="24"/>
      <c r="G303" s="24"/>
      <c r="H303" s="24"/>
      <c r="I303" s="24"/>
      <c r="J303" s="24"/>
      <c r="K303" s="25"/>
    </row>
    <row r="304" s="5" customFormat="1" ht="16.5" spans="1:11">
      <c r="A304" s="22"/>
      <c r="B304" s="23"/>
      <c r="C304" s="24"/>
      <c r="D304" s="24"/>
      <c r="E304" s="24"/>
      <c r="F304" s="24"/>
      <c r="G304" s="24"/>
      <c r="H304" s="24"/>
      <c r="I304" s="24"/>
      <c r="J304" s="24"/>
      <c r="K304" s="25"/>
    </row>
    <row r="305" s="5" customFormat="1" ht="16.5" spans="1:11">
      <c r="A305" s="22"/>
      <c r="B305" s="23"/>
      <c r="C305" s="24"/>
      <c r="D305" s="24"/>
      <c r="E305" s="24"/>
      <c r="F305" s="24"/>
      <c r="G305" s="24"/>
      <c r="H305" s="24"/>
      <c r="I305" s="24"/>
      <c r="J305" s="24"/>
      <c r="K305" s="25"/>
    </row>
    <row r="306" s="5" customFormat="1" ht="16.5" spans="1:11">
      <c r="A306" s="22"/>
      <c r="B306" s="23"/>
      <c r="C306" s="24"/>
      <c r="D306" s="24"/>
      <c r="E306" s="24"/>
      <c r="F306" s="24"/>
      <c r="G306" s="24"/>
      <c r="H306" s="24"/>
      <c r="I306" s="24"/>
      <c r="J306" s="24"/>
      <c r="K306" s="25"/>
    </row>
    <row r="307" s="5" customFormat="1" ht="16.5" spans="1:11">
      <c r="A307" s="22"/>
      <c r="B307" s="23"/>
      <c r="C307" s="24"/>
      <c r="D307" s="24"/>
      <c r="E307" s="24"/>
      <c r="F307" s="24"/>
      <c r="G307" s="24"/>
      <c r="H307" s="24"/>
      <c r="I307" s="24"/>
      <c r="J307" s="24"/>
      <c r="K307" s="25"/>
    </row>
    <row r="308" s="5" customFormat="1" ht="16.5" spans="1:11">
      <c r="A308" s="22"/>
      <c r="B308" s="23"/>
      <c r="C308" s="24"/>
      <c r="D308" s="24"/>
      <c r="E308" s="24"/>
      <c r="F308" s="24"/>
      <c r="G308" s="24"/>
      <c r="H308" s="24"/>
      <c r="I308" s="24"/>
      <c r="J308" s="24"/>
      <c r="K308" s="25"/>
    </row>
    <row r="309" s="5" customFormat="1" ht="16.5" spans="1:11">
      <c r="A309" s="22"/>
      <c r="B309" s="23"/>
      <c r="C309" s="24"/>
      <c r="D309" s="24"/>
      <c r="E309" s="24"/>
      <c r="F309" s="24"/>
      <c r="G309" s="24"/>
      <c r="H309" s="24"/>
      <c r="I309" s="24"/>
      <c r="J309" s="24"/>
      <c r="K309" s="25"/>
    </row>
    <row r="310" s="5" customFormat="1" ht="16.5" spans="1:11">
      <c r="A310" s="22"/>
      <c r="B310" s="23"/>
      <c r="C310" s="24"/>
      <c r="D310" s="24"/>
      <c r="E310" s="24"/>
      <c r="F310" s="24"/>
      <c r="G310" s="24"/>
      <c r="H310" s="24"/>
      <c r="I310" s="24"/>
      <c r="J310" s="24"/>
      <c r="K310" s="25"/>
    </row>
    <row r="311" s="5" customFormat="1" ht="16.5" spans="1:11">
      <c r="A311" s="22"/>
      <c r="B311" s="23"/>
      <c r="C311" s="24"/>
      <c r="D311" s="24"/>
      <c r="E311" s="24"/>
      <c r="F311" s="24"/>
      <c r="G311" s="24"/>
      <c r="H311" s="24"/>
      <c r="I311" s="24"/>
      <c r="J311" s="24"/>
      <c r="K311" s="25"/>
    </row>
    <row r="312" s="5" customFormat="1" ht="16.5" spans="1:11">
      <c r="A312" s="22"/>
      <c r="B312" s="23"/>
      <c r="C312" s="24"/>
      <c r="D312" s="24"/>
      <c r="E312" s="24"/>
      <c r="F312" s="24"/>
      <c r="G312" s="24"/>
      <c r="H312" s="24"/>
      <c r="I312" s="24"/>
      <c r="J312" s="24"/>
      <c r="K312" s="25"/>
    </row>
    <row r="313" s="5" customFormat="1" ht="16.5" spans="1:11">
      <c r="A313" s="22"/>
      <c r="B313" s="23"/>
      <c r="C313" s="24"/>
      <c r="D313" s="24"/>
      <c r="E313" s="24"/>
      <c r="F313" s="24"/>
      <c r="G313" s="24"/>
      <c r="H313" s="24"/>
      <c r="I313" s="24"/>
      <c r="J313" s="24"/>
      <c r="K313" s="25"/>
    </row>
    <row r="314" s="5" customFormat="1" ht="16.5" spans="1:11">
      <c r="A314" s="22"/>
      <c r="B314" s="23"/>
      <c r="C314" s="24"/>
      <c r="D314" s="24"/>
      <c r="E314" s="24"/>
      <c r="F314" s="24"/>
      <c r="G314" s="24"/>
      <c r="H314" s="24"/>
      <c r="I314" s="24"/>
      <c r="J314" s="24"/>
      <c r="K314" s="25"/>
    </row>
    <row r="315" s="5" customFormat="1" ht="16.5" spans="1:11">
      <c r="A315" s="22"/>
      <c r="B315" s="23"/>
      <c r="C315" s="24"/>
      <c r="D315" s="24"/>
      <c r="E315" s="24"/>
      <c r="F315" s="24"/>
      <c r="G315" s="24"/>
      <c r="H315" s="24"/>
      <c r="I315" s="24"/>
      <c r="J315" s="24"/>
      <c r="K315" s="25"/>
    </row>
    <row r="316" s="5" customFormat="1" ht="16.5" spans="1:11">
      <c r="A316" s="22"/>
      <c r="B316" s="23"/>
      <c r="C316" s="24"/>
      <c r="D316" s="24"/>
      <c r="E316" s="24"/>
      <c r="F316" s="24"/>
      <c r="G316" s="24"/>
      <c r="H316" s="24"/>
      <c r="I316" s="24"/>
      <c r="J316" s="24"/>
      <c r="K316" s="25"/>
    </row>
    <row r="317" s="5" customFormat="1" ht="16.5" spans="1:11">
      <c r="A317" s="22"/>
      <c r="B317" s="23"/>
      <c r="C317" s="24"/>
      <c r="D317" s="24"/>
      <c r="E317" s="24"/>
      <c r="F317" s="24"/>
      <c r="G317" s="24"/>
      <c r="H317" s="24"/>
      <c r="I317" s="24"/>
      <c r="J317" s="24"/>
      <c r="K317" s="25"/>
    </row>
    <row r="318" s="5" customFormat="1" ht="16.5" spans="1:11">
      <c r="A318" s="22"/>
      <c r="B318" s="23"/>
      <c r="C318" s="24"/>
      <c r="D318" s="24"/>
      <c r="E318" s="24"/>
      <c r="F318" s="24"/>
      <c r="G318" s="24"/>
      <c r="H318" s="24"/>
      <c r="I318" s="24"/>
      <c r="J318" s="24"/>
      <c r="K318" s="25"/>
    </row>
    <row r="319" s="5" customFormat="1" ht="16.5" spans="1:11">
      <c r="A319" s="22"/>
      <c r="B319" s="23"/>
      <c r="C319" s="24"/>
      <c r="D319" s="24"/>
      <c r="E319" s="24"/>
      <c r="F319" s="24"/>
      <c r="G319" s="24"/>
      <c r="H319" s="24"/>
      <c r="I319" s="24"/>
      <c r="J319" s="24"/>
      <c r="K319" s="25"/>
    </row>
    <row r="320" s="5" customFormat="1" ht="16.5" spans="1:11">
      <c r="A320" s="22"/>
      <c r="B320" s="23"/>
      <c r="C320" s="24"/>
      <c r="D320" s="24"/>
      <c r="E320" s="24"/>
      <c r="F320" s="24"/>
      <c r="G320" s="24"/>
      <c r="H320" s="24"/>
      <c r="I320" s="24"/>
      <c r="J320" s="24"/>
      <c r="K320" s="25"/>
    </row>
    <row r="321" s="5" customFormat="1" ht="16.5" spans="1:11">
      <c r="A321" s="22"/>
      <c r="B321" s="23"/>
      <c r="C321" s="24"/>
      <c r="D321" s="24"/>
      <c r="E321" s="24"/>
      <c r="F321" s="24"/>
      <c r="G321" s="24"/>
      <c r="H321" s="24"/>
      <c r="I321" s="24"/>
      <c r="J321" s="24"/>
      <c r="K321" s="25"/>
    </row>
    <row r="322" s="5" customFormat="1" ht="16.5" spans="1:11">
      <c r="A322" s="22"/>
      <c r="B322" s="23"/>
      <c r="C322" s="24"/>
      <c r="D322" s="24"/>
      <c r="E322" s="24"/>
      <c r="F322" s="24"/>
      <c r="G322" s="24"/>
      <c r="H322" s="24"/>
      <c r="I322" s="24"/>
      <c r="J322" s="24"/>
      <c r="K322" s="25"/>
    </row>
    <row r="323" s="5" customFormat="1" ht="16.5" spans="1:11">
      <c r="A323" s="22"/>
      <c r="B323" s="23"/>
      <c r="C323" s="24"/>
      <c r="D323" s="24"/>
      <c r="E323" s="24"/>
      <c r="F323" s="24"/>
      <c r="G323" s="24"/>
      <c r="H323" s="24"/>
      <c r="I323" s="24"/>
      <c r="J323" s="24"/>
      <c r="K323" s="25"/>
    </row>
    <row r="324" s="5" customFormat="1" ht="16.5" spans="1:11">
      <c r="A324" s="22"/>
      <c r="B324" s="23"/>
      <c r="C324" s="24"/>
      <c r="D324" s="24"/>
      <c r="E324" s="24"/>
      <c r="F324" s="24"/>
      <c r="G324" s="24"/>
      <c r="H324" s="24"/>
      <c r="I324" s="24"/>
      <c r="J324" s="24"/>
      <c r="K324" s="25"/>
    </row>
    <row r="325" s="5" customFormat="1" ht="16.5" spans="1:11">
      <c r="A325" s="22"/>
      <c r="B325" s="23"/>
      <c r="C325" s="24"/>
      <c r="D325" s="24"/>
      <c r="E325" s="24"/>
      <c r="F325" s="24"/>
      <c r="G325" s="24"/>
      <c r="H325" s="24"/>
      <c r="I325" s="24"/>
      <c r="J325" s="24"/>
      <c r="K325" s="25"/>
    </row>
    <row r="326" s="5" customFormat="1" ht="16.5" spans="1:11">
      <c r="A326" s="22"/>
      <c r="B326" s="23"/>
      <c r="C326" s="24"/>
      <c r="D326" s="24"/>
      <c r="E326" s="24"/>
      <c r="F326" s="24"/>
      <c r="G326" s="24"/>
      <c r="H326" s="24"/>
      <c r="I326" s="24"/>
      <c r="J326" s="24"/>
      <c r="K326" s="25"/>
    </row>
    <row r="327" s="5" customFormat="1" ht="16.5" spans="1:11">
      <c r="A327" s="22"/>
      <c r="B327" s="23"/>
      <c r="C327" s="24"/>
      <c r="D327" s="24"/>
      <c r="E327" s="24"/>
      <c r="F327" s="24"/>
      <c r="G327" s="24"/>
      <c r="H327" s="24"/>
      <c r="I327" s="24"/>
      <c r="J327" s="24"/>
      <c r="K327" s="25"/>
    </row>
    <row r="328" s="5" customFormat="1" ht="16.5" spans="1:11">
      <c r="A328" s="22"/>
      <c r="B328" s="23"/>
      <c r="C328" s="24"/>
      <c r="D328" s="24"/>
      <c r="E328" s="24"/>
      <c r="F328" s="24"/>
      <c r="G328" s="24"/>
      <c r="H328" s="24"/>
      <c r="I328" s="24"/>
      <c r="J328" s="24"/>
      <c r="K328" s="25"/>
    </row>
    <row r="329" s="5" customFormat="1" ht="16.5" spans="1:11">
      <c r="A329" s="22"/>
      <c r="B329" s="23"/>
      <c r="C329" s="24"/>
      <c r="D329" s="24"/>
      <c r="E329" s="24"/>
      <c r="F329" s="24"/>
      <c r="G329" s="24"/>
      <c r="H329" s="24"/>
      <c r="I329" s="24"/>
      <c r="J329" s="24"/>
      <c r="K329" s="25"/>
    </row>
    <row r="330" s="5" customFormat="1" ht="16.5" spans="1:11">
      <c r="A330" s="22"/>
      <c r="B330" s="23"/>
      <c r="C330" s="24"/>
      <c r="D330" s="24"/>
      <c r="E330" s="24"/>
      <c r="F330" s="24"/>
      <c r="G330" s="24"/>
      <c r="H330" s="24"/>
      <c r="I330" s="24"/>
      <c r="J330" s="24"/>
      <c r="K330" s="25"/>
    </row>
    <row r="331" s="5" customFormat="1" ht="16.5" spans="1:11">
      <c r="A331" s="22"/>
      <c r="B331" s="23"/>
      <c r="C331" s="24"/>
      <c r="D331" s="24"/>
      <c r="E331" s="24"/>
      <c r="F331" s="24"/>
      <c r="G331" s="24"/>
      <c r="H331" s="24"/>
      <c r="I331" s="24"/>
      <c r="J331" s="24"/>
      <c r="K331" s="25"/>
    </row>
    <row r="332" s="5" customFormat="1" ht="16.5" spans="1:11">
      <c r="A332" s="22"/>
      <c r="B332" s="23"/>
      <c r="C332" s="24"/>
      <c r="D332" s="24"/>
      <c r="E332" s="24"/>
      <c r="F332" s="24"/>
      <c r="G332" s="24"/>
      <c r="H332" s="24"/>
      <c r="I332" s="24"/>
      <c r="J332" s="24"/>
      <c r="K332" s="25"/>
    </row>
    <row r="333" s="5" customFormat="1" ht="16.5" spans="1:11">
      <c r="A333" s="22"/>
      <c r="B333" s="23"/>
      <c r="C333" s="24"/>
      <c r="D333" s="24"/>
      <c r="E333" s="24"/>
      <c r="F333" s="24"/>
      <c r="G333" s="24"/>
      <c r="H333" s="24"/>
      <c r="I333" s="24"/>
      <c r="J333" s="24"/>
      <c r="K333" s="25"/>
    </row>
    <row r="334" s="5" customFormat="1" ht="16.5" spans="1:11">
      <c r="A334" s="22"/>
      <c r="B334" s="23"/>
      <c r="C334" s="24"/>
      <c r="D334" s="24"/>
      <c r="E334" s="24"/>
      <c r="F334" s="24"/>
      <c r="G334" s="24"/>
      <c r="H334" s="24"/>
      <c r="I334" s="24"/>
      <c r="J334" s="24"/>
      <c r="K334" s="25"/>
    </row>
    <row r="335" s="5" customFormat="1" ht="16.5" spans="1:11">
      <c r="A335" s="22"/>
      <c r="B335" s="23"/>
      <c r="C335" s="24"/>
      <c r="D335" s="24"/>
      <c r="E335" s="24"/>
      <c r="F335" s="24"/>
      <c r="G335" s="24"/>
      <c r="H335" s="24"/>
      <c r="I335" s="24"/>
      <c r="J335" s="24"/>
      <c r="K335" s="25"/>
    </row>
    <row r="336" s="5" customFormat="1" ht="16.5" spans="1:11">
      <c r="A336" s="22"/>
      <c r="B336" s="23"/>
      <c r="C336" s="24"/>
      <c r="D336" s="24"/>
      <c r="E336" s="24"/>
      <c r="F336" s="24"/>
      <c r="G336" s="24"/>
      <c r="H336" s="24"/>
      <c r="I336" s="24"/>
      <c r="J336" s="24"/>
      <c r="K336" s="25"/>
    </row>
    <row r="337" s="5" customFormat="1" ht="16.5" spans="1:11">
      <c r="A337" s="22"/>
      <c r="B337" s="23"/>
      <c r="C337" s="24"/>
      <c r="D337" s="24"/>
      <c r="E337" s="24"/>
      <c r="F337" s="24"/>
      <c r="G337" s="24"/>
      <c r="H337" s="24"/>
      <c r="I337" s="24"/>
      <c r="J337" s="24"/>
      <c r="K337" s="25"/>
    </row>
    <row r="338" s="5" customFormat="1" ht="16.5" spans="1:11">
      <c r="A338" s="22"/>
      <c r="B338" s="23"/>
      <c r="C338" s="24"/>
      <c r="D338" s="24"/>
      <c r="E338" s="24"/>
      <c r="F338" s="24"/>
      <c r="G338" s="24"/>
      <c r="H338" s="24"/>
      <c r="I338" s="24"/>
      <c r="J338" s="24"/>
      <c r="K338" s="25"/>
    </row>
    <row r="339" s="5" customFormat="1" ht="16.5" spans="1:11">
      <c r="A339" s="22"/>
      <c r="B339" s="23"/>
      <c r="C339" s="24"/>
      <c r="D339" s="24"/>
      <c r="E339" s="24"/>
      <c r="F339" s="24"/>
      <c r="G339" s="24"/>
      <c r="H339" s="24"/>
      <c r="I339" s="24"/>
      <c r="J339" s="24"/>
      <c r="K339" s="25"/>
    </row>
    <row r="340" s="5" customFormat="1" ht="16.5" spans="1:11">
      <c r="A340" s="22"/>
      <c r="B340" s="23"/>
      <c r="C340" s="24"/>
      <c r="D340" s="24"/>
      <c r="E340" s="24"/>
      <c r="F340" s="24"/>
      <c r="G340" s="24"/>
      <c r="H340" s="24"/>
      <c r="I340" s="24"/>
      <c r="J340" s="24"/>
      <c r="K340" s="25"/>
    </row>
    <row r="341" s="5" customFormat="1" ht="16.5" spans="1:11">
      <c r="A341" s="22"/>
      <c r="B341" s="23"/>
      <c r="C341" s="24"/>
      <c r="D341" s="24"/>
      <c r="E341" s="24"/>
      <c r="F341" s="24"/>
      <c r="G341" s="24"/>
      <c r="H341" s="24"/>
      <c r="I341" s="24"/>
      <c r="J341" s="24"/>
      <c r="K341" s="25"/>
    </row>
    <row r="342" s="5" customFormat="1" ht="16.5" spans="1:11">
      <c r="A342" s="22"/>
      <c r="B342" s="23"/>
      <c r="C342" s="24"/>
      <c r="D342" s="24"/>
      <c r="E342" s="24"/>
      <c r="F342" s="24"/>
      <c r="G342" s="24"/>
      <c r="H342" s="24"/>
      <c r="I342" s="24"/>
      <c r="J342" s="24"/>
      <c r="K342" s="25"/>
    </row>
    <row r="343" s="5" customFormat="1" ht="16.5" spans="1:11">
      <c r="A343" s="22"/>
      <c r="B343" s="23"/>
      <c r="C343" s="24"/>
      <c r="D343" s="24"/>
      <c r="E343" s="24"/>
      <c r="F343" s="24"/>
      <c r="G343" s="24"/>
      <c r="H343" s="24"/>
      <c r="I343" s="24"/>
      <c r="J343" s="24"/>
      <c r="K343" s="25"/>
    </row>
    <row r="344" s="5" customFormat="1" ht="16.5" spans="1:11">
      <c r="A344" s="22"/>
      <c r="B344" s="23"/>
      <c r="C344" s="24"/>
      <c r="D344" s="24"/>
      <c r="E344" s="24"/>
      <c r="F344" s="24"/>
      <c r="G344" s="24"/>
      <c r="H344" s="24"/>
      <c r="I344" s="24"/>
      <c r="J344" s="24"/>
      <c r="K344" s="25"/>
    </row>
    <row r="345" s="5" customFormat="1" ht="16.5" spans="1:11">
      <c r="A345" s="22"/>
      <c r="B345" s="23"/>
      <c r="C345" s="24"/>
      <c r="D345" s="24"/>
      <c r="E345" s="24"/>
      <c r="F345" s="24"/>
      <c r="G345" s="24"/>
      <c r="H345" s="24"/>
      <c r="I345" s="24"/>
      <c r="J345" s="24"/>
      <c r="K345" s="25"/>
    </row>
    <row r="346" s="5" customFormat="1" ht="16.5" spans="1:11">
      <c r="A346" s="22"/>
      <c r="B346" s="23"/>
      <c r="C346" s="24"/>
      <c r="D346" s="24"/>
      <c r="E346" s="24"/>
      <c r="F346" s="24"/>
      <c r="G346" s="24"/>
      <c r="H346" s="24"/>
      <c r="I346" s="24"/>
      <c r="J346" s="24"/>
      <c r="K346" s="25"/>
    </row>
    <row r="347" s="5" customFormat="1" ht="16.5" spans="1:11">
      <c r="A347" s="22"/>
      <c r="B347" s="23"/>
      <c r="C347" s="24"/>
      <c r="D347" s="24"/>
      <c r="E347" s="24"/>
      <c r="F347" s="24"/>
      <c r="G347" s="24"/>
      <c r="H347" s="24"/>
      <c r="I347" s="24"/>
      <c r="J347" s="24"/>
      <c r="K347" s="25"/>
    </row>
    <row r="348" s="5" customFormat="1" ht="16.5" spans="1:11">
      <c r="A348" s="22"/>
      <c r="B348" s="23"/>
      <c r="C348" s="24"/>
      <c r="D348" s="24"/>
      <c r="E348" s="24"/>
      <c r="F348" s="24"/>
      <c r="G348" s="24"/>
      <c r="H348" s="24"/>
      <c r="I348" s="24"/>
      <c r="J348" s="24"/>
      <c r="K348" s="25"/>
    </row>
    <row r="349" s="5" customFormat="1" ht="16.5" spans="1:11">
      <c r="A349" s="22"/>
      <c r="B349" s="23"/>
      <c r="C349" s="24"/>
      <c r="D349" s="24"/>
      <c r="E349" s="24"/>
      <c r="F349" s="24"/>
      <c r="G349" s="24"/>
      <c r="H349" s="24"/>
      <c r="I349" s="24"/>
      <c r="J349" s="24"/>
      <c r="K349" s="25"/>
    </row>
    <row r="350" s="5" customFormat="1" ht="16.5" spans="1:11">
      <c r="A350" s="22"/>
      <c r="B350" s="23"/>
      <c r="C350" s="24"/>
      <c r="D350" s="24"/>
      <c r="E350" s="24"/>
      <c r="F350" s="24"/>
      <c r="G350" s="24"/>
      <c r="H350" s="24"/>
      <c r="I350" s="24"/>
      <c r="J350" s="24"/>
      <c r="K350" s="25"/>
    </row>
    <row r="351" s="5" customFormat="1" ht="16.5" spans="1:11">
      <c r="A351" s="22"/>
      <c r="B351" s="23"/>
      <c r="C351" s="24"/>
      <c r="D351" s="24"/>
      <c r="E351" s="24"/>
      <c r="F351" s="24"/>
      <c r="G351" s="24"/>
      <c r="H351" s="24"/>
      <c r="I351" s="24"/>
      <c r="J351" s="24"/>
      <c r="K351" s="25"/>
    </row>
    <row r="352" s="5" customFormat="1" ht="16.5" spans="1:11">
      <c r="A352" s="22"/>
      <c r="B352" s="23"/>
      <c r="C352" s="24"/>
      <c r="D352" s="24"/>
      <c r="E352" s="24"/>
      <c r="F352" s="24"/>
      <c r="G352" s="24"/>
      <c r="H352" s="24"/>
      <c r="I352" s="24"/>
      <c r="J352" s="24"/>
      <c r="K352" s="25"/>
    </row>
    <row r="353" s="5" customFormat="1" ht="16.5" spans="1:11">
      <c r="A353" s="22"/>
      <c r="B353" s="23"/>
      <c r="C353" s="24"/>
      <c r="D353" s="24"/>
      <c r="E353" s="24"/>
      <c r="F353" s="24"/>
      <c r="G353" s="24"/>
      <c r="H353" s="24"/>
      <c r="I353" s="24"/>
      <c r="J353" s="24"/>
      <c r="K353" s="25"/>
    </row>
    <row r="354" s="5" customFormat="1" ht="16.5" spans="1:11">
      <c r="A354" s="22"/>
      <c r="B354" s="23"/>
      <c r="C354" s="24"/>
      <c r="D354" s="24"/>
      <c r="E354" s="24"/>
      <c r="F354" s="24"/>
      <c r="G354" s="24"/>
      <c r="H354" s="24"/>
      <c r="I354" s="24"/>
      <c r="J354" s="24"/>
      <c r="K354" s="25"/>
    </row>
    <row r="355" s="5" customFormat="1" ht="16.5" spans="1:11">
      <c r="A355" s="22"/>
      <c r="B355" s="23"/>
      <c r="C355" s="24"/>
      <c r="D355" s="24"/>
      <c r="E355" s="24"/>
      <c r="F355" s="24"/>
      <c r="G355" s="24"/>
      <c r="H355" s="24"/>
      <c r="I355" s="24"/>
      <c r="J355" s="24"/>
      <c r="K355" s="25"/>
    </row>
    <row r="356" s="5" customFormat="1" ht="16.5" spans="1:11">
      <c r="A356" s="22"/>
      <c r="B356" s="23"/>
      <c r="C356" s="24"/>
      <c r="D356" s="24"/>
      <c r="E356" s="24"/>
      <c r="F356" s="24"/>
      <c r="G356" s="24"/>
      <c r="H356" s="24"/>
      <c r="I356" s="24"/>
      <c r="J356" s="24"/>
      <c r="K356" s="25"/>
    </row>
    <row r="357" s="5" customFormat="1" ht="16.5" spans="1:11">
      <c r="A357" s="22"/>
      <c r="B357" s="23"/>
      <c r="C357" s="24"/>
      <c r="D357" s="24"/>
      <c r="E357" s="24"/>
      <c r="F357" s="24"/>
      <c r="G357" s="24"/>
      <c r="H357" s="24"/>
      <c r="I357" s="24"/>
      <c r="J357" s="24"/>
      <c r="K357" s="25"/>
    </row>
    <row r="358" s="5" customFormat="1" ht="16.5" spans="1:11">
      <c r="A358" s="22"/>
      <c r="B358" s="23"/>
      <c r="C358" s="24"/>
      <c r="D358" s="24"/>
      <c r="E358" s="24"/>
      <c r="F358" s="24"/>
      <c r="G358" s="24"/>
      <c r="H358" s="24"/>
      <c r="I358" s="24"/>
      <c r="J358" s="24"/>
      <c r="K358" s="25"/>
    </row>
    <row r="359" s="5" customFormat="1" ht="16.5" spans="1:11">
      <c r="A359" s="22"/>
      <c r="B359" s="23"/>
      <c r="C359" s="24"/>
      <c r="D359" s="24"/>
      <c r="E359" s="24"/>
      <c r="F359" s="24"/>
      <c r="G359" s="24"/>
      <c r="H359" s="24"/>
      <c r="I359" s="24"/>
      <c r="J359" s="24"/>
      <c r="K359" s="25"/>
    </row>
    <row r="360" s="5" customFormat="1" ht="16.5" spans="1:11">
      <c r="A360" s="22"/>
      <c r="B360" s="23"/>
      <c r="C360" s="24"/>
      <c r="D360" s="24"/>
      <c r="E360" s="24"/>
      <c r="F360" s="24"/>
      <c r="G360" s="24"/>
      <c r="H360" s="24"/>
      <c r="I360" s="24"/>
      <c r="J360" s="24"/>
      <c r="K360" s="25"/>
    </row>
    <row r="361" s="5" customFormat="1" ht="16.5" spans="1:11">
      <c r="A361" s="22"/>
      <c r="B361" s="23"/>
      <c r="C361" s="24"/>
      <c r="D361" s="24"/>
      <c r="E361" s="24"/>
      <c r="F361" s="24"/>
      <c r="G361" s="24"/>
      <c r="H361" s="24"/>
      <c r="I361" s="24"/>
      <c r="J361" s="24"/>
      <c r="K361" s="25"/>
    </row>
    <row r="362" s="5" customFormat="1" ht="16.5" spans="1:11">
      <c r="A362" s="22"/>
      <c r="B362" s="23"/>
      <c r="C362" s="24"/>
      <c r="D362" s="24"/>
      <c r="E362" s="24"/>
      <c r="F362" s="24"/>
      <c r="G362" s="24"/>
      <c r="H362" s="24"/>
      <c r="I362" s="24"/>
      <c r="J362" s="24"/>
      <c r="K362" s="25"/>
    </row>
    <row r="363" s="5" customFormat="1" ht="16.5" spans="1:11">
      <c r="A363" s="22"/>
      <c r="B363" s="23"/>
      <c r="C363" s="24"/>
      <c r="D363" s="24"/>
      <c r="E363" s="24"/>
      <c r="F363" s="24"/>
      <c r="G363" s="24"/>
      <c r="H363" s="24"/>
      <c r="I363" s="24"/>
      <c r="J363" s="24"/>
      <c r="K363" s="25"/>
    </row>
    <row r="364" s="5" customFormat="1" ht="16.5" spans="1:11">
      <c r="A364" s="22"/>
      <c r="B364" s="23"/>
      <c r="C364" s="24"/>
      <c r="D364" s="24"/>
      <c r="E364" s="24"/>
      <c r="F364" s="24"/>
      <c r="G364" s="24"/>
      <c r="H364" s="24"/>
      <c r="I364" s="24"/>
      <c r="J364" s="24"/>
      <c r="K364" s="25"/>
    </row>
    <row r="365" s="5" customFormat="1" ht="16.5" spans="1:11">
      <c r="A365" s="22"/>
      <c r="B365" s="23"/>
      <c r="C365" s="24"/>
      <c r="D365" s="24"/>
      <c r="E365" s="24"/>
      <c r="F365" s="24"/>
      <c r="G365" s="24"/>
      <c r="H365" s="24"/>
      <c r="I365" s="24"/>
      <c r="J365" s="24"/>
      <c r="K365" s="25"/>
    </row>
    <row r="366" s="5" customFormat="1" ht="16.5" spans="1:11">
      <c r="A366" s="22"/>
      <c r="B366" s="23"/>
      <c r="C366" s="24"/>
      <c r="D366" s="24"/>
      <c r="E366" s="24"/>
      <c r="F366" s="24"/>
      <c r="G366" s="24"/>
      <c r="H366" s="24"/>
      <c r="I366" s="24"/>
      <c r="J366" s="24"/>
      <c r="K366" s="25"/>
    </row>
    <row r="367" s="5" customFormat="1" ht="16.5" spans="1:11">
      <c r="A367" s="22"/>
      <c r="B367" s="23"/>
      <c r="C367" s="24"/>
      <c r="D367" s="24"/>
      <c r="E367" s="24"/>
      <c r="F367" s="24"/>
      <c r="G367" s="24"/>
      <c r="H367" s="24"/>
      <c r="I367" s="24"/>
      <c r="J367" s="24"/>
      <c r="K367" s="25"/>
    </row>
    <row r="368" s="5" customFormat="1" ht="16.5" spans="1:11">
      <c r="A368" s="22"/>
      <c r="B368" s="23"/>
      <c r="C368" s="24"/>
      <c r="D368" s="24"/>
      <c r="E368" s="24"/>
      <c r="F368" s="24"/>
      <c r="G368" s="24"/>
      <c r="H368" s="24"/>
      <c r="I368" s="24"/>
      <c r="J368" s="24"/>
      <c r="K368" s="25"/>
    </row>
    <row r="369" s="5" customFormat="1" ht="16.5" spans="1:11">
      <c r="A369" s="22"/>
      <c r="B369" s="23"/>
      <c r="C369" s="24"/>
      <c r="D369" s="24"/>
      <c r="E369" s="24"/>
      <c r="F369" s="24"/>
      <c r="G369" s="24"/>
      <c r="H369" s="24"/>
      <c r="I369" s="24"/>
      <c r="J369" s="24"/>
      <c r="K369" s="25"/>
    </row>
    <row r="370" s="5" customFormat="1" ht="16.5" spans="1:11">
      <c r="A370" s="22"/>
      <c r="B370" s="23"/>
      <c r="C370" s="24"/>
      <c r="D370" s="24"/>
      <c r="E370" s="24"/>
      <c r="F370" s="24"/>
      <c r="G370" s="24"/>
      <c r="H370" s="24"/>
      <c r="I370" s="24"/>
      <c r="J370" s="24"/>
      <c r="K370" s="25"/>
    </row>
    <row r="371" s="5" customFormat="1" ht="16.5" spans="1:11">
      <c r="A371" s="22"/>
      <c r="B371" s="23"/>
      <c r="C371" s="24"/>
      <c r="D371" s="24"/>
      <c r="E371" s="24"/>
      <c r="F371" s="24"/>
      <c r="G371" s="24"/>
      <c r="H371" s="24"/>
      <c r="I371" s="24"/>
      <c r="J371" s="24"/>
      <c r="K371" s="25"/>
    </row>
    <row r="372" s="5" customFormat="1" ht="16.5" spans="1:11">
      <c r="A372" s="22"/>
      <c r="B372" s="23"/>
      <c r="C372" s="24"/>
      <c r="D372" s="24"/>
      <c r="E372" s="24"/>
      <c r="F372" s="24"/>
      <c r="G372" s="24"/>
      <c r="H372" s="24"/>
      <c r="I372" s="24"/>
      <c r="J372" s="24"/>
      <c r="K372" s="25"/>
    </row>
    <row r="373" s="5" customFormat="1" ht="16.5" spans="1:11">
      <c r="A373" s="22"/>
      <c r="B373" s="23"/>
      <c r="C373" s="24"/>
      <c r="D373" s="24"/>
      <c r="E373" s="24"/>
      <c r="F373" s="24"/>
      <c r="G373" s="24"/>
      <c r="H373" s="24"/>
      <c r="I373" s="24"/>
      <c r="J373" s="24"/>
      <c r="K373" s="25"/>
    </row>
    <row r="374" s="5" customFormat="1" ht="16.5" spans="1:11">
      <c r="A374" s="22"/>
      <c r="B374" s="23"/>
      <c r="C374" s="24"/>
      <c r="D374" s="24"/>
      <c r="E374" s="24"/>
      <c r="F374" s="24"/>
      <c r="G374" s="24"/>
      <c r="H374" s="24"/>
      <c r="I374" s="24"/>
      <c r="J374" s="24"/>
      <c r="K374" s="25"/>
    </row>
    <row r="375" s="5" customFormat="1" ht="16.5" spans="1:11">
      <c r="A375" s="22"/>
      <c r="B375" s="23"/>
      <c r="C375" s="24"/>
      <c r="D375" s="24"/>
      <c r="E375" s="24"/>
      <c r="F375" s="24"/>
      <c r="G375" s="24"/>
      <c r="H375" s="24"/>
      <c r="I375" s="24"/>
      <c r="J375" s="24"/>
      <c r="K375" s="25"/>
    </row>
    <row r="376" s="5" customFormat="1" ht="16.5" spans="1:11">
      <c r="A376" s="22"/>
      <c r="B376" s="23"/>
      <c r="C376" s="24"/>
      <c r="D376" s="24"/>
      <c r="E376" s="24"/>
      <c r="F376" s="24"/>
      <c r="G376" s="24"/>
      <c r="H376" s="24"/>
      <c r="I376" s="24"/>
      <c r="J376" s="24"/>
      <c r="K376" s="25"/>
    </row>
    <row r="377" s="5" customFormat="1" ht="16.5" spans="1:11">
      <c r="A377" s="22"/>
      <c r="B377" s="23"/>
      <c r="C377" s="24"/>
      <c r="D377" s="24"/>
      <c r="E377" s="24"/>
      <c r="F377" s="24"/>
      <c r="G377" s="24"/>
      <c r="H377" s="24"/>
      <c r="I377" s="24"/>
      <c r="J377" s="24"/>
      <c r="K377" s="25"/>
    </row>
    <row r="378" s="5" customFormat="1" ht="16.5" spans="1:11">
      <c r="A378" s="22"/>
      <c r="B378" s="23"/>
      <c r="C378" s="24"/>
      <c r="D378" s="24"/>
      <c r="E378" s="24"/>
      <c r="F378" s="24"/>
      <c r="G378" s="24"/>
      <c r="H378" s="24"/>
      <c r="I378" s="24"/>
      <c r="J378" s="24"/>
      <c r="K378" s="25"/>
    </row>
    <row r="379" s="5" customFormat="1" ht="16.5" spans="1:11">
      <c r="A379" s="22"/>
      <c r="B379" s="23"/>
      <c r="C379" s="24"/>
      <c r="D379" s="24"/>
      <c r="E379" s="24"/>
      <c r="F379" s="24"/>
      <c r="G379" s="24"/>
      <c r="H379" s="24"/>
      <c r="I379" s="24"/>
      <c r="J379" s="24"/>
      <c r="K379" s="25"/>
    </row>
    <row r="380" s="5" customFormat="1" ht="16.5" spans="1:11">
      <c r="A380" s="22"/>
      <c r="B380" s="23"/>
      <c r="C380" s="24"/>
      <c r="D380" s="24"/>
      <c r="E380" s="24"/>
      <c r="F380" s="24"/>
      <c r="G380" s="24"/>
      <c r="H380" s="24"/>
      <c r="I380" s="24"/>
      <c r="J380" s="24"/>
      <c r="K380" s="25"/>
    </row>
    <row r="381" s="5" customFormat="1" ht="16.5" spans="1:11">
      <c r="A381" s="22"/>
      <c r="B381" s="23"/>
      <c r="C381" s="24"/>
      <c r="D381" s="24"/>
      <c r="E381" s="24"/>
      <c r="F381" s="24"/>
      <c r="G381" s="24"/>
      <c r="H381" s="24"/>
      <c r="I381" s="24"/>
      <c r="J381" s="24"/>
      <c r="K381" s="25"/>
    </row>
    <row r="382" s="5" customFormat="1" ht="16.5" spans="1:11">
      <c r="A382" s="22"/>
      <c r="B382" s="23"/>
      <c r="C382" s="24"/>
      <c r="D382" s="24"/>
      <c r="E382" s="24"/>
      <c r="F382" s="24"/>
      <c r="G382" s="24"/>
      <c r="H382" s="24"/>
      <c r="I382" s="24"/>
      <c r="J382" s="24"/>
      <c r="K382" s="25"/>
    </row>
    <row r="383" s="5" customFormat="1" ht="16.5" spans="1:11">
      <c r="A383" s="22"/>
      <c r="B383" s="23"/>
      <c r="C383" s="24"/>
      <c r="D383" s="24"/>
      <c r="E383" s="24"/>
      <c r="F383" s="24"/>
      <c r="G383" s="24"/>
      <c r="H383" s="24"/>
      <c r="I383" s="24"/>
      <c r="J383" s="24"/>
      <c r="K383" s="25"/>
    </row>
    <row r="384" s="5" customFormat="1" ht="16.5" spans="1:11">
      <c r="A384" s="22"/>
      <c r="B384" s="23"/>
      <c r="C384" s="24"/>
      <c r="D384" s="24"/>
      <c r="E384" s="24"/>
      <c r="F384" s="24"/>
      <c r="G384" s="24"/>
      <c r="H384" s="24"/>
      <c r="I384" s="24"/>
      <c r="J384" s="24"/>
      <c r="K384" s="25"/>
    </row>
    <row r="385" s="5" customFormat="1" ht="16.5" spans="1:11">
      <c r="A385" s="22"/>
      <c r="B385" s="23"/>
      <c r="C385" s="24"/>
      <c r="D385" s="24"/>
      <c r="E385" s="24"/>
      <c r="F385" s="24"/>
      <c r="G385" s="24"/>
      <c r="H385" s="24"/>
      <c r="I385" s="24"/>
      <c r="J385" s="24"/>
      <c r="K385" s="25"/>
    </row>
    <row r="386" s="5" customFormat="1" ht="16.5" spans="1:11">
      <c r="A386" s="22"/>
      <c r="B386" s="23"/>
      <c r="C386" s="24"/>
      <c r="D386" s="24"/>
      <c r="E386" s="24"/>
      <c r="F386" s="24"/>
      <c r="G386" s="24"/>
      <c r="H386" s="24"/>
      <c r="I386" s="24"/>
      <c r="J386" s="24"/>
      <c r="K386" s="25"/>
    </row>
    <row r="387" s="5" customFormat="1" ht="16.5" spans="1:11">
      <c r="A387" s="22"/>
      <c r="B387" s="23"/>
      <c r="C387" s="24"/>
      <c r="D387" s="24"/>
      <c r="E387" s="24"/>
      <c r="F387" s="24"/>
      <c r="G387" s="24"/>
      <c r="H387" s="24"/>
      <c r="I387" s="24"/>
      <c r="J387" s="24"/>
      <c r="K387" s="25"/>
    </row>
    <row r="388" s="5" customFormat="1" ht="16.5" spans="1:11">
      <c r="A388" s="22"/>
      <c r="B388" s="23"/>
      <c r="C388" s="24"/>
      <c r="D388" s="24"/>
      <c r="E388" s="24"/>
      <c r="F388" s="24"/>
      <c r="G388" s="24"/>
      <c r="H388" s="24"/>
      <c r="I388" s="24"/>
      <c r="J388" s="24"/>
      <c r="K388" s="25"/>
    </row>
    <row r="389" s="5" customFormat="1" ht="16.5" spans="1:11">
      <c r="A389" s="22"/>
      <c r="B389" s="23"/>
      <c r="C389" s="24"/>
      <c r="D389" s="24"/>
      <c r="E389" s="24"/>
      <c r="F389" s="24"/>
      <c r="G389" s="24"/>
      <c r="H389" s="24"/>
      <c r="I389" s="24"/>
      <c r="J389" s="24"/>
      <c r="K389" s="25"/>
    </row>
    <row r="390" s="5" customFormat="1" ht="16.5" spans="1:11">
      <c r="A390" s="22"/>
      <c r="B390" s="23"/>
      <c r="C390" s="24"/>
      <c r="D390" s="24"/>
      <c r="E390" s="24"/>
      <c r="F390" s="24"/>
      <c r="G390" s="24"/>
      <c r="H390" s="24"/>
      <c r="I390" s="24"/>
      <c r="J390" s="24"/>
      <c r="K390" s="25"/>
    </row>
    <row r="391" s="5" customFormat="1" ht="16.5" spans="1:11">
      <c r="A391" s="22"/>
      <c r="B391" s="23"/>
      <c r="C391" s="24"/>
      <c r="D391" s="24"/>
      <c r="E391" s="24"/>
      <c r="F391" s="24"/>
      <c r="G391" s="24"/>
      <c r="H391" s="24"/>
      <c r="I391" s="24"/>
      <c r="J391" s="24"/>
      <c r="K391" s="25"/>
    </row>
    <row r="392" s="5" customFormat="1" ht="16.5" spans="1:11">
      <c r="A392" s="22"/>
      <c r="B392" s="23"/>
      <c r="C392" s="24"/>
      <c r="D392" s="24"/>
      <c r="E392" s="24"/>
      <c r="F392" s="24"/>
      <c r="G392" s="24"/>
      <c r="H392" s="24"/>
      <c r="I392" s="24"/>
      <c r="J392" s="24"/>
      <c r="K392" s="25"/>
    </row>
    <row r="393" s="5" customFormat="1" ht="16.5" spans="1:11">
      <c r="A393" s="22"/>
      <c r="B393" s="23"/>
      <c r="C393" s="24"/>
      <c r="D393" s="24"/>
      <c r="E393" s="24"/>
      <c r="F393" s="24"/>
      <c r="G393" s="24"/>
      <c r="H393" s="24"/>
      <c r="I393" s="24"/>
      <c r="J393" s="24"/>
      <c r="K393" s="25"/>
    </row>
    <row r="394" s="5" customFormat="1" ht="16.5" spans="1:11">
      <c r="A394" s="22"/>
      <c r="B394" s="23"/>
      <c r="C394" s="24"/>
      <c r="D394" s="24"/>
      <c r="E394" s="24"/>
      <c r="F394" s="24"/>
      <c r="G394" s="24"/>
      <c r="H394" s="24"/>
      <c r="I394" s="24"/>
      <c r="J394" s="24"/>
      <c r="K394" s="25"/>
    </row>
    <row r="395" s="5" customFormat="1" ht="16.5" spans="1:11">
      <c r="A395" s="22"/>
      <c r="B395" s="23"/>
      <c r="C395" s="24"/>
      <c r="D395" s="24"/>
      <c r="E395" s="24"/>
      <c r="F395" s="24"/>
      <c r="G395" s="24"/>
      <c r="H395" s="24"/>
      <c r="I395" s="24"/>
      <c r="J395" s="24"/>
      <c r="K395" s="25"/>
    </row>
    <row r="396" s="5" customFormat="1" ht="16.5" spans="1:11">
      <c r="A396" s="22"/>
      <c r="B396" s="23"/>
      <c r="C396" s="24"/>
      <c r="D396" s="24"/>
      <c r="E396" s="24"/>
      <c r="F396" s="24"/>
      <c r="G396" s="24"/>
      <c r="H396" s="24"/>
      <c r="I396" s="24"/>
      <c r="J396" s="24"/>
      <c r="K396" s="25"/>
    </row>
    <row r="397" s="5" customFormat="1" ht="16.5" spans="1:11">
      <c r="A397" s="22"/>
      <c r="B397" s="23"/>
      <c r="C397" s="24"/>
      <c r="D397" s="24"/>
      <c r="E397" s="24"/>
      <c r="F397" s="24"/>
      <c r="G397" s="24"/>
      <c r="H397" s="24"/>
      <c r="I397" s="24"/>
      <c r="J397" s="24"/>
      <c r="K397" s="25"/>
    </row>
    <row r="398" s="5" customFormat="1" ht="16.5" spans="1:11">
      <c r="A398" s="22"/>
      <c r="B398" s="23"/>
      <c r="C398" s="24"/>
      <c r="D398" s="24"/>
      <c r="E398" s="24"/>
      <c r="F398" s="24"/>
      <c r="G398" s="24"/>
      <c r="H398" s="24"/>
      <c r="I398" s="24"/>
      <c r="J398" s="24"/>
      <c r="K398" s="25"/>
    </row>
    <row r="399" s="5" customFormat="1" ht="16.5" spans="1:11">
      <c r="A399" s="22"/>
      <c r="B399" s="23"/>
      <c r="C399" s="24"/>
      <c r="D399" s="24"/>
      <c r="E399" s="24"/>
      <c r="F399" s="24"/>
      <c r="G399" s="24"/>
      <c r="H399" s="24"/>
      <c r="I399" s="24"/>
      <c r="J399" s="24"/>
      <c r="K399" s="25"/>
    </row>
    <row r="400" s="5" customFormat="1" ht="16.5" spans="1:11">
      <c r="A400" s="22"/>
      <c r="B400" s="23"/>
      <c r="C400" s="24"/>
      <c r="D400" s="24"/>
      <c r="E400" s="24"/>
      <c r="F400" s="24"/>
      <c r="G400" s="24"/>
      <c r="H400" s="24"/>
      <c r="I400" s="24"/>
      <c r="J400" s="24"/>
      <c r="K400" s="25"/>
    </row>
    <row r="401" s="5" customFormat="1" ht="16.5" spans="1:11">
      <c r="A401" s="22"/>
      <c r="B401" s="23"/>
      <c r="C401" s="24"/>
      <c r="D401" s="24"/>
      <c r="E401" s="24"/>
      <c r="F401" s="24"/>
      <c r="G401" s="24"/>
      <c r="H401" s="24"/>
      <c r="I401" s="24"/>
      <c r="J401" s="24"/>
      <c r="K401" s="25"/>
    </row>
    <row r="402" s="5" customFormat="1" ht="16.5" spans="1:11">
      <c r="A402" s="22"/>
      <c r="B402" s="23"/>
      <c r="C402" s="24"/>
      <c r="D402" s="24"/>
      <c r="E402" s="24"/>
      <c r="F402" s="24"/>
      <c r="G402" s="24"/>
      <c r="H402" s="24"/>
      <c r="I402" s="24"/>
      <c r="J402" s="24"/>
      <c r="K402" s="25"/>
    </row>
    <row r="403" s="5" customFormat="1" ht="16.5" spans="1:11">
      <c r="A403" s="22"/>
      <c r="B403" s="23"/>
      <c r="C403" s="24"/>
      <c r="D403" s="24"/>
      <c r="E403" s="24"/>
      <c r="F403" s="24"/>
      <c r="G403" s="24"/>
      <c r="H403" s="24"/>
      <c r="I403" s="24"/>
      <c r="J403" s="24"/>
      <c r="K403" s="25"/>
    </row>
    <row r="404" s="5" customFormat="1" ht="16.5" spans="1:11">
      <c r="A404" s="22"/>
      <c r="B404" s="23"/>
      <c r="C404" s="24"/>
      <c r="D404" s="24"/>
      <c r="E404" s="24"/>
      <c r="F404" s="24"/>
      <c r="G404" s="24"/>
      <c r="H404" s="24"/>
      <c r="I404" s="24"/>
      <c r="J404" s="24"/>
      <c r="K404" s="25"/>
    </row>
    <row r="405" s="5" customFormat="1" ht="16.5" spans="1:11">
      <c r="A405" s="22"/>
      <c r="B405" s="23"/>
      <c r="C405" s="24"/>
      <c r="D405" s="24"/>
      <c r="E405" s="24"/>
      <c r="F405" s="24"/>
      <c r="G405" s="24"/>
      <c r="H405" s="24"/>
      <c r="I405" s="24"/>
      <c r="J405" s="24"/>
      <c r="K405" s="25"/>
    </row>
    <row r="406" s="5" customFormat="1" ht="16.5" spans="1:11">
      <c r="A406" s="22"/>
      <c r="B406" s="23"/>
      <c r="C406" s="24"/>
      <c r="D406" s="24"/>
      <c r="E406" s="24"/>
      <c r="F406" s="24"/>
      <c r="G406" s="24"/>
      <c r="H406" s="24"/>
      <c r="I406" s="24"/>
      <c r="J406" s="24"/>
      <c r="K406" s="25"/>
    </row>
    <row r="407" s="5" customFormat="1" ht="16.5" spans="1:11">
      <c r="A407" s="22"/>
      <c r="B407" s="23"/>
      <c r="C407" s="24"/>
      <c r="D407" s="24"/>
      <c r="E407" s="24"/>
      <c r="F407" s="24"/>
      <c r="G407" s="24"/>
      <c r="H407" s="24"/>
      <c r="I407" s="24"/>
      <c r="J407" s="24"/>
      <c r="K407" s="25"/>
    </row>
    <row r="408" s="5" customFormat="1" ht="16.5" spans="1:11">
      <c r="A408" s="22"/>
      <c r="B408" s="23"/>
      <c r="C408" s="24"/>
      <c r="D408" s="24"/>
      <c r="E408" s="24"/>
      <c r="F408" s="24"/>
      <c r="G408" s="24"/>
      <c r="H408" s="24"/>
      <c r="I408" s="24"/>
      <c r="J408" s="24"/>
      <c r="K408" s="25"/>
    </row>
    <row r="409" s="5" customFormat="1" ht="16.5" spans="1:11">
      <c r="A409" s="22"/>
      <c r="B409" s="23"/>
      <c r="C409" s="24"/>
      <c r="D409" s="24"/>
      <c r="E409" s="24"/>
      <c r="F409" s="24"/>
      <c r="G409" s="24"/>
      <c r="H409" s="24"/>
      <c r="I409" s="24"/>
      <c r="J409" s="24"/>
      <c r="K409" s="25"/>
    </row>
    <row r="410" s="5" customFormat="1" ht="16.5" spans="1:11">
      <c r="A410" s="22"/>
      <c r="B410" s="23"/>
      <c r="C410" s="24"/>
      <c r="D410" s="24"/>
      <c r="E410" s="24"/>
      <c r="F410" s="24"/>
      <c r="G410" s="24"/>
      <c r="H410" s="24"/>
      <c r="I410" s="24"/>
      <c r="J410" s="24"/>
      <c r="K410" s="25"/>
    </row>
    <row r="411" s="5" customFormat="1" ht="16.5" spans="1:11">
      <c r="A411" s="22"/>
      <c r="B411" s="23"/>
      <c r="C411" s="24"/>
      <c r="D411" s="24"/>
      <c r="E411" s="24"/>
      <c r="F411" s="24"/>
      <c r="G411" s="24"/>
      <c r="H411" s="24"/>
      <c r="I411" s="24"/>
      <c r="J411" s="24"/>
      <c r="K411" s="25"/>
    </row>
    <row r="412" s="5" customFormat="1" ht="16.5" spans="1:11">
      <c r="A412" s="22"/>
      <c r="B412" s="23"/>
      <c r="C412" s="24"/>
      <c r="D412" s="24"/>
      <c r="E412" s="24"/>
      <c r="F412" s="24"/>
      <c r="G412" s="24"/>
      <c r="H412" s="24"/>
      <c r="I412" s="24"/>
      <c r="J412" s="24"/>
      <c r="K412" s="25"/>
    </row>
    <row r="413" s="5" customFormat="1" ht="16.5" spans="1:11">
      <c r="A413" s="22"/>
      <c r="B413" s="23"/>
      <c r="C413" s="24"/>
      <c r="D413" s="24"/>
      <c r="E413" s="24"/>
      <c r="F413" s="24"/>
      <c r="G413" s="24"/>
      <c r="H413" s="24"/>
      <c r="I413" s="24"/>
      <c r="J413" s="24"/>
      <c r="K413" s="25"/>
    </row>
    <row r="414" s="5" customFormat="1" ht="16.5" spans="1:11">
      <c r="A414" s="22"/>
      <c r="B414" s="23"/>
      <c r="C414" s="24"/>
      <c r="D414" s="24"/>
      <c r="E414" s="24"/>
      <c r="F414" s="24"/>
      <c r="G414" s="24"/>
      <c r="H414" s="24"/>
      <c r="I414" s="24"/>
      <c r="J414" s="24"/>
      <c r="K414" s="25"/>
    </row>
    <row r="415" s="5" customFormat="1" ht="16.5" spans="1:11">
      <c r="A415" s="22"/>
      <c r="B415" s="23"/>
      <c r="C415" s="24"/>
      <c r="D415" s="24"/>
      <c r="E415" s="24"/>
      <c r="F415" s="24"/>
      <c r="G415" s="24"/>
      <c r="H415" s="24"/>
      <c r="I415" s="24"/>
      <c r="J415" s="24"/>
      <c r="K415" s="25"/>
    </row>
    <row r="416" s="5" customFormat="1" ht="16.5" spans="1:11">
      <c r="A416" s="22"/>
      <c r="B416" s="23"/>
      <c r="C416" s="24"/>
      <c r="D416" s="24"/>
      <c r="E416" s="24"/>
      <c r="F416" s="24"/>
      <c r="G416" s="24"/>
      <c r="H416" s="24"/>
      <c r="I416" s="24"/>
      <c r="J416" s="24"/>
      <c r="K416" s="25"/>
    </row>
    <row r="417" s="5" customFormat="1" ht="16.5" spans="1:11">
      <c r="A417" s="22"/>
      <c r="B417" s="23"/>
      <c r="C417" s="24"/>
      <c r="D417" s="24"/>
      <c r="E417" s="24"/>
      <c r="F417" s="24"/>
      <c r="G417" s="24"/>
      <c r="H417" s="24"/>
      <c r="I417" s="24"/>
      <c r="J417" s="24"/>
      <c r="K417" s="25"/>
    </row>
    <row r="418" s="5" customFormat="1" ht="16.5" spans="1:11">
      <c r="A418" s="22"/>
      <c r="B418" s="23"/>
      <c r="C418" s="24"/>
      <c r="D418" s="24"/>
      <c r="E418" s="24"/>
      <c r="F418" s="24"/>
      <c r="G418" s="24"/>
      <c r="H418" s="24"/>
      <c r="I418" s="24"/>
      <c r="J418" s="24"/>
      <c r="K418" s="25"/>
    </row>
    <row r="419" s="5" customFormat="1" ht="16.5" spans="1:11">
      <c r="A419" s="22"/>
      <c r="B419" s="23"/>
      <c r="C419" s="24"/>
      <c r="D419" s="24"/>
      <c r="E419" s="24"/>
      <c r="F419" s="24"/>
      <c r="G419" s="24"/>
      <c r="H419" s="24"/>
      <c r="I419" s="24"/>
      <c r="J419" s="24"/>
      <c r="K419" s="25"/>
    </row>
    <row r="420" s="5" customFormat="1" ht="16.5" spans="1:11">
      <c r="A420" s="22"/>
      <c r="B420" s="23"/>
      <c r="C420" s="24"/>
      <c r="D420" s="24"/>
      <c r="E420" s="24"/>
      <c r="F420" s="24"/>
      <c r="G420" s="24"/>
      <c r="H420" s="24"/>
      <c r="I420" s="24"/>
      <c r="J420" s="24"/>
      <c r="K420" s="25"/>
    </row>
    <row r="421" s="5" customFormat="1" ht="16.5" spans="1:11">
      <c r="A421" s="22"/>
      <c r="B421" s="23"/>
      <c r="C421" s="24"/>
      <c r="D421" s="24"/>
      <c r="E421" s="24"/>
      <c r="F421" s="24"/>
      <c r="G421" s="24"/>
      <c r="H421" s="24"/>
      <c r="I421" s="24"/>
      <c r="J421" s="24"/>
      <c r="K421" s="25"/>
    </row>
    <row r="422" s="5" customFormat="1" ht="16.5" spans="1:11">
      <c r="A422" s="22"/>
      <c r="B422" s="23"/>
      <c r="C422" s="24"/>
      <c r="D422" s="24"/>
      <c r="E422" s="24"/>
      <c r="F422" s="24"/>
      <c r="G422" s="24"/>
      <c r="H422" s="24"/>
      <c r="I422" s="24"/>
      <c r="J422" s="24"/>
      <c r="K422" s="25"/>
    </row>
    <row r="423" s="5" customFormat="1" ht="16.5" spans="1:11">
      <c r="A423" s="22"/>
      <c r="B423" s="23"/>
      <c r="C423" s="24"/>
      <c r="D423" s="24"/>
      <c r="E423" s="24"/>
      <c r="F423" s="24"/>
      <c r="G423" s="24"/>
      <c r="H423" s="24"/>
      <c r="I423" s="24"/>
      <c r="J423" s="24"/>
      <c r="K423" s="25"/>
    </row>
    <row r="424" s="5" customFormat="1" ht="16.5" spans="1:11">
      <c r="A424" s="22"/>
      <c r="B424" s="23"/>
      <c r="C424" s="24"/>
      <c r="D424" s="24"/>
      <c r="E424" s="24"/>
      <c r="F424" s="24"/>
      <c r="G424" s="24"/>
      <c r="H424" s="24"/>
      <c r="I424" s="24"/>
      <c r="J424" s="24"/>
      <c r="K424" s="25"/>
    </row>
    <row r="425" s="5" customFormat="1" ht="16.5" spans="1:11">
      <c r="A425" s="22"/>
      <c r="B425" s="23"/>
      <c r="C425" s="24"/>
      <c r="D425" s="24"/>
      <c r="E425" s="24"/>
      <c r="F425" s="24"/>
      <c r="G425" s="24"/>
      <c r="H425" s="24"/>
      <c r="I425" s="24"/>
      <c r="J425" s="24"/>
      <c r="K425" s="25"/>
    </row>
    <row r="426" s="5" customFormat="1" ht="16.5" spans="1:11">
      <c r="A426" s="22"/>
      <c r="B426" s="23"/>
      <c r="C426" s="24"/>
      <c r="D426" s="24"/>
      <c r="E426" s="24"/>
      <c r="F426" s="24"/>
      <c r="G426" s="24"/>
      <c r="H426" s="24"/>
      <c r="I426" s="24"/>
      <c r="J426" s="24"/>
      <c r="K426" s="25"/>
    </row>
    <row r="427" s="5" customFormat="1" ht="16.5" spans="1:11">
      <c r="A427" s="22"/>
      <c r="B427" s="23"/>
      <c r="C427" s="24"/>
      <c r="D427" s="24"/>
      <c r="E427" s="24"/>
      <c r="F427" s="24"/>
      <c r="G427" s="24"/>
      <c r="H427" s="24"/>
      <c r="I427" s="24"/>
      <c r="J427" s="24"/>
      <c r="K427" s="25"/>
    </row>
    <row r="428" s="5" customFormat="1" ht="16.5" spans="1:11">
      <c r="A428" s="22"/>
      <c r="B428" s="23"/>
      <c r="C428" s="24"/>
      <c r="D428" s="24"/>
      <c r="E428" s="24"/>
      <c r="F428" s="24"/>
      <c r="G428" s="24"/>
      <c r="H428" s="24"/>
      <c r="I428" s="24"/>
      <c r="J428" s="24"/>
      <c r="K428" s="25"/>
    </row>
    <row r="429" s="5" customFormat="1" ht="16.5" spans="1:11">
      <c r="A429" s="22"/>
      <c r="B429" s="23"/>
      <c r="C429" s="24"/>
      <c r="D429" s="24"/>
      <c r="E429" s="24"/>
      <c r="F429" s="24"/>
      <c r="G429" s="24"/>
      <c r="H429" s="24"/>
      <c r="I429" s="24"/>
      <c r="J429" s="24"/>
      <c r="K429" s="25"/>
    </row>
    <row r="430" s="5" customFormat="1" ht="16.5" spans="1:11">
      <c r="A430" s="22"/>
      <c r="B430" s="23"/>
      <c r="C430" s="24"/>
      <c r="D430" s="24"/>
      <c r="E430" s="24"/>
      <c r="F430" s="24"/>
      <c r="G430" s="24"/>
      <c r="H430" s="24"/>
      <c r="I430" s="24"/>
      <c r="J430" s="24"/>
      <c r="K430" s="25"/>
    </row>
    <row r="431" s="5" customFormat="1" ht="16.5" spans="1:11">
      <c r="A431" s="22"/>
      <c r="B431" s="23"/>
      <c r="C431" s="24"/>
      <c r="D431" s="24"/>
      <c r="E431" s="24"/>
      <c r="F431" s="24"/>
      <c r="G431" s="24"/>
      <c r="H431" s="24"/>
      <c r="I431" s="24"/>
      <c r="J431" s="24"/>
      <c r="K431" s="25"/>
    </row>
    <row r="432" s="5" customFormat="1" ht="16.5" spans="1:11">
      <c r="A432" s="22"/>
      <c r="B432" s="23"/>
      <c r="C432" s="24"/>
      <c r="D432" s="24"/>
      <c r="E432" s="24"/>
      <c r="F432" s="24"/>
      <c r="G432" s="24"/>
      <c r="H432" s="24"/>
      <c r="I432" s="24"/>
      <c r="J432" s="24"/>
      <c r="K432" s="25"/>
    </row>
    <row r="433" s="5" customFormat="1" ht="16.5" spans="1:11">
      <c r="A433" s="22"/>
      <c r="B433" s="23"/>
      <c r="C433" s="24"/>
      <c r="D433" s="24"/>
      <c r="E433" s="24"/>
      <c r="F433" s="24"/>
      <c r="G433" s="24"/>
      <c r="H433" s="24"/>
      <c r="I433" s="24"/>
      <c r="J433" s="24"/>
      <c r="K433" s="25"/>
    </row>
    <row r="434" s="5" customFormat="1" ht="16.5" spans="1:11">
      <c r="A434" s="22"/>
      <c r="B434" s="23"/>
      <c r="C434" s="24"/>
      <c r="D434" s="24"/>
      <c r="E434" s="24"/>
      <c r="F434" s="24"/>
      <c r="G434" s="24"/>
      <c r="H434" s="24"/>
      <c r="I434" s="24"/>
      <c r="J434" s="24"/>
      <c r="K434" s="25"/>
    </row>
    <row r="435" s="5" customFormat="1" ht="16.5" spans="1:11">
      <c r="A435" s="22"/>
      <c r="B435" s="23"/>
      <c r="C435" s="24"/>
      <c r="D435" s="24"/>
      <c r="E435" s="24"/>
      <c r="F435" s="24"/>
      <c r="G435" s="24"/>
      <c r="H435" s="24"/>
      <c r="I435" s="24"/>
      <c r="J435" s="24"/>
      <c r="K435" s="25"/>
    </row>
    <row r="436" s="5" customFormat="1" ht="16.5" spans="1:11">
      <c r="A436" s="22"/>
      <c r="B436" s="23"/>
      <c r="C436" s="24"/>
      <c r="D436" s="24"/>
      <c r="E436" s="24"/>
      <c r="F436" s="24"/>
      <c r="G436" s="24"/>
      <c r="H436" s="24"/>
      <c r="I436" s="24"/>
      <c r="J436" s="24"/>
      <c r="K436" s="25"/>
    </row>
    <row r="437" s="5" customFormat="1" ht="16.5" spans="1:11">
      <c r="A437" s="22"/>
      <c r="B437" s="23"/>
      <c r="C437" s="24"/>
      <c r="D437" s="24"/>
      <c r="E437" s="24"/>
      <c r="F437" s="24"/>
      <c r="G437" s="24"/>
      <c r="H437" s="24"/>
      <c r="I437" s="24"/>
      <c r="J437" s="24"/>
      <c r="K437" s="25"/>
    </row>
    <row r="438" s="5" customFormat="1" ht="16.5" spans="1:11">
      <c r="A438" s="22"/>
      <c r="B438" s="23"/>
      <c r="C438" s="24"/>
      <c r="D438" s="24"/>
      <c r="E438" s="24"/>
      <c r="F438" s="24"/>
      <c r="G438" s="24"/>
      <c r="H438" s="24"/>
      <c r="I438" s="24"/>
      <c r="J438" s="24"/>
      <c r="K438" s="25"/>
    </row>
    <row r="439" s="5" customFormat="1" ht="16.5" spans="1:11">
      <c r="A439" s="22"/>
      <c r="B439" s="23"/>
      <c r="C439" s="24"/>
      <c r="D439" s="24"/>
      <c r="E439" s="24"/>
      <c r="F439" s="24"/>
      <c r="G439" s="24"/>
      <c r="H439" s="24"/>
      <c r="I439" s="24"/>
      <c r="J439" s="24"/>
      <c r="K439" s="25"/>
    </row>
    <row r="440" s="5" customFormat="1" ht="16.5" spans="1:11">
      <c r="A440" s="22"/>
      <c r="B440" s="23"/>
      <c r="C440" s="24"/>
      <c r="D440" s="24"/>
      <c r="E440" s="24"/>
      <c r="F440" s="24"/>
      <c r="G440" s="24"/>
      <c r="H440" s="24"/>
      <c r="I440" s="24"/>
      <c r="J440" s="24"/>
      <c r="K440" s="25"/>
    </row>
    <row r="441" s="5" customFormat="1" ht="16.5" spans="1:11">
      <c r="A441" s="22"/>
      <c r="B441" s="23"/>
      <c r="C441" s="24"/>
      <c r="D441" s="24"/>
      <c r="E441" s="24"/>
      <c r="F441" s="24"/>
      <c r="G441" s="24"/>
      <c r="H441" s="24"/>
      <c r="I441" s="24"/>
      <c r="J441" s="24"/>
      <c r="K441" s="25"/>
    </row>
    <row r="442" s="5" customFormat="1" ht="16.5" spans="1:11">
      <c r="A442" s="22"/>
      <c r="B442" s="23"/>
      <c r="C442" s="24"/>
      <c r="D442" s="24"/>
      <c r="E442" s="24"/>
      <c r="F442" s="24"/>
      <c r="G442" s="24"/>
      <c r="H442" s="24"/>
      <c r="I442" s="24"/>
      <c r="J442" s="24"/>
      <c r="K442" s="25"/>
    </row>
    <row r="443" s="5" customFormat="1" ht="16.5" spans="1:11">
      <c r="A443" s="22"/>
      <c r="B443" s="23"/>
      <c r="C443" s="24"/>
      <c r="D443" s="24"/>
      <c r="E443" s="24"/>
      <c r="F443" s="24"/>
      <c r="G443" s="24"/>
      <c r="H443" s="24"/>
      <c r="I443" s="24"/>
      <c r="J443" s="24"/>
      <c r="K443" s="25"/>
    </row>
    <row r="444" s="5" customFormat="1" ht="16.5" spans="1:11">
      <c r="A444" s="22"/>
      <c r="B444" s="23"/>
      <c r="C444" s="24"/>
      <c r="D444" s="24"/>
      <c r="E444" s="24"/>
      <c r="F444" s="24"/>
      <c r="G444" s="24"/>
      <c r="H444" s="24"/>
      <c r="I444" s="24"/>
      <c r="J444" s="24"/>
      <c r="K444" s="25"/>
    </row>
    <row r="445" s="5" customFormat="1" ht="16.5" spans="1:11">
      <c r="A445" s="22"/>
      <c r="B445" s="23"/>
      <c r="C445" s="24"/>
      <c r="D445" s="24"/>
      <c r="E445" s="24"/>
      <c r="F445" s="24"/>
      <c r="G445" s="24"/>
      <c r="H445" s="24"/>
      <c r="I445" s="24"/>
      <c r="J445" s="24"/>
      <c r="K445" s="25"/>
    </row>
    <row r="446" s="5" customFormat="1" ht="16.5" spans="1:11">
      <c r="A446" s="22"/>
      <c r="B446" s="23"/>
      <c r="C446" s="24"/>
      <c r="D446" s="24"/>
      <c r="E446" s="24"/>
      <c r="F446" s="24"/>
      <c r="G446" s="24"/>
      <c r="H446" s="24"/>
      <c r="I446" s="24"/>
      <c r="J446" s="24"/>
      <c r="K446" s="25"/>
    </row>
    <row r="447" s="5" customFormat="1" ht="16.5" spans="1:11">
      <c r="A447" s="22"/>
      <c r="B447" s="23"/>
      <c r="C447" s="24"/>
      <c r="D447" s="24"/>
      <c r="E447" s="24"/>
      <c r="F447" s="24"/>
      <c r="G447" s="24"/>
      <c r="H447" s="24"/>
      <c r="I447" s="24"/>
      <c r="J447" s="24"/>
      <c r="K447" s="25"/>
    </row>
    <row r="448" s="5" customFormat="1" ht="16.5" spans="1:11">
      <c r="A448" s="22"/>
      <c r="B448" s="23"/>
      <c r="C448" s="24"/>
      <c r="D448" s="24"/>
      <c r="E448" s="24"/>
      <c r="F448" s="24"/>
      <c r="G448" s="24"/>
      <c r="H448" s="24"/>
      <c r="I448" s="24"/>
      <c r="J448" s="24"/>
      <c r="K448" s="25"/>
    </row>
    <row r="449" s="5" customFormat="1" ht="16.5" spans="1:11">
      <c r="A449" s="22"/>
      <c r="B449" s="23"/>
      <c r="C449" s="24"/>
      <c r="D449" s="24"/>
      <c r="E449" s="24"/>
      <c r="F449" s="24"/>
      <c r="G449" s="24"/>
      <c r="H449" s="24"/>
      <c r="I449" s="24"/>
      <c r="J449" s="24"/>
      <c r="K449" s="25"/>
    </row>
    <row r="450" s="5" customFormat="1" ht="16.5" spans="1:11">
      <c r="A450" s="22"/>
      <c r="B450" s="23"/>
      <c r="C450" s="24"/>
      <c r="D450" s="24"/>
      <c r="E450" s="24"/>
      <c r="F450" s="24"/>
      <c r="G450" s="24"/>
      <c r="H450" s="24"/>
      <c r="I450" s="24"/>
      <c r="J450" s="24"/>
      <c r="K450" s="25"/>
    </row>
    <row r="451" s="5" customFormat="1" ht="16.5" spans="1:11">
      <c r="A451" s="22"/>
      <c r="B451" s="23"/>
      <c r="C451" s="24"/>
      <c r="D451" s="24"/>
      <c r="E451" s="24"/>
      <c r="F451" s="24"/>
      <c r="G451" s="24"/>
      <c r="H451" s="24"/>
      <c r="I451" s="24"/>
      <c r="J451" s="24"/>
      <c r="K451" s="25"/>
    </row>
    <row r="452" s="5" customFormat="1" ht="16.5" spans="1:11">
      <c r="A452" s="22"/>
      <c r="B452" s="23"/>
      <c r="C452" s="24"/>
      <c r="D452" s="24"/>
      <c r="E452" s="24"/>
      <c r="F452" s="24"/>
      <c r="G452" s="24"/>
      <c r="H452" s="24"/>
      <c r="I452" s="24"/>
      <c r="J452" s="24"/>
      <c r="K452" s="25"/>
    </row>
    <row r="453" s="5" customFormat="1" ht="16.5" spans="1:11">
      <c r="A453" s="22"/>
      <c r="B453" s="23"/>
      <c r="C453" s="24"/>
      <c r="D453" s="24"/>
      <c r="E453" s="24"/>
      <c r="F453" s="24"/>
      <c r="G453" s="24"/>
      <c r="H453" s="24"/>
      <c r="I453" s="24"/>
      <c r="J453" s="24"/>
      <c r="K453" s="25"/>
    </row>
    <row r="454" s="5" customFormat="1" ht="16.5" spans="1:11">
      <c r="A454" s="22"/>
      <c r="B454" s="23"/>
      <c r="C454" s="24"/>
      <c r="D454" s="24"/>
      <c r="E454" s="24"/>
      <c r="F454" s="24"/>
      <c r="G454" s="24"/>
      <c r="H454" s="24"/>
      <c r="I454" s="24"/>
      <c r="J454" s="24"/>
      <c r="K454" s="25"/>
    </row>
    <row r="455" s="5" customFormat="1" ht="16.5" spans="1:11">
      <c r="A455" s="22"/>
      <c r="B455" s="23"/>
      <c r="C455" s="24"/>
      <c r="D455" s="24"/>
      <c r="E455" s="24"/>
      <c r="F455" s="24"/>
      <c r="G455" s="24"/>
      <c r="H455" s="24"/>
      <c r="I455" s="24"/>
      <c r="J455" s="24"/>
      <c r="K455" s="25"/>
    </row>
    <row r="456" s="5" customFormat="1" ht="16.5" spans="1:11">
      <c r="A456" s="22"/>
      <c r="B456" s="23"/>
      <c r="C456" s="24"/>
      <c r="D456" s="24"/>
      <c r="E456" s="24"/>
      <c r="F456" s="24"/>
      <c r="G456" s="24"/>
      <c r="H456" s="24"/>
      <c r="I456" s="24"/>
      <c r="J456" s="24"/>
      <c r="K456" s="25"/>
    </row>
    <row r="457" s="5" customFormat="1" ht="16.5" spans="1:11">
      <c r="A457" s="22"/>
      <c r="B457" s="23"/>
      <c r="C457" s="24"/>
      <c r="D457" s="24"/>
      <c r="E457" s="24"/>
      <c r="F457" s="24"/>
      <c r="G457" s="24"/>
      <c r="H457" s="24"/>
      <c r="I457" s="24"/>
      <c r="J457" s="24"/>
      <c r="K457" s="25"/>
    </row>
    <row r="458" s="5" customFormat="1" ht="16.5" spans="1:11">
      <c r="A458" s="22"/>
      <c r="B458" s="23"/>
      <c r="C458" s="24"/>
      <c r="D458" s="24"/>
      <c r="E458" s="24"/>
      <c r="F458" s="24"/>
      <c r="G458" s="24"/>
      <c r="H458" s="24"/>
      <c r="I458" s="24"/>
      <c r="J458" s="24"/>
      <c r="K458" s="25"/>
    </row>
    <row r="459" s="5" customFormat="1" ht="16.5" spans="1:11">
      <c r="A459" s="22"/>
      <c r="B459" s="23"/>
      <c r="C459" s="24"/>
      <c r="D459" s="24"/>
      <c r="E459" s="24"/>
      <c r="F459" s="24"/>
      <c r="G459" s="24"/>
      <c r="H459" s="24"/>
      <c r="I459" s="24"/>
      <c r="J459" s="24"/>
      <c r="K459" s="25"/>
    </row>
    <row r="460" s="5" customFormat="1" ht="16.5" spans="1:11">
      <c r="A460" s="22"/>
      <c r="B460" s="23"/>
      <c r="C460" s="24"/>
      <c r="D460" s="24"/>
      <c r="E460" s="24"/>
      <c r="F460" s="24"/>
      <c r="G460" s="24"/>
      <c r="H460" s="24"/>
      <c r="I460" s="24"/>
      <c r="J460" s="24"/>
      <c r="K460" s="25"/>
    </row>
    <row r="461" s="5" customFormat="1" ht="16.5" spans="1:11">
      <c r="A461" s="22"/>
      <c r="B461" s="23"/>
      <c r="C461" s="24"/>
      <c r="D461" s="24"/>
      <c r="E461" s="24"/>
      <c r="F461" s="24"/>
      <c r="G461" s="24"/>
      <c r="H461" s="24"/>
      <c r="I461" s="24"/>
      <c r="J461" s="24"/>
      <c r="K461" s="25"/>
    </row>
    <row r="462" s="5" customFormat="1" ht="16.5" spans="1:11">
      <c r="A462" s="22"/>
      <c r="B462" s="23"/>
      <c r="C462" s="24"/>
      <c r="D462" s="24"/>
      <c r="E462" s="24"/>
      <c r="F462" s="24"/>
      <c r="G462" s="24"/>
      <c r="H462" s="24"/>
      <c r="I462" s="24"/>
      <c r="J462" s="24"/>
      <c r="K462" s="25"/>
    </row>
    <row r="463" s="5" customFormat="1" ht="16.5" spans="1:11">
      <c r="A463" s="22"/>
      <c r="B463" s="23"/>
      <c r="C463" s="24"/>
      <c r="D463" s="24"/>
      <c r="E463" s="24"/>
      <c r="F463" s="24"/>
      <c r="G463" s="24"/>
      <c r="H463" s="24"/>
      <c r="I463" s="24"/>
      <c r="J463" s="24"/>
      <c r="K463" s="25"/>
    </row>
    <row r="464" s="5" customFormat="1" ht="16.5" spans="1:11">
      <c r="A464" s="22"/>
      <c r="B464" s="23"/>
      <c r="C464" s="24"/>
      <c r="D464" s="24"/>
      <c r="E464" s="24"/>
      <c r="F464" s="24"/>
      <c r="G464" s="24"/>
      <c r="H464" s="24"/>
      <c r="I464" s="24"/>
      <c r="J464" s="24"/>
      <c r="K464" s="25"/>
    </row>
    <row r="465" s="5" customFormat="1" ht="16.5" spans="1:11">
      <c r="A465" s="22"/>
      <c r="B465" s="23"/>
      <c r="C465" s="24"/>
      <c r="D465" s="24"/>
      <c r="E465" s="24"/>
      <c r="F465" s="24"/>
      <c r="G465" s="24"/>
      <c r="H465" s="24"/>
      <c r="I465" s="24"/>
      <c r="J465" s="24"/>
      <c r="K465" s="25"/>
    </row>
    <row r="466" s="5" customFormat="1" ht="16.5" spans="1:11">
      <c r="A466" s="22"/>
      <c r="B466" s="23"/>
      <c r="C466" s="24"/>
      <c r="D466" s="24"/>
      <c r="E466" s="24"/>
      <c r="F466" s="24"/>
      <c r="G466" s="24"/>
      <c r="H466" s="24"/>
      <c r="I466" s="24"/>
      <c r="J466" s="24"/>
      <c r="K466" s="25"/>
    </row>
    <row r="467" s="5" customFormat="1" ht="16.5" spans="1:11">
      <c r="A467" s="22"/>
      <c r="B467" s="23"/>
      <c r="C467" s="24"/>
      <c r="D467" s="24"/>
      <c r="E467" s="24"/>
      <c r="F467" s="24"/>
      <c r="G467" s="24"/>
      <c r="H467" s="24"/>
      <c r="I467" s="24"/>
      <c r="J467" s="24"/>
      <c r="K467" s="25"/>
    </row>
    <row r="468" s="5" customFormat="1" ht="16.5" spans="1:11">
      <c r="A468" s="22"/>
      <c r="B468" s="23"/>
      <c r="C468" s="24"/>
      <c r="D468" s="24"/>
      <c r="E468" s="24"/>
      <c r="F468" s="24"/>
      <c r="G468" s="24"/>
      <c r="H468" s="24"/>
      <c r="I468" s="24"/>
      <c r="J468" s="24"/>
      <c r="K468" s="25"/>
    </row>
    <row r="469" s="5" customFormat="1" ht="16.5" spans="1:11">
      <c r="A469" s="22"/>
      <c r="B469" s="23"/>
      <c r="C469" s="24"/>
      <c r="D469" s="24"/>
      <c r="E469" s="24"/>
      <c r="F469" s="24"/>
      <c r="G469" s="24"/>
      <c r="H469" s="24"/>
      <c r="I469" s="24"/>
      <c r="J469" s="24"/>
      <c r="K469" s="25"/>
    </row>
    <row r="470" s="5" customFormat="1" ht="16.5" spans="1:11">
      <c r="A470" s="22"/>
      <c r="B470" s="23"/>
      <c r="C470" s="24"/>
      <c r="D470" s="24"/>
      <c r="E470" s="24"/>
      <c r="F470" s="24"/>
      <c r="G470" s="24"/>
      <c r="H470" s="24"/>
      <c r="I470" s="24"/>
      <c r="J470" s="24"/>
      <c r="K470" s="25"/>
    </row>
    <row r="471" s="5" customFormat="1" ht="16.5" spans="1:11">
      <c r="A471" s="22"/>
      <c r="B471" s="23"/>
      <c r="C471" s="24"/>
      <c r="D471" s="24"/>
      <c r="E471" s="24"/>
      <c r="F471" s="24"/>
      <c r="G471" s="24"/>
      <c r="H471" s="24"/>
      <c r="I471" s="24"/>
      <c r="J471" s="24"/>
      <c r="K471" s="25"/>
    </row>
    <row r="472" s="5" customFormat="1" ht="16.5" spans="1:11">
      <c r="A472" s="22"/>
      <c r="B472" s="23"/>
      <c r="C472" s="24"/>
      <c r="D472" s="24"/>
      <c r="E472" s="24"/>
      <c r="F472" s="24"/>
      <c r="G472" s="24"/>
      <c r="H472" s="24"/>
      <c r="I472" s="24"/>
      <c r="J472" s="24"/>
      <c r="K472" s="25"/>
    </row>
    <row r="473" s="5" customFormat="1" ht="16.5" spans="1:11">
      <c r="A473" s="22"/>
      <c r="B473" s="23"/>
      <c r="C473" s="24"/>
      <c r="D473" s="24"/>
      <c r="E473" s="24"/>
      <c r="F473" s="24"/>
      <c r="G473" s="24"/>
      <c r="H473" s="24"/>
      <c r="I473" s="24"/>
      <c r="J473" s="24"/>
      <c r="K473" s="25"/>
    </row>
    <row r="474" s="5" customFormat="1" ht="16.5" spans="1:11">
      <c r="A474" s="22"/>
      <c r="B474" s="23"/>
      <c r="C474" s="24"/>
      <c r="D474" s="24"/>
      <c r="E474" s="24"/>
      <c r="F474" s="24"/>
      <c r="G474" s="24"/>
      <c r="H474" s="24"/>
      <c r="I474" s="24"/>
      <c r="J474" s="24"/>
      <c r="K474" s="25"/>
    </row>
    <row r="475" s="5" customFormat="1" ht="16.5" spans="1:11">
      <c r="A475" s="22"/>
      <c r="B475" s="23"/>
      <c r="C475" s="24"/>
      <c r="D475" s="24"/>
      <c r="E475" s="24"/>
      <c r="F475" s="24"/>
      <c r="G475" s="24"/>
      <c r="H475" s="24"/>
      <c r="I475" s="24"/>
      <c r="J475" s="24"/>
      <c r="K475" s="25"/>
    </row>
    <row r="476" s="5" customFormat="1" ht="16.5" spans="1:11">
      <c r="A476" s="22"/>
      <c r="B476" s="23"/>
      <c r="C476" s="24"/>
      <c r="D476" s="24"/>
      <c r="E476" s="24"/>
      <c r="F476" s="24"/>
      <c r="G476" s="24"/>
      <c r="H476" s="24"/>
      <c r="I476" s="24"/>
      <c r="J476" s="24"/>
      <c r="K476" s="25"/>
    </row>
    <row r="477" s="5" customFormat="1" ht="16.5" spans="1:11">
      <c r="A477" s="22"/>
      <c r="B477" s="23"/>
      <c r="C477" s="24"/>
      <c r="D477" s="24"/>
      <c r="E477" s="24"/>
      <c r="F477" s="24"/>
      <c r="G477" s="24"/>
      <c r="H477" s="24"/>
      <c r="I477" s="24"/>
      <c r="J477" s="24"/>
      <c r="K477" s="25"/>
    </row>
    <row r="478" s="5" customFormat="1" ht="16.5" spans="1:11">
      <c r="A478" s="22"/>
      <c r="B478" s="23"/>
      <c r="C478" s="24"/>
      <c r="D478" s="24"/>
      <c r="E478" s="24"/>
      <c r="F478" s="24"/>
      <c r="G478" s="24"/>
      <c r="H478" s="24"/>
      <c r="I478" s="24"/>
      <c r="J478" s="24"/>
      <c r="K478" s="25"/>
    </row>
    <row r="479" s="5" customFormat="1" ht="16.5" spans="1:11">
      <c r="A479" s="22"/>
      <c r="B479" s="23"/>
      <c r="C479" s="24"/>
      <c r="D479" s="24"/>
      <c r="E479" s="24"/>
      <c r="F479" s="24"/>
      <c r="G479" s="24"/>
      <c r="H479" s="24"/>
      <c r="I479" s="24"/>
      <c r="J479" s="24"/>
      <c r="K479" s="25"/>
    </row>
    <row r="480" s="5" customFormat="1" ht="16.5" spans="1:11">
      <c r="A480" s="22"/>
      <c r="B480" s="23"/>
      <c r="C480" s="24"/>
      <c r="D480" s="24"/>
      <c r="E480" s="24"/>
      <c r="F480" s="24"/>
      <c r="G480" s="24"/>
      <c r="H480" s="24"/>
      <c r="I480" s="24"/>
      <c r="J480" s="24"/>
      <c r="K480" s="25"/>
    </row>
    <row r="481" s="5" customFormat="1" ht="16.5" spans="1:11">
      <c r="A481" s="22"/>
      <c r="B481" s="23"/>
      <c r="C481" s="24"/>
      <c r="D481" s="24"/>
      <c r="E481" s="24"/>
      <c r="F481" s="24"/>
      <c r="G481" s="24"/>
      <c r="H481" s="24"/>
      <c r="I481" s="24"/>
      <c r="J481" s="24"/>
      <c r="K481" s="25"/>
    </row>
    <row r="482" s="5" customFormat="1" ht="16.5" spans="1:11">
      <c r="A482" s="22"/>
      <c r="B482" s="23"/>
      <c r="C482" s="24"/>
      <c r="D482" s="24"/>
      <c r="E482" s="24"/>
      <c r="F482" s="24"/>
      <c r="G482" s="24"/>
      <c r="H482" s="24"/>
      <c r="I482" s="24"/>
      <c r="J482" s="24"/>
      <c r="K482" s="25"/>
    </row>
    <row r="483" s="5" customFormat="1" ht="16.5" spans="1:11">
      <c r="A483" s="22"/>
      <c r="B483" s="23"/>
      <c r="C483" s="24"/>
      <c r="D483" s="24"/>
      <c r="E483" s="24"/>
      <c r="F483" s="24"/>
      <c r="G483" s="24"/>
      <c r="H483" s="24"/>
      <c r="I483" s="24"/>
      <c r="J483" s="24"/>
      <c r="K483" s="25"/>
    </row>
    <row r="484" s="5" customFormat="1" ht="16.5" spans="1:11">
      <c r="A484" s="22"/>
      <c r="B484" s="23"/>
      <c r="C484" s="24"/>
      <c r="D484" s="24"/>
      <c r="E484" s="24"/>
      <c r="F484" s="24"/>
      <c r="G484" s="24"/>
      <c r="H484" s="24"/>
      <c r="I484" s="24"/>
      <c r="J484" s="24"/>
      <c r="K484" s="25"/>
    </row>
    <row r="485" s="5" customFormat="1" ht="16.5" spans="1:11">
      <c r="A485" s="22"/>
      <c r="B485" s="23"/>
      <c r="C485" s="24"/>
      <c r="D485" s="24"/>
      <c r="E485" s="24"/>
      <c r="F485" s="24"/>
      <c r="G485" s="24"/>
      <c r="H485" s="24"/>
      <c r="I485" s="24"/>
      <c r="J485" s="24"/>
      <c r="K485" s="25"/>
    </row>
    <row r="486" s="5" customFormat="1" ht="16.5" spans="1:11">
      <c r="A486" s="22"/>
      <c r="B486" s="23"/>
      <c r="C486" s="24"/>
      <c r="D486" s="24"/>
      <c r="E486" s="24"/>
      <c r="F486" s="24"/>
      <c r="G486" s="24"/>
      <c r="H486" s="24"/>
      <c r="I486" s="24"/>
      <c r="J486" s="24"/>
      <c r="K486" s="25"/>
    </row>
    <row r="487" s="5" customFormat="1" ht="16.5" spans="1:11">
      <c r="A487" s="22"/>
      <c r="B487" s="23"/>
      <c r="C487" s="24"/>
      <c r="D487" s="24"/>
      <c r="E487" s="24"/>
      <c r="F487" s="24"/>
      <c r="G487" s="24"/>
      <c r="H487" s="24"/>
      <c r="I487" s="24"/>
      <c r="J487" s="24"/>
      <c r="K487" s="25"/>
    </row>
    <row r="488" s="5" customFormat="1" ht="16.5" spans="1:11">
      <c r="A488" s="22"/>
      <c r="B488" s="23"/>
      <c r="C488" s="24"/>
      <c r="D488" s="24"/>
      <c r="E488" s="24"/>
      <c r="F488" s="24"/>
      <c r="G488" s="24"/>
      <c r="H488" s="24"/>
      <c r="I488" s="24"/>
      <c r="J488" s="24"/>
      <c r="K488" s="25"/>
    </row>
    <row r="489" s="5" customFormat="1" ht="16.5" spans="1:11">
      <c r="A489" s="22"/>
      <c r="B489" s="23"/>
      <c r="C489" s="24"/>
      <c r="D489" s="24"/>
      <c r="E489" s="24"/>
      <c r="F489" s="24"/>
      <c r="G489" s="24"/>
      <c r="H489" s="24"/>
      <c r="I489" s="24"/>
      <c r="J489" s="24"/>
      <c r="K489" s="25"/>
    </row>
    <row r="490" s="5" customFormat="1" ht="16.5" spans="1:11">
      <c r="A490" s="22"/>
      <c r="B490" s="23"/>
      <c r="C490" s="24"/>
      <c r="D490" s="24"/>
      <c r="E490" s="24"/>
      <c r="F490" s="24"/>
      <c r="G490" s="24"/>
      <c r="H490" s="24"/>
      <c r="I490" s="24"/>
      <c r="J490" s="24"/>
      <c r="K490" s="25"/>
    </row>
    <row r="491" s="5" customFormat="1" ht="16.5" spans="1:11">
      <c r="A491" s="22"/>
      <c r="B491" s="23"/>
      <c r="C491" s="24"/>
      <c r="D491" s="24"/>
      <c r="E491" s="24"/>
      <c r="F491" s="24"/>
      <c r="G491" s="24"/>
      <c r="H491" s="24"/>
      <c r="I491" s="24"/>
      <c r="J491" s="24"/>
      <c r="K491" s="25"/>
    </row>
    <row r="492" s="5" customFormat="1" ht="16.5" spans="1:11">
      <c r="A492" s="22"/>
      <c r="B492" s="23"/>
      <c r="C492" s="24"/>
      <c r="D492" s="24"/>
      <c r="E492" s="24"/>
      <c r="F492" s="24"/>
      <c r="G492" s="24"/>
      <c r="H492" s="24"/>
      <c r="I492" s="24"/>
      <c r="J492" s="24"/>
      <c r="K492" s="25"/>
    </row>
    <row r="493" s="5" customFormat="1" ht="16.5" spans="1:11">
      <c r="A493" s="22"/>
      <c r="B493" s="23"/>
      <c r="C493" s="24"/>
      <c r="D493" s="24"/>
      <c r="E493" s="24"/>
      <c r="F493" s="24"/>
      <c r="G493" s="24"/>
      <c r="H493" s="24"/>
      <c r="I493" s="24"/>
      <c r="J493" s="24"/>
      <c r="K493" s="25"/>
    </row>
    <row r="494" s="5" customFormat="1" ht="16.5" spans="1:11">
      <c r="A494" s="22"/>
      <c r="B494" s="23"/>
      <c r="C494" s="24"/>
      <c r="D494" s="24"/>
      <c r="E494" s="24"/>
      <c r="F494" s="24"/>
      <c r="G494" s="24"/>
      <c r="H494" s="24"/>
      <c r="I494" s="24"/>
      <c r="J494" s="24"/>
      <c r="K494" s="25"/>
    </row>
    <row r="495" s="5" customFormat="1" ht="16.5" spans="1:11">
      <c r="A495" s="22"/>
      <c r="B495" s="23"/>
      <c r="C495" s="24"/>
      <c r="D495" s="24"/>
      <c r="E495" s="24"/>
      <c r="F495" s="24"/>
      <c r="G495" s="24"/>
      <c r="H495" s="24"/>
      <c r="I495" s="24"/>
      <c r="J495" s="24"/>
      <c r="K495" s="25"/>
    </row>
    <row r="496" s="5" customFormat="1" ht="16.5" spans="1:11">
      <c r="A496" s="22"/>
      <c r="B496" s="23"/>
      <c r="C496" s="24"/>
      <c r="D496" s="24"/>
      <c r="E496" s="24"/>
      <c r="F496" s="24"/>
      <c r="G496" s="24"/>
      <c r="H496" s="24"/>
      <c r="I496" s="24"/>
      <c r="J496" s="24"/>
      <c r="K496" s="25"/>
    </row>
    <row r="497" s="5" customFormat="1" ht="16.5" spans="1:11">
      <c r="A497" s="22"/>
      <c r="B497" s="23"/>
      <c r="C497" s="24"/>
      <c r="D497" s="24"/>
      <c r="E497" s="24"/>
      <c r="F497" s="24"/>
      <c r="G497" s="24"/>
      <c r="H497" s="24"/>
      <c r="I497" s="24"/>
      <c r="J497" s="24"/>
      <c r="K497" s="25"/>
    </row>
    <row r="498" s="5" customFormat="1" ht="16.5" spans="1:11">
      <c r="A498" s="22"/>
      <c r="B498" s="23"/>
      <c r="C498" s="24"/>
      <c r="D498" s="24"/>
      <c r="E498" s="24"/>
      <c r="F498" s="24"/>
      <c r="G498" s="24"/>
      <c r="H498" s="24"/>
      <c r="I498" s="24"/>
      <c r="J498" s="24"/>
      <c r="K498" s="25"/>
    </row>
    <row r="499" s="5" customFormat="1" ht="16.5" spans="1:11">
      <c r="A499" s="22"/>
      <c r="B499" s="23"/>
      <c r="C499" s="24"/>
      <c r="D499" s="24"/>
      <c r="E499" s="24"/>
      <c r="F499" s="24"/>
      <c r="G499" s="24"/>
      <c r="H499" s="24"/>
      <c r="I499" s="24"/>
      <c r="J499" s="24"/>
      <c r="K499" s="25"/>
    </row>
    <row r="500" s="5" customFormat="1" ht="16.5" spans="1:11">
      <c r="A500" s="22"/>
      <c r="B500" s="23"/>
      <c r="C500" s="24"/>
      <c r="D500" s="24"/>
      <c r="E500" s="24"/>
      <c r="F500" s="24"/>
      <c r="G500" s="24"/>
      <c r="H500" s="24"/>
      <c r="I500" s="24"/>
      <c r="J500" s="24"/>
      <c r="K500" s="25"/>
    </row>
    <row r="501" s="5" customFormat="1" ht="16.5" spans="1:11">
      <c r="A501" s="22"/>
      <c r="B501" s="23"/>
      <c r="C501" s="24"/>
      <c r="D501" s="24"/>
      <c r="E501" s="24"/>
      <c r="F501" s="24"/>
      <c r="G501" s="24"/>
      <c r="H501" s="24"/>
      <c r="I501" s="24"/>
      <c r="J501" s="24"/>
      <c r="K501" s="25"/>
    </row>
    <row r="502" s="5" customFormat="1" ht="16.5" spans="1:11">
      <c r="A502" s="22"/>
      <c r="B502" s="23"/>
      <c r="C502" s="24"/>
      <c r="D502" s="24"/>
      <c r="E502" s="24"/>
      <c r="F502" s="24"/>
      <c r="G502" s="24"/>
      <c r="H502" s="24"/>
      <c r="I502" s="24"/>
      <c r="J502" s="24"/>
      <c r="K502" s="25"/>
    </row>
    <row r="503" s="5" customFormat="1" ht="16.5" spans="1:11">
      <c r="A503" s="22"/>
      <c r="B503" s="23"/>
      <c r="C503" s="24"/>
      <c r="D503" s="24"/>
      <c r="E503" s="24"/>
      <c r="F503" s="24"/>
      <c r="G503" s="24"/>
      <c r="H503" s="24"/>
      <c r="I503" s="24"/>
      <c r="J503" s="24"/>
      <c r="K503" s="25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K503"/>
  <sheetViews>
    <sheetView showGridLines="0" workbookViewId="0">
      <pane ySplit="3" topLeftCell="A4" activePane="bottomLeft" state="frozen"/>
      <selection/>
      <selection pane="bottomLeft" activeCell="A4" sqref="A4"/>
    </sheetView>
  </sheetViews>
  <sheetFormatPr defaultColWidth="9" defaultRowHeight="13.5"/>
  <cols>
    <col min="1" max="1" width="8" customWidth="1"/>
    <col min="2" max="2" width="12" style="6" customWidth="1"/>
    <col min="3" max="3" width="18" style="7" customWidth="1"/>
    <col min="4" max="4" width="14" style="8" customWidth="1"/>
    <col min="5" max="5" width="20" style="7" customWidth="1"/>
    <col min="6" max="6" width="18" style="8" customWidth="1"/>
    <col min="7" max="8" width="12" style="7" customWidth="1"/>
    <col min="9" max="9" width="16" style="7" customWidth="1"/>
    <col min="10" max="10" width="12" style="8" customWidth="1"/>
    <col min="11" max="11" width="7.375" style="9" customWidth="1"/>
    <col min="12" max="16373" width="10" style="5" customWidth="1"/>
    <col min="16374" max="16374" width="10" style="5"/>
    <col min="16375" max="16378" width="9" style="5"/>
    <col min="16379" max="16379" width="10" style="5"/>
    <col min="16380" max="16384" width="9" style="5"/>
  </cols>
  <sheetData>
    <row r="1" s="5" customFormat="1" ht="28" customHeight="1" spans="1:11">
      <c r="A1" s="10" t="s">
        <v>303</v>
      </c>
      <c r="B1" s="11"/>
      <c r="C1" s="12"/>
      <c r="D1" s="12"/>
      <c r="E1" s="12"/>
      <c r="F1" s="12"/>
      <c r="G1" s="12"/>
      <c r="H1" s="12"/>
      <c r="I1" s="12"/>
      <c r="J1" s="12"/>
      <c r="K1" s="13"/>
    </row>
    <row r="2" s="5" customFormat="1" ht="24" customHeight="1" spans="1:11">
      <c r="A2" s="14" t="s">
        <v>295</v>
      </c>
      <c r="B2" s="15" t="s">
        <v>104</v>
      </c>
      <c r="C2" s="16" t="s">
        <v>100</v>
      </c>
      <c r="D2" s="17">
        <f>IFERROR(VLOOKUP($B$2,数据录入!$C$5:$H$18,6,0),0)</f>
        <v>0</v>
      </c>
      <c r="E2" s="16" t="s">
        <v>296</v>
      </c>
      <c r="F2" s="17">
        <f>SUMIFS(数据录入!$F$19:$F$10000,数据录入!$C$19:$C$10000,$B$2)</f>
        <v>0</v>
      </c>
      <c r="G2" s="16" t="s">
        <v>297</v>
      </c>
      <c r="H2" s="17">
        <f>SUMIFS(数据录入!$G$19:$G$10000,数据录入!$C$19:$C$10000,$B$2)</f>
        <v>0</v>
      </c>
      <c r="I2" s="16" t="s">
        <v>298</v>
      </c>
      <c r="J2" s="17">
        <f>D2+F2-H2</f>
        <v>0</v>
      </c>
      <c r="K2" s="18"/>
    </row>
    <row r="3" s="5" customFormat="1" ht="24" customHeight="1" spans="1:11">
      <c r="A3" s="19" t="s">
        <v>92</v>
      </c>
      <c r="B3" s="19" t="s">
        <v>93</v>
      </c>
      <c r="C3" s="19" t="s">
        <v>94</v>
      </c>
      <c r="D3" s="19" t="s">
        <v>38</v>
      </c>
      <c r="E3" s="19" t="s">
        <v>95</v>
      </c>
      <c r="F3" s="19" t="s">
        <v>96</v>
      </c>
      <c r="G3" s="19" t="s">
        <v>97</v>
      </c>
      <c r="H3" s="19" t="s">
        <v>91</v>
      </c>
      <c r="I3" s="20" t="s">
        <v>39</v>
      </c>
      <c r="J3" s="20" t="s">
        <v>41</v>
      </c>
      <c r="K3" s="21" t="s">
        <v>98</v>
      </c>
    </row>
    <row r="4" s="5" customFormat="1" ht="20" customHeight="1" spans="1:11">
      <c r="A4" s="22" vm="1" t="e" cm="1">
        <f t="array" ref="A4">_xlfn._xlws.FILTER(数据录入!$A$19:$K$10000,数据录入!$C$19:$C$10000=$B$2)</f>
        <v>#VALUE!</v>
      </c>
      <c r="B4" s="23"/>
      <c r="C4" s="24"/>
      <c r="D4" s="24"/>
      <c r="E4" s="24"/>
      <c r="F4" s="24"/>
      <c r="G4" s="24"/>
      <c r="H4" s="24"/>
      <c r="I4" s="24"/>
      <c r="J4" s="24"/>
      <c r="K4" s="25"/>
    </row>
    <row r="5" s="5" customFormat="1" ht="20" customHeight="1" spans="1:11">
      <c r="A5" s="22"/>
      <c r="B5" s="23"/>
      <c r="C5" s="24"/>
      <c r="D5" s="24"/>
      <c r="E5" s="24"/>
      <c r="F5" s="24"/>
      <c r="G5" s="24"/>
      <c r="H5" s="24"/>
      <c r="I5" s="24"/>
      <c r="J5" s="24"/>
      <c r="K5" s="25"/>
    </row>
    <row r="6" s="5" customFormat="1" ht="20" customHeight="1" spans="1:11">
      <c r="A6" s="22"/>
      <c r="B6" s="23"/>
      <c r="C6" s="24"/>
      <c r="D6" s="24"/>
      <c r="E6" s="24"/>
      <c r="F6" s="24"/>
      <c r="G6" s="24"/>
      <c r="H6" s="24"/>
      <c r="I6" s="24"/>
      <c r="J6" s="24"/>
      <c r="K6" s="25"/>
    </row>
    <row r="7" s="5" customFormat="1" ht="20" customHeight="1" spans="1:11">
      <c r="A7" s="22"/>
      <c r="B7" s="23"/>
      <c r="C7" s="24"/>
      <c r="D7" s="24"/>
      <c r="E7" s="24"/>
      <c r="F7" s="24"/>
      <c r="G7" s="24"/>
      <c r="H7" s="24"/>
      <c r="I7" s="24"/>
      <c r="J7" s="24"/>
      <c r="K7" s="25"/>
    </row>
    <row r="8" s="5" customFormat="1" ht="20" customHeight="1" spans="1:11">
      <c r="A8" s="22"/>
      <c r="B8" s="23"/>
      <c r="C8" s="24"/>
      <c r="D8" s="24"/>
      <c r="E8" s="24"/>
      <c r="F8" s="24"/>
      <c r="G8" s="24"/>
      <c r="H8" s="24"/>
      <c r="I8" s="24"/>
      <c r="J8" s="24"/>
      <c r="K8" s="25"/>
    </row>
    <row r="9" s="5" customFormat="1" ht="20" customHeight="1" spans="1:11">
      <c r="A9" s="22"/>
      <c r="B9" s="23"/>
      <c r="C9" s="24"/>
      <c r="D9" s="24"/>
      <c r="E9" s="24"/>
      <c r="F9" s="24"/>
      <c r="G9" s="24"/>
      <c r="H9" s="24"/>
      <c r="I9" s="24"/>
      <c r="J9" s="24"/>
      <c r="K9" s="25"/>
    </row>
    <row r="10" s="5" customFormat="1" ht="20" customHeight="1" spans="1:11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5"/>
    </row>
    <row r="11" s="5" customFormat="1" ht="20" customHeight="1" spans="1:11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5"/>
    </row>
    <row r="12" s="5" customFormat="1" ht="20" customHeight="1" spans="1:11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5"/>
    </row>
    <row r="13" s="5" customFormat="1" ht="20" customHeight="1" spans="1:11">
      <c r="A13" s="22"/>
      <c r="B13" s="23"/>
      <c r="C13" s="24"/>
      <c r="D13" s="24"/>
      <c r="E13" s="24"/>
      <c r="F13" s="24"/>
      <c r="G13" s="24"/>
      <c r="H13" s="24"/>
      <c r="I13" s="24"/>
      <c r="J13" s="24"/>
      <c r="K13" s="25"/>
    </row>
    <row r="14" s="5" customFormat="1" ht="20" customHeight="1" spans="1:1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5"/>
    </row>
    <row r="15" s="5" customFormat="1" ht="20" customHeight="1" spans="1:11">
      <c r="A15" s="22"/>
      <c r="B15" s="23"/>
      <c r="C15" s="24"/>
      <c r="D15" s="24"/>
      <c r="E15" s="24"/>
      <c r="F15" s="24"/>
      <c r="G15" s="24"/>
      <c r="H15" s="24"/>
      <c r="I15" s="24"/>
      <c r="J15" s="24"/>
      <c r="K15" s="25"/>
    </row>
    <row r="16" s="5" customFormat="1" ht="20" customHeight="1" spans="1:11">
      <c r="A16" s="22"/>
      <c r="B16" s="23"/>
      <c r="C16" s="24"/>
      <c r="D16" s="24"/>
      <c r="E16" s="24"/>
      <c r="F16" s="24"/>
      <c r="G16" s="24"/>
      <c r="H16" s="24"/>
      <c r="I16" s="24"/>
      <c r="J16" s="24"/>
      <c r="K16" s="25"/>
    </row>
    <row r="17" s="5" customFormat="1" ht="20" customHeight="1" spans="1:11">
      <c r="A17" s="22"/>
      <c r="B17" s="23"/>
      <c r="C17" s="24"/>
      <c r="D17" s="24"/>
      <c r="E17" s="24"/>
      <c r="F17" s="24"/>
      <c r="G17" s="24"/>
      <c r="H17" s="24"/>
      <c r="I17" s="24"/>
      <c r="J17" s="24"/>
      <c r="K17" s="25"/>
    </row>
    <row r="18" s="5" customFormat="1" ht="20" customHeight="1" spans="1:11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5"/>
    </row>
    <row r="19" s="5" customFormat="1" ht="20" customHeight="1" spans="1:11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25"/>
    </row>
    <row r="20" s="5" customFormat="1" ht="20" customHeight="1" spans="1:11">
      <c r="A20" s="22"/>
      <c r="B20" s="23"/>
      <c r="C20" s="24"/>
      <c r="D20" s="24"/>
      <c r="E20" s="24"/>
      <c r="F20" s="24"/>
      <c r="G20" s="24"/>
      <c r="H20" s="24"/>
      <c r="I20" s="24"/>
      <c r="J20" s="24"/>
      <c r="K20" s="25"/>
    </row>
    <row r="21" s="5" customFormat="1" ht="20" customHeight="1" spans="1:11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5"/>
    </row>
    <row r="22" s="5" customFormat="1" ht="20" customHeight="1" spans="1:11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5"/>
    </row>
    <row r="23" s="5" customFormat="1" ht="20" customHeight="1" spans="1:11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5"/>
    </row>
    <row r="24" s="5" customFormat="1" ht="20" customHeight="1" spans="1:11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5"/>
    </row>
    <row r="25" s="5" customFormat="1" ht="20" customHeight="1" spans="1:11">
      <c r="A25" s="22"/>
      <c r="B25" s="23"/>
      <c r="C25" s="24"/>
      <c r="D25" s="24"/>
      <c r="E25" s="24"/>
      <c r="F25" s="24"/>
      <c r="G25" s="24"/>
      <c r="H25" s="24"/>
      <c r="I25" s="24"/>
      <c r="J25" s="24"/>
      <c r="K25" s="25"/>
    </row>
    <row r="26" s="5" customFormat="1" ht="20" customHeight="1" spans="1:11">
      <c r="A26" s="22"/>
      <c r="B26" s="23"/>
      <c r="C26" s="24"/>
      <c r="D26" s="24"/>
      <c r="E26" s="24"/>
      <c r="F26" s="24"/>
      <c r="G26" s="24"/>
      <c r="H26" s="24"/>
      <c r="I26" s="24"/>
      <c r="J26" s="24"/>
      <c r="K26" s="25"/>
    </row>
    <row r="27" s="5" customFormat="1" ht="20" customHeight="1" spans="1:11">
      <c r="A27" s="22"/>
      <c r="B27" s="23"/>
      <c r="C27" s="24"/>
      <c r="D27" s="24"/>
      <c r="E27" s="24"/>
      <c r="F27" s="24"/>
      <c r="G27" s="24"/>
      <c r="H27" s="24"/>
      <c r="I27" s="24"/>
      <c r="J27" s="24"/>
      <c r="K27" s="25"/>
    </row>
    <row r="28" s="5" customFormat="1" ht="20" customHeight="1" spans="1:1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5"/>
    </row>
    <row r="29" s="5" customFormat="1" ht="20" customHeight="1" spans="1:11">
      <c r="A29" s="22"/>
      <c r="B29" s="23"/>
      <c r="C29" s="24"/>
      <c r="D29" s="24"/>
      <c r="E29" s="24"/>
      <c r="F29" s="24"/>
      <c r="G29" s="24"/>
      <c r="H29" s="24"/>
      <c r="I29" s="24"/>
      <c r="J29" s="24"/>
      <c r="K29" s="25"/>
    </row>
    <row r="30" s="5" customFormat="1" ht="20" customHeight="1" spans="1:11">
      <c r="A30" s="22"/>
      <c r="B30" s="23"/>
      <c r="C30" s="24"/>
      <c r="D30" s="24"/>
      <c r="E30" s="24"/>
      <c r="F30" s="24"/>
      <c r="G30" s="24"/>
      <c r="H30" s="24"/>
      <c r="I30" s="24"/>
      <c r="J30" s="24"/>
      <c r="K30" s="25"/>
    </row>
    <row r="31" s="5" customFormat="1" ht="20" customHeight="1" spans="1:11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5"/>
    </row>
    <row r="32" s="5" customFormat="1" ht="20" customHeight="1" spans="1:11">
      <c r="A32" s="22"/>
      <c r="B32" s="23"/>
      <c r="C32" s="24"/>
      <c r="D32" s="24"/>
      <c r="E32" s="24"/>
      <c r="F32" s="24"/>
      <c r="G32" s="24"/>
      <c r="H32" s="24"/>
      <c r="I32" s="24"/>
      <c r="J32" s="24"/>
      <c r="K32" s="25"/>
    </row>
    <row r="33" s="5" customFormat="1" ht="20" customHeight="1" spans="1:11">
      <c r="A33" s="22"/>
      <c r="B33" s="23"/>
      <c r="C33" s="24"/>
      <c r="D33" s="24"/>
      <c r="E33" s="24"/>
      <c r="F33" s="24"/>
      <c r="G33" s="24"/>
      <c r="H33" s="24"/>
      <c r="I33" s="24"/>
      <c r="J33" s="24"/>
      <c r="K33" s="25"/>
    </row>
    <row r="34" s="5" customFormat="1" ht="20" customHeight="1" spans="1:11">
      <c r="A34" s="22"/>
      <c r="B34" s="23"/>
      <c r="C34" s="24"/>
      <c r="D34" s="24"/>
      <c r="E34" s="24"/>
      <c r="F34" s="24"/>
      <c r="G34" s="24"/>
      <c r="H34" s="24"/>
      <c r="I34" s="24"/>
      <c r="J34" s="24"/>
      <c r="K34" s="25"/>
    </row>
    <row r="35" s="5" customFormat="1" ht="20" customHeight="1" spans="1:11">
      <c r="A35" s="22"/>
      <c r="B35" s="23"/>
      <c r="C35" s="24"/>
      <c r="D35" s="24"/>
      <c r="E35" s="24"/>
      <c r="F35" s="24"/>
      <c r="G35" s="24"/>
      <c r="H35" s="24"/>
      <c r="I35" s="24"/>
      <c r="J35" s="24"/>
      <c r="K35" s="25"/>
    </row>
    <row r="36" s="5" customFormat="1" ht="20" customHeight="1" spans="1:11">
      <c r="A36" s="22"/>
      <c r="B36" s="23"/>
      <c r="C36" s="24"/>
      <c r="D36" s="24"/>
      <c r="E36" s="24"/>
      <c r="F36" s="24"/>
      <c r="G36" s="24"/>
      <c r="H36" s="24"/>
      <c r="I36" s="24"/>
      <c r="J36" s="24"/>
      <c r="K36" s="25"/>
    </row>
    <row r="37" s="5" customFormat="1" ht="20" customHeight="1" spans="1:11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5"/>
    </row>
    <row r="38" s="5" customFormat="1" ht="20" customHeight="1" spans="1:11">
      <c r="A38" s="22"/>
      <c r="B38" s="23"/>
      <c r="C38" s="24"/>
      <c r="D38" s="24"/>
      <c r="E38" s="24"/>
      <c r="F38" s="24"/>
      <c r="G38" s="24"/>
      <c r="H38" s="24"/>
      <c r="I38" s="24"/>
      <c r="J38" s="24"/>
      <c r="K38" s="25"/>
    </row>
    <row r="39" s="5" customFormat="1" ht="20" customHeight="1" spans="1:11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5"/>
    </row>
    <row r="40" s="5" customFormat="1" ht="20" customHeight="1" spans="1:11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5"/>
    </row>
    <row r="41" s="5" customFormat="1" ht="20" customHeight="1" spans="1:11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5"/>
    </row>
    <row r="42" s="5" customFormat="1" ht="20" customHeight="1" spans="1:11">
      <c r="A42" s="22"/>
      <c r="B42" s="23"/>
      <c r="C42" s="24"/>
      <c r="D42" s="24"/>
      <c r="E42" s="24"/>
      <c r="F42" s="24"/>
      <c r="G42" s="24"/>
      <c r="H42" s="24"/>
      <c r="I42" s="24"/>
      <c r="J42" s="24"/>
      <c r="K42" s="25"/>
    </row>
    <row r="43" s="5" customFormat="1" ht="20" customHeight="1" spans="1:1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5"/>
    </row>
    <row r="44" s="5" customFormat="1" ht="20" customHeight="1" spans="1:11">
      <c r="A44" s="22"/>
      <c r="B44" s="23"/>
      <c r="C44" s="24"/>
      <c r="D44" s="24"/>
      <c r="E44" s="24"/>
      <c r="F44" s="24"/>
      <c r="G44" s="24"/>
      <c r="H44" s="24"/>
      <c r="I44" s="24"/>
      <c r="J44" s="24"/>
      <c r="K44" s="25"/>
    </row>
    <row r="45" s="5" customFormat="1" ht="20" customHeight="1" spans="1:11">
      <c r="A45" s="22"/>
      <c r="B45" s="23"/>
      <c r="C45" s="24"/>
      <c r="D45" s="24"/>
      <c r="E45" s="24"/>
      <c r="F45" s="24"/>
      <c r="G45" s="24"/>
      <c r="H45" s="24"/>
      <c r="I45" s="24"/>
      <c r="J45" s="24"/>
      <c r="K45" s="25"/>
    </row>
    <row r="46" s="5" customFormat="1" ht="20" customHeight="1" spans="1:11">
      <c r="A46" s="22"/>
      <c r="B46" s="23"/>
      <c r="C46" s="24"/>
      <c r="D46" s="24"/>
      <c r="E46" s="24"/>
      <c r="F46" s="24"/>
      <c r="G46" s="24"/>
      <c r="H46" s="24"/>
      <c r="I46" s="24"/>
      <c r="J46" s="24"/>
      <c r="K46" s="25"/>
    </row>
    <row r="47" s="5" customFormat="1" ht="20" customHeight="1" spans="1:11">
      <c r="A47" s="22"/>
      <c r="B47" s="23"/>
      <c r="C47" s="24"/>
      <c r="D47" s="24"/>
      <c r="E47" s="24"/>
      <c r="F47" s="24"/>
      <c r="G47" s="24"/>
      <c r="H47" s="24"/>
      <c r="I47" s="24"/>
      <c r="J47" s="24"/>
      <c r="K47" s="25"/>
    </row>
    <row r="48" s="5" customFormat="1" ht="20" customHeight="1" spans="1:11">
      <c r="A48" s="22"/>
      <c r="B48" s="23"/>
      <c r="C48" s="24"/>
      <c r="D48" s="24"/>
      <c r="E48" s="24"/>
      <c r="F48" s="24"/>
      <c r="G48" s="24"/>
      <c r="H48" s="24"/>
      <c r="I48" s="24"/>
      <c r="J48" s="24"/>
      <c r="K48" s="25"/>
    </row>
    <row r="49" s="5" customFormat="1" ht="20" customHeight="1" spans="1:11">
      <c r="A49" s="22"/>
      <c r="B49" s="23"/>
      <c r="C49" s="24"/>
      <c r="D49" s="24"/>
      <c r="E49" s="24"/>
      <c r="F49" s="24"/>
      <c r="G49" s="24"/>
      <c r="H49" s="24"/>
      <c r="I49" s="24"/>
      <c r="J49" s="24"/>
      <c r="K49" s="25"/>
    </row>
    <row r="50" s="5" customFormat="1" ht="20" customHeight="1" spans="1:11">
      <c r="A50" s="22"/>
      <c r="B50" s="23"/>
      <c r="C50" s="24"/>
      <c r="D50" s="24"/>
      <c r="E50" s="24"/>
      <c r="F50" s="24"/>
      <c r="G50" s="24"/>
      <c r="H50" s="24"/>
      <c r="I50" s="24"/>
      <c r="J50" s="24"/>
      <c r="K50" s="25"/>
    </row>
    <row r="51" s="5" customFormat="1" ht="20" customHeight="1" spans="1:11">
      <c r="A51" s="22"/>
      <c r="B51" s="23"/>
      <c r="C51" s="24"/>
      <c r="D51" s="24"/>
      <c r="E51" s="24"/>
      <c r="F51" s="24"/>
      <c r="G51" s="24"/>
      <c r="H51" s="24"/>
      <c r="I51" s="24"/>
      <c r="J51" s="24"/>
      <c r="K51" s="25"/>
    </row>
    <row r="52" s="5" customFormat="1" ht="20" customHeight="1" spans="1:11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5"/>
    </row>
    <row r="53" s="5" customFormat="1" ht="20" customHeight="1" spans="1:11">
      <c r="A53" s="22"/>
      <c r="B53" s="23"/>
      <c r="C53" s="24"/>
      <c r="D53" s="24"/>
      <c r="E53" s="24"/>
      <c r="F53" s="24"/>
      <c r="G53" s="24"/>
      <c r="H53" s="24"/>
      <c r="I53" s="24"/>
      <c r="J53" s="24"/>
      <c r="K53" s="25"/>
    </row>
    <row r="54" s="5" customFormat="1" ht="20" customHeight="1" spans="1:11">
      <c r="A54" s="22"/>
      <c r="B54" s="23"/>
      <c r="C54" s="24"/>
      <c r="D54" s="24"/>
      <c r="E54" s="24"/>
      <c r="F54" s="24"/>
      <c r="G54" s="24"/>
      <c r="H54" s="24"/>
      <c r="I54" s="24"/>
      <c r="J54" s="24"/>
      <c r="K54" s="25"/>
    </row>
    <row r="55" s="5" customFormat="1" ht="20" customHeight="1" spans="1:11">
      <c r="A55" s="22"/>
      <c r="B55" s="23"/>
      <c r="C55" s="24"/>
      <c r="D55" s="24"/>
      <c r="E55" s="24"/>
      <c r="F55" s="24"/>
      <c r="G55" s="24"/>
      <c r="H55" s="24"/>
      <c r="I55" s="24"/>
      <c r="J55" s="24"/>
      <c r="K55" s="25"/>
    </row>
    <row r="56" s="5" customFormat="1" ht="20" customHeight="1" spans="1:11">
      <c r="A56" s="22"/>
      <c r="B56" s="23"/>
      <c r="C56" s="24"/>
      <c r="D56" s="24"/>
      <c r="E56" s="24"/>
      <c r="F56" s="24"/>
      <c r="G56" s="24"/>
      <c r="H56" s="24"/>
      <c r="I56" s="24"/>
      <c r="J56" s="24"/>
      <c r="K56" s="25"/>
    </row>
    <row r="57" s="5" customFormat="1" ht="20" customHeight="1" spans="1:11">
      <c r="A57" s="22"/>
      <c r="B57" s="23"/>
      <c r="C57" s="24"/>
      <c r="D57" s="24"/>
      <c r="E57" s="24"/>
      <c r="F57" s="24"/>
      <c r="G57" s="24"/>
      <c r="H57" s="24"/>
      <c r="I57" s="24"/>
      <c r="J57" s="24"/>
      <c r="K57" s="25"/>
    </row>
    <row r="58" s="5" customFormat="1" ht="20" customHeight="1" spans="1:11">
      <c r="A58" s="22"/>
      <c r="B58" s="23"/>
      <c r="C58" s="24"/>
      <c r="D58" s="24"/>
      <c r="E58" s="24"/>
      <c r="F58" s="24"/>
      <c r="G58" s="24"/>
      <c r="H58" s="24"/>
      <c r="I58" s="24"/>
      <c r="J58" s="24"/>
      <c r="K58" s="25"/>
    </row>
    <row r="59" s="5" customFormat="1" ht="20" customHeight="1" spans="1:11">
      <c r="A59" s="22"/>
      <c r="B59" s="23"/>
      <c r="C59" s="24"/>
      <c r="D59" s="24"/>
      <c r="E59" s="24"/>
      <c r="F59" s="24"/>
      <c r="G59" s="24"/>
      <c r="H59" s="24"/>
      <c r="I59" s="24"/>
      <c r="J59" s="24"/>
      <c r="K59" s="25"/>
    </row>
    <row r="60" s="5" customFormat="1" ht="20" customHeight="1" spans="1:11">
      <c r="A60" s="22"/>
      <c r="B60" s="23"/>
      <c r="C60" s="24"/>
      <c r="D60" s="24"/>
      <c r="E60" s="24"/>
      <c r="F60" s="24"/>
      <c r="G60" s="24"/>
      <c r="H60" s="24"/>
      <c r="I60" s="24"/>
      <c r="J60" s="24"/>
      <c r="K60" s="25"/>
    </row>
    <row r="61" s="5" customFormat="1" ht="20" customHeight="1" spans="1:11">
      <c r="A61" s="22"/>
      <c r="B61" s="23"/>
      <c r="C61" s="24"/>
      <c r="D61" s="24"/>
      <c r="E61" s="24"/>
      <c r="F61" s="24"/>
      <c r="G61" s="24"/>
      <c r="H61" s="24"/>
      <c r="I61" s="24"/>
      <c r="J61" s="24"/>
      <c r="K61" s="25"/>
    </row>
    <row r="62" s="5" customFormat="1" ht="20" customHeight="1" spans="1:11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5"/>
    </row>
    <row r="63" s="5" customFormat="1" ht="20" customHeight="1" spans="1:1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5"/>
    </row>
    <row r="64" s="5" customFormat="1" ht="20" customHeight="1" spans="1:11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5"/>
    </row>
    <row r="65" s="5" customFormat="1" ht="20" customHeight="1" spans="1:11">
      <c r="A65" s="22"/>
      <c r="B65" s="23"/>
      <c r="C65" s="24"/>
      <c r="D65" s="24"/>
      <c r="E65" s="24"/>
      <c r="F65" s="24"/>
      <c r="G65" s="24"/>
      <c r="H65" s="24"/>
      <c r="I65" s="24"/>
      <c r="J65" s="24"/>
      <c r="K65" s="25"/>
    </row>
    <row r="66" s="5" customFormat="1" ht="20" customHeight="1" spans="1:11">
      <c r="A66" s="22"/>
      <c r="B66" s="23"/>
      <c r="C66" s="24"/>
      <c r="D66" s="24"/>
      <c r="E66" s="24"/>
      <c r="F66" s="24"/>
      <c r="G66" s="24"/>
      <c r="H66" s="24"/>
      <c r="I66" s="24"/>
      <c r="J66" s="24"/>
      <c r="K66" s="25"/>
    </row>
    <row r="67" s="5" customFormat="1" ht="20" customHeight="1" spans="1:11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5"/>
    </row>
    <row r="68" s="5" customFormat="1" ht="20" customHeight="1" spans="1:11">
      <c r="A68" s="22"/>
      <c r="B68" s="23"/>
      <c r="C68" s="24"/>
      <c r="D68" s="24"/>
      <c r="E68" s="24"/>
      <c r="F68" s="24"/>
      <c r="G68" s="24"/>
      <c r="H68" s="24"/>
      <c r="I68" s="24"/>
      <c r="J68" s="24"/>
      <c r="K68" s="25"/>
    </row>
    <row r="69" s="5" customFormat="1" ht="20" customHeight="1" spans="1:11">
      <c r="A69" s="22"/>
      <c r="B69" s="23"/>
      <c r="C69" s="24"/>
      <c r="D69" s="24"/>
      <c r="E69" s="24"/>
      <c r="F69" s="24"/>
      <c r="G69" s="24"/>
      <c r="H69" s="24"/>
      <c r="I69" s="24"/>
      <c r="J69" s="24"/>
      <c r="K69" s="25"/>
    </row>
    <row r="70" s="5" customFormat="1" ht="20" customHeight="1" spans="1:11">
      <c r="A70" s="22"/>
      <c r="B70" s="23"/>
      <c r="C70" s="24"/>
      <c r="D70" s="24"/>
      <c r="E70" s="24"/>
      <c r="F70" s="24"/>
      <c r="G70" s="24"/>
      <c r="H70" s="24"/>
      <c r="I70" s="24"/>
      <c r="J70" s="24"/>
      <c r="K70" s="25"/>
    </row>
    <row r="71" s="5" customFormat="1" ht="20" customHeight="1" spans="1:11">
      <c r="A71" s="22"/>
      <c r="B71" s="23"/>
      <c r="C71" s="24"/>
      <c r="D71" s="24"/>
      <c r="E71" s="24"/>
      <c r="F71" s="24"/>
      <c r="G71" s="24"/>
      <c r="H71" s="24"/>
      <c r="I71" s="24"/>
      <c r="J71" s="24"/>
      <c r="K71" s="25"/>
    </row>
    <row r="72" s="5" customFormat="1" ht="20" customHeight="1" spans="1:11">
      <c r="A72" s="22"/>
      <c r="B72" s="23"/>
      <c r="C72" s="24"/>
      <c r="D72" s="24"/>
      <c r="E72" s="24"/>
      <c r="F72" s="24"/>
      <c r="G72" s="24"/>
      <c r="H72" s="24"/>
      <c r="I72" s="24"/>
      <c r="J72" s="24"/>
      <c r="K72" s="25"/>
    </row>
    <row r="73" s="5" customFormat="1" ht="20" customHeight="1" spans="1:11">
      <c r="A73" s="22"/>
      <c r="B73" s="23"/>
      <c r="C73" s="24"/>
      <c r="D73" s="24"/>
      <c r="E73" s="24"/>
      <c r="F73" s="24"/>
      <c r="G73" s="24"/>
      <c r="H73" s="24"/>
      <c r="I73" s="24"/>
      <c r="J73" s="24"/>
      <c r="K73" s="25"/>
    </row>
    <row r="74" s="5" customFormat="1" ht="20" customHeight="1" spans="1:11">
      <c r="A74" s="22"/>
      <c r="B74" s="23"/>
      <c r="C74" s="24"/>
      <c r="D74" s="24"/>
      <c r="E74" s="24"/>
      <c r="F74" s="24"/>
      <c r="G74" s="24"/>
      <c r="H74" s="24"/>
      <c r="I74" s="24"/>
      <c r="J74" s="24"/>
      <c r="K74" s="25"/>
    </row>
    <row r="75" s="5" customFormat="1" ht="20" customHeight="1" spans="1:11">
      <c r="A75" s="22"/>
      <c r="B75" s="23"/>
      <c r="C75" s="24"/>
      <c r="D75" s="24"/>
      <c r="E75" s="24"/>
      <c r="F75" s="24"/>
      <c r="G75" s="24"/>
      <c r="H75" s="24"/>
      <c r="I75" s="24"/>
      <c r="J75" s="24"/>
      <c r="K75" s="25"/>
    </row>
    <row r="76" s="5" customFormat="1" ht="20" customHeight="1" spans="1:11">
      <c r="A76" s="22"/>
      <c r="B76" s="23"/>
      <c r="C76" s="24"/>
      <c r="D76" s="24"/>
      <c r="E76" s="24"/>
      <c r="F76" s="24"/>
      <c r="G76" s="24"/>
      <c r="H76" s="24"/>
      <c r="I76" s="24"/>
      <c r="J76" s="24"/>
      <c r="K76" s="25"/>
    </row>
    <row r="77" s="5" customFormat="1" ht="20" customHeight="1" spans="1:11">
      <c r="A77" s="22"/>
      <c r="B77" s="23"/>
      <c r="C77" s="24"/>
      <c r="D77" s="24"/>
      <c r="E77" s="24"/>
      <c r="F77" s="24"/>
      <c r="G77" s="24"/>
      <c r="H77" s="24"/>
      <c r="I77" s="24"/>
      <c r="J77" s="24"/>
      <c r="K77" s="25"/>
    </row>
    <row r="78" s="5" customFormat="1" ht="20" customHeight="1" spans="1:11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5"/>
    </row>
    <row r="79" s="5" customFormat="1" ht="20" customHeight="1" spans="1:11">
      <c r="A79" s="22"/>
      <c r="B79" s="23"/>
      <c r="C79" s="24"/>
      <c r="D79" s="24"/>
      <c r="E79" s="24"/>
      <c r="F79" s="24"/>
      <c r="G79" s="24"/>
      <c r="H79" s="24"/>
      <c r="I79" s="24"/>
      <c r="J79" s="24"/>
      <c r="K79" s="25"/>
    </row>
    <row r="80" s="5" customFormat="1" ht="20" customHeight="1" spans="1:11">
      <c r="A80" s="22"/>
      <c r="B80" s="23"/>
      <c r="C80" s="24"/>
      <c r="D80" s="24"/>
      <c r="E80" s="24"/>
      <c r="F80" s="24"/>
      <c r="G80" s="24"/>
      <c r="H80" s="24"/>
      <c r="I80" s="24"/>
      <c r="J80" s="24"/>
      <c r="K80" s="25"/>
    </row>
    <row r="81" s="5" customFormat="1" ht="20" customHeight="1" spans="1:11">
      <c r="A81" s="22"/>
      <c r="B81" s="23"/>
      <c r="C81" s="24"/>
      <c r="D81" s="24"/>
      <c r="E81" s="24"/>
      <c r="F81" s="24"/>
      <c r="G81" s="24"/>
      <c r="H81" s="24"/>
      <c r="I81" s="24"/>
      <c r="J81" s="24"/>
      <c r="K81" s="25"/>
    </row>
    <row r="82" s="5" customFormat="1" ht="20" customHeight="1" spans="1:11">
      <c r="A82" s="22"/>
      <c r="B82" s="23"/>
      <c r="C82" s="24"/>
      <c r="D82" s="24"/>
      <c r="E82" s="24"/>
      <c r="F82" s="24"/>
      <c r="G82" s="24"/>
      <c r="H82" s="24"/>
      <c r="I82" s="24"/>
      <c r="J82" s="24"/>
      <c r="K82" s="25"/>
    </row>
    <row r="83" s="5" customFormat="1" ht="20" customHeight="1" spans="1:11">
      <c r="A83" s="22"/>
      <c r="B83" s="23"/>
      <c r="C83" s="24"/>
      <c r="D83" s="24"/>
      <c r="E83" s="24"/>
      <c r="F83" s="24"/>
      <c r="G83" s="24"/>
      <c r="H83" s="24"/>
      <c r="I83" s="24"/>
      <c r="J83" s="24"/>
      <c r="K83" s="25"/>
    </row>
    <row r="84" s="5" customFormat="1" ht="20" customHeight="1" spans="1:11">
      <c r="A84" s="22"/>
      <c r="B84" s="23"/>
      <c r="C84" s="24"/>
      <c r="D84" s="24"/>
      <c r="E84" s="24"/>
      <c r="F84" s="24"/>
      <c r="G84" s="24"/>
      <c r="H84" s="24"/>
      <c r="I84" s="24"/>
      <c r="J84" s="24"/>
      <c r="K84" s="25"/>
    </row>
    <row r="85" s="5" customFormat="1" ht="20" customHeight="1" spans="1:11">
      <c r="A85" s="22"/>
      <c r="B85" s="23"/>
      <c r="C85" s="24"/>
      <c r="D85" s="24"/>
      <c r="E85" s="24"/>
      <c r="F85" s="24"/>
      <c r="G85" s="24"/>
      <c r="H85" s="24"/>
      <c r="I85" s="24"/>
      <c r="J85" s="24"/>
      <c r="K85" s="25"/>
    </row>
    <row r="86" s="5" customFormat="1" ht="20" customHeight="1" spans="1:11">
      <c r="A86" s="22"/>
      <c r="B86" s="23"/>
      <c r="C86" s="24"/>
      <c r="D86" s="24"/>
      <c r="E86" s="24"/>
      <c r="F86" s="24"/>
      <c r="G86" s="24"/>
      <c r="H86" s="24"/>
      <c r="I86" s="24"/>
      <c r="J86" s="24"/>
      <c r="K86" s="25"/>
    </row>
    <row r="87" s="5" customFormat="1" ht="20" customHeight="1" spans="1:11">
      <c r="A87" s="22"/>
      <c r="B87" s="23"/>
      <c r="C87" s="24"/>
      <c r="D87" s="24"/>
      <c r="E87" s="24"/>
      <c r="F87" s="24"/>
      <c r="G87" s="24"/>
      <c r="H87" s="24"/>
      <c r="I87" s="24"/>
      <c r="J87" s="24"/>
      <c r="K87" s="25"/>
    </row>
    <row r="88" s="5" customFormat="1" ht="20" customHeight="1" spans="1:11">
      <c r="A88" s="22"/>
      <c r="B88" s="23"/>
      <c r="C88" s="24"/>
      <c r="D88" s="24"/>
      <c r="E88" s="24"/>
      <c r="F88" s="24"/>
      <c r="G88" s="24"/>
      <c r="H88" s="24"/>
      <c r="I88" s="24"/>
      <c r="J88" s="24"/>
      <c r="K88" s="25"/>
    </row>
    <row r="89" s="5" customFormat="1" ht="20" customHeight="1" spans="1:11">
      <c r="A89" s="22"/>
      <c r="B89" s="23"/>
      <c r="C89" s="24"/>
      <c r="D89" s="24"/>
      <c r="E89" s="24"/>
      <c r="F89" s="24"/>
      <c r="G89" s="24"/>
      <c r="H89" s="24"/>
      <c r="I89" s="24"/>
      <c r="J89" s="24"/>
      <c r="K89" s="25"/>
    </row>
    <row r="90" s="5" customFormat="1" ht="20" customHeight="1" spans="1:11">
      <c r="A90" s="22"/>
      <c r="B90" s="23"/>
      <c r="C90" s="24"/>
      <c r="D90" s="24"/>
      <c r="E90" s="24"/>
      <c r="F90" s="24"/>
      <c r="G90" s="24"/>
      <c r="H90" s="24"/>
      <c r="I90" s="24"/>
      <c r="J90" s="24"/>
      <c r="K90" s="25"/>
    </row>
    <row r="91" s="5" customFormat="1" ht="20" customHeight="1" spans="1:11">
      <c r="A91" s="22"/>
      <c r="B91" s="23"/>
      <c r="C91" s="24"/>
      <c r="D91" s="24"/>
      <c r="E91" s="24"/>
      <c r="F91" s="24"/>
      <c r="G91" s="24"/>
      <c r="H91" s="24"/>
      <c r="I91" s="24"/>
      <c r="J91" s="24"/>
      <c r="K91" s="25"/>
    </row>
    <row r="92" s="5" customFormat="1" ht="20" customHeight="1" spans="1:11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5"/>
    </row>
    <row r="93" s="5" customFormat="1" ht="20" customHeight="1" spans="1:11">
      <c r="A93" s="22"/>
      <c r="B93" s="23"/>
      <c r="C93" s="24"/>
      <c r="D93" s="24"/>
      <c r="E93" s="24"/>
      <c r="F93" s="24"/>
      <c r="G93" s="24"/>
      <c r="H93" s="24"/>
      <c r="I93" s="24"/>
      <c r="J93" s="24"/>
      <c r="K93" s="25"/>
    </row>
    <row r="94" s="5" customFormat="1" ht="20" customHeight="1" spans="1:11">
      <c r="A94" s="22"/>
      <c r="B94" s="23"/>
      <c r="C94" s="24"/>
      <c r="D94" s="24"/>
      <c r="E94" s="24"/>
      <c r="F94" s="24"/>
      <c r="G94" s="24"/>
      <c r="H94" s="24"/>
      <c r="I94" s="24"/>
      <c r="J94" s="24"/>
      <c r="K94" s="25"/>
    </row>
    <row r="95" s="5" customFormat="1" ht="20" customHeight="1" spans="1:11">
      <c r="A95" s="22"/>
      <c r="B95" s="23"/>
      <c r="C95" s="24"/>
      <c r="D95" s="24"/>
      <c r="E95" s="24"/>
      <c r="F95" s="24"/>
      <c r="G95" s="24"/>
      <c r="H95" s="24"/>
      <c r="I95" s="24"/>
      <c r="J95" s="24"/>
      <c r="K95" s="25"/>
    </row>
    <row r="96" s="5" customFormat="1" ht="20" customHeight="1" spans="1:11">
      <c r="A96" s="22"/>
      <c r="B96" s="23"/>
      <c r="C96" s="24"/>
      <c r="D96" s="24"/>
      <c r="E96" s="24"/>
      <c r="F96" s="24"/>
      <c r="G96" s="24"/>
      <c r="H96" s="24"/>
      <c r="I96" s="24"/>
      <c r="J96" s="24"/>
      <c r="K96" s="25"/>
    </row>
    <row r="97" s="5" customFormat="1" ht="20" customHeight="1" spans="1:11">
      <c r="A97" s="22"/>
      <c r="B97" s="23"/>
      <c r="C97" s="24"/>
      <c r="D97" s="24"/>
      <c r="E97" s="24"/>
      <c r="F97" s="24"/>
      <c r="G97" s="24"/>
      <c r="H97" s="24"/>
      <c r="I97" s="24"/>
      <c r="J97" s="24"/>
      <c r="K97" s="25"/>
    </row>
    <row r="98" s="5" customFormat="1" ht="20" customHeight="1" spans="1:11">
      <c r="A98" s="22"/>
      <c r="B98" s="23"/>
      <c r="C98" s="24"/>
      <c r="D98" s="24"/>
      <c r="E98" s="24"/>
      <c r="F98" s="24"/>
      <c r="G98" s="24"/>
      <c r="H98" s="24"/>
      <c r="I98" s="24"/>
      <c r="J98" s="24"/>
      <c r="K98" s="25"/>
    </row>
    <row r="99" s="5" customFormat="1" ht="20" customHeight="1" spans="1:11">
      <c r="A99" s="22"/>
      <c r="B99" s="23"/>
      <c r="C99" s="24"/>
      <c r="D99" s="24"/>
      <c r="E99" s="24"/>
      <c r="F99" s="24"/>
      <c r="G99" s="24"/>
      <c r="H99" s="24"/>
      <c r="I99" s="24"/>
      <c r="J99" s="24"/>
      <c r="K99" s="25"/>
    </row>
    <row r="100" s="5" customFormat="1" ht="20" customHeight="1" spans="1:11">
      <c r="A100" s="22"/>
      <c r="B100" s="23"/>
      <c r="C100" s="24"/>
      <c r="D100" s="24"/>
      <c r="E100" s="24"/>
      <c r="F100" s="24"/>
      <c r="G100" s="24"/>
      <c r="H100" s="24"/>
      <c r="I100" s="24"/>
      <c r="J100" s="24"/>
      <c r="K100" s="25"/>
    </row>
    <row r="101" s="5" customFormat="1" ht="20" customHeight="1" spans="1:11">
      <c r="A101" s="22"/>
      <c r="B101" s="23"/>
      <c r="C101" s="24"/>
      <c r="D101" s="24"/>
      <c r="E101" s="24"/>
      <c r="F101" s="24"/>
      <c r="G101" s="24"/>
      <c r="H101" s="24"/>
      <c r="I101" s="24"/>
      <c r="J101" s="24"/>
      <c r="K101" s="25"/>
    </row>
    <row r="102" s="5" customFormat="1" ht="20" customHeight="1" spans="1:11">
      <c r="A102" s="22"/>
      <c r="B102" s="23"/>
      <c r="C102" s="24"/>
      <c r="D102" s="24"/>
      <c r="E102" s="24"/>
      <c r="F102" s="24"/>
      <c r="G102" s="24"/>
      <c r="H102" s="24"/>
      <c r="I102" s="24"/>
      <c r="J102" s="24"/>
      <c r="K102" s="25"/>
    </row>
    <row r="103" s="5" customFormat="1" ht="20" customHeight="1" spans="1:11">
      <c r="A103" s="22"/>
      <c r="B103" s="23"/>
      <c r="C103" s="24"/>
      <c r="D103" s="24"/>
      <c r="E103" s="24"/>
      <c r="F103" s="24"/>
      <c r="G103" s="24"/>
      <c r="H103" s="24"/>
      <c r="I103" s="24"/>
      <c r="J103" s="24"/>
      <c r="K103" s="25"/>
    </row>
    <row r="104" s="5" customFormat="1" ht="20" customHeight="1" spans="1:11">
      <c r="A104" s="22"/>
      <c r="B104" s="23"/>
      <c r="C104" s="24"/>
      <c r="D104" s="24"/>
      <c r="E104" s="24"/>
      <c r="F104" s="24"/>
      <c r="G104" s="24"/>
      <c r="H104" s="24"/>
      <c r="I104" s="24"/>
      <c r="J104" s="24"/>
      <c r="K104" s="25"/>
    </row>
    <row r="105" s="5" customFormat="1" ht="20" customHeight="1" spans="1:11">
      <c r="A105" s="22"/>
      <c r="B105" s="23"/>
      <c r="C105" s="24"/>
      <c r="D105" s="24"/>
      <c r="E105" s="24"/>
      <c r="F105" s="24"/>
      <c r="G105" s="24"/>
      <c r="H105" s="24"/>
      <c r="I105" s="24"/>
      <c r="J105" s="24"/>
      <c r="K105" s="25"/>
    </row>
    <row r="106" s="5" customFormat="1" ht="20" customHeight="1" spans="1:11">
      <c r="A106" s="22"/>
      <c r="B106" s="23"/>
      <c r="C106" s="24"/>
      <c r="D106" s="24"/>
      <c r="E106" s="24"/>
      <c r="F106" s="24"/>
      <c r="G106" s="24"/>
      <c r="H106" s="24"/>
      <c r="I106" s="24"/>
      <c r="J106" s="24"/>
      <c r="K106" s="25"/>
    </row>
    <row r="107" s="5" customFormat="1" ht="20" customHeight="1" spans="1:11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5"/>
    </row>
    <row r="108" s="5" customFormat="1" ht="20" customHeight="1" spans="1:11">
      <c r="A108" s="22"/>
      <c r="B108" s="23"/>
      <c r="C108" s="24"/>
      <c r="D108" s="24"/>
      <c r="E108" s="24"/>
      <c r="F108" s="24"/>
      <c r="G108" s="24"/>
      <c r="H108" s="24"/>
      <c r="I108" s="24"/>
      <c r="J108" s="24"/>
      <c r="K108" s="25"/>
    </row>
    <row r="109" s="5" customFormat="1" ht="20" customHeight="1" spans="1:11">
      <c r="A109" s="22"/>
      <c r="B109" s="23"/>
      <c r="C109" s="24"/>
      <c r="D109" s="24"/>
      <c r="E109" s="24"/>
      <c r="F109" s="24"/>
      <c r="G109" s="24"/>
      <c r="H109" s="24"/>
      <c r="I109" s="24"/>
      <c r="J109" s="24"/>
      <c r="K109" s="25"/>
    </row>
    <row r="110" s="5" customFormat="1" ht="20" customHeight="1" spans="1:11">
      <c r="A110" s="22"/>
      <c r="B110" s="23"/>
      <c r="C110" s="24"/>
      <c r="D110" s="24"/>
      <c r="E110" s="24"/>
      <c r="F110" s="24"/>
      <c r="G110" s="24"/>
      <c r="H110" s="24"/>
      <c r="I110" s="24"/>
      <c r="J110" s="24"/>
      <c r="K110" s="25"/>
    </row>
    <row r="111" s="5" customFormat="1" ht="20" customHeight="1" spans="1:11">
      <c r="A111" s="22"/>
      <c r="B111" s="23"/>
      <c r="C111" s="24"/>
      <c r="D111" s="24"/>
      <c r="E111" s="24"/>
      <c r="F111" s="24"/>
      <c r="G111" s="24"/>
      <c r="H111" s="24"/>
      <c r="I111" s="24"/>
      <c r="J111" s="24"/>
      <c r="K111" s="25"/>
    </row>
    <row r="112" s="5" customFormat="1" ht="20" customHeight="1" spans="1:11">
      <c r="A112" s="22"/>
      <c r="B112" s="23"/>
      <c r="C112" s="24"/>
      <c r="D112" s="24"/>
      <c r="E112" s="24"/>
      <c r="F112" s="24"/>
      <c r="G112" s="24"/>
      <c r="H112" s="24"/>
      <c r="I112" s="24"/>
      <c r="J112" s="24"/>
      <c r="K112" s="25"/>
    </row>
    <row r="113" s="5" customFormat="1" ht="20" customHeight="1" spans="1:11">
      <c r="A113" s="22"/>
      <c r="B113" s="23"/>
      <c r="C113" s="24"/>
      <c r="D113" s="24"/>
      <c r="E113" s="24"/>
      <c r="F113" s="24"/>
      <c r="G113" s="24"/>
      <c r="H113" s="24"/>
      <c r="I113" s="24"/>
      <c r="J113" s="24"/>
      <c r="K113" s="25"/>
    </row>
    <row r="114" s="5" customFormat="1" ht="20" customHeight="1" spans="1:11">
      <c r="A114" s="22"/>
      <c r="B114" s="23"/>
      <c r="C114" s="24"/>
      <c r="D114" s="24"/>
      <c r="E114" s="24"/>
      <c r="F114" s="24"/>
      <c r="G114" s="24"/>
      <c r="H114" s="24"/>
      <c r="I114" s="24"/>
      <c r="J114" s="24"/>
      <c r="K114" s="25"/>
    </row>
    <row r="115" s="5" customFormat="1" ht="20" customHeight="1" spans="1:11">
      <c r="A115" s="22"/>
      <c r="B115" s="23"/>
      <c r="C115" s="24"/>
      <c r="D115" s="24"/>
      <c r="E115" s="24"/>
      <c r="F115" s="24"/>
      <c r="G115" s="24"/>
      <c r="H115" s="24"/>
      <c r="I115" s="24"/>
      <c r="J115" s="24"/>
      <c r="K115" s="25"/>
    </row>
    <row r="116" s="5" customFormat="1" ht="20" customHeight="1" spans="1:11">
      <c r="A116" s="22"/>
      <c r="B116" s="23"/>
      <c r="C116" s="24"/>
      <c r="D116" s="24"/>
      <c r="E116" s="24"/>
      <c r="F116" s="24"/>
      <c r="G116" s="24"/>
      <c r="H116" s="24"/>
      <c r="I116" s="24"/>
      <c r="J116" s="24"/>
      <c r="K116" s="25"/>
    </row>
    <row r="117" s="5" customFormat="1" ht="20" customHeight="1" spans="1:11">
      <c r="A117" s="22"/>
      <c r="B117" s="23"/>
      <c r="C117" s="24"/>
      <c r="D117" s="24"/>
      <c r="E117" s="24"/>
      <c r="F117" s="24"/>
      <c r="G117" s="24"/>
      <c r="H117" s="24"/>
      <c r="I117" s="24"/>
      <c r="J117" s="24"/>
      <c r="K117" s="25"/>
    </row>
    <row r="118" s="5" customFormat="1" ht="20" customHeight="1" spans="1:11">
      <c r="A118" s="22"/>
      <c r="B118" s="23"/>
      <c r="C118" s="24"/>
      <c r="D118" s="24"/>
      <c r="E118" s="24"/>
      <c r="F118" s="24"/>
      <c r="G118" s="24"/>
      <c r="H118" s="24"/>
      <c r="I118" s="24"/>
      <c r="J118" s="24"/>
      <c r="K118" s="25"/>
    </row>
    <row r="119" s="5" customFormat="1" ht="20" customHeight="1" spans="1:11">
      <c r="A119" s="22"/>
      <c r="B119" s="23"/>
      <c r="C119" s="24"/>
      <c r="D119" s="24"/>
      <c r="E119" s="24"/>
      <c r="F119" s="24"/>
      <c r="G119" s="24"/>
      <c r="H119" s="24"/>
      <c r="I119" s="24"/>
      <c r="J119" s="24"/>
      <c r="K119" s="25"/>
    </row>
    <row r="120" s="5" customFormat="1" ht="20" customHeight="1" spans="1:11">
      <c r="A120" s="22"/>
      <c r="B120" s="23"/>
      <c r="C120" s="24"/>
      <c r="D120" s="24"/>
      <c r="E120" s="24"/>
      <c r="F120" s="24"/>
      <c r="G120" s="24"/>
      <c r="H120" s="24"/>
      <c r="I120" s="24"/>
      <c r="J120" s="24"/>
      <c r="K120" s="25"/>
    </row>
    <row r="121" s="5" customFormat="1" ht="20" customHeight="1" spans="1:11">
      <c r="A121" s="22"/>
      <c r="B121" s="23"/>
      <c r="C121" s="24"/>
      <c r="D121" s="24"/>
      <c r="E121" s="24"/>
      <c r="F121" s="24"/>
      <c r="G121" s="24"/>
      <c r="H121" s="24"/>
      <c r="I121" s="24"/>
      <c r="J121" s="24"/>
      <c r="K121" s="25"/>
    </row>
    <row r="122" s="5" customFormat="1" ht="20" customHeight="1" spans="1:11">
      <c r="A122" s="22"/>
      <c r="B122" s="23"/>
      <c r="C122" s="24"/>
      <c r="D122" s="24"/>
      <c r="E122" s="24"/>
      <c r="F122" s="24"/>
      <c r="G122" s="24"/>
      <c r="H122" s="24"/>
      <c r="I122" s="24"/>
      <c r="J122" s="24"/>
      <c r="K122" s="25"/>
    </row>
    <row r="123" s="5" customFormat="1" ht="20" customHeight="1" spans="1:11">
      <c r="A123" s="22"/>
      <c r="B123" s="23"/>
      <c r="C123" s="24"/>
      <c r="D123" s="24"/>
      <c r="E123" s="24"/>
      <c r="F123" s="24"/>
      <c r="G123" s="24"/>
      <c r="H123" s="24"/>
      <c r="I123" s="24"/>
      <c r="J123" s="24"/>
      <c r="K123" s="25"/>
    </row>
    <row r="124" s="5" customFormat="1" ht="20" customHeight="1" spans="1:11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5"/>
    </row>
    <row r="125" s="5" customFormat="1" ht="20" customHeight="1" spans="1:11">
      <c r="A125" s="22"/>
      <c r="B125" s="23"/>
      <c r="C125" s="24"/>
      <c r="D125" s="24"/>
      <c r="E125" s="24"/>
      <c r="F125" s="24"/>
      <c r="G125" s="24"/>
      <c r="H125" s="24"/>
      <c r="I125" s="24"/>
      <c r="J125" s="24"/>
      <c r="K125" s="25"/>
    </row>
    <row r="126" s="5" customFormat="1" ht="20" customHeight="1" spans="1:11">
      <c r="A126" s="22"/>
      <c r="B126" s="23"/>
      <c r="C126" s="24"/>
      <c r="D126" s="24"/>
      <c r="E126" s="24"/>
      <c r="F126" s="24"/>
      <c r="G126" s="24"/>
      <c r="H126" s="24"/>
      <c r="I126" s="24"/>
      <c r="J126" s="24"/>
      <c r="K126" s="25"/>
    </row>
    <row r="127" s="5" customFormat="1" ht="20" customHeight="1" spans="1:11">
      <c r="A127" s="22"/>
      <c r="B127" s="23"/>
      <c r="C127" s="24"/>
      <c r="D127" s="24"/>
      <c r="E127" s="24"/>
      <c r="F127" s="24"/>
      <c r="G127" s="24"/>
      <c r="H127" s="24"/>
      <c r="I127" s="24"/>
      <c r="J127" s="24"/>
      <c r="K127" s="25"/>
    </row>
    <row r="128" s="5" customFormat="1" ht="20" customHeight="1" spans="1:11">
      <c r="A128" s="22"/>
      <c r="B128" s="23"/>
      <c r="C128" s="24"/>
      <c r="D128" s="24"/>
      <c r="E128" s="24"/>
      <c r="F128" s="24"/>
      <c r="G128" s="24"/>
      <c r="H128" s="24"/>
      <c r="I128" s="24"/>
      <c r="J128" s="24"/>
      <c r="K128" s="25"/>
    </row>
    <row r="129" s="5" customFormat="1" ht="20" customHeight="1" spans="1:11">
      <c r="A129" s="22"/>
      <c r="B129" s="23"/>
      <c r="C129" s="24"/>
      <c r="D129" s="24"/>
      <c r="E129" s="24"/>
      <c r="F129" s="24"/>
      <c r="G129" s="24"/>
      <c r="H129" s="24"/>
      <c r="I129" s="24"/>
      <c r="J129" s="24"/>
      <c r="K129" s="25"/>
    </row>
    <row r="130" s="5" customFormat="1" ht="20" customHeight="1" spans="1:11">
      <c r="A130" s="22"/>
      <c r="B130" s="23"/>
      <c r="C130" s="24"/>
      <c r="D130" s="24"/>
      <c r="E130" s="24"/>
      <c r="F130" s="24"/>
      <c r="G130" s="24"/>
      <c r="H130" s="24"/>
      <c r="I130" s="24"/>
      <c r="J130" s="24"/>
      <c r="K130" s="25"/>
    </row>
    <row r="131" s="5" customFormat="1" ht="20" customHeight="1" spans="1:11">
      <c r="A131" s="22"/>
      <c r="B131" s="23"/>
      <c r="C131" s="24"/>
      <c r="D131" s="24"/>
      <c r="E131" s="24"/>
      <c r="F131" s="24"/>
      <c r="G131" s="24"/>
      <c r="H131" s="24"/>
      <c r="I131" s="24"/>
      <c r="J131" s="24"/>
      <c r="K131" s="25"/>
    </row>
    <row r="132" s="5" customFormat="1" ht="20" customHeight="1" spans="1:11">
      <c r="A132" s="22"/>
      <c r="B132" s="23"/>
      <c r="C132" s="24"/>
      <c r="D132" s="24"/>
      <c r="E132" s="24"/>
      <c r="F132" s="24"/>
      <c r="G132" s="24"/>
      <c r="H132" s="24"/>
      <c r="I132" s="24"/>
      <c r="J132" s="24"/>
      <c r="K132" s="25"/>
    </row>
    <row r="133" s="5" customFormat="1" ht="20" customHeight="1" spans="1:11">
      <c r="A133" s="22"/>
      <c r="B133" s="23"/>
      <c r="C133" s="24"/>
      <c r="D133" s="24"/>
      <c r="E133" s="24"/>
      <c r="F133" s="24"/>
      <c r="G133" s="24"/>
      <c r="H133" s="24"/>
      <c r="I133" s="24"/>
      <c r="J133" s="24"/>
      <c r="K133" s="25"/>
    </row>
    <row r="134" s="5" customFormat="1" ht="20" customHeight="1" spans="1:11">
      <c r="A134" s="22"/>
      <c r="B134" s="23"/>
      <c r="C134" s="24"/>
      <c r="D134" s="24"/>
      <c r="E134" s="24"/>
      <c r="F134" s="24"/>
      <c r="G134" s="24"/>
      <c r="H134" s="24"/>
      <c r="I134" s="24"/>
      <c r="J134" s="24"/>
      <c r="K134" s="25"/>
    </row>
    <row r="135" s="5" customFormat="1" ht="20" customHeight="1" spans="1:11">
      <c r="A135" s="22"/>
      <c r="B135" s="23"/>
      <c r="C135" s="24"/>
      <c r="D135" s="24"/>
      <c r="E135" s="24"/>
      <c r="F135" s="24"/>
      <c r="G135" s="24"/>
      <c r="H135" s="24"/>
      <c r="I135" s="24"/>
      <c r="J135" s="24"/>
      <c r="K135" s="25"/>
    </row>
    <row r="136" s="5" customFormat="1" ht="20" customHeight="1" spans="1:11">
      <c r="A136" s="22"/>
      <c r="B136" s="23"/>
      <c r="C136" s="24"/>
      <c r="D136" s="24"/>
      <c r="E136" s="24"/>
      <c r="F136" s="24"/>
      <c r="G136" s="24"/>
      <c r="H136" s="24"/>
      <c r="I136" s="24"/>
      <c r="J136" s="24"/>
      <c r="K136" s="25"/>
    </row>
    <row r="137" s="5" customFormat="1" ht="20" customHeight="1" spans="1:11">
      <c r="A137" s="22"/>
      <c r="B137" s="23"/>
      <c r="C137" s="24"/>
      <c r="D137" s="24"/>
      <c r="E137" s="24"/>
      <c r="F137" s="24"/>
      <c r="G137" s="24"/>
      <c r="H137" s="24"/>
      <c r="I137" s="24"/>
      <c r="J137" s="24"/>
      <c r="K137" s="25"/>
    </row>
    <row r="138" s="5" customFormat="1" ht="20" customHeight="1" spans="1:11">
      <c r="A138" s="22"/>
      <c r="B138" s="23"/>
      <c r="C138" s="24"/>
      <c r="D138" s="24"/>
      <c r="E138" s="24"/>
      <c r="F138" s="24"/>
      <c r="G138" s="24"/>
      <c r="H138" s="24"/>
      <c r="I138" s="24"/>
      <c r="J138" s="24"/>
      <c r="K138" s="25"/>
    </row>
    <row r="139" s="5" customFormat="1" ht="20" customHeight="1" spans="1:11">
      <c r="A139" s="22"/>
      <c r="B139" s="23"/>
      <c r="C139" s="24"/>
      <c r="D139" s="24"/>
      <c r="E139" s="24"/>
      <c r="F139" s="24"/>
      <c r="G139" s="24"/>
      <c r="H139" s="24"/>
      <c r="I139" s="24"/>
      <c r="J139" s="24"/>
      <c r="K139" s="25"/>
    </row>
    <row r="140" s="5" customFormat="1" ht="20" customHeight="1" spans="1:11">
      <c r="A140" s="22"/>
      <c r="B140" s="23"/>
      <c r="C140" s="24"/>
      <c r="D140" s="24"/>
      <c r="E140" s="24"/>
      <c r="F140" s="24"/>
      <c r="G140" s="24"/>
      <c r="H140" s="24"/>
      <c r="I140" s="24"/>
      <c r="J140" s="24"/>
      <c r="K140" s="25"/>
    </row>
    <row r="141" s="5" customFormat="1" ht="20" customHeight="1" spans="1:11">
      <c r="A141" s="22"/>
      <c r="B141" s="23"/>
      <c r="C141" s="24"/>
      <c r="D141" s="24"/>
      <c r="E141" s="24"/>
      <c r="F141" s="24"/>
      <c r="G141" s="24"/>
      <c r="H141" s="24"/>
      <c r="I141" s="24"/>
      <c r="J141" s="24"/>
      <c r="K141" s="25"/>
    </row>
    <row r="142" s="5" customFormat="1" ht="20" customHeight="1" spans="1:11">
      <c r="A142" s="22"/>
      <c r="B142" s="23"/>
      <c r="C142" s="24"/>
      <c r="D142" s="24"/>
      <c r="E142" s="24"/>
      <c r="F142" s="24"/>
      <c r="G142" s="24"/>
      <c r="H142" s="24"/>
      <c r="I142" s="24"/>
      <c r="J142" s="24"/>
      <c r="K142" s="25"/>
    </row>
    <row r="143" s="5" customFormat="1" ht="20" customHeight="1" spans="1:11">
      <c r="A143" s="22"/>
      <c r="B143" s="23"/>
      <c r="C143" s="24"/>
      <c r="D143" s="24"/>
      <c r="E143" s="24"/>
      <c r="F143" s="24"/>
      <c r="G143" s="24"/>
      <c r="H143" s="24"/>
      <c r="I143" s="24"/>
      <c r="J143" s="24"/>
      <c r="K143" s="25"/>
    </row>
    <row r="144" s="5" customFormat="1" ht="20" customHeight="1" spans="1:11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5"/>
    </row>
    <row r="145" s="5" customFormat="1" ht="20" customHeight="1" spans="1:11">
      <c r="A145" s="22"/>
      <c r="B145" s="23"/>
      <c r="C145" s="24"/>
      <c r="D145" s="24"/>
      <c r="E145" s="24"/>
      <c r="F145" s="24"/>
      <c r="G145" s="24"/>
      <c r="H145" s="24"/>
      <c r="I145" s="24"/>
      <c r="J145" s="24"/>
      <c r="K145" s="25"/>
    </row>
    <row r="146" s="5" customFormat="1" ht="20" customHeight="1" spans="1:11">
      <c r="A146" s="22"/>
      <c r="B146" s="23"/>
      <c r="C146" s="24"/>
      <c r="D146" s="24"/>
      <c r="E146" s="24"/>
      <c r="F146" s="24"/>
      <c r="G146" s="24"/>
      <c r="H146" s="24"/>
      <c r="I146" s="24"/>
      <c r="J146" s="24"/>
      <c r="K146" s="25"/>
    </row>
    <row r="147" s="5" customFormat="1" ht="20" customHeight="1" spans="1:11">
      <c r="A147" s="22"/>
      <c r="B147" s="23"/>
      <c r="C147" s="24"/>
      <c r="D147" s="24"/>
      <c r="E147" s="24"/>
      <c r="F147" s="24"/>
      <c r="G147" s="24"/>
      <c r="H147" s="24"/>
      <c r="I147" s="24"/>
      <c r="J147" s="24"/>
      <c r="K147" s="25"/>
    </row>
    <row r="148" s="5" customFormat="1" ht="20" customHeight="1" spans="1:11">
      <c r="A148" s="22"/>
      <c r="B148" s="23"/>
      <c r="C148" s="24"/>
      <c r="D148" s="24"/>
      <c r="E148" s="24"/>
      <c r="F148" s="24"/>
      <c r="G148" s="24"/>
      <c r="H148" s="24"/>
      <c r="I148" s="24"/>
      <c r="J148" s="24"/>
      <c r="K148" s="25"/>
    </row>
    <row r="149" s="5" customFormat="1" ht="20" customHeight="1" spans="1:11">
      <c r="A149" s="22"/>
      <c r="B149" s="23"/>
      <c r="C149" s="24"/>
      <c r="D149" s="24"/>
      <c r="E149" s="24"/>
      <c r="F149" s="24"/>
      <c r="G149" s="24"/>
      <c r="H149" s="24"/>
      <c r="I149" s="24"/>
      <c r="J149" s="24"/>
      <c r="K149" s="25"/>
    </row>
    <row r="150" s="5" customFormat="1" ht="20" customHeight="1" spans="1:11">
      <c r="A150" s="22"/>
      <c r="B150" s="23"/>
      <c r="C150" s="24"/>
      <c r="D150" s="24"/>
      <c r="E150" s="24"/>
      <c r="F150" s="24"/>
      <c r="G150" s="24"/>
      <c r="H150" s="24"/>
      <c r="I150" s="24"/>
      <c r="J150" s="24"/>
      <c r="K150" s="25"/>
    </row>
    <row r="151" s="5" customFormat="1" ht="20" customHeight="1" spans="1:11">
      <c r="A151" s="22"/>
      <c r="B151" s="23"/>
      <c r="C151" s="24"/>
      <c r="D151" s="24"/>
      <c r="E151" s="24"/>
      <c r="F151" s="24"/>
      <c r="G151" s="24"/>
      <c r="H151" s="24"/>
      <c r="I151" s="24"/>
      <c r="J151" s="24"/>
      <c r="K151" s="25"/>
    </row>
    <row r="152" s="5" customFormat="1" ht="20" customHeight="1" spans="1:11">
      <c r="A152" s="22"/>
      <c r="B152" s="23"/>
      <c r="C152" s="24"/>
      <c r="D152" s="24"/>
      <c r="E152" s="24"/>
      <c r="F152" s="24"/>
      <c r="G152" s="24"/>
      <c r="H152" s="24"/>
      <c r="I152" s="24"/>
      <c r="J152" s="24"/>
      <c r="K152" s="25"/>
    </row>
    <row r="153" s="5" customFormat="1" ht="20" customHeight="1" spans="1:11">
      <c r="A153" s="22"/>
      <c r="B153" s="23"/>
      <c r="C153" s="24"/>
      <c r="D153" s="24"/>
      <c r="E153" s="24"/>
      <c r="F153" s="24"/>
      <c r="G153" s="24"/>
      <c r="H153" s="24"/>
      <c r="I153" s="24"/>
      <c r="J153" s="24"/>
      <c r="K153" s="25"/>
    </row>
    <row r="154" s="5" customFormat="1" ht="20" customHeight="1" spans="1:11">
      <c r="A154" s="22"/>
      <c r="B154" s="23"/>
      <c r="C154" s="24"/>
      <c r="D154" s="24"/>
      <c r="E154" s="24"/>
      <c r="F154" s="24"/>
      <c r="G154" s="24"/>
      <c r="H154" s="24"/>
      <c r="I154" s="24"/>
      <c r="J154" s="24"/>
      <c r="K154" s="25"/>
    </row>
    <row r="155" s="5" customFormat="1" ht="20" customHeight="1" spans="1:11">
      <c r="A155" s="22"/>
      <c r="B155" s="23"/>
      <c r="C155" s="24"/>
      <c r="D155" s="24"/>
      <c r="E155" s="24"/>
      <c r="F155" s="24"/>
      <c r="G155" s="24"/>
      <c r="H155" s="24"/>
      <c r="I155" s="24"/>
      <c r="J155" s="24"/>
      <c r="K155" s="25"/>
    </row>
    <row r="156" s="5" customFormat="1" ht="20" customHeight="1" spans="1:11">
      <c r="A156" s="22"/>
      <c r="B156" s="23"/>
      <c r="C156" s="24"/>
      <c r="D156" s="24"/>
      <c r="E156" s="24"/>
      <c r="F156" s="24"/>
      <c r="G156" s="24"/>
      <c r="H156" s="24"/>
      <c r="I156" s="24"/>
      <c r="J156" s="24"/>
      <c r="K156" s="25"/>
    </row>
    <row r="157" s="5" customFormat="1" ht="20" customHeight="1" spans="1:11">
      <c r="A157" s="22"/>
      <c r="B157" s="23"/>
      <c r="C157" s="24"/>
      <c r="D157" s="24"/>
      <c r="E157" s="24"/>
      <c r="F157" s="24"/>
      <c r="G157" s="24"/>
      <c r="H157" s="24"/>
      <c r="I157" s="24"/>
      <c r="J157" s="24"/>
      <c r="K157" s="25"/>
    </row>
    <row r="158" s="5" customFormat="1" ht="20" customHeight="1" spans="1:11">
      <c r="A158" s="22"/>
      <c r="B158" s="23"/>
      <c r="C158" s="24"/>
      <c r="D158" s="24"/>
      <c r="E158" s="24"/>
      <c r="F158" s="24"/>
      <c r="G158" s="24"/>
      <c r="H158" s="24"/>
      <c r="I158" s="24"/>
      <c r="J158" s="24"/>
      <c r="K158" s="25"/>
    </row>
    <row r="159" s="5" customFormat="1" ht="20" customHeight="1" spans="1:11">
      <c r="A159" s="22"/>
      <c r="B159" s="23"/>
      <c r="C159" s="24"/>
      <c r="D159" s="24"/>
      <c r="E159" s="24"/>
      <c r="F159" s="24"/>
      <c r="G159" s="24"/>
      <c r="H159" s="24"/>
      <c r="I159" s="24"/>
      <c r="J159" s="24"/>
      <c r="K159" s="25"/>
    </row>
    <row r="160" s="5" customFormat="1" ht="20" customHeight="1" spans="1:11">
      <c r="A160" s="22"/>
      <c r="B160" s="23"/>
      <c r="C160" s="24"/>
      <c r="D160" s="24"/>
      <c r="E160" s="24"/>
      <c r="F160" s="24"/>
      <c r="G160" s="24"/>
      <c r="H160" s="24"/>
      <c r="I160" s="24"/>
      <c r="J160" s="24"/>
      <c r="K160" s="25"/>
    </row>
    <row r="161" s="5" customFormat="1" ht="20" customHeight="1" spans="1:11">
      <c r="A161" s="22"/>
      <c r="B161" s="23"/>
      <c r="C161" s="24"/>
      <c r="D161" s="24"/>
      <c r="E161" s="24"/>
      <c r="F161" s="24"/>
      <c r="G161" s="24"/>
      <c r="H161" s="24"/>
      <c r="I161" s="24"/>
      <c r="J161" s="24"/>
      <c r="K161" s="25"/>
    </row>
    <row r="162" s="5" customFormat="1" ht="20" customHeight="1" spans="1:11">
      <c r="A162" s="22"/>
      <c r="B162" s="23"/>
      <c r="C162" s="24"/>
      <c r="D162" s="24"/>
      <c r="E162" s="24"/>
      <c r="F162" s="24"/>
      <c r="G162" s="24"/>
      <c r="H162" s="24"/>
      <c r="I162" s="24"/>
      <c r="J162" s="24"/>
      <c r="K162" s="25"/>
    </row>
    <row r="163" s="5" customFormat="1" ht="20" customHeight="1" spans="1:11">
      <c r="A163" s="22"/>
      <c r="B163" s="23"/>
      <c r="C163" s="24"/>
      <c r="D163" s="24"/>
      <c r="E163" s="24"/>
      <c r="F163" s="24"/>
      <c r="G163" s="24"/>
      <c r="H163" s="24"/>
      <c r="I163" s="24"/>
      <c r="J163" s="24"/>
      <c r="K163" s="25"/>
    </row>
    <row r="164" s="5" customFormat="1" ht="20" customHeight="1" spans="1:11">
      <c r="A164" s="22"/>
      <c r="B164" s="23"/>
      <c r="C164" s="24"/>
      <c r="D164" s="24"/>
      <c r="E164" s="24"/>
      <c r="F164" s="24"/>
      <c r="G164" s="24"/>
      <c r="H164" s="24"/>
      <c r="I164" s="24"/>
      <c r="J164" s="24"/>
      <c r="K164" s="25"/>
    </row>
    <row r="165" s="5" customFormat="1" ht="20" customHeight="1" spans="1:11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5"/>
    </row>
    <row r="166" s="5" customFormat="1" ht="20" customHeight="1" spans="1:11">
      <c r="A166" s="22"/>
      <c r="B166" s="23"/>
      <c r="C166" s="24"/>
      <c r="D166" s="24"/>
      <c r="E166" s="24"/>
      <c r="F166" s="24"/>
      <c r="G166" s="24"/>
      <c r="H166" s="24"/>
      <c r="I166" s="24"/>
      <c r="J166" s="24"/>
      <c r="K166" s="25"/>
    </row>
    <row r="167" s="5" customFormat="1" ht="20" customHeight="1" spans="1:11">
      <c r="A167" s="22"/>
      <c r="B167" s="23"/>
      <c r="C167" s="24"/>
      <c r="D167" s="24"/>
      <c r="E167" s="24"/>
      <c r="F167" s="24"/>
      <c r="G167" s="24"/>
      <c r="H167" s="24"/>
      <c r="I167" s="24"/>
      <c r="J167" s="24"/>
      <c r="K167" s="25"/>
    </row>
    <row r="168" s="5" customFormat="1" ht="20" customHeight="1" spans="1:11">
      <c r="A168" s="22"/>
      <c r="B168" s="23"/>
      <c r="C168" s="24"/>
      <c r="D168" s="24"/>
      <c r="E168" s="24"/>
      <c r="F168" s="24"/>
      <c r="G168" s="24"/>
      <c r="H168" s="24"/>
      <c r="I168" s="24"/>
      <c r="J168" s="24"/>
      <c r="K168" s="25"/>
    </row>
    <row r="169" s="5" customFormat="1" ht="20" customHeight="1" spans="1:11">
      <c r="A169" s="22"/>
      <c r="B169" s="23"/>
      <c r="C169" s="24"/>
      <c r="D169" s="24"/>
      <c r="E169" s="24"/>
      <c r="F169" s="24"/>
      <c r="G169" s="24"/>
      <c r="H169" s="24"/>
      <c r="I169" s="24"/>
      <c r="J169" s="24"/>
      <c r="K169" s="25"/>
    </row>
    <row r="170" s="5" customFormat="1" ht="20" customHeight="1" spans="1:11">
      <c r="A170" s="22"/>
      <c r="B170" s="23"/>
      <c r="C170" s="24"/>
      <c r="D170" s="24"/>
      <c r="E170" s="24"/>
      <c r="F170" s="24"/>
      <c r="G170" s="24"/>
      <c r="H170" s="24"/>
      <c r="I170" s="24"/>
      <c r="J170" s="24"/>
      <c r="K170" s="25"/>
    </row>
    <row r="171" s="5" customFormat="1" ht="20" customHeight="1" spans="1:11">
      <c r="A171" s="22"/>
      <c r="B171" s="23"/>
      <c r="C171" s="24"/>
      <c r="D171" s="24"/>
      <c r="E171" s="24"/>
      <c r="F171" s="24"/>
      <c r="G171" s="24"/>
      <c r="H171" s="24"/>
      <c r="I171" s="24"/>
      <c r="J171" s="24"/>
      <c r="K171" s="25"/>
    </row>
    <row r="172" s="5" customFormat="1" ht="20" customHeight="1" spans="1:11">
      <c r="A172" s="22"/>
      <c r="B172" s="23"/>
      <c r="C172" s="24"/>
      <c r="D172" s="24"/>
      <c r="E172" s="24"/>
      <c r="F172" s="24"/>
      <c r="G172" s="24"/>
      <c r="H172" s="24"/>
      <c r="I172" s="24"/>
      <c r="J172" s="24"/>
      <c r="K172" s="25"/>
    </row>
    <row r="173" s="5" customFormat="1" ht="20" customHeight="1" spans="1:11">
      <c r="A173" s="22"/>
      <c r="B173" s="23"/>
      <c r="C173" s="24"/>
      <c r="D173" s="24"/>
      <c r="E173" s="24"/>
      <c r="F173" s="24"/>
      <c r="G173" s="24"/>
      <c r="H173" s="24"/>
      <c r="I173" s="24"/>
      <c r="J173" s="24"/>
      <c r="K173" s="25"/>
    </row>
    <row r="174" s="5" customFormat="1" ht="20" customHeight="1" spans="1:11">
      <c r="A174" s="22"/>
      <c r="B174" s="23"/>
      <c r="C174" s="24"/>
      <c r="D174" s="24"/>
      <c r="E174" s="24"/>
      <c r="F174" s="24"/>
      <c r="G174" s="24"/>
      <c r="H174" s="24"/>
      <c r="I174" s="24"/>
      <c r="J174" s="24"/>
      <c r="K174" s="25"/>
    </row>
    <row r="175" s="5" customFormat="1" ht="20" customHeight="1" spans="1:11">
      <c r="A175" s="22"/>
      <c r="B175" s="23"/>
      <c r="C175" s="24"/>
      <c r="D175" s="24"/>
      <c r="E175" s="24"/>
      <c r="F175" s="24"/>
      <c r="G175" s="24"/>
      <c r="H175" s="24"/>
      <c r="I175" s="24"/>
      <c r="J175" s="24"/>
      <c r="K175" s="25"/>
    </row>
    <row r="176" s="5" customFormat="1" ht="20" customHeight="1" spans="1:11">
      <c r="A176" s="22"/>
      <c r="B176" s="23"/>
      <c r="C176" s="24"/>
      <c r="D176" s="24"/>
      <c r="E176" s="24"/>
      <c r="F176" s="24"/>
      <c r="G176" s="24"/>
      <c r="H176" s="24"/>
      <c r="I176" s="24"/>
      <c r="J176" s="24"/>
      <c r="K176" s="25"/>
    </row>
    <row r="177" s="5" customFormat="1" ht="20" customHeight="1" spans="1:11">
      <c r="A177" s="22"/>
      <c r="B177" s="23"/>
      <c r="C177" s="24"/>
      <c r="D177" s="24"/>
      <c r="E177" s="24"/>
      <c r="F177" s="24"/>
      <c r="G177" s="24"/>
      <c r="H177" s="24"/>
      <c r="I177" s="24"/>
      <c r="J177" s="24"/>
      <c r="K177" s="25"/>
    </row>
    <row r="178" s="5" customFormat="1" ht="20" customHeight="1" spans="1:11">
      <c r="A178" s="22"/>
      <c r="B178" s="23"/>
      <c r="C178" s="24"/>
      <c r="D178" s="24"/>
      <c r="E178" s="24"/>
      <c r="F178" s="24"/>
      <c r="G178" s="24"/>
      <c r="H178" s="24"/>
      <c r="I178" s="24"/>
      <c r="J178" s="24"/>
      <c r="K178" s="25"/>
    </row>
    <row r="179" s="5" customFormat="1" ht="20" customHeight="1" spans="1:11">
      <c r="A179" s="22"/>
      <c r="B179" s="23"/>
      <c r="C179" s="24"/>
      <c r="D179" s="24"/>
      <c r="E179" s="24"/>
      <c r="F179" s="24"/>
      <c r="G179" s="24"/>
      <c r="H179" s="24"/>
      <c r="I179" s="24"/>
      <c r="J179" s="24"/>
      <c r="K179" s="25"/>
    </row>
    <row r="180" s="5" customFormat="1" ht="20" customHeight="1" spans="1:11">
      <c r="A180" s="22"/>
      <c r="B180" s="23"/>
      <c r="C180" s="24"/>
      <c r="D180" s="24"/>
      <c r="E180" s="24"/>
      <c r="F180" s="24"/>
      <c r="G180" s="24"/>
      <c r="H180" s="24"/>
      <c r="I180" s="24"/>
      <c r="J180" s="24"/>
      <c r="K180" s="25"/>
    </row>
    <row r="181" s="5" customFormat="1" ht="20" customHeight="1" spans="1:11">
      <c r="A181" s="22"/>
      <c r="B181" s="23"/>
      <c r="C181" s="24"/>
      <c r="D181" s="24"/>
      <c r="E181" s="24"/>
      <c r="F181" s="24"/>
      <c r="G181" s="24"/>
      <c r="H181" s="24"/>
      <c r="I181" s="24"/>
      <c r="J181" s="24"/>
      <c r="K181" s="25"/>
    </row>
    <row r="182" s="5" customFormat="1" ht="20" customHeight="1" spans="1:11">
      <c r="A182" s="22"/>
      <c r="B182" s="23"/>
      <c r="C182" s="24"/>
      <c r="D182" s="24"/>
      <c r="E182" s="24"/>
      <c r="F182" s="24"/>
      <c r="G182" s="24"/>
      <c r="H182" s="24"/>
      <c r="I182" s="24"/>
      <c r="J182" s="24"/>
      <c r="K182" s="25"/>
    </row>
    <row r="183" s="5" customFormat="1" ht="20" customHeight="1" spans="1:11">
      <c r="A183" s="22"/>
      <c r="B183" s="23"/>
      <c r="C183" s="24"/>
      <c r="D183" s="24"/>
      <c r="E183" s="24"/>
      <c r="F183" s="24"/>
      <c r="G183" s="24"/>
      <c r="H183" s="24"/>
      <c r="I183" s="24"/>
      <c r="J183" s="24"/>
      <c r="K183" s="25"/>
    </row>
    <row r="184" s="5" customFormat="1" ht="20" customHeight="1" spans="1:11">
      <c r="A184" s="22"/>
      <c r="B184" s="23"/>
      <c r="C184" s="24"/>
      <c r="D184" s="24"/>
      <c r="E184" s="24"/>
      <c r="F184" s="24"/>
      <c r="G184" s="24"/>
      <c r="H184" s="24"/>
      <c r="I184" s="24"/>
      <c r="J184" s="24"/>
      <c r="K184" s="25"/>
    </row>
    <row r="185" s="5" customFormat="1" ht="20" customHeight="1" spans="1:11">
      <c r="A185" s="22"/>
      <c r="B185" s="23"/>
      <c r="C185" s="24"/>
      <c r="D185" s="24"/>
      <c r="E185" s="24"/>
      <c r="F185" s="24"/>
      <c r="G185" s="24"/>
      <c r="H185" s="24"/>
      <c r="I185" s="24"/>
      <c r="J185" s="24"/>
      <c r="K185" s="25"/>
    </row>
    <row r="186" s="5" customFormat="1" ht="20" customHeight="1" spans="1:11">
      <c r="A186" s="22"/>
      <c r="B186" s="23"/>
      <c r="C186" s="24"/>
      <c r="D186" s="24"/>
      <c r="E186" s="24"/>
      <c r="F186" s="24"/>
      <c r="G186" s="24"/>
      <c r="H186" s="24"/>
      <c r="I186" s="24"/>
      <c r="J186" s="24"/>
      <c r="K186" s="25"/>
    </row>
    <row r="187" s="5" customFormat="1" ht="20" customHeight="1" spans="1:11">
      <c r="A187" s="22"/>
      <c r="B187" s="23"/>
      <c r="C187" s="24"/>
      <c r="D187" s="24"/>
      <c r="E187" s="24"/>
      <c r="F187" s="24"/>
      <c r="G187" s="24"/>
      <c r="H187" s="24"/>
      <c r="I187" s="24"/>
      <c r="J187" s="24"/>
      <c r="K187" s="25"/>
    </row>
    <row r="188" s="5" customFormat="1" ht="20" customHeight="1" spans="1:11">
      <c r="A188" s="22"/>
      <c r="B188" s="23"/>
      <c r="C188" s="24"/>
      <c r="D188" s="24"/>
      <c r="E188" s="24"/>
      <c r="F188" s="24"/>
      <c r="G188" s="24"/>
      <c r="H188" s="24"/>
      <c r="I188" s="24"/>
      <c r="J188" s="24"/>
      <c r="K188" s="25"/>
    </row>
    <row r="189" s="5" customFormat="1" ht="20" customHeight="1" spans="1:11">
      <c r="A189" s="22"/>
      <c r="B189" s="23"/>
      <c r="C189" s="24"/>
      <c r="D189" s="24"/>
      <c r="E189" s="24"/>
      <c r="F189" s="24"/>
      <c r="G189" s="24"/>
      <c r="H189" s="24"/>
      <c r="I189" s="24"/>
      <c r="J189" s="24"/>
      <c r="K189" s="25"/>
    </row>
    <row r="190" s="5" customFormat="1" ht="20" customHeight="1" spans="1:11">
      <c r="A190" s="22"/>
      <c r="B190" s="23"/>
      <c r="C190" s="24"/>
      <c r="D190" s="24"/>
      <c r="E190" s="24"/>
      <c r="F190" s="24"/>
      <c r="G190" s="24"/>
      <c r="H190" s="24"/>
      <c r="I190" s="24"/>
      <c r="J190" s="24"/>
      <c r="K190" s="25"/>
    </row>
    <row r="191" s="5" customFormat="1" ht="20" customHeight="1" spans="1:11">
      <c r="A191" s="22"/>
      <c r="B191" s="23"/>
      <c r="C191" s="24"/>
      <c r="D191" s="24"/>
      <c r="E191" s="24"/>
      <c r="F191" s="24"/>
      <c r="G191" s="24"/>
      <c r="H191" s="24"/>
      <c r="I191" s="24"/>
      <c r="J191" s="24"/>
      <c r="K191" s="25"/>
    </row>
    <row r="192" s="5" customFormat="1" ht="20" customHeight="1" spans="1:11">
      <c r="A192" s="22"/>
      <c r="B192" s="23"/>
      <c r="C192" s="24"/>
      <c r="D192" s="24"/>
      <c r="E192" s="24"/>
      <c r="F192" s="24"/>
      <c r="G192" s="24"/>
      <c r="H192" s="24"/>
      <c r="I192" s="24"/>
      <c r="J192" s="24"/>
      <c r="K192" s="25"/>
    </row>
    <row r="193" s="5" customFormat="1" ht="20" customHeight="1" spans="1:11">
      <c r="A193" s="22"/>
      <c r="B193" s="23"/>
      <c r="C193" s="24"/>
      <c r="D193" s="24"/>
      <c r="E193" s="24"/>
      <c r="F193" s="24"/>
      <c r="G193" s="24"/>
      <c r="H193" s="24"/>
      <c r="I193" s="24"/>
      <c r="J193" s="24"/>
      <c r="K193" s="25"/>
    </row>
    <row r="194" s="5" customFormat="1" ht="20" customHeight="1" spans="1:11">
      <c r="A194" s="22"/>
      <c r="B194" s="23"/>
      <c r="C194" s="24"/>
      <c r="D194" s="24"/>
      <c r="E194" s="24"/>
      <c r="F194" s="24"/>
      <c r="G194" s="24"/>
      <c r="H194" s="24"/>
      <c r="I194" s="24"/>
      <c r="J194" s="24"/>
      <c r="K194" s="25"/>
    </row>
    <row r="195" s="5" customFormat="1" ht="20" customHeight="1" spans="1:11">
      <c r="A195" s="22"/>
      <c r="B195" s="23"/>
      <c r="C195" s="24"/>
      <c r="D195" s="24"/>
      <c r="E195" s="24"/>
      <c r="F195" s="24"/>
      <c r="G195" s="24"/>
      <c r="H195" s="24"/>
      <c r="I195" s="24"/>
      <c r="J195" s="24"/>
      <c r="K195" s="25"/>
    </row>
    <row r="196" s="5" customFormat="1" ht="20" customHeight="1" spans="1:11">
      <c r="A196" s="22"/>
      <c r="B196" s="23"/>
      <c r="C196" s="24"/>
      <c r="D196" s="24"/>
      <c r="E196" s="24"/>
      <c r="F196" s="24"/>
      <c r="G196" s="24"/>
      <c r="H196" s="24"/>
      <c r="I196" s="24"/>
      <c r="J196" s="24"/>
      <c r="K196" s="25"/>
    </row>
    <row r="197" s="5" customFormat="1" ht="20" customHeight="1" spans="1:11">
      <c r="A197" s="22"/>
      <c r="B197" s="23"/>
      <c r="C197" s="24"/>
      <c r="D197" s="24"/>
      <c r="E197" s="24"/>
      <c r="F197" s="24"/>
      <c r="G197" s="24"/>
      <c r="H197" s="24"/>
      <c r="I197" s="24"/>
      <c r="J197" s="24"/>
      <c r="K197" s="25"/>
    </row>
    <row r="198" s="5" customFormat="1" ht="20" customHeight="1" spans="1:11">
      <c r="A198" s="22"/>
      <c r="B198" s="23"/>
      <c r="C198" s="24"/>
      <c r="D198" s="24"/>
      <c r="E198" s="24"/>
      <c r="F198" s="24"/>
      <c r="G198" s="24"/>
      <c r="H198" s="24"/>
      <c r="I198" s="24"/>
      <c r="J198" s="24"/>
      <c r="K198" s="25"/>
    </row>
    <row r="199" s="5" customFormat="1" ht="20" customHeight="1" spans="1:11">
      <c r="A199" s="22"/>
      <c r="B199" s="23"/>
      <c r="C199" s="24"/>
      <c r="D199" s="24"/>
      <c r="E199" s="24"/>
      <c r="F199" s="24"/>
      <c r="G199" s="24"/>
      <c r="H199" s="24"/>
      <c r="I199" s="24"/>
      <c r="J199" s="24"/>
      <c r="K199" s="25"/>
    </row>
    <row r="200" s="5" customFormat="1" ht="20" customHeight="1" spans="1:11">
      <c r="A200" s="22"/>
      <c r="B200" s="23"/>
      <c r="C200" s="24"/>
      <c r="D200" s="24"/>
      <c r="E200" s="24"/>
      <c r="F200" s="24"/>
      <c r="G200" s="24"/>
      <c r="H200" s="24"/>
      <c r="I200" s="24"/>
      <c r="J200" s="24"/>
      <c r="K200" s="25"/>
    </row>
    <row r="201" s="5" customFormat="1" ht="20" customHeight="1" spans="1:11">
      <c r="A201" s="22"/>
      <c r="B201" s="23"/>
      <c r="C201" s="24"/>
      <c r="D201" s="24"/>
      <c r="E201" s="24"/>
      <c r="F201" s="24"/>
      <c r="G201" s="24"/>
      <c r="H201" s="24"/>
      <c r="I201" s="24"/>
      <c r="J201" s="24"/>
      <c r="K201" s="25"/>
    </row>
    <row r="202" s="5" customFormat="1" ht="20" customHeight="1" spans="1:11">
      <c r="A202" s="22"/>
      <c r="B202" s="23"/>
      <c r="C202" s="24"/>
      <c r="D202" s="24"/>
      <c r="E202" s="24"/>
      <c r="F202" s="24"/>
      <c r="G202" s="24"/>
      <c r="H202" s="24"/>
      <c r="I202" s="24"/>
      <c r="J202" s="24"/>
      <c r="K202" s="25"/>
    </row>
    <row r="203" s="5" customFormat="1" ht="20" customHeight="1" spans="1:11">
      <c r="A203" s="22"/>
      <c r="B203" s="23"/>
      <c r="C203" s="24"/>
      <c r="D203" s="24"/>
      <c r="E203" s="24"/>
      <c r="F203" s="24"/>
      <c r="G203" s="24"/>
      <c r="H203" s="24"/>
      <c r="I203" s="24"/>
      <c r="J203" s="24"/>
      <c r="K203" s="25"/>
    </row>
    <row r="204" s="5" customFormat="1" ht="20" customHeight="1" spans="1:11">
      <c r="A204" s="22"/>
      <c r="B204" s="23"/>
      <c r="C204" s="24"/>
      <c r="D204" s="24"/>
      <c r="E204" s="24"/>
      <c r="F204" s="24"/>
      <c r="G204" s="24"/>
      <c r="H204" s="24"/>
      <c r="I204" s="24"/>
      <c r="J204" s="24"/>
      <c r="K204" s="25"/>
    </row>
    <row r="205" s="5" customFormat="1" ht="20" customHeight="1" spans="1:11">
      <c r="A205" s="22"/>
      <c r="B205" s="23"/>
      <c r="C205" s="24"/>
      <c r="D205" s="24"/>
      <c r="E205" s="24"/>
      <c r="F205" s="24"/>
      <c r="G205" s="24"/>
      <c r="H205" s="24"/>
      <c r="I205" s="24"/>
      <c r="J205" s="24"/>
      <c r="K205" s="25"/>
    </row>
    <row r="206" s="5" customFormat="1" ht="20" customHeight="1" spans="1:11">
      <c r="A206" s="22"/>
      <c r="B206" s="23"/>
      <c r="C206" s="24"/>
      <c r="D206" s="24"/>
      <c r="E206" s="24"/>
      <c r="F206" s="24"/>
      <c r="G206" s="24"/>
      <c r="H206" s="24"/>
      <c r="I206" s="24"/>
      <c r="J206" s="24"/>
      <c r="K206" s="25"/>
    </row>
    <row r="207" s="5" customFormat="1" ht="20" customHeight="1" spans="1:11">
      <c r="A207" s="22"/>
      <c r="B207" s="23"/>
      <c r="C207" s="24"/>
      <c r="D207" s="24"/>
      <c r="E207" s="24"/>
      <c r="F207" s="24"/>
      <c r="G207" s="24"/>
      <c r="H207" s="24"/>
      <c r="I207" s="24"/>
      <c r="J207" s="24"/>
      <c r="K207" s="25"/>
    </row>
    <row r="208" s="5" customFormat="1" ht="20" customHeight="1" spans="1:11">
      <c r="A208" s="22"/>
      <c r="B208" s="23"/>
      <c r="C208" s="24"/>
      <c r="D208" s="24"/>
      <c r="E208" s="24"/>
      <c r="F208" s="24"/>
      <c r="G208" s="24"/>
      <c r="H208" s="24"/>
      <c r="I208" s="24"/>
      <c r="J208" s="24"/>
      <c r="K208" s="25"/>
    </row>
    <row r="209" s="5" customFormat="1" ht="20" customHeight="1" spans="1:11">
      <c r="A209" s="22"/>
      <c r="B209" s="23"/>
      <c r="C209" s="24"/>
      <c r="D209" s="24"/>
      <c r="E209" s="24"/>
      <c r="F209" s="24"/>
      <c r="G209" s="24"/>
      <c r="H209" s="24"/>
      <c r="I209" s="24"/>
      <c r="J209" s="24"/>
      <c r="K209" s="25"/>
    </row>
    <row r="210" s="5" customFormat="1" ht="20" customHeight="1" spans="1:11">
      <c r="A210" s="22"/>
      <c r="B210" s="23"/>
      <c r="C210" s="24"/>
      <c r="D210" s="24"/>
      <c r="E210" s="24"/>
      <c r="F210" s="24"/>
      <c r="G210" s="24"/>
      <c r="H210" s="24"/>
      <c r="I210" s="24"/>
      <c r="J210" s="24"/>
      <c r="K210" s="25"/>
    </row>
    <row r="211" s="5" customFormat="1" ht="20" customHeight="1" spans="1:11">
      <c r="A211" s="22"/>
      <c r="B211" s="23"/>
      <c r="C211" s="24"/>
      <c r="D211" s="24"/>
      <c r="E211" s="24"/>
      <c r="F211" s="24"/>
      <c r="G211" s="24"/>
      <c r="H211" s="24"/>
      <c r="I211" s="24"/>
      <c r="J211" s="24"/>
      <c r="K211" s="25"/>
    </row>
    <row r="212" s="5" customFormat="1" ht="20" customHeight="1" spans="1:11">
      <c r="A212" s="22"/>
      <c r="B212" s="23"/>
      <c r="C212" s="24"/>
      <c r="D212" s="24"/>
      <c r="E212" s="24"/>
      <c r="F212" s="24"/>
      <c r="G212" s="24"/>
      <c r="H212" s="24"/>
      <c r="I212" s="24"/>
      <c r="J212" s="24"/>
      <c r="K212" s="25"/>
    </row>
    <row r="213" s="5" customFormat="1" ht="20" customHeight="1" spans="1:11">
      <c r="A213" s="22"/>
      <c r="B213" s="23"/>
      <c r="C213" s="24"/>
      <c r="D213" s="24"/>
      <c r="E213" s="24"/>
      <c r="F213" s="24"/>
      <c r="G213" s="24"/>
      <c r="H213" s="24"/>
      <c r="I213" s="24"/>
      <c r="J213" s="24"/>
      <c r="K213" s="25"/>
    </row>
    <row r="214" s="5" customFormat="1" ht="20" customHeight="1" spans="1:11">
      <c r="A214" s="22"/>
      <c r="B214" s="23"/>
      <c r="C214" s="24"/>
      <c r="D214" s="24"/>
      <c r="E214" s="24"/>
      <c r="F214" s="24"/>
      <c r="G214" s="24"/>
      <c r="H214" s="24"/>
      <c r="I214" s="24"/>
      <c r="J214" s="24"/>
      <c r="K214" s="25"/>
    </row>
    <row r="215" s="5" customFormat="1" ht="20" customHeight="1" spans="1:11">
      <c r="A215" s="22"/>
      <c r="B215" s="23"/>
      <c r="C215" s="24"/>
      <c r="D215" s="24"/>
      <c r="E215" s="24"/>
      <c r="F215" s="24"/>
      <c r="G215" s="24"/>
      <c r="H215" s="24"/>
      <c r="I215" s="24"/>
      <c r="J215" s="24"/>
      <c r="K215" s="25"/>
    </row>
    <row r="216" s="5" customFormat="1" ht="20" customHeight="1" spans="1:11">
      <c r="A216" s="22"/>
      <c r="B216" s="23"/>
      <c r="C216" s="24"/>
      <c r="D216" s="24"/>
      <c r="E216" s="24"/>
      <c r="F216" s="24"/>
      <c r="G216" s="24"/>
      <c r="H216" s="24"/>
      <c r="I216" s="24"/>
      <c r="J216" s="24"/>
      <c r="K216" s="25"/>
    </row>
    <row r="217" s="5" customFormat="1" ht="20" customHeight="1" spans="1:11">
      <c r="A217" s="22"/>
      <c r="B217" s="23"/>
      <c r="C217" s="24"/>
      <c r="D217" s="24"/>
      <c r="E217" s="24"/>
      <c r="F217" s="24"/>
      <c r="G217" s="24"/>
      <c r="H217" s="24"/>
      <c r="I217" s="24"/>
      <c r="J217" s="24"/>
      <c r="K217" s="25"/>
    </row>
    <row r="218" s="5" customFormat="1" ht="20" customHeight="1" spans="1:11">
      <c r="A218" s="22"/>
      <c r="B218" s="23"/>
      <c r="C218" s="24"/>
      <c r="D218" s="24"/>
      <c r="E218" s="24"/>
      <c r="F218" s="24"/>
      <c r="G218" s="24"/>
      <c r="H218" s="24"/>
      <c r="I218" s="24"/>
      <c r="J218" s="24"/>
      <c r="K218" s="25"/>
    </row>
    <row r="219" s="5" customFormat="1" ht="20" customHeight="1" spans="1:11">
      <c r="A219" s="22"/>
      <c r="B219" s="23"/>
      <c r="C219" s="24"/>
      <c r="D219" s="24"/>
      <c r="E219" s="24"/>
      <c r="F219" s="24"/>
      <c r="G219" s="24"/>
      <c r="H219" s="24"/>
      <c r="I219" s="24"/>
      <c r="J219" s="24"/>
      <c r="K219" s="25"/>
    </row>
    <row r="220" s="5" customFormat="1" ht="20" customHeight="1" spans="1:11">
      <c r="A220" s="22"/>
      <c r="B220" s="23"/>
      <c r="C220" s="24"/>
      <c r="D220" s="24"/>
      <c r="E220" s="24"/>
      <c r="F220" s="24"/>
      <c r="G220" s="24"/>
      <c r="H220" s="24"/>
      <c r="I220" s="24"/>
      <c r="J220" s="24"/>
      <c r="K220" s="25"/>
    </row>
    <row r="221" s="5" customFormat="1" ht="20" customHeight="1" spans="1:11">
      <c r="A221" s="22"/>
      <c r="B221" s="23"/>
      <c r="C221" s="24"/>
      <c r="D221" s="24"/>
      <c r="E221" s="24"/>
      <c r="F221" s="24"/>
      <c r="G221" s="24"/>
      <c r="H221" s="24"/>
      <c r="I221" s="24"/>
      <c r="J221" s="24"/>
      <c r="K221" s="25"/>
    </row>
    <row r="222" s="5" customFormat="1" ht="20" customHeight="1" spans="1:11">
      <c r="A222" s="22"/>
      <c r="B222" s="23"/>
      <c r="C222" s="24"/>
      <c r="D222" s="24"/>
      <c r="E222" s="24"/>
      <c r="F222" s="24"/>
      <c r="G222" s="24"/>
      <c r="H222" s="24"/>
      <c r="I222" s="24"/>
      <c r="J222" s="24"/>
      <c r="K222" s="25"/>
    </row>
    <row r="223" s="5" customFormat="1" ht="20" customHeight="1" spans="1:11">
      <c r="A223" s="22"/>
      <c r="B223" s="23"/>
      <c r="C223" s="24"/>
      <c r="D223" s="24"/>
      <c r="E223" s="24"/>
      <c r="F223" s="24"/>
      <c r="G223" s="24"/>
      <c r="H223" s="24"/>
      <c r="I223" s="24"/>
      <c r="J223" s="24"/>
      <c r="K223" s="25"/>
    </row>
    <row r="224" s="5" customFormat="1" ht="20" customHeight="1" spans="1:11">
      <c r="A224" s="22"/>
      <c r="B224" s="23"/>
      <c r="C224" s="24"/>
      <c r="D224" s="24"/>
      <c r="E224" s="24"/>
      <c r="F224" s="24"/>
      <c r="G224" s="24"/>
      <c r="H224" s="24"/>
      <c r="I224" s="24"/>
      <c r="J224" s="24"/>
      <c r="K224" s="25"/>
    </row>
    <row r="225" s="5" customFormat="1" ht="20" customHeight="1" spans="1:11">
      <c r="A225" s="22"/>
      <c r="B225" s="23"/>
      <c r="C225" s="24"/>
      <c r="D225" s="24"/>
      <c r="E225" s="24"/>
      <c r="F225" s="24"/>
      <c r="G225" s="24"/>
      <c r="H225" s="24"/>
      <c r="I225" s="24"/>
      <c r="J225" s="24"/>
      <c r="K225" s="25"/>
    </row>
    <row r="226" s="5" customFormat="1" ht="20" customHeight="1" spans="1:11">
      <c r="A226" s="22"/>
      <c r="B226" s="23"/>
      <c r="C226" s="24"/>
      <c r="D226" s="24"/>
      <c r="E226" s="24"/>
      <c r="F226" s="24"/>
      <c r="G226" s="24"/>
      <c r="H226" s="24"/>
      <c r="I226" s="24"/>
      <c r="J226" s="24"/>
      <c r="K226" s="25"/>
    </row>
    <row r="227" s="5" customFormat="1" ht="20" customHeight="1" spans="1:11">
      <c r="A227" s="22"/>
      <c r="B227" s="23"/>
      <c r="C227" s="24"/>
      <c r="D227" s="24"/>
      <c r="E227" s="24"/>
      <c r="F227" s="24"/>
      <c r="G227" s="24"/>
      <c r="H227" s="24"/>
      <c r="I227" s="24"/>
      <c r="J227" s="24"/>
      <c r="K227" s="25"/>
    </row>
    <row r="228" s="5" customFormat="1" ht="20" customHeight="1" spans="1:11">
      <c r="A228" s="22"/>
      <c r="B228" s="23"/>
      <c r="C228" s="24"/>
      <c r="D228" s="24"/>
      <c r="E228" s="24"/>
      <c r="F228" s="24"/>
      <c r="G228" s="24"/>
      <c r="H228" s="24"/>
      <c r="I228" s="24"/>
      <c r="J228" s="24"/>
      <c r="K228" s="25"/>
    </row>
    <row r="229" s="5" customFormat="1" ht="20" customHeight="1" spans="1:11">
      <c r="A229" s="22"/>
      <c r="B229" s="23"/>
      <c r="C229" s="24"/>
      <c r="D229" s="24"/>
      <c r="E229" s="24"/>
      <c r="F229" s="24"/>
      <c r="G229" s="24"/>
      <c r="H229" s="24"/>
      <c r="I229" s="24"/>
      <c r="J229" s="24"/>
      <c r="K229" s="25"/>
    </row>
    <row r="230" s="5" customFormat="1" ht="20" customHeight="1" spans="1:11">
      <c r="A230" s="22"/>
      <c r="B230" s="23"/>
      <c r="C230" s="24"/>
      <c r="D230" s="24"/>
      <c r="E230" s="24"/>
      <c r="F230" s="24"/>
      <c r="G230" s="24"/>
      <c r="H230" s="24"/>
      <c r="I230" s="24"/>
      <c r="J230" s="24"/>
      <c r="K230" s="25"/>
    </row>
    <row r="231" s="5" customFormat="1" ht="20" customHeight="1" spans="1:11">
      <c r="A231" s="22"/>
      <c r="B231" s="23"/>
      <c r="C231" s="24"/>
      <c r="D231" s="24"/>
      <c r="E231" s="24"/>
      <c r="F231" s="24"/>
      <c r="G231" s="24"/>
      <c r="H231" s="24"/>
      <c r="I231" s="24"/>
      <c r="J231" s="24"/>
      <c r="K231" s="25"/>
    </row>
    <row r="232" s="5" customFormat="1" ht="20" customHeight="1" spans="1:11">
      <c r="A232" s="22"/>
      <c r="B232" s="23"/>
      <c r="C232" s="24"/>
      <c r="D232" s="24"/>
      <c r="E232" s="24"/>
      <c r="F232" s="24"/>
      <c r="G232" s="24"/>
      <c r="H232" s="24"/>
      <c r="I232" s="24"/>
      <c r="J232" s="24"/>
      <c r="K232" s="25"/>
    </row>
    <row r="233" s="5" customFormat="1" ht="20" customHeight="1" spans="1:11">
      <c r="A233" s="22"/>
      <c r="B233" s="23"/>
      <c r="C233" s="24"/>
      <c r="D233" s="24"/>
      <c r="E233" s="24"/>
      <c r="F233" s="24"/>
      <c r="G233" s="24"/>
      <c r="H233" s="24"/>
      <c r="I233" s="24"/>
      <c r="J233" s="24"/>
      <c r="K233" s="25"/>
    </row>
    <row r="234" s="5" customFormat="1" ht="20" customHeight="1" spans="1:11">
      <c r="A234" s="22"/>
      <c r="B234" s="23"/>
      <c r="C234" s="24"/>
      <c r="D234" s="24"/>
      <c r="E234" s="24"/>
      <c r="F234" s="24"/>
      <c r="G234" s="24"/>
      <c r="H234" s="24"/>
      <c r="I234" s="24"/>
      <c r="J234" s="24"/>
      <c r="K234" s="25"/>
    </row>
    <row r="235" s="5" customFormat="1" ht="20" customHeight="1" spans="1:11">
      <c r="A235" s="22"/>
      <c r="B235" s="23"/>
      <c r="C235" s="24"/>
      <c r="D235" s="24"/>
      <c r="E235" s="24"/>
      <c r="F235" s="24"/>
      <c r="G235" s="24"/>
      <c r="H235" s="24"/>
      <c r="I235" s="24"/>
      <c r="J235" s="24"/>
      <c r="K235" s="25"/>
    </row>
    <row r="236" s="5" customFormat="1" ht="20" customHeight="1" spans="1:11">
      <c r="A236" s="22"/>
      <c r="B236" s="23"/>
      <c r="C236" s="24"/>
      <c r="D236" s="24"/>
      <c r="E236" s="24"/>
      <c r="F236" s="24"/>
      <c r="G236" s="24"/>
      <c r="H236" s="24"/>
      <c r="I236" s="24"/>
      <c r="J236" s="24"/>
      <c r="K236" s="25"/>
    </row>
    <row r="237" s="5" customFormat="1" ht="20" customHeight="1" spans="1:11">
      <c r="A237" s="22"/>
      <c r="B237" s="23"/>
      <c r="C237" s="24"/>
      <c r="D237" s="24"/>
      <c r="E237" s="24"/>
      <c r="F237" s="24"/>
      <c r="G237" s="24"/>
      <c r="H237" s="24"/>
      <c r="I237" s="24"/>
      <c r="J237" s="24"/>
      <c r="K237" s="25"/>
    </row>
    <row r="238" s="5" customFormat="1" ht="20" customHeight="1" spans="1:11">
      <c r="A238" s="22"/>
      <c r="B238" s="23"/>
      <c r="C238" s="24"/>
      <c r="D238" s="24"/>
      <c r="E238" s="24"/>
      <c r="F238" s="24"/>
      <c r="G238" s="24"/>
      <c r="H238" s="24"/>
      <c r="I238" s="24"/>
      <c r="J238" s="24"/>
      <c r="K238" s="25"/>
    </row>
    <row r="239" s="5" customFormat="1" ht="20" customHeight="1" spans="1:11">
      <c r="A239" s="22"/>
      <c r="B239" s="23"/>
      <c r="C239" s="24"/>
      <c r="D239" s="24"/>
      <c r="E239" s="24"/>
      <c r="F239" s="24"/>
      <c r="G239" s="24"/>
      <c r="H239" s="24"/>
      <c r="I239" s="24"/>
      <c r="J239" s="24"/>
      <c r="K239" s="25"/>
    </row>
    <row r="240" s="5" customFormat="1" ht="20" customHeight="1" spans="1:11">
      <c r="A240" s="22"/>
      <c r="B240" s="23"/>
      <c r="C240" s="24"/>
      <c r="D240" s="24"/>
      <c r="E240" s="24"/>
      <c r="F240" s="24"/>
      <c r="G240" s="24"/>
      <c r="H240" s="24"/>
      <c r="I240" s="24"/>
      <c r="J240" s="24"/>
      <c r="K240" s="25"/>
    </row>
    <row r="241" s="5" customFormat="1" ht="20" customHeight="1" spans="1:11">
      <c r="A241" s="22"/>
      <c r="B241" s="23"/>
      <c r="C241" s="24"/>
      <c r="D241" s="24"/>
      <c r="E241" s="24"/>
      <c r="F241" s="24"/>
      <c r="G241" s="24"/>
      <c r="H241" s="24"/>
      <c r="I241" s="24"/>
      <c r="J241" s="24"/>
      <c r="K241" s="25"/>
    </row>
    <row r="242" s="5" customFormat="1" ht="20" customHeight="1" spans="1:11">
      <c r="A242" s="22"/>
      <c r="B242" s="23"/>
      <c r="C242" s="24"/>
      <c r="D242" s="24"/>
      <c r="E242" s="24"/>
      <c r="F242" s="24"/>
      <c r="G242" s="24"/>
      <c r="H242" s="24"/>
      <c r="I242" s="24"/>
      <c r="J242" s="24"/>
      <c r="K242" s="25"/>
    </row>
    <row r="243" s="5" customFormat="1" ht="20" customHeight="1" spans="1:11">
      <c r="A243" s="22"/>
      <c r="B243" s="23"/>
      <c r="C243" s="24"/>
      <c r="D243" s="24"/>
      <c r="E243" s="24"/>
      <c r="F243" s="24"/>
      <c r="G243" s="24"/>
      <c r="H243" s="24"/>
      <c r="I243" s="24"/>
      <c r="J243" s="24"/>
      <c r="K243" s="25"/>
    </row>
    <row r="244" s="5" customFormat="1" ht="20" customHeight="1" spans="1:11">
      <c r="A244" s="22"/>
      <c r="B244" s="23"/>
      <c r="C244" s="24"/>
      <c r="D244" s="24"/>
      <c r="E244" s="24"/>
      <c r="F244" s="24"/>
      <c r="G244" s="24"/>
      <c r="H244" s="24"/>
      <c r="I244" s="24"/>
      <c r="J244" s="24"/>
      <c r="K244" s="25"/>
    </row>
    <row r="245" s="5" customFormat="1" ht="20" customHeight="1" spans="1:11">
      <c r="A245" s="22"/>
      <c r="B245" s="23"/>
      <c r="C245" s="24"/>
      <c r="D245" s="24"/>
      <c r="E245" s="24"/>
      <c r="F245" s="24"/>
      <c r="G245" s="24"/>
      <c r="H245" s="24"/>
      <c r="I245" s="24"/>
      <c r="J245" s="24"/>
      <c r="K245" s="25"/>
    </row>
    <row r="246" s="5" customFormat="1" ht="20" customHeight="1" spans="1:11">
      <c r="A246" s="22"/>
      <c r="B246" s="23"/>
      <c r="C246" s="24"/>
      <c r="D246" s="24"/>
      <c r="E246" s="24"/>
      <c r="F246" s="24"/>
      <c r="G246" s="24"/>
      <c r="H246" s="24"/>
      <c r="I246" s="24"/>
      <c r="J246" s="24"/>
      <c r="K246" s="25"/>
    </row>
    <row r="247" s="5" customFormat="1" ht="20" customHeight="1" spans="1:11">
      <c r="A247" s="22"/>
      <c r="B247" s="23"/>
      <c r="C247" s="24"/>
      <c r="D247" s="24"/>
      <c r="E247" s="24"/>
      <c r="F247" s="24"/>
      <c r="G247" s="24"/>
      <c r="H247" s="24"/>
      <c r="I247" s="24"/>
      <c r="J247" s="24"/>
      <c r="K247" s="25"/>
    </row>
    <row r="248" s="5" customFormat="1" ht="20" customHeight="1" spans="1:11">
      <c r="A248" s="22"/>
      <c r="B248" s="23"/>
      <c r="C248" s="24"/>
      <c r="D248" s="24"/>
      <c r="E248" s="24"/>
      <c r="F248" s="24"/>
      <c r="G248" s="24"/>
      <c r="H248" s="24"/>
      <c r="I248" s="24"/>
      <c r="J248" s="24"/>
      <c r="K248" s="25"/>
    </row>
    <row r="249" s="5" customFormat="1" ht="20" customHeight="1" spans="1:11">
      <c r="A249" s="22"/>
      <c r="B249" s="23"/>
      <c r="C249" s="24"/>
      <c r="D249" s="24"/>
      <c r="E249" s="24"/>
      <c r="F249" s="24"/>
      <c r="G249" s="24"/>
      <c r="H249" s="24"/>
      <c r="I249" s="24"/>
      <c r="J249" s="24"/>
      <c r="K249" s="25"/>
    </row>
    <row r="250" s="5" customFormat="1" ht="20" customHeight="1" spans="1:11">
      <c r="A250" s="22"/>
      <c r="B250" s="23"/>
      <c r="C250" s="24"/>
      <c r="D250" s="24"/>
      <c r="E250" s="24"/>
      <c r="F250" s="24"/>
      <c r="G250" s="24"/>
      <c r="H250" s="24"/>
      <c r="I250" s="24"/>
      <c r="J250" s="24"/>
      <c r="K250" s="25"/>
    </row>
    <row r="251" s="5" customFormat="1" ht="20" customHeight="1" spans="1:11">
      <c r="A251" s="22"/>
      <c r="B251" s="23"/>
      <c r="C251" s="24"/>
      <c r="D251" s="24"/>
      <c r="E251" s="24"/>
      <c r="F251" s="24"/>
      <c r="G251" s="24"/>
      <c r="H251" s="24"/>
      <c r="I251" s="24"/>
      <c r="J251" s="24"/>
      <c r="K251" s="25"/>
    </row>
    <row r="252" s="5" customFormat="1" ht="16.5" spans="1:11">
      <c r="A252" s="22"/>
      <c r="B252" s="23"/>
      <c r="C252" s="24"/>
      <c r="D252" s="24"/>
      <c r="E252" s="24"/>
      <c r="F252" s="24"/>
      <c r="G252" s="24"/>
      <c r="H252" s="24"/>
      <c r="I252" s="24"/>
      <c r="J252" s="24"/>
      <c r="K252" s="25"/>
    </row>
    <row r="253" s="5" customFormat="1" ht="16.5" spans="1:11">
      <c r="A253" s="22"/>
      <c r="B253" s="23"/>
      <c r="C253" s="24"/>
      <c r="D253" s="24"/>
      <c r="E253" s="24"/>
      <c r="F253" s="24"/>
      <c r="G253" s="24"/>
      <c r="H253" s="24"/>
      <c r="I253" s="24"/>
      <c r="J253" s="24"/>
      <c r="K253" s="25"/>
    </row>
    <row r="254" s="5" customFormat="1" ht="16.5" spans="1:11">
      <c r="A254" s="22"/>
      <c r="B254" s="23"/>
      <c r="C254" s="24"/>
      <c r="D254" s="24"/>
      <c r="E254" s="24"/>
      <c r="F254" s="24"/>
      <c r="G254" s="24"/>
      <c r="H254" s="24"/>
      <c r="I254" s="24"/>
      <c r="J254" s="24"/>
      <c r="K254" s="25"/>
    </row>
    <row r="255" s="5" customFormat="1" ht="16.5" spans="1:11">
      <c r="A255" s="22"/>
      <c r="B255" s="23"/>
      <c r="C255" s="24"/>
      <c r="D255" s="24"/>
      <c r="E255" s="24"/>
      <c r="F255" s="24"/>
      <c r="G255" s="24"/>
      <c r="H255" s="24"/>
      <c r="I255" s="24"/>
      <c r="J255" s="24"/>
      <c r="K255" s="25"/>
    </row>
    <row r="256" s="5" customFormat="1" ht="16.5" spans="1:11">
      <c r="A256" s="22"/>
      <c r="B256" s="23"/>
      <c r="C256" s="24"/>
      <c r="D256" s="24"/>
      <c r="E256" s="24"/>
      <c r="F256" s="24"/>
      <c r="G256" s="24"/>
      <c r="H256" s="24"/>
      <c r="I256" s="24"/>
      <c r="J256" s="24"/>
      <c r="K256" s="25"/>
    </row>
    <row r="257" s="5" customFormat="1" ht="16.5" spans="1:11">
      <c r="A257" s="22"/>
      <c r="B257" s="23"/>
      <c r="C257" s="24"/>
      <c r="D257" s="24"/>
      <c r="E257" s="24"/>
      <c r="F257" s="24"/>
      <c r="G257" s="24"/>
      <c r="H257" s="24"/>
      <c r="I257" s="24"/>
      <c r="J257" s="24"/>
      <c r="K257" s="25"/>
    </row>
    <row r="258" s="5" customFormat="1" ht="16.5" spans="1:11">
      <c r="A258" s="22"/>
      <c r="B258" s="23"/>
      <c r="C258" s="24"/>
      <c r="D258" s="24"/>
      <c r="E258" s="24"/>
      <c r="F258" s="24"/>
      <c r="G258" s="24"/>
      <c r="H258" s="24"/>
      <c r="I258" s="24"/>
      <c r="J258" s="24"/>
      <c r="K258" s="25"/>
    </row>
    <row r="259" s="5" customFormat="1" ht="16.5" spans="1:11">
      <c r="A259" s="22"/>
      <c r="B259" s="23"/>
      <c r="C259" s="24"/>
      <c r="D259" s="24"/>
      <c r="E259" s="24"/>
      <c r="F259" s="24"/>
      <c r="G259" s="24"/>
      <c r="H259" s="24"/>
      <c r="I259" s="24"/>
      <c r="J259" s="24"/>
      <c r="K259" s="25"/>
    </row>
    <row r="260" s="5" customFormat="1" ht="16.5" spans="1:11">
      <c r="A260" s="22"/>
      <c r="B260" s="23"/>
      <c r="C260" s="24"/>
      <c r="D260" s="24"/>
      <c r="E260" s="24"/>
      <c r="F260" s="24"/>
      <c r="G260" s="24"/>
      <c r="H260" s="24"/>
      <c r="I260" s="24"/>
      <c r="J260" s="24"/>
      <c r="K260" s="25"/>
    </row>
    <row r="261" s="5" customFormat="1" ht="16.5" spans="1:11">
      <c r="A261" s="22"/>
      <c r="B261" s="23"/>
      <c r="C261" s="24"/>
      <c r="D261" s="24"/>
      <c r="E261" s="24"/>
      <c r="F261" s="24"/>
      <c r="G261" s="24"/>
      <c r="H261" s="24"/>
      <c r="I261" s="24"/>
      <c r="J261" s="24"/>
      <c r="K261" s="25"/>
    </row>
    <row r="262" s="5" customFormat="1" ht="16.5" spans="1:11">
      <c r="A262" s="22"/>
      <c r="B262" s="23"/>
      <c r="C262" s="24"/>
      <c r="D262" s="24"/>
      <c r="E262" s="24"/>
      <c r="F262" s="24"/>
      <c r="G262" s="24"/>
      <c r="H262" s="24"/>
      <c r="I262" s="24"/>
      <c r="J262" s="24"/>
      <c r="K262" s="25"/>
    </row>
    <row r="263" s="5" customFormat="1" ht="16.5" spans="1:11">
      <c r="A263" s="22"/>
      <c r="B263" s="23"/>
      <c r="C263" s="24"/>
      <c r="D263" s="24"/>
      <c r="E263" s="24"/>
      <c r="F263" s="24"/>
      <c r="G263" s="24"/>
      <c r="H263" s="24"/>
      <c r="I263" s="24"/>
      <c r="J263" s="24"/>
      <c r="K263" s="25"/>
    </row>
    <row r="264" s="5" customFormat="1" ht="16.5" spans="1:11">
      <c r="A264" s="22"/>
      <c r="B264" s="23"/>
      <c r="C264" s="24"/>
      <c r="D264" s="24"/>
      <c r="E264" s="24"/>
      <c r="F264" s="24"/>
      <c r="G264" s="24"/>
      <c r="H264" s="24"/>
      <c r="I264" s="24"/>
      <c r="J264" s="24"/>
      <c r="K264" s="25"/>
    </row>
    <row r="265" s="5" customFormat="1" ht="16.5" spans="1:11">
      <c r="A265" s="22"/>
      <c r="B265" s="23"/>
      <c r="C265" s="24"/>
      <c r="D265" s="24"/>
      <c r="E265" s="24"/>
      <c r="F265" s="24"/>
      <c r="G265" s="24"/>
      <c r="H265" s="24"/>
      <c r="I265" s="24"/>
      <c r="J265" s="24"/>
      <c r="K265" s="25"/>
    </row>
    <row r="266" s="5" customFormat="1" ht="16.5" spans="1:11">
      <c r="A266" s="22"/>
      <c r="B266" s="23"/>
      <c r="C266" s="24"/>
      <c r="D266" s="24"/>
      <c r="E266" s="24"/>
      <c r="F266" s="24"/>
      <c r="G266" s="24"/>
      <c r="H266" s="24"/>
      <c r="I266" s="24"/>
      <c r="J266" s="24"/>
      <c r="K266" s="25"/>
    </row>
    <row r="267" s="5" customFormat="1" ht="16.5" spans="1:11">
      <c r="A267" s="22"/>
      <c r="B267" s="23"/>
      <c r="C267" s="24"/>
      <c r="D267" s="24"/>
      <c r="E267" s="24"/>
      <c r="F267" s="24"/>
      <c r="G267" s="24"/>
      <c r="H267" s="24"/>
      <c r="I267" s="24"/>
      <c r="J267" s="24"/>
      <c r="K267" s="25"/>
    </row>
    <row r="268" s="5" customFormat="1" ht="16.5" spans="1:11">
      <c r="A268" s="22"/>
      <c r="B268" s="23"/>
      <c r="C268" s="24"/>
      <c r="D268" s="24"/>
      <c r="E268" s="24"/>
      <c r="F268" s="24"/>
      <c r="G268" s="24"/>
      <c r="H268" s="24"/>
      <c r="I268" s="24"/>
      <c r="J268" s="24"/>
      <c r="K268" s="25"/>
    </row>
    <row r="269" s="5" customFormat="1" ht="16.5" spans="1:11">
      <c r="A269" s="22"/>
      <c r="B269" s="23"/>
      <c r="C269" s="24"/>
      <c r="D269" s="24"/>
      <c r="E269" s="24"/>
      <c r="F269" s="24"/>
      <c r="G269" s="24"/>
      <c r="H269" s="24"/>
      <c r="I269" s="24"/>
      <c r="J269" s="24"/>
      <c r="K269" s="25"/>
    </row>
    <row r="270" s="5" customFormat="1" ht="16.5" spans="1:11">
      <c r="A270" s="22"/>
      <c r="B270" s="23"/>
      <c r="C270" s="24"/>
      <c r="D270" s="24"/>
      <c r="E270" s="24"/>
      <c r="F270" s="24"/>
      <c r="G270" s="24"/>
      <c r="H270" s="24"/>
      <c r="I270" s="24"/>
      <c r="J270" s="24"/>
      <c r="K270" s="25"/>
    </row>
    <row r="271" s="5" customFormat="1" ht="16.5" spans="1:11">
      <c r="A271" s="22"/>
      <c r="B271" s="23"/>
      <c r="C271" s="24"/>
      <c r="D271" s="24"/>
      <c r="E271" s="24"/>
      <c r="F271" s="24"/>
      <c r="G271" s="24"/>
      <c r="H271" s="24"/>
      <c r="I271" s="24"/>
      <c r="J271" s="24"/>
      <c r="K271" s="25"/>
    </row>
    <row r="272" s="5" customFormat="1" ht="16.5" spans="1:11">
      <c r="A272" s="22"/>
      <c r="B272" s="23"/>
      <c r="C272" s="24"/>
      <c r="D272" s="24"/>
      <c r="E272" s="24"/>
      <c r="F272" s="24"/>
      <c r="G272" s="24"/>
      <c r="H272" s="24"/>
      <c r="I272" s="24"/>
      <c r="J272" s="24"/>
      <c r="K272" s="25"/>
    </row>
    <row r="273" s="5" customFormat="1" ht="16.5" spans="1:11">
      <c r="A273" s="22"/>
      <c r="B273" s="23"/>
      <c r="C273" s="24"/>
      <c r="D273" s="24"/>
      <c r="E273" s="24"/>
      <c r="F273" s="24"/>
      <c r="G273" s="24"/>
      <c r="H273" s="24"/>
      <c r="I273" s="24"/>
      <c r="J273" s="24"/>
      <c r="K273" s="25"/>
    </row>
    <row r="274" s="5" customFormat="1" ht="16.5" spans="1:11">
      <c r="A274" s="22"/>
      <c r="B274" s="23"/>
      <c r="C274" s="24"/>
      <c r="D274" s="24"/>
      <c r="E274" s="24"/>
      <c r="F274" s="24"/>
      <c r="G274" s="24"/>
      <c r="H274" s="24"/>
      <c r="I274" s="24"/>
      <c r="J274" s="24"/>
      <c r="K274" s="25"/>
    </row>
    <row r="275" s="5" customFormat="1" ht="16.5" spans="1:11">
      <c r="A275" s="22"/>
      <c r="B275" s="23"/>
      <c r="C275" s="24"/>
      <c r="D275" s="24"/>
      <c r="E275" s="24"/>
      <c r="F275" s="24"/>
      <c r="G275" s="24"/>
      <c r="H275" s="24"/>
      <c r="I275" s="24"/>
      <c r="J275" s="24"/>
      <c r="K275" s="25"/>
    </row>
    <row r="276" s="5" customFormat="1" ht="16.5" spans="1:11">
      <c r="A276" s="22"/>
      <c r="B276" s="23"/>
      <c r="C276" s="24"/>
      <c r="D276" s="24"/>
      <c r="E276" s="24"/>
      <c r="F276" s="24"/>
      <c r="G276" s="24"/>
      <c r="H276" s="24"/>
      <c r="I276" s="24"/>
      <c r="J276" s="24"/>
      <c r="K276" s="25"/>
    </row>
    <row r="277" s="5" customFormat="1" ht="16.5" spans="1:11">
      <c r="A277" s="22"/>
      <c r="B277" s="23"/>
      <c r="C277" s="24"/>
      <c r="D277" s="24"/>
      <c r="E277" s="24"/>
      <c r="F277" s="24"/>
      <c r="G277" s="24"/>
      <c r="H277" s="24"/>
      <c r="I277" s="24"/>
      <c r="J277" s="24"/>
      <c r="K277" s="25"/>
    </row>
    <row r="278" s="5" customFormat="1" ht="16.5" spans="1:11">
      <c r="A278" s="22"/>
      <c r="B278" s="23"/>
      <c r="C278" s="24"/>
      <c r="D278" s="24"/>
      <c r="E278" s="24"/>
      <c r="F278" s="24"/>
      <c r="G278" s="24"/>
      <c r="H278" s="24"/>
      <c r="I278" s="24"/>
      <c r="J278" s="24"/>
      <c r="K278" s="25"/>
    </row>
    <row r="279" s="5" customFormat="1" ht="16.5" spans="1:11">
      <c r="A279" s="22"/>
      <c r="B279" s="23"/>
      <c r="C279" s="24"/>
      <c r="D279" s="24"/>
      <c r="E279" s="24"/>
      <c r="F279" s="24"/>
      <c r="G279" s="24"/>
      <c r="H279" s="24"/>
      <c r="I279" s="24"/>
      <c r="J279" s="24"/>
      <c r="K279" s="25"/>
    </row>
    <row r="280" s="5" customFormat="1" ht="16.5" spans="1:11">
      <c r="A280" s="22"/>
      <c r="B280" s="23"/>
      <c r="C280" s="24"/>
      <c r="D280" s="24"/>
      <c r="E280" s="24"/>
      <c r="F280" s="24"/>
      <c r="G280" s="24"/>
      <c r="H280" s="24"/>
      <c r="I280" s="24"/>
      <c r="J280" s="24"/>
      <c r="K280" s="25"/>
    </row>
    <row r="281" s="5" customFormat="1" ht="16.5" spans="1:11">
      <c r="A281" s="22"/>
      <c r="B281" s="23"/>
      <c r="C281" s="24"/>
      <c r="D281" s="24"/>
      <c r="E281" s="24"/>
      <c r="F281" s="24"/>
      <c r="G281" s="24"/>
      <c r="H281" s="24"/>
      <c r="I281" s="24"/>
      <c r="J281" s="24"/>
      <c r="K281" s="25"/>
    </row>
    <row r="282" s="5" customFormat="1" ht="16.5" spans="1:11">
      <c r="A282" s="22"/>
      <c r="B282" s="23"/>
      <c r="C282" s="24"/>
      <c r="D282" s="24"/>
      <c r="E282" s="24"/>
      <c r="F282" s="24"/>
      <c r="G282" s="24"/>
      <c r="H282" s="24"/>
      <c r="I282" s="24"/>
      <c r="J282" s="24"/>
      <c r="K282" s="25"/>
    </row>
    <row r="283" s="5" customFormat="1" ht="16.5" spans="1:11">
      <c r="A283" s="22"/>
      <c r="B283" s="23"/>
      <c r="C283" s="24"/>
      <c r="D283" s="24"/>
      <c r="E283" s="24"/>
      <c r="F283" s="24"/>
      <c r="G283" s="24"/>
      <c r="H283" s="24"/>
      <c r="I283" s="24"/>
      <c r="J283" s="24"/>
      <c r="K283" s="25"/>
    </row>
    <row r="284" s="5" customFormat="1" ht="16.5" spans="1:11">
      <c r="A284" s="22"/>
      <c r="B284" s="23"/>
      <c r="C284" s="24"/>
      <c r="D284" s="24"/>
      <c r="E284" s="24"/>
      <c r="F284" s="24"/>
      <c r="G284" s="24"/>
      <c r="H284" s="24"/>
      <c r="I284" s="24"/>
      <c r="J284" s="24"/>
      <c r="K284" s="25"/>
    </row>
    <row r="285" s="5" customFormat="1" ht="16.5" spans="1:11">
      <c r="A285" s="22"/>
      <c r="B285" s="23"/>
      <c r="C285" s="24"/>
      <c r="D285" s="24"/>
      <c r="E285" s="24"/>
      <c r="F285" s="24"/>
      <c r="G285" s="24"/>
      <c r="H285" s="24"/>
      <c r="I285" s="24"/>
      <c r="J285" s="24"/>
      <c r="K285" s="25"/>
    </row>
    <row r="286" s="5" customFormat="1" ht="16.5" spans="1:11">
      <c r="A286" s="22"/>
      <c r="B286" s="23"/>
      <c r="C286" s="24"/>
      <c r="D286" s="24"/>
      <c r="E286" s="24"/>
      <c r="F286" s="24"/>
      <c r="G286" s="24"/>
      <c r="H286" s="24"/>
      <c r="I286" s="24"/>
      <c r="J286" s="24"/>
      <c r="K286" s="25"/>
    </row>
    <row r="287" s="5" customFormat="1" ht="16.5" spans="1:11">
      <c r="A287" s="22"/>
      <c r="B287" s="23"/>
      <c r="C287" s="24"/>
      <c r="D287" s="24"/>
      <c r="E287" s="24"/>
      <c r="F287" s="24"/>
      <c r="G287" s="24"/>
      <c r="H287" s="24"/>
      <c r="I287" s="24"/>
      <c r="J287" s="24"/>
      <c r="K287" s="25"/>
    </row>
    <row r="288" s="5" customFormat="1" ht="16.5" spans="1:11">
      <c r="A288" s="22"/>
      <c r="B288" s="23"/>
      <c r="C288" s="24"/>
      <c r="D288" s="24"/>
      <c r="E288" s="24"/>
      <c r="F288" s="24"/>
      <c r="G288" s="24"/>
      <c r="H288" s="24"/>
      <c r="I288" s="24"/>
      <c r="J288" s="24"/>
      <c r="K288" s="25"/>
    </row>
    <row r="289" s="5" customFormat="1" ht="16.5" spans="1:11">
      <c r="A289" s="22"/>
      <c r="B289" s="23"/>
      <c r="C289" s="24"/>
      <c r="D289" s="24"/>
      <c r="E289" s="24"/>
      <c r="F289" s="24"/>
      <c r="G289" s="24"/>
      <c r="H289" s="24"/>
      <c r="I289" s="24"/>
      <c r="J289" s="24"/>
      <c r="K289" s="25"/>
    </row>
    <row r="290" s="5" customFormat="1" ht="16.5" spans="1:11">
      <c r="A290" s="22"/>
      <c r="B290" s="23"/>
      <c r="C290" s="24"/>
      <c r="D290" s="24"/>
      <c r="E290" s="24"/>
      <c r="F290" s="24"/>
      <c r="G290" s="24"/>
      <c r="H290" s="24"/>
      <c r="I290" s="24"/>
      <c r="J290" s="24"/>
      <c r="K290" s="25"/>
    </row>
    <row r="291" s="5" customFormat="1" ht="16.5" spans="1:11">
      <c r="A291" s="22"/>
      <c r="B291" s="23"/>
      <c r="C291" s="24"/>
      <c r="D291" s="24"/>
      <c r="E291" s="24"/>
      <c r="F291" s="24"/>
      <c r="G291" s="24"/>
      <c r="H291" s="24"/>
      <c r="I291" s="24"/>
      <c r="J291" s="24"/>
      <c r="K291" s="25"/>
    </row>
    <row r="292" s="5" customFormat="1" ht="16.5" spans="1:11">
      <c r="A292" s="22"/>
      <c r="B292" s="23"/>
      <c r="C292" s="24"/>
      <c r="D292" s="24"/>
      <c r="E292" s="24"/>
      <c r="F292" s="24"/>
      <c r="G292" s="24"/>
      <c r="H292" s="24"/>
      <c r="I292" s="24"/>
      <c r="J292" s="24"/>
      <c r="K292" s="25"/>
    </row>
    <row r="293" s="5" customFormat="1" ht="16.5" spans="1:11">
      <c r="A293" s="22"/>
      <c r="B293" s="23"/>
      <c r="C293" s="24"/>
      <c r="D293" s="24"/>
      <c r="E293" s="24"/>
      <c r="F293" s="24"/>
      <c r="G293" s="24"/>
      <c r="H293" s="24"/>
      <c r="I293" s="24"/>
      <c r="J293" s="24"/>
      <c r="K293" s="25"/>
    </row>
    <row r="294" s="5" customFormat="1" ht="16.5" spans="1:11">
      <c r="A294" s="22"/>
      <c r="B294" s="23"/>
      <c r="C294" s="24"/>
      <c r="D294" s="24"/>
      <c r="E294" s="24"/>
      <c r="F294" s="24"/>
      <c r="G294" s="24"/>
      <c r="H294" s="24"/>
      <c r="I294" s="24"/>
      <c r="J294" s="24"/>
      <c r="K294" s="25"/>
    </row>
    <row r="295" s="5" customFormat="1" ht="16.5" spans="1:11">
      <c r="A295" s="22"/>
      <c r="B295" s="23"/>
      <c r="C295" s="24"/>
      <c r="D295" s="24"/>
      <c r="E295" s="24"/>
      <c r="F295" s="24"/>
      <c r="G295" s="24"/>
      <c r="H295" s="24"/>
      <c r="I295" s="24"/>
      <c r="J295" s="24"/>
      <c r="K295" s="25"/>
    </row>
    <row r="296" s="5" customFormat="1" ht="16.5" spans="1:11">
      <c r="A296" s="22"/>
      <c r="B296" s="23"/>
      <c r="C296" s="24"/>
      <c r="D296" s="24"/>
      <c r="E296" s="24"/>
      <c r="F296" s="24"/>
      <c r="G296" s="24"/>
      <c r="H296" s="24"/>
      <c r="I296" s="24"/>
      <c r="J296" s="24"/>
      <c r="K296" s="25"/>
    </row>
    <row r="297" s="5" customFormat="1" ht="16.5" spans="1:11">
      <c r="A297" s="22"/>
      <c r="B297" s="23"/>
      <c r="C297" s="24"/>
      <c r="D297" s="24"/>
      <c r="E297" s="24"/>
      <c r="F297" s="24"/>
      <c r="G297" s="24"/>
      <c r="H297" s="24"/>
      <c r="I297" s="24"/>
      <c r="J297" s="24"/>
      <c r="K297" s="25"/>
    </row>
    <row r="298" s="5" customFormat="1" ht="16.5" spans="1:11">
      <c r="A298" s="22"/>
      <c r="B298" s="23"/>
      <c r="C298" s="24"/>
      <c r="D298" s="24"/>
      <c r="E298" s="24"/>
      <c r="F298" s="24"/>
      <c r="G298" s="24"/>
      <c r="H298" s="24"/>
      <c r="I298" s="24"/>
      <c r="J298" s="24"/>
      <c r="K298" s="25"/>
    </row>
    <row r="299" s="5" customFormat="1" ht="16.5" spans="1:11">
      <c r="A299" s="22"/>
      <c r="B299" s="23"/>
      <c r="C299" s="24"/>
      <c r="D299" s="24"/>
      <c r="E299" s="24"/>
      <c r="F299" s="24"/>
      <c r="G299" s="24"/>
      <c r="H299" s="24"/>
      <c r="I299" s="24"/>
      <c r="J299" s="24"/>
      <c r="K299" s="25"/>
    </row>
    <row r="300" s="5" customFormat="1" ht="16.5" spans="1:11">
      <c r="A300" s="22"/>
      <c r="B300" s="23"/>
      <c r="C300" s="24"/>
      <c r="D300" s="24"/>
      <c r="E300" s="24"/>
      <c r="F300" s="24"/>
      <c r="G300" s="24"/>
      <c r="H300" s="24"/>
      <c r="I300" s="24"/>
      <c r="J300" s="24"/>
      <c r="K300" s="25"/>
    </row>
    <row r="301" s="5" customFormat="1" ht="16.5" spans="1:11">
      <c r="A301" s="22"/>
      <c r="B301" s="23"/>
      <c r="C301" s="24"/>
      <c r="D301" s="24"/>
      <c r="E301" s="24"/>
      <c r="F301" s="24"/>
      <c r="G301" s="24"/>
      <c r="H301" s="24"/>
      <c r="I301" s="24"/>
      <c r="J301" s="24"/>
      <c r="K301" s="25"/>
    </row>
    <row r="302" s="5" customFormat="1" ht="16.5" spans="1:11">
      <c r="A302" s="22"/>
      <c r="B302" s="23"/>
      <c r="C302" s="24"/>
      <c r="D302" s="24"/>
      <c r="E302" s="24"/>
      <c r="F302" s="24"/>
      <c r="G302" s="24"/>
      <c r="H302" s="24"/>
      <c r="I302" s="24"/>
      <c r="J302" s="24"/>
      <c r="K302" s="25"/>
    </row>
    <row r="303" s="5" customFormat="1" ht="16.5" spans="1:11">
      <c r="A303" s="22"/>
      <c r="B303" s="23"/>
      <c r="C303" s="24"/>
      <c r="D303" s="24"/>
      <c r="E303" s="24"/>
      <c r="F303" s="24"/>
      <c r="G303" s="24"/>
      <c r="H303" s="24"/>
      <c r="I303" s="24"/>
      <c r="J303" s="24"/>
      <c r="K303" s="25"/>
    </row>
    <row r="304" s="5" customFormat="1" ht="16.5" spans="1:11">
      <c r="A304" s="22"/>
      <c r="B304" s="23"/>
      <c r="C304" s="24"/>
      <c r="D304" s="24"/>
      <c r="E304" s="24"/>
      <c r="F304" s="24"/>
      <c r="G304" s="24"/>
      <c r="H304" s="24"/>
      <c r="I304" s="24"/>
      <c r="J304" s="24"/>
      <c r="K304" s="25"/>
    </row>
    <row r="305" s="5" customFormat="1" ht="16.5" spans="1:11">
      <c r="A305" s="22"/>
      <c r="B305" s="23"/>
      <c r="C305" s="24"/>
      <c r="D305" s="24"/>
      <c r="E305" s="24"/>
      <c r="F305" s="24"/>
      <c r="G305" s="24"/>
      <c r="H305" s="24"/>
      <c r="I305" s="24"/>
      <c r="J305" s="24"/>
      <c r="K305" s="25"/>
    </row>
    <row r="306" s="5" customFormat="1" ht="16.5" spans="1:11">
      <c r="A306" s="22"/>
      <c r="B306" s="23"/>
      <c r="C306" s="24"/>
      <c r="D306" s="24"/>
      <c r="E306" s="24"/>
      <c r="F306" s="24"/>
      <c r="G306" s="24"/>
      <c r="H306" s="24"/>
      <c r="I306" s="24"/>
      <c r="J306" s="24"/>
      <c r="K306" s="25"/>
    </row>
    <row r="307" s="5" customFormat="1" ht="16.5" spans="1:11">
      <c r="A307" s="22"/>
      <c r="B307" s="23"/>
      <c r="C307" s="24"/>
      <c r="D307" s="24"/>
      <c r="E307" s="24"/>
      <c r="F307" s="24"/>
      <c r="G307" s="24"/>
      <c r="H307" s="24"/>
      <c r="I307" s="24"/>
      <c r="J307" s="24"/>
      <c r="K307" s="25"/>
    </row>
    <row r="308" s="5" customFormat="1" ht="16.5" spans="1:11">
      <c r="A308" s="22"/>
      <c r="B308" s="23"/>
      <c r="C308" s="24"/>
      <c r="D308" s="24"/>
      <c r="E308" s="24"/>
      <c r="F308" s="24"/>
      <c r="G308" s="24"/>
      <c r="H308" s="24"/>
      <c r="I308" s="24"/>
      <c r="J308" s="24"/>
      <c r="K308" s="25"/>
    </row>
    <row r="309" s="5" customFormat="1" ht="16.5" spans="1:11">
      <c r="A309" s="22"/>
      <c r="B309" s="23"/>
      <c r="C309" s="24"/>
      <c r="D309" s="24"/>
      <c r="E309" s="24"/>
      <c r="F309" s="24"/>
      <c r="G309" s="24"/>
      <c r="H309" s="24"/>
      <c r="I309" s="24"/>
      <c r="J309" s="24"/>
      <c r="K309" s="25"/>
    </row>
    <row r="310" s="5" customFormat="1" ht="16.5" spans="1:11">
      <c r="A310" s="22"/>
      <c r="B310" s="23"/>
      <c r="C310" s="24"/>
      <c r="D310" s="24"/>
      <c r="E310" s="24"/>
      <c r="F310" s="24"/>
      <c r="G310" s="24"/>
      <c r="H310" s="24"/>
      <c r="I310" s="24"/>
      <c r="J310" s="24"/>
      <c r="K310" s="25"/>
    </row>
    <row r="311" s="5" customFormat="1" ht="16.5" spans="1:11">
      <c r="A311" s="22"/>
      <c r="B311" s="23"/>
      <c r="C311" s="24"/>
      <c r="D311" s="24"/>
      <c r="E311" s="24"/>
      <c r="F311" s="24"/>
      <c r="G311" s="24"/>
      <c r="H311" s="24"/>
      <c r="I311" s="24"/>
      <c r="J311" s="24"/>
      <c r="K311" s="25"/>
    </row>
    <row r="312" s="5" customFormat="1" ht="16.5" spans="1:11">
      <c r="A312" s="22"/>
      <c r="B312" s="23"/>
      <c r="C312" s="24"/>
      <c r="D312" s="24"/>
      <c r="E312" s="24"/>
      <c r="F312" s="24"/>
      <c r="G312" s="24"/>
      <c r="H312" s="24"/>
      <c r="I312" s="24"/>
      <c r="J312" s="24"/>
      <c r="K312" s="25"/>
    </row>
    <row r="313" s="5" customFormat="1" ht="16.5" spans="1:11">
      <c r="A313" s="22"/>
      <c r="B313" s="23"/>
      <c r="C313" s="24"/>
      <c r="D313" s="24"/>
      <c r="E313" s="24"/>
      <c r="F313" s="24"/>
      <c r="G313" s="24"/>
      <c r="H313" s="24"/>
      <c r="I313" s="24"/>
      <c r="J313" s="24"/>
      <c r="K313" s="25"/>
    </row>
    <row r="314" s="5" customFormat="1" ht="16.5" spans="1:11">
      <c r="A314" s="22"/>
      <c r="B314" s="23"/>
      <c r="C314" s="24"/>
      <c r="D314" s="24"/>
      <c r="E314" s="24"/>
      <c r="F314" s="24"/>
      <c r="G314" s="24"/>
      <c r="H314" s="24"/>
      <c r="I314" s="24"/>
      <c r="J314" s="24"/>
      <c r="K314" s="25"/>
    </row>
    <row r="315" s="5" customFormat="1" ht="16.5" spans="1:11">
      <c r="A315" s="22"/>
      <c r="B315" s="23"/>
      <c r="C315" s="24"/>
      <c r="D315" s="24"/>
      <c r="E315" s="24"/>
      <c r="F315" s="24"/>
      <c r="G315" s="24"/>
      <c r="H315" s="24"/>
      <c r="I315" s="24"/>
      <c r="J315" s="24"/>
      <c r="K315" s="25"/>
    </row>
    <row r="316" s="5" customFormat="1" ht="16.5" spans="1:11">
      <c r="A316" s="22"/>
      <c r="B316" s="23"/>
      <c r="C316" s="24"/>
      <c r="D316" s="24"/>
      <c r="E316" s="24"/>
      <c r="F316" s="24"/>
      <c r="G316" s="24"/>
      <c r="H316" s="24"/>
      <c r="I316" s="24"/>
      <c r="J316" s="24"/>
      <c r="K316" s="25"/>
    </row>
    <row r="317" s="5" customFormat="1" ht="16.5" spans="1:11">
      <c r="A317" s="22"/>
      <c r="B317" s="23"/>
      <c r="C317" s="24"/>
      <c r="D317" s="24"/>
      <c r="E317" s="24"/>
      <c r="F317" s="24"/>
      <c r="G317" s="24"/>
      <c r="H317" s="24"/>
      <c r="I317" s="24"/>
      <c r="J317" s="24"/>
      <c r="K317" s="25"/>
    </row>
    <row r="318" s="5" customFormat="1" ht="16.5" spans="1:11">
      <c r="A318" s="22"/>
      <c r="B318" s="23"/>
      <c r="C318" s="24"/>
      <c r="D318" s="24"/>
      <c r="E318" s="24"/>
      <c r="F318" s="24"/>
      <c r="G318" s="24"/>
      <c r="H318" s="24"/>
      <c r="I318" s="24"/>
      <c r="J318" s="24"/>
      <c r="K318" s="25"/>
    </row>
    <row r="319" s="5" customFormat="1" ht="16.5" spans="1:11">
      <c r="A319" s="22"/>
      <c r="B319" s="23"/>
      <c r="C319" s="24"/>
      <c r="D319" s="24"/>
      <c r="E319" s="24"/>
      <c r="F319" s="24"/>
      <c r="G319" s="24"/>
      <c r="H319" s="24"/>
      <c r="I319" s="24"/>
      <c r="J319" s="24"/>
      <c r="K319" s="25"/>
    </row>
    <row r="320" s="5" customFormat="1" ht="16.5" spans="1:11">
      <c r="A320" s="22"/>
      <c r="B320" s="23"/>
      <c r="C320" s="24"/>
      <c r="D320" s="24"/>
      <c r="E320" s="24"/>
      <c r="F320" s="24"/>
      <c r="G320" s="24"/>
      <c r="H320" s="24"/>
      <c r="I320" s="24"/>
      <c r="J320" s="24"/>
      <c r="K320" s="25"/>
    </row>
    <row r="321" s="5" customFormat="1" ht="16.5" spans="1:11">
      <c r="A321" s="22"/>
      <c r="B321" s="23"/>
      <c r="C321" s="24"/>
      <c r="D321" s="24"/>
      <c r="E321" s="24"/>
      <c r="F321" s="24"/>
      <c r="G321" s="24"/>
      <c r="H321" s="24"/>
      <c r="I321" s="24"/>
      <c r="J321" s="24"/>
      <c r="K321" s="25"/>
    </row>
    <row r="322" s="5" customFormat="1" ht="16.5" spans="1:11">
      <c r="A322" s="22"/>
      <c r="B322" s="23"/>
      <c r="C322" s="24"/>
      <c r="D322" s="24"/>
      <c r="E322" s="24"/>
      <c r="F322" s="24"/>
      <c r="G322" s="24"/>
      <c r="H322" s="24"/>
      <c r="I322" s="24"/>
      <c r="J322" s="24"/>
      <c r="K322" s="25"/>
    </row>
    <row r="323" s="5" customFormat="1" ht="16.5" spans="1:11">
      <c r="A323" s="22"/>
      <c r="B323" s="23"/>
      <c r="C323" s="24"/>
      <c r="D323" s="24"/>
      <c r="E323" s="24"/>
      <c r="F323" s="24"/>
      <c r="G323" s="24"/>
      <c r="H323" s="24"/>
      <c r="I323" s="24"/>
      <c r="J323" s="24"/>
      <c r="K323" s="25"/>
    </row>
    <row r="324" s="5" customFormat="1" ht="16.5" spans="1:11">
      <c r="A324" s="22"/>
      <c r="B324" s="23"/>
      <c r="C324" s="24"/>
      <c r="D324" s="24"/>
      <c r="E324" s="24"/>
      <c r="F324" s="24"/>
      <c r="G324" s="24"/>
      <c r="H324" s="24"/>
      <c r="I324" s="24"/>
      <c r="J324" s="24"/>
      <c r="K324" s="25"/>
    </row>
    <row r="325" s="5" customFormat="1" ht="16.5" spans="1:11">
      <c r="A325" s="22"/>
      <c r="B325" s="23"/>
      <c r="C325" s="24"/>
      <c r="D325" s="24"/>
      <c r="E325" s="24"/>
      <c r="F325" s="24"/>
      <c r="G325" s="24"/>
      <c r="H325" s="24"/>
      <c r="I325" s="24"/>
      <c r="J325" s="24"/>
      <c r="K325" s="25"/>
    </row>
    <row r="326" s="5" customFormat="1" ht="16.5" spans="1:11">
      <c r="A326" s="22"/>
      <c r="B326" s="23"/>
      <c r="C326" s="24"/>
      <c r="D326" s="24"/>
      <c r="E326" s="24"/>
      <c r="F326" s="24"/>
      <c r="G326" s="24"/>
      <c r="H326" s="24"/>
      <c r="I326" s="24"/>
      <c r="J326" s="24"/>
      <c r="K326" s="25"/>
    </row>
    <row r="327" s="5" customFormat="1" ht="16.5" spans="1:11">
      <c r="A327" s="22"/>
      <c r="B327" s="23"/>
      <c r="C327" s="24"/>
      <c r="D327" s="24"/>
      <c r="E327" s="24"/>
      <c r="F327" s="24"/>
      <c r="G327" s="24"/>
      <c r="H327" s="24"/>
      <c r="I327" s="24"/>
      <c r="J327" s="24"/>
      <c r="K327" s="25"/>
    </row>
    <row r="328" s="5" customFormat="1" ht="16.5" spans="1:11">
      <c r="A328" s="22"/>
      <c r="B328" s="23"/>
      <c r="C328" s="24"/>
      <c r="D328" s="24"/>
      <c r="E328" s="24"/>
      <c r="F328" s="24"/>
      <c r="G328" s="24"/>
      <c r="H328" s="24"/>
      <c r="I328" s="24"/>
      <c r="J328" s="24"/>
      <c r="K328" s="25"/>
    </row>
    <row r="329" s="5" customFormat="1" ht="16.5" spans="1:11">
      <c r="A329" s="22"/>
      <c r="B329" s="23"/>
      <c r="C329" s="24"/>
      <c r="D329" s="24"/>
      <c r="E329" s="24"/>
      <c r="F329" s="24"/>
      <c r="G329" s="24"/>
      <c r="H329" s="24"/>
      <c r="I329" s="24"/>
      <c r="J329" s="24"/>
      <c r="K329" s="25"/>
    </row>
    <row r="330" s="5" customFormat="1" ht="16.5" spans="1:11">
      <c r="A330" s="22"/>
      <c r="B330" s="23"/>
      <c r="C330" s="24"/>
      <c r="D330" s="24"/>
      <c r="E330" s="24"/>
      <c r="F330" s="24"/>
      <c r="G330" s="24"/>
      <c r="H330" s="24"/>
      <c r="I330" s="24"/>
      <c r="J330" s="24"/>
      <c r="K330" s="25"/>
    </row>
    <row r="331" s="5" customFormat="1" ht="16.5" spans="1:11">
      <c r="A331" s="22"/>
      <c r="B331" s="23"/>
      <c r="C331" s="24"/>
      <c r="D331" s="24"/>
      <c r="E331" s="24"/>
      <c r="F331" s="24"/>
      <c r="G331" s="24"/>
      <c r="H331" s="24"/>
      <c r="I331" s="24"/>
      <c r="J331" s="24"/>
      <c r="K331" s="25"/>
    </row>
    <row r="332" s="5" customFormat="1" ht="16.5" spans="1:11">
      <c r="A332" s="22"/>
      <c r="B332" s="23"/>
      <c r="C332" s="24"/>
      <c r="D332" s="24"/>
      <c r="E332" s="24"/>
      <c r="F332" s="24"/>
      <c r="G332" s="24"/>
      <c r="H332" s="24"/>
      <c r="I332" s="24"/>
      <c r="J332" s="24"/>
      <c r="K332" s="25"/>
    </row>
    <row r="333" s="5" customFormat="1" ht="16.5" spans="1:11">
      <c r="A333" s="22"/>
      <c r="B333" s="23"/>
      <c r="C333" s="24"/>
      <c r="D333" s="24"/>
      <c r="E333" s="24"/>
      <c r="F333" s="24"/>
      <c r="G333" s="24"/>
      <c r="H333" s="24"/>
      <c r="I333" s="24"/>
      <c r="J333" s="24"/>
      <c r="K333" s="25"/>
    </row>
    <row r="334" s="5" customFormat="1" ht="16.5" spans="1:11">
      <c r="A334" s="22"/>
      <c r="B334" s="23"/>
      <c r="C334" s="24"/>
      <c r="D334" s="24"/>
      <c r="E334" s="24"/>
      <c r="F334" s="24"/>
      <c r="G334" s="24"/>
      <c r="H334" s="24"/>
      <c r="I334" s="24"/>
      <c r="J334" s="24"/>
      <c r="K334" s="25"/>
    </row>
    <row r="335" s="5" customFormat="1" ht="16.5" spans="1:11">
      <c r="A335" s="22"/>
      <c r="B335" s="23"/>
      <c r="C335" s="24"/>
      <c r="D335" s="24"/>
      <c r="E335" s="24"/>
      <c r="F335" s="24"/>
      <c r="G335" s="24"/>
      <c r="H335" s="24"/>
      <c r="I335" s="24"/>
      <c r="J335" s="24"/>
      <c r="K335" s="25"/>
    </row>
    <row r="336" s="5" customFormat="1" ht="16.5" spans="1:11">
      <c r="A336" s="22"/>
      <c r="B336" s="23"/>
      <c r="C336" s="24"/>
      <c r="D336" s="24"/>
      <c r="E336" s="24"/>
      <c r="F336" s="24"/>
      <c r="G336" s="24"/>
      <c r="H336" s="24"/>
      <c r="I336" s="24"/>
      <c r="J336" s="24"/>
      <c r="K336" s="25"/>
    </row>
    <row r="337" s="5" customFormat="1" ht="16.5" spans="1:11">
      <c r="A337" s="22"/>
      <c r="B337" s="23"/>
      <c r="C337" s="24"/>
      <c r="D337" s="24"/>
      <c r="E337" s="24"/>
      <c r="F337" s="24"/>
      <c r="G337" s="24"/>
      <c r="H337" s="24"/>
      <c r="I337" s="24"/>
      <c r="J337" s="24"/>
      <c r="K337" s="25"/>
    </row>
    <row r="338" s="5" customFormat="1" ht="16.5" spans="1:11">
      <c r="A338" s="22"/>
      <c r="B338" s="23"/>
      <c r="C338" s="24"/>
      <c r="D338" s="24"/>
      <c r="E338" s="24"/>
      <c r="F338" s="24"/>
      <c r="G338" s="24"/>
      <c r="H338" s="24"/>
      <c r="I338" s="24"/>
      <c r="J338" s="24"/>
      <c r="K338" s="25"/>
    </row>
    <row r="339" s="5" customFormat="1" ht="16.5" spans="1:11">
      <c r="A339" s="22"/>
      <c r="B339" s="23"/>
      <c r="C339" s="24"/>
      <c r="D339" s="24"/>
      <c r="E339" s="24"/>
      <c r="F339" s="24"/>
      <c r="G339" s="24"/>
      <c r="H339" s="24"/>
      <c r="I339" s="24"/>
      <c r="J339" s="24"/>
      <c r="K339" s="25"/>
    </row>
    <row r="340" s="5" customFormat="1" ht="16.5" spans="1:11">
      <c r="A340" s="22"/>
      <c r="B340" s="23"/>
      <c r="C340" s="24"/>
      <c r="D340" s="24"/>
      <c r="E340" s="24"/>
      <c r="F340" s="24"/>
      <c r="G340" s="24"/>
      <c r="H340" s="24"/>
      <c r="I340" s="24"/>
      <c r="J340" s="24"/>
      <c r="K340" s="25"/>
    </row>
    <row r="341" s="5" customFormat="1" ht="16.5" spans="1:11">
      <c r="A341" s="22"/>
      <c r="B341" s="23"/>
      <c r="C341" s="24"/>
      <c r="D341" s="24"/>
      <c r="E341" s="24"/>
      <c r="F341" s="24"/>
      <c r="G341" s="24"/>
      <c r="H341" s="24"/>
      <c r="I341" s="24"/>
      <c r="J341" s="24"/>
      <c r="K341" s="25"/>
    </row>
    <row r="342" s="5" customFormat="1" ht="16.5" spans="1:11">
      <c r="A342" s="22"/>
      <c r="B342" s="23"/>
      <c r="C342" s="24"/>
      <c r="D342" s="24"/>
      <c r="E342" s="24"/>
      <c r="F342" s="24"/>
      <c r="G342" s="24"/>
      <c r="H342" s="24"/>
      <c r="I342" s="24"/>
      <c r="J342" s="24"/>
      <c r="K342" s="25"/>
    </row>
    <row r="343" s="5" customFormat="1" ht="16.5" spans="1:11">
      <c r="A343" s="22"/>
      <c r="B343" s="23"/>
      <c r="C343" s="24"/>
      <c r="D343" s="24"/>
      <c r="E343" s="24"/>
      <c r="F343" s="24"/>
      <c r="G343" s="24"/>
      <c r="H343" s="24"/>
      <c r="I343" s="24"/>
      <c r="J343" s="24"/>
      <c r="K343" s="25"/>
    </row>
    <row r="344" s="5" customFormat="1" ht="16.5" spans="1:11">
      <c r="A344" s="22"/>
      <c r="B344" s="23"/>
      <c r="C344" s="24"/>
      <c r="D344" s="24"/>
      <c r="E344" s="24"/>
      <c r="F344" s="24"/>
      <c r="G344" s="24"/>
      <c r="H344" s="24"/>
      <c r="I344" s="24"/>
      <c r="J344" s="24"/>
      <c r="K344" s="25"/>
    </row>
    <row r="345" s="5" customFormat="1" ht="16.5" spans="1:11">
      <c r="A345" s="22"/>
      <c r="B345" s="23"/>
      <c r="C345" s="24"/>
      <c r="D345" s="24"/>
      <c r="E345" s="24"/>
      <c r="F345" s="24"/>
      <c r="G345" s="24"/>
      <c r="H345" s="24"/>
      <c r="I345" s="24"/>
      <c r="J345" s="24"/>
      <c r="K345" s="25"/>
    </row>
    <row r="346" s="5" customFormat="1" ht="16.5" spans="1:11">
      <c r="A346" s="22"/>
      <c r="B346" s="23"/>
      <c r="C346" s="24"/>
      <c r="D346" s="24"/>
      <c r="E346" s="24"/>
      <c r="F346" s="24"/>
      <c r="G346" s="24"/>
      <c r="H346" s="24"/>
      <c r="I346" s="24"/>
      <c r="J346" s="24"/>
      <c r="K346" s="25"/>
    </row>
    <row r="347" s="5" customFormat="1" ht="16.5" spans="1:11">
      <c r="A347" s="22"/>
      <c r="B347" s="23"/>
      <c r="C347" s="24"/>
      <c r="D347" s="24"/>
      <c r="E347" s="24"/>
      <c r="F347" s="24"/>
      <c r="G347" s="24"/>
      <c r="H347" s="24"/>
      <c r="I347" s="24"/>
      <c r="J347" s="24"/>
      <c r="K347" s="25"/>
    </row>
    <row r="348" s="5" customFormat="1" ht="16.5" spans="1:11">
      <c r="A348" s="22"/>
      <c r="B348" s="23"/>
      <c r="C348" s="24"/>
      <c r="D348" s="24"/>
      <c r="E348" s="24"/>
      <c r="F348" s="24"/>
      <c r="G348" s="24"/>
      <c r="H348" s="24"/>
      <c r="I348" s="24"/>
      <c r="J348" s="24"/>
      <c r="K348" s="25"/>
    </row>
    <row r="349" s="5" customFormat="1" ht="16.5" spans="1:11">
      <c r="A349" s="22"/>
      <c r="B349" s="23"/>
      <c r="C349" s="24"/>
      <c r="D349" s="24"/>
      <c r="E349" s="24"/>
      <c r="F349" s="24"/>
      <c r="G349" s="24"/>
      <c r="H349" s="24"/>
      <c r="I349" s="24"/>
      <c r="J349" s="24"/>
      <c r="K349" s="25"/>
    </row>
    <row r="350" s="5" customFormat="1" ht="16.5" spans="1:11">
      <c r="A350" s="22"/>
      <c r="B350" s="23"/>
      <c r="C350" s="24"/>
      <c r="D350" s="24"/>
      <c r="E350" s="24"/>
      <c r="F350" s="24"/>
      <c r="G350" s="24"/>
      <c r="H350" s="24"/>
      <c r="I350" s="24"/>
      <c r="J350" s="24"/>
      <c r="K350" s="25"/>
    </row>
    <row r="351" s="5" customFormat="1" ht="16.5" spans="1:11">
      <c r="A351" s="22"/>
      <c r="B351" s="23"/>
      <c r="C351" s="24"/>
      <c r="D351" s="24"/>
      <c r="E351" s="24"/>
      <c r="F351" s="24"/>
      <c r="G351" s="24"/>
      <c r="H351" s="24"/>
      <c r="I351" s="24"/>
      <c r="J351" s="24"/>
      <c r="K351" s="25"/>
    </row>
    <row r="352" s="5" customFormat="1" ht="16.5" spans="1:11">
      <c r="A352" s="22"/>
      <c r="B352" s="23"/>
      <c r="C352" s="24"/>
      <c r="D352" s="24"/>
      <c r="E352" s="24"/>
      <c r="F352" s="24"/>
      <c r="G352" s="24"/>
      <c r="H352" s="24"/>
      <c r="I352" s="24"/>
      <c r="J352" s="24"/>
      <c r="K352" s="25"/>
    </row>
    <row r="353" s="5" customFormat="1" ht="16.5" spans="1:11">
      <c r="A353" s="22"/>
      <c r="B353" s="23"/>
      <c r="C353" s="24"/>
      <c r="D353" s="24"/>
      <c r="E353" s="24"/>
      <c r="F353" s="24"/>
      <c r="G353" s="24"/>
      <c r="H353" s="24"/>
      <c r="I353" s="24"/>
      <c r="J353" s="24"/>
      <c r="K353" s="25"/>
    </row>
    <row r="354" s="5" customFormat="1" ht="16.5" spans="1:11">
      <c r="A354" s="22"/>
      <c r="B354" s="23"/>
      <c r="C354" s="24"/>
      <c r="D354" s="24"/>
      <c r="E354" s="24"/>
      <c r="F354" s="24"/>
      <c r="G354" s="24"/>
      <c r="H354" s="24"/>
      <c r="I354" s="24"/>
      <c r="J354" s="24"/>
      <c r="K354" s="25"/>
    </row>
    <row r="355" s="5" customFormat="1" ht="16.5" spans="1:11">
      <c r="A355" s="22"/>
      <c r="B355" s="23"/>
      <c r="C355" s="24"/>
      <c r="D355" s="24"/>
      <c r="E355" s="24"/>
      <c r="F355" s="24"/>
      <c r="G355" s="24"/>
      <c r="H355" s="24"/>
      <c r="I355" s="24"/>
      <c r="J355" s="24"/>
      <c r="K355" s="25"/>
    </row>
    <row r="356" s="5" customFormat="1" ht="16.5" spans="1:11">
      <c r="A356" s="22"/>
      <c r="B356" s="23"/>
      <c r="C356" s="24"/>
      <c r="D356" s="24"/>
      <c r="E356" s="24"/>
      <c r="F356" s="24"/>
      <c r="G356" s="24"/>
      <c r="H356" s="24"/>
      <c r="I356" s="24"/>
      <c r="J356" s="24"/>
      <c r="K356" s="25"/>
    </row>
    <row r="357" s="5" customFormat="1" ht="16.5" spans="1:11">
      <c r="A357" s="22"/>
      <c r="B357" s="23"/>
      <c r="C357" s="24"/>
      <c r="D357" s="24"/>
      <c r="E357" s="24"/>
      <c r="F357" s="24"/>
      <c r="G357" s="24"/>
      <c r="H357" s="24"/>
      <c r="I357" s="24"/>
      <c r="J357" s="24"/>
      <c r="K357" s="25"/>
    </row>
    <row r="358" s="5" customFormat="1" ht="16.5" spans="1:11">
      <c r="A358" s="22"/>
      <c r="B358" s="23"/>
      <c r="C358" s="24"/>
      <c r="D358" s="24"/>
      <c r="E358" s="24"/>
      <c r="F358" s="24"/>
      <c r="G358" s="24"/>
      <c r="H358" s="24"/>
      <c r="I358" s="24"/>
      <c r="J358" s="24"/>
      <c r="K358" s="25"/>
    </row>
    <row r="359" s="5" customFormat="1" ht="16.5" spans="1:11">
      <c r="A359" s="22"/>
      <c r="B359" s="23"/>
      <c r="C359" s="24"/>
      <c r="D359" s="24"/>
      <c r="E359" s="24"/>
      <c r="F359" s="24"/>
      <c r="G359" s="24"/>
      <c r="H359" s="24"/>
      <c r="I359" s="24"/>
      <c r="J359" s="24"/>
      <c r="K359" s="25"/>
    </row>
    <row r="360" s="5" customFormat="1" ht="16.5" spans="1:11">
      <c r="A360" s="22"/>
      <c r="B360" s="23"/>
      <c r="C360" s="24"/>
      <c r="D360" s="24"/>
      <c r="E360" s="24"/>
      <c r="F360" s="24"/>
      <c r="G360" s="24"/>
      <c r="H360" s="24"/>
      <c r="I360" s="24"/>
      <c r="J360" s="24"/>
      <c r="K360" s="25"/>
    </row>
    <row r="361" s="5" customFormat="1" ht="16.5" spans="1:11">
      <c r="A361" s="22"/>
      <c r="B361" s="23"/>
      <c r="C361" s="24"/>
      <c r="D361" s="24"/>
      <c r="E361" s="24"/>
      <c r="F361" s="24"/>
      <c r="G361" s="24"/>
      <c r="H361" s="24"/>
      <c r="I361" s="24"/>
      <c r="J361" s="24"/>
      <c r="K361" s="25"/>
    </row>
    <row r="362" s="5" customFormat="1" ht="16.5" spans="1:11">
      <c r="A362" s="22"/>
      <c r="B362" s="23"/>
      <c r="C362" s="24"/>
      <c r="D362" s="24"/>
      <c r="E362" s="24"/>
      <c r="F362" s="24"/>
      <c r="G362" s="24"/>
      <c r="H362" s="24"/>
      <c r="I362" s="24"/>
      <c r="J362" s="24"/>
      <c r="K362" s="25"/>
    </row>
    <row r="363" s="5" customFormat="1" ht="16.5" spans="1:11">
      <c r="A363" s="22"/>
      <c r="B363" s="23"/>
      <c r="C363" s="24"/>
      <c r="D363" s="24"/>
      <c r="E363" s="24"/>
      <c r="F363" s="24"/>
      <c r="G363" s="24"/>
      <c r="H363" s="24"/>
      <c r="I363" s="24"/>
      <c r="J363" s="24"/>
      <c r="K363" s="25"/>
    </row>
    <row r="364" s="5" customFormat="1" ht="16.5" spans="1:11">
      <c r="A364" s="22"/>
      <c r="B364" s="23"/>
      <c r="C364" s="24"/>
      <c r="D364" s="24"/>
      <c r="E364" s="24"/>
      <c r="F364" s="24"/>
      <c r="G364" s="24"/>
      <c r="H364" s="24"/>
      <c r="I364" s="24"/>
      <c r="J364" s="24"/>
      <c r="K364" s="25"/>
    </row>
    <row r="365" s="5" customFormat="1" ht="16.5" spans="1:11">
      <c r="A365" s="22"/>
      <c r="B365" s="23"/>
      <c r="C365" s="24"/>
      <c r="D365" s="24"/>
      <c r="E365" s="24"/>
      <c r="F365" s="24"/>
      <c r="G365" s="24"/>
      <c r="H365" s="24"/>
      <c r="I365" s="24"/>
      <c r="J365" s="24"/>
      <c r="K365" s="25"/>
    </row>
    <row r="366" s="5" customFormat="1" ht="16.5" spans="1:11">
      <c r="A366" s="22"/>
      <c r="B366" s="23"/>
      <c r="C366" s="24"/>
      <c r="D366" s="24"/>
      <c r="E366" s="24"/>
      <c r="F366" s="24"/>
      <c r="G366" s="24"/>
      <c r="H366" s="24"/>
      <c r="I366" s="24"/>
      <c r="J366" s="24"/>
      <c r="K366" s="25"/>
    </row>
    <row r="367" s="5" customFormat="1" ht="16.5" spans="1:11">
      <c r="A367" s="22"/>
      <c r="B367" s="23"/>
      <c r="C367" s="24"/>
      <c r="D367" s="24"/>
      <c r="E367" s="24"/>
      <c r="F367" s="24"/>
      <c r="G367" s="24"/>
      <c r="H367" s="24"/>
      <c r="I367" s="24"/>
      <c r="J367" s="24"/>
      <c r="K367" s="25"/>
    </row>
    <row r="368" s="5" customFormat="1" ht="16.5" spans="1:11">
      <c r="A368" s="22"/>
      <c r="B368" s="23"/>
      <c r="C368" s="24"/>
      <c r="D368" s="24"/>
      <c r="E368" s="24"/>
      <c r="F368" s="24"/>
      <c r="G368" s="24"/>
      <c r="H368" s="24"/>
      <c r="I368" s="24"/>
      <c r="J368" s="24"/>
      <c r="K368" s="25"/>
    </row>
    <row r="369" s="5" customFormat="1" ht="16.5" spans="1:11">
      <c r="A369" s="22"/>
      <c r="B369" s="23"/>
      <c r="C369" s="24"/>
      <c r="D369" s="24"/>
      <c r="E369" s="24"/>
      <c r="F369" s="24"/>
      <c r="G369" s="24"/>
      <c r="H369" s="24"/>
      <c r="I369" s="24"/>
      <c r="J369" s="24"/>
      <c r="K369" s="25"/>
    </row>
    <row r="370" s="5" customFormat="1" ht="16.5" spans="1:11">
      <c r="A370" s="22"/>
      <c r="B370" s="23"/>
      <c r="C370" s="24"/>
      <c r="D370" s="24"/>
      <c r="E370" s="24"/>
      <c r="F370" s="24"/>
      <c r="G370" s="24"/>
      <c r="H370" s="24"/>
      <c r="I370" s="24"/>
      <c r="J370" s="24"/>
      <c r="K370" s="25"/>
    </row>
    <row r="371" s="5" customFormat="1" ht="16.5" spans="1:11">
      <c r="A371" s="22"/>
      <c r="B371" s="23"/>
      <c r="C371" s="24"/>
      <c r="D371" s="24"/>
      <c r="E371" s="24"/>
      <c r="F371" s="24"/>
      <c r="G371" s="24"/>
      <c r="H371" s="24"/>
      <c r="I371" s="24"/>
      <c r="J371" s="24"/>
      <c r="K371" s="25"/>
    </row>
    <row r="372" s="5" customFormat="1" ht="16.5" spans="1:11">
      <c r="A372" s="22"/>
      <c r="B372" s="23"/>
      <c r="C372" s="24"/>
      <c r="D372" s="24"/>
      <c r="E372" s="24"/>
      <c r="F372" s="24"/>
      <c r="G372" s="24"/>
      <c r="H372" s="24"/>
      <c r="I372" s="24"/>
      <c r="J372" s="24"/>
      <c r="K372" s="25"/>
    </row>
    <row r="373" s="5" customFormat="1" ht="16.5" spans="1:11">
      <c r="A373" s="22"/>
      <c r="B373" s="23"/>
      <c r="C373" s="24"/>
      <c r="D373" s="24"/>
      <c r="E373" s="24"/>
      <c r="F373" s="24"/>
      <c r="G373" s="24"/>
      <c r="H373" s="24"/>
      <c r="I373" s="24"/>
      <c r="J373" s="24"/>
      <c r="K373" s="25"/>
    </row>
    <row r="374" s="5" customFormat="1" ht="16.5" spans="1:11">
      <c r="A374" s="22"/>
      <c r="B374" s="23"/>
      <c r="C374" s="24"/>
      <c r="D374" s="24"/>
      <c r="E374" s="24"/>
      <c r="F374" s="24"/>
      <c r="G374" s="24"/>
      <c r="H374" s="24"/>
      <c r="I374" s="24"/>
      <c r="J374" s="24"/>
      <c r="K374" s="25"/>
    </row>
    <row r="375" s="5" customFormat="1" ht="16.5" spans="1:11">
      <c r="A375" s="22"/>
      <c r="B375" s="23"/>
      <c r="C375" s="24"/>
      <c r="D375" s="24"/>
      <c r="E375" s="24"/>
      <c r="F375" s="24"/>
      <c r="G375" s="24"/>
      <c r="H375" s="24"/>
      <c r="I375" s="24"/>
      <c r="J375" s="24"/>
      <c r="K375" s="25"/>
    </row>
    <row r="376" s="5" customFormat="1" ht="16.5" spans="1:11">
      <c r="A376" s="22"/>
      <c r="B376" s="23"/>
      <c r="C376" s="24"/>
      <c r="D376" s="24"/>
      <c r="E376" s="24"/>
      <c r="F376" s="24"/>
      <c r="G376" s="24"/>
      <c r="H376" s="24"/>
      <c r="I376" s="24"/>
      <c r="J376" s="24"/>
      <c r="K376" s="25"/>
    </row>
    <row r="377" s="5" customFormat="1" ht="16.5" spans="1:11">
      <c r="A377" s="22"/>
      <c r="B377" s="23"/>
      <c r="C377" s="24"/>
      <c r="D377" s="24"/>
      <c r="E377" s="24"/>
      <c r="F377" s="24"/>
      <c r="G377" s="24"/>
      <c r="H377" s="24"/>
      <c r="I377" s="24"/>
      <c r="J377" s="24"/>
      <c r="K377" s="25"/>
    </row>
    <row r="378" s="5" customFormat="1" ht="16.5" spans="1:11">
      <c r="A378" s="22"/>
      <c r="B378" s="23"/>
      <c r="C378" s="24"/>
      <c r="D378" s="24"/>
      <c r="E378" s="24"/>
      <c r="F378" s="24"/>
      <c r="G378" s="24"/>
      <c r="H378" s="24"/>
      <c r="I378" s="24"/>
      <c r="J378" s="24"/>
      <c r="K378" s="25"/>
    </row>
    <row r="379" s="5" customFormat="1" ht="16.5" spans="1:11">
      <c r="A379" s="22"/>
      <c r="B379" s="23"/>
      <c r="C379" s="24"/>
      <c r="D379" s="24"/>
      <c r="E379" s="24"/>
      <c r="F379" s="24"/>
      <c r="G379" s="24"/>
      <c r="H379" s="24"/>
      <c r="I379" s="24"/>
      <c r="J379" s="24"/>
      <c r="K379" s="25"/>
    </row>
    <row r="380" s="5" customFormat="1" ht="16.5" spans="1:11">
      <c r="A380" s="22"/>
      <c r="B380" s="23"/>
      <c r="C380" s="24"/>
      <c r="D380" s="24"/>
      <c r="E380" s="24"/>
      <c r="F380" s="24"/>
      <c r="G380" s="24"/>
      <c r="H380" s="24"/>
      <c r="I380" s="24"/>
      <c r="J380" s="24"/>
      <c r="K380" s="25"/>
    </row>
    <row r="381" s="5" customFormat="1" ht="16.5" spans="1:11">
      <c r="A381" s="22"/>
      <c r="B381" s="23"/>
      <c r="C381" s="24"/>
      <c r="D381" s="24"/>
      <c r="E381" s="24"/>
      <c r="F381" s="24"/>
      <c r="G381" s="24"/>
      <c r="H381" s="24"/>
      <c r="I381" s="24"/>
      <c r="J381" s="24"/>
      <c r="K381" s="25"/>
    </row>
    <row r="382" s="5" customFormat="1" ht="16.5" spans="1:11">
      <c r="A382" s="22"/>
      <c r="B382" s="23"/>
      <c r="C382" s="24"/>
      <c r="D382" s="24"/>
      <c r="E382" s="24"/>
      <c r="F382" s="24"/>
      <c r="G382" s="24"/>
      <c r="H382" s="24"/>
      <c r="I382" s="24"/>
      <c r="J382" s="24"/>
      <c r="K382" s="25"/>
    </row>
    <row r="383" s="5" customFormat="1" ht="16.5" spans="1:11">
      <c r="A383" s="22"/>
      <c r="B383" s="23"/>
      <c r="C383" s="24"/>
      <c r="D383" s="24"/>
      <c r="E383" s="24"/>
      <c r="F383" s="24"/>
      <c r="G383" s="24"/>
      <c r="H383" s="24"/>
      <c r="I383" s="24"/>
      <c r="J383" s="24"/>
      <c r="K383" s="25"/>
    </row>
    <row r="384" s="5" customFormat="1" ht="16.5" spans="1:11">
      <c r="A384" s="22"/>
      <c r="B384" s="23"/>
      <c r="C384" s="24"/>
      <c r="D384" s="24"/>
      <c r="E384" s="24"/>
      <c r="F384" s="24"/>
      <c r="G384" s="24"/>
      <c r="H384" s="24"/>
      <c r="I384" s="24"/>
      <c r="J384" s="24"/>
      <c r="K384" s="25"/>
    </row>
    <row r="385" s="5" customFormat="1" ht="16.5" spans="1:11">
      <c r="A385" s="22"/>
      <c r="B385" s="23"/>
      <c r="C385" s="24"/>
      <c r="D385" s="24"/>
      <c r="E385" s="24"/>
      <c r="F385" s="24"/>
      <c r="G385" s="24"/>
      <c r="H385" s="24"/>
      <c r="I385" s="24"/>
      <c r="J385" s="24"/>
      <c r="K385" s="25"/>
    </row>
    <row r="386" s="5" customFormat="1" ht="16.5" spans="1:11">
      <c r="A386" s="22"/>
      <c r="B386" s="23"/>
      <c r="C386" s="24"/>
      <c r="D386" s="24"/>
      <c r="E386" s="24"/>
      <c r="F386" s="24"/>
      <c r="G386" s="24"/>
      <c r="H386" s="24"/>
      <c r="I386" s="24"/>
      <c r="J386" s="24"/>
      <c r="K386" s="25"/>
    </row>
    <row r="387" s="5" customFormat="1" ht="16.5" spans="1:11">
      <c r="A387" s="22"/>
      <c r="B387" s="23"/>
      <c r="C387" s="24"/>
      <c r="D387" s="24"/>
      <c r="E387" s="24"/>
      <c r="F387" s="24"/>
      <c r="G387" s="24"/>
      <c r="H387" s="24"/>
      <c r="I387" s="24"/>
      <c r="J387" s="24"/>
      <c r="K387" s="25"/>
    </row>
    <row r="388" s="5" customFormat="1" ht="16.5" spans="1:11">
      <c r="A388" s="22"/>
      <c r="B388" s="23"/>
      <c r="C388" s="24"/>
      <c r="D388" s="24"/>
      <c r="E388" s="24"/>
      <c r="F388" s="24"/>
      <c r="G388" s="24"/>
      <c r="H388" s="24"/>
      <c r="I388" s="24"/>
      <c r="J388" s="24"/>
      <c r="K388" s="25"/>
    </row>
    <row r="389" s="5" customFormat="1" ht="16.5" spans="1:11">
      <c r="A389" s="22"/>
      <c r="B389" s="23"/>
      <c r="C389" s="24"/>
      <c r="D389" s="24"/>
      <c r="E389" s="24"/>
      <c r="F389" s="24"/>
      <c r="G389" s="24"/>
      <c r="H389" s="24"/>
      <c r="I389" s="24"/>
      <c r="J389" s="24"/>
      <c r="K389" s="25"/>
    </row>
    <row r="390" s="5" customFormat="1" ht="16.5" spans="1:11">
      <c r="A390" s="22"/>
      <c r="B390" s="23"/>
      <c r="C390" s="24"/>
      <c r="D390" s="24"/>
      <c r="E390" s="24"/>
      <c r="F390" s="24"/>
      <c r="G390" s="24"/>
      <c r="H390" s="24"/>
      <c r="I390" s="24"/>
      <c r="J390" s="24"/>
      <c r="K390" s="25"/>
    </row>
    <row r="391" s="5" customFormat="1" ht="16.5" spans="1:11">
      <c r="A391" s="22"/>
      <c r="B391" s="23"/>
      <c r="C391" s="24"/>
      <c r="D391" s="24"/>
      <c r="E391" s="24"/>
      <c r="F391" s="24"/>
      <c r="G391" s="24"/>
      <c r="H391" s="24"/>
      <c r="I391" s="24"/>
      <c r="J391" s="24"/>
      <c r="K391" s="25"/>
    </row>
    <row r="392" s="5" customFormat="1" ht="16.5" spans="1:11">
      <c r="A392" s="22"/>
      <c r="B392" s="23"/>
      <c r="C392" s="24"/>
      <c r="D392" s="24"/>
      <c r="E392" s="24"/>
      <c r="F392" s="24"/>
      <c r="G392" s="24"/>
      <c r="H392" s="24"/>
      <c r="I392" s="24"/>
      <c r="J392" s="24"/>
      <c r="K392" s="25"/>
    </row>
    <row r="393" s="5" customFormat="1" ht="16.5" spans="1:11">
      <c r="A393" s="22"/>
      <c r="B393" s="23"/>
      <c r="C393" s="24"/>
      <c r="D393" s="24"/>
      <c r="E393" s="24"/>
      <c r="F393" s="24"/>
      <c r="G393" s="24"/>
      <c r="H393" s="24"/>
      <c r="I393" s="24"/>
      <c r="J393" s="24"/>
      <c r="K393" s="25"/>
    </row>
    <row r="394" s="5" customFormat="1" ht="16.5" spans="1:11">
      <c r="A394" s="22"/>
      <c r="B394" s="23"/>
      <c r="C394" s="24"/>
      <c r="D394" s="24"/>
      <c r="E394" s="24"/>
      <c r="F394" s="24"/>
      <c r="G394" s="24"/>
      <c r="H394" s="24"/>
      <c r="I394" s="24"/>
      <c r="J394" s="24"/>
      <c r="K394" s="25"/>
    </row>
    <row r="395" s="5" customFormat="1" ht="16.5" spans="1:11">
      <c r="A395" s="22"/>
      <c r="B395" s="23"/>
      <c r="C395" s="24"/>
      <c r="D395" s="24"/>
      <c r="E395" s="24"/>
      <c r="F395" s="24"/>
      <c r="G395" s="24"/>
      <c r="H395" s="24"/>
      <c r="I395" s="24"/>
      <c r="J395" s="24"/>
      <c r="K395" s="25"/>
    </row>
    <row r="396" s="5" customFormat="1" ht="16.5" spans="1:11">
      <c r="A396" s="22"/>
      <c r="B396" s="23"/>
      <c r="C396" s="24"/>
      <c r="D396" s="24"/>
      <c r="E396" s="24"/>
      <c r="F396" s="24"/>
      <c r="G396" s="24"/>
      <c r="H396" s="24"/>
      <c r="I396" s="24"/>
      <c r="J396" s="24"/>
      <c r="K396" s="25"/>
    </row>
    <row r="397" s="5" customFormat="1" ht="16.5" spans="1:11">
      <c r="A397" s="22"/>
      <c r="B397" s="23"/>
      <c r="C397" s="24"/>
      <c r="D397" s="24"/>
      <c r="E397" s="24"/>
      <c r="F397" s="24"/>
      <c r="G397" s="24"/>
      <c r="H397" s="24"/>
      <c r="I397" s="24"/>
      <c r="J397" s="24"/>
      <c r="K397" s="25"/>
    </row>
    <row r="398" s="5" customFormat="1" ht="16.5" spans="1:11">
      <c r="A398" s="22"/>
      <c r="B398" s="23"/>
      <c r="C398" s="24"/>
      <c r="D398" s="24"/>
      <c r="E398" s="24"/>
      <c r="F398" s="24"/>
      <c r="G398" s="24"/>
      <c r="H398" s="24"/>
      <c r="I398" s="24"/>
      <c r="J398" s="24"/>
      <c r="K398" s="25"/>
    </row>
    <row r="399" s="5" customFormat="1" ht="16.5" spans="1:11">
      <c r="A399" s="22"/>
      <c r="B399" s="23"/>
      <c r="C399" s="24"/>
      <c r="D399" s="24"/>
      <c r="E399" s="24"/>
      <c r="F399" s="24"/>
      <c r="G399" s="24"/>
      <c r="H399" s="24"/>
      <c r="I399" s="24"/>
      <c r="J399" s="24"/>
      <c r="K399" s="25"/>
    </row>
    <row r="400" s="5" customFormat="1" ht="16.5" spans="1:11">
      <c r="A400" s="22"/>
      <c r="B400" s="23"/>
      <c r="C400" s="24"/>
      <c r="D400" s="24"/>
      <c r="E400" s="24"/>
      <c r="F400" s="24"/>
      <c r="G400" s="24"/>
      <c r="H400" s="24"/>
      <c r="I400" s="24"/>
      <c r="J400" s="24"/>
      <c r="K400" s="25"/>
    </row>
    <row r="401" s="5" customFormat="1" ht="16.5" spans="1:11">
      <c r="A401" s="22"/>
      <c r="B401" s="23"/>
      <c r="C401" s="24"/>
      <c r="D401" s="24"/>
      <c r="E401" s="24"/>
      <c r="F401" s="24"/>
      <c r="G401" s="24"/>
      <c r="H401" s="24"/>
      <c r="I401" s="24"/>
      <c r="J401" s="24"/>
      <c r="K401" s="25"/>
    </row>
    <row r="402" s="5" customFormat="1" ht="16.5" spans="1:11">
      <c r="A402" s="22"/>
      <c r="B402" s="23"/>
      <c r="C402" s="24"/>
      <c r="D402" s="24"/>
      <c r="E402" s="24"/>
      <c r="F402" s="24"/>
      <c r="G402" s="24"/>
      <c r="H402" s="24"/>
      <c r="I402" s="24"/>
      <c r="J402" s="24"/>
      <c r="K402" s="25"/>
    </row>
    <row r="403" s="5" customFormat="1" ht="16.5" spans="1:11">
      <c r="A403" s="22"/>
      <c r="B403" s="23"/>
      <c r="C403" s="24"/>
      <c r="D403" s="24"/>
      <c r="E403" s="24"/>
      <c r="F403" s="24"/>
      <c r="G403" s="24"/>
      <c r="H403" s="24"/>
      <c r="I403" s="24"/>
      <c r="J403" s="24"/>
      <c r="K403" s="25"/>
    </row>
    <row r="404" s="5" customFormat="1" ht="16.5" spans="1:11">
      <c r="A404" s="22"/>
      <c r="B404" s="23"/>
      <c r="C404" s="24"/>
      <c r="D404" s="24"/>
      <c r="E404" s="24"/>
      <c r="F404" s="24"/>
      <c r="G404" s="24"/>
      <c r="H404" s="24"/>
      <c r="I404" s="24"/>
      <c r="J404" s="24"/>
      <c r="K404" s="25"/>
    </row>
    <row r="405" s="5" customFormat="1" ht="16.5" spans="1:11">
      <c r="A405" s="22"/>
      <c r="B405" s="23"/>
      <c r="C405" s="24"/>
      <c r="D405" s="24"/>
      <c r="E405" s="24"/>
      <c r="F405" s="24"/>
      <c r="G405" s="24"/>
      <c r="H405" s="24"/>
      <c r="I405" s="24"/>
      <c r="J405" s="24"/>
      <c r="K405" s="25"/>
    </row>
    <row r="406" s="5" customFormat="1" ht="16.5" spans="1:11">
      <c r="A406" s="22"/>
      <c r="B406" s="23"/>
      <c r="C406" s="24"/>
      <c r="D406" s="24"/>
      <c r="E406" s="24"/>
      <c r="F406" s="24"/>
      <c r="G406" s="24"/>
      <c r="H406" s="24"/>
      <c r="I406" s="24"/>
      <c r="J406" s="24"/>
      <c r="K406" s="25"/>
    </row>
    <row r="407" s="5" customFormat="1" ht="16.5" spans="1:11">
      <c r="A407" s="22"/>
      <c r="B407" s="23"/>
      <c r="C407" s="24"/>
      <c r="D407" s="24"/>
      <c r="E407" s="24"/>
      <c r="F407" s="24"/>
      <c r="G407" s="24"/>
      <c r="H407" s="24"/>
      <c r="I407" s="24"/>
      <c r="J407" s="24"/>
      <c r="K407" s="25"/>
    </row>
    <row r="408" s="5" customFormat="1" ht="16.5" spans="1:11">
      <c r="A408" s="22"/>
      <c r="B408" s="23"/>
      <c r="C408" s="24"/>
      <c r="D408" s="24"/>
      <c r="E408" s="24"/>
      <c r="F408" s="24"/>
      <c r="G408" s="24"/>
      <c r="H408" s="24"/>
      <c r="I408" s="24"/>
      <c r="J408" s="24"/>
      <c r="K408" s="25"/>
    </row>
    <row r="409" s="5" customFormat="1" ht="16.5" spans="1:11">
      <c r="A409" s="22"/>
      <c r="B409" s="23"/>
      <c r="C409" s="24"/>
      <c r="D409" s="24"/>
      <c r="E409" s="24"/>
      <c r="F409" s="24"/>
      <c r="G409" s="24"/>
      <c r="H409" s="24"/>
      <c r="I409" s="24"/>
      <c r="J409" s="24"/>
      <c r="K409" s="25"/>
    </row>
    <row r="410" s="5" customFormat="1" ht="16.5" spans="1:11">
      <c r="A410" s="22"/>
      <c r="B410" s="23"/>
      <c r="C410" s="24"/>
      <c r="D410" s="24"/>
      <c r="E410" s="24"/>
      <c r="F410" s="24"/>
      <c r="G410" s="24"/>
      <c r="H410" s="24"/>
      <c r="I410" s="24"/>
      <c r="J410" s="24"/>
      <c r="K410" s="25"/>
    </row>
    <row r="411" s="5" customFormat="1" ht="16.5" spans="1:11">
      <c r="A411" s="22"/>
      <c r="B411" s="23"/>
      <c r="C411" s="24"/>
      <c r="D411" s="24"/>
      <c r="E411" s="24"/>
      <c r="F411" s="24"/>
      <c r="G411" s="24"/>
      <c r="H411" s="24"/>
      <c r="I411" s="24"/>
      <c r="J411" s="24"/>
      <c r="K411" s="25"/>
    </row>
    <row r="412" s="5" customFormat="1" ht="16.5" spans="1:11">
      <c r="A412" s="22"/>
      <c r="B412" s="23"/>
      <c r="C412" s="24"/>
      <c r="D412" s="24"/>
      <c r="E412" s="24"/>
      <c r="F412" s="24"/>
      <c r="G412" s="24"/>
      <c r="H412" s="24"/>
      <c r="I412" s="24"/>
      <c r="J412" s="24"/>
      <c r="K412" s="25"/>
    </row>
    <row r="413" s="5" customFormat="1" ht="16.5" spans="1:11">
      <c r="A413" s="22"/>
      <c r="B413" s="23"/>
      <c r="C413" s="24"/>
      <c r="D413" s="24"/>
      <c r="E413" s="24"/>
      <c r="F413" s="24"/>
      <c r="G413" s="24"/>
      <c r="H413" s="24"/>
      <c r="I413" s="24"/>
      <c r="J413" s="24"/>
      <c r="K413" s="25"/>
    </row>
    <row r="414" s="5" customFormat="1" ht="16.5" spans="1:11">
      <c r="A414" s="22"/>
      <c r="B414" s="23"/>
      <c r="C414" s="24"/>
      <c r="D414" s="24"/>
      <c r="E414" s="24"/>
      <c r="F414" s="24"/>
      <c r="G414" s="24"/>
      <c r="H414" s="24"/>
      <c r="I414" s="24"/>
      <c r="J414" s="24"/>
      <c r="K414" s="25"/>
    </row>
    <row r="415" s="5" customFormat="1" ht="16.5" spans="1:11">
      <c r="A415" s="22"/>
      <c r="B415" s="23"/>
      <c r="C415" s="24"/>
      <c r="D415" s="24"/>
      <c r="E415" s="24"/>
      <c r="F415" s="24"/>
      <c r="G415" s="24"/>
      <c r="H415" s="24"/>
      <c r="I415" s="24"/>
      <c r="J415" s="24"/>
      <c r="K415" s="25"/>
    </row>
    <row r="416" s="5" customFormat="1" ht="16.5" spans="1:11">
      <c r="A416" s="22"/>
      <c r="B416" s="23"/>
      <c r="C416" s="24"/>
      <c r="D416" s="24"/>
      <c r="E416" s="24"/>
      <c r="F416" s="24"/>
      <c r="G416" s="24"/>
      <c r="H416" s="24"/>
      <c r="I416" s="24"/>
      <c r="J416" s="24"/>
      <c r="K416" s="25"/>
    </row>
    <row r="417" s="5" customFormat="1" ht="16.5" spans="1:11">
      <c r="A417" s="22"/>
      <c r="B417" s="23"/>
      <c r="C417" s="24"/>
      <c r="D417" s="24"/>
      <c r="E417" s="24"/>
      <c r="F417" s="24"/>
      <c r="G417" s="24"/>
      <c r="H417" s="24"/>
      <c r="I417" s="24"/>
      <c r="J417" s="24"/>
      <c r="K417" s="25"/>
    </row>
    <row r="418" s="5" customFormat="1" ht="16.5" spans="1:11">
      <c r="A418" s="22"/>
      <c r="B418" s="23"/>
      <c r="C418" s="24"/>
      <c r="D418" s="24"/>
      <c r="E418" s="24"/>
      <c r="F418" s="24"/>
      <c r="G418" s="24"/>
      <c r="H418" s="24"/>
      <c r="I418" s="24"/>
      <c r="J418" s="24"/>
      <c r="K418" s="25"/>
    </row>
    <row r="419" s="5" customFormat="1" ht="16.5" spans="1:11">
      <c r="A419" s="22"/>
      <c r="B419" s="23"/>
      <c r="C419" s="24"/>
      <c r="D419" s="24"/>
      <c r="E419" s="24"/>
      <c r="F419" s="24"/>
      <c r="G419" s="24"/>
      <c r="H419" s="24"/>
      <c r="I419" s="24"/>
      <c r="J419" s="24"/>
      <c r="K419" s="25"/>
    </row>
    <row r="420" s="5" customFormat="1" ht="16.5" spans="1:11">
      <c r="A420" s="22"/>
      <c r="B420" s="23"/>
      <c r="C420" s="24"/>
      <c r="D420" s="24"/>
      <c r="E420" s="24"/>
      <c r="F420" s="24"/>
      <c r="G420" s="24"/>
      <c r="H420" s="24"/>
      <c r="I420" s="24"/>
      <c r="J420" s="24"/>
      <c r="K420" s="25"/>
    </row>
    <row r="421" s="5" customFormat="1" ht="16.5" spans="1:11">
      <c r="A421" s="22"/>
      <c r="B421" s="23"/>
      <c r="C421" s="24"/>
      <c r="D421" s="24"/>
      <c r="E421" s="24"/>
      <c r="F421" s="24"/>
      <c r="G421" s="24"/>
      <c r="H421" s="24"/>
      <c r="I421" s="24"/>
      <c r="J421" s="24"/>
      <c r="K421" s="25"/>
    </row>
    <row r="422" s="5" customFormat="1" ht="16.5" spans="1:11">
      <c r="A422" s="22"/>
      <c r="B422" s="23"/>
      <c r="C422" s="24"/>
      <c r="D422" s="24"/>
      <c r="E422" s="24"/>
      <c r="F422" s="24"/>
      <c r="G422" s="24"/>
      <c r="H422" s="24"/>
      <c r="I422" s="24"/>
      <c r="J422" s="24"/>
      <c r="K422" s="25"/>
    </row>
    <row r="423" s="5" customFormat="1" ht="16.5" spans="1:11">
      <c r="A423" s="22"/>
      <c r="B423" s="23"/>
      <c r="C423" s="24"/>
      <c r="D423" s="24"/>
      <c r="E423" s="24"/>
      <c r="F423" s="24"/>
      <c r="G423" s="24"/>
      <c r="H423" s="24"/>
      <c r="I423" s="24"/>
      <c r="J423" s="24"/>
      <c r="K423" s="25"/>
    </row>
    <row r="424" s="5" customFormat="1" ht="16.5" spans="1:11">
      <c r="A424" s="22"/>
      <c r="B424" s="23"/>
      <c r="C424" s="24"/>
      <c r="D424" s="24"/>
      <c r="E424" s="24"/>
      <c r="F424" s="24"/>
      <c r="G424" s="24"/>
      <c r="H424" s="24"/>
      <c r="I424" s="24"/>
      <c r="J424" s="24"/>
      <c r="K424" s="25"/>
    </row>
    <row r="425" s="5" customFormat="1" ht="16.5" spans="1:11">
      <c r="A425" s="22"/>
      <c r="B425" s="23"/>
      <c r="C425" s="24"/>
      <c r="D425" s="24"/>
      <c r="E425" s="24"/>
      <c r="F425" s="24"/>
      <c r="G425" s="24"/>
      <c r="H425" s="24"/>
      <c r="I425" s="24"/>
      <c r="J425" s="24"/>
      <c r="K425" s="25"/>
    </row>
    <row r="426" s="5" customFormat="1" ht="16.5" spans="1:11">
      <c r="A426" s="22"/>
      <c r="B426" s="23"/>
      <c r="C426" s="24"/>
      <c r="D426" s="24"/>
      <c r="E426" s="24"/>
      <c r="F426" s="24"/>
      <c r="G426" s="24"/>
      <c r="H426" s="24"/>
      <c r="I426" s="24"/>
      <c r="J426" s="24"/>
      <c r="K426" s="25"/>
    </row>
    <row r="427" s="5" customFormat="1" ht="16.5" spans="1:11">
      <c r="A427" s="22"/>
      <c r="B427" s="23"/>
      <c r="C427" s="24"/>
      <c r="D427" s="24"/>
      <c r="E427" s="24"/>
      <c r="F427" s="24"/>
      <c r="G427" s="24"/>
      <c r="H427" s="24"/>
      <c r="I427" s="24"/>
      <c r="J427" s="24"/>
      <c r="K427" s="25"/>
    </row>
    <row r="428" s="5" customFormat="1" ht="16.5" spans="1:11">
      <c r="A428" s="22"/>
      <c r="B428" s="23"/>
      <c r="C428" s="24"/>
      <c r="D428" s="24"/>
      <c r="E428" s="24"/>
      <c r="F428" s="24"/>
      <c r="G428" s="24"/>
      <c r="H428" s="24"/>
      <c r="I428" s="24"/>
      <c r="J428" s="24"/>
      <c r="K428" s="25"/>
    </row>
    <row r="429" s="5" customFormat="1" ht="16.5" spans="1:11">
      <c r="A429" s="22"/>
      <c r="B429" s="23"/>
      <c r="C429" s="24"/>
      <c r="D429" s="24"/>
      <c r="E429" s="24"/>
      <c r="F429" s="24"/>
      <c r="G429" s="24"/>
      <c r="H429" s="24"/>
      <c r="I429" s="24"/>
      <c r="J429" s="24"/>
      <c r="K429" s="25"/>
    </row>
    <row r="430" s="5" customFormat="1" ht="16.5" spans="1:11">
      <c r="A430" s="22"/>
      <c r="B430" s="23"/>
      <c r="C430" s="24"/>
      <c r="D430" s="24"/>
      <c r="E430" s="24"/>
      <c r="F430" s="24"/>
      <c r="G430" s="24"/>
      <c r="H430" s="24"/>
      <c r="I430" s="24"/>
      <c r="J430" s="24"/>
      <c r="K430" s="25"/>
    </row>
    <row r="431" s="5" customFormat="1" ht="16.5" spans="1:11">
      <c r="A431" s="22"/>
      <c r="B431" s="23"/>
      <c r="C431" s="24"/>
      <c r="D431" s="24"/>
      <c r="E431" s="24"/>
      <c r="F431" s="24"/>
      <c r="G431" s="24"/>
      <c r="H431" s="24"/>
      <c r="I431" s="24"/>
      <c r="J431" s="24"/>
      <c r="K431" s="25"/>
    </row>
    <row r="432" s="5" customFormat="1" ht="16.5" spans="1:11">
      <c r="A432" s="22"/>
      <c r="B432" s="23"/>
      <c r="C432" s="24"/>
      <c r="D432" s="24"/>
      <c r="E432" s="24"/>
      <c r="F432" s="24"/>
      <c r="G432" s="24"/>
      <c r="H432" s="24"/>
      <c r="I432" s="24"/>
      <c r="J432" s="24"/>
      <c r="K432" s="25"/>
    </row>
    <row r="433" s="5" customFormat="1" ht="16.5" spans="1:11">
      <c r="A433" s="22"/>
      <c r="B433" s="23"/>
      <c r="C433" s="24"/>
      <c r="D433" s="24"/>
      <c r="E433" s="24"/>
      <c r="F433" s="24"/>
      <c r="G433" s="24"/>
      <c r="H433" s="24"/>
      <c r="I433" s="24"/>
      <c r="J433" s="24"/>
      <c r="K433" s="25"/>
    </row>
    <row r="434" s="5" customFormat="1" ht="16.5" spans="1:11">
      <c r="A434" s="22"/>
      <c r="B434" s="23"/>
      <c r="C434" s="24"/>
      <c r="D434" s="24"/>
      <c r="E434" s="24"/>
      <c r="F434" s="24"/>
      <c r="G434" s="24"/>
      <c r="H434" s="24"/>
      <c r="I434" s="24"/>
      <c r="J434" s="24"/>
      <c r="K434" s="25"/>
    </row>
    <row r="435" s="5" customFormat="1" ht="16.5" spans="1:11">
      <c r="A435" s="22"/>
      <c r="B435" s="23"/>
      <c r="C435" s="24"/>
      <c r="D435" s="24"/>
      <c r="E435" s="24"/>
      <c r="F435" s="24"/>
      <c r="G435" s="24"/>
      <c r="H435" s="24"/>
      <c r="I435" s="24"/>
      <c r="J435" s="24"/>
      <c r="K435" s="25"/>
    </row>
    <row r="436" s="5" customFormat="1" ht="16.5" spans="1:11">
      <c r="A436" s="22"/>
      <c r="B436" s="23"/>
      <c r="C436" s="24"/>
      <c r="D436" s="24"/>
      <c r="E436" s="24"/>
      <c r="F436" s="24"/>
      <c r="G436" s="24"/>
      <c r="H436" s="24"/>
      <c r="I436" s="24"/>
      <c r="J436" s="24"/>
      <c r="K436" s="25"/>
    </row>
    <row r="437" s="5" customFormat="1" ht="16.5" spans="1:11">
      <c r="A437" s="22"/>
      <c r="B437" s="23"/>
      <c r="C437" s="24"/>
      <c r="D437" s="24"/>
      <c r="E437" s="24"/>
      <c r="F437" s="24"/>
      <c r="G437" s="24"/>
      <c r="H437" s="24"/>
      <c r="I437" s="24"/>
      <c r="J437" s="24"/>
      <c r="K437" s="25"/>
    </row>
    <row r="438" s="5" customFormat="1" ht="16.5" spans="1:11">
      <c r="A438" s="22"/>
      <c r="B438" s="23"/>
      <c r="C438" s="24"/>
      <c r="D438" s="24"/>
      <c r="E438" s="24"/>
      <c r="F438" s="24"/>
      <c r="G438" s="24"/>
      <c r="H438" s="24"/>
      <c r="I438" s="24"/>
      <c r="J438" s="24"/>
      <c r="K438" s="25"/>
    </row>
    <row r="439" s="5" customFormat="1" ht="16.5" spans="1:11">
      <c r="A439" s="22"/>
      <c r="B439" s="23"/>
      <c r="C439" s="24"/>
      <c r="D439" s="24"/>
      <c r="E439" s="24"/>
      <c r="F439" s="24"/>
      <c r="G439" s="24"/>
      <c r="H439" s="24"/>
      <c r="I439" s="24"/>
      <c r="J439" s="24"/>
      <c r="K439" s="25"/>
    </row>
    <row r="440" s="5" customFormat="1" ht="16.5" spans="1:11">
      <c r="A440" s="22"/>
      <c r="B440" s="23"/>
      <c r="C440" s="24"/>
      <c r="D440" s="24"/>
      <c r="E440" s="24"/>
      <c r="F440" s="24"/>
      <c r="G440" s="24"/>
      <c r="H440" s="24"/>
      <c r="I440" s="24"/>
      <c r="J440" s="24"/>
      <c r="K440" s="25"/>
    </row>
    <row r="441" s="5" customFormat="1" ht="16.5" spans="1:11">
      <c r="A441" s="22"/>
      <c r="B441" s="23"/>
      <c r="C441" s="24"/>
      <c r="D441" s="24"/>
      <c r="E441" s="24"/>
      <c r="F441" s="24"/>
      <c r="G441" s="24"/>
      <c r="H441" s="24"/>
      <c r="I441" s="24"/>
      <c r="J441" s="24"/>
      <c r="K441" s="25"/>
    </row>
    <row r="442" s="5" customFormat="1" ht="16.5" spans="1:11">
      <c r="A442" s="22"/>
      <c r="B442" s="23"/>
      <c r="C442" s="24"/>
      <c r="D442" s="24"/>
      <c r="E442" s="24"/>
      <c r="F442" s="24"/>
      <c r="G442" s="24"/>
      <c r="H442" s="24"/>
      <c r="I442" s="24"/>
      <c r="J442" s="24"/>
      <c r="K442" s="25"/>
    </row>
    <row r="443" s="5" customFormat="1" ht="16.5" spans="1:11">
      <c r="A443" s="22"/>
      <c r="B443" s="23"/>
      <c r="C443" s="24"/>
      <c r="D443" s="24"/>
      <c r="E443" s="24"/>
      <c r="F443" s="24"/>
      <c r="G443" s="24"/>
      <c r="H443" s="24"/>
      <c r="I443" s="24"/>
      <c r="J443" s="24"/>
      <c r="K443" s="25"/>
    </row>
    <row r="444" s="5" customFormat="1" ht="16.5" spans="1:11">
      <c r="A444" s="22"/>
      <c r="B444" s="23"/>
      <c r="C444" s="24"/>
      <c r="D444" s="24"/>
      <c r="E444" s="24"/>
      <c r="F444" s="24"/>
      <c r="G444" s="24"/>
      <c r="H444" s="24"/>
      <c r="I444" s="24"/>
      <c r="J444" s="24"/>
      <c r="K444" s="25"/>
    </row>
    <row r="445" s="5" customFormat="1" ht="16.5" spans="1:11">
      <c r="A445" s="22"/>
      <c r="B445" s="23"/>
      <c r="C445" s="24"/>
      <c r="D445" s="24"/>
      <c r="E445" s="24"/>
      <c r="F445" s="24"/>
      <c r="G445" s="24"/>
      <c r="H445" s="24"/>
      <c r="I445" s="24"/>
      <c r="J445" s="24"/>
      <c r="K445" s="25"/>
    </row>
    <row r="446" s="5" customFormat="1" ht="16.5" spans="1:11">
      <c r="A446" s="22"/>
      <c r="B446" s="23"/>
      <c r="C446" s="24"/>
      <c r="D446" s="24"/>
      <c r="E446" s="24"/>
      <c r="F446" s="24"/>
      <c r="G446" s="24"/>
      <c r="H446" s="24"/>
      <c r="I446" s="24"/>
      <c r="J446" s="24"/>
      <c r="K446" s="25"/>
    </row>
    <row r="447" s="5" customFormat="1" ht="16.5" spans="1:11">
      <c r="A447" s="22"/>
      <c r="B447" s="23"/>
      <c r="C447" s="24"/>
      <c r="D447" s="24"/>
      <c r="E447" s="24"/>
      <c r="F447" s="24"/>
      <c r="G447" s="24"/>
      <c r="H447" s="24"/>
      <c r="I447" s="24"/>
      <c r="J447" s="24"/>
      <c r="K447" s="25"/>
    </row>
    <row r="448" s="5" customFormat="1" ht="16.5" spans="1:11">
      <c r="A448" s="22"/>
      <c r="B448" s="23"/>
      <c r="C448" s="24"/>
      <c r="D448" s="24"/>
      <c r="E448" s="24"/>
      <c r="F448" s="24"/>
      <c r="G448" s="24"/>
      <c r="H448" s="24"/>
      <c r="I448" s="24"/>
      <c r="J448" s="24"/>
      <c r="K448" s="25"/>
    </row>
    <row r="449" s="5" customFormat="1" ht="16.5" spans="1:11">
      <c r="A449" s="22"/>
      <c r="B449" s="23"/>
      <c r="C449" s="24"/>
      <c r="D449" s="24"/>
      <c r="E449" s="24"/>
      <c r="F449" s="24"/>
      <c r="G449" s="24"/>
      <c r="H449" s="24"/>
      <c r="I449" s="24"/>
      <c r="J449" s="24"/>
      <c r="K449" s="25"/>
    </row>
    <row r="450" s="5" customFormat="1" ht="16.5" spans="1:11">
      <c r="A450" s="22"/>
      <c r="B450" s="23"/>
      <c r="C450" s="24"/>
      <c r="D450" s="24"/>
      <c r="E450" s="24"/>
      <c r="F450" s="24"/>
      <c r="G450" s="24"/>
      <c r="H450" s="24"/>
      <c r="I450" s="24"/>
      <c r="J450" s="24"/>
      <c r="K450" s="25"/>
    </row>
    <row r="451" s="5" customFormat="1" ht="16.5" spans="1:11">
      <c r="A451" s="22"/>
      <c r="B451" s="23"/>
      <c r="C451" s="24"/>
      <c r="D451" s="24"/>
      <c r="E451" s="24"/>
      <c r="F451" s="24"/>
      <c r="G451" s="24"/>
      <c r="H451" s="24"/>
      <c r="I451" s="24"/>
      <c r="J451" s="24"/>
      <c r="K451" s="25"/>
    </row>
    <row r="452" s="5" customFormat="1" ht="16.5" spans="1:11">
      <c r="A452" s="22"/>
      <c r="B452" s="23"/>
      <c r="C452" s="24"/>
      <c r="D452" s="24"/>
      <c r="E452" s="24"/>
      <c r="F452" s="24"/>
      <c r="G452" s="24"/>
      <c r="H452" s="24"/>
      <c r="I452" s="24"/>
      <c r="J452" s="24"/>
      <c r="K452" s="25"/>
    </row>
    <row r="453" s="5" customFormat="1" ht="16.5" spans="1:11">
      <c r="A453" s="22"/>
      <c r="B453" s="23"/>
      <c r="C453" s="24"/>
      <c r="D453" s="24"/>
      <c r="E453" s="24"/>
      <c r="F453" s="24"/>
      <c r="G453" s="24"/>
      <c r="H453" s="24"/>
      <c r="I453" s="24"/>
      <c r="J453" s="24"/>
      <c r="K453" s="25"/>
    </row>
    <row r="454" s="5" customFormat="1" ht="16.5" spans="1:11">
      <c r="A454" s="22"/>
      <c r="B454" s="23"/>
      <c r="C454" s="24"/>
      <c r="D454" s="24"/>
      <c r="E454" s="24"/>
      <c r="F454" s="24"/>
      <c r="G454" s="24"/>
      <c r="H454" s="24"/>
      <c r="I454" s="24"/>
      <c r="J454" s="24"/>
      <c r="K454" s="25"/>
    </row>
    <row r="455" s="5" customFormat="1" ht="16.5" spans="1:11">
      <c r="A455" s="22"/>
      <c r="B455" s="23"/>
      <c r="C455" s="24"/>
      <c r="D455" s="24"/>
      <c r="E455" s="24"/>
      <c r="F455" s="24"/>
      <c r="G455" s="24"/>
      <c r="H455" s="24"/>
      <c r="I455" s="24"/>
      <c r="J455" s="24"/>
      <c r="K455" s="25"/>
    </row>
    <row r="456" s="5" customFormat="1" ht="16.5" spans="1:11">
      <c r="A456" s="22"/>
      <c r="B456" s="23"/>
      <c r="C456" s="24"/>
      <c r="D456" s="24"/>
      <c r="E456" s="24"/>
      <c r="F456" s="24"/>
      <c r="G456" s="24"/>
      <c r="H456" s="24"/>
      <c r="I456" s="24"/>
      <c r="J456" s="24"/>
      <c r="K456" s="25"/>
    </row>
    <row r="457" s="5" customFormat="1" ht="16.5" spans="1:11">
      <c r="A457" s="22"/>
      <c r="B457" s="23"/>
      <c r="C457" s="24"/>
      <c r="D457" s="24"/>
      <c r="E457" s="24"/>
      <c r="F457" s="24"/>
      <c r="G457" s="24"/>
      <c r="H457" s="24"/>
      <c r="I457" s="24"/>
      <c r="J457" s="24"/>
      <c r="K457" s="25"/>
    </row>
    <row r="458" s="5" customFormat="1" ht="16.5" spans="1:11">
      <c r="A458" s="22"/>
      <c r="B458" s="23"/>
      <c r="C458" s="24"/>
      <c r="D458" s="24"/>
      <c r="E458" s="24"/>
      <c r="F458" s="24"/>
      <c r="G458" s="24"/>
      <c r="H458" s="24"/>
      <c r="I458" s="24"/>
      <c r="J458" s="24"/>
      <c r="K458" s="25"/>
    </row>
    <row r="459" s="5" customFormat="1" ht="16.5" spans="1:11">
      <c r="A459" s="22"/>
      <c r="B459" s="23"/>
      <c r="C459" s="24"/>
      <c r="D459" s="24"/>
      <c r="E459" s="24"/>
      <c r="F459" s="24"/>
      <c r="G459" s="24"/>
      <c r="H459" s="24"/>
      <c r="I459" s="24"/>
      <c r="J459" s="24"/>
      <c r="K459" s="25"/>
    </row>
    <row r="460" s="5" customFormat="1" ht="16.5" spans="1:11">
      <c r="A460" s="22"/>
      <c r="B460" s="23"/>
      <c r="C460" s="24"/>
      <c r="D460" s="24"/>
      <c r="E460" s="24"/>
      <c r="F460" s="24"/>
      <c r="G460" s="24"/>
      <c r="H460" s="24"/>
      <c r="I460" s="24"/>
      <c r="J460" s="24"/>
      <c r="K460" s="25"/>
    </row>
    <row r="461" s="5" customFormat="1" ht="16.5" spans="1:11">
      <c r="A461" s="22"/>
      <c r="B461" s="23"/>
      <c r="C461" s="24"/>
      <c r="D461" s="24"/>
      <c r="E461" s="24"/>
      <c r="F461" s="24"/>
      <c r="G461" s="24"/>
      <c r="H461" s="24"/>
      <c r="I461" s="24"/>
      <c r="J461" s="24"/>
      <c r="K461" s="25"/>
    </row>
    <row r="462" s="5" customFormat="1" ht="16.5" spans="1:11">
      <c r="A462" s="22"/>
      <c r="B462" s="23"/>
      <c r="C462" s="24"/>
      <c r="D462" s="24"/>
      <c r="E462" s="24"/>
      <c r="F462" s="24"/>
      <c r="G462" s="24"/>
      <c r="H462" s="24"/>
      <c r="I462" s="24"/>
      <c r="J462" s="24"/>
      <c r="K462" s="25"/>
    </row>
    <row r="463" s="5" customFormat="1" ht="16.5" spans="1:11">
      <c r="A463" s="22"/>
      <c r="B463" s="23"/>
      <c r="C463" s="24"/>
      <c r="D463" s="24"/>
      <c r="E463" s="24"/>
      <c r="F463" s="24"/>
      <c r="G463" s="24"/>
      <c r="H463" s="24"/>
      <c r="I463" s="24"/>
      <c r="J463" s="24"/>
      <c r="K463" s="25"/>
    </row>
    <row r="464" s="5" customFormat="1" ht="16.5" spans="1:11">
      <c r="A464" s="22"/>
      <c r="B464" s="23"/>
      <c r="C464" s="24"/>
      <c r="D464" s="24"/>
      <c r="E464" s="24"/>
      <c r="F464" s="24"/>
      <c r="G464" s="24"/>
      <c r="H464" s="24"/>
      <c r="I464" s="24"/>
      <c r="J464" s="24"/>
      <c r="K464" s="25"/>
    </row>
    <row r="465" s="5" customFormat="1" ht="16.5" spans="1:11">
      <c r="A465" s="22"/>
      <c r="B465" s="23"/>
      <c r="C465" s="24"/>
      <c r="D465" s="24"/>
      <c r="E465" s="24"/>
      <c r="F465" s="24"/>
      <c r="G465" s="24"/>
      <c r="H465" s="24"/>
      <c r="I465" s="24"/>
      <c r="J465" s="24"/>
      <c r="K465" s="25"/>
    </row>
    <row r="466" s="5" customFormat="1" ht="16.5" spans="1:11">
      <c r="A466" s="22"/>
      <c r="B466" s="23"/>
      <c r="C466" s="24"/>
      <c r="D466" s="24"/>
      <c r="E466" s="24"/>
      <c r="F466" s="24"/>
      <c r="G466" s="24"/>
      <c r="H466" s="24"/>
      <c r="I466" s="24"/>
      <c r="J466" s="24"/>
      <c r="K466" s="25"/>
    </row>
    <row r="467" s="5" customFormat="1" ht="16.5" spans="1:11">
      <c r="A467" s="22"/>
      <c r="B467" s="23"/>
      <c r="C467" s="24"/>
      <c r="D467" s="24"/>
      <c r="E467" s="24"/>
      <c r="F467" s="24"/>
      <c r="G467" s="24"/>
      <c r="H467" s="24"/>
      <c r="I467" s="24"/>
      <c r="J467" s="24"/>
      <c r="K467" s="25"/>
    </row>
    <row r="468" s="5" customFormat="1" ht="16.5" spans="1:11">
      <c r="A468" s="22"/>
      <c r="B468" s="23"/>
      <c r="C468" s="24"/>
      <c r="D468" s="24"/>
      <c r="E468" s="24"/>
      <c r="F468" s="24"/>
      <c r="G468" s="24"/>
      <c r="H468" s="24"/>
      <c r="I468" s="24"/>
      <c r="J468" s="24"/>
      <c r="K468" s="25"/>
    </row>
    <row r="469" s="5" customFormat="1" ht="16.5" spans="1:11">
      <c r="A469" s="22"/>
      <c r="B469" s="23"/>
      <c r="C469" s="24"/>
      <c r="D469" s="24"/>
      <c r="E469" s="24"/>
      <c r="F469" s="24"/>
      <c r="G469" s="24"/>
      <c r="H469" s="24"/>
      <c r="I469" s="24"/>
      <c r="J469" s="24"/>
      <c r="K469" s="25"/>
    </row>
    <row r="470" s="5" customFormat="1" ht="16.5" spans="1:11">
      <c r="A470" s="22"/>
      <c r="B470" s="23"/>
      <c r="C470" s="24"/>
      <c r="D470" s="24"/>
      <c r="E470" s="24"/>
      <c r="F470" s="24"/>
      <c r="G470" s="24"/>
      <c r="H470" s="24"/>
      <c r="I470" s="24"/>
      <c r="J470" s="24"/>
      <c r="K470" s="25"/>
    </row>
    <row r="471" s="5" customFormat="1" ht="16.5" spans="1:11">
      <c r="A471" s="22"/>
      <c r="B471" s="23"/>
      <c r="C471" s="24"/>
      <c r="D471" s="24"/>
      <c r="E471" s="24"/>
      <c r="F471" s="24"/>
      <c r="G471" s="24"/>
      <c r="H471" s="24"/>
      <c r="I471" s="24"/>
      <c r="J471" s="24"/>
      <c r="K471" s="25"/>
    </row>
    <row r="472" s="5" customFormat="1" ht="16.5" spans="1:11">
      <c r="A472" s="22"/>
      <c r="B472" s="23"/>
      <c r="C472" s="24"/>
      <c r="D472" s="24"/>
      <c r="E472" s="24"/>
      <c r="F472" s="24"/>
      <c r="G472" s="24"/>
      <c r="H472" s="24"/>
      <c r="I472" s="24"/>
      <c r="J472" s="24"/>
      <c r="K472" s="25"/>
    </row>
    <row r="473" s="5" customFormat="1" ht="16.5" spans="1:11">
      <c r="A473" s="22"/>
      <c r="B473" s="23"/>
      <c r="C473" s="24"/>
      <c r="D473" s="24"/>
      <c r="E473" s="24"/>
      <c r="F473" s="24"/>
      <c r="G473" s="24"/>
      <c r="H473" s="24"/>
      <c r="I473" s="24"/>
      <c r="J473" s="24"/>
      <c r="K473" s="25"/>
    </row>
    <row r="474" s="5" customFormat="1" ht="16.5" spans="1:11">
      <c r="A474" s="22"/>
      <c r="B474" s="23"/>
      <c r="C474" s="24"/>
      <c r="D474" s="24"/>
      <c r="E474" s="24"/>
      <c r="F474" s="24"/>
      <c r="G474" s="24"/>
      <c r="H474" s="24"/>
      <c r="I474" s="24"/>
      <c r="J474" s="24"/>
      <c r="K474" s="25"/>
    </row>
    <row r="475" s="5" customFormat="1" ht="16.5" spans="1:11">
      <c r="A475" s="22"/>
      <c r="B475" s="23"/>
      <c r="C475" s="24"/>
      <c r="D475" s="24"/>
      <c r="E475" s="24"/>
      <c r="F475" s="24"/>
      <c r="G475" s="24"/>
      <c r="H475" s="24"/>
      <c r="I475" s="24"/>
      <c r="J475" s="24"/>
      <c r="K475" s="25"/>
    </row>
    <row r="476" s="5" customFormat="1" ht="16.5" spans="1:11">
      <c r="A476" s="22"/>
      <c r="B476" s="23"/>
      <c r="C476" s="24"/>
      <c r="D476" s="24"/>
      <c r="E476" s="24"/>
      <c r="F476" s="24"/>
      <c r="G476" s="24"/>
      <c r="H476" s="24"/>
      <c r="I476" s="24"/>
      <c r="J476" s="24"/>
      <c r="K476" s="25"/>
    </row>
    <row r="477" s="5" customFormat="1" ht="16.5" spans="1:11">
      <c r="A477" s="22"/>
      <c r="B477" s="23"/>
      <c r="C477" s="24"/>
      <c r="D477" s="24"/>
      <c r="E477" s="24"/>
      <c r="F477" s="24"/>
      <c r="G477" s="24"/>
      <c r="H477" s="24"/>
      <c r="I477" s="24"/>
      <c r="J477" s="24"/>
      <c r="K477" s="25"/>
    </row>
    <row r="478" s="5" customFormat="1" ht="16.5" spans="1:11">
      <c r="A478" s="22"/>
      <c r="B478" s="23"/>
      <c r="C478" s="24"/>
      <c r="D478" s="24"/>
      <c r="E478" s="24"/>
      <c r="F478" s="24"/>
      <c r="G478" s="24"/>
      <c r="H478" s="24"/>
      <c r="I478" s="24"/>
      <c r="J478" s="24"/>
      <c r="K478" s="25"/>
    </row>
    <row r="479" s="5" customFormat="1" ht="16.5" spans="1:11">
      <c r="A479" s="22"/>
      <c r="B479" s="23"/>
      <c r="C479" s="24"/>
      <c r="D479" s="24"/>
      <c r="E479" s="24"/>
      <c r="F479" s="24"/>
      <c r="G479" s="24"/>
      <c r="H479" s="24"/>
      <c r="I479" s="24"/>
      <c r="J479" s="24"/>
      <c r="K479" s="25"/>
    </row>
    <row r="480" s="5" customFormat="1" ht="16.5" spans="1:11">
      <c r="A480" s="22"/>
      <c r="B480" s="23"/>
      <c r="C480" s="24"/>
      <c r="D480" s="24"/>
      <c r="E480" s="24"/>
      <c r="F480" s="24"/>
      <c r="G480" s="24"/>
      <c r="H480" s="24"/>
      <c r="I480" s="24"/>
      <c r="J480" s="24"/>
      <c r="K480" s="25"/>
    </row>
    <row r="481" s="5" customFormat="1" ht="16.5" spans="1:11">
      <c r="A481" s="22"/>
      <c r="B481" s="23"/>
      <c r="C481" s="24"/>
      <c r="D481" s="24"/>
      <c r="E481" s="24"/>
      <c r="F481" s="24"/>
      <c r="G481" s="24"/>
      <c r="H481" s="24"/>
      <c r="I481" s="24"/>
      <c r="J481" s="24"/>
      <c r="K481" s="25"/>
    </row>
    <row r="482" s="5" customFormat="1" ht="16.5" spans="1:11">
      <c r="A482" s="22"/>
      <c r="B482" s="23"/>
      <c r="C482" s="24"/>
      <c r="D482" s="24"/>
      <c r="E482" s="24"/>
      <c r="F482" s="24"/>
      <c r="G482" s="24"/>
      <c r="H482" s="24"/>
      <c r="I482" s="24"/>
      <c r="J482" s="24"/>
      <c r="K482" s="25"/>
    </row>
    <row r="483" s="5" customFormat="1" ht="16.5" spans="1:11">
      <c r="A483" s="22"/>
      <c r="B483" s="23"/>
      <c r="C483" s="24"/>
      <c r="D483" s="24"/>
      <c r="E483" s="24"/>
      <c r="F483" s="24"/>
      <c r="G483" s="24"/>
      <c r="H483" s="24"/>
      <c r="I483" s="24"/>
      <c r="J483" s="24"/>
      <c r="K483" s="25"/>
    </row>
    <row r="484" s="5" customFormat="1" ht="16.5" spans="1:11">
      <c r="A484" s="22"/>
      <c r="B484" s="23"/>
      <c r="C484" s="24"/>
      <c r="D484" s="24"/>
      <c r="E484" s="24"/>
      <c r="F484" s="24"/>
      <c r="G484" s="24"/>
      <c r="H484" s="24"/>
      <c r="I484" s="24"/>
      <c r="J484" s="24"/>
      <c r="K484" s="25"/>
    </row>
    <row r="485" s="5" customFormat="1" ht="16.5" spans="1:11">
      <c r="A485" s="22"/>
      <c r="B485" s="23"/>
      <c r="C485" s="24"/>
      <c r="D485" s="24"/>
      <c r="E485" s="24"/>
      <c r="F485" s="24"/>
      <c r="G485" s="24"/>
      <c r="H485" s="24"/>
      <c r="I485" s="24"/>
      <c r="J485" s="24"/>
      <c r="K485" s="25"/>
    </row>
    <row r="486" s="5" customFormat="1" ht="16.5" spans="1:11">
      <c r="A486" s="22"/>
      <c r="B486" s="23"/>
      <c r="C486" s="24"/>
      <c r="D486" s="24"/>
      <c r="E486" s="24"/>
      <c r="F486" s="24"/>
      <c r="G486" s="24"/>
      <c r="H486" s="24"/>
      <c r="I486" s="24"/>
      <c r="J486" s="24"/>
      <c r="K486" s="25"/>
    </row>
    <row r="487" s="5" customFormat="1" ht="16.5" spans="1:11">
      <c r="A487" s="22"/>
      <c r="B487" s="23"/>
      <c r="C487" s="24"/>
      <c r="D487" s="24"/>
      <c r="E487" s="24"/>
      <c r="F487" s="24"/>
      <c r="G487" s="24"/>
      <c r="H487" s="24"/>
      <c r="I487" s="24"/>
      <c r="J487" s="24"/>
      <c r="K487" s="25"/>
    </row>
    <row r="488" s="5" customFormat="1" ht="16.5" spans="1:11">
      <c r="A488" s="22"/>
      <c r="B488" s="23"/>
      <c r="C488" s="24"/>
      <c r="D488" s="24"/>
      <c r="E488" s="24"/>
      <c r="F488" s="24"/>
      <c r="G488" s="24"/>
      <c r="H488" s="24"/>
      <c r="I488" s="24"/>
      <c r="J488" s="24"/>
      <c r="K488" s="25"/>
    </row>
    <row r="489" s="5" customFormat="1" ht="16.5" spans="1:11">
      <c r="A489" s="22"/>
      <c r="B489" s="23"/>
      <c r="C489" s="24"/>
      <c r="D489" s="24"/>
      <c r="E489" s="24"/>
      <c r="F489" s="24"/>
      <c r="G489" s="24"/>
      <c r="H489" s="24"/>
      <c r="I489" s="24"/>
      <c r="J489" s="24"/>
      <c r="K489" s="25"/>
    </row>
    <row r="490" s="5" customFormat="1" ht="16.5" spans="1:11">
      <c r="A490" s="22"/>
      <c r="B490" s="23"/>
      <c r="C490" s="24"/>
      <c r="D490" s="24"/>
      <c r="E490" s="24"/>
      <c r="F490" s="24"/>
      <c r="G490" s="24"/>
      <c r="H490" s="24"/>
      <c r="I490" s="24"/>
      <c r="J490" s="24"/>
      <c r="K490" s="25"/>
    </row>
    <row r="491" s="5" customFormat="1" ht="16.5" spans="1:11">
      <c r="A491" s="22"/>
      <c r="B491" s="23"/>
      <c r="C491" s="24"/>
      <c r="D491" s="24"/>
      <c r="E491" s="24"/>
      <c r="F491" s="24"/>
      <c r="G491" s="24"/>
      <c r="H491" s="24"/>
      <c r="I491" s="24"/>
      <c r="J491" s="24"/>
      <c r="K491" s="25"/>
    </row>
    <row r="492" s="5" customFormat="1" ht="16.5" spans="1:11">
      <c r="A492" s="22"/>
      <c r="B492" s="23"/>
      <c r="C492" s="24"/>
      <c r="D492" s="24"/>
      <c r="E492" s="24"/>
      <c r="F492" s="24"/>
      <c r="G492" s="24"/>
      <c r="H492" s="24"/>
      <c r="I492" s="24"/>
      <c r="J492" s="24"/>
      <c r="K492" s="25"/>
    </row>
    <row r="493" s="5" customFormat="1" ht="16.5" spans="1:11">
      <c r="A493" s="22"/>
      <c r="B493" s="23"/>
      <c r="C493" s="24"/>
      <c r="D493" s="24"/>
      <c r="E493" s="24"/>
      <c r="F493" s="24"/>
      <c r="G493" s="24"/>
      <c r="H493" s="24"/>
      <c r="I493" s="24"/>
      <c r="J493" s="24"/>
      <c r="K493" s="25"/>
    </row>
    <row r="494" s="5" customFormat="1" ht="16.5" spans="1:11">
      <c r="A494" s="22"/>
      <c r="B494" s="23"/>
      <c r="C494" s="24"/>
      <c r="D494" s="24"/>
      <c r="E494" s="24"/>
      <c r="F494" s="24"/>
      <c r="G494" s="24"/>
      <c r="H494" s="24"/>
      <c r="I494" s="24"/>
      <c r="J494" s="24"/>
      <c r="K494" s="25"/>
    </row>
    <row r="495" s="5" customFormat="1" ht="16.5" spans="1:11">
      <c r="A495" s="22"/>
      <c r="B495" s="23"/>
      <c r="C495" s="24"/>
      <c r="D495" s="24"/>
      <c r="E495" s="24"/>
      <c r="F495" s="24"/>
      <c r="G495" s="24"/>
      <c r="H495" s="24"/>
      <c r="I495" s="24"/>
      <c r="J495" s="24"/>
      <c r="K495" s="25"/>
    </row>
    <row r="496" s="5" customFormat="1" ht="16.5" spans="1:11">
      <c r="A496" s="22"/>
      <c r="B496" s="23"/>
      <c r="C496" s="24"/>
      <c r="D496" s="24"/>
      <c r="E496" s="24"/>
      <c r="F496" s="24"/>
      <c r="G496" s="24"/>
      <c r="H496" s="24"/>
      <c r="I496" s="24"/>
      <c r="J496" s="24"/>
      <c r="K496" s="25"/>
    </row>
    <row r="497" s="5" customFormat="1" ht="16.5" spans="1:11">
      <c r="A497" s="22"/>
      <c r="B497" s="23"/>
      <c r="C497" s="24"/>
      <c r="D497" s="24"/>
      <c r="E497" s="24"/>
      <c r="F497" s="24"/>
      <c r="G497" s="24"/>
      <c r="H497" s="24"/>
      <c r="I497" s="24"/>
      <c r="J497" s="24"/>
      <c r="K497" s="25"/>
    </row>
    <row r="498" s="5" customFormat="1" ht="16.5" spans="1:11">
      <c r="A498" s="22"/>
      <c r="B498" s="23"/>
      <c r="C498" s="24"/>
      <c r="D498" s="24"/>
      <c r="E498" s="24"/>
      <c r="F498" s="24"/>
      <c r="G498" s="24"/>
      <c r="H498" s="24"/>
      <c r="I498" s="24"/>
      <c r="J498" s="24"/>
      <c r="K498" s="25"/>
    </row>
    <row r="499" s="5" customFormat="1" ht="16.5" spans="1:11">
      <c r="A499" s="22"/>
      <c r="B499" s="23"/>
      <c r="C499" s="24"/>
      <c r="D499" s="24"/>
      <c r="E499" s="24"/>
      <c r="F499" s="24"/>
      <c r="G499" s="24"/>
      <c r="H499" s="24"/>
      <c r="I499" s="24"/>
      <c r="J499" s="24"/>
      <c r="K499" s="25"/>
    </row>
    <row r="500" s="5" customFormat="1" ht="16.5" spans="1:11">
      <c r="A500" s="22"/>
      <c r="B500" s="23"/>
      <c r="C500" s="24"/>
      <c r="D500" s="24"/>
      <c r="E500" s="24"/>
      <c r="F500" s="24"/>
      <c r="G500" s="24"/>
      <c r="H500" s="24"/>
      <c r="I500" s="24"/>
      <c r="J500" s="24"/>
      <c r="K500" s="25"/>
    </row>
    <row r="501" s="5" customFormat="1" ht="16.5" spans="1:11">
      <c r="A501" s="22"/>
      <c r="B501" s="23"/>
      <c r="C501" s="24"/>
      <c r="D501" s="24"/>
      <c r="E501" s="24"/>
      <c r="F501" s="24"/>
      <c r="G501" s="24"/>
      <c r="H501" s="24"/>
      <c r="I501" s="24"/>
      <c r="J501" s="24"/>
      <c r="K501" s="25"/>
    </row>
    <row r="502" s="5" customFormat="1" ht="16.5" spans="1:11">
      <c r="A502" s="22"/>
      <c r="B502" s="23"/>
      <c r="C502" s="24"/>
      <c r="D502" s="24"/>
      <c r="E502" s="24"/>
      <c r="F502" s="24"/>
      <c r="G502" s="24"/>
      <c r="H502" s="24"/>
      <c r="I502" s="24"/>
      <c r="J502" s="24"/>
      <c r="K502" s="25"/>
    </row>
    <row r="503" s="5" customFormat="1" ht="16.5" spans="1:11">
      <c r="A503" s="22"/>
      <c r="B503" s="23"/>
      <c r="C503" s="24"/>
      <c r="D503" s="24"/>
      <c r="E503" s="24"/>
      <c r="F503" s="24"/>
      <c r="G503" s="24"/>
      <c r="H503" s="24"/>
      <c r="I503" s="24"/>
      <c r="J503" s="24"/>
      <c r="K503" s="25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K503"/>
  <sheetViews>
    <sheetView showGridLines="0" workbookViewId="0">
      <pane ySplit="3" topLeftCell="A4" activePane="bottomLeft" state="frozen"/>
      <selection/>
      <selection pane="bottomLeft" activeCell="A4" sqref="A4"/>
    </sheetView>
  </sheetViews>
  <sheetFormatPr defaultColWidth="9" defaultRowHeight="13.5"/>
  <cols>
    <col min="1" max="1" width="8" customWidth="1"/>
    <col min="2" max="2" width="12" style="6" customWidth="1"/>
    <col min="3" max="3" width="18" style="7" customWidth="1"/>
    <col min="4" max="4" width="14" style="8" customWidth="1"/>
    <col min="5" max="5" width="20" style="7" customWidth="1"/>
    <col min="6" max="6" width="18" style="8" customWidth="1"/>
    <col min="7" max="8" width="12" style="7" customWidth="1"/>
    <col min="9" max="9" width="16" style="7" customWidth="1"/>
    <col min="10" max="10" width="12" style="8" customWidth="1"/>
    <col min="11" max="11" width="7.375" style="9" customWidth="1"/>
    <col min="12" max="16373" width="10" style="5" customWidth="1"/>
    <col min="16374" max="16374" width="10" style="5"/>
    <col min="16375" max="16378" width="9" style="5"/>
    <col min="16379" max="16379" width="10" style="5"/>
    <col min="16380" max="16384" width="9" style="5"/>
  </cols>
  <sheetData>
    <row r="1" s="5" customFormat="1" ht="28" customHeight="1" spans="1:11">
      <c r="A1" s="10" t="s">
        <v>304</v>
      </c>
      <c r="B1" s="11"/>
      <c r="C1" s="12"/>
      <c r="D1" s="12"/>
      <c r="E1" s="12"/>
      <c r="F1" s="12"/>
      <c r="G1" s="12"/>
      <c r="H1" s="12"/>
      <c r="I1" s="12"/>
      <c r="J1" s="12"/>
      <c r="K1" s="13"/>
    </row>
    <row r="2" s="5" customFormat="1" ht="24" customHeight="1" spans="1:11">
      <c r="A2" s="14" t="s">
        <v>295</v>
      </c>
      <c r="B2" s="15" t="s">
        <v>105</v>
      </c>
      <c r="C2" s="16" t="s">
        <v>100</v>
      </c>
      <c r="D2" s="17">
        <f>IFERROR(VLOOKUP($B$2,数据录入!$C$5:$H$18,6,0),0)</f>
        <v>0</v>
      </c>
      <c r="E2" s="16" t="s">
        <v>296</v>
      </c>
      <c r="F2" s="17">
        <f>SUMIFS(数据录入!$F$19:$F$10000,数据录入!$C$19:$C$10000,$B$2)</f>
        <v>0</v>
      </c>
      <c r="G2" s="16" t="s">
        <v>297</v>
      </c>
      <c r="H2" s="17">
        <f>SUMIFS(数据录入!$G$19:$G$10000,数据录入!$C$19:$C$10000,$B$2)</f>
        <v>0</v>
      </c>
      <c r="I2" s="16" t="s">
        <v>298</v>
      </c>
      <c r="J2" s="17">
        <f>D2+F2-H2</f>
        <v>0</v>
      </c>
      <c r="K2" s="18"/>
    </row>
    <row r="3" s="5" customFormat="1" ht="24" customHeight="1" spans="1:11">
      <c r="A3" s="19" t="s">
        <v>92</v>
      </c>
      <c r="B3" s="19" t="s">
        <v>93</v>
      </c>
      <c r="C3" s="19" t="s">
        <v>94</v>
      </c>
      <c r="D3" s="19" t="s">
        <v>38</v>
      </c>
      <c r="E3" s="19" t="s">
        <v>95</v>
      </c>
      <c r="F3" s="19" t="s">
        <v>96</v>
      </c>
      <c r="G3" s="19" t="s">
        <v>97</v>
      </c>
      <c r="H3" s="19" t="s">
        <v>91</v>
      </c>
      <c r="I3" s="20" t="s">
        <v>39</v>
      </c>
      <c r="J3" s="20" t="s">
        <v>41</v>
      </c>
      <c r="K3" s="21" t="s">
        <v>98</v>
      </c>
    </row>
    <row r="4" s="5" customFormat="1" ht="20" customHeight="1" spans="1:11">
      <c r="A4" s="22" vm="1" t="e" cm="1">
        <f t="array" ref="A4">_xlfn._xlws.FILTER(数据录入!$A$19:$K$10000,数据录入!$C$19:$C$10000=$B$2)</f>
        <v>#VALUE!</v>
      </c>
      <c r="B4" s="23"/>
      <c r="C4" s="24"/>
      <c r="D4" s="24"/>
      <c r="E4" s="24"/>
      <c r="F4" s="24"/>
      <c r="G4" s="24"/>
      <c r="H4" s="24"/>
      <c r="I4" s="24"/>
      <c r="J4" s="24"/>
      <c r="K4" s="25"/>
    </row>
    <row r="5" s="5" customFormat="1" ht="20" customHeight="1" spans="1:11">
      <c r="A5" s="22"/>
      <c r="B5" s="23"/>
      <c r="C5" s="24"/>
      <c r="D5" s="24"/>
      <c r="E5" s="24"/>
      <c r="F5" s="24"/>
      <c r="G5" s="24"/>
      <c r="H5" s="24"/>
      <c r="I5" s="24"/>
      <c r="J5" s="24"/>
      <c r="K5" s="25"/>
    </row>
    <row r="6" s="5" customFormat="1" ht="20" customHeight="1" spans="1:11">
      <c r="A6" s="22"/>
      <c r="B6" s="23"/>
      <c r="C6" s="24"/>
      <c r="D6" s="24"/>
      <c r="E6" s="24"/>
      <c r="F6" s="24"/>
      <c r="G6" s="24"/>
      <c r="H6" s="24"/>
      <c r="I6" s="24"/>
      <c r="J6" s="24"/>
      <c r="K6" s="25"/>
    </row>
    <row r="7" s="5" customFormat="1" ht="20" customHeight="1" spans="1:11">
      <c r="A7" s="22"/>
      <c r="B7" s="23"/>
      <c r="C7" s="24"/>
      <c r="D7" s="24"/>
      <c r="E7" s="24"/>
      <c r="F7" s="24"/>
      <c r="G7" s="24"/>
      <c r="H7" s="24"/>
      <c r="I7" s="24"/>
      <c r="J7" s="24"/>
      <c r="K7" s="25"/>
    </row>
    <row r="8" s="5" customFormat="1" ht="20" customHeight="1" spans="1:11">
      <c r="A8" s="22"/>
      <c r="B8" s="23"/>
      <c r="C8" s="24"/>
      <c r="D8" s="24"/>
      <c r="E8" s="24"/>
      <c r="F8" s="24"/>
      <c r="G8" s="24"/>
      <c r="H8" s="24"/>
      <c r="I8" s="24"/>
      <c r="J8" s="24"/>
      <c r="K8" s="25"/>
    </row>
    <row r="9" s="5" customFormat="1" ht="20" customHeight="1" spans="1:11">
      <c r="A9" s="22"/>
      <c r="B9" s="23"/>
      <c r="C9" s="24"/>
      <c r="D9" s="24"/>
      <c r="E9" s="24"/>
      <c r="F9" s="24"/>
      <c r="G9" s="24"/>
      <c r="H9" s="24"/>
      <c r="I9" s="24"/>
      <c r="J9" s="24"/>
      <c r="K9" s="25"/>
    </row>
    <row r="10" s="5" customFormat="1" ht="20" customHeight="1" spans="1:11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5"/>
    </row>
    <row r="11" s="5" customFormat="1" ht="20" customHeight="1" spans="1:11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5"/>
    </row>
    <row r="12" s="5" customFormat="1" ht="20" customHeight="1" spans="1:11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5"/>
    </row>
    <row r="13" s="5" customFormat="1" ht="20" customHeight="1" spans="1:11">
      <c r="A13" s="22"/>
      <c r="B13" s="23"/>
      <c r="C13" s="24"/>
      <c r="D13" s="24"/>
      <c r="E13" s="24"/>
      <c r="F13" s="24"/>
      <c r="G13" s="24"/>
      <c r="H13" s="24"/>
      <c r="I13" s="24"/>
      <c r="J13" s="24"/>
      <c r="K13" s="25"/>
    </row>
    <row r="14" s="5" customFormat="1" ht="20" customHeight="1" spans="1:1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5"/>
    </row>
    <row r="15" s="5" customFormat="1" ht="20" customHeight="1" spans="1:11">
      <c r="A15" s="22"/>
      <c r="B15" s="23"/>
      <c r="C15" s="24"/>
      <c r="D15" s="24"/>
      <c r="E15" s="24"/>
      <c r="F15" s="24"/>
      <c r="G15" s="24"/>
      <c r="H15" s="24"/>
      <c r="I15" s="24"/>
      <c r="J15" s="24"/>
      <c r="K15" s="25"/>
    </row>
    <row r="16" s="5" customFormat="1" ht="20" customHeight="1" spans="1:11">
      <c r="A16" s="22"/>
      <c r="B16" s="23"/>
      <c r="C16" s="24"/>
      <c r="D16" s="24"/>
      <c r="E16" s="24"/>
      <c r="F16" s="24"/>
      <c r="G16" s="24"/>
      <c r="H16" s="24"/>
      <c r="I16" s="24"/>
      <c r="J16" s="24"/>
      <c r="K16" s="25"/>
    </row>
    <row r="17" s="5" customFormat="1" ht="20" customHeight="1" spans="1:11">
      <c r="A17" s="22"/>
      <c r="B17" s="23"/>
      <c r="C17" s="24"/>
      <c r="D17" s="24"/>
      <c r="E17" s="24"/>
      <c r="F17" s="24"/>
      <c r="G17" s="24"/>
      <c r="H17" s="24"/>
      <c r="I17" s="24"/>
      <c r="J17" s="24"/>
      <c r="K17" s="25"/>
    </row>
    <row r="18" s="5" customFormat="1" ht="20" customHeight="1" spans="1:11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5"/>
    </row>
    <row r="19" s="5" customFormat="1" ht="20" customHeight="1" spans="1:11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25"/>
    </row>
    <row r="20" s="5" customFormat="1" ht="20" customHeight="1" spans="1:11">
      <c r="A20" s="22"/>
      <c r="B20" s="23"/>
      <c r="C20" s="24"/>
      <c r="D20" s="24"/>
      <c r="E20" s="24"/>
      <c r="F20" s="24"/>
      <c r="G20" s="24"/>
      <c r="H20" s="24"/>
      <c r="I20" s="24"/>
      <c r="J20" s="24"/>
      <c r="K20" s="25"/>
    </row>
    <row r="21" s="5" customFormat="1" ht="20" customHeight="1" spans="1:11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5"/>
    </row>
    <row r="22" s="5" customFormat="1" ht="20" customHeight="1" spans="1:11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5"/>
    </row>
    <row r="23" s="5" customFormat="1" ht="20" customHeight="1" spans="1:11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5"/>
    </row>
    <row r="24" s="5" customFormat="1" ht="20" customHeight="1" spans="1:11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5"/>
    </row>
    <row r="25" s="5" customFormat="1" ht="20" customHeight="1" spans="1:11">
      <c r="A25" s="22"/>
      <c r="B25" s="23"/>
      <c r="C25" s="24"/>
      <c r="D25" s="24"/>
      <c r="E25" s="24"/>
      <c r="F25" s="24"/>
      <c r="G25" s="24"/>
      <c r="H25" s="24"/>
      <c r="I25" s="24"/>
      <c r="J25" s="24"/>
      <c r="K25" s="25"/>
    </row>
    <row r="26" s="5" customFormat="1" ht="20" customHeight="1" spans="1:11">
      <c r="A26" s="22"/>
      <c r="B26" s="23"/>
      <c r="C26" s="24"/>
      <c r="D26" s="24"/>
      <c r="E26" s="24"/>
      <c r="F26" s="24"/>
      <c r="G26" s="24"/>
      <c r="H26" s="24"/>
      <c r="I26" s="24"/>
      <c r="J26" s="24"/>
      <c r="K26" s="25"/>
    </row>
    <row r="27" s="5" customFormat="1" ht="20" customHeight="1" spans="1:11">
      <c r="A27" s="22"/>
      <c r="B27" s="23"/>
      <c r="C27" s="24"/>
      <c r="D27" s="24"/>
      <c r="E27" s="24"/>
      <c r="F27" s="24"/>
      <c r="G27" s="24"/>
      <c r="H27" s="24"/>
      <c r="I27" s="24"/>
      <c r="J27" s="24"/>
      <c r="K27" s="25"/>
    </row>
    <row r="28" s="5" customFormat="1" ht="20" customHeight="1" spans="1:1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5"/>
    </row>
    <row r="29" s="5" customFormat="1" ht="20" customHeight="1" spans="1:11">
      <c r="A29" s="22"/>
      <c r="B29" s="23"/>
      <c r="C29" s="24"/>
      <c r="D29" s="24"/>
      <c r="E29" s="24"/>
      <c r="F29" s="24"/>
      <c r="G29" s="24"/>
      <c r="H29" s="24"/>
      <c r="I29" s="24"/>
      <c r="J29" s="24"/>
      <c r="K29" s="25"/>
    </row>
    <row r="30" s="5" customFormat="1" ht="20" customHeight="1" spans="1:11">
      <c r="A30" s="22"/>
      <c r="B30" s="23"/>
      <c r="C30" s="24"/>
      <c r="D30" s="24"/>
      <c r="E30" s="24"/>
      <c r="F30" s="24"/>
      <c r="G30" s="24"/>
      <c r="H30" s="24"/>
      <c r="I30" s="24"/>
      <c r="J30" s="24"/>
      <c r="K30" s="25"/>
    </row>
    <row r="31" s="5" customFormat="1" ht="20" customHeight="1" spans="1:11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5"/>
    </row>
    <row r="32" s="5" customFormat="1" ht="20" customHeight="1" spans="1:11">
      <c r="A32" s="22"/>
      <c r="B32" s="23"/>
      <c r="C32" s="24"/>
      <c r="D32" s="24"/>
      <c r="E32" s="24"/>
      <c r="F32" s="24"/>
      <c r="G32" s="24"/>
      <c r="H32" s="24"/>
      <c r="I32" s="24"/>
      <c r="J32" s="24"/>
      <c r="K32" s="25"/>
    </row>
    <row r="33" s="5" customFormat="1" ht="20" customHeight="1" spans="1:11">
      <c r="A33" s="22"/>
      <c r="B33" s="23"/>
      <c r="C33" s="24"/>
      <c r="D33" s="24"/>
      <c r="E33" s="24"/>
      <c r="F33" s="24"/>
      <c r="G33" s="24"/>
      <c r="H33" s="24"/>
      <c r="I33" s="24"/>
      <c r="J33" s="24"/>
      <c r="K33" s="25"/>
    </row>
    <row r="34" s="5" customFormat="1" ht="20" customHeight="1" spans="1:11">
      <c r="A34" s="22"/>
      <c r="B34" s="23"/>
      <c r="C34" s="24"/>
      <c r="D34" s="24"/>
      <c r="E34" s="24"/>
      <c r="F34" s="24"/>
      <c r="G34" s="24"/>
      <c r="H34" s="24"/>
      <c r="I34" s="24"/>
      <c r="J34" s="24"/>
      <c r="K34" s="25"/>
    </row>
    <row r="35" s="5" customFormat="1" ht="20" customHeight="1" spans="1:11">
      <c r="A35" s="22"/>
      <c r="B35" s="23"/>
      <c r="C35" s="24"/>
      <c r="D35" s="24"/>
      <c r="E35" s="24"/>
      <c r="F35" s="24"/>
      <c r="G35" s="24"/>
      <c r="H35" s="24"/>
      <c r="I35" s="24"/>
      <c r="J35" s="24"/>
      <c r="K35" s="25"/>
    </row>
    <row r="36" s="5" customFormat="1" ht="20" customHeight="1" spans="1:11">
      <c r="A36" s="22"/>
      <c r="B36" s="23"/>
      <c r="C36" s="24"/>
      <c r="D36" s="24"/>
      <c r="E36" s="24"/>
      <c r="F36" s="24"/>
      <c r="G36" s="24"/>
      <c r="H36" s="24"/>
      <c r="I36" s="24"/>
      <c r="J36" s="24"/>
      <c r="K36" s="25"/>
    </row>
    <row r="37" s="5" customFormat="1" ht="20" customHeight="1" spans="1:11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5"/>
    </row>
    <row r="38" s="5" customFormat="1" ht="20" customHeight="1" spans="1:11">
      <c r="A38" s="22"/>
      <c r="B38" s="23"/>
      <c r="C38" s="24"/>
      <c r="D38" s="24"/>
      <c r="E38" s="24"/>
      <c r="F38" s="24"/>
      <c r="G38" s="24"/>
      <c r="H38" s="24"/>
      <c r="I38" s="24"/>
      <c r="J38" s="24"/>
      <c r="K38" s="25"/>
    </row>
    <row r="39" s="5" customFormat="1" ht="20" customHeight="1" spans="1:11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5"/>
    </row>
    <row r="40" s="5" customFormat="1" ht="20" customHeight="1" spans="1:11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5"/>
    </row>
    <row r="41" s="5" customFormat="1" ht="20" customHeight="1" spans="1:11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5"/>
    </row>
    <row r="42" s="5" customFormat="1" ht="20" customHeight="1" spans="1:11">
      <c r="A42" s="22"/>
      <c r="B42" s="23"/>
      <c r="C42" s="24"/>
      <c r="D42" s="24"/>
      <c r="E42" s="24"/>
      <c r="F42" s="24"/>
      <c r="G42" s="24"/>
      <c r="H42" s="24"/>
      <c r="I42" s="24"/>
      <c r="J42" s="24"/>
      <c r="K42" s="25"/>
    </row>
    <row r="43" s="5" customFormat="1" ht="20" customHeight="1" spans="1:1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5"/>
    </row>
    <row r="44" s="5" customFormat="1" ht="20" customHeight="1" spans="1:11">
      <c r="A44" s="22"/>
      <c r="B44" s="23"/>
      <c r="C44" s="24"/>
      <c r="D44" s="24"/>
      <c r="E44" s="24"/>
      <c r="F44" s="24"/>
      <c r="G44" s="24"/>
      <c r="H44" s="24"/>
      <c r="I44" s="24"/>
      <c r="J44" s="24"/>
      <c r="K44" s="25"/>
    </row>
    <row r="45" s="5" customFormat="1" ht="20" customHeight="1" spans="1:11">
      <c r="A45" s="22"/>
      <c r="B45" s="23"/>
      <c r="C45" s="24"/>
      <c r="D45" s="24"/>
      <c r="E45" s="24"/>
      <c r="F45" s="24"/>
      <c r="G45" s="24"/>
      <c r="H45" s="24"/>
      <c r="I45" s="24"/>
      <c r="J45" s="24"/>
      <c r="K45" s="25"/>
    </row>
    <row r="46" s="5" customFormat="1" ht="20" customHeight="1" spans="1:11">
      <c r="A46" s="22"/>
      <c r="B46" s="23"/>
      <c r="C46" s="24"/>
      <c r="D46" s="24"/>
      <c r="E46" s="24"/>
      <c r="F46" s="24"/>
      <c r="G46" s="24"/>
      <c r="H46" s="24"/>
      <c r="I46" s="24"/>
      <c r="J46" s="24"/>
      <c r="K46" s="25"/>
    </row>
    <row r="47" s="5" customFormat="1" ht="20" customHeight="1" spans="1:11">
      <c r="A47" s="22"/>
      <c r="B47" s="23"/>
      <c r="C47" s="24"/>
      <c r="D47" s="24"/>
      <c r="E47" s="24"/>
      <c r="F47" s="24"/>
      <c r="G47" s="24"/>
      <c r="H47" s="24"/>
      <c r="I47" s="24"/>
      <c r="J47" s="24"/>
      <c r="K47" s="25"/>
    </row>
    <row r="48" s="5" customFormat="1" ht="20" customHeight="1" spans="1:11">
      <c r="A48" s="22"/>
      <c r="B48" s="23"/>
      <c r="C48" s="24"/>
      <c r="D48" s="24"/>
      <c r="E48" s="24"/>
      <c r="F48" s="24"/>
      <c r="G48" s="24"/>
      <c r="H48" s="24"/>
      <c r="I48" s="24"/>
      <c r="J48" s="24"/>
      <c r="K48" s="25"/>
    </row>
    <row r="49" s="5" customFormat="1" ht="20" customHeight="1" spans="1:11">
      <c r="A49" s="22"/>
      <c r="B49" s="23"/>
      <c r="C49" s="24"/>
      <c r="D49" s="24"/>
      <c r="E49" s="24"/>
      <c r="F49" s="24"/>
      <c r="G49" s="24"/>
      <c r="H49" s="24"/>
      <c r="I49" s="24"/>
      <c r="J49" s="24"/>
      <c r="K49" s="25"/>
    </row>
    <row r="50" s="5" customFormat="1" ht="20" customHeight="1" spans="1:11">
      <c r="A50" s="22"/>
      <c r="B50" s="23"/>
      <c r="C50" s="24"/>
      <c r="D50" s="24"/>
      <c r="E50" s="24"/>
      <c r="F50" s="24"/>
      <c r="G50" s="24"/>
      <c r="H50" s="24"/>
      <c r="I50" s="24"/>
      <c r="J50" s="24"/>
      <c r="K50" s="25"/>
    </row>
    <row r="51" s="5" customFormat="1" ht="20" customHeight="1" spans="1:11">
      <c r="A51" s="22"/>
      <c r="B51" s="23"/>
      <c r="C51" s="24"/>
      <c r="D51" s="24"/>
      <c r="E51" s="24"/>
      <c r="F51" s="24"/>
      <c r="G51" s="24"/>
      <c r="H51" s="24"/>
      <c r="I51" s="24"/>
      <c r="J51" s="24"/>
      <c r="K51" s="25"/>
    </row>
    <row r="52" s="5" customFormat="1" ht="20" customHeight="1" spans="1:11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5"/>
    </row>
    <row r="53" s="5" customFormat="1" ht="20" customHeight="1" spans="1:11">
      <c r="A53" s="22"/>
      <c r="B53" s="23"/>
      <c r="C53" s="24"/>
      <c r="D53" s="24"/>
      <c r="E53" s="24"/>
      <c r="F53" s="24"/>
      <c r="G53" s="24"/>
      <c r="H53" s="24"/>
      <c r="I53" s="24"/>
      <c r="J53" s="24"/>
      <c r="K53" s="25"/>
    </row>
    <row r="54" s="5" customFormat="1" ht="20" customHeight="1" spans="1:11">
      <c r="A54" s="22"/>
      <c r="B54" s="23"/>
      <c r="C54" s="24"/>
      <c r="D54" s="24"/>
      <c r="E54" s="24"/>
      <c r="F54" s="24"/>
      <c r="G54" s="24"/>
      <c r="H54" s="24"/>
      <c r="I54" s="24"/>
      <c r="J54" s="24"/>
      <c r="K54" s="25"/>
    </row>
    <row r="55" s="5" customFormat="1" ht="20" customHeight="1" spans="1:11">
      <c r="A55" s="22"/>
      <c r="B55" s="23"/>
      <c r="C55" s="24"/>
      <c r="D55" s="24"/>
      <c r="E55" s="24"/>
      <c r="F55" s="24"/>
      <c r="G55" s="24"/>
      <c r="H55" s="24"/>
      <c r="I55" s="24"/>
      <c r="J55" s="24"/>
      <c r="K55" s="25"/>
    </row>
    <row r="56" s="5" customFormat="1" ht="20" customHeight="1" spans="1:11">
      <c r="A56" s="22"/>
      <c r="B56" s="23"/>
      <c r="C56" s="24"/>
      <c r="D56" s="24"/>
      <c r="E56" s="24"/>
      <c r="F56" s="24"/>
      <c r="G56" s="24"/>
      <c r="H56" s="24"/>
      <c r="I56" s="24"/>
      <c r="J56" s="24"/>
      <c r="K56" s="25"/>
    </row>
    <row r="57" s="5" customFormat="1" ht="20" customHeight="1" spans="1:11">
      <c r="A57" s="22"/>
      <c r="B57" s="23"/>
      <c r="C57" s="24"/>
      <c r="D57" s="24"/>
      <c r="E57" s="24"/>
      <c r="F57" s="24"/>
      <c r="G57" s="24"/>
      <c r="H57" s="24"/>
      <c r="I57" s="24"/>
      <c r="J57" s="24"/>
      <c r="K57" s="25"/>
    </row>
    <row r="58" s="5" customFormat="1" ht="20" customHeight="1" spans="1:11">
      <c r="A58" s="22"/>
      <c r="B58" s="23"/>
      <c r="C58" s="24"/>
      <c r="D58" s="24"/>
      <c r="E58" s="24"/>
      <c r="F58" s="24"/>
      <c r="G58" s="24"/>
      <c r="H58" s="24"/>
      <c r="I58" s="24"/>
      <c r="J58" s="24"/>
      <c r="K58" s="25"/>
    </row>
    <row r="59" s="5" customFormat="1" ht="20" customHeight="1" spans="1:11">
      <c r="A59" s="22"/>
      <c r="B59" s="23"/>
      <c r="C59" s="24"/>
      <c r="D59" s="24"/>
      <c r="E59" s="24"/>
      <c r="F59" s="24"/>
      <c r="G59" s="24"/>
      <c r="H59" s="24"/>
      <c r="I59" s="24"/>
      <c r="J59" s="24"/>
      <c r="K59" s="25"/>
    </row>
    <row r="60" s="5" customFormat="1" ht="20" customHeight="1" spans="1:11">
      <c r="A60" s="22"/>
      <c r="B60" s="23"/>
      <c r="C60" s="24"/>
      <c r="D60" s="24"/>
      <c r="E60" s="24"/>
      <c r="F60" s="24"/>
      <c r="G60" s="24"/>
      <c r="H60" s="24"/>
      <c r="I60" s="24"/>
      <c r="J60" s="24"/>
      <c r="K60" s="25"/>
    </row>
    <row r="61" s="5" customFormat="1" ht="20" customHeight="1" spans="1:11">
      <c r="A61" s="22"/>
      <c r="B61" s="23"/>
      <c r="C61" s="24"/>
      <c r="D61" s="24"/>
      <c r="E61" s="24"/>
      <c r="F61" s="24"/>
      <c r="G61" s="24"/>
      <c r="H61" s="24"/>
      <c r="I61" s="24"/>
      <c r="J61" s="24"/>
      <c r="K61" s="25"/>
    </row>
    <row r="62" s="5" customFormat="1" ht="20" customHeight="1" spans="1:11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5"/>
    </row>
    <row r="63" s="5" customFormat="1" ht="20" customHeight="1" spans="1:1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5"/>
    </row>
    <row r="64" s="5" customFormat="1" ht="20" customHeight="1" spans="1:11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5"/>
    </row>
    <row r="65" s="5" customFormat="1" ht="20" customHeight="1" spans="1:11">
      <c r="A65" s="22"/>
      <c r="B65" s="23"/>
      <c r="C65" s="24"/>
      <c r="D65" s="24"/>
      <c r="E65" s="24"/>
      <c r="F65" s="24"/>
      <c r="G65" s="24"/>
      <c r="H65" s="24"/>
      <c r="I65" s="24"/>
      <c r="J65" s="24"/>
      <c r="K65" s="25"/>
    </row>
    <row r="66" s="5" customFormat="1" ht="20" customHeight="1" spans="1:11">
      <c r="A66" s="22"/>
      <c r="B66" s="23"/>
      <c r="C66" s="24"/>
      <c r="D66" s="24"/>
      <c r="E66" s="24"/>
      <c r="F66" s="24"/>
      <c r="G66" s="24"/>
      <c r="H66" s="24"/>
      <c r="I66" s="24"/>
      <c r="J66" s="24"/>
      <c r="K66" s="25"/>
    </row>
    <row r="67" s="5" customFormat="1" ht="20" customHeight="1" spans="1:11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5"/>
    </row>
    <row r="68" s="5" customFormat="1" ht="20" customHeight="1" spans="1:11">
      <c r="A68" s="22"/>
      <c r="B68" s="23"/>
      <c r="C68" s="24"/>
      <c r="D68" s="24"/>
      <c r="E68" s="24"/>
      <c r="F68" s="24"/>
      <c r="G68" s="24"/>
      <c r="H68" s="24"/>
      <c r="I68" s="24"/>
      <c r="J68" s="24"/>
      <c r="K68" s="25"/>
    </row>
    <row r="69" s="5" customFormat="1" ht="20" customHeight="1" spans="1:11">
      <c r="A69" s="22"/>
      <c r="B69" s="23"/>
      <c r="C69" s="24"/>
      <c r="D69" s="24"/>
      <c r="E69" s="24"/>
      <c r="F69" s="24"/>
      <c r="G69" s="24"/>
      <c r="H69" s="24"/>
      <c r="I69" s="24"/>
      <c r="J69" s="24"/>
      <c r="K69" s="25"/>
    </row>
    <row r="70" s="5" customFormat="1" ht="20" customHeight="1" spans="1:11">
      <c r="A70" s="22"/>
      <c r="B70" s="23"/>
      <c r="C70" s="24"/>
      <c r="D70" s="24"/>
      <c r="E70" s="24"/>
      <c r="F70" s="24"/>
      <c r="G70" s="24"/>
      <c r="H70" s="24"/>
      <c r="I70" s="24"/>
      <c r="J70" s="24"/>
      <c r="K70" s="25"/>
    </row>
    <row r="71" s="5" customFormat="1" ht="20" customHeight="1" spans="1:11">
      <c r="A71" s="22"/>
      <c r="B71" s="23"/>
      <c r="C71" s="24"/>
      <c r="D71" s="24"/>
      <c r="E71" s="24"/>
      <c r="F71" s="24"/>
      <c r="G71" s="24"/>
      <c r="H71" s="24"/>
      <c r="I71" s="24"/>
      <c r="J71" s="24"/>
      <c r="K71" s="25"/>
    </row>
    <row r="72" s="5" customFormat="1" ht="20" customHeight="1" spans="1:11">
      <c r="A72" s="22"/>
      <c r="B72" s="23"/>
      <c r="C72" s="24"/>
      <c r="D72" s="24"/>
      <c r="E72" s="24"/>
      <c r="F72" s="24"/>
      <c r="G72" s="24"/>
      <c r="H72" s="24"/>
      <c r="I72" s="24"/>
      <c r="J72" s="24"/>
      <c r="K72" s="25"/>
    </row>
    <row r="73" s="5" customFormat="1" ht="20" customHeight="1" spans="1:11">
      <c r="A73" s="22"/>
      <c r="B73" s="23"/>
      <c r="C73" s="24"/>
      <c r="D73" s="24"/>
      <c r="E73" s="24"/>
      <c r="F73" s="24"/>
      <c r="G73" s="24"/>
      <c r="H73" s="24"/>
      <c r="I73" s="24"/>
      <c r="J73" s="24"/>
      <c r="K73" s="25"/>
    </row>
    <row r="74" s="5" customFormat="1" ht="20" customHeight="1" spans="1:11">
      <c r="A74" s="22"/>
      <c r="B74" s="23"/>
      <c r="C74" s="24"/>
      <c r="D74" s="24"/>
      <c r="E74" s="24"/>
      <c r="F74" s="24"/>
      <c r="G74" s="24"/>
      <c r="H74" s="24"/>
      <c r="I74" s="24"/>
      <c r="J74" s="24"/>
      <c r="K74" s="25"/>
    </row>
    <row r="75" s="5" customFormat="1" ht="20" customHeight="1" spans="1:11">
      <c r="A75" s="22"/>
      <c r="B75" s="23"/>
      <c r="C75" s="24"/>
      <c r="D75" s="24"/>
      <c r="E75" s="24"/>
      <c r="F75" s="24"/>
      <c r="G75" s="24"/>
      <c r="H75" s="24"/>
      <c r="I75" s="24"/>
      <c r="J75" s="24"/>
      <c r="K75" s="25"/>
    </row>
    <row r="76" s="5" customFormat="1" ht="20" customHeight="1" spans="1:11">
      <c r="A76" s="22"/>
      <c r="B76" s="23"/>
      <c r="C76" s="24"/>
      <c r="D76" s="24"/>
      <c r="E76" s="24"/>
      <c r="F76" s="24"/>
      <c r="G76" s="24"/>
      <c r="H76" s="24"/>
      <c r="I76" s="24"/>
      <c r="J76" s="24"/>
      <c r="K76" s="25"/>
    </row>
    <row r="77" s="5" customFormat="1" ht="20" customHeight="1" spans="1:11">
      <c r="A77" s="22"/>
      <c r="B77" s="23"/>
      <c r="C77" s="24"/>
      <c r="D77" s="24"/>
      <c r="E77" s="24"/>
      <c r="F77" s="24"/>
      <c r="G77" s="24"/>
      <c r="H77" s="24"/>
      <c r="I77" s="24"/>
      <c r="J77" s="24"/>
      <c r="K77" s="25"/>
    </row>
    <row r="78" s="5" customFormat="1" ht="20" customHeight="1" spans="1:11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5"/>
    </row>
    <row r="79" s="5" customFormat="1" ht="20" customHeight="1" spans="1:11">
      <c r="A79" s="22"/>
      <c r="B79" s="23"/>
      <c r="C79" s="24"/>
      <c r="D79" s="24"/>
      <c r="E79" s="24"/>
      <c r="F79" s="24"/>
      <c r="G79" s="24"/>
      <c r="H79" s="24"/>
      <c r="I79" s="24"/>
      <c r="J79" s="24"/>
      <c r="K79" s="25"/>
    </row>
    <row r="80" s="5" customFormat="1" ht="20" customHeight="1" spans="1:11">
      <c r="A80" s="22"/>
      <c r="B80" s="23"/>
      <c r="C80" s="24"/>
      <c r="D80" s="24"/>
      <c r="E80" s="24"/>
      <c r="F80" s="24"/>
      <c r="G80" s="24"/>
      <c r="H80" s="24"/>
      <c r="I80" s="24"/>
      <c r="J80" s="24"/>
      <c r="K80" s="25"/>
    </row>
    <row r="81" s="5" customFormat="1" ht="20" customHeight="1" spans="1:11">
      <c r="A81" s="22"/>
      <c r="B81" s="23"/>
      <c r="C81" s="24"/>
      <c r="D81" s="24"/>
      <c r="E81" s="24"/>
      <c r="F81" s="24"/>
      <c r="G81" s="24"/>
      <c r="H81" s="24"/>
      <c r="I81" s="24"/>
      <c r="J81" s="24"/>
      <c r="K81" s="25"/>
    </row>
    <row r="82" s="5" customFormat="1" ht="20" customHeight="1" spans="1:11">
      <c r="A82" s="22"/>
      <c r="B82" s="23"/>
      <c r="C82" s="24"/>
      <c r="D82" s="24"/>
      <c r="E82" s="24"/>
      <c r="F82" s="24"/>
      <c r="G82" s="24"/>
      <c r="H82" s="24"/>
      <c r="I82" s="24"/>
      <c r="J82" s="24"/>
      <c r="K82" s="25"/>
    </row>
    <row r="83" s="5" customFormat="1" ht="20" customHeight="1" spans="1:11">
      <c r="A83" s="22"/>
      <c r="B83" s="23"/>
      <c r="C83" s="24"/>
      <c r="D83" s="24"/>
      <c r="E83" s="24"/>
      <c r="F83" s="24"/>
      <c r="G83" s="24"/>
      <c r="H83" s="24"/>
      <c r="I83" s="24"/>
      <c r="J83" s="24"/>
      <c r="K83" s="25"/>
    </row>
    <row r="84" s="5" customFormat="1" ht="20" customHeight="1" spans="1:11">
      <c r="A84" s="22"/>
      <c r="B84" s="23"/>
      <c r="C84" s="24"/>
      <c r="D84" s="24"/>
      <c r="E84" s="24"/>
      <c r="F84" s="24"/>
      <c r="G84" s="24"/>
      <c r="H84" s="24"/>
      <c r="I84" s="24"/>
      <c r="J84" s="24"/>
      <c r="K84" s="25"/>
    </row>
    <row r="85" s="5" customFormat="1" ht="20" customHeight="1" spans="1:11">
      <c r="A85" s="22"/>
      <c r="B85" s="23"/>
      <c r="C85" s="24"/>
      <c r="D85" s="24"/>
      <c r="E85" s="24"/>
      <c r="F85" s="24"/>
      <c r="G85" s="24"/>
      <c r="H85" s="24"/>
      <c r="I85" s="24"/>
      <c r="J85" s="24"/>
      <c r="K85" s="25"/>
    </row>
    <row r="86" s="5" customFormat="1" ht="20" customHeight="1" spans="1:11">
      <c r="A86" s="22"/>
      <c r="B86" s="23"/>
      <c r="C86" s="24"/>
      <c r="D86" s="24"/>
      <c r="E86" s="24"/>
      <c r="F86" s="24"/>
      <c r="G86" s="24"/>
      <c r="H86" s="24"/>
      <c r="I86" s="24"/>
      <c r="J86" s="24"/>
      <c r="K86" s="25"/>
    </row>
    <row r="87" s="5" customFormat="1" ht="20" customHeight="1" spans="1:11">
      <c r="A87" s="22"/>
      <c r="B87" s="23"/>
      <c r="C87" s="24"/>
      <c r="D87" s="24"/>
      <c r="E87" s="24"/>
      <c r="F87" s="24"/>
      <c r="G87" s="24"/>
      <c r="H87" s="24"/>
      <c r="I87" s="24"/>
      <c r="J87" s="24"/>
      <c r="K87" s="25"/>
    </row>
    <row r="88" s="5" customFormat="1" ht="20" customHeight="1" spans="1:11">
      <c r="A88" s="22"/>
      <c r="B88" s="23"/>
      <c r="C88" s="24"/>
      <c r="D88" s="24"/>
      <c r="E88" s="24"/>
      <c r="F88" s="24"/>
      <c r="G88" s="24"/>
      <c r="H88" s="24"/>
      <c r="I88" s="24"/>
      <c r="J88" s="24"/>
      <c r="K88" s="25"/>
    </row>
    <row r="89" s="5" customFormat="1" ht="20" customHeight="1" spans="1:11">
      <c r="A89" s="22"/>
      <c r="B89" s="23"/>
      <c r="C89" s="24"/>
      <c r="D89" s="24"/>
      <c r="E89" s="24"/>
      <c r="F89" s="24"/>
      <c r="G89" s="24"/>
      <c r="H89" s="24"/>
      <c r="I89" s="24"/>
      <c r="J89" s="24"/>
      <c r="K89" s="25"/>
    </row>
    <row r="90" s="5" customFormat="1" ht="20" customHeight="1" spans="1:11">
      <c r="A90" s="22"/>
      <c r="B90" s="23"/>
      <c r="C90" s="24"/>
      <c r="D90" s="24"/>
      <c r="E90" s="24"/>
      <c r="F90" s="24"/>
      <c r="G90" s="24"/>
      <c r="H90" s="24"/>
      <c r="I90" s="24"/>
      <c r="J90" s="24"/>
      <c r="K90" s="25"/>
    </row>
    <row r="91" s="5" customFormat="1" ht="20" customHeight="1" spans="1:11">
      <c r="A91" s="22"/>
      <c r="B91" s="23"/>
      <c r="C91" s="24"/>
      <c r="D91" s="24"/>
      <c r="E91" s="24"/>
      <c r="F91" s="24"/>
      <c r="G91" s="24"/>
      <c r="H91" s="24"/>
      <c r="I91" s="24"/>
      <c r="J91" s="24"/>
      <c r="K91" s="25"/>
    </row>
    <row r="92" s="5" customFormat="1" ht="20" customHeight="1" spans="1:11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5"/>
    </row>
    <row r="93" s="5" customFormat="1" ht="20" customHeight="1" spans="1:11">
      <c r="A93" s="22"/>
      <c r="B93" s="23"/>
      <c r="C93" s="24"/>
      <c r="D93" s="24"/>
      <c r="E93" s="24"/>
      <c r="F93" s="24"/>
      <c r="G93" s="24"/>
      <c r="H93" s="24"/>
      <c r="I93" s="24"/>
      <c r="J93" s="24"/>
      <c r="K93" s="25"/>
    </row>
    <row r="94" s="5" customFormat="1" ht="20" customHeight="1" spans="1:11">
      <c r="A94" s="22"/>
      <c r="B94" s="23"/>
      <c r="C94" s="24"/>
      <c r="D94" s="24"/>
      <c r="E94" s="24"/>
      <c r="F94" s="24"/>
      <c r="G94" s="24"/>
      <c r="H94" s="24"/>
      <c r="I94" s="24"/>
      <c r="J94" s="24"/>
      <c r="K94" s="25"/>
    </row>
    <row r="95" s="5" customFormat="1" ht="20" customHeight="1" spans="1:11">
      <c r="A95" s="22"/>
      <c r="B95" s="23"/>
      <c r="C95" s="24"/>
      <c r="D95" s="24"/>
      <c r="E95" s="24"/>
      <c r="F95" s="24"/>
      <c r="G95" s="24"/>
      <c r="H95" s="24"/>
      <c r="I95" s="24"/>
      <c r="J95" s="24"/>
      <c r="K95" s="25"/>
    </row>
    <row r="96" s="5" customFormat="1" ht="20" customHeight="1" spans="1:11">
      <c r="A96" s="22"/>
      <c r="B96" s="23"/>
      <c r="C96" s="24"/>
      <c r="D96" s="24"/>
      <c r="E96" s="24"/>
      <c r="F96" s="24"/>
      <c r="G96" s="24"/>
      <c r="H96" s="24"/>
      <c r="I96" s="24"/>
      <c r="J96" s="24"/>
      <c r="K96" s="25"/>
    </row>
    <row r="97" s="5" customFormat="1" ht="20" customHeight="1" spans="1:11">
      <c r="A97" s="22"/>
      <c r="B97" s="23"/>
      <c r="C97" s="24"/>
      <c r="D97" s="24"/>
      <c r="E97" s="24"/>
      <c r="F97" s="24"/>
      <c r="G97" s="24"/>
      <c r="H97" s="24"/>
      <c r="I97" s="24"/>
      <c r="J97" s="24"/>
      <c r="K97" s="25"/>
    </row>
    <row r="98" s="5" customFormat="1" ht="20" customHeight="1" spans="1:11">
      <c r="A98" s="22"/>
      <c r="B98" s="23"/>
      <c r="C98" s="24"/>
      <c r="D98" s="24"/>
      <c r="E98" s="24"/>
      <c r="F98" s="24"/>
      <c r="G98" s="24"/>
      <c r="H98" s="24"/>
      <c r="I98" s="24"/>
      <c r="J98" s="24"/>
      <c r="K98" s="25"/>
    </row>
    <row r="99" s="5" customFormat="1" ht="20" customHeight="1" spans="1:11">
      <c r="A99" s="22"/>
      <c r="B99" s="23"/>
      <c r="C99" s="24"/>
      <c r="D99" s="24"/>
      <c r="E99" s="24"/>
      <c r="F99" s="24"/>
      <c r="G99" s="24"/>
      <c r="H99" s="24"/>
      <c r="I99" s="24"/>
      <c r="J99" s="24"/>
      <c r="K99" s="25"/>
    </row>
    <row r="100" s="5" customFormat="1" ht="20" customHeight="1" spans="1:11">
      <c r="A100" s="22"/>
      <c r="B100" s="23"/>
      <c r="C100" s="24"/>
      <c r="D100" s="24"/>
      <c r="E100" s="24"/>
      <c r="F100" s="24"/>
      <c r="G100" s="24"/>
      <c r="H100" s="24"/>
      <c r="I100" s="24"/>
      <c r="J100" s="24"/>
      <c r="K100" s="25"/>
    </row>
    <row r="101" s="5" customFormat="1" ht="20" customHeight="1" spans="1:11">
      <c r="A101" s="22"/>
      <c r="B101" s="23"/>
      <c r="C101" s="24"/>
      <c r="D101" s="24"/>
      <c r="E101" s="24"/>
      <c r="F101" s="24"/>
      <c r="G101" s="24"/>
      <c r="H101" s="24"/>
      <c r="I101" s="24"/>
      <c r="J101" s="24"/>
      <c r="K101" s="25"/>
    </row>
    <row r="102" s="5" customFormat="1" ht="20" customHeight="1" spans="1:11">
      <c r="A102" s="22"/>
      <c r="B102" s="23"/>
      <c r="C102" s="24"/>
      <c r="D102" s="24"/>
      <c r="E102" s="24"/>
      <c r="F102" s="24"/>
      <c r="G102" s="24"/>
      <c r="H102" s="24"/>
      <c r="I102" s="24"/>
      <c r="J102" s="24"/>
      <c r="K102" s="25"/>
    </row>
    <row r="103" s="5" customFormat="1" ht="20" customHeight="1" spans="1:11">
      <c r="A103" s="22"/>
      <c r="B103" s="23"/>
      <c r="C103" s="24"/>
      <c r="D103" s="24"/>
      <c r="E103" s="24"/>
      <c r="F103" s="24"/>
      <c r="G103" s="24"/>
      <c r="H103" s="24"/>
      <c r="I103" s="24"/>
      <c r="J103" s="24"/>
      <c r="K103" s="25"/>
    </row>
    <row r="104" s="5" customFormat="1" ht="20" customHeight="1" spans="1:11">
      <c r="A104" s="22"/>
      <c r="B104" s="23"/>
      <c r="C104" s="24"/>
      <c r="D104" s="24"/>
      <c r="E104" s="24"/>
      <c r="F104" s="24"/>
      <c r="G104" s="24"/>
      <c r="H104" s="24"/>
      <c r="I104" s="24"/>
      <c r="J104" s="24"/>
      <c r="K104" s="25"/>
    </row>
    <row r="105" s="5" customFormat="1" ht="20" customHeight="1" spans="1:11">
      <c r="A105" s="22"/>
      <c r="B105" s="23"/>
      <c r="C105" s="24"/>
      <c r="D105" s="24"/>
      <c r="E105" s="24"/>
      <c r="F105" s="24"/>
      <c r="G105" s="24"/>
      <c r="H105" s="24"/>
      <c r="I105" s="24"/>
      <c r="J105" s="24"/>
      <c r="K105" s="25"/>
    </row>
    <row r="106" s="5" customFormat="1" ht="20" customHeight="1" spans="1:11">
      <c r="A106" s="22"/>
      <c r="B106" s="23"/>
      <c r="C106" s="24"/>
      <c r="D106" s="24"/>
      <c r="E106" s="24"/>
      <c r="F106" s="24"/>
      <c r="G106" s="24"/>
      <c r="H106" s="24"/>
      <c r="I106" s="24"/>
      <c r="J106" s="24"/>
      <c r="K106" s="25"/>
    </row>
    <row r="107" s="5" customFormat="1" ht="20" customHeight="1" spans="1:11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5"/>
    </row>
    <row r="108" s="5" customFormat="1" ht="20" customHeight="1" spans="1:11">
      <c r="A108" s="22"/>
      <c r="B108" s="23"/>
      <c r="C108" s="24"/>
      <c r="D108" s="24"/>
      <c r="E108" s="24"/>
      <c r="F108" s="24"/>
      <c r="G108" s="24"/>
      <c r="H108" s="24"/>
      <c r="I108" s="24"/>
      <c r="J108" s="24"/>
      <c r="K108" s="25"/>
    </row>
    <row r="109" s="5" customFormat="1" ht="20" customHeight="1" spans="1:11">
      <c r="A109" s="22"/>
      <c r="B109" s="23"/>
      <c r="C109" s="24"/>
      <c r="D109" s="24"/>
      <c r="E109" s="24"/>
      <c r="F109" s="24"/>
      <c r="G109" s="24"/>
      <c r="H109" s="24"/>
      <c r="I109" s="24"/>
      <c r="J109" s="24"/>
      <c r="K109" s="25"/>
    </row>
    <row r="110" s="5" customFormat="1" ht="20" customHeight="1" spans="1:11">
      <c r="A110" s="22"/>
      <c r="B110" s="23"/>
      <c r="C110" s="24"/>
      <c r="D110" s="24"/>
      <c r="E110" s="24"/>
      <c r="F110" s="24"/>
      <c r="G110" s="24"/>
      <c r="H110" s="24"/>
      <c r="I110" s="24"/>
      <c r="J110" s="24"/>
      <c r="K110" s="25"/>
    </row>
    <row r="111" s="5" customFormat="1" ht="20" customHeight="1" spans="1:11">
      <c r="A111" s="22"/>
      <c r="B111" s="23"/>
      <c r="C111" s="24"/>
      <c r="D111" s="24"/>
      <c r="E111" s="24"/>
      <c r="F111" s="24"/>
      <c r="G111" s="24"/>
      <c r="H111" s="24"/>
      <c r="I111" s="24"/>
      <c r="J111" s="24"/>
      <c r="K111" s="25"/>
    </row>
    <row r="112" s="5" customFormat="1" ht="20" customHeight="1" spans="1:11">
      <c r="A112" s="22"/>
      <c r="B112" s="23"/>
      <c r="C112" s="24"/>
      <c r="D112" s="24"/>
      <c r="E112" s="24"/>
      <c r="F112" s="24"/>
      <c r="G112" s="24"/>
      <c r="H112" s="24"/>
      <c r="I112" s="24"/>
      <c r="J112" s="24"/>
      <c r="K112" s="25"/>
    </row>
    <row r="113" s="5" customFormat="1" ht="20" customHeight="1" spans="1:11">
      <c r="A113" s="22"/>
      <c r="B113" s="23"/>
      <c r="C113" s="24"/>
      <c r="D113" s="24"/>
      <c r="E113" s="24"/>
      <c r="F113" s="24"/>
      <c r="G113" s="24"/>
      <c r="H113" s="24"/>
      <c r="I113" s="24"/>
      <c r="J113" s="24"/>
      <c r="K113" s="25"/>
    </row>
    <row r="114" s="5" customFormat="1" ht="20" customHeight="1" spans="1:11">
      <c r="A114" s="22"/>
      <c r="B114" s="23"/>
      <c r="C114" s="24"/>
      <c r="D114" s="24"/>
      <c r="E114" s="24"/>
      <c r="F114" s="24"/>
      <c r="G114" s="24"/>
      <c r="H114" s="24"/>
      <c r="I114" s="24"/>
      <c r="J114" s="24"/>
      <c r="K114" s="25"/>
    </row>
    <row r="115" s="5" customFormat="1" ht="20" customHeight="1" spans="1:11">
      <c r="A115" s="22"/>
      <c r="B115" s="23"/>
      <c r="C115" s="24"/>
      <c r="D115" s="24"/>
      <c r="E115" s="24"/>
      <c r="F115" s="24"/>
      <c r="G115" s="24"/>
      <c r="H115" s="24"/>
      <c r="I115" s="24"/>
      <c r="J115" s="24"/>
      <c r="K115" s="25"/>
    </row>
    <row r="116" s="5" customFormat="1" ht="20" customHeight="1" spans="1:11">
      <c r="A116" s="22"/>
      <c r="B116" s="23"/>
      <c r="C116" s="24"/>
      <c r="D116" s="24"/>
      <c r="E116" s="24"/>
      <c r="F116" s="24"/>
      <c r="G116" s="24"/>
      <c r="H116" s="24"/>
      <c r="I116" s="24"/>
      <c r="J116" s="24"/>
      <c r="K116" s="25"/>
    </row>
    <row r="117" s="5" customFormat="1" ht="20" customHeight="1" spans="1:11">
      <c r="A117" s="22"/>
      <c r="B117" s="23"/>
      <c r="C117" s="24"/>
      <c r="D117" s="24"/>
      <c r="E117" s="24"/>
      <c r="F117" s="24"/>
      <c r="G117" s="24"/>
      <c r="H117" s="24"/>
      <c r="I117" s="24"/>
      <c r="J117" s="24"/>
      <c r="K117" s="25"/>
    </row>
    <row r="118" s="5" customFormat="1" ht="20" customHeight="1" spans="1:11">
      <c r="A118" s="22"/>
      <c r="B118" s="23"/>
      <c r="C118" s="24"/>
      <c r="D118" s="24"/>
      <c r="E118" s="24"/>
      <c r="F118" s="24"/>
      <c r="G118" s="24"/>
      <c r="H118" s="24"/>
      <c r="I118" s="24"/>
      <c r="J118" s="24"/>
      <c r="K118" s="25"/>
    </row>
    <row r="119" s="5" customFormat="1" ht="20" customHeight="1" spans="1:11">
      <c r="A119" s="22"/>
      <c r="B119" s="23"/>
      <c r="C119" s="24"/>
      <c r="D119" s="24"/>
      <c r="E119" s="24"/>
      <c r="F119" s="24"/>
      <c r="G119" s="24"/>
      <c r="H119" s="24"/>
      <c r="I119" s="24"/>
      <c r="J119" s="24"/>
      <c r="K119" s="25"/>
    </row>
    <row r="120" s="5" customFormat="1" ht="20" customHeight="1" spans="1:11">
      <c r="A120" s="22"/>
      <c r="B120" s="23"/>
      <c r="C120" s="24"/>
      <c r="D120" s="24"/>
      <c r="E120" s="24"/>
      <c r="F120" s="24"/>
      <c r="G120" s="24"/>
      <c r="H120" s="24"/>
      <c r="I120" s="24"/>
      <c r="J120" s="24"/>
      <c r="K120" s="25"/>
    </row>
    <row r="121" s="5" customFormat="1" ht="20" customHeight="1" spans="1:11">
      <c r="A121" s="22"/>
      <c r="B121" s="23"/>
      <c r="C121" s="24"/>
      <c r="D121" s="24"/>
      <c r="E121" s="24"/>
      <c r="F121" s="24"/>
      <c r="G121" s="24"/>
      <c r="H121" s="24"/>
      <c r="I121" s="24"/>
      <c r="J121" s="24"/>
      <c r="K121" s="25"/>
    </row>
    <row r="122" s="5" customFormat="1" ht="20" customHeight="1" spans="1:11">
      <c r="A122" s="22"/>
      <c r="B122" s="23"/>
      <c r="C122" s="24"/>
      <c r="D122" s="24"/>
      <c r="E122" s="24"/>
      <c r="F122" s="24"/>
      <c r="G122" s="24"/>
      <c r="H122" s="24"/>
      <c r="I122" s="24"/>
      <c r="J122" s="24"/>
      <c r="K122" s="25"/>
    </row>
    <row r="123" s="5" customFormat="1" ht="20" customHeight="1" spans="1:11">
      <c r="A123" s="22"/>
      <c r="B123" s="23"/>
      <c r="C123" s="24"/>
      <c r="D123" s="24"/>
      <c r="E123" s="24"/>
      <c r="F123" s="24"/>
      <c r="G123" s="24"/>
      <c r="H123" s="24"/>
      <c r="I123" s="24"/>
      <c r="J123" s="24"/>
      <c r="K123" s="25"/>
    </row>
    <row r="124" s="5" customFormat="1" ht="20" customHeight="1" spans="1:11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5"/>
    </row>
    <row r="125" s="5" customFormat="1" ht="20" customHeight="1" spans="1:11">
      <c r="A125" s="22"/>
      <c r="B125" s="23"/>
      <c r="C125" s="24"/>
      <c r="D125" s="24"/>
      <c r="E125" s="24"/>
      <c r="F125" s="24"/>
      <c r="G125" s="24"/>
      <c r="H125" s="24"/>
      <c r="I125" s="24"/>
      <c r="J125" s="24"/>
      <c r="K125" s="25"/>
    </row>
    <row r="126" s="5" customFormat="1" ht="20" customHeight="1" spans="1:11">
      <c r="A126" s="22"/>
      <c r="B126" s="23"/>
      <c r="C126" s="24"/>
      <c r="D126" s="24"/>
      <c r="E126" s="24"/>
      <c r="F126" s="24"/>
      <c r="G126" s="24"/>
      <c r="H126" s="24"/>
      <c r="I126" s="24"/>
      <c r="J126" s="24"/>
      <c r="K126" s="25"/>
    </row>
    <row r="127" s="5" customFormat="1" ht="20" customHeight="1" spans="1:11">
      <c r="A127" s="22"/>
      <c r="B127" s="23"/>
      <c r="C127" s="24"/>
      <c r="D127" s="24"/>
      <c r="E127" s="24"/>
      <c r="F127" s="24"/>
      <c r="G127" s="24"/>
      <c r="H127" s="24"/>
      <c r="I127" s="24"/>
      <c r="J127" s="24"/>
      <c r="K127" s="25"/>
    </row>
    <row r="128" s="5" customFormat="1" ht="20" customHeight="1" spans="1:11">
      <c r="A128" s="22"/>
      <c r="B128" s="23"/>
      <c r="C128" s="24"/>
      <c r="D128" s="24"/>
      <c r="E128" s="24"/>
      <c r="F128" s="24"/>
      <c r="G128" s="24"/>
      <c r="H128" s="24"/>
      <c r="I128" s="24"/>
      <c r="J128" s="24"/>
      <c r="K128" s="25"/>
    </row>
    <row r="129" s="5" customFormat="1" ht="20" customHeight="1" spans="1:11">
      <c r="A129" s="22"/>
      <c r="B129" s="23"/>
      <c r="C129" s="24"/>
      <c r="D129" s="24"/>
      <c r="E129" s="24"/>
      <c r="F129" s="24"/>
      <c r="G129" s="24"/>
      <c r="H129" s="24"/>
      <c r="I129" s="24"/>
      <c r="J129" s="24"/>
      <c r="K129" s="25"/>
    </row>
    <row r="130" s="5" customFormat="1" ht="20" customHeight="1" spans="1:11">
      <c r="A130" s="22"/>
      <c r="B130" s="23"/>
      <c r="C130" s="24"/>
      <c r="D130" s="24"/>
      <c r="E130" s="24"/>
      <c r="F130" s="24"/>
      <c r="G130" s="24"/>
      <c r="H130" s="24"/>
      <c r="I130" s="24"/>
      <c r="J130" s="24"/>
      <c r="K130" s="25"/>
    </row>
    <row r="131" s="5" customFormat="1" ht="20" customHeight="1" spans="1:11">
      <c r="A131" s="22"/>
      <c r="B131" s="23"/>
      <c r="C131" s="24"/>
      <c r="D131" s="24"/>
      <c r="E131" s="24"/>
      <c r="F131" s="24"/>
      <c r="G131" s="24"/>
      <c r="H131" s="24"/>
      <c r="I131" s="24"/>
      <c r="J131" s="24"/>
      <c r="K131" s="25"/>
    </row>
    <row r="132" s="5" customFormat="1" ht="20" customHeight="1" spans="1:11">
      <c r="A132" s="22"/>
      <c r="B132" s="23"/>
      <c r="C132" s="24"/>
      <c r="D132" s="24"/>
      <c r="E132" s="24"/>
      <c r="F132" s="24"/>
      <c r="G132" s="24"/>
      <c r="H132" s="24"/>
      <c r="I132" s="24"/>
      <c r="J132" s="24"/>
      <c r="K132" s="25"/>
    </row>
    <row r="133" s="5" customFormat="1" ht="20" customHeight="1" spans="1:11">
      <c r="A133" s="22"/>
      <c r="B133" s="23"/>
      <c r="C133" s="24"/>
      <c r="D133" s="24"/>
      <c r="E133" s="24"/>
      <c r="F133" s="24"/>
      <c r="G133" s="24"/>
      <c r="H133" s="24"/>
      <c r="I133" s="24"/>
      <c r="J133" s="24"/>
      <c r="K133" s="25"/>
    </row>
    <row r="134" s="5" customFormat="1" ht="20" customHeight="1" spans="1:11">
      <c r="A134" s="22"/>
      <c r="B134" s="23"/>
      <c r="C134" s="24"/>
      <c r="D134" s="24"/>
      <c r="E134" s="24"/>
      <c r="F134" s="24"/>
      <c r="G134" s="24"/>
      <c r="H134" s="24"/>
      <c r="I134" s="24"/>
      <c r="J134" s="24"/>
      <c r="K134" s="25"/>
    </row>
    <row r="135" s="5" customFormat="1" ht="20" customHeight="1" spans="1:11">
      <c r="A135" s="22"/>
      <c r="B135" s="23"/>
      <c r="C135" s="24"/>
      <c r="D135" s="24"/>
      <c r="E135" s="24"/>
      <c r="F135" s="24"/>
      <c r="G135" s="24"/>
      <c r="H135" s="24"/>
      <c r="I135" s="24"/>
      <c r="J135" s="24"/>
      <c r="K135" s="25"/>
    </row>
    <row r="136" s="5" customFormat="1" ht="20" customHeight="1" spans="1:11">
      <c r="A136" s="22"/>
      <c r="B136" s="23"/>
      <c r="C136" s="24"/>
      <c r="D136" s="24"/>
      <c r="E136" s="24"/>
      <c r="F136" s="24"/>
      <c r="G136" s="24"/>
      <c r="H136" s="24"/>
      <c r="I136" s="24"/>
      <c r="J136" s="24"/>
      <c r="K136" s="25"/>
    </row>
    <row r="137" s="5" customFormat="1" ht="20" customHeight="1" spans="1:11">
      <c r="A137" s="22"/>
      <c r="B137" s="23"/>
      <c r="C137" s="24"/>
      <c r="D137" s="24"/>
      <c r="E137" s="24"/>
      <c r="F137" s="24"/>
      <c r="G137" s="24"/>
      <c r="H137" s="24"/>
      <c r="I137" s="24"/>
      <c r="J137" s="24"/>
      <c r="K137" s="25"/>
    </row>
    <row r="138" s="5" customFormat="1" ht="20" customHeight="1" spans="1:11">
      <c r="A138" s="22"/>
      <c r="B138" s="23"/>
      <c r="C138" s="24"/>
      <c r="D138" s="24"/>
      <c r="E138" s="24"/>
      <c r="F138" s="24"/>
      <c r="G138" s="24"/>
      <c r="H138" s="24"/>
      <c r="I138" s="24"/>
      <c r="J138" s="24"/>
      <c r="K138" s="25"/>
    </row>
    <row r="139" s="5" customFormat="1" ht="20" customHeight="1" spans="1:11">
      <c r="A139" s="22"/>
      <c r="B139" s="23"/>
      <c r="C139" s="24"/>
      <c r="D139" s="24"/>
      <c r="E139" s="24"/>
      <c r="F139" s="24"/>
      <c r="G139" s="24"/>
      <c r="H139" s="24"/>
      <c r="I139" s="24"/>
      <c r="J139" s="24"/>
      <c r="K139" s="25"/>
    </row>
    <row r="140" s="5" customFormat="1" ht="20" customHeight="1" spans="1:11">
      <c r="A140" s="22"/>
      <c r="B140" s="23"/>
      <c r="C140" s="24"/>
      <c r="D140" s="24"/>
      <c r="E140" s="24"/>
      <c r="F140" s="24"/>
      <c r="G140" s="24"/>
      <c r="H140" s="24"/>
      <c r="I140" s="24"/>
      <c r="J140" s="24"/>
      <c r="K140" s="25"/>
    </row>
    <row r="141" s="5" customFormat="1" ht="20" customHeight="1" spans="1:11">
      <c r="A141" s="22"/>
      <c r="B141" s="23"/>
      <c r="C141" s="24"/>
      <c r="D141" s="24"/>
      <c r="E141" s="24"/>
      <c r="F141" s="24"/>
      <c r="G141" s="24"/>
      <c r="H141" s="24"/>
      <c r="I141" s="24"/>
      <c r="J141" s="24"/>
      <c r="K141" s="25"/>
    </row>
    <row r="142" s="5" customFormat="1" ht="20" customHeight="1" spans="1:11">
      <c r="A142" s="22"/>
      <c r="B142" s="23"/>
      <c r="C142" s="24"/>
      <c r="D142" s="24"/>
      <c r="E142" s="24"/>
      <c r="F142" s="24"/>
      <c r="G142" s="24"/>
      <c r="H142" s="24"/>
      <c r="I142" s="24"/>
      <c r="J142" s="24"/>
      <c r="K142" s="25"/>
    </row>
    <row r="143" s="5" customFormat="1" ht="20" customHeight="1" spans="1:11">
      <c r="A143" s="22"/>
      <c r="B143" s="23"/>
      <c r="C143" s="24"/>
      <c r="D143" s="24"/>
      <c r="E143" s="24"/>
      <c r="F143" s="24"/>
      <c r="G143" s="24"/>
      <c r="H143" s="24"/>
      <c r="I143" s="24"/>
      <c r="J143" s="24"/>
      <c r="K143" s="25"/>
    </row>
    <row r="144" s="5" customFormat="1" ht="20" customHeight="1" spans="1:11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5"/>
    </row>
    <row r="145" s="5" customFormat="1" ht="20" customHeight="1" spans="1:11">
      <c r="A145" s="22"/>
      <c r="B145" s="23"/>
      <c r="C145" s="24"/>
      <c r="D145" s="24"/>
      <c r="E145" s="24"/>
      <c r="F145" s="24"/>
      <c r="G145" s="24"/>
      <c r="H145" s="24"/>
      <c r="I145" s="24"/>
      <c r="J145" s="24"/>
      <c r="K145" s="25"/>
    </row>
    <row r="146" s="5" customFormat="1" ht="20" customHeight="1" spans="1:11">
      <c r="A146" s="22"/>
      <c r="B146" s="23"/>
      <c r="C146" s="24"/>
      <c r="D146" s="24"/>
      <c r="E146" s="24"/>
      <c r="F146" s="24"/>
      <c r="G146" s="24"/>
      <c r="H146" s="24"/>
      <c r="I146" s="24"/>
      <c r="J146" s="24"/>
      <c r="K146" s="25"/>
    </row>
    <row r="147" s="5" customFormat="1" ht="20" customHeight="1" spans="1:11">
      <c r="A147" s="22"/>
      <c r="B147" s="23"/>
      <c r="C147" s="24"/>
      <c r="D147" s="24"/>
      <c r="E147" s="24"/>
      <c r="F147" s="24"/>
      <c r="G147" s="24"/>
      <c r="H147" s="24"/>
      <c r="I147" s="24"/>
      <c r="J147" s="24"/>
      <c r="K147" s="25"/>
    </row>
    <row r="148" s="5" customFormat="1" ht="20" customHeight="1" spans="1:11">
      <c r="A148" s="22"/>
      <c r="B148" s="23"/>
      <c r="C148" s="24"/>
      <c r="D148" s="24"/>
      <c r="E148" s="24"/>
      <c r="F148" s="24"/>
      <c r="G148" s="24"/>
      <c r="H148" s="24"/>
      <c r="I148" s="24"/>
      <c r="J148" s="24"/>
      <c r="K148" s="25"/>
    </row>
    <row r="149" s="5" customFormat="1" ht="20" customHeight="1" spans="1:11">
      <c r="A149" s="22"/>
      <c r="B149" s="23"/>
      <c r="C149" s="24"/>
      <c r="D149" s="24"/>
      <c r="E149" s="24"/>
      <c r="F149" s="24"/>
      <c r="G149" s="24"/>
      <c r="H149" s="24"/>
      <c r="I149" s="24"/>
      <c r="J149" s="24"/>
      <c r="K149" s="25"/>
    </row>
    <row r="150" s="5" customFormat="1" ht="20" customHeight="1" spans="1:11">
      <c r="A150" s="22"/>
      <c r="B150" s="23"/>
      <c r="C150" s="24"/>
      <c r="D150" s="24"/>
      <c r="E150" s="24"/>
      <c r="F150" s="24"/>
      <c r="G150" s="24"/>
      <c r="H150" s="24"/>
      <c r="I150" s="24"/>
      <c r="J150" s="24"/>
      <c r="K150" s="25"/>
    </row>
    <row r="151" s="5" customFormat="1" ht="20" customHeight="1" spans="1:11">
      <c r="A151" s="22"/>
      <c r="B151" s="23"/>
      <c r="C151" s="24"/>
      <c r="D151" s="24"/>
      <c r="E151" s="24"/>
      <c r="F151" s="24"/>
      <c r="G151" s="24"/>
      <c r="H151" s="24"/>
      <c r="I151" s="24"/>
      <c r="J151" s="24"/>
      <c r="K151" s="25"/>
    </row>
    <row r="152" s="5" customFormat="1" ht="20" customHeight="1" spans="1:11">
      <c r="A152" s="22"/>
      <c r="B152" s="23"/>
      <c r="C152" s="24"/>
      <c r="D152" s="24"/>
      <c r="E152" s="24"/>
      <c r="F152" s="24"/>
      <c r="G152" s="24"/>
      <c r="H152" s="24"/>
      <c r="I152" s="24"/>
      <c r="J152" s="24"/>
      <c r="K152" s="25"/>
    </row>
    <row r="153" s="5" customFormat="1" ht="20" customHeight="1" spans="1:11">
      <c r="A153" s="22"/>
      <c r="B153" s="23"/>
      <c r="C153" s="24"/>
      <c r="D153" s="24"/>
      <c r="E153" s="24"/>
      <c r="F153" s="24"/>
      <c r="G153" s="24"/>
      <c r="H153" s="24"/>
      <c r="I153" s="24"/>
      <c r="J153" s="24"/>
      <c r="K153" s="25"/>
    </row>
    <row r="154" s="5" customFormat="1" ht="20" customHeight="1" spans="1:11">
      <c r="A154" s="22"/>
      <c r="B154" s="23"/>
      <c r="C154" s="24"/>
      <c r="D154" s="24"/>
      <c r="E154" s="24"/>
      <c r="F154" s="24"/>
      <c r="G154" s="24"/>
      <c r="H154" s="24"/>
      <c r="I154" s="24"/>
      <c r="J154" s="24"/>
      <c r="K154" s="25"/>
    </row>
    <row r="155" s="5" customFormat="1" ht="20" customHeight="1" spans="1:11">
      <c r="A155" s="22"/>
      <c r="B155" s="23"/>
      <c r="C155" s="24"/>
      <c r="D155" s="24"/>
      <c r="E155" s="24"/>
      <c r="F155" s="24"/>
      <c r="G155" s="24"/>
      <c r="H155" s="24"/>
      <c r="I155" s="24"/>
      <c r="J155" s="24"/>
      <c r="K155" s="25"/>
    </row>
    <row r="156" s="5" customFormat="1" ht="20" customHeight="1" spans="1:11">
      <c r="A156" s="22"/>
      <c r="B156" s="23"/>
      <c r="C156" s="24"/>
      <c r="D156" s="24"/>
      <c r="E156" s="24"/>
      <c r="F156" s="24"/>
      <c r="G156" s="24"/>
      <c r="H156" s="24"/>
      <c r="I156" s="24"/>
      <c r="J156" s="24"/>
      <c r="K156" s="25"/>
    </row>
    <row r="157" s="5" customFormat="1" ht="20" customHeight="1" spans="1:11">
      <c r="A157" s="22"/>
      <c r="B157" s="23"/>
      <c r="C157" s="24"/>
      <c r="D157" s="24"/>
      <c r="E157" s="24"/>
      <c r="F157" s="24"/>
      <c r="G157" s="24"/>
      <c r="H157" s="24"/>
      <c r="I157" s="24"/>
      <c r="J157" s="24"/>
      <c r="K157" s="25"/>
    </row>
    <row r="158" s="5" customFormat="1" ht="20" customHeight="1" spans="1:11">
      <c r="A158" s="22"/>
      <c r="B158" s="23"/>
      <c r="C158" s="24"/>
      <c r="D158" s="24"/>
      <c r="E158" s="24"/>
      <c r="F158" s="24"/>
      <c r="G158" s="24"/>
      <c r="H158" s="24"/>
      <c r="I158" s="24"/>
      <c r="J158" s="24"/>
      <c r="K158" s="25"/>
    </row>
    <row r="159" s="5" customFormat="1" ht="20" customHeight="1" spans="1:11">
      <c r="A159" s="22"/>
      <c r="B159" s="23"/>
      <c r="C159" s="24"/>
      <c r="D159" s="24"/>
      <c r="E159" s="24"/>
      <c r="F159" s="24"/>
      <c r="G159" s="24"/>
      <c r="H159" s="24"/>
      <c r="I159" s="24"/>
      <c r="J159" s="24"/>
      <c r="K159" s="25"/>
    </row>
    <row r="160" s="5" customFormat="1" ht="20" customHeight="1" spans="1:11">
      <c r="A160" s="22"/>
      <c r="B160" s="23"/>
      <c r="C160" s="24"/>
      <c r="D160" s="24"/>
      <c r="E160" s="24"/>
      <c r="F160" s="24"/>
      <c r="G160" s="24"/>
      <c r="H160" s="24"/>
      <c r="I160" s="24"/>
      <c r="J160" s="24"/>
      <c r="K160" s="25"/>
    </row>
    <row r="161" s="5" customFormat="1" ht="20" customHeight="1" spans="1:11">
      <c r="A161" s="22"/>
      <c r="B161" s="23"/>
      <c r="C161" s="24"/>
      <c r="D161" s="24"/>
      <c r="E161" s="24"/>
      <c r="F161" s="24"/>
      <c r="G161" s="24"/>
      <c r="H161" s="24"/>
      <c r="I161" s="24"/>
      <c r="J161" s="24"/>
      <c r="K161" s="25"/>
    </row>
    <row r="162" s="5" customFormat="1" ht="20" customHeight="1" spans="1:11">
      <c r="A162" s="22"/>
      <c r="B162" s="23"/>
      <c r="C162" s="24"/>
      <c r="D162" s="24"/>
      <c r="E162" s="24"/>
      <c r="F162" s="24"/>
      <c r="G162" s="24"/>
      <c r="H162" s="24"/>
      <c r="I162" s="24"/>
      <c r="J162" s="24"/>
      <c r="K162" s="25"/>
    </row>
    <row r="163" s="5" customFormat="1" ht="20" customHeight="1" spans="1:11">
      <c r="A163" s="22"/>
      <c r="B163" s="23"/>
      <c r="C163" s="24"/>
      <c r="D163" s="24"/>
      <c r="E163" s="24"/>
      <c r="F163" s="24"/>
      <c r="G163" s="24"/>
      <c r="H163" s="24"/>
      <c r="I163" s="24"/>
      <c r="J163" s="24"/>
      <c r="K163" s="25"/>
    </row>
    <row r="164" s="5" customFormat="1" ht="20" customHeight="1" spans="1:11">
      <c r="A164" s="22"/>
      <c r="B164" s="23"/>
      <c r="C164" s="24"/>
      <c r="D164" s="24"/>
      <c r="E164" s="24"/>
      <c r="F164" s="24"/>
      <c r="G164" s="24"/>
      <c r="H164" s="24"/>
      <c r="I164" s="24"/>
      <c r="J164" s="24"/>
      <c r="K164" s="25"/>
    </row>
    <row r="165" s="5" customFormat="1" ht="20" customHeight="1" spans="1:11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5"/>
    </row>
    <row r="166" s="5" customFormat="1" ht="20" customHeight="1" spans="1:11">
      <c r="A166" s="22"/>
      <c r="B166" s="23"/>
      <c r="C166" s="24"/>
      <c r="D166" s="24"/>
      <c r="E166" s="24"/>
      <c r="F166" s="24"/>
      <c r="G166" s="24"/>
      <c r="H166" s="24"/>
      <c r="I166" s="24"/>
      <c r="J166" s="24"/>
      <c r="K166" s="25"/>
    </row>
    <row r="167" s="5" customFormat="1" ht="20" customHeight="1" spans="1:11">
      <c r="A167" s="22"/>
      <c r="B167" s="23"/>
      <c r="C167" s="24"/>
      <c r="D167" s="24"/>
      <c r="E167" s="24"/>
      <c r="F167" s="24"/>
      <c r="G167" s="24"/>
      <c r="H167" s="24"/>
      <c r="I167" s="24"/>
      <c r="J167" s="24"/>
      <c r="K167" s="25"/>
    </row>
    <row r="168" s="5" customFormat="1" ht="20" customHeight="1" spans="1:11">
      <c r="A168" s="22"/>
      <c r="B168" s="23"/>
      <c r="C168" s="24"/>
      <c r="D168" s="24"/>
      <c r="E168" s="24"/>
      <c r="F168" s="24"/>
      <c r="G168" s="24"/>
      <c r="H168" s="24"/>
      <c r="I168" s="24"/>
      <c r="J168" s="24"/>
      <c r="K168" s="25"/>
    </row>
    <row r="169" s="5" customFormat="1" ht="20" customHeight="1" spans="1:11">
      <c r="A169" s="22"/>
      <c r="B169" s="23"/>
      <c r="C169" s="24"/>
      <c r="D169" s="24"/>
      <c r="E169" s="24"/>
      <c r="F169" s="24"/>
      <c r="G169" s="24"/>
      <c r="H169" s="24"/>
      <c r="I169" s="24"/>
      <c r="J169" s="24"/>
      <c r="K169" s="25"/>
    </row>
    <row r="170" s="5" customFormat="1" ht="20" customHeight="1" spans="1:11">
      <c r="A170" s="22"/>
      <c r="B170" s="23"/>
      <c r="C170" s="24"/>
      <c r="D170" s="24"/>
      <c r="E170" s="24"/>
      <c r="F170" s="24"/>
      <c r="G170" s="24"/>
      <c r="H170" s="24"/>
      <c r="I170" s="24"/>
      <c r="J170" s="24"/>
      <c r="K170" s="25"/>
    </row>
    <row r="171" s="5" customFormat="1" ht="20" customHeight="1" spans="1:11">
      <c r="A171" s="22"/>
      <c r="B171" s="23"/>
      <c r="C171" s="24"/>
      <c r="D171" s="24"/>
      <c r="E171" s="24"/>
      <c r="F171" s="24"/>
      <c r="G171" s="24"/>
      <c r="H171" s="24"/>
      <c r="I171" s="24"/>
      <c r="J171" s="24"/>
      <c r="K171" s="25"/>
    </row>
    <row r="172" s="5" customFormat="1" ht="20" customHeight="1" spans="1:11">
      <c r="A172" s="22"/>
      <c r="B172" s="23"/>
      <c r="C172" s="24"/>
      <c r="D172" s="24"/>
      <c r="E172" s="24"/>
      <c r="F172" s="24"/>
      <c r="G172" s="24"/>
      <c r="H172" s="24"/>
      <c r="I172" s="24"/>
      <c r="J172" s="24"/>
      <c r="K172" s="25"/>
    </row>
    <row r="173" s="5" customFormat="1" ht="20" customHeight="1" spans="1:11">
      <c r="A173" s="22"/>
      <c r="B173" s="23"/>
      <c r="C173" s="24"/>
      <c r="D173" s="24"/>
      <c r="E173" s="24"/>
      <c r="F173" s="24"/>
      <c r="G173" s="24"/>
      <c r="H173" s="24"/>
      <c r="I173" s="24"/>
      <c r="J173" s="24"/>
      <c r="K173" s="25"/>
    </row>
    <row r="174" s="5" customFormat="1" ht="20" customHeight="1" spans="1:11">
      <c r="A174" s="22"/>
      <c r="B174" s="23"/>
      <c r="C174" s="24"/>
      <c r="D174" s="24"/>
      <c r="E174" s="24"/>
      <c r="F174" s="24"/>
      <c r="G174" s="24"/>
      <c r="H174" s="24"/>
      <c r="I174" s="24"/>
      <c r="J174" s="24"/>
      <c r="K174" s="25"/>
    </row>
    <row r="175" s="5" customFormat="1" ht="20" customHeight="1" spans="1:11">
      <c r="A175" s="22"/>
      <c r="B175" s="23"/>
      <c r="C175" s="24"/>
      <c r="D175" s="24"/>
      <c r="E175" s="24"/>
      <c r="F175" s="24"/>
      <c r="G175" s="24"/>
      <c r="H175" s="24"/>
      <c r="I175" s="24"/>
      <c r="J175" s="24"/>
      <c r="K175" s="25"/>
    </row>
    <row r="176" s="5" customFormat="1" ht="20" customHeight="1" spans="1:11">
      <c r="A176" s="22"/>
      <c r="B176" s="23"/>
      <c r="C176" s="24"/>
      <c r="D176" s="24"/>
      <c r="E176" s="24"/>
      <c r="F176" s="24"/>
      <c r="G176" s="24"/>
      <c r="H176" s="24"/>
      <c r="I176" s="24"/>
      <c r="J176" s="24"/>
      <c r="K176" s="25"/>
    </row>
    <row r="177" s="5" customFormat="1" ht="20" customHeight="1" spans="1:11">
      <c r="A177" s="22"/>
      <c r="B177" s="23"/>
      <c r="C177" s="24"/>
      <c r="D177" s="24"/>
      <c r="E177" s="24"/>
      <c r="F177" s="24"/>
      <c r="G177" s="24"/>
      <c r="H177" s="24"/>
      <c r="I177" s="24"/>
      <c r="J177" s="24"/>
      <c r="K177" s="25"/>
    </row>
    <row r="178" s="5" customFormat="1" ht="20" customHeight="1" spans="1:11">
      <c r="A178" s="22"/>
      <c r="B178" s="23"/>
      <c r="C178" s="24"/>
      <c r="D178" s="24"/>
      <c r="E178" s="24"/>
      <c r="F178" s="24"/>
      <c r="G178" s="24"/>
      <c r="H178" s="24"/>
      <c r="I178" s="24"/>
      <c r="J178" s="24"/>
      <c r="K178" s="25"/>
    </row>
    <row r="179" s="5" customFormat="1" ht="20" customHeight="1" spans="1:11">
      <c r="A179" s="22"/>
      <c r="B179" s="23"/>
      <c r="C179" s="24"/>
      <c r="D179" s="24"/>
      <c r="E179" s="24"/>
      <c r="F179" s="24"/>
      <c r="G179" s="24"/>
      <c r="H179" s="24"/>
      <c r="I179" s="24"/>
      <c r="J179" s="24"/>
      <c r="K179" s="25"/>
    </row>
    <row r="180" s="5" customFormat="1" ht="20" customHeight="1" spans="1:11">
      <c r="A180" s="22"/>
      <c r="B180" s="23"/>
      <c r="C180" s="24"/>
      <c r="D180" s="24"/>
      <c r="E180" s="24"/>
      <c r="F180" s="24"/>
      <c r="G180" s="24"/>
      <c r="H180" s="24"/>
      <c r="I180" s="24"/>
      <c r="J180" s="24"/>
      <c r="K180" s="25"/>
    </row>
    <row r="181" s="5" customFormat="1" ht="20" customHeight="1" spans="1:11">
      <c r="A181" s="22"/>
      <c r="B181" s="23"/>
      <c r="C181" s="24"/>
      <c r="D181" s="24"/>
      <c r="E181" s="24"/>
      <c r="F181" s="24"/>
      <c r="G181" s="24"/>
      <c r="H181" s="24"/>
      <c r="I181" s="24"/>
      <c r="J181" s="24"/>
      <c r="K181" s="25"/>
    </row>
    <row r="182" s="5" customFormat="1" ht="20" customHeight="1" spans="1:11">
      <c r="A182" s="22"/>
      <c r="B182" s="23"/>
      <c r="C182" s="24"/>
      <c r="D182" s="24"/>
      <c r="E182" s="24"/>
      <c r="F182" s="24"/>
      <c r="G182" s="24"/>
      <c r="H182" s="24"/>
      <c r="I182" s="24"/>
      <c r="J182" s="24"/>
      <c r="K182" s="25"/>
    </row>
    <row r="183" s="5" customFormat="1" ht="20" customHeight="1" spans="1:11">
      <c r="A183" s="22"/>
      <c r="B183" s="23"/>
      <c r="C183" s="24"/>
      <c r="D183" s="24"/>
      <c r="E183" s="24"/>
      <c r="F183" s="24"/>
      <c r="G183" s="24"/>
      <c r="H183" s="24"/>
      <c r="I183" s="24"/>
      <c r="J183" s="24"/>
      <c r="K183" s="25"/>
    </row>
    <row r="184" s="5" customFormat="1" ht="20" customHeight="1" spans="1:11">
      <c r="A184" s="22"/>
      <c r="B184" s="23"/>
      <c r="C184" s="24"/>
      <c r="D184" s="24"/>
      <c r="E184" s="24"/>
      <c r="F184" s="24"/>
      <c r="G184" s="24"/>
      <c r="H184" s="24"/>
      <c r="I184" s="24"/>
      <c r="J184" s="24"/>
      <c r="K184" s="25"/>
    </row>
    <row r="185" s="5" customFormat="1" ht="20" customHeight="1" spans="1:11">
      <c r="A185" s="22"/>
      <c r="B185" s="23"/>
      <c r="C185" s="24"/>
      <c r="D185" s="24"/>
      <c r="E185" s="24"/>
      <c r="F185" s="24"/>
      <c r="G185" s="24"/>
      <c r="H185" s="24"/>
      <c r="I185" s="24"/>
      <c r="J185" s="24"/>
      <c r="K185" s="25"/>
    </row>
    <row r="186" s="5" customFormat="1" ht="20" customHeight="1" spans="1:11">
      <c r="A186" s="22"/>
      <c r="B186" s="23"/>
      <c r="C186" s="24"/>
      <c r="D186" s="24"/>
      <c r="E186" s="24"/>
      <c r="F186" s="24"/>
      <c r="G186" s="24"/>
      <c r="H186" s="24"/>
      <c r="I186" s="24"/>
      <c r="J186" s="24"/>
      <c r="K186" s="25"/>
    </row>
    <row r="187" s="5" customFormat="1" ht="20" customHeight="1" spans="1:11">
      <c r="A187" s="22"/>
      <c r="B187" s="23"/>
      <c r="C187" s="24"/>
      <c r="D187" s="24"/>
      <c r="E187" s="24"/>
      <c r="F187" s="24"/>
      <c r="G187" s="24"/>
      <c r="H187" s="24"/>
      <c r="I187" s="24"/>
      <c r="J187" s="24"/>
      <c r="K187" s="25"/>
    </row>
    <row r="188" s="5" customFormat="1" ht="20" customHeight="1" spans="1:11">
      <c r="A188" s="22"/>
      <c r="B188" s="23"/>
      <c r="C188" s="24"/>
      <c r="D188" s="24"/>
      <c r="E188" s="24"/>
      <c r="F188" s="24"/>
      <c r="G188" s="24"/>
      <c r="H188" s="24"/>
      <c r="I188" s="24"/>
      <c r="J188" s="24"/>
      <c r="K188" s="25"/>
    </row>
    <row r="189" s="5" customFormat="1" ht="20" customHeight="1" spans="1:11">
      <c r="A189" s="22"/>
      <c r="B189" s="23"/>
      <c r="C189" s="24"/>
      <c r="D189" s="24"/>
      <c r="E189" s="24"/>
      <c r="F189" s="24"/>
      <c r="G189" s="24"/>
      <c r="H189" s="24"/>
      <c r="I189" s="24"/>
      <c r="J189" s="24"/>
      <c r="K189" s="25"/>
    </row>
    <row r="190" s="5" customFormat="1" ht="20" customHeight="1" spans="1:11">
      <c r="A190" s="22"/>
      <c r="B190" s="23"/>
      <c r="C190" s="24"/>
      <c r="D190" s="24"/>
      <c r="E190" s="24"/>
      <c r="F190" s="24"/>
      <c r="G190" s="24"/>
      <c r="H190" s="24"/>
      <c r="I190" s="24"/>
      <c r="J190" s="24"/>
      <c r="K190" s="25"/>
    </row>
    <row r="191" s="5" customFormat="1" ht="20" customHeight="1" spans="1:11">
      <c r="A191" s="22"/>
      <c r="B191" s="23"/>
      <c r="C191" s="24"/>
      <c r="D191" s="24"/>
      <c r="E191" s="24"/>
      <c r="F191" s="24"/>
      <c r="G191" s="24"/>
      <c r="H191" s="24"/>
      <c r="I191" s="24"/>
      <c r="J191" s="24"/>
      <c r="K191" s="25"/>
    </row>
    <row r="192" s="5" customFormat="1" ht="20" customHeight="1" spans="1:11">
      <c r="A192" s="22"/>
      <c r="B192" s="23"/>
      <c r="C192" s="24"/>
      <c r="D192" s="24"/>
      <c r="E192" s="24"/>
      <c r="F192" s="24"/>
      <c r="G192" s="24"/>
      <c r="H192" s="24"/>
      <c r="I192" s="24"/>
      <c r="J192" s="24"/>
      <c r="K192" s="25"/>
    </row>
    <row r="193" s="5" customFormat="1" ht="20" customHeight="1" spans="1:11">
      <c r="A193" s="22"/>
      <c r="B193" s="23"/>
      <c r="C193" s="24"/>
      <c r="D193" s="24"/>
      <c r="E193" s="24"/>
      <c r="F193" s="24"/>
      <c r="G193" s="24"/>
      <c r="H193" s="24"/>
      <c r="I193" s="24"/>
      <c r="J193" s="24"/>
      <c r="K193" s="25"/>
    </row>
    <row r="194" s="5" customFormat="1" ht="20" customHeight="1" spans="1:11">
      <c r="A194" s="22"/>
      <c r="B194" s="23"/>
      <c r="C194" s="24"/>
      <c r="D194" s="24"/>
      <c r="E194" s="24"/>
      <c r="F194" s="24"/>
      <c r="G194" s="24"/>
      <c r="H194" s="24"/>
      <c r="I194" s="24"/>
      <c r="J194" s="24"/>
      <c r="K194" s="25"/>
    </row>
    <row r="195" s="5" customFormat="1" ht="20" customHeight="1" spans="1:11">
      <c r="A195" s="22"/>
      <c r="B195" s="23"/>
      <c r="C195" s="24"/>
      <c r="D195" s="24"/>
      <c r="E195" s="24"/>
      <c r="F195" s="24"/>
      <c r="G195" s="24"/>
      <c r="H195" s="24"/>
      <c r="I195" s="24"/>
      <c r="J195" s="24"/>
      <c r="K195" s="25"/>
    </row>
    <row r="196" s="5" customFormat="1" ht="20" customHeight="1" spans="1:11">
      <c r="A196" s="22"/>
      <c r="B196" s="23"/>
      <c r="C196" s="24"/>
      <c r="D196" s="24"/>
      <c r="E196" s="24"/>
      <c r="F196" s="24"/>
      <c r="G196" s="24"/>
      <c r="H196" s="24"/>
      <c r="I196" s="24"/>
      <c r="J196" s="24"/>
      <c r="K196" s="25"/>
    </row>
    <row r="197" s="5" customFormat="1" ht="20" customHeight="1" spans="1:11">
      <c r="A197" s="22"/>
      <c r="B197" s="23"/>
      <c r="C197" s="24"/>
      <c r="D197" s="24"/>
      <c r="E197" s="24"/>
      <c r="F197" s="24"/>
      <c r="G197" s="24"/>
      <c r="H197" s="24"/>
      <c r="I197" s="24"/>
      <c r="J197" s="24"/>
      <c r="K197" s="25"/>
    </row>
    <row r="198" s="5" customFormat="1" ht="20" customHeight="1" spans="1:11">
      <c r="A198" s="22"/>
      <c r="B198" s="23"/>
      <c r="C198" s="24"/>
      <c r="D198" s="24"/>
      <c r="E198" s="24"/>
      <c r="F198" s="24"/>
      <c r="G198" s="24"/>
      <c r="H198" s="24"/>
      <c r="I198" s="24"/>
      <c r="J198" s="24"/>
      <c r="K198" s="25"/>
    </row>
    <row r="199" s="5" customFormat="1" ht="20" customHeight="1" spans="1:11">
      <c r="A199" s="22"/>
      <c r="B199" s="23"/>
      <c r="C199" s="24"/>
      <c r="D199" s="24"/>
      <c r="E199" s="24"/>
      <c r="F199" s="24"/>
      <c r="G199" s="24"/>
      <c r="H199" s="24"/>
      <c r="I199" s="24"/>
      <c r="J199" s="24"/>
      <c r="K199" s="25"/>
    </row>
    <row r="200" s="5" customFormat="1" ht="20" customHeight="1" spans="1:11">
      <c r="A200" s="22"/>
      <c r="B200" s="23"/>
      <c r="C200" s="24"/>
      <c r="D200" s="24"/>
      <c r="E200" s="24"/>
      <c r="F200" s="24"/>
      <c r="G200" s="24"/>
      <c r="H200" s="24"/>
      <c r="I200" s="24"/>
      <c r="J200" s="24"/>
      <c r="K200" s="25"/>
    </row>
    <row r="201" s="5" customFormat="1" ht="20" customHeight="1" spans="1:11">
      <c r="A201" s="22"/>
      <c r="B201" s="23"/>
      <c r="C201" s="24"/>
      <c r="D201" s="24"/>
      <c r="E201" s="24"/>
      <c r="F201" s="24"/>
      <c r="G201" s="24"/>
      <c r="H201" s="24"/>
      <c r="I201" s="24"/>
      <c r="J201" s="24"/>
      <c r="K201" s="25"/>
    </row>
    <row r="202" s="5" customFormat="1" ht="20" customHeight="1" spans="1:11">
      <c r="A202" s="22"/>
      <c r="B202" s="23"/>
      <c r="C202" s="24"/>
      <c r="D202" s="24"/>
      <c r="E202" s="24"/>
      <c r="F202" s="24"/>
      <c r="G202" s="24"/>
      <c r="H202" s="24"/>
      <c r="I202" s="24"/>
      <c r="J202" s="24"/>
      <c r="K202" s="25"/>
    </row>
    <row r="203" s="5" customFormat="1" ht="20" customHeight="1" spans="1:11">
      <c r="A203" s="22"/>
      <c r="B203" s="23"/>
      <c r="C203" s="24"/>
      <c r="D203" s="24"/>
      <c r="E203" s="24"/>
      <c r="F203" s="24"/>
      <c r="G203" s="24"/>
      <c r="H203" s="24"/>
      <c r="I203" s="24"/>
      <c r="J203" s="24"/>
      <c r="K203" s="25"/>
    </row>
    <row r="204" s="5" customFormat="1" ht="20" customHeight="1" spans="1:11">
      <c r="A204" s="22"/>
      <c r="B204" s="23"/>
      <c r="C204" s="24"/>
      <c r="D204" s="24"/>
      <c r="E204" s="24"/>
      <c r="F204" s="24"/>
      <c r="G204" s="24"/>
      <c r="H204" s="24"/>
      <c r="I204" s="24"/>
      <c r="J204" s="24"/>
      <c r="K204" s="25"/>
    </row>
    <row r="205" s="5" customFormat="1" ht="20" customHeight="1" spans="1:11">
      <c r="A205" s="22"/>
      <c r="B205" s="23"/>
      <c r="C205" s="24"/>
      <c r="D205" s="24"/>
      <c r="E205" s="24"/>
      <c r="F205" s="24"/>
      <c r="G205" s="24"/>
      <c r="H205" s="24"/>
      <c r="I205" s="24"/>
      <c r="J205" s="24"/>
      <c r="K205" s="25"/>
    </row>
    <row r="206" s="5" customFormat="1" ht="20" customHeight="1" spans="1:11">
      <c r="A206" s="22"/>
      <c r="B206" s="23"/>
      <c r="C206" s="24"/>
      <c r="D206" s="24"/>
      <c r="E206" s="24"/>
      <c r="F206" s="24"/>
      <c r="G206" s="24"/>
      <c r="H206" s="24"/>
      <c r="I206" s="24"/>
      <c r="J206" s="24"/>
      <c r="K206" s="25"/>
    </row>
    <row r="207" s="5" customFormat="1" ht="20" customHeight="1" spans="1:11">
      <c r="A207" s="22"/>
      <c r="B207" s="23"/>
      <c r="C207" s="24"/>
      <c r="D207" s="24"/>
      <c r="E207" s="24"/>
      <c r="F207" s="24"/>
      <c r="G207" s="24"/>
      <c r="H207" s="24"/>
      <c r="I207" s="24"/>
      <c r="J207" s="24"/>
      <c r="K207" s="25"/>
    </row>
    <row r="208" s="5" customFormat="1" ht="20" customHeight="1" spans="1:11">
      <c r="A208" s="22"/>
      <c r="B208" s="23"/>
      <c r="C208" s="24"/>
      <c r="D208" s="24"/>
      <c r="E208" s="24"/>
      <c r="F208" s="24"/>
      <c r="G208" s="24"/>
      <c r="H208" s="24"/>
      <c r="I208" s="24"/>
      <c r="J208" s="24"/>
      <c r="K208" s="25"/>
    </row>
    <row r="209" s="5" customFormat="1" ht="20" customHeight="1" spans="1:11">
      <c r="A209" s="22"/>
      <c r="B209" s="23"/>
      <c r="C209" s="24"/>
      <c r="D209" s="24"/>
      <c r="E209" s="24"/>
      <c r="F209" s="24"/>
      <c r="G209" s="24"/>
      <c r="H209" s="24"/>
      <c r="I209" s="24"/>
      <c r="J209" s="24"/>
      <c r="K209" s="25"/>
    </row>
    <row r="210" s="5" customFormat="1" ht="20" customHeight="1" spans="1:11">
      <c r="A210" s="22"/>
      <c r="B210" s="23"/>
      <c r="C210" s="24"/>
      <c r="D210" s="24"/>
      <c r="E210" s="24"/>
      <c r="F210" s="24"/>
      <c r="G210" s="24"/>
      <c r="H210" s="24"/>
      <c r="I210" s="24"/>
      <c r="J210" s="24"/>
      <c r="K210" s="25"/>
    </row>
    <row r="211" s="5" customFormat="1" ht="20" customHeight="1" spans="1:11">
      <c r="A211" s="22"/>
      <c r="B211" s="23"/>
      <c r="C211" s="24"/>
      <c r="D211" s="24"/>
      <c r="E211" s="24"/>
      <c r="F211" s="24"/>
      <c r="G211" s="24"/>
      <c r="H211" s="24"/>
      <c r="I211" s="24"/>
      <c r="J211" s="24"/>
      <c r="K211" s="25"/>
    </row>
    <row r="212" s="5" customFormat="1" ht="20" customHeight="1" spans="1:11">
      <c r="A212" s="22"/>
      <c r="B212" s="23"/>
      <c r="C212" s="24"/>
      <c r="D212" s="24"/>
      <c r="E212" s="24"/>
      <c r="F212" s="24"/>
      <c r="G212" s="24"/>
      <c r="H212" s="24"/>
      <c r="I212" s="24"/>
      <c r="J212" s="24"/>
      <c r="K212" s="25"/>
    </row>
    <row r="213" s="5" customFormat="1" ht="20" customHeight="1" spans="1:11">
      <c r="A213" s="22"/>
      <c r="B213" s="23"/>
      <c r="C213" s="24"/>
      <c r="D213" s="24"/>
      <c r="E213" s="24"/>
      <c r="F213" s="24"/>
      <c r="G213" s="24"/>
      <c r="H213" s="24"/>
      <c r="I213" s="24"/>
      <c r="J213" s="24"/>
      <c r="K213" s="25"/>
    </row>
    <row r="214" s="5" customFormat="1" ht="20" customHeight="1" spans="1:11">
      <c r="A214" s="22"/>
      <c r="B214" s="23"/>
      <c r="C214" s="24"/>
      <c r="D214" s="24"/>
      <c r="E214" s="24"/>
      <c r="F214" s="24"/>
      <c r="G214" s="24"/>
      <c r="H214" s="24"/>
      <c r="I214" s="24"/>
      <c r="J214" s="24"/>
      <c r="K214" s="25"/>
    </row>
    <row r="215" s="5" customFormat="1" ht="20" customHeight="1" spans="1:11">
      <c r="A215" s="22"/>
      <c r="B215" s="23"/>
      <c r="C215" s="24"/>
      <c r="D215" s="24"/>
      <c r="E215" s="24"/>
      <c r="F215" s="24"/>
      <c r="G215" s="24"/>
      <c r="H215" s="24"/>
      <c r="I215" s="24"/>
      <c r="J215" s="24"/>
      <c r="K215" s="25"/>
    </row>
    <row r="216" s="5" customFormat="1" ht="20" customHeight="1" spans="1:11">
      <c r="A216" s="22"/>
      <c r="B216" s="23"/>
      <c r="C216" s="24"/>
      <c r="D216" s="24"/>
      <c r="E216" s="24"/>
      <c r="F216" s="24"/>
      <c r="G216" s="24"/>
      <c r="H216" s="24"/>
      <c r="I216" s="24"/>
      <c r="J216" s="24"/>
      <c r="K216" s="25"/>
    </row>
    <row r="217" s="5" customFormat="1" ht="20" customHeight="1" spans="1:11">
      <c r="A217" s="22"/>
      <c r="B217" s="23"/>
      <c r="C217" s="24"/>
      <c r="D217" s="24"/>
      <c r="E217" s="24"/>
      <c r="F217" s="24"/>
      <c r="G217" s="24"/>
      <c r="H217" s="24"/>
      <c r="I217" s="24"/>
      <c r="J217" s="24"/>
      <c r="K217" s="25"/>
    </row>
    <row r="218" s="5" customFormat="1" ht="20" customHeight="1" spans="1:11">
      <c r="A218" s="22"/>
      <c r="B218" s="23"/>
      <c r="C218" s="24"/>
      <c r="D218" s="24"/>
      <c r="E218" s="24"/>
      <c r="F218" s="24"/>
      <c r="G218" s="24"/>
      <c r="H218" s="24"/>
      <c r="I218" s="24"/>
      <c r="J218" s="24"/>
      <c r="K218" s="25"/>
    </row>
    <row r="219" s="5" customFormat="1" ht="20" customHeight="1" spans="1:11">
      <c r="A219" s="22"/>
      <c r="B219" s="23"/>
      <c r="C219" s="24"/>
      <c r="D219" s="24"/>
      <c r="E219" s="24"/>
      <c r="F219" s="24"/>
      <c r="G219" s="24"/>
      <c r="H219" s="24"/>
      <c r="I219" s="24"/>
      <c r="J219" s="24"/>
      <c r="K219" s="25"/>
    </row>
    <row r="220" s="5" customFormat="1" ht="20" customHeight="1" spans="1:11">
      <c r="A220" s="22"/>
      <c r="B220" s="23"/>
      <c r="C220" s="24"/>
      <c r="D220" s="24"/>
      <c r="E220" s="24"/>
      <c r="F220" s="24"/>
      <c r="G220" s="24"/>
      <c r="H220" s="24"/>
      <c r="I220" s="24"/>
      <c r="J220" s="24"/>
      <c r="K220" s="25"/>
    </row>
    <row r="221" s="5" customFormat="1" ht="20" customHeight="1" spans="1:11">
      <c r="A221" s="22"/>
      <c r="B221" s="23"/>
      <c r="C221" s="24"/>
      <c r="D221" s="24"/>
      <c r="E221" s="24"/>
      <c r="F221" s="24"/>
      <c r="G221" s="24"/>
      <c r="H221" s="24"/>
      <c r="I221" s="24"/>
      <c r="J221" s="24"/>
      <c r="K221" s="25"/>
    </row>
    <row r="222" s="5" customFormat="1" ht="20" customHeight="1" spans="1:11">
      <c r="A222" s="22"/>
      <c r="B222" s="23"/>
      <c r="C222" s="24"/>
      <c r="D222" s="24"/>
      <c r="E222" s="24"/>
      <c r="F222" s="24"/>
      <c r="G222" s="24"/>
      <c r="H222" s="24"/>
      <c r="I222" s="24"/>
      <c r="J222" s="24"/>
      <c r="K222" s="25"/>
    </row>
    <row r="223" s="5" customFormat="1" ht="20" customHeight="1" spans="1:11">
      <c r="A223" s="22"/>
      <c r="B223" s="23"/>
      <c r="C223" s="24"/>
      <c r="D223" s="24"/>
      <c r="E223" s="24"/>
      <c r="F223" s="24"/>
      <c r="G223" s="24"/>
      <c r="H223" s="24"/>
      <c r="I223" s="24"/>
      <c r="J223" s="24"/>
      <c r="K223" s="25"/>
    </row>
    <row r="224" s="5" customFormat="1" ht="20" customHeight="1" spans="1:11">
      <c r="A224" s="22"/>
      <c r="B224" s="23"/>
      <c r="C224" s="24"/>
      <c r="D224" s="24"/>
      <c r="E224" s="24"/>
      <c r="F224" s="24"/>
      <c r="G224" s="24"/>
      <c r="H224" s="24"/>
      <c r="I224" s="24"/>
      <c r="J224" s="24"/>
      <c r="K224" s="25"/>
    </row>
    <row r="225" s="5" customFormat="1" ht="20" customHeight="1" spans="1:11">
      <c r="A225" s="22"/>
      <c r="B225" s="23"/>
      <c r="C225" s="24"/>
      <c r="D225" s="24"/>
      <c r="E225" s="24"/>
      <c r="F225" s="24"/>
      <c r="G225" s="24"/>
      <c r="H225" s="24"/>
      <c r="I225" s="24"/>
      <c r="J225" s="24"/>
      <c r="K225" s="25"/>
    </row>
    <row r="226" s="5" customFormat="1" ht="20" customHeight="1" spans="1:11">
      <c r="A226" s="22"/>
      <c r="B226" s="23"/>
      <c r="C226" s="24"/>
      <c r="D226" s="24"/>
      <c r="E226" s="24"/>
      <c r="F226" s="24"/>
      <c r="G226" s="24"/>
      <c r="H226" s="24"/>
      <c r="I226" s="24"/>
      <c r="J226" s="24"/>
      <c r="K226" s="25"/>
    </row>
    <row r="227" s="5" customFormat="1" ht="20" customHeight="1" spans="1:11">
      <c r="A227" s="22"/>
      <c r="B227" s="23"/>
      <c r="C227" s="24"/>
      <c r="D227" s="24"/>
      <c r="E227" s="24"/>
      <c r="F227" s="24"/>
      <c r="G227" s="24"/>
      <c r="H227" s="24"/>
      <c r="I227" s="24"/>
      <c r="J227" s="24"/>
      <c r="K227" s="25"/>
    </row>
    <row r="228" s="5" customFormat="1" ht="20" customHeight="1" spans="1:11">
      <c r="A228" s="22"/>
      <c r="B228" s="23"/>
      <c r="C228" s="24"/>
      <c r="D228" s="24"/>
      <c r="E228" s="24"/>
      <c r="F228" s="24"/>
      <c r="G228" s="24"/>
      <c r="H228" s="24"/>
      <c r="I228" s="24"/>
      <c r="J228" s="24"/>
      <c r="K228" s="25"/>
    </row>
    <row r="229" s="5" customFormat="1" ht="20" customHeight="1" spans="1:11">
      <c r="A229" s="22"/>
      <c r="B229" s="23"/>
      <c r="C229" s="24"/>
      <c r="D229" s="24"/>
      <c r="E229" s="24"/>
      <c r="F229" s="24"/>
      <c r="G229" s="24"/>
      <c r="H229" s="24"/>
      <c r="I229" s="24"/>
      <c r="J229" s="24"/>
      <c r="K229" s="25"/>
    </row>
    <row r="230" s="5" customFormat="1" ht="20" customHeight="1" spans="1:11">
      <c r="A230" s="22"/>
      <c r="B230" s="23"/>
      <c r="C230" s="24"/>
      <c r="D230" s="24"/>
      <c r="E230" s="24"/>
      <c r="F230" s="24"/>
      <c r="G230" s="24"/>
      <c r="H230" s="24"/>
      <c r="I230" s="24"/>
      <c r="J230" s="24"/>
      <c r="K230" s="25"/>
    </row>
    <row r="231" s="5" customFormat="1" ht="20" customHeight="1" spans="1:11">
      <c r="A231" s="22"/>
      <c r="B231" s="23"/>
      <c r="C231" s="24"/>
      <c r="D231" s="24"/>
      <c r="E231" s="24"/>
      <c r="F231" s="24"/>
      <c r="G231" s="24"/>
      <c r="H231" s="24"/>
      <c r="I231" s="24"/>
      <c r="J231" s="24"/>
      <c r="K231" s="25"/>
    </row>
    <row r="232" s="5" customFormat="1" ht="20" customHeight="1" spans="1:11">
      <c r="A232" s="22"/>
      <c r="B232" s="23"/>
      <c r="C232" s="24"/>
      <c r="D232" s="24"/>
      <c r="E232" s="24"/>
      <c r="F232" s="24"/>
      <c r="G232" s="24"/>
      <c r="H232" s="24"/>
      <c r="I232" s="24"/>
      <c r="J232" s="24"/>
      <c r="K232" s="25"/>
    </row>
    <row r="233" s="5" customFormat="1" ht="20" customHeight="1" spans="1:11">
      <c r="A233" s="22"/>
      <c r="B233" s="23"/>
      <c r="C233" s="24"/>
      <c r="D233" s="24"/>
      <c r="E233" s="24"/>
      <c r="F233" s="24"/>
      <c r="G233" s="24"/>
      <c r="H233" s="24"/>
      <c r="I233" s="24"/>
      <c r="J233" s="24"/>
      <c r="K233" s="25"/>
    </row>
    <row r="234" s="5" customFormat="1" ht="20" customHeight="1" spans="1:11">
      <c r="A234" s="22"/>
      <c r="B234" s="23"/>
      <c r="C234" s="24"/>
      <c r="D234" s="24"/>
      <c r="E234" s="24"/>
      <c r="F234" s="24"/>
      <c r="G234" s="24"/>
      <c r="H234" s="24"/>
      <c r="I234" s="24"/>
      <c r="J234" s="24"/>
      <c r="K234" s="25"/>
    </row>
    <row r="235" s="5" customFormat="1" ht="20" customHeight="1" spans="1:11">
      <c r="A235" s="22"/>
      <c r="B235" s="23"/>
      <c r="C235" s="24"/>
      <c r="D235" s="24"/>
      <c r="E235" s="24"/>
      <c r="F235" s="24"/>
      <c r="G235" s="24"/>
      <c r="H235" s="24"/>
      <c r="I235" s="24"/>
      <c r="J235" s="24"/>
      <c r="K235" s="25"/>
    </row>
    <row r="236" s="5" customFormat="1" ht="20" customHeight="1" spans="1:11">
      <c r="A236" s="22"/>
      <c r="B236" s="23"/>
      <c r="C236" s="24"/>
      <c r="D236" s="24"/>
      <c r="E236" s="24"/>
      <c r="F236" s="24"/>
      <c r="G236" s="24"/>
      <c r="H236" s="24"/>
      <c r="I236" s="24"/>
      <c r="J236" s="24"/>
      <c r="K236" s="25"/>
    </row>
    <row r="237" s="5" customFormat="1" ht="20" customHeight="1" spans="1:11">
      <c r="A237" s="22"/>
      <c r="B237" s="23"/>
      <c r="C237" s="24"/>
      <c r="D237" s="24"/>
      <c r="E237" s="24"/>
      <c r="F237" s="24"/>
      <c r="G237" s="24"/>
      <c r="H237" s="24"/>
      <c r="I237" s="24"/>
      <c r="J237" s="24"/>
      <c r="K237" s="25"/>
    </row>
    <row r="238" s="5" customFormat="1" ht="20" customHeight="1" spans="1:11">
      <c r="A238" s="22"/>
      <c r="B238" s="23"/>
      <c r="C238" s="24"/>
      <c r="D238" s="24"/>
      <c r="E238" s="24"/>
      <c r="F238" s="24"/>
      <c r="G238" s="24"/>
      <c r="H238" s="24"/>
      <c r="I238" s="24"/>
      <c r="J238" s="24"/>
      <c r="K238" s="25"/>
    </row>
    <row r="239" s="5" customFormat="1" ht="20" customHeight="1" spans="1:11">
      <c r="A239" s="22"/>
      <c r="B239" s="23"/>
      <c r="C239" s="24"/>
      <c r="D239" s="24"/>
      <c r="E239" s="24"/>
      <c r="F239" s="24"/>
      <c r="G239" s="24"/>
      <c r="H239" s="24"/>
      <c r="I239" s="24"/>
      <c r="J239" s="24"/>
      <c r="K239" s="25"/>
    </row>
    <row r="240" s="5" customFormat="1" ht="20" customHeight="1" spans="1:11">
      <c r="A240" s="22"/>
      <c r="B240" s="23"/>
      <c r="C240" s="24"/>
      <c r="D240" s="24"/>
      <c r="E240" s="24"/>
      <c r="F240" s="24"/>
      <c r="G240" s="24"/>
      <c r="H240" s="24"/>
      <c r="I240" s="24"/>
      <c r="J240" s="24"/>
      <c r="K240" s="25"/>
    </row>
    <row r="241" s="5" customFormat="1" ht="20" customHeight="1" spans="1:11">
      <c r="A241" s="22"/>
      <c r="B241" s="23"/>
      <c r="C241" s="24"/>
      <c r="D241" s="24"/>
      <c r="E241" s="24"/>
      <c r="F241" s="24"/>
      <c r="G241" s="24"/>
      <c r="H241" s="24"/>
      <c r="I241" s="24"/>
      <c r="J241" s="24"/>
      <c r="K241" s="25"/>
    </row>
    <row r="242" s="5" customFormat="1" ht="20" customHeight="1" spans="1:11">
      <c r="A242" s="22"/>
      <c r="B242" s="23"/>
      <c r="C242" s="24"/>
      <c r="D242" s="24"/>
      <c r="E242" s="24"/>
      <c r="F242" s="24"/>
      <c r="G242" s="24"/>
      <c r="H242" s="24"/>
      <c r="I242" s="24"/>
      <c r="J242" s="24"/>
      <c r="K242" s="25"/>
    </row>
    <row r="243" s="5" customFormat="1" ht="20" customHeight="1" spans="1:11">
      <c r="A243" s="22"/>
      <c r="B243" s="23"/>
      <c r="C243" s="24"/>
      <c r="D243" s="24"/>
      <c r="E243" s="24"/>
      <c r="F243" s="24"/>
      <c r="G243" s="24"/>
      <c r="H243" s="24"/>
      <c r="I243" s="24"/>
      <c r="J243" s="24"/>
      <c r="K243" s="25"/>
    </row>
    <row r="244" s="5" customFormat="1" ht="20" customHeight="1" spans="1:11">
      <c r="A244" s="22"/>
      <c r="B244" s="23"/>
      <c r="C244" s="24"/>
      <c r="D244" s="24"/>
      <c r="E244" s="24"/>
      <c r="F244" s="24"/>
      <c r="G244" s="24"/>
      <c r="H244" s="24"/>
      <c r="I244" s="24"/>
      <c r="J244" s="24"/>
      <c r="K244" s="25"/>
    </row>
    <row r="245" s="5" customFormat="1" ht="20" customHeight="1" spans="1:11">
      <c r="A245" s="22"/>
      <c r="B245" s="23"/>
      <c r="C245" s="24"/>
      <c r="D245" s="24"/>
      <c r="E245" s="24"/>
      <c r="F245" s="24"/>
      <c r="G245" s="24"/>
      <c r="H245" s="24"/>
      <c r="I245" s="24"/>
      <c r="J245" s="24"/>
      <c r="K245" s="25"/>
    </row>
    <row r="246" s="5" customFormat="1" ht="20" customHeight="1" spans="1:11">
      <c r="A246" s="22"/>
      <c r="B246" s="23"/>
      <c r="C246" s="24"/>
      <c r="D246" s="24"/>
      <c r="E246" s="24"/>
      <c r="F246" s="24"/>
      <c r="G246" s="24"/>
      <c r="H246" s="24"/>
      <c r="I246" s="24"/>
      <c r="J246" s="24"/>
      <c r="K246" s="25"/>
    </row>
    <row r="247" s="5" customFormat="1" ht="20" customHeight="1" spans="1:11">
      <c r="A247" s="22"/>
      <c r="B247" s="23"/>
      <c r="C247" s="24"/>
      <c r="D247" s="24"/>
      <c r="E247" s="24"/>
      <c r="F247" s="24"/>
      <c r="G247" s="24"/>
      <c r="H247" s="24"/>
      <c r="I247" s="24"/>
      <c r="J247" s="24"/>
      <c r="K247" s="25"/>
    </row>
    <row r="248" s="5" customFormat="1" ht="20" customHeight="1" spans="1:11">
      <c r="A248" s="22"/>
      <c r="B248" s="23"/>
      <c r="C248" s="24"/>
      <c r="D248" s="24"/>
      <c r="E248" s="24"/>
      <c r="F248" s="24"/>
      <c r="G248" s="24"/>
      <c r="H248" s="24"/>
      <c r="I248" s="24"/>
      <c r="J248" s="24"/>
      <c r="K248" s="25"/>
    </row>
    <row r="249" s="5" customFormat="1" ht="20" customHeight="1" spans="1:11">
      <c r="A249" s="22"/>
      <c r="B249" s="23"/>
      <c r="C249" s="24"/>
      <c r="D249" s="24"/>
      <c r="E249" s="24"/>
      <c r="F249" s="24"/>
      <c r="G249" s="24"/>
      <c r="H249" s="24"/>
      <c r="I249" s="24"/>
      <c r="J249" s="24"/>
      <c r="K249" s="25"/>
    </row>
    <row r="250" s="5" customFormat="1" ht="20" customHeight="1" spans="1:11">
      <c r="A250" s="22"/>
      <c r="B250" s="23"/>
      <c r="C250" s="24"/>
      <c r="D250" s="24"/>
      <c r="E250" s="24"/>
      <c r="F250" s="24"/>
      <c r="G250" s="24"/>
      <c r="H250" s="24"/>
      <c r="I250" s="24"/>
      <c r="J250" s="24"/>
      <c r="K250" s="25"/>
    </row>
    <row r="251" s="5" customFormat="1" ht="20" customHeight="1" spans="1:11">
      <c r="A251" s="22"/>
      <c r="B251" s="23"/>
      <c r="C251" s="24"/>
      <c r="D251" s="24"/>
      <c r="E251" s="24"/>
      <c r="F251" s="24"/>
      <c r="G251" s="24"/>
      <c r="H251" s="24"/>
      <c r="I251" s="24"/>
      <c r="J251" s="24"/>
      <c r="K251" s="25"/>
    </row>
    <row r="252" s="5" customFormat="1" ht="16.5" spans="1:11">
      <c r="A252" s="22"/>
      <c r="B252" s="23"/>
      <c r="C252" s="24"/>
      <c r="D252" s="24"/>
      <c r="E252" s="24"/>
      <c r="F252" s="24"/>
      <c r="G252" s="24"/>
      <c r="H252" s="24"/>
      <c r="I252" s="24"/>
      <c r="J252" s="24"/>
      <c r="K252" s="25"/>
    </row>
    <row r="253" s="5" customFormat="1" ht="16.5" spans="1:11">
      <c r="A253" s="22"/>
      <c r="B253" s="23"/>
      <c r="C253" s="24"/>
      <c r="D253" s="24"/>
      <c r="E253" s="24"/>
      <c r="F253" s="24"/>
      <c r="G253" s="24"/>
      <c r="H253" s="24"/>
      <c r="I253" s="24"/>
      <c r="J253" s="24"/>
      <c r="K253" s="25"/>
    </row>
    <row r="254" s="5" customFormat="1" ht="16.5" spans="1:11">
      <c r="A254" s="22"/>
      <c r="B254" s="23"/>
      <c r="C254" s="24"/>
      <c r="D254" s="24"/>
      <c r="E254" s="24"/>
      <c r="F254" s="24"/>
      <c r="G254" s="24"/>
      <c r="H254" s="24"/>
      <c r="I254" s="24"/>
      <c r="J254" s="24"/>
      <c r="K254" s="25"/>
    </row>
    <row r="255" s="5" customFormat="1" ht="16.5" spans="1:11">
      <c r="A255" s="22"/>
      <c r="B255" s="23"/>
      <c r="C255" s="24"/>
      <c r="D255" s="24"/>
      <c r="E255" s="24"/>
      <c r="F255" s="24"/>
      <c r="G255" s="24"/>
      <c r="H255" s="24"/>
      <c r="I255" s="24"/>
      <c r="J255" s="24"/>
      <c r="K255" s="25"/>
    </row>
    <row r="256" s="5" customFormat="1" ht="16.5" spans="1:11">
      <c r="A256" s="22"/>
      <c r="B256" s="23"/>
      <c r="C256" s="24"/>
      <c r="D256" s="24"/>
      <c r="E256" s="24"/>
      <c r="F256" s="24"/>
      <c r="G256" s="24"/>
      <c r="H256" s="24"/>
      <c r="I256" s="24"/>
      <c r="J256" s="24"/>
      <c r="K256" s="25"/>
    </row>
    <row r="257" s="5" customFormat="1" ht="16.5" spans="1:11">
      <c r="A257" s="22"/>
      <c r="B257" s="23"/>
      <c r="C257" s="24"/>
      <c r="D257" s="24"/>
      <c r="E257" s="24"/>
      <c r="F257" s="24"/>
      <c r="G257" s="24"/>
      <c r="H257" s="24"/>
      <c r="I257" s="24"/>
      <c r="J257" s="24"/>
      <c r="K257" s="25"/>
    </row>
    <row r="258" s="5" customFormat="1" ht="16.5" spans="1:11">
      <c r="A258" s="22"/>
      <c r="B258" s="23"/>
      <c r="C258" s="24"/>
      <c r="D258" s="24"/>
      <c r="E258" s="24"/>
      <c r="F258" s="24"/>
      <c r="G258" s="24"/>
      <c r="H258" s="24"/>
      <c r="I258" s="24"/>
      <c r="J258" s="24"/>
      <c r="K258" s="25"/>
    </row>
    <row r="259" s="5" customFormat="1" ht="16.5" spans="1:11">
      <c r="A259" s="22"/>
      <c r="B259" s="23"/>
      <c r="C259" s="24"/>
      <c r="D259" s="24"/>
      <c r="E259" s="24"/>
      <c r="F259" s="24"/>
      <c r="G259" s="24"/>
      <c r="H259" s="24"/>
      <c r="I259" s="24"/>
      <c r="J259" s="24"/>
      <c r="K259" s="25"/>
    </row>
    <row r="260" s="5" customFormat="1" ht="16.5" spans="1:11">
      <c r="A260" s="22"/>
      <c r="B260" s="23"/>
      <c r="C260" s="24"/>
      <c r="D260" s="24"/>
      <c r="E260" s="24"/>
      <c r="F260" s="24"/>
      <c r="G260" s="24"/>
      <c r="H260" s="24"/>
      <c r="I260" s="24"/>
      <c r="J260" s="24"/>
      <c r="K260" s="25"/>
    </row>
    <row r="261" s="5" customFormat="1" ht="16.5" spans="1:11">
      <c r="A261" s="22"/>
      <c r="B261" s="23"/>
      <c r="C261" s="24"/>
      <c r="D261" s="24"/>
      <c r="E261" s="24"/>
      <c r="F261" s="24"/>
      <c r="G261" s="24"/>
      <c r="H261" s="24"/>
      <c r="I261" s="24"/>
      <c r="J261" s="24"/>
      <c r="K261" s="25"/>
    </row>
    <row r="262" s="5" customFormat="1" ht="16.5" spans="1:11">
      <c r="A262" s="22"/>
      <c r="B262" s="23"/>
      <c r="C262" s="24"/>
      <c r="D262" s="24"/>
      <c r="E262" s="24"/>
      <c r="F262" s="24"/>
      <c r="G262" s="24"/>
      <c r="H262" s="24"/>
      <c r="I262" s="24"/>
      <c r="J262" s="24"/>
      <c r="K262" s="25"/>
    </row>
    <row r="263" s="5" customFormat="1" ht="16.5" spans="1:11">
      <c r="A263" s="22"/>
      <c r="B263" s="23"/>
      <c r="C263" s="24"/>
      <c r="D263" s="24"/>
      <c r="E263" s="24"/>
      <c r="F263" s="24"/>
      <c r="G263" s="24"/>
      <c r="H263" s="24"/>
      <c r="I263" s="24"/>
      <c r="J263" s="24"/>
      <c r="K263" s="25"/>
    </row>
    <row r="264" s="5" customFormat="1" ht="16.5" spans="1:11">
      <c r="A264" s="22"/>
      <c r="B264" s="23"/>
      <c r="C264" s="24"/>
      <c r="D264" s="24"/>
      <c r="E264" s="24"/>
      <c r="F264" s="24"/>
      <c r="G264" s="24"/>
      <c r="H264" s="24"/>
      <c r="I264" s="24"/>
      <c r="J264" s="24"/>
      <c r="K264" s="25"/>
    </row>
    <row r="265" s="5" customFormat="1" ht="16.5" spans="1:11">
      <c r="A265" s="22"/>
      <c r="B265" s="23"/>
      <c r="C265" s="24"/>
      <c r="D265" s="24"/>
      <c r="E265" s="24"/>
      <c r="F265" s="24"/>
      <c r="G265" s="24"/>
      <c r="H265" s="24"/>
      <c r="I265" s="24"/>
      <c r="J265" s="24"/>
      <c r="K265" s="25"/>
    </row>
    <row r="266" s="5" customFormat="1" ht="16.5" spans="1:11">
      <c r="A266" s="22"/>
      <c r="B266" s="23"/>
      <c r="C266" s="24"/>
      <c r="D266" s="24"/>
      <c r="E266" s="24"/>
      <c r="F266" s="24"/>
      <c r="G266" s="24"/>
      <c r="H266" s="24"/>
      <c r="I266" s="24"/>
      <c r="J266" s="24"/>
      <c r="K266" s="25"/>
    </row>
    <row r="267" s="5" customFormat="1" ht="16.5" spans="1:11">
      <c r="A267" s="22"/>
      <c r="B267" s="23"/>
      <c r="C267" s="24"/>
      <c r="D267" s="24"/>
      <c r="E267" s="24"/>
      <c r="F267" s="24"/>
      <c r="G267" s="24"/>
      <c r="H267" s="24"/>
      <c r="I267" s="24"/>
      <c r="J267" s="24"/>
      <c r="K267" s="25"/>
    </row>
    <row r="268" s="5" customFormat="1" ht="16.5" spans="1:11">
      <c r="A268" s="22"/>
      <c r="B268" s="23"/>
      <c r="C268" s="24"/>
      <c r="D268" s="24"/>
      <c r="E268" s="24"/>
      <c r="F268" s="24"/>
      <c r="G268" s="24"/>
      <c r="H268" s="24"/>
      <c r="I268" s="24"/>
      <c r="J268" s="24"/>
      <c r="K268" s="25"/>
    </row>
    <row r="269" s="5" customFormat="1" ht="16.5" spans="1:11">
      <c r="A269" s="22"/>
      <c r="B269" s="23"/>
      <c r="C269" s="24"/>
      <c r="D269" s="24"/>
      <c r="E269" s="24"/>
      <c r="F269" s="24"/>
      <c r="G269" s="24"/>
      <c r="H269" s="24"/>
      <c r="I269" s="24"/>
      <c r="J269" s="24"/>
      <c r="K269" s="25"/>
    </row>
    <row r="270" s="5" customFormat="1" ht="16.5" spans="1:11">
      <c r="A270" s="22"/>
      <c r="B270" s="23"/>
      <c r="C270" s="24"/>
      <c r="D270" s="24"/>
      <c r="E270" s="24"/>
      <c r="F270" s="24"/>
      <c r="G270" s="24"/>
      <c r="H270" s="24"/>
      <c r="I270" s="24"/>
      <c r="J270" s="24"/>
      <c r="K270" s="25"/>
    </row>
    <row r="271" s="5" customFormat="1" ht="16.5" spans="1:11">
      <c r="A271" s="22"/>
      <c r="B271" s="23"/>
      <c r="C271" s="24"/>
      <c r="D271" s="24"/>
      <c r="E271" s="24"/>
      <c r="F271" s="24"/>
      <c r="G271" s="24"/>
      <c r="H271" s="24"/>
      <c r="I271" s="24"/>
      <c r="J271" s="24"/>
      <c r="K271" s="25"/>
    </row>
    <row r="272" s="5" customFormat="1" ht="16.5" spans="1:11">
      <c r="A272" s="22"/>
      <c r="B272" s="23"/>
      <c r="C272" s="24"/>
      <c r="D272" s="24"/>
      <c r="E272" s="24"/>
      <c r="F272" s="24"/>
      <c r="G272" s="24"/>
      <c r="H272" s="24"/>
      <c r="I272" s="24"/>
      <c r="J272" s="24"/>
      <c r="K272" s="25"/>
    </row>
    <row r="273" s="5" customFormat="1" ht="16.5" spans="1:11">
      <c r="A273" s="22"/>
      <c r="B273" s="23"/>
      <c r="C273" s="24"/>
      <c r="D273" s="24"/>
      <c r="E273" s="24"/>
      <c r="F273" s="24"/>
      <c r="G273" s="24"/>
      <c r="H273" s="24"/>
      <c r="I273" s="24"/>
      <c r="J273" s="24"/>
      <c r="K273" s="25"/>
    </row>
    <row r="274" s="5" customFormat="1" ht="16.5" spans="1:11">
      <c r="A274" s="22"/>
      <c r="B274" s="23"/>
      <c r="C274" s="24"/>
      <c r="D274" s="24"/>
      <c r="E274" s="24"/>
      <c r="F274" s="24"/>
      <c r="G274" s="24"/>
      <c r="H274" s="24"/>
      <c r="I274" s="24"/>
      <c r="J274" s="24"/>
      <c r="K274" s="25"/>
    </row>
    <row r="275" s="5" customFormat="1" ht="16.5" spans="1:11">
      <c r="A275" s="22"/>
      <c r="B275" s="23"/>
      <c r="C275" s="24"/>
      <c r="D275" s="24"/>
      <c r="E275" s="24"/>
      <c r="F275" s="24"/>
      <c r="G275" s="24"/>
      <c r="H275" s="24"/>
      <c r="I275" s="24"/>
      <c r="J275" s="24"/>
      <c r="K275" s="25"/>
    </row>
    <row r="276" s="5" customFormat="1" ht="16.5" spans="1:11">
      <c r="A276" s="22"/>
      <c r="B276" s="23"/>
      <c r="C276" s="24"/>
      <c r="D276" s="24"/>
      <c r="E276" s="24"/>
      <c r="F276" s="24"/>
      <c r="G276" s="24"/>
      <c r="H276" s="24"/>
      <c r="I276" s="24"/>
      <c r="J276" s="24"/>
      <c r="K276" s="25"/>
    </row>
    <row r="277" s="5" customFormat="1" ht="16.5" spans="1:11">
      <c r="A277" s="22"/>
      <c r="B277" s="23"/>
      <c r="C277" s="24"/>
      <c r="D277" s="24"/>
      <c r="E277" s="24"/>
      <c r="F277" s="24"/>
      <c r="G277" s="24"/>
      <c r="H277" s="24"/>
      <c r="I277" s="24"/>
      <c r="J277" s="24"/>
      <c r="K277" s="25"/>
    </row>
    <row r="278" s="5" customFormat="1" ht="16.5" spans="1:11">
      <c r="A278" s="22"/>
      <c r="B278" s="23"/>
      <c r="C278" s="24"/>
      <c r="D278" s="24"/>
      <c r="E278" s="24"/>
      <c r="F278" s="24"/>
      <c r="G278" s="24"/>
      <c r="H278" s="24"/>
      <c r="I278" s="24"/>
      <c r="J278" s="24"/>
      <c r="K278" s="25"/>
    </row>
    <row r="279" s="5" customFormat="1" ht="16.5" spans="1:11">
      <c r="A279" s="22"/>
      <c r="B279" s="23"/>
      <c r="C279" s="24"/>
      <c r="D279" s="24"/>
      <c r="E279" s="24"/>
      <c r="F279" s="24"/>
      <c r="G279" s="24"/>
      <c r="H279" s="24"/>
      <c r="I279" s="24"/>
      <c r="J279" s="24"/>
      <c r="K279" s="25"/>
    </row>
    <row r="280" s="5" customFormat="1" ht="16.5" spans="1:11">
      <c r="A280" s="22"/>
      <c r="B280" s="23"/>
      <c r="C280" s="24"/>
      <c r="D280" s="24"/>
      <c r="E280" s="24"/>
      <c r="F280" s="24"/>
      <c r="G280" s="24"/>
      <c r="H280" s="24"/>
      <c r="I280" s="24"/>
      <c r="J280" s="24"/>
      <c r="K280" s="25"/>
    </row>
    <row r="281" s="5" customFormat="1" ht="16.5" spans="1:11">
      <c r="A281" s="22"/>
      <c r="B281" s="23"/>
      <c r="C281" s="24"/>
      <c r="D281" s="24"/>
      <c r="E281" s="24"/>
      <c r="F281" s="24"/>
      <c r="G281" s="24"/>
      <c r="H281" s="24"/>
      <c r="I281" s="24"/>
      <c r="J281" s="24"/>
      <c r="K281" s="25"/>
    </row>
    <row r="282" s="5" customFormat="1" ht="16.5" spans="1:11">
      <c r="A282" s="22"/>
      <c r="B282" s="23"/>
      <c r="C282" s="24"/>
      <c r="D282" s="24"/>
      <c r="E282" s="24"/>
      <c r="F282" s="24"/>
      <c r="G282" s="24"/>
      <c r="H282" s="24"/>
      <c r="I282" s="24"/>
      <c r="J282" s="24"/>
      <c r="K282" s="25"/>
    </row>
    <row r="283" s="5" customFormat="1" ht="16.5" spans="1:11">
      <c r="A283" s="22"/>
      <c r="B283" s="23"/>
      <c r="C283" s="24"/>
      <c r="D283" s="24"/>
      <c r="E283" s="24"/>
      <c r="F283" s="24"/>
      <c r="G283" s="24"/>
      <c r="H283" s="24"/>
      <c r="I283" s="24"/>
      <c r="J283" s="24"/>
      <c r="K283" s="25"/>
    </row>
    <row r="284" s="5" customFormat="1" ht="16.5" spans="1:11">
      <c r="A284" s="22"/>
      <c r="B284" s="23"/>
      <c r="C284" s="24"/>
      <c r="D284" s="24"/>
      <c r="E284" s="24"/>
      <c r="F284" s="24"/>
      <c r="G284" s="24"/>
      <c r="H284" s="24"/>
      <c r="I284" s="24"/>
      <c r="J284" s="24"/>
      <c r="K284" s="25"/>
    </row>
    <row r="285" s="5" customFormat="1" ht="16.5" spans="1:11">
      <c r="A285" s="22"/>
      <c r="B285" s="23"/>
      <c r="C285" s="24"/>
      <c r="D285" s="24"/>
      <c r="E285" s="24"/>
      <c r="F285" s="24"/>
      <c r="G285" s="24"/>
      <c r="H285" s="24"/>
      <c r="I285" s="24"/>
      <c r="J285" s="24"/>
      <c r="K285" s="25"/>
    </row>
    <row r="286" s="5" customFormat="1" ht="16.5" spans="1:11">
      <c r="A286" s="22"/>
      <c r="B286" s="23"/>
      <c r="C286" s="24"/>
      <c r="D286" s="24"/>
      <c r="E286" s="24"/>
      <c r="F286" s="24"/>
      <c r="G286" s="24"/>
      <c r="H286" s="24"/>
      <c r="I286" s="24"/>
      <c r="J286" s="24"/>
      <c r="K286" s="25"/>
    </row>
    <row r="287" s="5" customFormat="1" ht="16.5" spans="1:11">
      <c r="A287" s="22"/>
      <c r="B287" s="23"/>
      <c r="C287" s="24"/>
      <c r="D287" s="24"/>
      <c r="E287" s="24"/>
      <c r="F287" s="24"/>
      <c r="G287" s="24"/>
      <c r="H287" s="24"/>
      <c r="I287" s="24"/>
      <c r="J287" s="24"/>
      <c r="K287" s="25"/>
    </row>
    <row r="288" s="5" customFormat="1" ht="16.5" spans="1:11">
      <c r="A288" s="22"/>
      <c r="B288" s="23"/>
      <c r="C288" s="24"/>
      <c r="D288" s="24"/>
      <c r="E288" s="24"/>
      <c r="F288" s="24"/>
      <c r="G288" s="24"/>
      <c r="H288" s="24"/>
      <c r="I288" s="24"/>
      <c r="J288" s="24"/>
      <c r="K288" s="25"/>
    </row>
    <row r="289" s="5" customFormat="1" ht="16.5" spans="1:11">
      <c r="A289" s="22"/>
      <c r="B289" s="23"/>
      <c r="C289" s="24"/>
      <c r="D289" s="24"/>
      <c r="E289" s="24"/>
      <c r="F289" s="24"/>
      <c r="G289" s="24"/>
      <c r="H289" s="24"/>
      <c r="I289" s="24"/>
      <c r="J289" s="24"/>
      <c r="K289" s="25"/>
    </row>
    <row r="290" s="5" customFormat="1" ht="16.5" spans="1:11">
      <c r="A290" s="22"/>
      <c r="B290" s="23"/>
      <c r="C290" s="24"/>
      <c r="D290" s="24"/>
      <c r="E290" s="24"/>
      <c r="F290" s="24"/>
      <c r="G290" s="24"/>
      <c r="H290" s="24"/>
      <c r="I290" s="24"/>
      <c r="J290" s="24"/>
      <c r="K290" s="25"/>
    </row>
    <row r="291" s="5" customFormat="1" ht="16.5" spans="1:11">
      <c r="A291" s="22"/>
      <c r="B291" s="23"/>
      <c r="C291" s="24"/>
      <c r="D291" s="24"/>
      <c r="E291" s="24"/>
      <c r="F291" s="24"/>
      <c r="G291" s="24"/>
      <c r="H291" s="24"/>
      <c r="I291" s="24"/>
      <c r="J291" s="24"/>
      <c r="K291" s="25"/>
    </row>
    <row r="292" s="5" customFormat="1" ht="16.5" spans="1:11">
      <c r="A292" s="22"/>
      <c r="B292" s="23"/>
      <c r="C292" s="24"/>
      <c r="D292" s="24"/>
      <c r="E292" s="24"/>
      <c r="F292" s="24"/>
      <c r="G292" s="24"/>
      <c r="H292" s="24"/>
      <c r="I292" s="24"/>
      <c r="J292" s="24"/>
      <c r="K292" s="25"/>
    </row>
    <row r="293" s="5" customFormat="1" ht="16.5" spans="1:11">
      <c r="A293" s="22"/>
      <c r="B293" s="23"/>
      <c r="C293" s="24"/>
      <c r="D293" s="24"/>
      <c r="E293" s="24"/>
      <c r="F293" s="24"/>
      <c r="G293" s="24"/>
      <c r="H293" s="24"/>
      <c r="I293" s="24"/>
      <c r="J293" s="24"/>
      <c r="K293" s="25"/>
    </row>
    <row r="294" s="5" customFormat="1" ht="16.5" spans="1:11">
      <c r="A294" s="22"/>
      <c r="B294" s="23"/>
      <c r="C294" s="24"/>
      <c r="D294" s="24"/>
      <c r="E294" s="24"/>
      <c r="F294" s="24"/>
      <c r="G294" s="24"/>
      <c r="H294" s="24"/>
      <c r="I294" s="24"/>
      <c r="J294" s="24"/>
      <c r="K294" s="25"/>
    </row>
    <row r="295" s="5" customFormat="1" ht="16.5" spans="1:11">
      <c r="A295" s="22"/>
      <c r="B295" s="23"/>
      <c r="C295" s="24"/>
      <c r="D295" s="24"/>
      <c r="E295" s="24"/>
      <c r="F295" s="24"/>
      <c r="G295" s="24"/>
      <c r="H295" s="24"/>
      <c r="I295" s="24"/>
      <c r="J295" s="24"/>
      <c r="K295" s="25"/>
    </row>
    <row r="296" s="5" customFormat="1" ht="16.5" spans="1:11">
      <c r="A296" s="22"/>
      <c r="B296" s="23"/>
      <c r="C296" s="24"/>
      <c r="D296" s="24"/>
      <c r="E296" s="24"/>
      <c r="F296" s="24"/>
      <c r="G296" s="24"/>
      <c r="H296" s="24"/>
      <c r="I296" s="24"/>
      <c r="J296" s="24"/>
      <c r="K296" s="25"/>
    </row>
    <row r="297" s="5" customFormat="1" ht="16.5" spans="1:11">
      <c r="A297" s="22"/>
      <c r="B297" s="23"/>
      <c r="C297" s="24"/>
      <c r="D297" s="24"/>
      <c r="E297" s="24"/>
      <c r="F297" s="24"/>
      <c r="G297" s="24"/>
      <c r="H297" s="24"/>
      <c r="I297" s="24"/>
      <c r="J297" s="24"/>
      <c r="K297" s="25"/>
    </row>
    <row r="298" s="5" customFormat="1" ht="16.5" spans="1:11">
      <c r="A298" s="22"/>
      <c r="B298" s="23"/>
      <c r="C298" s="24"/>
      <c r="D298" s="24"/>
      <c r="E298" s="24"/>
      <c r="F298" s="24"/>
      <c r="G298" s="24"/>
      <c r="H298" s="24"/>
      <c r="I298" s="24"/>
      <c r="J298" s="24"/>
      <c r="K298" s="25"/>
    </row>
    <row r="299" s="5" customFormat="1" ht="16.5" spans="1:11">
      <c r="A299" s="22"/>
      <c r="B299" s="23"/>
      <c r="C299" s="24"/>
      <c r="D299" s="24"/>
      <c r="E299" s="24"/>
      <c r="F299" s="24"/>
      <c r="G299" s="24"/>
      <c r="H299" s="24"/>
      <c r="I299" s="24"/>
      <c r="J299" s="24"/>
      <c r="K299" s="25"/>
    </row>
    <row r="300" s="5" customFormat="1" ht="16.5" spans="1:11">
      <c r="A300" s="22"/>
      <c r="B300" s="23"/>
      <c r="C300" s="24"/>
      <c r="D300" s="24"/>
      <c r="E300" s="24"/>
      <c r="F300" s="24"/>
      <c r="G300" s="24"/>
      <c r="H300" s="24"/>
      <c r="I300" s="24"/>
      <c r="J300" s="24"/>
      <c r="K300" s="25"/>
    </row>
    <row r="301" s="5" customFormat="1" ht="16.5" spans="1:11">
      <c r="A301" s="22"/>
      <c r="B301" s="23"/>
      <c r="C301" s="24"/>
      <c r="D301" s="24"/>
      <c r="E301" s="24"/>
      <c r="F301" s="24"/>
      <c r="G301" s="24"/>
      <c r="H301" s="24"/>
      <c r="I301" s="24"/>
      <c r="J301" s="24"/>
      <c r="K301" s="25"/>
    </row>
    <row r="302" s="5" customFormat="1" ht="16.5" spans="1:11">
      <c r="A302" s="22"/>
      <c r="B302" s="23"/>
      <c r="C302" s="24"/>
      <c r="D302" s="24"/>
      <c r="E302" s="24"/>
      <c r="F302" s="24"/>
      <c r="G302" s="24"/>
      <c r="H302" s="24"/>
      <c r="I302" s="24"/>
      <c r="J302" s="24"/>
      <c r="K302" s="25"/>
    </row>
    <row r="303" s="5" customFormat="1" ht="16.5" spans="1:11">
      <c r="A303" s="22"/>
      <c r="B303" s="23"/>
      <c r="C303" s="24"/>
      <c r="D303" s="24"/>
      <c r="E303" s="24"/>
      <c r="F303" s="24"/>
      <c r="G303" s="24"/>
      <c r="H303" s="24"/>
      <c r="I303" s="24"/>
      <c r="J303" s="24"/>
      <c r="K303" s="25"/>
    </row>
    <row r="304" s="5" customFormat="1" ht="16.5" spans="1:11">
      <c r="A304" s="22"/>
      <c r="B304" s="23"/>
      <c r="C304" s="24"/>
      <c r="D304" s="24"/>
      <c r="E304" s="24"/>
      <c r="F304" s="24"/>
      <c r="G304" s="24"/>
      <c r="H304" s="24"/>
      <c r="I304" s="24"/>
      <c r="J304" s="24"/>
      <c r="K304" s="25"/>
    </row>
    <row r="305" s="5" customFormat="1" ht="16.5" spans="1:11">
      <c r="A305" s="22"/>
      <c r="B305" s="23"/>
      <c r="C305" s="24"/>
      <c r="D305" s="24"/>
      <c r="E305" s="24"/>
      <c r="F305" s="24"/>
      <c r="G305" s="24"/>
      <c r="H305" s="24"/>
      <c r="I305" s="24"/>
      <c r="J305" s="24"/>
      <c r="K305" s="25"/>
    </row>
    <row r="306" s="5" customFormat="1" ht="16.5" spans="1:11">
      <c r="A306" s="22"/>
      <c r="B306" s="23"/>
      <c r="C306" s="24"/>
      <c r="D306" s="24"/>
      <c r="E306" s="24"/>
      <c r="F306" s="24"/>
      <c r="G306" s="24"/>
      <c r="H306" s="24"/>
      <c r="I306" s="24"/>
      <c r="J306" s="24"/>
      <c r="K306" s="25"/>
    </row>
    <row r="307" s="5" customFormat="1" ht="16.5" spans="1:11">
      <c r="A307" s="22"/>
      <c r="B307" s="23"/>
      <c r="C307" s="24"/>
      <c r="D307" s="24"/>
      <c r="E307" s="24"/>
      <c r="F307" s="24"/>
      <c r="G307" s="24"/>
      <c r="H307" s="24"/>
      <c r="I307" s="24"/>
      <c r="J307" s="24"/>
      <c r="K307" s="25"/>
    </row>
    <row r="308" s="5" customFormat="1" ht="16.5" spans="1:11">
      <c r="A308" s="22"/>
      <c r="B308" s="23"/>
      <c r="C308" s="24"/>
      <c r="D308" s="24"/>
      <c r="E308" s="24"/>
      <c r="F308" s="24"/>
      <c r="G308" s="24"/>
      <c r="H308" s="24"/>
      <c r="I308" s="24"/>
      <c r="J308" s="24"/>
      <c r="K308" s="25"/>
    </row>
    <row r="309" s="5" customFormat="1" ht="16.5" spans="1:11">
      <c r="A309" s="22"/>
      <c r="B309" s="23"/>
      <c r="C309" s="24"/>
      <c r="D309" s="24"/>
      <c r="E309" s="24"/>
      <c r="F309" s="24"/>
      <c r="G309" s="24"/>
      <c r="H309" s="24"/>
      <c r="I309" s="24"/>
      <c r="J309" s="24"/>
      <c r="K309" s="25"/>
    </row>
    <row r="310" s="5" customFormat="1" ht="16.5" spans="1:11">
      <c r="A310" s="22"/>
      <c r="B310" s="23"/>
      <c r="C310" s="24"/>
      <c r="D310" s="24"/>
      <c r="E310" s="24"/>
      <c r="F310" s="24"/>
      <c r="G310" s="24"/>
      <c r="H310" s="24"/>
      <c r="I310" s="24"/>
      <c r="J310" s="24"/>
      <c r="K310" s="25"/>
    </row>
    <row r="311" s="5" customFormat="1" ht="16.5" spans="1:11">
      <c r="A311" s="22"/>
      <c r="B311" s="23"/>
      <c r="C311" s="24"/>
      <c r="D311" s="24"/>
      <c r="E311" s="24"/>
      <c r="F311" s="24"/>
      <c r="G311" s="24"/>
      <c r="H311" s="24"/>
      <c r="I311" s="24"/>
      <c r="J311" s="24"/>
      <c r="K311" s="25"/>
    </row>
    <row r="312" s="5" customFormat="1" ht="16.5" spans="1:11">
      <c r="A312" s="22"/>
      <c r="B312" s="23"/>
      <c r="C312" s="24"/>
      <c r="D312" s="24"/>
      <c r="E312" s="24"/>
      <c r="F312" s="24"/>
      <c r="G312" s="24"/>
      <c r="H312" s="24"/>
      <c r="I312" s="24"/>
      <c r="J312" s="24"/>
      <c r="K312" s="25"/>
    </row>
    <row r="313" s="5" customFormat="1" ht="16.5" spans="1:11">
      <c r="A313" s="22"/>
      <c r="B313" s="23"/>
      <c r="C313" s="24"/>
      <c r="D313" s="24"/>
      <c r="E313" s="24"/>
      <c r="F313" s="24"/>
      <c r="G313" s="24"/>
      <c r="H313" s="24"/>
      <c r="I313" s="24"/>
      <c r="J313" s="24"/>
      <c r="K313" s="25"/>
    </row>
    <row r="314" s="5" customFormat="1" ht="16.5" spans="1:11">
      <c r="A314" s="22"/>
      <c r="B314" s="23"/>
      <c r="C314" s="24"/>
      <c r="D314" s="24"/>
      <c r="E314" s="24"/>
      <c r="F314" s="24"/>
      <c r="G314" s="24"/>
      <c r="H314" s="24"/>
      <c r="I314" s="24"/>
      <c r="J314" s="24"/>
      <c r="K314" s="25"/>
    </row>
    <row r="315" s="5" customFormat="1" ht="16.5" spans="1:11">
      <c r="A315" s="22"/>
      <c r="B315" s="23"/>
      <c r="C315" s="24"/>
      <c r="D315" s="24"/>
      <c r="E315" s="24"/>
      <c r="F315" s="24"/>
      <c r="G315" s="24"/>
      <c r="H315" s="24"/>
      <c r="I315" s="24"/>
      <c r="J315" s="24"/>
      <c r="K315" s="25"/>
    </row>
    <row r="316" s="5" customFormat="1" ht="16.5" spans="1:11">
      <c r="A316" s="22"/>
      <c r="B316" s="23"/>
      <c r="C316" s="24"/>
      <c r="D316" s="24"/>
      <c r="E316" s="24"/>
      <c r="F316" s="24"/>
      <c r="G316" s="24"/>
      <c r="H316" s="24"/>
      <c r="I316" s="24"/>
      <c r="J316" s="24"/>
      <c r="K316" s="25"/>
    </row>
    <row r="317" s="5" customFormat="1" ht="16.5" spans="1:11">
      <c r="A317" s="22"/>
      <c r="B317" s="23"/>
      <c r="C317" s="24"/>
      <c r="D317" s="24"/>
      <c r="E317" s="24"/>
      <c r="F317" s="24"/>
      <c r="G317" s="24"/>
      <c r="H317" s="24"/>
      <c r="I317" s="24"/>
      <c r="J317" s="24"/>
      <c r="K317" s="25"/>
    </row>
    <row r="318" s="5" customFormat="1" ht="16.5" spans="1:11">
      <c r="A318" s="22"/>
      <c r="B318" s="23"/>
      <c r="C318" s="24"/>
      <c r="D318" s="24"/>
      <c r="E318" s="24"/>
      <c r="F318" s="24"/>
      <c r="G318" s="24"/>
      <c r="H318" s="24"/>
      <c r="I318" s="24"/>
      <c r="J318" s="24"/>
      <c r="K318" s="25"/>
    </row>
    <row r="319" s="5" customFormat="1" ht="16.5" spans="1:11">
      <c r="A319" s="22"/>
      <c r="B319" s="23"/>
      <c r="C319" s="24"/>
      <c r="D319" s="24"/>
      <c r="E319" s="24"/>
      <c r="F319" s="24"/>
      <c r="G319" s="24"/>
      <c r="H319" s="24"/>
      <c r="I319" s="24"/>
      <c r="J319" s="24"/>
      <c r="K319" s="25"/>
    </row>
    <row r="320" s="5" customFormat="1" ht="16.5" spans="1:11">
      <c r="A320" s="22"/>
      <c r="B320" s="23"/>
      <c r="C320" s="24"/>
      <c r="D320" s="24"/>
      <c r="E320" s="24"/>
      <c r="F320" s="24"/>
      <c r="G320" s="24"/>
      <c r="H320" s="24"/>
      <c r="I320" s="24"/>
      <c r="J320" s="24"/>
      <c r="K320" s="25"/>
    </row>
    <row r="321" s="5" customFormat="1" ht="16.5" spans="1:11">
      <c r="A321" s="22"/>
      <c r="B321" s="23"/>
      <c r="C321" s="24"/>
      <c r="D321" s="24"/>
      <c r="E321" s="24"/>
      <c r="F321" s="24"/>
      <c r="G321" s="24"/>
      <c r="H321" s="24"/>
      <c r="I321" s="24"/>
      <c r="J321" s="24"/>
      <c r="K321" s="25"/>
    </row>
    <row r="322" s="5" customFormat="1" ht="16.5" spans="1:11">
      <c r="A322" s="22"/>
      <c r="B322" s="23"/>
      <c r="C322" s="24"/>
      <c r="D322" s="24"/>
      <c r="E322" s="24"/>
      <c r="F322" s="24"/>
      <c r="G322" s="24"/>
      <c r="H322" s="24"/>
      <c r="I322" s="24"/>
      <c r="J322" s="24"/>
      <c r="K322" s="25"/>
    </row>
    <row r="323" s="5" customFormat="1" ht="16.5" spans="1:11">
      <c r="A323" s="22"/>
      <c r="B323" s="23"/>
      <c r="C323" s="24"/>
      <c r="D323" s="24"/>
      <c r="E323" s="24"/>
      <c r="F323" s="24"/>
      <c r="G323" s="24"/>
      <c r="H323" s="24"/>
      <c r="I323" s="24"/>
      <c r="J323" s="24"/>
      <c r="K323" s="25"/>
    </row>
    <row r="324" s="5" customFormat="1" ht="16.5" spans="1:11">
      <c r="A324" s="22"/>
      <c r="B324" s="23"/>
      <c r="C324" s="24"/>
      <c r="D324" s="24"/>
      <c r="E324" s="24"/>
      <c r="F324" s="24"/>
      <c r="G324" s="24"/>
      <c r="H324" s="24"/>
      <c r="I324" s="24"/>
      <c r="J324" s="24"/>
      <c r="K324" s="25"/>
    </row>
    <row r="325" s="5" customFormat="1" ht="16.5" spans="1:11">
      <c r="A325" s="22"/>
      <c r="B325" s="23"/>
      <c r="C325" s="24"/>
      <c r="D325" s="24"/>
      <c r="E325" s="24"/>
      <c r="F325" s="24"/>
      <c r="G325" s="24"/>
      <c r="H325" s="24"/>
      <c r="I325" s="24"/>
      <c r="J325" s="24"/>
      <c r="K325" s="25"/>
    </row>
    <row r="326" s="5" customFormat="1" ht="16.5" spans="1:11">
      <c r="A326" s="22"/>
      <c r="B326" s="23"/>
      <c r="C326" s="24"/>
      <c r="D326" s="24"/>
      <c r="E326" s="24"/>
      <c r="F326" s="24"/>
      <c r="G326" s="24"/>
      <c r="H326" s="24"/>
      <c r="I326" s="24"/>
      <c r="J326" s="24"/>
      <c r="K326" s="25"/>
    </row>
    <row r="327" s="5" customFormat="1" ht="16.5" spans="1:11">
      <c r="A327" s="22"/>
      <c r="B327" s="23"/>
      <c r="C327" s="24"/>
      <c r="D327" s="24"/>
      <c r="E327" s="24"/>
      <c r="F327" s="24"/>
      <c r="G327" s="24"/>
      <c r="H327" s="24"/>
      <c r="I327" s="24"/>
      <c r="J327" s="24"/>
      <c r="K327" s="25"/>
    </row>
    <row r="328" s="5" customFormat="1" ht="16.5" spans="1:11">
      <c r="A328" s="22"/>
      <c r="B328" s="23"/>
      <c r="C328" s="24"/>
      <c r="D328" s="24"/>
      <c r="E328" s="24"/>
      <c r="F328" s="24"/>
      <c r="G328" s="24"/>
      <c r="H328" s="24"/>
      <c r="I328" s="24"/>
      <c r="J328" s="24"/>
      <c r="K328" s="25"/>
    </row>
    <row r="329" s="5" customFormat="1" ht="16.5" spans="1:11">
      <c r="A329" s="22"/>
      <c r="B329" s="23"/>
      <c r="C329" s="24"/>
      <c r="D329" s="24"/>
      <c r="E329" s="24"/>
      <c r="F329" s="24"/>
      <c r="G329" s="24"/>
      <c r="H329" s="24"/>
      <c r="I329" s="24"/>
      <c r="J329" s="24"/>
      <c r="K329" s="25"/>
    </row>
    <row r="330" s="5" customFormat="1" ht="16.5" spans="1:11">
      <c r="A330" s="22"/>
      <c r="B330" s="23"/>
      <c r="C330" s="24"/>
      <c r="D330" s="24"/>
      <c r="E330" s="24"/>
      <c r="F330" s="24"/>
      <c r="G330" s="24"/>
      <c r="H330" s="24"/>
      <c r="I330" s="24"/>
      <c r="J330" s="24"/>
      <c r="K330" s="25"/>
    </row>
    <row r="331" s="5" customFormat="1" ht="16.5" spans="1:11">
      <c r="A331" s="22"/>
      <c r="B331" s="23"/>
      <c r="C331" s="24"/>
      <c r="D331" s="24"/>
      <c r="E331" s="24"/>
      <c r="F331" s="24"/>
      <c r="G331" s="24"/>
      <c r="H331" s="24"/>
      <c r="I331" s="24"/>
      <c r="J331" s="24"/>
      <c r="K331" s="25"/>
    </row>
    <row r="332" s="5" customFormat="1" ht="16.5" spans="1:11">
      <c r="A332" s="22"/>
      <c r="B332" s="23"/>
      <c r="C332" s="24"/>
      <c r="D332" s="24"/>
      <c r="E332" s="24"/>
      <c r="F332" s="24"/>
      <c r="G332" s="24"/>
      <c r="H332" s="24"/>
      <c r="I332" s="24"/>
      <c r="J332" s="24"/>
      <c r="K332" s="25"/>
    </row>
    <row r="333" s="5" customFormat="1" ht="16.5" spans="1:11">
      <c r="A333" s="22"/>
      <c r="B333" s="23"/>
      <c r="C333" s="24"/>
      <c r="D333" s="24"/>
      <c r="E333" s="24"/>
      <c r="F333" s="24"/>
      <c r="G333" s="24"/>
      <c r="H333" s="24"/>
      <c r="I333" s="24"/>
      <c r="J333" s="24"/>
      <c r="K333" s="25"/>
    </row>
    <row r="334" s="5" customFormat="1" ht="16.5" spans="1:11">
      <c r="A334" s="22"/>
      <c r="B334" s="23"/>
      <c r="C334" s="24"/>
      <c r="D334" s="24"/>
      <c r="E334" s="24"/>
      <c r="F334" s="24"/>
      <c r="G334" s="24"/>
      <c r="H334" s="24"/>
      <c r="I334" s="24"/>
      <c r="J334" s="24"/>
      <c r="K334" s="25"/>
    </row>
    <row r="335" s="5" customFormat="1" ht="16.5" spans="1:11">
      <c r="A335" s="22"/>
      <c r="B335" s="23"/>
      <c r="C335" s="24"/>
      <c r="D335" s="24"/>
      <c r="E335" s="24"/>
      <c r="F335" s="24"/>
      <c r="G335" s="24"/>
      <c r="H335" s="24"/>
      <c r="I335" s="24"/>
      <c r="J335" s="24"/>
      <c r="K335" s="25"/>
    </row>
    <row r="336" s="5" customFormat="1" ht="16.5" spans="1:11">
      <c r="A336" s="22"/>
      <c r="B336" s="23"/>
      <c r="C336" s="24"/>
      <c r="D336" s="24"/>
      <c r="E336" s="24"/>
      <c r="F336" s="24"/>
      <c r="G336" s="24"/>
      <c r="H336" s="24"/>
      <c r="I336" s="24"/>
      <c r="J336" s="24"/>
      <c r="K336" s="25"/>
    </row>
    <row r="337" s="5" customFormat="1" ht="16.5" spans="1:11">
      <c r="A337" s="22"/>
      <c r="B337" s="23"/>
      <c r="C337" s="24"/>
      <c r="D337" s="24"/>
      <c r="E337" s="24"/>
      <c r="F337" s="24"/>
      <c r="G337" s="24"/>
      <c r="H337" s="24"/>
      <c r="I337" s="24"/>
      <c r="J337" s="24"/>
      <c r="K337" s="25"/>
    </row>
    <row r="338" s="5" customFormat="1" ht="16.5" spans="1:11">
      <c r="A338" s="22"/>
      <c r="B338" s="23"/>
      <c r="C338" s="24"/>
      <c r="D338" s="24"/>
      <c r="E338" s="24"/>
      <c r="F338" s="24"/>
      <c r="G338" s="24"/>
      <c r="H338" s="24"/>
      <c r="I338" s="24"/>
      <c r="J338" s="24"/>
      <c r="K338" s="25"/>
    </row>
    <row r="339" s="5" customFormat="1" ht="16.5" spans="1:11">
      <c r="A339" s="22"/>
      <c r="B339" s="23"/>
      <c r="C339" s="24"/>
      <c r="D339" s="24"/>
      <c r="E339" s="24"/>
      <c r="F339" s="24"/>
      <c r="G339" s="24"/>
      <c r="H339" s="24"/>
      <c r="I339" s="24"/>
      <c r="J339" s="24"/>
      <c r="K339" s="25"/>
    </row>
    <row r="340" s="5" customFormat="1" ht="16.5" spans="1:11">
      <c r="A340" s="22"/>
      <c r="B340" s="23"/>
      <c r="C340" s="24"/>
      <c r="D340" s="24"/>
      <c r="E340" s="24"/>
      <c r="F340" s="24"/>
      <c r="G340" s="24"/>
      <c r="H340" s="24"/>
      <c r="I340" s="24"/>
      <c r="J340" s="24"/>
      <c r="K340" s="25"/>
    </row>
    <row r="341" s="5" customFormat="1" ht="16.5" spans="1:11">
      <c r="A341" s="22"/>
      <c r="B341" s="23"/>
      <c r="C341" s="24"/>
      <c r="D341" s="24"/>
      <c r="E341" s="24"/>
      <c r="F341" s="24"/>
      <c r="G341" s="24"/>
      <c r="H341" s="24"/>
      <c r="I341" s="24"/>
      <c r="J341" s="24"/>
      <c r="K341" s="25"/>
    </row>
    <row r="342" s="5" customFormat="1" ht="16.5" spans="1:11">
      <c r="A342" s="22"/>
      <c r="B342" s="23"/>
      <c r="C342" s="24"/>
      <c r="D342" s="24"/>
      <c r="E342" s="24"/>
      <c r="F342" s="24"/>
      <c r="G342" s="24"/>
      <c r="H342" s="24"/>
      <c r="I342" s="24"/>
      <c r="J342" s="24"/>
      <c r="K342" s="25"/>
    </row>
    <row r="343" s="5" customFormat="1" ht="16.5" spans="1:11">
      <c r="A343" s="22"/>
      <c r="B343" s="23"/>
      <c r="C343" s="24"/>
      <c r="D343" s="24"/>
      <c r="E343" s="24"/>
      <c r="F343" s="24"/>
      <c r="G343" s="24"/>
      <c r="H343" s="24"/>
      <c r="I343" s="24"/>
      <c r="J343" s="24"/>
      <c r="K343" s="25"/>
    </row>
    <row r="344" s="5" customFormat="1" ht="16.5" spans="1:11">
      <c r="A344" s="22"/>
      <c r="B344" s="23"/>
      <c r="C344" s="24"/>
      <c r="D344" s="24"/>
      <c r="E344" s="24"/>
      <c r="F344" s="24"/>
      <c r="G344" s="24"/>
      <c r="H344" s="24"/>
      <c r="I344" s="24"/>
      <c r="J344" s="24"/>
      <c r="K344" s="25"/>
    </row>
    <row r="345" s="5" customFormat="1" ht="16.5" spans="1:11">
      <c r="A345" s="22"/>
      <c r="B345" s="23"/>
      <c r="C345" s="24"/>
      <c r="D345" s="24"/>
      <c r="E345" s="24"/>
      <c r="F345" s="24"/>
      <c r="G345" s="24"/>
      <c r="H345" s="24"/>
      <c r="I345" s="24"/>
      <c r="J345" s="24"/>
      <c r="K345" s="25"/>
    </row>
    <row r="346" s="5" customFormat="1" ht="16.5" spans="1:11">
      <c r="A346" s="22"/>
      <c r="B346" s="23"/>
      <c r="C346" s="24"/>
      <c r="D346" s="24"/>
      <c r="E346" s="24"/>
      <c r="F346" s="24"/>
      <c r="G346" s="24"/>
      <c r="H346" s="24"/>
      <c r="I346" s="24"/>
      <c r="J346" s="24"/>
      <c r="K346" s="25"/>
    </row>
    <row r="347" s="5" customFormat="1" ht="16.5" spans="1:11">
      <c r="A347" s="22"/>
      <c r="B347" s="23"/>
      <c r="C347" s="24"/>
      <c r="D347" s="24"/>
      <c r="E347" s="24"/>
      <c r="F347" s="24"/>
      <c r="G347" s="24"/>
      <c r="H347" s="24"/>
      <c r="I347" s="24"/>
      <c r="J347" s="24"/>
      <c r="K347" s="25"/>
    </row>
    <row r="348" s="5" customFormat="1" ht="16.5" spans="1:11">
      <c r="A348" s="22"/>
      <c r="B348" s="23"/>
      <c r="C348" s="24"/>
      <c r="D348" s="24"/>
      <c r="E348" s="24"/>
      <c r="F348" s="24"/>
      <c r="G348" s="24"/>
      <c r="H348" s="24"/>
      <c r="I348" s="24"/>
      <c r="J348" s="24"/>
      <c r="K348" s="25"/>
    </row>
    <row r="349" s="5" customFormat="1" ht="16.5" spans="1:11">
      <c r="A349" s="22"/>
      <c r="B349" s="23"/>
      <c r="C349" s="24"/>
      <c r="D349" s="24"/>
      <c r="E349" s="24"/>
      <c r="F349" s="24"/>
      <c r="G349" s="24"/>
      <c r="H349" s="24"/>
      <c r="I349" s="24"/>
      <c r="J349" s="24"/>
      <c r="K349" s="25"/>
    </row>
    <row r="350" s="5" customFormat="1" ht="16.5" spans="1:11">
      <c r="A350" s="22"/>
      <c r="B350" s="23"/>
      <c r="C350" s="24"/>
      <c r="D350" s="24"/>
      <c r="E350" s="24"/>
      <c r="F350" s="24"/>
      <c r="G350" s="24"/>
      <c r="H350" s="24"/>
      <c r="I350" s="24"/>
      <c r="J350" s="24"/>
      <c r="K350" s="25"/>
    </row>
    <row r="351" s="5" customFormat="1" ht="16.5" spans="1:11">
      <c r="A351" s="22"/>
      <c r="B351" s="23"/>
      <c r="C351" s="24"/>
      <c r="D351" s="24"/>
      <c r="E351" s="24"/>
      <c r="F351" s="24"/>
      <c r="G351" s="24"/>
      <c r="H351" s="24"/>
      <c r="I351" s="24"/>
      <c r="J351" s="24"/>
      <c r="K351" s="25"/>
    </row>
    <row r="352" s="5" customFormat="1" ht="16.5" spans="1:11">
      <c r="A352" s="22"/>
      <c r="B352" s="23"/>
      <c r="C352" s="24"/>
      <c r="D352" s="24"/>
      <c r="E352" s="24"/>
      <c r="F352" s="24"/>
      <c r="G352" s="24"/>
      <c r="H352" s="24"/>
      <c r="I352" s="24"/>
      <c r="J352" s="24"/>
      <c r="K352" s="25"/>
    </row>
    <row r="353" s="5" customFormat="1" ht="16.5" spans="1:11">
      <c r="A353" s="22"/>
      <c r="B353" s="23"/>
      <c r="C353" s="24"/>
      <c r="D353" s="24"/>
      <c r="E353" s="24"/>
      <c r="F353" s="24"/>
      <c r="G353" s="24"/>
      <c r="H353" s="24"/>
      <c r="I353" s="24"/>
      <c r="J353" s="24"/>
      <c r="K353" s="25"/>
    </row>
    <row r="354" s="5" customFormat="1" ht="16.5" spans="1:11">
      <c r="A354" s="22"/>
      <c r="B354" s="23"/>
      <c r="C354" s="24"/>
      <c r="D354" s="24"/>
      <c r="E354" s="24"/>
      <c r="F354" s="24"/>
      <c r="G354" s="24"/>
      <c r="H354" s="24"/>
      <c r="I354" s="24"/>
      <c r="J354" s="24"/>
      <c r="K354" s="25"/>
    </row>
    <row r="355" s="5" customFormat="1" ht="16.5" spans="1:11">
      <c r="A355" s="22"/>
      <c r="B355" s="23"/>
      <c r="C355" s="24"/>
      <c r="D355" s="24"/>
      <c r="E355" s="24"/>
      <c r="F355" s="24"/>
      <c r="G355" s="24"/>
      <c r="H355" s="24"/>
      <c r="I355" s="24"/>
      <c r="J355" s="24"/>
      <c r="K355" s="25"/>
    </row>
    <row r="356" s="5" customFormat="1" ht="16.5" spans="1:11">
      <c r="A356" s="22"/>
      <c r="B356" s="23"/>
      <c r="C356" s="24"/>
      <c r="D356" s="24"/>
      <c r="E356" s="24"/>
      <c r="F356" s="24"/>
      <c r="G356" s="24"/>
      <c r="H356" s="24"/>
      <c r="I356" s="24"/>
      <c r="J356" s="24"/>
      <c r="K356" s="25"/>
    </row>
    <row r="357" s="5" customFormat="1" ht="16.5" spans="1:11">
      <c r="A357" s="22"/>
      <c r="B357" s="23"/>
      <c r="C357" s="24"/>
      <c r="D357" s="24"/>
      <c r="E357" s="24"/>
      <c r="F357" s="24"/>
      <c r="G357" s="24"/>
      <c r="H357" s="24"/>
      <c r="I357" s="24"/>
      <c r="J357" s="24"/>
      <c r="K357" s="25"/>
    </row>
    <row r="358" s="5" customFormat="1" ht="16.5" spans="1:11">
      <c r="A358" s="22"/>
      <c r="B358" s="23"/>
      <c r="C358" s="24"/>
      <c r="D358" s="24"/>
      <c r="E358" s="24"/>
      <c r="F358" s="24"/>
      <c r="G358" s="24"/>
      <c r="H358" s="24"/>
      <c r="I358" s="24"/>
      <c r="J358" s="24"/>
      <c r="K358" s="25"/>
    </row>
    <row r="359" s="5" customFormat="1" ht="16.5" spans="1:11">
      <c r="A359" s="22"/>
      <c r="B359" s="23"/>
      <c r="C359" s="24"/>
      <c r="D359" s="24"/>
      <c r="E359" s="24"/>
      <c r="F359" s="24"/>
      <c r="G359" s="24"/>
      <c r="H359" s="24"/>
      <c r="I359" s="24"/>
      <c r="J359" s="24"/>
      <c r="K359" s="25"/>
    </row>
    <row r="360" s="5" customFormat="1" ht="16.5" spans="1:11">
      <c r="A360" s="22"/>
      <c r="B360" s="23"/>
      <c r="C360" s="24"/>
      <c r="D360" s="24"/>
      <c r="E360" s="24"/>
      <c r="F360" s="24"/>
      <c r="G360" s="24"/>
      <c r="H360" s="24"/>
      <c r="I360" s="24"/>
      <c r="J360" s="24"/>
      <c r="K360" s="25"/>
    </row>
    <row r="361" s="5" customFormat="1" ht="16.5" spans="1:11">
      <c r="A361" s="22"/>
      <c r="B361" s="23"/>
      <c r="C361" s="24"/>
      <c r="D361" s="24"/>
      <c r="E361" s="24"/>
      <c r="F361" s="24"/>
      <c r="G361" s="24"/>
      <c r="H361" s="24"/>
      <c r="I361" s="24"/>
      <c r="J361" s="24"/>
      <c r="K361" s="25"/>
    </row>
    <row r="362" s="5" customFormat="1" ht="16.5" spans="1:11">
      <c r="A362" s="22"/>
      <c r="B362" s="23"/>
      <c r="C362" s="24"/>
      <c r="D362" s="24"/>
      <c r="E362" s="24"/>
      <c r="F362" s="24"/>
      <c r="G362" s="24"/>
      <c r="H362" s="24"/>
      <c r="I362" s="24"/>
      <c r="J362" s="24"/>
      <c r="K362" s="25"/>
    </row>
    <row r="363" s="5" customFormat="1" ht="16.5" spans="1:11">
      <c r="A363" s="22"/>
      <c r="B363" s="23"/>
      <c r="C363" s="24"/>
      <c r="D363" s="24"/>
      <c r="E363" s="24"/>
      <c r="F363" s="24"/>
      <c r="G363" s="24"/>
      <c r="H363" s="24"/>
      <c r="I363" s="24"/>
      <c r="J363" s="24"/>
      <c r="K363" s="25"/>
    </row>
    <row r="364" s="5" customFormat="1" ht="16.5" spans="1:11">
      <c r="A364" s="22"/>
      <c r="B364" s="23"/>
      <c r="C364" s="24"/>
      <c r="D364" s="24"/>
      <c r="E364" s="24"/>
      <c r="F364" s="24"/>
      <c r="G364" s="24"/>
      <c r="H364" s="24"/>
      <c r="I364" s="24"/>
      <c r="J364" s="24"/>
      <c r="K364" s="25"/>
    </row>
    <row r="365" s="5" customFormat="1" ht="16.5" spans="1:11">
      <c r="A365" s="22"/>
      <c r="B365" s="23"/>
      <c r="C365" s="24"/>
      <c r="D365" s="24"/>
      <c r="E365" s="24"/>
      <c r="F365" s="24"/>
      <c r="G365" s="24"/>
      <c r="H365" s="24"/>
      <c r="I365" s="24"/>
      <c r="J365" s="24"/>
      <c r="K365" s="25"/>
    </row>
    <row r="366" s="5" customFormat="1" ht="16.5" spans="1:11">
      <c r="A366" s="22"/>
      <c r="B366" s="23"/>
      <c r="C366" s="24"/>
      <c r="D366" s="24"/>
      <c r="E366" s="24"/>
      <c r="F366" s="24"/>
      <c r="G366" s="24"/>
      <c r="H366" s="24"/>
      <c r="I366" s="24"/>
      <c r="J366" s="24"/>
      <c r="K366" s="25"/>
    </row>
    <row r="367" s="5" customFormat="1" ht="16.5" spans="1:11">
      <c r="A367" s="22"/>
      <c r="B367" s="23"/>
      <c r="C367" s="24"/>
      <c r="D367" s="24"/>
      <c r="E367" s="24"/>
      <c r="F367" s="24"/>
      <c r="G367" s="24"/>
      <c r="H367" s="24"/>
      <c r="I367" s="24"/>
      <c r="J367" s="24"/>
      <c r="K367" s="25"/>
    </row>
    <row r="368" s="5" customFormat="1" ht="16.5" spans="1:11">
      <c r="A368" s="22"/>
      <c r="B368" s="23"/>
      <c r="C368" s="24"/>
      <c r="D368" s="24"/>
      <c r="E368" s="24"/>
      <c r="F368" s="24"/>
      <c r="G368" s="24"/>
      <c r="H368" s="24"/>
      <c r="I368" s="24"/>
      <c r="J368" s="24"/>
      <c r="K368" s="25"/>
    </row>
    <row r="369" s="5" customFormat="1" ht="16.5" spans="1:11">
      <c r="A369" s="22"/>
      <c r="B369" s="23"/>
      <c r="C369" s="24"/>
      <c r="D369" s="24"/>
      <c r="E369" s="24"/>
      <c r="F369" s="24"/>
      <c r="G369" s="24"/>
      <c r="H369" s="24"/>
      <c r="I369" s="24"/>
      <c r="J369" s="24"/>
      <c r="K369" s="25"/>
    </row>
    <row r="370" s="5" customFormat="1" ht="16.5" spans="1:11">
      <c r="A370" s="22"/>
      <c r="B370" s="23"/>
      <c r="C370" s="24"/>
      <c r="D370" s="24"/>
      <c r="E370" s="24"/>
      <c r="F370" s="24"/>
      <c r="G370" s="24"/>
      <c r="H370" s="24"/>
      <c r="I370" s="24"/>
      <c r="J370" s="24"/>
      <c r="K370" s="25"/>
    </row>
    <row r="371" s="5" customFormat="1" ht="16.5" spans="1:11">
      <c r="A371" s="22"/>
      <c r="B371" s="23"/>
      <c r="C371" s="24"/>
      <c r="D371" s="24"/>
      <c r="E371" s="24"/>
      <c r="F371" s="24"/>
      <c r="G371" s="24"/>
      <c r="H371" s="24"/>
      <c r="I371" s="24"/>
      <c r="J371" s="24"/>
      <c r="K371" s="25"/>
    </row>
    <row r="372" s="5" customFormat="1" ht="16.5" spans="1:11">
      <c r="A372" s="22"/>
      <c r="B372" s="23"/>
      <c r="C372" s="24"/>
      <c r="D372" s="24"/>
      <c r="E372" s="24"/>
      <c r="F372" s="24"/>
      <c r="G372" s="24"/>
      <c r="H372" s="24"/>
      <c r="I372" s="24"/>
      <c r="J372" s="24"/>
      <c r="K372" s="25"/>
    </row>
    <row r="373" s="5" customFormat="1" ht="16.5" spans="1:11">
      <c r="A373" s="22"/>
      <c r="B373" s="23"/>
      <c r="C373" s="24"/>
      <c r="D373" s="24"/>
      <c r="E373" s="24"/>
      <c r="F373" s="24"/>
      <c r="G373" s="24"/>
      <c r="H373" s="24"/>
      <c r="I373" s="24"/>
      <c r="J373" s="24"/>
      <c r="K373" s="25"/>
    </row>
    <row r="374" s="5" customFormat="1" ht="16.5" spans="1:11">
      <c r="A374" s="22"/>
      <c r="B374" s="23"/>
      <c r="C374" s="24"/>
      <c r="D374" s="24"/>
      <c r="E374" s="24"/>
      <c r="F374" s="24"/>
      <c r="G374" s="24"/>
      <c r="H374" s="24"/>
      <c r="I374" s="24"/>
      <c r="J374" s="24"/>
      <c r="K374" s="25"/>
    </row>
    <row r="375" s="5" customFormat="1" ht="16.5" spans="1:11">
      <c r="A375" s="22"/>
      <c r="B375" s="23"/>
      <c r="C375" s="24"/>
      <c r="D375" s="24"/>
      <c r="E375" s="24"/>
      <c r="F375" s="24"/>
      <c r="G375" s="24"/>
      <c r="H375" s="24"/>
      <c r="I375" s="24"/>
      <c r="J375" s="24"/>
      <c r="K375" s="25"/>
    </row>
    <row r="376" s="5" customFormat="1" ht="16.5" spans="1:11">
      <c r="A376" s="22"/>
      <c r="B376" s="23"/>
      <c r="C376" s="24"/>
      <c r="D376" s="24"/>
      <c r="E376" s="24"/>
      <c r="F376" s="24"/>
      <c r="G376" s="24"/>
      <c r="H376" s="24"/>
      <c r="I376" s="24"/>
      <c r="J376" s="24"/>
      <c r="K376" s="25"/>
    </row>
    <row r="377" s="5" customFormat="1" ht="16.5" spans="1:11">
      <c r="A377" s="22"/>
      <c r="B377" s="23"/>
      <c r="C377" s="24"/>
      <c r="D377" s="24"/>
      <c r="E377" s="24"/>
      <c r="F377" s="24"/>
      <c r="G377" s="24"/>
      <c r="H377" s="24"/>
      <c r="I377" s="24"/>
      <c r="J377" s="24"/>
      <c r="K377" s="25"/>
    </row>
    <row r="378" s="5" customFormat="1" ht="16.5" spans="1:11">
      <c r="A378" s="22"/>
      <c r="B378" s="23"/>
      <c r="C378" s="24"/>
      <c r="D378" s="24"/>
      <c r="E378" s="24"/>
      <c r="F378" s="24"/>
      <c r="G378" s="24"/>
      <c r="H378" s="24"/>
      <c r="I378" s="24"/>
      <c r="J378" s="24"/>
      <c r="K378" s="25"/>
    </row>
    <row r="379" s="5" customFormat="1" ht="16.5" spans="1:11">
      <c r="A379" s="22"/>
      <c r="B379" s="23"/>
      <c r="C379" s="24"/>
      <c r="D379" s="24"/>
      <c r="E379" s="24"/>
      <c r="F379" s="24"/>
      <c r="G379" s="24"/>
      <c r="H379" s="24"/>
      <c r="I379" s="24"/>
      <c r="J379" s="24"/>
      <c r="K379" s="25"/>
    </row>
    <row r="380" s="5" customFormat="1" ht="16.5" spans="1:11">
      <c r="A380" s="22"/>
      <c r="B380" s="23"/>
      <c r="C380" s="24"/>
      <c r="D380" s="24"/>
      <c r="E380" s="24"/>
      <c r="F380" s="24"/>
      <c r="G380" s="24"/>
      <c r="H380" s="24"/>
      <c r="I380" s="24"/>
      <c r="J380" s="24"/>
      <c r="K380" s="25"/>
    </row>
    <row r="381" s="5" customFormat="1" ht="16.5" spans="1:11">
      <c r="A381" s="22"/>
      <c r="B381" s="23"/>
      <c r="C381" s="24"/>
      <c r="D381" s="24"/>
      <c r="E381" s="24"/>
      <c r="F381" s="24"/>
      <c r="G381" s="24"/>
      <c r="H381" s="24"/>
      <c r="I381" s="24"/>
      <c r="J381" s="24"/>
      <c r="K381" s="25"/>
    </row>
    <row r="382" s="5" customFormat="1" ht="16.5" spans="1:11">
      <c r="A382" s="22"/>
      <c r="B382" s="23"/>
      <c r="C382" s="24"/>
      <c r="D382" s="24"/>
      <c r="E382" s="24"/>
      <c r="F382" s="24"/>
      <c r="G382" s="24"/>
      <c r="H382" s="24"/>
      <c r="I382" s="24"/>
      <c r="J382" s="24"/>
      <c r="K382" s="25"/>
    </row>
    <row r="383" s="5" customFormat="1" ht="16.5" spans="1:11">
      <c r="A383" s="22"/>
      <c r="B383" s="23"/>
      <c r="C383" s="24"/>
      <c r="D383" s="24"/>
      <c r="E383" s="24"/>
      <c r="F383" s="24"/>
      <c r="G383" s="24"/>
      <c r="H383" s="24"/>
      <c r="I383" s="24"/>
      <c r="J383" s="24"/>
      <c r="K383" s="25"/>
    </row>
    <row r="384" s="5" customFormat="1" ht="16.5" spans="1:11">
      <c r="A384" s="22"/>
      <c r="B384" s="23"/>
      <c r="C384" s="24"/>
      <c r="D384" s="24"/>
      <c r="E384" s="24"/>
      <c r="F384" s="24"/>
      <c r="G384" s="24"/>
      <c r="H384" s="24"/>
      <c r="I384" s="24"/>
      <c r="J384" s="24"/>
      <c r="K384" s="25"/>
    </row>
    <row r="385" s="5" customFormat="1" ht="16.5" spans="1:11">
      <c r="A385" s="22"/>
      <c r="B385" s="23"/>
      <c r="C385" s="24"/>
      <c r="D385" s="24"/>
      <c r="E385" s="24"/>
      <c r="F385" s="24"/>
      <c r="G385" s="24"/>
      <c r="H385" s="24"/>
      <c r="I385" s="24"/>
      <c r="J385" s="24"/>
      <c r="K385" s="25"/>
    </row>
    <row r="386" s="5" customFormat="1" ht="16.5" spans="1:11">
      <c r="A386" s="22"/>
      <c r="B386" s="23"/>
      <c r="C386" s="24"/>
      <c r="D386" s="24"/>
      <c r="E386" s="24"/>
      <c r="F386" s="24"/>
      <c r="G386" s="24"/>
      <c r="H386" s="24"/>
      <c r="I386" s="24"/>
      <c r="J386" s="24"/>
      <c r="K386" s="25"/>
    </row>
    <row r="387" s="5" customFormat="1" ht="16.5" spans="1:11">
      <c r="A387" s="22"/>
      <c r="B387" s="23"/>
      <c r="C387" s="24"/>
      <c r="D387" s="24"/>
      <c r="E387" s="24"/>
      <c r="F387" s="24"/>
      <c r="G387" s="24"/>
      <c r="H387" s="24"/>
      <c r="I387" s="24"/>
      <c r="J387" s="24"/>
      <c r="K387" s="25"/>
    </row>
    <row r="388" s="5" customFormat="1" ht="16.5" spans="1:11">
      <c r="A388" s="22"/>
      <c r="B388" s="23"/>
      <c r="C388" s="24"/>
      <c r="D388" s="24"/>
      <c r="E388" s="24"/>
      <c r="F388" s="24"/>
      <c r="G388" s="24"/>
      <c r="H388" s="24"/>
      <c r="I388" s="24"/>
      <c r="J388" s="24"/>
      <c r="K388" s="25"/>
    </row>
    <row r="389" s="5" customFormat="1" ht="16.5" spans="1:11">
      <c r="A389" s="22"/>
      <c r="B389" s="23"/>
      <c r="C389" s="24"/>
      <c r="D389" s="24"/>
      <c r="E389" s="24"/>
      <c r="F389" s="24"/>
      <c r="G389" s="24"/>
      <c r="H389" s="24"/>
      <c r="I389" s="24"/>
      <c r="J389" s="24"/>
      <c r="K389" s="25"/>
    </row>
    <row r="390" s="5" customFormat="1" ht="16.5" spans="1:11">
      <c r="A390" s="22"/>
      <c r="B390" s="23"/>
      <c r="C390" s="24"/>
      <c r="D390" s="24"/>
      <c r="E390" s="24"/>
      <c r="F390" s="24"/>
      <c r="G390" s="24"/>
      <c r="H390" s="24"/>
      <c r="I390" s="24"/>
      <c r="J390" s="24"/>
      <c r="K390" s="25"/>
    </row>
    <row r="391" s="5" customFormat="1" ht="16.5" spans="1:11">
      <c r="A391" s="22"/>
      <c r="B391" s="23"/>
      <c r="C391" s="24"/>
      <c r="D391" s="24"/>
      <c r="E391" s="24"/>
      <c r="F391" s="24"/>
      <c r="G391" s="24"/>
      <c r="H391" s="24"/>
      <c r="I391" s="24"/>
      <c r="J391" s="24"/>
      <c r="K391" s="25"/>
    </row>
    <row r="392" s="5" customFormat="1" ht="16.5" spans="1:11">
      <c r="A392" s="22"/>
      <c r="B392" s="23"/>
      <c r="C392" s="24"/>
      <c r="D392" s="24"/>
      <c r="E392" s="24"/>
      <c r="F392" s="24"/>
      <c r="G392" s="24"/>
      <c r="H392" s="24"/>
      <c r="I392" s="24"/>
      <c r="J392" s="24"/>
      <c r="K392" s="25"/>
    </row>
    <row r="393" s="5" customFormat="1" ht="16.5" spans="1:11">
      <c r="A393" s="22"/>
      <c r="B393" s="23"/>
      <c r="C393" s="24"/>
      <c r="D393" s="24"/>
      <c r="E393" s="24"/>
      <c r="F393" s="24"/>
      <c r="G393" s="24"/>
      <c r="H393" s="24"/>
      <c r="I393" s="24"/>
      <c r="J393" s="24"/>
      <c r="K393" s="25"/>
    </row>
    <row r="394" s="5" customFormat="1" ht="16.5" spans="1:11">
      <c r="A394" s="22"/>
      <c r="B394" s="23"/>
      <c r="C394" s="24"/>
      <c r="D394" s="24"/>
      <c r="E394" s="24"/>
      <c r="F394" s="24"/>
      <c r="G394" s="24"/>
      <c r="H394" s="24"/>
      <c r="I394" s="24"/>
      <c r="J394" s="24"/>
      <c r="K394" s="25"/>
    </row>
    <row r="395" s="5" customFormat="1" ht="16.5" spans="1:11">
      <c r="A395" s="22"/>
      <c r="B395" s="23"/>
      <c r="C395" s="24"/>
      <c r="D395" s="24"/>
      <c r="E395" s="24"/>
      <c r="F395" s="24"/>
      <c r="G395" s="24"/>
      <c r="H395" s="24"/>
      <c r="I395" s="24"/>
      <c r="J395" s="24"/>
      <c r="K395" s="25"/>
    </row>
    <row r="396" s="5" customFormat="1" ht="16.5" spans="1:11">
      <c r="A396" s="22"/>
      <c r="B396" s="23"/>
      <c r="C396" s="24"/>
      <c r="D396" s="24"/>
      <c r="E396" s="24"/>
      <c r="F396" s="24"/>
      <c r="G396" s="24"/>
      <c r="H396" s="24"/>
      <c r="I396" s="24"/>
      <c r="J396" s="24"/>
      <c r="K396" s="25"/>
    </row>
    <row r="397" s="5" customFormat="1" ht="16.5" spans="1:11">
      <c r="A397" s="22"/>
      <c r="B397" s="23"/>
      <c r="C397" s="24"/>
      <c r="D397" s="24"/>
      <c r="E397" s="24"/>
      <c r="F397" s="24"/>
      <c r="G397" s="24"/>
      <c r="H397" s="24"/>
      <c r="I397" s="24"/>
      <c r="J397" s="24"/>
      <c r="K397" s="25"/>
    </row>
    <row r="398" s="5" customFormat="1" ht="16.5" spans="1:11">
      <c r="A398" s="22"/>
      <c r="B398" s="23"/>
      <c r="C398" s="24"/>
      <c r="D398" s="24"/>
      <c r="E398" s="24"/>
      <c r="F398" s="24"/>
      <c r="G398" s="24"/>
      <c r="H398" s="24"/>
      <c r="I398" s="24"/>
      <c r="J398" s="24"/>
      <c r="K398" s="25"/>
    </row>
    <row r="399" s="5" customFormat="1" ht="16.5" spans="1:11">
      <c r="A399" s="22"/>
      <c r="B399" s="23"/>
      <c r="C399" s="24"/>
      <c r="D399" s="24"/>
      <c r="E399" s="24"/>
      <c r="F399" s="24"/>
      <c r="G399" s="24"/>
      <c r="H399" s="24"/>
      <c r="I399" s="24"/>
      <c r="J399" s="24"/>
      <c r="K399" s="25"/>
    </row>
    <row r="400" s="5" customFormat="1" ht="16.5" spans="1:11">
      <c r="A400" s="22"/>
      <c r="B400" s="23"/>
      <c r="C400" s="24"/>
      <c r="D400" s="24"/>
      <c r="E400" s="24"/>
      <c r="F400" s="24"/>
      <c r="G400" s="24"/>
      <c r="H400" s="24"/>
      <c r="I400" s="24"/>
      <c r="J400" s="24"/>
      <c r="K400" s="25"/>
    </row>
    <row r="401" s="5" customFormat="1" ht="16.5" spans="1:11">
      <c r="A401" s="22"/>
      <c r="B401" s="23"/>
      <c r="C401" s="24"/>
      <c r="D401" s="24"/>
      <c r="E401" s="24"/>
      <c r="F401" s="24"/>
      <c r="G401" s="24"/>
      <c r="H401" s="24"/>
      <c r="I401" s="24"/>
      <c r="J401" s="24"/>
      <c r="K401" s="25"/>
    </row>
    <row r="402" s="5" customFormat="1" ht="16.5" spans="1:11">
      <c r="A402" s="22"/>
      <c r="B402" s="23"/>
      <c r="C402" s="24"/>
      <c r="D402" s="24"/>
      <c r="E402" s="24"/>
      <c r="F402" s="24"/>
      <c r="G402" s="24"/>
      <c r="H402" s="24"/>
      <c r="I402" s="24"/>
      <c r="J402" s="24"/>
      <c r="K402" s="25"/>
    </row>
    <row r="403" s="5" customFormat="1" ht="16.5" spans="1:11">
      <c r="A403" s="22"/>
      <c r="B403" s="23"/>
      <c r="C403" s="24"/>
      <c r="D403" s="24"/>
      <c r="E403" s="24"/>
      <c r="F403" s="24"/>
      <c r="G403" s="24"/>
      <c r="H403" s="24"/>
      <c r="I403" s="24"/>
      <c r="J403" s="24"/>
      <c r="K403" s="25"/>
    </row>
    <row r="404" s="5" customFormat="1" ht="16.5" spans="1:11">
      <c r="A404" s="22"/>
      <c r="B404" s="23"/>
      <c r="C404" s="24"/>
      <c r="D404" s="24"/>
      <c r="E404" s="24"/>
      <c r="F404" s="24"/>
      <c r="G404" s="24"/>
      <c r="H404" s="24"/>
      <c r="I404" s="24"/>
      <c r="J404" s="24"/>
      <c r="K404" s="25"/>
    </row>
    <row r="405" s="5" customFormat="1" ht="16.5" spans="1:11">
      <c r="A405" s="22"/>
      <c r="B405" s="23"/>
      <c r="C405" s="24"/>
      <c r="D405" s="24"/>
      <c r="E405" s="24"/>
      <c r="F405" s="24"/>
      <c r="G405" s="24"/>
      <c r="H405" s="24"/>
      <c r="I405" s="24"/>
      <c r="J405" s="24"/>
      <c r="K405" s="25"/>
    </row>
    <row r="406" s="5" customFormat="1" ht="16.5" spans="1:11">
      <c r="A406" s="22"/>
      <c r="B406" s="23"/>
      <c r="C406" s="24"/>
      <c r="D406" s="24"/>
      <c r="E406" s="24"/>
      <c r="F406" s="24"/>
      <c r="G406" s="24"/>
      <c r="H406" s="24"/>
      <c r="I406" s="24"/>
      <c r="J406" s="24"/>
      <c r="K406" s="25"/>
    </row>
    <row r="407" s="5" customFormat="1" ht="16.5" spans="1:11">
      <c r="A407" s="22"/>
      <c r="B407" s="23"/>
      <c r="C407" s="24"/>
      <c r="D407" s="24"/>
      <c r="E407" s="24"/>
      <c r="F407" s="24"/>
      <c r="G407" s="24"/>
      <c r="H407" s="24"/>
      <c r="I407" s="24"/>
      <c r="J407" s="24"/>
      <c r="K407" s="25"/>
    </row>
    <row r="408" s="5" customFormat="1" ht="16.5" spans="1:11">
      <c r="A408" s="22"/>
      <c r="B408" s="23"/>
      <c r="C408" s="24"/>
      <c r="D408" s="24"/>
      <c r="E408" s="24"/>
      <c r="F408" s="24"/>
      <c r="G408" s="24"/>
      <c r="H408" s="24"/>
      <c r="I408" s="24"/>
      <c r="J408" s="24"/>
      <c r="K408" s="25"/>
    </row>
    <row r="409" s="5" customFormat="1" ht="16.5" spans="1:11">
      <c r="A409" s="22"/>
      <c r="B409" s="23"/>
      <c r="C409" s="24"/>
      <c r="D409" s="24"/>
      <c r="E409" s="24"/>
      <c r="F409" s="24"/>
      <c r="G409" s="24"/>
      <c r="H409" s="24"/>
      <c r="I409" s="24"/>
      <c r="J409" s="24"/>
      <c r="K409" s="25"/>
    </row>
    <row r="410" s="5" customFormat="1" ht="16.5" spans="1:11">
      <c r="A410" s="22"/>
      <c r="B410" s="23"/>
      <c r="C410" s="24"/>
      <c r="D410" s="24"/>
      <c r="E410" s="24"/>
      <c r="F410" s="24"/>
      <c r="G410" s="24"/>
      <c r="H410" s="24"/>
      <c r="I410" s="24"/>
      <c r="J410" s="24"/>
      <c r="K410" s="25"/>
    </row>
    <row r="411" s="5" customFormat="1" ht="16.5" spans="1:11">
      <c r="A411" s="22"/>
      <c r="B411" s="23"/>
      <c r="C411" s="24"/>
      <c r="D411" s="24"/>
      <c r="E411" s="24"/>
      <c r="F411" s="24"/>
      <c r="G411" s="24"/>
      <c r="H411" s="24"/>
      <c r="I411" s="24"/>
      <c r="J411" s="24"/>
      <c r="K411" s="25"/>
    </row>
    <row r="412" s="5" customFormat="1" ht="16.5" spans="1:11">
      <c r="A412" s="22"/>
      <c r="B412" s="23"/>
      <c r="C412" s="24"/>
      <c r="D412" s="24"/>
      <c r="E412" s="24"/>
      <c r="F412" s="24"/>
      <c r="G412" s="24"/>
      <c r="H412" s="24"/>
      <c r="I412" s="24"/>
      <c r="J412" s="24"/>
      <c r="K412" s="25"/>
    </row>
    <row r="413" s="5" customFormat="1" ht="16.5" spans="1:11">
      <c r="A413" s="22"/>
      <c r="B413" s="23"/>
      <c r="C413" s="24"/>
      <c r="D413" s="24"/>
      <c r="E413" s="24"/>
      <c r="F413" s="24"/>
      <c r="G413" s="24"/>
      <c r="H413" s="24"/>
      <c r="I413" s="24"/>
      <c r="J413" s="24"/>
      <c r="K413" s="25"/>
    </row>
    <row r="414" s="5" customFormat="1" ht="16.5" spans="1:11">
      <c r="A414" s="22"/>
      <c r="B414" s="23"/>
      <c r="C414" s="24"/>
      <c r="D414" s="24"/>
      <c r="E414" s="24"/>
      <c r="F414" s="24"/>
      <c r="G414" s="24"/>
      <c r="H414" s="24"/>
      <c r="I414" s="24"/>
      <c r="J414" s="24"/>
      <c r="K414" s="25"/>
    </row>
    <row r="415" s="5" customFormat="1" ht="16.5" spans="1:11">
      <c r="A415" s="22"/>
      <c r="B415" s="23"/>
      <c r="C415" s="24"/>
      <c r="D415" s="24"/>
      <c r="E415" s="24"/>
      <c r="F415" s="24"/>
      <c r="G415" s="24"/>
      <c r="H415" s="24"/>
      <c r="I415" s="24"/>
      <c r="J415" s="24"/>
      <c r="K415" s="25"/>
    </row>
    <row r="416" s="5" customFormat="1" ht="16.5" spans="1:11">
      <c r="A416" s="22"/>
      <c r="B416" s="23"/>
      <c r="C416" s="24"/>
      <c r="D416" s="24"/>
      <c r="E416" s="24"/>
      <c r="F416" s="24"/>
      <c r="G416" s="24"/>
      <c r="H416" s="24"/>
      <c r="I416" s="24"/>
      <c r="J416" s="24"/>
      <c r="K416" s="25"/>
    </row>
    <row r="417" s="5" customFormat="1" ht="16.5" spans="1:11">
      <c r="A417" s="22"/>
      <c r="B417" s="23"/>
      <c r="C417" s="24"/>
      <c r="D417" s="24"/>
      <c r="E417" s="24"/>
      <c r="F417" s="24"/>
      <c r="G417" s="24"/>
      <c r="H417" s="24"/>
      <c r="I417" s="24"/>
      <c r="J417" s="24"/>
      <c r="K417" s="25"/>
    </row>
    <row r="418" s="5" customFormat="1" ht="16.5" spans="1:11">
      <c r="A418" s="22"/>
      <c r="B418" s="23"/>
      <c r="C418" s="24"/>
      <c r="D418" s="24"/>
      <c r="E418" s="24"/>
      <c r="F418" s="24"/>
      <c r="G418" s="24"/>
      <c r="H418" s="24"/>
      <c r="I418" s="24"/>
      <c r="J418" s="24"/>
      <c r="K418" s="25"/>
    </row>
    <row r="419" s="5" customFormat="1" ht="16.5" spans="1:11">
      <c r="A419" s="22"/>
      <c r="B419" s="23"/>
      <c r="C419" s="24"/>
      <c r="D419" s="24"/>
      <c r="E419" s="24"/>
      <c r="F419" s="24"/>
      <c r="G419" s="24"/>
      <c r="H419" s="24"/>
      <c r="I419" s="24"/>
      <c r="J419" s="24"/>
      <c r="K419" s="25"/>
    </row>
    <row r="420" s="5" customFormat="1" ht="16.5" spans="1:11">
      <c r="A420" s="22"/>
      <c r="B420" s="23"/>
      <c r="C420" s="24"/>
      <c r="D420" s="24"/>
      <c r="E420" s="24"/>
      <c r="F420" s="24"/>
      <c r="G420" s="24"/>
      <c r="H420" s="24"/>
      <c r="I420" s="24"/>
      <c r="J420" s="24"/>
      <c r="K420" s="25"/>
    </row>
    <row r="421" s="5" customFormat="1" ht="16.5" spans="1:11">
      <c r="A421" s="22"/>
      <c r="B421" s="23"/>
      <c r="C421" s="24"/>
      <c r="D421" s="24"/>
      <c r="E421" s="24"/>
      <c r="F421" s="24"/>
      <c r="G421" s="24"/>
      <c r="H421" s="24"/>
      <c r="I421" s="24"/>
      <c r="J421" s="24"/>
      <c r="K421" s="25"/>
    </row>
    <row r="422" s="5" customFormat="1" ht="16.5" spans="1:11">
      <c r="A422" s="22"/>
      <c r="B422" s="23"/>
      <c r="C422" s="24"/>
      <c r="D422" s="24"/>
      <c r="E422" s="24"/>
      <c r="F422" s="24"/>
      <c r="G422" s="24"/>
      <c r="H422" s="24"/>
      <c r="I422" s="24"/>
      <c r="J422" s="24"/>
      <c r="K422" s="25"/>
    </row>
    <row r="423" s="5" customFormat="1" ht="16.5" spans="1:11">
      <c r="A423" s="22"/>
      <c r="B423" s="23"/>
      <c r="C423" s="24"/>
      <c r="D423" s="24"/>
      <c r="E423" s="24"/>
      <c r="F423" s="24"/>
      <c r="G423" s="24"/>
      <c r="H423" s="24"/>
      <c r="I423" s="24"/>
      <c r="J423" s="24"/>
      <c r="K423" s="25"/>
    </row>
    <row r="424" s="5" customFormat="1" ht="16.5" spans="1:11">
      <c r="A424" s="22"/>
      <c r="B424" s="23"/>
      <c r="C424" s="24"/>
      <c r="D424" s="24"/>
      <c r="E424" s="24"/>
      <c r="F424" s="24"/>
      <c r="G424" s="24"/>
      <c r="H424" s="24"/>
      <c r="I424" s="24"/>
      <c r="J424" s="24"/>
      <c r="K424" s="25"/>
    </row>
    <row r="425" s="5" customFormat="1" ht="16.5" spans="1:11">
      <c r="A425" s="22"/>
      <c r="B425" s="23"/>
      <c r="C425" s="24"/>
      <c r="D425" s="24"/>
      <c r="E425" s="24"/>
      <c r="F425" s="24"/>
      <c r="G425" s="24"/>
      <c r="H425" s="24"/>
      <c r="I425" s="24"/>
      <c r="J425" s="24"/>
      <c r="K425" s="25"/>
    </row>
    <row r="426" s="5" customFormat="1" ht="16.5" spans="1:11">
      <c r="A426" s="22"/>
      <c r="B426" s="23"/>
      <c r="C426" s="24"/>
      <c r="D426" s="24"/>
      <c r="E426" s="24"/>
      <c r="F426" s="24"/>
      <c r="G426" s="24"/>
      <c r="H426" s="24"/>
      <c r="I426" s="24"/>
      <c r="J426" s="24"/>
      <c r="K426" s="25"/>
    </row>
    <row r="427" s="5" customFormat="1" ht="16.5" spans="1:11">
      <c r="A427" s="22"/>
      <c r="B427" s="23"/>
      <c r="C427" s="24"/>
      <c r="D427" s="24"/>
      <c r="E427" s="24"/>
      <c r="F427" s="24"/>
      <c r="G427" s="24"/>
      <c r="H427" s="24"/>
      <c r="I427" s="24"/>
      <c r="J427" s="24"/>
      <c r="K427" s="25"/>
    </row>
    <row r="428" s="5" customFormat="1" ht="16.5" spans="1:11">
      <c r="A428" s="22"/>
      <c r="B428" s="23"/>
      <c r="C428" s="24"/>
      <c r="D428" s="24"/>
      <c r="E428" s="24"/>
      <c r="F428" s="24"/>
      <c r="G428" s="24"/>
      <c r="H428" s="24"/>
      <c r="I428" s="24"/>
      <c r="J428" s="24"/>
      <c r="K428" s="25"/>
    </row>
    <row r="429" s="5" customFormat="1" ht="16.5" spans="1:11">
      <c r="A429" s="22"/>
      <c r="B429" s="23"/>
      <c r="C429" s="24"/>
      <c r="D429" s="24"/>
      <c r="E429" s="24"/>
      <c r="F429" s="24"/>
      <c r="G429" s="24"/>
      <c r="H429" s="24"/>
      <c r="I429" s="24"/>
      <c r="J429" s="24"/>
      <c r="K429" s="25"/>
    </row>
    <row r="430" s="5" customFormat="1" ht="16.5" spans="1:11">
      <c r="A430" s="22"/>
      <c r="B430" s="23"/>
      <c r="C430" s="24"/>
      <c r="D430" s="24"/>
      <c r="E430" s="24"/>
      <c r="F430" s="24"/>
      <c r="G430" s="24"/>
      <c r="H430" s="24"/>
      <c r="I430" s="24"/>
      <c r="J430" s="24"/>
      <c r="K430" s="25"/>
    </row>
    <row r="431" s="5" customFormat="1" ht="16.5" spans="1:11">
      <c r="A431" s="22"/>
      <c r="B431" s="23"/>
      <c r="C431" s="24"/>
      <c r="D431" s="24"/>
      <c r="E431" s="24"/>
      <c r="F431" s="24"/>
      <c r="G431" s="24"/>
      <c r="H431" s="24"/>
      <c r="I431" s="24"/>
      <c r="J431" s="24"/>
      <c r="K431" s="25"/>
    </row>
    <row r="432" s="5" customFormat="1" ht="16.5" spans="1:11">
      <c r="A432" s="22"/>
      <c r="B432" s="23"/>
      <c r="C432" s="24"/>
      <c r="D432" s="24"/>
      <c r="E432" s="24"/>
      <c r="F432" s="24"/>
      <c r="G432" s="24"/>
      <c r="H432" s="24"/>
      <c r="I432" s="24"/>
      <c r="J432" s="24"/>
      <c r="K432" s="25"/>
    </row>
    <row r="433" s="5" customFormat="1" ht="16.5" spans="1:11">
      <c r="A433" s="22"/>
      <c r="B433" s="23"/>
      <c r="C433" s="24"/>
      <c r="D433" s="24"/>
      <c r="E433" s="24"/>
      <c r="F433" s="24"/>
      <c r="G433" s="24"/>
      <c r="H433" s="24"/>
      <c r="I433" s="24"/>
      <c r="J433" s="24"/>
      <c r="K433" s="25"/>
    </row>
    <row r="434" s="5" customFormat="1" ht="16.5" spans="1:11">
      <c r="A434" s="22"/>
      <c r="B434" s="23"/>
      <c r="C434" s="24"/>
      <c r="D434" s="24"/>
      <c r="E434" s="24"/>
      <c r="F434" s="24"/>
      <c r="G434" s="24"/>
      <c r="H434" s="24"/>
      <c r="I434" s="24"/>
      <c r="J434" s="24"/>
      <c r="K434" s="25"/>
    </row>
    <row r="435" s="5" customFormat="1" ht="16.5" spans="1:11">
      <c r="A435" s="22"/>
      <c r="B435" s="23"/>
      <c r="C435" s="24"/>
      <c r="D435" s="24"/>
      <c r="E435" s="24"/>
      <c r="F435" s="24"/>
      <c r="G435" s="24"/>
      <c r="H435" s="24"/>
      <c r="I435" s="24"/>
      <c r="J435" s="24"/>
      <c r="K435" s="25"/>
    </row>
    <row r="436" s="5" customFormat="1" ht="16.5" spans="1:11">
      <c r="A436" s="22"/>
      <c r="B436" s="23"/>
      <c r="C436" s="24"/>
      <c r="D436" s="24"/>
      <c r="E436" s="24"/>
      <c r="F436" s="24"/>
      <c r="G436" s="24"/>
      <c r="H436" s="24"/>
      <c r="I436" s="24"/>
      <c r="J436" s="24"/>
      <c r="K436" s="25"/>
    </row>
    <row r="437" s="5" customFormat="1" ht="16.5" spans="1:11">
      <c r="A437" s="22"/>
      <c r="B437" s="23"/>
      <c r="C437" s="24"/>
      <c r="D437" s="24"/>
      <c r="E437" s="24"/>
      <c r="F437" s="24"/>
      <c r="G437" s="24"/>
      <c r="H437" s="24"/>
      <c r="I437" s="24"/>
      <c r="J437" s="24"/>
      <c r="K437" s="25"/>
    </row>
    <row r="438" s="5" customFormat="1" ht="16.5" spans="1:11">
      <c r="A438" s="22"/>
      <c r="B438" s="23"/>
      <c r="C438" s="24"/>
      <c r="D438" s="24"/>
      <c r="E438" s="24"/>
      <c r="F438" s="24"/>
      <c r="G438" s="24"/>
      <c r="H438" s="24"/>
      <c r="I438" s="24"/>
      <c r="J438" s="24"/>
      <c r="K438" s="25"/>
    </row>
    <row r="439" s="5" customFormat="1" ht="16.5" spans="1:11">
      <c r="A439" s="22"/>
      <c r="B439" s="23"/>
      <c r="C439" s="24"/>
      <c r="D439" s="24"/>
      <c r="E439" s="24"/>
      <c r="F439" s="24"/>
      <c r="G439" s="24"/>
      <c r="H439" s="24"/>
      <c r="I439" s="24"/>
      <c r="J439" s="24"/>
      <c r="K439" s="25"/>
    </row>
    <row r="440" s="5" customFormat="1" ht="16.5" spans="1:11">
      <c r="A440" s="22"/>
      <c r="B440" s="23"/>
      <c r="C440" s="24"/>
      <c r="D440" s="24"/>
      <c r="E440" s="24"/>
      <c r="F440" s="24"/>
      <c r="G440" s="24"/>
      <c r="H440" s="24"/>
      <c r="I440" s="24"/>
      <c r="J440" s="24"/>
      <c r="K440" s="25"/>
    </row>
    <row r="441" s="5" customFormat="1" ht="16.5" spans="1:11">
      <c r="A441" s="22"/>
      <c r="B441" s="23"/>
      <c r="C441" s="24"/>
      <c r="D441" s="24"/>
      <c r="E441" s="24"/>
      <c r="F441" s="24"/>
      <c r="G441" s="24"/>
      <c r="H441" s="24"/>
      <c r="I441" s="24"/>
      <c r="J441" s="24"/>
      <c r="K441" s="25"/>
    </row>
    <row r="442" s="5" customFormat="1" ht="16.5" spans="1:11">
      <c r="A442" s="22"/>
      <c r="B442" s="23"/>
      <c r="C442" s="24"/>
      <c r="D442" s="24"/>
      <c r="E442" s="24"/>
      <c r="F442" s="24"/>
      <c r="G442" s="24"/>
      <c r="H442" s="24"/>
      <c r="I442" s="24"/>
      <c r="J442" s="24"/>
      <c r="K442" s="25"/>
    </row>
    <row r="443" s="5" customFormat="1" ht="16.5" spans="1:11">
      <c r="A443" s="22"/>
      <c r="B443" s="23"/>
      <c r="C443" s="24"/>
      <c r="D443" s="24"/>
      <c r="E443" s="24"/>
      <c r="F443" s="24"/>
      <c r="G443" s="24"/>
      <c r="H443" s="24"/>
      <c r="I443" s="24"/>
      <c r="J443" s="24"/>
      <c r="K443" s="25"/>
    </row>
    <row r="444" s="5" customFormat="1" ht="16.5" spans="1:11">
      <c r="A444" s="22"/>
      <c r="B444" s="23"/>
      <c r="C444" s="24"/>
      <c r="D444" s="24"/>
      <c r="E444" s="24"/>
      <c r="F444" s="24"/>
      <c r="G444" s="24"/>
      <c r="H444" s="24"/>
      <c r="I444" s="24"/>
      <c r="J444" s="24"/>
      <c r="K444" s="25"/>
    </row>
    <row r="445" s="5" customFormat="1" ht="16.5" spans="1:11">
      <c r="A445" s="22"/>
      <c r="B445" s="23"/>
      <c r="C445" s="24"/>
      <c r="D445" s="24"/>
      <c r="E445" s="24"/>
      <c r="F445" s="24"/>
      <c r="G445" s="24"/>
      <c r="H445" s="24"/>
      <c r="I445" s="24"/>
      <c r="J445" s="24"/>
      <c r="K445" s="25"/>
    </row>
    <row r="446" s="5" customFormat="1" ht="16.5" spans="1:11">
      <c r="A446" s="22"/>
      <c r="B446" s="23"/>
      <c r="C446" s="24"/>
      <c r="D446" s="24"/>
      <c r="E446" s="24"/>
      <c r="F446" s="24"/>
      <c r="G446" s="24"/>
      <c r="H446" s="24"/>
      <c r="I446" s="24"/>
      <c r="J446" s="24"/>
      <c r="K446" s="25"/>
    </row>
    <row r="447" s="5" customFormat="1" ht="16.5" spans="1:11">
      <c r="A447" s="22"/>
      <c r="B447" s="23"/>
      <c r="C447" s="24"/>
      <c r="D447" s="24"/>
      <c r="E447" s="24"/>
      <c r="F447" s="24"/>
      <c r="G447" s="24"/>
      <c r="H447" s="24"/>
      <c r="I447" s="24"/>
      <c r="J447" s="24"/>
      <c r="K447" s="25"/>
    </row>
    <row r="448" s="5" customFormat="1" ht="16.5" spans="1:11">
      <c r="A448" s="22"/>
      <c r="B448" s="23"/>
      <c r="C448" s="24"/>
      <c r="D448" s="24"/>
      <c r="E448" s="24"/>
      <c r="F448" s="24"/>
      <c r="G448" s="24"/>
      <c r="H448" s="24"/>
      <c r="I448" s="24"/>
      <c r="J448" s="24"/>
      <c r="K448" s="25"/>
    </row>
    <row r="449" s="5" customFormat="1" ht="16.5" spans="1:11">
      <c r="A449" s="22"/>
      <c r="B449" s="23"/>
      <c r="C449" s="24"/>
      <c r="D449" s="24"/>
      <c r="E449" s="24"/>
      <c r="F449" s="24"/>
      <c r="G449" s="24"/>
      <c r="H449" s="24"/>
      <c r="I449" s="24"/>
      <c r="J449" s="24"/>
      <c r="K449" s="25"/>
    </row>
    <row r="450" s="5" customFormat="1" ht="16.5" spans="1:11">
      <c r="A450" s="22"/>
      <c r="B450" s="23"/>
      <c r="C450" s="24"/>
      <c r="D450" s="24"/>
      <c r="E450" s="24"/>
      <c r="F450" s="24"/>
      <c r="G450" s="24"/>
      <c r="H450" s="24"/>
      <c r="I450" s="24"/>
      <c r="J450" s="24"/>
      <c r="K450" s="25"/>
    </row>
    <row r="451" s="5" customFormat="1" ht="16.5" spans="1:11">
      <c r="A451" s="22"/>
      <c r="B451" s="23"/>
      <c r="C451" s="24"/>
      <c r="D451" s="24"/>
      <c r="E451" s="24"/>
      <c r="F451" s="24"/>
      <c r="G451" s="24"/>
      <c r="H451" s="24"/>
      <c r="I451" s="24"/>
      <c r="J451" s="24"/>
      <c r="K451" s="25"/>
    </row>
    <row r="452" s="5" customFormat="1" ht="16.5" spans="1:11">
      <c r="A452" s="22"/>
      <c r="B452" s="23"/>
      <c r="C452" s="24"/>
      <c r="D452" s="24"/>
      <c r="E452" s="24"/>
      <c r="F452" s="24"/>
      <c r="G452" s="24"/>
      <c r="H452" s="24"/>
      <c r="I452" s="24"/>
      <c r="J452" s="24"/>
      <c r="K452" s="25"/>
    </row>
    <row r="453" s="5" customFormat="1" ht="16.5" spans="1:11">
      <c r="A453" s="22"/>
      <c r="B453" s="23"/>
      <c r="C453" s="24"/>
      <c r="D453" s="24"/>
      <c r="E453" s="24"/>
      <c r="F453" s="24"/>
      <c r="G453" s="24"/>
      <c r="H453" s="24"/>
      <c r="I453" s="24"/>
      <c r="J453" s="24"/>
      <c r="K453" s="25"/>
    </row>
    <row r="454" s="5" customFormat="1" ht="16.5" spans="1:11">
      <c r="A454" s="22"/>
      <c r="B454" s="23"/>
      <c r="C454" s="24"/>
      <c r="D454" s="24"/>
      <c r="E454" s="24"/>
      <c r="F454" s="24"/>
      <c r="G454" s="24"/>
      <c r="H454" s="24"/>
      <c r="I454" s="24"/>
      <c r="J454" s="24"/>
      <c r="K454" s="25"/>
    </row>
    <row r="455" s="5" customFormat="1" ht="16.5" spans="1:11">
      <c r="A455" s="22"/>
      <c r="B455" s="23"/>
      <c r="C455" s="24"/>
      <c r="D455" s="24"/>
      <c r="E455" s="24"/>
      <c r="F455" s="24"/>
      <c r="G455" s="24"/>
      <c r="H455" s="24"/>
      <c r="I455" s="24"/>
      <c r="J455" s="24"/>
      <c r="K455" s="25"/>
    </row>
    <row r="456" s="5" customFormat="1" ht="16.5" spans="1:11">
      <c r="A456" s="22"/>
      <c r="B456" s="23"/>
      <c r="C456" s="24"/>
      <c r="D456" s="24"/>
      <c r="E456" s="24"/>
      <c r="F456" s="24"/>
      <c r="G456" s="24"/>
      <c r="H456" s="24"/>
      <c r="I456" s="24"/>
      <c r="J456" s="24"/>
      <c r="K456" s="25"/>
    </row>
    <row r="457" s="5" customFormat="1" ht="16.5" spans="1:11">
      <c r="A457" s="22"/>
      <c r="B457" s="23"/>
      <c r="C457" s="24"/>
      <c r="D457" s="24"/>
      <c r="E457" s="24"/>
      <c r="F457" s="24"/>
      <c r="G457" s="24"/>
      <c r="H457" s="24"/>
      <c r="I457" s="24"/>
      <c r="J457" s="24"/>
      <c r="K457" s="25"/>
    </row>
    <row r="458" s="5" customFormat="1" ht="16.5" spans="1:11">
      <c r="A458" s="22"/>
      <c r="B458" s="23"/>
      <c r="C458" s="24"/>
      <c r="D458" s="24"/>
      <c r="E458" s="24"/>
      <c r="F458" s="24"/>
      <c r="G458" s="24"/>
      <c r="H458" s="24"/>
      <c r="I458" s="24"/>
      <c r="J458" s="24"/>
      <c r="K458" s="25"/>
    </row>
    <row r="459" s="5" customFormat="1" ht="16.5" spans="1:11">
      <c r="A459" s="22"/>
      <c r="B459" s="23"/>
      <c r="C459" s="24"/>
      <c r="D459" s="24"/>
      <c r="E459" s="24"/>
      <c r="F459" s="24"/>
      <c r="G459" s="24"/>
      <c r="H459" s="24"/>
      <c r="I459" s="24"/>
      <c r="J459" s="24"/>
      <c r="K459" s="25"/>
    </row>
    <row r="460" s="5" customFormat="1" ht="16.5" spans="1:11">
      <c r="A460" s="22"/>
      <c r="B460" s="23"/>
      <c r="C460" s="24"/>
      <c r="D460" s="24"/>
      <c r="E460" s="24"/>
      <c r="F460" s="24"/>
      <c r="G460" s="24"/>
      <c r="H460" s="24"/>
      <c r="I460" s="24"/>
      <c r="J460" s="24"/>
      <c r="K460" s="25"/>
    </row>
    <row r="461" s="5" customFormat="1" ht="16.5" spans="1:11">
      <c r="A461" s="22"/>
      <c r="B461" s="23"/>
      <c r="C461" s="24"/>
      <c r="D461" s="24"/>
      <c r="E461" s="24"/>
      <c r="F461" s="24"/>
      <c r="G461" s="24"/>
      <c r="H461" s="24"/>
      <c r="I461" s="24"/>
      <c r="J461" s="24"/>
      <c r="K461" s="25"/>
    </row>
    <row r="462" s="5" customFormat="1" ht="16.5" spans="1:11">
      <c r="A462" s="22"/>
      <c r="B462" s="23"/>
      <c r="C462" s="24"/>
      <c r="D462" s="24"/>
      <c r="E462" s="24"/>
      <c r="F462" s="24"/>
      <c r="G462" s="24"/>
      <c r="H462" s="24"/>
      <c r="I462" s="24"/>
      <c r="J462" s="24"/>
      <c r="K462" s="25"/>
    </row>
    <row r="463" s="5" customFormat="1" ht="16.5" spans="1:11">
      <c r="A463" s="22"/>
      <c r="B463" s="23"/>
      <c r="C463" s="24"/>
      <c r="D463" s="24"/>
      <c r="E463" s="24"/>
      <c r="F463" s="24"/>
      <c r="G463" s="24"/>
      <c r="H463" s="24"/>
      <c r="I463" s="24"/>
      <c r="J463" s="24"/>
      <c r="K463" s="25"/>
    </row>
    <row r="464" s="5" customFormat="1" ht="16.5" spans="1:11">
      <c r="A464" s="22"/>
      <c r="B464" s="23"/>
      <c r="C464" s="24"/>
      <c r="D464" s="24"/>
      <c r="E464" s="24"/>
      <c r="F464" s="24"/>
      <c r="G464" s="24"/>
      <c r="H464" s="24"/>
      <c r="I464" s="24"/>
      <c r="J464" s="24"/>
      <c r="K464" s="25"/>
    </row>
    <row r="465" s="5" customFormat="1" ht="16.5" spans="1:11">
      <c r="A465" s="22"/>
      <c r="B465" s="23"/>
      <c r="C465" s="24"/>
      <c r="D465" s="24"/>
      <c r="E465" s="24"/>
      <c r="F465" s="24"/>
      <c r="G465" s="24"/>
      <c r="H465" s="24"/>
      <c r="I465" s="24"/>
      <c r="J465" s="24"/>
      <c r="K465" s="25"/>
    </row>
    <row r="466" s="5" customFormat="1" ht="16.5" spans="1:11">
      <c r="A466" s="22"/>
      <c r="B466" s="23"/>
      <c r="C466" s="24"/>
      <c r="D466" s="24"/>
      <c r="E466" s="24"/>
      <c r="F466" s="24"/>
      <c r="G466" s="24"/>
      <c r="H466" s="24"/>
      <c r="I466" s="24"/>
      <c r="J466" s="24"/>
      <c r="K466" s="25"/>
    </row>
    <row r="467" s="5" customFormat="1" ht="16.5" spans="1:11">
      <c r="A467" s="22"/>
      <c r="B467" s="23"/>
      <c r="C467" s="24"/>
      <c r="D467" s="24"/>
      <c r="E467" s="24"/>
      <c r="F467" s="24"/>
      <c r="G467" s="24"/>
      <c r="H467" s="24"/>
      <c r="I467" s="24"/>
      <c r="J467" s="24"/>
      <c r="K467" s="25"/>
    </row>
    <row r="468" s="5" customFormat="1" ht="16.5" spans="1:11">
      <c r="A468" s="22"/>
      <c r="B468" s="23"/>
      <c r="C468" s="24"/>
      <c r="D468" s="24"/>
      <c r="E468" s="24"/>
      <c r="F468" s="24"/>
      <c r="G468" s="24"/>
      <c r="H468" s="24"/>
      <c r="I468" s="24"/>
      <c r="J468" s="24"/>
      <c r="K468" s="25"/>
    </row>
    <row r="469" s="5" customFormat="1" ht="16.5" spans="1:11">
      <c r="A469" s="22"/>
      <c r="B469" s="23"/>
      <c r="C469" s="24"/>
      <c r="D469" s="24"/>
      <c r="E469" s="24"/>
      <c r="F469" s="24"/>
      <c r="G469" s="24"/>
      <c r="H469" s="24"/>
      <c r="I469" s="24"/>
      <c r="J469" s="24"/>
      <c r="K469" s="25"/>
    </row>
    <row r="470" s="5" customFormat="1" ht="16.5" spans="1:11">
      <c r="A470" s="22"/>
      <c r="B470" s="23"/>
      <c r="C470" s="24"/>
      <c r="D470" s="24"/>
      <c r="E470" s="24"/>
      <c r="F470" s="24"/>
      <c r="G470" s="24"/>
      <c r="H470" s="24"/>
      <c r="I470" s="24"/>
      <c r="J470" s="24"/>
      <c r="K470" s="25"/>
    </row>
    <row r="471" s="5" customFormat="1" ht="16.5" spans="1:11">
      <c r="A471" s="22"/>
      <c r="B471" s="23"/>
      <c r="C471" s="24"/>
      <c r="D471" s="24"/>
      <c r="E471" s="24"/>
      <c r="F471" s="24"/>
      <c r="G471" s="24"/>
      <c r="H471" s="24"/>
      <c r="I471" s="24"/>
      <c r="J471" s="24"/>
      <c r="K471" s="25"/>
    </row>
    <row r="472" s="5" customFormat="1" ht="16.5" spans="1:11">
      <c r="A472" s="22"/>
      <c r="B472" s="23"/>
      <c r="C472" s="24"/>
      <c r="D472" s="24"/>
      <c r="E472" s="24"/>
      <c r="F472" s="24"/>
      <c r="G472" s="24"/>
      <c r="H472" s="24"/>
      <c r="I472" s="24"/>
      <c r="J472" s="24"/>
      <c r="K472" s="25"/>
    </row>
    <row r="473" s="5" customFormat="1" ht="16.5" spans="1:11">
      <c r="A473" s="22"/>
      <c r="B473" s="23"/>
      <c r="C473" s="24"/>
      <c r="D473" s="24"/>
      <c r="E473" s="24"/>
      <c r="F473" s="24"/>
      <c r="G473" s="24"/>
      <c r="H473" s="24"/>
      <c r="I473" s="24"/>
      <c r="J473" s="24"/>
      <c r="K473" s="25"/>
    </row>
    <row r="474" s="5" customFormat="1" ht="16.5" spans="1:11">
      <c r="A474" s="22"/>
      <c r="B474" s="23"/>
      <c r="C474" s="24"/>
      <c r="D474" s="24"/>
      <c r="E474" s="24"/>
      <c r="F474" s="24"/>
      <c r="G474" s="24"/>
      <c r="H474" s="24"/>
      <c r="I474" s="24"/>
      <c r="J474" s="24"/>
      <c r="K474" s="25"/>
    </row>
    <row r="475" s="5" customFormat="1" ht="16.5" spans="1:11">
      <c r="A475" s="22"/>
      <c r="B475" s="23"/>
      <c r="C475" s="24"/>
      <c r="D475" s="24"/>
      <c r="E475" s="24"/>
      <c r="F475" s="24"/>
      <c r="G475" s="24"/>
      <c r="H475" s="24"/>
      <c r="I475" s="24"/>
      <c r="J475" s="24"/>
      <c r="K475" s="25"/>
    </row>
    <row r="476" s="5" customFormat="1" ht="16.5" spans="1:11">
      <c r="A476" s="22"/>
      <c r="B476" s="23"/>
      <c r="C476" s="24"/>
      <c r="D476" s="24"/>
      <c r="E476" s="24"/>
      <c r="F476" s="24"/>
      <c r="G476" s="24"/>
      <c r="H476" s="24"/>
      <c r="I476" s="24"/>
      <c r="J476" s="24"/>
      <c r="K476" s="25"/>
    </row>
    <row r="477" s="5" customFormat="1" ht="16.5" spans="1:11">
      <c r="A477" s="22"/>
      <c r="B477" s="23"/>
      <c r="C477" s="24"/>
      <c r="D477" s="24"/>
      <c r="E477" s="24"/>
      <c r="F477" s="24"/>
      <c r="G477" s="24"/>
      <c r="H477" s="24"/>
      <c r="I477" s="24"/>
      <c r="J477" s="24"/>
      <c r="K477" s="25"/>
    </row>
    <row r="478" s="5" customFormat="1" ht="16.5" spans="1:11">
      <c r="A478" s="22"/>
      <c r="B478" s="23"/>
      <c r="C478" s="24"/>
      <c r="D478" s="24"/>
      <c r="E478" s="24"/>
      <c r="F478" s="24"/>
      <c r="G478" s="24"/>
      <c r="H478" s="24"/>
      <c r="I478" s="24"/>
      <c r="J478" s="24"/>
      <c r="K478" s="25"/>
    </row>
    <row r="479" s="5" customFormat="1" ht="16.5" spans="1:11">
      <c r="A479" s="22"/>
      <c r="B479" s="23"/>
      <c r="C479" s="24"/>
      <c r="D479" s="24"/>
      <c r="E479" s="24"/>
      <c r="F479" s="24"/>
      <c r="G479" s="24"/>
      <c r="H479" s="24"/>
      <c r="I479" s="24"/>
      <c r="J479" s="24"/>
      <c r="K479" s="25"/>
    </row>
    <row r="480" s="5" customFormat="1" ht="16.5" spans="1:11">
      <c r="A480" s="22"/>
      <c r="B480" s="23"/>
      <c r="C480" s="24"/>
      <c r="D480" s="24"/>
      <c r="E480" s="24"/>
      <c r="F480" s="24"/>
      <c r="G480" s="24"/>
      <c r="H480" s="24"/>
      <c r="I480" s="24"/>
      <c r="J480" s="24"/>
      <c r="K480" s="25"/>
    </row>
    <row r="481" s="5" customFormat="1" ht="16.5" spans="1:11">
      <c r="A481" s="22"/>
      <c r="B481" s="23"/>
      <c r="C481" s="24"/>
      <c r="D481" s="24"/>
      <c r="E481" s="24"/>
      <c r="F481" s="24"/>
      <c r="G481" s="24"/>
      <c r="H481" s="24"/>
      <c r="I481" s="24"/>
      <c r="J481" s="24"/>
      <c r="K481" s="25"/>
    </row>
    <row r="482" s="5" customFormat="1" ht="16.5" spans="1:11">
      <c r="A482" s="22"/>
      <c r="B482" s="23"/>
      <c r="C482" s="24"/>
      <c r="D482" s="24"/>
      <c r="E482" s="24"/>
      <c r="F482" s="24"/>
      <c r="G482" s="24"/>
      <c r="H482" s="24"/>
      <c r="I482" s="24"/>
      <c r="J482" s="24"/>
      <c r="K482" s="25"/>
    </row>
    <row r="483" s="5" customFormat="1" ht="16.5" spans="1:11">
      <c r="A483" s="22"/>
      <c r="B483" s="23"/>
      <c r="C483" s="24"/>
      <c r="D483" s="24"/>
      <c r="E483" s="24"/>
      <c r="F483" s="24"/>
      <c r="G483" s="24"/>
      <c r="H483" s="24"/>
      <c r="I483" s="24"/>
      <c r="J483" s="24"/>
      <c r="K483" s="25"/>
    </row>
    <row r="484" s="5" customFormat="1" ht="16.5" spans="1:11">
      <c r="A484" s="22"/>
      <c r="B484" s="23"/>
      <c r="C484" s="24"/>
      <c r="D484" s="24"/>
      <c r="E484" s="24"/>
      <c r="F484" s="24"/>
      <c r="G484" s="24"/>
      <c r="H484" s="24"/>
      <c r="I484" s="24"/>
      <c r="J484" s="24"/>
      <c r="K484" s="25"/>
    </row>
    <row r="485" s="5" customFormat="1" ht="16.5" spans="1:11">
      <c r="A485" s="22"/>
      <c r="B485" s="23"/>
      <c r="C485" s="24"/>
      <c r="D485" s="24"/>
      <c r="E485" s="24"/>
      <c r="F485" s="24"/>
      <c r="G485" s="24"/>
      <c r="H485" s="24"/>
      <c r="I485" s="24"/>
      <c r="J485" s="24"/>
      <c r="K485" s="25"/>
    </row>
    <row r="486" s="5" customFormat="1" ht="16.5" spans="1:11">
      <c r="A486" s="22"/>
      <c r="B486" s="23"/>
      <c r="C486" s="24"/>
      <c r="D486" s="24"/>
      <c r="E486" s="24"/>
      <c r="F486" s="24"/>
      <c r="G486" s="24"/>
      <c r="H486" s="24"/>
      <c r="I486" s="24"/>
      <c r="J486" s="24"/>
      <c r="K486" s="25"/>
    </row>
    <row r="487" s="5" customFormat="1" ht="16.5" spans="1:11">
      <c r="A487" s="22"/>
      <c r="B487" s="23"/>
      <c r="C487" s="24"/>
      <c r="D487" s="24"/>
      <c r="E487" s="24"/>
      <c r="F487" s="24"/>
      <c r="G487" s="24"/>
      <c r="H487" s="24"/>
      <c r="I487" s="24"/>
      <c r="J487" s="24"/>
      <c r="K487" s="25"/>
    </row>
    <row r="488" s="5" customFormat="1" ht="16.5" spans="1:11">
      <c r="A488" s="22"/>
      <c r="B488" s="23"/>
      <c r="C488" s="24"/>
      <c r="D488" s="24"/>
      <c r="E488" s="24"/>
      <c r="F488" s="24"/>
      <c r="G488" s="24"/>
      <c r="H488" s="24"/>
      <c r="I488" s="24"/>
      <c r="J488" s="24"/>
      <c r="K488" s="25"/>
    </row>
    <row r="489" s="5" customFormat="1" ht="16.5" spans="1:11">
      <c r="A489" s="22"/>
      <c r="B489" s="23"/>
      <c r="C489" s="24"/>
      <c r="D489" s="24"/>
      <c r="E489" s="24"/>
      <c r="F489" s="24"/>
      <c r="G489" s="24"/>
      <c r="H489" s="24"/>
      <c r="I489" s="24"/>
      <c r="J489" s="24"/>
      <c r="K489" s="25"/>
    </row>
    <row r="490" s="5" customFormat="1" ht="16.5" spans="1:11">
      <c r="A490" s="22"/>
      <c r="B490" s="23"/>
      <c r="C490" s="24"/>
      <c r="D490" s="24"/>
      <c r="E490" s="24"/>
      <c r="F490" s="24"/>
      <c r="G490" s="24"/>
      <c r="H490" s="24"/>
      <c r="I490" s="24"/>
      <c r="J490" s="24"/>
      <c r="K490" s="25"/>
    </row>
    <row r="491" s="5" customFormat="1" ht="16.5" spans="1:11">
      <c r="A491" s="22"/>
      <c r="B491" s="23"/>
      <c r="C491" s="24"/>
      <c r="D491" s="24"/>
      <c r="E491" s="24"/>
      <c r="F491" s="24"/>
      <c r="G491" s="24"/>
      <c r="H491" s="24"/>
      <c r="I491" s="24"/>
      <c r="J491" s="24"/>
      <c r="K491" s="25"/>
    </row>
    <row r="492" s="5" customFormat="1" ht="16.5" spans="1:11">
      <c r="A492" s="22"/>
      <c r="B492" s="23"/>
      <c r="C492" s="24"/>
      <c r="D492" s="24"/>
      <c r="E492" s="24"/>
      <c r="F492" s="24"/>
      <c r="G492" s="24"/>
      <c r="H492" s="24"/>
      <c r="I492" s="24"/>
      <c r="J492" s="24"/>
      <c r="K492" s="25"/>
    </row>
    <row r="493" s="5" customFormat="1" ht="16.5" spans="1:11">
      <c r="A493" s="22"/>
      <c r="B493" s="23"/>
      <c r="C493" s="24"/>
      <c r="D493" s="24"/>
      <c r="E493" s="24"/>
      <c r="F493" s="24"/>
      <c r="G493" s="24"/>
      <c r="H493" s="24"/>
      <c r="I493" s="24"/>
      <c r="J493" s="24"/>
      <c r="K493" s="25"/>
    </row>
    <row r="494" s="5" customFormat="1" ht="16.5" spans="1:11">
      <c r="A494" s="22"/>
      <c r="B494" s="23"/>
      <c r="C494" s="24"/>
      <c r="D494" s="24"/>
      <c r="E494" s="24"/>
      <c r="F494" s="24"/>
      <c r="G494" s="24"/>
      <c r="H494" s="24"/>
      <c r="I494" s="24"/>
      <c r="J494" s="24"/>
      <c r="K494" s="25"/>
    </row>
    <row r="495" s="5" customFormat="1" ht="16.5" spans="1:11">
      <c r="A495" s="22"/>
      <c r="B495" s="23"/>
      <c r="C495" s="24"/>
      <c r="D495" s="24"/>
      <c r="E495" s="24"/>
      <c r="F495" s="24"/>
      <c r="G495" s="24"/>
      <c r="H495" s="24"/>
      <c r="I495" s="24"/>
      <c r="J495" s="24"/>
      <c r="K495" s="25"/>
    </row>
    <row r="496" s="5" customFormat="1" ht="16.5" spans="1:11">
      <c r="A496" s="22"/>
      <c r="B496" s="23"/>
      <c r="C496" s="24"/>
      <c r="D496" s="24"/>
      <c r="E496" s="24"/>
      <c r="F496" s="24"/>
      <c r="G496" s="24"/>
      <c r="H496" s="24"/>
      <c r="I496" s="24"/>
      <c r="J496" s="24"/>
      <c r="K496" s="25"/>
    </row>
    <row r="497" s="5" customFormat="1" ht="16.5" spans="1:11">
      <c r="A497" s="22"/>
      <c r="B497" s="23"/>
      <c r="C497" s="24"/>
      <c r="D497" s="24"/>
      <c r="E497" s="24"/>
      <c r="F497" s="24"/>
      <c r="G497" s="24"/>
      <c r="H497" s="24"/>
      <c r="I497" s="24"/>
      <c r="J497" s="24"/>
      <c r="K497" s="25"/>
    </row>
    <row r="498" s="5" customFormat="1" ht="16.5" spans="1:11">
      <c r="A498" s="22"/>
      <c r="B498" s="23"/>
      <c r="C498" s="24"/>
      <c r="D498" s="24"/>
      <c r="E498" s="24"/>
      <c r="F498" s="24"/>
      <c r="G498" s="24"/>
      <c r="H498" s="24"/>
      <c r="I498" s="24"/>
      <c r="J498" s="24"/>
      <c r="K498" s="25"/>
    </row>
    <row r="499" s="5" customFormat="1" ht="16.5" spans="1:11">
      <c r="A499" s="22"/>
      <c r="B499" s="23"/>
      <c r="C499" s="24"/>
      <c r="D499" s="24"/>
      <c r="E499" s="24"/>
      <c r="F499" s="24"/>
      <c r="G499" s="24"/>
      <c r="H499" s="24"/>
      <c r="I499" s="24"/>
      <c r="J499" s="24"/>
      <c r="K499" s="25"/>
    </row>
    <row r="500" s="5" customFormat="1" ht="16.5" spans="1:11">
      <c r="A500" s="22"/>
      <c r="B500" s="23"/>
      <c r="C500" s="24"/>
      <c r="D500" s="24"/>
      <c r="E500" s="24"/>
      <c r="F500" s="24"/>
      <c r="G500" s="24"/>
      <c r="H500" s="24"/>
      <c r="I500" s="24"/>
      <c r="J500" s="24"/>
      <c r="K500" s="25"/>
    </row>
    <row r="501" s="5" customFormat="1" ht="16.5" spans="1:11">
      <c r="A501" s="22"/>
      <c r="B501" s="23"/>
      <c r="C501" s="24"/>
      <c r="D501" s="24"/>
      <c r="E501" s="24"/>
      <c r="F501" s="24"/>
      <c r="G501" s="24"/>
      <c r="H501" s="24"/>
      <c r="I501" s="24"/>
      <c r="J501" s="24"/>
      <c r="K501" s="25"/>
    </row>
    <row r="502" s="5" customFormat="1" ht="16.5" spans="1:11">
      <c r="A502" s="22"/>
      <c r="B502" s="23"/>
      <c r="C502" s="24"/>
      <c r="D502" s="24"/>
      <c r="E502" s="24"/>
      <c r="F502" s="24"/>
      <c r="G502" s="24"/>
      <c r="H502" s="24"/>
      <c r="I502" s="24"/>
      <c r="J502" s="24"/>
      <c r="K502" s="25"/>
    </row>
    <row r="503" s="5" customFormat="1" ht="16.5" spans="1:11">
      <c r="A503" s="22"/>
      <c r="B503" s="23"/>
      <c r="C503" s="24"/>
      <c r="D503" s="24"/>
      <c r="E503" s="24"/>
      <c r="F503" s="24"/>
      <c r="G503" s="24"/>
      <c r="H503" s="24"/>
      <c r="I503" s="24"/>
      <c r="J503" s="24"/>
      <c r="K503" s="25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K503"/>
  <sheetViews>
    <sheetView showGridLines="0" workbookViewId="0">
      <pane ySplit="3" topLeftCell="A4" activePane="bottomLeft" state="frozen"/>
      <selection/>
      <selection pane="bottomLeft" activeCell="A4" sqref="A4"/>
    </sheetView>
  </sheetViews>
  <sheetFormatPr defaultColWidth="9" defaultRowHeight="13.5"/>
  <cols>
    <col min="1" max="1" width="8" customWidth="1"/>
    <col min="2" max="2" width="12" style="6" customWidth="1"/>
    <col min="3" max="3" width="18" style="7" customWidth="1"/>
    <col min="4" max="4" width="14" style="8" customWidth="1"/>
    <col min="5" max="5" width="20" style="7" customWidth="1"/>
    <col min="6" max="6" width="18" style="8" customWidth="1"/>
    <col min="7" max="8" width="12" style="7" customWidth="1"/>
    <col min="9" max="9" width="16" style="7" customWidth="1"/>
    <col min="10" max="10" width="12" style="8" customWidth="1"/>
    <col min="11" max="11" width="7.375" style="9" customWidth="1"/>
    <col min="12" max="16373" width="10" style="5" customWidth="1"/>
    <col min="16374" max="16374" width="10" style="5"/>
    <col min="16375" max="16378" width="9" style="5"/>
    <col min="16379" max="16379" width="10" style="5"/>
    <col min="16380" max="16384" width="9" style="5"/>
  </cols>
  <sheetData>
    <row r="1" s="5" customFormat="1" ht="28" customHeight="1" spans="1:11">
      <c r="A1" s="10" t="s">
        <v>305</v>
      </c>
      <c r="B1" s="11"/>
      <c r="C1" s="12"/>
      <c r="D1" s="12"/>
      <c r="E1" s="12"/>
      <c r="F1" s="12"/>
      <c r="G1" s="12"/>
      <c r="H1" s="12"/>
      <c r="I1" s="12"/>
      <c r="J1" s="12"/>
      <c r="K1" s="13"/>
    </row>
    <row r="2" s="5" customFormat="1" ht="24" customHeight="1" spans="1:11">
      <c r="A2" s="14" t="s">
        <v>295</v>
      </c>
      <c r="B2" s="15" t="s">
        <v>106</v>
      </c>
      <c r="C2" s="16" t="s">
        <v>100</v>
      </c>
      <c r="D2" s="17">
        <f>IFERROR(VLOOKUP($B$2,数据录入!$C$5:$H$18,6,0),0)</f>
        <v>0</v>
      </c>
      <c r="E2" s="16" t="s">
        <v>296</v>
      </c>
      <c r="F2" s="17">
        <f>SUMIFS(数据录入!$F$19:$F$10000,数据录入!$C$19:$C$10000,$B$2)</f>
        <v>0</v>
      </c>
      <c r="G2" s="16" t="s">
        <v>297</v>
      </c>
      <c r="H2" s="17">
        <f>SUMIFS(数据录入!$G$19:$G$10000,数据录入!$C$19:$C$10000,$B$2)</f>
        <v>0</v>
      </c>
      <c r="I2" s="16" t="s">
        <v>298</v>
      </c>
      <c r="J2" s="17">
        <f>D2+F2-H2</f>
        <v>0</v>
      </c>
      <c r="K2" s="18"/>
    </row>
    <row r="3" s="5" customFormat="1" ht="24" customHeight="1" spans="1:11">
      <c r="A3" s="19" t="s">
        <v>92</v>
      </c>
      <c r="B3" s="19" t="s">
        <v>93</v>
      </c>
      <c r="C3" s="19" t="s">
        <v>94</v>
      </c>
      <c r="D3" s="19" t="s">
        <v>38</v>
      </c>
      <c r="E3" s="19" t="s">
        <v>95</v>
      </c>
      <c r="F3" s="19" t="s">
        <v>96</v>
      </c>
      <c r="G3" s="19" t="s">
        <v>97</v>
      </c>
      <c r="H3" s="19" t="s">
        <v>91</v>
      </c>
      <c r="I3" s="20" t="s">
        <v>39</v>
      </c>
      <c r="J3" s="20" t="s">
        <v>41</v>
      </c>
      <c r="K3" s="21" t="s">
        <v>98</v>
      </c>
    </row>
    <row r="4" s="5" customFormat="1" ht="20" customHeight="1" spans="1:11">
      <c r="A4" s="22" vm="1" t="e" cm="1">
        <f t="array" ref="A4">_xlfn._xlws.FILTER(数据录入!$A$19:$K$10000,数据录入!$C$19:$C$10000=$B$2)</f>
        <v>#VALUE!</v>
      </c>
      <c r="B4" s="23"/>
      <c r="C4" s="24"/>
      <c r="D4" s="24"/>
      <c r="E4" s="24"/>
      <c r="F4" s="24"/>
      <c r="G4" s="24"/>
      <c r="H4" s="24"/>
      <c r="I4" s="24"/>
      <c r="J4" s="24"/>
      <c r="K4" s="25"/>
    </row>
    <row r="5" s="5" customFormat="1" ht="20" customHeight="1" spans="1:11">
      <c r="A5" s="22"/>
      <c r="B5" s="23"/>
      <c r="C5" s="24"/>
      <c r="D5" s="24"/>
      <c r="E5" s="24"/>
      <c r="F5" s="24"/>
      <c r="G5" s="24"/>
      <c r="H5" s="24"/>
      <c r="I5" s="24"/>
      <c r="J5" s="24"/>
      <c r="K5" s="25"/>
    </row>
    <row r="6" s="5" customFormat="1" ht="20" customHeight="1" spans="1:11">
      <c r="A6" s="22"/>
      <c r="B6" s="23"/>
      <c r="C6" s="24"/>
      <c r="D6" s="24"/>
      <c r="E6" s="24"/>
      <c r="F6" s="24"/>
      <c r="G6" s="24"/>
      <c r="H6" s="24"/>
      <c r="I6" s="24"/>
      <c r="J6" s="24"/>
      <c r="K6" s="25"/>
    </row>
    <row r="7" s="5" customFormat="1" ht="20" customHeight="1" spans="1:11">
      <c r="A7" s="22"/>
      <c r="B7" s="23"/>
      <c r="C7" s="24"/>
      <c r="D7" s="24"/>
      <c r="E7" s="24"/>
      <c r="F7" s="24"/>
      <c r="G7" s="24"/>
      <c r="H7" s="24"/>
      <c r="I7" s="24"/>
      <c r="J7" s="24"/>
      <c r="K7" s="25"/>
    </row>
    <row r="8" s="5" customFormat="1" ht="20" customHeight="1" spans="1:11">
      <c r="A8" s="22"/>
      <c r="B8" s="23"/>
      <c r="C8" s="24"/>
      <c r="D8" s="24"/>
      <c r="E8" s="24"/>
      <c r="F8" s="24"/>
      <c r="G8" s="24"/>
      <c r="H8" s="24"/>
      <c r="I8" s="24"/>
      <c r="J8" s="24"/>
      <c r="K8" s="25"/>
    </row>
    <row r="9" s="5" customFormat="1" ht="20" customHeight="1" spans="1:11">
      <c r="A9" s="22"/>
      <c r="B9" s="23"/>
      <c r="C9" s="24"/>
      <c r="D9" s="24"/>
      <c r="E9" s="24"/>
      <c r="F9" s="24"/>
      <c r="G9" s="24"/>
      <c r="H9" s="24"/>
      <c r="I9" s="24"/>
      <c r="J9" s="24"/>
      <c r="K9" s="25"/>
    </row>
    <row r="10" s="5" customFormat="1" ht="20" customHeight="1" spans="1:11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5"/>
    </row>
    <row r="11" s="5" customFormat="1" ht="20" customHeight="1" spans="1:11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5"/>
    </row>
    <row r="12" s="5" customFormat="1" ht="20" customHeight="1" spans="1:11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5"/>
    </row>
    <row r="13" s="5" customFormat="1" ht="20" customHeight="1" spans="1:11">
      <c r="A13" s="22"/>
      <c r="B13" s="23"/>
      <c r="C13" s="24"/>
      <c r="D13" s="24"/>
      <c r="E13" s="24"/>
      <c r="F13" s="24"/>
      <c r="G13" s="24"/>
      <c r="H13" s="24"/>
      <c r="I13" s="24"/>
      <c r="J13" s="24"/>
      <c r="K13" s="25"/>
    </row>
    <row r="14" s="5" customFormat="1" ht="20" customHeight="1" spans="1:1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5"/>
    </row>
    <row r="15" s="5" customFormat="1" ht="20" customHeight="1" spans="1:11">
      <c r="A15" s="22"/>
      <c r="B15" s="23"/>
      <c r="C15" s="24"/>
      <c r="D15" s="24"/>
      <c r="E15" s="24"/>
      <c r="F15" s="24"/>
      <c r="G15" s="24"/>
      <c r="H15" s="24"/>
      <c r="I15" s="24"/>
      <c r="J15" s="24"/>
      <c r="K15" s="25"/>
    </row>
    <row r="16" s="5" customFormat="1" ht="20" customHeight="1" spans="1:11">
      <c r="A16" s="22"/>
      <c r="B16" s="23"/>
      <c r="C16" s="24"/>
      <c r="D16" s="24"/>
      <c r="E16" s="24"/>
      <c r="F16" s="24"/>
      <c r="G16" s="24"/>
      <c r="H16" s="24"/>
      <c r="I16" s="24"/>
      <c r="J16" s="24"/>
      <c r="K16" s="25"/>
    </row>
    <row r="17" s="5" customFormat="1" ht="20" customHeight="1" spans="1:11">
      <c r="A17" s="22"/>
      <c r="B17" s="23"/>
      <c r="C17" s="24"/>
      <c r="D17" s="24"/>
      <c r="E17" s="24"/>
      <c r="F17" s="24"/>
      <c r="G17" s="24"/>
      <c r="H17" s="24"/>
      <c r="I17" s="24"/>
      <c r="J17" s="24"/>
      <c r="K17" s="25"/>
    </row>
    <row r="18" s="5" customFormat="1" ht="20" customHeight="1" spans="1:11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5"/>
    </row>
    <row r="19" s="5" customFormat="1" ht="20" customHeight="1" spans="1:11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25"/>
    </row>
    <row r="20" s="5" customFormat="1" ht="20" customHeight="1" spans="1:11">
      <c r="A20" s="22"/>
      <c r="B20" s="23"/>
      <c r="C20" s="24"/>
      <c r="D20" s="24"/>
      <c r="E20" s="24"/>
      <c r="F20" s="24"/>
      <c r="G20" s="24"/>
      <c r="H20" s="24"/>
      <c r="I20" s="24"/>
      <c r="J20" s="24"/>
      <c r="K20" s="25"/>
    </row>
    <row r="21" s="5" customFormat="1" ht="20" customHeight="1" spans="1:11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5"/>
    </row>
    <row r="22" s="5" customFormat="1" ht="20" customHeight="1" spans="1:11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5"/>
    </row>
    <row r="23" s="5" customFormat="1" ht="20" customHeight="1" spans="1:11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5"/>
    </row>
    <row r="24" s="5" customFormat="1" ht="20" customHeight="1" spans="1:11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5"/>
    </row>
    <row r="25" s="5" customFormat="1" ht="20" customHeight="1" spans="1:11">
      <c r="A25" s="22"/>
      <c r="B25" s="23"/>
      <c r="C25" s="24"/>
      <c r="D25" s="24"/>
      <c r="E25" s="24"/>
      <c r="F25" s="24"/>
      <c r="G25" s="24"/>
      <c r="H25" s="24"/>
      <c r="I25" s="24"/>
      <c r="J25" s="24"/>
      <c r="K25" s="25"/>
    </row>
    <row r="26" s="5" customFormat="1" ht="20" customHeight="1" spans="1:11">
      <c r="A26" s="22"/>
      <c r="B26" s="23"/>
      <c r="C26" s="24"/>
      <c r="D26" s="24"/>
      <c r="E26" s="24"/>
      <c r="F26" s="24"/>
      <c r="G26" s="24"/>
      <c r="H26" s="24"/>
      <c r="I26" s="24"/>
      <c r="J26" s="24"/>
      <c r="K26" s="25"/>
    </row>
    <row r="27" s="5" customFormat="1" ht="20" customHeight="1" spans="1:11">
      <c r="A27" s="22"/>
      <c r="B27" s="23"/>
      <c r="C27" s="24"/>
      <c r="D27" s="24"/>
      <c r="E27" s="24"/>
      <c r="F27" s="24"/>
      <c r="G27" s="24"/>
      <c r="H27" s="24"/>
      <c r="I27" s="24"/>
      <c r="J27" s="24"/>
      <c r="K27" s="25"/>
    </row>
    <row r="28" s="5" customFormat="1" ht="20" customHeight="1" spans="1:1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5"/>
    </row>
    <row r="29" s="5" customFormat="1" ht="20" customHeight="1" spans="1:11">
      <c r="A29" s="22"/>
      <c r="B29" s="23"/>
      <c r="C29" s="24"/>
      <c r="D29" s="24"/>
      <c r="E29" s="24"/>
      <c r="F29" s="24"/>
      <c r="G29" s="24"/>
      <c r="H29" s="24"/>
      <c r="I29" s="24"/>
      <c r="J29" s="24"/>
      <c r="K29" s="25"/>
    </row>
    <row r="30" s="5" customFormat="1" ht="20" customHeight="1" spans="1:11">
      <c r="A30" s="22"/>
      <c r="B30" s="23"/>
      <c r="C30" s="24"/>
      <c r="D30" s="24"/>
      <c r="E30" s="24"/>
      <c r="F30" s="24"/>
      <c r="G30" s="24"/>
      <c r="H30" s="24"/>
      <c r="I30" s="24"/>
      <c r="J30" s="24"/>
      <c r="K30" s="25"/>
    </row>
    <row r="31" s="5" customFormat="1" ht="20" customHeight="1" spans="1:11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5"/>
    </row>
    <row r="32" s="5" customFormat="1" ht="20" customHeight="1" spans="1:11">
      <c r="A32" s="22"/>
      <c r="B32" s="23"/>
      <c r="C32" s="24"/>
      <c r="D32" s="24"/>
      <c r="E32" s="24"/>
      <c r="F32" s="24"/>
      <c r="G32" s="24"/>
      <c r="H32" s="24"/>
      <c r="I32" s="24"/>
      <c r="J32" s="24"/>
      <c r="K32" s="25"/>
    </row>
    <row r="33" s="5" customFormat="1" ht="20" customHeight="1" spans="1:11">
      <c r="A33" s="22"/>
      <c r="B33" s="23"/>
      <c r="C33" s="24"/>
      <c r="D33" s="24"/>
      <c r="E33" s="24"/>
      <c r="F33" s="24"/>
      <c r="G33" s="24"/>
      <c r="H33" s="24"/>
      <c r="I33" s="24"/>
      <c r="J33" s="24"/>
      <c r="K33" s="25"/>
    </row>
    <row r="34" s="5" customFormat="1" ht="20" customHeight="1" spans="1:11">
      <c r="A34" s="22"/>
      <c r="B34" s="23"/>
      <c r="C34" s="24"/>
      <c r="D34" s="24"/>
      <c r="E34" s="24"/>
      <c r="F34" s="24"/>
      <c r="G34" s="24"/>
      <c r="H34" s="24"/>
      <c r="I34" s="24"/>
      <c r="J34" s="24"/>
      <c r="K34" s="25"/>
    </row>
    <row r="35" s="5" customFormat="1" ht="20" customHeight="1" spans="1:11">
      <c r="A35" s="22"/>
      <c r="B35" s="23"/>
      <c r="C35" s="24"/>
      <c r="D35" s="24"/>
      <c r="E35" s="24"/>
      <c r="F35" s="24"/>
      <c r="G35" s="24"/>
      <c r="H35" s="24"/>
      <c r="I35" s="24"/>
      <c r="J35" s="24"/>
      <c r="K35" s="25"/>
    </row>
    <row r="36" s="5" customFormat="1" ht="20" customHeight="1" spans="1:11">
      <c r="A36" s="22"/>
      <c r="B36" s="23"/>
      <c r="C36" s="24"/>
      <c r="D36" s="24"/>
      <c r="E36" s="24"/>
      <c r="F36" s="24"/>
      <c r="G36" s="24"/>
      <c r="H36" s="24"/>
      <c r="I36" s="24"/>
      <c r="J36" s="24"/>
      <c r="K36" s="25"/>
    </row>
    <row r="37" s="5" customFormat="1" ht="20" customHeight="1" spans="1:11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5"/>
    </row>
    <row r="38" s="5" customFormat="1" ht="20" customHeight="1" spans="1:11">
      <c r="A38" s="22"/>
      <c r="B38" s="23"/>
      <c r="C38" s="24"/>
      <c r="D38" s="24"/>
      <c r="E38" s="24"/>
      <c r="F38" s="24"/>
      <c r="G38" s="24"/>
      <c r="H38" s="24"/>
      <c r="I38" s="24"/>
      <c r="J38" s="24"/>
      <c r="K38" s="25"/>
    </row>
    <row r="39" s="5" customFormat="1" ht="20" customHeight="1" spans="1:11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5"/>
    </row>
    <row r="40" s="5" customFormat="1" ht="20" customHeight="1" spans="1:11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5"/>
    </row>
    <row r="41" s="5" customFormat="1" ht="20" customHeight="1" spans="1:11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5"/>
    </row>
    <row r="42" s="5" customFormat="1" ht="20" customHeight="1" spans="1:11">
      <c r="A42" s="22"/>
      <c r="B42" s="23"/>
      <c r="C42" s="24"/>
      <c r="D42" s="24"/>
      <c r="E42" s="24"/>
      <c r="F42" s="24"/>
      <c r="G42" s="24"/>
      <c r="H42" s="24"/>
      <c r="I42" s="24"/>
      <c r="J42" s="24"/>
      <c r="K42" s="25"/>
    </row>
    <row r="43" s="5" customFormat="1" ht="20" customHeight="1" spans="1:1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5"/>
    </row>
    <row r="44" s="5" customFormat="1" ht="20" customHeight="1" spans="1:11">
      <c r="A44" s="22"/>
      <c r="B44" s="23"/>
      <c r="C44" s="24"/>
      <c r="D44" s="24"/>
      <c r="E44" s="24"/>
      <c r="F44" s="24"/>
      <c r="G44" s="24"/>
      <c r="H44" s="24"/>
      <c r="I44" s="24"/>
      <c r="J44" s="24"/>
      <c r="K44" s="25"/>
    </row>
    <row r="45" s="5" customFormat="1" ht="20" customHeight="1" spans="1:11">
      <c r="A45" s="22"/>
      <c r="B45" s="23"/>
      <c r="C45" s="24"/>
      <c r="D45" s="24"/>
      <c r="E45" s="24"/>
      <c r="F45" s="24"/>
      <c r="G45" s="24"/>
      <c r="H45" s="24"/>
      <c r="I45" s="24"/>
      <c r="J45" s="24"/>
      <c r="K45" s="25"/>
    </row>
    <row r="46" s="5" customFormat="1" ht="20" customHeight="1" spans="1:11">
      <c r="A46" s="22"/>
      <c r="B46" s="23"/>
      <c r="C46" s="24"/>
      <c r="D46" s="24"/>
      <c r="E46" s="24"/>
      <c r="F46" s="24"/>
      <c r="G46" s="24"/>
      <c r="H46" s="24"/>
      <c r="I46" s="24"/>
      <c r="J46" s="24"/>
      <c r="K46" s="25"/>
    </row>
    <row r="47" s="5" customFormat="1" ht="20" customHeight="1" spans="1:11">
      <c r="A47" s="22"/>
      <c r="B47" s="23"/>
      <c r="C47" s="24"/>
      <c r="D47" s="24"/>
      <c r="E47" s="24"/>
      <c r="F47" s="24"/>
      <c r="G47" s="24"/>
      <c r="H47" s="24"/>
      <c r="I47" s="24"/>
      <c r="J47" s="24"/>
      <c r="K47" s="25"/>
    </row>
    <row r="48" s="5" customFormat="1" ht="20" customHeight="1" spans="1:11">
      <c r="A48" s="22"/>
      <c r="B48" s="23"/>
      <c r="C48" s="24"/>
      <c r="D48" s="24"/>
      <c r="E48" s="24"/>
      <c r="F48" s="24"/>
      <c r="G48" s="24"/>
      <c r="H48" s="24"/>
      <c r="I48" s="24"/>
      <c r="J48" s="24"/>
      <c r="K48" s="25"/>
    </row>
    <row r="49" s="5" customFormat="1" ht="20" customHeight="1" spans="1:11">
      <c r="A49" s="22"/>
      <c r="B49" s="23"/>
      <c r="C49" s="24"/>
      <c r="D49" s="24"/>
      <c r="E49" s="24"/>
      <c r="F49" s="24"/>
      <c r="G49" s="24"/>
      <c r="H49" s="24"/>
      <c r="I49" s="24"/>
      <c r="J49" s="24"/>
      <c r="K49" s="25"/>
    </row>
    <row r="50" s="5" customFormat="1" ht="20" customHeight="1" spans="1:11">
      <c r="A50" s="22"/>
      <c r="B50" s="23"/>
      <c r="C50" s="24"/>
      <c r="D50" s="24"/>
      <c r="E50" s="24"/>
      <c r="F50" s="24"/>
      <c r="G50" s="24"/>
      <c r="H50" s="24"/>
      <c r="I50" s="24"/>
      <c r="J50" s="24"/>
      <c r="K50" s="25"/>
    </row>
    <row r="51" s="5" customFormat="1" ht="20" customHeight="1" spans="1:11">
      <c r="A51" s="22"/>
      <c r="B51" s="23"/>
      <c r="C51" s="24"/>
      <c r="D51" s="24"/>
      <c r="E51" s="24"/>
      <c r="F51" s="24"/>
      <c r="G51" s="24"/>
      <c r="H51" s="24"/>
      <c r="I51" s="24"/>
      <c r="J51" s="24"/>
      <c r="K51" s="25"/>
    </row>
    <row r="52" s="5" customFormat="1" ht="20" customHeight="1" spans="1:11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5"/>
    </row>
    <row r="53" s="5" customFormat="1" ht="20" customHeight="1" spans="1:11">
      <c r="A53" s="22"/>
      <c r="B53" s="23"/>
      <c r="C53" s="24"/>
      <c r="D53" s="24"/>
      <c r="E53" s="24"/>
      <c r="F53" s="24"/>
      <c r="G53" s="24"/>
      <c r="H53" s="24"/>
      <c r="I53" s="24"/>
      <c r="J53" s="24"/>
      <c r="K53" s="25"/>
    </row>
    <row r="54" s="5" customFormat="1" ht="20" customHeight="1" spans="1:11">
      <c r="A54" s="22"/>
      <c r="B54" s="23"/>
      <c r="C54" s="24"/>
      <c r="D54" s="24"/>
      <c r="E54" s="24"/>
      <c r="F54" s="24"/>
      <c r="G54" s="24"/>
      <c r="H54" s="24"/>
      <c r="I54" s="24"/>
      <c r="J54" s="24"/>
      <c r="K54" s="25"/>
    </row>
    <row r="55" s="5" customFormat="1" ht="20" customHeight="1" spans="1:11">
      <c r="A55" s="22"/>
      <c r="B55" s="23"/>
      <c r="C55" s="24"/>
      <c r="D55" s="24"/>
      <c r="E55" s="24"/>
      <c r="F55" s="24"/>
      <c r="G55" s="24"/>
      <c r="H55" s="24"/>
      <c r="I55" s="24"/>
      <c r="J55" s="24"/>
      <c r="K55" s="25"/>
    </row>
    <row r="56" s="5" customFormat="1" ht="20" customHeight="1" spans="1:11">
      <c r="A56" s="22"/>
      <c r="B56" s="23"/>
      <c r="C56" s="24"/>
      <c r="D56" s="24"/>
      <c r="E56" s="24"/>
      <c r="F56" s="24"/>
      <c r="G56" s="24"/>
      <c r="H56" s="24"/>
      <c r="I56" s="24"/>
      <c r="J56" s="24"/>
      <c r="K56" s="25"/>
    </row>
    <row r="57" s="5" customFormat="1" ht="20" customHeight="1" spans="1:11">
      <c r="A57" s="22"/>
      <c r="B57" s="23"/>
      <c r="C57" s="24"/>
      <c r="D57" s="24"/>
      <c r="E57" s="24"/>
      <c r="F57" s="24"/>
      <c r="G57" s="24"/>
      <c r="H57" s="24"/>
      <c r="I57" s="24"/>
      <c r="J57" s="24"/>
      <c r="K57" s="25"/>
    </row>
    <row r="58" s="5" customFormat="1" ht="20" customHeight="1" spans="1:11">
      <c r="A58" s="22"/>
      <c r="B58" s="23"/>
      <c r="C58" s="24"/>
      <c r="D58" s="24"/>
      <c r="E58" s="24"/>
      <c r="F58" s="24"/>
      <c r="G58" s="24"/>
      <c r="H58" s="24"/>
      <c r="I58" s="24"/>
      <c r="J58" s="24"/>
      <c r="K58" s="25"/>
    </row>
    <row r="59" s="5" customFormat="1" ht="20" customHeight="1" spans="1:11">
      <c r="A59" s="22"/>
      <c r="B59" s="23"/>
      <c r="C59" s="24"/>
      <c r="D59" s="24"/>
      <c r="E59" s="24"/>
      <c r="F59" s="24"/>
      <c r="G59" s="24"/>
      <c r="H59" s="24"/>
      <c r="I59" s="24"/>
      <c r="J59" s="24"/>
      <c r="K59" s="25"/>
    </row>
    <row r="60" s="5" customFormat="1" ht="20" customHeight="1" spans="1:11">
      <c r="A60" s="22"/>
      <c r="B60" s="23"/>
      <c r="C60" s="24"/>
      <c r="D60" s="24"/>
      <c r="E60" s="24"/>
      <c r="F60" s="24"/>
      <c r="G60" s="24"/>
      <c r="H60" s="24"/>
      <c r="I60" s="24"/>
      <c r="J60" s="24"/>
      <c r="K60" s="25"/>
    </row>
    <row r="61" s="5" customFormat="1" ht="20" customHeight="1" spans="1:11">
      <c r="A61" s="22"/>
      <c r="B61" s="23"/>
      <c r="C61" s="24"/>
      <c r="D61" s="24"/>
      <c r="E61" s="24"/>
      <c r="F61" s="24"/>
      <c r="G61" s="24"/>
      <c r="H61" s="24"/>
      <c r="I61" s="24"/>
      <c r="J61" s="24"/>
      <c r="K61" s="25"/>
    </row>
    <row r="62" s="5" customFormat="1" ht="20" customHeight="1" spans="1:11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5"/>
    </row>
    <row r="63" s="5" customFormat="1" ht="20" customHeight="1" spans="1:1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5"/>
    </row>
    <row r="64" s="5" customFormat="1" ht="20" customHeight="1" spans="1:11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5"/>
    </row>
    <row r="65" s="5" customFormat="1" ht="20" customHeight="1" spans="1:11">
      <c r="A65" s="22"/>
      <c r="B65" s="23"/>
      <c r="C65" s="24"/>
      <c r="D65" s="24"/>
      <c r="E65" s="24"/>
      <c r="F65" s="24"/>
      <c r="G65" s="24"/>
      <c r="H65" s="24"/>
      <c r="I65" s="24"/>
      <c r="J65" s="24"/>
      <c r="K65" s="25"/>
    </row>
    <row r="66" s="5" customFormat="1" ht="20" customHeight="1" spans="1:11">
      <c r="A66" s="22"/>
      <c r="B66" s="23"/>
      <c r="C66" s="24"/>
      <c r="D66" s="24"/>
      <c r="E66" s="24"/>
      <c r="F66" s="24"/>
      <c r="G66" s="24"/>
      <c r="H66" s="24"/>
      <c r="I66" s="24"/>
      <c r="J66" s="24"/>
      <c r="K66" s="25"/>
    </row>
    <row r="67" s="5" customFormat="1" ht="20" customHeight="1" spans="1:11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5"/>
    </row>
    <row r="68" s="5" customFormat="1" ht="20" customHeight="1" spans="1:11">
      <c r="A68" s="22"/>
      <c r="B68" s="23"/>
      <c r="C68" s="24"/>
      <c r="D68" s="24"/>
      <c r="E68" s="24"/>
      <c r="F68" s="24"/>
      <c r="G68" s="24"/>
      <c r="H68" s="24"/>
      <c r="I68" s="24"/>
      <c r="J68" s="24"/>
      <c r="K68" s="25"/>
    </row>
    <row r="69" s="5" customFormat="1" ht="20" customHeight="1" spans="1:11">
      <c r="A69" s="22"/>
      <c r="B69" s="23"/>
      <c r="C69" s="24"/>
      <c r="D69" s="24"/>
      <c r="E69" s="24"/>
      <c r="F69" s="24"/>
      <c r="G69" s="24"/>
      <c r="H69" s="24"/>
      <c r="I69" s="24"/>
      <c r="J69" s="24"/>
      <c r="K69" s="25"/>
    </row>
    <row r="70" s="5" customFormat="1" ht="20" customHeight="1" spans="1:11">
      <c r="A70" s="22"/>
      <c r="B70" s="23"/>
      <c r="C70" s="24"/>
      <c r="D70" s="24"/>
      <c r="E70" s="24"/>
      <c r="F70" s="24"/>
      <c r="G70" s="24"/>
      <c r="H70" s="24"/>
      <c r="I70" s="24"/>
      <c r="J70" s="24"/>
      <c r="K70" s="25"/>
    </row>
    <row r="71" s="5" customFormat="1" ht="20" customHeight="1" spans="1:11">
      <c r="A71" s="22"/>
      <c r="B71" s="23"/>
      <c r="C71" s="24"/>
      <c r="D71" s="24"/>
      <c r="E71" s="24"/>
      <c r="F71" s="24"/>
      <c r="G71" s="24"/>
      <c r="H71" s="24"/>
      <c r="I71" s="24"/>
      <c r="J71" s="24"/>
      <c r="K71" s="25"/>
    </row>
    <row r="72" s="5" customFormat="1" ht="20" customHeight="1" spans="1:11">
      <c r="A72" s="22"/>
      <c r="B72" s="23"/>
      <c r="C72" s="24"/>
      <c r="D72" s="24"/>
      <c r="E72" s="24"/>
      <c r="F72" s="24"/>
      <c r="G72" s="24"/>
      <c r="H72" s="24"/>
      <c r="I72" s="24"/>
      <c r="J72" s="24"/>
      <c r="K72" s="25"/>
    </row>
    <row r="73" s="5" customFormat="1" ht="20" customHeight="1" spans="1:11">
      <c r="A73" s="22"/>
      <c r="B73" s="23"/>
      <c r="C73" s="24"/>
      <c r="D73" s="24"/>
      <c r="E73" s="24"/>
      <c r="F73" s="24"/>
      <c r="G73" s="24"/>
      <c r="H73" s="24"/>
      <c r="I73" s="24"/>
      <c r="J73" s="24"/>
      <c r="K73" s="25"/>
    </row>
    <row r="74" s="5" customFormat="1" ht="20" customHeight="1" spans="1:11">
      <c r="A74" s="22"/>
      <c r="B74" s="23"/>
      <c r="C74" s="24"/>
      <c r="D74" s="24"/>
      <c r="E74" s="24"/>
      <c r="F74" s="24"/>
      <c r="G74" s="24"/>
      <c r="H74" s="24"/>
      <c r="I74" s="24"/>
      <c r="J74" s="24"/>
      <c r="K74" s="25"/>
    </row>
    <row r="75" s="5" customFormat="1" ht="20" customHeight="1" spans="1:11">
      <c r="A75" s="22"/>
      <c r="B75" s="23"/>
      <c r="C75" s="24"/>
      <c r="D75" s="24"/>
      <c r="E75" s="24"/>
      <c r="F75" s="24"/>
      <c r="G75" s="24"/>
      <c r="H75" s="24"/>
      <c r="I75" s="24"/>
      <c r="J75" s="24"/>
      <c r="K75" s="25"/>
    </row>
    <row r="76" s="5" customFormat="1" ht="20" customHeight="1" spans="1:11">
      <c r="A76" s="22"/>
      <c r="B76" s="23"/>
      <c r="C76" s="24"/>
      <c r="D76" s="24"/>
      <c r="E76" s="24"/>
      <c r="F76" s="24"/>
      <c r="G76" s="24"/>
      <c r="H76" s="24"/>
      <c r="I76" s="24"/>
      <c r="J76" s="24"/>
      <c r="K76" s="25"/>
    </row>
    <row r="77" s="5" customFormat="1" ht="20" customHeight="1" spans="1:11">
      <c r="A77" s="22"/>
      <c r="B77" s="23"/>
      <c r="C77" s="24"/>
      <c r="D77" s="24"/>
      <c r="E77" s="24"/>
      <c r="F77" s="24"/>
      <c r="G77" s="24"/>
      <c r="H77" s="24"/>
      <c r="I77" s="24"/>
      <c r="J77" s="24"/>
      <c r="K77" s="25"/>
    </row>
    <row r="78" s="5" customFormat="1" ht="20" customHeight="1" spans="1:11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5"/>
    </row>
    <row r="79" s="5" customFormat="1" ht="20" customHeight="1" spans="1:11">
      <c r="A79" s="22"/>
      <c r="B79" s="23"/>
      <c r="C79" s="24"/>
      <c r="D79" s="24"/>
      <c r="E79" s="24"/>
      <c r="F79" s="24"/>
      <c r="G79" s="24"/>
      <c r="H79" s="24"/>
      <c r="I79" s="24"/>
      <c r="J79" s="24"/>
      <c r="K79" s="25"/>
    </row>
    <row r="80" s="5" customFormat="1" ht="20" customHeight="1" spans="1:11">
      <c r="A80" s="22"/>
      <c r="B80" s="23"/>
      <c r="C80" s="24"/>
      <c r="D80" s="24"/>
      <c r="E80" s="24"/>
      <c r="F80" s="24"/>
      <c r="G80" s="24"/>
      <c r="H80" s="24"/>
      <c r="I80" s="24"/>
      <c r="J80" s="24"/>
      <c r="K80" s="25"/>
    </row>
    <row r="81" s="5" customFormat="1" ht="20" customHeight="1" spans="1:11">
      <c r="A81" s="22"/>
      <c r="B81" s="23"/>
      <c r="C81" s="24"/>
      <c r="D81" s="24"/>
      <c r="E81" s="24"/>
      <c r="F81" s="24"/>
      <c r="G81" s="24"/>
      <c r="H81" s="24"/>
      <c r="I81" s="24"/>
      <c r="J81" s="24"/>
      <c r="K81" s="25"/>
    </row>
    <row r="82" s="5" customFormat="1" ht="20" customHeight="1" spans="1:11">
      <c r="A82" s="22"/>
      <c r="B82" s="23"/>
      <c r="C82" s="24"/>
      <c r="D82" s="24"/>
      <c r="E82" s="24"/>
      <c r="F82" s="24"/>
      <c r="G82" s="24"/>
      <c r="H82" s="24"/>
      <c r="I82" s="24"/>
      <c r="J82" s="24"/>
      <c r="K82" s="25"/>
    </row>
    <row r="83" s="5" customFormat="1" ht="20" customHeight="1" spans="1:11">
      <c r="A83" s="22"/>
      <c r="B83" s="23"/>
      <c r="C83" s="24"/>
      <c r="D83" s="24"/>
      <c r="E83" s="24"/>
      <c r="F83" s="24"/>
      <c r="G83" s="24"/>
      <c r="H83" s="24"/>
      <c r="I83" s="24"/>
      <c r="J83" s="24"/>
      <c r="K83" s="25"/>
    </row>
    <row r="84" s="5" customFormat="1" ht="20" customHeight="1" spans="1:11">
      <c r="A84" s="22"/>
      <c r="B84" s="23"/>
      <c r="C84" s="24"/>
      <c r="D84" s="24"/>
      <c r="E84" s="24"/>
      <c r="F84" s="24"/>
      <c r="G84" s="24"/>
      <c r="H84" s="24"/>
      <c r="I84" s="24"/>
      <c r="J84" s="24"/>
      <c r="K84" s="25"/>
    </row>
    <row r="85" s="5" customFormat="1" ht="20" customHeight="1" spans="1:11">
      <c r="A85" s="22"/>
      <c r="B85" s="23"/>
      <c r="C85" s="24"/>
      <c r="D85" s="24"/>
      <c r="E85" s="24"/>
      <c r="F85" s="24"/>
      <c r="G85" s="24"/>
      <c r="H85" s="24"/>
      <c r="I85" s="24"/>
      <c r="J85" s="24"/>
      <c r="K85" s="25"/>
    </row>
    <row r="86" s="5" customFormat="1" ht="20" customHeight="1" spans="1:11">
      <c r="A86" s="22"/>
      <c r="B86" s="23"/>
      <c r="C86" s="24"/>
      <c r="D86" s="24"/>
      <c r="E86" s="24"/>
      <c r="F86" s="24"/>
      <c r="G86" s="24"/>
      <c r="H86" s="24"/>
      <c r="I86" s="24"/>
      <c r="J86" s="24"/>
      <c r="K86" s="25"/>
    </row>
    <row r="87" s="5" customFormat="1" ht="20" customHeight="1" spans="1:11">
      <c r="A87" s="22"/>
      <c r="B87" s="23"/>
      <c r="C87" s="24"/>
      <c r="D87" s="24"/>
      <c r="E87" s="24"/>
      <c r="F87" s="24"/>
      <c r="G87" s="24"/>
      <c r="H87" s="24"/>
      <c r="I87" s="24"/>
      <c r="J87" s="24"/>
      <c r="K87" s="25"/>
    </row>
    <row r="88" s="5" customFormat="1" ht="20" customHeight="1" spans="1:11">
      <c r="A88" s="22"/>
      <c r="B88" s="23"/>
      <c r="C88" s="24"/>
      <c r="D88" s="24"/>
      <c r="E88" s="24"/>
      <c r="F88" s="24"/>
      <c r="G88" s="24"/>
      <c r="H88" s="24"/>
      <c r="I88" s="24"/>
      <c r="J88" s="24"/>
      <c r="K88" s="25"/>
    </row>
    <row r="89" s="5" customFormat="1" ht="20" customHeight="1" spans="1:11">
      <c r="A89" s="22"/>
      <c r="B89" s="23"/>
      <c r="C89" s="24"/>
      <c r="D89" s="24"/>
      <c r="E89" s="24"/>
      <c r="F89" s="24"/>
      <c r="G89" s="24"/>
      <c r="H89" s="24"/>
      <c r="I89" s="24"/>
      <c r="J89" s="24"/>
      <c r="K89" s="25"/>
    </row>
    <row r="90" s="5" customFormat="1" ht="20" customHeight="1" spans="1:11">
      <c r="A90" s="22"/>
      <c r="B90" s="23"/>
      <c r="C90" s="24"/>
      <c r="D90" s="24"/>
      <c r="E90" s="24"/>
      <c r="F90" s="24"/>
      <c r="G90" s="24"/>
      <c r="H90" s="24"/>
      <c r="I90" s="24"/>
      <c r="J90" s="24"/>
      <c r="K90" s="25"/>
    </row>
    <row r="91" s="5" customFormat="1" ht="20" customHeight="1" spans="1:11">
      <c r="A91" s="22"/>
      <c r="B91" s="23"/>
      <c r="C91" s="24"/>
      <c r="D91" s="24"/>
      <c r="E91" s="24"/>
      <c r="F91" s="24"/>
      <c r="G91" s="24"/>
      <c r="H91" s="24"/>
      <c r="I91" s="24"/>
      <c r="J91" s="24"/>
      <c r="K91" s="25"/>
    </row>
    <row r="92" s="5" customFormat="1" ht="20" customHeight="1" spans="1:11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5"/>
    </row>
    <row r="93" s="5" customFormat="1" ht="20" customHeight="1" spans="1:11">
      <c r="A93" s="22"/>
      <c r="B93" s="23"/>
      <c r="C93" s="24"/>
      <c r="D93" s="24"/>
      <c r="E93" s="24"/>
      <c r="F93" s="24"/>
      <c r="G93" s="24"/>
      <c r="H93" s="24"/>
      <c r="I93" s="24"/>
      <c r="J93" s="24"/>
      <c r="K93" s="25"/>
    </row>
    <row r="94" s="5" customFormat="1" ht="20" customHeight="1" spans="1:11">
      <c r="A94" s="22"/>
      <c r="B94" s="23"/>
      <c r="C94" s="24"/>
      <c r="D94" s="24"/>
      <c r="E94" s="24"/>
      <c r="F94" s="24"/>
      <c r="G94" s="24"/>
      <c r="H94" s="24"/>
      <c r="I94" s="24"/>
      <c r="J94" s="24"/>
      <c r="K94" s="25"/>
    </row>
    <row r="95" s="5" customFormat="1" ht="20" customHeight="1" spans="1:11">
      <c r="A95" s="22"/>
      <c r="B95" s="23"/>
      <c r="C95" s="24"/>
      <c r="D95" s="24"/>
      <c r="E95" s="24"/>
      <c r="F95" s="24"/>
      <c r="G95" s="24"/>
      <c r="H95" s="24"/>
      <c r="I95" s="24"/>
      <c r="J95" s="24"/>
      <c r="K95" s="25"/>
    </row>
    <row r="96" s="5" customFormat="1" ht="20" customHeight="1" spans="1:11">
      <c r="A96" s="22"/>
      <c r="B96" s="23"/>
      <c r="C96" s="24"/>
      <c r="D96" s="24"/>
      <c r="E96" s="24"/>
      <c r="F96" s="24"/>
      <c r="G96" s="24"/>
      <c r="H96" s="24"/>
      <c r="I96" s="24"/>
      <c r="J96" s="24"/>
      <c r="K96" s="25"/>
    </row>
    <row r="97" s="5" customFormat="1" ht="20" customHeight="1" spans="1:11">
      <c r="A97" s="22"/>
      <c r="B97" s="23"/>
      <c r="C97" s="24"/>
      <c r="D97" s="24"/>
      <c r="E97" s="24"/>
      <c r="F97" s="24"/>
      <c r="G97" s="24"/>
      <c r="H97" s="24"/>
      <c r="I97" s="24"/>
      <c r="J97" s="24"/>
      <c r="K97" s="25"/>
    </row>
    <row r="98" s="5" customFormat="1" ht="20" customHeight="1" spans="1:11">
      <c r="A98" s="22"/>
      <c r="B98" s="23"/>
      <c r="C98" s="24"/>
      <c r="D98" s="24"/>
      <c r="E98" s="24"/>
      <c r="F98" s="24"/>
      <c r="G98" s="24"/>
      <c r="H98" s="24"/>
      <c r="I98" s="24"/>
      <c r="J98" s="24"/>
      <c r="K98" s="25"/>
    </row>
    <row r="99" s="5" customFormat="1" ht="20" customHeight="1" spans="1:11">
      <c r="A99" s="22"/>
      <c r="B99" s="23"/>
      <c r="C99" s="24"/>
      <c r="D99" s="24"/>
      <c r="E99" s="24"/>
      <c r="F99" s="24"/>
      <c r="G99" s="24"/>
      <c r="H99" s="24"/>
      <c r="I99" s="24"/>
      <c r="J99" s="24"/>
      <c r="K99" s="25"/>
    </row>
    <row r="100" s="5" customFormat="1" ht="20" customHeight="1" spans="1:11">
      <c r="A100" s="22"/>
      <c r="B100" s="23"/>
      <c r="C100" s="24"/>
      <c r="D100" s="24"/>
      <c r="E100" s="24"/>
      <c r="F100" s="24"/>
      <c r="G100" s="24"/>
      <c r="H100" s="24"/>
      <c r="I100" s="24"/>
      <c r="J100" s="24"/>
      <c r="K100" s="25"/>
    </row>
    <row r="101" s="5" customFormat="1" ht="20" customHeight="1" spans="1:11">
      <c r="A101" s="22"/>
      <c r="B101" s="23"/>
      <c r="C101" s="24"/>
      <c r="D101" s="24"/>
      <c r="E101" s="24"/>
      <c r="F101" s="24"/>
      <c r="G101" s="24"/>
      <c r="H101" s="24"/>
      <c r="I101" s="24"/>
      <c r="J101" s="24"/>
      <c r="K101" s="25"/>
    </row>
    <row r="102" s="5" customFormat="1" ht="20" customHeight="1" spans="1:11">
      <c r="A102" s="22"/>
      <c r="B102" s="23"/>
      <c r="C102" s="24"/>
      <c r="D102" s="24"/>
      <c r="E102" s="24"/>
      <c r="F102" s="24"/>
      <c r="G102" s="24"/>
      <c r="H102" s="24"/>
      <c r="I102" s="24"/>
      <c r="J102" s="24"/>
      <c r="K102" s="25"/>
    </row>
    <row r="103" s="5" customFormat="1" ht="20" customHeight="1" spans="1:11">
      <c r="A103" s="22"/>
      <c r="B103" s="23"/>
      <c r="C103" s="24"/>
      <c r="D103" s="24"/>
      <c r="E103" s="24"/>
      <c r="F103" s="24"/>
      <c r="G103" s="24"/>
      <c r="H103" s="24"/>
      <c r="I103" s="24"/>
      <c r="J103" s="24"/>
      <c r="K103" s="25"/>
    </row>
    <row r="104" s="5" customFormat="1" ht="20" customHeight="1" spans="1:11">
      <c r="A104" s="22"/>
      <c r="B104" s="23"/>
      <c r="C104" s="24"/>
      <c r="D104" s="24"/>
      <c r="E104" s="24"/>
      <c r="F104" s="24"/>
      <c r="G104" s="24"/>
      <c r="H104" s="24"/>
      <c r="I104" s="24"/>
      <c r="J104" s="24"/>
      <c r="K104" s="25"/>
    </row>
    <row r="105" s="5" customFormat="1" ht="20" customHeight="1" spans="1:11">
      <c r="A105" s="22"/>
      <c r="B105" s="23"/>
      <c r="C105" s="24"/>
      <c r="D105" s="24"/>
      <c r="E105" s="24"/>
      <c r="F105" s="24"/>
      <c r="G105" s="24"/>
      <c r="H105" s="24"/>
      <c r="I105" s="24"/>
      <c r="J105" s="24"/>
      <c r="K105" s="25"/>
    </row>
    <row r="106" s="5" customFormat="1" ht="20" customHeight="1" spans="1:11">
      <c r="A106" s="22"/>
      <c r="B106" s="23"/>
      <c r="C106" s="24"/>
      <c r="D106" s="24"/>
      <c r="E106" s="24"/>
      <c r="F106" s="24"/>
      <c r="G106" s="24"/>
      <c r="H106" s="24"/>
      <c r="I106" s="24"/>
      <c r="J106" s="24"/>
      <c r="K106" s="25"/>
    </row>
    <row r="107" s="5" customFormat="1" ht="20" customHeight="1" spans="1:11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5"/>
    </row>
    <row r="108" s="5" customFormat="1" ht="20" customHeight="1" spans="1:11">
      <c r="A108" s="22"/>
      <c r="B108" s="23"/>
      <c r="C108" s="24"/>
      <c r="D108" s="24"/>
      <c r="E108" s="24"/>
      <c r="F108" s="24"/>
      <c r="G108" s="24"/>
      <c r="H108" s="24"/>
      <c r="I108" s="24"/>
      <c r="J108" s="24"/>
      <c r="K108" s="25"/>
    </row>
    <row r="109" s="5" customFormat="1" ht="20" customHeight="1" spans="1:11">
      <c r="A109" s="22"/>
      <c r="B109" s="23"/>
      <c r="C109" s="24"/>
      <c r="D109" s="24"/>
      <c r="E109" s="24"/>
      <c r="F109" s="24"/>
      <c r="G109" s="24"/>
      <c r="H109" s="24"/>
      <c r="I109" s="24"/>
      <c r="J109" s="24"/>
      <c r="K109" s="25"/>
    </row>
    <row r="110" s="5" customFormat="1" ht="20" customHeight="1" spans="1:11">
      <c r="A110" s="22"/>
      <c r="B110" s="23"/>
      <c r="C110" s="24"/>
      <c r="D110" s="24"/>
      <c r="E110" s="24"/>
      <c r="F110" s="24"/>
      <c r="G110" s="24"/>
      <c r="H110" s="24"/>
      <c r="I110" s="24"/>
      <c r="J110" s="24"/>
      <c r="K110" s="25"/>
    </row>
    <row r="111" s="5" customFormat="1" ht="20" customHeight="1" spans="1:11">
      <c r="A111" s="22"/>
      <c r="B111" s="23"/>
      <c r="C111" s="24"/>
      <c r="D111" s="24"/>
      <c r="E111" s="24"/>
      <c r="F111" s="24"/>
      <c r="G111" s="24"/>
      <c r="H111" s="24"/>
      <c r="I111" s="24"/>
      <c r="J111" s="24"/>
      <c r="K111" s="25"/>
    </row>
    <row r="112" s="5" customFormat="1" ht="20" customHeight="1" spans="1:11">
      <c r="A112" s="22"/>
      <c r="B112" s="23"/>
      <c r="C112" s="24"/>
      <c r="D112" s="24"/>
      <c r="E112" s="24"/>
      <c r="F112" s="24"/>
      <c r="G112" s="24"/>
      <c r="H112" s="24"/>
      <c r="I112" s="24"/>
      <c r="J112" s="24"/>
      <c r="K112" s="25"/>
    </row>
    <row r="113" s="5" customFormat="1" ht="20" customHeight="1" spans="1:11">
      <c r="A113" s="22"/>
      <c r="B113" s="23"/>
      <c r="C113" s="24"/>
      <c r="D113" s="24"/>
      <c r="E113" s="24"/>
      <c r="F113" s="24"/>
      <c r="G113" s="24"/>
      <c r="H113" s="24"/>
      <c r="I113" s="24"/>
      <c r="J113" s="24"/>
      <c r="K113" s="25"/>
    </row>
    <row r="114" s="5" customFormat="1" ht="20" customHeight="1" spans="1:11">
      <c r="A114" s="22"/>
      <c r="B114" s="23"/>
      <c r="C114" s="24"/>
      <c r="D114" s="24"/>
      <c r="E114" s="24"/>
      <c r="F114" s="24"/>
      <c r="G114" s="24"/>
      <c r="H114" s="24"/>
      <c r="I114" s="24"/>
      <c r="J114" s="24"/>
      <c r="K114" s="25"/>
    </row>
    <row r="115" s="5" customFormat="1" ht="20" customHeight="1" spans="1:11">
      <c r="A115" s="22"/>
      <c r="B115" s="23"/>
      <c r="C115" s="24"/>
      <c r="D115" s="24"/>
      <c r="E115" s="24"/>
      <c r="F115" s="24"/>
      <c r="G115" s="24"/>
      <c r="H115" s="24"/>
      <c r="I115" s="24"/>
      <c r="J115" s="24"/>
      <c r="K115" s="25"/>
    </row>
    <row r="116" s="5" customFormat="1" ht="20" customHeight="1" spans="1:11">
      <c r="A116" s="22"/>
      <c r="B116" s="23"/>
      <c r="C116" s="24"/>
      <c r="D116" s="24"/>
      <c r="E116" s="24"/>
      <c r="F116" s="24"/>
      <c r="G116" s="24"/>
      <c r="H116" s="24"/>
      <c r="I116" s="24"/>
      <c r="J116" s="24"/>
      <c r="K116" s="25"/>
    </row>
    <row r="117" s="5" customFormat="1" ht="20" customHeight="1" spans="1:11">
      <c r="A117" s="22"/>
      <c r="B117" s="23"/>
      <c r="C117" s="24"/>
      <c r="D117" s="24"/>
      <c r="E117" s="24"/>
      <c r="F117" s="24"/>
      <c r="G117" s="24"/>
      <c r="H117" s="24"/>
      <c r="I117" s="24"/>
      <c r="J117" s="24"/>
      <c r="K117" s="25"/>
    </row>
    <row r="118" s="5" customFormat="1" ht="20" customHeight="1" spans="1:11">
      <c r="A118" s="22"/>
      <c r="B118" s="23"/>
      <c r="C118" s="24"/>
      <c r="D118" s="24"/>
      <c r="E118" s="24"/>
      <c r="F118" s="24"/>
      <c r="G118" s="24"/>
      <c r="H118" s="24"/>
      <c r="I118" s="24"/>
      <c r="J118" s="24"/>
      <c r="K118" s="25"/>
    </row>
    <row r="119" s="5" customFormat="1" ht="20" customHeight="1" spans="1:11">
      <c r="A119" s="22"/>
      <c r="B119" s="23"/>
      <c r="C119" s="24"/>
      <c r="D119" s="24"/>
      <c r="E119" s="24"/>
      <c r="F119" s="24"/>
      <c r="G119" s="24"/>
      <c r="H119" s="24"/>
      <c r="I119" s="24"/>
      <c r="J119" s="24"/>
      <c r="K119" s="25"/>
    </row>
    <row r="120" s="5" customFormat="1" ht="20" customHeight="1" spans="1:11">
      <c r="A120" s="22"/>
      <c r="B120" s="23"/>
      <c r="C120" s="24"/>
      <c r="D120" s="24"/>
      <c r="E120" s="24"/>
      <c r="F120" s="24"/>
      <c r="G120" s="24"/>
      <c r="H120" s="24"/>
      <c r="I120" s="24"/>
      <c r="J120" s="24"/>
      <c r="K120" s="25"/>
    </row>
    <row r="121" s="5" customFormat="1" ht="20" customHeight="1" spans="1:11">
      <c r="A121" s="22"/>
      <c r="B121" s="23"/>
      <c r="C121" s="24"/>
      <c r="D121" s="24"/>
      <c r="E121" s="24"/>
      <c r="F121" s="24"/>
      <c r="G121" s="24"/>
      <c r="H121" s="24"/>
      <c r="I121" s="24"/>
      <c r="J121" s="24"/>
      <c r="K121" s="25"/>
    </row>
    <row r="122" s="5" customFormat="1" ht="20" customHeight="1" spans="1:11">
      <c r="A122" s="22"/>
      <c r="B122" s="23"/>
      <c r="C122" s="24"/>
      <c r="D122" s="24"/>
      <c r="E122" s="24"/>
      <c r="F122" s="24"/>
      <c r="G122" s="24"/>
      <c r="H122" s="24"/>
      <c r="I122" s="24"/>
      <c r="J122" s="24"/>
      <c r="K122" s="25"/>
    </row>
    <row r="123" s="5" customFormat="1" ht="20" customHeight="1" spans="1:11">
      <c r="A123" s="22"/>
      <c r="B123" s="23"/>
      <c r="C123" s="24"/>
      <c r="D123" s="24"/>
      <c r="E123" s="24"/>
      <c r="F123" s="24"/>
      <c r="G123" s="24"/>
      <c r="H123" s="24"/>
      <c r="I123" s="24"/>
      <c r="J123" s="24"/>
      <c r="K123" s="25"/>
    </row>
    <row r="124" s="5" customFormat="1" ht="20" customHeight="1" spans="1:11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5"/>
    </row>
    <row r="125" s="5" customFormat="1" ht="20" customHeight="1" spans="1:11">
      <c r="A125" s="22"/>
      <c r="B125" s="23"/>
      <c r="C125" s="24"/>
      <c r="D125" s="24"/>
      <c r="E125" s="24"/>
      <c r="F125" s="24"/>
      <c r="G125" s="24"/>
      <c r="H125" s="24"/>
      <c r="I125" s="24"/>
      <c r="J125" s="24"/>
      <c r="K125" s="25"/>
    </row>
    <row r="126" s="5" customFormat="1" ht="20" customHeight="1" spans="1:11">
      <c r="A126" s="22"/>
      <c r="B126" s="23"/>
      <c r="C126" s="24"/>
      <c r="D126" s="24"/>
      <c r="E126" s="24"/>
      <c r="F126" s="24"/>
      <c r="G126" s="24"/>
      <c r="H126" s="24"/>
      <c r="I126" s="24"/>
      <c r="J126" s="24"/>
      <c r="K126" s="25"/>
    </row>
    <row r="127" s="5" customFormat="1" ht="20" customHeight="1" spans="1:11">
      <c r="A127" s="22"/>
      <c r="B127" s="23"/>
      <c r="C127" s="24"/>
      <c r="D127" s="24"/>
      <c r="E127" s="24"/>
      <c r="F127" s="24"/>
      <c r="G127" s="24"/>
      <c r="H127" s="24"/>
      <c r="I127" s="24"/>
      <c r="J127" s="24"/>
      <c r="K127" s="25"/>
    </row>
    <row r="128" s="5" customFormat="1" ht="20" customHeight="1" spans="1:11">
      <c r="A128" s="22"/>
      <c r="B128" s="23"/>
      <c r="C128" s="24"/>
      <c r="D128" s="24"/>
      <c r="E128" s="24"/>
      <c r="F128" s="24"/>
      <c r="G128" s="24"/>
      <c r="H128" s="24"/>
      <c r="I128" s="24"/>
      <c r="J128" s="24"/>
      <c r="K128" s="25"/>
    </row>
    <row r="129" s="5" customFormat="1" ht="20" customHeight="1" spans="1:11">
      <c r="A129" s="22"/>
      <c r="B129" s="23"/>
      <c r="C129" s="24"/>
      <c r="D129" s="24"/>
      <c r="E129" s="24"/>
      <c r="F129" s="24"/>
      <c r="G129" s="24"/>
      <c r="H129" s="24"/>
      <c r="I129" s="24"/>
      <c r="J129" s="24"/>
      <c r="K129" s="25"/>
    </row>
    <row r="130" s="5" customFormat="1" ht="20" customHeight="1" spans="1:11">
      <c r="A130" s="22"/>
      <c r="B130" s="23"/>
      <c r="C130" s="24"/>
      <c r="D130" s="24"/>
      <c r="E130" s="24"/>
      <c r="F130" s="24"/>
      <c r="G130" s="24"/>
      <c r="H130" s="24"/>
      <c r="I130" s="24"/>
      <c r="J130" s="24"/>
      <c r="K130" s="25"/>
    </row>
    <row r="131" s="5" customFormat="1" ht="20" customHeight="1" spans="1:11">
      <c r="A131" s="22"/>
      <c r="B131" s="23"/>
      <c r="C131" s="24"/>
      <c r="D131" s="24"/>
      <c r="E131" s="24"/>
      <c r="F131" s="24"/>
      <c r="G131" s="24"/>
      <c r="H131" s="24"/>
      <c r="I131" s="24"/>
      <c r="J131" s="24"/>
      <c r="K131" s="25"/>
    </row>
    <row r="132" s="5" customFormat="1" ht="20" customHeight="1" spans="1:11">
      <c r="A132" s="22"/>
      <c r="B132" s="23"/>
      <c r="C132" s="24"/>
      <c r="D132" s="24"/>
      <c r="E132" s="24"/>
      <c r="F132" s="24"/>
      <c r="G132" s="24"/>
      <c r="H132" s="24"/>
      <c r="I132" s="24"/>
      <c r="J132" s="24"/>
      <c r="K132" s="25"/>
    </row>
    <row r="133" s="5" customFormat="1" ht="20" customHeight="1" spans="1:11">
      <c r="A133" s="22"/>
      <c r="B133" s="23"/>
      <c r="C133" s="24"/>
      <c r="D133" s="24"/>
      <c r="E133" s="24"/>
      <c r="F133" s="24"/>
      <c r="G133" s="24"/>
      <c r="H133" s="24"/>
      <c r="I133" s="24"/>
      <c r="J133" s="24"/>
      <c r="K133" s="25"/>
    </row>
    <row r="134" s="5" customFormat="1" ht="20" customHeight="1" spans="1:11">
      <c r="A134" s="22"/>
      <c r="B134" s="23"/>
      <c r="C134" s="24"/>
      <c r="D134" s="24"/>
      <c r="E134" s="24"/>
      <c r="F134" s="24"/>
      <c r="G134" s="24"/>
      <c r="H134" s="24"/>
      <c r="I134" s="24"/>
      <c r="J134" s="24"/>
      <c r="K134" s="25"/>
    </row>
    <row r="135" s="5" customFormat="1" ht="20" customHeight="1" spans="1:11">
      <c r="A135" s="22"/>
      <c r="B135" s="23"/>
      <c r="C135" s="24"/>
      <c r="D135" s="24"/>
      <c r="E135" s="24"/>
      <c r="F135" s="24"/>
      <c r="G135" s="24"/>
      <c r="H135" s="24"/>
      <c r="I135" s="24"/>
      <c r="J135" s="24"/>
      <c r="K135" s="25"/>
    </row>
    <row r="136" s="5" customFormat="1" ht="20" customHeight="1" spans="1:11">
      <c r="A136" s="22"/>
      <c r="B136" s="23"/>
      <c r="C136" s="24"/>
      <c r="D136" s="24"/>
      <c r="E136" s="24"/>
      <c r="F136" s="24"/>
      <c r="G136" s="24"/>
      <c r="H136" s="24"/>
      <c r="I136" s="24"/>
      <c r="J136" s="24"/>
      <c r="K136" s="25"/>
    </row>
    <row r="137" s="5" customFormat="1" ht="20" customHeight="1" spans="1:11">
      <c r="A137" s="22"/>
      <c r="B137" s="23"/>
      <c r="C137" s="24"/>
      <c r="D137" s="24"/>
      <c r="E137" s="24"/>
      <c r="F137" s="24"/>
      <c r="G137" s="24"/>
      <c r="H137" s="24"/>
      <c r="I137" s="24"/>
      <c r="J137" s="24"/>
      <c r="K137" s="25"/>
    </row>
    <row r="138" s="5" customFormat="1" ht="20" customHeight="1" spans="1:11">
      <c r="A138" s="22"/>
      <c r="B138" s="23"/>
      <c r="C138" s="24"/>
      <c r="D138" s="24"/>
      <c r="E138" s="24"/>
      <c r="F138" s="24"/>
      <c r="G138" s="24"/>
      <c r="H138" s="24"/>
      <c r="I138" s="24"/>
      <c r="J138" s="24"/>
      <c r="K138" s="25"/>
    </row>
    <row r="139" s="5" customFormat="1" ht="20" customHeight="1" spans="1:11">
      <c r="A139" s="22"/>
      <c r="B139" s="23"/>
      <c r="C139" s="24"/>
      <c r="D139" s="24"/>
      <c r="E139" s="24"/>
      <c r="F139" s="24"/>
      <c r="G139" s="24"/>
      <c r="H139" s="24"/>
      <c r="I139" s="24"/>
      <c r="J139" s="24"/>
      <c r="K139" s="25"/>
    </row>
    <row r="140" s="5" customFormat="1" ht="20" customHeight="1" spans="1:11">
      <c r="A140" s="22"/>
      <c r="B140" s="23"/>
      <c r="C140" s="24"/>
      <c r="D140" s="24"/>
      <c r="E140" s="24"/>
      <c r="F140" s="24"/>
      <c r="G140" s="24"/>
      <c r="H140" s="24"/>
      <c r="I140" s="24"/>
      <c r="J140" s="24"/>
      <c r="K140" s="25"/>
    </row>
    <row r="141" s="5" customFormat="1" ht="20" customHeight="1" spans="1:11">
      <c r="A141" s="22"/>
      <c r="B141" s="23"/>
      <c r="C141" s="24"/>
      <c r="D141" s="24"/>
      <c r="E141" s="24"/>
      <c r="F141" s="24"/>
      <c r="G141" s="24"/>
      <c r="H141" s="24"/>
      <c r="I141" s="24"/>
      <c r="J141" s="24"/>
      <c r="K141" s="25"/>
    </row>
    <row r="142" s="5" customFormat="1" ht="20" customHeight="1" spans="1:11">
      <c r="A142" s="22"/>
      <c r="B142" s="23"/>
      <c r="C142" s="24"/>
      <c r="D142" s="24"/>
      <c r="E142" s="24"/>
      <c r="F142" s="24"/>
      <c r="G142" s="24"/>
      <c r="H142" s="24"/>
      <c r="I142" s="24"/>
      <c r="J142" s="24"/>
      <c r="K142" s="25"/>
    </row>
    <row r="143" s="5" customFormat="1" ht="20" customHeight="1" spans="1:11">
      <c r="A143" s="22"/>
      <c r="B143" s="23"/>
      <c r="C143" s="24"/>
      <c r="D143" s="24"/>
      <c r="E143" s="24"/>
      <c r="F143" s="24"/>
      <c r="G143" s="24"/>
      <c r="H143" s="24"/>
      <c r="I143" s="24"/>
      <c r="J143" s="24"/>
      <c r="K143" s="25"/>
    </row>
    <row r="144" s="5" customFormat="1" ht="20" customHeight="1" spans="1:11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5"/>
    </row>
    <row r="145" s="5" customFormat="1" ht="20" customHeight="1" spans="1:11">
      <c r="A145" s="22"/>
      <c r="B145" s="23"/>
      <c r="C145" s="24"/>
      <c r="D145" s="24"/>
      <c r="E145" s="24"/>
      <c r="F145" s="24"/>
      <c r="G145" s="24"/>
      <c r="H145" s="24"/>
      <c r="I145" s="24"/>
      <c r="J145" s="24"/>
      <c r="K145" s="25"/>
    </row>
    <row r="146" s="5" customFormat="1" ht="20" customHeight="1" spans="1:11">
      <c r="A146" s="22"/>
      <c r="B146" s="23"/>
      <c r="C146" s="24"/>
      <c r="D146" s="24"/>
      <c r="E146" s="24"/>
      <c r="F146" s="24"/>
      <c r="G146" s="24"/>
      <c r="H146" s="24"/>
      <c r="I146" s="24"/>
      <c r="J146" s="24"/>
      <c r="K146" s="25"/>
    </row>
    <row r="147" s="5" customFormat="1" ht="20" customHeight="1" spans="1:11">
      <c r="A147" s="22"/>
      <c r="B147" s="23"/>
      <c r="C147" s="24"/>
      <c r="D147" s="24"/>
      <c r="E147" s="24"/>
      <c r="F147" s="24"/>
      <c r="G147" s="24"/>
      <c r="H147" s="24"/>
      <c r="I147" s="24"/>
      <c r="J147" s="24"/>
      <c r="K147" s="25"/>
    </row>
    <row r="148" s="5" customFormat="1" ht="20" customHeight="1" spans="1:11">
      <c r="A148" s="22"/>
      <c r="B148" s="23"/>
      <c r="C148" s="24"/>
      <c r="D148" s="24"/>
      <c r="E148" s="24"/>
      <c r="F148" s="24"/>
      <c r="G148" s="24"/>
      <c r="H148" s="24"/>
      <c r="I148" s="24"/>
      <c r="J148" s="24"/>
      <c r="K148" s="25"/>
    </row>
    <row r="149" s="5" customFormat="1" ht="20" customHeight="1" spans="1:11">
      <c r="A149" s="22"/>
      <c r="B149" s="23"/>
      <c r="C149" s="24"/>
      <c r="D149" s="24"/>
      <c r="E149" s="24"/>
      <c r="F149" s="24"/>
      <c r="G149" s="24"/>
      <c r="H149" s="24"/>
      <c r="I149" s="24"/>
      <c r="J149" s="24"/>
      <c r="K149" s="25"/>
    </row>
    <row r="150" s="5" customFormat="1" ht="20" customHeight="1" spans="1:11">
      <c r="A150" s="22"/>
      <c r="B150" s="23"/>
      <c r="C150" s="24"/>
      <c r="D150" s="24"/>
      <c r="E150" s="24"/>
      <c r="F150" s="24"/>
      <c r="G150" s="24"/>
      <c r="H150" s="24"/>
      <c r="I150" s="24"/>
      <c r="J150" s="24"/>
      <c r="K150" s="25"/>
    </row>
    <row r="151" s="5" customFormat="1" ht="20" customHeight="1" spans="1:11">
      <c r="A151" s="22"/>
      <c r="B151" s="23"/>
      <c r="C151" s="24"/>
      <c r="D151" s="24"/>
      <c r="E151" s="24"/>
      <c r="F151" s="24"/>
      <c r="G151" s="24"/>
      <c r="H151" s="24"/>
      <c r="I151" s="24"/>
      <c r="J151" s="24"/>
      <c r="K151" s="25"/>
    </row>
    <row r="152" s="5" customFormat="1" ht="20" customHeight="1" spans="1:11">
      <c r="A152" s="22"/>
      <c r="B152" s="23"/>
      <c r="C152" s="24"/>
      <c r="D152" s="24"/>
      <c r="E152" s="24"/>
      <c r="F152" s="24"/>
      <c r="G152" s="24"/>
      <c r="H152" s="24"/>
      <c r="I152" s="24"/>
      <c r="J152" s="24"/>
      <c r="K152" s="25"/>
    </row>
    <row r="153" s="5" customFormat="1" ht="20" customHeight="1" spans="1:11">
      <c r="A153" s="22"/>
      <c r="B153" s="23"/>
      <c r="C153" s="24"/>
      <c r="D153" s="24"/>
      <c r="E153" s="24"/>
      <c r="F153" s="24"/>
      <c r="G153" s="24"/>
      <c r="H153" s="24"/>
      <c r="I153" s="24"/>
      <c r="J153" s="24"/>
      <c r="K153" s="25"/>
    </row>
    <row r="154" s="5" customFormat="1" ht="20" customHeight="1" spans="1:11">
      <c r="A154" s="22"/>
      <c r="B154" s="23"/>
      <c r="C154" s="24"/>
      <c r="D154" s="24"/>
      <c r="E154" s="24"/>
      <c r="F154" s="24"/>
      <c r="G154" s="24"/>
      <c r="H154" s="24"/>
      <c r="I154" s="24"/>
      <c r="J154" s="24"/>
      <c r="K154" s="25"/>
    </row>
    <row r="155" s="5" customFormat="1" ht="20" customHeight="1" spans="1:11">
      <c r="A155" s="22"/>
      <c r="B155" s="23"/>
      <c r="C155" s="24"/>
      <c r="D155" s="24"/>
      <c r="E155" s="24"/>
      <c r="F155" s="24"/>
      <c r="G155" s="24"/>
      <c r="H155" s="24"/>
      <c r="I155" s="24"/>
      <c r="J155" s="24"/>
      <c r="K155" s="25"/>
    </row>
    <row r="156" s="5" customFormat="1" ht="20" customHeight="1" spans="1:11">
      <c r="A156" s="22"/>
      <c r="B156" s="23"/>
      <c r="C156" s="24"/>
      <c r="D156" s="24"/>
      <c r="E156" s="24"/>
      <c r="F156" s="24"/>
      <c r="G156" s="24"/>
      <c r="H156" s="24"/>
      <c r="I156" s="24"/>
      <c r="J156" s="24"/>
      <c r="K156" s="25"/>
    </row>
    <row r="157" s="5" customFormat="1" ht="20" customHeight="1" spans="1:11">
      <c r="A157" s="22"/>
      <c r="B157" s="23"/>
      <c r="C157" s="24"/>
      <c r="D157" s="24"/>
      <c r="E157" s="24"/>
      <c r="F157" s="24"/>
      <c r="G157" s="24"/>
      <c r="H157" s="24"/>
      <c r="I157" s="24"/>
      <c r="J157" s="24"/>
      <c r="K157" s="25"/>
    </row>
    <row r="158" s="5" customFormat="1" ht="20" customHeight="1" spans="1:11">
      <c r="A158" s="22"/>
      <c r="B158" s="23"/>
      <c r="C158" s="24"/>
      <c r="D158" s="24"/>
      <c r="E158" s="24"/>
      <c r="F158" s="24"/>
      <c r="G158" s="24"/>
      <c r="H158" s="24"/>
      <c r="I158" s="24"/>
      <c r="J158" s="24"/>
      <c r="K158" s="25"/>
    </row>
    <row r="159" s="5" customFormat="1" ht="20" customHeight="1" spans="1:11">
      <c r="A159" s="22"/>
      <c r="B159" s="23"/>
      <c r="C159" s="24"/>
      <c r="D159" s="24"/>
      <c r="E159" s="24"/>
      <c r="F159" s="24"/>
      <c r="G159" s="24"/>
      <c r="H159" s="24"/>
      <c r="I159" s="24"/>
      <c r="J159" s="24"/>
      <c r="K159" s="25"/>
    </row>
    <row r="160" s="5" customFormat="1" ht="20" customHeight="1" spans="1:11">
      <c r="A160" s="22"/>
      <c r="B160" s="23"/>
      <c r="C160" s="24"/>
      <c r="D160" s="24"/>
      <c r="E160" s="24"/>
      <c r="F160" s="24"/>
      <c r="G160" s="24"/>
      <c r="H160" s="24"/>
      <c r="I160" s="24"/>
      <c r="J160" s="24"/>
      <c r="K160" s="25"/>
    </row>
    <row r="161" s="5" customFormat="1" ht="20" customHeight="1" spans="1:11">
      <c r="A161" s="22"/>
      <c r="B161" s="23"/>
      <c r="C161" s="24"/>
      <c r="D161" s="24"/>
      <c r="E161" s="24"/>
      <c r="F161" s="24"/>
      <c r="G161" s="24"/>
      <c r="H161" s="24"/>
      <c r="I161" s="24"/>
      <c r="J161" s="24"/>
      <c r="K161" s="25"/>
    </row>
    <row r="162" s="5" customFormat="1" ht="20" customHeight="1" spans="1:11">
      <c r="A162" s="22"/>
      <c r="B162" s="23"/>
      <c r="C162" s="24"/>
      <c r="D162" s="24"/>
      <c r="E162" s="24"/>
      <c r="F162" s="24"/>
      <c r="G162" s="24"/>
      <c r="H162" s="24"/>
      <c r="I162" s="24"/>
      <c r="J162" s="24"/>
      <c r="K162" s="25"/>
    </row>
    <row r="163" s="5" customFormat="1" ht="20" customHeight="1" spans="1:11">
      <c r="A163" s="22"/>
      <c r="B163" s="23"/>
      <c r="C163" s="24"/>
      <c r="D163" s="24"/>
      <c r="E163" s="24"/>
      <c r="F163" s="24"/>
      <c r="G163" s="24"/>
      <c r="H163" s="24"/>
      <c r="I163" s="24"/>
      <c r="J163" s="24"/>
      <c r="K163" s="25"/>
    </row>
    <row r="164" s="5" customFormat="1" ht="20" customHeight="1" spans="1:11">
      <c r="A164" s="22"/>
      <c r="B164" s="23"/>
      <c r="C164" s="24"/>
      <c r="D164" s="24"/>
      <c r="E164" s="24"/>
      <c r="F164" s="24"/>
      <c r="G164" s="24"/>
      <c r="H164" s="24"/>
      <c r="I164" s="24"/>
      <c r="J164" s="24"/>
      <c r="K164" s="25"/>
    </row>
    <row r="165" s="5" customFormat="1" ht="20" customHeight="1" spans="1:11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5"/>
    </row>
    <row r="166" s="5" customFormat="1" ht="20" customHeight="1" spans="1:11">
      <c r="A166" s="22"/>
      <c r="B166" s="23"/>
      <c r="C166" s="24"/>
      <c r="D166" s="24"/>
      <c r="E166" s="24"/>
      <c r="F166" s="24"/>
      <c r="G166" s="24"/>
      <c r="H166" s="24"/>
      <c r="I166" s="24"/>
      <c r="J166" s="24"/>
      <c r="K166" s="25"/>
    </row>
    <row r="167" s="5" customFormat="1" ht="20" customHeight="1" spans="1:11">
      <c r="A167" s="22"/>
      <c r="B167" s="23"/>
      <c r="C167" s="24"/>
      <c r="D167" s="24"/>
      <c r="E167" s="24"/>
      <c r="F167" s="24"/>
      <c r="G167" s="24"/>
      <c r="H167" s="24"/>
      <c r="I167" s="24"/>
      <c r="J167" s="24"/>
      <c r="K167" s="25"/>
    </row>
    <row r="168" s="5" customFormat="1" ht="20" customHeight="1" spans="1:11">
      <c r="A168" s="22"/>
      <c r="B168" s="23"/>
      <c r="C168" s="24"/>
      <c r="D168" s="24"/>
      <c r="E168" s="24"/>
      <c r="F168" s="24"/>
      <c r="G168" s="24"/>
      <c r="H168" s="24"/>
      <c r="I168" s="24"/>
      <c r="J168" s="24"/>
      <c r="K168" s="25"/>
    </row>
    <row r="169" s="5" customFormat="1" ht="20" customHeight="1" spans="1:11">
      <c r="A169" s="22"/>
      <c r="B169" s="23"/>
      <c r="C169" s="24"/>
      <c r="D169" s="24"/>
      <c r="E169" s="24"/>
      <c r="F169" s="24"/>
      <c r="G169" s="24"/>
      <c r="H169" s="24"/>
      <c r="I169" s="24"/>
      <c r="J169" s="24"/>
      <c r="K169" s="25"/>
    </row>
    <row r="170" s="5" customFormat="1" ht="20" customHeight="1" spans="1:11">
      <c r="A170" s="22"/>
      <c r="B170" s="23"/>
      <c r="C170" s="24"/>
      <c r="D170" s="24"/>
      <c r="E170" s="24"/>
      <c r="F170" s="24"/>
      <c r="G170" s="24"/>
      <c r="H170" s="24"/>
      <c r="I170" s="24"/>
      <c r="J170" s="24"/>
      <c r="K170" s="25"/>
    </row>
    <row r="171" s="5" customFormat="1" ht="20" customHeight="1" spans="1:11">
      <c r="A171" s="22"/>
      <c r="B171" s="23"/>
      <c r="C171" s="24"/>
      <c r="D171" s="24"/>
      <c r="E171" s="24"/>
      <c r="F171" s="24"/>
      <c r="G171" s="24"/>
      <c r="H171" s="24"/>
      <c r="I171" s="24"/>
      <c r="J171" s="24"/>
      <c r="K171" s="25"/>
    </row>
    <row r="172" s="5" customFormat="1" ht="20" customHeight="1" spans="1:11">
      <c r="A172" s="22"/>
      <c r="B172" s="23"/>
      <c r="C172" s="24"/>
      <c r="D172" s="24"/>
      <c r="E172" s="24"/>
      <c r="F172" s="24"/>
      <c r="G172" s="24"/>
      <c r="H172" s="24"/>
      <c r="I172" s="24"/>
      <c r="J172" s="24"/>
      <c r="K172" s="25"/>
    </row>
    <row r="173" s="5" customFormat="1" ht="20" customHeight="1" spans="1:11">
      <c r="A173" s="22"/>
      <c r="B173" s="23"/>
      <c r="C173" s="24"/>
      <c r="D173" s="24"/>
      <c r="E173" s="24"/>
      <c r="F173" s="24"/>
      <c r="G173" s="24"/>
      <c r="H173" s="24"/>
      <c r="I173" s="24"/>
      <c r="J173" s="24"/>
      <c r="K173" s="25"/>
    </row>
    <row r="174" s="5" customFormat="1" ht="20" customHeight="1" spans="1:11">
      <c r="A174" s="22"/>
      <c r="B174" s="23"/>
      <c r="C174" s="24"/>
      <c r="D174" s="24"/>
      <c r="E174" s="24"/>
      <c r="F174" s="24"/>
      <c r="G174" s="24"/>
      <c r="H174" s="24"/>
      <c r="I174" s="24"/>
      <c r="J174" s="24"/>
      <c r="K174" s="25"/>
    </row>
    <row r="175" s="5" customFormat="1" ht="20" customHeight="1" spans="1:11">
      <c r="A175" s="22"/>
      <c r="B175" s="23"/>
      <c r="C175" s="24"/>
      <c r="D175" s="24"/>
      <c r="E175" s="24"/>
      <c r="F175" s="24"/>
      <c r="G175" s="24"/>
      <c r="H175" s="24"/>
      <c r="I175" s="24"/>
      <c r="J175" s="24"/>
      <c r="K175" s="25"/>
    </row>
    <row r="176" s="5" customFormat="1" ht="20" customHeight="1" spans="1:11">
      <c r="A176" s="22"/>
      <c r="B176" s="23"/>
      <c r="C176" s="24"/>
      <c r="D176" s="24"/>
      <c r="E176" s="24"/>
      <c r="F176" s="24"/>
      <c r="G176" s="24"/>
      <c r="H176" s="24"/>
      <c r="I176" s="24"/>
      <c r="J176" s="24"/>
      <c r="K176" s="25"/>
    </row>
    <row r="177" s="5" customFormat="1" ht="20" customHeight="1" spans="1:11">
      <c r="A177" s="22"/>
      <c r="B177" s="23"/>
      <c r="C177" s="24"/>
      <c r="D177" s="24"/>
      <c r="E177" s="24"/>
      <c r="F177" s="24"/>
      <c r="G177" s="24"/>
      <c r="H177" s="24"/>
      <c r="I177" s="24"/>
      <c r="J177" s="24"/>
      <c r="K177" s="25"/>
    </row>
    <row r="178" s="5" customFormat="1" ht="20" customHeight="1" spans="1:11">
      <c r="A178" s="22"/>
      <c r="B178" s="23"/>
      <c r="C178" s="24"/>
      <c r="D178" s="24"/>
      <c r="E178" s="24"/>
      <c r="F178" s="24"/>
      <c r="G178" s="24"/>
      <c r="H178" s="24"/>
      <c r="I178" s="24"/>
      <c r="J178" s="24"/>
      <c r="K178" s="25"/>
    </row>
    <row r="179" s="5" customFormat="1" ht="20" customHeight="1" spans="1:11">
      <c r="A179" s="22"/>
      <c r="B179" s="23"/>
      <c r="C179" s="24"/>
      <c r="D179" s="24"/>
      <c r="E179" s="24"/>
      <c r="F179" s="24"/>
      <c r="G179" s="24"/>
      <c r="H179" s="24"/>
      <c r="I179" s="24"/>
      <c r="J179" s="24"/>
      <c r="K179" s="25"/>
    </row>
    <row r="180" s="5" customFormat="1" ht="20" customHeight="1" spans="1:11">
      <c r="A180" s="22"/>
      <c r="B180" s="23"/>
      <c r="C180" s="24"/>
      <c r="D180" s="24"/>
      <c r="E180" s="24"/>
      <c r="F180" s="24"/>
      <c r="G180" s="24"/>
      <c r="H180" s="24"/>
      <c r="I180" s="24"/>
      <c r="J180" s="24"/>
      <c r="K180" s="25"/>
    </row>
    <row r="181" s="5" customFormat="1" ht="20" customHeight="1" spans="1:11">
      <c r="A181" s="22"/>
      <c r="B181" s="23"/>
      <c r="C181" s="24"/>
      <c r="D181" s="24"/>
      <c r="E181" s="24"/>
      <c r="F181" s="24"/>
      <c r="G181" s="24"/>
      <c r="H181" s="24"/>
      <c r="I181" s="24"/>
      <c r="J181" s="24"/>
      <c r="K181" s="25"/>
    </row>
    <row r="182" s="5" customFormat="1" ht="20" customHeight="1" spans="1:11">
      <c r="A182" s="22"/>
      <c r="B182" s="23"/>
      <c r="C182" s="24"/>
      <c r="D182" s="24"/>
      <c r="E182" s="24"/>
      <c r="F182" s="24"/>
      <c r="G182" s="24"/>
      <c r="H182" s="24"/>
      <c r="I182" s="24"/>
      <c r="J182" s="24"/>
      <c r="K182" s="25"/>
    </row>
    <row r="183" s="5" customFormat="1" ht="20" customHeight="1" spans="1:11">
      <c r="A183" s="22"/>
      <c r="B183" s="23"/>
      <c r="C183" s="24"/>
      <c r="D183" s="24"/>
      <c r="E183" s="24"/>
      <c r="F183" s="24"/>
      <c r="G183" s="24"/>
      <c r="H183" s="24"/>
      <c r="I183" s="24"/>
      <c r="J183" s="24"/>
      <c r="K183" s="25"/>
    </row>
    <row r="184" s="5" customFormat="1" ht="20" customHeight="1" spans="1:11">
      <c r="A184" s="22"/>
      <c r="B184" s="23"/>
      <c r="C184" s="24"/>
      <c r="D184" s="24"/>
      <c r="E184" s="24"/>
      <c r="F184" s="24"/>
      <c r="G184" s="24"/>
      <c r="H184" s="24"/>
      <c r="I184" s="24"/>
      <c r="J184" s="24"/>
      <c r="K184" s="25"/>
    </row>
    <row r="185" s="5" customFormat="1" ht="20" customHeight="1" spans="1:11">
      <c r="A185" s="22"/>
      <c r="B185" s="23"/>
      <c r="C185" s="24"/>
      <c r="D185" s="24"/>
      <c r="E185" s="24"/>
      <c r="F185" s="24"/>
      <c r="G185" s="24"/>
      <c r="H185" s="24"/>
      <c r="I185" s="24"/>
      <c r="J185" s="24"/>
      <c r="K185" s="25"/>
    </row>
    <row r="186" s="5" customFormat="1" ht="20" customHeight="1" spans="1:11">
      <c r="A186" s="22"/>
      <c r="B186" s="23"/>
      <c r="C186" s="24"/>
      <c r="D186" s="24"/>
      <c r="E186" s="24"/>
      <c r="F186" s="24"/>
      <c r="G186" s="24"/>
      <c r="H186" s="24"/>
      <c r="I186" s="24"/>
      <c r="J186" s="24"/>
      <c r="K186" s="25"/>
    </row>
    <row r="187" s="5" customFormat="1" ht="20" customHeight="1" spans="1:11">
      <c r="A187" s="22"/>
      <c r="B187" s="23"/>
      <c r="C187" s="24"/>
      <c r="D187" s="24"/>
      <c r="E187" s="24"/>
      <c r="F187" s="24"/>
      <c r="G187" s="24"/>
      <c r="H187" s="24"/>
      <c r="I187" s="24"/>
      <c r="J187" s="24"/>
      <c r="K187" s="25"/>
    </row>
    <row r="188" s="5" customFormat="1" ht="20" customHeight="1" spans="1:11">
      <c r="A188" s="22"/>
      <c r="B188" s="23"/>
      <c r="C188" s="24"/>
      <c r="D188" s="24"/>
      <c r="E188" s="24"/>
      <c r="F188" s="24"/>
      <c r="G188" s="24"/>
      <c r="H188" s="24"/>
      <c r="I188" s="24"/>
      <c r="J188" s="24"/>
      <c r="K188" s="25"/>
    </row>
    <row r="189" s="5" customFormat="1" ht="20" customHeight="1" spans="1:11">
      <c r="A189" s="22"/>
      <c r="B189" s="23"/>
      <c r="C189" s="24"/>
      <c r="D189" s="24"/>
      <c r="E189" s="24"/>
      <c r="F189" s="24"/>
      <c r="G189" s="24"/>
      <c r="H189" s="24"/>
      <c r="I189" s="24"/>
      <c r="J189" s="24"/>
      <c r="K189" s="25"/>
    </row>
    <row r="190" s="5" customFormat="1" ht="20" customHeight="1" spans="1:11">
      <c r="A190" s="22"/>
      <c r="B190" s="23"/>
      <c r="C190" s="24"/>
      <c r="D190" s="24"/>
      <c r="E190" s="24"/>
      <c r="F190" s="24"/>
      <c r="G190" s="24"/>
      <c r="H190" s="24"/>
      <c r="I190" s="24"/>
      <c r="J190" s="24"/>
      <c r="K190" s="25"/>
    </row>
    <row r="191" s="5" customFormat="1" ht="20" customHeight="1" spans="1:11">
      <c r="A191" s="22"/>
      <c r="B191" s="23"/>
      <c r="C191" s="24"/>
      <c r="D191" s="24"/>
      <c r="E191" s="24"/>
      <c r="F191" s="24"/>
      <c r="G191" s="24"/>
      <c r="H191" s="24"/>
      <c r="I191" s="24"/>
      <c r="J191" s="24"/>
      <c r="K191" s="25"/>
    </row>
    <row r="192" s="5" customFormat="1" ht="20" customHeight="1" spans="1:11">
      <c r="A192" s="22"/>
      <c r="B192" s="23"/>
      <c r="C192" s="24"/>
      <c r="D192" s="24"/>
      <c r="E192" s="24"/>
      <c r="F192" s="24"/>
      <c r="G192" s="24"/>
      <c r="H192" s="24"/>
      <c r="I192" s="24"/>
      <c r="J192" s="24"/>
      <c r="K192" s="25"/>
    </row>
    <row r="193" s="5" customFormat="1" ht="20" customHeight="1" spans="1:11">
      <c r="A193" s="22"/>
      <c r="B193" s="23"/>
      <c r="C193" s="24"/>
      <c r="D193" s="24"/>
      <c r="E193" s="24"/>
      <c r="F193" s="24"/>
      <c r="G193" s="24"/>
      <c r="H193" s="24"/>
      <c r="I193" s="24"/>
      <c r="J193" s="24"/>
      <c r="K193" s="25"/>
    </row>
    <row r="194" s="5" customFormat="1" ht="20" customHeight="1" spans="1:11">
      <c r="A194" s="22"/>
      <c r="B194" s="23"/>
      <c r="C194" s="24"/>
      <c r="D194" s="24"/>
      <c r="E194" s="24"/>
      <c r="F194" s="24"/>
      <c r="G194" s="24"/>
      <c r="H194" s="24"/>
      <c r="I194" s="24"/>
      <c r="J194" s="24"/>
      <c r="K194" s="25"/>
    </row>
    <row r="195" s="5" customFormat="1" ht="20" customHeight="1" spans="1:11">
      <c r="A195" s="22"/>
      <c r="B195" s="23"/>
      <c r="C195" s="24"/>
      <c r="D195" s="24"/>
      <c r="E195" s="24"/>
      <c r="F195" s="24"/>
      <c r="G195" s="24"/>
      <c r="H195" s="24"/>
      <c r="I195" s="24"/>
      <c r="J195" s="24"/>
      <c r="K195" s="25"/>
    </row>
    <row r="196" s="5" customFormat="1" ht="20" customHeight="1" spans="1:11">
      <c r="A196" s="22"/>
      <c r="B196" s="23"/>
      <c r="C196" s="24"/>
      <c r="D196" s="24"/>
      <c r="E196" s="24"/>
      <c r="F196" s="24"/>
      <c r="G196" s="24"/>
      <c r="H196" s="24"/>
      <c r="I196" s="24"/>
      <c r="J196" s="24"/>
      <c r="K196" s="25"/>
    </row>
    <row r="197" s="5" customFormat="1" ht="20" customHeight="1" spans="1:11">
      <c r="A197" s="22"/>
      <c r="B197" s="23"/>
      <c r="C197" s="24"/>
      <c r="D197" s="24"/>
      <c r="E197" s="24"/>
      <c r="F197" s="24"/>
      <c r="G197" s="24"/>
      <c r="H197" s="24"/>
      <c r="I197" s="24"/>
      <c r="J197" s="24"/>
      <c r="K197" s="25"/>
    </row>
    <row r="198" s="5" customFormat="1" ht="20" customHeight="1" spans="1:11">
      <c r="A198" s="22"/>
      <c r="B198" s="23"/>
      <c r="C198" s="24"/>
      <c r="D198" s="24"/>
      <c r="E198" s="24"/>
      <c r="F198" s="24"/>
      <c r="G198" s="24"/>
      <c r="H198" s="24"/>
      <c r="I198" s="24"/>
      <c r="J198" s="24"/>
      <c r="K198" s="25"/>
    </row>
    <row r="199" s="5" customFormat="1" ht="20" customHeight="1" spans="1:11">
      <c r="A199" s="22"/>
      <c r="B199" s="23"/>
      <c r="C199" s="24"/>
      <c r="D199" s="24"/>
      <c r="E199" s="24"/>
      <c r="F199" s="24"/>
      <c r="G199" s="24"/>
      <c r="H199" s="24"/>
      <c r="I199" s="24"/>
      <c r="J199" s="24"/>
      <c r="K199" s="25"/>
    </row>
    <row r="200" s="5" customFormat="1" ht="20" customHeight="1" spans="1:11">
      <c r="A200" s="22"/>
      <c r="B200" s="23"/>
      <c r="C200" s="24"/>
      <c r="D200" s="24"/>
      <c r="E200" s="24"/>
      <c r="F200" s="24"/>
      <c r="G200" s="24"/>
      <c r="H200" s="24"/>
      <c r="I200" s="24"/>
      <c r="J200" s="24"/>
      <c r="K200" s="25"/>
    </row>
    <row r="201" s="5" customFormat="1" ht="20" customHeight="1" spans="1:11">
      <c r="A201" s="22"/>
      <c r="B201" s="23"/>
      <c r="C201" s="24"/>
      <c r="D201" s="24"/>
      <c r="E201" s="24"/>
      <c r="F201" s="24"/>
      <c r="G201" s="24"/>
      <c r="H201" s="24"/>
      <c r="I201" s="24"/>
      <c r="J201" s="24"/>
      <c r="K201" s="25"/>
    </row>
    <row r="202" s="5" customFormat="1" ht="20" customHeight="1" spans="1:11">
      <c r="A202" s="22"/>
      <c r="B202" s="23"/>
      <c r="C202" s="24"/>
      <c r="D202" s="24"/>
      <c r="E202" s="24"/>
      <c r="F202" s="24"/>
      <c r="G202" s="24"/>
      <c r="H202" s="24"/>
      <c r="I202" s="24"/>
      <c r="J202" s="24"/>
      <c r="K202" s="25"/>
    </row>
    <row r="203" s="5" customFormat="1" ht="20" customHeight="1" spans="1:11">
      <c r="A203" s="22"/>
      <c r="B203" s="23"/>
      <c r="C203" s="24"/>
      <c r="D203" s="24"/>
      <c r="E203" s="24"/>
      <c r="F203" s="24"/>
      <c r="G203" s="24"/>
      <c r="H203" s="24"/>
      <c r="I203" s="24"/>
      <c r="J203" s="24"/>
      <c r="K203" s="25"/>
    </row>
    <row r="204" s="5" customFormat="1" ht="20" customHeight="1" spans="1:11">
      <c r="A204" s="22"/>
      <c r="B204" s="23"/>
      <c r="C204" s="24"/>
      <c r="D204" s="24"/>
      <c r="E204" s="24"/>
      <c r="F204" s="24"/>
      <c r="G204" s="24"/>
      <c r="H204" s="24"/>
      <c r="I204" s="24"/>
      <c r="J204" s="24"/>
      <c r="K204" s="25"/>
    </row>
    <row r="205" s="5" customFormat="1" ht="20" customHeight="1" spans="1:11">
      <c r="A205" s="22"/>
      <c r="B205" s="23"/>
      <c r="C205" s="24"/>
      <c r="D205" s="24"/>
      <c r="E205" s="24"/>
      <c r="F205" s="24"/>
      <c r="G205" s="24"/>
      <c r="H205" s="24"/>
      <c r="I205" s="24"/>
      <c r="J205" s="24"/>
      <c r="K205" s="25"/>
    </row>
    <row r="206" s="5" customFormat="1" ht="20" customHeight="1" spans="1:11">
      <c r="A206" s="22"/>
      <c r="B206" s="23"/>
      <c r="C206" s="24"/>
      <c r="D206" s="24"/>
      <c r="E206" s="24"/>
      <c r="F206" s="24"/>
      <c r="G206" s="24"/>
      <c r="H206" s="24"/>
      <c r="I206" s="24"/>
      <c r="J206" s="24"/>
      <c r="K206" s="25"/>
    </row>
    <row r="207" s="5" customFormat="1" ht="20" customHeight="1" spans="1:11">
      <c r="A207" s="22"/>
      <c r="B207" s="23"/>
      <c r="C207" s="24"/>
      <c r="D207" s="24"/>
      <c r="E207" s="24"/>
      <c r="F207" s="24"/>
      <c r="G207" s="24"/>
      <c r="H207" s="24"/>
      <c r="I207" s="24"/>
      <c r="J207" s="24"/>
      <c r="K207" s="25"/>
    </row>
    <row r="208" s="5" customFormat="1" ht="20" customHeight="1" spans="1:11">
      <c r="A208" s="22"/>
      <c r="B208" s="23"/>
      <c r="C208" s="24"/>
      <c r="D208" s="24"/>
      <c r="E208" s="24"/>
      <c r="F208" s="24"/>
      <c r="G208" s="24"/>
      <c r="H208" s="24"/>
      <c r="I208" s="24"/>
      <c r="J208" s="24"/>
      <c r="K208" s="25"/>
    </row>
    <row r="209" s="5" customFormat="1" ht="20" customHeight="1" spans="1:11">
      <c r="A209" s="22"/>
      <c r="B209" s="23"/>
      <c r="C209" s="24"/>
      <c r="D209" s="24"/>
      <c r="E209" s="24"/>
      <c r="F209" s="24"/>
      <c r="G209" s="24"/>
      <c r="H209" s="24"/>
      <c r="I209" s="24"/>
      <c r="J209" s="24"/>
      <c r="K209" s="25"/>
    </row>
    <row r="210" s="5" customFormat="1" ht="20" customHeight="1" spans="1:11">
      <c r="A210" s="22"/>
      <c r="B210" s="23"/>
      <c r="C210" s="24"/>
      <c r="D210" s="24"/>
      <c r="E210" s="24"/>
      <c r="F210" s="24"/>
      <c r="G210" s="24"/>
      <c r="H210" s="24"/>
      <c r="I210" s="24"/>
      <c r="J210" s="24"/>
      <c r="K210" s="25"/>
    </row>
    <row r="211" s="5" customFormat="1" ht="20" customHeight="1" spans="1:11">
      <c r="A211" s="22"/>
      <c r="B211" s="23"/>
      <c r="C211" s="24"/>
      <c r="D211" s="24"/>
      <c r="E211" s="24"/>
      <c r="F211" s="24"/>
      <c r="G211" s="24"/>
      <c r="H211" s="24"/>
      <c r="I211" s="24"/>
      <c r="J211" s="24"/>
      <c r="K211" s="25"/>
    </row>
    <row r="212" s="5" customFormat="1" ht="20" customHeight="1" spans="1:11">
      <c r="A212" s="22"/>
      <c r="B212" s="23"/>
      <c r="C212" s="24"/>
      <c r="D212" s="24"/>
      <c r="E212" s="24"/>
      <c r="F212" s="24"/>
      <c r="G212" s="24"/>
      <c r="H212" s="24"/>
      <c r="I212" s="24"/>
      <c r="J212" s="24"/>
      <c r="K212" s="25"/>
    </row>
    <row r="213" s="5" customFormat="1" ht="20" customHeight="1" spans="1:11">
      <c r="A213" s="22"/>
      <c r="B213" s="23"/>
      <c r="C213" s="24"/>
      <c r="D213" s="24"/>
      <c r="E213" s="24"/>
      <c r="F213" s="24"/>
      <c r="G213" s="24"/>
      <c r="H213" s="24"/>
      <c r="I213" s="24"/>
      <c r="J213" s="24"/>
      <c r="K213" s="25"/>
    </row>
    <row r="214" s="5" customFormat="1" ht="20" customHeight="1" spans="1:11">
      <c r="A214" s="22"/>
      <c r="B214" s="23"/>
      <c r="C214" s="24"/>
      <c r="D214" s="24"/>
      <c r="E214" s="24"/>
      <c r="F214" s="24"/>
      <c r="G214" s="24"/>
      <c r="H214" s="24"/>
      <c r="I214" s="24"/>
      <c r="J214" s="24"/>
      <c r="K214" s="25"/>
    </row>
    <row r="215" s="5" customFormat="1" ht="20" customHeight="1" spans="1:11">
      <c r="A215" s="22"/>
      <c r="B215" s="23"/>
      <c r="C215" s="24"/>
      <c r="D215" s="24"/>
      <c r="E215" s="24"/>
      <c r="F215" s="24"/>
      <c r="G215" s="24"/>
      <c r="H215" s="24"/>
      <c r="I215" s="24"/>
      <c r="J215" s="24"/>
      <c r="K215" s="25"/>
    </row>
    <row r="216" s="5" customFormat="1" ht="20" customHeight="1" spans="1:11">
      <c r="A216" s="22"/>
      <c r="B216" s="23"/>
      <c r="C216" s="24"/>
      <c r="D216" s="24"/>
      <c r="E216" s="24"/>
      <c r="F216" s="24"/>
      <c r="G216" s="24"/>
      <c r="H216" s="24"/>
      <c r="I216" s="24"/>
      <c r="J216" s="24"/>
      <c r="K216" s="25"/>
    </row>
    <row r="217" s="5" customFormat="1" ht="20" customHeight="1" spans="1:11">
      <c r="A217" s="22"/>
      <c r="B217" s="23"/>
      <c r="C217" s="24"/>
      <c r="D217" s="24"/>
      <c r="E217" s="24"/>
      <c r="F217" s="24"/>
      <c r="G217" s="24"/>
      <c r="H217" s="24"/>
      <c r="I217" s="24"/>
      <c r="J217" s="24"/>
      <c r="K217" s="25"/>
    </row>
    <row r="218" s="5" customFormat="1" ht="20" customHeight="1" spans="1:11">
      <c r="A218" s="22"/>
      <c r="B218" s="23"/>
      <c r="C218" s="24"/>
      <c r="D218" s="24"/>
      <c r="E218" s="24"/>
      <c r="F218" s="24"/>
      <c r="G218" s="24"/>
      <c r="H218" s="24"/>
      <c r="I218" s="24"/>
      <c r="J218" s="24"/>
      <c r="K218" s="25"/>
    </row>
    <row r="219" s="5" customFormat="1" ht="20" customHeight="1" spans="1:11">
      <c r="A219" s="22"/>
      <c r="B219" s="23"/>
      <c r="C219" s="24"/>
      <c r="D219" s="24"/>
      <c r="E219" s="24"/>
      <c r="F219" s="24"/>
      <c r="G219" s="24"/>
      <c r="H219" s="24"/>
      <c r="I219" s="24"/>
      <c r="J219" s="24"/>
      <c r="K219" s="25"/>
    </row>
    <row r="220" s="5" customFormat="1" ht="20" customHeight="1" spans="1:11">
      <c r="A220" s="22"/>
      <c r="B220" s="23"/>
      <c r="C220" s="24"/>
      <c r="D220" s="24"/>
      <c r="E220" s="24"/>
      <c r="F220" s="24"/>
      <c r="G220" s="24"/>
      <c r="H220" s="24"/>
      <c r="I220" s="24"/>
      <c r="J220" s="24"/>
      <c r="K220" s="25"/>
    </row>
    <row r="221" s="5" customFormat="1" ht="20" customHeight="1" spans="1:11">
      <c r="A221" s="22"/>
      <c r="B221" s="23"/>
      <c r="C221" s="24"/>
      <c r="D221" s="24"/>
      <c r="E221" s="24"/>
      <c r="F221" s="24"/>
      <c r="G221" s="24"/>
      <c r="H221" s="24"/>
      <c r="I221" s="24"/>
      <c r="J221" s="24"/>
      <c r="K221" s="25"/>
    </row>
    <row r="222" s="5" customFormat="1" ht="20" customHeight="1" spans="1:11">
      <c r="A222" s="22"/>
      <c r="B222" s="23"/>
      <c r="C222" s="24"/>
      <c r="D222" s="24"/>
      <c r="E222" s="24"/>
      <c r="F222" s="24"/>
      <c r="G222" s="24"/>
      <c r="H222" s="24"/>
      <c r="I222" s="24"/>
      <c r="J222" s="24"/>
      <c r="K222" s="25"/>
    </row>
    <row r="223" s="5" customFormat="1" ht="20" customHeight="1" spans="1:11">
      <c r="A223" s="22"/>
      <c r="B223" s="23"/>
      <c r="C223" s="24"/>
      <c r="D223" s="24"/>
      <c r="E223" s="24"/>
      <c r="F223" s="24"/>
      <c r="G223" s="24"/>
      <c r="H223" s="24"/>
      <c r="I223" s="24"/>
      <c r="J223" s="24"/>
      <c r="K223" s="25"/>
    </row>
    <row r="224" s="5" customFormat="1" ht="20" customHeight="1" spans="1:11">
      <c r="A224" s="22"/>
      <c r="B224" s="23"/>
      <c r="C224" s="24"/>
      <c r="D224" s="24"/>
      <c r="E224" s="24"/>
      <c r="F224" s="24"/>
      <c r="G224" s="24"/>
      <c r="H224" s="24"/>
      <c r="I224" s="24"/>
      <c r="J224" s="24"/>
      <c r="K224" s="25"/>
    </row>
    <row r="225" s="5" customFormat="1" ht="20" customHeight="1" spans="1:11">
      <c r="A225" s="22"/>
      <c r="B225" s="23"/>
      <c r="C225" s="24"/>
      <c r="D225" s="24"/>
      <c r="E225" s="24"/>
      <c r="F225" s="24"/>
      <c r="G225" s="24"/>
      <c r="H225" s="24"/>
      <c r="I225" s="24"/>
      <c r="J225" s="24"/>
      <c r="K225" s="25"/>
    </row>
    <row r="226" s="5" customFormat="1" ht="20" customHeight="1" spans="1:11">
      <c r="A226" s="22"/>
      <c r="B226" s="23"/>
      <c r="C226" s="24"/>
      <c r="D226" s="24"/>
      <c r="E226" s="24"/>
      <c r="F226" s="24"/>
      <c r="G226" s="24"/>
      <c r="H226" s="24"/>
      <c r="I226" s="24"/>
      <c r="J226" s="24"/>
      <c r="K226" s="25"/>
    </row>
    <row r="227" s="5" customFormat="1" ht="20" customHeight="1" spans="1:11">
      <c r="A227" s="22"/>
      <c r="B227" s="23"/>
      <c r="C227" s="24"/>
      <c r="D227" s="24"/>
      <c r="E227" s="24"/>
      <c r="F227" s="24"/>
      <c r="G227" s="24"/>
      <c r="H227" s="24"/>
      <c r="I227" s="24"/>
      <c r="J227" s="24"/>
      <c r="K227" s="25"/>
    </row>
    <row r="228" s="5" customFormat="1" ht="20" customHeight="1" spans="1:11">
      <c r="A228" s="22"/>
      <c r="B228" s="23"/>
      <c r="C228" s="24"/>
      <c r="D228" s="24"/>
      <c r="E228" s="24"/>
      <c r="F228" s="24"/>
      <c r="G228" s="24"/>
      <c r="H228" s="24"/>
      <c r="I228" s="24"/>
      <c r="J228" s="24"/>
      <c r="K228" s="25"/>
    </row>
    <row r="229" s="5" customFormat="1" ht="20" customHeight="1" spans="1:11">
      <c r="A229" s="22"/>
      <c r="B229" s="23"/>
      <c r="C229" s="24"/>
      <c r="D229" s="24"/>
      <c r="E229" s="24"/>
      <c r="F229" s="24"/>
      <c r="G229" s="24"/>
      <c r="H229" s="24"/>
      <c r="I229" s="24"/>
      <c r="J229" s="24"/>
      <c r="K229" s="25"/>
    </row>
    <row r="230" s="5" customFormat="1" ht="20" customHeight="1" spans="1:11">
      <c r="A230" s="22"/>
      <c r="B230" s="23"/>
      <c r="C230" s="24"/>
      <c r="D230" s="24"/>
      <c r="E230" s="24"/>
      <c r="F230" s="24"/>
      <c r="G230" s="24"/>
      <c r="H230" s="24"/>
      <c r="I230" s="24"/>
      <c r="J230" s="24"/>
      <c r="K230" s="25"/>
    </row>
    <row r="231" s="5" customFormat="1" ht="20" customHeight="1" spans="1:11">
      <c r="A231" s="22"/>
      <c r="B231" s="23"/>
      <c r="C231" s="24"/>
      <c r="D231" s="24"/>
      <c r="E231" s="24"/>
      <c r="F231" s="24"/>
      <c r="G231" s="24"/>
      <c r="H231" s="24"/>
      <c r="I231" s="24"/>
      <c r="J231" s="24"/>
      <c r="K231" s="25"/>
    </row>
    <row r="232" s="5" customFormat="1" ht="20" customHeight="1" spans="1:11">
      <c r="A232" s="22"/>
      <c r="B232" s="23"/>
      <c r="C232" s="24"/>
      <c r="D232" s="24"/>
      <c r="E232" s="24"/>
      <c r="F232" s="24"/>
      <c r="G232" s="24"/>
      <c r="H232" s="24"/>
      <c r="I232" s="24"/>
      <c r="J232" s="24"/>
      <c r="K232" s="25"/>
    </row>
    <row r="233" s="5" customFormat="1" ht="20" customHeight="1" spans="1:11">
      <c r="A233" s="22"/>
      <c r="B233" s="23"/>
      <c r="C233" s="24"/>
      <c r="D233" s="24"/>
      <c r="E233" s="24"/>
      <c r="F233" s="24"/>
      <c r="G233" s="24"/>
      <c r="H233" s="24"/>
      <c r="I233" s="24"/>
      <c r="J233" s="24"/>
      <c r="K233" s="25"/>
    </row>
    <row r="234" s="5" customFormat="1" ht="20" customHeight="1" spans="1:11">
      <c r="A234" s="22"/>
      <c r="B234" s="23"/>
      <c r="C234" s="24"/>
      <c r="D234" s="24"/>
      <c r="E234" s="24"/>
      <c r="F234" s="24"/>
      <c r="G234" s="24"/>
      <c r="H234" s="24"/>
      <c r="I234" s="24"/>
      <c r="J234" s="24"/>
      <c r="K234" s="25"/>
    </row>
    <row r="235" s="5" customFormat="1" ht="20" customHeight="1" spans="1:11">
      <c r="A235" s="22"/>
      <c r="B235" s="23"/>
      <c r="C235" s="24"/>
      <c r="D235" s="24"/>
      <c r="E235" s="24"/>
      <c r="F235" s="24"/>
      <c r="G235" s="24"/>
      <c r="H235" s="24"/>
      <c r="I235" s="24"/>
      <c r="J235" s="24"/>
      <c r="K235" s="25"/>
    </row>
    <row r="236" s="5" customFormat="1" ht="20" customHeight="1" spans="1:11">
      <c r="A236" s="22"/>
      <c r="B236" s="23"/>
      <c r="C236" s="24"/>
      <c r="D236" s="24"/>
      <c r="E236" s="24"/>
      <c r="F236" s="24"/>
      <c r="G236" s="24"/>
      <c r="H236" s="24"/>
      <c r="I236" s="24"/>
      <c r="J236" s="24"/>
      <c r="K236" s="25"/>
    </row>
    <row r="237" s="5" customFormat="1" ht="20" customHeight="1" spans="1:11">
      <c r="A237" s="22"/>
      <c r="B237" s="23"/>
      <c r="C237" s="24"/>
      <c r="D237" s="24"/>
      <c r="E237" s="24"/>
      <c r="F237" s="24"/>
      <c r="G237" s="24"/>
      <c r="H237" s="24"/>
      <c r="I237" s="24"/>
      <c r="J237" s="24"/>
      <c r="K237" s="25"/>
    </row>
    <row r="238" s="5" customFormat="1" ht="20" customHeight="1" spans="1:11">
      <c r="A238" s="22"/>
      <c r="B238" s="23"/>
      <c r="C238" s="24"/>
      <c r="D238" s="24"/>
      <c r="E238" s="24"/>
      <c r="F238" s="24"/>
      <c r="G238" s="24"/>
      <c r="H238" s="24"/>
      <c r="I238" s="24"/>
      <c r="J238" s="24"/>
      <c r="K238" s="25"/>
    </row>
    <row r="239" s="5" customFormat="1" ht="20" customHeight="1" spans="1:11">
      <c r="A239" s="22"/>
      <c r="B239" s="23"/>
      <c r="C239" s="24"/>
      <c r="D239" s="24"/>
      <c r="E239" s="24"/>
      <c r="F239" s="24"/>
      <c r="G239" s="24"/>
      <c r="H239" s="24"/>
      <c r="I239" s="24"/>
      <c r="J239" s="24"/>
      <c r="K239" s="25"/>
    </row>
    <row r="240" s="5" customFormat="1" ht="20" customHeight="1" spans="1:11">
      <c r="A240" s="22"/>
      <c r="B240" s="23"/>
      <c r="C240" s="24"/>
      <c r="D240" s="24"/>
      <c r="E240" s="24"/>
      <c r="F240" s="24"/>
      <c r="G240" s="24"/>
      <c r="H240" s="24"/>
      <c r="I240" s="24"/>
      <c r="J240" s="24"/>
      <c r="K240" s="25"/>
    </row>
    <row r="241" s="5" customFormat="1" ht="20" customHeight="1" spans="1:11">
      <c r="A241" s="22"/>
      <c r="B241" s="23"/>
      <c r="C241" s="24"/>
      <c r="D241" s="24"/>
      <c r="E241" s="24"/>
      <c r="F241" s="24"/>
      <c r="G241" s="24"/>
      <c r="H241" s="24"/>
      <c r="I241" s="24"/>
      <c r="J241" s="24"/>
      <c r="K241" s="25"/>
    </row>
    <row r="242" s="5" customFormat="1" ht="20" customHeight="1" spans="1:11">
      <c r="A242" s="22"/>
      <c r="B242" s="23"/>
      <c r="C242" s="24"/>
      <c r="D242" s="24"/>
      <c r="E242" s="24"/>
      <c r="F242" s="24"/>
      <c r="G242" s="24"/>
      <c r="H242" s="24"/>
      <c r="I242" s="24"/>
      <c r="J242" s="24"/>
      <c r="K242" s="25"/>
    </row>
    <row r="243" s="5" customFormat="1" ht="20" customHeight="1" spans="1:11">
      <c r="A243" s="22"/>
      <c r="B243" s="23"/>
      <c r="C243" s="24"/>
      <c r="D243" s="24"/>
      <c r="E243" s="24"/>
      <c r="F243" s="24"/>
      <c r="G243" s="24"/>
      <c r="H243" s="24"/>
      <c r="I243" s="24"/>
      <c r="J243" s="24"/>
      <c r="K243" s="25"/>
    </row>
    <row r="244" s="5" customFormat="1" ht="20" customHeight="1" spans="1:11">
      <c r="A244" s="22"/>
      <c r="B244" s="23"/>
      <c r="C244" s="24"/>
      <c r="D244" s="24"/>
      <c r="E244" s="24"/>
      <c r="F244" s="24"/>
      <c r="G244" s="24"/>
      <c r="H244" s="24"/>
      <c r="I244" s="24"/>
      <c r="J244" s="24"/>
      <c r="K244" s="25"/>
    </row>
    <row r="245" s="5" customFormat="1" ht="20" customHeight="1" spans="1:11">
      <c r="A245" s="22"/>
      <c r="B245" s="23"/>
      <c r="C245" s="24"/>
      <c r="D245" s="24"/>
      <c r="E245" s="24"/>
      <c r="F245" s="24"/>
      <c r="G245" s="24"/>
      <c r="H245" s="24"/>
      <c r="I245" s="24"/>
      <c r="J245" s="24"/>
      <c r="K245" s="25"/>
    </row>
    <row r="246" s="5" customFormat="1" ht="20" customHeight="1" spans="1:11">
      <c r="A246" s="22"/>
      <c r="B246" s="23"/>
      <c r="C246" s="24"/>
      <c r="D246" s="24"/>
      <c r="E246" s="24"/>
      <c r="F246" s="24"/>
      <c r="G246" s="24"/>
      <c r="H246" s="24"/>
      <c r="I246" s="24"/>
      <c r="J246" s="24"/>
      <c r="K246" s="25"/>
    </row>
    <row r="247" s="5" customFormat="1" ht="20" customHeight="1" spans="1:11">
      <c r="A247" s="22"/>
      <c r="B247" s="23"/>
      <c r="C247" s="24"/>
      <c r="D247" s="24"/>
      <c r="E247" s="24"/>
      <c r="F247" s="24"/>
      <c r="G247" s="24"/>
      <c r="H247" s="24"/>
      <c r="I247" s="24"/>
      <c r="J247" s="24"/>
      <c r="K247" s="25"/>
    </row>
    <row r="248" s="5" customFormat="1" ht="20" customHeight="1" spans="1:11">
      <c r="A248" s="22"/>
      <c r="B248" s="23"/>
      <c r="C248" s="24"/>
      <c r="D248" s="24"/>
      <c r="E248" s="24"/>
      <c r="F248" s="24"/>
      <c r="G248" s="24"/>
      <c r="H248" s="24"/>
      <c r="I248" s="24"/>
      <c r="J248" s="24"/>
      <c r="K248" s="25"/>
    </row>
    <row r="249" s="5" customFormat="1" ht="20" customHeight="1" spans="1:11">
      <c r="A249" s="22"/>
      <c r="B249" s="23"/>
      <c r="C249" s="24"/>
      <c r="D249" s="24"/>
      <c r="E249" s="24"/>
      <c r="F249" s="24"/>
      <c r="G249" s="24"/>
      <c r="H249" s="24"/>
      <c r="I249" s="24"/>
      <c r="J249" s="24"/>
      <c r="K249" s="25"/>
    </row>
    <row r="250" s="5" customFormat="1" ht="20" customHeight="1" spans="1:11">
      <c r="A250" s="22"/>
      <c r="B250" s="23"/>
      <c r="C250" s="24"/>
      <c r="D250" s="24"/>
      <c r="E250" s="24"/>
      <c r="F250" s="24"/>
      <c r="G250" s="24"/>
      <c r="H250" s="24"/>
      <c r="I250" s="24"/>
      <c r="J250" s="24"/>
      <c r="K250" s="25"/>
    </row>
    <row r="251" s="5" customFormat="1" ht="20" customHeight="1" spans="1:11">
      <c r="A251" s="22"/>
      <c r="B251" s="23"/>
      <c r="C251" s="24"/>
      <c r="D251" s="24"/>
      <c r="E251" s="24"/>
      <c r="F251" s="24"/>
      <c r="G251" s="24"/>
      <c r="H251" s="24"/>
      <c r="I251" s="24"/>
      <c r="J251" s="24"/>
      <c r="K251" s="25"/>
    </row>
    <row r="252" s="5" customFormat="1" ht="16.5" spans="1:11">
      <c r="A252" s="22"/>
      <c r="B252" s="23"/>
      <c r="C252" s="24"/>
      <c r="D252" s="24"/>
      <c r="E252" s="24"/>
      <c r="F252" s="24"/>
      <c r="G252" s="24"/>
      <c r="H252" s="24"/>
      <c r="I252" s="24"/>
      <c r="J252" s="24"/>
      <c r="K252" s="25"/>
    </row>
    <row r="253" s="5" customFormat="1" ht="16.5" spans="1:11">
      <c r="A253" s="22"/>
      <c r="B253" s="23"/>
      <c r="C253" s="24"/>
      <c r="D253" s="24"/>
      <c r="E253" s="24"/>
      <c r="F253" s="24"/>
      <c r="G253" s="24"/>
      <c r="H253" s="24"/>
      <c r="I253" s="24"/>
      <c r="J253" s="24"/>
      <c r="K253" s="25"/>
    </row>
    <row r="254" s="5" customFormat="1" ht="16.5" spans="1:11">
      <c r="A254" s="22"/>
      <c r="B254" s="23"/>
      <c r="C254" s="24"/>
      <c r="D254" s="24"/>
      <c r="E254" s="24"/>
      <c r="F254" s="24"/>
      <c r="G254" s="24"/>
      <c r="H254" s="24"/>
      <c r="I254" s="24"/>
      <c r="J254" s="24"/>
      <c r="K254" s="25"/>
    </row>
    <row r="255" s="5" customFormat="1" ht="16.5" spans="1:11">
      <c r="A255" s="22"/>
      <c r="B255" s="23"/>
      <c r="C255" s="24"/>
      <c r="D255" s="24"/>
      <c r="E255" s="24"/>
      <c r="F255" s="24"/>
      <c r="G255" s="24"/>
      <c r="H255" s="24"/>
      <c r="I255" s="24"/>
      <c r="J255" s="24"/>
      <c r="K255" s="25"/>
    </row>
    <row r="256" s="5" customFormat="1" ht="16.5" spans="1:11">
      <c r="A256" s="22"/>
      <c r="B256" s="23"/>
      <c r="C256" s="24"/>
      <c r="D256" s="24"/>
      <c r="E256" s="24"/>
      <c r="F256" s="24"/>
      <c r="G256" s="24"/>
      <c r="H256" s="24"/>
      <c r="I256" s="24"/>
      <c r="J256" s="24"/>
      <c r="K256" s="25"/>
    </row>
    <row r="257" s="5" customFormat="1" ht="16.5" spans="1:11">
      <c r="A257" s="22"/>
      <c r="B257" s="23"/>
      <c r="C257" s="24"/>
      <c r="D257" s="24"/>
      <c r="E257" s="24"/>
      <c r="F257" s="24"/>
      <c r="G257" s="24"/>
      <c r="H257" s="24"/>
      <c r="I257" s="24"/>
      <c r="J257" s="24"/>
      <c r="K257" s="25"/>
    </row>
    <row r="258" s="5" customFormat="1" ht="16.5" spans="1:11">
      <c r="A258" s="22"/>
      <c r="B258" s="23"/>
      <c r="C258" s="24"/>
      <c r="D258" s="24"/>
      <c r="E258" s="24"/>
      <c r="F258" s="24"/>
      <c r="G258" s="24"/>
      <c r="H258" s="24"/>
      <c r="I258" s="24"/>
      <c r="J258" s="24"/>
      <c r="K258" s="25"/>
    </row>
    <row r="259" s="5" customFormat="1" ht="16.5" spans="1:11">
      <c r="A259" s="22"/>
      <c r="B259" s="23"/>
      <c r="C259" s="24"/>
      <c r="D259" s="24"/>
      <c r="E259" s="24"/>
      <c r="F259" s="24"/>
      <c r="G259" s="24"/>
      <c r="H259" s="24"/>
      <c r="I259" s="24"/>
      <c r="J259" s="24"/>
      <c r="K259" s="25"/>
    </row>
    <row r="260" s="5" customFormat="1" ht="16.5" spans="1:11">
      <c r="A260" s="22"/>
      <c r="B260" s="23"/>
      <c r="C260" s="24"/>
      <c r="D260" s="24"/>
      <c r="E260" s="24"/>
      <c r="F260" s="24"/>
      <c r="G260" s="24"/>
      <c r="H260" s="24"/>
      <c r="I260" s="24"/>
      <c r="J260" s="24"/>
      <c r="K260" s="25"/>
    </row>
    <row r="261" s="5" customFormat="1" ht="16.5" spans="1:11">
      <c r="A261" s="22"/>
      <c r="B261" s="23"/>
      <c r="C261" s="24"/>
      <c r="D261" s="24"/>
      <c r="E261" s="24"/>
      <c r="F261" s="24"/>
      <c r="G261" s="24"/>
      <c r="H261" s="24"/>
      <c r="I261" s="24"/>
      <c r="J261" s="24"/>
      <c r="K261" s="25"/>
    </row>
    <row r="262" s="5" customFormat="1" ht="16.5" spans="1:11">
      <c r="A262" s="22"/>
      <c r="B262" s="23"/>
      <c r="C262" s="24"/>
      <c r="D262" s="24"/>
      <c r="E262" s="24"/>
      <c r="F262" s="24"/>
      <c r="G262" s="24"/>
      <c r="H262" s="24"/>
      <c r="I262" s="24"/>
      <c r="J262" s="24"/>
      <c r="K262" s="25"/>
    </row>
    <row r="263" s="5" customFormat="1" ht="16.5" spans="1:11">
      <c r="A263" s="22"/>
      <c r="B263" s="23"/>
      <c r="C263" s="24"/>
      <c r="D263" s="24"/>
      <c r="E263" s="24"/>
      <c r="F263" s="24"/>
      <c r="G263" s="24"/>
      <c r="H263" s="24"/>
      <c r="I263" s="24"/>
      <c r="J263" s="24"/>
      <c r="K263" s="25"/>
    </row>
    <row r="264" s="5" customFormat="1" ht="16.5" spans="1:11">
      <c r="A264" s="22"/>
      <c r="B264" s="23"/>
      <c r="C264" s="24"/>
      <c r="D264" s="24"/>
      <c r="E264" s="24"/>
      <c r="F264" s="24"/>
      <c r="G264" s="24"/>
      <c r="H264" s="24"/>
      <c r="I264" s="24"/>
      <c r="J264" s="24"/>
      <c r="K264" s="25"/>
    </row>
    <row r="265" s="5" customFormat="1" ht="16.5" spans="1:11">
      <c r="A265" s="22"/>
      <c r="B265" s="23"/>
      <c r="C265" s="24"/>
      <c r="D265" s="24"/>
      <c r="E265" s="24"/>
      <c r="F265" s="24"/>
      <c r="G265" s="24"/>
      <c r="H265" s="24"/>
      <c r="I265" s="24"/>
      <c r="J265" s="24"/>
      <c r="K265" s="25"/>
    </row>
    <row r="266" s="5" customFormat="1" ht="16.5" spans="1:11">
      <c r="A266" s="22"/>
      <c r="B266" s="23"/>
      <c r="C266" s="24"/>
      <c r="D266" s="24"/>
      <c r="E266" s="24"/>
      <c r="F266" s="24"/>
      <c r="G266" s="24"/>
      <c r="H266" s="24"/>
      <c r="I266" s="24"/>
      <c r="J266" s="24"/>
      <c r="K266" s="25"/>
    </row>
    <row r="267" s="5" customFormat="1" ht="16.5" spans="1:11">
      <c r="A267" s="22"/>
      <c r="B267" s="23"/>
      <c r="C267" s="24"/>
      <c r="D267" s="24"/>
      <c r="E267" s="24"/>
      <c r="F267" s="24"/>
      <c r="G267" s="24"/>
      <c r="H267" s="24"/>
      <c r="I267" s="24"/>
      <c r="J267" s="24"/>
      <c r="K267" s="25"/>
    </row>
    <row r="268" s="5" customFormat="1" ht="16.5" spans="1:11">
      <c r="A268" s="22"/>
      <c r="B268" s="23"/>
      <c r="C268" s="24"/>
      <c r="D268" s="24"/>
      <c r="E268" s="24"/>
      <c r="F268" s="24"/>
      <c r="G268" s="24"/>
      <c r="H268" s="24"/>
      <c r="I268" s="24"/>
      <c r="J268" s="24"/>
      <c r="K268" s="25"/>
    </row>
    <row r="269" s="5" customFormat="1" ht="16.5" spans="1:11">
      <c r="A269" s="22"/>
      <c r="B269" s="23"/>
      <c r="C269" s="24"/>
      <c r="D269" s="24"/>
      <c r="E269" s="24"/>
      <c r="F269" s="24"/>
      <c r="G269" s="24"/>
      <c r="H269" s="24"/>
      <c r="I269" s="24"/>
      <c r="J269" s="24"/>
      <c r="K269" s="25"/>
    </row>
    <row r="270" s="5" customFormat="1" ht="16.5" spans="1:11">
      <c r="A270" s="22"/>
      <c r="B270" s="23"/>
      <c r="C270" s="24"/>
      <c r="D270" s="24"/>
      <c r="E270" s="24"/>
      <c r="F270" s="24"/>
      <c r="G270" s="24"/>
      <c r="H270" s="24"/>
      <c r="I270" s="24"/>
      <c r="J270" s="24"/>
      <c r="K270" s="25"/>
    </row>
    <row r="271" s="5" customFormat="1" ht="16.5" spans="1:11">
      <c r="A271" s="22"/>
      <c r="B271" s="23"/>
      <c r="C271" s="24"/>
      <c r="D271" s="24"/>
      <c r="E271" s="24"/>
      <c r="F271" s="24"/>
      <c r="G271" s="24"/>
      <c r="H271" s="24"/>
      <c r="I271" s="24"/>
      <c r="J271" s="24"/>
      <c r="K271" s="25"/>
    </row>
    <row r="272" s="5" customFormat="1" ht="16.5" spans="1:11">
      <c r="A272" s="22"/>
      <c r="B272" s="23"/>
      <c r="C272" s="24"/>
      <c r="D272" s="24"/>
      <c r="E272" s="24"/>
      <c r="F272" s="24"/>
      <c r="G272" s="24"/>
      <c r="H272" s="24"/>
      <c r="I272" s="24"/>
      <c r="J272" s="24"/>
      <c r="K272" s="25"/>
    </row>
    <row r="273" s="5" customFormat="1" ht="16.5" spans="1:11">
      <c r="A273" s="22"/>
      <c r="B273" s="23"/>
      <c r="C273" s="24"/>
      <c r="D273" s="24"/>
      <c r="E273" s="24"/>
      <c r="F273" s="24"/>
      <c r="G273" s="24"/>
      <c r="H273" s="24"/>
      <c r="I273" s="24"/>
      <c r="J273" s="24"/>
      <c r="K273" s="25"/>
    </row>
    <row r="274" s="5" customFormat="1" ht="16.5" spans="1:11">
      <c r="A274" s="22"/>
      <c r="B274" s="23"/>
      <c r="C274" s="24"/>
      <c r="D274" s="24"/>
      <c r="E274" s="24"/>
      <c r="F274" s="24"/>
      <c r="G274" s="24"/>
      <c r="H274" s="24"/>
      <c r="I274" s="24"/>
      <c r="J274" s="24"/>
      <c r="K274" s="25"/>
    </row>
    <row r="275" s="5" customFormat="1" ht="16.5" spans="1:11">
      <c r="A275" s="22"/>
      <c r="B275" s="23"/>
      <c r="C275" s="24"/>
      <c r="D275" s="24"/>
      <c r="E275" s="24"/>
      <c r="F275" s="24"/>
      <c r="G275" s="24"/>
      <c r="H275" s="24"/>
      <c r="I275" s="24"/>
      <c r="J275" s="24"/>
      <c r="K275" s="25"/>
    </row>
    <row r="276" s="5" customFormat="1" ht="16.5" spans="1:11">
      <c r="A276" s="22"/>
      <c r="B276" s="23"/>
      <c r="C276" s="24"/>
      <c r="D276" s="24"/>
      <c r="E276" s="24"/>
      <c r="F276" s="24"/>
      <c r="G276" s="24"/>
      <c r="H276" s="24"/>
      <c r="I276" s="24"/>
      <c r="J276" s="24"/>
      <c r="K276" s="25"/>
    </row>
    <row r="277" s="5" customFormat="1" ht="16.5" spans="1:11">
      <c r="A277" s="22"/>
      <c r="B277" s="23"/>
      <c r="C277" s="24"/>
      <c r="D277" s="24"/>
      <c r="E277" s="24"/>
      <c r="F277" s="24"/>
      <c r="G277" s="24"/>
      <c r="H277" s="24"/>
      <c r="I277" s="24"/>
      <c r="J277" s="24"/>
      <c r="K277" s="25"/>
    </row>
    <row r="278" s="5" customFormat="1" ht="16.5" spans="1:11">
      <c r="A278" s="22"/>
      <c r="B278" s="23"/>
      <c r="C278" s="24"/>
      <c r="D278" s="24"/>
      <c r="E278" s="24"/>
      <c r="F278" s="24"/>
      <c r="G278" s="24"/>
      <c r="H278" s="24"/>
      <c r="I278" s="24"/>
      <c r="J278" s="24"/>
      <c r="K278" s="25"/>
    </row>
    <row r="279" s="5" customFormat="1" ht="16.5" spans="1:11">
      <c r="A279" s="22"/>
      <c r="B279" s="23"/>
      <c r="C279" s="24"/>
      <c r="D279" s="24"/>
      <c r="E279" s="24"/>
      <c r="F279" s="24"/>
      <c r="G279" s="24"/>
      <c r="H279" s="24"/>
      <c r="I279" s="24"/>
      <c r="J279" s="24"/>
      <c r="K279" s="25"/>
    </row>
    <row r="280" s="5" customFormat="1" ht="16.5" spans="1:11">
      <c r="A280" s="22"/>
      <c r="B280" s="23"/>
      <c r="C280" s="24"/>
      <c r="D280" s="24"/>
      <c r="E280" s="24"/>
      <c r="F280" s="24"/>
      <c r="G280" s="24"/>
      <c r="H280" s="24"/>
      <c r="I280" s="24"/>
      <c r="J280" s="24"/>
      <c r="K280" s="25"/>
    </row>
    <row r="281" s="5" customFormat="1" ht="16.5" spans="1:11">
      <c r="A281" s="22"/>
      <c r="B281" s="23"/>
      <c r="C281" s="24"/>
      <c r="D281" s="24"/>
      <c r="E281" s="24"/>
      <c r="F281" s="24"/>
      <c r="G281" s="24"/>
      <c r="H281" s="24"/>
      <c r="I281" s="24"/>
      <c r="J281" s="24"/>
      <c r="K281" s="25"/>
    </row>
    <row r="282" s="5" customFormat="1" ht="16.5" spans="1:11">
      <c r="A282" s="22"/>
      <c r="B282" s="23"/>
      <c r="C282" s="24"/>
      <c r="D282" s="24"/>
      <c r="E282" s="24"/>
      <c r="F282" s="24"/>
      <c r="G282" s="24"/>
      <c r="H282" s="24"/>
      <c r="I282" s="24"/>
      <c r="J282" s="24"/>
      <c r="K282" s="25"/>
    </row>
    <row r="283" s="5" customFormat="1" ht="16.5" spans="1:11">
      <c r="A283" s="22"/>
      <c r="B283" s="23"/>
      <c r="C283" s="24"/>
      <c r="D283" s="24"/>
      <c r="E283" s="24"/>
      <c r="F283" s="24"/>
      <c r="G283" s="24"/>
      <c r="H283" s="24"/>
      <c r="I283" s="24"/>
      <c r="J283" s="24"/>
      <c r="K283" s="25"/>
    </row>
    <row r="284" s="5" customFormat="1" ht="16.5" spans="1:11">
      <c r="A284" s="22"/>
      <c r="B284" s="23"/>
      <c r="C284" s="24"/>
      <c r="D284" s="24"/>
      <c r="E284" s="24"/>
      <c r="F284" s="24"/>
      <c r="G284" s="24"/>
      <c r="H284" s="24"/>
      <c r="I284" s="24"/>
      <c r="J284" s="24"/>
      <c r="K284" s="25"/>
    </row>
    <row r="285" s="5" customFormat="1" ht="16.5" spans="1:11">
      <c r="A285" s="22"/>
      <c r="B285" s="23"/>
      <c r="C285" s="24"/>
      <c r="D285" s="24"/>
      <c r="E285" s="24"/>
      <c r="F285" s="24"/>
      <c r="G285" s="24"/>
      <c r="H285" s="24"/>
      <c r="I285" s="24"/>
      <c r="J285" s="24"/>
      <c r="K285" s="25"/>
    </row>
    <row r="286" s="5" customFormat="1" ht="16.5" spans="1:11">
      <c r="A286" s="22"/>
      <c r="B286" s="23"/>
      <c r="C286" s="24"/>
      <c r="D286" s="24"/>
      <c r="E286" s="24"/>
      <c r="F286" s="24"/>
      <c r="G286" s="24"/>
      <c r="H286" s="24"/>
      <c r="I286" s="24"/>
      <c r="J286" s="24"/>
      <c r="K286" s="25"/>
    </row>
    <row r="287" s="5" customFormat="1" ht="16.5" spans="1:11">
      <c r="A287" s="22"/>
      <c r="B287" s="23"/>
      <c r="C287" s="24"/>
      <c r="D287" s="24"/>
      <c r="E287" s="24"/>
      <c r="F287" s="24"/>
      <c r="G287" s="24"/>
      <c r="H287" s="24"/>
      <c r="I287" s="24"/>
      <c r="J287" s="24"/>
      <c r="K287" s="25"/>
    </row>
    <row r="288" s="5" customFormat="1" ht="16.5" spans="1:11">
      <c r="A288" s="22"/>
      <c r="B288" s="23"/>
      <c r="C288" s="24"/>
      <c r="D288" s="24"/>
      <c r="E288" s="24"/>
      <c r="F288" s="24"/>
      <c r="G288" s="24"/>
      <c r="H288" s="24"/>
      <c r="I288" s="24"/>
      <c r="J288" s="24"/>
      <c r="K288" s="25"/>
    </row>
    <row r="289" s="5" customFormat="1" ht="16.5" spans="1:11">
      <c r="A289" s="22"/>
      <c r="B289" s="23"/>
      <c r="C289" s="24"/>
      <c r="D289" s="24"/>
      <c r="E289" s="24"/>
      <c r="F289" s="24"/>
      <c r="G289" s="24"/>
      <c r="H289" s="24"/>
      <c r="I289" s="24"/>
      <c r="J289" s="24"/>
      <c r="K289" s="25"/>
    </row>
    <row r="290" s="5" customFormat="1" ht="16.5" spans="1:11">
      <c r="A290" s="22"/>
      <c r="B290" s="23"/>
      <c r="C290" s="24"/>
      <c r="D290" s="24"/>
      <c r="E290" s="24"/>
      <c r="F290" s="24"/>
      <c r="G290" s="24"/>
      <c r="H290" s="24"/>
      <c r="I290" s="24"/>
      <c r="J290" s="24"/>
      <c r="K290" s="25"/>
    </row>
    <row r="291" s="5" customFormat="1" ht="16.5" spans="1:11">
      <c r="A291" s="22"/>
      <c r="B291" s="23"/>
      <c r="C291" s="24"/>
      <c r="D291" s="24"/>
      <c r="E291" s="24"/>
      <c r="F291" s="24"/>
      <c r="G291" s="24"/>
      <c r="H291" s="24"/>
      <c r="I291" s="24"/>
      <c r="J291" s="24"/>
      <c r="K291" s="25"/>
    </row>
    <row r="292" s="5" customFormat="1" ht="16.5" spans="1:11">
      <c r="A292" s="22"/>
      <c r="B292" s="23"/>
      <c r="C292" s="24"/>
      <c r="D292" s="24"/>
      <c r="E292" s="24"/>
      <c r="F292" s="24"/>
      <c r="G292" s="24"/>
      <c r="H292" s="24"/>
      <c r="I292" s="24"/>
      <c r="J292" s="24"/>
      <c r="K292" s="25"/>
    </row>
    <row r="293" s="5" customFormat="1" ht="16.5" spans="1:11">
      <c r="A293" s="22"/>
      <c r="B293" s="23"/>
      <c r="C293" s="24"/>
      <c r="D293" s="24"/>
      <c r="E293" s="24"/>
      <c r="F293" s="24"/>
      <c r="G293" s="24"/>
      <c r="H293" s="24"/>
      <c r="I293" s="24"/>
      <c r="J293" s="24"/>
      <c r="K293" s="25"/>
    </row>
    <row r="294" s="5" customFormat="1" ht="16.5" spans="1:11">
      <c r="A294" s="22"/>
      <c r="B294" s="23"/>
      <c r="C294" s="24"/>
      <c r="D294" s="24"/>
      <c r="E294" s="24"/>
      <c r="F294" s="24"/>
      <c r="G294" s="24"/>
      <c r="H294" s="24"/>
      <c r="I294" s="24"/>
      <c r="J294" s="24"/>
      <c r="K294" s="25"/>
    </row>
    <row r="295" s="5" customFormat="1" ht="16.5" spans="1:11">
      <c r="A295" s="22"/>
      <c r="B295" s="23"/>
      <c r="C295" s="24"/>
      <c r="D295" s="24"/>
      <c r="E295" s="24"/>
      <c r="F295" s="24"/>
      <c r="G295" s="24"/>
      <c r="H295" s="24"/>
      <c r="I295" s="24"/>
      <c r="J295" s="24"/>
      <c r="K295" s="25"/>
    </row>
    <row r="296" s="5" customFormat="1" ht="16.5" spans="1:11">
      <c r="A296" s="22"/>
      <c r="B296" s="23"/>
      <c r="C296" s="24"/>
      <c r="D296" s="24"/>
      <c r="E296" s="24"/>
      <c r="F296" s="24"/>
      <c r="G296" s="24"/>
      <c r="H296" s="24"/>
      <c r="I296" s="24"/>
      <c r="J296" s="24"/>
      <c r="K296" s="25"/>
    </row>
    <row r="297" s="5" customFormat="1" ht="16.5" spans="1:11">
      <c r="A297" s="22"/>
      <c r="B297" s="23"/>
      <c r="C297" s="24"/>
      <c r="D297" s="24"/>
      <c r="E297" s="24"/>
      <c r="F297" s="24"/>
      <c r="G297" s="24"/>
      <c r="H297" s="24"/>
      <c r="I297" s="24"/>
      <c r="J297" s="24"/>
      <c r="K297" s="25"/>
    </row>
    <row r="298" s="5" customFormat="1" ht="16.5" spans="1:11">
      <c r="A298" s="22"/>
      <c r="B298" s="23"/>
      <c r="C298" s="24"/>
      <c r="D298" s="24"/>
      <c r="E298" s="24"/>
      <c r="F298" s="24"/>
      <c r="G298" s="24"/>
      <c r="H298" s="24"/>
      <c r="I298" s="24"/>
      <c r="J298" s="24"/>
      <c r="K298" s="25"/>
    </row>
    <row r="299" s="5" customFormat="1" ht="16.5" spans="1:11">
      <c r="A299" s="22"/>
      <c r="B299" s="23"/>
      <c r="C299" s="24"/>
      <c r="D299" s="24"/>
      <c r="E299" s="24"/>
      <c r="F299" s="24"/>
      <c r="G299" s="24"/>
      <c r="H299" s="24"/>
      <c r="I299" s="24"/>
      <c r="J299" s="24"/>
      <c r="K299" s="25"/>
    </row>
    <row r="300" s="5" customFormat="1" ht="16.5" spans="1:11">
      <c r="A300" s="22"/>
      <c r="B300" s="23"/>
      <c r="C300" s="24"/>
      <c r="D300" s="24"/>
      <c r="E300" s="24"/>
      <c r="F300" s="24"/>
      <c r="G300" s="24"/>
      <c r="H300" s="24"/>
      <c r="I300" s="24"/>
      <c r="J300" s="24"/>
      <c r="K300" s="25"/>
    </row>
    <row r="301" s="5" customFormat="1" ht="16.5" spans="1:11">
      <c r="A301" s="22"/>
      <c r="B301" s="23"/>
      <c r="C301" s="24"/>
      <c r="D301" s="24"/>
      <c r="E301" s="24"/>
      <c r="F301" s="24"/>
      <c r="G301" s="24"/>
      <c r="H301" s="24"/>
      <c r="I301" s="24"/>
      <c r="J301" s="24"/>
      <c r="K301" s="25"/>
    </row>
    <row r="302" s="5" customFormat="1" ht="16.5" spans="1:11">
      <c r="A302" s="22"/>
      <c r="B302" s="23"/>
      <c r="C302" s="24"/>
      <c r="D302" s="24"/>
      <c r="E302" s="24"/>
      <c r="F302" s="24"/>
      <c r="G302" s="24"/>
      <c r="H302" s="24"/>
      <c r="I302" s="24"/>
      <c r="J302" s="24"/>
      <c r="K302" s="25"/>
    </row>
    <row r="303" s="5" customFormat="1" ht="16.5" spans="1:11">
      <c r="A303" s="22"/>
      <c r="B303" s="23"/>
      <c r="C303" s="24"/>
      <c r="D303" s="24"/>
      <c r="E303" s="24"/>
      <c r="F303" s="24"/>
      <c r="G303" s="24"/>
      <c r="H303" s="24"/>
      <c r="I303" s="24"/>
      <c r="J303" s="24"/>
      <c r="K303" s="25"/>
    </row>
    <row r="304" s="5" customFormat="1" ht="16.5" spans="1:11">
      <c r="A304" s="22"/>
      <c r="B304" s="23"/>
      <c r="C304" s="24"/>
      <c r="D304" s="24"/>
      <c r="E304" s="24"/>
      <c r="F304" s="24"/>
      <c r="G304" s="24"/>
      <c r="H304" s="24"/>
      <c r="I304" s="24"/>
      <c r="J304" s="24"/>
      <c r="K304" s="25"/>
    </row>
    <row r="305" s="5" customFormat="1" ht="16.5" spans="1:11">
      <c r="A305" s="22"/>
      <c r="B305" s="23"/>
      <c r="C305" s="24"/>
      <c r="D305" s="24"/>
      <c r="E305" s="24"/>
      <c r="F305" s="24"/>
      <c r="G305" s="24"/>
      <c r="H305" s="24"/>
      <c r="I305" s="24"/>
      <c r="J305" s="24"/>
      <c r="K305" s="25"/>
    </row>
    <row r="306" s="5" customFormat="1" ht="16.5" spans="1:11">
      <c r="A306" s="22"/>
      <c r="B306" s="23"/>
      <c r="C306" s="24"/>
      <c r="D306" s="24"/>
      <c r="E306" s="24"/>
      <c r="F306" s="24"/>
      <c r="G306" s="24"/>
      <c r="H306" s="24"/>
      <c r="I306" s="24"/>
      <c r="J306" s="24"/>
      <c r="K306" s="25"/>
    </row>
    <row r="307" s="5" customFormat="1" ht="16.5" spans="1:11">
      <c r="A307" s="22"/>
      <c r="B307" s="23"/>
      <c r="C307" s="24"/>
      <c r="D307" s="24"/>
      <c r="E307" s="24"/>
      <c r="F307" s="24"/>
      <c r="G307" s="24"/>
      <c r="H307" s="24"/>
      <c r="I307" s="24"/>
      <c r="J307" s="24"/>
      <c r="K307" s="25"/>
    </row>
    <row r="308" s="5" customFormat="1" ht="16.5" spans="1:11">
      <c r="A308" s="22"/>
      <c r="B308" s="23"/>
      <c r="C308" s="24"/>
      <c r="D308" s="24"/>
      <c r="E308" s="24"/>
      <c r="F308" s="24"/>
      <c r="G308" s="24"/>
      <c r="H308" s="24"/>
      <c r="I308" s="24"/>
      <c r="J308" s="24"/>
      <c r="K308" s="25"/>
    </row>
    <row r="309" s="5" customFormat="1" ht="16.5" spans="1:11">
      <c r="A309" s="22"/>
      <c r="B309" s="23"/>
      <c r="C309" s="24"/>
      <c r="D309" s="24"/>
      <c r="E309" s="24"/>
      <c r="F309" s="24"/>
      <c r="G309" s="24"/>
      <c r="H309" s="24"/>
      <c r="I309" s="24"/>
      <c r="J309" s="24"/>
      <c r="K309" s="25"/>
    </row>
    <row r="310" s="5" customFormat="1" ht="16.5" spans="1:11">
      <c r="A310" s="22"/>
      <c r="B310" s="23"/>
      <c r="C310" s="24"/>
      <c r="D310" s="24"/>
      <c r="E310" s="24"/>
      <c r="F310" s="24"/>
      <c r="G310" s="24"/>
      <c r="H310" s="24"/>
      <c r="I310" s="24"/>
      <c r="J310" s="24"/>
      <c r="K310" s="25"/>
    </row>
    <row r="311" s="5" customFormat="1" ht="16.5" spans="1:11">
      <c r="A311" s="22"/>
      <c r="B311" s="23"/>
      <c r="C311" s="24"/>
      <c r="D311" s="24"/>
      <c r="E311" s="24"/>
      <c r="F311" s="24"/>
      <c r="G311" s="24"/>
      <c r="H311" s="24"/>
      <c r="I311" s="24"/>
      <c r="J311" s="24"/>
      <c r="K311" s="25"/>
    </row>
    <row r="312" s="5" customFormat="1" ht="16.5" spans="1:11">
      <c r="A312" s="22"/>
      <c r="B312" s="23"/>
      <c r="C312" s="24"/>
      <c r="D312" s="24"/>
      <c r="E312" s="24"/>
      <c r="F312" s="24"/>
      <c r="G312" s="24"/>
      <c r="H312" s="24"/>
      <c r="I312" s="24"/>
      <c r="J312" s="24"/>
      <c r="K312" s="25"/>
    </row>
    <row r="313" s="5" customFormat="1" ht="16.5" spans="1:11">
      <c r="A313" s="22"/>
      <c r="B313" s="23"/>
      <c r="C313" s="24"/>
      <c r="D313" s="24"/>
      <c r="E313" s="24"/>
      <c r="F313" s="24"/>
      <c r="G313" s="24"/>
      <c r="H313" s="24"/>
      <c r="I313" s="24"/>
      <c r="J313" s="24"/>
      <c r="K313" s="25"/>
    </row>
    <row r="314" s="5" customFormat="1" ht="16.5" spans="1:11">
      <c r="A314" s="22"/>
      <c r="B314" s="23"/>
      <c r="C314" s="24"/>
      <c r="D314" s="24"/>
      <c r="E314" s="24"/>
      <c r="F314" s="24"/>
      <c r="G314" s="24"/>
      <c r="H314" s="24"/>
      <c r="I314" s="24"/>
      <c r="J314" s="24"/>
      <c r="K314" s="25"/>
    </row>
    <row r="315" s="5" customFormat="1" ht="16.5" spans="1:11">
      <c r="A315" s="22"/>
      <c r="B315" s="23"/>
      <c r="C315" s="24"/>
      <c r="D315" s="24"/>
      <c r="E315" s="24"/>
      <c r="F315" s="24"/>
      <c r="G315" s="24"/>
      <c r="H315" s="24"/>
      <c r="I315" s="24"/>
      <c r="J315" s="24"/>
      <c r="K315" s="25"/>
    </row>
    <row r="316" s="5" customFormat="1" ht="16.5" spans="1:11">
      <c r="A316" s="22"/>
      <c r="B316" s="23"/>
      <c r="C316" s="24"/>
      <c r="D316" s="24"/>
      <c r="E316" s="24"/>
      <c r="F316" s="24"/>
      <c r="G316" s="24"/>
      <c r="H316" s="24"/>
      <c r="I316" s="24"/>
      <c r="J316" s="24"/>
      <c r="K316" s="25"/>
    </row>
    <row r="317" s="5" customFormat="1" ht="16.5" spans="1:11">
      <c r="A317" s="22"/>
      <c r="B317" s="23"/>
      <c r="C317" s="24"/>
      <c r="D317" s="24"/>
      <c r="E317" s="24"/>
      <c r="F317" s="24"/>
      <c r="G317" s="24"/>
      <c r="H317" s="24"/>
      <c r="I317" s="24"/>
      <c r="J317" s="24"/>
      <c r="K317" s="25"/>
    </row>
    <row r="318" s="5" customFormat="1" ht="16.5" spans="1:11">
      <c r="A318" s="22"/>
      <c r="B318" s="23"/>
      <c r="C318" s="24"/>
      <c r="D318" s="24"/>
      <c r="E318" s="24"/>
      <c r="F318" s="24"/>
      <c r="G318" s="24"/>
      <c r="H318" s="24"/>
      <c r="I318" s="24"/>
      <c r="J318" s="24"/>
      <c r="K318" s="25"/>
    </row>
    <row r="319" s="5" customFormat="1" ht="16.5" spans="1:11">
      <c r="A319" s="22"/>
      <c r="B319" s="23"/>
      <c r="C319" s="24"/>
      <c r="D319" s="24"/>
      <c r="E319" s="24"/>
      <c r="F319" s="24"/>
      <c r="G319" s="24"/>
      <c r="H319" s="24"/>
      <c r="I319" s="24"/>
      <c r="J319" s="24"/>
      <c r="K319" s="25"/>
    </row>
    <row r="320" s="5" customFormat="1" ht="16.5" spans="1:11">
      <c r="A320" s="22"/>
      <c r="B320" s="23"/>
      <c r="C320" s="24"/>
      <c r="D320" s="24"/>
      <c r="E320" s="24"/>
      <c r="F320" s="24"/>
      <c r="G320" s="24"/>
      <c r="H320" s="24"/>
      <c r="I320" s="24"/>
      <c r="J320" s="24"/>
      <c r="K320" s="25"/>
    </row>
    <row r="321" s="5" customFormat="1" ht="16.5" spans="1:11">
      <c r="A321" s="22"/>
      <c r="B321" s="23"/>
      <c r="C321" s="24"/>
      <c r="D321" s="24"/>
      <c r="E321" s="24"/>
      <c r="F321" s="24"/>
      <c r="G321" s="24"/>
      <c r="H321" s="24"/>
      <c r="I321" s="24"/>
      <c r="J321" s="24"/>
      <c r="K321" s="25"/>
    </row>
    <row r="322" s="5" customFormat="1" ht="16.5" spans="1:11">
      <c r="A322" s="22"/>
      <c r="B322" s="23"/>
      <c r="C322" s="24"/>
      <c r="D322" s="24"/>
      <c r="E322" s="24"/>
      <c r="F322" s="24"/>
      <c r="G322" s="24"/>
      <c r="H322" s="24"/>
      <c r="I322" s="24"/>
      <c r="J322" s="24"/>
      <c r="K322" s="25"/>
    </row>
    <row r="323" s="5" customFormat="1" ht="16.5" spans="1:11">
      <c r="A323" s="22"/>
      <c r="B323" s="23"/>
      <c r="C323" s="24"/>
      <c r="D323" s="24"/>
      <c r="E323" s="24"/>
      <c r="F323" s="24"/>
      <c r="G323" s="24"/>
      <c r="H323" s="24"/>
      <c r="I323" s="24"/>
      <c r="J323" s="24"/>
      <c r="K323" s="25"/>
    </row>
    <row r="324" s="5" customFormat="1" ht="16.5" spans="1:11">
      <c r="A324" s="22"/>
      <c r="B324" s="23"/>
      <c r="C324" s="24"/>
      <c r="D324" s="24"/>
      <c r="E324" s="24"/>
      <c r="F324" s="24"/>
      <c r="G324" s="24"/>
      <c r="H324" s="24"/>
      <c r="I324" s="24"/>
      <c r="J324" s="24"/>
      <c r="K324" s="25"/>
    </row>
    <row r="325" s="5" customFormat="1" ht="16.5" spans="1:11">
      <c r="A325" s="22"/>
      <c r="B325" s="23"/>
      <c r="C325" s="24"/>
      <c r="D325" s="24"/>
      <c r="E325" s="24"/>
      <c r="F325" s="24"/>
      <c r="G325" s="24"/>
      <c r="H325" s="24"/>
      <c r="I325" s="24"/>
      <c r="J325" s="24"/>
      <c r="K325" s="25"/>
    </row>
    <row r="326" s="5" customFormat="1" ht="16.5" spans="1:11">
      <c r="A326" s="22"/>
      <c r="B326" s="23"/>
      <c r="C326" s="24"/>
      <c r="D326" s="24"/>
      <c r="E326" s="24"/>
      <c r="F326" s="24"/>
      <c r="G326" s="24"/>
      <c r="H326" s="24"/>
      <c r="I326" s="24"/>
      <c r="J326" s="24"/>
      <c r="K326" s="25"/>
    </row>
    <row r="327" s="5" customFormat="1" ht="16.5" spans="1:11">
      <c r="A327" s="22"/>
      <c r="B327" s="23"/>
      <c r="C327" s="24"/>
      <c r="D327" s="24"/>
      <c r="E327" s="24"/>
      <c r="F327" s="24"/>
      <c r="G327" s="24"/>
      <c r="H327" s="24"/>
      <c r="I327" s="24"/>
      <c r="J327" s="24"/>
      <c r="K327" s="25"/>
    </row>
    <row r="328" s="5" customFormat="1" ht="16.5" spans="1:11">
      <c r="A328" s="22"/>
      <c r="B328" s="23"/>
      <c r="C328" s="24"/>
      <c r="D328" s="24"/>
      <c r="E328" s="24"/>
      <c r="F328" s="24"/>
      <c r="G328" s="24"/>
      <c r="H328" s="24"/>
      <c r="I328" s="24"/>
      <c r="J328" s="24"/>
      <c r="K328" s="25"/>
    </row>
    <row r="329" s="5" customFormat="1" ht="16.5" spans="1:11">
      <c r="A329" s="22"/>
      <c r="B329" s="23"/>
      <c r="C329" s="24"/>
      <c r="D329" s="24"/>
      <c r="E329" s="24"/>
      <c r="F329" s="24"/>
      <c r="G329" s="24"/>
      <c r="H329" s="24"/>
      <c r="I329" s="24"/>
      <c r="J329" s="24"/>
      <c r="K329" s="25"/>
    </row>
    <row r="330" s="5" customFormat="1" ht="16.5" spans="1:11">
      <c r="A330" s="22"/>
      <c r="B330" s="23"/>
      <c r="C330" s="24"/>
      <c r="D330" s="24"/>
      <c r="E330" s="24"/>
      <c r="F330" s="24"/>
      <c r="G330" s="24"/>
      <c r="H330" s="24"/>
      <c r="I330" s="24"/>
      <c r="J330" s="24"/>
      <c r="K330" s="25"/>
    </row>
    <row r="331" s="5" customFormat="1" ht="16.5" spans="1:11">
      <c r="A331" s="22"/>
      <c r="B331" s="23"/>
      <c r="C331" s="24"/>
      <c r="D331" s="24"/>
      <c r="E331" s="24"/>
      <c r="F331" s="24"/>
      <c r="G331" s="24"/>
      <c r="H331" s="24"/>
      <c r="I331" s="24"/>
      <c r="J331" s="24"/>
      <c r="K331" s="25"/>
    </row>
    <row r="332" s="5" customFormat="1" ht="16.5" spans="1:11">
      <c r="A332" s="22"/>
      <c r="B332" s="23"/>
      <c r="C332" s="24"/>
      <c r="D332" s="24"/>
      <c r="E332" s="24"/>
      <c r="F332" s="24"/>
      <c r="G332" s="24"/>
      <c r="H332" s="24"/>
      <c r="I332" s="24"/>
      <c r="J332" s="24"/>
      <c r="K332" s="25"/>
    </row>
    <row r="333" s="5" customFormat="1" ht="16.5" spans="1:11">
      <c r="A333" s="22"/>
      <c r="B333" s="23"/>
      <c r="C333" s="24"/>
      <c r="D333" s="24"/>
      <c r="E333" s="24"/>
      <c r="F333" s="24"/>
      <c r="G333" s="24"/>
      <c r="H333" s="24"/>
      <c r="I333" s="24"/>
      <c r="J333" s="24"/>
      <c r="K333" s="25"/>
    </row>
    <row r="334" s="5" customFormat="1" ht="16.5" spans="1:11">
      <c r="A334" s="22"/>
      <c r="B334" s="23"/>
      <c r="C334" s="24"/>
      <c r="D334" s="24"/>
      <c r="E334" s="24"/>
      <c r="F334" s="24"/>
      <c r="G334" s="24"/>
      <c r="H334" s="24"/>
      <c r="I334" s="24"/>
      <c r="J334" s="24"/>
      <c r="K334" s="25"/>
    </row>
    <row r="335" s="5" customFormat="1" ht="16.5" spans="1:11">
      <c r="A335" s="22"/>
      <c r="B335" s="23"/>
      <c r="C335" s="24"/>
      <c r="D335" s="24"/>
      <c r="E335" s="24"/>
      <c r="F335" s="24"/>
      <c r="G335" s="24"/>
      <c r="H335" s="24"/>
      <c r="I335" s="24"/>
      <c r="J335" s="24"/>
      <c r="K335" s="25"/>
    </row>
    <row r="336" s="5" customFormat="1" ht="16.5" spans="1:11">
      <c r="A336" s="22"/>
      <c r="B336" s="23"/>
      <c r="C336" s="24"/>
      <c r="D336" s="24"/>
      <c r="E336" s="24"/>
      <c r="F336" s="24"/>
      <c r="G336" s="24"/>
      <c r="H336" s="24"/>
      <c r="I336" s="24"/>
      <c r="J336" s="24"/>
      <c r="K336" s="25"/>
    </row>
    <row r="337" s="5" customFormat="1" ht="16.5" spans="1:11">
      <c r="A337" s="22"/>
      <c r="B337" s="23"/>
      <c r="C337" s="24"/>
      <c r="D337" s="24"/>
      <c r="E337" s="24"/>
      <c r="F337" s="24"/>
      <c r="G337" s="24"/>
      <c r="H337" s="24"/>
      <c r="I337" s="24"/>
      <c r="J337" s="24"/>
      <c r="K337" s="25"/>
    </row>
    <row r="338" s="5" customFormat="1" ht="16.5" spans="1:11">
      <c r="A338" s="22"/>
      <c r="B338" s="23"/>
      <c r="C338" s="24"/>
      <c r="D338" s="24"/>
      <c r="E338" s="24"/>
      <c r="F338" s="24"/>
      <c r="G338" s="24"/>
      <c r="H338" s="24"/>
      <c r="I338" s="24"/>
      <c r="J338" s="24"/>
      <c r="K338" s="25"/>
    </row>
    <row r="339" s="5" customFormat="1" ht="16.5" spans="1:11">
      <c r="A339" s="22"/>
      <c r="B339" s="23"/>
      <c r="C339" s="24"/>
      <c r="D339" s="24"/>
      <c r="E339" s="24"/>
      <c r="F339" s="24"/>
      <c r="G339" s="24"/>
      <c r="H339" s="24"/>
      <c r="I339" s="24"/>
      <c r="J339" s="24"/>
      <c r="K339" s="25"/>
    </row>
    <row r="340" s="5" customFormat="1" ht="16.5" spans="1:11">
      <c r="A340" s="22"/>
      <c r="B340" s="23"/>
      <c r="C340" s="24"/>
      <c r="D340" s="24"/>
      <c r="E340" s="24"/>
      <c r="F340" s="24"/>
      <c r="G340" s="24"/>
      <c r="H340" s="24"/>
      <c r="I340" s="24"/>
      <c r="J340" s="24"/>
      <c r="K340" s="25"/>
    </row>
    <row r="341" s="5" customFormat="1" ht="16.5" spans="1:11">
      <c r="A341" s="22"/>
      <c r="B341" s="23"/>
      <c r="C341" s="24"/>
      <c r="D341" s="24"/>
      <c r="E341" s="24"/>
      <c r="F341" s="24"/>
      <c r="G341" s="24"/>
      <c r="H341" s="24"/>
      <c r="I341" s="24"/>
      <c r="J341" s="24"/>
      <c r="K341" s="25"/>
    </row>
    <row r="342" s="5" customFormat="1" ht="16.5" spans="1:11">
      <c r="A342" s="22"/>
      <c r="B342" s="23"/>
      <c r="C342" s="24"/>
      <c r="D342" s="24"/>
      <c r="E342" s="24"/>
      <c r="F342" s="24"/>
      <c r="G342" s="24"/>
      <c r="H342" s="24"/>
      <c r="I342" s="24"/>
      <c r="J342" s="24"/>
      <c r="K342" s="25"/>
    </row>
    <row r="343" s="5" customFormat="1" ht="16.5" spans="1:11">
      <c r="A343" s="22"/>
      <c r="B343" s="23"/>
      <c r="C343" s="24"/>
      <c r="D343" s="24"/>
      <c r="E343" s="24"/>
      <c r="F343" s="24"/>
      <c r="G343" s="24"/>
      <c r="H343" s="24"/>
      <c r="I343" s="24"/>
      <c r="J343" s="24"/>
      <c r="K343" s="25"/>
    </row>
    <row r="344" s="5" customFormat="1" ht="16.5" spans="1:11">
      <c r="A344" s="22"/>
      <c r="B344" s="23"/>
      <c r="C344" s="24"/>
      <c r="D344" s="24"/>
      <c r="E344" s="24"/>
      <c r="F344" s="24"/>
      <c r="G344" s="24"/>
      <c r="H344" s="24"/>
      <c r="I344" s="24"/>
      <c r="J344" s="24"/>
      <c r="K344" s="25"/>
    </row>
    <row r="345" s="5" customFormat="1" ht="16.5" spans="1:11">
      <c r="A345" s="22"/>
      <c r="B345" s="23"/>
      <c r="C345" s="24"/>
      <c r="D345" s="24"/>
      <c r="E345" s="24"/>
      <c r="F345" s="24"/>
      <c r="G345" s="24"/>
      <c r="H345" s="24"/>
      <c r="I345" s="24"/>
      <c r="J345" s="24"/>
      <c r="K345" s="25"/>
    </row>
    <row r="346" s="5" customFormat="1" ht="16.5" spans="1:11">
      <c r="A346" s="22"/>
      <c r="B346" s="23"/>
      <c r="C346" s="24"/>
      <c r="D346" s="24"/>
      <c r="E346" s="24"/>
      <c r="F346" s="24"/>
      <c r="G346" s="24"/>
      <c r="H346" s="24"/>
      <c r="I346" s="24"/>
      <c r="J346" s="24"/>
      <c r="K346" s="25"/>
    </row>
    <row r="347" s="5" customFormat="1" ht="16.5" spans="1:11">
      <c r="A347" s="22"/>
      <c r="B347" s="23"/>
      <c r="C347" s="24"/>
      <c r="D347" s="24"/>
      <c r="E347" s="24"/>
      <c r="F347" s="24"/>
      <c r="G347" s="24"/>
      <c r="H347" s="24"/>
      <c r="I347" s="24"/>
      <c r="J347" s="24"/>
      <c r="K347" s="25"/>
    </row>
    <row r="348" s="5" customFormat="1" ht="16.5" spans="1:11">
      <c r="A348" s="22"/>
      <c r="B348" s="23"/>
      <c r="C348" s="24"/>
      <c r="D348" s="24"/>
      <c r="E348" s="24"/>
      <c r="F348" s="24"/>
      <c r="G348" s="24"/>
      <c r="H348" s="24"/>
      <c r="I348" s="24"/>
      <c r="J348" s="24"/>
      <c r="K348" s="25"/>
    </row>
    <row r="349" s="5" customFormat="1" ht="16.5" spans="1:11">
      <c r="A349" s="22"/>
      <c r="B349" s="23"/>
      <c r="C349" s="24"/>
      <c r="D349" s="24"/>
      <c r="E349" s="24"/>
      <c r="F349" s="24"/>
      <c r="G349" s="24"/>
      <c r="H349" s="24"/>
      <c r="I349" s="24"/>
      <c r="J349" s="24"/>
      <c r="K349" s="25"/>
    </row>
    <row r="350" s="5" customFormat="1" ht="16.5" spans="1:11">
      <c r="A350" s="22"/>
      <c r="B350" s="23"/>
      <c r="C350" s="24"/>
      <c r="D350" s="24"/>
      <c r="E350" s="24"/>
      <c r="F350" s="24"/>
      <c r="G350" s="24"/>
      <c r="H350" s="24"/>
      <c r="I350" s="24"/>
      <c r="J350" s="24"/>
      <c r="K350" s="25"/>
    </row>
    <row r="351" s="5" customFormat="1" ht="16.5" spans="1:11">
      <c r="A351" s="22"/>
      <c r="B351" s="23"/>
      <c r="C351" s="24"/>
      <c r="D351" s="24"/>
      <c r="E351" s="24"/>
      <c r="F351" s="24"/>
      <c r="G351" s="24"/>
      <c r="H351" s="24"/>
      <c r="I351" s="24"/>
      <c r="J351" s="24"/>
      <c r="K351" s="25"/>
    </row>
    <row r="352" s="5" customFormat="1" ht="16.5" spans="1:11">
      <c r="A352" s="22"/>
      <c r="B352" s="23"/>
      <c r="C352" s="24"/>
      <c r="D352" s="24"/>
      <c r="E352" s="24"/>
      <c r="F352" s="24"/>
      <c r="G352" s="24"/>
      <c r="H352" s="24"/>
      <c r="I352" s="24"/>
      <c r="J352" s="24"/>
      <c r="K352" s="25"/>
    </row>
    <row r="353" s="5" customFormat="1" ht="16.5" spans="1:11">
      <c r="A353" s="22"/>
      <c r="B353" s="23"/>
      <c r="C353" s="24"/>
      <c r="D353" s="24"/>
      <c r="E353" s="24"/>
      <c r="F353" s="24"/>
      <c r="G353" s="24"/>
      <c r="H353" s="24"/>
      <c r="I353" s="24"/>
      <c r="J353" s="24"/>
      <c r="K353" s="25"/>
    </row>
    <row r="354" s="5" customFormat="1" ht="16.5" spans="1:11">
      <c r="A354" s="22"/>
      <c r="B354" s="23"/>
      <c r="C354" s="24"/>
      <c r="D354" s="24"/>
      <c r="E354" s="24"/>
      <c r="F354" s="24"/>
      <c r="G354" s="24"/>
      <c r="H354" s="24"/>
      <c r="I354" s="24"/>
      <c r="J354" s="24"/>
      <c r="K354" s="25"/>
    </row>
    <row r="355" s="5" customFormat="1" ht="16.5" spans="1:11">
      <c r="A355" s="22"/>
      <c r="B355" s="23"/>
      <c r="C355" s="24"/>
      <c r="D355" s="24"/>
      <c r="E355" s="24"/>
      <c r="F355" s="24"/>
      <c r="G355" s="24"/>
      <c r="H355" s="24"/>
      <c r="I355" s="24"/>
      <c r="J355" s="24"/>
      <c r="K355" s="25"/>
    </row>
    <row r="356" s="5" customFormat="1" ht="16.5" spans="1:11">
      <c r="A356" s="22"/>
      <c r="B356" s="23"/>
      <c r="C356" s="24"/>
      <c r="D356" s="24"/>
      <c r="E356" s="24"/>
      <c r="F356" s="24"/>
      <c r="G356" s="24"/>
      <c r="H356" s="24"/>
      <c r="I356" s="24"/>
      <c r="J356" s="24"/>
      <c r="K356" s="25"/>
    </row>
    <row r="357" s="5" customFormat="1" ht="16.5" spans="1:11">
      <c r="A357" s="22"/>
      <c r="B357" s="23"/>
      <c r="C357" s="24"/>
      <c r="D357" s="24"/>
      <c r="E357" s="24"/>
      <c r="F357" s="24"/>
      <c r="G357" s="24"/>
      <c r="H357" s="24"/>
      <c r="I357" s="24"/>
      <c r="J357" s="24"/>
      <c r="K357" s="25"/>
    </row>
    <row r="358" s="5" customFormat="1" ht="16.5" spans="1:11">
      <c r="A358" s="22"/>
      <c r="B358" s="23"/>
      <c r="C358" s="24"/>
      <c r="D358" s="24"/>
      <c r="E358" s="24"/>
      <c r="F358" s="24"/>
      <c r="G358" s="24"/>
      <c r="H358" s="24"/>
      <c r="I358" s="24"/>
      <c r="J358" s="24"/>
      <c r="K358" s="25"/>
    </row>
    <row r="359" s="5" customFormat="1" ht="16.5" spans="1:11">
      <c r="A359" s="22"/>
      <c r="B359" s="23"/>
      <c r="C359" s="24"/>
      <c r="D359" s="24"/>
      <c r="E359" s="24"/>
      <c r="F359" s="24"/>
      <c r="G359" s="24"/>
      <c r="H359" s="24"/>
      <c r="I359" s="24"/>
      <c r="J359" s="24"/>
      <c r="K359" s="25"/>
    </row>
    <row r="360" s="5" customFormat="1" ht="16.5" spans="1:11">
      <c r="A360" s="22"/>
      <c r="B360" s="23"/>
      <c r="C360" s="24"/>
      <c r="D360" s="24"/>
      <c r="E360" s="24"/>
      <c r="F360" s="24"/>
      <c r="G360" s="24"/>
      <c r="H360" s="24"/>
      <c r="I360" s="24"/>
      <c r="J360" s="24"/>
      <c r="K360" s="25"/>
    </row>
    <row r="361" s="5" customFormat="1" ht="16.5" spans="1:11">
      <c r="A361" s="22"/>
      <c r="B361" s="23"/>
      <c r="C361" s="24"/>
      <c r="D361" s="24"/>
      <c r="E361" s="24"/>
      <c r="F361" s="24"/>
      <c r="G361" s="24"/>
      <c r="H361" s="24"/>
      <c r="I361" s="24"/>
      <c r="J361" s="24"/>
      <c r="K361" s="25"/>
    </row>
    <row r="362" s="5" customFormat="1" ht="16.5" spans="1:11">
      <c r="A362" s="22"/>
      <c r="B362" s="23"/>
      <c r="C362" s="24"/>
      <c r="D362" s="24"/>
      <c r="E362" s="24"/>
      <c r="F362" s="24"/>
      <c r="G362" s="24"/>
      <c r="H362" s="24"/>
      <c r="I362" s="24"/>
      <c r="J362" s="24"/>
      <c r="K362" s="25"/>
    </row>
    <row r="363" s="5" customFormat="1" ht="16.5" spans="1:11">
      <c r="A363" s="22"/>
      <c r="B363" s="23"/>
      <c r="C363" s="24"/>
      <c r="D363" s="24"/>
      <c r="E363" s="24"/>
      <c r="F363" s="24"/>
      <c r="G363" s="24"/>
      <c r="H363" s="24"/>
      <c r="I363" s="24"/>
      <c r="J363" s="24"/>
      <c r="K363" s="25"/>
    </row>
    <row r="364" s="5" customFormat="1" ht="16.5" spans="1:11">
      <c r="A364" s="22"/>
      <c r="B364" s="23"/>
      <c r="C364" s="24"/>
      <c r="D364" s="24"/>
      <c r="E364" s="24"/>
      <c r="F364" s="24"/>
      <c r="G364" s="24"/>
      <c r="H364" s="24"/>
      <c r="I364" s="24"/>
      <c r="J364" s="24"/>
      <c r="K364" s="25"/>
    </row>
    <row r="365" s="5" customFormat="1" ht="16.5" spans="1:11">
      <c r="A365" s="22"/>
      <c r="B365" s="23"/>
      <c r="C365" s="24"/>
      <c r="D365" s="24"/>
      <c r="E365" s="24"/>
      <c r="F365" s="24"/>
      <c r="G365" s="24"/>
      <c r="H365" s="24"/>
      <c r="I365" s="24"/>
      <c r="J365" s="24"/>
      <c r="K365" s="25"/>
    </row>
    <row r="366" s="5" customFormat="1" ht="16.5" spans="1:11">
      <c r="A366" s="22"/>
      <c r="B366" s="23"/>
      <c r="C366" s="24"/>
      <c r="D366" s="24"/>
      <c r="E366" s="24"/>
      <c r="F366" s="24"/>
      <c r="G366" s="24"/>
      <c r="H366" s="24"/>
      <c r="I366" s="24"/>
      <c r="J366" s="24"/>
      <c r="K366" s="25"/>
    </row>
    <row r="367" s="5" customFormat="1" ht="16.5" spans="1:11">
      <c r="A367" s="22"/>
      <c r="B367" s="23"/>
      <c r="C367" s="24"/>
      <c r="D367" s="24"/>
      <c r="E367" s="24"/>
      <c r="F367" s="24"/>
      <c r="G367" s="24"/>
      <c r="H367" s="24"/>
      <c r="I367" s="24"/>
      <c r="J367" s="24"/>
      <c r="K367" s="25"/>
    </row>
    <row r="368" s="5" customFormat="1" ht="16.5" spans="1:11">
      <c r="A368" s="22"/>
      <c r="B368" s="23"/>
      <c r="C368" s="24"/>
      <c r="D368" s="24"/>
      <c r="E368" s="24"/>
      <c r="F368" s="24"/>
      <c r="G368" s="24"/>
      <c r="H368" s="24"/>
      <c r="I368" s="24"/>
      <c r="J368" s="24"/>
      <c r="K368" s="25"/>
    </row>
    <row r="369" s="5" customFormat="1" ht="16.5" spans="1:11">
      <c r="A369" s="22"/>
      <c r="B369" s="23"/>
      <c r="C369" s="24"/>
      <c r="D369" s="24"/>
      <c r="E369" s="24"/>
      <c r="F369" s="24"/>
      <c r="G369" s="24"/>
      <c r="H369" s="24"/>
      <c r="I369" s="24"/>
      <c r="J369" s="24"/>
      <c r="K369" s="25"/>
    </row>
    <row r="370" s="5" customFormat="1" ht="16.5" spans="1:11">
      <c r="A370" s="22"/>
      <c r="B370" s="23"/>
      <c r="C370" s="24"/>
      <c r="D370" s="24"/>
      <c r="E370" s="24"/>
      <c r="F370" s="24"/>
      <c r="G370" s="24"/>
      <c r="H370" s="24"/>
      <c r="I370" s="24"/>
      <c r="J370" s="24"/>
      <c r="K370" s="25"/>
    </row>
    <row r="371" s="5" customFormat="1" ht="16.5" spans="1:11">
      <c r="A371" s="22"/>
      <c r="B371" s="23"/>
      <c r="C371" s="24"/>
      <c r="D371" s="24"/>
      <c r="E371" s="24"/>
      <c r="F371" s="24"/>
      <c r="G371" s="24"/>
      <c r="H371" s="24"/>
      <c r="I371" s="24"/>
      <c r="J371" s="24"/>
      <c r="K371" s="25"/>
    </row>
    <row r="372" s="5" customFormat="1" ht="16.5" spans="1:11">
      <c r="A372" s="22"/>
      <c r="B372" s="23"/>
      <c r="C372" s="24"/>
      <c r="D372" s="24"/>
      <c r="E372" s="24"/>
      <c r="F372" s="24"/>
      <c r="G372" s="24"/>
      <c r="H372" s="24"/>
      <c r="I372" s="24"/>
      <c r="J372" s="24"/>
      <c r="K372" s="25"/>
    </row>
    <row r="373" s="5" customFormat="1" ht="16.5" spans="1:11">
      <c r="A373" s="22"/>
      <c r="B373" s="23"/>
      <c r="C373" s="24"/>
      <c r="D373" s="24"/>
      <c r="E373" s="24"/>
      <c r="F373" s="24"/>
      <c r="G373" s="24"/>
      <c r="H373" s="24"/>
      <c r="I373" s="24"/>
      <c r="J373" s="24"/>
      <c r="K373" s="25"/>
    </row>
    <row r="374" s="5" customFormat="1" ht="16.5" spans="1:11">
      <c r="A374" s="22"/>
      <c r="B374" s="23"/>
      <c r="C374" s="24"/>
      <c r="D374" s="24"/>
      <c r="E374" s="24"/>
      <c r="F374" s="24"/>
      <c r="G374" s="24"/>
      <c r="H374" s="24"/>
      <c r="I374" s="24"/>
      <c r="J374" s="24"/>
      <c r="K374" s="25"/>
    </row>
    <row r="375" s="5" customFormat="1" ht="16.5" spans="1:11">
      <c r="A375" s="22"/>
      <c r="B375" s="23"/>
      <c r="C375" s="24"/>
      <c r="D375" s="24"/>
      <c r="E375" s="24"/>
      <c r="F375" s="24"/>
      <c r="G375" s="24"/>
      <c r="H375" s="24"/>
      <c r="I375" s="24"/>
      <c r="J375" s="24"/>
      <c r="K375" s="25"/>
    </row>
    <row r="376" s="5" customFormat="1" ht="16.5" spans="1:11">
      <c r="A376" s="22"/>
      <c r="B376" s="23"/>
      <c r="C376" s="24"/>
      <c r="D376" s="24"/>
      <c r="E376" s="24"/>
      <c r="F376" s="24"/>
      <c r="G376" s="24"/>
      <c r="H376" s="24"/>
      <c r="I376" s="24"/>
      <c r="J376" s="24"/>
      <c r="K376" s="25"/>
    </row>
    <row r="377" s="5" customFormat="1" ht="16.5" spans="1:11">
      <c r="A377" s="22"/>
      <c r="B377" s="23"/>
      <c r="C377" s="24"/>
      <c r="D377" s="24"/>
      <c r="E377" s="24"/>
      <c r="F377" s="24"/>
      <c r="G377" s="24"/>
      <c r="H377" s="24"/>
      <c r="I377" s="24"/>
      <c r="J377" s="24"/>
      <c r="K377" s="25"/>
    </row>
    <row r="378" s="5" customFormat="1" ht="16.5" spans="1:11">
      <c r="A378" s="22"/>
      <c r="B378" s="23"/>
      <c r="C378" s="24"/>
      <c r="D378" s="24"/>
      <c r="E378" s="24"/>
      <c r="F378" s="24"/>
      <c r="G378" s="24"/>
      <c r="H378" s="24"/>
      <c r="I378" s="24"/>
      <c r="J378" s="24"/>
      <c r="K378" s="25"/>
    </row>
    <row r="379" s="5" customFormat="1" ht="16.5" spans="1:11">
      <c r="A379" s="22"/>
      <c r="B379" s="23"/>
      <c r="C379" s="24"/>
      <c r="D379" s="24"/>
      <c r="E379" s="24"/>
      <c r="F379" s="24"/>
      <c r="G379" s="24"/>
      <c r="H379" s="24"/>
      <c r="I379" s="24"/>
      <c r="J379" s="24"/>
      <c r="K379" s="25"/>
    </row>
    <row r="380" s="5" customFormat="1" ht="16.5" spans="1:11">
      <c r="A380" s="22"/>
      <c r="B380" s="23"/>
      <c r="C380" s="24"/>
      <c r="D380" s="24"/>
      <c r="E380" s="24"/>
      <c r="F380" s="24"/>
      <c r="G380" s="24"/>
      <c r="H380" s="24"/>
      <c r="I380" s="24"/>
      <c r="J380" s="24"/>
      <c r="K380" s="25"/>
    </row>
    <row r="381" s="5" customFormat="1" ht="16.5" spans="1:11">
      <c r="A381" s="22"/>
      <c r="B381" s="23"/>
      <c r="C381" s="24"/>
      <c r="D381" s="24"/>
      <c r="E381" s="24"/>
      <c r="F381" s="24"/>
      <c r="G381" s="24"/>
      <c r="H381" s="24"/>
      <c r="I381" s="24"/>
      <c r="J381" s="24"/>
      <c r="K381" s="25"/>
    </row>
    <row r="382" s="5" customFormat="1" ht="16.5" spans="1:11">
      <c r="A382" s="22"/>
      <c r="B382" s="23"/>
      <c r="C382" s="24"/>
      <c r="D382" s="24"/>
      <c r="E382" s="24"/>
      <c r="F382" s="24"/>
      <c r="G382" s="24"/>
      <c r="H382" s="24"/>
      <c r="I382" s="24"/>
      <c r="J382" s="24"/>
      <c r="K382" s="25"/>
    </row>
    <row r="383" s="5" customFormat="1" ht="16.5" spans="1:11">
      <c r="A383" s="22"/>
      <c r="B383" s="23"/>
      <c r="C383" s="24"/>
      <c r="D383" s="24"/>
      <c r="E383" s="24"/>
      <c r="F383" s="24"/>
      <c r="G383" s="24"/>
      <c r="H383" s="24"/>
      <c r="I383" s="24"/>
      <c r="J383" s="24"/>
      <c r="K383" s="25"/>
    </row>
    <row r="384" s="5" customFormat="1" ht="16.5" spans="1:11">
      <c r="A384" s="22"/>
      <c r="B384" s="23"/>
      <c r="C384" s="24"/>
      <c r="D384" s="24"/>
      <c r="E384" s="24"/>
      <c r="F384" s="24"/>
      <c r="G384" s="24"/>
      <c r="H384" s="24"/>
      <c r="I384" s="24"/>
      <c r="J384" s="24"/>
      <c r="K384" s="25"/>
    </row>
    <row r="385" s="5" customFormat="1" ht="16.5" spans="1:11">
      <c r="A385" s="22"/>
      <c r="B385" s="23"/>
      <c r="C385" s="24"/>
      <c r="D385" s="24"/>
      <c r="E385" s="24"/>
      <c r="F385" s="24"/>
      <c r="G385" s="24"/>
      <c r="H385" s="24"/>
      <c r="I385" s="24"/>
      <c r="J385" s="24"/>
      <c r="K385" s="25"/>
    </row>
    <row r="386" s="5" customFormat="1" ht="16.5" spans="1:11">
      <c r="A386" s="22"/>
      <c r="B386" s="23"/>
      <c r="C386" s="24"/>
      <c r="D386" s="24"/>
      <c r="E386" s="24"/>
      <c r="F386" s="24"/>
      <c r="G386" s="24"/>
      <c r="H386" s="24"/>
      <c r="I386" s="24"/>
      <c r="J386" s="24"/>
      <c r="K386" s="25"/>
    </row>
    <row r="387" s="5" customFormat="1" ht="16.5" spans="1:11">
      <c r="A387" s="22"/>
      <c r="B387" s="23"/>
      <c r="C387" s="24"/>
      <c r="D387" s="24"/>
      <c r="E387" s="24"/>
      <c r="F387" s="24"/>
      <c r="G387" s="24"/>
      <c r="H387" s="24"/>
      <c r="I387" s="24"/>
      <c r="J387" s="24"/>
      <c r="K387" s="25"/>
    </row>
    <row r="388" s="5" customFormat="1" ht="16.5" spans="1:11">
      <c r="A388" s="22"/>
      <c r="B388" s="23"/>
      <c r="C388" s="24"/>
      <c r="D388" s="24"/>
      <c r="E388" s="24"/>
      <c r="F388" s="24"/>
      <c r="G388" s="24"/>
      <c r="H388" s="24"/>
      <c r="I388" s="24"/>
      <c r="J388" s="24"/>
      <c r="K388" s="25"/>
    </row>
    <row r="389" s="5" customFormat="1" ht="16.5" spans="1:11">
      <c r="A389" s="22"/>
      <c r="B389" s="23"/>
      <c r="C389" s="24"/>
      <c r="D389" s="24"/>
      <c r="E389" s="24"/>
      <c r="F389" s="24"/>
      <c r="G389" s="24"/>
      <c r="H389" s="24"/>
      <c r="I389" s="24"/>
      <c r="J389" s="24"/>
      <c r="K389" s="25"/>
    </row>
    <row r="390" s="5" customFormat="1" ht="16.5" spans="1:11">
      <c r="A390" s="22"/>
      <c r="B390" s="23"/>
      <c r="C390" s="24"/>
      <c r="D390" s="24"/>
      <c r="E390" s="24"/>
      <c r="F390" s="24"/>
      <c r="G390" s="24"/>
      <c r="H390" s="24"/>
      <c r="I390" s="24"/>
      <c r="J390" s="24"/>
      <c r="K390" s="25"/>
    </row>
    <row r="391" s="5" customFormat="1" ht="16.5" spans="1:11">
      <c r="A391" s="22"/>
      <c r="B391" s="23"/>
      <c r="C391" s="24"/>
      <c r="D391" s="24"/>
      <c r="E391" s="24"/>
      <c r="F391" s="24"/>
      <c r="G391" s="24"/>
      <c r="H391" s="24"/>
      <c r="I391" s="24"/>
      <c r="J391" s="24"/>
      <c r="K391" s="25"/>
    </row>
    <row r="392" s="5" customFormat="1" ht="16.5" spans="1:11">
      <c r="A392" s="22"/>
      <c r="B392" s="23"/>
      <c r="C392" s="24"/>
      <c r="D392" s="24"/>
      <c r="E392" s="24"/>
      <c r="F392" s="24"/>
      <c r="G392" s="24"/>
      <c r="H392" s="24"/>
      <c r="I392" s="24"/>
      <c r="J392" s="24"/>
      <c r="K392" s="25"/>
    </row>
    <row r="393" s="5" customFormat="1" ht="16.5" spans="1:11">
      <c r="A393" s="22"/>
      <c r="B393" s="23"/>
      <c r="C393" s="24"/>
      <c r="D393" s="24"/>
      <c r="E393" s="24"/>
      <c r="F393" s="24"/>
      <c r="G393" s="24"/>
      <c r="H393" s="24"/>
      <c r="I393" s="24"/>
      <c r="J393" s="24"/>
      <c r="K393" s="25"/>
    </row>
    <row r="394" s="5" customFormat="1" ht="16.5" spans="1:11">
      <c r="A394" s="22"/>
      <c r="B394" s="23"/>
      <c r="C394" s="24"/>
      <c r="D394" s="24"/>
      <c r="E394" s="24"/>
      <c r="F394" s="24"/>
      <c r="G394" s="24"/>
      <c r="H394" s="24"/>
      <c r="I394" s="24"/>
      <c r="J394" s="24"/>
      <c r="K394" s="25"/>
    </row>
    <row r="395" s="5" customFormat="1" ht="16.5" spans="1:11">
      <c r="A395" s="22"/>
      <c r="B395" s="23"/>
      <c r="C395" s="24"/>
      <c r="D395" s="24"/>
      <c r="E395" s="24"/>
      <c r="F395" s="24"/>
      <c r="G395" s="24"/>
      <c r="H395" s="24"/>
      <c r="I395" s="24"/>
      <c r="J395" s="24"/>
      <c r="K395" s="25"/>
    </row>
    <row r="396" s="5" customFormat="1" ht="16.5" spans="1:11">
      <c r="A396" s="22"/>
      <c r="B396" s="23"/>
      <c r="C396" s="24"/>
      <c r="D396" s="24"/>
      <c r="E396" s="24"/>
      <c r="F396" s="24"/>
      <c r="G396" s="24"/>
      <c r="H396" s="24"/>
      <c r="I396" s="24"/>
      <c r="J396" s="24"/>
      <c r="K396" s="25"/>
    </row>
    <row r="397" s="5" customFormat="1" ht="16.5" spans="1:11">
      <c r="A397" s="22"/>
      <c r="B397" s="23"/>
      <c r="C397" s="24"/>
      <c r="D397" s="24"/>
      <c r="E397" s="24"/>
      <c r="F397" s="24"/>
      <c r="G397" s="24"/>
      <c r="H397" s="24"/>
      <c r="I397" s="24"/>
      <c r="J397" s="24"/>
      <c r="K397" s="25"/>
    </row>
    <row r="398" s="5" customFormat="1" ht="16.5" spans="1:11">
      <c r="A398" s="22"/>
      <c r="B398" s="23"/>
      <c r="C398" s="24"/>
      <c r="D398" s="24"/>
      <c r="E398" s="24"/>
      <c r="F398" s="24"/>
      <c r="G398" s="24"/>
      <c r="H398" s="24"/>
      <c r="I398" s="24"/>
      <c r="J398" s="24"/>
      <c r="K398" s="25"/>
    </row>
    <row r="399" s="5" customFormat="1" ht="16.5" spans="1:11">
      <c r="A399" s="22"/>
      <c r="B399" s="23"/>
      <c r="C399" s="24"/>
      <c r="D399" s="24"/>
      <c r="E399" s="24"/>
      <c r="F399" s="24"/>
      <c r="G399" s="24"/>
      <c r="H399" s="24"/>
      <c r="I399" s="24"/>
      <c r="J399" s="24"/>
      <c r="K399" s="25"/>
    </row>
    <row r="400" s="5" customFormat="1" ht="16.5" spans="1:11">
      <c r="A400" s="22"/>
      <c r="B400" s="23"/>
      <c r="C400" s="24"/>
      <c r="D400" s="24"/>
      <c r="E400" s="24"/>
      <c r="F400" s="24"/>
      <c r="G400" s="24"/>
      <c r="H400" s="24"/>
      <c r="I400" s="24"/>
      <c r="J400" s="24"/>
      <c r="K400" s="25"/>
    </row>
    <row r="401" s="5" customFormat="1" ht="16.5" spans="1:11">
      <c r="A401" s="22"/>
      <c r="B401" s="23"/>
      <c r="C401" s="24"/>
      <c r="D401" s="24"/>
      <c r="E401" s="24"/>
      <c r="F401" s="24"/>
      <c r="G401" s="24"/>
      <c r="H401" s="24"/>
      <c r="I401" s="24"/>
      <c r="J401" s="24"/>
      <c r="K401" s="25"/>
    </row>
    <row r="402" s="5" customFormat="1" ht="16.5" spans="1:11">
      <c r="A402" s="22"/>
      <c r="B402" s="23"/>
      <c r="C402" s="24"/>
      <c r="D402" s="24"/>
      <c r="E402" s="24"/>
      <c r="F402" s="24"/>
      <c r="G402" s="24"/>
      <c r="H402" s="24"/>
      <c r="I402" s="24"/>
      <c r="J402" s="24"/>
      <c r="K402" s="25"/>
    </row>
    <row r="403" s="5" customFormat="1" ht="16.5" spans="1:11">
      <c r="A403" s="22"/>
      <c r="B403" s="23"/>
      <c r="C403" s="24"/>
      <c r="D403" s="24"/>
      <c r="E403" s="24"/>
      <c r="F403" s="24"/>
      <c r="G403" s="24"/>
      <c r="H403" s="24"/>
      <c r="I403" s="24"/>
      <c r="J403" s="24"/>
      <c r="K403" s="25"/>
    </row>
    <row r="404" s="5" customFormat="1" ht="16.5" spans="1:11">
      <c r="A404" s="22"/>
      <c r="B404" s="23"/>
      <c r="C404" s="24"/>
      <c r="D404" s="24"/>
      <c r="E404" s="24"/>
      <c r="F404" s="24"/>
      <c r="G404" s="24"/>
      <c r="H404" s="24"/>
      <c r="I404" s="24"/>
      <c r="J404" s="24"/>
      <c r="K404" s="25"/>
    </row>
    <row r="405" s="5" customFormat="1" ht="16.5" spans="1:11">
      <c r="A405" s="22"/>
      <c r="B405" s="23"/>
      <c r="C405" s="24"/>
      <c r="D405" s="24"/>
      <c r="E405" s="24"/>
      <c r="F405" s="24"/>
      <c r="G405" s="24"/>
      <c r="H405" s="24"/>
      <c r="I405" s="24"/>
      <c r="J405" s="24"/>
      <c r="K405" s="25"/>
    </row>
    <row r="406" s="5" customFormat="1" ht="16.5" spans="1:11">
      <c r="A406" s="22"/>
      <c r="B406" s="23"/>
      <c r="C406" s="24"/>
      <c r="D406" s="24"/>
      <c r="E406" s="24"/>
      <c r="F406" s="24"/>
      <c r="G406" s="24"/>
      <c r="H406" s="24"/>
      <c r="I406" s="24"/>
      <c r="J406" s="24"/>
      <c r="K406" s="25"/>
    </row>
    <row r="407" s="5" customFormat="1" ht="16.5" spans="1:11">
      <c r="A407" s="22"/>
      <c r="B407" s="23"/>
      <c r="C407" s="24"/>
      <c r="D407" s="24"/>
      <c r="E407" s="24"/>
      <c r="F407" s="24"/>
      <c r="G407" s="24"/>
      <c r="H407" s="24"/>
      <c r="I407" s="24"/>
      <c r="J407" s="24"/>
      <c r="K407" s="25"/>
    </row>
    <row r="408" s="5" customFormat="1" ht="16.5" spans="1:11">
      <c r="A408" s="22"/>
      <c r="B408" s="23"/>
      <c r="C408" s="24"/>
      <c r="D408" s="24"/>
      <c r="E408" s="24"/>
      <c r="F408" s="24"/>
      <c r="G408" s="24"/>
      <c r="H408" s="24"/>
      <c r="I408" s="24"/>
      <c r="J408" s="24"/>
      <c r="K408" s="25"/>
    </row>
    <row r="409" s="5" customFormat="1" ht="16.5" spans="1:11">
      <c r="A409" s="22"/>
      <c r="B409" s="23"/>
      <c r="C409" s="24"/>
      <c r="D409" s="24"/>
      <c r="E409" s="24"/>
      <c r="F409" s="24"/>
      <c r="G409" s="24"/>
      <c r="H409" s="24"/>
      <c r="I409" s="24"/>
      <c r="J409" s="24"/>
      <c r="K409" s="25"/>
    </row>
    <row r="410" s="5" customFormat="1" ht="16.5" spans="1:11">
      <c r="A410" s="22"/>
      <c r="B410" s="23"/>
      <c r="C410" s="24"/>
      <c r="D410" s="24"/>
      <c r="E410" s="24"/>
      <c r="F410" s="24"/>
      <c r="G410" s="24"/>
      <c r="H410" s="24"/>
      <c r="I410" s="24"/>
      <c r="J410" s="24"/>
      <c r="K410" s="25"/>
    </row>
    <row r="411" s="5" customFormat="1" ht="16.5" spans="1:11">
      <c r="A411" s="22"/>
      <c r="B411" s="23"/>
      <c r="C411" s="24"/>
      <c r="D411" s="24"/>
      <c r="E411" s="24"/>
      <c r="F411" s="24"/>
      <c r="G411" s="24"/>
      <c r="H411" s="24"/>
      <c r="I411" s="24"/>
      <c r="J411" s="24"/>
      <c r="K411" s="25"/>
    </row>
    <row r="412" s="5" customFormat="1" ht="16.5" spans="1:11">
      <c r="A412" s="22"/>
      <c r="B412" s="23"/>
      <c r="C412" s="24"/>
      <c r="D412" s="24"/>
      <c r="E412" s="24"/>
      <c r="F412" s="24"/>
      <c r="G412" s="24"/>
      <c r="H412" s="24"/>
      <c r="I412" s="24"/>
      <c r="J412" s="24"/>
      <c r="K412" s="25"/>
    </row>
    <row r="413" s="5" customFormat="1" ht="16.5" spans="1:11">
      <c r="A413" s="22"/>
      <c r="B413" s="23"/>
      <c r="C413" s="24"/>
      <c r="D413" s="24"/>
      <c r="E413" s="24"/>
      <c r="F413" s="24"/>
      <c r="G413" s="24"/>
      <c r="H413" s="24"/>
      <c r="I413" s="24"/>
      <c r="J413" s="24"/>
      <c r="K413" s="25"/>
    </row>
    <row r="414" s="5" customFormat="1" ht="16.5" spans="1:11">
      <c r="A414" s="22"/>
      <c r="B414" s="23"/>
      <c r="C414" s="24"/>
      <c r="D414" s="24"/>
      <c r="E414" s="24"/>
      <c r="F414" s="24"/>
      <c r="G414" s="24"/>
      <c r="H414" s="24"/>
      <c r="I414" s="24"/>
      <c r="J414" s="24"/>
      <c r="K414" s="25"/>
    </row>
    <row r="415" s="5" customFormat="1" ht="16.5" spans="1:11">
      <c r="A415" s="22"/>
      <c r="B415" s="23"/>
      <c r="C415" s="24"/>
      <c r="D415" s="24"/>
      <c r="E415" s="24"/>
      <c r="F415" s="24"/>
      <c r="G415" s="24"/>
      <c r="H415" s="24"/>
      <c r="I415" s="24"/>
      <c r="J415" s="24"/>
      <c r="K415" s="25"/>
    </row>
    <row r="416" s="5" customFormat="1" ht="16.5" spans="1:11">
      <c r="A416" s="22"/>
      <c r="B416" s="23"/>
      <c r="C416" s="24"/>
      <c r="D416" s="24"/>
      <c r="E416" s="24"/>
      <c r="F416" s="24"/>
      <c r="G416" s="24"/>
      <c r="H416" s="24"/>
      <c r="I416" s="24"/>
      <c r="J416" s="24"/>
      <c r="K416" s="25"/>
    </row>
    <row r="417" s="5" customFormat="1" ht="16.5" spans="1:11">
      <c r="A417" s="22"/>
      <c r="B417" s="23"/>
      <c r="C417" s="24"/>
      <c r="D417" s="24"/>
      <c r="E417" s="24"/>
      <c r="F417" s="24"/>
      <c r="G417" s="24"/>
      <c r="H417" s="24"/>
      <c r="I417" s="24"/>
      <c r="J417" s="24"/>
      <c r="K417" s="25"/>
    </row>
    <row r="418" s="5" customFormat="1" ht="16.5" spans="1:11">
      <c r="A418" s="22"/>
      <c r="B418" s="23"/>
      <c r="C418" s="24"/>
      <c r="D418" s="24"/>
      <c r="E418" s="24"/>
      <c r="F418" s="24"/>
      <c r="G418" s="24"/>
      <c r="H418" s="24"/>
      <c r="I418" s="24"/>
      <c r="J418" s="24"/>
      <c r="K418" s="25"/>
    </row>
    <row r="419" s="5" customFormat="1" ht="16.5" spans="1:11">
      <c r="A419" s="22"/>
      <c r="B419" s="23"/>
      <c r="C419" s="24"/>
      <c r="D419" s="24"/>
      <c r="E419" s="24"/>
      <c r="F419" s="24"/>
      <c r="G419" s="24"/>
      <c r="H419" s="24"/>
      <c r="I419" s="24"/>
      <c r="J419" s="24"/>
      <c r="K419" s="25"/>
    </row>
    <row r="420" s="5" customFormat="1" ht="16.5" spans="1:11">
      <c r="A420" s="22"/>
      <c r="B420" s="23"/>
      <c r="C420" s="24"/>
      <c r="D420" s="24"/>
      <c r="E420" s="24"/>
      <c r="F420" s="24"/>
      <c r="G420" s="24"/>
      <c r="H420" s="24"/>
      <c r="I420" s="24"/>
      <c r="J420" s="24"/>
      <c r="K420" s="25"/>
    </row>
    <row r="421" s="5" customFormat="1" ht="16.5" spans="1:11">
      <c r="A421" s="22"/>
      <c r="B421" s="23"/>
      <c r="C421" s="24"/>
      <c r="D421" s="24"/>
      <c r="E421" s="24"/>
      <c r="F421" s="24"/>
      <c r="G421" s="24"/>
      <c r="H421" s="24"/>
      <c r="I421" s="24"/>
      <c r="J421" s="24"/>
      <c r="K421" s="25"/>
    </row>
    <row r="422" s="5" customFormat="1" ht="16.5" spans="1:11">
      <c r="A422" s="22"/>
      <c r="B422" s="23"/>
      <c r="C422" s="24"/>
      <c r="D422" s="24"/>
      <c r="E422" s="24"/>
      <c r="F422" s="24"/>
      <c r="G422" s="24"/>
      <c r="H422" s="24"/>
      <c r="I422" s="24"/>
      <c r="J422" s="24"/>
      <c r="K422" s="25"/>
    </row>
    <row r="423" s="5" customFormat="1" ht="16.5" spans="1:11">
      <c r="A423" s="22"/>
      <c r="B423" s="23"/>
      <c r="C423" s="24"/>
      <c r="D423" s="24"/>
      <c r="E423" s="24"/>
      <c r="F423" s="24"/>
      <c r="G423" s="24"/>
      <c r="H423" s="24"/>
      <c r="I423" s="24"/>
      <c r="J423" s="24"/>
      <c r="K423" s="25"/>
    </row>
    <row r="424" s="5" customFormat="1" ht="16.5" spans="1:11">
      <c r="A424" s="22"/>
      <c r="B424" s="23"/>
      <c r="C424" s="24"/>
      <c r="D424" s="24"/>
      <c r="E424" s="24"/>
      <c r="F424" s="24"/>
      <c r="G424" s="24"/>
      <c r="H424" s="24"/>
      <c r="I424" s="24"/>
      <c r="J424" s="24"/>
      <c r="K424" s="25"/>
    </row>
    <row r="425" s="5" customFormat="1" ht="16.5" spans="1:11">
      <c r="A425" s="22"/>
      <c r="B425" s="23"/>
      <c r="C425" s="24"/>
      <c r="D425" s="24"/>
      <c r="E425" s="24"/>
      <c r="F425" s="24"/>
      <c r="G425" s="24"/>
      <c r="H425" s="24"/>
      <c r="I425" s="24"/>
      <c r="J425" s="24"/>
      <c r="K425" s="25"/>
    </row>
    <row r="426" s="5" customFormat="1" ht="16.5" spans="1:11">
      <c r="A426" s="22"/>
      <c r="B426" s="23"/>
      <c r="C426" s="24"/>
      <c r="D426" s="24"/>
      <c r="E426" s="24"/>
      <c r="F426" s="24"/>
      <c r="G426" s="24"/>
      <c r="H426" s="24"/>
      <c r="I426" s="24"/>
      <c r="J426" s="24"/>
      <c r="K426" s="25"/>
    </row>
    <row r="427" s="5" customFormat="1" ht="16.5" spans="1:11">
      <c r="A427" s="22"/>
      <c r="B427" s="23"/>
      <c r="C427" s="24"/>
      <c r="D427" s="24"/>
      <c r="E427" s="24"/>
      <c r="F427" s="24"/>
      <c r="G427" s="24"/>
      <c r="H427" s="24"/>
      <c r="I427" s="24"/>
      <c r="J427" s="24"/>
      <c r="K427" s="25"/>
    </row>
    <row r="428" s="5" customFormat="1" ht="16.5" spans="1:11">
      <c r="A428" s="22"/>
      <c r="B428" s="23"/>
      <c r="C428" s="24"/>
      <c r="D428" s="24"/>
      <c r="E428" s="24"/>
      <c r="F428" s="24"/>
      <c r="G428" s="24"/>
      <c r="H428" s="24"/>
      <c r="I428" s="24"/>
      <c r="J428" s="24"/>
      <c r="K428" s="25"/>
    </row>
    <row r="429" s="5" customFormat="1" ht="16.5" spans="1:11">
      <c r="A429" s="22"/>
      <c r="B429" s="23"/>
      <c r="C429" s="24"/>
      <c r="D429" s="24"/>
      <c r="E429" s="24"/>
      <c r="F429" s="24"/>
      <c r="G429" s="24"/>
      <c r="H429" s="24"/>
      <c r="I429" s="24"/>
      <c r="J429" s="24"/>
      <c r="K429" s="25"/>
    </row>
    <row r="430" s="5" customFormat="1" ht="16.5" spans="1:11">
      <c r="A430" s="22"/>
      <c r="B430" s="23"/>
      <c r="C430" s="24"/>
      <c r="D430" s="24"/>
      <c r="E430" s="24"/>
      <c r="F430" s="24"/>
      <c r="G430" s="24"/>
      <c r="H430" s="24"/>
      <c r="I430" s="24"/>
      <c r="J430" s="24"/>
      <c r="K430" s="25"/>
    </row>
    <row r="431" s="5" customFormat="1" ht="16.5" spans="1:11">
      <c r="A431" s="22"/>
      <c r="B431" s="23"/>
      <c r="C431" s="24"/>
      <c r="D431" s="24"/>
      <c r="E431" s="24"/>
      <c r="F431" s="24"/>
      <c r="G431" s="24"/>
      <c r="H431" s="24"/>
      <c r="I431" s="24"/>
      <c r="J431" s="24"/>
      <c r="K431" s="25"/>
    </row>
    <row r="432" s="5" customFormat="1" ht="16.5" spans="1:11">
      <c r="A432" s="22"/>
      <c r="B432" s="23"/>
      <c r="C432" s="24"/>
      <c r="D432" s="24"/>
      <c r="E432" s="24"/>
      <c r="F432" s="24"/>
      <c r="G432" s="24"/>
      <c r="H432" s="24"/>
      <c r="I432" s="24"/>
      <c r="J432" s="24"/>
      <c r="K432" s="25"/>
    </row>
    <row r="433" s="5" customFormat="1" ht="16.5" spans="1:11">
      <c r="A433" s="22"/>
      <c r="B433" s="23"/>
      <c r="C433" s="24"/>
      <c r="D433" s="24"/>
      <c r="E433" s="24"/>
      <c r="F433" s="24"/>
      <c r="G433" s="24"/>
      <c r="H433" s="24"/>
      <c r="I433" s="24"/>
      <c r="J433" s="24"/>
      <c r="K433" s="25"/>
    </row>
    <row r="434" s="5" customFormat="1" ht="16.5" spans="1:11">
      <c r="A434" s="22"/>
      <c r="B434" s="23"/>
      <c r="C434" s="24"/>
      <c r="D434" s="24"/>
      <c r="E434" s="24"/>
      <c r="F434" s="24"/>
      <c r="G434" s="24"/>
      <c r="H434" s="24"/>
      <c r="I434" s="24"/>
      <c r="J434" s="24"/>
      <c r="K434" s="25"/>
    </row>
    <row r="435" s="5" customFormat="1" ht="16.5" spans="1:11">
      <c r="A435" s="22"/>
      <c r="B435" s="23"/>
      <c r="C435" s="24"/>
      <c r="D435" s="24"/>
      <c r="E435" s="24"/>
      <c r="F435" s="24"/>
      <c r="G435" s="24"/>
      <c r="H435" s="24"/>
      <c r="I435" s="24"/>
      <c r="J435" s="24"/>
      <c r="K435" s="25"/>
    </row>
    <row r="436" s="5" customFormat="1" ht="16.5" spans="1:11">
      <c r="A436" s="22"/>
      <c r="B436" s="23"/>
      <c r="C436" s="24"/>
      <c r="D436" s="24"/>
      <c r="E436" s="24"/>
      <c r="F436" s="24"/>
      <c r="G436" s="24"/>
      <c r="H436" s="24"/>
      <c r="I436" s="24"/>
      <c r="J436" s="24"/>
      <c r="K436" s="25"/>
    </row>
    <row r="437" s="5" customFormat="1" ht="16.5" spans="1:11">
      <c r="A437" s="22"/>
      <c r="B437" s="23"/>
      <c r="C437" s="24"/>
      <c r="D437" s="24"/>
      <c r="E437" s="24"/>
      <c r="F437" s="24"/>
      <c r="G437" s="24"/>
      <c r="H437" s="24"/>
      <c r="I437" s="24"/>
      <c r="J437" s="24"/>
      <c r="K437" s="25"/>
    </row>
    <row r="438" s="5" customFormat="1" ht="16.5" spans="1:11">
      <c r="A438" s="22"/>
      <c r="B438" s="23"/>
      <c r="C438" s="24"/>
      <c r="D438" s="24"/>
      <c r="E438" s="24"/>
      <c r="F438" s="24"/>
      <c r="G438" s="24"/>
      <c r="H438" s="24"/>
      <c r="I438" s="24"/>
      <c r="J438" s="24"/>
      <c r="K438" s="25"/>
    </row>
    <row r="439" s="5" customFormat="1" ht="16.5" spans="1:11">
      <c r="A439" s="22"/>
      <c r="B439" s="23"/>
      <c r="C439" s="24"/>
      <c r="D439" s="24"/>
      <c r="E439" s="24"/>
      <c r="F439" s="24"/>
      <c r="G439" s="24"/>
      <c r="H439" s="24"/>
      <c r="I439" s="24"/>
      <c r="J439" s="24"/>
      <c r="K439" s="25"/>
    </row>
    <row r="440" s="5" customFormat="1" ht="16.5" spans="1:11">
      <c r="A440" s="22"/>
      <c r="B440" s="23"/>
      <c r="C440" s="24"/>
      <c r="D440" s="24"/>
      <c r="E440" s="24"/>
      <c r="F440" s="24"/>
      <c r="G440" s="24"/>
      <c r="H440" s="24"/>
      <c r="I440" s="24"/>
      <c r="J440" s="24"/>
      <c r="K440" s="25"/>
    </row>
    <row r="441" s="5" customFormat="1" ht="16.5" spans="1:11">
      <c r="A441" s="22"/>
      <c r="B441" s="23"/>
      <c r="C441" s="24"/>
      <c r="D441" s="24"/>
      <c r="E441" s="24"/>
      <c r="F441" s="24"/>
      <c r="G441" s="24"/>
      <c r="H441" s="24"/>
      <c r="I441" s="24"/>
      <c r="J441" s="24"/>
      <c r="K441" s="25"/>
    </row>
    <row r="442" s="5" customFormat="1" ht="16.5" spans="1:11">
      <c r="A442" s="22"/>
      <c r="B442" s="23"/>
      <c r="C442" s="24"/>
      <c r="D442" s="24"/>
      <c r="E442" s="24"/>
      <c r="F442" s="24"/>
      <c r="G442" s="24"/>
      <c r="H442" s="24"/>
      <c r="I442" s="24"/>
      <c r="J442" s="24"/>
      <c r="K442" s="25"/>
    </row>
    <row r="443" s="5" customFormat="1" ht="16.5" spans="1:11">
      <c r="A443" s="22"/>
      <c r="B443" s="23"/>
      <c r="C443" s="24"/>
      <c r="D443" s="24"/>
      <c r="E443" s="24"/>
      <c r="F443" s="24"/>
      <c r="G443" s="24"/>
      <c r="H443" s="24"/>
      <c r="I443" s="24"/>
      <c r="J443" s="24"/>
      <c r="K443" s="25"/>
    </row>
    <row r="444" s="5" customFormat="1" ht="16.5" spans="1:11">
      <c r="A444" s="22"/>
      <c r="B444" s="23"/>
      <c r="C444" s="24"/>
      <c r="D444" s="24"/>
      <c r="E444" s="24"/>
      <c r="F444" s="24"/>
      <c r="G444" s="24"/>
      <c r="H444" s="24"/>
      <c r="I444" s="24"/>
      <c r="J444" s="24"/>
      <c r="K444" s="25"/>
    </row>
    <row r="445" s="5" customFormat="1" ht="16.5" spans="1:11">
      <c r="A445" s="22"/>
      <c r="B445" s="23"/>
      <c r="C445" s="24"/>
      <c r="D445" s="24"/>
      <c r="E445" s="24"/>
      <c r="F445" s="24"/>
      <c r="G445" s="24"/>
      <c r="H445" s="24"/>
      <c r="I445" s="24"/>
      <c r="J445" s="24"/>
      <c r="K445" s="25"/>
    </row>
    <row r="446" s="5" customFormat="1" ht="16.5" spans="1:11">
      <c r="A446" s="22"/>
      <c r="B446" s="23"/>
      <c r="C446" s="24"/>
      <c r="D446" s="24"/>
      <c r="E446" s="24"/>
      <c r="F446" s="24"/>
      <c r="G446" s="24"/>
      <c r="H446" s="24"/>
      <c r="I446" s="24"/>
      <c r="J446" s="24"/>
      <c r="K446" s="25"/>
    </row>
    <row r="447" s="5" customFormat="1" ht="16.5" spans="1:11">
      <c r="A447" s="22"/>
      <c r="B447" s="23"/>
      <c r="C447" s="24"/>
      <c r="D447" s="24"/>
      <c r="E447" s="24"/>
      <c r="F447" s="24"/>
      <c r="G447" s="24"/>
      <c r="H447" s="24"/>
      <c r="I447" s="24"/>
      <c r="J447" s="24"/>
      <c r="K447" s="25"/>
    </row>
    <row r="448" s="5" customFormat="1" ht="16.5" spans="1:11">
      <c r="A448" s="22"/>
      <c r="B448" s="23"/>
      <c r="C448" s="24"/>
      <c r="D448" s="24"/>
      <c r="E448" s="24"/>
      <c r="F448" s="24"/>
      <c r="G448" s="24"/>
      <c r="H448" s="24"/>
      <c r="I448" s="24"/>
      <c r="J448" s="24"/>
      <c r="K448" s="25"/>
    </row>
    <row r="449" s="5" customFormat="1" ht="16.5" spans="1:11">
      <c r="A449" s="22"/>
      <c r="B449" s="23"/>
      <c r="C449" s="24"/>
      <c r="D449" s="24"/>
      <c r="E449" s="24"/>
      <c r="F449" s="24"/>
      <c r="G449" s="24"/>
      <c r="H449" s="24"/>
      <c r="I449" s="24"/>
      <c r="J449" s="24"/>
      <c r="K449" s="25"/>
    </row>
    <row r="450" s="5" customFormat="1" ht="16.5" spans="1:11">
      <c r="A450" s="22"/>
      <c r="B450" s="23"/>
      <c r="C450" s="24"/>
      <c r="D450" s="24"/>
      <c r="E450" s="24"/>
      <c r="F450" s="24"/>
      <c r="G450" s="24"/>
      <c r="H450" s="24"/>
      <c r="I450" s="24"/>
      <c r="J450" s="24"/>
      <c r="K450" s="25"/>
    </row>
    <row r="451" s="5" customFormat="1" ht="16.5" spans="1:11">
      <c r="A451" s="22"/>
      <c r="B451" s="23"/>
      <c r="C451" s="24"/>
      <c r="D451" s="24"/>
      <c r="E451" s="24"/>
      <c r="F451" s="24"/>
      <c r="G451" s="24"/>
      <c r="H451" s="24"/>
      <c r="I451" s="24"/>
      <c r="J451" s="24"/>
      <c r="K451" s="25"/>
    </row>
    <row r="452" s="5" customFormat="1" ht="16.5" spans="1:11">
      <c r="A452" s="22"/>
      <c r="B452" s="23"/>
      <c r="C452" s="24"/>
      <c r="D452" s="24"/>
      <c r="E452" s="24"/>
      <c r="F452" s="24"/>
      <c r="G452" s="24"/>
      <c r="H452" s="24"/>
      <c r="I452" s="24"/>
      <c r="J452" s="24"/>
      <c r="K452" s="25"/>
    </row>
    <row r="453" s="5" customFormat="1" ht="16.5" spans="1:11">
      <c r="A453" s="22"/>
      <c r="B453" s="23"/>
      <c r="C453" s="24"/>
      <c r="D453" s="24"/>
      <c r="E453" s="24"/>
      <c r="F453" s="24"/>
      <c r="G453" s="24"/>
      <c r="H453" s="24"/>
      <c r="I453" s="24"/>
      <c r="J453" s="24"/>
      <c r="K453" s="25"/>
    </row>
    <row r="454" s="5" customFormat="1" ht="16.5" spans="1:11">
      <c r="A454" s="22"/>
      <c r="B454" s="23"/>
      <c r="C454" s="24"/>
      <c r="D454" s="24"/>
      <c r="E454" s="24"/>
      <c r="F454" s="24"/>
      <c r="G454" s="24"/>
      <c r="H454" s="24"/>
      <c r="I454" s="24"/>
      <c r="J454" s="24"/>
      <c r="K454" s="25"/>
    </row>
    <row r="455" s="5" customFormat="1" ht="16.5" spans="1:11">
      <c r="A455" s="22"/>
      <c r="B455" s="23"/>
      <c r="C455" s="24"/>
      <c r="D455" s="24"/>
      <c r="E455" s="24"/>
      <c r="F455" s="24"/>
      <c r="G455" s="24"/>
      <c r="H455" s="24"/>
      <c r="I455" s="24"/>
      <c r="J455" s="24"/>
      <c r="K455" s="25"/>
    </row>
    <row r="456" s="5" customFormat="1" ht="16.5" spans="1:11">
      <c r="A456" s="22"/>
      <c r="B456" s="23"/>
      <c r="C456" s="24"/>
      <c r="D456" s="24"/>
      <c r="E456" s="24"/>
      <c r="F456" s="24"/>
      <c r="G456" s="24"/>
      <c r="H456" s="24"/>
      <c r="I456" s="24"/>
      <c r="J456" s="24"/>
      <c r="K456" s="25"/>
    </row>
    <row r="457" s="5" customFormat="1" ht="16.5" spans="1:11">
      <c r="A457" s="22"/>
      <c r="B457" s="23"/>
      <c r="C457" s="24"/>
      <c r="D457" s="24"/>
      <c r="E457" s="24"/>
      <c r="F457" s="24"/>
      <c r="G457" s="24"/>
      <c r="H457" s="24"/>
      <c r="I457" s="24"/>
      <c r="J457" s="24"/>
      <c r="K457" s="25"/>
    </row>
    <row r="458" s="5" customFormat="1" ht="16.5" spans="1:11">
      <c r="A458" s="22"/>
      <c r="B458" s="23"/>
      <c r="C458" s="24"/>
      <c r="D458" s="24"/>
      <c r="E458" s="24"/>
      <c r="F458" s="24"/>
      <c r="G458" s="24"/>
      <c r="H458" s="24"/>
      <c r="I458" s="24"/>
      <c r="J458" s="24"/>
      <c r="K458" s="25"/>
    </row>
    <row r="459" s="5" customFormat="1" ht="16.5" spans="1:11">
      <c r="A459" s="22"/>
      <c r="B459" s="23"/>
      <c r="C459" s="24"/>
      <c r="D459" s="24"/>
      <c r="E459" s="24"/>
      <c r="F459" s="24"/>
      <c r="G459" s="24"/>
      <c r="H459" s="24"/>
      <c r="I459" s="24"/>
      <c r="J459" s="24"/>
      <c r="K459" s="25"/>
    </row>
    <row r="460" s="5" customFormat="1" ht="16.5" spans="1:11">
      <c r="A460" s="22"/>
      <c r="B460" s="23"/>
      <c r="C460" s="24"/>
      <c r="D460" s="24"/>
      <c r="E460" s="24"/>
      <c r="F460" s="24"/>
      <c r="G460" s="24"/>
      <c r="H460" s="24"/>
      <c r="I460" s="24"/>
      <c r="J460" s="24"/>
      <c r="K460" s="25"/>
    </row>
    <row r="461" s="5" customFormat="1" ht="16.5" spans="1:11">
      <c r="A461" s="22"/>
      <c r="B461" s="23"/>
      <c r="C461" s="24"/>
      <c r="D461" s="24"/>
      <c r="E461" s="24"/>
      <c r="F461" s="24"/>
      <c r="G461" s="24"/>
      <c r="H461" s="24"/>
      <c r="I461" s="24"/>
      <c r="J461" s="24"/>
      <c r="K461" s="25"/>
    </row>
    <row r="462" s="5" customFormat="1" ht="16.5" spans="1:11">
      <c r="A462" s="22"/>
      <c r="B462" s="23"/>
      <c r="C462" s="24"/>
      <c r="D462" s="24"/>
      <c r="E462" s="24"/>
      <c r="F462" s="24"/>
      <c r="G462" s="24"/>
      <c r="H462" s="24"/>
      <c r="I462" s="24"/>
      <c r="J462" s="24"/>
      <c r="K462" s="25"/>
    </row>
    <row r="463" s="5" customFormat="1" ht="16.5" spans="1:11">
      <c r="A463" s="22"/>
      <c r="B463" s="23"/>
      <c r="C463" s="24"/>
      <c r="D463" s="24"/>
      <c r="E463" s="24"/>
      <c r="F463" s="24"/>
      <c r="G463" s="24"/>
      <c r="H463" s="24"/>
      <c r="I463" s="24"/>
      <c r="J463" s="24"/>
      <c r="K463" s="25"/>
    </row>
    <row r="464" s="5" customFormat="1" ht="16.5" spans="1:11">
      <c r="A464" s="22"/>
      <c r="B464" s="23"/>
      <c r="C464" s="24"/>
      <c r="D464" s="24"/>
      <c r="E464" s="24"/>
      <c r="F464" s="24"/>
      <c r="G464" s="24"/>
      <c r="H464" s="24"/>
      <c r="I464" s="24"/>
      <c r="J464" s="24"/>
      <c r="K464" s="25"/>
    </row>
    <row r="465" s="5" customFormat="1" ht="16.5" spans="1:11">
      <c r="A465" s="22"/>
      <c r="B465" s="23"/>
      <c r="C465" s="24"/>
      <c r="D465" s="24"/>
      <c r="E465" s="24"/>
      <c r="F465" s="24"/>
      <c r="G465" s="24"/>
      <c r="H465" s="24"/>
      <c r="I465" s="24"/>
      <c r="J465" s="24"/>
      <c r="K465" s="25"/>
    </row>
    <row r="466" s="5" customFormat="1" ht="16.5" spans="1:11">
      <c r="A466" s="22"/>
      <c r="B466" s="23"/>
      <c r="C466" s="24"/>
      <c r="D466" s="24"/>
      <c r="E466" s="24"/>
      <c r="F466" s="24"/>
      <c r="G466" s="24"/>
      <c r="H466" s="24"/>
      <c r="I466" s="24"/>
      <c r="J466" s="24"/>
      <c r="K466" s="25"/>
    </row>
    <row r="467" s="5" customFormat="1" ht="16.5" spans="1:11">
      <c r="A467" s="22"/>
      <c r="B467" s="23"/>
      <c r="C467" s="24"/>
      <c r="D467" s="24"/>
      <c r="E467" s="24"/>
      <c r="F467" s="24"/>
      <c r="G467" s="24"/>
      <c r="H467" s="24"/>
      <c r="I467" s="24"/>
      <c r="J467" s="24"/>
      <c r="K467" s="25"/>
    </row>
    <row r="468" s="5" customFormat="1" ht="16.5" spans="1:11">
      <c r="A468" s="22"/>
      <c r="B468" s="23"/>
      <c r="C468" s="24"/>
      <c r="D468" s="24"/>
      <c r="E468" s="24"/>
      <c r="F468" s="24"/>
      <c r="G468" s="24"/>
      <c r="H468" s="24"/>
      <c r="I468" s="24"/>
      <c r="J468" s="24"/>
      <c r="K468" s="25"/>
    </row>
    <row r="469" s="5" customFormat="1" ht="16.5" spans="1:11">
      <c r="A469" s="22"/>
      <c r="B469" s="23"/>
      <c r="C469" s="24"/>
      <c r="D469" s="24"/>
      <c r="E469" s="24"/>
      <c r="F469" s="24"/>
      <c r="G469" s="24"/>
      <c r="H469" s="24"/>
      <c r="I469" s="24"/>
      <c r="J469" s="24"/>
      <c r="K469" s="25"/>
    </row>
    <row r="470" s="5" customFormat="1" ht="16.5" spans="1:11">
      <c r="A470" s="22"/>
      <c r="B470" s="23"/>
      <c r="C470" s="24"/>
      <c r="D470" s="24"/>
      <c r="E470" s="24"/>
      <c r="F470" s="24"/>
      <c r="G470" s="24"/>
      <c r="H470" s="24"/>
      <c r="I470" s="24"/>
      <c r="J470" s="24"/>
      <c r="K470" s="25"/>
    </row>
    <row r="471" s="5" customFormat="1" ht="16.5" spans="1:11">
      <c r="A471" s="22"/>
      <c r="B471" s="23"/>
      <c r="C471" s="24"/>
      <c r="D471" s="24"/>
      <c r="E471" s="24"/>
      <c r="F471" s="24"/>
      <c r="G471" s="24"/>
      <c r="H471" s="24"/>
      <c r="I471" s="24"/>
      <c r="J471" s="24"/>
      <c r="K471" s="25"/>
    </row>
    <row r="472" s="5" customFormat="1" ht="16.5" spans="1:11">
      <c r="A472" s="22"/>
      <c r="B472" s="23"/>
      <c r="C472" s="24"/>
      <c r="D472" s="24"/>
      <c r="E472" s="24"/>
      <c r="F472" s="24"/>
      <c r="G472" s="24"/>
      <c r="H472" s="24"/>
      <c r="I472" s="24"/>
      <c r="J472" s="24"/>
      <c r="K472" s="25"/>
    </row>
    <row r="473" s="5" customFormat="1" ht="16.5" spans="1:11">
      <c r="A473" s="22"/>
      <c r="B473" s="23"/>
      <c r="C473" s="24"/>
      <c r="D473" s="24"/>
      <c r="E473" s="24"/>
      <c r="F473" s="24"/>
      <c r="G473" s="24"/>
      <c r="H473" s="24"/>
      <c r="I473" s="24"/>
      <c r="J473" s="24"/>
      <c r="K473" s="25"/>
    </row>
    <row r="474" s="5" customFormat="1" ht="16.5" spans="1:11">
      <c r="A474" s="22"/>
      <c r="B474" s="23"/>
      <c r="C474" s="24"/>
      <c r="D474" s="24"/>
      <c r="E474" s="24"/>
      <c r="F474" s="24"/>
      <c r="G474" s="24"/>
      <c r="H474" s="24"/>
      <c r="I474" s="24"/>
      <c r="J474" s="24"/>
      <c r="K474" s="25"/>
    </row>
    <row r="475" s="5" customFormat="1" ht="16.5" spans="1:11">
      <c r="A475" s="22"/>
      <c r="B475" s="23"/>
      <c r="C475" s="24"/>
      <c r="D475" s="24"/>
      <c r="E475" s="24"/>
      <c r="F475" s="24"/>
      <c r="G475" s="24"/>
      <c r="H475" s="24"/>
      <c r="I475" s="24"/>
      <c r="J475" s="24"/>
      <c r="K475" s="25"/>
    </row>
    <row r="476" s="5" customFormat="1" ht="16.5" spans="1:11">
      <c r="A476" s="22"/>
      <c r="B476" s="23"/>
      <c r="C476" s="24"/>
      <c r="D476" s="24"/>
      <c r="E476" s="24"/>
      <c r="F476" s="24"/>
      <c r="G476" s="24"/>
      <c r="H476" s="24"/>
      <c r="I476" s="24"/>
      <c r="J476" s="24"/>
      <c r="K476" s="25"/>
    </row>
    <row r="477" s="5" customFormat="1" ht="16.5" spans="1:11">
      <c r="A477" s="22"/>
      <c r="B477" s="23"/>
      <c r="C477" s="24"/>
      <c r="D477" s="24"/>
      <c r="E477" s="24"/>
      <c r="F477" s="24"/>
      <c r="G477" s="24"/>
      <c r="H477" s="24"/>
      <c r="I477" s="24"/>
      <c r="J477" s="24"/>
      <c r="K477" s="25"/>
    </row>
    <row r="478" s="5" customFormat="1" ht="16.5" spans="1:11">
      <c r="A478" s="22"/>
      <c r="B478" s="23"/>
      <c r="C478" s="24"/>
      <c r="D478" s="24"/>
      <c r="E478" s="24"/>
      <c r="F478" s="24"/>
      <c r="G478" s="24"/>
      <c r="H478" s="24"/>
      <c r="I478" s="24"/>
      <c r="J478" s="24"/>
      <c r="K478" s="25"/>
    </row>
    <row r="479" s="5" customFormat="1" ht="16.5" spans="1:11">
      <c r="A479" s="22"/>
      <c r="B479" s="23"/>
      <c r="C479" s="24"/>
      <c r="D479" s="24"/>
      <c r="E479" s="24"/>
      <c r="F479" s="24"/>
      <c r="G479" s="24"/>
      <c r="H479" s="24"/>
      <c r="I479" s="24"/>
      <c r="J479" s="24"/>
      <c r="K479" s="25"/>
    </row>
    <row r="480" s="5" customFormat="1" ht="16.5" spans="1:11">
      <c r="A480" s="22"/>
      <c r="B480" s="23"/>
      <c r="C480" s="24"/>
      <c r="D480" s="24"/>
      <c r="E480" s="24"/>
      <c r="F480" s="24"/>
      <c r="G480" s="24"/>
      <c r="H480" s="24"/>
      <c r="I480" s="24"/>
      <c r="J480" s="24"/>
      <c r="K480" s="25"/>
    </row>
    <row r="481" s="5" customFormat="1" ht="16.5" spans="1:11">
      <c r="A481" s="22"/>
      <c r="B481" s="23"/>
      <c r="C481" s="24"/>
      <c r="D481" s="24"/>
      <c r="E481" s="24"/>
      <c r="F481" s="24"/>
      <c r="G481" s="24"/>
      <c r="H481" s="24"/>
      <c r="I481" s="24"/>
      <c r="J481" s="24"/>
      <c r="K481" s="25"/>
    </row>
    <row r="482" s="5" customFormat="1" ht="16.5" spans="1:11">
      <c r="A482" s="22"/>
      <c r="B482" s="23"/>
      <c r="C482" s="24"/>
      <c r="D482" s="24"/>
      <c r="E482" s="24"/>
      <c r="F482" s="24"/>
      <c r="G482" s="24"/>
      <c r="H482" s="24"/>
      <c r="I482" s="24"/>
      <c r="J482" s="24"/>
      <c r="K482" s="25"/>
    </row>
    <row r="483" s="5" customFormat="1" ht="16.5" spans="1:11">
      <c r="A483" s="22"/>
      <c r="B483" s="23"/>
      <c r="C483" s="24"/>
      <c r="D483" s="24"/>
      <c r="E483" s="24"/>
      <c r="F483" s="24"/>
      <c r="G483" s="24"/>
      <c r="H483" s="24"/>
      <c r="I483" s="24"/>
      <c r="J483" s="24"/>
      <c r="K483" s="25"/>
    </row>
    <row r="484" s="5" customFormat="1" ht="16.5" spans="1:11">
      <c r="A484" s="22"/>
      <c r="B484" s="23"/>
      <c r="C484" s="24"/>
      <c r="D484" s="24"/>
      <c r="E484" s="24"/>
      <c r="F484" s="24"/>
      <c r="G484" s="24"/>
      <c r="H484" s="24"/>
      <c r="I484" s="24"/>
      <c r="J484" s="24"/>
      <c r="K484" s="25"/>
    </row>
    <row r="485" s="5" customFormat="1" ht="16.5" spans="1:11">
      <c r="A485" s="22"/>
      <c r="B485" s="23"/>
      <c r="C485" s="24"/>
      <c r="D485" s="24"/>
      <c r="E485" s="24"/>
      <c r="F485" s="24"/>
      <c r="G485" s="24"/>
      <c r="H485" s="24"/>
      <c r="I485" s="24"/>
      <c r="J485" s="24"/>
      <c r="K485" s="25"/>
    </row>
    <row r="486" s="5" customFormat="1" ht="16.5" spans="1:11">
      <c r="A486" s="22"/>
      <c r="B486" s="23"/>
      <c r="C486" s="24"/>
      <c r="D486" s="24"/>
      <c r="E486" s="24"/>
      <c r="F486" s="24"/>
      <c r="G486" s="24"/>
      <c r="H486" s="24"/>
      <c r="I486" s="24"/>
      <c r="J486" s="24"/>
      <c r="K486" s="25"/>
    </row>
    <row r="487" s="5" customFormat="1" ht="16.5" spans="1:11">
      <c r="A487" s="22"/>
      <c r="B487" s="23"/>
      <c r="C487" s="24"/>
      <c r="D487" s="24"/>
      <c r="E487" s="24"/>
      <c r="F487" s="24"/>
      <c r="G487" s="24"/>
      <c r="H487" s="24"/>
      <c r="I487" s="24"/>
      <c r="J487" s="24"/>
      <c r="K487" s="25"/>
    </row>
    <row r="488" s="5" customFormat="1" ht="16.5" spans="1:11">
      <c r="A488" s="22"/>
      <c r="B488" s="23"/>
      <c r="C488" s="24"/>
      <c r="D488" s="24"/>
      <c r="E488" s="24"/>
      <c r="F488" s="24"/>
      <c r="G488" s="24"/>
      <c r="H488" s="24"/>
      <c r="I488" s="24"/>
      <c r="J488" s="24"/>
      <c r="K488" s="25"/>
    </row>
    <row r="489" s="5" customFormat="1" ht="16.5" spans="1:11">
      <c r="A489" s="22"/>
      <c r="B489" s="23"/>
      <c r="C489" s="24"/>
      <c r="D489" s="24"/>
      <c r="E489" s="24"/>
      <c r="F489" s="24"/>
      <c r="G489" s="24"/>
      <c r="H489" s="24"/>
      <c r="I489" s="24"/>
      <c r="J489" s="24"/>
      <c r="K489" s="25"/>
    </row>
    <row r="490" s="5" customFormat="1" ht="16.5" spans="1:11">
      <c r="A490" s="22"/>
      <c r="B490" s="23"/>
      <c r="C490" s="24"/>
      <c r="D490" s="24"/>
      <c r="E490" s="24"/>
      <c r="F490" s="24"/>
      <c r="G490" s="24"/>
      <c r="H490" s="24"/>
      <c r="I490" s="24"/>
      <c r="J490" s="24"/>
      <c r="K490" s="25"/>
    </row>
    <row r="491" s="5" customFormat="1" ht="16.5" spans="1:11">
      <c r="A491" s="22"/>
      <c r="B491" s="23"/>
      <c r="C491" s="24"/>
      <c r="D491" s="24"/>
      <c r="E491" s="24"/>
      <c r="F491" s="24"/>
      <c r="G491" s="24"/>
      <c r="H491" s="24"/>
      <c r="I491" s="24"/>
      <c r="J491" s="24"/>
      <c r="K491" s="25"/>
    </row>
    <row r="492" s="5" customFormat="1" ht="16.5" spans="1:11">
      <c r="A492" s="22"/>
      <c r="B492" s="23"/>
      <c r="C492" s="24"/>
      <c r="D492" s="24"/>
      <c r="E492" s="24"/>
      <c r="F492" s="24"/>
      <c r="G492" s="24"/>
      <c r="H492" s="24"/>
      <c r="I492" s="24"/>
      <c r="J492" s="24"/>
      <c r="K492" s="25"/>
    </row>
    <row r="493" s="5" customFormat="1" ht="16.5" spans="1:11">
      <c r="A493" s="22"/>
      <c r="B493" s="23"/>
      <c r="C493" s="24"/>
      <c r="D493" s="24"/>
      <c r="E493" s="24"/>
      <c r="F493" s="24"/>
      <c r="G493" s="24"/>
      <c r="H493" s="24"/>
      <c r="I493" s="24"/>
      <c r="J493" s="24"/>
      <c r="K493" s="25"/>
    </row>
    <row r="494" s="5" customFormat="1" ht="16.5" spans="1:11">
      <c r="A494" s="22"/>
      <c r="B494" s="23"/>
      <c r="C494" s="24"/>
      <c r="D494" s="24"/>
      <c r="E494" s="24"/>
      <c r="F494" s="24"/>
      <c r="G494" s="24"/>
      <c r="H494" s="24"/>
      <c r="I494" s="24"/>
      <c r="J494" s="24"/>
      <c r="K494" s="25"/>
    </row>
    <row r="495" s="5" customFormat="1" ht="16.5" spans="1:11">
      <c r="A495" s="22"/>
      <c r="B495" s="23"/>
      <c r="C495" s="24"/>
      <c r="D495" s="24"/>
      <c r="E495" s="24"/>
      <c r="F495" s="24"/>
      <c r="G495" s="24"/>
      <c r="H495" s="24"/>
      <c r="I495" s="24"/>
      <c r="J495" s="24"/>
      <c r="K495" s="25"/>
    </row>
    <row r="496" s="5" customFormat="1" ht="16.5" spans="1:11">
      <c r="A496" s="22"/>
      <c r="B496" s="23"/>
      <c r="C496" s="24"/>
      <c r="D496" s="24"/>
      <c r="E496" s="24"/>
      <c r="F496" s="24"/>
      <c r="G496" s="24"/>
      <c r="H496" s="24"/>
      <c r="I496" s="24"/>
      <c r="J496" s="24"/>
      <c r="K496" s="25"/>
    </row>
    <row r="497" s="5" customFormat="1" ht="16.5" spans="1:11">
      <c r="A497" s="22"/>
      <c r="B497" s="23"/>
      <c r="C497" s="24"/>
      <c r="D497" s="24"/>
      <c r="E497" s="24"/>
      <c r="F497" s="24"/>
      <c r="G497" s="24"/>
      <c r="H497" s="24"/>
      <c r="I497" s="24"/>
      <c r="J497" s="24"/>
      <c r="K497" s="25"/>
    </row>
    <row r="498" s="5" customFormat="1" ht="16.5" spans="1:11">
      <c r="A498" s="22"/>
      <c r="B498" s="23"/>
      <c r="C498" s="24"/>
      <c r="D498" s="24"/>
      <c r="E498" s="24"/>
      <c r="F498" s="24"/>
      <c r="G498" s="24"/>
      <c r="H498" s="24"/>
      <c r="I498" s="24"/>
      <c r="J498" s="24"/>
      <c r="K498" s="25"/>
    </row>
    <row r="499" s="5" customFormat="1" ht="16.5" spans="1:11">
      <c r="A499" s="22"/>
      <c r="B499" s="23"/>
      <c r="C499" s="24"/>
      <c r="D499" s="24"/>
      <c r="E499" s="24"/>
      <c r="F499" s="24"/>
      <c r="G499" s="24"/>
      <c r="H499" s="24"/>
      <c r="I499" s="24"/>
      <c r="J499" s="24"/>
      <c r="K499" s="25"/>
    </row>
    <row r="500" s="5" customFormat="1" ht="16.5" spans="1:11">
      <c r="A500" s="22"/>
      <c r="B500" s="23"/>
      <c r="C500" s="24"/>
      <c r="D500" s="24"/>
      <c r="E500" s="24"/>
      <c r="F500" s="24"/>
      <c r="G500" s="24"/>
      <c r="H500" s="24"/>
      <c r="I500" s="24"/>
      <c r="J500" s="24"/>
      <c r="K500" s="25"/>
    </row>
    <row r="501" s="5" customFormat="1" ht="16.5" spans="1:11">
      <c r="A501" s="22"/>
      <c r="B501" s="23"/>
      <c r="C501" s="24"/>
      <c r="D501" s="24"/>
      <c r="E501" s="24"/>
      <c r="F501" s="24"/>
      <c r="G501" s="24"/>
      <c r="H501" s="24"/>
      <c r="I501" s="24"/>
      <c r="J501" s="24"/>
      <c r="K501" s="25"/>
    </row>
    <row r="502" s="5" customFormat="1" ht="16.5" spans="1:11">
      <c r="A502" s="22"/>
      <c r="B502" s="23"/>
      <c r="C502" s="24"/>
      <c r="D502" s="24"/>
      <c r="E502" s="24"/>
      <c r="F502" s="24"/>
      <c r="G502" s="24"/>
      <c r="H502" s="24"/>
      <c r="I502" s="24"/>
      <c r="J502" s="24"/>
      <c r="K502" s="25"/>
    </row>
    <row r="503" s="5" customFormat="1" ht="16.5" spans="1:11">
      <c r="A503" s="22"/>
      <c r="B503" s="23"/>
      <c r="C503" s="24"/>
      <c r="D503" s="24"/>
      <c r="E503" s="24"/>
      <c r="F503" s="24"/>
      <c r="G503" s="24"/>
      <c r="H503" s="24"/>
      <c r="I503" s="24"/>
      <c r="J503" s="24"/>
      <c r="K503" s="25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K503"/>
  <sheetViews>
    <sheetView showGridLines="0" workbookViewId="0">
      <pane ySplit="3" topLeftCell="A4" activePane="bottomLeft" state="frozen"/>
      <selection/>
      <selection pane="bottomLeft" activeCell="A4" sqref="A4"/>
    </sheetView>
  </sheetViews>
  <sheetFormatPr defaultColWidth="9" defaultRowHeight="13.5"/>
  <cols>
    <col min="1" max="1" width="8" customWidth="1"/>
    <col min="2" max="2" width="12" style="6" customWidth="1"/>
    <col min="3" max="3" width="18" style="7" customWidth="1"/>
    <col min="4" max="4" width="14" style="8" customWidth="1"/>
    <col min="5" max="5" width="20" style="7" customWidth="1"/>
    <col min="6" max="6" width="18" style="8" customWidth="1"/>
    <col min="7" max="8" width="12" style="7" customWidth="1"/>
    <col min="9" max="9" width="16" style="7" customWidth="1"/>
    <col min="10" max="10" width="12" style="8" customWidth="1"/>
    <col min="11" max="11" width="7.375" style="9" customWidth="1"/>
    <col min="12" max="16373" width="10" style="5" customWidth="1"/>
    <col min="16374" max="16374" width="10" style="5"/>
    <col min="16375" max="16378" width="9" style="5"/>
    <col min="16379" max="16379" width="10" style="5"/>
    <col min="16380" max="16384" width="9" style="5"/>
  </cols>
  <sheetData>
    <row r="1" s="5" customFormat="1" ht="28" customHeight="1" spans="1:11">
      <c r="A1" s="10" t="s">
        <v>306</v>
      </c>
      <c r="B1" s="11"/>
      <c r="C1" s="12"/>
      <c r="D1" s="12"/>
      <c r="E1" s="12"/>
      <c r="F1" s="12"/>
      <c r="G1" s="12"/>
      <c r="H1" s="12"/>
      <c r="I1" s="12"/>
      <c r="J1" s="12"/>
      <c r="K1" s="13"/>
    </row>
    <row r="2" s="5" customFormat="1" ht="24" customHeight="1" spans="1:11">
      <c r="A2" s="14" t="s">
        <v>295</v>
      </c>
      <c r="B2" s="15" t="s">
        <v>107</v>
      </c>
      <c r="C2" s="16" t="s">
        <v>100</v>
      </c>
      <c r="D2" s="17">
        <f>IFERROR(VLOOKUP($B$2,数据录入!$C$5:$H$18,6,0),0)</f>
        <v>0</v>
      </c>
      <c r="E2" s="16" t="s">
        <v>296</v>
      </c>
      <c r="F2" s="17">
        <f>SUMIFS(数据录入!$F$19:$F$10000,数据录入!$C$19:$C$10000,$B$2)</f>
        <v>0</v>
      </c>
      <c r="G2" s="16" t="s">
        <v>297</v>
      </c>
      <c r="H2" s="17">
        <f>SUMIFS(数据录入!$G$19:$G$10000,数据录入!$C$19:$C$10000,$B$2)</f>
        <v>0</v>
      </c>
      <c r="I2" s="16" t="s">
        <v>298</v>
      </c>
      <c r="J2" s="17">
        <f>D2+F2-H2</f>
        <v>0</v>
      </c>
      <c r="K2" s="18"/>
    </row>
    <row r="3" s="5" customFormat="1" ht="24" customHeight="1" spans="1:11">
      <c r="A3" s="19" t="s">
        <v>92</v>
      </c>
      <c r="B3" s="19" t="s">
        <v>93</v>
      </c>
      <c r="C3" s="19" t="s">
        <v>94</v>
      </c>
      <c r="D3" s="19" t="s">
        <v>38</v>
      </c>
      <c r="E3" s="19" t="s">
        <v>95</v>
      </c>
      <c r="F3" s="19" t="s">
        <v>96</v>
      </c>
      <c r="G3" s="19" t="s">
        <v>97</v>
      </c>
      <c r="H3" s="19" t="s">
        <v>91</v>
      </c>
      <c r="I3" s="20" t="s">
        <v>39</v>
      </c>
      <c r="J3" s="20" t="s">
        <v>41</v>
      </c>
      <c r="K3" s="21" t="s">
        <v>98</v>
      </c>
    </row>
    <row r="4" s="5" customFormat="1" ht="20" customHeight="1" spans="1:11">
      <c r="A4" s="22" vm="1" t="e" cm="1">
        <f t="array" ref="A4">_xlfn._xlws.FILTER(数据录入!$A$19:$K$10000,数据录入!$C$19:$C$10000=$B$2)</f>
        <v>#VALUE!</v>
      </c>
      <c r="B4" s="23"/>
      <c r="C4" s="24"/>
      <c r="D4" s="24"/>
      <c r="E4" s="24"/>
      <c r="F4" s="24"/>
      <c r="G4" s="24"/>
      <c r="H4" s="24"/>
      <c r="I4" s="24"/>
      <c r="J4" s="24"/>
      <c r="K4" s="25"/>
    </row>
    <row r="5" s="5" customFormat="1" ht="20" customHeight="1" spans="1:11">
      <c r="A5" s="22"/>
      <c r="B5" s="23"/>
      <c r="C5" s="24"/>
      <c r="D5" s="24"/>
      <c r="E5" s="24"/>
      <c r="F5" s="24"/>
      <c r="G5" s="24"/>
      <c r="H5" s="24"/>
      <c r="I5" s="24"/>
      <c r="J5" s="24"/>
      <c r="K5" s="25"/>
    </row>
    <row r="6" s="5" customFormat="1" ht="20" customHeight="1" spans="1:11">
      <c r="A6" s="22"/>
      <c r="B6" s="23"/>
      <c r="C6" s="24"/>
      <c r="D6" s="24"/>
      <c r="E6" s="24"/>
      <c r="F6" s="24"/>
      <c r="G6" s="24"/>
      <c r="H6" s="24"/>
      <c r="I6" s="24"/>
      <c r="J6" s="24"/>
      <c r="K6" s="25"/>
    </row>
    <row r="7" s="5" customFormat="1" ht="20" customHeight="1" spans="1:11">
      <c r="A7" s="22"/>
      <c r="B7" s="23"/>
      <c r="C7" s="24"/>
      <c r="D7" s="24"/>
      <c r="E7" s="24"/>
      <c r="F7" s="24"/>
      <c r="G7" s="24"/>
      <c r="H7" s="24"/>
      <c r="I7" s="24"/>
      <c r="J7" s="24"/>
      <c r="K7" s="25"/>
    </row>
    <row r="8" s="5" customFormat="1" ht="20" customHeight="1" spans="1:11">
      <c r="A8" s="22"/>
      <c r="B8" s="23"/>
      <c r="C8" s="24"/>
      <c r="D8" s="24"/>
      <c r="E8" s="24"/>
      <c r="F8" s="24"/>
      <c r="G8" s="24"/>
      <c r="H8" s="24"/>
      <c r="I8" s="24"/>
      <c r="J8" s="24"/>
      <c r="K8" s="25"/>
    </row>
    <row r="9" s="5" customFormat="1" ht="20" customHeight="1" spans="1:11">
      <c r="A9" s="22"/>
      <c r="B9" s="23"/>
      <c r="C9" s="24"/>
      <c r="D9" s="24"/>
      <c r="E9" s="24"/>
      <c r="F9" s="24"/>
      <c r="G9" s="24"/>
      <c r="H9" s="24"/>
      <c r="I9" s="24"/>
      <c r="J9" s="24"/>
      <c r="K9" s="25"/>
    </row>
    <row r="10" s="5" customFormat="1" ht="20" customHeight="1" spans="1:11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5"/>
    </row>
    <row r="11" s="5" customFormat="1" ht="20" customHeight="1" spans="1:11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5"/>
    </row>
    <row r="12" s="5" customFormat="1" ht="20" customHeight="1" spans="1:11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5"/>
    </row>
    <row r="13" s="5" customFormat="1" ht="20" customHeight="1" spans="1:11">
      <c r="A13" s="22"/>
      <c r="B13" s="23"/>
      <c r="C13" s="24"/>
      <c r="D13" s="24"/>
      <c r="E13" s="24"/>
      <c r="F13" s="24"/>
      <c r="G13" s="24"/>
      <c r="H13" s="24"/>
      <c r="I13" s="24"/>
      <c r="J13" s="24"/>
      <c r="K13" s="25"/>
    </row>
    <row r="14" s="5" customFormat="1" ht="20" customHeight="1" spans="1:1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5"/>
    </row>
    <row r="15" s="5" customFormat="1" ht="20" customHeight="1" spans="1:11">
      <c r="A15" s="22"/>
      <c r="B15" s="23"/>
      <c r="C15" s="24"/>
      <c r="D15" s="24"/>
      <c r="E15" s="24"/>
      <c r="F15" s="24"/>
      <c r="G15" s="24"/>
      <c r="H15" s="24"/>
      <c r="I15" s="24"/>
      <c r="J15" s="24"/>
      <c r="K15" s="25"/>
    </row>
    <row r="16" s="5" customFormat="1" ht="20" customHeight="1" spans="1:11">
      <c r="A16" s="22"/>
      <c r="B16" s="23"/>
      <c r="C16" s="24"/>
      <c r="D16" s="24"/>
      <c r="E16" s="24"/>
      <c r="F16" s="24"/>
      <c r="G16" s="24"/>
      <c r="H16" s="24"/>
      <c r="I16" s="24"/>
      <c r="J16" s="24"/>
      <c r="K16" s="25"/>
    </row>
    <row r="17" s="5" customFormat="1" ht="20" customHeight="1" spans="1:11">
      <c r="A17" s="22"/>
      <c r="B17" s="23"/>
      <c r="C17" s="24"/>
      <c r="D17" s="24"/>
      <c r="E17" s="24"/>
      <c r="F17" s="24"/>
      <c r="G17" s="24"/>
      <c r="H17" s="24"/>
      <c r="I17" s="24"/>
      <c r="J17" s="24"/>
      <c r="K17" s="25"/>
    </row>
    <row r="18" s="5" customFormat="1" ht="20" customHeight="1" spans="1:11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5"/>
    </row>
    <row r="19" s="5" customFormat="1" ht="20" customHeight="1" spans="1:11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25"/>
    </row>
    <row r="20" s="5" customFormat="1" ht="20" customHeight="1" spans="1:11">
      <c r="A20" s="22"/>
      <c r="B20" s="23"/>
      <c r="C20" s="24"/>
      <c r="D20" s="24"/>
      <c r="E20" s="24"/>
      <c r="F20" s="24"/>
      <c r="G20" s="24"/>
      <c r="H20" s="24"/>
      <c r="I20" s="24"/>
      <c r="J20" s="24"/>
      <c r="K20" s="25"/>
    </row>
    <row r="21" s="5" customFormat="1" ht="20" customHeight="1" spans="1:11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5"/>
    </row>
    <row r="22" s="5" customFormat="1" ht="20" customHeight="1" spans="1:11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5"/>
    </row>
    <row r="23" s="5" customFormat="1" ht="20" customHeight="1" spans="1:11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5"/>
    </row>
    <row r="24" s="5" customFormat="1" ht="20" customHeight="1" spans="1:11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5"/>
    </row>
    <row r="25" s="5" customFormat="1" ht="20" customHeight="1" spans="1:11">
      <c r="A25" s="22"/>
      <c r="B25" s="23"/>
      <c r="C25" s="24"/>
      <c r="D25" s="24"/>
      <c r="E25" s="24"/>
      <c r="F25" s="24"/>
      <c r="G25" s="24"/>
      <c r="H25" s="24"/>
      <c r="I25" s="24"/>
      <c r="J25" s="24"/>
      <c r="K25" s="25"/>
    </row>
    <row r="26" s="5" customFormat="1" ht="20" customHeight="1" spans="1:11">
      <c r="A26" s="22"/>
      <c r="B26" s="23"/>
      <c r="C26" s="24"/>
      <c r="D26" s="24"/>
      <c r="E26" s="24"/>
      <c r="F26" s="24"/>
      <c r="G26" s="24"/>
      <c r="H26" s="24"/>
      <c r="I26" s="24"/>
      <c r="J26" s="24"/>
      <c r="K26" s="25"/>
    </row>
    <row r="27" s="5" customFormat="1" ht="20" customHeight="1" spans="1:11">
      <c r="A27" s="22"/>
      <c r="B27" s="23"/>
      <c r="C27" s="24"/>
      <c r="D27" s="24"/>
      <c r="E27" s="24"/>
      <c r="F27" s="24"/>
      <c r="G27" s="24"/>
      <c r="H27" s="24"/>
      <c r="I27" s="24"/>
      <c r="J27" s="24"/>
      <c r="K27" s="25"/>
    </row>
    <row r="28" s="5" customFormat="1" ht="20" customHeight="1" spans="1:1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5"/>
    </row>
    <row r="29" s="5" customFormat="1" ht="20" customHeight="1" spans="1:11">
      <c r="A29" s="22"/>
      <c r="B29" s="23"/>
      <c r="C29" s="24"/>
      <c r="D29" s="24"/>
      <c r="E29" s="24"/>
      <c r="F29" s="24"/>
      <c r="G29" s="24"/>
      <c r="H29" s="24"/>
      <c r="I29" s="24"/>
      <c r="J29" s="24"/>
      <c r="K29" s="25"/>
    </row>
    <row r="30" s="5" customFormat="1" ht="20" customHeight="1" spans="1:11">
      <c r="A30" s="22"/>
      <c r="B30" s="23"/>
      <c r="C30" s="24"/>
      <c r="D30" s="24"/>
      <c r="E30" s="24"/>
      <c r="F30" s="24"/>
      <c r="G30" s="24"/>
      <c r="H30" s="24"/>
      <c r="I30" s="24"/>
      <c r="J30" s="24"/>
      <c r="K30" s="25"/>
    </row>
    <row r="31" s="5" customFormat="1" ht="20" customHeight="1" spans="1:11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5"/>
    </row>
    <row r="32" s="5" customFormat="1" ht="20" customHeight="1" spans="1:11">
      <c r="A32" s="22"/>
      <c r="B32" s="23"/>
      <c r="C32" s="24"/>
      <c r="D32" s="24"/>
      <c r="E32" s="24"/>
      <c r="F32" s="24"/>
      <c r="G32" s="24"/>
      <c r="H32" s="24"/>
      <c r="I32" s="24"/>
      <c r="J32" s="24"/>
      <c r="K32" s="25"/>
    </row>
    <row r="33" s="5" customFormat="1" ht="20" customHeight="1" spans="1:11">
      <c r="A33" s="22"/>
      <c r="B33" s="23"/>
      <c r="C33" s="24"/>
      <c r="D33" s="24"/>
      <c r="E33" s="24"/>
      <c r="F33" s="24"/>
      <c r="G33" s="24"/>
      <c r="H33" s="24"/>
      <c r="I33" s="24"/>
      <c r="J33" s="24"/>
      <c r="K33" s="25"/>
    </row>
    <row r="34" s="5" customFormat="1" ht="20" customHeight="1" spans="1:11">
      <c r="A34" s="22"/>
      <c r="B34" s="23"/>
      <c r="C34" s="24"/>
      <c r="D34" s="24"/>
      <c r="E34" s="24"/>
      <c r="F34" s="24"/>
      <c r="G34" s="24"/>
      <c r="H34" s="24"/>
      <c r="I34" s="24"/>
      <c r="J34" s="24"/>
      <c r="K34" s="25"/>
    </row>
    <row r="35" s="5" customFormat="1" ht="20" customHeight="1" spans="1:11">
      <c r="A35" s="22"/>
      <c r="B35" s="23"/>
      <c r="C35" s="24"/>
      <c r="D35" s="24"/>
      <c r="E35" s="24"/>
      <c r="F35" s="24"/>
      <c r="G35" s="24"/>
      <c r="H35" s="24"/>
      <c r="I35" s="24"/>
      <c r="J35" s="24"/>
      <c r="K35" s="25"/>
    </row>
    <row r="36" s="5" customFormat="1" ht="20" customHeight="1" spans="1:11">
      <c r="A36" s="22"/>
      <c r="B36" s="23"/>
      <c r="C36" s="24"/>
      <c r="D36" s="24"/>
      <c r="E36" s="24"/>
      <c r="F36" s="24"/>
      <c r="G36" s="24"/>
      <c r="H36" s="24"/>
      <c r="I36" s="24"/>
      <c r="J36" s="24"/>
      <c r="K36" s="25"/>
    </row>
    <row r="37" s="5" customFormat="1" ht="20" customHeight="1" spans="1:11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5"/>
    </row>
    <row r="38" s="5" customFormat="1" ht="20" customHeight="1" spans="1:11">
      <c r="A38" s="22"/>
      <c r="B38" s="23"/>
      <c r="C38" s="24"/>
      <c r="D38" s="24"/>
      <c r="E38" s="24"/>
      <c r="F38" s="24"/>
      <c r="G38" s="24"/>
      <c r="H38" s="24"/>
      <c r="I38" s="24"/>
      <c r="J38" s="24"/>
      <c r="K38" s="25"/>
    </row>
    <row r="39" s="5" customFormat="1" ht="20" customHeight="1" spans="1:11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5"/>
    </row>
    <row r="40" s="5" customFormat="1" ht="20" customHeight="1" spans="1:11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5"/>
    </row>
    <row r="41" s="5" customFormat="1" ht="20" customHeight="1" spans="1:11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5"/>
    </row>
    <row r="42" s="5" customFormat="1" ht="20" customHeight="1" spans="1:11">
      <c r="A42" s="22"/>
      <c r="B42" s="23"/>
      <c r="C42" s="24"/>
      <c r="D42" s="24"/>
      <c r="E42" s="24"/>
      <c r="F42" s="24"/>
      <c r="G42" s="24"/>
      <c r="H42" s="24"/>
      <c r="I42" s="24"/>
      <c r="J42" s="24"/>
      <c r="K42" s="25"/>
    </row>
    <row r="43" s="5" customFormat="1" ht="20" customHeight="1" spans="1:1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5"/>
    </row>
    <row r="44" s="5" customFormat="1" ht="20" customHeight="1" spans="1:11">
      <c r="A44" s="22"/>
      <c r="B44" s="23"/>
      <c r="C44" s="24"/>
      <c r="D44" s="24"/>
      <c r="E44" s="24"/>
      <c r="F44" s="24"/>
      <c r="G44" s="24"/>
      <c r="H44" s="24"/>
      <c r="I44" s="24"/>
      <c r="J44" s="24"/>
      <c r="K44" s="25"/>
    </row>
    <row r="45" s="5" customFormat="1" ht="20" customHeight="1" spans="1:11">
      <c r="A45" s="22"/>
      <c r="B45" s="23"/>
      <c r="C45" s="24"/>
      <c r="D45" s="24"/>
      <c r="E45" s="24"/>
      <c r="F45" s="24"/>
      <c r="G45" s="24"/>
      <c r="H45" s="24"/>
      <c r="I45" s="24"/>
      <c r="J45" s="24"/>
      <c r="K45" s="25"/>
    </row>
    <row r="46" s="5" customFormat="1" ht="20" customHeight="1" spans="1:11">
      <c r="A46" s="22"/>
      <c r="B46" s="23"/>
      <c r="C46" s="24"/>
      <c r="D46" s="24"/>
      <c r="E46" s="24"/>
      <c r="F46" s="24"/>
      <c r="G46" s="24"/>
      <c r="H46" s="24"/>
      <c r="I46" s="24"/>
      <c r="J46" s="24"/>
      <c r="K46" s="25"/>
    </row>
    <row r="47" s="5" customFormat="1" ht="20" customHeight="1" spans="1:11">
      <c r="A47" s="22"/>
      <c r="B47" s="23"/>
      <c r="C47" s="24"/>
      <c r="D47" s="24"/>
      <c r="E47" s="24"/>
      <c r="F47" s="24"/>
      <c r="G47" s="24"/>
      <c r="H47" s="24"/>
      <c r="I47" s="24"/>
      <c r="J47" s="24"/>
      <c r="K47" s="25"/>
    </row>
    <row r="48" s="5" customFormat="1" ht="20" customHeight="1" spans="1:11">
      <c r="A48" s="22"/>
      <c r="B48" s="23"/>
      <c r="C48" s="24"/>
      <c r="D48" s="24"/>
      <c r="E48" s="24"/>
      <c r="F48" s="24"/>
      <c r="G48" s="24"/>
      <c r="H48" s="24"/>
      <c r="I48" s="24"/>
      <c r="J48" s="24"/>
      <c r="K48" s="25"/>
    </row>
    <row r="49" s="5" customFormat="1" ht="20" customHeight="1" spans="1:11">
      <c r="A49" s="22"/>
      <c r="B49" s="23"/>
      <c r="C49" s="24"/>
      <c r="D49" s="24"/>
      <c r="E49" s="24"/>
      <c r="F49" s="24"/>
      <c r="G49" s="24"/>
      <c r="H49" s="24"/>
      <c r="I49" s="24"/>
      <c r="J49" s="24"/>
      <c r="K49" s="25"/>
    </row>
    <row r="50" s="5" customFormat="1" ht="20" customHeight="1" spans="1:11">
      <c r="A50" s="22"/>
      <c r="B50" s="23"/>
      <c r="C50" s="24"/>
      <c r="D50" s="24"/>
      <c r="E50" s="24"/>
      <c r="F50" s="24"/>
      <c r="G50" s="24"/>
      <c r="H50" s="24"/>
      <c r="I50" s="24"/>
      <c r="J50" s="24"/>
      <c r="K50" s="25"/>
    </row>
    <row r="51" s="5" customFormat="1" ht="20" customHeight="1" spans="1:11">
      <c r="A51" s="22"/>
      <c r="B51" s="23"/>
      <c r="C51" s="24"/>
      <c r="D51" s="24"/>
      <c r="E51" s="24"/>
      <c r="F51" s="24"/>
      <c r="G51" s="24"/>
      <c r="H51" s="24"/>
      <c r="I51" s="24"/>
      <c r="J51" s="24"/>
      <c r="K51" s="25"/>
    </row>
    <row r="52" s="5" customFormat="1" ht="20" customHeight="1" spans="1:11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5"/>
    </row>
    <row r="53" s="5" customFormat="1" ht="20" customHeight="1" spans="1:11">
      <c r="A53" s="22"/>
      <c r="B53" s="23"/>
      <c r="C53" s="24"/>
      <c r="D53" s="24"/>
      <c r="E53" s="24"/>
      <c r="F53" s="24"/>
      <c r="G53" s="24"/>
      <c r="H53" s="24"/>
      <c r="I53" s="24"/>
      <c r="J53" s="24"/>
      <c r="K53" s="25"/>
    </row>
    <row r="54" s="5" customFormat="1" ht="20" customHeight="1" spans="1:11">
      <c r="A54" s="22"/>
      <c r="B54" s="23"/>
      <c r="C54" s="24"/>
      <c r="D54" s="24"/>
      <c r="E54" s="24"/>
      <c r="F54" s="24"/>
      <c r="G54" s="24"/>
      <c r="H54" s="24"/>
      <c r="I54" s="24"/>
      <c r="J54" s="24"/>
      <c r="K54" s="25"/>
    </row>
    <row r="55" s="5" customFormat="1" ht="20" customHeight="1" spans="1:11">
      <c r="A55" s="22"/>
      <c r="B55" s="23"/>
      <c r="C55" s="24"/>
      <c r="D55" s="24"/>
      <c r="E55" s="24"/>
      <c r="F55" s="24"/>
      <c r="G55" s="24"/>
      <c r="H55" s="24"/>
      <c r="I55" s="24"/>
      <c r="J55" s="24"/>
      <c r="K55" s="25"/>
    </row>
    <row r="56" s="5" customFormat="1" ht="20" customHeight="1" spans="1:11">
      <c r="A56" s="22"/>
      <c r="B56" s="23"/>
      <c r="C56" s="24"/>
      <c r="D56" s="24"/>
      <c r="E56" s="24"/>
      <c r="F56" s="24"/>
      <c r="G56" s="24"/>
      <c r="H56" s="24"/>
      <c r="I56" s="24"/>
      <c r="J56" s="24"/>
      <c r="K56" s="25"/>
    </row>
    <row r="57" s="5" customFormat="1" ht="20" customHeight="1" spans="1:11">
      <c r="A57" s="22"/>
      <c r="B57" s="23"/>
      <c r="C57" s="24"/>
      <c r="D57" s="24"/>
      <c r="E57" s="24"/>
      <c r="F57" s="24"/>
      <c r="G57" s="24"/>
      <c r="H57" s="24"/>
      <c r="I57" s="24"/>
      <c r="J57" s="24"/>
      <c r="K57" s="25"/>
    </row>
    <row r="58" s="5" customFormat="1" ht="20" customHeight="1" spans="1:11">
      <c r="A58" s="22"/>
      <c r="B58" s="23"/>
      <c r="C58" s="24"/>
      <c r="D58" s="24"/>
      <c r="E58" s="24"/>
      <c r="F58" s="24"/>
      <c r="G58" s="24"/>
      <c r="H58" s="24"/>
      <c r="I58" s="24"/>
      <c r="J58" s="24"/>
      <c r="K58" s="25"/>
    </row>
    <row r="59" s="5" customFormat="1" ht="20" customHeight="1" spans="1:11">
      <c r="A59" s="22"/>
      <c r="B59" s="23"/>
      <c r="C59" s="24"/>
      <c r="D59" s="24"/>
      <c r="E59" s="24"/>
      <c r="F59" s="24"/>
      <c r="G59" s="24"/>
      <c r="H59" s="24"/>
      <c r="I59" s="24"/>
      <c r="J59" s="24"/>
      <c r="K59" s="25"/>
    </row>
    <row r="60" s="5" customFormat="1" ht="20" customHeight="1" spans="1:11">
      <c r="A60" s="22"/>
      <c r="B60" s="23"/>
      <c r="C60" s="24"/>
      <c r="D60" s="24"/>
      <c r="E60" s="24"/>
      <c r="F60" s="24"/>
      <c r="G60" s="24"/>
      <c r="H60" s="24"/>
      <c r="I60" s="24"/>
      <c r="J60" s="24"/>
      <c r="K60" s="25"/>
    </row>
    <row r="61" s="5" customFormat="1" ht="20" customHeight="1" spans="1:11">
      <c r="A61" s="22"/>
      <c r="B61" s="23"/>
      <c r="C61" s="24"/>
      <c r="D61" s="24"/>
      <c r="E61" s="24"/>
      <c r="F61" s="24"/>
      <c r="G61" s="24"/>
      <c r="H61" s="24"/>
      <c r="I61" s="24"/>
      <c r="J61" s="24"/>
      <c r="K61" s="25"/>
    </row>
    <row r="62" s="5" customFormat="1" ht="20" customHeight="1" spans="1:11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5"/>
    </row>
    <row r="63" s="5" customFormat="1" ht="20" customHeight="1" spans="1:1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5"/>
    </row>
    <row r="64" s="5" customFormat="1" ht="20" customHeight="1" spans="1:11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5"/>
    </row>
    <row r="65" s="5" customFormat="1" ht="20" customHeight="1" spans="1:11">
      <c r="A65" s="22"/>
      <c r="B65" s="23"/>
      <c r="C65" s="24"/>
      <c r="D65" s="24"/>
      <c r="E65" s="24"/>
      <c r="F65" s="24"/>
      <c r="G65" s="24"/>
      <c r="H65" s="24"/>
      <c r="I65" s="24"/>
      <c r="J65" s="24"/>
      <c r="K65" s="25"/>
    </row>
    <row r="66" s="5" customFormat="1" ht="20" customHeight="1" spans="1:11">
      <c r="A66" s="22"/>
      <c r="B66" s="23"/>
      <c r="C66" s="24"/>
      <c r="D66" s="24"/>
      <c r="E66" s="24"/>
      <c r="F66" s="24"/>
      <c r="G66" s="24"/>
      <c r="H66" s="24"/>
      <c r="I66" s="24"/>
      <c r="J66" s="24"/>
      <c r="K66" s="25"/>
    </row>
    <row r="67" s="5" customFormat="1" ht="20" customHeight="1" spans="1:11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5"/>
    </row>
    <row r="68" s="5" customFormat="1" ht="20" customHeight="1" spans="1:11">
      <c r="A68" s="22"/>
      <c r="B68" s="23"/>
      <c r="C68" s="24"/>
      <c r="D68" s="24"/>
      <c r="E68" s="24"/>
      <c r="F68" s="24"/>
      <c r="G68" s="24"/>
      <c r="H68" s="24"/>
      <c r="I68" s="24"/>
      <c r="J68" s="24"/>
      <c r="K68" s="25"/>
    </row>
    <row r="69" s="5" customFormat="1" ht="20" customHeight="1" spans="1:11">
      <c r="A69" s="22"/>
      <c r="B69" s="23"/>
      <c r="C69" s="24"/>
      <c r="D69" s="24"/>
      <c r="E69" s="24"/>
      <c r="F69" s="24"/>
      <c r="G69" s="24"/>
      <c r="H69" s="24"/>
      <c r="I69" s="24"/>
      <c r="J69" s="24"/>
      <c r="K69" s="25"/>
    </row>
    <row r="70" s="5" customFormat="1" ht="20" customHeight="1" spans="1:11">
      <c r="A70" s="22"/>
      <c r="B70" s="23"/>
      <c r="C70" s="24"/>
      <c r="D70" s="24"/>
      <c r="E70" s="24"/>
      <c r="F70" s="24"/>
      <c r="G70" s="24"/>
      <c r="H70" s="24"/>
      <c r="I70" s="24"/>
      <c r="J70" s="24"/>
      <c r="K70" s="25"/>
    </row>
    <row r="71" s="5" customFormat="1" ht="20" customHeight="1" spans="1:11">
      <c r="A71" s="22"/>
      <c r="B71" s="23"/>
      <c r="C71" s="24"/>
      <c r="D71" s="24"/>
      <c r="E71" s="24"/>
      <c r="F71" s="24"/>
      <c r="G71" s="24"/>
      <c r="H71" s="24"/>
      <c r="I71" s="24"/>
      <c r="J71" s="24"/>
      <c r="K71" s="25"/>
    </row>
    <row r="72" s="5" customFormat="1" ht="20" customHeight="1" spans="1:11">
      <c r="A72" s="22"/>
      <c r="B72" s="23"/>
      <c r="C72" s="24"/>
      <c r="D72" s="24"/>
      <c r="E72" s="24"/>
      <c r="F72" s="24"/>
      <c r="G72" s="24"/>
      <c r="H72" s="24"/>
      <c r="I72" s="24"/>
      <c r="J72" s="24"/>
      <c r="K72" s="25"/>
    </row>
    <row r="73" s="5" customFormat="1" ht="20" customHeight="1" spans="1:11">
      <c r="A73" s="22"/>
      <c r="B73" s="23"/>
      <c r="C73" s="24"/>
      <c r="D73" s="24"/>
      <c r="E73" s="24"/>
      <c r="F73" s="24"/>
      <c r="G73" s="24"/>
      <c r="H73" s="24"/>
      <c r="I73" s="24"/>
      <c r="J73" s="24"/>
      <c r="K73" s="25"/>
    </row>
    <row r="74" s="5" customFormat="1" ht="20" customHeight="1" spans="1:11">
      <c r="A74" s="22"/>
      <c r="B74" s="23"/>
      <c r="C74" s="24"/>
      <c r="D74" s="24"/>
      <c r="E74" s="24"/>
      <c r="F74" s="24"/>
      <c r="G74" s="24"/>
      <c r="H74" s="24"/>
      <c r="I74" s="24"/>
      <c r="J74" s="24"/>
      <c r="K74" s="25"/>
    </row>
    <row r="75" s="5" customFormat="1" ht="20" customHeight="1" spans="1:11">
      <c r="A75" s="22"/>
      <c r="B75" s="23"/>
      <c r="C75" s="24"/>
      <c r="D75" s="24"/>
      <c r="E75" s="24"/>
      <c r="F75" s="24"/>
      <c r="G75" s="24"/>
      <c r="H75" s="24"/>
      <c r="I75" s="24"/>
      <c r="J75" s="24"/>
      <c r="K75" s="25"/>
    </row>
    <row r="76" s="5" customFormat="1" ht="20" customHeight="1" spans="1:11">
      <c r="A76" s="22"/>
      <c r="B76" s="23"/>
      <c r="C76" s="24"/>
      <c r="D76" s="24"/>
      <c r="E76" s="24"/>
      <c r="F76" s="24"/>
      <c r="G76" s="24"/>
      <c r="H76" s="24"/>
      <c r="I76" s="24"/>
      <c r="J76" s="24"/>
      <c r="K76" s="25"/>
    </row>
    <row r="77" s="5" customFormat="1" ht="20" customHeight="1" spans="1:11">
      <c r="A77" s="22"/>
      <c r="B77" s="23"/>
      <c r="C77" s="24"/>
      <c r="D77" s="24"/>
      <c r="E77" s="24"/>
      <c r="F77" s="24"/>
      <c r="G77" s="24"/>
      <c r="H77" s="24"/>
      <c r="I77" s="24"/>
      <c r="J77" s="24"/>
      <c r="K77" s="25"/>
    </row>
    <row r="78" s="5" customFormat="1" ht="20" customHeight="1" spans="1:11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5"/>
    </row>
    <row r="79" s="5" customFormat="1" ht="20" customHeight="1" spans="1:11">
      <c r="A79" s="22"/>
      <c r="B79" s="23"/>
      <c r="C79" s="24"/>
      <c r="D79" s="24"/>
      <c r="E79" s="24"/>
      <c r="F79" s="24"/>
      <c r="G79" s="24"/>
      <c r="H79" s="24"/>
      <c r="I79" s="24"/>
      <c r="J79" s="24"/>
      <c r="K79" s="25"/>
    </row>
    <row r="80" s="5" customFormat="1" ht="20" customHeight="1" spans="1:11">
      <c r="A80" s="22"/>
      <c r="B80" s="23"/>
      <c r="C80" s="24"/>
      <c r="D80" s="24"/>
      <c r="E80" s="24"/>
      <c r="F80" s="24"/>
      <c r="G80" s="24"/>
      <c r="H80" s="24"/>
      <c r="I80" s="24"/>
      <c r="J80" s="24"/>
      <c r="K80" s="25"/>
    </row>
    <row r="81" s="5" customFormat="1" ht="20" customHeight="1" spans="1:11">
      <c r="A81" s="22"/>
      <c r="B81" s="23"/>
      <c r="C81" s="24"/>
      <c r="D81" s="24"/>
      <c r="E81" s="24"/>
      <c r="F81" s="24"/>
      <c r="G81" s="24"/>
      <c r="H81" s="24"/>
      <c r="I81" s="24"/>
      <c r="J81" s="24"/>
      <c r="K81" s="25"/>
    </row>
    <row r="82" s="5" customFormat="1" ht="20" customHeight="1" spans="1:11">
      <c r="A82" s="22"/>
      <c r="B82" s="23"/>
      <c r="C82" s="24"/>
      <c r="D82" s="24"/>
      <c r="E82" s="24"/>
      <c r="F82" s="24"/>
      <c r="G82" s="24"/>
      <c r="H82" s="24"/>
      <c r="I82" s="24"/>
      <c r="J82" s="24"/>
      <c r="K82" s="25"/>
    </row>
    <row r="83" s="5" customFormat="1" ht="20" customHeight="1" spans="1:11">
      <c r="A83" s="22"/>
      <c r="B83" s="23"/>
      <c r="C83" s="24"/>
      <c r="D83" s="24"/>
      <c r="E83" s="24"/>
      <c r="F83" s="24"/>
      <c r="G83" s="24"/>
      <c r="H83" s="24"/>
      <c r="I83" s="24"/>
      <c r="J83" s="24"/>
      <c r="K83" s="25"/>
    </row>
    <row r="84" s="5" customFormat="1" ht="20" customHeight="1" spans="1:11">
      <c r="A84" s="22"/>
      <c r="B84" s="23"/>
      <c r="C84" s="24"/>
      <c r="D84" s="24"/>
      <c r="E84" s="24"/>
      <c r="F84" s="24"/>
      <c r="G84" s="24"/>
      <c r="H84" s="24"/>
      <c r="I84" s="24"/>
      <c r="J84" s="24"/>
      <c r="K84" s="25"/>
    </row>
    <row r="85" s="5" customFormat="1" ht="20" customHeight="1" spans="1:11">
      <c r="A85" s="22"/>
      <c r="B85" s="23"/>
      <c r="C85" s="24"/>
      <c r="D85" s="24"/>
      <c r="E85" s="24"/>
      <c r="F85" s="24"/>
      <c r="G85" s="24"/>
      <c r="H85" s="24"/>
      <c r="I85" s="24"/>
      <c r="J85" s="24"/>
      <c r="K85" s="25"/>
    </row>
    <row r="86" s="5" customFormat="1" ht="20" customHeight="1" spans="1:11">
      <c r="A86" s="22"/>
      <c r="B86" s="23"/>
      <c r="C86" s="24"/>
      <c r="D86" s="24"/>
      <c r="E86" s="24"/>
      <c r="F86" s="24"/>
      <c r="G86" s="24"/>
      <c r="H86" s="24"/>
      <c r="I86" s="24"/>
      <c r="J86" s="24"/>
      <c r="K86" s="25"/>
    </row>
    <row r="87" s="5" customFormat="1" ht="20" customHeight="1" spans="1:11">
      <c r="A87" s="22"/>
      <c r="B87" s="23"/>
      <c r="C87" s="24"/>
      <c r="D87" s="24"/>
      <c r="E87" s="24"/>
      <c r="F87" s="24"/>
      <c r="G87" s="24"/>
      <c r="H87" s="24"/>
      <c r="I87" s="24"/>
      <c r="J87" s="24"/>
      <c r="K87" s="25"/>
    </row>
    <row r="88" s="5" customFormat="1" ht="20" customHeight="1" spans="1:11">
      <c r="A88" s="22"/>
      <c r="B88" s="23"/>
      <c r="C88" s="24"/>
      <c r="D88" s="24"/>
      <c r="E88" s="24"/>
      <c r="F88" s="24"/>
      <c r="G88" s="24"/>
      <c r="H88" s="24"/>
      <c r="I88" s="24"/>
      <c r="J88" s="24"/>
      <c r="K88" s="25"/>
    </row>
    <row r="89" s="5" customFormat="1" ht="20" customHeight="1" spans="1:11">
      <c r="A89" s="22"/>
      <c r="B89" s="23"/>
      <c r="C89" s="24"/>
      <c r="D89" s="24"/>
      <c r="E89" s="24"/>
      <c r="F89" s="24"/>
      <c r="G89" s="24"/>
      <c r="H89" s="24"/>
      <c r="I89" s="24"/>
      <c r="J89" s="24"/>
      <c r="K89" s="25"/>
    </row>
    <row r="90" s="5" customFormat="1" ht="20" customHeight="1" spans="1:11">
      <c r="A90" s="22"/>
      <c r="B90" s="23"/>
      <c r="C90" s="24"/>
      <c r="D90" s="24"/>
      <c r="E90" s="24"/>
      <c r="F90" s="24"/>
      <c r="G90" s="24"/>
      <c r="H90" s="24"/>
      <c r="I90" s="24"/>
      <c r="J90" s="24"/>
      <c r="K90" s="25"/>
    </row>
    <row r="91" s="5" customFormat="1" ht="20" customHeight="1" spans="1:11">
      <c r="A91" s="22"/>
      <c r="B91" s="23"/>
      <c r="C91" s="24"/>
      <c r="D91" s="24"/>
      <c r="E91" s="24"/>
      <c r="F91" s="24"/>
      <c r="G91" s="24"/>
      <c r="H91" s="24"/>
      <c r="I91" s="24"/>
      <c r="J91" s="24"/>
      <c r="K91" s="25"/>
    </row>
    <row r="92" s="5" customFormat="1" ht="20" customHeight="1" spans="1:11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5"/>
    </row>
    <row r="93" s="5" customFormat="1" ht="20" customHeight="1" spans="1:11">
      <c r="A93" s="22"/>
      <c r="B93" s="23"/>
      <c r="C93" s="24"/>
      <c r="D93" s="24"/>
      <c r="E93" s="24"/>
      <c r="F93" s="24"/>
      <c r="G93" s="24"/>
      <c r="H93" s="24"/>
      <c r="I93" s="24"/>
      <c r="J93" s="24"/>
      <c r="K93" s="25"/>
    </row>
    <row r="94" s="5" customFormat="1" ht="20" customHeight="1" spans="1:11">
      <c r="A94" s="22"/>
      <c r="B94" s="23"/>
      <c r="C94" s="24"/>
      <c r="D94" s="24"/>
      <c r="E94" s="24"/>
      <c r="F94" s="24"/>
      <c r="G94" s="24"/>
      <c r="H94" s="24"/>
      <c r="I94" s="24"/>
      <c r="J94" s="24"/>
      <c r="K94" s="25"/>
    </row>
    <row r="95" s="5" customFormat="1" ht="20" customHeight="1" spans="1:11">
      <c r="A95" s="22"/>
      <c r="B95" s="23"/>
      <c r="C95" s="24"/>
      <c r="D95" s="24"/>
      <c r="E95" s="24"/>
      <c r="F95" s="24"/>
      <c r="G95" s="24"/>
      <c r="H95" s="24"/>
      <c r="I95" s="24"/>
      <c r="J95" s="24"/>
      <c r="K95" s="25"/>
    </row>
    <row r="96" s="5" customFormat="1" ht="20" customHeight="1" spans="1:11">
      <c r="A96" s="22"/>
      <c r="B96" s="23"/>
      <c r="C96" s="24"/>
      <c r="D96" s="24"/>
      <c r="E96" s="24"/>
      <c r="F96" s="24"/>
      <c r="G96" s="24"/>
      <c r="H96" s="24"/>
      <c r="I96" s="24"/>
      <c r="J96" s="24"/>
      <c r="K96" s="25"/>
    </row>
    <row r="97" s="5" customFormat="1" ht="20" customHeight="1" spans="1:11">
      <c r="A97" s="22"/>
      <c r="B97" s="23"/>
      <c r="C97" s="24"/>
      <c r="D97" s="24"/>
      <c r="E97" s="24"/>
      <c r="F97" s="24"/>
      <c r="G97" s="24"/>
      <c r="H97" s="24"/>
      <c r="I97" s="24"/>
      <c r="J97" s="24"/>
      <c r="K97" s="25"/>
    </row>
    <row r="98" s="5" customFormat="1" ht="20" customHeight="1" spans="1:11">
      <c r="A98" s="22"/>
      <c r="B98" s="23"/>
      <c r="C98" s="24"/>
      <c r="D98" s="24"/>
      <c r="E98" s="24"/>
      <c r="F98" s="24"/>
      <c r="G98" s="24"/>
      <c r="H98" s="24"/>
      <c r="I98" s="24"/>
      <c r="J98" s="24"/>
      <c r="K98" s="25"/>
    </row>
    <row r="99" s="5" customFormat="1" ht="20" customHeight="1" spans="1:11">
      <c r="A99" s="22"/>
      <c r="B99" s="23"/>
      <c r="C99" s="24"/>
      <c r="D99" s="24"/>
      <c r="E99" s="24"/>
      <c r="F99" s="24"/>
      <c r="G99" s="24"/>
      <c r="H99" s="24"/>
      <c r="I99" s="24"/>
      <c r="J99" s="24"/>
      <c r="K99" s="25"/>
    </row>
    <row r="100" s="5" customFormat="1" ht="20" customHeight="1" spans="1:11">
      <c r="A100" s="22"/>
      <c r="B100" s="23"/>
      <c r="C100" s="24"/>
      <c r="D100" s="24"/>
      <c r="E100" s="24"/>
      <c r="F100" s="24"/>
      <c r="G100" s="24"/>
      <c r="H100" s="24"/>
      <c r="I100" s="24"/>
      <c r="J100" s="24"/>
      <c r="K100" s="25"/>
    </row>
    <row r="101" s="5" customFormat="1" ht="20" customHeight="1" spans="1:11">
      <c r="A101" s="22"/>
      <c r="B101" s="23"/>
      <c r="C101" s="24"/>
      <c r="D101" s="24"/>
      <c r="E101" s="24"/>
      <c r="F101" s="24"/>
      <c r="G101" s="24"/>
      <c r="H101" s="24"/>
      <c r="I101" s="24"/>
      <c r="J101" s="24"/>
      <c r="K101" s="25"/>
    </row>
    <row r="102" s="5" customFormat="1" ht="20" customHeight="1" spans="1:11">
      <c r="A102" s="22"/>
      <c r="B102" s="23"/>
      <c r="C102" s="24"/>
      <c r="D102" s="24"/>
      <c r="E102" s="24"/>
      <c r="F102" s="24"/>
      <c r="G102" s="24"/>
      <c r="H102" s="24"/>
      <c r="I102" s="24"/>
      <c r="J102" s="24"/>
      <c r="K102" s="25"/>
    </row>
    <row r="103" s="5" customFormat="1" ht="20" customHeight="1" spans="1:11">
      <c r="A103" s="22"/>
      <c r="B103" s="23"/>
      <c r="C103" s="24"/>
      <c r="D103" s="24"/>
      <c r="E103" s="24"/>
      <c r="F103" s="24"/>
      <c r="G103" s="24"/>
      <c r="H103" s="24"/>
      <c r="I103" s="24"/>
      <c r="J103" s="24"/>
      <c r="K103" s="25"/>
    </row>
    <row r="104" s="5" customFormat="1" ht="20" customHeight="1" spans="1:11">
      <c r="A104" s="22"/>
      <c r="B104" s="23"/>
      <c r="C104" s="24"/>
      <c r="D104" s="24"/>
      <c r="E104" s="24"/>
      <c r="F104" s="24"/>
      <c r="G104" s="24"/>
      <c r="H104" s="24"/>
      <c r="I104" s="24"/>
      <c r="J104" s="24"/>
      <c r="K104" s="25"/>
    </row>
    <row r="105" s="5" customFormat="1" ht="20" customHeight="1" spans="1:11">
      <c r="A105" s="22"/>
      <c r="B105" s="23"/>
      <c r="C105" s="24"/>
      <c r="D105" s="24"/>
      <c r="E105" s="24"/>
      <c r="F105" s="24"/>
      <c r="G105" s="24"/>
      <c r="H105" s="24"/>
      <c r="I105" s="24"/>
      <c r="J105" s="24"/>
      <c r="K105" s="25"/>
    </row>
    <row r="106" s="5" customFormat="1" ht="20" customHeight="1" spans="1:11">
      <c r="A106" s="22"/>
      <c r="B106" s="23"/>
      <c r="C106" s="24"/>
      <c r="D106" s="24"/>
      <c r="E106" s="24"/>
      <c r="F106" s="24"/>
      <c r="G106" s="24"/>
      <c r="H106" s="24"/>
      <c r="I106" s="24"/>
      <c r="J106" s="24"/>
      <c r="K106" s="25"/>
    </row>
    <row r="107" s="5" customFormat="1" ht="20" customHeight="1" spans="1:11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5"/>
    </row>
    <row r="108" s="5" customFormat="1" ht="20" customHeight="1" spans="1:11">
      <c r="A108" s="22"/>
      <c r="B108" s="23"/>
      <c r="C108" s="24"/>
      <c r="D108" s="24"/>
      <c r="E108" s="24"/>
      <c r="F108" s="24"/>
      <c r="G108" s="24"/>
      <c r="H108" s="24"/>
      <c r="I108" s="24"/>
      <c r="J108" s="24"/>
      <c r="K108" s="25"/>
    </row>
    <row r="109" s="5" customFormat="1" ht="20" customHeight="1" spans="1:11">
      <c r="A109" s="22"/>
      <c r="B109" s="23"/>
      <c r="C109" s="24"/>
      <c r="D109" s="24"/>
      <c r="E109" s="24"/>
      <c r="F109" s="24"/>
      <c r="G109" s="24"/>
      <c r="H109" s="24"/>
      <c r="I109" s="24"/>
      <c r="J109" s="24"/>
      <c r="K109" s="25"/>
    </row>
    <row r="110" s="5" customFormat="1" ht="20" customHeight="1" spans="1:11">
      <c r="A110" s="22"/>
      <c r="B110" s="23"/>
      <c r="C110" s="24"/>
      <c r="D110" s="24"/>
      <c r="E110" s="24"/>
      <c r="F110" s="24"/>
      <c r="G110" s="24"/>
      <c r="H110" s="24"/>
      <c r="I110" s="24"/>
      <c r="J110" s="24"/>
      <c r="K110" s="25"/>
    </row>
    <row r="111" s="5" customFormat="1" ht="20" customHeight="1" spans="1:11">
      <c r="A111" s="22"/>
      <c r="B111" s="23"/>
      <c r="C111" s="24"/>
      <c r="D111" s="24"/>
      <c r="E111" s="24"/>
      <c r="F111" s="24"/>
      <c r="G111" s="24"/>
      <c r="H111" s="24"/>
      <c r="I111" s="24"/>
      <c r="J111" s="24"/>
      <c r="K111" s="25"/>
    </row>
    <row r="112" s="5" customFormat="1" ht="20" customHeight="1" spans="1:11">
      <c r="A112" s="22"/>
      <c r="B112" s="23"/>
      <c r="C112" s="24"/>
      <c r="D112" s="24"/>
      <c r="E112" s="24"/>
      <c r="F112" s="24"/>
      <c r="G112" s="24"/>
      <c r="H112" s="24"/>
      <c r="I112" s="24"/>
      <c r="J112" s="24"/>
      <c r="K112" s="25"/>
    </row>
    <row r="113" s="5" customFormat="1" ht="20" customHeight="1" spans="1:11">
      <c r="A113" s="22"/>
      <c r="B113" s="23"/>
      <c r="C113" s="24"/>
      <c r="D113" s="24"/>
      <c r="E113" s="24"/>
      <c r="F113" s="24"/>
      <c r="G113" s="24"/>
      <c r="H113" s="24"/>
      <c r="I113" s="24"/>
      <c r="J113" s="24"/>
      <c r="K113" s="25"/>
    </row>
    <row r="114" s="5" customFormat="1" ht="20" customHeight="1" spans="1:11">
      <c r="A114" s="22"/>
      <c r="B114" s="23"/>
      <c r="C114" s="24"/>
      <c r="D114" s="24"/>
      <c r="E114" s="24"/>
      <c r="F114" s="24"/>
      <c r="G114" s="24"/>
      <c r="H114" s="24"/>
      <c r="I114" s="24"/>
      <c r="J114" s="24"/>
      <c r="K114" s="25"/>
    </row>
    <row r="115" s="5" customFormat="1" ht="20" customHeight="1" spans="1:11">
      <c r="A115" s="22"/>
      <c r="B115" s="23"/>
      <c r="C115" s="24"/>
      <c r="D115" s="24"/>
      <c r="E115" s="24"/>
      <c r="F115" s="24"/>
      <c r="G115" s="24"/>
      <c r="H115" s="24"/>
      <c r="I115" s="24"/>
      <c r="J115" s="24"/>
      <c r="K115" s="25"/>
    </row>
    <row r="116" s="5" customFormat="1" ht="20" customHeight="1" spans="1:11">
      <c r="A116" s="22"/>
      <c r="B116" s="23"/>
      <c r="C116" s="24"/>
      <c r="D116" s="24"/>
      <c r="E116" s="24"/>
      <c r="F116" s="24"/>
      <c r="G116" s="24"/>
      <c r="H116" s="24"/>
      <c r="I116" s="24"/>
      <c r="J116" s="24"/>
      <c r="K116" s="25"/>
    </row>
    <row r="117" s="5" customFormat="1" ht="20" customHeight="1" spans="1:11">
      <c r="A117" s="22"/>
      <c r="B117" s="23"/>
      <c r="C117" s="24"/>
      <c r="D117" s="24"/>
      <c r="E117" s="24"/>
      <c r="F117" s="24"/>
      <c r="G117" s="24"/>
      <c r="H117" s="24"/>
      <c r="I117" s="24"/>
      <c r="J117" s="24"/>
      <c r="K117" s="25"/>
    </row>
    <row r="118" s="5" customFormat="1" ht="20" customHeight="1" spans="1:11">
      <c r="A118" s="22"/>
      <c r="B118" s="23"/>
      <c r="C118" s="24"/>
      <c r="D118" s="24"/>
      <c r="E118" s="24"/>
      <c r="F118" s="24"/>
      <c r="G118" s="24"/>
      <c r="H118" s="24"/>
      <c r="I118" s="24"/>
      <c r="J118" s="24"/>
      <c r="K118" s="25"/>
    </row>
    <row r="119" s="5" customFormat="1" ht="20" customHeight="1" spans="1:11">
      <c r="A119" s="22"/>
      <c r="B119" s="23"/>
      <c r="C119" s="24"/>
      <c r="D119" s="24"/>
      <c r="E119" s="24"/>
      <c r="F119" s="24"/>
      <c r="G119" s="24"/>
      <c r="H119" s="24"/>
      <c r="I119" s="24"/>
      <c r="J119" s="24"/>
      <c r="K119" s="25"/>
    </row>
    <row r="120" s="5" customFormat="1" ht="20" customHeight="1" spans="1:11">
      <c r="A120" s="22"/>
      <c r="B120" s="23"/>
      <c r="C120" s="24"/>
      <c r="D120" s="24"/>
      <c r="E120" s="24"/>
      <c r="F120" s="24"/>
      <c r="G120" s="24"/>
      <c r="H120" s="24"/>
      <c r="I120" s="24"/>
      <c r="J120" s="24"/>
      <c r="K120" s="25"/>
    </row>
    <row r="121" s="5" customFormat="1" ht="20" customHeight="1" spans="1:11">
      <c r="A121" s="22"/>
      <c r="B121" s="23"/>
      <c r="C121" s="24"/>
      <c r="D121" s="24"/>
      <c r="E121" s="24"/>
      <c r="F121" s="24"/>
      <c r="G121" s="24"/>
      <c r="H121" s="24"/>
      <c r="I121" s="24"/>
      <c r="J121" s="24"/>
      <c r="K121" s="25"/>
    </row>
    <row r="122" s="5" customFormat="1" ht="20" customHeight="1" spans="1:11">
      <c r="A122" s="22"/>
      <c r="B122" s="23"/>
      <c r="C122" s="24"/>
      <c r="D122" s="24"/>
      <c r="E122" s="24"/>
      <c r="F122" s="24"/>
      <c r="G122" s="24"/>
      <c r="H122" s="24"/>
      <c r="I122" s="24"/>
      <c r="J122" s="24"/>
      <c r="K122" s="25"/>
    </row>
    <row r="123" s="5" customFormat="1" ht="20" customHeight="1" spans="1:11">
      <c r="A123" s="22"/>
      <c r="B123" s="23"/>
      <c r="C123" s="24"/>
      <c r="D123" s="24"/>
      <c r="E123" s="24"/>
      <c r="F123" s="24"/>
      <c r="G123" s="24"/>
      <c r="H123" s="24"/>
      <c r="I123" s="24"/>
      <c r="J123" s="24"/>
      <c r="K123" s="25"/>
    </row>
    <row r="124" s="5" customFormat="1" ht="20" customHeight="1" spans="1:11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5"/>
    </row>
    <row r="125" s="5" customFormat="1" ht="20" customHeight="1" spans="1:11">
      <c r="A125" s="22"/>
      <c r="B125" s="23"/>
      <c r="C125" s="24"/>
      <c r="D125" s="24"/>
      <c r="E125" s="24"/>
      <c r="F125" s="24"/>
      <c r="G125" s="24"/>
      <c r="H125" s="24"/>
      <c r="I125" s="24"/>
      <c r="J125" s="24"/>
      <c r="K125" s="25"/>
    </row>
    <row r="126" s="5" customFormat="1" ht="20" customHeight="1" spans="1:11">
      <c r="A126" s="22"/>
      <c r="B126" s="23"/>
      <c r="C126" s="24"/>
      <c r="D126" s="24"/>
      <c r="E126" s="24"/>
      <c r="F126" s="24"/>
      <c r="G126" s="24"/>
      <c r="H126" s="24"/>
      <c r="I126" s="24"/>
      <c r="J126" s="24"/>
      <c r="K126" s="25"/>
    </row>
    <row r="127" s="5" customFormat="1" ht="20" customHeight="1" spans="1:11">
      <c r="A127" s="22"/>
      <c r="B127" s="23"/>
      <c r="C127" s="24"/>
      <c r="D127" s="24"/>
      <c r="E127" s="24"/>
      <c r="F127" s="24"/>
      <c r="G127" s="24"/>
      <c r="H127" s="24"/>
      <c r="I127" s="24"/>
      <c r="J127" s="24"/>
      <c r="K127" s="25"/>
    </row>
    <row r="128" s="5" customFormat="1" ht="20" customHeight="1" spans="1:11">
      <c r="A128" s="22"/>
      <c r="B128" s="23"/>
      <c r="C128" s="24"/>
      <c r="D128" s="24"/>
      <c r="E128" s="24"/>
      <c r="F128" s="24"/>
      <c r="G128" s="24"/>
      <c r="H128" s="24"/>
      <c r="I128" s="24"/>
      <c r="J128" s="24"/>
      <c r="K128" s="25"/>
    </row>
    <row r="129" s="5" customFormat="1" ht="20" customHeight="1" spans="1:11">
      <c r="A129" s="22"/>
      <c r="B129" s="23"/>
      <c r="C129" s="24"/>
      <c r="D129" s="24"/>
      <c r="E129" s="24"/>
      <c r="F129" s="24"/>
      <c r="G129" s="24"/>
      <c r="H129" s="24"/>
      <c r="I129" s="24"/>
      <c r="J129" s="24"/>
      <c r="K129" s="25"/>
    </row>
    <row r="130" s="5" customFormat="1" ht="20" customHeight="1" spans="1:11">
      <c r="A130" s="22"/>
      <c r="B130" s="23"/>
      <c r="C130" s="24"/>
      <c r="D130" s="24"/>
      <c r="E130" s="24"/>
      <c r="F130" s="24"/>
      <c r="G130" s="24"/>
      <c r="H130" s="24"/>
      <c r="I130" s="24"/>
      <c r="J130" s="24"/>
      <c r="K130" s="25"/>
    </row>
    <row r="131" s="5" customFormat="1" ht="20" customHeight="1" spans="1:11">
      <c r="A131" s="22"/>
      <c r="B131" s="23"/>
      <c r="C131" s="24"/>
      <c r="D131" s="24"/>
      <c r="E131" s="24"/>
      <c r="F131" s="24"/>
      <c r="G131" s="24"/>
      <c r="H131" s="24"/>
      <c r="I131" s="24"/>
      <c r="J131" s="24"/>
      <c r="K131" s="25"/>
    </row>
    <row r="132" s="5" customFormat="1" ht="20" customHeight="1" spans="1:11">
      <c r="A132" s="22"/>
      <c r="B132" s="23"/>
      <c r="C132" s="24"/>
      <c r="D132" s="24"/>
      <c r="E132" s="24"/>
      <c r="F132" s="24"/>
      <c r="G132" s="24"/>
      <c r="H132" s="24"/>
      <c r="I132" s="24"/>
      <c r="J132" s="24"/>
      <c r="K132" s="25"/>
    </row>
    <row r="133" s="5" customFormat="1" ht="20" customHeight="1" spans="1:11">
      <c r="A133" s="22"/>
      <c r="B133" s="23"/>
      <c r="C133" s="24"/>
      <c r="D133" s="24"/>
      <c r="E133" s="24"/>
      <c r="F133" s="24"/>
      <c r="G133" s="24"/>
      <c r="H133" s="24"/>
      <c r="I133" s="24"/>
      <c r="J133" s="24"/>
      <c r="K133" s="25"/>
    </row>
    <row r="134" s="5" customFormat="1" ht="20" customHeight="1" spans="1:11">
      <c r="A134" s="22"/>
      <c r="B134" s="23"/>
      <c r="C134" s="24"/>
      <c r="D134" s="24"/>
      <c r="E134" s="24"/>
      <c r="F134" s="24"/>
      <c r="G134" s="24"/>
      <c r="H134" s="24"/>
      <c r="I134" s="24"/>
      <c r="J134" s="24"/>
      <c r="K134" s="25"/>
    </row>
    <row r="135" s="5" customFormat="1" ht="20" customHeight="1" spans="1:11">
      <c r="A135" s="22"/>
      <c r="B135" s="23"/>
      <c r="C135" s="24"/>
      <c r="D135" s="24"/>
      <c r="E135" s="24"/>
      <c r="F135" s="24"/>
      <c r="G135" s="24"/>
      <c r="H135" s="24"/>
      <c r="I135" s="24"/>
      <c r="J135" s="24"/>
      <c r="K135" s="25"/>
    </row>
    <row r="136" s="5" customFormat="1" ht="20" customHeight="1" spans="1:11">
      <c r="A136" s="22"/>
      <c r="B136" s="23"/>
      <c r="C136" s="24"/>
      <c r="D136" s="24"/>
      <c r="E136" s="24"/>
      <c r="F136" s="24"/>
      <c r="G136" s="24"/>
      <c r="H136" s="24"/>
      <c r="I136" s="24"/>
      <c r="J136" s="24"/>
      <c r="K136" s="25"/>
    </row>
    <row r="137" s="5" customFormat="1" ht="20" customHeight="1" spans="1:11">
      <c r="A137" s="22"/>
      <c r="B137" s="23"/>
      <c r="C137" s="24"/>
      <c r="D137" s="24"/>
      <c r="E137" s="24"/>
      <c r="F137" s="24"/>
      <c r="G137" s="24"/>
      <c r="H137" s="24"/>
      <c r="I137" s="24"/>
      <c r="J137" s="24"/>
      <c r="K137" s="25"/>
    </row>
    <row r="138" s="5" customFormat="1" ht="20" customHeight="1" spans="1:11">
      <c r="A138" s="22"/>
      <c r="B138" s="23"/>
      <c r="C138" s="24"/>
      <c r="D138" s="24"/>
      <c r="E138" s="24"/>
      <c r="F138" s="24"/>
      <c r="G138" s="24"/>
      <c r="H138" s="24"/>
      <c r="I138" s="24"/>
      <c r="J138" s="24"/>
      <c r="K138" s="25"/>
    </row>
    <row r="139" s="5" customFormat="1" ht="20" customHeight="1" spans="1:11">
      <c r="A139" s="22"/>
      <c r="B139" s="23"/>
      <c r="C139" s="24"/>
      <c r="D139" s="24"/>
      <c r="E139" s="24"/>
      <c r="F139" s="24"/>
      <c r="G139" s="24"/>
      <c r="H139" s="24"/>
      <c r="I139" s="24"/>
      <c r="J139" s="24"/>
      <c r="K139" s="25"/>
    </row>
    <row r="140" s="5" customFormat="1" ht="20" customHeight="1" spans="1:11">
      <c r="A140" s="22"/>
      <c r="B140" s="23"/>
      <c r="C140" s="24"/>
      <c r="D140" s="24"/>
      <c r="E140" s="24"/>
      <c r="F140" s="24"/>
      <c r="G140" s="24"/>
      <c r="H140" s="24"/>
      <c r="I140" s="24"/>
      <c r="J140" s="24"/>
      <c r="K140" s="25"/>
    </row>
    <row r="141" s="5" customFormat="1" ht="20" customHeight="1" spans="1:11">
      <c r="A141" s="22"/>
      <c r="B141" s="23"/>
      <c r="C141" s="24"/>
      <c r="D141" s="24"/>
      <c r="E141" s="24"/>
      <c r="F141" s="24"/>
      <c r="G141" s="24"/>
      <c r="H141" s="24"/>
      <c r="I141" s="24"/>
      <c r="J141" s="24"/>
      <c r="K141" s="25"/>
    </row>
    <row r="142" s="5" customFormat="1" ht="20" customHeight="1" spans="1:11">
      <c r="A142" s="22"/>
      <c r="B142" s="23"/>
      <c r="C142" s="24"/>
      <c r="D142" s="24"/>
      <c r="E142" s="24"/>
      <c r="F142" s="24"/>
      <c r="G142" s="24"/>
      <c r="H142" s="24"/>
      <c r="I142" s="24"/>
      <c r="J142" s="24"/>
      <c r="K142" s="25"/>
    </row>
    <row r="143" s="5" customFormat="1" ht="20" customHeight="1" spans="1:11">
      <c r="A143" s="22"/>
      <c r="B143" s="23"/>
      <c r="C143" s="24"/>
      <c r="D143" s="24"/>
      <c r="E143" s="24"/>
      <c r="F143" s="24"/>
      <c r="G143" s="24"/>
      <c r="H143" s="24"/>
      <c r="I143" s="24"/>
      <c r="J143" s="24"/>
      <c r="K143" s="25"/>
    </row>
    <row r="144" s="5" customFormat="1" ht="20" customHeight="1" spans="1:11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5"/>
    </row>
    <row r="145" s="5" customFormat="1" ht="20" customHeight="1" spans="1:11">
      <c r="A145" s="22"/>
      <c r="B145" s="23"/>
      <c r="C145" s="24"/>
      <c r="D145" s="24"/>
      <c r="E145" s="24"/>
      <c r="F145" s="24"/>
      <c r="G145" s="24"/>
      <c r="H145" s="24"/>
      <c r="I145" s="24"/>
      <c r="J145" s="24"/>
      <c r="K145" s="25"/>
    </row>
    <row r="146" s="5" customFormat="1" ht="20" customHeight="1" spans="1:11">
      <c r="A146" s="22"/>
      <c r="B146" s="23"/>
      <c r="C146" s="24"/>
      <c r="D146" s="24"/>
      <c r="E146" s="24"/>
      <c r="F146" s="24"/>
      <c r="G146" s="24"/>
      <c r="H146" s="24"/>
      <c r="I146" s="24"/>
      <c r="J146" s="24"/>
      <c r="K146" s="25"/>
    </row>
    <row r="147" s="5" customFormat="1" ht="20" customHeight="1" spans="1:11">
      <c r="A147" s="22"/>
      <c r="B147" s="23"/>
      <c r="C147" s="24"/>
      <c r="D147" s="24"/>
      <c r="E147" s="24"/>
      <c r="F147" s="24"/>
      <c r="G147" s="24"/>
      <c r="H147" s="24"/>
      <c r="I147" s="24"/>
      <c r="J147" s="24"/>
      <c r="K147" s="25"/>
    </row>
    <row r="148" s="5" customFormat="1" ht="20" customHeight="1" spans="1:11">
      <c r="A148" s="22"/>
      <c r="B148" s="23"/>
      <c r="C148" s="24"/>
      <c r="D148" s="24"/>
      <c r="E148" s="24"/>
      <c r="F148" s="24"/>
      <c r="G148" s="24"/>
      <c r="H148" s="24"/>
      <c r="I148" s="24"/>
      <c r="J148" s="24"/>
      <c r="K148" s="25"/>
    </row>
    <row r="149" s="5" customFormat="1" ht="20" customHeight="1" spans="1:11">
      <c r="A149" s="22"/>
      <c r="B149" s="23"/>
      <c r="C149" s="24"/>
      <c r="D149" s="24"/>
      <c r="E149" s="24"/>
      <c r="F149" s="24"/>
      <c r="G149" s="24"/>
      <c r="H149" s="24"/>
      <c r="I149" s="24"/>
      <c r="J149" s="24"/>
      <c r="K149" s="25"/>
    </row>
    <row r="150" s="5" customFormat="1" ht="20" customHeight="1" spans="1:11">
      <c r="A150" s="22"/>
      <c r="B150" s="23"/>
      <c r="C150" s="24"/>
      <c r="D150" s="24"/>
      <c r="E150" s="24"/>
      <c r="F150" s="24"/>
      <c r="G150" s="24"/>
      <c r="H150" s="24"/>
      <c r="I150" s="24"/>
      <c r="J150" s="24"/>
      <c r="K150" s="25"/>
    </row>
    <row r="151" s="5" customFormat="1" ht="20" customHeight="1" spans="1:11">
      <c r="A151" s="22"/>
      <c r="B151" s="23"/>
      <c r="C151" s="24"/>
      <c r="D151" s="24"/>
      <c r="E151" s="24"/>
      <c r="F151" s="24"/>
      <c r="G151" s="24"/>
      <c r="H151" s="24"/>
      <c r="I151" s="24"/>
      <c r="J151" s="24"/>
      <c r="K151" s="25"/>
    </row>
    <row r="152" s="5" customFormat="1" ht="20" customHeight="1" spans="1:11">
      <c r="A152" s="22"/>
      <c r="B152" s="23"/>
      <c r="C152" s="24"/>
      <c r="D152" s="24"/>
      <c r="E152" s="24"/>
      <c r="F152" s="24"/>
      <c r="G152" s="24"/>
      <c r="H152" s="24"/>
      <c r="I152" s="24"/>
      <c r="J152" s="24"/>
      <c r="K152" s="25"/>
    </row>
    <row r="153" s="5" customFormat="1" ht="20" customHeight="1" spans="1:11">
      <c r="A153" s="22"/>
      <c r="B153" s="23"/>
      <c r="C153" s="24"/>
      <c r="D153" s="24"/>
      <c r="E153" s="24"/>
      <c r="F153" s="24"/>
      <c r="G153" s="24"/>
      <c r="H153" s="24"/>
      <c r="I153" s="24"/>
      <c r="J153" s="24"/>
      <c r="K153" s="25"/>
    </row>
    <row r="154" s="5" customFormat="1" ht="20" customHeight="1" spans="1:11">
      <c r="A154" s="22"/>
      <c r="B154" s="23"/>
      <c r="C154" s="24"/>
      <c r="D154" s="24"/>
      <c r="E154" s="24"/>
      <c r="F154" s="24"/>
      <c r="G154" s="24"/>
      <c r="H154" s="24"/>
      <c r="I154" s="24"/>
      <c r="J154" s="24"/>
      <c r="K154" s="25"/>
    </row>
    <row r="155" s="5" customFormat="1" ht="20" customHeight="1" spans="1:11">
      <c r="A155" s="22"/>
      <c r="B155" s="23"/>
      <c r="C155" s="24"/>
      <c r="D155" s="24"/>
      <c r="E155" s="24"/>
      <c r="F155" s="24"/>
      <c r="G155" s="24"/>
      <c r="H155" s="24"/>
      <c r="I155" s="24"/>
      <c r="J155" s="24"/>
      <c r="K155" s="25"/>
    </row>
    <row r="156" s="5" customFormat="1" ht="20" customHeight="1" spans="1:11">
      <c r="A156" s="22"/>
      <c r="B156" s="23"/>
      <c r="C156" s="24"/>
      <c r="D156" s="24"/>
      <c r="E156" s="24"/>
      <c r="F156" s="24"/>
      <c r="G156" s="24"/>
      <c r="H156" s="24"/>
      <c r="I156" s="24"/>
      <c r="J156" s="24"/>
      <c r="K156" s="25"/>
    </row>
    <row r="157" s="5" customFormat="1" ht="20" customHeight="1" spans="1:11">
      <c r="A157" s="22"/>
      <c r="B157" s="23"/>
      <c r="C157" s="24"/>
      <c r="D157" s="24"/>
      <c r="E157" s="24"/>
      <c r="F157" s="24"/>
      <c r="G157" s="24"/>
      <c r="H157" s="24"/>
      <c r="I157" s="24"/>
      <c r="J157" s="24"/>
      <c r="K157" s="25"/>
    </row>
    <row r="158" s="5" customFormat="1" ht="20" customHeight="1" spans="1:11">
      <c r="A158" s="22"/>
      <c r="B158" s="23"/>
      <c r="C158" s="24"/>
      <c r="D158" s="24"/>
      <c r="E158" s="24"/>
      <c r="F158" s="24"/>
      <c r="G158" s="24"/>
      <c r="H158" s="24"/>
      <c r="I158" s="24"/>
      <c r="J158" s="24"/>
      <c r="K158" s="25"/>
    </row>
    <row r="159" s="5" customFormat="1" ht="20" customHeight="1" spans="1:11">
      <c r="A159" s="22"/>
      <c r="B159" s="23"/>
      <c r="C159" s="24"/>
      <c r="D159" s="24"/>
      <c r="E159" s="24"/>
      <c r="F159" s="24"/>
      <c r="G159" s="24"/>
      <c r="H159" s="24"/>
      <c r="I159" s="24"/>
      <c r="J159" s="24"/>
      <c r="K159" s="25"/>
    </row>
    <row r="160" s="5" customFormat="1" ht="20" customHeight="1" spans="1:11">
      <c r="A160" s="22"/>
      <c r="B160" s="23"/>
      <c r="C160" s="24"/>
      <c r="D160" s="24"/>
      <c r="E160" s="24"/>
      <c r="F160" s="24"/>
      <c r="G160" s="24"/>
      <c r="H160" s="24"/>
      <c r="I160" s="24"/>
      <c r="J160" s="24"/>
      <c r="K160" s="25"/>
    </row>
    <row r="161" s="5" customFormat="1" ht="20" customHeight="1" spans="1:11">
      <c r="A161" s="22"/>
      <c r="B161" s="23"/>
      <c r="C161" s="24"/>
      <c r="D161" s="24"/>
      <c r="E161" s="24"/>
      <c r="F161" s="24"/>
      <c r="G161" s="24"/>
      <c r="H161" s="24"/>
      <c r="I161" s="24"/>
      <c r="J161" s="24"/>
      <c r="K161" s="25"/>
    </row>
    <row r="162" s="5" customFormat="1" ht="20" customHeight="1" spans="1:11">
      <c r="A162" s="22"/>
      <c r="B162" s="23"/>
      <c r="C162" s="24"/>
      <c r="D162" s="24"/>
      <c r="E162" s="24"/>
      <c r="F162" s="24"/>
      <c r="G162" s="24"/>
      <c r="H162" s="24"/>
      <c r="I162" s="24"/>
      <c r="J162" s="24"/>
      <c r="K162" s="25"/>
    </row>
    <row r="163" s="5" customFormat="1" ht="20" customHeight="1" spans="1:11">
      <c r="A163" s="22"/>
      <c r="B163" s="23"/>
      <c r="C163" s="24"/>
      <c r="D163" s="24"/>
      <c r="E163" s="24"/>
      <c r="F163" s="24"/>
      <c r="G163" s="24"/>
      <c r="H163" s="24"/>
      <c r="I163" s="24"/>
      <c r="J163" s="24"/>
      <c r="K163" s="25"/>
    </row>
    <row r="164" s="5" customFormat="1" ht="20" customHeight="1" spans="1:11">
      <c r="A164" s="22"/>
      <c r="B164" s="23"/>
      <c r="C164" s="24"/>
      <c r="D164" s="24"/>
      <c r="E164" s="24"/>
      <c r="F164" s="24"/>
      <c r="G164" s="24"/>
      <c r="H164" s="24"/>
      <c r="I164" s="24"/>
      <c r="J164" s="24"/>
      <c r="K164" s="25"/>
    </row>
    <row r="165" s="5" customFormat="1" ht="20" customHeight="1" spans="1:11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5"/>
    </row>
    <row r="166" s="5" customFormat="1" ht="20" customHeight="1" spans="1:11">
      <c r="A166" s="22"/>
      <c r="B166" s="23"/>
      <c r="C166" s="24"/>
      <c r="D166" s="24"/>
      <c r="E166" s="24"/>
      <c r="F166" s="24"/>
      <c r="G166" s="24"/>
      <c r="H166" s="24"/>
      <c r="I166" s="24"/>
      <c r="J166" s="24"/>
      <c r="K166" s="25"/>
    </row>
    <row r="167" s="5" customFormat="1" ht="20" customHeight="1" spans="1:11">
      <c r="A167" s="22"/>
      <c r="B167" s="23"/>
      <c r="C167" s="24"/>
      <c r="D167" s="24"/>
      <c r="E167" s="24"/>
      <c r="F167" s="24"/>
      <c r="G167" s="24"/>
      <c r="H167" s="24"/>
      <c r="I167" s="24"/>
      <c r="J167" s="24"/>
      <c r="K167" s="25"/>
    </row>
    <row r="168" s="5" customFormat="1" ht="20" customHeight="1" spans="1:11">
      <c r="A168" s="22"/>
      <c r="B168" s="23"/>
      <c r="C168" s="24"/>
      <c r="D168" s="24"/>
      <c r="E168" s="24"/>
      <c r="F168" s="24"/>
      <c r="G168" s="24"/>
      <c r="H168" s="24"/>
      <c r="I168" s="24"/>
      <c r="J168" s="24"/>
      <c r="K168" s="25"/>
    </row>
    <row r="169" s="5" customFormat="1" ht="20" customHeight="1" spans="1:11">
      <c r="A169" s="22"/>
      <c r="B169" s="23"/>
      <c r="C169" s="24"/>
      <c r="D169" s="24"/>
      <c r="E169" s="24"/>
      <c r="F169" s="24"/>
      <c r="G169" s="24"/>
      <c r="H169" s="24"/>
      <c r="I169" s="24"/>
      <c r="J169" s="24"/>
      <c r="K169" s="25"/>
    </row>
    <row r="170" s="5" customFormat="1" ht="20" customHeight="1" spans="1:11">
      <c r="A170" s="22"/>
      <c r="B170" s="23"/>
      <c r="C170" s="24"/>
      <c r="D170" s="24"/>
      <c r="E170" s="24"/>
      <c r="F170" s="24"/>
      <c r="G170" s="24"/>
      <c r="H170" s="24"/>
      <c r="I170" s="24"/>
      <c r="J170" s="24"/>
      <c r="K170" s="25"/>
    </row>
    <row r="171" s="5" customFormat="1" ht="20" customHeight="1" spans="1:11">
      <c r="A171" s="22"/>
      <c r="B171" s="23"/>
      <c r="C171" s="24"/>
      <c r="D171" s="24"/>
      <c r="E171" s="24"/>
      <c r="F171" s="24"/>
      <c r="G171" s="24"/>
      <c r="H171" s="24"/>
      <c r="I171" s="24"/>
      <c r="J171" s="24"/>
      <c r="K171" s="25"/>
    </row>
    <row r="172" s="5" customFormat="1" ht="20" customHeight="1" spans="1:11">
      <c r="A172" s="22"/>
      <c r="B172" s="23"/>
      <c r="C172" s="24"/>
      <c r="D172" s="24"/>
      <c r="E172" s="24"/>
      <c r="F172" s="24"/>
      <c r="G172" s="24"/>
      <c r="H172" s="24"/>
      <c r="I172" s="24"/>
      <c r="J172" s="24"/>
      <c r="K172" s="25"/>
    </row>
    <row r="173" s="5" customFormat="1" ht="20" customHeight="1" spans="1:11">
      <c r="A173" s="22"/>
      <c r="B173" s="23"/>
      <c r="C173" s="24"/>
      <c r="D173" s="24"/>
      <c r="E173" s="24"/>
      <c r="F173" s="24"/>
      <c r="G173" s="24"/>
      <c r="H173" s="24"/>
      <c r="I173" s="24"/>
      <c r="J173" s="24"/>
      <c r="K173" s="25"/>
    </row>
    <row r="174" s="5" customFormat="1" ht="20" customHeight="1" spans="1:11">
      <c r="A174" s="22"/>
      <c r="B174" s="23"/>
      <c r="C174" s="24"/>
      <c r="D174" s="24"/>
      <c r="E174" s="24"/>
      <c r="F174" s="24"/>
      <c r="G174" s="24"/>
      <c r="H174" s="24"/>
      <c r="I174" s="24"/>
      <c r="J174" s="24"/>
      <c r="K174" s="25"/>
    </row>
    <row r="175" s="5" customFormat="1" ht="20" customHeight="1" spans="1:11">
      <c r="A175" s="22"/>
      <c r="B175" s="23"/>
      <c r="C175" s="24"/>
      <c r="D175" s="24"/>
      <c r="E175" s="24"/>
      <c r="F175" s="24"/>
      <c r="G175" s="24"/>
      <c r="H175" s="24"/>
      <c r="I175" s="24"/>
      <c r="J175" s="24"/>
      <c r="K175" s="25"/>
    </row>
    <row r="176" s="5" customFormat="1" ht="20" customHeight="1" spans="1:11">
      <c r="A176" s="22"/>
      <c r="B176" s="23"/>
      <c r="C176" s="24"/>
      <c r="D176" s="24"/>
      <c r="E176" s="24"/>
      <c r="F176" s="24"/>
      <c r="G176" s="24"/>
      <c r="H176" s="24"/>
      <c r="I176" s="24"/>
      <c r="J176" s="24"/>
      <c r="K176" s="25"/>
    </row>
    <row r="177" s="5" customFormat="1" ht="20" customHeight="1" spans="1:11">
      <c r="A177" s="22"/>
      <c r="B177" s="23"/>
      <c r="C177" s="24"/>
      <c r="D177" s="24"/>
      <c r="E177" s="24"/>
      <c r="F177" s="24"/>
      <c r="G177" s="24"/>
      <c r="H177" s="24"/>
      <c r="I177" s="24"/>
      <c r="J177" s="24"/>
      <c r="K177" s="25"/>
    </row>
    <row r="178" s="5" customFormat="1" ht="20" customHeight="1" spans="1:11">
      <c r="A178" s="22"/>
      <c r="B178" s="23"/>
      <c r="C178" s="24"/>
      <c r="D178" s="24"/>
      <c r="E178" s="24"/>
      <c r="F178" s="24"/>
      <c r="G178" s="24"/>
      <c r="H178" s="24"/>
      <c r="I178" s="24"/>
      <c r="J178" s="24"/>
      <c r="K178" s="25"/>
    </row>
    <row r="179" s="5" customFormat="1" ht="20" customHeight="1" spans="1:11">
      <c r="A179" s="22"/>
      <c r="B179" s="23"/>
      <c r="C179" s="24"/>
      <c r="D179" s="24"/>
      <c r="E179" s="24"/>
      <c r="F179" s="24"/>
      <c r="G179" s="24"/>
      <c r="H179" s="24"/>
      <c r="I179" s="24"/>
      <c r="J179" s="24"/>
      <c r="K179" s="25"/>
    </row>
    <row r="180" s="5" customFormat="1" ht="20" customHeight="1" spans="1:11">
      <c r="A180" s="22"/>
      <c r="B180" s="23"/>
      <c r="C180" s="24"/>
      <c r="D180" s="24"/>
      <c r="E180" s="24"/>
      <c r="F180" s="24"/>
      <c r="G180" s="24"/>
      <c r="H180" s="24"/>
      <c r="I180" s="24"/>
      <c r="J180" s="24"/>
      <c r="K180" s="25"/>
    </row>
    <row r="181" s="5" customFormat="1" ht="20" customHeight="1" spans="1:11">
      <c r="A181" s="22"/>
      <c r="B181" s="23"/>
      <c r="C181" s="24"/>
      <c r="D181" s="24"/>
      <c r="E181" s="24"/>
      <c r="F181" s="24"/>
      <c r="G181" s="24"/>
      <c r="H181" s="24"/>
      <c r="I181" s="24"/>
      <c r="J181" s="24"/>
      <c r="K181" s="25"/>
    </row>
    <row r="182" s="5" customFormat="1" ht="20" customHeight="1" spans="1:11">
      <c r="A182" s="22"/>
      <c r="B182" s="23"/>
      <c r="C182" s="24"/>
      <c r="D182" s="24"/>
      <c r="E182" s="24"/>
      <c r="F182" s="24"/>
      <c r="G182" s="24"/>
      <c r="H182" s="24"/>
      <c r="I182" s="24"/>
      <c r="J182" s="24"/>
      <c r="K182" s="25"/>
    </row>
    <row r="183" s="5" customFormat="1" ht="20" customHeight="1" spans="1:11">
      <c r="A183" s="22"/>
      <c r="B183" s="23"/>
      <c r="C183" s="24"/>
      <c r="D183" s="24"/>
      <c r="E183" s="24"/>
      <c r="F183" s="24"/>
      <c r="G183" s="24"/>
      <c r="H183" s="24"/>
      <c r="I183" s="24"/>
      <c r="J183" s="24"/>
      <c r="K183" s="25"/>
    </row>
    <row r="184" s="5" customFormat="1" ht="20" customHeight="1" spans="1:11">
      <c r="A184" s="22"/>
      <c r="B184" s="23"/>
      <c r="C184" s="24"/>
      <c r="D184" s="24"/>
      <c r="E184" s="24"/>
      <c r="F184" s="24"/>
      <c r="G184" s="24"/>
      <c r="H184" s="24"/>
      <c r="I184" s="24"/>
      <c r="J184" s="24"/>
      <c r="K184" s="25"/>
    </row>
    <row r="185" s="5" customFormat="1" ht="20" customHeight="1" spans="1:11">
      <c r="A185" s="22"/>
      <c r="B185" s="23"/>
      <c r="C185" s="24"/>
      <c r="D185" s="24"/>
      <c r="E185" s="24"/>
      <c r="F185" s="24"/>
      <c r="G185" s="24"/>
      <c r="H185" s="24"/>
      <c r="I185" s="24"/>
      <c r="J185" s="24"/>
      <c r="K185" s="25"/>
    </row>
    <row r="186" s="5" customFormat="1" ht="20" customHeight="1" spans="1:11">
      <c r="A186" s="22"/>
      <c r="B186" s="23"/>
      <c r="C186" s="24"/>
      <c r="D186" s="24"/>
      <c r="E186" s="24"/>
      <c r="F186" s="24"/>
      <c r="G186" s="24"/>
      <c r="H186" s="24"/>
      <c r="I186" s="24"/>
      <c r="J186" s="24"/>
      <c r="K186" s="25"/>
    </row>
    <row r="187" s="5" customFormat="1" ht="20" customHeight="1" spans="1:11">
      <c r="A187" s="22"/>
      <c r="B187" s="23"/>
      <c r="C187" s="24"/>
      <c r="D187" s="24"/>
      <c r="E187" s="24"/>
      <c r="F187" s="24"/>
      <c r="G187" s="24"/>
      <c r="H187" s="24"/>
      <c r="I187" s="24"/>
      <c r="J187" s="24"/>
      <c r="K187" s="25"/>
    </row>
    <row r="188" s="5" customFormat="1" ht="20" customHeight="1" spans="1:11">
      <c r="A188" s="22"/>
      <c r="B188" s="23"/>
      <c r="C188" s="24"/>
      <c r="D188" s="24"/>
      <c r="E188" s="24"/>
      <c r="F188" s="24"/>
      <c r="G188" s="24"/>
      <c r="H188" s="24"/>
      <c r="I188" s="24"/>
      <c r="J188" s="24"/>
      <c r="K188" s="25"/>
    </row>
    <row r="189" s="5" customFormat="1" ht="20" customHeight="1" spans="1:11">
      <c r="A189" s="22"/>
      <c r="B189" s="23"/>
      <c r="C189" s="24"/>
      <c r="D189" s="24"/>
      <c r="E189" s="24"/>
      <c r="F189" s="24"/>
      <c r="G189" s="24"/>
      <c r="H189" s="24"/>
      <c r="I189" s="24"/>
      <c r="J189" s="24"/>
      <c r="K189" s="25"/>
    </row>
    <row r="190" s="5" customFormat="1" ht="20" customHeight="1" spans="1:11">
      <c r="A190" s="22"/>
      <c r="B190" s="23"/>
      <c r="C190" s="24"/>
      <c r="D190" s="24"/>
      <c r="E190" s="24"/>
      <c r="F190" s="24"/>
      <c r="G190" s="24"/>
      <c r="H190" s="24"/>
      <c r="I190" s="24"/>
      <c r="J190" s="24"/>
      <c r="K190" s="25"/>
    </row>
    <row r="191" s="5" customFormat="1" ht="20" customHeight="1" spans="1:11">
      <c r="A191" s="22"/>
      <c r="B191" s="23"/>
      <c r="C191" s="24"/>
      <c r="D191" s="24"/>
      <c r="E191" s="24"/>
      <c r="F191" s="24"/>
      <c r="G191" s="24"/>
      <c r="H191" s="24"/>
      <c r="I191" s="24"/>
      <c r="J191" s="24"/>
      <c r="K191" s="25"/>
    </row>
    <row r="192" s="5" customFormat="1" ht="20" customHeight="1" spans="1:11">
      <c r="A192" s="22"/>
      <c r="B192" s="23"/>
      <c r="C192" s="24"/>
      <c r="D192" s="24"/>
      <c r="E192" s="24"/>
      <c r="F192" s="24"/>
      <c r="G192" s="24"/>
      <c r="H192" s="24"/>
      <c r="I192" s="24"/>
      <c r="J192" s="24"/>
      <c r="K192" s="25"/>
    </row>
    <row r="193" s="5" customFormat="1" ht="20" customHeight="1" spans="1:11">
      <c r="A193" s="22"/>
      <c r="B193" s="23"/>
      <c r="C193" s="24"/>
      <c r="D193" s="24"/>
      <c r="E193" s="24"/>
      <c r="F193" s="24"/>
      <c r="G193" s="24"/>
      <c r="H193" s="24"/>
      <c r="I193" s="24"/>
      <c r="J193" s="24"/>
      <c r="K193" s="25"/>
    </row>
    <row r="194" s="5" customFormat="1" ht="20" customHeight="1" spans="1:11">
      <c r="A194" s="22"/>
      <c r="B194" s="23"/>
      <c r="C194" s="24"/>
      <c r="D194" s="24"/>
      <c r="E194" s="24"/>
      <c r="F194" s="24"/>
      <c r="G194" s="24"/>
      <c r="H194" s="24"/>
      <c r="I194" s="24"/>
      <c r="J194" s="24"/>
      <c r="K194" s="25"/>
    </row>
    <row r="195" s="5" customFormat="1" ht="20" customHeight="1" spans="1:11">
      <c r="A195" s="22"/>
      <c r="B195" s="23"/>
      <c r="C195" s="24"/>
      <c r="D195" s="24"/>
      <c r="E195" s="24"/>
      <c r="F195" s="24"/>
      <c r="G195" s="24"/>
      <c r="H195" s="24"/>
      <c r="I195" s="24"/>
      <c r="J195" s="24"/>
      <c r="K195" s="25"/>
    </row>
    <row r="196" s="5" customFormat="1" ht="20" customHeight="1" spans="1:11">
      <c r="A196" s="22"/>
      <c r="B196" s="23"/>
      <c r="C196" s="24"/>
      <c r="D196" s="24"/>
      <c r="E196" s="24"/>
      <c r="F196" s="24"/>
      <c r="G196" s="24"/>
      <c r="H196" s="24"/>
      <c r="I196" s="24"/>
      <c r="J196" s="24"/>
      <c r="K196" s="25"/>
    </row>
    <row r="197" s="5" customFormat="1" ht="20" customHeight="1" spans="1:11">
      <c r="A197" s="22"/>
      <c r="B197" s="23"/>
      <c r="C197" s="24"/>
      <c r="D197" s="24"/>
      <c r="E197" s="24"/>
      <c r="F197" s="24"/>
      <c r="G197" s="24"/>
      <c r="H197" s="24"/>
      <c r="I197" s="24"/>
      <c r="J197" s="24"/>
      <c r="K197" s="25"/>
    </row>
    <row r="198" s="5" customFormat="1" ht="20" customHeight="1" spans="1:11">
      <c r="A198" s="22"/>
      <c r="B198" s="23"/>
      <c r="C198" s="24"/>
      <c r="D198" s="24"/>
      <c r="E198" s="24"/>
      <c r="F198" s="24"/>
      <c r="G198" s="24"/>
      <c r="H198" s="24"/>
      <c r="I198" s="24"/>
      <c r="J198" s="24"/>
      <c r="K198" s="25"/>
    </row>
    <row r="199" s="5" customFormat="1" ht="20" customHeight="1" spans="1:11">
      <c r="A199" s="22"/>
      <c r="B199" s="23"/>
      <c r="C199" s="24"/>
      <c r="D199" s="24"/>
      <c r="E199" s="24"/>
      <c r="F199" s="24"/>
      <c r="G199" s="24"/>
      <c r="H199" s="24"/>
      <c r="I199" s="24"/>
      <c r="J199" s="24"/>
      <c r="K199" s="25"/>
    </row>
    <row r="200" s="5" customFormat="1" ht="20" customHeight="1" spans="1:11">
      <c r="A200" s="22"/>
      <c r="B200" s="23"/>
      <c r="C200" s="24"/>
      <c r="D200" s="24"/>
      <c r="E200" s="24"/>
      <c r="F200" s="24"/>
      <c r="G200" s="24"/>
      <c r="H200" s="24"/>
      <c r="I200" s="24"/>
      <c r="J200" s="24"/>
      <c r="K200" s="25"/>
    </row>
    <row r="201" s="5" customFormat="1" ht="20" customHeight="1" spans="1:11">
      <c r="A201" s="22"/>
      <c r="B201" s="23"/>
      <c r="C201" s="24"/>
      <c r="D201" s="24"/>
      <c r="E201" s="24"/>
      <c r="F201" s="24"/>
      <c r="G201" s="24"/>
      <c r="H201" s="24"/>
      <c r="I201" s="24"/>
      <c r="J201" s="24"/>
      <c r="K201" s="25"/>
    </row>
    <row r="202" s="5" customFormat="1" ht="20" customHeight="1" spans="1:11">
      <c r="A202" s="22"/>
      <c r="B202" s="23"/>
      <c r="C202" s="24"/>
      <c r="D202" s="24"/>
      <c r="E202" s="24"/>
      <c r="F202" s="24"/>
      <c r="G202" s="24"/>
      <c r="H202" s="24"/>
      <c r="I202" s="24"/>
      <c r="J202" s="24"/>
      <c r="K202" s="25"/>
    </row>
    <row r="203" s="5" customFormat="1" ht="20" customHeight="1" spans="1:11">
      <c r="A203" s="22"/>
      <c r="B203" s="23"/>
      <c r="C203" s="24"/>
      <c r="D203" s="24"/>
      <c r="E203" s="24"/>
      <c r="F203" s="24"/>
      <c r="G203" s="24"/>
      <c r="H203" s="24"/>
      <c r="I203" s="24"/>
      <c r="J203" s="24"/>
      <c r="K203" s="25"/>
    </row>
    <row r="204" s="5" customFormat="1" ht="20" customHeight="1" spans="1:11">
      <c r="A204" s="22"/>
      <c r="B204" s="23"/>
      <c r="C204" s="24"/>
      <c r="D204" s="24"/>
      <c r="E204" s="24"/>
      <c r="F204" s="24"/>
      <c r="G204" s="24"/>
      <c r="H204" s="24"/>
      <c r="I204" s="24"/>
      <c r="J204" s="24"/>
      <c r="K204" s="25"/>
    </row>
    <row r="205" s="5" customFormat="1" ht="20" customHeight="1" spans="1:11">
      <c r="A205" s="22"/>
      <c r="B205" s="23"/>
      <c r="C205" s="24"/>
      <c r="D205" s="24"/>
      <c r="E205" s="24"/>
      <c r="F205" s="24"/>
      <c r="G205" s="24"/>
      <c r="H205" s="24"/>
      <c r="I205" s="24"/>
      <c r="J205" s="24"/>
      <c r="K205" s="25"/>
    </row>
    <row r="206" s="5" customFormat="1" ht="20" customHeight="1" spans="1:11">
      <c r="A206" s="22"/>
      <c r="B206" s="23"/>
      <c r="C206" s="24"/>
      <c r="D206" s="24"/>
      <c r="E206" s="24"/>
      <c r="F206" s="24"/>
      <c r="G206" s="24"/>
      <c r="H206" s="24"/>
      <c r="I206" s="24"/>
      <c r="J206" s="24"/>
      <c r="K206" s="25"/>
    </row>
    <row r="207" s="5" customFormat="1" ht="20" customHeight="1" spans="1:11">
      <c r="A207" s="22"/>
      <c r="B207" s="23"/>
      <c r="C207" s="24"/>
      <c r="D207" s="24"/>
      <c r="E207" s="24"/>
      <c r="F207" s="24"/>
      <c r="G207" s="24"/>
      <c r="H207" s="24"/>
      <c r="I207" s="24"/>
      <c r="J207" s="24"/>
      <c r="K207" s="25"/>
    </row>
    <row r="208" s="5" customFormat="1" ht="20" customHeight="1" spans="1:11">
      <c r="A208" s="22"/>
      <c r="B208" s="23"/>
      <c r="C208" s="24"/>
      <c r="D208" s="24"/>
      <c r="E208" s="24"/>
      <c r="F208" s="24"/>
      <c r="G208" s="24"/>
      <c r="H208" s="24"/>
      <c r="I208" s="24"/>
      <c r="J208" s="24"/>
      <c r="K208" s="25"/>
    </row>
    <row r="209" s="5" customFormat="1" ht="20" customHeight="1" spans="1:11">
      <c r="A209" s="22"/>
      <c r="B209" s="23"/>
      <c r="C209" s="24"/>
      <c r="D209" s="24"/>
      <c r="E209" s="24"/>
      <c r="F209" s="24"/>
      <c r="G209" s="24"/>
      <c r="H209" s="24"/>
      <c r="I209" s="24"/>
      <c r="J209" s="24"/>
      <c r="K209" s="25"/>
    </row>
    <row r="210" s="5" customFormat="1" ht="20" customHeight="1" spans="1:11">
      <c r="A210" s="22"/>
      <c r="B210" s="23"/>
      <c r="C210" s="24"/>
      <c r="D210" s="24"/>
      <c r="E210" s="24"/>
      <c r="F210" s="24"/>
      <c r="G210" s="24"/>
      <c r="H210" s="24"/>
      <c r="I210" s="24"/>
      <c r="J210" s="24"/>
      <c r="K210" s="25"/>
    </row>
    <row r="211" s="5" customFormat="1" ht="20" customHeight="1" spans="1:11">
      <c r="A211" s="22"/>
      <c r="B211" s="23"/>
      <c r="C211" s="24"/>
      <c r="D211" s="24"/>
      <c r="E211" s="24"/>
      <c r="F211" s="24"/>
      <c r="G211" s="24"/>
      <c r="H211" s="24"/>
      <c r="I211" s="24"/>
      <c r="J211" s="24"/>
      <c r="K211" s="25"/>
    </row>
    <row r="212" s="5" customFormat="1" ht="20" customHeight="1" spans="1:11">
      <c r="A212" s="22"/>
      <c r="B212" s="23"/>
      <c r="C212" s="24"/>
      <c r="D212" s="24"/>
      <c r="E212" s="24"/>
      <c r="F212" s="24"/>
      <c r="G212" s="24"/>
      <c r="H212" s="24"/>
      <c r="I212" s="24"/>
      <c r="J212" s="24"/>
      <c r="K212" s="25"/>
    </row>
    <row r="213" s="5" customFormat="1" ht="20" customHeight="1" spans="1:11">
      <c r="A213" s="22"/>
      <c r="B213" s="23"/>
      <c r="C213" s="24"/>
      <c r="D213" s="24"/>
      <c r="E213" s="24"/>
      <c r="F213" s="24"/>
      <c r="G213" s="24"/>
      <c r="H213" s="24"/>
      <c r="I213" s="24"/>
      <c r="J213" s="24"/>
      <c r="K213" s="25"/>
    </row>
    <row r="214" s="5" customFormat="1" ht="20" customHeight="1" spans="1:11">
      <c r="A214" s="22"/>
      <c r="B214" s="23"/>
      <c r="C214" s="24"/>
      <c r="D214" s="24"/>
      <c r="E214" s="24"/>
      <c r="F214" s="24"/>
      <c r="G214" s="24"/>
      <c r="H214" s="24"/>
      <c r="I214" s="24"/>
      <c r="J214" s="24"/>
      <c r="K214" s="25"/>
    </row>
    <row r="215" s="5" customFormat="1" ht="20" customHeight="1" spans="1:11">
      <c r="A215" s="22"/>
      <c r="B215" s="23"/>
      <c r="C215" s="24"/>
      <c r="D215" s="24"/>
      <c r="E215" s="24"/>
      <c r="F215" s="24"/>
      <c r="G215" s="24"/>
      <c r="H215" s="24"/>
      <c r="I215" s="24"/>
      <c r="J215" s="24"/>
      <c r="K215" s="25"/>
    </row>
    <row r="216" s="5" customFormat="1" ht="20" customHeight="1" spans="1:11">
      <c r="A216" s="22"/>
      <c r="B216" s="23"/>
      <c r="C216" s="24"/>
      <c r="D216" s="24"/>
      <c r="E216" s="24"/>
      <c r="F216" s="24"/>
      <c r="G216" s="24"/>
      <c r="H216" s="24"/>
      <c r="I216" s="24"/>
      <c r="J216" s="24"/>
      <c r="K216" s="25"/>
    </row>
    <row r="217" s="5" customFormat="1" ht="20" customHeight="1" spans="1:11">
      <c r="A217" s="22"/>
      <c r="B217" s="23"/>
      <c r="C217" s="24"/>
      <c r="D217" s="24"/>
      <c r="E217" s="24"/>
      <c r="F217" s="24"/>
      <c r="G217" s="24"/>
      <c r="H217" s="24"/>
      <c r="I217" s="24"/>
      <c r="J217" s="24"/>
      <c r="K217" s="25"/>
    </row>
    <row r="218" s="5" customFormat="1" ht="20" customHeight="1" spans="1:11">
      <c r="A218" s="22"/>
      <c r="B218" s="23"/>
      <c r="C218" s="24"/>
      <c r="D218" s="24"/>
      <c r="E218" s="24"/>
      <c r="F218" s="24"/>
      <c r="G218" s="24"/>
      <c r="H218" s="24"/>
      <c r="I218" s="24"/>
      <c r="J218" s="24"/>
      <c r="K218" s="25"/>
    </row>
    <row r="219" s="5" customFormat="1" ht="20" customHeight="1" spans="1:11">
      <c r="A219" s="22"/>
      <c r="B219" s="23"/>
      <c r="C219" s="24"/>
      <c r="D219" s="24"/>
      <c r="E219" s="24"/>
      <c r="F219" s="24"/>
      <c r="G219" s="24"/>
      <c r="H219" s="24"/>
      <c r="I219" s="24"/>
      <c r="J219" s="24"/>
      <c r="K219" s="25"/>
    </row>
    <row r="220" s="5" customFormat="1" ht="20" customHeight="1" spans="1:11">
      <c r="A220" s="22"/>
      <c r="B220" s="23"/>
      <c r="C220" s="24"/>
      <c r="D220" s="24"/>
      <c r="E220" s="24"/>
      <c r="F220" s="24"/>
      <c r="G220" s="24"/>
      <c r="H220" s="24"/>
      <c r="I220" s="24"/>
      <c r="J220" s="24"/>
      <c r="K220" s="25"/>
    </row>
    <row r="221" s="5" customFormat="1" ht="20" customHeight="1" spans="1:11">
      <c r="A221" s="22"/>
      <c r="B221" s="23"/>
      <c r="C221" s="24"/>
      <c r="D221" s="24"/>
      <c r="E221" s="24"/>
      <c r="F221" s="24"/>
      <c r="G221" s="24"/>
      <c r="H221" s="24"/>
      <c r="I221" s="24"/>
      <c r="J221" s="24"/>
      <c r="K221" s="25"/>
    </row>
    <row r="222" s="5" customFormat="1" ht="20" customHeight="1" spans="1:11">
      <c r="A222" s="22"/>
      <c r="B222" s="23"/>
      <c r="C222" s="24"/>
      <c r="D222" s="24"/>
      <c r="E222" s="24"/>
      <c r="F222" s="24"/>
      <c r="G222" s="24"/>
      <c r="H222" s="24"/>
      <c r="I222" s="24"/>
      <c r="J222" s="24"/>
      <c r="K222" s="25"/>
    </row>
    <row r="223" s="5" customFormat="1" ht="20" customHeight="1" spans="1:11">
      <c r="A223" s="22"/>
      <c r="B223" s="23"/>
      <c r="C223" s="24"/>
      <c r="D223" s="24"/>
      <c r="E223" s="24"/>
      <c r="F223" s="24"/>
      <c r="G223" s="24"/>
      <c r="H223" s="24"/>
      <c r="I223" s="24"/>
      <c r="J223" s="24"/>
      <c r="K223" s="25"/>
    </row>
    <row r="224" s="5" customFormat="1" ht="20" customHeight="1" spans="1:11">
      <c r="A224" s="22"/>
      <c r="B224" s="23"/>
      <c r="C224" s="24"/>
      <c r="D224" s="24"/>
      <c r="E224" s="24"/>
      <c r="F224" s="24"/>
      <c r="G224" s="24"/>
      <c r="H224" s="24"/>
      <c r="I224" s="24"/>
      <c r="J224" s="24"/>
      <c r="K224" s="25"/>
    </row>
    <row r="225" s="5" customFormat="1" ht="20" customHeight="1" spans="1:11">
      <c r="A225" s="22"/>
      <c r="B225" s="23"/>
      <c r="C225" s="24"/>
      <c r="D225" s="24"/>
      <c r="E225" s="24"/>
      <c r="F225" s="24"/>
      <c r="G225" s="24"/>
      <c r="H225" s="24"/>
      <c r="I225" s="24"/>
      <c r="J225" s="24"/>
      <c r="K225" s="25"/>
    </row>
    <row r="226" s="5" customFormat="1" ht="20" customHeight="1" spans="1:11">
      <c r="A226" s="22"/>
      <c r="B226" s="23"/>
      <c r="C226" s="24"/>
      <c r="D226" s="24"/>
      <c r="E226" s="24"/>
      <c r="F226" s="24"/>
      <c r="G226" s="24"/>
      <c r="H226" s="24"/>
      <c r="I226" s="24"/>
      <c r="J226" s="24"/>
      <c r="K226" s="25"/>
    </row>
    <row r="227" s="5" customFormat="1" ht="20" customHeight="1" spans="1:11">
      <c r="A227" s="22"/>
      <c r="B227" s="23"/>
      <c r="C227" s="24"/>
      <c r="D227" s="24"/>
      <c r="E227" s="24"/>
      <c r="F227" s="24"/>
      <c r="G227" s="24"/>
      <c r="H227" s="24"/>
      <c r="I227" s="24"/>
      <c r="J227" s="24"/>
      <c r="K227" s="25"/>
    </row>
    <row r="228" s="5" customFormat="1" ht="20" customHeight="1" spans="1:11">
      <c r="A228" s="22"/>
      <c r="B228" s="23"/>
      <c r="C228" s="24"/>
      <c r="D228" s="24"/>
      <c r="E228" s="24"/>
      <c r="F228" s="24"/>
      <c r="G228" s="24"/>
      <c r="H228" s="24"/>
      <c r="I228" s="24"/>
      <c r="J228" s="24"/>
      <c r="K228" s="25"/>
    </row>
    <row r="229" s="5" customFormat="1" ht="20" customHeight="1" spans="1:11">
      <c r="A229" s="22"/>
      <c r="B229" s="23"/>
      <c r="C229" s="24"/>
      <c r="D229" s="24"/>
      <c r="E229" s="24"/>
      <c r="F229" s="24"/>
      <c r="G229" s="24"/>
      <c r="H229" s="24"/>
      <c r="I229" s="24"/>
      <c r="J229" s="24"/>
      <c r="K229" s="25"/>
    </row>
    <row r="230" s="5" customFormat="1" ht="20" customHeight="1" spans="1:11">
      <c r="A230" s="22"/>
      <c r="B230" s="23"/>
      <c r="C230" s="24"/>
      <c r="D230" s="24"/>
      <c r="E230" s="24"/>
      <c r="F230" s="24"/>
      <c r="G230" s="24"/>
      <c r="H230" s="24"/>
      <c r="I230" s="24"/>
      <c r="J230" s="24"/>
      <c r="K230" s="25"/>
    </row>
    <row r="231" s="5" customFormat="1" ht="20" customHeight="1" spans="1:11">
      <c r="A231" s="22"/>
      <c r="B231" s="23"/>
      <c r="C231" s="24"/>
      <c r="D231" s="24"/>
      <c r="E231" s="24"/>
      <c r="F231" s="24"/>
      <c r="G231" s="24"/>
      <c r="H231" s="24"/>
      <c r="I231" s="24"/>
      <c r="J231" s="24"/>
      <c r="K231" s="25"/>
    </row>
    <row r="232" s="5" customFormat="1" ht="20" customHeight="1" spans="1:11">
      <c r="A232" s="22"/>
      <c r="B232" s="23"/>
      <c r="C232" s="24"/>
      <c r="D232" s="24"/>
      <c r="E232" s="24"/>
      <c r="F232" s="24"/>
      <c r="G232" s="24"/>
      <c r="H232" s="24"/>
      <c r="I232" s="24"/>
      <c r="J232" s="24"/>
      <c r="K232" s="25"/>
    </row>
    <row r="233" s="5" customFormat="1" ht="20" customHeight="1" spans="1:11">
      <c r="A233" s="22"/>
      <c r="B233" s="23"/>
      <c r="C233" s="24"/>
      <c r="D233" s="24"/>
      <c r="E233" s="24"/>
      <c r="F233" s="24"/>
      <c r="G233" s="24"/>
      <c r="H233" s="24"/>
      <c r="I233" s="24"/>
      <c r="J233" s="24"/>
      <c r="K233" s="25"/>
    </row>
    <row r="234" s="5" customFormat="1" ht="20" customHeight="1" spans="1:11">
      <c r="A234" s="22"/>
      <c r="B234" s="23"/>
      <c r="C234" s="24"/>
      <c r="D234" s="24"/>
      <c r="E234" s="24"/>
      <c r="F234" s="24"/>
      <c r="G234" s="24"/>
      <c r="H234" s="24"/>
      <c r="I234" s="24"/>
      <c r="J234" s="24"/>
      <c r="K234" s="25"/>
    </row>
    <row r="235" s="5" customFormat="1" ht="20" customHeight="1" spans="1:11">
      <c r="A235" s="22"/>
      <c r="B235" s="23"/>
      <c r="C235" s="24"/>
      <c r="D235" s="24"/>
      <c r="E235" s="24"/>
      <c r="F235" s="24"/>
      <c r="G235" s="24"/>
      <c r="H235" s="24"/>
      <c r="I235" s="24"/>
      <c r="J235" s="24"/>
      <c r="K235" s="25"/>
    </row>
    <row r="236" s="5" customFormat="1" ht="20" customHeight="1" spans="1:11">
      <c r="A236" s="22"/>
      <c r="B236" s="23"/>
      <c r="C236" s="24"/>
      <c r="D236" s="24"/>
      <c r="E236" s="24"/>
      <c r="F236" s="24"/>
      <c r="G236" s="24"/>
      <c r="H236" s="24"/>
      <c r="I236" s="24"/>
      <c r="J236" s="24"/>
      <c r="K236" s="25"/>
    </row>
    <row r="237" s="5" customFormat="1" ht="20" customHeight="1" spans="1:11">
      <c r="A237" s="22"/>
      <c r="B237" s="23"/>
      <c r="C237" s="24"/>
      <c r="D237" s="24"/>
      <c r="E237" s="24"/>
      <c r="F237" s="24"/>
      <c r="G237" s="24"/>
      <c r="H237" s="24"/>
      <c r="I237" s="24"/>
      <c r="J237" s="24"/>
      <c r="K237" s="25"/>
    </row>
    <row r="238" s="5" customFormat="1" ht="20" customHeight="1" spans="1:11">
      <c r="A238" s="22"/>
      <c r="B238" s="23"/>
      <c r="C238" s="24"/>
      <c r="D238" s="24"/>
      <c r="E238" s="24"/>
      <c r="F238" s="24"/>
      <c r="G238" s="24"/>
      <c r="H238" s="24"/>
      <c r="I238" s="24"/>
      <c r="J238" s="24"/>
      <c r="K238" s="25"/>
    </row>
    <row r="239" s="5" customFormat="1" ht="20" customHeight="1" spans="1:11">
      <c r="A239" s="22"/>
      <c r="B239" s="23"/>
      <c r="C239" s="24"/>
      <c r="D239" s="24"/>
      <c r="E239" s="24"/>
      <c r="F239" s="24"/>
      <c r="G239" s="24"/>
      <c r="H239" s="24"/>
      <c r="I239" s="24"/>
      <c r="J239" s="24"/>
      <c r="K239" s="25"/>
    </row>
    <row r="240" s="5" customFormat="1" ht="20" customHeight="1" spans="1:11">
      <c r="A240" s="22"/>
      <c r="B240" s="23"/>
      <c r="C240" s="24"/>
      <c r="D240" s="24"/>
      <c r="E240" s="24"/>
      <c r="F240" s="24"/>
      <c r="G240" s="24"/>
      <c r="H240" s="24"/>
      <c r="I240" s="24"/>
      <c r="J240" s="24"/>
      <c r="K240" s="25"/>
    </row>
    <row r="241" s="5" customFormat="1" ht="20" customHeight="1" spans="1:11">
      <c r="A241" s="22"/>
      <c r="B241" s="23"/>
      <c r="C241" s="24"/>
      <c r="D241" s="24"/>
      <c r="E241" s="24"/>
      <c r="F241" s="24"/>
      <c r="G241" s="24"/>
      <c r="H241" s="24"/>
      <c r="I241" s="24"/>
      <c r="J241" s="24"/>
      <c r="K241" s="25"/>
    </row>
    <row r="242" s="5" customFormat="1" ht="20" customHeight="1" spans="1:11">
      <c r="A242" s="22"/>
      <c r="B242" s="23"/>
      <c r="C242" s="24"/>
      <c r="D242" s="24"/>
      <c r="E242" s="24"/>
      <c r="F242" s="24"/>
      <c r="G242" s="24"/>
      <c r="H242" s="24"/>
      <c r="I242" s="24"/>
      <c r="J242" s="24"/>
      <c r="K242" s="25"/>
    </row>
    <row r="243" s="5" customFormat="1" ht="20" customHeight="1" spans="1:11">
      <c r="A243" s="22"/>
      <c r="B243" s="23"/>
      <c r="C243" s="24"/>
      <c r="D243" s="24"/>
      <c r="E243" s="24"/>
      <c r="F243" s="24"/>
      <c r="G243" s="24"/>
      <c r="H243" s="24"/>
      <c r="I243" s="24"/>
      <c r="J243" s="24"/>
      <c r="K243" s="25"/>
    </row>
    <row r="244" s="5" customFormat="1" ht="20" customHeight="1" spans="1:11">
      <c r="A244" s="22"/>
      <c r="B244" s="23"/>
      <c r="C244" s="24"/>
      <c r="D244" s="24"/>
      <c r="E244" s="24"/>
      <c r="F244" s="24"/>
      <c r="G244" s="24"/>
      <c r="H244" s="24"/>
      <c r="I244" s="24"/>
      <c r="J244" s="24"/>
      <c r="K244" s="25"/>
    </row>
    <row r="245" s="5" customFormat="1" ht="20" customHeight="1" spans="1:11">
      <c r="A245" s="22"/>
      <c r="B245" s="23"/>
      <c r="C245" s="24"/>
      <c r="D245" s="24"/>
      <c r="E245" s="24"/>
      <c r="F245" s="24"/>
      <c r="G245" s="24"/>
      <c r="H245" s="24"/>
      <c r="I245" s="24"/>
      <c r="J245" s="24"/>
      <c r="K245" s="25"/>
    </row>
    <row r="246" s="5" customFormat="1" ht="20" customHeight="1" spans="1:11">
      <c r="A246" s="22"/>
      <c r="B246" s="23"/>
      <c r="C246" s="24"/>
      <c r="D246" s="24"/>
      <c r="E246" s="24"/>
      <c r="F246" s="24"/>
      <c r="G246" s="24"/>
      <c r="H246" s="24"/>
      <c r="I246" s="24"/>
      <c r="J246" s="24"/>
      <c r="K246" s="25"/>
    </row>
    <row r="247" s="5" customFormat="1" ht="20" customHeight="1" spans="1:11">
      <c r="A247" s="22"/>
      <c r="B247" s="23"/>
      <c r="C247" s="24"/>
      <c r="D247" s="24"/>
      <c r="E247" s="24"/>
      <c r="F247" s="24"/>
      <c r="G247" s="24"/>
      <c r="H247" s="24"/>
      <c r="I247" s="24"/>
      <c r="J247" s="24"/>
      <c r="K247" s="25"/>
    </row>
    <row r="248" s="5" customFormat="1" ht="20" customHeight="1" spans="1:11">
      <c r="A248" s="22"/>
      <c r="B248" s="23"/>
      <c r="C248" s="24"/>
      <c r="D248" s="24"/>
      <c r="E248" s="24"/>
      <c r="F248" s="24"/>
      <c r="G248" s="24"/>
      <c r="H248" s="24"/>
      <c r="I248" s="24"/>
      <c r="J248" s="24"/>
      <c r="K248" s="25"/>
    </row>
    <row r="249" s="5" customFormat="1" ht="20" customHeight="1" spans="1:11">
      <c r="A249" s="22"/>
      <c r="B249" s="23"/>
      <c r="C249" s="24"/>
      <c r="D249" s="24"/>
      <c r="E249" s="24"/>
      <c r="F249" s="24"/>
      <c r="G249" s="24"/>
      <c r="H249" s="24"/>
      <c r="I249" s="24"/>
      <c r="J249" s="24"/>
      <c r="K249" s="25"/>
    </row>
    <row r="250" s="5" customFormat="1" ht="20" customHeight="1" spans="1:11">
      <c r="A250" s="22"/>
      <c r="B250" s="23"/>
      <c r="C250" s="24"/>
      <c r="D250" s="24"/>
      <c r="E250" s="24"/>
      <c r="F250" s="24"/>
      <c r="G250" s="24"/>
      <c r="H250" s="24"/>
      <c r="I250" s="24"/>
      <c r="J250" s="24"/>
      <c r="K250" s="25"/>
    </row>
    <row r="251" s="5" customFormat="1" ht="20" customHeight="1" spans="1:11">
      <c r="A251" s="22"/>
      <c r="B251" s="23"/>
      <c r="C251" s="24"/>
      <c r="D251" s="24"/>
      <c r="E251" s="24"/>
      <c r="F251" s="24"/>
      <c r="G251" s="24"/>
      <c r="H251" s="24"/>
      <c r="I251" s="24"/>
      <c r="J251" s="24"/>
      <c r="K251" s="25"/>
    </row>
    <row r="252" s="5" customFormat="1" ht="16.5" spans="1:11">
      <c r="A252" s="22"/>
      <c r="B252" s="23"/>
      <c r="C252" s="24"/>
      <c r="D252" s="24"/>
      <c r="E252" s="24"/>
      <c r="F252" s="24"/>
      <c r="G252" s="24"/>
      <c r="H252" s="24"/>
      <c r="I252" s="24"/>
      <c r="J252" s="24"/>
      <c r="K252" s="25"/>
    </row>
    <row r="253" s="5" customFormat="1" ht="16.5" spans="1:11">
      <c r="A253" s="22"/>
      <c r="B253" s="23"/>
      <c r="C253" s="24"/>
      <c r="D253" s="24"/>
      <c r="E253" s="24"/>
      <c r="F253" s="24"/>
      <c r="G253" s="24"/>
      <c r="H253" s="24"/>
      <c r="I253" s="24"/>
      <c r="J253" s="24"/>
      <c r="K253" s="25"/>
    </row>
    <row r="254" s="5" customFormat="1" ht="16.5" spans="1:11">
      <c r="A254" s="22"/>
      <c r="B254" s="23"/>
      <c r="C254" s="24"/>
      <c r="D254" s="24"/>
      <c r="E254" s="24"/>
      <c r="F254" s="24"/>
      <c r="G254" s="24"/>
      <c r="H254" s="24"/>
      <c r="I254" s="24"/>
      <c r="J254" s="24"/>
      <c r="K254" s="25"/>
    </row>
    <row r="255" s="5" customFormat="1" ht="16.5" spans="1:11">
      <c r="A255" s="22"/>
      <c r="B255" s="23"/>
      <c r="C255" s="24"/>
      <c r="D255" s="24"/>
      <c r="E255" s="24"/>
      <c r="F255" s="24"/>
      <c r="G255" s="24"/>
      <c r="H255" s="24"/>
      <c r="I255" s="24"/>
      <c r="J255" s="24"/>
      <c r="K255" s="25"/>
    </row>
    <row r="256" s="5" customFormat="1" ht="16.5" spans="1:11">
      <c r="A256" s="22"/>
      <c r="B256" s="23"/>
      <c r="C256" s="24"/>
      <c r="D256" s="24"/>
      <c r="E256" s="24"/>
      <c r="F256" s="24"/>
      <c r="G256" s="24"/>
      <c r="H256" s="24"/>
      <c r="I256" s="24"/>
      <c r="J256" s="24"/>
      <c r="K256" s="25"/>
    </row>
    <row r="257" s="5" customFormat="1" ht="16.5" spans="1:11">
      <c r="A257" s="22"/>
      <c r="B257" s="23"/>
      <c r="C257" s="24"/>
      <c r="D257" s="24"/>
      <c r="E257" s="24"/>
      <c r="F257" s="24"/>
      <c r="G257" s="24"/>
      <c r="H257" s="24"/>
      <c r="I257" s="24"/>
      <c r="J257" s="24"/>
      <c r="K257" s="25"/>
    </row>
    <row r="258" s="5" customFormat="1" ht="16.5" spans="1:11">
      <c r="A258" s="22"/>
      <c r="B258" s="23"/>
      <c r="C258" s="24"/>
      <c r="D258" s="24"/>
      <c r="E258" s="24"/>
      <c r="F258" s="24"/>
      <c r="G258" s="24"/>
      <c r="H258" s="24"/>
      <c r="I258" s="24"/>
      <c r="J258" s="24"/>
      <c r="K258" s="25"/>
    </row>
    <row r="259" s="5" customFormat="1" ht="16.5" spans="1:11">
      <c r="A259" s="22"/>
      <c r="B259" s="23"/>
      <c r="C259" s="24"/>
      <c r="D259" s="24"/>
      <c r="E259" s="24"/>
      <c r="F259" s="24"/>
      <c r="G259" s="24"/>
      <c r="H259" s="24"/>
      <c r="I259" s="24"/>
      <c r="J259" s="24"/>
      <c r="K259" s="25"/>
    </row>
    <row r="260" s="5" customFormat="1" ht="16.5" spans="1:11">
      <c r="A260" s="22"/>
      <c r="B260" s="23"/>
      <c r="C260" s="24"/>
      <c r="D260" s="24"/>
      <c r="E260" s="24"/>
      <c r="F260" s="24"/>
      <c r="G260" s="24"/>
      <c r="H260" s="24"/>
      <c r="I260" s="24"/>
      <c r="J260" s="24"/>
      <c r="K260" s="25"/>
    </row>
    <row r="261" s="5" customFormat="1" ht="16.5" spans="1:11">
      <c r="A261" s="22"/>
      <c r="B261" s="23"/>
      <c r="C261" s="24"/>
      <c r="D261" s="24"/>
      <c r="E261" s="24"/>
      <c r="F261" s="24"/>
      <c r="G261" s="24"/>
      <c r="H261" s="24"/>
      <c r="I261" s="24"/>
      <c r="J261" s="24"/>
      <c r="K261" s="25"/>
    </row>
    <row r="262" s="5" customFormat="1" ht="16.5" spans="1:11">
      <c r="A262" s="22"/>
      <c r="B262" s="23"/>
      <c r="C262" s="24"/>
      <c r="D262" s="24"/>
      <c r="E262" s="24"/>
      <c r="F262" s="24"/>
      <c r="G262" s="24"/>
      <c r="H262" s="24"/>
      <c r="I262" s="24"/>
      <c r="J262" s="24"/>
      <c r="K262" s="25"/>
    </row>
    <row r="263" s="5" customFormat="1" ht="16.5" spans="1:11">
      <c r="A263" s="22"/>
      <c r="B263" s="23"/>
      <c r="C263" s="24"/>
      <c r="D263" s="24"/>
      <c r="E263" s="24"/>
      <c r="F263" s="24"/>
      <c r="G263" s="24"/>
      <c r="H263" s="24"/>
      <c r="I263" s="24"/>
      <c r="J263" s="24"/>
      <c r="K263" s="25"/>
    </row>
    <row r="264" s="5" customFormat="1" ht="16.5" spans="1:11">
      <c r="A264" s="22"/>
      <c r="B264" s="23"/>
      <c r="C264" s="24"/>
      <c r="D264" s="24"/>
      <c r="E264" s="24"/>
      <c r="F264" s="24"/>
      <c r="G264" s="24"/>
      <c r="H264" s="24"/>
      <c r="I264" s="24"/>
      <c r="J264" s="24"/>
      <c r="K264" s="25"/>
    </row>
    <row r="265" s="5" customFormat="1" ht="16.5" spans="1:11">
      <c r="A265" s="22"/>
      <c r="B265" s="23"/>
      <c r="C265" s="24"/>
      <c r="D265" s="24"/>
      <c r="E265" s="24"/>
      <c r="F265" s="24"/>
      <c r="G265" s="24"/>
      <c r="H265" s="24"/>
      <c r="I265" s="24"/>
      <c r="J265" s="24"/>
      <c r="K265" s="25"/>
    </row>
    <row r="266" s="5" customFormat="1" ht="16.5" spans="1:11">
      <c r="A266" s="22"/>
      <c r="B266" s="23"/>
      <c r="C266" s="24"/>
      <c r="D266" s="24"/>
      <c r="E266" s="24"/>
      <c r="F266" s="24"/>
      <c r="G266" s="24"/>
      <c r="H266" s="24"/>
      <c r="I266" s="24"/>
      <c r="J266" s="24"/>
      <c r="K266" s="25"/>
    </row>
    <row r="267" s="5" customFormat="1" ht="16.5" spans="1:11">
      <c r="A267" s="22"/>
      <c r="B267" s="23"/>
      <c r="C267" s="24"/>
      <c r="D267" s="24"/>
      <c r="E267" s="24"/>
      <c r="F267" s="24"/>
      <c r="G267" s="24"/>
      <c r="H267" s="24"/>
      <c r="I267" s="24"/>
      <c r="J267" s="24"/>
      <c r="K267" s="25"/>
    </row>
    <row r="268" s="5" customFormat="1" ht="16.5" spans="1:11">
      <c r="A268" s="22"/>
      <c r="B268" s="23"/>
      <c r="C268" s="24"/>
      <c r="D268" s="24"/>
      <c r="E268" s="24"/>
      <c r="F268" s="24"/>
      <c r="G268" s="24"/>
      <c r="H268" s="24"/>
      <c r="I268" s="24"/>
      <c r="J268" s="24"/>
      <c r="K268" s="25"/>
    </row>
    <row r="269" s="5" customFormat="1" ht="16.5" spans="1:11">
      <c r="A269" s="22"/>
      <c r="B269" s="23"/>
      <c r="C269" s="24"/>
      <c r="D269" s="24"/>
      <c r="E269" s="24"/>
      <c r="F269" s="24"/>
      <c r="G269" s="24"/>
      <c r="H269" s="24"/>
      <c r="I269" s="24"/>
      <c r="J269" s="24"/>
      <c r="K269" s="25"/>
    </row>
    <row r="270" s="5" customFormat="1" ht="16.5" spans="1:11">
      <c r="A270" s="22"/>
      <c r="B270" s="23"/>
      <c r="C270" s="24"/>
      <c r="D270" s="24"/>
      <c r="E270" s="24"/>
      <c r="F270" s="24"/>
      <c r="G270" s="24"/>
      <c r="H270" s="24"/>
      <c r="I270" s="24"/>
      <c r="J270" s="24"/>
      <c r="K270" s="25"/>
    </row>
    <row r="271" s="5" customFormat="1" ht="16.5" spans="1:11">
      <c r="A271" s="22"/>
      <c r="B271" s="23"/>
      <c r="C271" s="24"/>
      <c r="D271" s="24"/>
      <c r="E271" s="24"/>
      <c r="F271" s="24"/>
      <c r="G271" s="24"/>
      <c r="H271" s="24"/>
      <c r="I271" s="24"/>
      <c r="J271" s="24"/>
      <c r="K271" s="25"/>
    </row>
    <row r="272" s="5" customFormat="1" ht="16.5" spans="1:11">
      <c r="A272" s="22"/>
      <c r="B272" s="23"/>
      <c r="C272" s="24"/>
      <c r="D272" s="24"/>
      <c r="E272" s="24"/>
      <c r="F272" s="24"/>
      <c r="G272" s="24"/>
      <c r="H272" s="24"/>
      <c r="I272" s="24"/>
      <c r="J272" s="24"/>
      <c r="K272" s="25"/>
    </row>
    <row r="273" s="5" customFormat="1" ht="16.5" spans="1:11">
      <c r="A273" s="22"/>
      <c r="B273" s="23"/>
      <c r="C273" s="24"/>
      <c r="D273" s="24"/>
      <c r="E273" s="24"/>
      <c r="F273" s="24"/>
      <c r="G273" s="24"/>
      <c r="H273" s="24"/>
      <c r="I273" s="24"/>
      <c r="J273" s="24"/>
      <c r="K273" s="25"/>
    </row>
    <row r="274" s="5" customFormat="1" ht="16.5" spans="1:11">
      <c r="A274" s="22"/>
      <c r="B274" s="23"/>
      <c r="C274" s="24"/>
      <c r="D274" s="24"/>
      <c r="E274" s="24"/>
      <c r="F274" s="24"/>
      <c r="G274" s="24"/>
      <c r="H274" s="24"/>
      <c r="I274" s="24"/>
      <c r="J274" s="24"/>
      <c r="K274" s="25"/>
    </row>
    <row r="275" s="5" customFormat="1" ht="16.5" spans="1:11">
      <c r="A275" s="22"/>
      <c r="B275" s="23"/>
      <c r="C275" s="24"/>
      <c r="D275" s="24"/>
      <c r="E275" s="24"/>
      <c r="F275" s="24"/>
      <c r="G275" s="24"/>
      <c r="H275" s="24"/>
      <c r="I275" s="24"/>
      <c r="J275" s="24"/>
      <c r="K275" s="25"/>
    </row>
    <row r="276" s="5" customFormat="1" ht="16.5" spans="1:11">
      <c r="A276" s="22"/>
      <c r="B276" s="23"/>
      <c r="C276" s="24"/>
      <c r="D276" s="24"/>
      <c r="E276" s="24"/>
      <c r="F276" s="24"/>
      <c r="G276" s="24"/>
      <c r="H276" s="24"/>
      <c r="I276" s="24"/>
      <c r="J276" s="24"/>
      <c r="K276" s="25"/>
    </row>
    <row r="277" s="5" customFormat="1" ht="16.5" spans="1:11">
      <c r="A277" s="22"/>
      <c r="B277" s="23"/>
      <c r="C277" s="24"/>
      <c r="D277" s="24"/>
      <c r="E277" s="24"/>
      <c r="F277" s="24"/>
      <c r="G277" s="24"/>
      <c r="H277" s="24"/>
      <c r="I277" s="24"/>
      <c r="J277" s="24"/>
      <c r="K277" s="25"/>
    </row>
    <row r="278" s="5" customFormat="1" ht="16.5" spans="1:11">
      <c r="A278" s="22"/>
      <c r="B278" s="23"/>
      <c r="C278" s="24"/>
      <c r="D278" s="24"/>
      <c r="E278" s="24"/>
      <c r="F278" s="24"/>
      <c r="G278" s="24"/>
      <c r="H278" s="24"/>
      <c r="I278" s="24"/>
      <c r="J278" s="24"/>
      <c r="K278" s="25"/>
    </row>
    <row r="279" s="5" customFormat="1" ht="16.5" spans="1:11">
      <c r="A279" s="22"/>
      <c r="B279" s="23"/>
      <c r="C279" s="24"/>
      <c r="D279" s="24"/>
      <c r="E279" s="24"/>
      <c r="F279" s="24"/>
      <c r="G279" s="24"/>
      <c r="H279" s="24"/>
      <c r="I279" s="24"/>
      <c r="J279" s="24"/>
      <c r="K279" s="25"/>
    </row>
    <row r="280" s="5" customFormat="1" ht="16.5" spans="1:11">
      <c r="A280" s="22"/>
      <c r="B280" s="23"/>
      <c r="C280" s="24"/>
      <c r="D280" s="24"/>
      <c r="E280" s="24"/>
      <c r="F280" s="24"/>
      <c r="G280" s="24"/>
      <c r="H280" s="24"/>
      <c r="I280" s="24"/>
      <c r="J280" s="24"/>
      <c r="K280" s="25"/>
    </row>
    <row r="281" s="5" customFormat="1" ht="16.5" spans="1:11">
      <c r="A281" s="22"/>
      <c r="B281" s="23"/>
      <c r="C281" s="24"/>
      <c r="D281" s="24"/>
      <c r="E281" s="24"/>
      <c r="F281" s="24"/>
      <c r="G281" s="24"/>
      <c r="H281" s="24"/>
      <c r="I281" s="24"/>
      <c r="J281" s="24"/>
      <c r="K281" s="25"/>
    </row>
    <row r="282" s="5" customFormat="1" ht="16.5" spans="1:11">
      <c r="A282" s="22"/>
      <c r="B282" s="23"/>
      <c r="C282" s="24"/>
      <c r="D282" s="24"/>
      <c r="E282" s="24"/>
      <c r="F282" s="24"/>
      <c r="G282" s="24"/>
      <c r="H282" s="24"/>
      <c r="I282" s="24"/>
      <c r="J282" s="24"/>
      <c r="K282" s="25"/>
    </row>
    <row r="283" s="5" customFormat="1" ht="16.5" spans="1:11">
      <c r="A283" s="22"/>
      <c r="B283" s="23"/>
      <c r="C283" s="24"/>
      <c r="D283" s="24"/>
      <c r="E283" s="24"/>
      <c r="F283" s="24"/>
      <c r="G283" s="24"/>
      <c r="H283" s="24"/>
      <c r="I283" s="24"/>
      <c r="J283" s="24"/>
      <c r="K283" s="25"/>
    </row>
    <row r="284" s="5" customFormat="1" ht="16.5" spans="1:11">
      <c r="A284" s="22"/>
      <c r="B284" s="23"/>
      <c r="C284" s="24"/>
      <c r="D284" s="24"/>
      <c r="E284" s="24"/>
      <c r="F284" s="24"/>
      <c r="G284" s="24"/>
      <c r="H284" s="24"/>
      <c r="I284" s="24"/>
      <c r="J284" s="24"/>
      <c r="K284" s="25"/>
    </row>
    <row r="285" s="5" customFormat="1" ht="16.5" spans="1:11">
      <c r="A285" s="22"/>
      <c r="B285" s="23"/>
      <c r="C285" s="24"/>
      <c r="D285" s="24"/>
      <c r="E285" s="24"/>
      <c r="F285" s="24"/>
      <c r="G285" s="24"/>
      <c r="H285" s="24"/>
      <c r="I285" s="24"/>
      <c r="J285" s="24"/>
      <c r="K285" s="25"/>
    </row>
    <row r="286" s="5" customFormat="1" ht="16.5" spans="1:11">
      <c r="A286" s="22"/>
      <c r="B286" s="23"/>
      <c r="C286" s="24"/>
      <c r="D286" s="24"/>
      <c r="E286" s="24"/>
      <c r="F286" s="24"/>
      <c r="G286" s="24"/>
      <c r="H286" s="24"/>
      <c r="I286" s="24"/>
      <c r="J286" s="24"/>
      <c r="K286" s="25"/>
    </row>
    <row r="287" s="5" customFormat="1" ht="16.5" spans="1:11">
      <c r="A287" s="22"/>
      <c r="B287" s="23"/>
      <c r="C287" s="24"/>
      <c r="D287" s="24"/>
      <c r="E287" s="24"/>
      <c r="F287" s="24"/>
      <c r="G287" s="24"/>
      <c r="H287" s="24"/>
      <c r="I287" s="24"/>
      <c r="J287" s="24"/>
      <c r="K287" s="25"/>
    </row>
    <row r="288" s="5" customFormat="1" ht="16.5" spans="1:11">
      <c r="A288" s="22"/>
      <c r="B288" s="23"/>
      <c r="C288" s="24"/>
      <c r="D288" s="24"/>
      <c r="E288" s="24"/>
      <c r="F288" s="24"/>
      <c r="G288" s="24"/>
      <c r="H288" s="24"/>
      <c r="I288" s="24"/>
      <c r="J288" s="24"/>
      <c r="K288" s="25"/>
    </row>
    <row r="289" s="5" customFormat="1" ht="16.5" spans="1:11">
      <c r="A289" s="22"/>
      <c r="B289" s="23"/>
      <c r="C289" s="24"/>
      <c r="D289" s="24"/>
      <c r="E289" s="24"/>
      <c r="F289" s="24"/>
      <c r="G289" s="24"/>
      <c r="H289" s="24"/>
      <c r="I289" s="24"/>
      <c r="J289" s="24"/>
      <c r="K289" s="25"/>
    </row>
    <row r="290" s="5" customFormat="1" ht="16.5" spans="1:11">
      <c r="A290" s="22"/>
      <c r="B290" s="23"/>
      <c r="C290" s="24"/>
      <c r="D290" s="24"/>
      <c r="E290" s="24"/>
      <c r="F290" s="24"/>
      <c r="G290" s="24"/>
      <c r="H290" s="24"/>
      <c r="I290" s="24"/>
      <c r="J290" s="24"/>
      <c r="K290" s="25"/>
    </row>
    <row r="291" s="5" customFormat="1" ht="16.5" spans="1:11">
      <c r="A291" s="22"/>
      <c r="B291" s="23"/>
      <c r="C291" s="24"/>
      <c r="D291" s="24"/>
      <c r="E291" s="24"/>
      <c r="F291" s="24"/>
      <c r="G291" s="24"/>
      <c r="H291" s="24"/>
      <c r="I291" s="24"/>
      <c r="J291" s="24"/>
      <c r="K291" s="25"/>
    </row>
    <row r="292" s="5" customFormat="1" ht="16.5" spans="1:11">
      <c r="A292" s="22"/>
      <c r="B292" s="23"/>
      <c r="C292" s="24"/>
      <c r="D292" s="24"/>
      <c r="E292" s="24"/>
      <c r="F292" s="24"/>
      <c r="G292" s="24"/>
      <c r="H292" s="24"/>
      <c r="I292" s="24"/>
      <c r="J292" s="24"/>
      <c r="K292" s="25"/>
    </row>
    <row r="293" s="5" customFormat="1" ht="16.5" spans="1:11">
      <c r="A293" s="22"/>
      <c r="B293" s="23"/>
      <c r="C293" s="24"/>
      <c r="D293" s="24"/>
      <c r="E293" s="24"/>
      <c r="F293" s="24"/>
      <c r="G293" s="24"/>
      <c r="H293" s="24"/>
      <c r="I293" s="24"/>
      <c r="J293" s="24"/>
      <c r="K293" s="25"/>
    </row>
    <row r="294" s="5" customFormat="1" ht="16.5" spans="1:11">
      <c r="A294" s="22"/>
      <c r="B294" s="23"/>
      <c r="C294" s="24"/>
      <c r="D294" s="24"/>
      <c r="E294" s="24"/>
      <c r="F294" s="24"/>
      <c r="G294" s="24"/>
      <c r="H294" s="24"/>
      <c r="I294" s="24"/>
      <c r="J294" s="24"/>
      <c r="K294" s="25"/>
    </row>
    <row r="295" s="5" customFormat="1" ht="16.5" spans="1:11">
      <c r="A295" s="22"/>
      <c r="B295" s="23"/>
      <c r="C295" s="24"/>
      <c r="D295" s="24"/>
      <c r="E295" s="24"/>
      <c r="F295" s="24"/>
      <c r="G295" s="24"/>
      <c r="H295" s="24"/>
      <c r="I295" s="24"/>
      <c r="J295" s="24"/>
      <c r="K295" s="25"/>
    </row>
    <row r="296" s="5" customFormat="1" ht="16.5" spans="1:11">
      <c r="A296" s="22"/>
      <c r="B296" s="23"/>
      <c r="C296" s="24"/>
      <c r="D296" s="24"/>
      <c r="E296" s="24"/>
      <c r="F296" s="24"/>
      <c r="G296" s="24"/>
      <c r="H296" s="24"/>
      <c r="I296" s="24"/>
      <c r="J296" s="24"/>
      <c r="K296" s="25"/>
    </row>
    <row r="297" s="5" customFormat="1" ht="16.5" spans="1:11">
      <c r="A297" s="22"/>
      <c r="B297" s="23"/>
      <c r="C297" s="24"/>
      <c r="D297" s="24"/>
      <c r="E297" s="24"/>
      <c r="F297" s="24"/>
      <c r="G297" s="24"/>
      <c r="H297" s="24"/>
      <c r="I297" s="24"/>
      <c r="J297" s="24"/>
      <c r="K297" s="25"/>
    </row>
    <row r="298" s="5" customFormat="1" ht="16.5" spans="1:11">
      <c r="A298" s="22"/>
      <c r="B298" s="23"/>
      <c r="C298" s="24"/>
      <c r="D298" s="24"/>
      <c r="E298" s="24"/>
      <c r="F298" s="24"/>
      <c r="G298" s="24"/>
      <c r="H298" s="24"/>
      <c r="I298" s="24"/>
      <c r="J298" s="24"/>
      <c r="K298" s="25"/>
    </row>
    <row r="299" s="5" customFormat="1" ht="16.5" spans="1:11">
      <c r="A299" s="22"/>
      <c r="B299" s="23"/>
      <c r="C299" s="24"/>
      <c r="D299" s="24"/>
      <c r="E299" s="24"/>
      <c r="F299" s="24"/>
      <c r="G299" s="24"/>
      <c r="H299" s="24"/>
      <c r="I299" s="24"/>
      <c r="J299" s="24"/>
      <c r="K299" s="25"/>
    </row>
    <row r="300" s="5" customFormat="1" ht="16.5" spans="1:11">
      <c r="A300" s="22"/>
      <c r="B300" s="23"/>
      <c r="C300" s="24"/>
      <c r="D300" s="24"/>
      <c r="E300" s="24"/>
      <c r="F300" s="24"/>
      <c r="G300" s="24"/>
      <c r="H300" s="24"/>
      <c r="I300" s="24"/>
      <c r="J300" s="24"/>
      <c r="K300" s="25"/>
    </row>
    <row r="301" s="5" customFormat="1" ht="16.5" spans="1:11">
      <c r="A301" s="22"/>
      <c r="B301" s="23"/>
      <c r="C301" s="24"/>
      <c r="D301" s="24"/>
      <c r="E301" s="24"/>
      <c r="F301" s="24"/>
      <c r="G301" s="24"/>
      <c r="H301" s="24"/>
      <c r="I301" s="24"/>
      <c r="J301" s="24"/>
      <c r="K301" s="25"/>
    </row>
    <row r="302" s="5" customFormat="1" ht="16.5" spans="1:11">
      <c r="A302" s="22"/>
      <c r="B302" s="23"/>
      <c r="C302" s="24"/>
      <c r="D302" s="24"/>
      <c r="E302" s="24"/>
      <c r="F302" s="24"/>
      <c r="G302" s="24"/>
      <c r="H302" s="24"/>
      <c r="I302" s="24"/>
      <c r="J302" s="24"/>
      <c r="K302" s="25"/>
    </row>
    <row r="303" s="5" customFormat="1" ht="16.5" spans="1:11">
      <c r="A303" s="22"/>
      <c r="B303" s="23"/>
      <c r="C303" s="24"/>
      <c r="D303" s="24"/>
      <c r="E303" s="24"/>
      <c r="F303" s="24"/>
      <c r="G303" s="24"/>
      <c r="H303" s="24"/>
      <c r="I303" s="24"/>
      <c r="J303" s="24"/>
      <c r="K303" s="25"/>
    </row>
    <row r="304" s="5" customFormat="1" ht="16.5" spans="1:11">
      <c r="A304" s="22"/>
      <c r="B304" s="23"/>
      <c r="C304" s="24"/>
      <c r="D304" s="24"/>
      <c r="E304" s="24"/>
      <c r="F304" s="24"/>
      <c r="G304" s="24"/>
      <c r="H304" s="24"/>
      <c r="I304" s="24"/>
      <c r="J304" s="24"/>
      <c r="K304" s="25"/>
    </row>
    <row r="305" s="5" customFormat="1" ht="16.5" spans="1:11">
      <c r="A305" s="22"/>
      <c r="B305" s="23"/>
      <c r="C305" s="24"/>
      <c r="D305" s="24"/>
      <c r="E305" s="24"/>
      <c r="F305" s="24"/>
      <c r="G305" s="24"/>
      <c r="H305" s="24"/>
      <c r="I305" s="24"/>
      <c r="J305" s="24"/>
      <c r="K305" s="25"/>
    </row>
    <row r="306" s="5" customFormat="1" ht="16.5" spans="1:11">
      <c r="A306" s="22"/>
      <c r="B306" s="23"/>
      <c r="C306" s="24"/>
      <c r="D306" s="24"/>
      <c r="E306" s="24"/>
      <c r="F306" s="24"/>
      <c r="G306" s="24"/>
      <c r="H306" s="24"/>
      <c r="I306" s="24"/>
      <c r="J306" s="24"/>
      <c r="K306" s="25"/>
    </row>
    <row r="307" s="5" customFormat="1" ht="16.5" spans="1:11">
      <c r="A307" s="22"/>
      <c r="B307" s="23"/>
      <c r="C307" s="24"/>
      <c r="D307" s="24"/>
      <c r="E307" s="24"/>
      <c r="F307" s="24"/>
      <c r="G307" s="24"/>
      <c r="H307" s="24"/>
      <c r="I307" s="24"/>
      <c r="J307" s="24"/>
      <c r="K307" s="25"/>
    </row>
    <row r="308" s="5" customFormat="1" ht="16.5" spans="1:11">
      <c r="A308" s="22"/>
      <c r="B308" s="23"/>
      <c r="C308" s="24"/>
      <c r="D308" s="24"/>
      <c r="E308" s="24"/>
      <c r="F308" s="24"/>
      <c r="G308" s="24"/>
      <c r="H308" s="24"/>
      <c r="I308" s="24"/>
      <c r="J308" s="24"/>
      <c r="K308" s="25"/>
    </row>
    <row r="309" s="5" customFormat="1" ht="16.5" spans="1:11">
      <c r="A309" s="22"/>
      <c r="B309" s="23"/>
      <c r="C309" s="24"/>
      <c r="D309" s="24"/>
      <c r="E309" s="24"/>
      <c r="F309" s="24"/>
      <c r="G309" s="24"/>
      <c r="H309" s="24"/>
      <c r="I309" s="24"/>
      <c r="J309" s="24"/>
      <c r="K309" s="25"/>
    </row>
    <row r="310" s="5" customFormat="1" ht="16.5" spans="1:11">
      <c r="A310" s="22"/>
      <c r="B310" s="23"/>
      <c r="C310" s="24"/>
      <c r="D310" s="24"/>
      <c r="E310" s="24"/>
      <c r="F310" s="24"/>
      <c r="G310" s="24"/>
      <c r="H310" s="24"/>
      <c r="I310" s="24"/>
      <c r="J310" s="24"/>
      <c r="K310" s="25"/>
    </row>
    <row r="311" s="5" customFormat="1" ht="16.5" spans="1:11">
      <c r="A311" s="22"/>
      <c r="B311" s="23"/>
      <c r="C311" s="24"/>
      <c r="D311" s="24"/>
      <c r="E311" s="24"/>
      <c r="F311" s="24"/>
      <c r="G311" s="24"/>
      <c r="H311" s="24"/>
      <c r="I311" s="24"/>
      <c r="J311" s="24"/>
      <c r="K311" s="25"/>
    </row>
    <row r="312" s="5" customFormat="1" ht="16.5" spans="1:11">
      <c r="A312" s="22"/>
      <c r="B312" s="23"/>
      <c r="C312" s="24"/>
      <c r="D312" s="24"/>
      <c r="E312" s="24"/>
      <c r="F312" s="24"/>
      <c r="G312" s="24"/>
      <c r="H312" s="24"/>
      <c r="I312" s="24"/>
      <c r="J312" s="24"/>
      <c r="K312" s="25"/>
    </row>
    <row r="313" s="5" customFormat="1" ht="16.5" spans="1:11">
      <c r="A313" s="22"/>
      <c r="B313" s="23"/>
      <c r="C313" s="24"/>
      <c r="D313" s="24"/>
      <c r="E313" s="24"/>
      <c r="F313" s="24"/>
      <c r="G313" s="24"/>
      <c r="H313" s="24"/>
      <c r="I313" s="24"/>
      <c r="J313" s="24"/>
      <c r="K313" s="25"/>
    </row>
    <row r="314" s="5" customFormat="1" ht="16.5" spans="1:11">
      <c r="A314" s="22"/>
      <c r="B314" s="23"/>
      <c r="C314" s="24"/>
      <c r="D314" s="24"/>
      <c r="E314" s="24"/>
      <c r="F314" s="24"/>
      <c r="G314" s="24"/>
      <c r="H314" s="24"/>
      <c r="I314" s="24"/>
      <c r="J314" s="24"/>
      <c r="K314" s="25"/>
    </row>
    <row r="315" s="5" customFormat="1" ht="16.5" spans="1:11">
      <c r="A315" s="22"/>
      <c r="B315" s="23"/>
      <c r="C315" s="24"/>
      <c r="D315" s="24"/>
      <c r="E315" s="24"/>
      <c r="F315" s="24"/>
      <c r="G315" s="24"/>
      <c r="H315" s="24"/>
      <c r="I315" s="24"/>
      <c r="J315" s="24"/>
      <c r="K315" s="25"/>
    </row>
    <row r="316" s="5" customFormat="1" ht="16.5" spans="1:11">
      <c r="A316" s="22"/>
      <c r="B316" s="23"/>
      <c r="C316" s="24"/>
      <c r="D316" s="24"/>
      <c r="E316" s="24"/>
      <c r="F316" s="24"/>
      <c r="G316" s="24"/>
      <c r="H316" s="24"/>
      <c r="I316" s="24"/>
      <c r="J316" s="24"/>
      <c r="K316" s="25"/>
    </row>
    <row r="317" s="5" customFormat="1" ht="16.5" spans="1:11">
      <c r="A317" s="22"/>
      <c r="B317" s="23"/>
      <c r="C317" s="24"/>
      <c r="D317" s="24"/>
      <c r="E317" s="24"/>
      <c r="F317" s="24"/>
      <c r="G317" s="24"/>
      <c r="H317" s="24"/>
      <c r="I317" s="24"/>
      <c r="J317" s="24"/>
      <c r="K317" s="25"/>
    </row>
    <row r="318" s="5" customFormat="1" ht="16.5" spans="1:11">
      <c r="A318" s="22"/>
      <c r="B318" s="23"/>
      <c r="C318" s="24"/>
      <c r="D318" s="24"/>
      <c r="E318" s="24"/>
      <c r="F318" s="24"/>
      <c r="G318" s="24"/>
      <c r="H318" s="24"/>
      <c r="I318" s="24"/>
      <c r="J318" s="24"/>
      <c r="K318" s="25"/>
    </row>
    <row r="319" s="5" customFormat="1" ht="16.5" spans="1:11">
      <c r="A319" s="22"/>
      <c r="B319" s="23"/>
      <c r="C319" s="24"/>
      <c r="D319" s="24"/>
      <c r="E319" s="24"/>
      <c r="F319" s="24"/>
      <c r="G319" s="24"/>
      <c r="H319" s="24"/>
      <c r="I319" s="24"/>
      <c r="J319" s="24"/>
      <c r="K319" s="25"/>
    </row>
    <row r="320" s="5" customFormat="1" ht="16.5" spans="1:11">
      <c r="A320" s="22"/>
      <c r="B320" s="23"/>
      <c r="C320" s="24"/>
      <c r="D320" s="24"/>
      <c r="E320" s="24"/>
      <c r="F320" s="24"/>
      <c r="G320" s="24"/>
      <c r="H320" s="24"/>
      <c r="I320" s="24"/>
      <c r="J320" s="24"/>
      <c r="K320" s="25"/>
    </row>
    <row r="321" s="5" customFormat="1" ht="16.5" spans="1:11">
      <c r="A321" s="22"/>
      <c r="B321" s="23"/>
      <c r="C321" s="24"/>
      <c r="D321" s="24"/>
      <c r="E321" s="24"/>
      <c r="F321" s="24"/>
      <c r="G321" s="24"/>
      <c r="H321" s="24"/>
      <c r="I321" s="24"/>
      <c r="J321" s="24"/>
      <c r="K321" s="25"/>
    </row>
    <row r="322" s="5" customFormat="1" ht="16.5" spans="1:11">
      <c r="A322" s="22"/>
      <c r="B322" s="23"/>
      <c r="C322" s="24"/>
      <c r="D322" s="24"/>
      <c r="E322" s="24"/>
      <c r="F322" s="24"/>
      <c r="G322" s="24"/>
      <c r="H322" s="24"/>
      <c r="I322" s="24"/>
      <c r="J322" s="24"/>
      <c r="K322" s="25"/>
    </row>
    <row r="323" s="5" customFormat="1" ht="16.5" spans="1:11">
      <c r="A323" s="22"/>
      <c r="B323" s="23"/>
      <c r="C323" s="24"/>
      <c r="D323" s="24"/>
      <c r="E323" s="24"/>
      <c r="F323" s="24"/>
      <c r="G323" s="24"/>
      <c r="H323" s="24"/>
      <c r="I323" s="24"/>
      <c r="J323" s="24"/>
      <c r="K323" s="25"/>
    </row>
    <row r="324" s="5" customFormat="1" ht="16.5" spans="1:11">
      <c r="A324" s="22"/>
      <c r="B324" s="23"/>
      <c r="C324" s="24"/>
      <c r="D324" s="24"/>
      <c r="E324" s="24"/>
      <c r="F324" s="24"/>
      <c r="G324" s="24"/>
      <c r="H324" s="24"/>
      <c r="I324" s="24"/>
      <c r="J324" s="24"/>
      <c r="K324" s="25"/>
    </row>
    <row r="325" s="5" customFormat="1" ht="16.5" spans="1:11">
      <c r="A325" s="22"/>
      <c r="B325" s="23"/>
      <c r="C325" s="24"/>
      <c r="D325" s="24"/>
      <c r="E325" s="24"/>
      <c r="F325" s="24"/>
      <c r="G325" s="24"/>
      <c r="H325" s="24"/>
      <c r="I325" s="24"/>
      <c r="J325" s="24"/>
      <c r="K325" s="25"/>
    </row>
    <row r="326" s="5" customFormat="1" ht="16.5" spans="1:11">
      <c r="A326" s="22"/>
      <c r="B326" s="23"/>
      <c r="C326" s="24"/>
      <c r="D326" s="24"/>
      <c r="E326" s="24"/>
      <c r="F326" s="24"/>
      <c r="G326" s="24"/>
      <c r="H326" s="24"/>
      <c r="I326" s="24"/>
      <c r="J326" s="24"/>
      <c r="K326" s="25"/>
    </row>
    <row r="327" s="5" customFormat="1" ht="16.5" spans="1:11">
      <c r="A327" s="22"/>
      <c r="B327" s="23"/>
      <c r="C327" s="24"/>
      <c r="D327" s="24"/>
      <c r="E327" s="24"/>
      <c r="F327" s="24"/>
      <c r="G327" s="24"/>
      <c r="H327" s="24"/>
      <c r="I327" s="24"/>
      <c r="J327" s="24"/>
      <c r="K327" s="25"/>
    </row>
    <row r="328" s="5" customFormat="1" ht="16.5" spans="1:11">
      <c r="A328" s="22"/>
      <c r="B328" s="23"/>
      <c r="C328" s="24"/>
      <c r="D328" s="24"/>
      <c r="E328" s="24"/>
      <c r="F328" s="24"/>
      <c r="G328" s="24"/>
      <c r="H328" s="24"/>
      <c r="I328" s="24"/>
      <c r="J328" s="24"/>
      <c r="K328" s="25"/>
    </row>
    <row r="329" s="5" customFormat="1" ht="16.5" spans="1:11">
      <c r="A329" s="22"/>
      <c r="B329" s="23"/>
      <c r="C329" s="24"/>
      <c r="D329" s="24"/>
      <c r="E329" s="24"/>
      <c r="F329" s="24"/>
      <c r="G329" s="24"/>
      <c r="H329" s="24"/>
      <c r="I329" s="24"/>
      <c r="J329" s="24"/>
      <c r="K329" s="25"/>
    </row>
    <row r="330" s="5" customFormat="1" ht="16.5" spans="1:11">
      <c r="A330" s="22"/>
      <c r="B330" s="23"/>
      <c r="C330" s="24"/>
      <c r="D330" s="24"/>
      <c r="E330" s="24"/>
      <c r="F330" s="24"/>
      <c r="G330" s="24"/>
      <c r="H330" s="24"/>
      <c r="I330" s="24"/>
      <c r="J330" s="24"/>
      <c r="K330" s="25"/>
    </row>
    <row r="331" s="5" customFormat="1" ht="16.5" spans="1:11">
      <c r="A331" s="22"/>
      <c r="B331" s="23"/>
      <c r="C331" s="24"/>
      <c r="D331" s="24"/>
      <c r="E331" s="24"/>
      <c r="F331" s="24"/>
      <c r="G331" s="24"/>
      <c r="H331" s="24"/>
      <c r="I331" s="24"/>
      <c r="J331" s="24"/>
      <c r="K331" s="25"/>
    </row>
    <row r="332" s="5" customFormat="1" ht="16.5" spans="1:11">
      <c r="A332" s="22"/>
      <c r="B332" s="23"/>
      <c r="C332" s="24"/>
      <c r="D332" s="24"/>
      <c r="E332" s="24"/>
      <c r="F332" s="24"/>
      <c r="G332" s="24"/>
      <c r="H332" s="24"/>
      <c r="I332" s="24"/>
      <c r="J332" s="24"/>
      <c r="K332" s="25"/>
    </row>
    <row r="333" s="5" customFormat="1" ht="16.5" spans="1:11">
      <c r="A333" s="22"/>
      <c r="B333" s="23"/>
      <c r="C333" s="24"/>
      <c r="D333" s="24"/>
      <c r="E333" s="24"/>
      <c r="F333" s="24"/>
      <c r="G333" s="24"/>
      <c r="H333" s="24"/>
      <c r="I333" s="24"/>
      <c r="J333" s="24"/>
      <c r="K333" s="25"/>
    </row>
    <row r="334" s="5" customFormat="1" ht="16.5" spans="1:11">
      <c r="A334" s="22"/>
      <c r="B334" s="23"/>
      <c r="C334" s="24"/>
      <c r="D334" s="24"/>
      <c r="E334" s="24"/>
      <c r="F334" s="24"/>
      <c r="G334" s="24"/>
      <c r="H334" s="24"/>
      <c r="I334" s="24"/>
      <c r="J334" s="24"/>
      <c r="K334" s="25"/>
    </row>
    <row r="335" s="5" customFormat="1" ht="16.5" spans="1:11">
      <c r="A335" s="22"/>
      <c r="B335" s="23"/>
      <c r="C335" s="24"/>
      <c r="D335" s="24"/>
      <c r="E335" s="24"/>
      <c r="F335" s="24"/>
      <c r="G335" s="24"/>
      <c r="H335" s="24"/>
      <c r="I335" s="24"/>
      <c r="J335" s="24"/>
      <c r="K335" s="25"/>
    </row>
    <row r="336" s="5" customFormat="1" ht="16.5" spans="1:11">
      <c r="A336" s="22"/>
      <c r="B336" s="23"/>
      <c r="C336" s="24"/>
      <c r="D336" s="24"/>
      <c r="E336" s="24"/>
      <c r="F336" s="24"/>
      <c r="G336" s="24"/>
      <c r="H336" s="24"/>
      <c r="I336" s="24"/>
      <c r="J336" s="24"/>
      <c r="K336" s="25"/>
    </row>
    <row r="337" s="5" customFormat="1" ht="16.5" spans="1:11">
      <c r="A337" s="22"/>
      <c r="B337" s="23"/>
      <c r="C337" s="24"/>
      <c r="D337" s="24"/>
      <c r="E337" s="24"/>
      <c r="F337" s="24"/>
      <c r="G337" s="24"/>
      <c r="H337" s="24"/>
      <c r="I337" s="24"/>
      <c r="J337" s="24"/>
      <c r="K337" s="25"/>
    </row>
    <row r="338" s="5" customFormat="1" ht="16.5" spans="1:11">
      <c r="A338" s="22"/>
      <c r="B338" s="23"/>
      <c r="C338" s="24"/>
      <c r="D338" s="24"/>
      <c r="E338" s="24"/>
      <c r="F338" s="24"/>
      <c r="G338" s="24"/>
      <c r="H338" s="24"/>
      <c r="I338" s="24"/>
      <c r="J338" s="24"/>
      <c r="K338" s="25"/>
    </row>
    <row r="339" s="5" customFormat="1" ht="16.5" spans="1:11">
      <c r="A339" s="22"/>
      <c r="B339" s="23"/>
      <c r="C339" s="24"/>
      <c r="D339" s="24"/>
      <c r="E339" s="24"/>
      <c r="F339" s="24"/>
      <c r="G339" s="24"/>
      <c r="H339" s="24"/>
      <c r="I339" s="24"/>
      <c r="J339" s="24"/>
      <c r="K339" s="25"/>
    </row>
    <row r="340" s="5" customFormat="1" ht="16.5" spans="1:11">
      <c r="A340" s="22"/>
      <c r="B340" s="23"/>
      <c r="C340" s="24"/>
      <c r="D340" s="24"/>
      <c r="E340" s="24"/>
      <c r="F340" s="24"/>
      <c r="G340" s="24"/>
      <c r="H340" s="24"/>
      <c r="I340" s="24"/>
      <c r="J340" s="24"/>
      <c r="K340" s="25"/>
    </row>
    <row r="341" s="5" customFormat="1" ht="16.5" spans="1:11">
      <c r="A341" s="22"/>
      <c r="B341" s="23"/>
      <c r="C341" s="24"/>
      <c r="D341" s="24"/>
      <c r="E341" s="24"/>
      <c r="F341" s="24"/>
      <c r="G341" s="24"/>
      <c r="H341" s="24"/>
      <c r="I341" s="24"/>
      <c r="J341" s="24"/>
      <c r="K341" s="25"/>
    </row>
    <row r="342" s="5" customFormat="1" ht="16.5" spans="1:11">
      <c r="A342" s="22"/>
      <c r="B342" s="23"/>
      <c r="C342" s="24"/>
      <c r="D342" s="24"/>
      <c r="E342" s="24"/>
      <c r="F342" s="24"/>
      <c r="G342" s="24"/>
      <c r="H342" s="24"/>
      <c r="I342" s="24"/>
      <c r="J342" s="24"/>
      <c r="K342" s="25"/>
    </row>
    <row r="343" s="5" customFormat="1" ht="16.5" spans="1:11">
      <c r="A343" s="22"/>
      <c r="B343" s="23"/>
      <c r="C343" s="24"/>
      <c r="D343" s="24"/>
      <c r="E343" s="24"/>
      <c r="F343" s="24"/>
      <c r="G343" s="24"/>
      <c r="H343" s="24"/>
      <c r="I343" s="24"/>
      <c r="J343" s="24"/>
      <c r="K343" s="25"/>
    </row>
    <row r="344" s="5" customFormat="1" ht="16.5" spans="1:11">
      <c r="A344" s="22"/>
      <c r="B344" s="23"/>
      <c r="C344" s="24"/>
      <c r="D344" s="24"/>
      <c r="E344" s="24"/>
      <c r="F344" s="24"/>
      <c r="G344" s="24"/>
      <c r="H344" s="24"/>
      <c r="I344" s="24"/>
      <c r="J344" s="24"/>
      <c r="K344" s="25"/>
    </row>
    <row r="345" s="5" customFormat="1" ht="16.5" spans="1:11">
      <c r="A345" s="22"/>
      <c r="B345" s="23"/>
      <c r="C345" s="24"/>
      <c r="D345" s="24"/>
      <c r="E345" s="24"/>
      <c r="F345" s="24"/>
      <c r="G345" s="24"/>
      <c r="H345" s="24"/>
      <c r="I345" s="24"/>
      <c r="J345" s="24"/>
      <c r="K345" s="25"/>
    </row>
    <row r="346" s="5" customFormat="1" ht="16.5" spans="1:11">
      <c r="A346" s="22"/>
      <c r="B346" s="23"/>
      <c r="C346" s="24"/>
      <c r="D346" s="24"/>
      <c r="E346" s="24"/>
      <c r="F346" s="24"/>
      <c r="G346" s="24"/>
      <c r="H346" s="24"/>
      <c r="I346" s="24"/>
      <c r="J346" s="24"/>
      <c r="K346" s="25"/>
    </row>
    <row r="347" s="5" customFormat="1" ht="16.5" spans="1:11">
      <c r="A347" s="22"/>
      <c r="B347" s="23"/>
      <c r="C347" s="24"/>
      <c r="D347" s="24"/>
      <c r="E347" s="24"/>
      <c r="F347" s="24"/>
      <c r="G347" s="24"/>
      <c r="H347" s="24"/>
      <c r="I347" s="24"/>
      <c r="J347" s="24"/>
      <c r="K347" s="25"/>
    </row>
    <row r="348" s="5" customFormat="1" ht="16.5" spans="1:11">
      <c r="A348" s="22"/>
      <c r="B348" s="23"/>
      <c r="C348" s="24"/>
      <c r="D348" s="24"/>
      <c r="E348" s="24"/>
      <c r="F348" s="24"/>
      <c r="G348" s="24"/>
      <c r="H348" s="24"/>
      <c r="I348" s="24"/>
      <c r="J348" s="24"/>
      <c r="K348" s="25"/>
    </row>
    <row r="349" s="5" customFormat="1" ht="16.5" spans="1:11">
      <c r="A349" s="22"/>
      <c r="B349" s="23"/>
      <c r="C349" s="24"/>
      <c r="D349" s="24"/>
      <c r="E349" s="24"/>
      <c r="F349" s="24"/>
      <c r="G349" s="24"/>
      <c r="H349" s="24"/>
      <c r="I349" s="24"/>
      <c r="J349" s="24"/>
      <c r="K349" s="25"/>
    </row>
    <row r="350" s="5" customFormat="1" ht="16.5" spans="1:11">
      <c r="A350" s="22"/>
      <c r="B350" s="23"/>
      <c r="C350" s="24"/>
      <c r="D350" s="24"/>
      <c r="E350" s="24"/>
      <c r="F350" s="24"/>
      <c r="G350" s="24"/>
      <c r="H350" s="24"/>
      <c r="I350" s="24"/>
      <c r="J350" s="24"/>
      <c r="K350" s="25"/>
    </row>
    <row r="351" s="5" customFormat="1" ht="16.5" spans="1:11">
      <c r="A351" s="22"/>
      <c r="B351" s="23"/>
      <c r="C351" s="24"/>
      <c r="D351" s="24"/>
      <c r="E351" s="24"/>
      <c r="F351" s="24"/>
      <c r="G351" s="24"/>
      <c r="H351" s="24"/>
      <c r="I351" s="24"/>
      <c r="J351" s="24"/>
      <c r="K351" s="25"/>
    </row>
    <row r="352" s="5" customFormat="1" ht="16.5" spans="1:11">
      <c r="A352" s="22"/>
      <c r="B352" s="23"/>
      <c r="C352" s="24"/>
      <c r="D352" s="24"/>
      <c r="E352" s="24"/>
      <c r="F352" s="24"/>
      <c r="G352" s="24"/>
      <c r="H352" s="24"/>
      <c r="I352" s="24"/>
      <c r="J352" s="24"/>
      <c r="K352" s="25"/>
    </row>
    <row r="353" s="5" customFormat="1" ht="16.5" spans="1:11">
      <c r="A353" s="22"/>
      <c r="B353" s="23"/>
      <c r="C353" s="24"/>
      <c r="D353" s="24"/>
      <c r="E353" s="24"/>
      <c r="F353" s="24"/>
      <c r="G353" s="24"/>
      <c r="H353" s="24"/>
      <c r="I353" s="24"/>
      <c r="J353" s="24"/>
      <c r="K353" s="25"/>
    </row>
    <row r="354" s="5" customFormat="1" ht="16.5" spans="1:11">
      <c r="A354" s="22"/>
      <c r="B354" s="23"/>
      <c r="C354" s="24"/>
      <c r="D354" s="24"/>
      <c r="E354" s="24"/>
      <c r="F354" s="24"/>
      <c r="G354" s="24"/>
      <c r="H354" s="24"/>
      <c r="I354" s="24"/>
      <c r="J354" s="24"/>
      <c r="K354" s="25"/>
    </row>
    <row r="355" s="5" customFormat="1" ht="16.5" spans="1:11">
      <c r="A355" s="22"/>
      <c r="B355" s="23"/>
      <c r="C355" s="24"/>
      <c r="D355" s="24"/>
      <c r="E355" s="24"/>
      <c r="F355" s="24"/>
      <c r="G355" s="24"/>
      <c r="H355" s="24"/>
      <c r="I355" s="24"/>
      <c r="J355" s="24"/>
      <c r="K355" s="25"/>
    </row>
    <row r="356" s="5" customFormat="1" ht="16.5" spans="1:11">
      <c r="A356" s="22"/>
      <c r="B356" s="23"/>
      <c r="C356" s="24"/>
      <c r="D356" s="24"/>
      <c r="E356" s="24"/>
      <c r="F356" s="24"/>
      <c r="G356" s="24"/>
      <c r="H356" s="24"/>
      <c r="I356" s="24"/>
      <c r="J356" s="24"/>
      <c r="K356" s="25"/>
    </row>
    <row r="357" s="5" customFormat="1" ht="16.5" spans="1:11">
      <c r="A357" s="22"/>
      <c r="B357" s="23"/>
      <c r="C357" s="24"/>
      <c r="D357" s="24"/>
      <c r="E357" s="24"/>
      <c r="F357" s="24"/>
      <c r="G357" s="24"/>
      <c r="H357" s="24"/>
      <c r="I357" s="24"/>
      <c r="J357" s="24"/>
      <c r="K357" s="25"/>
    </row>
    <row r="358" s="5" customFormat="1" ht="16.5" spans="1:11">
      <c r="A358" s="22"/>
      <c r="B358" s="23"/>
      <c r="C358" s="24"/>
      <c r="D358" s="24"/>
      <c r="E358" s="24"/>
      <c r="F358" s="24"/>
      <c r="G358" s="24"/>
      <c r="H358" s="24"/>
      <c r="I358" s="24"/>
      <c r="J358" s="24"/>
      <c r="K358" s="25"/>
    </row>
    <row r="359" s="5" customFormat="1" ht="16.5" spans="1:11">
      <c r="A359" s="22"/>
      <c r="B359" s="23"/>
      <c r="C359" s="24"/>
      <c r="D359" s="24"/>
      <c r="E359" s="24"/>
      <c r="F359" s="24"/>
      <c r="G359" s="24"/>
      <c r="H359" s="24"/>
      <c r="I359" s="24"/>
      <c r="J359" s="24"/>
      <c r="K359" s="25"/>
    </row>
    <row r="360" s="5" customFormat="1" ht="16.5" spans="1:11">
      <c r="A360" s="22"/>
      <c r="B360" s="23"/>
      <c r="C360" s="24"/>
      <c r="D360" s="24"/>
      <c r="E360" s="24"/>
      <c r="F360" s="24"/>
      <c r="G360" s="24"/>
      <c r="H360" s="24"/>
      <c r="I360" s="24"/>
      <c r="J360" s="24"/>
      <c r="K360" s="25"/>
    </row>
    <row r="361" s="5" customFormat="1" ht="16.5" spans="1:11">
      <c r="A361" s="22"/>
      <c r="B361" s="23"/>
      <c r="C361" s="24"/>
      <c r="D361" s="24"/>
      <c r="E361" s="24"/>
      <c r="F361" s="24"/>
      <c r="G361" s="24"/>
      <c r="H361" s="24"/>
      <c r="I361" s="24"/>
      <c r="J361" s="24"/>
      <c r="K361" s="25"/>
    </row>
    <row r="362" s="5" customFormat="1" ht="16.5" spans="1:11">
      <c r="A362" s="22"/>
      <c r="B362" s="23"/>
      <c r="C362" s="24"/>
      <c r="D362" s="24"/>
      <c r="E362" s="24"/>
      <c r="F362" s="24"/>
      <c r="G362" s="24"/>
      <c r="H362" s="24"/>
      <c r="I362" s="24"/>
      <c r="J362" s="24"/>
      <c r="K362" s="25"/>
    </row>
    <row r="363" s="5" customFormat="1" ht="16.5" spans="1:11">
      <c r="A363" s="22"/>
      <c r="B363" s="23"/>
      <c r="C363" s="24"/>
      <c r="D363" s="24"/>
      <c r="E363" s="24"/>
      <c r="F363" s="24"/>
      <c r="G363" s="24"/>
      <c r="H363" s="24"/>
      <c r="I363" s="24"/>
      <c r="J363" s="24"/>
      <c r="K363" s="25"/>
    </row>
    <row r="364" s="5" customFormat="1" ht="16.5" spans="1:11">
      <c r="A364" s="22"/>
      <c r="B364" s="23"/>
      <c r="C364" s="24"/>
      <c r="D364" s="24"/>
      <c r="E364" s="24"/>
      <c r="F364" s="24"/>
      <c r="G364" s="24"/>
      <c r="H364" s="24"/>
      <c r="I364" s="24"/>
      <c r="J364" s="24"/>
      <c r="K364" s="25"/>
    </row>
    <row r="365" s="5" customFormat="1" ht="16.5" spans="1:11">
      <c r="A365" s="22"/>
      <c r="B365" s="23"/>
      <c r="C365" s="24"/>
      <c r="D365" s="24"/>
      <c r="E365" s="24"/>
      <c r="F365" s="24"/>
      <c r="G365" s="24"/>
      <c r="H365" s="24"/>
      <c r="I365" s="24"/>
      <c r="J365" s="24"/>
      <c r="K365" s="25"/>
    </row>
    <row r="366" s="5" customFormat="1" ht="16.5" spans="1:11">
      <c r="A366" s="22"/>
      <c r="B366" s="23"/>
      <c r="C366" s="24"/>
      <c r="D366" s="24"/>
      <c r="E366" s="24"/>
      <c r="F366" s="24"/>
      <c r="G366" s="24"/>
      <c r="H366" s="24"/>
      <c r="I366" s="24"/>
      <c r="J366" s="24"/>
      <c r="K366" s="25"/>
    </row>
    <row r="367" s="5" customFormat="1" ht="16.5" spans="1:11">
      <c r="A367" s="22"/>
      <c r="B367" s="23"/>
      <c r="C367" s="24"/>
      <c r="D367" s="24"/>
      <c r="E367" s="24"/>
      <c r="F367" s="24"/>
      <c r="G367" s="24"/>
      <c r="H367" s="24"/>
      <c r="I367" s="24"/>
      <c r="J367" s="24"/>
      <c r="K367" s="25"/>
    </row>
    <row r="368" s="5" customFormat="1" ht="16.5" spans="1:11">
      <c r="A368" s="22"/>
      <c r="B368" s="23"/>
      <c r="C368" s="24"/>
      <c r="D368" s="24"/>
      <c r="E368" s="24"/>
      <c r="F368" s="24"/>
      <c r="G368" s="24"/>
      <c r="H368" s="24"/>
      <c r="I368" s="24"/>
      <c r="J368" s="24"/>
      <c r="K368" s="25"/>
    </row>
    <row r="369" s="5" customFormat="1" ht="16.5" spans="1:11">
      <c r="A369" s="22"/>
      <c r="B369" s="23"/>
      <c r="C369" s="24"/>
      <c r="D369" s="24"/>
      <c r="E369" s="24"/>
      <c r="F369" s="24"/>
      <c r="G369" s="24"/>
      <c r="H369" s="24"/>
      <c r="I369" s="24"/>
      <c r="J369" s="24"/>
      <c r="K369" s="25"/>
    </row>
    <row r="370" s="5" customFormat="1" ht="16.5" spans="1:11">
      <c r="A370" s="22"/>
      <c r="B370" s="23"/>
      <c r="C370" s="24"/>
      <c r="D370" s="24"/>
      <c r="E370" s="24"/>
      <c r="F370" s="24"/>
      <c r="G370" s="24"/>
      <c r="H370" s="24"/>
      <c r="I370" s="24"/>
      <c r="J370" s="24"/>
      <c r="K370" s="25"/>
    </row>
    <row r="371" s="5" customFormat="1" ht="16.5" spans="1:11">
      <c r="A371" s="22"/>
      <c r="B371" s="23"/>
      <c r="C371" s="24"/>
      <c r="D371" s="24"/>
      <c r="E371" s="24"/>
      <c r="F371" s="24"/>
      <c r="G371" s="24"/>
      <c r="H371" s="24"/>
      <c r="I371" s="24"/>
      <c r="J371" s="24"/>
      <c r="K371" s="25"/>
    </row>
    <row r="372" s="5" customFormat="1" ht="16.5" spans="1:11">
      <c r="A372" s="22"/>
      <c r="B372" s="23"/>
      <c r="C372" s="24"/>
      <c r="D372" s="24"/>
      <c r="E372" s="24"/>
      <c r="F372" s="24"/>
      <c r="G372" s="24"/>
      <c r="H372" s="24"/>
      <c r="I372" s="24"/>
      <c r="J372" s="24"/>
      <c r="K372" s="25"/>
    </row>
    <row r="373" s="5" customFormat="1" ht="16.5" spans="1:11">
      <c r="A373" s="22"/>
      <c r="B373" s="23"/>
      <c r="C373" s="24"/>
      <c r="D373" s="24"/>
      <c r="E373" s="24"/>
      <c r="F373" s="24"/>
      <c r="G373" s="24"/>
      <c r="H373" s="24"/>
      <c r="I373" s="24"/>
      <c r="J373" s="24"/>
      <c r="K373" s="25"/>
    </row>
    <row r="374" s="5" customFormat="1" ht="16.5" spans="1:11">
      <c r="A374" s="22"/>
      <c r="B374" s="23"/>
      <c r="C374" s="24"/>
      <c r="D374" s="24"/>
      <c r="E374" s="24"/>
      <c r="F374" s="24"/>
      <c r="G374" s="24"/>
      <c r="H374" s="24"/>
      <c r="I374" s="24"/>
      <c r="J374" s="24"/>
      <c r="K374" s="25"/>
    </row>
    <row r="375" s="5" customFormat="1" ht="16.5" spans="1:11">
      <c r="A375" s="22"/>
      <c r="B375" s="23"/>
      <c r="C375" s="24"/>
      <c r="D375" s="24"/>
      <c r="E375" s="24"/>
      <c r="F375" s="24"/>
      <c r="G375" s="24"/>
      <c r="H375" s="24"/>
      <c r="I375" s="24"/>
      <c r="J375" s="24"/>
      <c r="K375" s="25"/>
    </row>
    <row r="376" s="5" customFormat="1" ht="16.5" spans="1:11">
      <c r="A376" s="22"/>
      <c r="B376" s="23"/>
      <c r="C376" s="24"/>
      <c r="D376" s="24"/>
      <c r="E376" s="24"/>
      <c r="F376" s="24"/>
      <c r="G376" s="24"/>
      <c r="H376" s="24"/>
      <c r="I376" s="24"/>
      <c r="J376" s="24"/>
      <c r="K376" s="25"/>
    </row>
    <row r="377" s="5" customFormat="1" ht="16.5" spans="1:11">
      <c r="A377" s="22"/>
      <c r="B377" s="23"/>
      <c r="C377" s="24"/>
      <c r="D377" s="24"/>
      <c r="E377" s="24"/>
      <c r="F377" s="24"/>
      <c r="G377" s="24"/>
      <c r="H377" s="24"/>
      <c r="I377" s="24"/>
      <c r="J377" s="24"/>
      <c r="K377" s="25"/>
    </row>
    <row r="378" s="5" customFormat="1" ht="16.5" spans="1:11">
      <c r="A378" s="22"/>
      <c r="B378" s="23"/>
      <c r="C378" s="24"/>
      <c r="D378" s="24"/>
      <c r="E378" s="24"/>
      <c r="F378" s="24"/>
      <c r="G378" s="24"/>
      <c r="H378" s="24"/>
      <c r="I378" s="24"/>
      <c r="J378" s="24"/>
      <c r="K378" s="25"/>
    </row>
    <row r="379" s="5" customFormat="1" ht="16.5" spans="1:11">
      <c r="A379" s="22"/>
      <c r="B379" s="23"/>
      <c r="C379" s="24"/>
      <c r="D379" s="24"/>
      <c r="E379" s="24"/>
      <c r="F379" s="24"/>
      <c r="G379" s="24"/>
      <c r="H379" s="24"/>
      <c r="I379" s="24"/>
      <c r="J379" s="24"/>
      <c r="K379" s="25"/>
    </row>
    <row r="380" s="5" customFormat="1" ht="16.5" spans="1:11">
      <c r="A380" s="22"/>
      <c r="B380" s="23"/>
      <c r="C380" s="24"/>
      <c r="D380" s="24"/>
      <c r="E380" s="24"/>
      <c r="F380" s="24"/>
      <c r="G380" s="24"/>
      <c r="H380" s="24"/>
      <c r="I380" s="24"/>
      <c r="J380" s="24"/>
      <c r="K380" s="25"/>
    </row>
    <row r="381" s="5" customFormat="1" ht="16.5" spans="1:11">
      <c r="A381" s="22"/>
      <c r="B381" s="23"/>
      <c r="C381" s="24"/>
      <c r="D381" s="24"/>
      <c r="E381" s="24"/>
      <c r="F381" s="24"/>
      <c r="G381" s="24"/>
      <c r="H381" s="24"/>
      <c r="I381" s="24"/>
      <c r="J381" s="24"/>
      <c r="K381" s="25"/>
    </row>
    <row r="382" s="5" customFormat="1" ht="16.5" spans="1:11">
      <c r="A382" s="22"/>
      <c r="B382" s="23"/>
      <c r="C382" s="24"/>
      <c r="D382" s="24"/>
      <c r="E382" s="24"/>
      <c r="F382" s="24"/>
      <c r="G382" s="24"/>
      <c r="H382" s="24"/>
      <c r="I382" s="24"/>
      <c r="J382" s="24"/>
      <c r="K382" s="25"/>
    </row>
    <row r="383" s="5" customFormat="1" ht="16.5" spans="1:11">
      <c r="A383" s="22"/>
      <c r="B383" s="23"/>
      <c r="C383" s="24"/>
      <c r="D383" s="24"/>
      <c r="E383" s="24"/>
      <c r="F383" s="24"/>
      <c r="G383" s="24"/>
      <c r="H383" s="24"/>
      <c r="I383" s="24"/>
      <c r="J383" s="24"/>
      <c r="K383" s="25"/>
    </row>
    <row r="384" s="5" customFormat="1" ht="16.5" spans="1:11">
      <c r="A384" s="22"/>
      <c r="B384" s="23"/>
      <c r="C384" s="24"/>
      <c r="D384" s="24"/>
      <c r="E384" s="24"/>
      <c r="F384" s="24"/>
      <c r="G384" s="24"/>
      <c r="H384" s="24"/>
      <c r="I384" s="24"/>
      <c r="J384" s="24"/>
      <c r="K384" s="25"/>
    </row>
    <row r="385" s="5" customFormat="1" ht="16.5" spans="1:11">
      <c r="A385" s="22"/>
      <c r="B385" s="23"/>
      <c r="C385" s="24"/>
      <c r="D385" s="24"/>
      <c r="E385" s="24"/>
      <c r="F385" s="24"/>
      <c r="G385" s="24"/>
      <c r="H385" s="24"/>
      <c r="I385" s="24"/>
      <c r="J385" s="24"/>
      <c r="K385" s="25"/>
    </row>
    <row r="386" s="5" customFormat="1" ht="16.5" spans="1:11">
      <c r="A386" s="22"/>
      <c r="B386" s="23"/>
      <c r="C386" s="24"/>
      <c r="D386" s="24"/>
      <c r="E386" s="24"/>
      <c r="F386" s="24"/>
      <c r="G386" s="24"/>
      <c r="H386" s="24"/>
      <c r="I386" s="24"/>
      <c r="J386" s="24"/>
      <c r="K386" s="25"/>
    </row>
    <row r="387" s="5" customFormat="1" ht="16.5" spans="1:11">
      <c r="A387" s="22"/>
      <c r="B387" s="23"/>
      <c r="C387" s="24"/>
      <c r="D387" s="24"/>
      <c r="E387" s="24"/>
      <c r="F387" s="24"/>
      <c r="G387" s="24"/>
      <c r="H387" s="24"/>
      <c r="I387" s="24"/>
      <c r="J387" s="24"/>
      <c r="K387" s="25"/>
    </row>
    <row r="388" s="5" customFormat="1" ht="16.5" spans="1:11">
      <c r="A388" s="22"/>
      <c r="B388" s="23"/>
      <c r="C388" s="24"/>
      <c r="D388" s="24"/>
      <c r="E388" s="24"/>
      <c r="F388" s="24"/>
      <c r="G388" s="24"/>
      <c r="H388" s="24"/>
      <c r="I388" s="24"/>
      <c r="J388" s="24"/>
      <c r="K388" s="25"/>
    </row>
    <row r="389" s="5" customFormat="1" ht="16.5" spans="1:11">
      <c r="A389" s="22"/>
      <c r="B389" s="23"/>
      <c r="C389" s="24"/>
      <c r="D389" s="24"/>
      <c r="E389" s="24"/>
      <c r="F389" s="24"/>
      <c r="G389" s="24"/>
      <c r="H389" s="24"/>
      <c r="I389" s="24"/>
      <c r="J389" s="24"/>
      <c r="K389" s="25"/>
    </row>
    <row r="390" s="5" customFormat="1" ht="16.5" spans="1:11">
      <c r="A390" s="22"/>
      <c r="B390" s="23"/>
      <c r="C390" s="24"/>
      <c r="D390" s="24"/>
      <c r="E390" s="24"/>
      <c r="F390" s="24"/>
      <c r="G390" s="24"/>
      <c r="H390" s="24"/>
      <c r="I390" s="24"/>
      <c r="J390" s="24"/>
      <c r="K390" s="25"/>
    </row>
    <row r="391" s="5" customFormat="1" ht="16.5" spans="1:11">
      <c r="A391" s="22"/>
      <c r="B391" s="23"/>
      <c r="C391" s="24"/>
      <c r="D391" s="24"/>
      <c r="E391" s="24"/>
      <c r="F391" s="24"/>
      <c r="G391" s="24"/>
      <c r="H391" s="24"/>
      <c r="I391" s="24"/>
      <c r="J391" s="24"/>
      <c r="K391" s="25"/>
    </row>
    <row r="392" s="5" customFormat="1" ht="16.5" spans="1:11">
      <c r="A392" s="22"/>
      <c r="B392" s="23"/>
      <c r="C392" s="24"/>
      <c r="D392" s="24"/>
      <c r="E392" s="24"/>
      <c r="F392" s="24"/>
      <c r="G392" s="24"/>
      <c r="H392" s="24"/>
      <c r="I392" s="24"/>
      <c r="J392" s="24"/>
      <c r="K392" s="25"/>
    </row>
    <row r="393" s="5" customFormat="1" ht="16.5" spans="1:11">
      <c r="A393" s="22"/>
      <c r="B393" s="23"/>
      <c r="C393" s="24"/>
      <c r="D393" s="24"/>
      <c r="E393" s="24"/>
      <c r="F393" s="24"/>
      <c r="G393" s="24"/>
      <c r="H393" s="24"/>
      <c r="I393" s="24"/>
      <c r="J393" s="24"/>
      <c r="K393" s="25"/>
    </row>
    <row r="394" s="5" customFormat="1" ht="16.5" spans="1:11">
      <c r="A394" s="22"/>
      <c r="B394" s="23"/>
      <c r="C394" s="24"/>
      <c r="D394" s="24"/>
      <c r="E394" s="24"/>
      <c r="F394" s="24"/>
      <c r="G394" s="24"/>
      <c r="H394" s="24"/>
      <c r="I394" s="24"/>
      <c r="J394" s="24"/>
      <c r="K394" s="25"/>
    </row>
    <row r="395" s="5" customFormat="1" ht="16.5" spans="1:11">
      <c r="A395" s="22"/>
      <c r="B395" s="23"/>
      <c r="C395" s="24"/>
      <c r="D395" s="24"/>
      <c r="E395" s="24"/>
      <c r="F395" s="24"/>
      <c r="G395" s="24"/>
      <c r="H395" s="24"/>
      <c r="I395" s="24"/>
      <c r="J395" s="24"/>
      <c r="K395" s="25"/>
    </row>
    <row r="396" s="5" customFormat="1" ht="16.5" spans="1:11">
      <c r="A396" s="22"/>
      <c r="B396" s="23"/>
      <c r="C396" s="24"/>
      <c r="D396" s="24"/>
      <c r="E396" s="24"/>
      <c r="F396" s="24"/>
      <c r="G396" s="24"/>
      <c r="H396" s="24"/>
      <c r="I396" s="24"/>
      <c r="J396" s="24"/>
      <c r="K396" s="25"/>
    </row>
    <row r="397" s="5" customFormat="1" ht="16.5" spans="1:11">
      <c r="A397" s="22"/>
      <c r="B397" s="23"/>
      <c r="C397" s="24"/>
      <c r="D397" s="24"/>
      <c r="E397" s="24"/>
      <c r="F397" s="24"/>
      <c r="G397" s="24"/>
      <c r="H397" s="24"/>
      <c r="I397" s="24"/>
      <c r="J397" s="24"/>
      <c r="K397" s="25"/>
    </row>
    <row r="398" s="5" customFormat="1" ht="16.5" spans="1:11">
      <c r="A398" s="22"/>
      <c r="B398" s="23"/>
      <c r="C398" s="24"/>
      <c r="D398" s="24"/>
      <c r="E398" s="24"/>
      <c r="F398" s="24"/>
      <c r="G398" s="24"/>
      <c r="H398" s="24"/>
      <c r="I398" s="24"/>
      <c r="J398" s="24"/>
      <c r="K398" s="25"/>
    </row>
    <row r="399" s="5" customFormat="1" ht="16.5" spans="1:11">
      <c r="A399" s="22"/>
      <c r="B399" s="23"/>
      <c r="C399" s="24"/>
      <c r="D399" s="24"/>
      <c r="E399" s="24"/>
      <c r="F399" s="24"/>
      <c r="G399" s="24"/>
      <c r="H399" s="24"/>
      <c r="I399" s="24"/>
      <c r="J399" s="24"/>
      <c r="K399" s="25"/>
    </row>
    <row r="400" s="5" customFormat="1" ht="16.5" spans="1:11">
      <c r="A400" s="22"/>
      <c r="B400" s="23"/>
      <c r="C400" s="24"/>
      <c r="D400" s="24"/>
      <c r="E400" s="24"/>
      <c r="F400" s="24"/>
      <c r="G400" s="24"/>
      <c r="H400" s="24"/>
      <c r="I400" s="24"/>
      <c r="J400" s="24"/>
      <c r="K400" s="25"/>
    </row>
    <row r="401" s="5" customFormat="1" ht="16.5" spans="1:11">
      <c r="A401" s="22"/>
      <c r="B401" s="23"/>
      <c r="C401" s="24"/>
      <c r="D401" s="24"/>
      <c r="E401" s="24"/>
      <c r="F401" s="24"/>
      <c r="G401" s="24"/>
      <c r="H401" s="24"/>
      <c r="I401" s="24"/>
      <c r="J401" s="24"/>
      <c r="K401" s="25"/>
    </row>
    <row r="402" s="5" customFormat="1" ht="16.5" spans="1:11">
      <c r="A402" s="22"/>
      <c r="B402" s="23"/>
      <c r="C402" s="24"/>
      <c r="D402" s="24"/>
      <c r="E402" s="24"/>
      <c r="F402" s="24"/>
      <c r="G402" s="24"/>
      <c r="H402" s="24"/>
      <c r="I402" s="24"/>
      <c r="J402" s="24"/>
      <c r="K402" s="25"/>
    </row>
    <row r="403" s="5" customFormat="1" ht="16.5" spans="1:11">
      <c r="A403" s="22"/>
      <c r="B403" s="23"/>
      <c r="C403" s="24"/>
      <c r="D403" s="24"/>
      <c r="E403" s="24"/>
      <c r="F403" s="24"/>
      <c r="G403" s="24"/>
      <c r="H403" s="24"/>
      <c r="I403" s="24"/>
      <c r="J403" s="24"/>
      <c r="K403" s="25"/>
    </row>
    <row r="404" s="5" customFormat="1" ht="16.5" spans="1:11">
      <c r="A404" s="22"/>
      <c r="B404" s="23"/>
      <c r="C404" s="24"/>
      <c r="D404" s="24"/>
      <c r="E404" s="24"/>
      <c r="F404" s="24"/>
      <c r="G404" s="24"/>
      <c r="H404" s="24"/>
      <c r="I404" s="24"/>
      <c r="J404" s="24"/>
      <c r="K404" s="25"/>
    </row>
    <row r="405" s="5" customFormat="1" ht="16.5" spans="1:11">
      <c r="A405" s="22"/>
      <c r="B405" s="23"/>
      <c r="C405" s="24"/>
      <c r="D405" s="24"/>
      <c r="E405" s="24"/>
      <c r="F405" s="24"/>
      <c r="G405" s="24"/>
      <c r="H405" s="24"/>
      <c r="I405" s="24"/>
      <c r="J405" s="24"/>
      <c r="K405" s="25"/>
    </row>
    <row r="406" s="5" customFormat="1" ht="16.5" spans="1:11">
      <c r="A406" s="22"/>
      <c r="B406" s="23"/>
      <c r="C406" s="24"/>
      <c r="D406" s="24"/>
      <c r="E406" s="24"/>
      <c r="F406" s="24"/>
      <c r="G406" s="24"/>
      <c r="H406" s="24"/>
      <c r="I406" s="24"/>
      <c r="J406" s="24"/>
      <c r="K406" s="25"/>
    </row>
    <row r="407" s="5" customFormat="1" ht="16.5" spans="1:11">
      <c r="A407" s="22"/>
      <c r="B407" s="23"/>
      <c r="C407" s="24"/>
      <c r="D407" s="24"/>
      <c r="E407" s="24"/>
      <c r="F407" s="24"/>
      <c r="G407" s="24"/>
      <c r="H407" s="24"/>
      <c r="I407" s="24"/>
      <c r="J407" s="24"/>
      <c r="K407" s="25"/>
    </row>
    <row r="408" s="5" customFormat="1" ht="16.5" spans="1:11">
      <c r="A408" s="22"/>
      <c r="B408" s="23"/>
      <c r="C408" s="24"/>
      <c r="D408" s="24"/>
      <c r="E408" s="24"/>
      <c r="F408" s="24"/>
      <c r="G408" s="24"/>
      <c r="H408" s="24"/>
      <c r="I408" s="24"/>
      <c r="J408" s="24"/>
      <c r="K408" s="25"/>
    </row>
    <row r="409" s="5" customFormat="1" ht="16.5" spans="1:11">
      <c r="A409" s="22"/>
      <c r="B409" s="23"/>
      <c r="C409" s="24"/>
      <c r="D409" s="24"/>
      <c r="E409" s="24"/>
      <c r="F409" s="24"/>
      <c r="G409" s="24"/>
      <c r="H409" s="24"/>
      <c r="I409" s="24"/>
      <c r="J409" s="24"/>
      <c r="K409" s="25"/>
    </row>
    <row r="410" s="5" customFormat="1" ht="16.5" spans="1:11">
      <c r="A410" s="22"/>
      <c r="B410" s="23"/>
      <c r="C410" s="24"/>
      <c r="D410" s="24"/>
      <c r="E410" s="24"/>
      <c r="F410" s="24"/>
      <c r="G410" s="24"/>
      <c r="H410" s="24"/>
      <c r="I410" s="24"/>
      <c r="J410" s="24"/>
      <c r="K410" s="25"/>
    </row>
    <row r="411" s="5" customFormat="1" ht="16.5" spans="1:11">
      <c r="A411" s="22"/>
      <c r="B411" s="23"/>
      <c r="C411" s="24"/>
      <c r="D411" s="24"/>
      <c r="E411" s="24"/>
      <c r="F411" s="24"/>
      <c r="G411" s="24"/>
      <c r="H411" s="24"/>
      <c r="I411" s="24"/>
      <c r="J411" s="24"/>
      <c r="K411" s="25"/>
    </row>
    <row r="412" s="5" customFormat="1" ht="16.5" spans="1:11">
      <c r="A412" s="22"/>
      <c r="B412" s="23"/>
      <c r="C412" s="24"/>
      <c r="D412" s="24"/>
      <c r="E412" s="24"/>
      <c r="F412" s="24"/>
      <c r="G412" s="24"/>
      <c r="H412" s="24"/>
      <c r="I412" s="24"/>
      <c r="J412" s="24"/>
      <c r="K412" s="25"/>
    </row>
    <row r="413" s="5" customFormat="1" ht="16.5" spans="1:11">
      <c r="A413" s="22"/>
      <c r="B413" s="23"/>
      <c r="C413" s="24"/>
      <c r="D413" s="24"/>
      <c r="E413" s="24"/>
      <c r="F413" s="24"/>
      <c r="G413" s="24"/>
      <c r="H413" s="24"/>
      <c r="I413" s="24"/>
      <c r="J413" s="24"/>
      <c r="K413" s="25"/>
    </row>
    <row r="414" s="5" customFormat="1" ht="16.5" spans="1:11">
      <c r="A414" s="22"/>
      <c r="B414" s="23"/>
      <c r="C414" s="24"/>
      <c r="D414" s="24"/>
      <c r="E414" s="24"/>
      <c r="F414" s="24"/>
      <c r="G414" s="24"/>
      <c r="H414" s="24"/>
      <c r="I414" s="24"/>
      <c r="J414" s="24"/>
      <c r="K414" s="25"/>
    </row>
    <row r="415" s="5" customFormat="1" ht="16.5" spans="1:11">
      <c r="A415" s="22"/>
      <c r="B415" s="23"/>
      <c r="C415" s="24"/>
      <c r="D415" s="24"/>
      <c r="E415" s="24"/>
      <c r="F415" s="24"/>
      <c r="G415" s="24"/>
      <c r="H415" s="24"/>
      <c r="I415" s="24"/>
      <c r="J415" s="24"/>
      <c r="K415" s="25"/>
    </row>
    <row r="416" s="5" customFormat="1" ht="16.5" spans="1:11">
      <c r="A416" s="22"/>
      <c r="B416" s="23"/>
      <c r="C416" s="24"/>
      <c r="D416" s="24"/>
      <c r="E416" s="24"/>
      <c r="F416" s="24"/>
      <c r="G416" s="24"/>
      <c r="H416" s="24"/>
      <c r="I416" s="24"/>
      <c r="J416" s="24"/>
      <c r="K416" s="25"/>
    </row>
    <row r="417" s="5" customFormat="1" ht="16.5" spans="1:11">
      <c r="A417" s="22"/>
      <c r="B417" s="23"/>
      <c r="C417" s="24"/>
      <c r="D417" s="24"/>
      <c r="E417" s="24"/>
      <c r="F417" s="24"/>
      <c r="G417" s="24"/>
      <c r="H417" s="24"/>
      <c r="I417" s="24"/>
      <c r="J417" s="24"/>
      <c r="K417" s="25"/>
    </row>
    <row r="418" s="5" customFormat="1" ht="16.5" spans="1:11">
      <c r="A418" s="22"/>
      <c r="B418" s="23"/>
      <c r="C418" s="24"/>
      <c r="D418" s="24"/>
      <c r="E418" s="24"/>
      <c r="F418" s="24"/>
      <c r="G418" s="24"/>
      <c r="H418" s="24"/>
      <c r="I418" s="24"/>
      <c r="J418" s="24"/>
      <c r="K418" s="25"/>
    </row>
    <row r="419" s="5" customFormat="1" ht="16.5" spans="1:11">
      <c r="A419" s="22"/>
      <c r="B419" s="23"/>
      <c r="C419" s="24"/>
      <c r="D419" s="24"/>
      <c r="E419" s="24"/>
      <c r="F419" s="24"/>
      <c r="G419" s="24"/>
      <c r="H419" s="24"/>
      <c r="I419" s="24"/>
      <c r="J419" s="24"/>
      <c r="K419" s="25"/>
    </row>
    <row r="420" s="5" customFormat="1" ht="16.5" spans="1:11">
      <c r="A420" s="22"/>
      <c r="B420" s="23"/>
      <c r="C420" s="24"/>
      <c r="D420" s="24"/>
      <c r="E420" s="24"/>
      <c r="F420" s="24"/>
      <c r="G420" s="24"/>
      <c r="H420" s="24"/>
      <c r="I420" s="24"/>
      <c r="J420" s="24"/>
      <c r="K420" s="25"/>
    </row>
    <row r="421" s="5" customFormat="1" ht="16.5" spans="1:11">
      <c r="A421" s="22"/>
      <c r="B421" s="23"/>
      <c r="C421" s="24"/>
      <c r="D421" s="24"/>
      <c r="E421" s="24"/>
      <c r="F421" s="24"/>
      <c r="G421" s="24"/>
      <c r="H421" s="24"/>
      <c r="I421" s="24"/>
      <c r="J421" s="24"/>
      <c r="K421" s="25"/>
    </row>
    <row r="422" s="5" customFormat="1" ht="16.5" spans="1:11">
      <c r="A422" s="22"/>
      <c r="B422" s="23"/>
      <c r="C422" s="24"/>
      <c r="D422" s="24"/>
      <c r="E422" s="24"/>
      <c r="F422" s="24"/>
      <c r="G422" s="24"/>
      <c r="H422" s="24"/>
      <c r="I422" s="24"/>
      <c r="J422" s="24"/>
      <c r="K422" s="25"/>
    </row>
    <row r="423" s="5" customFormat="1" ht="16.5" spans="1:11">
      <c r="A423" s="22"/>
      <c r="B423" s="23"/>
      <c r="C423" s="24"/>
      <c r="D423" s="24"/>
      <c r="E423" s="24"/>
      <c r="F423" s="24"/>
      <c r="G423" s="24"/>
      <c r="H423" s="24"/>
      <c r="I423" s="24"/>
      <c r="J423" s="24"/>
      <c r="K423" s="25"/>
    </row>
    <row r="424" s="5" customFormat="1" ht="16.5" spans="1:11">
      <c r="A424" s="22"/>
      <c r="B424" s="23"/>
      <c r="C424" s="24"/>
      <c r="D424" s="24"/>
      <c r="E424" s="24"/>
      <c r="F424" s="24"/>
      <c r="G424" s="24"/>
      <c r="H424" s="24"/>
      <c r="I424" s="24"/>
      <c r="J424" s="24"/>
      <c r="K424" s="25"/>
    </row>
    <row r="425" s="5" customFormat="1" ht="16.5" spans="1:11">
      <c r="A425" s="22"/>
      <c r="B425" s="23"/>
      <c r="C425" s="24"/>
      <c r="D425" s="24"/>
      <c r="E425" s="24"/>
      <c r="F425" s="24"/>
      <c r="G425" s="24"/>
      <c r="H425" s="24"/>
      <c r="I425" s="24"/>
      <c r="J425" s="24"/>
      <c r="K425" s="25"/>
    </row>
    <row r="426" s="5" customFormat="1" ht="16.5" spans="1:11">
      <c r="A426" s="22"/>
      <c r="B426" s="23"/>
      <c r="C426" s="24"/>
      <c r="D426" s="24"/>
      <c r="E426" s="24"/>
      <c r="F426" s="24"/>
      <c r="G426" s="24"/>
      <c r="H426" s="24"/>
      <c r="I426" s="24"/>
      <c r="J426" s="24"/>
      <c r="K426" s="25"/>
    </row>
    <row r="427" s="5" customFormat="1" ht="16.5" spans="1:11">
      <c r="A427" s="22"/>
      <c r="B427" s="23"/>
      <c r="C427" s="24"/>
      <c r="D427" s="24"/>
      <c r="E427" s="24"/>
      <c r="F427" s="24"/>
      <c r="G427" s="24"/>
      <c r="H427" s="24"/>
      <c r="I427" s="24"/>
      <c r="J427" s="24"/>
      <c r="K427" s="25"/>
    </row>
    <row r="428" s="5" customFormat="1" ht="16.5" spans="1:11">
      <c r="A428" s="22"/>
      <c r="B428" s="23"/>
      <c r="C428" s="24"/>
      <c r="D428" s="24"/>
      <c r="E428" s="24"/>
      <c r="F428" s="24"/>
      <c r="G428" s="24"/>
      <c r="H428" s="24"/>
      <c r="I428" s="24"/>
      <c r="J428" s="24"/>
      <c r="K428" s="25"/>
    </row>
    <row r="429" s="5" customFormat="1" ht="16.5" spans="1:11">
      <c r="A429" s="22"/>
      <c r="B429" s="23"/>
      <c r="C429" s="24"/>
      <c r="D429" s="24"/>
      <c r="E429" s="24"/>
      <c r="F429" s="24"/>
      <c r="G429" s="24"/>
      <c r="H429" s="24"/>
      <c r="I429" s="24"/>
      <c r="J429" s="24"/>
      <c r="K429" s="25"/>
    </row>
    <row r="430" s="5" customFormat="1" ht="16.5" spans="1:11">
      <c r="A430" s="22"/>
      <c r="B430" s="23"/>
      <c r="C430" s="24"/>
      <c r="D430" s="24"/>
      <c r="E430" s="24"/>
      <c r="F430" s="24"/>
      <c r="G430" s="24"/>
      <c r="H430" s="24"/>
      <c r="I430" s="24"/>
      <c r="J430" s="24"/>
      <c r="K430" s="25"/>
    </row>
    <row r="431" s="5" customFormat="1" ht="16.5" spans="1:11">
      <c r="A431" s="22"/>
      <c r="B431" s="23"/>
      <c r="C431" s="24"/>
      <c r="D431" s="24"/>
      <c r="E431" s="24"/>
      <c r="F431" s="24"/>
      <c r="G431" s="24"/>
      <c r="H431" s="24"/>
      <c r="I431" s="24"/>
      <c r="J431" s="24"/>
      <c r="K431" s="25"/>
    </row>
    <row r="432" s="5" customFormat="1" ht="16.5" spans="1:11">
      <c r="A432" s="22"/>
      <c r="B432" s="23"/>
      <c r="C432" s="24"/>
      <c r="D432" s="24"/>
      <c r="E432" s="24"/>
      <c r="F432" s="24"/>
      <c r="G432" s="24"/>
      <c r="H432" s="24"/>
      <c r="I432" s="24"/>
      <c r="J432" s="24"/>
      <c r="K432" s="25"/>
    </row>
    <row r="433" s="5" customFormat="1" ht="16.5" spans="1:11">
      <c r="A433" s="22"/>
      <c r="B433" s="23"/>
      <c r="C433" s="24"/>
      <c r="D433" s="24"/>
      <c r="E433" s="24"/>
      <c r="F433" s="24"/>
      <c r="G433" s="24"/>
      <c r="H433" s="24"/>
      <c r="I433" s="24"/>
      <c r="J433" s="24"/>
      <c r="K433" s="25"/>
    </row>
    <row r="434" s="5" customFormat="1" ht="16.5" spans="1:11">
      <c r="A434" s="22"/>
      <c r="B434" s="23"/>
      <c r="C434" s="24"/>
      <c r="D434" s="24"/>
      <c r="E434" s="24"/>
      <c r="F434" s="24"/>
      <c r="G434" s="24"/>
      <c r="H434" s="24"/>
      <c r="I434" s="24"/>
      <c r="J434" s="24"/>
      <c r="K434" s="25"/>
    </row>
    <row r="435" s="5" customFormat="1" ht="16.5" spans="1:11">
      <c r="A435" s="22"/>
      <c r="B435" s="23"/>
      <c r="C435" s="24"/>
      <c r="D435" s="24"/>
      <c r="E435" s="24"/>
      <c r="F435" s="24"/>
      <c r="G435" s="24"/>
      <c r="H435" s="24"/>
      <c r="I435" s="24"/>
      <c r="J435" s="24"/>
      <c r="K435" s="25"/>
    </row>
    <row r="436" s="5" customFormat="1" ht="16.5" spans="1:11">
      <c r="A436" s="22"/>
      <c r="B436" s="23"/>
      <c r="C436" s="24"/>
      <c r="D436" s="24"/>
      <c r="E436" s="24"/>
      <c r="F436" s="24"/>
      <c r="G436" s="24"/>
      <c r="H436" s="24"/>
      <c r="I436" s="24"/>
      <c r="J436" s="24"/>
      <c r="K436" s="25"/>
    </row>
    <row r="437" s="5" customFormat="1" ht="16.5" spans="1:11">
      <c r="A437" s="22"/>
      <c r="B437" s="23"/>
      <c r="C437" s="24"/>
      <c r="D437" s="24"/>
      <c r="E437" s="24"/>
      <c r="F437" s="24"/>
      <c r="G437" s="24"/>
      <c r="H437" s="24"/>
      <c r="I437" s="24"/>
      <c r="J437" s="24"/>
      <c r="K437" s="25"/>
    </row>
    <row r="438" s="5" customFormat="1" ht="16.5" spans="1:11">
      <c r="A438" s="22"/>
      <c r="B438" s="23"/>
      <c r="C438" s="24"/>
      <c r="D438" s="24"/>
      <c r="E438" s="24"/>
      <c r="F438" s="24"/>
      <c r="G438" s="24"/>
      <c r="H438" s="24"/>
      <c r="I438" s="24"/>
      <c r="J438" s="24"/>
      <c r="K438" s="25"/>
    </row>
    <row r="439" s="5" customFormat="1" ht="16.5" spans="1:11">
      <c r="A439" s="22"/>
      <c r="B439" s="23"/>
      <c r="C439" s="24"/>
      <c r="D439" s="24"/>
      <c r="E439" s="24"/>
      <c r="F439" s="24"/>
      <c r="G439" s="24"/>
      <c r="H439" s="24"/>
      <c r="I439" s="24"/>
      <c r="J439" s="24"/>
      <c r="K439" s="25"/>
    </row>
    <row r="440" s="5" customFormat="1" ht="16.5" spans="1:11">
      <c r="A440" s="22"/>
      <c r="B440" s="23"/>
      <c r="C440" s="24"/>
      <c r="D440" s="24"/>
      <c r="E440" s="24"/>
      <c r="F440" s="24"/>
      <c r="G440" s="24"/>
      <c r="H440" s="24"/>
      <c r="I440" s="24"/>
      <c r="J440" s="24"/>
      <c r="K440" s="25"/>
    </row>
    <row r="441" s="5" customFormat="1" ht="16.5" spans="1:11">
      <c r="A441" s="22"/>
      <c r="B441" s="23"/>
      <c r="C441" s="24"/>
      <c r="D441" s="24"/>
      <c r="E441" s="24"/>
      <c r="F441" s="24"/>
      <c r="G441" s="24"/>
      <c r="H441" s="24"/>
      <c r="I441" s="24"/>
      <c r="J441" s="24"/>
      <c r="K441" s="25"/>
    </row>
    <row r="442" s="5" customFormat="1" ht="16.5" spans="1:11">
      <c r="A442" s="22"/>
      <c r="B442" s="23"/>
      <c r="C442" s="24"/>
      <c r="D442" s="24"/>
      <c r="E442" s="24"/>
      <c r="F442" s="24"/>
      <c r="G442" s="24"/>
      <c r="H442" s="24"/>
      <c r="I442" s="24"/>
      <c r="J442" s="24"/>
      <c r="K442" s="25"/>
    </row>
    <row r="443" s="5" customFormat="1" ht="16.5" spans="1:11">
      <c r="A443" s="22"/>
      <c r="B443" s="23"/>
      <c r="C443" s="24"/>
      <c r="D443" s="24"/>
      <c r="E443" s="24"/>
      <c r="F443" s="24"/>
      <c r="G443" s="24"/>
      <c r="H443" s="24"/>
      <c r="I443" s="24"/>
      <c r="J443" s="24"/>
      <c r="K443" s="25"/>
    </row>
    <row r="444" s="5" customFormat="1" ht="16.5" spans="1:11">
      <c r="A444" s="22"/>
      <c r="B444" s="23"/>
      <c r="C444" s="24"/>
      <c r="D444" s="24"/>
      <c r="E444" s="24"/>
      <c r="F444" s="24"/>
      <c r="G444" s="24"/>
      <c r="H444" s="24"/>
      <c r="I444" s="24"/>
      <c r="J444" s="24"/>
      <c r="K444" s="25"/>
    </row>
    <row r="445" s="5" customFormat="1" ht="16.5" spans="1:11">
      <c r="A445" s="22"/>
      <c r="B445" s="23"/>
      <c r="C445" s="24"/>
      <c r="D445" s="24"/>
      <c r="E445" s="24"/>
      <c r="F445" s="24"/>
      <c r="G445" s="24"/>
      <c r="H445" s="24"/>
      <c r="I445" s="24"/>
      <c r="J445" s="24"/>
      <c r="K445" s="25"/>
    </row>
    <row r="446" s="5" customFormat="1" ht="16.5" spans="1:11">
      <c r="A446" s="22"/>
      <c r="B446" s="23"/>
      <c r="C446" s="24"/>
      <c r="D446" s="24"/>
      <c r="E446" s="24"/>
      <c r="F446" s="24"/>
      <c r="G446" s="24"/>
      <c r="H446" s="24"/>
      <c r="I446" s="24"/>
      <c r="J446" s="24"/>
      <c r="K446" s="25"/>
    </row>
    <row r="447" s="5" customFormat="1" ht="16.5" spans="1:11">
      <c r="A447" s="22"/>
      <c r="B447" s="23"/>
      <c r="C447" s="24"/>
      <c r="D447" s="24"/>
      <c r="E447" s="24"/>
      <c r="F447" s="24"/>
      <c r="G447" s="24"/>
      <c r="H447" s="24"/>
      <c r="I447" s="24"/>
      <c r="J447" s="24"/>
      <c r="K447" s="25"/>
    </row>
    <row r="448" s="5" customFormat="1" ht="16.5" spans="1:11">
      <c r="A448" s="22"/>
      <c r="B448" s="23"/>
      <c r="C448" s="24"/>
      <c r="D448" s="24"/>
      <c r="E448" s="24"/>
      <c r="F448" s="24"/>
      <c r="G448" s="24"/>
      <c r="H448" s="24"/>
      <c r="I448" s="24"/>
      <c r="J448" s="24"/>
      <c r="K448" s="25"/>
    </row>
    <row r="449" s="5" customFormat="1" ht="16.5" spans="1:11">
      <c r="A449" s="22"/>
      <c r="B449" s="23"/>
      <c r="C449" s="24"/>
      <c r="D449" s="24"/>
      <c r="E449" s="24"/>
      <c r="F449" s="24"/>
      <c r="G449" s="24"/>
      <c r="H449" s="24"/>
      <c r="I449" s="24"/>
      <c r="J449" s="24"/>
      <c r="K449" s="25"/>
    </row>
    <row r="450" s="5" customFormat="1" ht="16.5" spans="1:11">
      <c r="A450" s="22"/>
      <c r="B450" s="23"/>
      <c r="C450" s="24"/>
      <c r="D450" s="24"/>
      <c r="E450" s="24"/>
      <c r="F450" s="24"/>
      <c r="G450" s="24"/>
      <c r="H450" s="24"/>
      <c r="I450" s="24"/>
      <c r="J450" s="24"/>
      <c r="K450" s="25"/>
    </row>
    <row r="451" s="5" customFormat="1" ht="16.5" spans="1:11">
      <c r="A451" s="22"/>
      <c r="B451" s="23"/>
      <c r="C451" s="24"/>
      <c r="D451" s="24"/>
      <c r="E451" s="24"/>
      <c r="F451" s="24"/>
      <c r="G451" s="24"/>
      <c r="H451" s="24"/>
      <c r="I451" s="24"/>
      <c r="J451" s="24"/>
      <c r="K451" s="25"/>
    </row>
    <row r="452" s="5" customFormat="1" ht="16.5" spans="1:11">
      <c r="A452" s="22"/>
      <c r="B452" s="23"/>
      <c r="C452" s="24"/>
      <c r="D452" s="24"/>
      <c r="E452" s="24"/>
      <c r="F452" s="24"/>
      <c r="G452" s="24"/>
      <c r="H452" s="24"/>
      <c r="I452" s="24"/>
      <c r="J452" s="24"/>
      <c r="K452" s="25"/>
    </row>
    <row r="453" s="5" customFormat="1" ht="16.5" spans="1:11">
      <c r="A453" s="22"/>
      <c r="B453" s="23"/>
      <c r="C453" s="24"/>
      <c r="D453" s="24"/>
      <c r="E453" s="24"/>
      <c r="F453" s="24"/>
      <c r="G453" s="24"/>
      <c r="H453" s="24"/>
      <c r="I453" s="24"/>
      <c r="J453" s="24"/>
      <c r="K453" s="25"/>
    </row>
    <row r="454" s="5" customFormat="1" ht="16.5" spans="1:11">
      <c r="A454" s="22"/>
      <c r="B454" s="23"/>
      <c r="C454" s="24"/>
      <c r="D454" s="24"/>
      <c r="E454" s="24"/>
      <c r="F454" s="24"/>
      <c r="G454" s="24"/>
      <c r="H454" s="24"/>
      <c r="I454" s="24"/>
      <c r="J454" s="24"/>
      <c r="K454" s="25"/>
    </row>
    <row r="455" s="5" customFormat="1" ht="16.5" spans="1:11">
      <c r="A455" s="22"/>
      <c r="B455" s="23"/>
      <c r="C455" s="24"/>
      <c r="D455" s="24"/>
      <c r="E455" s="24"/>
      <c r="F455" s="24"/>
      <c r="G455" s="24"/>
      <c r="H455" s="24"/>
      <c r="I455" s="24"/>
      <c r="J455" s="24"/>
      <c r="K455" s="25"/>
    </row>
    <row r="456" s="5" customFormat="1" ht="16.5" spans="1:11">
      <c r="A456" s="22"/>
      <c r="B456" s="23"/>
      <c r="C456" s="24"/>
      <c r="D456" s="24"/>
      <c r="E456" s="24"/>
      <c r="F456" s="24"/>
      <c r="G456" s="24"/>
      <c r="H456" s="24"/>
      <c r="I456" s="24"/>
      <c r="J456" s="24"/>
      <c r="K456" s="25"/>
    </row>
    <row r="457" s="5" customFormat="1" ht="16.5" spans="1:11">
      <c r="A457" s="22"/>
      <c r="B457" s="23"/>
      <c r="C457" s="24"/>
      <c r="D457" s="24"/>
      <c r="E457" s="24"/>
      <c r="F457" s="24"/>
      <c r="G457" s="24"/>
      <c r="H457" s="24"/>
      <c r="I457" s="24"/>
      <c r="J457" s="24"/>
      <c r="K457" s="25"/>
    </row>
    <row r="458" s="5" customFormat="1" ht="16.5" spans="1:11">
      <c r="A458" s="22"/>
      <c r="B458" s="23"/>
      <c r="C458" s="24"/>
      <c r="D458" s="24"/>
      <c r="E458" s="24"/>
      <c r="F458" s="24"/>
      <c r="G458" s="24"/>
      <c r="H458" s="24"/>
      <c r="I458" s="24"/>
      <c r="J458" s="24"/>
      <c r="K458" s="25"/>
    </row>
    <row r="459" s="5" customFormat="1" ht="16.5" spans="1:11">
      <c r="A459" s="22"/>
      <c r="B459" s="23"/>
      <c r="C459" s="24"/>
      <c r="D459" s="24"/>
      <c r="E459" s="24"/>
      <c r="F459" s="24"/>
      <c r="G459" s="24"/>
      <c r="H459" s="24"/>
      <c r="I459" s="24"/>
      <c r="J459" s="24"/>
      <c r="K459" s="25"/>
    </row>
    <row r="460" s="5" customFormat="1" ht="16.5" spans="1:11">
      <c r="A460" s="22"/>
      <c r="B460" s="23"/>
      <c r="C460" s="24"/>
      <c r="D460" s="24"/>
      <c r="E460" s="24"/>
      <c r="F460" s="24"/>
      <c r="G460" s="24"/>
      <c r="H460" s="24"/>
      <c r="I460" s="24"/>
      <c r="J460" s="24"/>
      <c r="K460" s="25"/>
    </row>
    <row r="461" s="5" customFormat="1" ht="16.5" spans="1:11">
      <c r="A461" s="22"/>
      <c r="B461" s="23"/>
      <c r="C461" s="24"/>
      <c r="D461" s="24"/>
      <c r="E461" s="24"/>
      <c r="F461" s="24"/>
      <c r="G461" s="24"/>
      <c r="H461" s="24"/>
      <c r="I461" s="24"/>
      <c r="J461" s="24"/>
      <c r="K461" s="25"/>
    </row>
    <row r="462" s="5" customFormat="1" ht="16.5" spans="1:11">
      <c r="A462" s="22"/>
      <c r="B462" s="23"/>
      <c r="C462" s="24"/>
      <c r="D462" s="24"/>
      <c r="E462" s="24"/>
      <c r="F462" s="24"/>
      <c r="G462" s="24"/>
      <c r="H462" s="24"/>
      <c r="I462" s="24"/>
      <c r="J462" s="24"/>
      <c r="K462" s="25"/>
    </row>
    <row r="463" s="5" customFormat="1" ht="16.5" spans="1:11">
      <c r="A463" s="22"/>
      <c r="B463" s="23"/>
      <c r="C463" s="24"/>
      <c r="D463" s="24"/>
      <c r="E463" s="24"/>
      <c r="F463" s="24"/>
      <c r="G463" s="24"/>
      <c r="H463" s="24"/>
      <c r="I463" s="24"/>
      <c r="J463" s="24"/>
      <c r="K463" s="25"/>
    </row>
    <row r="464" s="5" customFormat="1" ht="16.5" spans="1:11">
      <c r="A464" s="22"/>
      <c r="B464" s="23"/>
      <c r="C464" s="24"/>
      <c r="D464" s="24"/>
      <c r="E464" s="24"/>
      <c r="F464" s="24"/>
      <c r="G464" s="24"/>
      <c r="H464" s="24"/>
      <c r="I464" s="24"/>
      <c r="J464" s="24"/>
      <c r="K464" s="25"/>
    </row>
    <row r="465" s="5" customFormat="1" ht="16.5" spans="1:11">
      <c r="A465" s="22"/>
      <c r="B465" s="23"/>
      <c r="C465" s="24"/>
      <c r="D465" s="24"/>
      <c r="E465" s="24"/>
      <c r="F465" s="24"/>
      <c r="G465" s="24"/>
      <c r="H465" s="24"/>
      <c r="I465" s="24"/>
      <c r="J465" s="24"/>
      <c r="K465" s="25"/>
    </row>
    <row r="466" s="5" customFormat="1" ht="16.5" spans="1:11">
      <c r="A466" s="22"/>
      <c r="B466" s="23"/>
      <c r="C466" s="24"/>
      <c r="D466" s="24"/>
      <c r="E466" s="24"/>
      <c r="F466" s="24"/>
      <c r="G466" s="24"/>
      <c r="H466" s="24"/>
      <c r="I466" s="24"/>
      <c r="J466" s="24"/>
      <c r="K466" s="25"/>
    </row>
    <row r="467" s="5" customFormat="1" ht="16.5" spans="1:11">
      <c r="A467" s="22"/>
      <c r="B467" s="23"/>
      <c r="C467" s="24"/>
      <c r="D467" s="24"/>
      <c r="E467" s="24"/>
      <c r="F467" s="24"/>
      <c r="G467" s="24"/>
      <c r="H467" s="24"/>
      <c r="I467" s="24"/>
      <c r="J467" s="24"/>
      <c r="K467" s="25"/>
    </row>
    <row r="468" s="5" customFormat="1" ht="16.5" spans="1:11">
      <c r="A468" s="22"/>
      <c r="B468" s="23"/>
      <c r="C468" s="24"/>
      <c r="D468" s="24"/>
      <c r="E468" s="24"/>
      <c r="F468" s="24"/>
      <c r="G468" s="24"/>
      <c r="H468" s="24"/>
      <c r="I468" s="24"/>
      <c r="J468" s="24"/>
      <c r="K468" s="25"/>
    </row>
    <row r="469" s="5" customFormat="1" ht="16.5" spans="1:11">
      <c r="A469" s="22"/>
      <c r="B469" s="23"/>
      <c r="C469" s="24"/>
      <c r="D469" s="24"/>
      <c r="E469" s="24"/>
      <c r="F469" s="24"/>
      <c r="G469" s="24"/>
      <c r="H469" s="24"/>
      <c r="I469" s="24"/>
      <c r="J469" s="24"/>
      <c r="K469" s="25"/>
    </row>
    <row r="470" s="5" customFormat="1" ht="16.5" spans="1:11">
      <c r="A470" s="22"/>
      <c r="B470" s="23"/>
      <c r="C470" s="24"/>
      <c r="D470" s="24"/>
      <c r="E470" s="24"/>
      <c r="F470" s="24"/>
      <c r="G470" s="24"/>
      <c r="H470" s="24"/>
      <c r="I470" s="24"/>
      <c r="J470" s="24"/>
      <c r="K470" s="25"/>
    </row>
    <row r="471" s="5" customFormat="1" ht="16.5" spans="1:11">
      <c r="A471" s="22"/>
      <c r="B471" s="23"/>
      <c r="C471" s="24"/>
      <c r="D471" s="24"/>
      <c r="E471" s="24"/>
      <c r="F471" s="24"/>
      <c r="G471" s="24"/>
      <c r="H471" s="24"/>
      <c r="I471" s="24"/>
      <c r="J471" s="24"/>
      <c r="K471" s="25"/>
    </row>
    <row r="472" s="5" customFormat="1" ht="16.5" spans="1:11">
      <c r="A472" s="22"/>
      <c r="B472" s="23"/>
      <c r="C472" s="24"/>
      <c r="D472" s="24"/>
      <c r="E472" s="24"/>
      <c r="F472" s="24"/>
      <c r="G472" s="24"/>
      <c r="H472" s="24"/>
      <c r="I472" s="24"/>
      <c r="J472" s="24"/>
      <c r="K472" s="25"/>
    </row>
    <row r="473" s="5" customFormat="1" ht="16.5" spans="1:11">
      <c r="A473" s="22"/>
      <c r="B473" s="23"/>
      <c r="C473" s="24"/>
      <c r="D473" s="24"/>
      <c r="E473" s="24"/>
      <c r="F473" s="24"/>
      <c r="G473" s="24"/>
      <c r="H473" s="24"/>
      <c r="I473" s="24"/>
      <c r="J473" s="24"/>
      <c r="K473" s="25"/>
    </row>
    <row r="474" s="5" customFormat="1" ht="16.5" spans="1:11">
      <c r="A474" s="22"/>
      <c r="B474" s="23"/>
      <c r="C474" s="24"/>
      <c r="D474" s="24"/>
      <c r="E474" s="24"/>
      <c r="F474" s="24"/>
      <c r="G474" s="24"/>
      <c r="H474" s="24"/>
      <c r="I474" s="24"/>
      <c r="J474" s="24"/>
      <c r="K474" s="25"/>
    </row>
    <row r="475" s="5" customFormat="1" ht="16.5" spans="1:11">
      <c r="A475" s="22"/>
      <c r="B475" s="23"/>
      <c r="C475" s="24"/>
      <c r="D475" s="24"/>
      <c r="E475" s="24"/>
      <c r="F475" s="24"/>
      <c r="G475" s="24"/>
      <c r="H475" s="24"/>
      <c r="I475" s="24"/>
      <c r="J475" s="24"/>
      <c r="K475" s="25"/>
    </row>
    <row r="476" s="5" customFormat="1" ht="16.5" spans="1:11">
      <c r="A476" s="22"/>
      <c r="B476" s="23"/>
      <c r="C476" s="24"/>
      <c r="D476" s="24"/>
      <c r="E476" s="24"/>
      <c r="F476" s="24"/>
      <c r="G476" s="24"/>
      <c r="H476" s="24"/>
      <c r="I476" s="24"/>
      <c r="J476" s="24"/>
      <c r="K476" s="25"/>
    </row>
    <row r="477" s="5" customFormat="1" ht="16.5" spans="1:11">
      <c r="A477" s="22"/>
      <c r="B477" s="23"/>
      <c r="C477" s="24"/>
      <c r="D477" s="24"/>
      <c r="E477" s="24"/>
      <c r="F477" s="24"/>
      <c r="G477" s="24"/>
      <c r="H477" s="24"/>
      <c r="I477" s="24"/>
      <c r="J477" s="24"/>
      <c r="K477" s="25"/>
    </row>
    <row r="478" s="5" customFormat="1" ht="16.5" spans="1:11">
      <c r="A478" s="22"/>
      <c r="B478" s="23"/>
      <c r="C478" s="24"/>
      <c r="D478" s="24"/>
      <c r="E478" s="24"/>
      <c r="F478" s="24"/>
      <c r="G478" s="24"/>
      <c r="H478" s="24"/>
      <c r="I478" s="24"/>
      <c r="J478" s="24"/>
      <c r="K478" s="25"/>
    </row>
    <row r="479" s="5" customFormat="1" ht="16.5" spans="1:11">
      <c r="A479" s="22"/>
      <c r="B479" s="23"/>
      <c r="C479" s="24"/>
      <c r="D479" s="24"/>
      <c r="E479" s="24"/>
      <c r="F479" s="24"/>
      <c r="G479" s="24"/>
      <c r="H479" s="24"/>
      <c r="I479" s="24"/>
      <c r="J479" s="24"/>
      <c r="K479" s="25"/>
    </row>
    <row r="480" s="5" customFormat="1" ht="16.5" spans="1:11">
      <c r="A480" s="22"/>
      <c r="B480" s="23"/>
      <c r="C480" s="24"/>
      <c r="D480" s="24"/>
      <c r="E480" s="24"/>
      <c r="F480" s="24"/>
      <c r="G480" s="24"/>
      <c r="H480" s="24"/>
      <c r="I480" s="24"/>
      <c r="J480" s="24"/>
      <c r="K480" s="25"/>
    </row>
    <row r="481" s="5" customFormat="1" ht="16.5" spans="1:11">
      <c r="A481" s="22"/>
      <c r="B481" s="23"/>
      <c r="C481" s="24"/>
      <c r="D481" s="24"/>
      <c r="E481" s="24"/>
      <c r="F481" s="24"/>
      <c r="G481" s="24"/>
      <c r="H481" s="24"/>
      <c r="I481" s="24"/>
      <c r="J481" s="24"/>
      <c r="K481" s="25"/>
    </row>
    <row r="482" s="5" customFormat="1" ht="16.5" spans="1:11">
      <c r="A482" s="22"/>
      <c r="B482" s="23"/>
      <c r="C482" s="24"/>
      <c r="D482" s="24"/>
      <c r="E482" s="24"/>
      <c r="F482" s="24"/>
      <c r="G482" s="24"/>
      <c r="H482" s="24"/>
      <c r="I482" s="24"/>
      <c r="J482" s="24"/>
      <c r="K482" s="25"/>
    </row>
    <row r="483" s="5" customFormat="1" ht="16.5" spans="1:11">
      <c r="A483" s="22"/>
      <c r="B483" s="23"/>
      <c r="C483" s="24"/>
      <c r="D483" s="24"/>
      <c r="E483" s="24"/>
      <c r="F483" s="24"/>
      <c r="G483" s="24"/>
      <c r="H483" s="24"/>
      <c r="I483" s="24"/>
      <c r="J483" s="24"/>
      <c r="K483" s="25"/>
    </row>
    <row r="484" s="5" customFormat="1" ht="16.5" spans="1:11">
      <c r="A484" s="22"/>
      <c r="B484" s="23"/>
      <c r="C484" s="24"/>
      <c r="D484" s="24"/>
      <c r="E484" s="24"/>
      <c r="F484" s="24"/>
      <c r="G484" s="24"/>
      <c r="H484" s="24"/>
      <c r="I484" s="24"/>
      <c r="J484" s="24"/>
      <c r="K484" s="25"/>
    </row>
    <row r="485" s="5" customFormat="1" ht="16.5" spans="1:11">
      <c r="A485" s="22"/>
      <c r="B485" s="23"/>
      <c r="C485" s="24"/>
      <c r="D485" s="24"/>
      <c r="E485" s="24"/>
      <c r="F485" s="24"/>
      <c r="G485" s="24"/>
      <c r="H485" s="24"/>
      <c r="I485" s="24"/>
      <c r="J485" s="24"/>
      <c r="K485" s="25"/>
    </row>
    <row r="486" s="5" customFormat="1" ht="16.5" spans="1:11">
      <c r="A486" s="22"/>
      <c r="B486" s="23"/>
      <c r="C486" s="24"/>
      <c r="D486" s="24"/>
      <c r="E486" s="24"/>
      <c r="F486" s="24"/>
      <c r="G486" s="24"/>
      <c r="H486" s="24"/>
      <c r="I486" s="24"/>
      <c r="J486" s="24"/>
      <c r="K486" s="25"/>
    </row>
    <row r="487" s="5" customFormat="1" ht="16.5" spans="1:11">
      <c r="A487" s="22"/>
      <c r="B487" s="23"/>
      <c r="C487" s="24"/>
      <c r="D487" s="24"/>
      <c r="E487" s="24"/>
      <c r="F487" s="24"/>
      <c r="G487" s="24"/>
      <c r="H487" s="24"/>
      <c r="I487" s="24"/>
      <c r="J487" s="24"/>
      <c r="K487" s="25"/>
    </row>
    <row r="488" s="5" customFormat="1" ht="16.5" spans="1:11">
      <c r="A488" s="22"/>
      <c r="B488" s="23"/>
      <c r="C488" s="24"/>
      <c r="D488" s="24"/>
      <c r="E488" s="24"/>
      <c r="F488" s="24"/>
      <c r="G488" s="24"/>
      <c r="H488" s="24"/>
      <c r="I488" s="24"/>
      <c r="J488" s="24"/>
      <c r="K488" s="25"/>
    </row>
    <row r="489" s="5" customFormat="1" ht="16.5" spans="1:11">
      <c r="A489" s="22"/>
      <c r="B489" s="23"/>
      <c r="C489" s="24"/>
      <c r="D489" s="24"/>
      <c r="E489" s="24"/>
      <c r="F489" s="24"/>
      <c r="G489" s="24"/>
      <c r="H489" s="24"/>
      <c r="I489" s="24"/>
      <c r="J489" s="24"/>
      <c r="K489" s="25"/>
    </row>
    <row r="490" s="5" customFormat="1" ht="16.5" spans="1:11">
      <c r="A490" s="22"/>
      <c r="B490" s="23"/>
      <c r="C490" s="24"/>
      <c r="D490" s="24"/>
      <c r="E490" s="24"/>
      <c r="F490" s="24"/>
      <c r="G490" s="24"/>
      <c r="H490" s="24"/>
      <c r="I490" s="24"/>
      <c r="J490" s="24"/>
      <c r="K490" s="25"/>
    </row>
    <row r="491" s="5" customFormat="1" ht="16.5" spans="1:11">
      <c r="A491" s="22"/>
      <c r="B491" s="23"/>
      <c r="C491" s="24"/>
      <c r="D491" s="24"/>
      <c r="E491" s="24"/>
      <c r="F491" s="24"/>
      <c r="G491" s="24"/>
      <c r="H491" s="24"/>
      <c r="I491" s="24"/>
      <c r="J491" s="24"/>
      <c r="K491" s="25"/>
    </row>
    <row r="492" s="5" customFormat="1" ht="16.5" spans="1:11">
      <c r="A492" s="22"/>
      <c r="B492" s="23"/>
      <c r="C492" s="24"/>
      <c r="D492" s="24"/>
      <c r="E492" s="24"/>
      <c r="F492" s="24"/>
      <c r="G492" s="24"/>
      <c r="H492" s="24"/>
      <c r="I492" s="24"/>
      <c r="J492" s="24"/>
      <c r="K492" s="25"/>
    </row>
    <row r="493" s="5" customFormat="1" ht="16.5" spans="1:11">
      <c r="A493" s="22"/>
      <c r="B493" s="23"/>
      <c r="C493" s="24"/>
      <c r="D493" s="24"/>
      <c r="E493" s="24"/>
      <c r="F493" s="24"/>
      <c r="G493" s="24"/>
      <c r="H493" s="24"/>
      <c r="I493" s="24"/>
      <c r="J493" s="24"/>
      <c r="K493" s="25"/>
    </row>
    <row r="494" s="5" customFormat="1" ht="16.5" spans="1:11">
      <c r="A494" s="22"/>
      <c r="B494" s="23"/>
      <c r="C494" s="24"/>
      <c r="D494" s="24"/>
      <c r="E494" s="24"/>
      <c r="F494" s="24"/>
      <c r="G494" s="24"/>
      <c r="H494" s="24"/>
      <c r="I494" s="24"/>
      <c r="J494" s="24"/>
      <c r="K494" s="25"/>
    </row>
    <row r="495" s="5" customFormat="1" ht="16.5" spans="1:11">
      <c r="A495" s="22"/>
      <c r="B495" s="23"/>
      <c r="C495" s="24"/>
      <c r="D495" s="24"/>
      <c r="E495" s="24"/>
      <c r="F495" s="24"/>
      <c r="G495" s="24"/>
      <c r="H495" s="24"/>
      <c r="I495" s="24"/>
      <c r="J495" s="24"/>
      <c r="K495" s="25"/>
    </row>
    <row r="496" s="5" customFormat="1" ht="16.5" spans="1:11">
      <c r="A496" s="22"/>
      <c r="B496" s="23"/>
      <c r="C496" s="24"/>
      <c r="D496" s="24"/>
      <c r="E496" s="24"/>
      <c r="F496" s="24"/>
      <c r="G496" s="24"/>
      <c r="H496" s="24"/>
      <c r="I496" s="24"/>
      <c r="J496" s="24"/>
      <c r="K496" s="25"/>
    </row>
    <row r="497" s="5" customFormat="1" ht="16.5" spans="1:11">
      <c r="A497" s="22"/>
      <c r="B497" s="23"/>
      <c r="C497" s="24"/>
      <c r="D497" s="24"/>
      <c r="E497" s="24"/>
      <c r="F497" s="24"/>
      <c r="G497" s="24"/>
      <c r="H497" s="24"/>
      <c r="I497" s="24"/>
      <c r="J497" s="24"/>
      <c r="K497" s="25"/>
    </row>
    <row r="498" s="5" customFormat="1" ht="16.5" spans="1:11">
      <c r="A498" s="22"/>
      <c r="B498" s="23"/>
      <c r="C498" s="24"/>
      <c r="D498" s="24"/>
      <c r="E498" s="24"/>
      <c r="F498" s="24"/>
      <c r="G498" s="24"/>
      <c r="H498" s="24"/>
      <c r="I498" s="24"/>
      <c r="J498" s="24"/>
      <c r="K498" s="25"/>
    </row>
    <row r="499" s="5" customFormat="1" ht="16.5" spans="1:11">
      <c r="A499" s="22"/>
      <c r="B499" s="23"/>
      <c r="C499" s="24"/>
      <c r="D499" s="24"/>
      <c r="E499" s="24"/>
      <c r="F499" s="24"/>
      <c r="G499" s="24"/>
      <c r="H499" s="24"/>
      <c r="I499" s="24"/>
      <c r="J499" s="24"/>
      <c r="K499" s="25"/>
    </row>
    <row r="500" s="5" customFormat="1" ht="16.5" spans="1:11">
      <c r="A500" s="22"/>
      <c r="B500" s="23"/>
      <c r="C500" s="24"/>
      <c r="D500" s="24"/>
      <c r="E500" s="24"/>
      <c r="F500" s="24"/>
      <c r="G500" s="24"/>
      <c r="H500" s="24"/>
      <c r="I500" s="24"/>
      <c r="J500" s="24"/>
      <c r="K500" s="25"/>
    </row>
    <row r="501" s="5" customFormat="1" ht="16.5" spans="1:11">
      <c r="A501" s="22"/>
      <c r="B501" s="23"/>
      <c r="C501" s="24"/>
      <c r="D501" s="24"/>
      <c r="E501" s="24"/>
      <c r="F501" s="24"/>
      <c r="G501" s="24"/>
      <c r="H501" s="24"/>
      <c r="I501" s="24"/>
      <c r="J501" s="24"/>
      <c r="K501" s="25"/>
    </row>
    <row r="502" s="5" customFormat="1" ht="16.5" spans="1:11">
      <c r="A502" s="22"/>
      <c r="B502" s="23"/>
      <c r="C502" s="24"/>
      <c r="D502" s="24"/>
      <c r="E502" s="24"/>
      <c r="F502" s="24"/>
      <c r="G502" s="24"/>
      <c r="H502" s="24"/>
      <c r="I502" s="24"/>
      <c r="J502" s="24"/>
      <c r="K502" s="25"/>
    </row>
    <row r="503" s="5" customFormat="1" ht="16.5" spans="1:11">
      <c r="A503" s="22"/>
      <c r="B503" s="23"/>
      <c r="C503" s="24"/>
      <c r="D503" s="24"/>
      <c r="E503" s="24"/>
      <c r="F503" s="24"/>
      <c r="G503" s="24"/>
      <c r="H503" s="24"/>
      <c r="I503" s="24"/>
      <c r="J503" s="24"/>
      <c r="K503" s="25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3"/>
  <sheetViews>
    <sheetView showGridLines="0" workbookViewId="0">
      <pane ySplit="3" topLeftCell="A4" activePane="bottomLeft" state="frozen"/>
      <selection/>
      <selection pane="bottomLeft" activeCell="E12" sqref="E12"/>
    </sheetView>
  </sheetViews>
  <sheetFormatPr defaultColWidth="9" defaultRowHeight="13.5"/>
  <cols>
    <col min="1" max="1" width="8" customWidth="1"/>
    <col min="2" max="2" width="12" style="6" customWidth="1"/>
    <col min="3" max="3" width="18" style="7" customWidth="1"/>
    <col min="4" max="4" width="14" style="8" customWidth="1"/>
    <col min="5" max="5" width="20" style="7" customWidth="1"/>
    <col min="6" max="6" width="18" style="8" customWidth="1"/>
    <col min="7" max="8" width="12" style="7" customWidth="1"/>
    <col min="9" max="9" width="16" style="7" customWidth="1"/>
    <col min="10" max="10" width="12" style="8" customWidth="1"/>
    <col min="11" max="11" width="7.375" style="9" customWidth="1"/>
    <col min="12" max="16373" width="10" style="5" customWidth="1"/>
    <col min="16374" max="16374" width="10" style="5"/>
    <col min="16375" max="16378" width="9" style="5"/>
    <col min="16379" max="16379" width="10" style="5"/>
    <col min="16380" max="16384" width="9" style="5"/>
  </cols>
  <sheetData>
    <row r="1" s="5" customFormat="1" ht="28" customHeight="1" spans="1:11">
      <c r="A1" s="10" t="s">
        <v>307</v>
      </c>
      <c r="B1" s="11"/>
      <c r="C1" s="12"/>
      <c r="D1" s="12"/>
      <c r="E1" s="12"/>
      <c r="F1" s="12"/>
      <c r="G1" s="12"/>
      <c r="H1" s="12"/>
      <c r="I1" s="12"/>
      <c r="J1" s="12"/>
      <c r="K1" s="13"/>
    </row>
    <row r="2" s="5" customFormat="1" ht="24" customHeight="1" spans="1:11">
      <c r="A2" s="14" t="s">
        <v>295</v>
      </c>
      <c r="B2" s="15" t="s">
        <v>108</v>
      </c>
      <c r="C2" s="16" t="s">
        <v>100</v>
      </c>
      <c r="D2" s="17">
        <f>IFERROR(VLOOKUP($B$2,数据录入!$C$5:$H$18,6,0),0)</f>
        <v>0</v>
      </c>
      <c r="E2" s="16" t="s">
        <v>296</v>
      </c>
      <c r="F2" s="17">
        <f>SUMIFS(数据录入!$F$19:$F$10000,数据录入!$C$19:$C$10000,$B$2)</f>
        <v>0</v>
      </c>
      <c r="G2" s="16" t="s">
        <v>297</v>
      </c>
      <c r="H2" s="17">
        <f>SUMIFS(数据录入!$G$19:$G$10000,数据录入!$C$19:$C$10000,$B$2)</f>
        <v>0</v>
      </c>
      <c r="I2" s="16" t="s">
        <v>298</v>
      </c>
      <c r="J2" s="17">
        <f>D2+F2-H2</f>
        <v>0</v>
      </c>
      <c r="K2" s="18"/>
    </row>
    <row r="3" s="5" customFormat="1" ht="24" customHeight="1" spans="1:11">
      <c r="A3" s="19" t="s">
        <v>92</v>
      </c>
      <c r="B3" s="19" t="s">
        <v>93</v>
      </c>
      <c r="C3" s="19" t="s">
        <v>94</v>
      </c>
      <c r="D3" s="19" t="s">
        <v>38</v>
      </c>
      <c r="E3" s="19" t="s">
        <v>95</v>
      </c>
      <c r="F3" s="19" t="s">
        <v>96</v>
      </c>
      <c r="G3" s="19" t="s">
        <v>97</v>
      </c>
      <c r="H3" s="19" t="s">
        <v>91</v>
      </c>
      <c r="I3" s="20" t="s">
        <v>39</v>
      </c>
      <c r="J3" s="20" t="s">
        <v>41</v>
      </c>
      <c r="K3" s="21" t="s">
        <v>98</v>
      </c>
    </row>
    <row r="4" s="5" customFormat="1" ht="20" customHeight="1" spans="1:11">
      <c r="A4" s="22" vm="1" t="e" cm="1">
        <f t="array" ref="A4">_xlfn._xlws.FILTER(数据录入!$A$19:$K$10000,数据录入!$C$19:$C$10000=$B$2)</f>
        <v>#VALUE!</v>
      </c>
      <c r="B4" s="23"/>
      <c r="C4" s="24"/>
      <c r="D4" s="24"/>
      <c r="E4" s="24"/>
      <c r="F4" s="24"/>
      <c r="G4" s="24"/>
      <c r="H4" s="24"/>
      <c r="I4" s="24"/>
      <c r="J4" s="24"/>
      <c r="K4" s="25"/>
    </row>
    <row r="5" s="5" customFormat="1" ht="20" customHeight="1" spans="1:11">
      <c r="A5" s="22"/>
      <c r="B5" s="23"/>
      <c r="C5" s="24"/>
      <c r="D5" s="24"/>
      <c r="E5" s="24"/>
      <c r="F5" s="24"/>
      <c r="G5" s="24"/>
      <c r="H5" s="24"/>
      <c r="I5" s="24"/>
      <c r="J5" s="24"/>
      <c r="K5" s="25"/>
    </row>
    <row r="6" s="5" customFormat="1" ht="20" customHeight="1" spans="1:11">
      <c r="A6" s="22"/>
      <c r="B6" s="23"/>
      <c r="C6" s="24"/>
      <c r="D6" s="24"/>
      <c r="E6" s="24"/>
      <c r="F6" s="24"/>
      <c r="G6" s="24"/>
      <c r="H6" s="24"/>
      <c r="I6" s="24"/>
      <c r="J6" s="24"/>
      <c r="K6" s="25"/>
    </row>
    <row r="7" s="5" customFormat="1" ht="20" customHeight="1" spans="1:11">
      <c r="A7" s="22"/>
      <c r="B7" s="23"/>
      <c r="C7" s="24"/>
      <c r="D7" s="24"/>
      <c r="E7" s="24"/>
      <c r="F7" s="24"/>
      <c r="G7" s="24"/>
      <c r="H7" s="24"/>
      <c r="I7" s="24"/>
      <c r="J7" s="24"/>
      <c r="K7" s="25"/>
    </row>
    <row r="8" s="5" customFormat="1" ht="20" customHeight="1" spans="1:11">
      <c r="A8" s="22"/>
      <c r="B8" s="23"/>
      <c r="C8" s="24"/>
      <c r="D8" s="24"/>
      <c r="E8" s="24"/>
      <c r="F8" s="24"/>
      <c r="G8" s="24"/>
      <c r="H8" s="24"/>
      <c r="I8" s="24"/>
      <c r="J8" s="24"/>
      <c r="K8" s="25"/>
    </row>
    <row r="9" s="5" customFormat="1" ht="20" customHeight="1" spans="1:11">
      <c r="A9" s="22"/>
      <c r="B9" s="23"/>
      <c r="C9" s="24"/>
      <c r="D9" s="24"/>
      <c r="E9" s="24"/>
      <c r="F9" s="24"/>
      <c r="G9" s="24"/>
      <c r="H9" s="24"/>
      <c r="I9" s="24"/>
      <c r="J9" s="24"/>
      <c r="K9" s="25"/>
    </row>
    <row r="10" s="5" customFormat="1" ht="20" customHeight="1" spans="1:11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5"/>
    </row>
    <row r="11" s="5" customFormat="1" ht="20" customHeight="1" spans="1:11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5"/>
    </row>
    <row r="12" s="5" customFormat="1" ht="20" customHeight="1" spans="1:11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5"/>
    </row>
    <row r="13" s="5" customFormat="1" ht="20" customHeight="1" spans="1:11">
      <c r="A13" s="22"/>
      <c r="B13" s="23"/>
      <c r="C13" s="24"/>
      <c r="D13" s="24"/>
      <c r="E13" s="24"/>
      <c r="F13" s="24"/>
      <c r="G13" s="24"/>
      <c r="H13" s="24"/>
      <c r="I13" s="24"/>
      <c r="J13" s="24"/>
      <c r="K13" s="25"/>
    </row>
    <row r="14" s="5" customFormat="1" ht="20" customHeight="1" spans="1:1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5"/>
    </row>
    <row r="15" s="5" customFormat="1" ht="20" customHeight="1" spans="1:11">
      <c r="A15" s="22"/>
      <c r="B15" s="23"/>
      <c r="C15" s="24"/>
      <c r="D15" s="24"/>
      <c r="E15" s="24"/>
      <c r="F15" s="24"/>
      <c r="G15" s="24"/>
      <c r="H15" s="24"/>
      <c r="I15" s="24"/>
      <c r="J15" s="24"/>
      <c r="K15" s="25"/>
    </row>
    <row r="16" s="5" customFormat="1" ht="20" customHeight="1" spans="1:11">
      <c r="A16" s="22"/>
      <c r="B16" s="23"/>
      <c r="C16" s="24"/>
      <c r="D16" s="24"/>
      <c r="E16" s="24"/>
      <c r="F16" s="24"/>
      <c r="G16" s="24"/>
      <c r="H16" s="24"/>
      <c r="I16" s="24"/>
      <c r="J16" s="24"/>
      <c r="K16" s="25"/>
    </row>
    <row r="17" s="5" customFormat="1" ht="20" customHeight="1" spans="1:11">
      <c r="A17" s="22"/>
      <c r="B17" s="23"/>
      <c r="C17" s="24"/>
      <c r="D17" s="24"/>
      <c r="E17" s="24"/>
      <c r="F17" s="24"/>
      <c r="G17" s="24"/>
      <c r="H17" s="24"/>
      <c r="I17" s="24"/>
      <c r="J17" s="24"/>
      <c r="K17" s="25"/>
    </row>
    <row r="18" s="5" customFormat="1" ht="20" customHeight="1" spans="1:11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5"/>
    </row>
    <row r="19" s="5" customFormat="1" ht="20" customHeight="1" spans="1:11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25"/>
    </row>
    <row r="20" s="5" customFormat="1" ht="20" customHeight="1" spans="1:11">
      <c r="A20" s="22"/>
      <c r="B20" s="23"/>
      <c r="C20" s="24"/>
      <c r="D20" s="24"/>
      <c r="E20" s="24"/>
      <c r="F20" s="24"/>
      <c r="G20" s="24"/>
      <c r="H20" s="24"/>
      <c r="I20" s="24"/>
      <c r="J20" s="24"/>
      <c r="K20" s="25"/>
    </row>
    <row r="21" s="5" customFormat="1" ht="20" customHeight="1" spans="1:11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5"/>
    </row>
    <row r="22" s="5" customFormat="1" ht="20" customHeight="1" spans="1:11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5"/>
    </row>
    <row r="23" s="5" customFormat="1" ht="20" customHeight="1" spans="1:11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5"/>
    </row>
    <row r="24" s="5" customFormat="1" ht="20" customHeight="1" spans="1:11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5"/>
    </row>
    <row r="25" s="5" customFormat="1" ht="20" customHeight="1" spans="1:11">
      <c r="A25" s="22"/>
      <c r="B25" s="23"/>
      <c r="C25" s="24"/>
      <c r="D25" s="24"/>
      <c r="E25" s="24"/>
      <c r="F25" s="24"/>
      <c r="G25" s="24"/>
      <c r="H25" s="24"/>
      <c r="I25" s="24"/>
      <c r="J25" s="24"/>
      <c r="K25" s="25"/>
    </row>
    <row r="26" s="5" customFormat="1" ht="20" customHeight="1" spans="1:11">
      <c r="A26" s="22"/>
      <c r="B26" s="23"/>
      <c r="C26" s="24"/>
      <c r="D26" s="24"/>
      <c r="E26" s="24"/>
      <c r="F26" s="24"/>
      <c r="G26" s="24"/>
      <c r="H26" s="24"/>
      <c r="I26" s="24"/>
      <c r="J26" s="24"/>
      <c r="K26" s="25"/>
    </row>
    <row r="27" s="5" customFormat="1" ht="20" customHeight="1" spans="1:11">
      <c r="A27" s="22"/>
      <c r="B27" s="23"/>
      <c r="C27" s="24"/>
      <c r="D27" s="24"/>
      <c r="E27" s="24"/>
      <c r="F27" s="24"/>
      <c r="G27" s="24"/>
      <c r="H27" s="24"/>
      <c r="I27" s="24"/>
      <c r="J27" s="24"/>
      <c r="K27" s="25"/>
    </row>
    <row r="28" s="5" customFormat="1" ht="20" customHeight="1" spans="1:1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5"/>
    </row>
    <row r="29" s="5" customFormat="1" ht="20" customHeight="1" spans="1:11">
      <c r="A29" s="22"/>
      <c r="B29" s="23"/>
      <c r="C29" s="24"/>
      <c r="D29" s="24"/>
      <c r="E29" s="24"/>
      <c r="F29" s="24"/>
      <c r="G29" s="24"/>
      <c r="H29" s="24"/>
      <c r="I29" s="24"/>
      <c r="J29" s="24"/>
      <c r="K29" s="25"/>
    </row>
    <row r="30" s="5" customFormat="1" ht="20" customHeight="1" spans="1:11">
      <c r="A30" s="22"/>
      <c r="B30" s="23"/>
      <c r="C30" s="24"/>
      <c r="D30" s="24"/>
      <c r="E30" s="24"/>
      <c r="F30" s="24"/>
      <c r="G30" s="24"/>
      <c r="H30" s="24"/>
      <c r="I30" s="24"/>
      <c r="J30" s="24"/>
      <c r="K30" s="25"/>
    </row>
    <row r="31" s="5" customFormat="1" ht="20" customHeight="1" spans="1:11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5"/>
    </row>
    <row r="32" s="5" customFormat="1" ht="20" customHeight="1" spans="1:11">
      <c r="A32" s="22"/>
      <c r="B32" s="23"/>
      <c r="C32" s="24"/>
      <c r="D32" s="24"/>
      <c r="E32" s="24"/>
      <c r="F32" s="24"/>
      <c r="G32" s="24"/>
      <c r="H32" s="24"/>
      <c r="I32" s="24"/>
      <c r="J32" s="24"/>
      <c r="K32" s="25"/>
    </row>
    <row r="33" s="5" customFormat="1" ht="20" customHeight="1" spans="1:11">
      <c r="A33" s="22"/>
      <c r="B33" s="23"/>
      <c r="C33" s="24"/>
      <c r="D33" s="24"/>
      <c r="E33" s="24"/>
      <c r="F33" s="24"/>
      <c r="G33" s="24"/>
      <c r="H33" s="24"/>
      <c r="I33" s="24"/>
      <c r="J33" s="24"/>
      <c r="K33" s="25"/>
    </row>
    <row r="34" s="5" customFormat="1" ht="20" customHeight="1" spans="1:11">
      <c r="A34" s="22"/>
      <c r="B34" s="23"/>
      <c r="C34" s="24"/>
      <c r="D34" s="24"/>
      <c r="E34" s="24"/>
      <c r="F34" s="24"/>
      <c r="G34" s="24"/>
      <c r="H34" s="24"/>
      <c r="I34" s="24"/>
      <c r="J34" s="24"/>
      <c r="K34" s="25"/>
    </row>
    <row r="35" s="5" customFormat="1" ht="20" customHeight="1" spans="1:11">
      <c r="A35" s="22"/>
      <c r="B35" s="23"/>
      <c r="C35" s="24"/>
      <c r="D35" s="24"/>
      <c r="E35" s="24"/>
      <c r="F35" s="24"/>
      <c r="G35" s="24"/>
      <c r="H35" s="24"/>
      <c r="I35" s="24"/>
      <c r="J35" s="24"/>
      <c r="K35" s="25"/>
    </row>
    <row r="36" s="5" customFormat="1" ht="20" customHeight="1" spans="1:11">
      <c r="A36" s="22"/>
      <c r="B36" s="23"/>
      <c r="C36" s="24"/>
      <c r="D36" s="24"/>
      <c r="E36" s="24"/>
      <c r="F36" s="24"/>
      <c r="G36" s="24"/>
      <c r="H36" s="24"/>
      <c r="I36" s="24"/>
      <c r="J36" s="24"/>
      <c r="K36" s="25"/>
    </row>
    <row r="37" s="5" customFormat="1" ht="20" customHeight="1" spans="1:11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5"/>
    </row>
    <row r="38" s="5" customFormat="1" ht="20" customHeight="1" spans="1:11">
      <c r="A38" s="22"/>
      <c r="B38" s="23"/>
      <c r="C38" s="24"/>
      <c r="D38" s="24"/>
      <c r="E38" s="24"/>
      <c r="F38" s="24"/>
      <c r="G38" s="24"/>
      <c r="H38" s="24"/>
      <c r="I38" s="24"/>
      <c r="J38" s="24"/>
      <c r="K38" s="25"/>
    </row>
    <row r="39" s="5" customFormat="1" ht="20" customHeight="1" spans="1:11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5"/>
    </row>
    <row r="40" s="5" customFormat="1" ht="20" customHeight="1" spans="1:11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5"/>
    </row>
    <row r="41" s="5" customFormat="1" ht="20" customHeight="1" spans="1:11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5"/>
    </row>
    <row r="42" s="5" customFormat="1" ht="20" customHeight="1" spans="1:11">
      <c r="A42" s="22"/>
      <c r="B42" s="23"/>
      <c r="C42" s="24"/>
      <c r="D42" s="24"/>
      <c r="E42" s="24"/>
      <c r="F42" s="24"/>
      <c r="G42" s="24"/>
      <c r="H42" s="24"/>
      <c r="I42" s="24"/>
      <c r="J42" s="24"/>
      <c r="K42" s="25"/>
    </row>
    <row r="43" s="5" customFormat="1" ht="20" customHeight="1" spans="1:1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5"/>
    </row>
    <row r="44" s="5" customFormat="1" ht="20" customHeight="1" spans="1:11">
      <c r="A44" s="22"/>
      <c r="B44" s="23"/>
      <c r="C44" s="24"/>
      <c r="D44" s="24"/>
      <c r="E44" s="24"/>
      <c r="F44" s="24"/>
      <c r="G44" s="24"/>
      <c r="H44" s="24"/>
      <c r="I44" s="24"/>
      <c r="J44" s="24"/>
      <c r="K44" s="25"/>
    </row>
    <row r="45" s="5" customFormat="1" ht="20" customHeight="1" spans="1:11">
      <c r="A45" s="22"/>
      <c r="B45" s="23"/>
      <c r="C45" s="24"/>
      <c r="D45" s="24"/>
      <c r="E45" s="24"/>
      <c r="F45" s="24"/>
      <c r="G45" s="24"/>
      <c r="H45" s="24"/>
      <c r="I45" s="24"/>
      <c r="J45" s="24"/>
      <c r="K45" s="25"/>
    </row>
    <row r="46" s="5" customFormat="1" ht="20" customHeight="1" spans="1:11">
      <c r="A46" s="22"/>
      <c r="B46" s="23"/>
      <c r="C46" s="24"/>
      <c r="D46" s="24"/>
      <c r="E46" s="24"/>
      <c r="F46" s="24"/>
      <c r="G46" s="24"/>
      <c r="H46" s="24"/>
      <c r="I46" s="24"/>
      <c r="J46" s="24"/>
      <c r="K46" s="25"/>
    </row>
    <row r="47" s="5" customFormat="1" ht="20" customHeight="1" spans="1:11">
      <c r="A47" s="22"/>
      <c r="B47" s="23"/>
      <c r="C47" s="24"/>
      <c r="D47" s="24"/>
      <c r="E47" s="24"/>
      <c r="F47" s="24"/>
      <c r="G47" s="24"/>
      <c r="H47" s="24"/>
      <c r="I47" s="24"/>
      <c r="J47" s="24"/>
      <c r="K47" s="25"/>
    </row>
    <row r="48" s="5" customFormat="1" ht="20" customHeight="1" spans="1:11">
      <c r="A48" s="22"/>
      <c r="B48" s="23"/>
      <c r="C48" s="24"/>
      <c r="D48" s="24"/>
      <c r="E48" s="24"/>
      <c r="F48" s="24"/>
      <c r="G48" s="24"/>
      <c r="H48" s="24"/>
      <c r="I48" s="24"/>
      <c r="J48" s="24"/>
      <c r="K48" s="25"/>
    </row>
    <row r="49" s="5" customFormat="1" ht="20" customHeight="1" spans="1:11">
      <c r="A49" s="22"/>
      <c r="B49" s="23"/>
      <c r="C49" s="24"/>
      <c r="D49" s="24"/>
      <c r="E49" s="24"/>
      <c r="F49" s="24"/>
      <c r="G49" s="24"/>
      <c r="H49" s="24"/>
      <c r="I49" s="24"/>
      <c r="J49" s="24"/>
      <c r="K49" s="25"/>
    </row>
    <row r="50" s="5" customFormat="1" ht="20" customHeight="1" spans="1:11">
      <c r="A50" s="22"/>
      <c r="B50" s="23"/>
      <c r="C50" s="24"/>
      <c r="D50" s="24"/>
      <c r="E50" s="24"/>
      <c r="F50" s="24"/>
      <c r="G50" s="24"/>
      <c r="H50" s="24"/>
      <c r="I50" s="24"/>
      <c r="J50" s="24"/>
      <c r="K50" s="25"/>
    </row>
    <row r="51" s="5" customFormat="1" ht="20" customHeight="1" spans="1:11">
      <c r="A51" s="22"/>
      <c r="B51" s="23"/>
      <c r="C51" s="24"/>
      <c r="D51" s="24"/>
      <c r="E51" s="24"/>
      <c r="F51" s="24"/>
      <c r="G51" s="24"/>
      <c r="H51" s="24"/>
      <c r="I51" s="24"/>
      <c r="J51" s="24"/>
      <c r="K51" s="25"/>
    </row>
    <row r="52" s="5" customFormat="1" ht="20" customHeight="1" spans="1:11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5"/>
    </row>
    <row r="53" s="5" customFormat="1" ht="20" customHeight="1" spans="1:11">
      <c r="A53" s="22"/>
      <c r="B53" s="23"/>
      <c r="C53" s="24"/>
      <c r="D53" s="24"/>
      <c r="E53" s="24"/>
      <c r="F53" s="24"/>
      <c r="G53" s="24"/>
      <c r="H53" s="24"/>
      <c r="I53" s="24"/>
      <c r="J53" s="24"/>
      <c r="K53" s="25"/>
    </row>
    <row r="54" s="5" customFormat="1" ht="20" customHeight="1" spans="1:11">
      <c r="A54" s="22"/>
      <c r="B54" s="23"/>
      <c r="C54" s="24"/>
      <c r="D54" s="24"/>
      <c r="E54" s="24"/>
      <c r="F54" s="24"/>
      <c r="G54" s="24"/>
      <c r="H54" s="24"/>
      <c r="I54" s="24"/>
      <c r="J54" s="24"/>
      <c r="K54" s="25"/>
    </row>
    <row r="55" s="5" customFormat="1" ht="20" customHeight="1" spans="1:11">
      <c r="A55" s="22"/>
      <c r="B55" s="23"/>
      <c r="C55" s="24"/>
      <c r="D55" s="24"/>
      <c r="E55" s="24"/>
      <c r="F55" s="24"/>
      <c r="G55" s="24"/>
      <c r="H55" s="24"/>
      <c r="I55" s="24"/>
      <c r="J55" s="24"/>
      <c r="K55" s="25"/>
    </row>
    <row r="56" s="5" customFormat="1" ht="20" customHeight="1" spans="1:11">
      <c r="A56" s="22"/>
      <c r="B56" s="23"/>
      <c r="C56" s="24"/>
      <c r="D56" s="24"/>
      <c r="E56" s="24"/>
      <c r="F56" s="24"/>
      <c r="G56" s="24"/>
      <c r="H56" s="24"/>
      <c r="I56" s="24"/>
      <c r="J56" s="24"/>
      <c r="K56" s="25"/>
    </row>
    <row r="57" s="5" customFormat="1" ht="20" customHeight="1" spans="1:11">
      <c r="A57" s="22"/>
      <c r="B57" s="23"/>
      <c r="C57" s="24"/>
      <c r="D57" s="24"/>
      <c r="E57" s="24"/>
      <c r="F57" s="24"/>
      <c r="G57" s="24"/>
      <c r="H57" s="24"/>
      <c r="I57" s="24"/>
      <c r="J57" s="24"/>
      <c r="K57" s="25"/>
    </row>
    <row r="58" s="5" customFormat="1" ht="20" customHeight="1" spans="1:11">
      <c r="A58" s="22"/>
      <c r="B58" s="23"/>
      <c r="C58" s="24"/>
      <c r="D58" s="24"/>
      <c r="E58" s="24"/>
      <c r="F58" s="24"/>
      <c r="G58" s="24"/>
      <c r="H58" s="24"/>
      <c r="I58" s="24"/>
      <c r="J58" s="24"/>
      <c r="K58" s="25"/>
    </row>
    <row r="59" s="5" customFormat="1" ht="20" customHeight="1" spans="1:11">
      <c r="A59" s="22"/>
      <c r="B59" s="23"/>
      <c r="C59" s="24"/>
      <c r="D59" s="24"/>
      <c r="E59" s="24"/>
      <c r="F59" s="24"/>
      <c r="G59" s="24"/>
      <c r="H59" s="24"/>
      <c r="I59" s="24"/>
      <c r="J59" s="24"/>
      <c r="K59" s="25"/>
    </row>
    <row r="60" s="5" customFormat="1" ht="20" customHeight="1" spans="1:11">
      <c r="A60" s="22"/>
      <c r="B60" s="23"/>
      <c r="C60" s="24"/>
      <c r="D60" s="24"/>
      <c r="E60" s="24"/>
      <c r="F60" s="24"/>
      <c r="G60" s="24"/>
      <c r="H60" s="24"/>
      <c r="I60" s="24"/>
      <c r="J60" s="24"/>
      <c r="K60" s="25"/>
    </row>
    <row r="61" s="5" customFormat="1" ht="20" customHeight="1" spans="1:11">
      <c r="A61" s="22"/>
      <c r="B61" s="23"/>
      <c r="C61" s="24"/>
      <c r="D61" s="24"/>
      <c r="E61" s="24"/>
      <c r="F61" s="24"/>
      <c r="G61" s="24"/>
      <c r="H61" s="24"/>
      <c r="I61" s="24"/>
      <c r="J61" s="24"/>
      <c r="K61" s="25"/>
    </row>
    <row r="62" s="5" customFormat="1" ht="20" customHeight="1" spans="1:11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5"/>
    </row>
    <row r="63" s="5" customFormat="1" ht="20" customHeight="1" spans="1:1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5"/>
    </row>
    <row r="64" s="5" customFormat="1" ht="20" customHeight="1" spans="1:11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5"/>
    </row>
    <row r="65" s="5" customFormat="1" ht="20" customHeight="1" spans="1:11">
      <c r="A65" s="22"/>
      <c r="B65" s="23"/>
      <c r="C65" s="24"/>
      <c r="D65" s="24"/>
      <c r="E65" s="24"/>
      <c r="F65" s="24"/>
      <c r="G65" s="24"/>
      <c r="H65" s="24"/>
      <c r="I65" s="24"/>
      <c r="J65" s="24"/>
      <c r="K65" s="25"/>
    </row>
    <row r="66" s="5" customFormat="1" ht="20" customHeight="1" spans="1:11">
      <c r="A66" s="22"/>
      <c r="B66" s="23"/>
      <c r="C66" s="24"/>
      <c r="D66" s="24"/>
      <c r="E66" s="24"/>
      <c r="F66" s="24"/>
      <c r="G66" s="24"/>
      <c r="H66" s="24"/>
      <c r="I66" s="24"/>
      <c r="J66" s="24"/>
      <c r="K66" s="25"/>
    </row>
    <row r="67" s="5" customFormat="1" ht="20" customHeight="1" spans="1:11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5"/>
    </row>
    <row r="68" s="5" customFormat="1" ht="20" customHeight="1" spans="1:11">
      <c r="A68" s="22"/>
      <c r="B68" s="23"/>
      <c r="C68" s="24"/>
      <c r="D68" s="24"/>
      <c r="E68" s="24"/>
      <c r="F68" s="24"/>
      <c r="G68" s="24"/>
      <c r="H68" s="24"/>
      <c r="I68" s="24"/>
      <c r="J68" s="24"/>
      <c r="K68" s="25"/>
    </row>
    <row r="69" s="5" customFormat="1" ht="20" customHeight="1" spans="1:11">
      <c r="A69" s="22"/>
      <c r="B69" s="23"/>
      <c r="C69" s="24"/>
      <c r="D69" s="24"/>
      <c r="E69" s="24"/>
      <c r="F69" s="24"/>
      <c r="G69" s="24"/>
      <c r="H69" s="24"/>
      <c r="I69" s="24"/>
      <c r="J69" s="24"/>
      <c r="K69" s="25"/>
    </row>
    <row r="70" s="5" customFormat="1" ht="20" customHeight="1" spans="1:11">
      <c r="A70" s="22"/>
      <c r="B70" s="23"/>
      <c r="C70" s="24"/>
      <c r="D70" s="24"/>
      <c r="E70" s="24"/>
      <c r="F70" s="24"/>
      <c r="G70" s="24"/>
      <c r="H70" s="24"/>
      <c r="I70" s="24"/>
      <c r="J70" s="24"/>
      <c r="K70" s="25"/>
    </row>
    <row r="71" s="5" customFormat="1" ht="20" customHeight="1" spans="1:11">
      <c r="A71" s="22"/>
      <c r="B71" s="23"/>
      <c r="C71" s="24"/>
      <c r="D71" s="24"/>
      <c r="E71" s="24"/>
      <c r="F71" s="24"/>
      <c r="G71" s="24"/>
      <c r="H71" s="24"/>
      <c r="I71" s="24"/>
      <c r="J71" s="24"/>
      <c r="K71" s="25"/>
    </row>
    <row r="72" s="5" customFormat="1" ht="20" customHeight="1" spans="1:11">
      <c r="A72" s="22"/>
      <c r="B72" s="23"/>
      <c r="C72" s="24"/>
      <c r="D72" s="24"/>
      <c r="E72" s="24"/>
      <c r="F72" s="24"/>
      <c r="G72" s="24"/>
      <c r="H72" s="24"/>
      <c r="I72" s="24"/>
      <c r="J72" s="24"/>
      <c r="K72" s="25"/>
    </row>
    <row r="73" s="5" customFormat="1" ht="20" customHeight="1" spans="1:11">
      <c r="A73" s="22"/>
      <c r="B73" s="23"/>
      <c r="C73" s="24"/>
      <c r="D73" s="24"/>
      <c r="E73" s="24"/>
      <c r="F73" s="24"/>
      <c r="G73" s="24"/>
      <c r="H73" s="24"/>
      <c r="I73" s="24"/>
      <c r="J73" s="24"/>
      <c r="K73" s="25"/>
    </row>
    <row r="74" s="5" customFormat="1" ht="20" customHeight="1" spans="1:11">
      <c r="A74" s="22"/>
      <c r="B74" s="23"/>
      <c r="C74" s="24"/>
      <c r="D74" s="24"/>
      <c r="E74" s="24"/>
      <c r="F74" s="24"/>
      <c r="G74" s="24"/>
      <c r="H74" s="24"/>
      <c r="I74" s="24"/>
      <c r="J74" s="24"/>
      <c r="K74" s="25"/>
    </row>
    <row r="75" s="5" customFormat="1" ht="20" customHeight="1" spans="1:11">
      <c r="A75" s="22"/>
      <c r="B75" s="23"/>
      <c r="C75" s="24"/>
      <c r="D75" s="24"/>
      <c r="E75" s="24"/>
      <c r="F75" s="24"/>
      <c r="G75" s="24"/>
      <c r="H75" s="24"/>
      <c r="I75" s="24"/>
      <c r="J75" s="24"/>
      <c r="K75" s="25"/>
    </row>
    <row r="76" s="5" customFormat="1" ht="20" customHeight="1" spans="1:11">
      <c r="A76" s="22"/>
      <c r="B76" s="23"/>
      <c r="C76" s="24"/>
      <c r="D76" s="24"/>
      <c r="E76" s="24"/>
      <c r="F76" s="24"/>
      <c r="G76" s="24"/>
      <c r="H76" s="24"/>
      <c r="I76" s="24"/>
      <c r="J76" s="24"/>
      <c r="K76" s="25"/>
    </row>
    <row r="77" s="5" customFormat="1" ht="20" customHeight="1" spans="1:11">
      <c r="A77" s="22"/>
      <c r="B77" s="23"/>
      <c r="C77" s="24"/>
      <c r="D77" s="24"/>
      <c r="E77" s="24"/>
      <c r="F77" s="24"/>
      <c r="G77" s="24"/>
      <c r="H77" s="24"/>
      <c r="I77" s="24"/>
      <c r="J77" s="24"/>
      <c r="K77" s="25"/>
    </row>
    <row r="78" s="5" customFormat="1" ht="20" customHeight="1" spans="1:11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5"/>
    </row>
    <row r="79" s="5" customFormat="1" ht="20" customHeight="1" spans="1:11">
      <c r="A79" s="22"/>
      <c r="B79" s="23"/>
      <c r="C79" s="24"/>
      <c r="D79" s="24"/>
      <c r="E79" s="24"/>
      <c r="F79" s="24"/>
      <c r="G79" s="24"/>
      <c r="H79" s="24"/>
      <c r="I79" s="24"/>
      <c r="J79" s="24"/>
      <c r="K79" s="25"/>
    </row>
    <row r="80" s="5" customFormat="1" ht="20" customHeight="1" spans="1:11">
      <c r="A80" s="22"/>
      <c r="B80" s="23"/>
      <c r="C80" s="24"/>
      <c r="D80" s="24"/>
      <c r="E80" s="24"/>
      <c r="F80" s="24"/>
      <c r="G80" s="24"/>
      <c r="H80" s="24"/>
      <c r="I80" s="24"/>
      <c r="J80" s="24"/>
      <c r="K80" s="25"/>
    </row>
    <row r="81" s="5" customFormat="1" ht="20" customHeight="1" spans="1:11">
      <c r="A81" s="22"/>
      <c r="B81" s="23"/>
      <c r="C81" s="24"/>
      <c r="D81" s="24"/>
      <c r="E81" s="24"/>
      <c r="F81" s="24"/>
      <c r="G81" s="24"/>
      <c r="H81" s="24"/>
      <c r="I81" s="24"/>
      <c r="J81" s="24"/>
      <c r="K81" s="25"/>
    </row>
    <row r="82" s="5" customFormat="1" ht="20" customHeight="1" spans="1:11">
      <c r="A82" s="22"/>
      <c r="B82" s="23"/>
      <c r="C82" s="24"/>
      <c r="D82" s="24"/>
      <c r="E82" s="24"/>
      <c r="F82" s="24"/>
      <c r="G82" s="24"/>
      <c r="H82" s="24"/>
      <c r="I82" s="24"/>
      <c r="J82" s="24"/>
      <c r="K82" s="25"/>
    </row>
    <row r="83" s="5" customFormat="1" ht="20" customHeight="1" spans="1:11">
      <c r="A83" s="22"/>
      <c r="B83" s="23"/>
      <c r="C83" s="24"/>
      <c r="D83" s="24"/>
      <c r="E83" s="24"/>
      <c r="F83" s="24"/>
      <c r="G83" s="24"/>
      <c r="H83" s="24"/>
      <c r="I83" s="24"/>
      <c r="J83" s="24"/>
      <c r="K83" s="25"/>
    </row>
    <row r="84" s="5" customFormat="1" ht="20" customHeight="1" spans="1:11">
      <c r="A84" s="22"/>
      <c r="B84" s="23"/>
      <c r="C84" s="24"/>
      <c r="D84" s="24"/>
      <c r="E84" s="24"/>
      <c r="F84" s="24"/>
      <c r="G84" s="24"/>
      <c r="H84" s="24"/>
      <c r="I84" s="24"/>
      <c r="J84" s="24"/>
      <c r="K84" s="25"/>
    </row>
    <row r="85" s="5" customFormat="1" ht="20" customHeight="1" spans="1:11">
      <c r="A85" s="22"/>
      <c r="B85" s="23"/>
      <c r="C85" s="24"/>
      <c r="D85" s="24"/>
      <c r="E85" s="24"/>
      <c r="F85" s="24"/>
      <c r="G85" s="24"/>
      <c r="H85" s="24"/>
      <c r="I85" s="24"/>
      <c r="J85" s="24"/>
      <c r="K85" s="25"/>
    </row>
    <row r="86" s="5" customFormat="1" ht="20" customHeight="1" spans="1:11">
      <c r="A86" s="22"/>
      <c r="B86" s="23"/>
      <c r="C86" s="24"/>
      <c r="D86" s="24"/>
      <c r="E86" s="24"/>
      <c r="F86" s="24"/>
      <c r="G86" s="24"/>
      <c r="H86" s="24"/>
      <c r="I86" s="24"/>
      <c r="J86" s="24"/>
      <c r="K86" s="25"/>
    </row>
    <row r="87" s="5" customFormat="1" ht="20" customHeight="1" spans="1:11">
      <c r="A87" s="22"/>
      <c r="B87" s="23"/>
      <c r="C87" s="24"/>
      <c r="D87" s="24"/>
      <c r="E87" s="24"/>
      <c r="F87" s="24"/>
      <c r="G87" s="24"/>
      <c r="H87" s="24"/>
      <c r="I87" s="24"/>
      <c r="J87" s="24"/>
      <c r="K87" s="25"/>
    </row>
    <row r="88" s="5" customFormat="1" ht="20" customHeight="1" spans="1:11">
      <c r="A88" s="22"/>
      <c r="B88" s="23"/>
      <c r="C88" s="24"/>
      <c r="D88" s="24"/>
      <c r="E88" s="24"/>
      <c r="F88" s="24"/>
      <c r="G88" s="24"/>
      <c r="H88" s="24"/>
      <c r="I88" s="24"/>
      <c r="J88" s="24"/>
      <c r="K88" s="25"/>
    </row>
    <row r="89" s="5" customFormat="1" ht="20" customHeight="1" spans="1:11">
      <c r="A89" s="22"/>
      <c r="B89" s="23"/>
      <c r="C89" s="24"/>
      <c r="D89" s="24"/>
      <c r="E89" s="24"/>
      <c r="F89" s="24"/>
      <c r="G89" s="24"/>
      <c r="H89" s="24"/>
      <c r="I89" s="24"/>
      <c r="J89" s="24"/>
      <c r="K89" s="25"/>
    </row>
    <row r="90" s="5" customFormat="1" ht="20" customHeight="1" spans="1:11">
      <c r="A90" s="22"/>
      <c r="B90" s="23"/>
      <c r="C90" s="24"/>
      <c r="D90" s="24"/>
      <c r="E90" s="24"/>
      <c r="F90" s="24"/>
      <c r="G90" s="24"/>
      <c r="H90" s="24"/>
      <c r="I90" s="24"/>
      <c r="J90" s="24"/>
      <c r="K90" s="25"/>
    </row>
    <row r="91" s="5" customFormat="1" ht="20" customHeight="1" spans="1:11">
      <c r="A91" s="22"/>
      <c r="B91" s="23"/>
      <c r="C91" s="24"/>
      <c r="D91" s="24"/>
      <c r="E91" s="24"/>
      <c r="F91" s="24"/>
      <c r="G91" s="24"/>
      <c r="H91" s="24"/>
      <c r="I91" s="24"/>
      <c r="J91" s="24"/>
      <c r="K91" s="25"/>
    </row>
    <row r="92" s="5" customFormat="1" ht="20" customHeight="1" spans="1:11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5"/>
    </row>
    <row r="93" s="5" customFormat="1" ht="20" customHeight="1" spans="1:11">
      <c r="A93" s="22"/>
      <c r="B93" s="23"/>
      <c r="C93" s="24"/>
      <c r="D93" s="24"/>
      <c r="E93" s="24"/>
      <c r="F93" s="24"/>
      <c r="G93" s="24"/>
      <c r="H93" s="24"/>
      <c r="I93" s="24"/>
      <c r="J93" s="24"/>
      <c r="K93" s="25"/>
    </row>
    <row r="94" s="5" customFormat="1" ht="20" customHeight="1" spans="1:11">
      <c r="A94" s="22"/>
      <c r="B94" s="23"/>
      <c r="C94" s="24"/>
      <c r="D94" s="24"/>
      <c r="E94" s="24"/>
      <c r="F94" s="24"/>
      <c r="G94" s="24"/>
      <c r="H94" s="24"/>
      <c r="I94" s="24"/>
      <c r="J94" s="24"/>
      <c r="K94" s="25"/>
    </row>
    <row r="95" s="5" customFormat="1" ht="20" customHeight="1" spans="1:11">
      <c r="A95" s="22"/>
      <c r="B95" s="23"/>
      <c r="C95" s="24"/>
      <c r="D95" s="24"/>
      <c r="E95" s="24"/>
      <c r="F95" s="24"/>
      <c r="G95" s="24"/>
      <c r="H95" s="24"/>
      <c r="I95" s="24"/>
      <c r="J95" s="24"/>
      <c r="K95" s="25"/>
    </row>
    <row r="96" s="5" customFormat="1" ht="20" customHeight="1" spans="1:11">
      <c r="A96" s="22"/>
      <c r="B96" s="23"/>
      <c r="C96" s="24"/>
      <c r="D96" s="24"/>
      <c r="E96" s="24"/>
      <c r="F96" s="24"/>
      <c r="G96" s="24"/>
      <c r="H96" s="24"/>
      <c r="I96" s="24"/>
      <c r="J96" s="24"/>
      <c r="K96" s="25"/>
    </row>
    <row r="97" s="5" customFormat="1" ht="20" customHeight="1" spans="1:11">
      <c r="A97" s="22"/>
      <c r="B97" s="23"/>
      <c r="C97" s="24"/>
      <c r="D97" s="24"/>
      <c r="E97" s="24"/>
      <c r="F97" s="24"/>
      <c r="G97" s="24"/>
      <c r="H97" s="24"/>
      <c r="I97" s="24"/>
      <c r="J97" s="24"/>
      <c r="K97" s="25"/>
    </row>
    <row r="98" s="5" customFormat="1" ht="20" customHeight="1" spans="1:11">
      <c r="A98" s="22"/>
      <c r="B98" s="23"/>
      <c r="C98" s="24"/>
      <c r="D98" s="24"/>
      <c r="E98" s="24"/>
      <c r="F98" s="24"/>
      <c r="G98" s="24"/>
      <c r="H98" s="24"/>
      <c r="I98" s="24"/>
      <c r="J98" s="24"/>
      <c r="K98" s="25"/>
    </row>
    <row r="99" s="5" customFormat="1" ht="20" customHeight="1" spans="1:11">
      <c r="A99" s="22"/>
      <c r="B99" s="23"/>
      <c r="C99" s="24"/>
      <c r="D99" s="24"/>
      <c r="E99" s="24"/>
      <c r="F99" s="24"/>
      <c r="G99" s="24"/>
      <c r="H99" s="24"/>
      <c r="I99" s="24"/>
      <c r="J99" s="24"/>
      <c r="K99" s="25"/>
    </row>
    <row r="100" s="5" customFormat="1" ht="20" customHeight="1" spans="1:11">
      <c r="A100" s="22"/>
      <c r="B100" s="23"/>
      <c r="C100" s="24"/>
      <c r="D100" s="24"/>
      <c r="E100" s="24"/>
      <c r="F100" s="24"/>
      <c r="G100" s="24"/>
      <c r="H100" s="24"/>
      <c r="I100" s="24"/>
      <c r="J100" s="24"/>
      <c r="K100" s="25"/>
    </row>
    <row r="101" s="5" customFormat="1" ht="20" customHeight="1" spans="1:11">
      <c r="A101" s="22"/>
      <c r="B101" s="23"/>
      <c r="C101" s="24"/>
      <c r="D101" s="24"/>
      <c r="E101" s="24"/>
      <c r="F101" s="24"/>
      <c r="G101" s="24"/>
      <c r="H101" s="24"/>
      <c r="I101" s="24"/>
      <c r="J101" s="24"/>
      <c r="K101" s="25"/>
    </row>
    <row r="102" s="5" customFormat="1" ht="20" customHeight="1" spans="1:11">
      <c r="A102" s="22"/>
      <c r="B102" s="23"/>
      <c r="C102" s="24"/>
      <c r="D102" s="24"/>
      <c r="E102" s="24"/>
      <c r="F102" s="24"/>
      <c r="G102" s="24"/>
      <c r="H102" s="24"/>
      <c r="I102" s="24"/>
      <c r="J102" s="24"/>
      <c r="K102" s="25"/>
    </row>
    <row r="103" s="5" customFormat="1" ht="20" customHeight="1" spans="1:11">
      <c r="A103" s="22"/>
      <c r="B103" s="23"/>
      <c r="C103" s="24"/>
      <c r="D103" s="24"/>
      <c r="E103" s="24"/>
      <c r="F103" s="24"/>
      <c r="G103" s="24"/>
      <c r="H103" s="24"/>
      <c r="I103" s="24"/>
      <c r="J103" s="24"/>
      <c r="K103" s="25"/>
    </row>
    <row r="104" s="5" customFormat="1" ht="20" customHeight="1" spans="1:11">
      <c r="A104" s="22"/>
      <c r="B104" s="23"/>
      <c r="C104" s="24"/>
      <c r="D104" s="24"/>
      <c r="E104" s="24"/>
      <c r="F104" s="24"/>
      <c r="G104" s="24"/>
      <c r="H104" s="24"/>
      <c r="I104" s="24"/>
      <c r="J104" s="24"/>
      <c r="K104" s="25"/>
    </row>
    <row r="105" s="5" customFormat="1" ht="20" customHeight="1" spans="1:11">
      <c r="A105" s="22"/>
      <c r="B105" s="23"/>
      <c r="C105" s="24"/>
      <c r="D105" s="24"/>
      <c r="E105" s="24"/>
      <c r="F105" s="24"/>
      <c r="G105" s="24"/>
      <c r="H105" s="24"/>
      <c r="I105" s="24"/>
      <c r="J105" s="24"/>
      <c r="K105" s="25"/>
    </row>
    <row r="106" s="5" customFormat="1" ht="20" customHeight="1" spans="1:11">
      <c r="A106" s="22"/>
      <c r="B106" s="23"/>
      <c r="C106" s="24"/>
      <c r="D106" s="24"/>
      <c r="E106" s="24"/>
      <c r="F106" s="24"/>
      <c r="G106" s="24"/>
      <c r="H106" s="24"/>
      <c r="I106" s="24"/>
      <c r="J106" s="24"/>
      <c r="K106" s="25"/>
    </row>
    <row r="107" s="5" customFormat="1" ht="20" customHeight="1" spans="1:11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5"/>
    </row>
    <row r="108" s="5" customFormat="1" ht="20" customHeight="1" spans="1:11">
      <c r="A108" s="22"/>
      <c r="B108" s="23"/>
      <c r="C108" s="24"/>
      <c r="D108" s="24"/>
      <c r="E108" s="24"/>
      <c r="F108" s="24"/>
      <c r="G108" s="24"/>
      <c r="H108" s="24"/>
      <c r="I108" s="24"/>
      <c r="J108" s="24"/>
      <c r="K108" s="25"/>
    </row>
    <row r="109" s="5" customFormat="1" ht="20" customHeight="1" spans="1:11">
      <c r="A109" s="22"/>
      <c r="B109" s="23"/>
      <c r="C109" s="24"/>
      <c r="D109" s="24"/>
      <c r="E109" s="24"/>
      <c r="F109" s="24"/>
      <c r="G109" s="24"/>
      <c r="H109" s="24"/>
      <c r="I109" s="24"/>
      <c r="J109" s="24"/>
      <c r="K109" s="25"/>
    </row>
    <row r="110" s="5" customFormat="1" ht="20" customHeight="1" spans="1:11">
      <c r="A110" s="22"/>
      <c r="B110" s="23"/>
      <c r="C110" s="24"/>
      <c r="D110" s="24"/>
      <c r="E110" s="24"/>
      <c r="F110" s="24"/>
      <c r="G110" s="24"/>
      <c r="H110" s="24"/>
      <c r="I110" s="24"/>
      <c r="J110" s="24"/>
      <c r="K110" s="25"/>
    </row>
    <row r="111" s="5" customFormat="1" ht="20" customHeight="1" spans="1:11">
      <c r="A111" s="22"/>
      <c r="B111" s="23"/>
      <c r="C111" s="24"/>
      <c r="D111" s="24"/>
      <c r="E111" s="24"/>
      <c r="F111" s="24"/>
      <c r="G111" s="24"/>
      <c r="H111" s="24"/>
      <c r="I111" s="24"/>
      <c r="J111" s="24"/>
      <c r="K111" s="25"/>
    </row>
    <row r="112" s="5" customFormat="1" ht="20" customHeight="1" spans="1:11">
      <c r="A112" s="22"/>
      <c r="B112" s="23"/>
      <c r="C112" s="24"/>
      <c r="D112" s="24"/>
      <c r="E112" s="24"/>
      <c r="F112" s="24"/>
      <c r="G112" s="24"/>
      <c r="H112" s="24"/>
      <c r="I112" s="24"/>
      <c r="J112" s="24"/>
      <c r="K112" s="25"/>
    </row>
    <row r="113" s="5" customFormat="1" ht="20" customHeight="1" spans="1:11">
      <c r="A113" s="22"/>
      <c r="B113" s="23"/>
      <c r="C113" s="24"/>
      <c r="D113" s="24"/>
      <c r="E113" s="24"/>
      <c r="F113" s="24"/>
      <c r="G113" s="24"/>
      <c r="H113" s="24"/>
      <c r="I113" s="24"/>
      <c r="J113" s="24"/>
      <c r="K113" s="25"/>
    </row>
    <row r="114" s="5" customFormat="1" ht="20" customHeight="1" spans="1:11">
      <c r="A114" s="22"/>
      <c r="B114" s="23"/>
      <c r="C114" s="24"/>
      <c r="D114" s="24"/>
      <c r="E114" s="24"/>
      <c r="F114" s="24"/>
      <c r="G114" s="24"/>
      <c r="H114" s="24"/>
      <c r="I114" s="24"/>
      <c r="J114" s="24"/>
      <c r="K114" s="25"/>
    </row>
    <row r="115" s="5" customFormat="1" ht="20" customHeight="1" spans="1:11">
      <c r="A115" s="22"/>
      <c r="B115" s="23"/>
      <c r="C115" s="24"/>
      <c r="D115" s="24"/>
      <c r="E115" s="24"/>
      <c r="F115" s="24"/>
      <c r="G115" s="24"/>
      <c r="H115" s="24"/>
      <c r="I115" s="24"/>
      <c r="J115" s="24"/>
      <c r="K115" s="25"/>
    </row>
    <row r="116" s="5" customFormat="1" ht="20" customHeight="1" spans="1:11">
      <c r="A116" s="22"/>
      <c r="B116" s="23"/>
      <c r="C116" s="24"/>
      <c r="D116" s="24"/>
      <c r="E116" s="24"/>
      <c r="F116" s="24"/>
      <c r="G116" s="24"/>
      <c r="H116" s="24"/>
      <c r="I116" s="24"/>
      <c r="J116" s="24"/>
      <c r="K116" s="25"/>
    </row>
    <row r="117" s="5" customFormat="1" ht="20" customHeight="1" spans="1:11">
      <c r="A117" s="22"/>
      <c r="B117" s="23"/>
      <c r="C117" s="24"/>
      <c r="D117" s="24"/>
      <c r="E117" s="24"/>
      <c r="F117" s="24"/>
      <c r="G117" s="24"/>
      <c r="H117" s="24"/>
      <c r="I117" s="24"/>
      <c r="J117" s="24"/>
      <c r="K117" s="25"/>
    </row>
    <row r="118" s="5" customFormat="1" ht="20" customHeight="1" spans="1:11">
      <c r="A118" s="22"/>
      <c r="B118" s="23"/>
      <c r="C118" s="24"/>
      <c r="D118" s="24"/>
      <c r="E118" s="24"/>
      <c r="F118" s="24"/>
      <c r="G118" s="24"/>
      <c r="H118" s="24"/>
      <c r="I118" s="24"/>
      <c r="J118" s="24"/>
      <c r="K118" s="25"/>
    </row>
    <row r="119" s="5" customFormat="1" ht="20" customHeight="1" spans="1:11">
      <c r="A119" s="22"/>
      <c r="B119" s="23"/>
      <c r="C119" s="24"/>
      <c r="D119" s="24"/>
      <c r="E119" s="24"/>
      <c r="F119" s="24"/>
      <c r="G119" s="24"/>
      <c r="H119" s="24"/>
      <c r="I119" s="24"/>
      <c r="J119" s="24"/>
      <c r="K119" s="25"/>
    </row>
    <row r="120" s="5" customFormat="1" ht="20" customHeight="1" spans="1:11">
      <c r="A120" s="22"/>
      <c r="B120" s="23"/>
      <c r="C120" s="24"/>
      <c r="D120" s="24"/>
      <c r="E120" s="24"/>
      <c r="F120" s="24"/>
      <c r="G120" s="24"/>
      <c r="H120" s="24"/>
      <c r="I120" s="24"/>
      <c r="J120" s="24"/>
      <c r="K120" s="25"/>
    </row>
    <row r="121" s="5" customFormat="1" ht="20" customHeight="1" spans="1:11">
      <c r="A121" s="22"/>
      <c r="B121" s="23"/>
      <c r="C121" s="24"/>
      <c r="D121" s="24"/>
      <c r="E121" s="24"/>
      <c r="F121" s="24"/>
      <c r="G121" s="24"/>
      <c r="H121" s="24"/>
      <c r="I121" s="24"/>
      <c r="J121" s="24"/>
      <c r="K121" s="25"/>
    </row>
    <row r="122" s="5" customFormat="1" ht="20" customHeight="1" spans="1:11">
      <c r="A122" s="22"/>
      <c r="B122" s="23"/>
      <c r="C122" s="24"/>
      <c r="D122" s="24"/>
      <c r="E122" s="24"/>
      <c r="F122" s="24"/>
      <c r="G122" s="24"/>
      <c r="H122" s="24"/>
      <c r="I122" s="24"/>
      <c r="J122" s="24"/>
      <c r="K122" s="25"/>
    </row>
    <row r="123" s="5" customFormat="1" ht="20" customHeight="1" spans="1:11">
      <c r="A123" s="22"/>
      <c r="B123" s="23"/>
      <c r="C123" s="24"/>
      <c r="D123" s="24"/>
      <c r="E123" s="24"/>
      <c r="F123" s="24"/>
      <c r="G123" s="24"/>
      <c r="H123" s="24"/>
      <c r="I123" s="24"/>
      <c r="J123" s="24"/>
      <c r="K123" s="25"/>
    </row>
    <row r="124" s="5" customFormat="1" ht="20" customHeight="1" spans="1:11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5"/>
    </row>
    <row r="125" s="5" customFormat="1" ht="20" customHeight="1" spans="1:11">
      <c r="A125" s="22"/>
      <c r="B125" s="23"/>
      <c r="C125" s="24"/>
      <c r="D125" s="24"/>
      <c r="E125" s="24"/>
      <c r="F125" s="24"/>
      <c r="G125" s="24"/>
      <c r="H125" s="24"/>
      <c r="I125" s="24"/>
      <c r="J125" s="24"/>
      <c r="K125" s="25"/>
    </row>
    <row r="126" s="5" customFormat="1" ht="20" customHeight="1" spans="1:11">
      <c r="A126" s="22"/>
      <c r="B126" s="23"/>
      <c r="C126" s="24"/>
      <c r="D126" s="24"/>
      <c r="E126" s="24"/>
      <c r="F126" s="24"/>
      <c r="G126" s="24"/>
      <c r="H126" s="24"/>
      <c r="I126" s="24"/>
      <c r="J126" s="24"/>
      <c r="K126" s="25"/>
    </row>
    <row r="127" s="5" customFormat="1" ht="20" customHeight="1" spans="1:11">
      <c r="A127" s="22"/>
      <c r="B127" s="23"/>
      <c r="C127" s="24"/>
      <c r="D127" s="24"/>
      <c r="E127" s="24"/>
      <c r="F127" s="24"/>
      <c r="G127" s="24"/>
      <c r="H127" s="24"/>
      <c r="I127" s="24"/>
      <c r="J127" s="24"/>
      <c r="K127" s="25"/>
    </row>
    <row r="128" s="5" customFormat="1" ht="20" customHeight="1" spans="1:11">
      <c r="A128" s="22"/>
      <c r="B128" s="23"/>
      <c r="C128" s="24"/>
      <c r="D128" s="24"/>
      <c r="E128" s="24"/>
      <c r="F128" s="24"/>
      <c r="G128" s="24"/>
      <c r="H128" s="24"/>
      <c r="I128" s="24"/>
      <c r="J128" s="24"/>
      <c r="K128" s="25"/>
    </row>
    <row r="129" s="5" customFormat="1" ht="20" customHeight="1" spans="1:11">
      <c r="A129" s="22"/>
      <c r="B129" s="23"/>
      <c r="C129" s="24"/>
      <c r="D129" s="24"/>
      <c r="E129" s="24"/>
      <c r="F129" s="24"/>
      <c r="G129" s="24"/>
      <c r="H129" s="24"/>
      <c r="I129" s="24"/>
      <c r="J129" s="24"/>
      <c r="K129" s="25"/>
    </row>
    <row r="130" s="5" customFormat="1" ht="20" customHeight="1" spans="1:11">
      <c r="A130" s="22"/>
      <c r="B130" s="23"/>
      <c r="C130" s="24"/>
      <c r="D130" s="24"/>
      <c r="E130" s="24"/>
      <c r="F130" s="24"/>
      <c r="G130" s="24"/>
      <c r="H130" s="24"/>
      <c r="I130" s="24"/>
      <c r="J130" s="24"/>
      <c r="K130" s="25"/>
    </row>
    <row r="131" s="5" customFormat="1" ht="20" customHeight="1" spans="1:11">
      <c r="A131" s="22"/>
      <c r="B131" s="23"/>
      <c r="C131" s="24"/>
      <c r="D131" s="24"/>
      <c r="E131" s="24"/>
      <c r="F131" s="24"/>
      <c r="G131" s="24"/>
      <c r="H131" s="24"/>
      <c r="I131" s="24"/>
      <c r="J131" s="24"/>
      <c r="K131" s="25"/>
    </row>
    <row r="132" s="5" customFormat="1" ht="20" customHeight="1" spans="1:11">
      <c r="A132" s="22"/>
      <c r="B132" s="23"/>
      <c r="C132" s="24"/>
      <c r="D132" s="24"/>
      <c r="E132" s="24"/>
      <c r="F132" s="24"/>
      <c r="G132" s="24"/>
      <c r="H132" s="24"/>
      <c r="I132" s="24"/>
      <c r="J132" s="24"/>
      <c r="K132" s="25"/>
    </row>
    <row r="133" s="5" customFormat="1" ht="20" customHeight="1" spans="1:11">
      <c r="A133" s="22"/>
      <c r="B133" s="23"/>
      <c r="C133" s="24"/>
      <c r="D133" s="24"/>
      <c r="E133" s="24"/>
      <c r="F133" s="24"/>
      <c r="G133" s="24"/>
      <c r="H133" s="24"/>
      <c r="I133" s="24"/>
      <c r="J133" s="24"/>
      <c r="K133" s="25"/>
    </row>
    <row r="134" s="5" customFormat="1" ht="20" customHeight="1" spans="1:11">
      <c r="A134" s="22"/>
      <c r="B134" s="23"/>
      <c r="C134" s="24"/>
      <c r="D134" s="24"/>
      <c r="E134" s="24"/>
      <c r="F134" s="24"/>
      <c r="G134" s="24"/>
      <c r="H134" s="24"/>
      <c r="I134" s="24"/>
      <c r="J134" s="24"/>
      <c r="K134" s="25"/>
    </row>
    <row r="135" s="5" customFormat="1" ht="20" customHeight="1" spans="1:11">
      <c r="A135" s="22"/>
      <c r="B135" s="23"/>
      <c r="C135" s="24"/>
      <c r="D135" s="24"/>
      <c r="E135" s="24"/>
      <c r="F135" s="24"/>
      <c r="G135" s="24"/>
      <c r="H135" s="24"/>
      <c r="I135" s="24"/>
      <c r="J135" s="24"/>
      <c r="K135" s="25"/>
    </row>
    <row r="136" s="5" customFormat="1" ht="20" customHeight="1" spans="1:11">
      <c r="A136" s="22"/>
      <c r="B136" s="23"/>
      <c r="C136" s="24"/>
      <c r="D136" s="24"/>
      <c r="E136" s="24"/>
      <c r="F136" s="24"/>
      <c r="G136" s="24"/>
      <c r="H136" s="24"/>
      <c r="I136" s="24"/>
      <c r="J136" s="24"/>
      <c r="K136" s="25"/>
    </row>
    <row r="137" s="5" customFormat="1" ht="20" customHeight="1" spans="1:11">
      <c r="A137" s="22"/>
      <c r="B137" s="23"/>
      <c r="C137" s="24"/>
      <c r="D137" s="24"/>
      <c r="E137" s="24"/>
      <c r="F137" s="24"/>
      <c r="G137" s="24"/>
      <c r="H137" s="24"/>
      <c r="I137" s="24"/>
      <c r="J137" s="24"/>
      <c r="K137" s="25"/>
    </row>
    <row r="138" s="5" customFormat="1" ht="20" customHeight="1" spans="1:11">
      <c r="A138" s="22"/>
      <c r="B138" s="23"/>
      <c r="C138" s="24"/>
      <c r="D138" s="24"/>
      <c r="E138" s="24"/>
      <c r="F138" s="24"/>
      <c r="G138" s="24"/>
      <c r="H138" s="24"/>
      <c r="I138" s="24"/>
      <c r="J138" s="24"/>
      <c r="K138" s="25"/>
    </row>
    <row r="139" s="5" customFormat="1" ht="20" customHeight="1" spans="1:11">
      <c r="A139" s="22"/>
      <c r="B139" s="23"/>
      <c r="C139" s="24"/>
      <c r="D139" s="24"/>
      <c r="E139" s="24"/>
      <c r="F139" s="24"/>
      <c r="G139" s="24"/>
      <c r="H139" s="24"/>
      <c r="I139" s="24"/>
      <c r="J139" s="24"/>
      <c r="K139" s="25"/>
    </row>
    <row r="140" s="5" customFormat="1" ht="20" customHeight="1" spans="1:11">
      <c r="A140" s="22"/>
      <c r="B140" s="23"/>
      <c r="C140" s="24"/>
      <c r="D140" s="24"/>
      <c r="E140" s="24"/>
      <c r="F140" s="24"/>
      <c r="G140" s="24"/>
      <c r="H140" s="24"/>
      <c r="I140" s="24"/>
      <c r="J140" s="24"/>
      <c r="K140" s="25"/>
    </row>
    <row r="141" s="5" customFormat="1" ht="20" customHeight="1" spans="1:11">
      <c r="A141" s="22"/>
      <c r="B141" s="23"/>
      <c r="C141" s="24"/>
      <c r="D141" s="24"/>
      <c r="E141" s="24"/>
      <c r="F141" s="24"/>
      <c r="G141" s="24"/>
      <c r="H141" s="24"/>
      <c r="I141" s="24"/>
      <c r="J141" s="24"/>
      <c r="K141" s="25"/>
    </row>
    <row r="142" s="5" customFormat="1" ht="20" customHeight="1" spans="1:11">
      <c r="A142" s="22"/>
      <c r="B142" s="23"/>
      <c r="C142" s="24"/>
      <c r="D142" s="24"/>
      <c r="E142" s="24"/>
      <c r="F142" s="24"/>
      <c r="G142" s="24"/>
      <c r="H142" s="24"/>
      <c r="I142" s="24"/>
      <c r="J142" s="24"/>
      <c r="K142" s="25"/>
    </row>
    <row r="143" s="5" customFormat="1" ht="20" customHeight="1" spans="1:11">
      <c r="A143" s="22"/>
      <c r="B143" s="23"/>
      <c r="C143" s="24"/>
      <c r="D143" s="24"/>
      <c r="E143" s="24"/>
      <c r="F143" s="24"/>
      <c r="G143" s="24"/>
      <c r="H143" s="24"/>
      <c r="I143" s="24"/>
      <c r="J143" s="24"/>
      <c r="K143" s="25"/>
    </row>
    <row r="144" s="5" customFormat="1" ht="20" customHeight="1" spans="1:11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5"/>
    </row>
    <row r="145" s="5" customFormat="1" ht="20" customHeight="1" spans="1:11">
      <c r="A145" s="22"/>
      <c r="B145" s="23"/>
      <c r="C145" s="24"/>
      <c r="D145" s="24"/>
      <c r="E145" s="24"/>
      <c r="F145" s="24"/>
      <c r="G145" s="24"/>
      <c r="H145" s="24"/>
      <c r="I145" s="24"/>
      <c r="J145" s="24"/>
      <c r="K145" s="25"/>
    </row>
    <row r="146" s="5" customFormat="1" ht="20" customHeight="1" spans="1:11">
      <c r="A146" s="22"/>
      <c r="B146" s="23"/>
      <c r="C146" s="24"/>
      <c r="D146" s="24"/>
      <c r="E146" s="24"/>
      <c r="F146" s="24"/>
      <c r="G146" s="24"/>
      <c r="H146" s="24"/>
      <c r="I146" s="24"/>
      <c r="J146" s="24"/>
      <c r="K146" s="25"/>
    </row>
    <row r="147" s="5" customFormat="1" ht="20" customHeight="1" spans="1:11">
      <c r="A147" s="22"/>
      <c r="B147" s="23"/>
      <c r="C147" s="24"/>
      <c r="D147" s="24"/>
      <c r="E147" s="24"/>
      <c r="F147" s="24"/>
      <c r="G147" s="24"/>
      <c r="H147" s="24"/>
      <c r="I147" s="24"/>
      <c r="J147" s="24"/>
      <c r="K147" s="25"/>
    </row>
    <row r="148" s="5" customFormat="1" ht="20" customHeight="1" spans="1:11">
      <c r="A148" s="22"/>
      <c r="B148" s="23"/>
      <c r="C148" s="24"/>
      <c r="D148" s="24"/>
      <c r="E148" s="24"/>
      <c r="F148" s="24"/>
      <c r="G148" s="24"/>
      <c r="H148" s="24"/>
      <c r="I148" s="24"/>
      <c r="J148" s="24"/>
      <c r="K148" s="25"/>
    </row>
    <row r="149" s="5" customFormat="1" ht="20" customHeight="1" spans="1:11">
      <c r="A149" s="22"/>
      <c r="B149" s="23"/>
      <c r="C149" s="24"/>
      <c r="D149" s="24"/>
      <c r="E149" s="24"/>
      <c r="F149" s="24"/>
      <c r="G149" s="24"/>
      <c r="H149" s="24"/>
      <c r="I149" s="24"/>
      <c r="J149" s="24"/>
      <c r="K149" s="25"/>
    </row>
    <row r="150" s="5" customFormat="1" ht="20" customHeight="1" spans="1:11">
      <c r="A150" s="22"/>
      <c r="B150" s="23"/>
      <c r="C150" s="24"/>
      <c r="D150" s="24"/>
      <c r="E150" s="24"/>
      <c r="F150" s="24"/>
      <c r="G150" s="24"/>
      <c r="H150" s="24"/>
      <c r="I150" s="24"/>
      <c r="J150" s="24"/>
      <c r="K150" s="25"/>
    </row>
    <row r="151" s="5" customFormat="1" ht="20" customHeight="1" spans="1:11">
      <c r="A151" s="22"/>
      <c r="B151" s="23"/>
      <c r="C151" s="24"/>
      <c r="D151" s="24"/>
      <c r="E151" s="24"/>
      <c r="F151" s="24"/>
      <c r="G151" s="24"/>
      <c r="H151" s="24"/>
      <c r="I151" s="24"/>
      <c r="J151" s="24"/>
      <c r="K151" s="25"/>
    </row>
    <row r="152" s="5" customFormat="1" ht="20" customHeight="1" spans="1:11">
      <c r="A152" s="22"/>
      <c r="B152" s="23"/>
      <c r="C152" s="24"/>
      <c r="D152" s="24"/>
      <c r="E152" s="24"/>
      <c r="F152" s="24"/>
      <c r="G152" s="24"/>
      <c r="H152" s="24"/>
      <c r="I152" s="24"/>
      <c r="J152" s="24"/>
      <c r="K152" s="25"/>
    </row>
    <row r="153" s="5" customFormat="1" ht="20" customHeight="1" spans="1:11">
      <c r="A153" s="22"/>
      <c r="B153" s="23"/>
      <c r="C153" s="24"/>
      <c r="D153" s="24"/>
      <c r="E153" s="24"/>
      <c r="F153" s="24"/>
      <c r="G153" s="24"/>
      <c r="H153" s="24"/>
      <c r="I153" s="24"/>
      <c r="J153" s="24"/>
      <c r="K153" s="25"/>
    </row>
    <row r="154" s="5" customFormat="1" ht="20" customHeight="1" spans="1:11">
      <c r="A154" s="22"/>
      <c r="B154" s="23"/>
      <c r="C154" s="24"/>
      <c r="D154" s="24"/>
      <c r="E154" s="24"/>
      <c r="F154" s="24"/>
      <c r="G154" s="24"/>
      <c r="H154" s="24"/>
      <c r="I154" s="24"/>
      <c r="J154" s="24"/>
      <c r="K154" s="25"/>
    </row>
    <row r="155" s="5" customFormat="1" ht="20" customHeight="1" spans="1:11">
      <c r="A155" s="22"/>
      <c r="B155" s="23"/>
      <c r="C155" s="24"/>
      <c r="D155" s="24"/>
      <c r="E155" s="24"/>
      <c r="F155" s="24"/>
      <c r="G155" s="24"/>
      <c r="H155" s="24"/>
      <c r="I155" s="24"/>
      <c r="J155" s="24"/>
      <c r="K155" s="25"/>
    </row>
    <row r="156" s="5" customFormat="1" ht="20" customHeight="1" spans="1:11">
      <c r="A156" s="22"/>
      <c r="B156" s="23"/>
      <c r="C156" s="24"/>
      <c r="D156" s="24"/>
      <c r="E156" s="24"/>
      <c r="F156" s="24"/>
      <c r="G156" s="24"/>
      <c r="H156" s="24"/>
      <c r="I156" s="24"/>
      <c r="J156" s="24"/>
      <c r="K156" s="25"/>
    </row>
    <row r="157" s="5" customFormat="1" ht="20" customHeight="1" spans="1:11">
      <c r="A157" s="22"/>
      <c r="B157" s="23"/>
      <c r="C157" s="24"/>
      <c r="D157" s="24"/>
      <c r="E157" s="24"/>
      <c r="F157" s="24"/>
      <c r="G157" s="24"/>
      <c r="H157" s="24"/>
      <c r="I157" s="24"/>
      <c r="J157" s="24"/>
      <c r="K157" s="25"/>
    </row>
    <row r="158" s="5" customFormat="1" ht="20" customHeight="1" spans="1:11">
      <c r="A158" s="22"/>
      <c r="B158" s="23"/>
      <c r="C158" s="24"/>
      <c r="D158" s="24"/>
      <c r="E158" s="24"/>
      <c r="F158" s="24"/>
      <c r="G158" s="24"/>
      <c r="H158" s="24"/>
      <c r="I158" s="24"/>
      <c r="J158" s="24"/>
      <c r="K158" s="25"/>
    </row>
    <row r="159" s="5" customFormat="1" ht="20" customHeight="1" spans="1:11">
      <c r="A159" s="22"/>
      <c r="B159" s="23"/>
      <c r="C159" s="24"/>
      <c r="D159" s="24"/>
      <c r="E159" s="24"/>
      <c r="F159" s="24"/>
      <c r="G159" s="24"/>
      <c r="H159" s="24"/>
      <c r="I159" s="24"/>
      <c r="J159" s="24"/>
      <c r="K159" s="25"/>
    </row>
    <row r="160" s="5" customFormat="1" ht="20" customHeight="1" spans="1:11">
      <c r="A160" s="22"/>
      <c r="B160" s="23"/>
      <c r="C160" s="24"/>
      <c r="D160" s="24"/>
      <c r="E160" s="24"/>
      <c r="F160" s="24"/>
      <c r="G160" s="24"/>
      <c r="H160" s="24"/>
      <c r="I160" s="24"/>
      <c r="J160" s="24"/>
      <c r="K160" s="25"/>
    </row>
    <row r="161" s="5" customFormat="1" ht="20" customHeight="1" spans="1:11">
      <c r="A161" s="22"/>
      <c r="B161" s="23"/>
      <c r="C161" s="24"/>
      <c r="D161" s="24"/>
      <c r="E161" s="24"/>
      <c r="F161" s="24"/>
      <c r="G161" s="24"/>
      <c r="H161" s="24"/>
      <c r="I161" s="24"/>
      <c r="J161" s="24"/>
      <c r="K161" s="25"/>
    </row>
    <row r="162" s="5" customFormat="1" ht="20" customHeight="1" spans="1:11">
      <c r="A162" s="22"/>
      <c r="B162" s="23"/>
      <c r="C162" s="24"/>
      <c r="D162" s="24"/>
      <c r="E162" s="24"/>
      <c r="F162" s="24"/>
      <c r="G162" s="24"/>
      <c r="H162" s="24"/>
      <c r="I162" s="24"/>
      <c r="J162" s="24"/>
      <c r="K162" s="25"/>
    </row>
    <row r="163" s="5" customFormat="1" ht="20" customHeight="1" spans="1:11">
      <c r="A163" s="22"/>
      <c r="B163" s="23"/>
      <c r="C163" s="24"/>
      <c r="D163" s="24"/>
      <c r="E163" s="24"/>
      <c r="F163" s="24"/>
      <c r="G163" s="24"/>
      <c r="H163" s="24"/>
      <c r="I163" s="24"/>
      <c r="J163" s="24"/>
      <c r="K163" s="25"/>
    </row>
    <row r="164" s="5" customFormat="1" ht="20" customHeight="1" spans="1:11">
      <c r="A164" s="22"/>
      <c r="B164" s="23"/>
      <c r="C164" s="24"/>
      <c r="D164" s="24"/>
      <c r="E164" s="24"/>
      <c r="F164" s="24"/>
      <c r="G164" s="24"/>
      <c r="H164" s="24"/>
      <c r="I164" s="24"/>
      <c r="J164" s="24"/>
      <c r="K164" s="25"/>
    </row>
    <row r="165" s="5" customFormat="1" ht="20" customHeight="1" spans="1:11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5"/>
    </row>
    <row r="166" s="5" customFormat="1" ht="20" customHeight="1" spans="1:11">
      <c r="A166" s="22"/>
      <c r="B166" s="23"/>
      <c r="C166" s="24"/>
      <c r="D166" s="24"/>
      <c r="E166" s="24"/>
      <c r="F166" s="24"/>
      <c r="G166" s="24"/>
      <c r="H166" s="24"/>
      <c r="I166" s="24"/>
      <c r="J166" s="24"/>
      <c r="K166" s="25"/>
    </row>
    <row r="167" s="5" customFormat="1" ht="20" customHeight="1" spans="1:11">
      <c r="A167" s="22"/>
      <c r="B167" s="23"/>
      <c r="C167" s="24"/>
      <c r="D167" s="24"/>
      <c r="E167" s="24"/>
      <c r="F167" s="24"/>
      <c r="G167" s="24"/>
      <c r="H167" s="24"/>
      <c r="I167" s="24"/>
      <c r="J167" s="24"/>
      <c r="K167" s="25"/>
    </row>
    <row r="168" s="5" customFormat="1" ht="20" customHeight="1" spans="1:11">
      <c r="A168" s="22"/>
      <c r="B168" s="23"/>
      <c r="C168" s="24"/>
      <c r="D168" s="24"/>
      <c r="E168" s="24"/>
      <c r="F168" s="24"/>
      <c r="G168" s="24"/>
      <c r="H168" s="24"/>
      <c r="I168" s="24"/>
      <c r="J168" s="24"/>
      <c r="K168" s="25"/>
    </row>
    <row r="169" s="5" customFormat="1" ht="20" customHeight="1" spans="1:11">
      <c r="A169" s="22"/>
      <c r="B169" s="23"/>
      <c r="C169" s="24"/>
      <c r="D169" s="24"/>
      <c r="E169" s="24"/>
      <c r="F169" s="24"/>
      <c r="G169" s="24"/>
      <c r="H169" s="24"/>
      <c r="I169" s="24"/>
      <c r="J169" s="24"/>
      <c r="K169" s="25"/>
    </row>
    <row r="170" s="5" customFormat="1" ht="20" customHeight="1" spans="1:11">
      <c r="A170" s="22"/>
      <c r="B170" s="23"/>
      <c r="C170" s="24"/>
      <c r="D170" s="24"/>
      <c r="E170" s="24"/>
      <c r="F170" s="24"/>
      <c r="G170" s="24"/>
      <c r="H170" s="24"/>
      <c r="I170" s="24"/>
      <c r="J170" s="24"/>
      <c r="K170" s="25"/>
    </row>
    <row r="171" s="5" customFormat="1" ht="20" customHeight="1" spans="1:11">
      <c r="A171" s="22"/>
      <c r="B171" s="23"/>
      <c r="C171" s="24"/>
      <c r="D171" s="24"/>
      <c r="E171" s="24"/>
      <c r="F171" s="24"/>
      <c r="G171" s="24"/>
      <c r="H171" s="24"/>
      <c r="I171" s="24"/>
      <c r="J171" s="24"/>
      <c r="K171" s="25"/>
    </row>
    <row r="172" s="5" customFormat="1" ht="20" customHeight="1" spans="1:11">
      <c r="A172" s="22"/>
      <c r="B172" s="23"/>
      <c r="C172" s="24"/>
      <c r="D172" s="24"/>
      <c r="E172" s="24"/>
      <c r="F172" s="24"/>
      <c r="G172" s="24"/>
      <c r="H172" s="24"/>
      <c r="I172" s="24"/>
      <c r="J172" s="24"/>
      <c r="K172" s="25"/>
    </row>
    <row r="173" s="5" customFormat="1" ht="20" customHeight="1" spans="1:11">
      <c r="A173" s="22"/>
      <c r="B173" s="23"/>
      <c r="C173" s="24"/>
      <c r="D173" s="24"/>
      <c r="E173" s="24"/>
      <c r="F173" s="24"/>
      <c r="G173" s="24"/>
      <c r="H173" s="24"/>
      <c r="I173" s="24"/>
      <c r="J173" s="24"/>
      <c r="K173" s="25"/>
    </row>
    <row r="174" s="5" customFormat="1" ht="20" customHeight="1" spans="1:11">
      <c r="A174" s="22"/>
      <c r="B174" s="23"/>
      <c r="C174" s="24"/>
      <c r="D174" s="24"/>
      <c r="E174" s="24"/>
      <c r="F174" s="24"/>
      <c r="G174" s="24"/>
      <c r="H174" s="24"/>
      <c r="I174" s="24"/>
      <c r="J174" s="24"/>
      <c r="K174" s="25"/>
    </row>
    <row r="175" s="5" customFormat="1" ht="20" customHeight="1" spans="1:11">
      <c r="A175" s="22"/>
      <c r="B175" s="23"/>
      <c r="C175" s="24"/>
      <c r="D175" s="24"/>
      <c r="E175" s="24"/>
      <c r="F175" s="24"/>
      <c r="G175" s="24"/>
      <c r="H175" s="24"/>
      <c r="I175" s="24"/>
      <c r="J175" s="24"/>
      <c r="K175" s="25"/>
    </row>
    <row r="176" s="5" customFormat="1" ht="20" customHeight="1" spans="1:11">
      <c r="A176" s="22"/>
      <c r="B176" s="23"/>
      <c r="C176" s="24"/>
      <c r="D176" s="24"/>
      <c r="E176" s="24"/>
      <c r="F176" s="24"/>
      <c r="G176" s="24"/>
      <c r="H176" s="24"/>
      <c r="I176" s="24"/>
      <c r="J176" s="24"/>
      <c r="K176" s="25"/>
    </row>
    <row r="177" s="5" customFormat="1" ht="20" customHeight="1" spans="1:11">
      <c r="A177" s="22"/>
      <c r="B177" s="23"/>
      <c r="C177" s="24"/>
      <c r="D177" s="24"/>
      <c r="E177" s="24"/>
      <c r="F177" s="24"/>
      <c r="G177" s="24"/>
      <c r="H177" s="24"/>
      <c r="I177" s="24"/>
      <c r="J177" s="24"/>
      <c r="K177" s="25"/>
    </row>
    <row r="178" s="5" customFormat="1" ht="20" customHeight="1" spans="1:11">
      <c r="A178" s="22"/>
      <c r="B178" s="23"/>
      <c r="C178" s="24"/>
      <c r="D178" s="24"/>
      <c r="E178" s="24"/>
      <c r="F178" s="24"/>
      <c r="G178" s="24"/>
      <c r="H178" s="24"/>
      <c r="I178" s="24"/>
      <c r="J178" s="24"/>
      <c r="K178" s="25"/>
    </row>
    <row r="179" s="5" customFormat="1" ht="20" customHeight="1" spans="1:11">
      <c r="A179" s="22"/>
      <c r="B179" s="23"/>
      <c r="C179" s="24"/>
      <c r="D179" s="24"/>
      <c r="E179" s="24"/>
      <c r="F179" s="24"/>
      <c r="G179" s="24"/>
      <c r="H179" s="24"/>
      <c r="I179" s="24"/>
      <c r="J179" s="24"/>
      <c r="K179" s="25"/>
    </row>
    <row r="180" s="5" customFormat="1" ht="20" customHeight="1" spans="1:11">
      <c r="A180" s="22"/>
      <c r="B180" s="23"/>
      <c r="C180" s="24"/>
      <c r="D180" s="24"/>
      <c r="E180" s="24"/>
      <c r="F180" s="24"/>
      <c r="G180" s="24"/>
      <c r="H180" s="24"/>
      <c r="I180" s="24"/>
      <c r="J180" s="24"/>
      <c r="K180" s="25"/>
    </row>
    <row r="181" s="5" customFormat="1" ht="20" customHeight="1" spans="1:11">
      <c r="A181" s="22"/>
      <c r="B181" s="23"/>
      <c r="C181" s="24"/>
      <c r="D181" s="24"/>
      <c r="E181" s="24"/>
      <c r="F181" s="24"/>
      <c r="G181" s="24"/>
      <c r="H181" s="24"/>
      <c r="I181" s="24"/>
      <c r="J181" s="24"/>
      <c r="K181" s="25"/>
    </row>
    <row r="182" s="5" customFormat="1" ht="20" customHeight="1" spans="1:11">
      <c r="A182" s="22"/>
      <c r="B182" s="23"/>
      <c r="C182" s="24"/>
      <c r="D182" s="24"/>
      <c r="E182" s="24"/>
      <c r="F182" s="24"/>
      <c r="G182" s="24"/>
      <c r="H182" s="24"/>
      <c r="I182" s="24"/>
      <c r="J182" s="24"/>
      <c r="K182" s="25"/>
    </row>
    <row r="183" s="5" customFormat="1" ht="20" customHeight="1" spans="1:11">
      <c r="A183" s="22"/>
      <c r="B183" s="23"/>
      <c r="C183" s="24"/>
      <c r="D183" s="24"/>
      <c r="E183" s="24"/>
      <c r="F183" s="24"/>
      <c r="G183" s="24"/>
      <c r="H183" s="24"/>
      <c r="I183" s="24"/>
      <c r="J183" s="24"/>
      <c r="K183" s="25"/>
    </row>
    <row r="184" s="5" customFormat="1" ht="20" customHeight="1" spans="1:11">
      <c r="A184" s="22"/>
      <c r="B184" s="23"/>
      <c r="C184" s="24"/>
      <c r="D184" s="24"/>
      <c r="E184" s="24"/>
      <c r="F184" s="24"/>
      <c r="G184" s="24"/>
      <c r="H184" s="24"/>
      <c r="I184" s="24"/>
      <c r="J184" s="24"/>
      <c r="K184" s="25"/>
    </row>
    <row r="185" s="5" customFormat="1" ht="20" customHeight="1" spans="1:11">
      <c r="A185" s="22"/>
      <c r="B185" s="23"/>
      <c r="C185" s="24"/>
      <c r="D185" s="24"/>
      <c r="E185" s="24"/>
      <c r="F185" s="24"/>
      <c r="G185" s="24"/>
      <c r="H185" s="24"/>
      <c r="I185" s="24"/>
      <c r="J185" s="24"/>
      <c r="K185" s="25"/>
    </row>
    <row r="186" s="5" customFormat="1" ht="20" customHeight="1" spans="1:11">
      <c r="A186" s="22"/>
      <c r="B186" s="23"/>
      <c r="C186" s="24"/>
      <c r="D186" s="24"/>
      <c r="E186" s="24"/>
      <c r="F186" s="24"/>
      <c r="G186" s="24"/>
      <c r="H186" s="24"/>
      <c r="I186" s="24"/>
      <c r="J186" s="24"/>
      <c r="K186" s="25"/>
    </row>
    <row r="187" s="5" customFormat="1" ht="20" customHeight="1" spans="1:11">
      <c r="A187" s="22"/>
      <c r="B187" s="23"/>
      <c r="C187" s="24"/>
      <c r="D187" s="24"/>
      <c r="E187" s="24"/>
      <c r="F187" s="24"/>
      <c r="G187" s="24"/>
      <c r="H187" s="24"/>
      <c r="I187" s="24"/>
      <c r="J187" s="24"/>
      <c r="K187" s="25"/>
    </row>
    <row r="188" s="5" customFormat="1" ht="20" customHeight="1" spans="1:11">
      <c r="A188" s="22"/>
      <c r="B188" s="23"/>
      <c r="C188" s="24"/>
      <c r="D188" s="24"/>
      <c r="E188" s="24"/>
      <c r="F188" s="24"/>
      <c r="G188" s="24"/>
      <c r="H188" s="24"/>
      <c r="I188" s="24"/>
      <c r="J188" s="24"/>
      <c r="K188" s="25"/>
    </row>
    <row r="189" s="5" customFormat="1" ht="20" customHeight="1" spans="1:11">
      <c r="A189" s="22"/>
      <c r="B189" s="23"/>
      <c r="C189" s="24"/>
      <c r="D189" s="24"/>
      <c r="E189" s="24"/>
      <c r="F189" s="24"/>
      <c r="G189" s="24"/>
      <c r="H189" s="24"/>
      <c r="I189" s="24"/>
      <c r="J189" s="24"/>
      <c r="K189" s="25"/>
    </row>
    <row r="190" s="5" customFormat="1" ht="20" customHeight="1" spans="1:11">
      <c r="A190" s="22"/>
      <c r="B190" s="23"/>
      <c r="C190" s="24"/>
      <c r="D190" s="24"/>
      <c r="E190" s="24"/>
      <c r="F190" s="24"/>
      <c r="G190" s="24"/>
      <c r="H190" s="24"/>
      <c r="I190" s="24"/>
      <c r="J190" s="24"/>
      <c r="K190" s="25"/>
    </row>
    <row r="191" s="5" customFormat="1" ht="20" customHeight="1" spans="1:11">
      <c r="A191" s="22"/>
      <c r="B191" s="23"/>
      <c r="C191" s="24"/>
      <c r="D191" s="24"/>
      <c r="E191" s="24"/>
      <c r="F191" s="24"/>
      <c r="G191" s="24"/>
      <c r="H191" s="24"/>
      <c r="I191" s="24"/>
      <c r="J191" s="24"/>
      <c r="K191" s="25"/>
    </row>
    <row r="192" s="5" customFormat="1" ht="20" customHeight="1" spans="1:11">
      <c r="A192" s="22"/>
      <c r="B192" s="23"/>
      <c r="C192" s="24"/>
      <c r="D192" s="24"/>
      <c r="E192" s="24"/>
      <c r="F192" s="24"/>
      <c r="G192" s="24"/>
      <c r="H192" s="24"/>
      <c r="I192" s="24"/>
      <c r="J192" s="24"/>
      <c r="K192" s="25"/>
    </row>
    <row r="193" s="5" customFormat="1" ht="20" customHeight="1" spans="1:11">
      <c r="A193" s="22"/>
      <c r="B193" s="23"/>
      <c r="C193" s="24"/>
      <c r="D193" s="24"/>
      <c r="E193" s="24"/>
      <c r="F193" s="24"/>
      <c r="G193" s="24"/>
      <c r="H193" s="24"/>
      <c r="I193" s="24"/>
      <c r="J193" s="24"/>
      <c r="K193" s="25"/>
    </row>
    <row r="194" s="5" customFormat="1" ht="20" customHeight="1" spans="1:11">
      <c r="A194" s="22"/>
      <c r="B194" s="23"/>
      <c r="C194" s="24"/>
      <c r="D194" s="24"/>
      <c r="E194" s="24"/>
      <c r="F194" s="24"/>
      <c r="G194" s="24"/>
      <c r="H194" s="24"/>
      <c r="I194" s="24"/>
      <c r="J194" s="24"/>
      <c r="K194" s="25"/>
    </row>
    <row r="195" s="5" customFormat="1" ht="20" customHeight="1" spans="1:11">
      <c r="A195" s="22"/>
      <c r="B195" s="23"/>
      <c r="C195" s="24"/>
      <c r="D195" s="24"/>
      <c r="E195" s="24"/>
      <c r="F195" s="24"/>
      <c r="G195" s="24"/>
      <c r="H195" s="24"/>
      <c r="I195" s="24"/>
      <c r="J195" s="24"/>
      <c r="K195" s="25"/>
    </row>
    <row r="196" s="5" customFormat="1" ht="20" customHeight="1" spans="1:11">
      <c r="A196" s="22"/>
      <c r="B196" s="23"/>
      <c r="C196" s="24"/>
      <c r="D196" s="24"/>
      <c r="E196" s="24"/>
      <c r="F196" s="24"/>
      <c r="G196" s="24"/>
      <c r="H196" s="24"/>
      <c r="I196" s="24"/>
      <c r="J196" s="24"/>
      <c r="K196" s="25"/>
    </row>
    <row r="197" s="5" customFormat="1" ht="20" customHeight="1" spans="1:11">
      <c r="A197" s="22"/>
      <c r="B197" s="23"/>
      <c r="C197" s="24"/>
      <c r="D197" s="24"/>
      <c r="E197" s="24"/>
      <c r="F197" s="24"/>
      <c r="G197" s="24"/>
      <c r="H197" s="24"/>
      <c r="I197" s="24"/>
      <c r="J197" s="24"/>
      <c r="K197" s="25"/>
    </row>
    <row r="198" s="5" customFormat="1" ht="20" customHeight="1" spans="1:11">
      <c r="A198" s="22"/>
      <c r="B198" s="23"/>
      <c r="C198" s="24"/>
      <c r="D198" s="24"/>
      <c r="E198" s="24"/>
      <c r="F198" s="24"/>
      <c r="G198" s="24"/>
      <c r="H198" s="24"/>
      <c r="I198" s="24"/>
      <c r="J198" s="24"/>
      <c r="K198" s="25"/>
    </row>
    <row r="199" s="5" customFormat="1" ht="20" customHeight="1" spans="1:11">
      <c r="A199" s="22"/>
      <c r="B199" s="23"/>
      <c r="C199" s="24"/>
      <c r="D199" s="24"/>
      <c r="E199" s="24"/>
      <c r="F199" s="24"/>
      <c r="G199" s="24"/>
      <c r="H199" s="24"/>
      <c r="I199" s="24"/>
      <c r="J199" s="24"/>
      <c r="K199" s="25"/>
    </row>
    <row r="200" s="5" customFormat="1" ht="20" customHeight="1" spans="1:11">
      <c r="A200" s="22"/>
      <c r="B200" s="23"/>
      <c r="C200" s="24"/>
      <c r="D200" s="24"/>
      <c r="E200" s="24"/>
      <c r="F200" s="24"/>
      <c r="G200" s="24"/>
      <c r="H200" s="24"/>
      <c r="I200" s="24"/>
      <c r="J200" s="24"/>
      <c r="K200" s="25"/>
    </row>
    <row r="201" s="5" customFormat="1" ht="20" customHeight="1" spans="1:11">
      <c r="A201" s="22"/>
      <c r="B201" s="23"/>
      <c r="C201" s="24"/>
      <c r="D201" s="24"/>
      <c r="E201" s="24"/>
      <c r="F201" s="24"/>
      <c r="G201" s="24"/>
      <c r="H201" s="24"/>
      <c r="I201" s="24"/>
      <c r="J201" s="24"/>
      <c r="K201" s="25"/>
    </row>
    <row r="202" s="5" customFormat="1" ht="20" customHeight="1" spans="1:11">
      <c r="A202" s="22"/>
      <c r="B202" s="23"/>
      <c r="C202" s="24"/>
      <c r="D202" s="24"/>
      <c r="E202" s="24"/>
      <c r="F202" s="24"/>
      <c r="G202" s="24"/>
      <c r="H202" s="24"/>
      <c r="I202" s="24"/>
      <c r="J202" s="24"/>
      <c r="K202" s="25"/>
    </row>
    <row r="203" s="5" customFormat="1" ht="20" customHeight="1" spans="1:11">
      <c r="A203" s="22"/>
      <c r="B203" s="23"/>
      <c r="C203" s="24"/>
      <c r="D203" s="24"/>
      <c r="E203" s="24"/>
      <c r="F203" s="24"/>
      <c r="G203" s="24"/>
      <c r="H203" s="24"/>
      <c r="I203" s="24"/>
      <c r="J203" s="24"/>
      <c r="K203" s="25"/>
    </row>
    <row r="204" s="5" customFormat="1" ht="20" customHeight="1" spans="1:11">
      <c r="A204" s="22"/>
      <c r="B204" s="23"/>
      <c r="C204" s="24"/>
      <c r="D204" s="24"/>
      <c r="E204" s="24"/>
      <c r="F204" s="24"/>
      <c r="G204" s="24"/>
      <c r="H204" s="24"/>
      <c r="I204" s="24"/>
      <c r="J204" s="24"/>
      <c r="K204" s="25"/>
    </row>
    <row r="205" s="5" customFormat="1" ht="20" customHeight="1" spans="1:11">
      <c r="A205" s="22"/>
      <c r="B205" s="23"/>
      <c r="C205" s="24"/>
      <c r="D205" s="24"/>
      <c r="E205" s="24"/>
      <c r="F205" s="24"/>
      <c r="G205" s="24"/>
      <c r="H205" s="24"/>
      <c r="I205" s="24"/>
      <c r="J205" s="24"/>
      <c r="K205" s="25"/>
    </row>
    <row r="206" s="5" customFormat="1" ht="20" customHeight="1" spans="1:11">
      <c r="A206" s="22"/>
      <c r="B206" s="23"/>
      <c r="C206" s="24"/>
      <c r="D206" s="24"/>
      <c r="E206" s="24"/>
      <c r="F206" s="24"/>
      <c r="G206" s="24"/>
      <c r="H206" s="24"/>
      <c r="I206" s="24"/>
      <c r="J206" s="24"/>
      <c r="K206" s="25"/>
    </row>
    <row r="207" s="5" customFormat="1" ht="20" customHeight="1" spans="1:11">
      <c r="A207" s="22"/>
      <c r="B207" s="23"/>
      <c r="C207" s="24"/>
      <c r="D207" s="24"/>
      <c r="E207" s="24"/>
      <c r="F207" s="24"/>
      <c r="G207" s="24"/>
      <c r="H207" s="24"/>
      <c r="I207" s="24"/>
      <c r="J207" s="24"/>
      <c r="K207" s="25"/>
    </row>
    <row r="208" s="5" customFormat="1" ht="20" customHeight="1" spans="1:11">
      <c r="A208" s="22"/>
      <c r="B208" s="23"/>
      <c r="C208" s="24"/>
      <c r="D208" s="24"/>
      <c r="E208" s="24"/>
      <c r="F208" s="24"/>
      <c r="G208" s="24"/>
      <c r="H208" s="24"/>
      <c r="I208" s="24"/>
      <c r="J208" s="24"/>
      <c r="K208" s="25"/>
    </row>
    <row r="209" s="5" customFormat="1" ht="20" customHeight="1" spans="1:11">
      <c r="A209" s="22"/>
      <c r="B209" s="23"/>
      <c r="C209" s="24"/>
      <c r="D209" s="24"/>
      <c r="E209" s="24"/>
      <c r="F209" s="24"/>
      <c r="G209" s="24"/>
      <c r="H209" s="24"/>
      <c r="I209" s="24"/>
      <c r="J209" s="24"/>
      <c r="K209" s="25"/>
    </row>
    <row r="210" s="5" customFormat="1" ht="20" customHeight="1" spans="1:11">
      <c r="A210" s="22"/>
      <c r="B210" s="23"/>
      <c r="C210" s="24"/>
      <c r="D210" s="24"/>
      <c r="E210" s="24"/>
      <c r="F210" s="24"/>
      <c r="G210" s="24"/>
      <c r="H210" s="24"/>
      <c r="I210" s="24"/>
      <c r="J210" s="24"/>
      <c r="K210" s="25"/>
    </row>
    <row r="211" s="5" customFormat="1" ht="20" customHeight="1" spans="1:11">
      <c r="A211" s="22"/>
      <c r="B211" s="23"/>
      <c r="C211" s="24"/>
      <c r="D211" s="24"/>
      <c r="E211" s="24"/>
      <c r="F211" s="24"/>
      <c r="G211" s="24"/>
      <c r="H211" s="24"/>
      <c r="I211" s="24"/>
      <c r="J211" s="24"/>
      <c r="K211" s="25"/>
    </row>
    <row r="212" s="5" customFormat="1" ht="20" customHeight="1" spans="1:11">
      <c r="A212" s="22"/>
      <c r="B212" s="23"/>
      <c r="C212" s="24"/>
      <c r="D212" s="24"/>
      <c r="E212" s="24"/>
      <c r="F212" s="24"/>
      <c r="G212" s="24"/>
      <c r="H212" s="24"/>
      <c r="I212" s="24"/>
      <c r="J212" s="24"/>
      <c r="K212" s="25"/>
    </row>
    <row r="213" s="5" customFormat="1" ht="20" customHeight="1" spans="1:11">
      <c r="A213" s="22"/>
      <c r="B213" s="23"/>
      <c r="C213" s="24"/>
      <c r="D213" s="24"/>
      <c r="E213" s="24"/>
      <c r="F213" s="24"/>
      <c r="G213" s="24"/>
      <c r="H213" s="24"/>
      <c r="I213" s="24"/>
      <c r="J213" s="24"/>
      <c r="K213" s="25"/>
    </row>
    <row r="214" s="5" customFormat="1" ht="20" customHeight="1" spans="1:11">
      <c r="A214" s="22"/>
      <c r="B214" s="23"/>
      <c r="C214" s="24"/>
      <c r="D214" s="24"/>
      <c r="E214" s="24"/>
      <c r="F214" s="24"/>
      <c r="G214" s="24"/>
      <c r="H214" s="24"/>
      <c r="I214" s="24"/>
      <c r="J214" s="24"/>
      <c r="K214" s="25"/>
    </row>
    <row r="215" s="5" customFormat="1" ht="20" customHeight="1" spans="1:11">
      <c r="A215" s="22"/>
      <c r="B215" s="23"/>
      <c r="C215" s="24"/>
      <c r="D215" s="24"/>
      <c r="E215" s="24"/>
      <c r="F215" s="24"/>
      <c r="G215" s="24"/>
      <c r="H215" s="24"/>
      <c r="I215" s="24"/>
      <c r="J215" s="24"/>
      <c r="K215" s="25"/>
    </row>
    <row r="216" s="5" customFormat="1" ht="20" customHeight="1" spans="1:11">
      <c r="A216" s="22"/>
      <c r="B216" s="23"/>
      <c r="C216" s="24"/>
      <c r="D216" s="24"/>
      <c r="E216" s="24"/>
      <c r="F216" s="24"/>
      <c r="G216" s="24"/>
      <c r="H216" s="24"/>
      <c r="I216" s="24"/>
      <c r="J216" s="24"/>
      <c r="K216" s="25"/>
    </row>
    <row r="217" s="5" customFormat="1" ht="20" customHeight="1" spans="1:11">
      <c r="A217" s="22"/>
      <c r="B217" s="23"/>
      <c r="C217" s="24"/>
      <c r="D217" s="24"/>
      <c r="E217" s="24"/>
      <c r="F217" s="24"/>
      <c r="G217" s="24"/>
      <c r="H217" s="24"/>
      <c r="I217" s="24"/>
      <c r="J217" s="24"/>
      <c r="K217" s="25"/>
    </row>
    <row r="218" s="5" customFormat="1" ht="20" customHeight="1" spans="1:11">
      <c r="A218" s="22"/>
      <c r="B218" s="23"/>
      <c r="C218" s="24"/>
      <c r="D218" s="24"/>
      <c r="E218" s="24"/>
      <c r="F218" s="24"/>
      <c r="G218" s="24"/>
      <c r="H218" s="24"/>
      <c r="I218" s="24"/>
      <c r="J218" s="24"/>
      <c r="K218" s="25"/>
    </row>
    <row r="219" s="5" customFormat="1" ht="20" customHeight="1" spans="1:11">
      <c r="A219" s="22"/>
      <c r="B219" s="23"/>
      <c r="C219" s="24"/>
      <c r="D219" s="24"/>
      <c r="E219" s="24"/>
      <c r="F219" s="24"/>
      <c r="G219" s="24"/>
      <c r="H219" s="24"/>
      <c r="I219" s="24"/>
      <c r="J219" s="24"/>
      <c r="K219" s="25"/>
    </row>
    <row r="220" s="5" customFormat="1" ht="20" customHeight="1" spans="1:11">
      <c r="A220" s="22"/>
      <c r="B220" s="23"/>
      <c r="C220" s="24"/>
      <c r="D220" s="24"/>
      <c r="E220" s="24"/>
      <c r="F220" s="24"/>
      <c r="G220" s="24"/>
      <c r="H220" s="24"/>
      <c r="I220" s="24"/>
      <c r="J220" s="24"/>
      <c r="K220" s="25"/>
    </row>
    <row r="221" s="5" customFormat="1" ht="20" customHeight="1" spans="1:11">
      <c r="A221" s="22"/>
      <c r="B221" s="23"/>
      <c r="C221" s="24"/>
      <c r="D221" s="24"/>
      <c r="E221" s="24"/>
      <c r="F221" s="24"/>
      <c r="G221" s="24"/>
      <c r="H221" s="24"/>
      <c r="I221" s="24"/>
      <c r="J221" s="24"/>
      <c r="K221" s="25"/>
    </row>
    <row r="222" s="5" customFormat="1" ht="20" customHeight="1" spans="1:11">
      <c r="A222" s="22"/>
      <c r="B222" s="23"/>
      <c r="C222" s="24"/>
      <c r="D222" s="24"/>
      <c r="E222" s="24"/>
      <c r="F222" s="24"/>
      <c r="G222" s="24"/>
      <c r="H222" s="24"/>
      <c r="I222" s="24"/>
      <c r="J222" s="24"/>
      <c r="K222" s="25"/>
    </row>
    <row r="223" s="5" customFormat="1" ht="20" customHeight="1" spans="1:11">
      <c r="A223" s="22"/>
      <c r="B223" s="23"/>
      <c r="C223" s="24"/>
      <c r="D223" s="24"/>
      <c r="E223" s="24"/>
      <c r="F223" s="24"/>
      <c r="G223" s="24"/>
      <c r="H223" s="24"/>
      <c r="I223" s="24"/>
      <c r="J223" s="24"/>
      <c r="K223" s="25"/>
    </row>
    <row r="224" s="5" customFormat="1" ht="20" customHeight="1" spans="1:11">
      <c r="A224" s="22"/>
      <c r="B224" s="23"/>
      <c r="C224" s="24"/>
      <c r="D224" s="24"/>
      <c r="E224" s="24"/>
      <c r="F224" s="24"/>
      <c r="G224" s="24"/>
      <c r="H224" s="24"/>
      <c r="I224" s="24"/>
      <c r="J224" s="24"/>
      <c r="K224" s="25"/>
    </row>
    <row r="225" s="5" customFormat="1" ht="20" customHeight="1" spans="1:11">
      <c r="A225" s="22"/>
      <c r="B225" s="23"/>
      <c r="C225" s="24"/>
      <c r="D225" s="24"/>
      <c r="E225" s="24"/>
      <c r="F225" s="24"/>
      <c r="G225" s="24"/>
      <c r="H225" s="24"/>
      <c r="I225" s="24"/>
      <c r="J225" s="24"/>
      <c r="K225" s="25"/>
    </row>
    <row r="226" s="5" customFormat="1" ht="20" customHeight="1" spans="1:11">
      <c r="A226" s="22"/>
      <c r="B226" s="23"/>
      <c r="C226" s="24"/>
      <c r="D226" s="24"/>
      <c r="E226" s="24"/>
      <c r="F226" s="24"/>
      <c r="G226" s="24"/>
      <c r="H226" s="24"/>
      <c r="I226" s="24"/>
      <c r="J226" s="24"/>
      <c r="K226" s="25"/>
    </row>
    <row r="227" s="5" customFormat="1" ht="20" customHeight="1" spans="1:11">
      <c r="A227" s="22"/>
      <c r="B227" s="23"/>
      <c r="C227" s="24"/>
      <c r="D227" s="24"/>
      <c r="E227" s="24"/>
      <c r="F227" s="24"/>
      <c r="G227" s="24"/>
      <c r="H227" s="24"/>
      <c r="I227" s="24"/>
      <c r="J227" s="24"/>
      <c r="K227" s="25"/>
    </row>
    <row r="228" s="5" customFormat="1" ht="20" customHeight="1" spans="1:11">
      <c r="A228" s="22"/>
      <c r="B228" s="23"/>
      <c r="C228" s="24"/>
      <c r="D228" s="24"/>
      <c r="E228" s="24"/>
      <c r="F228" s="24"/>
      <c r="G228" s="24"/>
      <c r="H228" s="24"/>
      <c r="I228" s="24"/>
      <c r="J228" s="24"/>
      <c r="K228" s="25"/>
    </row>
    <row r="229" s="5" customFormat="1" ht="20" customHeight="1" spans="1:11">
      <c r="A229" s="22"/>
      <c r="B229" s="23"/>
      <c r="C229" s="24"/>
      <c r="D229" s="24"/>
      <c r="E229" s="24"/>
      <c r="F229" s="24"/>
      <c r="G229" s="24"/>
      <c r="H229" s="24"/>
      <c r="I229" s="24"/>
      <c r="J229" s="24"/>
      <c r="K229" s="25"/>
    </row>
    <row r="230" s="5" customFormat="1" ht="20" customHeight="1" spans="1:11">
      <c r="A230" s="22"/>
      <c r="B230" s="23"/>
      <c r="C230" s="24"/>
      <c r="D230" s="24"/>
      <c r="E230" s="24"/>
      <c r="F230" s="24"/>
      <c r="G230" s="24"/>
      <c r="H230" s="24"/>
      <c r="I230" s="24"/>
      <c r="J230" s="24"/>
      <c r="K230" s="25"/>
    </row>
    <row r="231" s="5" customFormat="1" ht="20" customHeight="1" spans="1:11">
      <c r="A231" s="22"/>
      <c r="B231" s="23"/>
      <c r="C231" s="24"/>
      <c r="D231" s="24"/>
      <c r="E231" s="24"/>
      <c r="F231" s="24"/>
      <c r="G231" s="24"/>
      <c r="H231" s="24"/>
      <c r="I231" s="24"/>
      <c r="J231" s="24"/>
      <c r="K231" s="25"/>
    </row>
    <row r="232" s="5" customFormat="1" ht="20" customHeight="1" spans="1:11">
      <c r="A232" s="22"/>
      <c r="B232" s="23"/>
      <c r="C232" s="24"/>
      <c r="D232" s="24"/>
      <c r="E232" s="24"/>
      <c r="F232" s="24"/>
      <c r="G232" s="24"/>
      <c r="H232" s="24"/>
      <c r="I232" s="24"/>
      <c r="J232" s="24"/>
      <c r="K232" s="25"/>
    </row>
    <row r="233" s="5" customFormat="1" ht="20" customHeight="1" spans="1:11">
      <c r="A233" s="22"/>
      <c r="B233" s="23"/>
      <c r="C233" s="24"/>
      <c r="D233" s="24"/>
      <c r="E233" s="24"/>
      <c r="F233" s="24"/>
      <c r="G233" s="24"/>
      <c r="H233" s="24"/>
      <c r="I233" s="24"/>
      <c r="J233" s="24"/>
      <c r="K233" s="25"/>
    </row>
    <row r="234" s="5" customFormat="1" ht="20" customHeight="1" spans="1:11">
      <c r="A234" s="22"/>
      <c r="B234" s="23"/>
      <c r="C234" s="24"/>
      <c r="D234" s="24"/>
      <c r="E234" s="24"/>
      <c r="F234" s="24"/>
      <c r="G234" s="24"/>
      <c r="H234" s="24"/>
      <c r="I234" s="24"/>
      <c r="J234" s="24"/>
      <c r="K234" s="25"/>
    </row>
    <row r="235" s="5" customFormat="1" ht="20" customHeight="1" spans="1:11">
      <c r="A235" s="22"/>
      <c r="B235" s="23"/>
      <c r="C235" s="24"/>
      <c r="D235" s="24"/>
      <c r="E235" s="24"/>
      <c r="F235" s="24"/>
      <c r="G235" s="24"/>
      <c r="H235" s="24"/>
      <c r="I235" s="24"/>
      <c r="J235" s="24"/>
      <c r="K235" s="25"/>
    </row>
    <row r="236" s="5" customFormat="1" ht="20" customHeight="1" spans="1:11">
      <c r="A236" s="22"/>
      <c r="B236" s="23"/>
      <c r="C236" s="24"/>
      <c r="D236" s="24"/>
      <c r="E236" s="24"/>
      <c r="F236" s="24"/>
      <c r="G236" s="24"/>
      <c r="H236" s="24"/>
      <c r="I236" s="24"/>
      <c r="J236" s="24"/>
      <c r="K236" s="25"/>
    </row>
    <row r="237" s="5" customFormat="1" ht="20" customHeight="1" spans="1:11">
      <c r="A237" s="22"/>
      <c r="B237" s="23"/>
      <c r="C237" s="24"/>
      <c r="D237" s="24"/>
      <c r="E237" s="24"/>
      <c r="F237" s="24"/>
      <c r="G237" s="24"/>
      <c r="H237" s="24"/>
      <c r="I237" s="24"/>
      <c r="J237" s="24"/>
      <c r="K237" s="25"/>
    </row>
    <row r="238" s="5" customFormat="1" ht="20" customHeight="1" spans="1:11">
      <c r="A238" s="22"/>
      <c r="B238" s="23"/>
      <c r="C238" s="24"/>
      <c r="D238" s="24"/>
      <c r="E238" s="24"/>
      <c r="F238" s="24"/>
      <c r="G238" s="24"/>
      <c r="H238" s="24"/>
      <c r="I238" s="24"/>
      <c r="J238" s="24"/>
      <c r="K238" s="25"/>
    </row>
    <row r="239" s="5" customFormat="1" ht="20" customHeight="1" spans="1:11">
      <c r="A239" s="22"/>
      <c r="B239" s="23"/>
      <c r="C239" s="24"/>
      <c r="D239" s="24"/>
      <c r="E239" s="24"/>
      <c r="F239" s="24"/>
      <c r="G239" s="24"/>
      <c r="H239" s="24"/>
      <c r="I239" s="24"/>
      <c r="J239" s="24"/>
      <c r="K239" s="25"/>
    </row>
    <row r="240" s="5" customFormat="1" ht="20" customHeight="1" spans="1:11">
      <c r="A240" s="22"/>
      <c r="B240" s="23"/>
      <c r="C240" s="24"/>
      <c r="D240" s="24"/>
      <c r="E240" s="24"/>
      <c r="F240" s="24"/>
      <c r="G240" s="24"/>
      <c r="H240" s="24"/>
      <c r="I240" s="24"/>
      <c r="J240" s="24"/>
      <c r="K240" s="25"/>
    </row>
    <row r="241" s="5" customFormat="1" ht="20" customHeight="1" spans="1:11">
      <c r="A241" s="22"/>
      <c r="B241" s="23"/>
      <c r="C241" s="24"/>
      <c r="D241" s="24"/>
      <c r="E241" s="24"/>
      <c r="F241" s="24"/>
      <c r="G241" s="24"/>
      <c r="H241" s="24"/>
      <c r="I241" s="24"/>
      <c r="J241" s="24"/>
      <c r="K241" s="25"/>
    </row>
    <row r="242" s="5" customFormat="1" ht="20" customHeight="1" spans="1:11">
      <c r="A242" s="22"/>
      <c r="B242" s="23"/>
      <c r="C242" s="24"/>
      <c r="D242" s="24"/>
      <c r="E242" s="24"/>
      <c r="F242" s="24"/>
      <c r="G242" s="24"/>
      <c r="H242" s="24"/>
      <c r="I242" s="24"/>
      <c r="J242" s="24"/>
      <c r="K242" s="25"/>
    </row>
    <row r="243" s="5" customFormat="1" ht="20" customHeight="1" spans="1:11">
      <c r="A243" s="22"/>
      <c r="B243" s="23"/>
      <c r="C243" s="24"/>
      <c r="D243" s="24"/>
      <c r="E243" s="24"/>
      <c r="F243" s="24"/>
      <c r="G243" s="24"/>
      <c r="H243" s="24"/>
      <c r="I243" s="24"/>
      <c r="J243" s="24"/>
      <c r="K243" s="25"/>
    </row>
    <row r="244" s="5" customFormat="1" ht="20" customHeight="1" spans="1:11">
      <c r="A244" s="22"/>
      <c r="B244" s="23"/>
      <c r="C244" s="24"/>
      <c r="D244" s="24"/>
      <c r="E244" s="24"/>
      <c r="F244" s="24"/>
      <c r="G244" s="24"/>
      <c r="H244" s="24"/>
      <c r="I244" s="24"/>
      <c r="J244" s="24"/>
      <c r="K244" s="25"/>
    </row>
    <row r="245" s="5" customFormat="1" ht="20" customHeight="1" spans="1:11">
      <c r="A245" s="22"/>
      <c r="B245" s="23"/>
      <c r="C245" s="24"/>
      <c r="D245" s="24"/>
      <c r="E245" s="24"/>
      <c r="F245" s="24"/>
      <c r="G245" s="24"/>
      <c r="H245" s="24"/>
      <c r="I245" s="24"/>
      <c r="J245" s="24"/>
      <c r="K245" s="25"/>
    </row>
    <row r="246" s="5" customFormat="1" ht="20" customHeight="1" spans="1:11">
      <c r="A246" s="22"/>
      <c r="B246" s="23"/>
      <c r="C246" s="24"/>
      <c r="D246" s="24"/>
      <c r="E246" s="24"/>
      <c r="F246" s="24"/>
      <c r="G246" s="24"/>
      <c r="H246" s="24"/>
      <c r="I246" s="24"/>
      <c r="J246" s="24"/>
      <c r="K246" s="25"/>
    </row>
    <row r="247" s="5" customFormat="1" ht="20" customHeight="1" spans="1:11">
      <c r="A247" s="22"/>
      <c r="B247" s="23"/>
      <c r="C247" s="24"/>
      <c r="D247" s="24"/>
      <c r="E247" s="24"/>
      <c r="F247" s="24"/>
      <c r="G247" s="24"/>
      <c r="H247" s="24"/>
      <c r="I247" s="24"/>
      <c r="J247" s="24"/>
      <c r="K247" s="25"/>
    </row>
    <row r="248" s="5" customFormat="1" ht="20" customHeight="1" spans="1:11">
      <c r="A248" s="22"/>
      <c r="B248" s="23"/>
      <c r="C248" s="24"/>
      <c r="D248" s="24"/>
      <c r="E248" s="24"/>
      <c r="F248" s="24"/>
      <c r="G248" s="24"/>
      <c r="H248" s="24"/>
      <c r="I248" s="24"/>
      <c r="J248" s="24"/>
      <c r="K248" s="25"/>
    </row>
    <row r="249" s="5" customFormat="1" ht="20" customHeight="1" spans="1:11">
      <c r="A249" s="22"/>
      <c r="B249" s="23"/>
      <c r="C249" s="24"/>
      <c r="D249" s="24"/>
      <c r="E249" s="24"/>
      <c r="F249" s="24"/>
      <c r="G249" s="24"/>
      <c r="H249" s="24"/>
      <c r="I249" s="24"/>
      <c r="J249" s="24"/>
      <c r="K249" s="25"/>
    </row>
    <row r="250" s="5" customFormat="1" ht="20" customHeight="1" spans="1:11">
      <c r="A250" s="22"/>
      <c r="B250" s="23"/>
      <c r="C250" s="24"/>
      <c r="D250" s="24"/>
      <c r="E250" s="24"/>
      <c r="F250" s="24"/>
      <c r="G250" s="24"/>
      <c r="H250" s="24"/>
      <c r="I250" s="24"/>
      <c r="J250" s="24"/>
      <c r="K250" s="25"/>
    </row>
    <row r="251" s="5" customFormat="1" ht="20" customHeight="1" spans="1:11">
      <c r="A251" s="22"/>
      <c r="B251" s="23"/>
      <c r="C251" s="24"/>
      <c r="D251" s="24"/>
      <c r="E251" s="24"/>
      <c r="F251" s="24"/>
      <c r="G251" s="24"/>
      <c r="H251" s="24"/>
      <c r="I251" s="24"/>
      <c r="J251" s="24"/>
      <c r="K251" s="25"/>
    </row>
    <row r="252" s="5" customFormat="1" ht="16.5" spans="1:11">
      <c r="A252" s="22"/>
      <c r="B252" s="23"/>
      <c r="C252" s="24"/>
      <c r="D252" s="24"/>
      <c r="E252" s="24"/>
      <c r="F252" s="24"/>
      <c r="G252" s="24"/>
      <c r="H252" s="24"/>
      <c r="I252" s="24"/>
      <c r="J252" s="24"/>
      <c r="K252" s="25"/>
    </row>
    <row r="253" s="5" customFormat="1" ht="16.5" spans="1:11">
      <c r="A253" s="22"/>
      <c r="B253" s="23"/>
      <c r="C253" s="24"/>
      <c r="D253" s="24"/>
      <c r="E253" s="24"/>
      <c r="F253" s="24"/>
      <c r="G253" s="24"/>
      <c r="H253" s="24"/>
      <c r="I253" s="24"/>
      <c r="J253" s="24"/>
      <c r="K253" s="25"/>
    </row>
    <row r="254" s="5" customFormat="1" ht="16.5" spans="1:11">
      <c r="A254" s="22"/>
      <c r="B254" s="23"/>
      <c r="C254" s="24"/>
      <c r="D254" s="24"/>
      <c r="E254" s="24"/>
      <c r="F254" s="24"/>
      <c r="G254" s="24"/>
      <c r="H254" s="24"/>
      <c r="I254" s="24"/>
      <c r="J254" s="24"/>
      <c r="K254" s="25"/>
    </row>
    <row r="255" s="5" customFormat="1" ht="16.5" spans="1:11">
      <c r="A255" s="22"/>
      <c r="B255" s="23"/>
      <c r="C255" s="24"/>
      <c r="D255" s="24"/>
      <c r="E255" s="24"/>
      <c r="F255" s="24"/>
      <c r="G255" s="24"/>
      <c r="H255" s="24"/>
      <c r="I255" s="24"/>
      <c r="J255" s="24"/>
      <c r="K255" s="25"/>
    </row>
    <row r="256" s="5" customFormat="1" ht="16.5" spans="1:11">
      <c r="A256" s="22"/>
      <c r="B256" s="23"/>
      <c r="C256" s="24"/>
      <c r="D256" s="24"/>
      <c r="E256" s="24"/>
      <c r="F256" s="24"/>
      <c r="G256" s="24"/>
      <c r="H256" s="24"/>
      <c r="I256" s="24"/>
      <c r="J256" s="24"/>
      <c r="K256" s="25"/>
    </row>
    <row r="257" s="5" customFormat="1" ht="16.5" spans="1:11">
      <c r="A257" s="22"/>
      <c r="B257" s="23"/>
      <c r="C257" s="24"/>
      <c r="D257" s="24"/>
      <c r="E257" s="24"/>
      <c r="F257" s="24"/>
      <c r="G257" s="24"/>
      <c r="H257" s="24"/>
      <c r="I257" s="24"/>
      <c r="J257" s="24"/>
      <c r="K257" s="25"/>
    </row>
    <row r="258" s="5" customFormat="1" ht="16.5" spans="1:11">
      <c r="A258" s="22"/>
      <c r="B258" s="23"/>
      <c r="C258" s="24"/>
      <c r="D258" s="24"/>
      <c r="E258" s="24"/>
      <c r="F258" s="24"/>
      <c r="G258" s="24"/>
      <c r="H258" s="24"/>
      <c r="I258" s="24"/>
      <c r="J258" s="24"/>
      <c r="K258" s="25"/>
    </row>
    <row r="259" s="5" customFormat="1" ht="16.5" spans="1:11">
      <c r="A259" s="22"/>
      <c r="B259" s="23"/>
      <c r="C259" s="24"/>
      <c r="D259" s="24"/>
      <c r="E259" s="24"/>
      <c r="F259" s="24"/>
      <c r="G259" s="24"/>
      <c r="H259" s="24"/>
      <c r="I259" s="24"/>
      <c r="J259" s="24"/>
      <c r="K259" s="25"/>
    </row>
    <row r="260" s="5" customFormat="1" ht="16.5" spans="1:11">
      <c r="A260" s="22"/>
      <c r="B260" s="23"/>
      <c r="C260" s="24"/>
      <c r="D260" s="24"/>
      <c r="E260" s="24"/>
      <c r="F260" s="24"/>
      <c r="G260" s="24"/>
      <c r="H260" s="24"/>
      <c r="I260" s="24"/>
      <c r="J260" s="24"/>
      <c r="K260" s="25"/>
    </row>
    <row r="261" s="5" customFormat="1" ht="16.5" spans="1:11">
      <c r="A261" s="22"/>
      <c r="B261" s="23"/>
      <c r="C261" s="24"/>
      <c r="D261" s="24"/>
      <c r="E261" s="24"/>
      <c r="F261" s="24"/>
      <c r="G261" s="24"/>
      <c r="H261" s="24"/>
      <c r="I261" s="24"/>
      <c r="J261" s="24"/>
      <c r="K261" s="25"/>
    </row>
    <row r="262" s="5" customFormat="1" ht="16.5" spans="1:11">
      <c r="A262" s="22"/>
      <c r="B262" s="23"/>
      <c r="C262" s="24"/>
      <c r="D262" s="24"/>
      <c r="E262" s="24"/>
      <c r="F262" s="24"/>
      <c r="G262" s="24"/>
      <c r="H262" s="24"/>
      <c r="I262" s="24"/>
      <c r="J262" s="24"/>
      <c r="K262" s="25"/>
    </row>
    <row r="263" s="5" customFormat="1" ht="16.5" spans="1:11">
      <c r="A263" s="22"/>
      <c r="B263" s="23"/>
      <c r="C263" s="24"/>
      <c r="D263" s="24"/>
      <c r="E263" s="24"/>
      <c r="F263" s="24"/>
      <c r="G263" s="24"/>
      <c r="H263" s="24"/>
      <c r="I263" s="24"/>
      <c r="J263" s="24"/>
      <c r="K263" s="25"/>
    </row>
    <row r="264" s="5" customFormat="1" ht="16.5" spans="1:11">
      <c r="A264" s="22"/>
      <c r="B264" s="23"/>
      <c r="C264" s="24"/>
      <c r="D264" s="24"/>
      <c r="E264" s="24"/>
      <c r="F264" s="24"/>
      <c r="G264" s="24"/>
      <c r="H264" s="24"/>
      <c r="I264" s="24"/>
      <c r="J264" s="24"/>
      <c r="K264" s="25"/>
    </row>
    <row r="265" s="5" customFormat="1" ht="16.5" spans="1:11">
      <c r="A265" s="22"/>
      <c r="B265" s="23"/>
      <c r="C265" s="24"/>
      <c r="D265" s="24"/>
      <c r="E265" s="24"/>
      <c r="F265" s="24"/>
      <c r="G265" s="24"/>
      <c r="H265" s="24"/>
      <c r="I265" s="24"/>
      <c r="J265" s="24"/>
      <c r="K265" s="25"/>
    </row>
    <row r="266" s="5" customFormat="1" ht="16.5" spans="1:11">
      <c r="A266" s="22"/>
      <c r="B266" s="23"/>
      <c r="C266" s="24"/>
      <c r="D266" s="24"/>
      <c r="E266" s="24"/>
      <c r="F266" s="24"/>
      <c r="G266" s="24"/>
      <c r="H266" s="24"/>
      <c r="I266" s="24"/>
      <c r="J266" s="24"/>
      <c r="K266" s="25"/>
    </row>
    <row r="267" s="5" customFormat="1" ht="16.5" spans="1:11">
      <c r="A267" s="22"/>
      <c r="B267" s="23"/>
      <c r="C267" s="24"/>
      <c r="D267" s="24"/>
      <c r="E267" s="24"/>
      <c r="F267" s="24"/>
      <c r="G267" s="24"/>
      <c r="H267" s="24"/>
      <c r="I267" s="24"/>
      <c r="J267" s="24"/>
      <c r="K267" s="25"/>
    </row>
    <row r="268" s="5" customFormat="1" ht="16.5" spans="1:11">
      <c r="A268" s="22"/>
      <c r="B268" s="23"/>
      <c r="C268" s="24"/>
      <c r="D268" s="24"/>
      <c r="E268" s="24"/>
      <c r="F268" s="24"/>
      <c r="G268" s="24"/>
      <c r="H268" s="24"/>
      <c r="I268" s="24"/>
      <c r="J268" s="24"/>
      <c r="K268" s="25"/>
    </row>
    <row r="269" s="5" customFormat="1" ht="16.5" spans="1:11">
      <c r="A269" s="22"/>
      <c r="B269" s="23"/>
      <c r="C269" s="24"/>
      <c r="D269" s="24"/>
      <c r="E269" s="24"/>
      <c r="F269" s="24"/>
      <c r="G269" s="24"/>
      <c r="H269" s="24"/>
      <c r="I269" s="24"/>
      <c r="J269" s="24"/>
      <c r="K269" s="25"/>
    </row>
    <row r="270" s="5" customFormat="1" ht="16.5" spans="1:11">
      <c r="A270" s="22"/>
      <c r="B270" s="23"/>
      <c r="C270" s="24"/>
      <c r="D270" s="24"/>
      <c r="E270" s="24"/>
      <c r="F270" s="24"/>
      <c r="G270" s="24"/>
      <c r="H270" s="24"/>
      <c r="I270" s="24"/>
      <c r="J270" s="24"/>
      <c r="K270" s="25"/>
    </row>
    <row r="271" s="5" customFormat="1" ht="16.5" spans="1:11">
      <c r="A271" s="22"/>
      <c r="B271" s="23"/>
      <c r="C271" s="24"/>
      <c r="D271" s="24"/>
      <c r="E271" s="24"/>
      <c r="F271" s="24"/>
      <c r="G271" s="24"/>
      <c r="H271" s="24"/>
      <c r="I271" s="24"/>
      <c r="J271" s="24"/>
      <c r="K271" s="25"/>
    </row>
    <row r="272" s="5" customFormat="1" ht="16.5" spans="1:11">
      <c r="A272" s="22"/>
      <c r="B272" s="23"/>
      <c r="C272" s="24"/>
      <c r="D272" s="24"/>
      <c r="E272" s="24"/>
      <c r="F272" s="24"/>
      <c r="G272" s="24"/>
      <c r="H272" s="24"/>
      <c r="I272" s="24"/>
      <c r="J272" s="24"/>
      <c r="K272" s="25"/>
    </row>
    <row r="273" s="5" customFormat="1" ht="16.5" spans="1:11">
      <c r="A273" s="22"/>
      <c r="B273" s="23"/>
      <c r="C273" s="24"/>
      <c r="D273" s="24"/>
      <c r="E273" s="24"/>
      <c r="F273" s="24"/>
      <c r="G273" s="24"/>
      <c r="H273" s="24"/>
      <c r="I273" s="24"/>
      <c r="J273" s="24"/>
      <c r="K273" s="25"/>
    </row>
    <row r="274" s="5" customFormat="1" ht="16.5" spans="1:11">
      <c r="A274" s="22"/>
      <c r="B274" s="23"/>
      <c r="C274" s="24"/>
      <c r="D274" s="24"/>
      <c r="E274" s="24"/>
      <c r="F274" s="24"/>
      <c r="G274" s="24"/>
      <c r="H274" s="24"/>
      <c r="I274" s="24"/>
      <c r="J274" s="24"/>
      <c r="K274" s="25"/>
    </row>
    <row r="275" s="5" customFormat="1" ht="16.5" spans="1:11">
      <c r="A275" s="22"/>
      <c r="B275" s="23"/>
      <c r="C275" s="24"/>
      <c r="D275" s="24"/>
      <c r="E275" s="24"/>
      <c r="F275" s="24"/>
      <c r="G275" s="24"/>
      <c r="H275" s="24"/>
      <c r="I275" s="24"/>
      <c r="J275" s="24"/>
      <c r="K275" s="25"/>
    </row>
    <row r="276" s="5" customFormat="1" ht="16.5" spans="1:11">
      <c r="A276" s="22"/>
      <c r="B276" s="23"/>
      <c r="C276" s="24"/>
      <c r="D276" s="24"/>
      <c r="E276" s="24"/>
      <c r="F276" s="24"/>
      <c r="G276" s="24"/>
      <c r="H276" s="24"/>
      <c r="I276" s="24"/>
      <c r="J276" s="24"/>
      <c r="K276" s="25"/>
    </row>
    <row r="277" s="5" customFormat="1" ht="16.5" spans="1:11">
      <c r="A277" s="22"/>
      <c r="B277" s="23"/>
      <c r="C277" s="24"/>
      <c r="D277" s="24"/>
      <c r="E277" s="24"/>
      <c r="F277" s="24"/>
      <c r="G277" s="24"/>
      <c r="H277" s="24"/>
      <c r="I277" s="24"/>
      <c r="J277" s="24"/>
      <c r="K277" s="25"/>
    </row>
    <row r="278" s="5" customFormat="1" ht="16.5" spans="1:11">
      <c r="A278" s="22"/>
      <c r="B278" s="23"/>
      <c r="C278" s="24"/>
      <c r="D278" s="24"/>
      <c r="E278" s="24"/>
      <c r="F278" s="24"/>
      <c r="G278" s="24"/>
      <c r="H278" s="24"/>
      <c r="I278" s="24"/>
      <c r="J278" s="24"/>
      <c r="K278" s="25"/>
    </row>
    <row r="279" s="5" customFormat="1" ht="16.5" spans="1:11">
      <c r="A279" s="22"/>
      <c r="B279" s="23"/>
      <c r="C279" s="24"/>
      <c r="D279" s="24"/>
      <c r="E279" s="24"/>
      <c r="F279" s="24"/>
      <c r="G279" s="24"/>
      <c r="H279" s="24"/>
      <c r="I279" s="24"/>
      <c r="J279" s="24"/>
      <c r="K279" s="25"/>
    </row>
    <row r="280" s="5" customFormat="1" ht="16.5" spans="1:11">
      <c r="A280" s="22"/>
      <c r="B280" s="23"/>
      <c r="C280" s="24"/>
      <c r="D280" s="24"/>
      <c r="E280" s="24"/>
      <c r="F280" s="24"/>
      <c r="G280" s="24"/>
      <c r="H280" s="24"/>
      <c r="I280" s="24"/>
      <c r="J280" s="24"/>
      <c r="K280" s="25"/>
    </row>
    <row r="281" s="5" customFormat="1" ht="16.5" spans="1:11">
      <c r="A281" s="22"/>
      <c r="B281" s="23"/>
      <c r="C281" s="24"/>
      <c r="D281" s="24"/>
      <c r="E281" s="24"/>
      <c r="F281" s="24"/>
      <c r="G281" s="24"/>
      <c r="H281" s="24"/>
      <c r="I281" s="24"/>
      <c r="J281" s="24"/>
      <c r="K281" s="25"/>
    </row>
    <row r="282" s="5" customFormat="1" ht="16.5" spans="1:11">
      <c r="A282" s="22"/>
      <c r="B282" s="23"/>
      <c r="C282" s="24"/>
      <c r="D282" s="24"/>
      <c r="E282" s="24"/>
      <c r="F282" s="24"/>
      <c r="G282" s="24"/>
      <c r="H282" s="24"/>
      <c r="I282" s="24"/>
      <c r="J282" s="24"/>
      <c r="K282" s="25"/>
    </row>
    <row r="283" s="5" customFormat="1" ht="16.5" spans="1:11">
      <c r="A283" s="22"/>
      <c r="B283" s="23"/>
      <c r="C283" s="24"/>
      <c r="D283" s="24"/>
      <c r="E283" s="24"/>
      <c r="F283" s="24"/>
      <c r="G283" s="24"/>
      <c r="H283" s="24"/>
      <c r="I283" s="24"/>
      <c r="J283" s="24"/>
      <c r="K283" s="25"/>
    </row>
    <row r="284" s="5" customFormat="1" ht="16.5" spans="1:11">
      <c r="A284" s="22"/>
      <c r="B284" s="23"/>
      <c r="C284" s="24"/>
      <c r="D284" s="24"/>
      <c r="E284" s="24"/>
      <c r="F284" s="24"/>
      <c r="G284" s="24"/>
      <c r="H284" s="24"/>
      <c r="I284" s="24"/>
      <c r="J284" s="24"/>
      <c r="K284" s="25"/>
    </row>
    <row r="285" s="5" customFormat="1" ht="16.5" spans="1:11">
      <c r="A285" s="22"/>
      <c r="B285" s="23"/>
      <c r="C285" s="24"/>
      <c r="D285" s="24"/>
      <c r="E285" s="24"/>
      <c r="F285" s="24"/>
      <c r="G285" s="24"/>
      <c r="H285" s="24"/>
      <c r="I285" s="24"/>
      <c r="J285" s="24"/>
      <c r="K285" s="25"/>
    </row>
    <row r="286" s="5" customFormat="1" ht="16.5" spans="1:11">
      <c r="A286" s="22"/>
      <c r="B286" s="23"/>
      <c r="C286" s="24"/>
      <c r="D286" s="24"/>
      <c r="E286" s="24"/>
      <c r="F286" s="24"/>
      <c r="G286" s="24"/>
      <c r="H286" s="24"/>
      <c r="I286" s="24"/>
      <c r="J286" s="24"/>
      <c r="K286" s="25"/>
    </row>
    <row r="287" s="5" customFormat="1" ht="16.5" spans="1:11">
      <c r="A287" s="22"/>
      <c r="B287" s="23"/>
      <c r="C287" s="24"/>
      <c r="D287" s="24"/>
      <c r="E287" s="24"/>
      <c r="F287" s="24"/>
      <c r="G287" s="24"/>
      <c r="H287" s="24"/>
      <c r="I287" s="24"/>
      <c r="J287" s="24"/>
      <c r="K287" s="25"/>
    </row>
    <row r="288" s="5" customFormat="1" ht="16.5" spans="1:11">
      <c r="A288" s="22"/>
      <c r="B288" s="23"/>
      <c r="C288" s="24"/>
      <c r="D288" s="24"/>
      <c r="E288" s="24"/>
      <c r="F288" s="24"/>
      <c r="G288" s="24"/>
      <c r="H288" s="24"/>
      <c r="I288" s="24"/>
      <c r="J288" s="24"/>
      <c r="K288" s="25"/>
    </row>
    <row r="289" s="5" customFormat="1" ht="16.5" spans="1:11">
      <c r="A289" s="22"/>
      <c r="B289" s="23"/>
      <c r="C289" s="24"/>
      <c r="D289" s="24"/>
      <c r="E289" s="24"/>
      <c r="F289" s="24"/>
      <c r="G289" s="24"/>
      <c r="H289" s="24"/>
      <c r="I289" s="24"/>
      <c r="J289" s="24"/>
      <c r="K289" s="25"/>
    </row>
    <row r="290" s="5" customFormat="1" ht="16.5" spans="1:11">
      <c r="A290" s="22"/>
      <c r="B290" s="23"/>
      <c r="C290" s="24"/>
      <c r="D290" s="24"/>
      <c r="E290" s="24"/>
      <c r="F290" s="24"/>
      <c r="G290" s="24"/>
      <c r="H290" s="24"/>
      <c r="I290" s="24"/>
      <c r="J290" s="24"/>
      <c r="K290" s="25"/>
    </row>
    <row r="291" s="5" customFormat="1" ht="16.5" spans="1:11">
      <c r="A291" s="22"/>
      <c r="B291" s="23"/>
      <c r="C291" s="24"/>
      <c r="D291" s="24"/>
      <c r="E291" s="24"/>
      <c r="F291" s="24"/>
      <c r="G291" s="24"/>
      <c r="H291" s="24"/>
      <c r="I291" s="24"/>
      <c r="J291" s="24"/>
      <c r="K291" s="25"/>
    </row>
    <row r="292" s="5" customFormat="1" ht="16.5" spans="1:11">
      <c r="A292" s="22"/>
      <c r="B292" s="23"/>
      <c r="C292" s="24"/>
      <c r="D292" s="24"/>
      <c r="E292" s="24"/>
      <c r="F292" s="24"/>
      <c r="G292" s="24"/>
      <c r="H292" s="24"/>
      <c r="I292" s="24"/>
      <c r="J292" s="24"/>
      <c r="K292" s="25"/>
    </row>
    <row r="293" s="5" customFormat="1" ht="16.5" spans="1:11">
      <c r="A293" s="22"/>
      <c r="B293" s="23"/>
      <c r="C293" s="24"/>
      <c r="D293" s="24"/>
      <c r="E293" s="24"/>
      <c r="F293" s="24"/>
      <c r="G293" s="24"/>
      <c r="H293" s="24"/>
      <c r="I293" s="24"/>
      <c r="J293" s="24"/>
      <c r="K293" s="25"/>
    </row>
    <row r="294" s="5" customFormat="1" ht="16.5" spans="1:11">
      <c r="A294" s="22"/>
      <c r="B294" s="23"/>
      <c r="C294" s="24"/>
      <c r="D294" s="24"/>
      <c r="E294" s="24"/>
      <c r="F294" s="24"/>
      <c r="G294" s="24"/>
      <c r="H294" s="24"/>
      <c r="I294" s="24"/>
      <c r="J294" s="24"/>
      <c r="K294" s="25"/>
    </row>
    <row r="295" s="5" customFormat="1" ht="16.5" spans="1:11">
      <c r="A295" s="22"/>
      <c r="B295" s="23"/>
      <c r="C295" s="24"/>
      <c r="D295" s="24"/>
      <c r="E295" s="24"/>
      <c r="F295" s="24"/>
      <c r="G295" s="24"/>
      <c r="H295" s="24"/>
      <c r="I295" s="24"/>
      <c r="J295" s="24"/>
      <c r="K295" s="25"/>
    </row>
    <row r="296" s="5" customFormat="1" ht="16.5" spans="1:11">
      <c r="A296" s="22"/>
      <c r="B296" s="23"/>
      <c r="C296" s="24"/>
      <c r="D296" s="24"/>
      <c r="E296" s="24"/>
      <c r="F296" s="24"/>
      <c r="G296" s="24"/>
      <c r="H296" s="24"/>
      <c r="I296" s="24"/>
      <c r="J296" s="24"/>
      <c r="K296" s="25"/>
    </row>
    <row r="297" s="5" customFormat="1" ht="16.5" spans="1:11">
      <c r="A297" s="22"/>
      <c r="B297" s="23"/>
      <c r="C297" s="24"/>
      <c r="D297" s="24"/>
      <c r="E297" s="24"/>
      <c r="F297" s="24"/>
      <c r="G297" s="24"/>
      <c r="H297" s="24"/>
      <c r="I297" s="24"/>
      <c r="J297" s="24"/>
      <c r="K297" s="25"/>
    </row>
    <row r="298" s="5" customFormat="1" ht="16.5" spans="1:11">
      <c r="A298" s="22"/>
      <c r="B298" s="23"/>
      <c r="C298" s="24"/>
      <c r="D298" s="24"/>
      <c r="E298" s="24"/>
      <c r="F298" s="24"/>
      <c r="G298" s="24"/>
      <c r="H298" s="24"/>
      <c r="I298" s="24"/>
      <c r="J298" s="24"/>
      <c r="K298" s="25"/>
    </row>
    <row r="299" s="5" customFormat="1" ht="16.5" spans="1:11">
      <c r="A299" s="22"/>
      <c r="B299" s="23"/>
      <c r="C299" s="24"/>
      <c r="D299" s="24"/>
      <c r="E299" s="24"/>
      <c r="F299" s="24"/>
      <c r="G299" s="24"/>
      <c r="H299" s="24"/>
      <c r="I299" s="24"/>
      <c r="J299" s="24"/>
      <c r="K299" s="25"/>
    </row>
    <row r="300" s="5" customFormat="1" ht="16.5" spans="1:11">
      <c r="A300" s="22"/>
      <c r="B300" s="23"/>
      <c r="C300" s="24"/>
      <c r="D300" s="24"/>
      <c r="E300" s="24"/>
      <c r="F300" s="24"/>
      <c r="G300" s="24"/>
      <c r="H300" s="24"/>
      <c r="I300" s="24"/>
      <c r="J300" s="24"/>
      <c r="K300" s="25"/>
    </row>
    <row r="301" s="5" customFormat="1" ht="16.5" spans="1:11">
      <c r="A301" s="22"/>
      <c r="B301" s="23"/>
      <c r="C301" s="24"/>
      <c r="D301" s="24"/>
      <c r="E301" s="24"/>
      <c r="F301" s="24"/>
      <c r="G301" s="24"/>
      <c r="H301" s="24"/>
      <c r="I301" s="24"/>
      <c r="J301" s="24"/>
      <c r="K301" s="25"/>
    </row>
    <row r="302" s="5" customFormat="1" ht="16.5" spans="1:11">
      <c r="A302" s="22"/>
      <c r="B302" s="23"/>
      <c r="C302" s="24"/>
      <c r="D302" s="24"/>
      <c r="E302" s="24"/>
      <c r="F302" s="24"/>
      <c r="G302" s="24"/>
      <c r="H302" s="24"/>
      <c r="I302" s="24"/>
      <c r="J302" s="24"/>
      <c r="K302" s="25"/>
    </row>
    <row r="303" s="5" customFormat="1" ht="16.5" spans="1:11">
      <c r="A303" s="22"/>
      <c r="B303" s="23"/>
      <c r="C303" s="24"/>
      <c r="D303" s="24"/>
      <c r="E303" s="24"/>
      <c r="F303" s="24"/>
      <c r="G303" s="24"/>
      <c r="H303" s="24"/>
      <c r="I303" s="24"/>
      <c r="J303" s="24"/>
      <c r="K303" s="25"/>
    </row>
    <row r="304" s="5" customFormat="1" ht="16.5" spans="1:11">
      <c r="A304" s="22"/>
      <c r="B304" s="23"/>
      <c r="C304" s="24"/>
      <c r="D304" s="24"/>
      <c r="E304" s="24"/>
      <c r="F304" s="24"/>
      <c r="G304" s="24"/>
      <c r="H304" s="24"/>
      <c r="I304" s="24"/>
      <c r="J304" s="24"/>
      <c r="K304" s="25"/>
    </row>
    <row r="305" s="5" customFormat="1" ht="16.5" spans="1:11">
      <c r="A305" s="22"/>
      <c r="B305" s="23"/>
      <c r="C305" s="24"/>
      <c r="D305" s="24"/>
      <c r="E305" s="24"/>
      <c r="F305" s="24"/>
      <c r="G305" s="24"/>
      <c r="H305" s="24"/>
      <c r="I305" s="24"/>
      <c r="J305" s="24"/>
      <c r="K305" s="25"/>
    </row>
    <row r="306" s="5" customFormat="1" ht="16.5" spans="1:11">
      <c r="A306" s="22"/>
      <c r="B306" s="23"/>
      <c r="C306" s="24"/>
      <c r="D306" s="24"/>
      <c r="E306" s="24"/>
      <c r="F306" s="24"/>
      <c r="G306" s="24"/>
      <c r="H306" s="24"/>
      <c r="I306" s="24"/>
      <c r="J306" s="24"/>
      <c r="K306" s="25"/>
    </row>
    <row r="307" s="5" customFormat="1" ht="16.5" spans="1:11">
      <c r="A307" s="22"/>
      <c r="B307" s="23"/>
      <c r="C307" s="24"/>
      <c r="D307" s="24"/>
      <c r="E307" s="24"/>
      <c r="F307" s="24"/>
      <c r="G307" s="24"/>
      <c r="H307" s="24"/>
      <c r="I307" s="24"/>
      <c r="J307" s="24"/>
      <c r="K307" s="25"/>
    </row>
    <row r="308" s="5" customFormat="1" ht="16.5" spans="1:11">
      <c r="A308" s="22"/>
      <c r="B308" s="23"/>
      <c r="C308" s="24"/>
      <c r="D308" s="24"/>
      <c r="E308" s="24"/>
      <c r="F308" s="24"/>
      <c r="G308" s="24"/>
      <c r="H308" s="24"/>
      <c r="I308" s="24"/>
      <c r="J308" s="24"/>
      <c r="K308" s="25"/>
    </row>
    <row r="309" s="5" customFormat="1" ht="16.5" spans="1:11">
      <c r="A309" s="22"/>
      <c r="B309" s="23"/>
      <c r="C309" s="24"/>
      <c r="D309" s="24"/>
      <c r="E309" s="24"/>
      <c r="F309" s="24"/>
      <c r="G309" s="24"/>
      <c r="H309" s="24"/>
      <c r="I309" s="24"/>
      <c r="J309" s="24"/>
      <c r="K309" s="25"/>
    </row>
    <row r="310" s="5" customFormat="1" ht="16.5" spans="1:11">
      <c r="A310" s="22"/>
      <c r="B310" s="23"/>
      <c r="C310" s="24"/>
      <c r="D310" s="24"/>
      <c r="E310" s="24"/>
      <c r="F310" s="24"/>
      <c r="G310" s="24"/>
      <c r="H310" s="24"/>
      <c r="I310" s="24"/>
      <c r="J310" s="24"/>
      <c r="K310" s="25"/>
    </row>
    <row r="311" s="5" customFormat="1" ht="16.5" spans="1:11">
      <c r="A311" s="22"/>
      <c r="B311" s="23"/>
      <c r="C311" s="24"/>
      <c r="D311" s="24"/>
      <c r="E311" s="24"/>
      <c r="F311" s="24"/>
      <c r="G311" s="24"/>
      <c r="H311" s="24"/>
      <c r="I311" s="24"/>
      <c r="J311" s="24"/>
      <c r="K311" s="25"/>
    </row>
    <row r="312" s="5" customFormat="1" ht="16.5" spans="1:11">
      <c r="A312" s="22"/>
      <c r="B312" s="23"/>
      <c r="C312" s="24"/>
      <c r="D312" s="24"/>
      <c r="E312" s="24"/>
      <c r="F312" s="24"/>
      <c r="G312" s="24"/>
      <c r="H312" s="24"/>
      <c r="I312" s="24"/>
      <c r="J312" s="24"/>
      <c r="K312" s="25"/>
    </row>
    <row r="313" s="5" customFormat="1" ht="16.5" spans="1:11">
      <c r="A313" s="22"/>
      <c r="B313" s="23"/>
      <c r="C313" s="24"/>
      <c r="D313" s="24"/>
      <c r="E313" s="24"/>
      <c r="F313" s="24"/>
      <c r="G313" s="24"/>
      <c r="H313" s="24"/>
      <c r="I313" s="24"/>
      <c r="J313" s="24"/>
      <c r="K313" s="25"/>
    </row>
    <row r="314" s="5" customFormat="1" ht="16.5" spans="1:11">
      <c r="A314" s="22"/>
      <c r="B314" s="23"/>
      <c r="C314" s="24"/>
      <c r="D314" s="24"/>
      <c r="E314" s="24"/>
      <c r="F314" s="24"/>
      <c r="G314" s="24"/>
      <c r="H314" s="24"/>
      <c r="I314" s="24"/>
      <c r="J314" s="24"/>
      <c r="K314" s="25"/>
    </row>
    <row r="315" s="5" customFormat="1" ht="16.5" spans="1:11">
      <c r="A315" s="22"/>
      <c r="B315" s="23"/>
      <c r="C315" s="24"/>
      <c r="D315" s="24"/>
      <c r="E315" s="24"/>
      <c r="F315" s="24"/>
      <c r="G315" s="24"/>
      <c r="H315" s="24"/>
      <c r="I315" s="24"/>
      <c r="J315" s="24"/>
      <c r="K315" s="25"/>
    </row>
    <row r="316" s="5" customFormat="1" ht="16.5" spans="1:11">
      <c r="A316" s="22"/>
      <c r="B316" s="23"/>
      <c r="C316" s="24"/>
      <c r="D316" s="24"/>
      <c r="E316" s="24"/>
      <c r="F316" s="24"/>
      <c r="G316" s="24"/>
      <c r="H316" s="24"/>
      <c r="I316" s="24"/>
      <c r="J316" s="24"/>
      <c r="K316" s="25"/>
    </row>
    <row r="317" s="5" customFormat="1" ht="16.5" spans="1:11">
      <c r="A317" s="22"/>
      <c r="B317" s="23"/>
      <c r="C317" s="24"/>
      <c r="D317" s="24"/>
      <c r="E317" s="24"/>
      <c r="F317" s="24"/>
      <c r="G317" s="24"/>
      <c r="H317" s="24"/>
      <c r="I317" s="24"/>
      <c r="J317" s="24"/>
      <c r="K317" s="25"/>
    </row>
    <row r="318" s="5" customFormat="1" ht="16.5" spans="1:11">
      <c r="A318" s="22"/>
      <c r="B318" s="23"/>
      <c r="C318" s="24"/>
      <c r="D318" s="24"/>
      <c r="E318" s="24"/>
      <c r="F318" s="24"/>
      <c r="G318" s="24"/>
      <c r="H318" s="24"/>
      <c r="I318" s="24"/>
      <c r="J318" s="24"/>
      <c r="K318" s="25"/>
    </row>
    <row r="319" s="5" customFormat="1" ht="16.5" spans="1:11">
      <c r="A319" s="22"/>
      <c r="B319" s="23"/>
      <c r="C319" s="24"/>
      <c r="D319" s="24"/>
      <c r="E319" s="24"/>
      <c r="F319" s="24"/>
      <c r="G319" s="24"/>
      <c r="H319" s="24"/>
      <c r="I319" s="24"/>
      <c r="J319" s="24"/>
      <c r="K319" s="25"/>
    </row>
    <row r="320" s="5" customFormat="1" ht="16.5" spans="1:11">
      <c r="A320" s="22"/>
      <c r="B320" s="23"/>
      <c r="C320" s="24"/>
      <c r="D320" s="24"/>
      <c r="E320" s="24"/>
      <c r="F320" s="24"/>
      <c r="G320" s="24"/>
      <c r="H320" s="24"/>
      <c r="I320" s="24"/>
      <c r="J320" s="24"/>
      <c r="K320" s="25"/>
    </row>
    <row r="321" s="5" customFormat="1" ht="16.5" spans="1:11">
      <c r="A321" s="22"/>
      <c r="B321" s="23"/>
      <c r="C321" s="24"/>
      <c r="D321" s="24"/>
      <c r="E321" s="24"/>
      <c r="F321" s="24"/>
      <c r="G321" s="24"/>
      <c r="H321" s="24"/>
      <c r="I321" s="24"/>
      <c r="J321" s="24"/>
      <c r="K321" s="25"/>
    </row>
    <row r="322" s="5" customFormat="1" ht="16.5" spans="1:11">
      <c r="A322" s="22"/>
      <c r="B322" s="23"/>
      <c r="C322" s="24"/>
      <c r="D322" s="24"/>
      <c r="E322" s="24"/>
      <c r="F322" s="24"/>
      <c r="G322" s="24"/>
      <c r="H322" s="24"/>
      <c r="I322" s="24"/>
      <c r="J322" s="24"/>
      <c r="K322" s="25"/>
    </row>
    <row r="323" s="5" customFormat="1" ht="16.5" spans="1:11">
      <c r="A323" s="22"/>
      <c r="B323" s="23"/>
      <c r="C323" s="24"/>
      <c r="D323" s="24"/>
      <c r="E323" s="24"/>
      <c r="F323" s="24"/>
      <c r="G323" s="24"/>
      <c r="H323" s="24"/>
      <c r="I323" s="24"/>
      <c r="J323" s="24"/>
      <c r="K323" s="25"/>
    </row>
    <row r="324" s="5" customFormat="1" ht="16.5" spans="1:11">
      <c r="A324" s="22"/>
      <c r="B324" s="23"/>
      <c r="C324" s="24"/>
      <c r="D324" s="24"/>
      <c r="E324" s="24"/>
      <c r="F324" s="24"/>
      <c r="G324" s="24"/>
      <c r="H324" s="24"/>
      <c r="I324" s="24"/>
      <c r="J324" s="24"/>
      <c r="K324" s="25"/>
    </row>
    <row r="325" s="5" customFormat="1" ht="16.5" spans="1:11">
      <c r="A325" s="22"/>
      <c r="B325" s="23"/>
      <c r="C325" s="24"/>
      <c r="D325" s="24"/>
      <c r="E325" s="24"/>
      <c r="F325" s="24"/>
      <c r="G325" s="24"/>
      <c r="H325" s="24"/>
      <c r="I325" s="24"/>
      <c r="J325" s="24"/>
      <c r="K325" s="25"/>
    </row>
    <row r="326" s="5" customFormat="1" ht="16.5" spans="1:11">
      <c r="A326" s="22"/>
      <c r="B326" s="23"/>
      <c r="C326" s="24"/>
      <c r="D326" s="24"/>
      <c r="E326" s="24"/>
      <c r="F326" s="24"/>
      <c r="G326" s="24"/>
      <c r="H326" s="24"/>
      <c r="I326" s="24"/>
      <c r="J326" s="24"/>
      <c r="K326" s="25"/>
    </row>
    <row r="327" s="5" customFormat="1" ht="16.5" spans="1:11">
      <c r="A327" s="22"/>
      <c r="B327" s="23"/>
      <c r="C327" s="24"/>
      <c r="D327" s="24"/>
      <c r="E327" s="24"/>
      <c r="F327" s="24"/>
      <c r="G327" s="24"/>
      <c r="H327" s="24"/>
      <c r="I327" s="24"/>
      <c r="J327" s="24"/>
      <c r="K327" s="25"/>
    </row>
    <row r="328" s="5" customFormat="1" ht="16.5" spans="1:11">
      <c r="A328" s="22"/>
      <c r="B328" s="23"/>
      <c r="C328" s="24"/>
      <c r="D328" s="24"/>
      <c r="E328" s="24"/>
      <c r="F328" s="24"/>
      <c r="G328" s="24"/>
      <c r="H328" s="24"/>
      <c r="I328" s="24"/>
      <c r="J328" s="24"/>
      <c r="K328" s="25"/>
    </row>
    <row r="329" s="5" customFormat="1" ht="16.5" spans="1:11">
      <c r="A329" s="22"/>
      <c r="B329" s="23"/>
      <c r="C329" s="24"/>
      <c r="D329" s="24"/>
      <c r="E329" s="24"/>
      <c r="F329" s="24"/>
      <c r="G329" s="24"/>
      <c r="H329" s="24"/>
      <c r="I329" s="24"/>
      <c r="J329" s="24"/>
      <c r="K329" s="25"/>
    </row>
    <row r="330" s="5" customFormat="1" ht="16.5" spans="1:11">
      <c r="A330" s="22"/>
      <c r="B330" s="23"/>
      <c r="C330" s="24"/>
      <c r="D330" s="24"/>
      <c r="E330" s="24"/>
      <c r="F330" s="24"/>
      <c r="G330" s="24"/>
      <c r="H330" s="24"/>
      <c r="I330" s="24"/>
      <c r="J330" s="24"/>
      <c r="K330" s="25"/>
    </row>
    <row r="331" s="5" customFormat="1" ht="16.5" spans="1:11">
      <c r="A331" s="22"/>
      <c r="B331" s="23"/>
      <c r="C331" s="24"/>
      <c r="D331" s="24"/>
      <c r="E331" s="24"/>
      <c r="F331" s="24"/>
      <c r="G331" s="24"/>
      <c r="H331" s="24"/>
      <c r="I331" s="24"/>
      <c r="J331" s="24"/>
      <c r="K331" s="25"/>
    </row>
    <row r="332" s="5" customFormat="1" ht="16.5" spans="1:11">
      <c r="A332" s="22"/>
      <c r="B332" s="23"/>
      <c r="C332" s="24"/>
      <c r="D332" s="24"/>
      <c r="E332" s="24"/>
      <c r="F332" s="24"/>
      <c r="G332" s="24"/>
      <c r="H332" s="24"/>
      <c r="I332" s="24"/>
      <c r="J332" s="24"/>
      <c r="K332" s="25"/>
    </row>
    <row r="333" s="5" customFormat="1" ht="16.5" spans="1:11">
      <c r="A333" s="22"/>
      <c r="B333" s="23"/>
      <c r="C333" s="24"/>
      <c r="D333" s="24"/>
      <c r="E333" s="24"/>
      <c r="F333" s="24"/>
      <c r="G333" s="24"/>
      <c r="H333" s="24"/>
      <c r="I333" s="24"/>
      <c r="J333" s="24"/>
      <c r="K333" s="25"/>
    </row>
    <row r="334" s="5" customFormat="1" ht="16.5" spans="1:11">
      <c r="A334" s="22"/>
      <c r="B334" s="23"/>
      <c r="C334" s="24"/>
      <c r="D334" s="24"/>
      <c r="E334" s="24"/>
      <c r="F334" s="24"/>
      <c r="G334" s="24"/>
      <c r="H334" s="24"/>
      <c r="I334" s="24"/>
      <c r="J334" s="24"/>
      <c r="K334" s="25"/>
    </row>
    <row r="335" s="5" customFormat="1" ht="16.5" spans="1:11">
      <c r="A335" s="22"/>
      <c r="B335" s="23"/>
      <c r="C335" s="24"/>
      <c r="D335" s="24"/>
      <c r="E335" s="24"/>
      <c r="F335" s="24"/>
      <c r="G335" s="24"/>
      <c r="H335" s="24"/>
      <c r="I335" s="24"/>
      <c r="J335" s="24"/>
      <c r="K335" s="25"/>
    </row>
    <row r="336" s="5" customFormat="1" ht="16.5" spans="1:11">
      <c r="A336" s="22"/>
      <c r="B336" s="23"/>
      <c r="C336" s="24"/>
      <c r="D336" s="24"/>
      <c r="E336" s="24"/>
      <c r="F336" s="24"/>
      <c r="G336" s="24"/>
      <c r="H336" s="24"/>
      <c r="I336" s="24"/>
      <c r="J336" s="24"/>
      <c r="K336" s="25"/>
    </row>
    <row r="337" s="5" customFormat="1" ht="16.5" spans="1:11">
      <c r="A337" s="22"/>
      <c r="B337" s="23"/>
      <c r="C337" s="24"/>
      <c r="D337" s="24"/>
      <c r="E337" s="24"/>
      <c r="F337" s="24"/>
      <c r="G337" s="24"/>
      <c r="H337" s="24"/>
      <c r="I337" s="24"/>
      <c r="J337" s="24"/>
      <c r="K337" s="25"/>
    </row>
    <row r="338" s="5" customFormat="1" ht="16.5" spans="1:11">
      <c r="A338" s="22"/>
      <c r="B338" s="23"/>
      <c r="C338" s="24"/>
      <c r="D338" s="24"/>
      <c r="E338" s="24"/>
      <c r="F338" s="24"/>
      <c r="G338" s="24"/>
      <c r="H338" s="24"/>
      <c r="I338" s="24"/>
      <c r="J338" s="24"/>
      <c r="K338" s="25"/>
    </row>
    <row r="339" s="5" customFormat="1" ht="16.5" spans="1:11">
      <c r="A339" s="22"/>
      <c r="B339" s="23"/>
      <c r="C339" s="24"/>
      <c r="D339" s="24"/>
      <c r="E339" s="24"/>
      <c r="F339" s="24"/>
      <c r="G339" s="24"/>
      <c r="H339" s="24"/>
      <c r="I339" s="24"/>
      <c r="J339" s="24"/>
      <c r="K339" s="25"/>
    </row>
    <row r="340" s="5" customFormat="1" ht="16.5" spans="1:11">
      <c r="A340" s="22"/>
      <c r="B340" s="23"/>
      <c r="C340" s="24"/>
      <c r="D340" s="24"/>
      <c r="E340" s="24"/>
      <c r="F340" s="24"/>
      <c r="G340" s="24"/>
      <c r="H340" s="24"/>
      <c r="I340" s="24"/>
      <c r="J340" s="24"/>
      <c r="K340" s="25"/>
    </row>
    <row r="341" s="5" customFormat="1" ht="16.5" spans="1:11">
      <c r="A341" s="22"/>
      <c r="B341" s="23"/>
      <c r="C341" s="24"/>
      <c r="D341" s="24"/>
      <c r="E341" s="24"/>
      <c r="F341" s="24"/>
      <c r="G341" s="24"/>
      <c r="H341" s="24"/>
      <c r="I341" s="24"/>
      <c r="J341" s="24"/>
      <c r="K341" s="25"/>
    </row>
    <row r="342" s="5" customFormat="1" ht="16.5" spans="1:11">
      <c r="A342" s="22"/>
      <c r="B342" s="23"/>
      <c r="C342" s="24"/>
      <c r="D342" s="24"/>
      <c r="E342" s="24"/>
      <c r="F342" s="24"/>
      <c r="G342" s="24"/>
      <c r="H342" s="24"/>
      <c r="I342" s="24"/>
      <c r="J342" s="24"/>
      <c r="K342" s="25"/>
    </row>
    <row r="343" s="5" customFormat="1" ht="16.5" spans="1:11">
      <c r="A343" s="22"/>
      <c r="B343" s="23"/>
      <c r="C343" s="24"/>
      <c r="D343" s="24"/>
      <c r="E343" s="24"/>
      <c r="F343" s="24"/>
      <c r="G343" s="24"/>
      <c r="H343" s="24"/>
      <c r="I343" s="24"/>
      <c r="J343" s="24"/>
      <c r="K343" s="25"/>
    </row>
    <row r="344" s="5" customFormat="1" ht="16.5" spans="1:11">
      <c r="A344" s="22"/>
      <c r="B344" s="23"/>
      <c r="C344" s="24"/>
      <c r="D344" s="24"/>
      <c r="E344" s="24"/>
      <c r="F344" s="24"/>
      <c r="G344" s="24"/>
      <c r="H344" s="24"/>
      <c r="I344" s="24"/>
      <c r="J344" s="24"/>
      <c r="K344" s="25"/>
    </row>
    <row r="345" s="5" customFormat="1" ht="16.5" spans="1:11">
      <c r="A345" s="22"/>
      <c r="B345" s="23"/>
      <c r="C345" s="24"/>
      <c r="D345" s="24"/>
      <c r="E345" s="24"/>
      <c r="F345" s="24"/>
      <c r="G345" s="24"/>
      <c r="H345" s="24"/>
      <c r="I345" s="24"/>
      <c r="J345" s="24"/>
      <c r="K345" s="25"/>
    </row>
    <row r="346" s="5" customFormat="1" ht="16.5" spans="1:11">
      <c r="A346" s="22"/>
      <c r="B346" s="23"/>
      <c r="C346" s="24"/>
      <c r="D346" s="24"/>
      <c r="E346" s="24"/>
      <c r="F346" s="24"/>
      <c r="G346" s="24"/>
      <c r="H346" s="24"/>
      <c r="I346" s="24"/>
      <c r="J346" s="24"/>
      <c r="K346" s="25"/>
    </row>
    <row r="347" s="5" customFormat="1" ht="16.5" spans="1:11">
      <c r="A347" s="22"/>
      <c r="B347" s="23"/>
      <c r="C347" s="24"/>
      <c r="D347" s="24"/>
      <c r="E347" s="24"/>
      <c r="F347" s="24"/>
      <c r="G347" s="24"/>
      <c r="H347" s="24"/>
      <c r="I347" s="24"/>
      <c r="J347" s="24"/>
      <c r="K347" s="25"/>
    </row>
    <row r="348" s="5" customFormat="1" ht="16.5" spans="1:11">
      <c r="A348" s="22"/>
      <c r="B348" s="23"/>
      <c r="C348" s="24"/>
      <c r="D348" s="24"/>
      <c r="E348" s="24"/>
      <c r="F348" s="24"/>
      <c r="G348" s="24"/>
      <c r="H348" s="24"/>
      <c r="I348" s="24"/>
      <c r="J348" s="24"/>
      <c r="K348" s="25"/>
    </row>
    <row r="349" s="5" customFormat="1" ht="16.5" spans="1:11">
      <c r="A349" s="22"/>
      <c r="B349" s="23"/>
      <c r="C349" s="24"/>
      <c r="D349" s="24"/>
      <c r="E349" s="24"/>
      <c r="F349" s="24"/>
      <c r="G349" s="24"/>
      <c r="H349" s="24"/>
      <c r="I349" s="24"/>
      <c r="J349" s="24"/>
      <c r="K349" s="25"/>
    </row>
    <row r="350" s="5" customFormat="1" ht="16.5" spans="1:11">
      <c r="A350" s="22"/>
      <c r="B350" s="23"/>
      <c r="C350" s="24"/>
      <c r="D350" s="24"/>
      <c r="E350" s="24"/>
      <c r="F350" s="24"/>
      <c r="G350" s="24"/>
      <c r="H350" s="24"/>
      <c r="I350" s="24"/>
      <c r="J350" s="24"/>
      <c r="K350" s="25"/>
    </row>
    <row r="351" s="5" customFormat="1" ht="16.5" spans="1:11">
      <c r="A351" s="22"/>
      <c r="B351" s="23"/>
      <c r="C351" s="24"/>
      <c r="D351" s="24"/>
      <c r="E351" s="24"/>
      <c r="F351" s="24"/>
      <c r="G351" s="24"/>
      <c r="H351" s="24"/>
      <c r="I351" s="24"/>
      <c r="J351" s="24"/>
      <c r="K351" s="25"/>
    </row>
    <row r="352" s="5" customFormat="1" ht="16.5" spans="1:11">
      <c r="A352" s="22"/>
      <c r="B352" s="23"/>
      <c r="C352" s="24"/>
      <c r="D352" s="24"/>
      <c r="E352" s="24"/>
      <c r="F352" s="24"/>
      <c r="G352" s="24"/>
      <c r="H352" s="24"/>
      <c r="I352" s="24"/>
      <c r="J352" s="24"/>
      <c r="K352" s="25"/>
    </row>
    <row r="353" s="5" customFormat="1" ht="16.5" spans="1:11">
      <c r="A353" s="22"/>
      <c r="B353" s="23"/>
      <c r="C353" s="24"/>
      <c r="D353" s="24"/>
      <c r="E353" s="24"/>
      <c r="F353" s="24"/>
      <c r="G353" s="24"/>
      <c r="H353" s="24"/>
      <c r="I353" s="24"/>
      <c r="J353" s="24"/>
      <c r="K353" s="25"/>
    </row>
    <row r="354" s="5" customFormat="1" ht="16.5" spans="1:11">
      <c r="A354" s="22"/>
      <c r="B354" s="23"/>
      <c r="C354" s="24"/>
      <c r="D354" s="24"/>
      <c r="E354" s="24"/>
      <c r="F354" s="24"/>
      <c r="G354" s="24"/>
      <c r="H354" s="24"/>
      <c r="I354" s="24"/>
      <c r="J354" s="24"/>
      <c r="K354" s="25"/>
    </row>
    <row r="355" s="5" customFormat="1" ht="16.5" spans="1:11">
      <c r="A355" s="22"/>
      <c r="B355" s="23"/>
      <c r="C355" s="24"/>
      <c r="D355" s="24"/>
      <c r="E355" s="24"/>
      <c r="F355" s="24"/>
      <c r="G355" s="24"/>
      <c r="H355" s="24"/>
      <c r="I355" s="24"/>
      <c r="J355" s="24"/>
      <c r="K355" s="25"/>
    </row>
    <row r="356" s="5" customFormat="1" ht="16.5" spans="1:11">
      <c r="A356" s="22"/>
      <c r="B356" s="23"/>
      <c r="C356" s="24"/>
      <c r="D356" s="24"/>
      <c r="E356" s="24"/>
      <c r="F356" s="24"/>
      <c r="G356" s="24"/>
      <c r="H356" s="24"/>
      <c r="I356" s="24"/>
      <c r="J356" s="24"/>
      <c r="K356" s="25"/>
    </row>
    <row r="357" s="5" customFormat="1" ht="16.5" spans="1:11">
      <c r="A357" s="22"/>
      <c r="B357" s="23"/>
      <c r="C357" s="24"/>
      <c r="D357" s="24"/>
      <c r="E357" s="24"/>
      <c r="F357" s="24"/>
      <c r="G357" s="24"/>
      <c r="H357" s="24"/>
      <c r="I357" s="24"/>
      <c r="J357" s="24"/>
      <c r="K357" s="25"/>
    </row>
    <row r="358" s="5" customFormat="1" ht="16.5" spans="1:11">
      <c r="A358" s="22"/>
      <c r="B358" s="23"/>
      <c r="C358" s="24"/>
      <c r="D358" s="24"/>
      <c r="E358" s="24"/>
      <c r="F358" s="24"/>
      <c r="G358" s="24"/>
      <c r="H358" s="24"/>
      <c r="I358" s="24"/>
      <c r="J358" s="24"/>
      <c r="K358" s="25"/>
    </row>
    <row r="359" s="5" customFormat="1" ht="16.5" spans="1:11">
      <c r="A359" s="22"/>
      <c r="B359" s="23"/>
      <c r="C359" s="24"/>
      <c r="D359" s="24"/>
      <c r="E359" s="24"/>
      <c r="F359" s="24"/>
      <c r="G359" s="24"/>
      <c r="H359" s="24"/>
      <c r="I359" s="24"/>
      <c r="J359" s="24"/>
      <c r="K359" s="25"/>
    </row>
    <row r="360" s="5" customFormat="1" ht="16.5" spans="1:11">
      <c r="A360" s="22"/>
      <c r="B360" s="23"/>
      <c r="C360" s="24"/>
      <c r="D360" s="24"/>
      <c r="E360" s="24"/>
      <c r="F360" s="24"/>
      <c r="G360" s="24"/>
      <c r="H360" s="24"/>
      <c r="I360" s="24"/>
      <c r="J360" s="24"/>
      <c r="K360" s="25"/>
    </row>
    <row r="361" s="5" customFormat="1" ht="16.5" spans="1:11">
      <c r="A361" s="22"/>
      <c r="B361" s="23"/>
      <c r="C361" s="24"/>
      <c r="D361" s="24"/>
      <c r="E361" s="24"/>
      <c r="F361" s="24"/>
      <c r="G361" s="24"/>
      <c r="H361" s="24"/>
      <c r="I361" s="24"/>
      <c r="J361" s="24"/>
      <c r="K361" s="25"/>
    </row>
    <row r="362" s="5" customFormat="1" ht="16.5" spans="1:11">
      <c r="A362" s="22"/>
      <c r="B362" s="23"/>
      <c r="C362" s="24"/>
      <c r="D362" s="24"/>
      <c r="E362" s="24"/>
      <c r="F362" s="24"/>
      <c r="G362" s="24"/>
      <c r="H362" s="24"/>
      <c r="I362" s="24"/>
      <c r="J362" s="24"/>
      <c r="K362" s="25"/>
    </row>
    <row r="363" s="5" customFormat="1" ht="16.5" spans="1:11">
      <c r="A363" s="22"/>
      <c r="B363" s="23"/>
      <c r="C363" s="24"/>
      <c r="D363" s="24"/>
      <c r="E363" s="24"/>
      <c r="F363" s="24"/>
      <c r="G363" s="24"/>
      <c r="H363" s="24"/>
      <c r="I363" s="24"/>
      <c r="J363" s="24"/>
      <c r="K363" s="25"/>
    </row>
    <row r="364" s="5" customFormat="1" ht="16.5" spans="1:11">
      <c r="A364" s="22"/>
      <c r="B364" s="23"/>
      <c r="C364" s="24"/>
      <c r="D364" s="24"/>
      <c r="E364" s="24"/>
      <c r="F364" s="24"/>
      <c r="G364" s="24"/>
      <c r="H364" s="24"/>
      <c r="I364" s="24"/>
      <c r="J364" s="24"/>
      <c r="K364" s="25"/>
    </row>
    <row r="365" s="5" customFormat="1" ht="16.5" spans="1:11">
      <c r="A365" s="22"/>
      <c r="B365" s="23"/>
      <c r="C365" s="24"/>
      <c r="D365" s="24"/>
      <c r="E365" s="24"/>
      <c r="F365" s="24"/>
      <c r="G365" s="24"/>
      <c r="H365" s="24"/>
      <c r="I365" s="24"/>
      <c r="J365" s="24"/>
      <c r="K365" s="25"/>
    </row>
    <row r="366" s="5" customFormat="1" ht="16.5" spans="1:11">
      <c r="A366" s="22"/>
      <c r="B366" s="23"/>
      <c r="C366" s="24"/>
      <c r="D366" s="24"/>
      <c r="E366" s="24"/>
      <c r="F366" s="24"/>
      <c r="G366" s="24"/>
      <c r="H366" s="24"/>
      <c r="I366" s="24"/>
      <c r="J366" s="24"/>
      <c r="K366" s="25"/>
    </row>
    <row r="367" s="5" customFormat="1" ht="16.5" spans="1:11">
      <c r="A367" s="22"/>
      <c r="B367" s="23"/>
      <c r="C367" s="24"/>
      <c r="D367" s="24"/>
      <c r="E367" s="24"/>
      <c r="F367" s="24"/>
      <c r="G367" s="24"/>
      <c r="H367" s="24"/>
      <c r="I367" s="24"/>
      <c r="J367" s="24"/>
      <c r="K367" s="25"/>
    </row>
    <row r="368" s="5" customFormat="1" ht="16.5" spans="1:11">
      <c r="A368" s="22"/>
      <c r="B368" s="23"/>
      <c r="C368" s="24"/>
      <c r="D368" s="24"/>
      <c r="E368" s="24"/>
      <c r="F368" s="24"/>
      <c r="G368" s="24"/>
      <c r="H368" s="24"/>
      <c r="I368" s="24"/>
      <c r="J368" s="24"/>
      <c r="K368" s="25"/>
    </row>
    <row r="369" s="5" customFormat="1" ht="16.5" spans="1:11">
      <c r="A369" s="22"/>
      <c r="B369" s="23"/>
      <c r="C369" s="24"/>
      <c r="D369" s="24"/>
      <c r="E369" s="24"/>
      <c r="F369" s="24"/>
      <c r="G369" s="24"/>
      <c r="H369" s="24"/>
      <c r="I369" s="24"/>
      <c r="J369" s="24"/>
      <c r="K369" s="25"/>
    </row>
    <row r="370" s="5" customFormat="1" ht="16.5" spans="1:11">
      <c r="A370" s="22"/>
      <c r="B370" s="23"/>
      <c r="C370" s="24"/>
      <c r="D370" s="24"/>
      <c r="E370" s="24"/>
      <c r="F370" s="24"/>
      <c r="G370" s="24"/>
      <c r="H370" s="24"/>
      <c r="I370" s="24"/>
      <c r="J370" s="24"/>
      <c r="K370" s="25"/>
    </row>
    <row r="371" s="5" customFormat="1" ht="16.5" spans="1:11">
      <c r="A371" s="22"/>
      <c r="B371" s="23"/>
      <c r="C371" s="24"/>
      <c r="D371" s="24"/>
      <c r="E371" s="24"/>
      <c r="F371" s="24"/>
      <c r="G371" s="24"/>
      <c r="H371" s="24"/>
      <c r="I371" s="24"/>
      <c r="J371" s="24"/>
      <c r="K371" s="25"/>
    </row>
    <row r="372" s="5" customFormat="1" ht="16.5" spans="1:11">
      <c r="A372" s="22"/>
      <c r="B372" s="23"/>
      <c r="C372" s="24"/>
      <c r="D372" s="24"/>
      <c r="E372" s="24"/>
      <c r="F372" s="24"/>
      <c r="G372" s="24"/>
      <c r="H372" s="24"/>
      <c r="I372" s="24"/>
      <c r="J372" s="24"/>
      <c r="K372" s="25"/>
    </row>
    <row r="373" s="5" customFormat="1" ht="16.5" spans="1:11">
      <c r="A373" s="22"/>
      <c r="B373" s="23"/>
      <c r="C373" s="24"/>
      <c r="D373" s="24"/>
      <c r="E373" s="24"/>
      <c r="F373" s="24"/>
      <c r="G373" s="24"/>
      <c r="H373" s="24"/>
      <c r="I373" s="24"/>
      <c r="J373" s="24"/>
      <c r="K373" s="25"/>
    </row>
    <row r="374" s="5" customFormat="1" ht="16.5" spans="1:11">
      <c r="A374" s="22"/>
      <c r="B374" s="23"/>
      <c r="C374" s="24"/>
      <c r="D374" s="24"/>
      <c r="E374" s="24"/>
      <c r="F374" s="24"/>
      <c r="G374" s="24"/>
      <c r="H374" s="24"/>
      <c r="I374" s="24"/>
      <c r="J374" s="24"/>
      <c r="K374" s="25"/>
    </row>
    <row r="375" s="5" customFormat="1" ht="16.5" spans="1:11">
      <c r="A375" s="22"/>
      <c r="B375" s="23"/>
      <c r="C375" s="24"/>
      <c r="D375" s="24"/>
      <c r="E375" s="24"/>
      <c r="F375" s="24"/>
      <c r="G375" s="24"/>
      <c r="H375" s="24"/>
      <c r="I375" s="24"/>
      <c r="J375" s="24"/>
      <c r="K375" s="25"/>
    </row>
    <row r="376" s="5" customFormat="1" ht="16.5" spans="1:11">
      <c r="A376" s="22"/>
      <c r="B376" s="23"/>
      <c r="C376" s="24"/>
      <c r="D376" s="24"/>
      <c r="E376" s="24"/>
      <c r="F376" s="24"/>
      <c r="G376" s="24"/>
      <c r="H376" s="24"/>
      <c r="I376" s="24"/>
      <c r="J376" s="24"/>
      <c r="K376" s="25"/>
    </row>
    <row r="377" s="5" customFormat="1" ht="16.5" spans="1:11">
      <c r="A377" s="22"/>
      <c r="B377" s="23"/>
      <c r="C377" s="24"/>
      <c r="D377" s="24"/>
      <c r="E377" s="24"/>
      <c r="F377" s="24"/>
      <c r="G377" s="24"/>
      <c r="H377" s="24"/>
      <c r="I377" s="24"/>
      <c r="J377" s="24"/>
      <c r="K377" s="25"/>
    </row>
    <row r="378" s="5" customFormat="1" ht="16.5" spans="1:11">
      <c r="A378" s="22"/>
      <c r="B378" s="23"/>
      <c r="C378" s="24"/>
      <c r="D378" s="24"/>
      <c r="E378" s="24"/>
      <c r="F378" s="24"/>
      <c r="G378" s="24"/>
      <c r="H378" s="24"/>
      <c r="I378" s="24"/>
      <c r="J378" s="24"/>
      <c r="K378" s="25"/>
    </row>
    <row r="379" s="5" customFormat="1" ht="16.5" spans="1:11">
      <c r="A379" s="22"/>
      <c r="B379" s="23"/>
      <c r="C379" s="24"/>
      <c r="D379" s="24"/>
      <c r="E379" s="24"/>
      <c r="F379" s="24"/>
      <c r="G379" s="24"/>
      <c r="H379" s="24"/>
      <c r="I379" s="24"/>
      <c r="J379" s="24"/>
      <c r="K379" s="25"/>
    </row>
    <row r="380" s="5" customFormat="1" ht="16.5" spans="1:11">
      <c r="A380" s="22"/>
      <c r="B380" s="23"/>
      <c r="C380" s="24"/>
      <c r="D380" s="24"/>
      <c r="E380" s="24"/>
      <c r="F380" s="24"/>
      <c r="G380" s="24"/>
      <c r="H380" s="24"/>
      <c r="I380" s="24"/>
      <c r="J380" s="24"/>
      <c r="K380" s="25"/>
    </row>
    <row r="381" s="5" customFormat="1" ht="16.5" spans="1:11">
      <c r="A381" s="22"/>
      <c r="B381" s="23"/>
      <c r="C381" s="24"/>
      <c r="D381" s="24"/>
      <c r="E381" s="24"/>
      <c r="F381" s="24"/>
      <c r="G381" s="24"/>
      <c r="H381" s="24"/>
      <c r="I381" s="24"/>
      <c r="J381" s="24"/>
      <c r="K381" s="25"/>
    </row>
    <row r="382" s="5" customFormat="1" ht="16.5" spans="1:11">
      <c r="A382" s="22"/>
      <c r="B382" s="23"/>
      <c r="C382" s="24"/>
      <c r="D382" s="24"/>
      <c r="E382" s="24"/>
      <c r="F382" s="24"/>
      <c r="G382" s="24"/>
      <c r="H382" s="24"/>
      <c r="I382" s="24"/>
      <c r="J382" s="24"/>
      <c r="K382" s="25"/>
    </row>
    <row r="383" s="5" customFormat="1" ht="16.5" spans="1:11">
      <c r="A383" s="22"/>
      <c r="B383" s="23"/>
      <c r="C383" s="24"/>
      <c r="D383" s="24"/>
      <c r="E383" s="24"/>
      <c r="F383" s="24"/>
      <c r="G383" s="24"/>
      <c r="H383" s="24"/>
      <c r="I383" s="24"/>
      <c r="J383" s="24"/>
      <c r="K383" s="25"/>
    </row>
    <row r="384" s="5" customFormat="1" ht="16.5" spans="1:11">
      <c r="A384" s="22"/>
      <c r="B384" s="23"/>
      <c r="C384" s="24"/>
      <c r="D384" s="24"/>
      <c r="E384" s="24"/>
      <c r="F384" s="24"/>
      <c r="G384" s="24"/>
      <c r="H384" s="24"/>
      <c r="I384" s="24"/>
      <c r="J384" s="24"/>
      <c r="K384" s="25"/>
    </row>
    <row r="385" s="5" customFormat="1" ht="16.5" spans="1:11">
      <c r="A385" s="22"/>
      <c r="B385" s="23"/>
      <c r="C385" s="24"/>
      <c r="D385" s="24"/>
      <c r="E385" s="24"/>
      <c r="F385" s="24"/>
      <c r="G385" s="24"/>
      <c r="H385" s="24"/>
      <c r="I385" s="24"/>
      <c r="J385" s="24"/>
      <c r="K385" s="25"/>
    </row>
    <row r="386" s="5" customFormat="1" ht="16.5" spans="1:11">
      <c r="A386" s="22"/>
      <c r="B386" s="23"/>
      <c r="C386" s="24"/>
      <c r="D386" s="24"/>
      <c r="E386" s="24"/>
      <c r="F386" s="24"/>
      <c r="G386" s="24"/>
      <c r="H386" s="24"/>
      <c r="I386" s="24"/>
      <c r="J386" s="24"/>
      <c r="K386" s="25"/>
    </row>
    <row r="387" s="5" customFormat="1" ht="16.5" spans="1:11">
      <c r="A387" s="22"/>
      <c r="B387" s="23"/>
      <c r="C387" s="24"/>
      <c r="D387" s="24"/>
      <c r="E387" s="24"/>
      <c r="F387" s="24"/>
      <c r="G387" s="24"/>
      <c r="H387" s="24"/>
      <c r="I387" s="24"/>
      <c r="J387" s="24"/>
      <c r="K387" s="25"/>
    </row>
    <row r="388" s="5" customFormat="1" ht="16.5" spans="1:11">
      <c r="A388" s="22"/>
      <c r="B388" s="23"/>
      <c r="C388" s="24"/>
      <c r="D388" s="24"/>
      <c r="E388" s="24"/>
      <c r="F388" s="24"/>
      <c r="G388" s="24"/>
      <c r="H388" s="24"/>
      <c r="I388" s="24"/>
      <c r="J388" s="24"/>
      <c r="K388" s="25"/>
    </row>
    <row r="389" s="5" customFormat="1" ht="16.5" spans="1:11">
      <c r="A389" s="22"/>
      <c r="B389" s="23"/>
      <c r="C389" s="24"/>
      <c r="D389" s="24"/>
      <c r="E389" s="24"/>
      <c r="F389" s="24"/>
      <c r="G389" s="24"/>
      <c r="H389" s="24"/>
      <c r="I389" s="24"/>
      <c r="J389" s="24"/>
      <c r="K389" s="25"/>
    </row>
    <row r="390" s="5" customFormat="1" ht="16.5" spans="1:11">
      <c r="A390" s="22"/>
      <c r="B390" s="23"/>
      <c r="C390" s="24"/>
      <c r="D390" s="24"/>
      <c r="E390" s="24"/>
      <c r="F390" s="24"/>
      <c r="G390" s="24"/>
      <c r="H390" s="24"/>
      <c r="I390" s="24"/>
      <c r="J390" s="24"/>
      <c r="K390" s="25"/>
    </row>
    <row r="391" s="5" customFormat="1" ht="16.5" spans="1:11">
      <c r="A391" s="22"/>
      <c r="B391" s="23"/>
      <c r="C391" s="24"/>
      <c r="D391" s="24"/>
      <c r="E391" s="24"/>
      <c r="F391" s="24"/>
      <c r="G391" s="24"/>
      <c r="H391" s="24"/>
      <c r="I391" s="24"/>
      <c r="J391" s="24"/>
      <c r="K391" s="25"/>
    </row>
    <row r="392" s="5" customFormat="1" ht="16.5" spans="1:11">
      <c r="A392" s="22"/>
      <c r="B392" s="23"/>
      <c r="C392" s="24"/>
      <c r="D392" s="24"/>
      <c r="E392" s="24"/>
      <c r="F392" s="24"/>
      <c r="G392" s="24"/>
      <c r="H392" s="24"/>
      <c r="I392" s="24"/>
      <c r="J392" s="24"/>
      <c r="K392" s="25"/>
    </row>
    <row r="393" s="5" customFormat="1" ht="16.5" spans="1:11">
      <c r="A393" s="22"/>
      <c r="B393" s="23"/>
      <c r="C393" s="24"/>
      <c r="D393" s="24"/>
      <c r="E393" s="24"/>
      <c r="F393" s="24"/>
      <c r="G393" s="24"/>
      <c r="H393" s="24"/>
      <c r="I393" s="24"/>
      <c r="J393" s="24"/>
      <c r="K393" s="25"/>
    </row>
    <row r="394" s="5" customFormat="1" ht="16.5" spans="1:11">
      <c r="A394" s="22"/>
      <c r="B394" s="23"/>
      <c r="C394" s="24"/>
      <c r="D394" s="24"/>
      <c r="E394" s="24"/>
      <c r="F394" s="24"/>
      <c r="G394" s="24"/>
      <c r="H394" s="24"/>
      <c r="I394" s="24"/>
      <c r="J394" s="24"/>
      <c r="K394" s="25"/>
    </row>
    <row r="395" s="5" customFormat="1" ht="16.5" spans="1:11">
      <c r="A395" s="22"/>
      <c r="B395" s="23"/>
      <c r="C395" s="24"/>
      <c r="D395" s="24"/>
      <c r="E395" s="24"/>
      <c r="F395" s="24"/>
      <c r="G395" s="24"/>
      <c r="H395" s="24"/>
      <c r="I395" s="24"/>
      <c r="J395" s="24"/>
      <c r="K395" s="25"/>
    </row>
    <row r="396" s="5" customFormat="1" ht="16.5" spans="1:11">
      <c r="A396" s="22"/>
      <c r="B396" s="23"/>
      <c r="C396" s="24"/>
      <c r="D396" s="24"/>
      <c r="E396" s="24"/>
      <c r="F396" s="24"/>
      <c r="G396" s="24"/>
      <c r="H396" s="24"/>
      <c r="I396" s="24"/>
      <c r="J396" s="24"/>
      <c r="K396" s="25"/>
    </row>
    <row r="397" s="5" customFormat="1" ht="16.5" spans="1:11">
      <c r="A397" s="22"/>
      <c r="B397" s="23"/>
      <c r="C397" s="24"/>
      <c r="D397" s="24"/>
      <c r="E397" s="24"/>
      <c r="F397" s="24"/>
      <c r="G397" s="24"/>
      <c r="H397" s="24"/>
      <c r="I397" s="24"/>
      <c r="J397" s="24"/>
      <c r="K397" s="25"/>
    </row>
    <row r="398" s="5" customFormat="1" ht="16.5" spans="1:11">
      <c r="A398" s="22"/>
      <c r="B398" s="23"/>
      <c r="C398" s="24"/>
      <c r="D398" s="24"/>
      <c r="E398" s="24"/>
      <c r="F398" s="24"/>
      <c r="G398" s="24"/>
      <c r="H398" s="24"/>
      <c r="I398" s="24"/>
      <c r="J398" s="24"/>
      <c r="K398" s="25"/>
    </row>
    <row r="399" s="5" customFormat="1" ht="16.5" spans="1:11">
      <c r="A399" s="22"/>
      <c r="B399" s="23"/>
      <c r="C399" s="24"/>
      <c r="D399" s="24"/>
      <c r="E399" s="24"/>
      <c r="F399" s="24"/>
      <c r="G399" s="24"/>
      <c r="H399" s="24"/>
      <c r="I399" s="24"/>
      <c r="J399" s="24"/>
      <c r="K399" s="25"/>
    </row>
    <row r="400" s="5" customFormat="1" ht="16.5" spans="1:11">
      <c r="A400" s="22"/>
      <c r="B400" s="23"/>
      <c r="C400" s="24"/>
      <c r="D400" s="24"/>
      <c r="E400" s="24"/>
      <c r="F400" s="24"/>
      <c r="G400" s="24"/>
      <c r="H400" s="24"/>
      <c r="I400" s="24"/>
      <c r="J400" s="24"/>
      <c r="K400" s="25"/>
    </row>
    <row r="401" s="5" customFormat="1" ht="16.5" spans="1:11">
      <c r="A401" s="22"/>
      <c r="B401" s="23"/>
      <c r="C401" s="24"/>
      <c r="D401" s="24"/>
      <c r="E401" s="24"/>
      <c r="F401" s="24"/>
      <c r="G401" s="24"/>
      <c r="H401" s="24"/>
      <c r="I401" s="24"/>
      <c r="J401" s="24"/>
      <c r="K401" s="25"/>
    </row>
    <row r="402" s="5" customFormat="1" ht="16.5" spans="1:11">
      <c r="A402" s="22"/>
      <c r="B402" s="23"/>
      <c r="C402" s="24"/>
      <c r="D402" s="24"/>
      <c r="E402" s="24"/>
      <c r="F402" s="24"/>
      <c r="G402" s="24"/>
      <c r="H402" s="24"/>
      <c r="I402" s="24"/>
      <c r="J402" s="24"/>
      <c r="K402" s="25"/>
    </row>
    <row r="403" s="5" customFormat="1" ht="16.5" spans="1:11">
      <c r="A403" s="22"/>
      <c r="B403" s="23"/>
      <c r="C403" s="24"/>
      <c r="D403" s="24"/>
      <c r="E403" s="24"/>
      <c r="F403" s="24"/>
      <c r="G403" s="24"/>
      <c r="H403" s="24"/>
      <c r="I403" s="24"/>
      <c r="J403" s="24"/>
      <c r="K403" s="25"/>
    </row>
    <row r="404" s="5" customFormat="1" ht="16.5" spans="1:11">
      <c r="A404" s="22"/>
      <c r="B404" s="23"/>
      <c r="C404" s="24"/>
      <c r="D404" s="24"/>
      <c r="E404" s="24"/>
      <c r="F404" s="24"/>
      <c r="G404" s="24"/>
      <c r="H404" s="24"/>
      <c r="I404" s="24"/>
      <c r="J404" s="24"/>
      <c r="K404" s="25"/>
    </row>
    <row r="405" s="5" customFormat="1" ht="16.5" spans="1:11">
      <c r="A405" s="22"/>
      <c r="B405" s="23"/>
      <c r="C405" s="24"/>
      <c r="D405" s="24"/>
      <c r="E405" s="24"/>
      <c r="F405" s="24"/>
      <c r="G405" s="24"/>
      <c r="H405" s="24"/>
      <c r="I405" s="24"/>
      <c r="J405" s="24"/>
      <c r="K405" s="25"/>
    </row>
    <row r="406" s="5" customFormat="1" ht="16.5" spans="1:11">
      <c r="A406" s="22"/>
      <c r="B406" s="23"/>
      <c r="C406" s="24"/>
      <c r="D406" s="24"/>
      <c r="E406" s="24"/>
      <c r="F406" s="24"/>
      <c r="G406" s="24"/>
      <c r="H406" s="24"/>
      <c r="I406" s="24"/>
      <c r="J406" s="24"/>
      <c r="K406" s="25"/>
    </row>
    <row r="407" s="5" customFormat="1" ht="16.5" spans="1:11">
      <c r="A407" s="22"/>
      <c r="B407" s="23"/>
      <c r="C407" s="24"/>
      <c r="D407" s="24"/>
      <c r="E407" s="24"/>
      <c r="F407" s="24"/>
      <c r="G407" s="24"/>
      <c r="H407" s="24"/>
      <c r="I407" s="24"/>
      <c r="J407" s="24"/>
      <c r="K407" s="25"/>
    </row>
    <row r="408" s="5" customFormat="1" ht="16.5" spans="1:11">
      <c r="A408" s="22"/>
      <c r="B408" s="23"/>
      <c r="C408" s="24"/>
      <c r="D408" s="24"/>
      <c r="E408" s="24"/>
      <c r="F408" s="24"/>
      <c r="G408" s="24"/>
      <c r="H408" s="24"/>
      <c r="I408" s="24"/>
      <c r="J408" s="24"/>
      <c r="K408" s="25"/>
    </row>
    <row r="409" s="5" customFormat="1" ht="16.5" spans="1:11">
      <c r="A409" s="22"/>
      <c r="B409" s="23"/>
      <c r="C409" s="24"/>
      <c r="D409" s="24"/>
      <c r="E409" s="24"/>
      <c r="F409" s="24"/>
      <c r="G409" s="24"/>
      <c r="H409" s="24"/>
      <c r="I409" s="24"/>
      <c r="J409" s="24"/>
      <c r="K409" s="25"/>
    </row>
    <row r="410" s="5" customFormat="1" ht="16.5" spans="1:11">
      <c r="A410" s="22"/>
      <c r="B410" s="23"/>
      <c r="C410" s="24"/>
      <c r="D410" s="24"/>
      <c r="E410" s="24"/>
      <c r="F410" s="24"/>
      <c r="G410" s="24"/>
      <c r="H410" s="24"/>
      <c r="I410" s="24"/>
      <c r="J410" s="24"/>
      <c r="K410" s="25"/>
    </row>
    <row r="411" s="5" customFormat="1" ht="16.5" spans="1:11">
      <c r="A411" s="22"/>
      <c r="B411" s="23"/>
      <c r="C411" s="24"/>
      <c r="D411" s="24"/>
      <c r="E411" s="24"/>
      <c r="F411" s="24"/>
      <c r="G411" s="24"/>
      <c r="H411" s="24"/>
      <c r="I411" s="24"/>
      <c r="J411" s="24"/>
      <c r="K411" s="25"/>
    </row>
    <row r="412" s="5" customFormat="1" ht="16.5" spans="1:11">
      <c r="A412" s="22"/>
      <c r="B412" s="23"/>
      <c r="C412" s="24"/>
      <c r="D412" s="24"/>
      <c r="E412" s="24"/>
      <c r="F412" s="24"/>
      <c r="G412" s="24"/>
      <c r="H412" s="24"/>
      <c r="I412" s="24"/>
      <c r="J412" s="24"/>
      <c r="K412" s="25"/>
    </row>
    <row r="413" s="5" customFormat="1" ht="16.5" spans="1:11">
      <c r="A413" s="22"/>
      <c r="B413" s="23"/>
      <c r="C413" s="24"/>
      <c r="D413" s="24"/>
      <c r="E413" s="24"/>
      <c r="F413" s="24"/>
      <c r="G413" s="24"/>
      <c r="H413" s="24"/>
      <c r="I413" s="24"/>
      <c r="J413" s="24"/>
      <c r="K413" s="25"/>
    </row>
    <row r="414" s="5" customFormat="1" ht="16.5" spans="1:11">
      <c r="A414" s="22"/>
      <c r="B414" s="23"/>
      <c r="C414" s="24"/>
      <c r="D414" s="24"/>
      <c r="E414" s="24"/>
      <c r="F414" s="24"/>
      <c r="G414" s="24"/>
      <c r="H414" s="24"/>
      <c r="I414" s="24"/>
      <c r="J414" s="24"/>
      <c r="K414" s="25"/>
    </row>
    <row r="415" s="5" customFormat="1" ht="16.5" spans="1:11">
      <c r="A415" s="22"/>
      <c r="B415" s="23"/>
      <c r="C415" s="24"/>
      <c r="D415" s="24"/>
      <c r="E415" s="24"/>
      <c r="F415" s="24"/>
      <c r="G415" s="24"/>
      <c r="H415" s="24"/>
      <c r="I415" s="24"/>
      <c r="J415" s="24"/>
      <c r="K415" s="25"/>
    </row>
    <row r="416" s="5" customFormat="1" ht="16.5" spans="1:11">
      <c r="A416" s="22"/>
      <c r="B416" s="23"/>
      <c r="C416" s="24"/>
      <c r="D416" s="24"/>
      <c r="E416" s="24"/>
      <c r="F416" s="24"/>
      <c r="G416" s="24"/>
      <c r="H416" s="24"/>
      <c r="I416" s="24"/>
      <c r="J416" s="24"/>
      <c r="K416" s="25"/>
    </row>
    <row r="417" s="5" customFormat="1" ht="16.5" spans="1:11">
      <c r="A417" s="22"/>
      <c r="B417" s="23"/>
      <c r="C417" s="24"/>
      <c r="D417" s="24"/>
      <c r="E417" s="24"/>
      <c r="F417" s="24"/>
      <c r="G417" s="24"/>
      <c r="H417" s="24"/>
      <c r="I417" s="24"/>
      <c r="J417" s="24"/>
      <c r="K417" s="25"/>
    </row>
    <row r="418" s="5" customFormat="1" ht="16.5" spans="1:11">
      <c r="A418" s="22"/>
      <c r="B418" s="23"/>
      <c r="C418" s="24"/>
      <c r="D418" s="24"/>
      <c r="E418" s="24"/>
      <c r="F418" s="24"/>
      <c r="G418" s="24"/>
      <c r="H418" s="24"/>
      <c r="I418" s="24"/>
      <c r="J418" s="24"/>
      <c r="K418" s="25"/>
    </row>
    <row r="419" s="5" customFormat="1" ht="16.5" spans="1:11">
      <c r="A419" s="22"/>
      <c r="B419" s="23"/>
      <c r="C419" s="24"/>
      <c r="D419" s="24"/>
      <c r="E419" s="24"/>
      <c r="F419" s="24"/>
      <c r="G419" s="24"/>
      <c r="H419" s="24"/>
      <c r="I419" s="24"/>
      <c r="J419" s="24"/>
      <c r="K419" s="25"/>
    </row>
    <row r="420" s="5" customFormat="1" ht="16.5" spans="1:11">
      <c r="A420" s="22"/>
      <c r="B420" s="23"/>
      <c r="C420" s="24"/>
      <c r="D420" s="24"/>
      <c r="E420" s="24"/>
      <c r="F420" s="24"/>
      <c r="G420" s="24"/>
      <c r="H420" s="24"/>
      <c r="I420" s="24"/>
      <c r="J420" s="24"/>
      <c r="K420" s="25"/>
    </row>
    <row r="421" s="5" customFormat="1" ht="16.5" spans="1:11">
      <c r="A421" s="22"/>
      <c r="B421" s="23"/>
      <c r="C421" s="24"/>
      <c r="D421" s="24"/>
      <c r="E421" s="24"/>
      <c r="F421" s="24"/>
      <c r="G421" s="24"/>
      <c r="H421" s="24"/>
      <c r="I421" s="24"/>
      <c r="J421" s="24"/>
      <c r="K421" s="25"/>
    </row>
    <row r="422" s="5" customFormat="1" ht="16.5" spans="1:11">
      <c r="A422" s="22"/>
      <c r="B422" s="23"/>
      <c r="C422" s="24"/>
      <c r="D422" s="24"/>
      <c r="E422" s="24"/>
      <c r="F422" s="24"/>
      <c r="G422" s="24"/>
      <c r="H422" s="24"/>
      <c r="I422" s="24"/>
      <c r="J422" s="24"/>
      <c r="K422" s="25"/>
    </row>
    <row r="423" s="5" customFormat="1" ht="16.5" spans="1:11">
      <c r="A423" s="22"/>
      <c r="B423" s="23"/>
      <c r="C423" s="24"/>
      <c r="D423" s="24"/>
      <c r="E423" s="24"/>
      <c r="F423" s="24"/>
      <c r="G423" s="24"/>
      <c r="H423" s="24"/>
      <c r="I423" s="24"/>
      <c r="J423" s="24"/>
      <c r="K423" s="25"/>
    </row>
    <row r="424" s="5" customFormat="1" ht="16.5" spans="1:11">
      <c r="A424" s="22"/>
      <c r="B424" s="23"/>
      <c r="C424" s="24"/>
      <c r="D424" s="24"/>
      <c r="E424" s="24"/>
      <c r="F424" s="24"/>
      <c r="G424" s="24"/>
      <c r="H424" s="24"/>
      <c r="I424" s="24"/>
      <c r="J424" s="24"/>
      <c r="K424" s="25"/>
    </row>
    <row r="425" s="5" customFormat="1" ht="16.5" spans="1:11">
      <c r="A425" s="22"/>
      <c r="B425" s="23"/>
      <c r="C425" s="24"/>
      <c r="D425" s="24"/>
      <c r="E425" s="24"/>
      <c r="F425" s="24"/>
      <c r="G425" s="24"/>
      <c r="H425" s="24"/>
      <c r="I425" s="24"/>
      <c r="J425" s="24"/>
      <c r="K425" s="25"/>
    </row>
    <row r="426" s="5" customFormat="1" ht="16.5" spans="1:11">
      <c r="A426" s="22"/>
      <c r="B426" s="23"/>
      <c r="C426" s="24"/>
      <c r="D426" s="24"/>
      <c r="E426" s="24"/>
      <c r="F426" s="24"/>
      <c r="G426" s="24"/>
      <c r="H426" s="24"/>
      <c r="I426" s="24"/>
      <c r="J426" s="24"/>
      <c r="K426" s="25"/>
    </row>
    <row r="427" s="5" customFormat="1" ht="16.5" spans="1:11">
      <c r="A427" s="22"/>
      <c r="B427" s="23"/>
      <c r="C427" s="24"/>
      <c r="D427" s="24"/>
      <c r="E427" s="24"/>
      <c r="F427" s="24"/>
      <c r="G427" s="24"/>
      <c r="H427" s="24"/>
      <c r="I427" s="24"/>
      <c r="J427" s="24"/>
      <c r="K427" s="25"/>
    </row>
    <row r="428" s="5" customFormat="1" ht="16.5" spans="1:11">
      <c r="A428" s="22"/>
      <c r="B428" s="23"/>
      <c r="C428" s="24"/>
      <c r="D428" s="24"/>
      <c r="E428" s="24"/>
      <c r="F428" s="24"/>
      <c r="G428" s="24"/>
      <c r="H428" s="24"/>
      <c r="I428" s="24"/>
      <c r="J428" s="24"/>
      <c r="K428" s="25"/>
    </row>
    <row r="429" s="5" customFormat="1" ht="16.5" spans="1:11">
      <c r="A429" s="22"/>
      <c r="B429" s="23"/>
      <c r="C429" s="24"/>
      <c r="D429" s="24"/>
      <c r="E429" s="24"/>
      <c r="F429" s="24"/>
      <c r="G429" s="24"/>
      <c r="H429" s="24"/>
      <c r="I429" s="24"/>
      <c r="J429" s="24"/>
      <c r="K429" s="25"/>
    </row>
    <row r="430" s="5" customFormat="1" ht="16.5" spans="1:11">
      <c r="A430" s="22"/>
      <c r="B430" s="23"/>
      <c r="C430" s="24"/>
      <c r="D430" s="24"/>
      <c r="E430" s="24"/>
      <c r="F430" s="24"/>
      <c r="G430" s="24"/>
      <c r="H430" s="24"/>
      <c r="I430" s="24"/>
      <c r="J430" s="24"/>
      <c r="K430" s="25"/>
    </row>
    <row r="431" s="5" customFormat="1" ht="16.5" spans="1:11">
      <c r="A431" s="22"/>
      <c r="B431" s="23"/>
      <c r="C431" s="24"/>
      <c r="D431" s="24"/>
      <c r="E431" s="24"/>
      <c r="F431" s="24"/>
      <c r="G431" s="24"/>
      <c r="H431" s="24"/>
      <c r="I431" s="24"/>
      <c r="J431" s="24"/>
      <c r="K431" s="25"/>
    </row>
    <row r="432" s="5" customFormat="1" ht="16.5" spans="1:11">
      <c r="A432" s="22"/>
      <c r="B432" s="23"/>
      <c r="C432" s="24"/>
      <c r="D432" s="24"/>
      <c r="E432" s="24"/>
      <c r="F432" s="24"/>
      <c r="G432" s="24"/>
      <c r="H432" s="24"/>
      <c r="I432" s="24"/>
      <c r="J432" s="24"/>
      <c r="K432" s="25"/>
    </row>
    <row r="433" s="5" customFormat="1" ht="16.5" spans="1:11">
      <c r="A433" s="22"/>
      <c r="B433" s="23"/>
      <c r="C433" s="24"/>
      <c r="D433" s="24"/>
      <c r="E433" s="24"/>
      <c r="F433" s="24"/>
      <c r="G433" s="24"/>
      <c r="H433" s="24"/>
      <c r="I433" s="24"/>
      <c r="J433" s="24"/>
      <c r="K433" s="25"/>
    </row>
    <row r="434" s="5" customFormat="1" ht="16.5" spans="1:11">
      <c r="A434" s="22"/>
      <c r="B434" s="23"/>
      <c r="C434" s="24"/>
      <c r="D434" s="24"/>
      <c r="E434" s="24"/>
      <c r="F434" s="24"/>
      <c r="G434" s="24"/>
      <c r="H434" s="24"/>
      <c r="I434" s="24"/>
      <c r="J434" s="24"/>
      <c r="K434" s="25"/>
    </row>
    <row r="435" s="5" customFormat="1" ht="16.5" spans="1:11">
      <c r="A435" s="22"/>
      <c r="B435" s="23"/>
      <c r="C435" s="24"/>
      <c r="D435" s="24"/>
      <c r="E435" s="24"/>
      <c r="F435" s="24"/>
      <c r="G435" s="24"/>
      <c r="H435" s="24"/>
      <c r="I435" s="24"/>
      <c r="J435" s="24"/>
      <c r="K435" s="25"/>
    </row>
    <row r="436" s="5" customFormat="1" ht="16.5" spans="1:11">
      <c r="A436" s="22"/>
      <c r="B436" s="23"/>
      <c r="C436" s="24"/>
      <c r="D436" s="24"/>
      <c r="E436" s="24"/>
      <c r="F436" s="24"/>
      <c r="G436" s="24"/>
      <c r="H436" s="24"/>
      <c r="I436" s="24"/>
      <c r="J436" s="24"/>
      <c r="K436" s="25"/>
    </row>
    <row r="437" s="5" customFormat="1" ht="16.5" spans="1:11">
      <c r="A437" s="22"/>
      <c r="B437" s="23"/>
      <c r="C437" s="24"/>
      <c r="D437" s="24"/>
      <c r="E437" s="24"/>
      <c r="F437" s="24"/>
      <c r="G437" s="24"/>
      <c r="H437" s="24"/>
      <c r="I437" s="24"/>
      <c r="J437" s="24"/>
      <c r="K437" s="25"/>
    </row>
    <row r="438" s="5" customFormat="1" ht="16.5" spans="1:11">
      <c r="A438" s="22"/>
      <c r="B438" s="23"/>
      <c r="C438" s="24"/>
      <c r="D438" s="24"/>
      <c r="E438" s="24"/>
      <c r="F438" s="24"/>
      <c r="G438" s="24"/>
      <c r="H438" s="24"/>
      <c r="I438" s="24"/>
      <c r="J438" s="24"/>
      <c r="K438" s="25"/>
    </row>
    <row r="439" s="5" customFormat="1" ht="16.5" spans="1:11">
      <c r="A439" s="22"/>
      <c r="B439" s="23"/>
      <c r="C439" s="24"/>
      <c r="D439" s="24"/>
      <c r="E439" s="24"/>
      <c r="F439" s="24"/>
      <c r="G439" s="24"/>
      <c r="H439" s="24"/>
      <c r="I439" s="24"/>
      <c r="J439" s="24"/>
      <c r="K439" s="25"/>
    </row>
    <row r="440" s="5" customFormat="1" ht="16.5" spans="1:11">
      <c r="A440" s="22"/>
      <c r="B440" s="23"/>
      <c r="C440" s="24"/>
      <c r="D440" s="24"/>
      <c r="E440" s="24"/>
      <c r="F440" s="24"/>
      <c r="G440" s="24"/>
      <c r="H440" s="24"/>
      <c r="I440" s="24"/>
      <c r="J440" s="24"/>
      <c r="K440" s="25"/>
    </row>
    <row r="441" s="5" customFormat="1" ht="16.5" spans="1:11">
      <c r="A441" s="22"/>
      <c r="B441" s="23"/>
      <c r="C441" s="24"/>
      <c r="D441" s="24"/>
      <c r="E441" s="24"/>
      <c r="F441" s="24"/>
      <c r="G441" s="24"/>
      <c r="H441" s="24"/>
      <c r="I441" s="24"/>
      <c r="J441" s="24"/>
      <c r="K441" s="25"/>
    </row>
    <row r="442" s="5" customFormat="1" ht="16.5" spans="1:11">
      <c r="A442" s="22"/>
      <c r="B442" s="23"/>
      <c r="C442" s="24"/>
      <c r="D442" s="24"/>
      <c r="E442" s="24"/>
      <c r="F442" s="24"/>
      <c r="G442" s="24"/>
      <c r="H442" s="24"/>
      <c r="I442" s="24"/>
      <c r="J442" s="24"/>
      <c r="K442" s="25"/>
    </row>
    <row r="443" s="5" customFormat="1" ht="16.5" spans="1:11">
      <c r="A443" s="22"/>
      <c r="B443" s="23"/>
      <c r="C443" s="24"/>
      <c r="D443" s="24"/>
      <c r="E443" s="24"/>
      <c r="F443" s="24"/>
      <c r="G443" s="24"/>
      <c r="H443" s="24"/>
      <c r="I443" s="24"/>
      <c r="J443" s="24"/>
      <c r="K443" s="25"/>
    </row>
    <row r="444" s="5" customFormat="1" ht="16.5" spans="1:11">
      <c r="A444" s="22"/>
      <c r="B444" s="23"/>
      <c r="C444" s="24"/>
      <c r="D444" s="24"/>
      <c r="E444" s="24"/>
      <c r="F444" s="24"/>
      <c r="G444" s="24"/>
      <c r="H444" s="24"/>
      <c r="I444" s="24"/>
      <c r="J444" s="24"/>
      <c r="K444" s="25"/>
    </row>
    <row r="445" s="5" customFormat="1" ht="16.5" spans="1:11">
      <c r="A445" s="22"/>
      <c r="B445" s="23"/>
      <c r="C445" s="24"/>
      <c r="D445" s="24"/>
      <c r="E445" s="24"/>
      <c r="F445" s="24"/>
      <c r="G445" s="24"/>
      <c r="H445" s="24"/>
      <c r="I445" s="24"/>
      <c r="J445" s="24"/>
      <c r="K445" s="25"/>
    </row>
    <row r="446" s="5" customFormat="1" ht="16.5" spans="1:11">
      <c r="A446" s="22"/>
      <c r="B446" s="23"/>
      <c r="C446" s="24"/>
      <c r="D446" s="24"/>
      <c r="E446" s="24"/>
      <c r="F446" s="24"/>
      <c r="G446" s="24"/>
      <c r="H446" s="24"/>
      <c r="I446" s="24"/>
      <c r="J446" s="24"/>
      <c r="K446" s="25"/>
    </row>
    <row r="447" s="5" customFormat="1" ht="16.5" spans="1:11">
      <c r="A447" s="22"/>
      <c r="B447" s="23"/>
      <c r="C447" s="24"/>
      <c r="D447" s="24"/>
      <c r="E447" s="24"/>
      <c r="F447" s="24"/>
      <c r="G447" s="24"/>
      <c r="H447" s="24"/>
      <c r="I447" s="24"/>
      <c r="J447" s="24"/>
      <c r="K447" s="25"/>
    </row>
    <row r="448" s="5" customFormat="1" ht="16.5" spans="1:11">
      <c r="A448" s="22"/>
      <c r="B448" s="23"/>
      <c r="C448" s="24"/>
      <c r="D448" s="24"/>
      <c r="E448" s="24"/>
      <c r="F448" s="24"/>
      <c r="G448" s="24"/>
      <c r="H448" s="24"/>
      <c r="I448" s="24"/>
      <c r="J448" s="24"/>
      <c r="K448" s="25"/>
    </row>
    <row r="449" s="5" customFormat="1" ht="16.5" spans="1:11">
      <c r="A449" s="22"/>
      <c r="B449" s="23"/>
      <c r="C449" s="24"/>
      <c r="D449" s="24"/>
      <c r="E449" s="24"/>
      <c r="F449" s="24"/>
      <c r="G449" s="24"/>
      <c r="H449" s="24"/>
      <c r="I449" s="24"/>
      <c r="J449" s="24"/>
      <c r="K449" s="25"/>
    </row>
    <row r="450" s="5" customFormat="1" ht="16.5" spans="1:11">
      <c r="A450" s="22"/>
      <c r="B450" s="23"/>
      <c r="C450" s="24"/>
      <c r="D450" s="24"/>
      <c r="E450" s="24"/>
      <c r="F450" s="24"/>
      <c r="G450" s="24"/>
      <c r="H450" s="24"/>
      <c r="I450" s="24"/>
      <c r="J450" s="24"/>
      <c r="K450" s="25"/>
    </row>
    <row r="451" s="5" customFormat="1" ht="16.5" spans="1:11">
      <c r="A451" s="22"/>
      <c r="B451" s="23"/>
      <c r="C451" s="24"/>
      <c r="D451" s="24"/>
      <c r="E451" s="24"/>
      <c r="F451" s="24"/>
      <c r="G451" s="24"/>
      <c r="H451" s="24"/>
      <c r="I451" s="24"/>
      <c r="J451" s="24"/>
      <c r="K451" s="25"/>
    </row>
    <row r="452" s="5" customFormat="1" ht="16.5" spans="1:11">
      <c r="A452" s="22"/>
      <c r="B452" s="23"/>
      <c r="C452" s="24"/>
      <c r="D452" s="24"/>
      <c r="E452" s="24"/>
      <c r="F452" s="24"/>
      <c r="G452" s="24"/>
      <c r="H452" s="24"/>
      <c r="I452" s="24"/>
      <c r="J452" s="24"/>
      <c r="K452" s="25"/>
    </row>
    <row r="453" s="5" customFormat="1" ht="16.5" spans="1:11">
      <c r="A453" s="22"/>
      <c r="B453" s="23"/>
      <c r="C453" s="24"/>
      <c r="D453" s="24"/>
      <c r="E453" s="24"/>
      <c r="F453" s="24"/>
      <c r="G453" s="24"/>
      <c r="H453" s="24"/>
      <c r="I453" s="24"/>
      <c r="J453" s="24"/>
      <c r="K453" s="25"/>
    </row>
    <row r="454" s="5" customFormat="1" ht="16.5" spans="1:11">
      <c r="A454" s="22"/>
      <c r="B454" s="23"/>
      <c r="C454" s="24"/>
      <c r="D454" s="24"/>
      <c r="E454" s="24"/>
      <c r="F454" s="24"/>
      <c r="G454" s="24"/>
      <c r="H454" s="24"/>
      <c r="I454" s="24"/>
      <c r="J454" s="24"/>
      <c r="K454" s="25"/>
    </row>
    <row r="455" s="5" customFormat="1" ht="16.5" spans="1:11">
      <c r="A455" s="22"/>
      <c r="B455" s="23"/>
      <c r="C455" s="24"/>
      <c r="D455" s="24"/>
      <c r="E455" s="24"/>
      <c r="F455" s="24"/>
      <c r="G455" s="24"/>
      <c r="H455" s="24"/>
      <c r="I455" s="24"/>
      <c r="J455" s="24"/>
      <c r="K455" s="25"/>
    </row>
    <row r="456" s="5" customFormat="1" ht="16.5" spans="1:11">
      <c r="A456" s="22"/>
      <c r="B456" s="23"/>
      <c r="C456" s="24"/>
      <c r="D456" s="24"/>
      <c r="E456" s="24"/>
      <c r="F456" s="24"/>
      <c r="G456" s="24"/>
      <c r="H456" s="24"/>
      <c r="I456" s="24"/>
      <c r="J456" s="24"/>
      <c r="K456" s="25"/>
    </row>
    <row r="457" s="5" customFormat="1" ht="16.5" spans="1:11">
      <c r="A457" s="22"/>
      <c r="B457" s="23"/>
      <c r="C457" s="24"/>
      <c r="D457" s="24"/>
      <c r="E457" s="24"/>
      <c r="F457" s="24"/>
      <c r="G457" s="24"/>
      <c r="H457" s="24"/>
      <c r="I457" s="24"/>
      <c r="J457" s="24"/>
      <c r="K457" s="25"/>
    </row>
    <row r="458" s="5" customFormat="1" ht="16.5" spans="1:11">
      <c r="A458" s="22"/>
      <c r="B458" s="23"/>
      <c r="C458" s="24"/>
      <c r="D458" s="24"/>
      <c r="E458" s="24"/>
      <c r="F458" s="24"/>
      <c r="G458" s="24"/>
      <c r="H458" s="24"/>
      <c r="I458" s="24"/>
      <c r="J458" s="24"/>
      <c r="K458" s="25"/>
    </row>
    <row r="459" s="5" customFormat="1" ht="16.5" spans="1:11">
      <c r="A459" s="22"/>
      <c r="B459" s="23"/>
      <c r="C459" s="24"/>
      <c r="D459" s="24"/>
      <c r="E459" s="24"/>
      <c r="F459" s="24"/>
      <c r="G459" s="24"/>
      <c r="H459" s="24"/>
      <c r="I459" s="24"/>
      <c r="J459" s="24"/>
      <c r="K459" s="25"/>
    </row>
    <row r="460" s="5" customFormat="1" ht="16.5" spans="1:11">
      <c r="A460" s="22"/>
      <c r="B460" s="23"/>
      <c r="C460" s="24"/>
      <c r="D460" s="24"/>
      <c r="E460" s="24"/>
      <c r="F460" s="24"/>
      <c r="G460" s="24"/>
      <c r="H460" s="24"/>
      <c r="I460" s="24"/>
      <c r="J460" s="24"/>
      <c r="K460" s="25"/>
    </row>
    <row r="461" s="5" customFormat="1" ht="16.5" spans="1:11">
      <c r="A461" s="22"/>
      <c r="B461" s="23"/>
      <c r="C461" s="24"/>
      <c r="D461" s="24"/>
      <c r="E461" s="24"/>
      <c r="F461" s="24"/>
      <c r="G461" s="24"/>
      <c r="H461" s="24"/>
      <c r="I461" s="24"/>
      <c r="J461" s="24"/>
      <c r="K461" s="25"/>
    </row>
    <row r="462" s="5" customFormat="1" ht="16.5" spans="1:11">
      <c r="A462" s="22"/>
      <c r="B462" s="23"/>
      <c r="C462" s="24"/>
      <c r="D462" s="24"/>
      <c r="E462" s="24"/>
      <c r="F462" s="24"/>
      <c r="G462" s="24"/>
      <c r="H462" s="24"/>
      <c r="I462" s="24"/>
      <c r="J462" s="24"/>
      <c r="K462" s="25"/>
    </row>
    <row r="463" s="5" customFormat="1" ht="16.5" spans="1:11">
      <c r="A463" s="22"/>
      <c r="B463" s="23"/>
      <c r="C463" s="24"/>
      <c r="D463" s="24"/>
      <c r="E463" s="24"/>
      <c r="F463" s="24"/>
      <c r="G463" s="24"/>
      <c r="H463" s="24"/>
      <c r="I463" s="24"/>
      <c r="J463" s="24"/>
      <c r="K463" s="25"/>
    </row>
    <row r="464" s="5" customFormat="1" ht="16.5" spans="1:11">
      <c r="A464" s="22"/>
      <c r="B464" s="23"/>
      <c r="C464" s="24"/>
      <c r="D464" s="24"/>
      <c r="E464" s="24"/>
      <c r="F464" s="24"/>
      <c r="G464" s="24"/>
      <c r="H464" s="24"/>
      <c r="I464" s="24"/>
      <c r="J464" s="24"/>
      <c r="K464" s="25"/>
    </row>
    <row r="465" s="5" customFormat="1" ht="16.5" spans="1:11">
      <c r="A465" s="22"/>
      <c r="B465" s="23"/>
      <c r="C465" s="24"/>
      <c r="D465" s="24"/>
      <c r="E465" s="24"/>
      <c r="F465" s="24"/>
      <c r="G465" s="24"/>
      <c r="H465" s="24"/>
      <c r="I465" s="24"/>
      <c r="J465" s="24"/>
      <c r="K465" s="25"/>
    </row>
    <row r="466" s="5" customFormat="1" ht="16.5" spans="1:11">
      <c r="A466" s="22"/>
      <c r="B466" s="23"/>
      <c r="C466" s="24"/>
      <c r="D466" s="24"/>
      <c r="E466" s="24"/>
      <c r="F466" s="24"/>
      <c r="G466" s="24"/>
      <c r="H466" s="24"/>
      <c r="I466" s="24"/>
      <c r="J466" s="24"/>
      <c r="K466" s="25"/>
    </row>
    <row r="467" s="5" customFormat="1" ht="16.5" spans="1:11">
      <c r="A467" s="22"/>
      <c r="B467" s="23"/>
      <c r="C467" s="24"/>
      <c r="D467" s="24"/>
      <c r="E467" s="24"/>
      <c r="F467" s="24"/>
      <c r="G467" s="24"/>
      <c r="H467" s="24"/>
      <c r="I467" s="24"/>
      <c r="J467" s="24"/>
      <c r="K467" s="25"/>
    </row>
    <row r="468" s="5" customFormat="1" ht="16.5" spans="1:11">
      <c r="A468" s="22"/>
      <c r="B468" s="23"/>
      <c r="C468" s="24"/>
      <c r="D468" s="24"/>
      <c r="E468" s="24"/>
      <c r="F468" s="24"/>
      <c r="G468" s="24"/>
      <c r="H468" s="24"/>
      <c r="I468" s="24"/>
      <c r="J468" s="24"/>
      <c r="K468" s="25"/>
    </row>
    <row r="469" s="5" customFormat="1" ht="16.5" spans="1:11">
      <c r="A469" s="22"/>
      <c r="B469" s="23"/>
      <c r="C469" s="24"/>
      <c r="D469" s="24"/>
      <c r="E469" s="24"/>
      <c r="F469" s="24"/>
      <c r="G469" s="24"/>
      <c r="H469" s="24"/>
      <c r="I469" s="24"/>
      <c r="J469" s="24"/>
      <c r="K469" s="25"/>
    </row>
    <row r="470" s="5" customFormat="1" ht="16.5" spans="1:11">
      <c r="A470" s="22"/>
      <c r="B470" s="23"/>
      <c r="C470" s="24"/>
      <c r="D470" s="24"/>
      <c r="E470" s="24"/>
      <c r="F470" s="24"/>
      <c r="G470" s="24"/>
      <c r="H470" s="24"/>
      <c r="I470" s="24"/>
      <c r="J470" s="24"/>
      <c r="K470" s="25"/>
    </row>
    <row r="471" s="5" customFormat="1" ht="16.5" spans="1:11">
      <c r="A471" s="22"/>
      <c r="B471" s="23"/>
      <c r="C471" s="24"/>
      <c r="D471" s="24"/>
      <c r="E471" s="24"/>
      <c r="F471" s="24"/>
      <c r="G471" s="24"/>
      <c r="H471" s="24"/>
      <c r="I471" s="24"/>
      <c r="J471" s="24"/>
      <c r="K471" s="25"/>
    </row>
    <row r="472" s="5" customFormat="1" ht="16.5" spans="1:11">
      <c r="A472" s="22"/>
      <c r="B472" s="23"/>
      <c r="C472" s="24"/>
      <c r="D472" s="24"/>
      <c r="E472" s="24"/>
      <c r="F472" s="24"/>
      <c r="G472" s="24"/>
      <c r="H472" s="24"/>
      <c r="I472" s="24"/>
      <c r="J472" s="24"/>
      <c r="K472" s="25"/>
    </row>
    <row r="473" s="5" customFormat="1" ht="16.5" spans="1:11">
      <c r="A473" s="22"/>
      <c r="B473" s="23"/>
      <c r="C473" s="24"/>
      <c r="D473" s="24"/>
      <c r="E473" s="24"/>
      <c r="F473" s="24"/>
      <c r="G473" s="24"/>
      <c r="H473" s="24"/>
      <c r="I473" s="24"/>
      <c r="J473" s="24"/>
      <c r="K473" s="25"/>
    </row>
    <row r="474" s="5" customFormat="1" ht="16.5" spans="1:11">
      <c r="A474" s="22"/>
      <c r="B474" s="23"/>
      <c r="C474" s="24"/>
      <c r="D474" s="24"/>
      <c r="E474" s="24"/>
      <c r="F474" s="24"/>
      <c r="G474" s="24"/>
      <c r="H474" s="24"/>
      <c r="I474" s="24"/>
      <c r="J474" s="24"/>
      <c r="K474" s="25"/>
    </row>
    <row r="475" s="5" customFormat="1" ht="16.5" spans="1:11">
      <c r="A475" s="22"/>
      <c r="B475" s="23"/>
      <c r="C475" s="24"/>
      <c r="D475" s="24"/>
      <c r="E475" s="24"/>
      <c r="F475" s="24"/>
      <c r="G475" s="24"/>
      <c r="H475" s="24"/>
      <c r="I475" s="24"/>
      <c r="J475" s="24"/>
      <c r="K475" s="25"/>
    </row>
    <row r="476" s="5" customFormat="1" ht="16.5" spans="1:11">
      <c r="A476" s="22"/>
      <c r="B476" s="23"/>
      <c r="C476" s="24"/>
      <c r="D476" s="24"/>
      <c r="E476" s="24"/>
      <c r="F476" s="24"/>
      <c r="G476" s="24"/>
      <c r="H476" s="24"/>
      <c r="I476" s="24"/>
      <c r="J476" s="24"/>
      <c r="K476" s="25"/>
    </row>
    <row r="477" s="5" customFormat="1" ht="16.5" spans="1:11">
      <c r="A477" s="22"/>
      <c r="B477" s="23"/>
      <c r="C477" s="24"/>
      <c r="D477" s="24"/>
      <c r="E477" s="24"/>
      <c r="F477" s="24"/>
      <c r="G477" s="24"/>
      <c r="H477" s="24"/>
      <c r="I477" s="24"/>
      <c r="J477" s="24"/>
      <c r="K477" s="25"/>
    </row>
    <row r="478" s="5" customFormat="1" ht="16.5" spans="1:11">
      <c r="A478" s="22"/>
      <c r="B478" s="23"/>
      <c r="C478" s="24"/>
      <c r="D478" s="24"/>
      <c r="E478" s="24"/>
      <c r="F478" s="24"/>
      <c r="G478" s="24"/>
      <c r="H478" s="24"/>
      <c r="I478" s="24"/>
      <c r="J478" s="24"/>
      <c r="K478" s="25"/>
    </row>
    <row r="479" s="5" customFormat="1" ht="16.5" spans="1:11">
      <c r="A479" s="22"/>
      <c r="B479" s="23"/>
      <c r="C479" s="24"/>
      <c r="D479" s="24"/>
      <c r="E479" s="24"/>
      <c r="F479" s="24"/>
      <c r="G479" s="24"/>
      <c r="H479" s="24"/>
      <c r="I479" s="24"/>
      <c r="J479" s="24"/>
      <c r="K479" s="25"/>
    </row>
    <row r="480" s="5" customFormat="1" ht="16.5" spans="1:11">
      <c r="A480" s="22"/>
      <c r="B480" s="23"/>
      <c r="C480" s="24"/>
      <c r="D480" s="24"/>
      <c r="E480" s="24"/>
      <c r="F480" s="24"/>
      <c r="G480" s="24"/>
      <c r="H480" s="24"/>
      <c r="I480" s="24"/>
      <c r="J480" s="24"/>
      <c r="K480" s="25"/>
    </row>
    <row r="481" s="5" customFormat="1" ht="16.5" spans="1:11">
      <c r="A481" s="22"/>
      <c r="B481" s="23"/>
      <c r="C481" s="24"/>
      <c r="D481" s="24"/>
      <c r="E481" s="24"/>
      <c r="F481" s="24"/>
      <c r="G481" s="24"/>
      <c r="H481" s="24"/>
      <c r="I481" s="24"/>
      <c r="J481" s="24"/>
      <c r="K481" s="25"/>
    </row>
    <row r="482" s="5" customFormat="1" ht="16.5" spans="1:11">
      <c r="A482" s="22"/>
      <c r="B482" s="23"/>
      <c r="C482" s="24"/>
      <c r="D482" s="24"/>
      <c r="E482" s="24"/>
      <c r="F482" s="24"/>
      <c r="G482" s="24"/>
      <c r="H482" s="24"/>
      <c r="I482" s="24"/>
      <c r="J482" s="24"/>
      <c r="K482" s="25"/>
    </row>
    <row r="483" s="5" customFormat="1" ht="16.5" spans="1:11">
      <c r="A483" s="22"/>
      <c r="B483" s="23"/>
      <c r="C483" s="24"/>
      <c r="D483" s="24"/>
      <c r="E483" s="24"/>
      <c r="F483" s="24"/>
      <c r="G483" s="24"/>
      <c r="H483" s="24"/>
      <c r="I483" s="24"/>
      <c r="J483" s="24"/>
      <c r="K483" s="25"/>
    </row>
    <row r="484" s="5" customFormat="1" ht="16.5" spans="1:11">
      <c r="A484" s="22"/>
      <c r="B484" s="23"/>
      <c r="C484" s="24"/>
      <c r="D484" s="24"/>
      <c r="E484" s="24"/>
      <c r="F484" s="24"/>
      <c r="G484" s="24"/>
      <c r="H484" s="24"/>
      <c r="I484" s="24"/>
      <c r="J484" s="24"/>
      <c r="K484" s="25"/>
    </row>
    <row r="485" s="5" customFormat="1" ht="16.5" spans="1:11">
      <c r="A485" s="22"/>
      <c r="B485" s="23"/>
      <c r="C485" s="24"/>
      <c r="D485" s="24"/>
      <c r="E485" s="24"/>
      <c r="F485" s="24"/>
      <c r="G485" s="24"/>
      <c r="H485" s="24"/>
      <c r="I485" s="24"/>
      <c r="J485" s="24"/>
      <c r="K485" s="25"/>
    </row>
    <row r="486" s="5" customFormat="1" ht="16.5" spans="1:11">
      <c r="A486" s="22"/>
      <c r="B486" s="23"/>
      <c r="C486" s="24"/>
      <c r="D486" s="24"/>
      <c r="E486" s="24"/>
      <c r="F486" s="24"/>
      <c r="G486" s="24"/>
      <c r="H486" s="24"/>
      <c r="I486" s="24"/>
      <c r="J486" s="24"/>
      <c r="K486" s="25"/>
    </row>
    <row r="487" s="5" customFormat="1" ht="16.5" spans="1:11">
      <c r="A487" s="22"/>
      <c r="B487" s="23"/>
      <c r="C487" s="24"/>
      <c r="D487" s="24"/>
      <c r="E487" s="24"/>
      <c r="F487" s="24"/>
      <c r="G487" s="24"/>
      <c r="H487" s="24"/>
      <c r="I487" s="24"/>
      <c r="J487" s="24"/>
      <c r="K487" s="25"/>
    </row>
    <row r="488" s="5" customFormat="1" ht="16.5" spans="1:11">
      <c r="A488" s="22"/>
      <c r="B488" s="23"/>
      <c r="C488" s="24"/>
      <c r="D488" s="24"/>
      <c r="E488" s="24"/>
      <c r="F488" s="24"/>
      <c r="G488" s="24"/>
      <c r="H488" s="24"/>
      <c r="I488" s="24"/>
      <c r="J488" s="24"/>
      <c r="K488" s="25"/>
    </row>
    <row r="489" s="5" customFormat="1" ht="16.5" spans="1:11">
      <c r="A489" s="22"/>
      <c r="B489" s="23"/>
      <c r="C489" s="24"/>
      <c r="D489" s="24"/>
      <c r="E489" s="24"/>
      <c r="F489" s="24"/>
      <c r="G489" s="24"/>
      <c r="H489" s="24"/>
      <c r="I489" s="24"/>
      <c r="J489" s="24"/>
      <c r="K489" s="25"/>
    </row>
    <row r="490" s="5" customFormat="1" ht="16.5" spans="1:11">
      <c r="A490" s="22"/>
      <c r="B490" s="23"/>
      <c r="C490" s="24"/>
      <c r="D490" s="24"/>
      <c r="E490" s="24"/>
      <c r="F490" s="24"/>
      <c r="G490" s="24"/>
      <c r="H490" s="24"/>
      <c r="I490" s="24"/>
      <c r="J490" s="24"/>
      <c r="K490" s="25"/>
    </row>
    <row r="491" s="5" customFormat="1" ht="16.5" spans="1:11">
      <c r="A491" s="22"/>
      <c r="B491" s="23"/>
      <c r="C491" s="24"/>
      <c r="D491" s="24"/>
      <c r="E491" s="24"/>
      <c r="F491" s="24"/>
      <c r="G491" s="24"/>
      <c r="H491" s="24"/>
      <c r="I491" s="24"/>
      <c r="J491" s="24"/>
      <c r="K491" s="25"/>
    </row>
    <row r="492" s="5" customFormat="1" ht="16.5" spans="1:11">
      <c r="A492" s="22"/>
      <c r="B492" s="23"/>
      <c r="C492" s="24"/>
      <c r="D492" s="24"/>
      <c r="E492" s="24"/>
      <c r="F492" s="24"/>
      <c r="G492" s="24"/>
      <c r="H492" s="24"/>
      <c r="I492" s="24"/>
      <c r="J492" s="24"/>
      <c r="K492" s="25"/>
    </row>
    <row r="493" s="5" customFormat="1" ht="16.5" spans="1:11">
      <c r="A493" s="22"/>
      <c r="B493" s="23"/>
      <c r="C493" s="24"/>
      <c r="D493" s="24"/>
      <c r="E493" s="24"/>
      <c r="F493" s="24"/>
      <c r="G493" s="24"/>
      <c r="H493" s="24"/>
      <c r="I493" s="24"/>
      <c r="J493" s="24"/>
      <c r="K493" s="25"/>
    </row>
    <row r="494" s="5" customFormat="1" ht="16.5" spans="1:11">
      <c r="A494" s="22"/>
      <c r="B494" s="23"/>
      <c r="C494" s="24"/>
      <c r="D494" s="24"/>
      <c r="E494" s="24"/>
      <c r="F494" s="24"/>
      <c r="G494" s="24"/>
      <c r="H494" s="24"/>
      <c r="I494" s="24"/>
      <c r="J494" s="24"/>
      <c r="K494" s="25"/>
    </row>
    <row r="495" s="5" customFormat="1" ht="16.5" spans="1:11">
      <c r="A495" s="22"/>
      <c r="B495" s="23"/>
      <c r="C495" s="24"/>
      <c r="D495" s="24"/>
      <c r="E495" s="24"/>
      <c r="F495" s="24"/>
      <c r="G495" s="24"/>
      <c r="H495" s="24"/>
      <c r="I495" s="24"/>
      <c r="J495" s="24"/>
      <c r="K495" s="25"/>
    </row>
    <row r="496" s="5" customFormat="1" ht="16.5" spans="1:11">
      <c r="A496" s="22"/>
      <c r="B496" s="23"/>
      <c r="C496" s="24"/>
      <c r="D496" s="24"/>
      <c r="E496" s="24"/>
      <c r="F496" s="24"/>
      <c r="G496" s="24"/>
      <c r="H496" s="24"/>
      <c r="I496" s="24"/>
      <c r="J496" s="24"/>
      <c r="K496" s="25"/>
    </row>
    <row r="497" s="5" customFormat="1" ht="16.5" spans="1:11">
      <c r="A497" s="22"/>
      <c r="B497" s="23"/>
      <c r="C497" s="24"/>
      <c r="D497" s="24"/>
      <c r="E497" s="24"/>
      <c r="F497" s="24"/>
      <c r="G497" s="24"/>
      <c r="H497" s="24"/>
      <c r="I497" s="24"/>
      <c r="J497" s="24"/>
      <c r="K497" s="25"/>
    </row>
    <row r="498" s="5" customFormat="1" ht="16.5" spans="1:11">
      <c r="A498" s="22"/>
      <c r="B498" s="23"/>
      <c r="C498" s="24"/>
      <c r="D498" s="24"/>
      <c r="E498" s="24"/>
      <c r="F498" s="24"/>
      <c r="G498" s="24"/>
      <c r="H498" s="24"/>
      <c r="I498" s="24"/>
      <c r="J498" s="24"/>
      <c r="K498" s="25"/>
    </row>
    <row r="499" s="5" customFormat="1" ht="16.5" spans="1:11">
      <c r="A499" s="22"/>
      <c r="B499" s="23"/>
      <c r="C499" s="24"/>
      <c r="D499" s="24"/>
      <c r="E499" s="24"/>
      <c r="F499" s="24"/>
      <c r="G499" s="24"/>
      <c r="H499" s="24"/>
      <c r="I499" s="24"/>
      <c r="J499" s="24"/>
      <c r="K499" s="25"/>
    </row>
    <row r="500" s="5" customFormat="1" ht="16.5" spans="1:11">
      <c r="A500" s="22"/>
      <c r="B500" s="23"/>
      <c r="C500" s="24"/>
      <c r="D500" s="24"/>
      <c r="E500" s="24"/>
      <c r="F500" s="24"/>
      <c r="G500" s="24"/>
      <c r="H500" s="24"/>
      <c r="I500" s="24"/>
      <c r="J500" s="24"/>
      <c r="K500" s="25"/>
    </row>
    <row r="501" s="5" customFormat="1" ht="16.5" spans="1:11">
      <c r="A501" s="22"/>
      <c r="B501" s="23"/>
      <c r="C501" s="24"/>
      <c r="D501" s="24"/>
      <c r="E501" s="24"/>
      <c r="F501" s="24"/>
      <c r="G501" s="24"/>
      <c r="H501" s="24"/>
      <c r="I501" s="24"/>
      <c r="J501" s="24"/>
      <c r="K501" s="25"/>
    </row>
    <row r="502" s="5" customFormat="1" ht="16.5" spans="1:11">
      <c r="A502" s="22"/>
      <c r="B502" s="23"/>
      <c r="C502" s="24"/>
      <c r="D502" s="24"/>
      <c r="E502" s="24"/>
      <c r="F502" s="24"/>
      <c r="G502" s="24"/>
      <c r="H502" s="24"/>
      <c r="I502" s="24"/>
      <c r="J502" s="24"/>
      <c r="K502" s="25"/>
    </row>
    <row r="503" s="5" customFormat="1" ht="16.5" spans="1:11">
      <c r="A503" s="22"/>
      <c r="B503" s="23"/>
      <c r="C503" s="24"/>
      <c r="D503" s="24"/>
      <c r="E503" s="24"/>
      <c r="F503" s="24"/>
      <c r="G503" s="24"/>
      <c r="H503" s="24"/>
      <c r="I503" s="24"/>
      <c r="J503" s="24"/>
      <c r="K503" s="25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3"/>
  <sheetViews>
    <sheetView showGridLines="0" workbookViewId="0">
      <pane ySplit="3" topLeftCell="A4" activePane="bottomLeft" state="frozen"/>
      <selection/>
      <selection pane="bottomLeft" activeCell="F16" sqref="F16"/>
    </sheetView>
  </sheetViews>
  <sheetFormatPr defaultColWidth="9" defaultRowHeight="13.5"/>
  <cols>
    <col min="1" max="1" width="8" customWidth="1"/>
    <col min="2" max="2" width="12" style="6" customWidth="1"/>
    <col min="3" max="3" width="18" style="7" customWidth="1"/>
    <col min="4" max="4" width="14" style="8" customWidth="1"/>
    <col min="5" max="5" width="20" style="7" customWidth="1"/>
    <col min="6" max="6" width="18" style="8" customWidth="1"/>
    <col min="7" max="8" width="12" style="7" customWidth="1"/>
    <col min="9" max="9" width="16" style="7" customWidth="1"/>
    <col min="10" max="10" width="12" style="8" customWidth="1"/>
    <col min="11" max="11" width="7.375" style="9" customWidth="1"/>
    <col min="12" max="16373" width="10" style="5" customWidth="1"/>
    <col min="16374" max="16374" width="10" style="5"/>
    <col min="16375" max="16378" width="9" style="5"/>
    <col min="16379" max="16379" width="10" style="5"/>
    <col min="16380" max="16384" width="9" style="5"/>
  </cols>
  <sheetData>
    <row r="1" s="5" customFormat="1" ht="28" customHeight="1" spans="1:11">
      <c r="A1" s="10" t="s">
        <v>308</v>
      </c>
      <c r="B1" s="11"/>
      <c r="C1" s="12"/>
      <c r="D1" s="12"/>
      <c r="E1" s="12"/>
      <c r="F1" s="12"/>
      <c r="G1" s="12"/>
      <c r="H1" s="12"/>
      <c r="I1" s="12"/>
      <c r="J1" s="12"/>
      <c r="K1" s="13"/>
    </row>
    <row r="2" s="5" customFormat="1" ht="24" customHeight="1" spans="1:11">
      <c r="A2" s="14" t="s">
        <v>295</v>
      </c>
      <c r="B2" s="15" t="s">
        <v>109</v>
      </c>
      <c r="C2" s="16" t="s">
        <v>100</v>
      </c>
      <c r="D2" s="17">
        <f>IFERROR(VLOOKUP($B$2,数据录入!$C$5:$H$18,6,0),0)</f>
        <v>0</v>
      </c>
      <c r="E2" s="16" t="s">
        <v>296</v>
      </c>
      <c r="F2" s="17">
        <f>SUMIFS(数据录入!$F$19:$F$10000,数据录入!$C$19:$C$10000,$B$2)</f>
        <v>0</v>
      </c>
      <c r="G2" s="16" t="s">
        <v>297</v>
      </c>
      <c r="H2" s="17">
        <f>SUMIFS(数据录入!$G$19:$G$10000,数据录入!$C$19:$C$10000,$B$2)</f>
        <v>0</v>
      </c>
      <c r="I2" s="16" t="s">
        <v>298</v>
      </c>
      <c r="J2" s="17">
        <f>D2+F2-H2</f>
        <v>0</v>
      </c>
      <c r="K2" s="18"/>
    </row>
    <row r="3" s="5" customFormat="1" ht="24" customHeight="1" spans="1:11">
      <c r="A3" s="19" t="s">
        <v>92</v>
      </c>
      <c r="B3" s="19" t="s">
        <v>93</v>
      </c>
      <c r="C3" s="19" t="s">
        <v>94</v>
      </c>
      <c r="D3" s="19" t="s">
        <v>38</v>
      </c>
      <c r="E3" s="19" t="s">
        <v>95</v>
      </c>
      <c r="F3" s="19" t="s">
        <v>96</v>
      </c>
      <c r="G3" s="19" t="s">
        <v>97</v>
      </c>
      <c r="H3" s="19" t="s">
        <v>91</v>
      </c>
      <c r="I3" s="20" t="s">
        <v>39</v>
      </c>
      <c r="J3" s="20" t="s">
        <v>41</v>
      </c>
      <c r="K3" s="21" t="s">
        <v>98</v>
      </c>
    </row>
    <row r="4" s="5" customFormat="1" ht="20" customHeight="1" spans="1:11">
      <c r="A4" s="22" vm="1" t="e" cm="1">
        <f t="array" ref="A4">_xlfn._xlws.FILTER(数据录入!$A$19:$K$10000,数据录入!$C$19:$C$10000=$B$2)</f>
        <v>#VALUE!</v>
      </c>
      <c r="B4" s="23"/>
      <c r="C4" s="24"/>
      <c r="D4" s="24"/>
      <c r="E4" s="24"/>
      <c r="F4" s="24"/>
      <c r="G4" s="24"/>
      <c r="H4" s="24"/>
      <c r="I4" s="24"/>
      <c r="J4" s="24"/>
      <c r="K4" s="25"/>
    </row>
    <row r="5" s="5" customFormat="1" ht="20" customHeight="1" spans="1:11">
      <c r="A5" s="22"/>
      <c r="B5" s="23"/>
      <c r="C5" s="24"/>
      <c r="D5" s="24"/>
      <c r="E5" s="24"/>
      <c r="F5" s="24"/>
      <c r="G5" s="24"/>
      <c r="H5" s="24"/>
      <c r="I5" s="24"/>
      <c r="J5" s="24"/>
      <c r="K5" s="25"/>
    </row>
    <row r="6" s="5" customFormat="1" ht="20" customHeight="1" spans="1:11">
      <c r="A6" s="22"/>
      <c r="B6" s="23"/>
      <c r="C6" s="24"/>
      <c r="D6" s="24"/>
      <c r="E6" s="24"/>
      <c r="F6" s="24"/>
      <c r="G6" s="24"/>
      <c r="H6" s="24"/>
      <c r="I6" s="24"/>
      <c r="J6" s="24"/>
      <c r="K6" s="25"/>
    </row>
    <row r="7" s="5" customFormat="1" ht="20" customHeight="1" spans="1:11">
      <c r="A7" s="22"/>
      <c r="B7" s="23"/>
      <c r="C7" s="24"/>
      <c r="D7" s="24"/>
      <c r="E7" s="24"/>
      <c r="F7" s="24"/>
      <c r="G7" s="24"/>
      <c r="H7" s="24"/>
      <c r="I7" s="24"/>
      <c r="J7" s="24"/>
      <c r="K7" s="25"/>
    </row>
    <row r="8" s="5" customFormat="1" ht="20" customHeight="1" spans="1:11">
      <c r="A8" s="22"/>
      <c r="B8" s="23"/>
      <c r="C8" s="24"/>
      <c r="D8" s="24"/>
      <c r="E8" s="24"/>
      <c r="F8" s="24"/>
      <c r="G8" s="24"/>
      <c r="H8" s="24"/>
      <c r="I8" s="24"/>
      <c r="J8" s="24"/>
      <c r="K8" s="25"/>
    </row>
    <row r="9" s="5" customFormat="1" ht="20" customHeight="1" spans="1:11">
      <c r="A9" s="22"/>
      <c r="B9" s="23"/>
      <c r="C9" s="24"/>
      <c r="D9" s="24"/>
      <c r="E9" s="24"/>
      <c r="F9" s="24"/>
      <c r="G9" s="24"/>
      <c r="H9" s="24"/>
      <c r="I9" s="24"/>
      <c r="J9" s="24"/>
      <c r="K9" s="25"/>
    </row>
    <row r="10" s="5" customFormat="1" ht="20" customHeight="1" spans="1:11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5"/>
    </row>
    <row r="11" s="5" customFormat="1" ht="20" customHeight="1" spans="1:11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5"/>
    </row>
    <row r="12" s="5" customFormat="1" ht="20" customHeight="1" spans="1:11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5"/>
    </row>
    <row r="13" s="5" customFormat="1" ht="20" customHeight="1" spans="1:11">
      <c r="A13" s="22"/>
      <c r="B13" s="23"/>
      <c r="C13" s="24"/>
      <c r="D13" s="24"/>
      <c r="E13" s="24"/>
      <c r="F13" s="24"/>
      <c r="G13" s="24"/>
      <c r="H13" s="24"/>
      <c r="I13" s="24"/>
      <c r="J13" s="24"/>
      <c r="K13" s="25"/>
    </row>
    <row r="14" s="5" customFormat="1" ht="20" customHeight="1" spans="1:1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5"/>
    </row>
    <row r="15" s="5" customFormat="1" ht="20" customHeight="1" spans="1:11">
      <c r="A15" s="22"/>
      <c r="B15" s="23"/>
      <c r="C15" s="24"/>
      <c r="D15" s="24"/>
      <c r="E15" s="24"/>
      <c r="F15" s="24"/>
      <c r="G15" s="24"/>
      <c r="H15" s="24"/>
      <c r="I15" s="24"/>
      <c r="J15" s="24"/>
      <c r="K15" s="25"/>
    </row>
    <row r="16" s="5" customFormat="1" ht="20" customHeight="1" spans="1:11">
      <c r="A16" s="22"/>
      <c r="B16" s="23"/>
      <c r="C16" s="24"/>
      <c r="D16" s="24"/>
      <c r="E16" s="24"/>
      <c r="F16" s="24"/>
      <c r="G16" s="24"/>
      <c r="H16" s="24"/>
      <c r="I16" s="24"/>
      <c r="J16" s="24"/>
      <c r="K16" s="25"/>
    </row>
    <row r="17" s="5" customFormat="1" ht="20" customHeight="1" spans="1:11">
      <c r="A17" s="22"/>
      <c r="B17" s="23"/>
      <c r="C17" s="24"/>
      <c r="D17" s="24"/>
      <c r="E17" s="24"/>
      <c r="F17" s="24"/>
      <c r="G17" s="24"/>
      <c r="H17" s="24"/>
      <c r="I17" s="24"/>
      <c r="J17" s="24"/>
      <c r="K17" s="25"/>
    </row>
    <row r="18" s="5" customFormat="1" ht="20" customHeight="1" spans="1:11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5"/>
    </row>
    <row r="19" s="5" customFormat="1" ht="20" customHeight="1" spans="1:11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25"/>
    </row>
    <row r="20" s="5" customFormat="1" ht="20" customHeight="1" spans="1:11">
      <c r="A20" s="22"/>
      <c r="B20" s="23"/>
      <c r="C20" s="24"/>
      <c r="D20" s="24"/>
      <c r="E20" s="24"/>
      <c r="F20" s="24"/>
      <c r="G20" s="24"/>
      <c r="H20" s="24"/>
      <c r="I20" s="24"/>
      <c r="J20" s="24"/>
      <c r="K20" s="25"/>
    </row>
    <row r="21" s="5" customFormat="1" ht="20" customHeight="1" spans="1:11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5"/>
    </row>
    <row r="22" s="5" customFormat="1" ht="20" customHeight="1" spans="1:11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5"/>
    </row>
    <row r="23" s="5" customFormat="1" ht="20" customHeight="1" spans="1:11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5"/>
    </row>
    <row r="24" s="5" customFormat="1" ht="20" customHeight="1" spans="1:11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5"/>
    </row>
    <row r="25" s="5" customFormat="1" ht="20" customHeight="1" spans="1:11">
      <c r="A25" s="22"/>
      <c r="B25" s="23"/>
      <c r="C25" s="24"/>
      <c r="D25" s="24"/>
      <c r="E25" s="24"/>
      <c r="F25" s="24"/>
      <c r="G25" s="24"/>
      <c r="H25" s="24"/>
      <c r="I25" s="24"/>
      <c r="J25" s="24"/>
      <c r="K25" s="25"/>
    </row>
    <row r="26" s="5" customFormat="1" ht="20" customHeight="1" spans="1:11">
      <c r="A26" s="22"/>
      <c r="B26" s="23"/>
      <c r="C26" s="24"/>
      <c r="D26" s="24"/>
      <c r="E26" s="24"/>
      <c r="F26" s="24"/>
      <c r="G26" s="24"/>
      <c r="H26" s="24"/>
      <c r="I26" s="24"/>
      <c r="J26" s="24"/>
      <c r="K26" s="25"/>
    </row>
    <row r="27" s="5" customFormat="1" ht="20" customHeight="1" spans="1:11">
      <c r="A27" s="22"/>
      <c r="B27" s="23"/>
      <c r="C27" s="24"/>
      <c r="D27" s="24"/>
      <c r="E27" s="24"/>
      <c r="F27" s="24"/>
      <c r="G27" s="24"/>
      <c r="H27" s="24"/>
      <c r="I27" s="24"/>
      <c r="J27" s="24"/>
      <c r="K27" s="25"/>
    </row>
    <row r="28" s="5" customFormat="1" ht="20" customHeight="1" spans="1:1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5"/>
    </row>
    <row r="29" s="5" customFormat="1" ht="20" customHeight="1" spans="1:11">
      <c r="A29" s="22"/>
      <c r="B29" s="23"/>
      <c r="C29" s="24"/>
      <c r="D29" s="24"/>
      <c r="E29" s="24"/>
      <c r="F29" s="24"/>
      <c r="G29" s="24"/>
      <c r="H29" s="24"/>
      <c r="I29" s="24"/>
      <c r="J29" s="24"/>
      <c r="K29" s="25"/>
    </row>
    <row r="30" s="5" customFormat="1" ht="20" customHeight="1" spans="1:11">
      <c r="A30" s="22"/>
      <c r="B30" s="23"/>
      <c r="C30" s="24"/>
      <c r="D30" s="24"/>
      <c r="E30" s="24"/>
      <c r="F30" s="24"/>
      <c r="G30" s="24"/>
      <c r="H30" s="24"/>
      <c r="I30" s="24"/>
      <c r="J30" s="24"/>
      <c r="K30" s="25"/>
    </row>
    <row r="31" s="5" customFormat="1" ht="20" customHeight="1" spans="1:11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5"/>
    </row>
    <row r="32" s="5" customFormat="1" ht="20" customHeight="1" spans="1:11">
      <c r="A32" s="22"/>
      <c r="B32" s="23"/>
      <c r="C32" s="24"/>
      <c r="D32" s="24"/>
      <c r="E32" s="24"/>
      <c r="F32" s="24"/>
      <c r="G32" s="24"/>
      <c r="H32" s="24"/>
      <c r="I32" s="24"/>
      <c r="J32" s="24"/>
      <c r="K32" s="25"/>
    </row>
    <row r="33" s="5" customFormat="1" ht="20" customHeight="1" spans="1:11">
      <c r="A33" s="22"/>
      <c r="B33" s="23"/>
      <c r="C33" s="24"/>
      <c r="D33" s="24"/>
      <c r="E33" s="24"/>
      <c r="F33" s="24"/>
      <c r="G33" s="24"/>
      <c r="H33" s="24"/>
      <c r="I33" s="24"/>
      <c r="J33" s="24"/>
      <c r="K33" s="25"/>
    </row>
    <row r="34" s="5" customFormat="1" ht="20" customHeight="1" spans="1:11">
      <c r="A34" s="22"/>
      <c r="B34" s="23"/>
      <c r="C34" s="24"/>
      <c r="D34" s="24"/>
      <c r="E34" s="24"/>
      <c r="F34" s="24"/>
      <c r="G34" s="24"/>
      <c r="H34" s="24"/>
      <c r="I34" s="24"/>
      <c r="J34" s="24"/>
      <c r="K34" s="25"/>
    </row>
    <row r="35" s="5" customFormat="1" ht="20" customHeight="1" spans="1:11">
      <c r="A35" s="22"/>
      <c r="B35" s="23"/>
      <c r="C35" s="24"/>
      <c r="D35" s="24"/>
      <c r="E35" s="24"/>
      <c r="F35" s="24"/>
      <c r="G35" s="24"/>
      <c r="H35" s="24"/>
      <c r="I35" s="24"/>
      <c r="J35" s="24"/>
      <c r="K35" s="25"/>
    </row>
    <row r="36" s="5" customFormat="1" ht="20" customHeight="1" spans="1:11">
      <c r="A36" s="22"/>
      <c r="B36" s="23"/>
      <c r="C36" s="24"/>
      <c r="D36" s="24"/>
      <c r="E36" s="24"/>
      <c r="F36" s="24"/>
      <c r="G36" s="24"/>
      <c r="H36" s="24"/>
      <c r="I36" s="24"/>
      <c r="J36" s="24"/>
      <c r="K36" s="25"/>
    </row>
    <row r="37" s="5" customFormat="1" ht="20" customHeight="1" spans="1:11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5"/>
    </row>
    <row r="38" s="5" customFormat="1" ht="20" customHeight="1" spans="1:11">
      <c r="A38" s="22"/>
      <c r="B38" s="23"/>
      <c r="C38" s="24"/>
      <c r="D38" s="24"/>
      <c r="E38" s="24"/>
      <c r="F38" s="24"/>
      <c r="G38" s="24"/>
      <c r="H38" s="24"/>
      <c r="I38" s="24"/>
      <c r="J38" s="24"/>
      <c r="K38" s="25"/>
    </row>
    <row r="39" s="5" customFormat="1" ht="20" customHeight="1" spans="1:11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5"/>
    </row>
    <row r="40" s="5" customFormat="1" ht="20" customHeight="1" spans="1:11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5"/>
    </row>
    <row r="41" s="5" customFormat="1" ht="20" customHeight="1" spans="1:11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5"/>
    </row>
    <row r="42" s="5" customFormat="1" ht="20" customHeight="1" spans="1:11">
      <c r="A42" s="22"/>
      <c r="B42" s="23"/>
      <c r="C42" s="24"/>
      <c r="D42" s="24"/>
      <c r="E42" s="24"/>
      <c r="F42" s="24"/>
      <c r="G42" s="24"/>
      <c r="H42" s="24"/>
      <c r="I42" s="24"/>
      <c r="J42" s="24"/>
      <c r="K42" s="25"/>
    </row>
    <row r="43" s="5" customFormat="1" ht="20" customHeight="1" spans="1:1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5"/>
    </row>
    <row r="44" s="5" customFormat="1" ht="20" customHeight="1" spans="1:11">
      <c r="A44" s="22"/>
      <c r="B44" s="23"/>
      <c r="C44" s="24"/>
      <c r="D44" s="24"/>
      <c r="E44" s="24"/>
      <c r="F44" s="24"/>
      <c r="G44" s="24"/>
      <c r="H44" s="24"/>
      <c r="I44" s="24"/>
      <c r="J44" s="24"/>
      <c r="K44" s="25"/>
    </row>
    <row r="45" s="5" customFormat="1" ht="20" customHeight="1" spans="1:11">
      <c r="A45" s="22"/>
      <c r="B45" s="23"/>
      <c r="C45" s="24"/>
      <c r="D45" s="24"/>
      <c r="E45" s="24"/>
      <c r="F45" s="24"/>
      <c r="G45" s="24"/>
      <c r="H45" s="24"/>
      <c r="I45" s="24"/>
      <c r="J45" s="24"/>
      <c r="K45" s="25"/>
    </row>
    <row r="46" s="5" customFormat="1" ht="20" customHeight="1" spans="1:11">
      <c r="A46" s="22"/>
      <c r="B46" s="23"/>
      <c r="C46" s="24"/>
      <c r="D46" s="24"/>
      <c r="E46" s="24"/>
      <c r="F46" s="24"/>
      <c r="G46" s="24"/>
      <c r="H46" s="24"/>
      <c r="I46" s="24"/>
      <c r="J46" s="24"/>
      <c r="K46" s="25"/>
    </row>
    <row r="47" s="5" customFormat="1" ht="20" customHeight="1" spans="1:11">
      <c r="A47" s="22"/>
      <c r="B47" s="23"/>
      <c r="C47" s="24"/>
      <c r="D47" s="24"/>
      <c r="E47" s="24"/>
      <c r="F47" s="24"/>
      <c r="G47" s="24"/>
      <c r="H47" s="24"/>
      <c r="I47" s="24"/>
      <c r="J47" s="24"/>
      <c r="K47" s="25"/>
    </row>
    <row r="48" s="5" customFormat="1" ht="20" customHeight="1" spans="1:11">
      <c r="A48" s="22"/>
      <c r="B48" s="23"/>
      <c r="C48" s="24"/>
      <c r="D48" s="24"/>
      <c r="E48" s="24"/>
      <c r="F48" s="24"/>
      <c r="G48" s="24"/>
      <c r="H48" s="24"/>
      <c r="I48" s="24"/>
      <c r="J48" s="24"/>
      <c r="K48" s="25"/>
    </row>
    <row r="49" s="5" customFormat="1" ht="20" customHeight="1" spans="1:11">
      <c r="A49" s="22"/>
      <c r="B49" s="23"/>
      <c r="C49" s="24"/>
      <c r="D49" s="24"/>
      <c r="E49" s="24"/>
      <c r="F49" s="24"/>
      <c r="G49" s="24"/>
      <c r="H49" s="24"/>
      <c r="I49" s="24"/>
      <c r="J49" s="24"/>
      <c r="K49" s="25"/>
    </row>
    <row r="50" s="5" customFormat="1" ht="20" customHeight="1" spans="1:11">
      <c r="A50" s="22"/>
      <c r="B50" s="23"/>
      <c r="C50" s="24"/>
      <c r="D50" s="24"/>
      <c r="E50" s="24"/>
      <c r="F50" s="24"/>
      <c r="G50" s="24"/>
      <c r="H50" s="24"/>
      <c r="I50" s="24"/>
      <c r="J50" s="24"/>
      <c r="K50" s="25"/>
    </row>
    <row r="51" s="5" customFormat="1" ht="20" customHeight="1" spans="1:11">
      <c r="A51" s="22"/>
      <c r="B51" s="23"/>
      <c r="C51" s="24"/>
      <c r="D51" s="24"/>
      <c r="E51" s="24"/>
      <c r="F51" s="24"/>
      <c r="G51" s="24"/>
      <c r="H51" s="24"/>
      <c r="I51" s="24"/>
      <c r="J51" s="24"/>
      <c r="K51" s="25"/>
    </row>
    <row r="52" s="5" customFormat="1" ht="20" customHeight="1" spans="1:11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5"/>
    </row>
    <row r="53" s="5" customFormat="1" ht="20" customHeight="1" spans="1:11">
      <c r="A53" s="22"/>
      <c r="B53" s="23"/>
      <c r="C53" s="24"/>
      <c r="D53" s="24"/>
      <c r="E53" s="24"/>
      <c r="F53" s="24"/>
      <c r="G53" s="24"/>
      <c r="H53" s="24"/>
      <c r="I53" s="24"/>
      <c r="J53" s="24"/>
      <c r="K53" s="25"/>
    </row>
    <row r="54" s="5" customFormat="1" ht="20" customHeight="1" spans="1:11">
      <c r="A54" s="22"/>
      <c r="B54" s="23"/>
      <c r="C54" s="24"/>
      <c r="D54" s="24"/>
      <c r="E54" s="24"/>
      <c r="F54" s="24"/>
      <c r="G54" s="24"/>
      <c r="H54" s="24"/>
      <c r="I54" s="24"/>
      <c r="J54" s="24"/>
      <c r="K54" s="25"/>
    </row>
    <row r="55" s="5" customFormat="1" ht="20" customHeight="1" spans="1:11">
      <c r="A55" s="22"/>
      <c r="B55" s="23"/>
      <c r="C55" s="24"/>
      <c r="D55" s="24"/>
      <c r="E55" s="24"/>
      <c r="F55" s="24"/>
      <c r="G55" s="24"/>
      <c r="H55" s="24"/>
      <c r="I55" s="24"/>
      <c r="J55" s="24"/>
      <c r="K55" s="25"/>
    </row>
    <row r="56" s="5" customFormat="1" ht="20" customHeight="1" spans="1:11">
      <c r="A56" s="22"/>
      <c r="B56" s="23"/>
      <c r="C56" s="24"/>
      <c r="D56" s="24"/>
      <c r="E56" s="24"/>
      <c r="F56" s="24"/>
      <c r="G56" s="24"/>
      <c r="H56" s="24"/>
      <c r="I56" s="24"/>
      <c r="J56" s="24"/>
      <c r="K56" s="25"/>
    </row>
    <row r="57" s="5" customFormat="1" ht="20" customHeight="1" spans="1:11">
      <c r="A57" s="22"/>
      <c r="B57" s="23"/>
      <c r="C57" s="24"/>
      <c r="D57" s="24"/>
      <c r="E57" s="24"/>
      <c r="F57" s="24"/>
      <c r="G57" s="24"/>
      <c r="H57" s="24"/>
      <c r="I57" s="24"/>
      <c r="J57" s="24"/>
      <c r="K57" s="25"/>
    </row>
    <row r="58" s="5" customFormat="1" ht="20" customHeight="1" spans="1:11">
      <c r="A58" s="22"/>
      <c r="B58" s="23"/>
      <c r="C58" s="24"/>
      <c r="D58" s="24"/>
      <c r="E58" s="24"/>
      <c r="F58" s="24"/>
      <c r="G58" s="24"/>
      <c r="H58" s="24"/>
      <c r="I58" s="24"/>
      <c r="J58" s="24"/>
      <c r="K58" s="25"/>
    </row>
    <row r="59" s="5" customFormat="1" ht="20" customHeight="1" spans="1:11">
      <c r="A59" s="22"/>
      <c r="B59" s="23"/>
      <c r="C59" s="24"/>
      <c r="D59" s="24"/>
      <c r="E59" s="24"/>
      <c r="F59" s="24"/>
      <c r="G59" s="24"/>
      <c r="H59" s="24"/>
      <c r="I59" s="24"/>
      <c r="J59" s="24"/>
      <c r="K59" s="25"/>
    </row>
    <row r="60" s="5" customFormat="1" ht="20" customHeight="1" spans="1:11">
      <c r="A60" s="22"/>
      <c r="B60" s="23"/>
      <c r="C60" s="24"/>
      <c r="D60" s="24"/>
      <c r="E60" s="24"/>
      <c r="F60" s="24"/>
      <c r="G60" s="24"/>
      <c r="H60" s="24"/>
      <c r="I60" s="24"/>
      <c r="J60" s="24"/>
      <c r="K60" s="25"/>
    </row>
    <row r="61" s="5" customFormat="1" ht="20" customHeight="1" spans="1:11">
      <c r="A61" s="22"/>
      <c r="B61" s="23"/>
      <c r="C61" s="24"/>
      <c r="D61" s="24"/>
      <c r="E61" s="24"/>
      <c r="F61" s="24"/>
      <c r="G61" s="24"/>
      <c r="H61" s="24"/>
      <c r="I61" s="24"/>
      <c r="J61" s="24"/>
      <c r="K61" s="25"/>
    </row>
    <row r="62" s="5" customFormat="1" ht="20" customHeight="1" spans="1:11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5"/>
    </row>
    <row r="63" s="5" customFormat="1" ht="20" customHeight="1" spans="1:1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5"/>
    </row>
    <row r="64" s="5" customFormat="1" ht="20" customHeight="1" spans="1:11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5"/>
    </row>
    <row r="65" s="5" customFormat="1" ht="20" customHeight="1" spans="1:11">
      <c r="A65" s="22"/>
      <c r="B65" s="23"/>
      <c r="C65" s="24"/>
      <c r="D65" s="24"/>
      <c r="E65" s="24"/>
      <c r="F65" s="24"/>
      <c r="G65" s="24"/>
      <c r="H65" s="24"/>
      <c r="I65" s="24"/>
      <c r="J65" s="24"/>
      <c r="K65" s="25"/>
    </row>
    <row r="66" s="5" customFormat="1" ht="20" customHeight="1" spans="1:11">
      <c r="A66" s="22"/>
      <c r="B66" s="23"/>
      <c r="C66" s="24"/>
      <c r="D66" s="24"/>
      <c r="E66" s="24"/>
      <c r="F66" s="24"/>
      <c r="G66" s="24"/>
      <c r="H66" s="24"/>
      <c r="I66" s="24"/>
      <c r="J66" s="24"/>
      <c r="K66" s="25"/>
    </row>
    <row r="67" s="5" customFormat="1" ht="20" customHeight="1" spans="1:11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5"/>
    </row>
    <row r="68" s="5" customFormat="1" ht="20" customHeight="1" spans="1:11">
      <c r="A68" s="22"/>
      <c r="B68" s="23"/>
      <c r="C68" s="24"/>
      <c r="D68" s="24"/>
      <c r="E68" s="24"/>
      <c r="F68" s="24"/>
      <c r="G68" s="24"/>
      <c r="H68" s="24"/>
      <c r="I68" s="24"/>
      <c r="J68" s="24"/>
      <c r="K68" s="25"/>
    </row>
    <row r="69" s="5" customFormat="1" ht="20" customHeight="1" spans="1:11">
      <c r="A69" s="22"/>
      <c r="B69" s="23"/>
      <c r="C69" s="24"/>
      <c r="D69" s="24"/>
      <c r="E69" s="24"/>
      <c r="F69" s="24"/>
      <c r="G69" s="24"/>
      <c r="H69" s="24"/>
      <c r="I69" s="24"/>
      <c r="J69" s="24"/>
      <c r="K69" s="25"/>
    </row>
    <row r="70" s="5" customFormat="1" ht="20" customHeight="1" spans="1:11">
      <c r="A70" s="22"/>
      <c r="B70" s="23"/>
      <c r="C70" s="24"/>
      <c r="D70" s="24"/>
      <c r="E70" s="24"/>
      <c r="F70" s="24"/>
      <c r="G70" s="24"/>
      <c r="H70" s="24"/>
      <c r="I70" s="24"/>
      <c r="J70" s="24"/>
      <c r="K70" s="25"/>
    </row>
    <row r="71" s="5" customFormat="1" ht="20" customHeight="1" spans="1:11">
      <c r="A71" s="22"/>
      <c r="B71" s="23"/>
      <c r="C71" s="24"/>
      <c r="D71" s="24"/>
      <c r="E71" s="24"/>
      <c r="F71" s="24"/>
      <c r="G71" s="24"/>
      <c r="H71" s="24"/>
      <c r="I71" s="24"/>
      <c r="J71" s="24"/>
      <c r="K71" s="25"/>
    </row>
    <row r="72" s="5" customFormat="1" ht="20" customHeight="1" spans="1:11">
      <c r="A72" s="22"/>
      <c r="B72" s="23"/>
      <c r="C72" s="24"/>
      <c r="D72" s="24"/>
      <c r="E72" s="24"/>
      <c r="F72" s="24"/>
      <c r="G72" s="24"/>
      <c r="H72" s="24"/>
      <c r="I72" s="24"/>
      <c r="J72" s="24"/>
      <c r="K72" s="25"/>
    </row>
    <row r="73" s="5" customFormat="1" ht="20" customHeight="1" spans="1:11">
      <c r="A73" s="22"/>
      <c r="B73" s="23"/>
      <c r="C73" s="24"/>
      <c r="D73" s="24"/>
      <c r="E73" s="24"/>
      <c r="F73" s="24"/>
      <c r="G73" s="24"/>
      <c r="H73" s="24"/>
      <c r="I73" s="24"/>
      <c r="J73" s="24"/>
      <c r="K73" s="25"/>
    </row>
    <row r="74" s="5" customFormat="1" ht="20" customHeight="1" spans="1:11">
      <c r="A74" s="22"/>
      <c r="B74" s="23"/>
      <c r="C74" s="24"/>
      <c r="D74" s="24"/>
      <c r="E74" s="24"/>
      <c r="F74" s="24"/>
      <c r="G74" s="24"/>
      <c r="H74" s="24"/>
      <c r="I74" s="24"/>
      <c r="J74" s="24"/>
      <c r="K74" s="25"/>
    </row>
    <row r="75" s="5" customFormat="1" ht="20" customHeight="1" spans="1:11">
      <c r="A75" s="22"/>
      <c r="B75" s="23"/>
      <c r="C75" s="24"/>
      <c r="D75" s="24"/>
      <c r="E75" s="24"/>
      <c r="F75" s="24"/>
      <c r="G75" s="24"/>
      <c r="H75" s="24"/>
      <c r="I75" s="24"/>
      <c r="J75" s="24"/>
      <c r="K75" s="25"/>
    </row>
    <row r="76" s="5" customFormat="1" ht="20" customHeight="1" spans="1:11">
      <c r="A76" s="22"/>
      <c r="B76" s="23"/>
      <c r="C76" s="24"/>
      <c r="D76" s="24"/>
      <c r="E76" s="24"/>
      <c r="F76" s="24"/>
      <c r="G76" s="24"/>
      <c r="H76" s="24"/>
      <c r="I76" s="24"/>
      <c r="J76" s="24"/>
      <c r="K76" s="25"/>
    </row>
    <row r="77" s="5" customFormat="1" ht="20" customHeight="1" spans="1:11">
      <c r="A77" s="22"/>
      <c r="B77" s="23"/>
      <c r="C77" s="24"/>
      <c r="D77" s="24"/>
      <c r="E77" s="24"/>
      <c r="F77" s="24"/>
      <c r="G77" s="24"/>
      <c r="H77" s="24"/>
      <c r="I77" s="24"/>
      <c r="J77" s="24"/>
      <c r="K77" s="25"/>
    </row>
    <row r="78" s="5" customFormat="1" ht="20" customHeight="1" spans="1:11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5"/>
    </row>
    <row r="79" s="5" customFormat="1" ht="20" customHeight="1" spans="1:11">
      <c r="A79" s="22"/>
      <c r="B79" s="23"/>
      <c r="C79" s="24"/>
      <c r="D79" s="24"/>
      <c r="E79" s="24"/>
      <c r="F79" s="24"/>
      <c r="G79" s="24"/>
      <c r="H79" s="24"/>
      <c r="I79" s="24"/>
      <c r="J79" s="24"/>
      <c r="K79" s="25"/>
    </row>
    <row r="80" s="5" customFormat="1" ht="20" customHeight="1" spans="1:11">
      <c r="A80" s="22"/>
      <c r="B80" s="23"/>
      <c r="C80" s="24"/>
      <c r="D80" s="24"/>
      <c r="E80" s="24"/>
      <c r="F80" s="24"/>
      <c r="G80" s="24"/>
      <c r="H80" s="24"/>
      <c r="I80" s="24"/>
      <c r="J80" s="24"/>
      <c r="K80" s="25"/>
    </row>
    <row r="81" s="5" customFormat="1" ht="20" customHeight="1" spans="1:11">
      <c r="A81" s="22"/>
      <c r="B81" s="23"/>
      <c r="C81" s="24"/>
      <c r="D81" s="24"/>
      <c r="E81" s="24"/>
      <c r="F81" s="24"/>
      <c r="G81" s="24"/>
      <c r="H81" s="24"/>
      <c r="I81" s="24"/>
      <c r="J81" s="24"/>
      <c r="K81" s="25"/>
    </row>
    <row r="82" s="5" customFormat="1" ht="20" customHeight="1" spans="1:11">
      <c r="A82" s="22"/>
      <c r="B82" s="23"/>
      <c r="C82" s="24"/>
      <c r="D82" s="24"/>
      <c r="E82" s="24"/>
      <c r="F82" s="24"/>
      <c r="G82" s="24"/>
      <c r="H82" s="24"/>
      <c r="I82" s="24"/>
      <c r="J82" s="24"/>
      <c r="K82" s="25"/>
    </row>
    <row r="83" s="5" customFormat="1" ht="20" customHeight="1" spans="1:11">
      <c r="A83" s="22"/>
      <c r="B83" s="23"/>
      <c r="C83" s="24"/>
      <c r="D83" s="24"/>
      <c r="E83" s="24"/>
      <c r="F83" s="24"/>
      <c r="G83" s="24"/>
      <c r="H83" s="24"/>
      <c r="I83" s="24"/>
      <c r="J83" s="24"/>
      <c r="K83" s="25"/>
    </row>
    <row r="84" s="5" customFormat="1" ht="20" customHeight="1" spans="1:11">
      <c r="A84" s="22"/>
      <c r="B84" s="23"/>
      <c r="C84" s="24"/>
      <c r="D84" s="24"/>
      <c r="E84" s="24"/>
      <c r="F84" s="24"/>
      <c r="G84" s="24"/>
      <c r="H84" s="24"/>
      <c r="I84" s="24"/>
      <c r="J84" s="24"/>
      <c r="K84" s="25"/>
    </row>
    <row r="85" s="5" customFormat="1" ht="20" customHeight="1" spans="1:11">
      <c r="A85" s="22"/>
      <c r="B85" s="23"/>
      <c r="C85" s="24"/>
      <c r="D85" s="24"/>
      <c r="E85" s="24"/>
      <c r="F85" s="24"/>
      <c r="G85" s="24"/>
      <c r="H85" s="24"/>
      <c r="I85" s="24"/>
      <c r="J85" s="24"/>
      <c r="K85" s="25"/>
    </row>
    <row r="86" s="5" customFormat="1" ht="20" customHeight="1" spans="1:11">
      <c r="A86" s="22"/>
      <c r="B86" s="23"/>
      <c r="C86" s="24"/>
      <c r="D86" s="24"/>
      <c r="E86" s="24"/>
      <c r="F86" s="24"/>
      <c r="G86" s="24"/>
      <c r="H86" s="24"/>
      <c r="I86" s="24"/>
      <c r="J86" s="24"/>
      <c r="K86" s="25"/>
    </row>
    <row r="87" s="5" customFormat="1" ht="20" customHeight="1" spans="1:11">
      <c r="A87" s="22"/>
      <c r="B87" s="23"/>
      <c r="C87" s="24"/>
      <c r="D87" s="24"/>
      <c r="E87" s="24"/>
      <c r="F87" s="24"/>
      <c r="G87" s="24"/>
      <c r="H87" s="24"/>
      <c r="I87" s="24"/>
      <c r="J87" s="24"/>
      <c r="K87" s="25"/>
    </row>
    <row r="88" s="5" customFormat="1" ht="20" customHeight="1" spans="1:11">
      <c r="A88" s="22"/>
      <c r="B88" s="23"/>
      <c r="C88" s="24"/>
      <c r="D88" s="24"/>
      <c r="E88" s="24"/>
      <c r="F88" s="24"/>
      <c r="G88" s="24"/>
      <c r="H88" s="24"/>
      <c r="I88" s="24"/>
      <c r="J88" s="24"/>
      <c r="K88" s="25"/>
    </row>
    <row r="89" s="5" customFormat="1" ht="20" customHeight="1" spans="1:11">
      <c r="A89" s="22"/>
      <c r="B89" s="23"/>
      <c r="C89" s="24"/>
      <c r="D89" s="24"/>
      <c r="E89" s="24"/>
      <c r="F89" s="24"/>
      <c r="G89" s="24"/>
      <c r="H89" s="24"/>
      <c r="I89" s="24"/>
      <c r="J89" s="24"/>
      <c r="K89" s="25"/>
    </row>
    <row r="90" s="5" customFormat="1" ht="20" customHeight="1" spans="1:11">
      <c r="A90" s="22"/>
      <c r="B90" s="23"/>
      <c r="C90" s="24"/>
      <c r="D90" s="24"/>
      <c r="E90" s="24"/>
      <c r="F90" s="24"/>
      <c r="G90" s="24"/>
      <c r="H90" s="24"/>
      <c r="I90" s="24"/>
      <c r="J90" s="24"/>
      <c r="K90" s="25"/>
    </row>
    <row r="91" s="5" customFormat="1" ht="20" customHeight="1" spans="1:11">
      <c r="A91" s="22"/>
      <c r="B91" s="23"/>
      <c r="C91" s="24"/>
      <c r="D91" s="24"/>
      <c r="E91" s="24"/>
      <c r="F91" s="24"/>
      <c r="G91" s="24"/>
      <c r="H91" s="24"/>
      <c r="I91" s="24"/>
      <c r="J91" s="24"/>
      <c r="K91" s="25"/>
    </row>
    <row r="92" s="5" customFormat="1" ht="20" customHeight="1" spans="1:11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5"/>
    </row>
    <row r="93" s="5" customFormat="1" ht="20" customHeight="1" spans="1:11">
      <c r="A93" s="22"/>
      <c r="B93" s="23"/>
      <c r="C93" s="24"/>
      <c r="D93" s="24"/>
      <c r="E93" s="24"/>
      <c r="F93" s="24"/>
      <c r="G93" s="24"/>
      <c r="H93" s="24"/>
      <c r="I93" s="24"/>
      <c r="J93" s="24"/>
      <c r="K93" s="25"/>
    </row>
    <row r="94" s="5" customFormat="1" ht="20" customHeight="1" spans="1:11">
      <c r="A94" s="22"/>
      <c r="B94" s="23"/>
      <c r="C94" s="24"/>
      <c r="D94" s="24"/>
      <c r="E94" s="24"/>
      <c r="F94" s="24"/>
      <c r="G94" s="24"/>
      <c r="H94" s="24"/>
      <c r="I94" s="24"/>
      <c r="J94" s="24"/>
      <c r="K94" s="25"/>
    </row>
    <row r="95" s="5" customFormat="1" ht="20" customHeight="1" spans="1:11">
      <c r="A95" s="22"/>
      <c r="B95" s="23"/>
      <c r="C95" s="24"/>
      <c r="D95" s="24"/>
      <c r="E95" s="24"/>
      <c r="F95" s="24"/>
      <c r="G95" s="24"/>
      <c r="H95" s="24"/>
      <c r="I95" s="24"/>
      <c r="J95" s="24"/>
      <c r="K95" s="25"/>
    </row>
    <row r="96" s="5" customFormat="1" ht="20" customHeight="1" spans="1:11">
      <c r="A96" s="22"/>
      <c r="B96" s="23"/>
      <c r="C96" s="24"/>
      <c r="D96" s="24"/>
      <c r="E96" s="24"/>
      <c r="F96" s="24"/>
      <c r="G96" s="24"/>
      <c r="H96" s="24"/>
      <c r="I96" s="24"/>
      <c r="J96" s="24"/>
      <c r="K96" s="25"/>
    </row>
    <row r="97" s="5" customFormat="1" ht="20" customHeight="1" spans="1:11">
      <c r="A97" s="22"/>
      <c r="B97" s="23"/>
      <c r="C97" s="24"/>
      <c r="D97" s="24"/>
      <c r="E97" s="24"/>
      <c r="F97" s="24"/>
      <c r="G97" s="24"/>
      <c r="H97" s="24"/>
      <c r="I97" s="24"/>
      <c r="J97" s="24"/>
      <c r="K97" s="25"/>
    </row>
    <row r="98" s="5" customFormat="1" ht="20" customHeight="1" spans="1:11">
      <c r="A98" s="22"/>
      <c r="B98" s="23"/>
      <c r="C98" s="24"/>
      <c r="D98" s="24"/>
      <c r="E98" s="24"/>
      <c r="F98" s="24"/>
      <c r="G98" s="24"/>
      <c r="H98" s="24"/>
      <c r="I98" s="24"/>
      <c r="J98" s="24"/>
      <c r="K98" s="25"/>
    </row>
    <row r="99" s="5" customFormat="1" ht="20" customHeight="1" spans="1:11">
      <c r="A99" s="22"/>
      <c r="B99" s="23"/>
      <c r="C99" s="24"/>
      <c r="D99" s="24"/>
      <c r="E99" s="24"/>
      <c r="F99" s="24"/>
      <c r="G99" s="24"/>
      <c r="H99" s="24"/>
      <c r="I99" s="24"/>
      <c r="J99" s="24"/>
      <c r="K99" s="25"/>
    </row>
    <row r="100" s="5" customFormat="1" ht="20" customHeight="1" spans="1:11">
      <c r="A100" s="22"/>
      <c r="B100" s="23"/>
      <c r="C100" s="24"/>
      <c r="D100" s="24"/>
      <c r="E100" s="24"/>
      <c r="F100" s="24"/>
      <c r="G100" s="24"/>
      <c r="H100" s="24"/>
      <c r="I100" s="24"/>
      <c r="J100" s="24"/>
      <c r="K100" s="25"/>
    </row>
    <row r="101" s="5" customFormat="1" ht="20" customHeight="1" spans="1:11">
      <c r="A101" s="22"/>
      <c r="B101" s="23"/>
      <c r="C101" s="24"/>
      <c r="D101" s="24"/>
      <c r="E101" s="24"/>
      <c r="F101" s="24"/>
      <c r="G101" s="24"/>
      <c r="H101" s="24"/>
      <c r="I101" s="24"/>
      <c r="J101" s="24"/>
      <c r="K101" s="25"/>
    </row>
    <row r="102" s="5" customFormat="1" ht="20" customHeight="1" spans="1:11">
      <c r="A102" s="22"/>
      <c r="B102" s="23"/>
      <c r="C102" s="24"/>
      <c r="D102" s="24"/>
      <c r="E102" s="24"/>
      <c r="F102" s="24"/>
      <c r="G102" s="24"/>
      <c r="H102" s="24"/>
      <c r="I102" s="24"/>
      <c r="J102" s="24"/>
      <c r="K102" s="25"/>
    </row>
    <row r="103" s="5" customFormat="1" ht="20" customHeight="1" spans="1:11">
      <c r="A103" s="22"/>
      <c r="B103" s="23"/>
      <c r="C103" s="24"/>
      <c r="D103" s="24"/>
      <c r="E103" s="24"/>
      <c r="F103" s="24"/>
      <c r="G103" s="24"/>
      <c r="H103" s="24"/>
      <c r="I103" s="24"/>
      <c r="J103" s="24"/>
      <c r="K103" s="25"/>
    </row>
    <row r="104" s="5" customFormat="1" ht="20" customHeight="1" spans="1:11">
      <c r="A104" s="22"/>
      <c r="B104" s="23"/>
      <c r="C104" s="24"/>
      <c r="D104" s="24"/>
      <c r="E104" s="24"/>
      <c r="F104" s="24"/>
      <c r="G104" s="24"/>
      <c r="H104" s="24"/>
      <c r="I104" s="24"/>
      <c r="J104" s="24"/>
      <c r="K104" s="25"/>
    </row>
    <row r="105" s="5" customFormat="1" ht="20" customHeight="1" spans="1:11">
      <c r="A105" s="22"/>
      <c r="B105" s="23"/>
      <c r="C105" s="24"/>
      <c r="D105" s="24"/>
      <c r="E105" s="24"/>
      <c r="F105" s="24"/>
      <c r="G105" s="24"/>
      <c r="H105" s="24"/>
      <c r="I105" s="24"/>
      <c r="J105" s="24"/>
      <c r="K105" s="25"/>
    </row>
    <row r="106" s="5" customFormat="1" ht="20" customHeight="1" spans="1:11">
      <c r="A106" s="22"/>
      <c r="B106" s="23"/>
      <c r="C106" s="24"/>
      <c r="D106" s="24"/>
      <c r="E106" s="24"/>
      <c r="F106" s="24"/>
      <c r="G106" s="24"/>
      <c r="H106" s="24"/>
      <c r="I106" s="24"/>
      <c r="J106" s="24"/>
      <c r="K106" s="25"/>
    </row>
    <row r="107" s="5" customFormat="1" ht="20" customHeight="1" spans="1:11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5"/>
    </row>
    <row r="108" s="5" customFormat="1" ht="20" customHeight="1" spans="1:11">
      <c r="A108" s="22"/>
      <c r="B108" s="23"/>
      <c r="C108" s="24"/>
      <c r="D108" s="24"/>
      <c r="E108" s="24"/>
      <c r="F108" s="24"/>
      <c r="G108" s="24"/>
      <c r="H108" s="24"/>
      <c r="I108" s="24"/>
      <c r="J108" s="24"/>
      <c r="K108" s="25"/>
    </row>
    <row r="109" s="5" customFormat="1" ht="20" customHeight="1" spans="1:11">
      <c r="A109" s="22"/>
      <c r="B109" s="23"/>
      <c r="C109" s="24"/>
      <c r="D109" s="24"/>
      <c r="E109" s="24"/>
      <c r="F109" s="24"/>
      <c r="G109" s="24"/>
      <c r="H109" s="24"/>
      <c r="I109" s="24"/>
      <c r="J109" s="24"/>
      <c r="K109" s="25"/>
    </row>
    <row r="110" s="5" customFormat="1" ht="20" customHeight="1" spans="1:11">
      <c r="A110" s="22"/>
      <c r="B110" s="23"/>
      <c r="C110" s="24"/>
      <c r="D110" s="24"/>
      <c r="E110" s="24"/>
      <c r="F110" s="24"/>
      <c r="G110" s="24"/>
      <c r="H110" s="24"/>
      <c r="I110" s="24"/>
      <c r="J110" s="24"/>
      <c r="K110" s="25"/>
    </row>
    <row r="111" s="5" customFormat="1" ht="20" customHeight="1" spans="1:11">
      <c r="A111" s="22"/>
      <c r="B111" s="23"/>
      <c r="C111" s="24"/>
      <c r="D111" s="24"/>
      <c r="E111" s="24"/>
      <c r="F111" s="24"/>
      <c r="G111" s="24"/>
      <c r="H111" s="24"/>
      <c r="I111" s="24"/>
      <c r="J111" s="24"/>
      <c r="K111" s="25"/>
    </row>
    <row r="112" s="5" customFormat="1" ht="20" customHeight="1" spans="1:11">
      <c r="A112" s="22"/>
      <c r="B112" s="23"/>
      <c r="C112" s="24"/>
      <c r="D112" s="24"/>
      <c r="E112" s="24"/>
      <c r="F112" s="24"/>
      <c r="G112" s="24"/>
      <c r="H112" s="24"/>
      <c r="I112" s="24"/>
      <c r="J112" s="24"/>
      <c r="K112" s="25"/>
    </row>
    <row r="113" s="5" customFormat="1" ht="20" customHeight="1" spans="1:11">
      <c r="A113" s="22"/>
      <c r="B113" s="23"/>
      <c r="C113" s="24"/>
      <c r="D113" s="24"/>
      <c r="E113" s="24"/>
      <c r="F113" s="24"/>
      <c r="G113" s="24"/>
      <c r="H113" s="24"/>
      <c r="I113" s="24"/>
      <c r="J113" s="24"/>
      <c r="K113" s="25"/>
    </row>
    <row r="114" s="5" customFormat="1" ht="20" customHeight="1" spans="1:11">
      <c r="A114" s="22"/>
      <c r="B114" s="23"/>
      <c r="C114" s="24"/>
      <c r="D114" s="24"/>
      <c r="E114" s="24"/>
      <c r="F114" s="24"/>
      <c r="G114" s="24"/>
      <c r="H114" s="24"/>
      <c r="I114" s="24"/>
      <c r="J114" s="24"/>
      <c r="K114" s="25"/>
    </row>
    <row r="115" s="5" customFormat="1" ht="20" customHeight="1" spans="1:11">
      <c r="A115" s="22"/>
      <c r="B115" s="23"/>
      <c r="C115" s="24"/>
      <c r="D115" s="24"/>
      <c r="E115" s="24"/>
      <c r="F115" s="24"/>
      <c r="G115" s="24"/>
      <c r="H115" s="24"/>
      <c r="I115" s="24"/>
      <c r="J115" s="24"/>
      <c r="K115" s="25"/>
    </row>
    <row r="116" s="5" customFormat="1" ht="20" customHeight="1" spans="1:11">
      <c r="A116" s="22"/>
      <c r="B116" s="23"/>
      <c r="C116" s="24"/>
      <c r="D116" s="24"/>
      <c r="E116" s="24"/>
      <c r="F116" s="24"/>
      <c r="G116" s="24"/>
      <c r="H116" s="24"/>
      <c r="I116" s="24"/>
      <c r="J116" s="24"/>
      <c r="K116" s="25"/>
    </row>
    <row r="117" s="5" customFormat="1" ht="20" customHeight="1" spans="1:11">
      <c r="A117" s="22"/>
      <c r="B117" s="23"/>
      <c r="C117" s="24"/>
      <c r="D117" s="24"/>
      <c r="E117" s="24"/>
      <c r="F117" s="24"/>
      <c r="G117" s="24"/>
      <c r="H117" s="24"/>
      <c r="I117" s="24"/>
      <c r="J117" s="24"/>
      <c r="K117" s="25"/>
    </row>
    <row r="118" s="5" customFormat="1" ht="20" customHeight="1" spans="1:11">
      <c r="A118" s="22"/>
      <c r="B118" s="23"/>
      <c r="C118" s="24"/>
      <c r="D118" s="24"/>
      <c r="E118" s="24"/>
      <c r="F118" s="24"/>
      <c r="G118" s="24"/>
      <c r="H118" s="24"/>
      <c r="I118" s="24"/>
      <c r="J118" s="24"/>
      <c r="K118" s="25"/>
    </row>
    <row r="119" s="5" customFormat="1" ht="20" customHeight="1" spans="1:11">
      <c r="A119" s="22"/>
      <c r="B119" s="23"/>
      <c r="C119" s="24"/>
      <c r="D119" s="24"/>
      <c r="E119" s="24"/>
      <c r="F119" s="24"/>
      <c r="G119" s="24"/>
      <c r="H119" s="24"/>
      <c r="I119" s="24"/>
      <c r="J119" s="24"/>
      <c r="K119" s="25"/>
    </row>
    <row r="120" s="5" customFormat="1" ht="20" customHeight="1" spans="1:11">
      <c r="A120" s="22"/>
      <c r="B120" s="23"/>
      <c r="C120" s="24"/>
      <c r="D120" s="24"/>
      <c r="E120" s="24"/>
      <c r="F120" s="24"/>
      <c r="G120" s="24"/>
      <c r="H120" s="24"/>
      <c r="I120" s="24"/>
      <c r="J120" s="24"/>
      <c r="K120" s="25"/>
    </row>
    <row r="121" s="5" customFormat="1" ht="20" customHeight="1" spans="1:11">
      <c r="A121" s="22"/>
      <c r="B121" s="23"/>
      <c r="C121" s="24"/>
      <c r="D121" s="24"/>
      <c r="E121" s="24"/>
      <c r="F121" s="24"/>
      <c r="G121" s="24"/>
      <c r="H121" s="24"/>
      <c r="I121" s="24"/>
      <c r="J121" s="24"/>
      <c r="K121" s="25"/>
    </row>
    <row r="122" s="5" customFormat="1" ht="20" customHeight="1" spans="1:11">
      <c r="A122" s="22"/>
      <c r="B122" s="23"/>
      <c r="C122" s="24"/>
      <c r="D122" s="24"/>
      <c r="E122" s="24"/>
      <c r="F122" s="24"/>
      <c r="G122" s="24"/>
      <c r="H122" s="24"/>
      <c r="I122" s="24"/>
      <c r="J122" s="24"/>
      <c r="K122" s="25"/>
    </row>
    <row r="123" s="5" customFormat="1" ht="20" customHeight="1" spans="1:11">
      <c r="A123" s="22"/>
      <c r="B123" s="23"/>
      <c r="C123" s="24"/>
      <c r="D123" s="24"/>
      <c r="E123" s="24"/>
      <c r="F123" s="24"/>
      <c r="G123" s="24"/>
      <c r="H123" s="24"/>
      <c r="I123" s="24"/>
      <c r="J123" s="24"/>
      <c r="K123" s="25"/>
    </row>
    <row r="124" s="5" customFormat="1" ht="20" customHeight="1" spans="1:11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5"/>
    </row>
    <row r="125" s="5" customFormat="1" ht="20" customHeight="1" spans="1:11">
      <c r="A125" s="22"/>
      <c r="B125" s="23"/>
      <c r="C125" s="24"/>
      <c r="D125" s="24"/>
      <c r="E125" s="24"/>
      <c r="F125" s="24"/>
      <c r="G125" s="24"/>
      <c r="H125" s="24"/>
      <c r="I125" s="24"/>
      <c r="J125" s="24"/>
      <c r="K125" s="25"/>
    </row>
    <row r="126" s="5" customFormat="1" ht="20" customHeight="1" spans="1:11">
      <c r="A126" s="22"/>
      <c r="B126" s="23"/>
      <c r="C126" s="24"/>
      <c r="D126" s="24"/>
      <c r="E126" s="24"/>
      <c r="F126" s="24"/>
      <c r="G126" s="24"/>
      <c r="H126" s="24"/>
      <c r="I126" s="24"/>
      <c r="J126" s="24"/>
      <c r="K126" s="25"/>
    </row>
    <row r="127" s="5" customFormat="1" ht="20" customHeight="1" spans="1:11">
      <c r="A127" s="22"/>
      <c r="B127" s="23"/>
      <c r="C127" s="24"/>
      <c r="D127" s="24"/>
      <c r="E127" s="24"/>
      <c r="F127" s="24"/>
      <c r="G127" s="24"/>
      <c r="H127" s="24"/>
      <c r="I127" s="24"/>
      <c r="J127" s="24"/>
      <c r="K127" s="25"/>
    </row>
    <row r="128" s="5" customFormat="1" ht="20" customHeight="1" spans="1:11">
      <c r="A128" s="22"/>
      <c r="B128" s="23"/>
      <c r="C128" s="24"/>
      <c r="D128" s="24"/>
      <c r="E128" s="24"/>
      <c r="F128" s="24"/>
      <c r="G128" s="24"/>
      <c r="H128" s="24"/>
      <c r="I128" s="24"/>
      <c r="J128" s="24"/>
      <c r="K128" s="25"/>
    </row>
    <row r="129" s="5" customFormat="1" ht="20" customHeight="1" spans="1:11">
      <c r="A129" s="22"/>
      <c r="B129" s="23"/>
      <c r="C129" s="24"/>
      <c r="D129" s="24"/>
      <c r="E129" s="24"/>
      <c r="F129" s="24"/>
      <c r="G129" s="24"/>
      <c r="H129" s="24"/>
      <c r="I129" s="24"/>
      <c r="J129" s="24"/>
      <c r="K129" s="25"/>
    </row>
    <row r="130" s="5" customFormat="1" ht="20" customHeight="1" spans="1:11">
      <c r="A130" s="22"/>
      <c r="B130" s="23"/>
      <c r="C130" s="24"/>
      <c r="D130" s="24"/>
      <c r="E130" s="24"/>
      <c r="F130" s="24"/>
      <c r="G130" s="24"/>
      <c r="H130" s="24"/>
      <c r="I130" s="24"/>
      <c r="J130" s="24"/>
      <c r="K130" s="25"/>
    </row>
    <row r="131" s="5" customFormat="1" ht="20" customHeight="1" spans="1:11">
      <c r="A131" s="22"/>
      <c r="B131" s="23"/>
      <c r="C131" s="24"/>
      <c r="D131" s="24"/>
      <c r="E131" s="24"/>
      <c r="F131" s="24"/>
      <c r="G131" s="24"/>
      <c r="H131" s="24"/>
      <c r="I131" s="24"/>
      <c r="J131" s="24"/>
      <c r="K131" s="25"/>
    </row>
    <row r="132" s="5" customFormat="1" ht="20" customHeight="1" spans="1:11">
      <c r="A132" s="22"/>
      <c r="B132" s="23"/>
      <c r="C132" s="24"/>
      <c r="D132" s="24"/>
      <c r="E132" s="24"/>
      <c r="F132" s="24"/>
      <c r="G132" s="24"/>
      <c r="H132" s="24"/>
      <c r="I132" s="24"/>
      <c r="J132" s="24"/>
      <c r="K132" s="25"/>
    </row>
    <row r="133" s="5" customFormat="1" ht="20" customHeight="1" spans="1:11">
      <c r="A133" s="22"/>
      <c r="B133" s="23"/>
      <c r="C133" s="24"/>
      <c r="D133" s="24"/>
      <c r="E133" s="24"/>
      <c r="F133" s="24"/>
      <c r="G133" s="24"/>
      <c r="H133" s="24"/>
      <c r="I133" s="24"/>
      <c r="J133" s="24"/>
      <c r="K133" s="25"/>
    </row>
    <row r="134" s="5" customFormat="1" ht="20" customHeight="1" spans="1:11">
      <c r="A134" s="22"/>
      <c r="B134" s="23"/>
      <c r="C134" s="24"/>
      <c r="D134" s="24"/>
      <c r="E134" s="24"/>
      <c r="F134" s="24"/>
      <c r="G134" s="24"/>
      <c r="H134" s="24"/>
      <c r="I134" s="24"/>
      <c r="J134" s="24"/>
      <c r="K134" s="25"/>
    </row>
    <row r="135" s="5" customFormat="1" ht="20" customHeight="1" spans="1:11">
      <c r="A135" s="22"/>
      <c r="B135" s="23"/>
      <c r="C135" s="24"/>
      <c r="D135" s="24"/>
      <c r="E135" s="24"/>
      <c r="F135" s="24"/>
      <c r="G135" s="24"/>
      <c r="H135" s="24"/>
      <c r="I135" s="24"/>
      <c r="J135" s="24"/>
      <c r="K135" s="25"/>
    </row>
    <row r="136" s="5" customFormat="1" ht="20" customHeight="1" spans="1:11">
      <c r="A136" s="22"/>
      <c r="B136" s="23"/>
      <c r="C136" s="24"/>
      <c r="D136" s="24"/>
      <c r="E136" s="24"/>
      <c r="F136" s="24"/>
      <c r="G136" s="24"/>
      <c r="H136" s="24"/>
      <c r="I136" s="24"/>
      <c r="J136" s="24"/>
      <c r="K136" s="25"/>
    </row>
    <row r="137" s="5" customFormat="1" ht="20" customHeight="1" spans="1:11">
      <c r="A137" s="22"/>
      <c r="B137" s="23"/>
      <c r="C137" s="24"/>
      <c r="D137" s="24"/>
      <c r="E137" s="24"/>
      <c r="F137" s="24"/>
      <c r="G137" s="24"/>
      <c r="H137" s="24"/>
      <c r="I137" s="24"/>
      <c r="J137" s="24"/>
      <c r="K137" s="25"/>
    </row>
    <row r="138" s="5" customFormat="1" ht="20" customHeight="1" spans="1:11">
      <c r="A138" s="22"/>
      <c r="B138" s="23"/>
      <c r="C138" s="24"/>
      <c r="D138" s="24"/>
      <c r="E138" s="24"/>
      <c r="F138" s="24"/>
      <c r="G138" s="24"/>
      <c r="H138" s="24"/>
      <c r="I138" s="24"/>
      <c r="J138" s="24"/>
      <c r="K138" s="25"/>
    </row>
    <row r="139" s="5" customFormat="1" ht="20" customHeight="1" spans="1:11">
      <c r="A139" s="22"/>
      <c r="B139" s="23"/>
      <c r="C139" s="24"/>
      <c r="D139" s="24"/>
      <c r="E139" s="24"/>
      <c r="F139" s="24"/>
      <c r="G139" s="24"/>
      <c r="H139" s="24"/>
      <c r="I139" s="24"/>
      <c r="J139" s="24"/>
      <c r="K139" s="25"/>
    </row>
    <row r="140" s="5" customFormat="1" ht="20" customHeight="1" spans="1:11">
      <c r="A140" s="22"/>
      <c r="B140" s="23"/>
      <c r="C140" s="24"/>
      <c r="D140" s="24"/>
      <c r="E140" s="24"/>
      <c r="F140" s="24"/>
      <c r="G140" s="24"/>
      <c r="H140" s="24"/>
      <c r="I140" s="24"/>
      <c r="J140" s="24"/>
      <c r="K140" s="25"/>
    </row>
    <row r="141" s="5" customFormat="1" ht="20" customHeight="1" spans="1:11">
      <c r="A141" s="22"/>
      <c r="B141" s="23"/>
      <c r="C141" s="24"/>
      <c r="D141" s="24"/>
      <c r="E141" s="24"/>
      <c r="F141" s="24"/>
      <c r="G141" s="24"/>
      <c r="H141" s="24"/>
      <c r="I141" s="24"/>
      <c r="J141" s="24"/>
      <c r="K141" s="25"/>
    </row>
    <row r="142" s="5" customFormat="1" ht="20" customHeight="1" spans="1:11">
      <c r="A142" s="22"/>
      <c r="B142" s="23"/>
      <c r="C142" s="24"/>
      <c r="D142" s="24"/>
      <c r="E142" s="24"/>
      <c r="F142" s="24"/>
      <c r="G142" s="24"/>
      <c r="H142" s="24"/>
      <c r="I142" s="24"/>
      <c r="J142" s="24"/>
      <c r="K142" s="25"/>
    </row>
    <row r="143" s="5" customFormat="1" ht="20" customHeight="1" spans="1:11">
      <c r="A143" s="22"/>
      <c r="B143" s="23"/>
      <c r="C143" s="24"/>
      <c r="D143" s="24"/>
      <c r="E143" s="24"/>
      <c r="F143" s="24"/>
      <c r="G143" s="24"/>
      <c r="H143" s="24"/>
      <c r="I143" s="24"/>
      <c r="J143" s="24"/>
      <c r="K143" s="25"/>
    </row>
    <row r="144" s="5" customFormat="1" ht="20" customHeight="1" spans="1:11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5"/>
    </row>
    <row r="145" s="5" customFormat="1" ht="20" customHeight="1" spans="1:11">
      <c r="A145" s="22"/>
      <c r="B145" s="23"/>
      <c r="C145" s="24"/>
      <c r="D145" s="24"/>
      <c r="E145" s="24"/>
      <c r="F145" s="24"/>
      <c r="G145" s="24"/>
      <c r="H145" s="24"/>
      <c r="I145" s="24"/>
      <c r="J145" s="24"/>
      <c r="K145" s="25"/>
    </row>
    <row r="146" s="5" customFormat="1" ht="20" customHeight="1" spans="1:11">
      <c r="A146" s="22"/>
      <c r="B146" s="23"/>
      <c r="C146" s="24"/>
      <c r="D146" s="24"/>
      <c r="E146" s="24"/>
      <c r="F146" s="24"/>
      <c r="G146" s="24"/>
      <c r="H146" s="24"/>
      <c r="I146" s="24"/>
      <c r="J146" s="24"/>
      <c r="K146" s="25"/>
    </row>
    <row r="147" s="5" customFormat="1" ht="20" customHeight="1" spans="1:11">
      <c r="A147" s="22"/>
      <c r="B147" s="23"/>
      <c r="C147" s="24"/>
      <c r="D147" s="24"/>
      <c r="E147" s="24"/>
      <c r="F147" s="24"/>
      <c r="G147" s="24"/>
      <c r="H147" s="24"/>
      <c r="I147" s="24"/>
      <c r="J147" s="24"/>
      <c r="K147" s="25"/>
    </row>
    <row r="148" s="5" customFormat="1" ht="20" customHeight="1" spans="1:11">
      <c r="A148" s="22"/>
      <c r="B148" s="23"/>
      <c r="C148" s="24"/>
      <c r="D148" s="24"/>
      <c r="E148" s="24"/>
      <c r="F148" s="24"/>
      <c r="G148" s="24"/>
      <c r="H148" s="24"/>
      <c r="I148" s="24"/>
      <c r="J148" s="24"/>
      <c r="K148" s="25"/>
    </row>
    <row r="149" s="5" customFormat="1" ht="20" customHeight="1" spans="1:11">
      <c r="A149" s="22"/>
      <c r="B149" s="23"/>
      <c r="C149" s="24"/>
      <c r="D149" s="24"/>
      <c r="E149" s="24"/>
      <c r="F149" s="24"/>
      <c r="G149" s="24"/>
      <c r="H149" s="24"/>
      <c r="I149" s="24"/>
      <c r="J149" s="24"/>
      <c r="K149" s="25"/>
    </row>
    <row r="150" s="5" customFormat="1" ht="20" customHeight="1" spans="1:11">
      <c r="A150" s="22"/>
      <c r="B150" s="23"/>
      <c r="C150" s="24"/>
      <c r="D150" s="24"/>
      <c r="E150" s="24"/>
      <c r="F150" s="24"/>
      <c r="G150" s="24"/>
      <c r="H150" s="24"/>
      <c r="I150" s="24"/>
      <c r="J150" s="24"/>
      <c r="K150" s="25"/>
    </row>
    <row r="151" s="5" customFormat="1" ht="20" customHeight="1" spans="1:11">
      <c r="A151" s="22"/>
      <c r="B151" s="23"/>
      <c r="C151" s="24"/>
      <c r="D151" s="24"/>
      <c r="E151" s="24"/>
      <c r="F151" s="24"/>
      <c r="G151" s="24"/>
      <c r="H151" s="24"/>
      <c r="I151" s="24"/>
      <c r="J151" s="24"/>
      <c r="K151" s="25"/>
    </row>
    <row r="152" s="5" customFormat="1" ht="20" customHeight="1" spans="1:11">
      <c r="A152" s="22"/>
      <c r="B152" s="23"/>
      <c r="C152" s="24"/>
      <c r="D152" s="24"/>
      <c r="E152" s="24"/>
      <c r="F152" s="24"/>
      <c r="G152" s="24"/>
      <c r="H152" s="24"/>
      <c r="I152" s="24"/>
      <c r="J152" s="24"/>
      <c r="K152" s="25"/>
    </row>
    <row r="153" s="5" customFormat="1" ht="20" customHeight="1" spans="1:11">
      <c r="A153" s="22"/>
      <c r="B153" s="23"/>
      <c r="C153" s="24"/>
      <c r="D153" s="24"/>
      <c r="E153" s="24"/>
      <c r="F153" s="24"/>
      <c r="G153" s="24"/>
      <c r="H153" s="24"/>
      <c r="I153" s="24"/>
      <c r="J153" s="24"/>
      <c r="K153" s="25"/>
    </row>
    <row r="154" s="5" customFormat="1" ht="20" customHeight="1" spans="1:11">
      <c r="A154" s="22"/>
      <c r="B154" s="23"/>
      <c r="C154" s="24"/>
      <c r="D154" s="24"/>
      <c r="E154" s="24"/>
      <c r="F154" s="24"/>
      <c r="G154" s="24"/>
      <c r="H154" s="24"/>
      <c r="I154" s="24"/>
      <c r="J154" s="24"/>
      <c r="K154" s="25"/>
    </row>
    <row r="155" s="5" customFormat="1" ht="20" customHeight="1" spans="1:11">
      <c r="A155" s="22"/>
      <c r="B155" s="23"/>
      <c r="C155" s="24"/>
      <c r="D155" s="24"/>
      <c r="E155" s="24"/>
      <c r="F155" s="24"/>
      <c r="G155" s="24"/>
      <c r="H155" s="24"/>
      <c r="I155" s="24"/>
      <c r="J155" s="24"/>
      <c r="K155" s="25"/>
    </row>
    <row r="156" s="5" customFormat="1" ht="20" customHeight="1" spans="1:11">
      <c r="A156" s="22"/>
      <c r="B156" s="23"/>
      <c r="C156" s="24"/>
      <c r="D156" s="24"/>
      <c r="E156" s="24"/>
      <c r="F156" s="24"/>
      <c r="G156" s="24"/>
      <c r="H156" s="24"/>
      <c r="I156" s="24"/>
      <c r="J156" s="24"/>
      <c r="K156" s="25"/>
    </row>
    <row r="157" s="5" customFormat="1" ht="20" customHeight="1" spans="1:11">
      <c r="A157" s="22"/>
      <c r="B157" s="23"/>
      <c r="C157" s="24"/>
      <c r="D157" s="24"/>
      <c r="E157" s="24"/>
      <c r="F157" s="24"/>
      <c r="G157" s="24"/>
      <c r="H157" s="24"/>
      <c r="I157" s="24"/>
      <c r="J157" s="24"/>
      <c r="K157" s="25"/>
    </row>
    <row r="158" s="5" customFormat="1" ht="20" customHeight="1" spans="1:11">
      <c r="A158" s="22"/>
      <c r="B158" s="23"/>
      <c r="C158" s="24"/>
      <c r="D158" s="24"/>
      <c r="E158" s="24"/>
      <c r="F158" s="24"/>
      <c r="G158" s="24"/>
      <c r="H158" s="24"/>
      <c r="I158" s="24"/>
      <c r="J158" s="24"/>
      <c r="K158" s="25"/>
    </row>
    <row r="159" s="5" customFormat="1" ht="20" customHeight="1" spans="1:11">
      <c r="A159" s="22"/>
      <c r="B159" s="23"/>
      <c r="C159" s="24"/>
      <c r="D159" s="24"/>
      <c r="E159" s="24"/>
      <c r="F159" s="24"/>
      <c r="G159" s="24"/>
      <c r="H159" s="24"/>
      <c r="I159" s="24"/>
      <c r="J159" s="24"/>
      <c r="K159" s="25"/>
    </row>
    <row r="160" s="5" customFormat="1" ht="20" customHeight="1" spans="1:11">
      <c r="A160" s="22"/>
      <c r="B160" s="23"/>
      <c r="C160" s="24"/>
      <c r="D160" s="24"/>
      <c r="E160" s="24"/>
      <c r="F160" s="24"/>
      <c r="G160" s="24"/>
      <c r="H160" s="24"/>
      <c r="I160" s="24"/>
      <c r="J160" s="24"/>
      <c r="K160" s="25"/>
    </row>
    <row r="161" s="5" customFormat="1" ht="20" customHeight="1" spans="1:11">
      <c r="A161" s="22"/>
      <c r="B161" s="23"/>
      <c r="C161" s="24"/>
      <c r="D161" s="24"/>
      <c r="E161" s="24"/>
      <c r="F161" s="24"/>
      <c r="G161" s="24"/>
      <c r="H161" s="24"/>
      <c r="I161" s="24"/>
      <c r="J161" s="24"/>
      <c r="K161" s="25"/>
    </row>
    <row r="162" s="5" customFormat="1" ht="20" customHeight="1" spans="1:11">
      <c r="A162" s="22"/>
      <c r="B162" s="23"/>
      <c r="C162" s="24"/>
      <c r="D162" s="24"/>
      <c r="E162" s="24"/>
      <c r="F162" s="24"/>
      <c r="G162" s="24"/>
      <c r="H162" s="24"/>
      <c r="I162" s="24"/>
      <c r="J162" s="24"/>
      <c r="K162" s="25"/>
    </row>
    <row r="163" s="5" customFormat="1" ht="20" customHeight="1" spans="1:11">
      <c r="A163" s="22"/>
      <c r="B163" s="23"/>
      <c r="C163" s="24"/>
      <c r="D163" s="24"/>
      <c r="E163" s="24"/>
      <c r="F163" s="24"/>
      <c r="G163" s="24"/>
      <c r="H163" s="24"/>
      <c r="I163" s="24"/>
      <c r="J163" s="24"/>
      <c r="K163" s="25"/>
    </row>
    <row r="164" s="5" customFormat="1" ht="20" customHeight="1" spans="1:11">
      <c r="A164" s="22"/>
      <c r="B164" s="23"/>
      <c r="C164" s="24"/>
      <c r="D164" s="24"/>
      <c r="E164" s="24"/>
      <c r="F164" s="24"/>
      <c r="G164" s="24"/>
      <c r="H164" s="24"/>
      <c r="I164" s="24"/>
      <c r="J164" s="24"/>
      <c r="K164" s="25"/>
    </row>
    <row r="165" s="5" customFormat="1" ht="20" customHeight="1" spans="1:11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5"/>
    </row>
    <row r="166" s="5" customFormat="1" ht="20" customHeight="1" spans="1:11">
      <c r="A166" s="22"/>
      <c r="B166" s="23"/>
      <c r="C166" s="24"/>
      <c r="D166" s="24"/>
      <c r="E166" s="24"/>
      <c r="F166" s="24"/>
      <c r="G166" s="24"/>
      <c r="H166" s="24"/>
      <c r="I166" s="24"/>
      <c r="J166" s="24"/>
      <c r="K166" s="25"/>
    </row>
    <row r="167" s="5" customFormat="1" ht="20" customHeight="1" spans="1:11">
      <c r="A167" s="22"/>
      <c r="B167" s="23"/>
      <c r="C167" s="24"/>
      <c r="D167" s="24"/>
      <c r="E167" s="24"/>
      <c r="F167" s="24"/>
      <c r="G167" s="24"/>
      <c r="H167" s="24"/>
      <c r="I167" s="24"/>
      <c r="J167" s="24"/>
      <c r="K167" s="25"/>
    </row>
    <row r="168" s="5" customFormat="1" ht="20" customHeight="1" spans="1:11">
      <c r="A168" s="22"/>
      <c r="B168" s="23"/>
      <c r="C168" s="24"/>
      <c r="D168" s="24"/>
      <c r="E168" s="24"/>
      <c r="F168" s="24"/>
      <c r="G168" s="24"/>
      <c r="H168" s="24"/>
      <c r="I168" s="24"/>
      <c r="J168" s="24"/>
      <c r="K168" s="25"/>
    </row>
    <row r="169" s="5" customFormat="1" ht="20" customHeight="1" spans="1:11">
      <c r="A169" s="22"/>
      <c r="B169" s="23"/>
      <c r="C169" s="24"/>
      <c r="D169" s="24"/>
      <c r="E169" s="24"/>
      <c r="F169" s="24"/>
      <c r="G169" s="24"/>
      <c r="H169" s="24"/>
      <c r="I169" s="24"/>
      <c r="J169" s="24"/>
      <c r="K169" s="25"/>
    </row>
    <row r="170" s="5" customFormat="1" ht="20" customHeight="1" spans="1:11">
      <c r="A170" s="22"/>
      <c r="B170" s="23"/>
      <c r="C170" s="24"/>
      <c r="D170" s="24"/>
      <c r="E170" s="24"/>
      <c r="F170" s="24"/>
      <c r="G170" s="24"/>
      <c r="H170" s="24"/>
      <c r="I170" s="24"/>
      <c r="J170" s="24"/>
      <c r="K170" s="25"/>
    </row>
    <row r="171" s="5" customFormat="1" ht="20" customHeight="1" spans="1:11">
      <c r="A171" s="22"/>
      <c r="B171" s="23"/>
      <c r="C171" s="24"/>
      <c r="D171" s="24"/>
      <c r="E171" s="24"/>
      <c r="F171" s="24"/>
      <c r="G171" s="24"/>
      <c r="H171" s="24"/>
      <c r="I171" s="24"/>
      <c r="J171" s="24"/>
      <c r="K171" s="25"/>
    </row>
    <row r="172" s="5" customFormat="1" ht="20" customHeight="1" spans="1:11">
      <c r="A172" s="22"/>
      <c r="B172" s="23"/>
      <c r="C172" s="24"/>
      <c r="D172" s="24"/>
      <c r="E172" s="24"/>
      <c r="F172" s="24"/>
      <c r="G172" s="24"/>
      <c r="H172" s="24"/>
      <c r="I172" s="24"/>
      <c r="J172" s="24"/>
      <c r="K172" s="25"/>
    </row>
    <row r="173" s="5" customFormat="1" ht="20" customHeight="1" spans="1:11">
      <c r="A173" s="22"/>
      <c r="B173" s="23"/>
      <c r="C173" s="24"/>
      <c r="D173" s="24"/>
      <c r="E173" s="24"/>
      <c r="F173" s="24"/>
      <c r="G173" s="24"/>
      <c r="H173" s="24"/>
      <c r="I173" s="24"/>
      <c r="J173" s="24"/>
      <c r="K173" s="25"/>
    </row>
    <row r="174" s="5" customFormat="1" ht="20" customHeight="1" spans="1:11">
      <c r="A174" s="22"/>
      <c r="B174" s="23"/>
      <c r="C174" s="24"/>
      <c r="D174" s="24"/>
      <c r="E174" s="24"/>
      <c r="F174" s="24"/>
      <c r="G174" s="24"/>
      <c r="H174" s="24"/>
      <c r="I174" s="24"/>
      <c r="J174" s="24"/>
      <c r="K174" s="25"/>
    </row>
    <row r="175" s="5" customFormat="1" ht="20" customHeight="1" spans="1:11">
      <c r="A175" s="22"/>
      <c r="B175" s="23"/>
      <c r="C175" s="24"/>
      <c r="D175" s="24"/>
      <c r="E175" s="24"/>
      <c r="F175" s="24"/>
      <c r="G175" s="24"/>
      <c r="H175" s="24"/>
      <c r="I175" s="24"/>
      <c r="J175" s="24"/>
      <c r="K175" s="25"/>
    </row>
    <row r="176" s="5" customFormat="1" ht="20" customHeight="1" spans="1:11">
      <c r="A176" s="22"/>
      <c r="B176" s="23"/>
      <c r="C176" s="24"/>
      <c r="D176" s="24"/>
      <c r="E176" s="24"/>
      <c r="F176" s="24"/>
      <c r="G176" s="24"/>
      <c r="H176" s="24"/>
      <c r="I176" s="24"/>
      <c r="J176" s="24"/>
      <c r="K176" s="25"/>
    </row>
    <row r="177" s="5" customFormat="1" ht="20" customHeight="1" spans="1:11">
      <c r="A177" s="22"/>
      <c r="B177" s="23"/>
      <c r="C177" s="24"/>
      <c r="D177" s="24"/>
      <c r="E177" s="24"/>
      <c r="F177" s="24"/>
      <c r="G177" s="24"/>
      <c r="H177" s="24"/>
      <c r="I177" s="24"/>
      <c r="J177" s="24"/>
      <c r="K177" s="25"/>
    </row>
    <row r="178" s="5" customFormat="1" ht="20" customHeight="1" spans="1:11">
      <c r="A178" s="22"/>
      <c r="B178" s="23"/>
      <c r="C178" s="24"/>
      <c r="D178" s="24"/>
      <c r="E178" s="24"/>
      <c r="F178" s="24"/>
      <c r="G178" s="24"/>
      <c r="H178" s="24"/>
      <c r="I178" s="24"/>
      <c r="J178" s="24"/>
      <c r="K178" s="25"/>
    </row>
    <row r="179" s="5" customFormat="1" ht="20" customHeight="1" spans="1:11">
      <c r="A179" s="22"/>
      <c r="B179" s="23"/>
      <c r="C179" s="24"/>
      <c r="D179" s="24"/>
      <c r="E179" s="24"/>
      <c r="F179" s="24"/>
      <c r="G179" s="24"/>
      <c r="H179" s="24"/>
      <c r="I179" s="24"/>
      <c r="J179" s="24"/>
      <c r="K179" s="25"/>
    </row>
    <row r="180" s="5" customFormat="1" ht="20" customHeight="1" spans="1:11">
      <c r="A180" s="22"/>
      <c r="B180" s="23"/>
      <c r="C180" s="24"/>
      <c r="D180" s="24"/>
      <c r="E180" s="24"/>
      <c r="F180" s="24"/>
      <c r="G180" s="24"/>
      <c r="H180" s="24"/>
      <c r="I180" s="24"/>
      <c r="J180" s="24"/>
      <c r="K180" s="25"/>
    </row>
    <row r="181" s="5" customFormat="1" ht="20" customHeight="1" spans="1:11">
      <c r="A181" s="22"/>
      <c r="B181" s="23"/>
      <c r="C181" s="24"/>
      <c r="D181" s="24"/>
      <c r="E181" s="24"/>
      <c r="F181" s="24"/>
      <c r="G181" s="24"/>
      <c r="H181" s="24"/>
      <c r="I181" s="24"/>
      <c r="J181" s="24"/>
      <c r="K181" s="25"/>
    </row>
    <row r="182" s="5" customFormat="1" ht="20" customHeight="1" spans="1:11">
      <c r="A182" s="22"/>
      <c r="B182" s="23"/>
      <c r="C182" s="24"/>
      <c r="D182" s="24"/>
      <c r="E182" s="24"/>
      <c r="F182" s="24"/>
      <c r="G182" s="24"/>
      <c r="H182" s="24"/>
      <c r="I182" s="24"/>
      <c r="J182" s="24"/>
      <c r="K182" s="25"/>
    </row>
    <row r="183" s="5" customFormat="1" ht="20" customHeight="1" spans="1:11">
      <c r="A183" s="22"/>
      <c r="B183" s="23"/>
      <c r="C183" s="24"/>
      <c r="D183" s="24"/>
      <c r="E183" s="24"/>
      <c r="F183" s="24"/>
      <c r="G183" s="24"/>
      <c r="H183" s="24"/>
      <c r="I183" s="24"/>
      <c r="J183" s="24"/>
      <c r="K183" s="25"/>
    </row>
    <row r="184" s="5" customFormat="1" ht="20" customHeight="1" spans="1:11">
      <c r="A184" s="22"/>
      <c r="B184" s="23"/>
      <c r="C184" s="24"/>
      <c r="D184" s="24"/>
      <c r="E184" s="24"/>
      <c r="F184" s="24"/>
      <c r="G184" s="24"/>
      <c r="H184" s="24"/>
      <c r="I184" s="24"/>
      <c r="J184" s="24"/>
      <c r="K184" s="25"/>
    </row>
    <row r="185" s="5" customFormat="1" ht="20" customHeight="1" spans="1:11">
      <c r="A185" s="22"/>
      <c r="B185" s="23"/>
      <c r="C185" s="24"/>
      <c r="D185" s="24"/>
      <c r="E185" s="24"/>
      <c r="F185" s="24"/>
      <c r="G185" s="24"/>
      <c r="H185" s="24"/>
      <c r="I185" s="24"/>
      <c r="J185" s="24"/>
      <c r="K185" s="25"/>
    </row>
    <row r="186" s="5" customFormat="1" ht="20" customHeight="1" spans="1:11">
      <c r="A186" s="22"/>
      <c r="B186" s="23"/>
      <c r="C186" s="24"/>
      <c r="D186" s="24"/>
      <c r="E186" s="24"/>
      <c r="F186" s="24"/>
      <c r="G186" s="24"/>
      <c r="H186" s="24"/>
      <c r="I186" s="24"/>
      <c r="J186" s="24"/>
      <c r="K186" s="25"/>
    </row>
    <row r="187" s="5" customFormat="1" ht="20" customHeight="1" spans="1:11">
      <c r="A187" s="22"/>
      <c r="B187" s="23"/>
      <c r="C187" s="24"/>
      <c r="D187" s="24"/>
      <c r="E187" s="24"/>
      <c r="F187" s="24"/>
      <c r="G187" s="24"/>
      <c r="H187" s="24"/>
      <c r="I187" s="24"/>
      <c r="J187" s="24"/>
      <c r="K187" s="25"/>
    </row>
    <row r="188" s="5" customFormat="1" ht="20" customHeight="1" spans="1:11">
      <c r="A188" s="22"/>
      <c r="B188" s="23"/>
      <c r="C188" s="24"/>
      <c r="D188" s="24"/>
      <c r="E188" s="24"/>
      <c r="F188" s="24"/>
      <c r="G188" s="24"/>
      <c r="H188" s="24"/>
      <c r="I188" s="24"/>
      <c r="J188" s="24"/>
      <c r="K188" s="25"/>
    </row>
    <row r="189" s="5" customFormat="1" ht="20" customHeight="1" spans="1:11">
      <c r="A189" s="22"/>
      <c r="B189" s="23"/>
      <c r="C189" s="24"/>
      <c r="D189" s="24"/>
      <c r="E189" s="24"/>
      <c r="F189" s="24"/>
      <c r="G189" s="24"/>
      <c r="H189" s="24"/>
      <c r="I189" s="24"/>
      <c r="J189" s="24"/>
      <c r="K189" s="25"/>
    </row>
    <row r="190" s="5" customFormat="1" ht="20" customHeight="1" spans="1:11">
      <c r="A190" s="22"/>
      <c r="B190" s="23"/>
      <c r="C190" s="24"/>
      <c r="D190" s="24"/>
      <c r="E190" s="24"/>
      <c r="F190" s="24"/>
      <c r="G190" s="24"/>
      <c r="H190" s="24"/>
      <c r="I190" s="24"/>
      <c r="J190" s="24"/>
      <c r="K190" s="25"/>
    </row>
    <row r="191" s="5" customFormat="1" ht="20" customHeight="1" spans="1:11">
      <c r="A191" s="22"/>
      <c r="B191" s="23"/>
      <c r="C191" s="24"/>
      <c r="D191" s="24"/>
      <c r="E191" s="24"/>
      <c r="F191" s="24"/>
      <c r="G191" s="24"/>
      <c r="H191" s="24"/>
      <c r="I191" s="24"/>
      <c r="J191" s="24"/>
      <c r="K191" s="25"/>
    </row>
    <row r="192" s="5" customFormat="1" ht="20" customHeight="1" spans="1:11">
      <c r="A192" s="22"/>
      <c r="B192" s="23"/>
      <c r="C192" s="24"/>
      <c r="D192" s="24"/>
      <c r="E192" s="24"/>
      <c r="F192" s="24"/>
      <c r="G192" s="24"/>
      <c r="H192" s="24"/>
      <c r="I192" s="24"/>
      <c r="J192" s="24"/>
      <c r="K192" s="25"/>
    </row>
    <row r="193" s="5" customFormat="1" ht="20" customHeight="1" spans="1:11">
      <c r="A193" s="22"/>
      <c r="B193" s="23"/>
      <c r="C193" s="24"/>
      <c r="D193" s="24"/>
      <c r="E193" s="24"/>
      <c r="F193" s="24"/>
      <c r="G193" s="24"/>
      <c r="H193" s="24"/>
      <c r="I193" s="24"/>
      <c r="J193" s="24"/>
      <c r="K193" s="25"/>
    </row>
    <row r="194" s="5" customFormat="1" ht="20" customHeight="1" spans="1:11">
      <c r="A194" s="22"/>
      <c r="B194" s="23"/>
      <c r="C194" s="24"/>
      <c r="D194" s="24"/>
      <c r="E194" s="24"/>
      <c r="F194" s="24"/>
      <c r="G194" s="24"/>
      <c r="H194" s="24"/>
      <c r="I194" s="24"/>
      <c r="J194" s="24"/>
      <c r="K194" s="25"/>
    </row>
    <row r="195" s="5" customFormat="1" ht="20" customHeight="1" spans="1:11">
      <c r="A195" s="22"/>
      <c r="B195" s="23"/>
      <c r="C195" s="24"/>
      <c r="D195" s="24"/>
      <c r="E195" s="24"/>
      <c r="F195" s="24"/>
      <c r="G195" s="24"/>
      <c r="H195" s="24"/>
      <c r="I195" s="24"/>
      <c r="J195" s="24"/>
      <c r="K195" s="25"/>
    </row>
    <row r="196" s="5" customFormat="1" ht="20" customHeight="1" spans="1:11">
      <c r="A196" s="22"/>
      <c r="B196" s="23"/>
      <c r="C196" s="24"/>
      <c r="D196" s="24"/>
      <c r="E196" s="24"/>
      <c r="F196" s="24"/>
      <c r="G196" s="24"/>
      <c r="H196" s="24"/>
      <c r="I196" s="24"/>
      <c r="J196" s="24"/>
      <c r="K196" s="25"/>
    </row>
    <row r="197" s="5" customFormat="1" ht="20" customHeight="1" spans="1:11">
      <c r="A197" s="22"/>
      <c r="B197" s="23"/>
      <c r="C197" s="24"/>
      <c r="D197" s="24"/>
      <c r="E197" s="24"/>
      <c r="F197" s="24"/>
      <c r="G197" s="24"/>
      <c r="H197" s="24"/>
      <c r="I197" s="24"/>
      <c r="J197" s="24"/>
      <c r="K197" s="25"/>
    </row>
    <row r="198" s="5" customFormat="1" ht="20" customHeight="1" spans="1:11">
      <c r="A198" s="22"/>
      <c r="B198" s="23"/>
      <c r="C198" s="24"/>
      <c r="D198" s="24"/>
      <c r="E198" s="24"/>
      <c r="F198" s="24"/>
      <c r="G198" s="24"/>
      <c r="H198" s="24"/>
      <c r="I198" s="24"/>
      <c r="J198" s="24"/>
      <c r="K198" s="25"/>
    </row>
    <row r="199" s="5" customFormat="1" ht="20" customHeight="1" spans="1:11">
      <c r="A199" s="22"/>
      <c r="B199" s="23"/>
      <c r="C199" s="24"/>
      <c r="D199" s="24"/>
      <c r="E199" s="24"/>
      <c r="F199" s="24"/>
      <c r="G199" s="24"/>
      <c r="H199" s="24"/>
      <c r="I199" s="24"/>
      <c r="J199" s="24"/>
      <c r="K199" s="25"/>
    </row>
    <row r="200" s="5" customFormat="1" ht="20" customHeight="1" spans="1:11">
      <c r="A200" s="22"/>
      <c r="B200" s="23"/>
      <c r="C200" s="24"/>
      <c r="D200" s="24"/>
      <c r="E200" s="24"/>
      <c r="F200" s="24"/>
      <c r="G200" s="24"/>
      <c r="H200" s="24"/>
      <c r="I200" s="24"/>
      <c r="J200" s="24"/>
      <c r="K200" s="25"/>
    </row>
    <row r="201" s="5" customFormat="1" ht="20" customHeight="1" spans="1:11">
      <c r="A201" s="22"/>
      <c r="B201" s="23"/>
      <c r="C201" s="24"/>
      <c r="D201" s="24"/>
      <c r="E201" s="24"/>
      <c r="F201" s="24"/>
      <c r="G201" s="24"/>
      <c r="H201" s="24"/>
      <c r="I201" s="24"/>
      <c r="J201" s="24"/>
      <c r="K201" s="25"/>
    </row>
    <row r="202" s="5" customFormat="1" ht="20" customHeight="1" spans="1:11">
      <c r="A202" s="22"/>
      <c r="B202" s="23"/>
      <c r="C202" s="24"/>
      <c r="D202" s="24"/>
      <c r="E202" s="24"/>
      <c r="F202" s="24"/>
      <c r="G202" s="24"/>
      <c r="H202" s="24"/>
      <c r="I202" s="24"/>
      <c r="J202" s="24"/>
      <c r="K202" s="25"/>
    </row>
    <row r="203" s="5" customFormat="1" ht="20" customHeight="1" spans="1:11">
      <c r="A203" s="22"/>
      <c r="B203" s="23"/>
      <c r="C203" s="24"/>
      <c r="D203" s="24"/>
      <c r="E203" s="24"/>
      <c r="F203" s="24"/>
      <c r="G203" s="24"/>
      <c r="H203" s="24"/>
      <c r="I203" s="24"/>
      <c r="J203" s="24"/>
      <c r="K203" s="25"/>
    </row>
    <row r="204" s="5" customFormat="1" ht="20" customHeight="1" spans="1:11">
      <c r="A204" s="22"/>
      <c r="B204" s="23"/>
      <c r="C204" s="24"/>
      <c r="D204" s="24"/>
      <c r="E204" s="24"/>
      <c r="F204" s="24"/>
      <c r="G204" s="24"/>
      <c r="H204" s="24"/>
      <c r="I204" s="24"/>
      <c r="J204" s="24"/>
      <c r="K204" s="25"/>
    </row>
    <row r="205" s="5" customFormat="1" ht="20" customHeight="1" spans="1:11">
      <c r="A205" s="22"/>
      <c r="B205" s="23"/>
      <c r="C205" s="24"/>
      <c r="D205" s="24"/>
      <c r="E205" s="24"/>
      <c r="F205" s="24"/>
      <c r="G205" s="24"/>
      <c r="H205" s="24"/>
      <c r="I205" s="24"/>
      <c r="J205" s="24"/>
      <c r="K205" s="25"/>
    </row>
    <row r="206" s="5" customFormat="1" ht="20" customHeight="1" spans="1:11">
      <c r="A206" s="22"/>
      <c r="B206" s="23"/>
      <c r="C206" s="24"/>
      <c r="D206" s="24"/>
      <c r="E206" s="24"/>
      <c r="F206" s="24"/>
      <c r="G206" s="24"/>
      <c r="H206" s="24"/>
      <c r="I206" s="24"/>
      <c r="J206" s="24"/>
      <c r="K206" s="25"/>
    </row>
    <row r="207" s="5" customFormat="1" ht="20" customHeight="1" spans="1:11">
      <c r="A207" s="22"/>
      <c r="B207" s="23"/>
      <c r="C207" s="24"/>
      <c r="D207" s="24"/>
      <c r="E207" s="24"/>
      <c r="F207" s="24"/>
      <c r="G207" s="24"/>
      <c r="H207" s="24"/>
      <c r="I207" s="24"/>
      <c r="J207" s="24"/>
      <c r="K207" s="25"/>
    </row>
    <row r="208" s="5" customFormat="1" ht="20" customHeight="1" spans="1:11">
      <c r="A208" s="22"/>
      <c r="B208" s="23"/>
      <c r="C208" s="24"/>
      <c r="D208" s="24"/>
      <c r="E208" s="24"/>
      <c r="F208" s="24"/>
      <c r="G208" s="24"/>
      <c r="H208" s="24"/>
      <c r="I208" s="24"/>
      <c r="J208" s="24"/>
      <c r="K208" s="25"/>
    </row>
    <row r="209" s="5" customFormat="1" ht="20" customHeight="1" spans="1:11">
      <c r="A209" s="22"/>
      <c r="B209" s="23"/>
      <c r="C209" s="24"/>
      <c r="D209" s="24"/>
      <c r="E209" s="24"/>
      <c r="F209" s="24"/>
      <c r="G209" s="24"/>
      <c r="H209" s="24"/>
      <c r="I209" s="24"/>
      <c r="J209" s="24"/>
      <c r="K209" s="25"/>
    </row>
    <row r="210" s="5" customFormat="1" ht="20" customHeight="1" spans="1:11">
      <c r="A210" s="22"/>
      <c r="B210" s="23"/>
      <c r="C210" s="24"/>
      <c r="D210" s="24"/>
      <c r="E210" s="24"/>
      <c r="F210" s="24"/>
      <c r="G210" s="24"/>
      <c r="H210" s="24"/>
      <c r="I210" s="24"/>
      <c r="J210" s="24"/>
      <c r="K210" s="25"/>
    </row>
    <row r="211" s="5" customFormat="1" ht="20" customHeight="1" spans="1:11">
      <c r="A211" s="22"/>
      <c r="B211" s="23"/>
      <c r="C211" s="24"/>
      <c r="D211" s="24"/>
      <c r="E211" s="24"/>
      <c r="F211" s="24"/>
      <c r="G211" s="24"/>
      <c r="H211" s="24"/>
      <c r="I211" s="24"/>
      <c r="J211" s="24"/>
      <c r="K211" s="25"/>
    </row>
    <row r="212" s="5" customFormat="1" ht="20" customHeight="1" spans="1:11">
      <c r="A212" s="22"/>
      <c r="B212" s="23"/>
      <c r="C212" s="24"/>
      <c r="D212" s="24"/>
      <c r="E212" s="24"/>
      <c r="F212" s="24"/>
      <c r="G212" s="24"/>
      <c r="H212" s="24"/>
      <c r="I212" s="24"/>
      <c r="J212" s="24"/>
      <c r="K212" s="25"/>
    </row>
    <row r="213" s="5" customFormat="1" ht="20" customHeight="1" spans="1:11">
      <c r="A213" s="22"/>
      <c r="B213" s="23"/>
      <c r="C213" s="24"/>
      <c r="D213" s="24"/>
      <c r="E213" s="24"/>
      <c r="F213" s="24"/>
      <c r="G213" s="24"/>
      <c r="H213" s="24"/>
      <c r="I213" s="24"/>
      <c r="J213" s="24"/>
      <c r="K213" s="25"/>
    </row>
    <row r="214" s="5" customFormat="1" ht="20" customHeight="1" spans="1:11">
      <c r="A214" s="22"/>
      <c r="B214" s="23"/>
      <c r="C214" s="24"/>
      <c r="D214" s="24"/>
      <c r="E214" s="24"/>
      <c r="F214" s="24"/>
      <c r="G214" s="24"/>
      <c r="H214" s="24"/>
      <c r="I214" s="24"/>
      <c r="J214" s="24"/>
      <c r="K214" s="25"/>
    </row>
    <row r="215" s="5" customFormat="1" ht="20" customHeight="1" spans="1:11">
      <c r="A215" s="22"/>
      <c r="B215" s="23"/>
      <c r="C215" s="24"/>
      <c r="D215" s="24"/>
      <c r="E215" s="24"/>
      <c r="F215" s="24"/>
      <c r="G215" s="24"/>
      <c r="H215" s="24"/>
      <c r="I215" s="24"/>
      <c r="J215" s="24"/>
      <c r="K215" s="25"/>
    </row>
    <row r="216" s="5" customFormat="1" ht="20" customHeight="1" spans="1:11">
      <c r="A216" s="22"/>
      <c r="B216" s="23"/>
      <c r="C216" s="24"/>
      <c r="D216" s="24"/>
      <c r="E216" s="24"/>
      <c r="F216" s="24"/>
      <c r="G216" s="24"/>
      <c r="H216" s="24"/>
      <c r="I216" s="24"/>
      <c r="J216" s="24"/>
      <c r="K216" s="25"/>
    </row>
    <row r="217" s="5" customFormat="1" ht="20" customHeight="1" spans="1:11">
      <c r="A217" s="22"/>
      <c r="B217" s="23"/>
      <c r="C217" s="24"/>
      <c r="D217" s="24"/>
      <c r="E217" s="24"/>
      <c r="F217" s="24"/>
      <c r="G217" s="24"/>
      <c r="H217" s="24"/>
      <c r="I217" s="24"/>
      <c r="J217" s="24"/>
      <c r="K217" s="25"/>
    </row>
    <row r="218" s="5" customFormat="1" ht="20" customHeight="1" spans="1:11">
      <c r="A218" s="22"/>
      <c r="B218" s="23"/>
      <c r="C218" s="24"/>
      <c r="D218" s="24"/>
      <c r="E218" s="24"/>
      <c r="F218" s="24"/>
      <c r="G218" s="24"/>
      <c r="H218" s="24"/>
      <c r="I218" s="24"/>
      <c r="J218" s="24"/>
      <c r="K218" s="25"/>
    </row>
    <row r="219" s="5" customFormat="1" ht="20" customHeight="1" spans="1:11">
      <c r="A219" s="22"/>
      <c r="B219" s="23"/>
      <c r="C219" s="24"/>
      <c r="D219" s="24"/>
      <c r="E219" s="24"/>
      <c r="F219" s="24"/>
      <c r="G219" s="24"/>
      <c r="H219" s="24"/>
      <c r="I219" s="24"/>
      <c r="J219" s="24"/>
      <c r="K219" s="25"/>
    </row>
    <row r="220" s="5" customFormat="1" ht="20" customHeight="1" spans="1:11">
      <c r="A220" s="22"/>
      <c r="B220" s="23"/>
      <c r="C220" s="24"/>
      <c r="D220" s="24"/>
      <c r="E220" s="24"/>
      <c r="F220" s="24"/>
      <c r="G220" s="24"/>
      <c r="H220" s="24"/>
      <c r="I220" s="24"/>
      <c r="J220" s="24"/>
      <c r="K220" s="25"/>
    </row>
    <row r="221" s="5" customFormat="1" ht="20" customHeight="1" spans="1:11">
      <c r="A221" s="22"/>
      <c r="B221" s="23"/>
      <c r="C221" s="24"/>
      <c r="D221" s="24"/>
      <c r="E221" s="24"/>
      <c r="F221" s="24"/>
      <c r="G221" s="24"/>
      <c r="H221" s="24"/>
      <c r="I221" s="24"/>
      <c r="J221" s="24"/>
      <c r="K221" s="25"/>
    </row>
    <row r="222" s="5" customFormat="1" ht="20" customHeight="1" spans="1:11">
      <c r="A222" s="22"/>
      <c r="B222" s="23"/>
      <c r="C222" s="24"/>
      <c r="D222" s="24"/>
      <c r="E222" s="24"/>
      <c r="F222" s="24"/>
      <c r="G222" s="24"/>
      <c r="H222" s="24"/>
      <c r="I222" s="24"/>
      <c r="J222" s="24"/>
      <c r="K222" s="25"/>
    </row>
    <row r="223" s="5" customFormat="1" ht="20" customHeight="1" spans="1:11">
      <c r="A223" s="22"/>
      <c r="B223" s="23"/>
      <c r="C223" s="24"/>
      <c r="D223" s="24"/>
      <c r="E223" s="24"/>
      <c r="F223" s="24"/>
      <c r="G223" s="24"/>
      <c r="H223" s="24"/>
      <c r="I223" s="24"/>
      <c r="J223" s="24"/>
      <c r="K223" s="25"/>
    </row>
    <row r="224" s="5" customFormat="1" ht="20" customHeight="1" spans="1:11">
      <c r="A224" s="22"/>
      <c r="B224" s="23"/>
      <c r="C224" s="24"/>
      <c r="D224" s="24"/>
      <c r="E224" s="24"/>
      <c r="F224" s="24"/>
      <c r="G224" s="24"/>
      <c r="H224" s="24"/>
      <c r="I224" s="24"/>
      <c r="J224" s="24"/>
      <c r="K224" s="25"/>
    </row>
    <row r="225" s="5" customFormat="1" ht="20" customHeight="1" spans="1:11">
      <c r="A225" s="22"/>
      <c r="B225" s="23"/>
      <c r="C225" s="24"/>
      <c r="D225" s="24"/>
      <c r="E225" s="24"/>
      <c r="F225" s="24"/>
      <c r="G225" s="24"/>
      <c r="H225" s="24"/>
      <c r="I225" s="24"/>
      <c r="J225" s="24"/>
      <c r="K225" s="25"/>
    </row>
    <row r="226" s="5" customFormat="1" ht="20" customHeight="1" spans="1:11">
      <c r="A226" s="22"/>
      <c r="B226" s="23"/>
      <c r="C226" s="24"/>
      <c r="D226" s="24"/>
      <c r="E226" s="24"/>
      <c r="F226" s="24"/>
      <c r="G226" s="24"/>
      <c r="H226" s="24"/>
      <c r="I226" s="24"/>
      <c r="J226" s="24"/>
      <c r="K226" s="25"/>
    </row>
    <row r="227" s="5" customFormat="1" ht="20" customHeight="1" spans="1:11">
      <c r="A227" s="22"/>
      <c r="B227" s="23"/>
      <c r="C227" s="24"/>
      <c r="D227" s="24"/>
      <c r="E227" s="24"/>
      <c r="F227" s="24"/>
      <c r="G227" s="24"/>
      <c r="H227" s="24"/>
      <c r="I227" s="24"/>
      <c r="J227" s="24"/>
      <c r="K227" s="25"/>
    </row>
    <row r="228" s="5" customFormat="1" ht="20" customHeight="1" spans="1:11">
      <c r="A228" s="22"/>
      <c r="B228" s="23"/>
      <c r="C228" s="24"/>
      <c r="D228" s="24"/>
      <c r="E228" s="24"/>
      <c r="F228" s="24"/>
      <c r="G228" s="24"/>
      <c r="H228" s="24"/>
      <c r="I228" s="24"/>
      <c r="J228" s="24"/>
      <c r="K228" s="25"/>
    </row>
    <row r="229" s="5" customFormat="1" ht="20" customHeight="1" spans="1:11">
      <c r="A229" s="22"/>
      <c r="B229" s="23"/>
      <c r="C229" s="24"/>
      <c r="D229" s="24"/>
      <c r="E229" s="24"/>
      <c r="F229" s="24"/>
      <c r="G229" s="24"/>
      <c r="H229" s="24"/>
      <c r="I229" s="24"/>
      <c r="J229" s="24"/>
      <c r="K229" s="25"/>
    </row>
    <row r="230" s="5" customFormat="1" ht="20" customHeight="1" spans="1:11">
      <c r="A230" s="22"/>
      <c r="B230" s="23"/>
      <c r="C230" s="24"/>
      <c r="D230" s="24"/>
      <c r="E230" s="24"/>
      <c r="F230" s="24"/>
      <c r="G230" s="24"/>
      <c r="H230" s="24"/>
      <c r="I230" s="24"/>
      <c r="J230" s="24"/>
      <c r="K230" s="25"/>
    </row>
    <row r="231" s="5" customFormat="1" ht="20" customHeight="1" spans="1:11">
      <c r="A231" s="22"/>
      <c r="B231" s="23"/>
      <c r="C231" s="24"/>
      <c r="D231" s="24"/>
      <c r="E231" s="24"/>
      <c r="F231" s="24"/>
      <c r="G231" s="24"/>
      <c r="H231" s="24"/>
      <c r="I231" s="24"/>
      <c r="J231" s="24"/>
      <c r="K231" s="25"/>
    </row>
    <row r="232" s="5" customFormat="1" ht="20" customHeight="1" spans="1:11">
      <c r="A232" s="22"/>
      <c r="B232" s="23"/>
      <c r="C232" s="24"/>
      <c r="D232" s="24"/>
      <c r="E232" s="24"/>
      <c r="F232" s="24"/>
      <c r="G232" s="24"/>
      <c r="H232" s="24"/>
      <c r="I232" s="24"/>
      <c r="J232" s="24"/>
      <c r="K232" s="25"/>
    </row>
    <row r="233" s="5" customFormat="1" ht="20" customHeight="1" spans="1:11">
      <c r="A233" s="22"/>
      <c r="B233" s="23"/>
      <c r="C233" s="24"/>
      <c r="D233" s="24"/>
      <c r="E233" s="24"/>
      <c r="F233" s="24"/>
      <c r="G233" s="24"/>
      <c r="H233" s="24"/>
      <c r="I233" s="24"/>
      <c r="J233" s="24"/>
      <c r="K233" s="25"/>
    </row>
    <row r="234" s="5" customFormat="1" ht="20" customHeight="1" spans="1:11">
      <c r="A234" s="22"/>
      <c r="B234" s="23"/>
      <c r="C234" s="24"/>
      <c r="D234" s="24"/>
      <c r="E234" s="24"/>
      <c r="F234" s="24"/>
      <c r="G234" s="24"/>
      <c r="H234" s="24"/>
      <c r="I234" s="24"/>
      <c r="J234" s="24"/>
      <c r="K234" s="25"/>
    </row>
    <row r="235" s="5" customFormat="1" ht="20" customHeight="1" spans="1:11">
      <c r="A235" s="22"/>
      <c r="B235" s="23"/>
      <c r="C235" s="24"/>
      <c r="D235" s="24"/>
      <c r="E235" s="24"/>
      <c r="F235" s="24"/>
      <c r="G235" s="24"/>
      <c r="H235" s="24"/>
      <c r="I235" s="24"/>
      <c r="J235" s="24"/>
      <c r="K235" s="25"/>
    </row>
    <row r="236" s="5" customFormat="1" ht="20" customHeight="1" spans="1:11">
      <c r="A236" s="22"/>
      <c r="B236" s="23"/>
      <c r="C236" s="24"/>
      <c r="D236" s="24"/>
      <c r="E236" s="24"/>
      <c r="F236" s="24"/>
      <c r="G236" s="24"/>
      <c r="H236" s="24"/>
      <c r="I236" s="24"/>
      <c r="J236" s="24"/>
      <c r="K236" s="25"/>
    </row>
    <row r="237" s="5" customFormat="1" ht="20" customHeight="1" spans="1:11">
      <c r="A237" s="22"/>
      <c r="B237" s="23"/>
      <c r="C237" s="24"/>
      <c r="D237" s="24"/>
      <c r="E237" s="24"/>
      <c r="F237" s="24"/>
      <c r="G237" s="24"/>
      <c r="H237" s="24"/>
      <c r="I237" s="24"/>
      <c r="J237" s="24"/>
      <c r="K237" s="25"/>
    </row>
    <row r="238" s="5" customFormat="1" ht="20" customHeight="1" spans="1:11">
      <c r="A238" s="22"/>
      <c r="B238" s="23"/>
      <c r="C238" s="24"/>
      <c r="D238" s="24"/>
      <c r="E238" s="24"/>
      <c r="F238" s="24"/>
      <c r="G238" s="24"/>
      <c r="H238" s="24"/>
      <c r="I238" s="24"/>
      <c r="J238" s="24"/>
      <c r="K238" s="25"/>
    </row>
    <row r="239" s="5" customFormat="1" ht="20" customHeight="1" spans="1:11">
      <c r="A239" s="22"/>
      <c r="B239" s="23"/>
      <c r="C239" s="24"/>
      <c r="D239" s="24"/>
      <c r="E239" s="24"/>
      <c r="F239" s="24"/>
      <c r="G239" s="24"/>
      <c r="H239" s="24"/>
      <c r="I239" s="24"/>
      <c r="J239" s="24"/>
      <c r="K239" s="25"/>
    </row>
    <row r="240" s="5" customFormat="1" ht="20" customHeight="1" spans="1:11">
      <c r="A240" s="22"/>
      <c r="B240" s="23"/>
      <c r="C240" s="24"/>
      <c r="D240" s="24"/>
      <c r="E240" s="24"/>
      <c r="F240" s="24"/>
      <c r="G240" s="24"/>
      <c r="H240" s="24"/>
      <c r="I240" s="24"/>
      <c r="J240" s="24"/>
      <c r="K240" s="25"/>
    </row>
    <row r="241" s="5" customFormat="1" ht="20" customHeight="1" spans="1:11">
      <c r="A241" s="22"/>
      <c r="B241" s="23"/>
      <c r="C241" s="24"/>
      <c r="D241" s="24"/>
      <c r="E241" s="24"/>
      <c r="F241" s="24"/>
      <c r="G241" s="24"/>
      <c r="H241" s="24"/>
      <c r="I241" s="24"/>
      <c r="J241" s="24"/>
      <c r="K241" s="25"/>
    </row>
    <row r="242" s="5" customFormat="1" ht="20" customHeight="1" spans="1:11">
      <c r="A242" s="22"/>
      <c r="B242" s="23"/>
      <c r="C242" s="24"/>
      <c r="D242" s="24"/>
      <c r="E242" s="24"/>
      <c r="F242" s="24"/>
      <c r="G242" s="24"/>
      <c r="H242" s="24"/>
      <c r="I242" s="24"/>
      <c r="J242" s="24"/>
      <c r="K242" s="25"/>
    </row>
    <row r="243" s="5" customFormat="1" ht="20" customHeight="1" spans="1:11">
      <c r="A243" s="22"/>
      <c r="B243" s="23"/>
      <c r="C243" s="24"/>
      <c r="D243" s="24"/>
      <c r="E243" s="24"/>
      <c r="F243" s="24"/>
      <c r="G243" s="24"/>
      <c r="H243" s="24"/>
      <c r="I243" s="24"/>
      <c r="J243" s="24"/>
      <c r="K243" s="25"/>
    </row>
    <row r="244" s="5" customFormat="1" ht="20" customHeight="1" spans="1:11">
      <c r="A244" s="22"/>
      <c r="B244" s="23"/>
      <c r="C244" s="24"/>
      <c r="D244" s="24"/>
      <c r="E244" s="24"/>
      <c r="F244" s="24"/>
      <c r="G244" s="24"/>
      <c r="H244" s="24"/>
      <c r="I244" s="24"/>
      <c r="J244" s="24"/>
      <c r="K244" s="25"/>
    </row>
    <row r="245" s="5" customFormat="1" ht="20" customHeight="1" spans="1:11">
      <c r="A245" s="22"/>
      <c r="B245" s="23"/>
      <c r="C245" s="24"/>
      <c r="D245" s="24"/>
      <c r="E245" s="24"/>
      <c r="F245" s="24"/>
      <c r="G245" s="24"/>
      <c r="H245" s="24"/>
      <c r="I245" s="24"/>
      <c r="J245" s="24"/>
      <c r="K245" s="25"/>
    </row>
    <row r="246" s="5" customFormat="1" ht="20" customHeight="1" spans="1:11">
      <c r="A246" s="22"/>
      <c r="B246" s="23"/>
      <c r="C246" s="24"/>
      <c r="D246" s="24"/>
      <c r="E246" s="24"/>
      <c r="F246" s="24"/>
      <c r="G246" s="24"/>
      <c r="H246" s="24"/>
      <c r="I246" s="24"/>
      <c r="J246" s="24"/>
      <c r="K246" s="25"/>
    </row>
    <row r="247" s="5" customFormat="1" ht="20" customHeight="1" spans="1:11">
      <c r="A247" s="22"/>
      <c r="B247" s="23"/>
      <c r="C247" s="24"/>
      <c r="D247" s="24"/>
      <c r="E247" s="24"/>
      <c r="F247" s="24"/>
      <c r="G247" s="24"/>
      <c r="H247" s="24"/>
      <c r="I247" s="24"/>
      <c r="J247" s="24"/>
      <c r="K247" s="25"/>
    </row>
    <row r="248" s="5" customFormat="1" ht="20" customHeight="1" spans="1:11">
      <c r="A248" s="22"/>
      <c r="B248" s="23"/>
      <c r="C248" s="24"/>
      <c r="D248" s="24"/>
      <c r="E248" s="24"/>
      <c r="F248" s="24"/>
      <c r="G248" s="24"/>
      <c r="H248" s="24"/>
      <c r="I248" s="24"/>
      <c r="J248" s="24"/>
      <c r="K248" s="25"/>
    </row>
    <row r="249" s="5" customFormat="1" ht="20" customHeight="1" spans="1:11">
      <c r="A249" s="22"/>
      <c r="B249" s="23"/>
      <c r="C249" s="24"/>
      <c r="D249" s="24"/>
      <c r="E249" s="24"/>
      <c r="F249" s="24"/>
      <c r="G249" s="24"/>
      <c r="H249" s="24"/>
      <c r="I249" s="24"/>
      <c r="J249" s="24"/>
      <c r="K249" s="25"/>
    </row>
    <row r="250" s="5" customFormat="1" ht="20" customHeight="1" spans="1:11">
      <c r="A250" s="22"/>
      <c r="B250" s="23"/>
      <c r="C250" s="24"/>
      <c r="D250" s="24"/>
      <c r="E250" s="24"/>
      <c r="F250" s="24"/>
      <c r="G250" s="24"/>
      <c r="H250" s="24"/>
      <c r="I250" s="24"/>
      <c r="J250" s="24"/>
      <c r="K250" s="25"/>
    </row>
    <row r="251" s="5" customFormat="1" ht="20" customHeight="1" spans="1:11">
      <c r="A251" s="22"/>
      <c r="B251" s="23"/>
      <c r="C251" s="24"/>
      <c r="D251" s="24"/>
      <c r="E251" s="24"/>
      <c r="F251" s="24"/>
      <c r="G251" s="24"/>
      <c r="H251" s="24"/>
      <c r="I251" s="24"/>
      <c r="J251" s="24"/>
      <c r="K251" s="25"/>
    </row>
    <row r="252" s="5" customFormat="1" ht="16.5" spans="1:11">
      <c r="A252" s="22"/>
      <c r="B252" s="23"/>
      <c r="C252" s="24"/>
      <c r="D252" s="24"/>
      <c r="E252" s="24"/>
      <c r="F252" s="24"/>
      <c r="G252" s="24"/>
      <c r="H252" s="24"/>
      <c r="I252" s="24"/>
      <c r="J252" s="24"/>
      <c r="K252" s="25"/>
    </row>
    <row r="253" s="5" customFormat="1" ht="16.5" spans="1:11">
      <c r="A253" s="22"/>
      <c r="B253" s="23"/>
      <c r="C253" s="24"/>
      <c r="D253" s="24"/>
      <c r="E253" s="24"/>
      <c r="F253" s="24"/>
      <c r="G253" s="24"/>
      <c r="H253" s="24"/>
      <c r="I253" s="24"/>
      <c r="J253" s="24"/>
      <c r="K253" s="25"/>
    </row>
    <row r="254" s="5" customFormat="1" ht="16.5" spans="1:11">
      <c r="A254" s="22"/>
      <c r="B254" s="23"/>
      <c r="C254" s="24"/>
      <c r="D254" s="24"/>
      <c r="E254" s="24"/>
      <c r="F254" s="24"/>
      <c r="G254" s="24"/>
      <c r="H254" s="24"/>
      <c r="I254" s="24"/>
      <c r="J254" s="24"/>
      <c r="K254" s="25"/>
    </row>
    <row r="255" s="5" customFormat="1" ht="16.5" spans="1:11">
      <c r="A255" s="22"/>
      <c r="B255" s="23"/>
      <c r="C255" s="24"/>
      <c r="D255" s="24"/>
      <c r="E255" s="24"/>
      <c r="F255" s="24"/>
      <c r="G255" s="24"/>
      <c r="H255" s="24"/>
      <c r="I255" s="24"/>
      <c r="J255" s="24"/>
      <c r="K255" s="25"/>
    </row>
    <row r="256" s="5" customFormat="1" ht="16.5" spans="1:11">
      <c r="A256" s="22"/>
      <c r="B256" s="23"/>
      <c r="C256" s="24"/>
      <c r="D256" s="24"/>
      <c r="E256" s="24"/>
      <c r="F256" s="24"/>
      <c r="G256" s="24"/>
      <c r="H256" s="24"/>
      <c r="I256" s="24"/>
      <c r="J256" s="24"/>
      <c r="K256" s="25"/>
    </row>
    <row r="257" s="5" customFormat="1" ht="16.5" spans="1:11">
      <c r="A257" s="22"/>
      <c r="B257" s="23"/>
      <c r="C257" s="24"/>
      <c r="D257" s="24"/>
      <c r="E257" s="24"/>
      <c r="F257" s="24"/>
      <c r="G257" s="24"/>
      <c r="H257" s="24"/>
      <c r="I257" s="24"/>
      <c r="J257" s="24"/>
      <c r="K257" s="25"/>
    </row>
    <row r="258" s="5" customFormat="1" ht="16.5" spans="1:11">
      <c r="A258" s="22"/>
      <c r="B258" s="23"/>
      <c r="C258" s="24"/>
      <c r="D258" s="24"/>
      <c r="E258" s="24"/>
      <c r="F258" s="24"/>
      <c r="G258" s="24"/>
      <c r="H258" s="24"/>
      <c r="I258" s="24"/>
      <c r="J258" s="24"/>
      <c r="K258" s="25"/>
    </row>
    <row r="259" s="5" customFormat="1" ht="16.5" spans="1:11">
      <c r="A259" s="22"/>
      <c r="B259" s="23"/>
      <c r="C259" s="24"/>
      <c r="D259" s="24"/>
      <c r="E259" s="24"/>
      <c r="F259" s="24"/>
      <c r="G259" s="24"/>
      <c r="H259" s="24"/>
      <c r="I259" s="24"/>
      <c r="J259" s="24"/>
      <c r="K259" s="25"/>
    </row>
    <row r="260" s="5" customFormat="1" ht="16.5" spans="1:11">
      <c r="A260" s="22"/>
      <c r="B260" s="23"/>
      <c r="C260" s="24"/>
      <c r="D260" s="24"/>
      <c r="E260" s="24"/>
      <c r="F260" s="24"/>
      <c r="G260" s="24"/>
      <c r="H260" s="24"/>
      <c r="I260" s="24"/>
      <c r="J260" s="24"/>
      <c r="K260" s="25"/>
    </row>
    <row r="261" s="5" customFormat="1" ht="16.5" spans="1:11">
      <c r="A261" s="22"/>
      <c r="B261" s="23"/>
      <c r="C261" s="24"/>
      <c r="D261" s="24"/>
      <c r="E261" s="24"/>
      <c r="F261" s="24"/>
      <c r="G261" s="24"/>
      <c r="H261" s="24"/>
      <c r="I261" s="24"/>
      <c r="J261" s="24"/>
      <c r="K261" s="25"/>
    </row>
    <row r="262" s="5" customFormat="1" ht="16.5" spans="1:11">
      <c r="A262" s="22"/>
      <c r="B262" s="23"/>
      <c r="C262" s="24"/>
      <c r="D262" s="24"/>
      <c r="E262" s="24"/>
      <c r="F262" s="24"/>
      <c r="G262" s="24"/>
      <c r="H262" s="24"/>
      <c r="I262" s="24"/>
      <c r="J262" s="24"/>
      <c r="K262" s="25"/>
    </row>
    <row r="263" s="5" customFormat="1" ht="16.5" spans="1:11">
      <c r="A263" s="22"/>
      <c r="B263" s="23"/>
      <c r="C263" s="24"/>
      <c r="D263" s="24"/>
      <c r="E263" s="24"/>
      <c r="F263" s="24"/>
      <c r="G263" s="24"/>
      <c r="H263" s="24"/>
      <c r="I263" s="24"/>
      <c r="J263" s="24"/>
      <c r="K263" s="25"/>
    </row>
    <row r="264" s="5" customFormat="1" ht="16.5" spans="1:11">
      <c r="A264" s="22"/>
      <c r="B264" s="23"/>
      <c r="C264" s="24"/>
      <c r="D264" s="24"/>
      <c r="E264" s="24"/>
      <c r="F264" s="24"/>
      <c r="G264" s="24"/>
      <c r="H264" s="24"/>
      <c r="I264" s="24"/>
      <c r="J264" s="24"/>
      <c r="K264" s="25"/>
    </row>
    <row r="265" s="5" customFormat="1" ht="16.5" spans="1:11">
      <c r="A265" s="22"/>
      <c r="B265" s="23"/>
      <c r="C265" s="24"/>
      <c r="D265" s="24"/>
      <c r="E265" s="24"/>
      <c r="F265" s="24"/>
      <c r="G265" s="24"/>
      <c r="H265" s="24"/>
      <c r="I265" s="24"/>
      <c r="J265" s="24"/>
      <c r="K265" s="25"/>
    </row>
    <row r="266" s="5" customFormat="1" ht="16.5" spans="1:11">
      <c r="A266" s="22"/>
      <c r="B266" s="23"/>
      <c r="C266" s="24"/>
      <c r="D266" s="24"/>
      <c r="E266" s="24"/>
      <c r="F266" s="24"/>
      <c r="G266" s="24"/>
      <c r="H266" s="24"/>
      <c r="I266" s="24"/>
      <c r="J266" s="24"/>
      <c r="K266" s="25"/>
    </row>
    <row r="267" s="5" customFormat="1" ht="16.5" spans="1:11">
      <c r="A267" s="22"/>
      <c r="B267" s="23"/>
      <c r="C267" s="24"/>
      <c r="D267" s="24"/>
      <c r="E267" s="24"/>
      <c r="F267" s="24"/>
      <c r="G267" s="24"/>
      <c r="H267" s="24"/>
      <c r="I267" s="24"/>
      <c r="J267" s="24"/>
      <c r="K267" s="25"/>
    </row>
    <row r="268" s="5" customFormat="1" ht="16.5" spans="1:11">
      <c r="A268" s="22"/>
      <c r="B268" s="23"/>
      <c r="C268" s="24"/>
      <c r="D268" s="24"/>
      <c r="E268" s="24"/>
      <c r="F268" s="24"/>
      <c r="G268" s="24"/>
      <c r="H268" s="24"/>
      <c r="I268" s="24"/>
      <c r="J268" s="24"/>
      <c r="K268" s="25"/>
    </row>
    <row r="269" s="5" customFormat="1" ht="16.5" spans="1:11">
      <c r="A269" s="22"/>
      <c r="B269" s="23"/>
      <c r="C269" s="24"/>
      <c r="D269" s="24"/>
      <c r="E269" s="24"/>
      <c r="F269" s="24"/>
      <c r="G269" s="24"/>
      <c r="H269" s="24"/>
      <c r="I269" s="24"/>
      <c r="J269" s="24"/>
      <c r="K269" s="25"/>
    </row>
    <row r="270" s="5" customFormat="1" ht="16.5" spans="1:11">
      <c r="A270" s="22"/>
      <c r="B270" s="23"/>
      <c r="C270" s="24"/>
      <c r="D270" s="24"/>
      <c r="E270" s="24"/>
      <c r="F270" s="24"/>
      <c r="G270" s="24"/>
      <c r="H270" s="24"/>
      <c r="I270" s="24"/>
      <c r="J270" s="24"/>
      <c r="K270" s="25"/>
    </row>
    <row r="271" s="5" customFormat="1" ht="16.5" spans="1:11">
      <c r="A271" s="22"/>
      <c r="B271" s="23"/>
      <c r="C271" s="24"/>
      <c r="D271" s="24"/>
      <c r="E271" s="24"/>
      <c r="F271" s="24"/>
      <c r="G271" s="24"/>
      <c r="H271" s="24"/>
      <c r="I271" s="24"/>
      <c r="J271" s="24"/>
      <c r="K271" s="25"/>
    </row>
    <row r="272" s="5" customFormat="1" ht="16.5" spans="1:11">
      <c r="A272" s="22"/>
      <c r="B272" s="23"/>
      <c r="C272" s="24"/>
      <c r="D272" s="24"/>
      <c r="E272" s="24"/>
      <c r="F272" s="24"/>
      <c r="G272" s="24"/>
      <c r="H272" s="24"/>
      <c r="I272" s="24"/>
      <c r="J272" s="24"/>
      <c r="K272" s="25"/>
    </row>
    <row r="273" s="5" customFormat="1" ht="16.5" spans="1:11">
      <c r="A273" s="22"/>
      <c r="B273" s="23"/>
      <c r="C273" s="24"/>
      <c r="D273" s="24"/>
      <c r="E273" s="24"/>
      <c r="F273" s="24"/>
      <c r="G273" s="24"/>
      <c r="H273" s="24"/>
      <c r="I273" s="24"/>
      <c r="J273" s="24"/>
      <c r="K273" s="25"/>
    </row>
    <row r="274" s="5" customFormat="1" ht="16.5" spans="1:11">
      <c r="A274" s="22"/>
      <c r="B274" s="23"/>
      <c r="C274" s="24"/>
      <c r="D274" s="24"/>
      <c r="E274" s="24"/>
      <c r="F274" s="24"/>
      <c r="G274" s="24"/>
      <c r="H274" s="24"/>
      <c r="I274" s="24"/>
      <c r="J274" s="24"/>
      <c r="K274" s="25"/>
    </row>
    <row r="275" s="5" customFormat="1" ht="16.5" spans="1:11">
      <c r="A275" s="22"/>
      <c r="B275" s="23"/>
      <c r="C275" s="24"/>
      <c r="D275" s="24"/>
      <c r="E275" s="24"/>
      <c r="F275" s="24"/>
      <c r="G275" s="24"/>
      <c r="H275" s="24"/>
      <c r="I275" s="24"/>
      <c r="J275" s="24"/>
      <c r="K275" s="25"/>
    </row>
    <row r="276" s="5" customFormat="1" ht="16.5" spans="1:11">
      <c r="A276" s="22"/>
      <c r="B276" s="23"/>
      <c r="C276" s="24"/>
      <c r="D276" s="24"/>
      <c r="E276" s="24"/>
      <c r="F276" s="24"/>
      <c r="G276" s="24"/>
      <c r="H276" s="24"/>
      <c r="I276" s="24"/>
      <c r="J276" s="24"/>
      <c r="K276" s="25"/>
    </row>
    <row r="277" s="5" customFormat="1" ht="16.5" spans="1:11">
      <c r="A277" s="22"/>
      <c r="B277" s="23"/>
      <c r="C277" s="24"/>
      <c r="D277" s="24"/>
      <c r="E277" s="24"/>
      <c r="F277" s="24"/>
      <c r="G277" s="24"/>
      <c r="H277" s="24"/>
      <c r="I277" s="24"/>
      <c r="J277" s="24"/>
      <c r="K277" s="25"/>
    </row>
    <row r="278" s="5" customFormat="1" ht="16.5" spans="1:11">
      <c r="A278" s="22"/>
      <c r="B278" s="23"/>
      <c r="C278" s="24"/>
      <c r="D278" s="24"/>
      <c r="E278" s="24"/>
      <c r="F278" s="24"/>
      <c r="G278" s="24"/>
      <c r="H278" s="24"/>
      <c r="I278" s="24"/>
      <c r="J278" s="24"/>
      <c r="K278" s="25"/>
    </row>
    <row r="279" s="5" customFormat="1" ht="16.5" spans="1:11">
      <c r="A279" s="22"/>
      <c r="B279" s="23"/>
      <c r="C279" s="24"/>
      <c r="D279" s="24"/>
      <c r="E279" s="24"/>
      <c r="F279" s="24"/>
      <c r="G279" s="24"/>
      <c r="H279" s="24"/>
      <c r="I279" s="24"/>
      <c r="J279" s="24"/>
      <c r="K279" s="25"/>
    </row>
    <row r="280" s="5" customFormat="1" ht="16.5" spans="1:11">
      <c r="A280" s="22"/>
      <c r="B280" s="23"/>
      <c r="C280" s="24"/>
      <c r="D280" s="24"/>
      <c r="E280" s="24"/>
      <c r="F280" s="24"/>
      <c r="G280" s="24"/>
      <c r="H280" s="24"/>
      <c r="I280" s="24"/>
      <c r="J280" s="24"/>
      <c r="K280" s="25"/>
    </row>
    <row r="281" s="5" customFormat="1" ht="16.5" spans="1:11">
      <c r="A281" s="22"/>
      <c r="B281" s="23"/>
      <c r="C281" s="24"/>
      <c r="D281" s="24"/>
      <c r="E281" s="24"/>
      <c r="F281" s="24"/>
      <c r="G281" s="24"/>
      <c r="H281" s="24"/>
      <c r="I281" s="24"/>
      <c r="J281" s="24"/>
      <c r="K281" s="25"/>
    </row>
    <row r="282" s="5" customFormat="1" ht="16.5" spans="1:11">
      <c r="A282" s="22"/>
      <c r="B282" s="23"/>
      <c r="C282" s="24"/>
      <c r="D282" s="24"/>
      <c r="E282" s="24"/>
      <c r="F282" s="24"/>
      <c r="G282" s="24"/>
      <c r="H282" s="24"/>
      <c r="I282" s="24"/>
      <c r="J282" s="24"/>
      <c r="K282" s="25"/>
    </row>
    <row r="283" s="5" customFormat="1" ht="16.5" spans="1:11">
      <c r="A283" s="22"/>
      <c r="B283" s="23"/>
      <c r="C283" s="24"/>
      <c r="D283" s="24"/>
      <c r="E283" s="24"/>
      <c r="F283" s="24"/>
      <c r="G283" s="24"/>
      <c r="H283" s="24"/>
      <c r="I283" s="24"/>
      <c r="J283" s="24"/>
      <c r="K283" s="25"/>
    </row>
    <row r="284" s="5" customFormat="1" ht="16.5" spans="1:11">
      <c r="A284" s="22"/>
      <c r="B284" s="23"/>
      <c r="C284" s="24"/>
      <c r="D284" s="24"/>
      <c r="E284" s="24"/>
      <c r="F284" s="24"/>
      <c r="G284" s="24"/>
      <c r="H284" s="24"/>
      <c r="I284" s="24"/>
      <c r="J284" s="24"/>
      <c r="K284" s="25"/>
    </row>
    <row r="285" s="5" customFormat="1" ht="16.5" spans="1:11">
      <c r="A285" s="22"/>
      <c r="B285" s="23"/>
      <c r="C285" s="24"/>
      <c r="D285" s="24"/>
      <c r="E285" s="24"/>
      <c r="F285" s="24"/>
      <c r="G285" s="24"/>
      <c r="H285" s="24"/>
      <c r="I285" s="24"/>
      <c r="J285" s="24"/>
      <c r="K285" s="25"/>
    </row>
    <row r="286" s="5" customFormat="1" ht="16.5" spans="1:11">
      <c r="A286" s="22"/>
      <c r="B286" s="23"/>
      <c r="C286" s="24"/>
      <c r="D286" s="24"/>
      <c r="E286" s="24"/>
      <c r="F286" s="24"/>
      <c r="G286" s="24"/>
      <c r="H286" s="24"/>
      <c r="I286" s="24"/>
      <c r="J286" s="24"/>
      <c r="K286" s="25"/>
    </row>
    <row r="287" s="5" customFormat="1" ht="16.5" spans="1:11">
      <c r="A287" s="22"/>
      <c r="B287" s="23"/>
      <c r="C287" s="24"/>
      <c r="D287" s="24"/>
      <c r="E287" s="24"/>
      <c r="F287" s="24"/>
      <c r="G287" s="24"/>
      <c r="H287" s="24"/>
      <c r="I287" s="24"/>
      <c r="J287" s="24"/>
      <c r="K287" s="25"/>
    </row>
    <row r="288" s="5" customFormat="1" ht="16.5" spans="1:11">
      <c r="A288" s="22"/>
      <c r="B288" s="23"/>
      <c r="C288" s="24"/>
      <c r="D288" s="24"/>
      <c r="E288" s="24"/>
      <c r="F288" s="24"/>
      <c r="G288" s="24"/>
      <c r="H288" s="24"/>
      <c r="I288" s="24"/>
      <c r="J288" s="24"/>
      <c r="K288" s="25"/>
    </row>
    <row r="289" s="5" customFormat="1" ht="16.5" spans="1:11">
      <c r="A289" s="22"/>
      <c r="B289" s="23"/>
      <c r="C289" s="24"/>
      <c r="D289" s="24"/>
      <c r="E289" s="24"/>
      <c r="F289" s="24"/>
      <c r="G289" s="24"/>
      <c r="H289" s="24"/>
      <c r="I289" s="24"/>
      <c r="J289" s="24"/>
      <c r="K289" s="25"/>
    </row>
    <row r="290" s="5" customFormat="1" ht="16.5" spans="1:11">
      <c r="A290" s="22"/>
      <c r="B290" s="23"/>
      <c r="C290" s="24"/>
      <c r="D290" s="24"/>
      <c r="E290" s="24"/>
      <c r="F290" s="24"/>
      <c r="G290" s="24"/>
      <c r="H290" s="24"/>
      <c r="I290" s="24"/>
      <c r="J290" s="24"/>
      <c r="K290" s="25"/>
    </row>
    <row r="291" s="5" customFormat="1" ht="16.5" spans="1:11">
      <c r="A291" s="22"/>
      <c r="B291" s="23"/>
      <c r="C291" s="24"/>
      <c r="D291" s="24"/>
      <c r="E291" s="24"/>
      <c r="F291" s="24"/>
      <c r="G291" s="24"/>
      <c r="H291" s="24"/>
      <c r="I291" s="24"/>
      <c r="J291" s="24"/>
      <c r="K291" s="25"/>
    </row>
    <row r="292" s="5" customFormat="1" ht="16.5" spans="1:11">
      <c r="A292" s="22"/>
      <c r="B292" s="23"/>
      <c r="C292" s="24"/>
      <c r="D292" s="24"/>
      <c r="E292" s="24"/>
      <c r="F292" s="24"/>
      <c r="G292" s="24"/>
      <c r="H292" s="24"/>
      <c r="I292" s="24"/>
      <c r="J292" s="24"/>
      <c r="K292" s="25"/>
    </row>
    <row r="293" s="5" customFormat="1" ht="16.5" spans="1:11">
      <c r="A293" s="22"/>
      <c r="B293" s="23"/>
      <c r="C293" s="24"/>
      <c r="D293" s="24"/>
      <c r="E293" s="24"/>
      <c r="F293" s="24"/>
      <c r="G293" s="24"/>
      <c r="H293" s="24"/>
      <c r="I293" s="24"/>
      <c r="J293" s="24"/>
      <c r="K293" s="25"/>
    </row>
    <row r="294" s="5" customFormat="1" ht="16.5" spans="1:11">
      <c r="A294" s="22"/>
      <c r="B294" s="23"/>
      <c r="C294" s="24"/>
      <c r="D294" s="24"/>
      <c r="E294" s="24"/>
      <c r="F294" s="24"/>
      <c r="G294" s="24"/>
      <c r="H294" s="24"/>
      <c r="I294" s="24"/>
      <c r="J294" s="24"/>
      <c r="K294" s="25"/>
    </row>
    <row r="295" s="5" customFormat="1" ht="16.5" spans="1:11">
      <c r="A295" s="22"/>
      <c r="B295" s="23"/>
      <c r="C295" s="24"/>
      <c r="D295" s="24"/>
      <c r="E295" s="24"/>
      <c r="F295" s="24"/>
      <c r="G295" s="24"/>
      <c r="H295" s="24"/>
      <c r="I295" s="24"/>
      <c r="J295" s="24"/>
      <c r="K295" s="25"/>
    </row>
    <row r="296" s="5" customFormat="1" ht="16.5" spans="1:11">
      <c r="A296" s="22"/>
      <c r="B296" s="23"/>
      <c r="C296" s="24"/>
      <c r="D296" s="24"/>
      <c r="E296" s="24"/>
      <c r="F296" s="24"/>
      <c r="G296" s="24"/>
      <c r="H296" s="24"/>
      <c r="I296" s="24"/>
      <c r="J296" s="24"/>
      <c r="K296" s="25"/>
    </row>
    <row r="297" s="5" customFormat="1" ht="16.5" spans="1:11">
      <c r="A297" s="22"/>
      <c r="B297" s="23"/>
      <c r="C297" s="24"/>
      <c r="D297" s="24"/>
      <c r="E297" s="24"/>
      <c r="F297" s="24"/>
      <c r="G297" s="24"/>
      <c r="H297" s="24"/>
      <c r="I297" s="24"/>
      <c r="J297" s="24"/>
      <c r="K297" s="25"/>
    </row>
    <row r="298" s="5" customFormat="1" ht="16.5" spans="1:11">
      <c r="A298" s="22"/>
      <c r="B298" s="23"/>
      <c r="C298" s="24"/>
      <c r="D298" s="24"/>
      <c r="E298" s="24"/>
      <c r="F298" s="24"/>
      <c r="G298" s="24"/>
      <c r="H298" s="24"/>
      <c r="I298" s="24"/>
      <c r="J298" s="24"/>
      <c r="K298" s="25"/>
    </row>
    <row r="299" s="5" customFormat="1" ht="16.5" spans="1:11">
      <c r="A299" s="22"/>
      <c r="B299" s="23"/>
      <c r="C299" s="24"/>
      <c r="D299" s="24"/>
      <c r="E299" s="24"/>
      <c r="F299" s="24"/>
      <c r="G299" s="24"/>
      <c r="H299" s="24"/>
      <c r="I299" s="24"/>
      <c r="J299" s="24"/>
      <c r="K299" s="25"/>
    </row>
    <row r="300" s="5" customFormat="1" ht="16.5" spans="1:11">
      <c r="A300" s="22"/>
      <c r="B300" s="23"/>
      <c r="C300" s="24"/>
      <c r="D300" s="24"/>
      <c r="E300" s="24"/>
      <c r="F300" s="24"/>
      <c r="G300" s="24"/>
      <c r="H300" s="24"/>
      <c r="I300" s="24"/>
      <c r="J300" s="24"/>
      <c r="K300" s="25"/>
    </row>
    <row r="301" s="5" customFormat="1" ht="16.5" spans="1:11">
      <c r="A301" s="22"/>
      <c r="B301" s="23"/>
      <c r="C301" s="24"/>
      <c r="D301" s="24"/>
      <c r="E301" s="24"/>
      <c r="F301" s="24"/>
      <c r="G301" s="24"/>
      <c r="H301" s="24"/>
      <c r="I301" s="24"/>
      <c r="J301" s="24"/>
      <c r="K301" s="25"/>
    </row>
    <row r="302" s="5" customFormat="1" ht="16.5" spans="1:11">
      <c r="A302" s="22"/>
      <c r="B302" s="23"/>
      <c r="C302" s="24"/>
      <c r="D302" s="24"/>
      <c r="E302" s="24"/>
      <c r="F302" s="24"/>
      <c r="G302" s="24"/>
      <c r="H302" s="24"/>
      <c r="I302" s="24"/>
      <c r="J302" s="24"/>
      <c r="K302" s="25"/>
    </row>
    <row r="303" s="5" customFormat="1" ht="16.5" spans="1:11">
      <c r="A303" s="22"/>
      <c r="B303" s="23"/>
      <c r="C303" s="24"/>
      <c r="D303" s="24"/>
      <c r="E303" s="24"/>
      <c r="F303" s="24"/>
      <c r="G303" s="24"/>
      <c r="H303" s="24"/>
      <c r="I303" s="24"/>
      <c r="J303" s="24"/>
      <c r="K303" s="25"/>
    </row>
    <row r="304" s="5" customFormat="1" ht="16.5" spans="1:11">
      <c r="A304" s="22"/>
      <c r="B304" s="23"/>
      <c r="C304" s="24"/>
      <c r="D304" s="24"/>
      <c r="E304" s="24"/>
      <c r="F304" s="24"/>
      <c r="G304" s="24"/>
      <c r="H304" s="24"/>
      <c r="I304" s="24"/>
      <c r="J304" s="24"/>
      <c r="K304" s="25"/>
    </row>
    <row r="305" s="5" customFormat="1" ht="16.5" spans="1:11">
      <c r="A305" s="22"/>
      <c r="B305" s="23"/>
      <c r="C305" s="24"/>
      <c r="D305" s="24"/>
      <c r="E305" s="24"/>
      <c r="F305" s="24"/>
      <c r="G305" s="24"/>
      <c r="H305" s="24"/>
      <c r="I305" s="24"/>
      <c r="J305" s="24"/>
      <c r="K305" s="25"/>
    </row>
    <row r="306" s="5" customFormat="1" ht="16.5" spans="1:11">
      <c r="A306" s="22"/>
      <c r="B306" s="23"/>
      <c r="C306" s="24"/>
      <c r="D306" s="24"/>
      <c r="E306" s="24"/>
      <c r="F306" s="24"/>
      <c r="G306" s="24"/>
      <c r="H306" s="24"/>
      <c r="I306" s="24"/>
      <c r="J306" s="24"/>
      <c r="K306" s="25"/>
    </row>
    <row r="307" s="5" customFormat="1" ht="16.5" spans="1:11">
      <c r="A307" s="22"/>
      <c r="B307" s="23"/>
      <c r="C307" s="24"/>
      <c r="D307" s="24"/>
      <c r="E307" s="24"/>
      <c r="F307" s="24"/>
      <c r="G307" s="24"/>
      <c r="H307" s="24"/>
      <c r="I307" s="24"/>
      <c r="J307" s="24"/>
      <c r="K307" s="25"/>
    </row>
    <row r="308" s="5" customFormat="1" ht="16.5" spans="1:11">
      <c r="A308" s="22"/>
      <c r="B308" s="23"/>
      <c r="C308" s="24"/>
      <c r="D308" s="24"/>
      <c r="E308" s="24"/>
      <c r="F308" s="24"/>
      <c r="G308" s="24"/>
      <c r="H308" s="24"/>
      <c r="I308" s="24"/>
      <c r="J308" s="24"/>
      <c r="K308" s="25"/>
    </row>
    <row r="309" s="5" customFormat="1" ht="16.5" spans="1:11">
      <c r="A309" s="22"/>
      <c r="B309" s="23"/>
      <c r="C309" s="24"/>
      <c r="D309" s="24"/>
      <c r="E309" s="24"/>
      <c r="F309" s="24"/>
      <c r="G309" s="24"/>
      <c r="H309" s="24"/>
      <c r="I309" s="24"/>
      <c r="J309" s="24"/>
      <c r="K309" s="25"/>
    </row>
    <row r="310" s="5" customFormat="1" ht="16.5" spans="1:11">
      <c r="A310" s="22"/>
      <c r="B310" s="23"/>
      <c r="C310" s="24"/>
      <c r="D310" s="24"/>
      <c r="E310" s="24"/>
      <c r="F310" s="24"/>
      <c r="G310" s="24"/>
      <c r="H310" s="24"/>
      <c r="I310" s="24"/>
      <c r="J310" s="24"/>
      <c r="K310" s="25"/>
    </row>
    <row r="311" s="5" customFormat="1" ht="16.5" spans="1:11">
      <c r="A311" s="22"/>
      <c r="B311" s="23"/>
      <c r="C311" s="24"/>
      <c r="D311" s="24"/>
      <c r="E311" s="24"/>
      <c r="F311" s="24"/>
      <c r="G311" s="24"/>
      <c r="H311" s="24"/>
      <c r="I311" s="24"/>
      <c r="J311" s="24"/>
      <c r="K311" s="25"/>
    </row>
    <row r="312" s="5" customFormat="1" ht="16.5" spans="1:11">
      <c r="A312" s="22"/>
      <c r="B312" s="23"/>
      <c r="C312" s="24"/>
      <c r="D312" s="24"/>
      <c r="E312" s="24"/>
      <c r="F312" s="24"/>
      <c r="G312" s="24"/>
      <c r="H312" s="24"/>
      <c r="I312" s="24"/>
      <c r="J312" s="24"/>
      <c r="K312" s="25"/>
    </row>
    <row r="313" s="5" customFormat="1" ht="16.5" spans="1:11">
      <c r="A313" s="22"/>
      <c r="B313" s="23"/>
      <c r="C313" s="24"/>
      <c r="D313" s="24"/>
      <c r="E313" s="24"/>
      <c r="F313" s="24"/>
      <c r="G313" s="24"/>
      <c r="H313" s="24"/>
      <c r="I313" s="24"/>
      <c r="J313" s="24"/>
      <c r="K313" s="25"/>
    </row>
    <row r="314" s="5" customFormat="1" ht="16.5" spans="1:11">
      <c r="A314" s="22"/>
      <c r="B314" s="23"/>
      <c r="C314" s="24"/>
      <c r="D314" s="24"/>
      <c r="E314" s="24"/>
      <c r="F314" s="24"/>
      <c r="G314" s="24"/>
      <c r="H314" s="24"/>
      <c r="I314" s="24"/>
      <c r="J314" s="24"/>
      <c r="K314" s="25"/>
    </row>
    <row r="315" s="5" customFormat="1" ht="16.5" spans="1:11">
      <c r="A315" s="22"/>
      <c r="B315" s="23"/>
      <c r="C315" s="24"/>
      <c r="D315" s="24"/>
      <c r="E315" s="24"/>
      <c r="F315" s="24"/>
      <c r="G315" s="24"/>
      <c r="H315" s="24"/>
      <c r="I315" s="24"/>
      <c r="J315" s="24"/>
      <c r="K315" s="25"/>
    </row>
    <row r="316" s="5" customFormat="1" ht="16.5" spans="1:11">
      <c r="A316" s="22"/>
      <c r="B316" s="23"/>
      <c r="C316" s="24"/>
      <c r="D316" s="24"/>
      <c r="E316" s="24"/>
      <c r="F316" s="24"/>
      <c r="G316" s="24"/>
      <c r="H316" s="24"/>
      <c r="I316" s="24"/>
      <c r="J316" s="24"/>
      <c r="K316" s="25"/>
    </row>
    <row r="317" s="5" customFormat="1" ht="16.5" spans="1:11">
      <c r="A317" s="22"/>
      <c r="B317" s="23"/>
      <c r="C317" s="24"/>
      <c r="D317" s="24"/>
      <c r="E317" s="24"/>
      <c r="F317" s="24"/>
      <c r="G317" s="24"/>
      <c r="H317" s="24"/>
      <c r="I317" s="24"/>
      <c r="J317" s="24"/>
      <c r="K317" s="25"/>
    </row>
    <row r="318" s="5" customFormat="1" ht="16.5" spans="1:11">
      <c r="A318" s="22"/>
      <c r="B318" s="23"/>
      <c r="C318" s="24"/>
      <c r="D318" s="24"/>
      <c r="E318" s="24"/>
      <c r="F318" s="24"/>
      <c r="G318" s="24"/>
      <c r="H318" s="24"/>
      <c r="I318" s="24"/>
      <c r="J318" s="24"/>
      <c r="K318" s="25"/>
    </row>
    <row r="319" s="5" customFormat="1" ht="16.5" spans="1:11">
      <c r="A319" s="22"/>
      <c r="B319" s="23"/>
      <c r="C319" s="24"/>
      <c r="D319" s="24"/>
      <c r="E319" s="24"/>
      <c r="F319" s="24"/>
      <c r="G319" s="24"/>
      <c r="H319" s="24"/>
      <c r="I319" s="24"/>
      <c r="J319" s="24"/>
      <c r="K319" s="25"/>
    </row>
    <row r="320" s="5" customFormat="1" ht="16.5" spans="1:11">
      <c r="A320" s="22"/>
      <c r="B320" s="23"/>
      <c r="C320" s="24"/>
      <c r="D320" s="24"/>
      <c r="E320" s="24"/>
      <c r="F320" s="24"/>
      <c r="G320" s="24"/>
      <c r="H320" s="24"/>
      <c r="I320" s="24"/>
      <c r="J320" s="24"/>
      <c r="K320" s="25"/>
    </row>
    <row r="321" s="5" customFormat="1" ht="16.5" spans="1:11">
      <c r="A321" s="22"/>
      <c r="B321" s="23"/>
      <c r="C321" s="24"/>
      <c r="D321" s="24"/>
      <c r="E321" s="24"/>
      <c r="F321" s="24"/>
      <c r="G321" s="24"/>
      <c r="H321" s="24"/>
      <c r="I321" s="24"/>
      <c r="J321" s="24"/>
      <c r="K321" s="25"/>
    </row>
    <row r="322" s="5" customFormat="1" ht="16.5" spans="1:11">
      <c r="A322" s="22"/>
      <c r="B322" s="23"/>
      <c r="C322" s="24"/>
      <c r="D322" s="24"/>
      <c r="E322" s="24"/>
      <c r="F322" s="24"/>
      <c r="G322" s="24"/>
      <c r="H322" s="24"/>
      <c r="I322" s="24"/>
      <c r="J322" s="24"/>
      <c r="K322" s="25"/>
    </row>
    <row r="323" s="5" customFormat="1" ht="16.5" spans="1:11">
      <c r="A323" s="22"/>
      <c r="B323" s="23"/>
      <c r="C323" s="24"/>
      <c r="D323" s="24"/>
      <c r="E323" s="24"/>
      <c r="F323" s="24"/>
      <c r="G323" s="24"/>
      <c r="H323" s="24"/>
      <c r="I323" s="24"/>
      <c r="J323" s="24"/>
      <c r="K323" s="25"/>
    </row>
    <row r="324" s="5" customFormat="1" ht="16.5" spans="1:11">
      <c r="A324" s="22"/>
      <c r="B324" s="23"/>
      <c r="C324" s="24"/>
      <c r="D324" s="24"/>
      <c r="E324" s="24"/>
      <c r="F324" s="24"/>
      <c r="G324" s="24"/>
      <c r="H324" s="24"/>
      <c r="I324" s="24"/>
      <c r="J324" s="24"/>
      <c r="K324" s="25"/>
    </row>
    <row r="325" s="5" customFormat="1" ht="16.5" spans="1:11">
      <c r="A325" s="22"/>
      <c r="B325" s="23"/>
      <c r="C325" s="24"/>
      <c r="D325" s="24"/>
      <c r="E325" s="24"/>
      <c r="F325" s="24"/>
      <c r="G325" s="24"/>
      <c r="H325" s="24"/>
      <c r="I325" s="24"/>
      <c r="J325" s="24"/>
      <c r="K325" s="25"/>
    </row>
    <row r="326" s="5" customFormat="1" ht="16.5" spans="1:11">
      <c r="A326" s="22"/>
      <c r="B326" s="23"/>
      <c r="C326" s="24"/>
      <c r="D326" s="24"/>
      <c r="E326" s="24"/>
      <c r="F326" s="24"/>
      <c r="G326" s="24"/>
      <c r="H326" s="24"/>
      <c r="I326" s="24"/>
      <c r="J326" s="24"/>
      <c r="K326" s="25"/>
    </row>
    <row r="327" s="5" customFormat="1" ht="16.5" spans="1:11">
      <c r="A327" s="22"/>
      <c r="B327" s="23"/>
      <c r="C327" s="24"/>
      <c r="D327" s="24"/>
      <c r="E327" s="24"/>
      <c r="F327" s="24"/>
      <c r="G327" s="24"/>
      <c r="H327" s="24"/>
      <c r="I327" s="24"/>
      <c r="J327" s="24"/>
      <c r="K327" s="25"/>
    </row>
    <row r="328" s="5" customFormat="1" ht="16.5" spans="1:11">
      <c r="A328" s="22"/>
      <c r="B328" s="23"/>
      <c r="C328" s="24"/>
      <c r="D328" s="24"/>
      <c r="E328" s="24"/>
      <c r="F328" s="24"/>
      <c r="G328" s="24"/>
      <c r="H328" s="24"/>
      <c r="I328" s="24"/>
      <c r="J328" s="24"/>
      <c r="K328" s="25"/>
    </row>
    <row r="329" s="5" customFormat="1" ht="16.5" spans="1:11">
      <c r="A329" s="22"/>
      <c r="B329" s="23"/>
      <c r="C329" s="24"/>
      <c r="D329" s="24"/>
      <c r="E329" s="24"/>
      <c r="F329" s="24"/>
      <c r="G329" s="24"/>
      <c r="H329" s="24"/>
      <c r="I329" s="24"/>
      <c r="J329" s="24"/>
      <c r="K329" s="25"/>
    </row>
    <row r="330" s="5" customFormat="1" ht="16.5" spans="1:11">
      <c r="A330" s="22"/>
      <c r="B330" s="23"/>
      <c r="C330" s="24"/>
      <c r="D330" s="24"/>
      <c r="E330" s="24"/>
      <c r="F330" s="24"/>
      <c r="G330" s="24"/>
      <c r="H330" s="24"/>
      <c r="I330" s="24"/>
      <c r="J330" s="24"/>
      <c r="K330" s="25"/>
    </row>
    <row r="331" s="5" customFormat="1" ht="16.5" spans="1:11">
      <c r="A331" s="22"/>
      <c r="B331" s="23"/>
      <c r="C331" s="24"/>
      <c r="D331" s="24"/>
      <c r="E331" s="24"/>
      <c r="F331" s="24"/>
      <c r="G331" s="24"/>
      <c r="H331" s="24"/>
      <c r="I331" s="24"/>
      <c r="J331" s="24"/>
      <c r="K331" s="25"/>
    </row>
    <row r="332" s="5" customFormat="1" ht="16.5" spans="1:11">
      <c r="A332" s="22"/>
      <c r="B332" s="23"/>
      <c r="C332" s="24"/>
      <c r="D332" s="24"/>
      <c r="E332" s="24"/>
      <c r="F332" s="24"/>
      <c r="G332" s="24"/>
      <c r="H332" s="24"/>
      <c r="I332" s="24"/>
      <c r="J332" s="24"/>
      <c r="K332" s="25"/>
    </row>
    <row r="333" s="5" customFormat="1" ht="16.5" spans="1:11">
      <c r="A333" s="22"/>
      <c r="B333" s="23"/>
      <c r="C333" s="24"/>
      <c r="D333" s="24"/>
      <c r="E333" s="24"/>
      <c r="F333" s="24"/>
      <c r="G333" s="24"/>
      <c r="H333" s="24"/>
      <c r="I333" s="24"/>
      <c r="J333" s="24"/>
      <c r="K333" s="25"/>
    </row>
    <row r="334" s="5" customFormat="1" ht="16.5" spans="1:11">
      <c r="A334" s="22"/>
      <c r="B334" s="23"/>
      <c r="C334" s="24"/>
      <c r="D334" s="24"/>
      <c r="E334" s="24"/>
      <c r="F334" s="24"/>
      <c r="G334" s="24"/>
      <c r="H334" s="24"/>
      <c r="I334" s="24"/>
      <c r="J334" s="24"/>
      <c r="K334" s="25"/>
    </row>
    <row r="335" s="5" customFormat="1" ht="16.5" spans="1:11">
      <c r="A335" s="22"/>
      <c r="B335" s="23"/>
      <c r="C335" s="24"/>
      <c r="D335" s="24"/>
      <c r="E335" s="24"/>
      <c r="F335" s="24"/>
      <c r="G335" s="24"/>
      <c r="H335" s="24"/>
      <c r="I335" s="24"/>
      <c r="J335" s="24"/>
      <c r="K335" s="25"/>
    </row>
    <row r="336" s="5" customFormat="1" ht="16.5" spans="1:11">
      <c r="A336" s="22"/>
      <c r="B336" s="23"/>
      <c r="C336" s="24"/>
      <c r="D336" s="24"/>
      <c r="E336" s="24"/>
      <c r="F336" s="24"/>
      <c r="G336" s="24"/>
      <c r="H336" s="24"/>
      <c r="I336" s="24"/>
      <c r="J336" s="24"/>
      <c r="K336" s="25"/>
    </row>
    <row r="337" s="5" customFormat="1" ht="16.5" spans="1:11">
      <c r="A337" s="22"/>
      <c r="B337" s="23"/>
      <c r="C337" s="24"/>
      <c r="D337" s="24"/>
      <c r="E337" s="24"/>
      <c r="F337" s="24"/>
      <c r="G337" s="24"/>
      <c r="H337" s="24"/>
      <c r="I337" s="24"/>
      <c r="J337" s="24"/>
      <c r="K337" s="25"/>
    </row>
    <row r="338" s="5" customFormat="1" ht="16.5" spans="1:11">
      <c r="A338" s="22"/>
      <c r="B338" s="23"/>
      <c r="C338" s="24"/>
      <c r="D338" s="24"/>
      <c r="E338" s="24"/>
      <c r="F338" s="24"/>
      <c r="G338" s="24"/>
      <c r="H338" s="24"/>
      <c r="I338" s="24"/>
      <c r="J338" s="24"/>
      <c r="K338" s="25"/>
    </row>
    <row r="339" s="5" customFormat="1" ht="16.5" spans="1:11">
      <c r="A339" s="22"/>
      <c r="B339" s="23"/>
      <c r="C339" s="24"/>
      <c r="D339" s="24"/>
      <c r="E339" s="24"/>
      <c r="F339" s="24"/>
      <c r="G339" s="24"/>
      <c r="H339" s="24"/>
      <c r="I339" s="24"/>
      <c r="J339" s="24"/>
      <c r="K339" s="25"/>
    </row>
    <row r="340" s="5" customFormat="1" ht="16.5" spans="1:11">
      <c r="A340" s="22"/>
      <c r="B340" s="23"/>
      <c r="C340" s="24"/>
      <c r="D340" s="24"/>
      <c r="E340" s="24"/>
      <c r="F340" s="24"/>
      <c r="G340" s="24"/>
      <c r="H340" s="24"/>
      <c r="I340" s="24"/>
      <c r="J340" s="24"/>
      <c r="K340" s="25"/>
    </row>
    <row r="341" s="5" customFormat="1" ht="16.5" spans="1:11">
      <c r="A341" s="22"/>
      <c r="B341" s="23"/>
      <c r="C341" s="24"/>
      <c r="D341" s="24"/>
      <c r="E341" s="24"/>
      <c r="F341" s="24"/>
      <c r="G341" s="24"/>
      <c r="H341" s="24"/>
      <c r="I341" s="24"/>
      <c r="J341" s="24"/>
      <c r="K341" s="25"/>
    </row>
    <row r="342" s="5" customFormat="1" ht="16.5" spans="1:11">
      <c r="A342" s="22"/>
      <c r="B342" s="23"/>
      <c r="C342" s="24"/>
      <c r="D342" s="24"/>
      <c r="E342" s="24"/>
      <c r="F342" s="24"/>
      <c r="G342" s="24"/>
      <c r="H342" s="24"/>
      <c r="I342" s="24"/>
      <c r="J342" s="24"/>
      <c r="K342" s="25"/>
    </row>
    <row r="343" s="5" customFormat="1" ht="16.5" spans="1:11">
      <c r="A343" s="22"/>
      <c r="B343" s="23"/>
      <c r="C343" s="24"/>
      <c r="D343" s="24"/>
      <c r="E343" s="24"/>
      <c r="F343" s="24"/>
      <c r="G343" s="24"/>
      <c r="H343" s="24"/>
      <c r="I343" s="24"/>
      <c r="J343" s="24"/>
      <c r="K343" s="25"/>
    </row>
    <row r="344" s="5" customFormat="1" ht="16.5" spans="1:11">
      <c r="A344" s="22"/>
      <c r="B344" s="23"/>
      <c r="C344" s="24"/>
      <c r="D344" s="24"/>
      <c r="E344" s="24"/>
      <c r="F344" s="24"/>
      <c r="G344" s="24"/>
      <c r="H344" s="24"/>
      <c r="I344" s="24"/>
      <c r="J344" s="24"/>
      <c r="K344" s="25"/>
    </row>
    <row r="345" s="5" customFormat="1" ht="16.5" spans="1:11">
      <c r="A345" s="22"/>
      <c r="B345" s="23"/>
      <c r="C345" s="24"/>
      <c r="D345" s="24"/>
      <c r="E345" s="24"/>
      <c r="F345" s="24"/>
      <c r="G345" s="24"/>
      <c r="H345" s="24"/>
      <c r="I345" s="24"/>
      <c r="J345" s="24"/>
      <c r="K345" s="25"/>
    </row>
    <row r="346" s="5" customFormat="1" ht="16.5" spans="1:11">
      <c r="A346" s="22"/>
      <c r="B346" s="23"/>
      <c r="C346" s="24"/>
      <c r="D346" s="24"/>
      <c r="E346" s="24"/>
      <c r="F346" s="24"/>
      <c r="G346" s="24"/>
      <c r="H346" s="24"/>
      <c r="I346" s="24"/>
      <c r="J346" s="24"/>
      <c r="K346" s="25"/>
    </row>
    <row r="347" s="5" customFormat="1" ht="16.5" spans="1:11">
      <c r="A347" s="22"/>
      <c r="B347" s="23"/>
      <c r="C347" s="24"/>
      <c r="D347" s="24"/>
      <c r="E347" s="24"/>
      <c r="F347" s="24"/>
      <c r="G347" s="24"/>
      <c r="H347" s="24"/>
      <c r="I347" s="24"/>
      <c r="J347" s="24"/>
      <c r="K347" s="25"/>
    </row>
    <row r="348" s="5" customFormat="1" ht="16.5" spans="1:11">
      <c r="A348" s="22"/>
      <c r="B348" s="23"/>
      <c r="C348" s="24"/>
      <c r="D348" s="24"/>
      <c r="E348" s="24"/>
      <c r="F348" s="24"/>
      <c r="G348" s="24"/>
      <c r="H348" s="24"/>
      <c r="I348" s="24"/>
      <c r="J348" s="24"/>
      <c r="K348" s="25"/>
    </row>
    <row r="349" s="5" customFormat="1" ht="16.5" spans="1:11">
      <c r="A349" s="22"/>
      <c r="B349" s="23"/>
      <c r="C349" s="24"/>
      <c r="D349" s="24"/>
      <c r="E349" s="24"/>
      <c r="F349" s="24"/>
      <c r="G349" s="24"/>
      <c r="H349" s="24"/>
      <c r="I349" s="24"/>
      <c r="J349" s="24"/>
      <c r="K349" s="25"/>
    </row>
    <row r="350" s="5" customFormat="1" ht="16.5" spans="1:11">
      <c r="A350" s="22"/>
      <c r="B350" s="23"/>
      <c r="C350" s="24"/>
      <c r="D350" s="24"/>
      <c r="E350" s="24"/>
      <c r="F350" s="24"/>
      <c r="G350" s="24"/>
      <c r="H350" s="24"/>
      <c r="I350" s="24"/>
      <c r="J350" s="24"/>
      <c r="K350" s="25"/>
    </row>
    <row r="351" s="5" customFormat="1" ht="16.5" spans="1:11">
      <c r="A351" s="22"/>
      <c r="B351" s="23"/>
      <c r="C351" s="24"/>
      <c r="D351" s="24"/>
      <c r="E351" s="24"/>
      <c r="F351" s="24"/>
      <c r="G351" s="24"/>
      <c r="H351" s="24"/>
      <c r="I351" s="24"/>
      <c r="J351" s="24"/>
      <c r="K351" s="25"/>
    </row>
    <row r="352" s="5" customFormat="1" ht="16.5" spans="1:11">
      <c r="A352" s="22"/>
      <c r="B352" s="23"/>
      <c r="C352" s="24"/>
      <c r="D352" s="24"/>
      <c r="E352" s="24"/>
      <c r="F352" s="24"/>
      <c r="G352" s="24"/>
      <c r="H352" s="24"/>
      <c r="I352" s="24"/>
      <c r="J352" s="24"/>
      <c r="K352" s="25"/>
    </row>
    <row r="353" s="5" customFormat="1" ht="16.5" spans="1:11">
      <c r="A353" s="22"/>
      <c r="B353" s="23"/>
      <c r="C353" s="24"/>
      <c r="D353" s="24"/>
      <c r="E353" s="24"/>
      <c r="F353" s="24"/>
      <c r="G353" s="24"/>
      <c r="H353" s="24"/>
      <c r="I353" s="24"/>
      <c r="J353" s="24"/>
      <c r="K353" s="25"/>
    </row>
    <row r="354" s="5" customFormat="1" ht="16.5" spans="1:11">
      <c r="A354" s="22"/>
      <c r="B354" s="23"/>
      <c r="C354" s="24"/>
      <c r="D354" s="24"/>
      <c r="E354" s="24"/>
      <c r="F354" s="24"/>
      <c r="G354" s="24"/>
      <c r="H354" s="24"/>
      <c r="I354" s="24"/>
      <c r="J354" s="24"/>
      <c r="K354" s="25"/>
    </row>
    <row r="355" s="5" customFormat="1" ht="16.5" spans="1:11">
      <c r="A355" s="22"/>
      <c r="B355" s="23"/>
      <c r="C355" s="24"/>
      <c r="D355" s="24"/>
      <c r="E355" s="24"/>
      <c r="F355" s="24"/>
      <c r="G355" s="24"/>
      <c r="H355" s="24"/>
      <c r="I355" s="24"/>
      <c r="J355" s="24"/>
      <c r="K355" s="25"/>
    </row>
    <row r="356" s="5" customFormat="1" ht="16.5" spans="1:11">
      <c r="A356" s="22"/>
      <c r="B356" s="23"/>
      <c r="C356" s="24"/>
      <c r="D356" s="24"/>
      <c r="E356" s="24"/>
      <c r="F356" s="24"/>
      <c r="G356" s="24"/>
      <c r="H356" s="24"/>
      <c r="I356" s="24"/>
      <c r="J356" s="24"/>
      <c r="K356" s="25"/>
    </row>
    <row r="357" s="5" customFormat="1" ht="16.5" spans="1:11">
      <c r="A357" s="22"/>
      <c r="B357" s="23"/>
      <c r="C357" s="24"/>
      <c r="D357" s="24"/>
      <c r="E357" s="24"/>
      <c r="F357" s="24"/>
      <c r="G357" s="24"/>
      <c r="H357" s="24"/>
      <c r="I357" s="24"/>
      <c r="J357" s="24"/>
      <c r="K357" s="25"/>
    </row>
    <row r="358" s="5" customFormat="1" ht="16.5" spans="1:11">
      <c r="A358" s="22"/>
      <c r="B358" s="23"/>
      <c r="C358" s="24"/>
      <c r="D358" s="24"/>
      <c r="E358" s="24"/>
      <c r="F358" s="24"/>
      <c r="G358" s="24"/>
      <c r="H358" s="24"/>
      <c r="I358" s="24"/>
      <c r="J358" s="24"/>
      <c r="K358" s="25"/>
    </row>
    <row r="359" s="5" customFormat="1" ht="16.5" spans="1:11">
      <c r="A359" s="22"/>
      <c r="B359" s="23"/>
      <c r="C359" s="24"/>
      <c r="D359" s="24"/>
      <c r="E359" s="24"/>
      <c r="F359" s="24"/>
      <c r="G359" s="24"/>
      <c r="H359" s="24"/>
      <c r="I359" s="24"/>
      <c r="J359" s="24"/>
      <c r="K359" s="25"/>
    </row>
    <row r="360" s="5" customFormat="1" ht="16.5" spans="1:11">
      <c r="A360" s="22"/>
      <c r="B360" s="23"/>
      <c r="C360" s="24"/>
      <c r="D360" s="24"/>
      <c r="E360" s="24"/>
      <c r="F360" s="24"/>
      <c r="G360" s="24"/>
      <c r="H360" s="24"/>
      <c r="I360" s="24"/>
      <c r="J360" s="24"/>
      <c r="K360" s="25"/>
    </row>
    <row r="361" s="5" customFormat="1" ht="16.5" spans="1:11">
      <c r="A361" s="22"/>
      <c r="B361" s="23"/>
      <c r="C361" s="24"/>
      <c r="D361" s="24"/>
      <c r="E361" s="24"/>
      <c r="F361" s="24"/>
      <c r="G361" s="24"/>
      <c r="H361" s="24"/>
      <c r="I361" s="24"/>
      <c r="J361" s="24"/>
      <c r="K361" s="25"/>
    </row>
    <row r="362" s="5" customFormat="1" ht="16.5" spans="1:11">
      <c r="A362" s="22"/>
      <c r="B362" s="23"/>
      <c r="C362" s="24"/>
      <c r="D362" s="24"/>
      <c r="E362" s="24"/>
      <c r="F362" s="24"/>
      <c r="G362" s="24"/>
      <c r="H362" s="24"/>
      <c r="I362" s="24"/>
      <c r="J362" s="24"/>
      <c r="K362" s="25"/>
    </row>
    <row r="363" s="5" customFormat="1" ht="16.5" spans="1:11">
      <c r="A363" s="22"/>
      <c r="B363" s="23"/>
      <c r="C363" s="24"/>
      <c r="D363" s="24"/>
      <c r="E363" s="24"/>
      <c r="F363" s="24"/>
      <c r="G363" s="24"/>
      <c r="H363" s="24"/>
      <c r="I363" s="24"/>
      <c r="J363" s="24"/>
      <c r="K363" s="25"/>
    </row>
    <row r="364" s="5" customFormat="1" ht="16.5" spans="1:11">
      <c r="A364" s="22"/>
      <c r="B364" s="23"/>
      <c r="C364" s="24"/>
      <c r="D364" s="24"/>
      <c r="E364" s="24"/>
      <c r="F364" s="24"/>
      <c r="G364" s="24"/>
      <c r="H364" s="24"/>
      <c r="I364" s="24"/>
      <c r="J364" s="24"/>
      <c r="K364" s="25"/>
    </row>
    <row r="365" s="5" customFormat="1" ht="16.5" spans="1:11">
      <c r="A365" s="22"/>
      <c r="B365" s="23"/>
      <c r="C365" s="24"/>
      <c r="D365" s="24"/>
      <c r="E365" s="24"/>
      <c r="F365" s="24"/>
      <c r="G365" s="24"/>
      <c r="H365" s="24"/>
      <c r="I365" s="24"/>
      <c r="J365" s="24"/>
      <c r="K365" s="25"/>
    </row>
    <row r="366" s="5" customFormat="1" ht="16.5" spans="1:11">
      <c r="A366" s="22"/>
      <c r="B366" s="23"/>
      <c r="C366" s="24"/>
      <c r="D366" s="24"/>
      <c r="E366" s="24"/>
      <c r="F366" s="24"/>
      <c r="G366" s="24"/>
      <c r="H366" s="24"/>
      <c r="I366" s="24"/>
      <c r="J366" s="24"/>
      <c r="K366" s="25"/>
    </row>
    <row r="367" s="5" customFormat="1" ht="16.5" spans="1:11">
      <c r="A367" s="22"/>
      <c r="B367" s="23"/>
      <c r="C367" s="24"/>
      <c r="D367" s="24"/>
      <c r="E367" s="24"/>
      <c r="F367" s="24"/>
      <c r="G367" s="24"/>
      <c r="H367" s="24"/>
      <c r="I367" s="24"/>
      <c r="J367" s="24"/>
      <c r="K367" s="25"/>
    </row>
    <row r="368" s="5" customFormat="1" ht="16.5" spans="1:11">
      <c r="A368" s="22"/>
      <c r="B368" s="23"/>
      <c r="C368" s="24"/>
      <c r="D368" s="24"/>
      <c r="E368" s="24"/>
      <c r="F368" s="24"/>
      <c r="G368" s="24"/>
      <c r="H368" s="24"/>
      <c r="I368" s="24"/>
      <c r="J368" s="24"/>
      <c r="K368" s="25"/>
    </row>
    <row r="369" s="5" customFormat="1" ht="16.5" spans="1:11">
      <c r="A369" s="22"/>
      <c r="B369" s="23"/>
      <c r="C369" s="24"/>
      <c r="D369" s="24"/>
      <c r="E369" s="24"/>
      <c r="F369" s="24"/>
      <c r="G369" s="24"/>
      <c r="H369" s="24"/>
      <c r="I369" s="24"/>
      <c r="J369" s="24"/>
      <c r="K369" s="25"/>
    </row>
    <row r="370" s="5" customFormat="1" ht="16.5" spans="1:11">
      <c r="A370" s="22"/>
      <c r="B370" s="23"/>
      <c r="C370" s="24"/>
      <c r="D370" s="24"/>
      <c r="E370" s="24"/>
      <c r="F370" s="24"/>
      <c r="G370" s="24"/>
      <c r="H370" s="24"/>
      <c r="I370" s="24"/>
      <c r="J370" s="24"/>
      <c r="K370" s="25"/>
    </row>
    <row r="371" s="5" customFormat="1" ht="16.5" spans="1:11">
      <c r="A371" s="22"/>
      <c r="B371" s="23"/>
      <c r="C371" s="24"/>
      <c r="D371" s="24"/>
      <c r="E371" s="24"/>
      <c r="F371" s="24"/>
      <c r="G371" s="24"/>
      <c r="H371" s="24"/>
      <c r="I371" s="24"/>
      <c r="J371" s="24"/>
      <c r="K371" s="25"/>
    </row>
    <row r="372" s="5" customFormat="1" ht="16.5" spans="1:11">
      <c r="A372" s="22"/>
      <c r="B372" s="23"/>
      <c r="C372" s="24"/>
      <c r="D372" s="24"/>
      <c r="E372" s="24"/>
      <c r="F372" s="24"/>
      <c r="G372" s="24"/>
      <c r="H372" s="24"/>
      <c r="I372" s="24"/>
      <c r="J372" s="24"/>
      <c r="K372" s="25"/>
    </row>
    <row r="373" s="5" customFormat="1" ht="16.5" spans="1:11">
      <c r="A373" s="22"/>
      <c r="B373" s="23"/>
      <c r="C373" s="24"/>
      <c r="D373" s="24"/>
      <c r="E373" s="24"/>
      <c r="F373" s="24"/>
      <c r="G373" s="24"/>
      <c r="H373" s="24"/>
      <c r="I373" s="24"/>
      <c r="J373" s="24"/>
      <c r="K373" s="25"/>
    </row>
    <row r="374" s="5" customFormat="1" ht="16.5" spans="1:11">
      <c r="A374" s="22"/>
      <c r="B374" s="23"/>
      <c r="C374" s="24"/>
      <c r="D374" s="24"/>
      <c r="E374" s="24"/>
      <c r="F374" s="24"/>
      <c r="G374" s="24"/>
      <c r="H374" s="24"/>
      <c r="I374" s="24"/>
      <c r="J374" s="24"/>
      <c r="K374" s="25"/>
    </row>
    <row r="375" s="5" customFormat="1" ht="16.5" spans="1:11">
      <c r="A375" s="22"/>
      <c r="B375" s="23"/>
      <c r="C375" s="24"/>
      <c r="D375" s="24"/>
      <c r="E375" s="24"/>
      <c r="F375" s="24"/>
      <c r="G375" s="24"/>
      <c r="H375" s="24"/>
      <c r="I375" s="24"/>
      <c r="J375" s="24"/>
      <c r="K375" s="25"/>
    </row>
    <row r="376" s="5" customFormat="1" ht="16.5" spans="1:11">
      <c r="A376" s="22"/>
      <c r="B376" s="23"/>
      <c r="C376" s="24"/>
      <c r="D376" s="24"/>
      <c r="E376" s="24"/>
      <c r="F376" s="24"/>
      <c r="G376" s="24"/>
      <c r="H376" s="24"/>
      <c r="I376" s="24"/>
      <c r="J376" s="24"/>
      <c r="K376" s="25"/>
    </row>
    <row r="377" s="5" customFormat="1" ht="16.5" spans="1:11">
      <c r="A377" s="22"/>
      <c r="B377" s="23"/>
      <c r="C377" s="24"/>
      <c r="D377" s="24"/>
      <c r="E377" s="24"/>
      <c r="F377" s="24"/>
      <c r="G377" s="24"/>
      <c r="H377" s="24"/>
      <c r="I377" s="24"/>
      <c r="J377" s="24"/>
      <c r="K377" s="25"/>
    </row>
    <row r="378" s="5" customFormat="1" ht="16.5" spans="1:11">
      <c r="A378" s="22"/>
      <c r="B378" s="23"/>
      <c r="C378" s="24"/>
      <c r="D378" s="24"/>
      <c r="E378" s="24"/>
      <c r="F378" s="24"/>
      <c r="G378" s="24"/>
      <c r="H378" s="24"/>
      <c r="I378" s="24"/>
      <c r="J378" s="24"/>
      <c r="K378" s="25"/>
    </row>
    <row r="379" s="5" customFormat="1" ht="16.5" spans="1:11">
      <c r="A379" s="22"/>
      <c r="B379" s="23"/>
      <c r="C379" s="24"/>
      <c r="D379" s="24"/>
      <c r="E379" s="24"/>
      <c r="F379" s="24"/>
      <c r="G379" s="24"/>
      <c r="H379" s="24"/>
      <c r="I379" s="24"/>
      <c r="J379" s="24"/>
      <c r="K379" s="25"/>
    </row>
    <row r="380" s="5" customFormat="1" ht="16.5" spans="1:11">
      <c r="A380" s="22"/>
      <c r="B380" s="23"/>
      <c r="C380" s="24"/>
      <c r="D380" s="24"/>
      <c r="E380" s="24"/>
      <c r="F380" s="24"/>
      <c r="G380" s="24"/>
      <c r="H380" s="24"/>
      <c r="I380" s="24"/>
      <c r="J380" s="24"/>
      <c r="K380" s="25"/>
    </row>
    <row r="381" s="5" customFormat="1" ht="16.5" spans="1:11">
      <c r="A381" s="22"/>
      <c r="B381" s="23"/>
      <c r="C381" s="24"/>
      <c r="D381" s="24"/>
      <c r="E381" s="24"/>
      <c r="F381" s="24"/>
      <c r="G381" s="24"/>
      <c r="H381" s="24"/>
      <c r="I381" s="24"/>
      <c r="J381" s="24"/>
      <c r="K381" s="25"/>
    </row>
    <row r="382" s="5" customFormat="1" ht="16.5" spans="1:11">
      <c r="A382" s="22"/>
      <c r="B382" s="23"/>
      <c r="C382" s="24"/>
      <c r="D382" s="24"/>
      <c r="E382" s="24"/>
      <c r="F382" s="24"/>
      <c r="G382" s="24"/>
      <c r="H382" s="24"/>
      <c r="I382" s="24"/>
      <c r="J382" s="24"/>
      <c r="K382" s="25"/>
    </row>
    <row r="383" s="5" customFormat="1" ht="16.5" spans="1:11">
      <c r="A383" s="22"/>
      <c r="B383" s="23"/>
      <c r="C383" s="24"/>
      <c r="D383" s="24"/>
      <c r="E383" s="24"/>
      <c r="F383" s="24"/>
      <c r="G383" s="24"/>
      <c r="H383" s="24"/>
      <c r="I383" s="24"/>
      <c r="J383" s="24"/>
      <c r="K383" s="25"/>
    </row>
    <row r="384" s="5" customFormat="1" ht="16.5" spans="1:11">
      <c r="A384" s="22"/>
      <c r="B384" s="23"/>
      <c r="C384" s="24"/>
      <c r="D384" s="24"/>
      <c r="E384" s="24"/>
      <c r="F384" s="24"/>
      <c r="G384" s="24"/>
      <c r="H384" s="24"/>
      <c r="I384" s="24"/>
      <c r="J384" s="24"/>
      <c r="K384" s="25"/>
    </row>
    <row r="385" s="5" customFormat="1" ht="16.5" spans="1:11">
      <c r="A385" s="22"/>
      <c r="B385" s="23"/>
      <c r="C385" s="24"/>
      <c r="D385" s="24"/>
      <c r="E385" s="24"/>
      <c r="F385" s="24"/>
      <c r="G385" s="24"/>
      <c r="H385" s="24"/>
      <c r="I385" s="24"/>
      <c r="J385" s="24"/>
      <c r="K385" s="25"/>
    </row>
    <row r="386" s="5" customFormat="1" ht="16.5" spans="1:11">
      <c r="A386" s="22"/>
      <c r="B386" s="23"/>
      <c r="C386" s="24"/>
      <c r="D386" s="24"/>
      <c r="E386" s="24"/>
      <c r="F386" s="24"/>
      <c r="G386" s="24"/>
      <c r="H386" s="24"/>
      <c r="I386" s="24"/>
      <c r="J386" s="24"/>
      <c r="K386" s="25"/>
    </row>
    <row r="387" s="5" customFormat="1" ht="16.5" spans="1:11">
      <c r="A387" s="22"/>
      <c r="B387" s="23"/>
      <c r="C387" s="24"/>
      <c r="D387" s="24"/>
      <c r="E387" s="24"/>
      <c r="F387" s="24"/>
      <c r="G387" s="24"/>
      <c r="H387" s="24"/>
      <c r="I387" s="24"/>
      <c r="J387" s="24"/>
      <c r="K387" s="25"/>
    </row>
    <row r="388" s="5" customFormat="1" ht="16.5" spans="1:11">
      <c r="A388" s="22"/>
      <c r="B388" s="23"/>
      <c r="C388" s="24"/>
      <c r="D388" s="24"/>
      <c r="E388" s="24"/>
      <c r="F388" s="24"/>
      <c r="G388" s="24"/>
      <c r="H388" s="24"/>
      <c r="I388" s="24"/>
      <c r="J388" s="24"/>
      <c r="K388" s="25"/>
    </row>
    <row r="389" s="5" customFormat="1" ht="16.5" spans="1:11">
      <c r="A389" s="22"/>
      <c r="B389" s="23"/>
      <c r="C389" s="24"/>
      <c r="D389" s="24"/>
      <c r="E389" s="24"/>
      <c r="F389" s="24"/>
      <c r="G389" s="24"/>
      <c r="H389" s="24"/>
      <c r="I389" s="24"/>
      <c r="J389" s="24"/>
      <c r="K389" s="25"/>
    </row>
    <row r="390" s="5" customFormat="1" ht="16.5" spans="1:11">
      <c r="A390" s="22"/>
      <c r="B390" s="23"/>
      <c r="C390" s="24"/>
      <c r="D390" s="24"/>
      <c r="E390" s="24"/>
      <c r="F390" s="24"/>
      <c r="G390" s="24"/>
      <c r="H390" s="24"/>
      <c r="I390" s="24"/>
      <c r="J390" s="24"/>
      <c r="K390" s="25"/>
    </row>
    <row r="391" s="5" customFormat="1" ht="16.5" spans="1:11">
      <c r="A391" s="22"/>
      <c r="B391" s="23"/>
      <c r="C391" s="24"/>
      <c r="D391" s="24"/>
      <c r="E391" s="24"/>
      <c r="F391" s="24"/>
      <c r="G391" s="24"/>
      <c r="H391" s="24"/>
      <c r="I391" s="24"/>
      <c r="J391" s="24"/>
      <c r="K391" s="25"/>
    </row>
    <row r="392" s="5" customFormat="1" ht="16.5" spans="1:11">
      <c r="A392" s="22"/>
      <c r="B392" s="23"/>
      <c r="C392" s="24"/>
      <c r="D392" s="24"/>
      <c r="E392" s="24"/>
      <c r="F392" s="24"/>
      <c r="G392" s="24"/>
      <c r="H392" s="24"/>
      <c r="I392" s="24"/>
      <c r="J392" s="24"/>
      <c r="K392" s="25"/>
    </row>
    <row r="393" s="5" customFormat="1" ht="16.5" spans="1:11">
      <c r="A393" s="22"/>
      <c r="B393" s="23"/>
      <c r="C393" s="24"/>
      <c r="D393" s="24"/>
      <c r="E393" s="24"/>
      <c r="F393" s="24"/>
      <c r="G393" s="24"/>
      <c r="H393" s="24"/>
      <c r="I393" s="24"/>
      <c r="J393" s="24"/>
      <c r="K393" s="25"/>
    </row>
    <row r="394" s="5" customFormat="1" ht="16.5" spans="1:11">
      <c r="A394" s="22"/>
      <c r="B394" s="23"/>
      <c r="C394" s="24"/>
      <c r="D394" s="24"/>
      <c r="E394" s="24"/>
      <c r="F394" s="24"/>
      <c r="G394" s="24"/>
      <c r="H394" s="24"/>
      <c r="I394" s="24"/>
      <c r="J394" s="24"/>
      <c r="K394" s="25"/>
    </row>
    <row r="395" s="5" customFormat="1" ht="16.5" spans="1:11">
      <c r="A395" s="22"/>
      <c r="B395" s="23"/>
      <c r="C395" s="24"/>
      <c r="D395" s="24"/>
      <c r="E395" s="24"/>
      <c r="F395" s="24"/>
      <c r="G395" s="24"/>
      <c r="H395" s="24"/>
      <c r="I395" s="24"/>
      <c r="J395" s="24"/>
      <c r="K395" s="25"/>
    </row>
    <row r="396" s="5" customFormat="1" ht="16.5" spans="1:11">
      <c r="A396" s="22"/>
      <c r="B396" s="23"/>
      <c r="C396" s="24"/>
      <c r="D396" s="24"/>
      <c r="E396" s="24"/>
      <c r="F396" s="24"/>
      <c r="G396" s="24"/>
      <c r="H396" s="24"/>
      <c r="I396" s="24"/>
      <c r="J396" s="24"/>
      <c r="K396" s="25"/>
    </row>
    <row r="397" s="5" customFormat="1" ht="16.5" spans="1:11">
      <c r="A397" s="22"/>
      <c r="B397" s="23"/>
      <c r="C397" s="24"/>
      <c r="D397" s="24"/>
      <c r="E397" s="24"/>
      <c r="F397" s="24"/>
      <c r="G397" s="24"/>
      <c r="H397" s="24"/>
      <c r="I397" s="24"/>
      <c r="J397" s="24"/>
      <c r="K397" s="25"/>
    </row>
    <row r="398" s="5" customFormat="1" ht="16.5" spans="1:11">
      <c r="A398" s="22"/>
      <c r="B398" s="23"/>
      <c r="C398" s="24"/>
      <c r="D398" s="24"/>
      <c r="E398" s="24"/>
      <c r="F398" s="24"/>
      <c r="G398" s="24"/>
      <c r="H398" s="24"/>
      <c r="I398" s="24"/>
      <c r="J398" s="24"/>
      <c r="K398" s="25"/>
    </row>
    <row r="399" s="5" customFormat="1" ht="16.5" spans="1:11">
      <c r="A399" s="22"/>
      <c r="B399" s="23"/>
      <c r="C399" s="24"/>
      <c r="D399" s="24"/>
      <c r="E399" s="24"/>
      <c r="F399" s="24"/>
      <c r="G399" s="24"/>
      <c r="H399" s="24"/>
      <c r="I399" s="24"/>
      <c r="J399" s="24"/>
      <c r="K399" s="25"/>
    </row>
    <row r="400" s="5" customFormat="1" ht="16.5" spans="1:11">
      <c r="A400" s="22"/>
      <c r="B400" s="23"/>
      <c r="C400" s="24"/>
      <c r="D400" s="24"/>
      <c r="E400" s="24"/>
      <c r="F400" s="24"/>
      <c r="G400" s="24"/>
      <c r="H400" s="24"/>
      <c r="I400" s="24"/>
      <c r="J400" s="24"/>
      <c r="K400" s="25"/>
    </row>
    <row r="401" s="5" customFormat="1" ht="16.5" spans="1:11">
      <c r="A401" s="22"/>
      <c r="B401" s="23"/>
      <c r="C401" s="24"/>
      <c r="D401" s="24"/>
      <c r="E401" s="24"/>
      <c r="F401" s="24"/>
      <c r="G401" s="24"/>
      <c r="H401" s="24"/>
      <c r="I401" s="24"/>
      <c r="J401" s="24"/>
      <c r="K401" s="25"/>
    </row>
    <row r="402" s="5" customFormat="1" ht="16.5" spans="1:11">
      <c r="A402" s="22"/>
      <c r="B402" s="23"/>
      <c r="C402" s="24"/>
      <c r="D402" s="24"/>
      <c r="E402" s="24"/>
      <c r="F402" s="24"/>
      <c r="G402" s="24"/>
      <c r="H402" s="24"/>
      <c r="I402" s="24"/>
      <c r="J402" s="24"/>
      <c r="K402" s="25"/>
    </row>
    <row r="403" s="5" customFormat="1" ht="16.5" spans="1:11">
      <c r="A403" s="22"/>
      <c r="B403" s="23"/>
      <c r="C403" s="24"/>
      <c r="D403" s="24"/>
      <c r="E403" s="24"/>
      <c r="F403" s="24"/>
      <c r="G403" s="24"/>
      <c r="H403" s="24"/>
      <c r="I403" s="24"/>
      <c r="J403" s="24"/>
      <c r="K403" s="25"/>
    </row>
    <row r="404" s="5" customFormat="1" ht="16.5" spans="1:11">
      <c r="A404" s="22"/>
      <c r="B404" s="23"/>
      <c r="C404" s="24"/>
      <c r="D404" s="24"/>
      <c r="E404" s="24"/>
      <c r="F404" s="24"/>
      <c r="G404" s="24"/>
      <c r="H404" s="24"/>
      <c r="I404" s="24"/>
      <c r="J404" s="24"/>
      <c r="K404" s="25"/>
    </row>
    <row r="405" s="5" customFormat="1" ht="16.5" spans="1:11">
      <c r="A405" s="22"/>
      <c r="B405" s="23"/>
      <c r="C405" s="24"/>
      <c r="D405" s="24"/>
      <c r="E405" s="24"/>
      <c r="F405" s="24"/>
      <c r="G405" s="24"/>
      <c r="H405" s="24"/>
      <c r="I405" s="24"/>
      <c r="J405" s="24"/>
      <c r="K405" s="25"/>
    </row>
    <row r="406" s="5" customFormat="1" ht="16.5" spans="1:11">
      <c r="A406" s="22"/>
      <c r="B406" s="23"/>
      <c r="C406" s="24"/>
      <c r="D406" s="24"/>
      <c r="E406" s="24"/>
      <c r="F406" s="24"/>
      <c r="G406" s="24"/>
      <c r="H406" s="24"/>
      <c r="I406" s="24"/>
      <c r="J406" s="24"/>
      <c r="K406" s="25"/>
    </row>
    <row r="407" s="5" customFormat="1" ht="16.5" spans="1:11">
      <c r="A407" s="22"/>
      <c r="B407" s="23"/>
      <c r="C407" s="24"/>
      <c r="D407" s="24"/>
      <c r="E407" s="24"/>
      <c r="F407" s="24"/>
      <c r="G407" s="24"/>
      <c r="H407" s="24"/>
      <c r="I407" s="24"/>
      <c r="J407" s="24"/>
      <c r="K407" s="25"/>
    </row>
    <row r="408" s="5" customFormat="1" ht="16.5" spans="1:11">
      <c r="A408" s="22"/>
      <c r="B408" s="23"/>
      <c r="C408" s="24"/>
      <c r="D408" s="24"/>
      <c r="E408" s="24"/>
      <c r="F408" s="24"/>
      <c r="G408" s="24"/>
      <c r="H408" s="24"/>
      <c r="I408" s="24"/>
      <c r="J408" s="24"/>
      <c r="K408" s="25"/>
    </row>
    <row r="409" s="5" customFormat="1" ht="16.5" spans="1:11">
      <c r="A409" s="22"/>
      <c r="B409" s="23"/>
      <c r="C409" s="24"/>
      <c r="D409" s="24"/>
      <c r="E409" s="24"/>
      <c r="F409" s="24"/>
      <c r="G409" s="24"/>
      <c r="H409" s="24"/>
      <c r="I409" s="24"/>
      <c r="J409" s="24"/>
      <c r="K409" s="25"/>
    </row>
    <row r="410" s="5" customFormat="1" ht="16.5" spans="1:11">
      <c r="A410" s="22"/>
      <c r="B410" s="23"/>
      <c r="C410" s="24"/>
      <c r="D410" s="24"/>
      <c r="E410" s="24"/>
      <c r="F410" s="24"/>
      <c r="G410" s="24"/>
      <c r="H410" s="24"/>
      <c r="I410" s="24"/>
      <c r="J410" s="24"/>
      <c r="K410" s="25"/>
    </row>
    <row r="411" s="5" customFormat="1" ht="16.5" spans="1:11">
      <c r="A411" s="22"/>
      <c r="B411" s="23"/>
      <c r="C411" s="24"/>
      <c r="D411" s="24"/>
      <c r="E411" s="24"/>
      <c r="F411" s="24"/>
      <c r="G411" s="24"/>
      <c r="H411" s="24"/>
      <c r="I411" s="24"/>
      <c r="J411" s="24"/>
      <c r="K411" s="25"/>
    </row>
    <row r="412" s="5" customFormat="1" ht="16.5" spans="1:11">
      <c r="A412" s="22"/>
      <c r="B412" s="23"/>
      <c r="C412" s="24"/>
      <c r="D412" s="24"/>
      <c r="E412" s="24"/>
      <c r="F412" s="24"/>
      <c r="G412" s="24"/>
      <c r="H412" s="24"/>
      <c r="I412" s="24"/>
      <c r="J412" s="24"/>
      <c r="K412" s="25"/>
    </row>
    <row r="413" s="5" customFormat="1" ht="16.5" spans="1:11">
      <c r="A413" s="22"/>
      <c r="B413" s="23"/>
      <c r="C413" s="24"/>
      <c r="D413" s="24"/>
      <c r="E413" s="24"/>
      <c r="F413" s="24"/>
      <c r="G413" s="24"/>
      <c r="H413" s="24"/>
      <c r="I413" s="24"/>
      <c r="J413" s="24"/>
      <c r="K413" s="25"/>
    </row>
    <row r="414" s="5" customFormat="1" ht="16.5" spans="1:11">
      <c r="A414" s="22"/>
      <c r="B414" s="23"/>
      <c r="C414" s="24"/>
      <c r="D414" s="24"/>
      <c r="E414" s="24"/>
      <c r="F414" s="24"/>
      <c r="G414" s="24"/>
      <c r="H414" s="24"/>
      <c r="I414" s="24"/>
      <c r="J414" s="24"/>
      <c r="K414" s="25"/>
    </row>
    <row r="415" s="5" customFormat="1" ht="16.5" spans="1:11">
      <c r="A415" s="22"/>
      <c r="B415" s="23"/>
      <c r="C415" s="24"/>
      <c r="D415" s="24"/>
      <c r="E415" s="24"/>
      <c r="F415" s="24"/>
      <c r="G415" s="24"/>
      <c r="H415" s="24"/>
      <c r="I415" s="24"/>
      <c r="J415" s="24"/>
      <c r="K415" s="25"/>
    </row>
    <row r="416" s="5" customFormat="1" ht="16.5" spans="1:11">
      <c r="A416" s="22"/>
      <c r="B416" s="23"/>
      <c r="C416" s="24"/>
      <c r="D416" s="24"/>
      <c r="E416" s="24"/>
      <c r="F416" s="24"/>
      <c r="G416" s="24"/>
      <c r="H416" s="24"/>
      <c r="I416" s="24"/>
      <c r="J416" s="24"/>
      <c r="K416" s="25"/>
    </row>
    <row r="417" s="5" customFormat="1" ht="16.5" spans="1:11">
      <c r="A417" s="22"/>
      <c r="B417" s="23"/>
      <c r="C417" s="24"/>
      <c r="D417" s="24"/>
      <c r="E417" s="24"/>
      <c r="F417" s="24"/>
      <c r="G417" s="24"/>
      <c r="H417" s="24"/>
      <c r="I417" s="24"/>
      <c r="J417" s="24"/>
      <c r="K417" s="25"/>
    </row>
    <row r="418" s="5" customFormat="1" ht="16.5" spans="1:11">
      <c r="A418" s="22"/>
      <c r="B418" s="23"/>
      <c r="C418" s="24"/>
      <c r="D418" s="24"/>
      <c r="E418" s="24"/>
      <c r="F418" s="24"/>
      <c r="G418" s="24"/>
      <c r="H418" s="24"/>
      <c r="I418" s="24"/>
      <c r="J418" s="24"/>
      <c r="K418" s="25"/>
    </row>
    <row r="419" s="5" customFormat="1" ht="16.5" spans="1:11">
      <c r="A419" s="22"/>
      <c r="B419" s="23"/>
      <c r="C419" s="24"/>
      <c r="D419" s="24"/>
      <c r="E419" s="24"/>
      <c r="F419" s="24"/>
      <c r="G419" s="24"/>
      <c r="H419" s="24"/>
      <c r="I419" s="24"/>
      <c r="J419" s="24"/>
      <c r="K419" s="25"/>
    </row>
    <row r="420" s="5" customFormat="1" ht="16.5" spans="1:11">
      <c r="A420" s="22"/>
      <c r="B420" s="23"/>
      <c r="C420" s="24"/>
      <c r="D420" s="24"/>
      <c r="E420" s="24"/>
      <c r="F420" s="24"/>
      <c r="G420" s="24"/>
      <c r="H420" s="24"/>
      <c r="I420" s="24"/>
      <c r="J420" s="24"/>
      <c r="K420" s="25"/>
    </row>
    <row r="421" s="5" customFormat="1" ht="16.5" spans="1:11">
      <c r="A421" s="22"/>
      <c r="B421" s="23"/>
      <c r="C421" s="24"/>
      <c r="D421" s="24"/>
      <c r="E421" s="24"/>
      <c r="F421" s="24"/>
      <c r="G421" s="24"/>
      <c r="H421" s="24"/>
      <c r="I421" s="24"/>
      <c r="J421" s="24"/>
      <c r="K421" s="25"/>
    </row>
    <row r="422" s="5" customFormat="1" ht="16.5" spans="1:11">
      <c r="A422" s="22"/>
      <c r="B422" s="23"/>
      <c r="C422" s="24"/>
      <c r="D422" s="24"/>
      <c r="E422" s="24"/>
      <c r="F422" s="24"/>
      <c r="G422" s="24"/>
      <c r="H422" s="24"/>
      <c r="I422" s="24"/>
      <c r="J422" s="24"/>
      <c r="K422" s="25"/>
    </row>
    <row r="423" s="5" customFormat="1" ht="16.5" spans="1:11">
      <c r="A423" s="22"/>
      <c r="B423" s="23"/>
      <c r="C423" s="24"/>
      <c r="D423" s="24"/>
      <c r="E423" s="24"/>
      <c r="F423" s="24"/>
      <c r="G423" s="24"/>
      <c r="H423" s="24"/>
      <c r="I423" s="24"/>
      <c r="J423" s="24"/>
      <c r="K423" s="25"/>
    </row>
    <row r="424" s="5" customFormat="1" ht="16.5" spans="1:11">
      <c r="A424" s="22"/>
      <c r="B424" s="23"/>
      <c r="C424" s="24"/>
      <c r="D424" s="24"/>
      <c r="E424" s="24"/>
      <c r="F424" s="24"/>
      <c r="G424" s="24"/>
      <c r="H424" s="24"/>
      <c r="I424" s="24"/>
      <c r="J424" s="24"/>
      <c r="K424" s="25"/>
    </row>
    <row r="425" s="5" customFormat="1" ht="16.5" spans="1:11">
      <c r="A425" s="22"/>
      <c r="B425" s="23"/>
      <c r="C425" s="24"/>
      <c r="D425" s="24"/>
      <c r="E425" s="24"/>
      <c r="F425" s="24"/>
      <c r="G425" s="24"/>
      <c r="H425" s="24"/>
      <c r="I425" s="24"/>
      <c r="J425" s="24"/>
      <c r="K425" s="25"/>
    </row>
    <row r="426" s="5" customFormat="1" ht="16.5" spans="1:11">
      <c r="A426" s="22"/>
      <c r="B426" s="23"/>
      <c r="C426" s="24"/>
      <c r="D426" s="24"/>
      <c r="E426" s="24"/>
      <c r="F426" s="24"/>
      <c r="G426" s="24"/>
      <c r="H426" s="24"/>
      <c r="I426" s="24"/>
      <c r="J426" s="24"/>
      <c r="K426" s="25"/>
    </row>
    <row r="427" s="5" customFormat="1" ht="16.5" spans="1:11">
      <c r="A427" s="22"/>
      <c r="B427" s="23"/>
      <c r="C427" s="24"/>
      <c r="D427" s="24"/>
      <c r="E427" s="24"/>
      <c r="F427" s="24"/>
      <c r="G427" s="24"/>
      <c r="H427" s="24"/>
      <c r="I427" s="24"/>
      <c r="J427" s="24"/>
      <c r="K427" s="25"/>
    </row>
    <row r="428" s="5" customFormat="1" ht="16.5" spans="1:11">
      <c r="A428" s="22"/>
      <c r="B428" s="23"/>
      <c r="C428" s="24"/>
      <c r="D428" s="24"/>
      <c r="E428" s="24"/>
      <c r="F428" s="24"/>
      <c r="G428" s="24"/>
      <c r="H428" s="24"/>
      <c r="I428" s="24"/>
      <c r="J428" s="24"/>
      <c r="K428" s="25"/>
    </row>
    <row r="429" s="5" customFormat="1" ht="16.5" spans="1:11">
      <c r="A429" s="22"/>
      <c r="B429" s="23"/>
      <c r="C429" s="24"/>
      <c r="D429" s="24"/>
      <c r="E429" s="24"/>
      <c r="F429" s="24"/>
      <c r="G429" s="24"/>
      <c r="H429" s="24"/>
      <c r="I429" s="24"/>
      <c r="J429" s="24"/>
      <c r="K429" s="25"/>
    </row>
    <row r="430" s="5" customFormat="1" ht="16.5" spans="1:11">
      <c r="A430" s="22"/>
      <c r="B430" s="23"/>
      <c r="C430" s="24"/>
      <c r="D430" s="24"/>
      <c r="E430" s="24"/>
      <c r="F430" s="24"/>
      <c r="G430" s="24"/>
      <c r="H430" s="24"/>
      <c r="I430" s="24"/>
      <c r="J430" s="24"/>
      <c r="K430" s="25"/>
    </row>
    <row r="431" s="5" customFormat="1" ht="16.5" spans="1:11">
      <c r="A431" s="22"/>
      <c r="B431" s="23"/>
      <c r="C431" s="24"/>
      <c r="D431" s="24"/>
      <c r="E431" s="24"/>
      <c r="F431" s="24"/>
      <c r="G431" s="24"/>
      <c r="H431" s="24"/>
      <c r="I431" s="24"/>
      <c r="J431" s="24"/>
      <c r="K431" s="25"/>
    </row>
    <row r="432" s="5" customFormat="1" ht="16.5" spans="1:11">
      <c r="A432" s="22"/>
      <c r="B432" s="23"/>
      <c r="C432" s="24"/>
      <c r="D432" s="24"/>
      <c r="E432" s="24"/>
      <c r="F432" s="24"/>
      <c r="G432" s="24"/>
      <c r="H432" s="24"/>
      <c r="I432" s="24"/>
      <c r="J432" s="24"/>
      <c r="K432" s="25"/>
    </row>
    <row r="433" s="5" customFormat="1" ht="16.5" spans="1:11">
      <c r="A433" s="22"/>
      <c r="B433" s="23"/>
      <c r="C433" s="24"/>
      <c r="D433" s="24"/>
      <c r="E433" s="24"/>
      <c r="F433" s="24"/>
      <c r="G433" s="24"/>
      <c r="H433" s="24"/>
      <c r="I433" s="24"/>
      <c r="J433" s="24"/>
      <c r="K433" s="25"/>
    </row>
    <row r="434" s="5" customFormat="1" ht="16.5" spans="1:11">
      <c r="A434" s="22"/>
      <c r="B434" s="23"/>
      <c r="C434" s="24"/>
      <c r="D434" s="24"/>
      <c r="E434" s="24"/>
      <c r="F434" s="24"/>
      <c r="G434" s="24"/>
      <c r="H434" s="24"/>
      <c r="I434" s="24"/>
      <c r="J434" s="24"/>
      <c r="K434" s="25"/>
    </row>
    <row r="435" s="5" customFormat="1" ht="16.5" spans="1:11">
      <c r="A435" s="22"/>
      <c r="B435" s="23"/>
      <c r="C435" s="24"/>
      <c r="D435" s="24"/>
      <c r="E435" s="24"/>
      <c r="F435" s="24"/>
      <c r="G435" s="24"/>
      <c r="H435" s="24"/>
      <c r="I435" s="24"/>
      <c r="J435" s="24"/>
      <c r="K435" s="25"/>
    </row>
    <row r="436" s="5" customFormat="1" ht="16.5" spans="1:11">
      <c r="A436" s="22"/>
      <c r="B436" s="23"/>
      <c r="C436" s="24"/>
      <c r="D436" s="24"/>
      <c r="E436" s="24"/>
      <c r="F436" s="24"/>
      <c r="G436" s="24"/>
      <c r="H436" s="24"/>
      <c r="I436" s="24"/>
      <c r="J436" s="24"/>
      <c r="K436" s="25"/>
    </row>
    <row r="437" s="5" customFormat="1" ht="16.5" spans="1:11">
      <c r="A437" s="22"/>
      <c r="B437" s="23"/>
      <c r="C437" s="24"/>
      <c r="D437" s="24"/>
      <c r="E437" s="24"/>
      <c r="F437" s="24"/>
      <c r="G437" s="24"/>
      <c r="H437" s="24"/>
      <c r="I437" s="24"/>
      <c r="J437" s="24"/>
      <c r="K437" s="25"/>
    </row>
    <row r="438" s="5" customFormat="1" ht="16.5" spans="1:11">
      <c r="A438" s="22"/>
      <c r="B438" s="23"/>
      <c r="C438" s="24"/>
      <c r="D438" s="24"/>
      <c r="E438" s="24"/>
      <c r="F438" s="24"/>
      <c r="G438" s="24"/>
      <c r="H438" s="24"/>
      <c r="I438" s="24"/>
      <c r="J438" s="24"/>
      <c r="K438" s="25"/>
    </row>
    <row r="439" s="5" customFormat="1" ht="16.5" spans="1:11">
      <c r="A439" s="22"/>
      <c r="B439" s="23"/>
      <c r="C439" s="24"/>
      <c r="D439" s="24"/>
      <c r="E439" s="24"/>
      <c r="F439" s="24"/>
      <c r="G439" s="24"/>
      <c r="H439" s="24"/>
      <c r="I439" s="24"/>
      <c r="J439" s="24"/>
      <c r="K439" s="25"/>
    </row>
    <row r="440" s="5" customFormat="1" ht="16.5" spans="1:11">
      <c r="A440" s="22"/>
      <c r="B440" s="23"/>
      <c r="C440" s="24"/>
      <c r="D440" s="24"/>
      <c r="E440" s="24"/>
      <c r="F440" s="24"/>
      <c r="G440" s="24"/>
      <c r="H440" s="24"/>
      <c r="I440" s="24"/>
      <c r="J440" s="24"/>
      <c r="K440" s="25"/>
    </row>
    <row r="441" s="5" customFormat="1" ht="16.5" spans="1:11">
      <c r="A441" s="22"/>
      <c r="B441" s="23"/>
      <c r="C441" s="24"/>
      <c r="D441" s="24"/>
      <c r="E441" s="24"/>
      <c r="F441" s="24"/>
      <c r="G441" s="24"/>
      <c r="H441" s="24"/>
      <c r="I441" s="24"/>
      <c r="J441" s="24"/>
      <c r="K441" s="25"/>
    </row>
    <row r="442" s="5" customFormat="1" ht="16.5" spans="1:11">
      <c r="A442" s="22"/>
      <c r="B442" s="23"/>
      <c r="C442" s="24"/>
      <c r="D442" s="24"/>
      <c r="E442" s="24"/>
      <c r="F442" s="24"/>
      <c r="G442" s="24"/>
      <c r="H442" s="24"/>
      <c r="I442" s="24"/>
      <c r="J442" s="24"/>
      <c r="K442" s="25"/>
    </row>
    <row r="443" s="5" customFormat="1" ht="16.5" spans="1:11">
      <c r="A443" s="22"/>
      <c r="B443" s="23"/>
      <c r="C443" s="24"/>
      <c r="D443" s="24"/>
      <c r="E443" s="24"/>
      <c r="F443" s="24"/>
      <c r="G443" s="24"/>
      <c r="H443" s="24"/>
      <c r="I443" s="24"/>
      <c r="J443" s="24"/>
      <c r="K443" s="25"/>
    </row>
    <row r="444" s="5" customFormat="1" ht="16.5" spans="1:11">
      <c r="A444" s="22"/>
      <c r="B444" s="23"/>
      <c r="C444" s="24"/>
      <c r="D444" s="24"/>
      <c r="E444" s="24"/>
      <c r="F444" s="24"/>
      <c r="G444" s="24"/>
      <c r="H444" s="24"/>
      <c r="I444" s="24"/>
      <c r="J444" s="24"/>
      <c r="K444" s="25"/>
    </row>
    <row r="445" s="5" customFormat="1" ht="16.5" spans="1:11">
      <c r="A445" s="22"/>
      <c r="B445" s="23"/>
      <c r="C445" s="24"/>
      <c r="D445" s="24"/>
      <c r="E445" s="24"/>
      <c r="F445" s="24"/>
      <c r="G445" s="24"/>
      <c r="H445" s="24"/>
      <c r="I445" s="24"/>
      <c r="J445" s="24"/>
      <c r="K445" s="25"/>
    </row>
    <row r="446" s="5" customFormat="1" ht="16.5" spans="1:11">
      <c r="A446" s="22"/>
      <c r="B446" s="23"/>
      <c r="C446" s="24"/>
      <c r="D446" s="24"/>
      <c r="E446" s="24"/>
      <c r="F446" s="24"/>
      <c r="G446" s="24"/>
      <c r="H446" s="24"/>
      <c r="I446" s="24"/>
      <c r="J446" s="24"/>
      <c r="K446" s="25"/>
    </row>
    <row r="447" s="5" customFormat="1" ht="16.5" spans="1:11">
      <c r="A447" s="22"/>
      <c r="B447" s="23"/>
      <c r="C447" s="24"/>
      <c r="D447" s="24"/>
      <c r="E447" s="24"/>
      <c r="F447" s="24"/>
      <c r="G447" s="24"/>
      <c r="H447" s="24"/>
      <c r="I447" s="24"/>
      <c r="J447" s="24"/>
      <c r="K447" s="25"/>
    </row>
    <row r="448" s="5" customFormat="1" ht="16.5" spans="1:11">
      <c r="A448" s="22"/>
      <c r="B448" s="23"/>
      <c r="C448" s="24"/>
      <c r="D448" s="24"/>
      <c r="E448" s="24"/>
      <c r="F448" s="24"/>
      <c r="G448" s="24"/>
      <c r="H448" s="24"/>
      <c r="I448" s="24"/>
      <c r="J448" s="24"/>
      <c r="K448" s="25"/>
    </row>
    <row r="449" s="5" customFormat="1" ht="16.5" spans="1:11">
      <c r="A449" s="22"/>
      <c r="B449" s="23"/>
      <c r="C449" s="24"/>
      <c r="D449" s="24"/>
      <c r="E449" s="24"/>
      <c r="F449" s="24"/>
      <c r="G449" s="24"/>
      <c r="H449" s="24"/>
      <c r="I449" s="24"/>
      <c r="J449" s="24"/>
      <c r="K449" s="25"/>
    </row>
    <row r="450" s="5" customFormat="1" ht="16.5" spans="1:11">
      <c r="A450" s="22"/>
      <c r="B450" s="23"/>
      <c r="C450" s="24"/>
      <c r="D450" s="24"/>
      <c r="E450" s="24"/>
      <c r="F450" s="24"/>
      <c r="G450" s="24"/>
      <c r="H450" s="24"/>
      <c r="I450" s="24"/>
      <c r="J450" s="24"/>
      <c r="K450" s="25"/>
    </row>
    <row r="451" s="5" customFormat="1" ht="16.5" spans="1:11">
      <c r="A451" s="22"/>
      <c r="B451" s="23"/>
      <c r="C451" s="24"/>
      <c r="D451" s="24"/>
      <c r="E451" s="24"/>
      <c r="F451" s="24"/>
      <c r="G451" s="24"/>
      <c r="H451" s="24"/>
      <c r="I451" s="24"/>
      <c r="J451" s="24"/>
      <c r="K451" s="25"/>
    </row>
    <row r="452" s="5" customFormat="1" ht="16.5" spans="1:11">
      <c r="A452" s="22"/>
      <c r="B452" s="23"/>
      <c r="C452" s="24"/>
      <c r="D452" s="24"/>
      <c r="E452" s="24"/>
      <c r="F452" s="24"/>
      <c r="G452" s="24"/>
      <c r="H452" s="24"/>
      <c r="I452" s="24"/>
      <c r="J452" s="24"/>
      <c r="K452" s="25"/>
    </row>
    <row r="453" s="5" customFormat="1" ht="16.5" spans="1:11">
      <c r="A453" s="22"/>
      <c r="B453" s="23"/>
      <c r="C453" s="24"/>
      <c r="D453" s="24"/>
      <c r="E453" s="24"/>
      <c r="F453" s="24"/>
      <c r="G453" s="24"/>
      <c r="H453" s="24"/>
      <c r="I453" s="24"/>
      <c r="J453" s="24"/>
      <c r="K453" s="25"/>
    </row>
    <row r="454" s="5" customFormat="1" ht="16.5" spans="1:11">
      <c r="A454" s="22"/>
      <c r="B454" s="23"/>
      <c r="C454" s="24"/>
      <c r="D454" s="24"/>
      <c r="E454" s="24"/>
      <c r="F454" s="24"/>
      <c r="G454" s="24"/>
      <c r="H454" s="24"/>
      <c r="I454" s="24"/>
      <c r="J454" s="24"/>
      <c r="K454" s="25"/>
    </row>
    <row r="455" s="5" customFormat="1" ht="16.5" spans="1:11">
      <c r="A455" s="22"/>
      <c r="B455" s="23"/>
      <c r="C455" s="24"/>
      <c r="D455" s="24"/>
      <c r="E455" s="24"/>
      <c r="F455" s="24"/>
      <c r="G455" s="24"/>
      <c r="H455" s="24"/>
      <c r="I455" s="24"/>
      <c r="J455" s="24"/>
      <c r="K455" s="25"/>
    </row>
    <row r="456" s="5" customFormat="1" ht="16.5" spans="1:11">
      <c r="A456" s="22"/>
      <c r="B456" s="23"/>
      <c r="C456" s="24"/>
      <c r="D456" s="24"/>
      <c r="E456" s="24"/>
      <c r="F456" s="24"/>
      <c r="G456" s="24"/>
      <c r="H456" s="24"/>
      <c r="I456" s="24"/>
      <c r="J456" s="24"/>
      <c r="K456" s="25"/>
    </row>
    <row r="457" s="5" customFormat="1" ht="16.5" spans="1:11">
      <c r="A457" s="22"/>
      <c r="B457" s="23"/>
      <c r="C457" s="24"/>
      <c r="D457" s="24"/>
      <c r="E457" s="24"/>
      <c r="F457" s="24"/>
      <c r="G457" s="24"/>
      <c r="H457" s="24"/>
      <c r="I457" s="24"/>
      <c r="J457" s="24"/>
      <c r="K457" s="25"/>
    </row>
    <row r="458" s="5" customFormat="1" ht="16.5" spans="1:11">
      <c r="A458" s="22"/>
      <c r="B458" s="23"/>
      <c r="C458" s="24"/>
      <c r="D458" s="24"/>
      <c r="E458" s="24"/>
      <c r="F458" s="24"/>
      <c r="G458" s="24"/>
      <c r="H458" s="24"/>
      <c r="I458" s="24"/>
      <c r="J458" s="24"/>
      <c r="K458" s="25"/>
    </row>
    <row r="459" s="5" customFormat="1" ht="16.5" spans="1:11">
      <c r="A459" s="22"/>
      <c r="B459" s="23"/>
      <c r="C459" s="24"/>
      <c r="D459" s="24"/>
      <c r="E459" s="24"/>
      <c r="F459" s="24"/>
      <c r="G459" s="24"/>
      <c r="H459" s="24"/>
      <c r="I459" s="24"/>
      <c r="J459" s="24"/>
      <c r="K459" s="25"/>
    </row>
    <row r="460" s="5" customFormat="1" ht="16.5" spans="1:11">
      <c r="A460" s="22"/>
      <c r="B460" s="23"/>
      <c r="C460" s="24"/>
      <c r="D460" s="24"/>
      <c r="E460" s="24"/>
      <c r="F460" s="24"/>
      <c r="G460" s="24"/>
      <c r="H460" s="24"/>
      <c r="I460" s="24"/>
      <c r="J460" s="24"/>
      <c r="K460" s="25"/>
    </row>
    <row r="461" s="5" customFormat="1" ht="16.5" spans="1:11">
      <c r="A461" s="22"/>
      <c r="B461" s="23"/>
      <c r="C461" s="24"/>
      <c r="D461" s="24"/>
      <c r="E461" s="24"/>
      <c r="F461" s="24"/>
      <c r="G461" s="24"/>
      <c r="H461" s="24"/>
      <c r="I461" s="24"/>
      <c r="J461" s="24"/>
      <c r="K461" s="25"/>
    </row>
    <row r="462" s="5" customFormat="1" ht="16.5" spans="1:11">
      <c r="A462" s="22"/>
      <c r="B462" s="23"/>
      <c r="C462" s="24"/>
      <c r="D462" s="24"/>
      <c r="E462" s="24"/>
      <c r="F462" s="24"/>
      <c r="G462" s="24"/>
      <c r="H462" s="24"/>
      <c r="I462" s="24"/>
      <c r="J462" s="24"/>
      <c r="K462" s="25"/>
    </row>
    <row r="463" s="5" customFormat="1" ht="16.5" spans="1:11">
      <c r="A463" s="22"/>
      <c r="B463" s="23"/>
      <c r="C463" s="24"/>
      <c r="D463" s="24"/>
      <c r="E463" s="24"/>
      <c r="F463" s="24"/>
      <c r="G463" s="24"/>
      <c r="H463" s="24"/>
      <c r="I463" s="24"/>
      <c r="J463" s="24"/>
      <c r="K463" s="25"/>
    </row>
    <row r="464" s="5" customFormat="1" ht="16.5" spans="1:11">
      <c r="A464" s="22"/>
      <c r="B464" s="23"/>
      <c r="C464" s="24"/>
      <c r="D464" s="24"/>
      <c r="E464" s="24"/>
      <c r="F464" s="24"/>
      <c r="G464" s="24"/>
      <c r="H464" s="24"/>
      <c r="I464" s="24"/>
      <c r="J464" s="24"/>
      <c r="K464" s="25"/>
    </row>
    <row r="465" s="5" customFormat="1" ht="16.5" spans="1:11">
      <c r="A465" s="22"/>
      <c r="B465" s="23"/>
      <c r="C465" s="24"/>
      <c r="D465" s="24"/>
      <c r="E465" s="24"/>
      <c r="F465" s="24"/>
      <c r="G465" s="24"/>
      <c r="H465" s="24"/>
      <c r="I465" s="24"/>
      <c r="J465" s="24"/>
      <c r="K465" s="25"/>
    </row>
    <row r="466" s="5" customFormat="1" ht="16.5" spans="1:11">
      <c r="A466" s="22"/>
      <c r="B466" s="23"/>
      <c r="C466" s="24"/>
      <c r="D466" s="24"/>
      <c r="E466" s="24"/>
      <c r="F466" s="24"/>
      <c r="G466" s="24"/>
      <c r="H466" s="24"/>
      <c r="I466" s="24"/>
      <c r="J466" s="24"/>
      <c r="K466" s="25"/>
    </row>
    <row r="467" s="5" customFormat="1" ht="16.5" spans="1:11">
      <c r="A467" s="22"/>
      <c r="B467" s="23"/>
      <c r="C467" s="24"/>
      <c r="D467" s="24"/>
      <c r="E467" s="24"/>
      <c r="F467" s="24"/>
      <c r="G467" s="24"/>
      <c r="H467" s="24"/>
      <c r="I467" s="24"/>
      <c r="J467" s="24"/>
      <c r="K467" s="25"/>
    </row>
    <row r="468" s="5" customFormat="1" ht="16.5" spans="1:11">
      <c r="A468" s="22"/>
      <c r="B468" s="23"/>
      <c r="C468" s="24"/>
      <c r="D468" s="24"/>
      <c r="E468" s="24"/>
      <c r="F468" s="24"/>
      <c r="G468" s="24"/>
      <c r="H468" s="24"/>
      <c r="I468" s="24"/>
      <c r="J468" s="24"/>
      <c r="K468" s="25"/>
    </row>
    <row r="469" s="5" customFormat="1" ht="16.5" spans="1:11">
      <c r="A469" s="22"/>
      <c r="B469" s="23"/>
      <c r="C469" s="24"/>
      <c r="D469" s="24"/>
      <c r="E469" s="24"/>
      <c r="F469" s="24"/>
      <c r="G469" s="24"/>
      <c r="H469" s="24"/>
      <c r="I469" s="24"/>
      <c r="J469" s="24"/>
      <c r="K469" s="25"/>
    </row>
    <row r="470" s="5" customFormat="1" ht="16.5" spans="1:11">
      <c r="A470" s="22"/>
      <c r="B470" s="23"/>
      <c r="C470" s="24"/>
      <c r="D470" s="24"/>
      <c r="E470" s="24"/>
      <c r="F470" s="24"/>
      <c r="G470" s="24"/>
      <c r="H470" s="24"/>
      <c r="I470" s="24"/>
      <c r="J470" s="24"/>
      <c r="K470" s="25"/>
    </row>
    <row r="471" s="5" customFormat="1" ht="16.5" spans="1:11">
      <c r="A471" s="22"/>
      <c r="B471" s="23"/>
      <c r="C471" s="24"/>
      <c r="D471" s="24"/>
      <c r="E471" s="24"/>
      <c r="F471" s="24"/>
      <c r="G471" s="24"/>
      <c r="H471" s="24"/>
      <c r="I471" s="24"/>
      <c r="J471" s="24"/>
      <c r="K471" s="25"/>
    </row>
    <row r="472" s="5" customFormat="1" ht="16.5" spans="1:11">
      <c r="A472" s="22"/>
      <c r="B472" s="23"/>
      <c r="C472" s="24"/>
      <c r="D472" s="24"/>
      <c r="E472" s="24"/>
      <c r="F472" s="24"/>
      <c r="G472" s="24"/>
      <c r="H472" s="24"/>
      <c r="I472" s="24"/>
      <c r="J472" s="24"/>
      <c r="K472" s="25"/>
    </row>
    <row r="473" s="5" customFormat="1" ht="16.5" spans="1:11">
      <c r="A473" s="22"/>
      <c r="B473" s="23"/>
      <c r="C473" s="24"/>
      <c r="D473" s="24"/>
      <c r="E473" s="24"/>
      <c r="F473" s="24"/>
      <c r="G473" s="24"/>
      <c r="H473" s="24"/>
      <c r="I473" s="24"/>
      <c r="J473" s="24"/>
      <c r="K473" s="25"/>
    </row>
    <row r="474" s="5" customFormat="1" ht="16.5" spans="1:11">
      <c r="A474" s="22"/>
      <c r="B474" s="23"/>
      <c r="C474" s="24"/>
      <c r="D474" s="24"/>
      <c r="E474" s="24"/>
      <c r="F474" s="24"/>
      <c r="G474" s="24"/>
      <c r="H474" s="24"/>
      <c r="I474" s="24"/>
      <c r="J474" s="24"/>
      <c r="K474" s="25"/>
    </row>
    <row r="475" s="5" customFormat="1" ht="16.5" spans="1:11">
      <c r="A475" s="22"/>
      <c r="B475" s="23"/>
      <c r="C475" s="24"/>
      <c r="D475" s="24"/>
      <c r="E475" s="24"/>
      <c r="F475" s="24"/>
      <c r="G475" s="24"/>
      <c r="H475" s="24"/>
      <c r="I475" s="24"/>
      <c r="J475" s="24"/>
      <c r="K475" s="25"/>
    </row>
    <row r="476" s="5" customFormat="1" ht="16.5" spans="1:11">
      <c r="A476" s="22"/>
      <c r="B476" s="23"/>
      <c r="C476" s="24"/>
      <c r="D476" s="24"/>
      <c r="E476" s="24"/>
      <c r="F476" s="24"/>
      <c r="G476" s="24"/>
      <c r="H476" s="24"/>
      <c r="I476" s="24"/>
      <c r="J476" s="24"/>
      <c r="K476" s="25"/>
    </row>
    <row r="477" s="5" customFormat="1" ht="16.5" spans="1:11">
      <c r="A477" s="22"/>
      <c r="B477" s="23"/>
      <c r="C477" s="24"/>
      <c r="D477" s="24"/>
      <c r="E477" s="24"/>
      <c r="F477" s="24"/>
      <c r="G477" s="24"/>
      <c r="H477" s="24"/>
      <c r="I477" s="24"/>
      <c r="J477" s="24"/>
      <c r="K477" s="25"/>
    </row>
    <row r="478" s="5" customFormat="1" ht="16.5" spans="1:11">
      <c r="A478" s="22"/>
      <c r="B478" s="23"/>
      <c r="C478" s="24"/>
      <c r="D478" s="24"/>
      <c r="E478" s="24"/>
      <c r="F478" s="24"/>
      <c r="G478" s="24"/>
      <c r="H478" s="24"/>
      <c r="I478" s="24"/>
      <c r="J478" s="24"/>
      <c r="K478" s="25"/>
    </row>
    <row r="479" s="5" customFormat="1" ht="16.5" spans="1:11">
      <c r="A479" s="22"/>
      <c r="B479" s="23"/>
      <c r="C479" s="24"/>
      <c r="D479" s="24"/>
      <c r="E479" s="24"/>
      <c r="F479" s="24"/>
      <c r="G479" s="24"/>
      <c r="H479" s="24"/>
      <c r="I479" s="24"/>
      <c r="J479" s="24"/>
      <c r="K479" s="25"/>
    </row>
    <row r="480" s="5" customFormat="1" ht="16.5" spans="1:11">
      <c r="A480" s="22"/>
      <c r="B480" s="23"/>
      <c r="C480" s="24"/>
      <c r="D480" s="24"/>
      <c r="E480" s="24"/>
      <c r="F480" s="24"/>
      <c r="G480" s="24"/>
      <c r="H480" s="24"/>
      <c r="I480" s="24"/>
      <c r="J480" s="24"/>
      <c r="K480" s="25"/>
    </row>
    <row r="481" s="5" customFormat="1" ht="16.5" spans="1:11">
      <c r="A481" s="22"/>
      <c r="B481" s="23"/>
      <c r="C481" s="24"/>
      <c r="D481" s="24"/>
      <c r="E481" s="24"/>
      <c r="F481" s="24"/>
      <c r="G481" s="24"/>
      <c r="H481" s="24"/>
      <c r="I481" s="24"/>
      <c r="J481" s="24"/>
      <c r="K481" s="25"/>
    </row>
    <row r="482" s="5" customFormat="1" ht="16.5" spans="1:11">
      <c r="A482" s="22"/>
      <c r="B482" s="23"/>
      <c r="C482" s="24"/>
      <c r="D482" s="24"/>
      <c r="E482" s="24"/>
      <c r="F482" s="24"/>
      <c r="G482" s="24"/>
      <c r="H482" s="24"/>
      <c r="I482" s="24"/>
      <c r="J482" s="24"/>
      <c r="K482" s="25"/>
    </row>
    <row r="483" s="5" customFormat="1" ht="16.5" spans="1:11">
      <c r="A483" s="22"/>
      <c r="B483" s="23"/>
      <c r="C483" s="24"/>
      <c r="D483" s="24"/>
      <c r="E483" s="24"/>
      <c r="F483" s="24"/>
      <c r="G483" s="24"/>
      <c r="H483" s="24"/>
      <c r="I483" s="24"/>
      <c r="J483" s="24"/>
      <c r="K483" s="25"/>
    </row>
    <row r="484" s="5" customFormat="1" ht="16.5" spans="1:11">
      <c r="A484" s="22"/>
      <c r="B484" s="23"/>
      <c r="C484" s="24"/>
      <c r="D484" s="24"/>
      <c r="E484" s="24"/>
      <c r="F484" s="24"/>
      <c r="G484" s="24"/>
      <c r="H484" s="24"/>
      <c r="I484" s="24"/>
      <c r="J484" s="24"/>
      <c r="K484" s="25"/>
    </row>
    <row r="485" s="5" customFormat="1" ht="16.5" spans="1:11">
      <c r="A485" s="22"/>
      <c r="B485" s="23"/>
      <c r="C485" s="24"/>
      <c r="D485" s="24"/>
      <c r="E485" s="24"/>
      <c r="F485" s="24"/>
      <c r="G485" s="24"/>
      <c r="H485" s="24"/>
      <c r="I485" s="24"/>
      <c r="J485" s="24"/>
      <c r="K485" s="25"/>
    </row>
    <row r="486" s="5" customFormat="1" ht="16.5" spans="1:11">
      <c r="A486" s="22"/>
      <c r="B486" s="23"/>
      <c r="C486" s="24"/>
      <c r="D486" s="24"/>
      <c r="E486" s="24"/>
      <c r="F486" s="24"/>
      <c r="G486" s="24"/>
      <c r="H486" s="24"/>
      <c r="I486" s="24"/>
      <c r="J486" s="24"/>
      <c r="K486" s="25"/>
    </row>
    <row r="487" s="5" customFormat="1" ht="16.5" spans="1:11">
      <c r="A487" s="22"/>
      <c r="B487" s="23"/>
      <c r="C487" s="24"/>
      <c r="D487" s="24"/>
      <c r="E487" s="24"/>
      <c r="F487" s="24"/>
      <c r="G487" s="24"/>
      <c r="H487" s="24"/>
      <c r="I487" s="24"/>
      <c r="J487" s="24"/>
      <c r="K487" s="25"/>
    </row>
    <row r="488" s="5" customFormat="1" ht="16.5" spans="1:11">
      <c r="A488" s="22"/>
      <c r="B488" s="23"/>
      <c r="C488" s="24"/>
      <c r="D488" s="24"/>
      <c r="E488" s="24"/>
      <c r="F488" s="24"/>
      <c r="G488" s="24"/>
      <c r="H488" s="24"/>
      <c r="I488" s="24"/>
      <c r="J488" s="24"/>
      <c r="K488" s="25"/>
    </row>
    <row r="489" s="5" customFormat="1" ht="16.5" spans="1:11">
      <c r="A489" s="22"/>
      <c r="B489" s="23"/>
      <c r="C489" s="24"/>
      <c r="D489" s="24"/>
      <c r="E489" s="24"/>
      <c r="F489" s="24"/>
      <c r="G489" s="24"/>
      <c r="H489" s="24"/>
      <c r="I489" s="24"/>
      <c r="J489" s="24"/>
      <c r="K489" s="25"/>
    </row>
    <row r="490" s="5" customFormat="1" ht="16.5" spans="1:11">
      <c r="A490" s="22"/>
      <c r="B490" s="23"/>
      <c r="C490" s="24"/>
      <c r="D490" s="24"/>
      <c r="E490" s="24"/>
      <c r="F490" s="24"/>
      <c r="G490" s="24"/>
      <c r="H490" s="24"/>
      <c r="I490" s="24"/>
      <c r="J490" s="24"/>
      <c r="K490" s="25"/>
    </row>
    <row r="491" s="5" customFormat="1" ht="16.5" spans="1:11">
      <c r="A491" s="22"/>
      <c r="B491" s="23"/>
      <c r="C491" s="24"/>
      <c r="D491" s="24"/>
      <c r="E491" s="24"/>
      <c r="F491" s="24"/>
      <c r="G491" s="24"/>
      <c r="H491" s="24"/>
      <c r="I491" s="24"/>
      <c r="J491" s="24"/>
      <c r="K491" s="25"/>
    </row>
    <row r="492" s="5" customFormat="1" ht="16.5" spans="1:11">
      <c r="A492" s="22"/>
      <c r="B492" s="23"/>
      <c r="C492" s="24"/>
      <c r="D492" s="24"/>
      <c r="E492" s="24"/>
      <c r="F492" s="24"/>
      <c r="G492" s="24"/>
      <c r="H492" s="24"/>
      <c r="I492" s="24"/>
      <c r="J492" s="24"/>
      <c r="K492" s="25"/>
    </row>
    <row r="493" s="5" customFormat="1" ht="16.5" spans="1:11">
      <c r="A493" s="22"/>
      <c r="B493" s="23"/>
      <c r="C493" s="24"/>
      <c r="D493" s="24"/>
      <c r="E493" s="24"/>
      <c r="F493" s="24"/>
      <c r="G493" s="24"/>
      <c r="H493" s="24"/>
      <c r="I493" s="24"/>
      <c r="J493" s="24"/>
      <c r="K493" s="25"/>
    </row>
    <row r="494" s="5" customFormat="1" ht="16.5" spans="1:11">
      <c r="A494" s="22"/>
      <c r="B494" s="23"/>
      <c r="C494" s="24"/>
      <c r="D494" s="24"/>
      <c r="E494" s="24"/>
      <c r="F494" s="24"/>
      <c r="G494" s="24"/>
      <c r="H494" s="24"/>
      <c r="I494" s="24"/>
      <c r="J494" s="24"/>
      <c r="K494" s="25"/>
    </row>
    <row r="495" s="5" customFormat="1" ht="16.5" spans="1:11">
      <c r="A495" s="22"/>
      <c r="B495" s="23"/>
      <c r="C495" s="24"/>
      <c r="D495" s="24"/>
      <c r="E495" s="24"/>
      <c r="F495" s="24"/>
      <c r="G495" s="24"/>
      <c r="H495" s="24"/>
      <c r="I495" s="24"/>
      <c r="J495" s="24"/>
      <c r="K495" s="25"/>
    </row>
    <row r="496" s="5" customFormat="1" ht="16.5" spans="1:11">
      <c r="A496" s="22"/>
      <c r="B496" s="23"/>
      <c r="C496" s="24"/>
      <c r="D496" s="24"/>
      <c r="E496" s="24"/>
      <c r="F496" s="24"/>
      <c r="G496" s="24"/>
      <c r="H496" s="24"/>
      <c r="I496" s="24"/>
      <c r="J496" s="24"/>
      <c r="K496" s="25"/>
    </row>
    <row r="497" s="5" customFormat="1" ht="16.5" spans="1:11">
      <c r="A497" s="22"/>
      <c r="B497" s="23"/>
      <c r="C497" s="24"/>
      <c r="D497" s="24"/>
      <c r="E497" s="24"/>
      <c r="F497" s="24"/>
      <c r="G497" s="24"/>
      <c r="H497" s="24"/>
      <c r="I497" s="24"/>
      <c r="J497" s="24"/>
      <c r="K497" s="25"/>
    </row>
    <row r="498" s="5" customFormat="1" ht="16.5" spans="1:11">
      <c r="A498" s="22"/>
      <c r="B498" s="23"/>
      <c r="C498" s="24"/>
      <c r="D498" s="24"/>
      <c r="E498" s="24"/>
      <c r="F498" s="24"/>
      <c r="G498" s="24"/>
      <c r="H498" s="24"/>
      <c r="I498" s="24"/>
      <c r="J498" s="24"/>
      <c r="K498" s="25"/>
    </row>
    <row r="499" s="5" customFormat="1" ht="16.5" spans="1:11">
      <c r="A499" s="22"/>
      <c r="B499" s="23"/>
      <c r="C499" s="24"/>
      <c r="D499" s="24"/>
      <c r="E499" s="24"/>
      <c r="F499" s="24"/>
      <c r="G499" s="24"/>
      <c r="H499" s="24"/>
      <c r="I499" s="24"/>
      <c r="J499" s="24"/>
      <c r="K499" s="25"/>
    </row>
    <row r="500" s="5" customFormat="1" ht="16.5" spans="1:11">
      <c r="A500" s="22"/>
      <c r="B500" s="23"/>
      <c r="C500" s="24"/>
      <c r="D500" s="24"/>
      <c r="E500" s="24"/>
      <c r="F500" s="24"/>
      <c r="G500" s="24"/>
      <c r="H500" s="24"/>
      <c r="I500" s="24"/>
      <c r="J500" s="24"/>
      <c r="K500" s="25"/>
    </row>
    <row r="501" s="5" customFormat="1" ht="16.5" spans="1:11">
      <c r="A501" s="22"/>
      <c r="B501" s="23"/>
      <c r="C501" s="24"/>
      <c r="D501" s="24"/>
      <c r="E501" s="24"/>
      <c r="F501" s="24"/>
      <c r="G501" s="24"/>
      <c r="H501" s="24"/>
      <c r="I501" s="24"/>
      <c r="J501" s="24"/>
      <c r="K501" s="25"/>
    </row>
    <row r="502" s="5" customFormat="1" ht="16.5" spans="1:11">
      <c r="A502" s="22"/>
      <c r="B502" s="23"/>
      <c r="C502" s="24"/>
      <c r="D502" s="24"/>
      <c r="E502" s="24"/>
      <c r="F502" s="24"/>
      <c r="G502" s="24"/>
      <c r="H502" s="24"/>
      <c r="I502" s="24"/>
      <c r="J502" s="24"/>
      <c r="K502" s="25"/>
    </row>
    <row r="503" s="5" customFormat="1" ht="16.5" spans="1:11">
      <c r="A503" s="22"/>
      <c r="B503" s="23"/>
      <c r="C503" s="24"/>
      <c r="D503" s="24"/>
      <c r="E503" s="24"/>
      <c r="F503" s="24"/>
      <c r="G503" s="24"/>
      <c r="H503" s="24"/>
      <c r="I503" s="24"/>
      <c r="J503" s="24"/>
      <c r="K503" s="25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3"/>
  <sheetViews>
    <sheetView showGridLines="0" workbookViewId="0">
      <pane ySplit="3" topLeftCell="A4" activePane="bottomLeft" state="frozen"/>
      <selection/>
      <selection pane="bottomLeft" activeCell="F22" sqref="F22"/>
    </sheetView>
  </sheetViews>
  <sheetFormatPr defaultColWidth="9" defaultRowHeight="13.5"/>
  <cols>
    <col min="1" max="1" width="8" customWidth="1"/>
    <col min="2" max="2" width="12" style="6" customWidth="1"/>
    <col min="3" max="3" width="18" style="7" customWidth="1"/>
    <col min="4" max="4" width="14" style="8" customWidth="1"/>
    <col min="5" max="5" width="20" style="7" customWidth="1"/>
    <col min="6" max="6" width="18" style="8" customWidth="1"/>
    <col min="7" max="8" width="12" style="7" customWidth="1"/>
    <col min="9" max="9" width="16" style="7" customWidth="1"/>
    <col min="10" max="10" width="12" style="8" customWidth="1"/>
    <col min="11" max="11" width="7.375" style="9" customWidth="1"/>
    <col min="12" max="16373" width="10" style="5" customWidth="1"/>
    <col min="16374" max="16374" width="10" style="5"/>
    <col min="16375" max="16378" width="9" style="5"/>
    <col min="16379" max="16379" width="10" style="5"/>
    <col min="16380" max="16384" width="9" style="5"/>
  </cols>
  <sheetData>
    <row r="1" s="5" customFormat="1" ht="28" customHeight="1" spans="1:11">
      <c r="A1" s="10" t="s">
        <v>309</v>
      </c>
      <c r="B1" s="11"/>
      <c r="C1" s="12"/>
      <c r="D1" s="12"/>
      <c r="E1" s="12"/>
      <c r="F1" s="12"/>
      <c r="G1" s="12"/>
      <c r="H1" s="12"/>
      <c r="I1" s="12"/>
      <c r="J1" s="12"/>
      <c r="K1" s="13"/>
    </row>
    <row r="2" s="5" customFormat="1" ht="24" customHeight="1" spans="1:11">
      <c r="A2" s="14" t="s">
        <v>295</v>
      </c>
      <c r="B2" s="15" t="s">
        <v>110</v>
      </c>
      <c r="C2" s="16" t="s">
        <v>100</v>
      </c>
      <c r="D2" s="17">
        <f>IFERROR(VLOOKUP($B$2,数据录入!$C$5:$H$18,6,0),0)</f>
        <v>0</v>
      </c>
      <c r="E2" s="16" t="s">
        <v>296</v>
      </c>
      <c r="F2" s="17">
        <f>SUMIFS(数据录入!$F$19:$F$10000,数据录入!$C$19:$C$10000,$B$2)</f>
        <v>0</v>
      </c>
      <c r="G2" s="16" t="s">
        <v>297</v>
      </c>
      <c r="H2" s="17">
        <f>SUMIFS(数据录入!$G$19:$G$10000,数据录入!$C$19:$C$10000,$B$2)</f>
        <v>0</v>
      </c>
      <c r="I2" s="16" t="s">
        <v>298</v>
      </c>
      <c r="J2" s="17">
        <f>D2+F2-H2</f>
        <v>0</v>
      </c>
      <c r="K2" s="18"/>
    </row>
    <row r="3" s="5" customFormat="1" ht="24" customHeight="1" spans="1:11">
      <c r="A3" s="19" t="s">
        <v>92</v>
      </c>
      <c r="B3" s="19" t="s">
        <v>93</v>
      </c>
      <c r="C3" s="19" t="s">
        <v>94</v>
      </c>
      <c r="D3" s="19" t="s">
        <v>38</v>
      </c>
      <c r="E3" s="19" t="s">
        <v>95</v>
      </c>
      <c r="F3" s="19" t="s">
        <v>96</v>
      </c>
      <c r="G3" s="19" t="s">
        <v>97</v>
      </c>
      <c r="H3" s="19" t="s">
        <v>91</v>
      </c>
      <c r="I3" s="20" t="s">
        <v>39</v>
      </c>
      <c r="J3" s="20" t="s">
        <v>41</v>
      </c>
      <c r="K3" s="21" t="s">
        <v>98</v>
      </c>
    </row>
    <row r="4" s="5" customFormat="1" ht="20" customHeight="1" spans="1:11">
      <c r="A4" s="22" vm="1" t="e" cm="1">
        <f t="array" ref="A4">_xlfn._xlws.FILTER(数据录入!$A$19:$K$10000,数据录入!$C$19:$C$10000=$B$2)</f>
        <v>#VALUE!</v>
      </c>
      <c r="B4" s="23"/>
      <c r="C4" s="24"/>
      <c r="D4" s="24"/>
      <c r="E4" s="24"/>
      <c r="F4" s="24"/>
      <c r="G4" s="24"/>
      <c r="H4" s="24"/>
      <c r="I4" s="24"/>
      <c r="J4" s="24"/>
      <c r="K4" s="25"/>
    </row>
    <row r="5" s="5" customFormat="1" ht="20" customHeight="1" spans="1:11">
      <c r="A5" s="22"/>
      <c r="B5" s="23"/>
      <c r="C5" s="24"/>
      <c r="D5" s="24"/>
      <c r="E5" s="24"/>
      <c r="F5" s="24"/>
      <c r="G5" s="24"/>
      <c r="H5" s="24"/>
      <c r="I5" s="24"/>
      <c r="J5" s="24"/>
      <c r="K5" s="25"/>
    </row>
    <row r="6" s="5" customFormat="1" ht="20" customHeight="1" spans="1:11">
      <c r="A6" s="22"/>
      <c r="B6" s="23"/>
      <c r="C6" s="24"/>
      <c r="D6" s="24"/>
      <c r="E6" s="24"/>
      <c r="F6" s="24"/>
      <c r="G6" s="24"/>
      <c r="H6" s="24"/>
      <c r="I6" s="24"/>
      <c r="J6" s="24"/>
      <c r="K6" s="25"/>
    </row>
    <row r="7" s="5" customFormat="1" ht="20" customHeight="1" spans="1:11">
      <c r="A7" s="22"/>
      <c r="B7" s="23"/>
      <c r="C7" s="24"/>
      <c r="D7" s="24"/>
      <c r="E7" s="24"/>
      <c r="F7" s="24"/>
      <c r="G7" s="24"/>
      <c r="H7" s="24"/>
      <c r="I7" s="24"/>
      <c r="J7" s="24"/>
      <c r="K7" s="25"/>
    </row>
    <row r="8" s="5" customFormat="1" ht="20" customHeight="1" spans="1:11">
      <c r="A8" s="22"/>
      <c r="B8" s="23"/>
      <c r="C8" s="24"/>
      <c r="D8" s="24"/>
      <c r="E8" s="24"/>
      <c r="F8" s="24"/>
      <c r="G8" s="24"/>
      <c r="H8" s="24"/>
      <c r="I8" s="24"/>
      <c r="J8" s="24"/>
      <c r="K8" s="25"/>
    </row>
    <row r="9" s="5" customFormat="1" ht="20" customHeight="1" spans="1:11">
      <c r="A9" s="22"/>
      <c r="B9" s="23"/>
      <c r="C9" s="24"/>
      <c r="D9" s="24"/>
      <c r="E9" s="24"/>
      <c r="F9" s="24"/>
      <c r="G9" s="24"/>
      <c r="H9" s="24"/>
      <c r="I9" s="24"/>
      <c r="J9" s="24"/>
      <c r="K9" s="25"/>
    </row>
    <row r="10" s="5" customFormat="1" ht="20" customHeight="1" spans="1:11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5"/>
    </row>
    <row r="11" s="5" customFormat="1" ht="20" customHeight="1" spans="1:11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5"/>
    </row>
    <row r="12" s="5" customFormat="1" ht="20" customHeight="1" spans="1:11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5"/>
    </row>
    <row r="13" s="5" customFormat="1" ht="20" customHeight="1" spans="1:11">
      <c r="A13" s="22"/>
      <c r="B13" s="23"/>
      <c r="C13" s="24"/>
      <c r="D13" s="24"/>
      <c r="E13" s="24"/>
      <c r="F13" s="24"/>
      <c r="G13" s="24"/>
      <c r="H13" s="24"/>
      <c r="I13" s="24"/>
      <c r="J13" s="24"/>
      <c r="K13" s="25"/>
    </row>
    <row r="14" s="5" customFormat="1" ht="20" customHeight="1" spans="1:1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5"/>
    </row>
    <row r="15" s="5" customFormat="1" ht="20" customHeight="1" spans="1:11">
      <c r="A15" s="22"/>
      <c r="B15" s="23"/>
      <c r="C15" s="24"/>
      <c r="D15" s="24"/>
      <c r="E15" s="24"/>
      <c r="F15" s="24"/>
      <c r="G15" s="24"/>
      <c r="H15" s="24"/>
      <c r="I15" s="24"/>
      <c r="J15" s="24"/>
      <c r="K15" s="25"/>
    </row>
    <row r="16" s="5" customFormat="1" ht="20" customHeight="1" spans="1:11">
      <c r="A16" s="22"/>
      <c r="B16" s="23"/>
      <c r="C16" s="24"/>
      <c r="D16" s="24"/>
      <c r="E16" s="24"/>
      <c r="F16" s="24"/>
      <c r="G16" s="24"/>
      <c r="H16" s="24"/>
      <c r="I16" s="24"/>
      <c r="J16" s="24"/>
      <c r="K16" s="25"/>
    </row>
    <row r="17" s="5" customFormat="1" ht="20" customHeight="1" spans="1:11">
      <c r="A17" s="22"/>
      <c r="B17" s="23"/>
      <c r="C17" s="24"/>
      <c r="D17" s="24"/>
      <c r="E17" s="24"/>
      <c r="F17" s="24"/>
      <c r="G17" s="24"/>
      <c r="H17" s="24"/>
      <c r="I17" s="24"/>
      <c r="J17" s="24"/>
      <c r="K17" s="25"/>
    </row>
    <row r="18" s="5" customFormat="1" ht="20" customHeight="1" spans="1:11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5"/>
    </row>
    <row r="19" s="5" customFormat="1" ht="20" customHeight="1" spans="1:11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25"/>
    </row>
    <row r="20" s="5" customFormat="1" ht="20" customHeight="1" spans="1:11">
      <c r="A20" s="22"/>
      <c r="B20" s="23"/>
      <c r="C20" s="24"/>
      <c r="D20" s="24"/>
      <c r="E20" s="24"/>
      <c r="F20" s="24"/>
      <c r="G20" s="24"/>
      <c r="H20" s="24"/>
      <c r="I20" s="24"/>
      <c r="J20" s="24"/>
      <c r="K20" s="25"/>
    </row>
    <row r="21" s="5" customFormat="1" ht="20" customHeight="1" spans="1:11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5"/>
    </row>
    <row r="22" s="5" customFormat="1" ht="20" customHeight="1" spans="1:11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5"/>
    </row>
    <row r="23" s="5" customFormat="1" ht="20" customHeight="1" spans="1:11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5"/>
    </row>
    <row r="24" s="5" customFormat="1" ht="20" customHeight="1" spans="1:11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5"/>
    </row>
    <row r="25" s="5" customFormat="1" ht="20" customHeight="1" spans="1:11">
      <c r="A25" s="22"/>
      <c r="B25" s="23"/>
      <c r="C25" s="24"/>
      <c r="D25" s="24"/>
      <c r="E25" s="24"/>
      <c r="F25" s="24"/>
      <c r="G25" s="24"/>
      <c r="H25" s="24"/>
      <c r="I25" s="24"/>
      <c r="J25" s="24"/>
      <c r="K25" s="25"/>
    </row>
    <row r="26" s="5" customFormat="1" ht="20" customHeight="1" spans="1:11">
      <c r="A26" s="22"/>
      <c r="B26" s="23"/>
      <c r="C26" s="24"/>
      <c r="D26" s="24"/>
      <c r="E26" s="24"/>
      <c r="F26" s="24"/>
      <c r="G26" s="24"/>
      <c r="H26" s="24"/>
      <c r="I26" s="24"/>
      <c r="J26" s="24"/>
      <c r="K26" s="25"/>
    </row>
    <row r="27" s="5" customFormat="1" ht="20" customHeight="1" spans="1:11">
      <c r="A27" s="22"/>
      <c r="B27" s="23"/>
      <c r="C27" s="24"/>
      <c r="D27" s="24"/>
      <c r="E27" s="24"/>
      <c r="F27" s="24"/>
      <c r="G27" s="24"/>
      <c r="H27" s="24"/>
      <c r="I27" s="24"/>
      <c r="J27" s="24"/>
      <c r="K27" s="25"/>
    </row>
    <row r="28" s="5" customFormat="1" ht="20" customHeight="1" spans="1:1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5"/>
    </row>
    <row r="29" s="5" customFormat="1" ht="20" customHeight="1" spans="1:11">
      <c r="A29" s="22"/>
      <c r="B29" s="23"/>
      <c r="C29" s="24"/>
      <c r="D29" s="24"/>
      <c r="E29" s="24"/>
      <c r="F29" s="24"/>
      <c r="G29" s="24"/>
      <c r="H29" s="24"/>
      <c r="I29" s="24"/>
      <c r="J29" s="24"/>
      <c r="K29" s="25"/>
    </row>
    <row r="30" s="5" customFormat="1" ht="20" customHeight="1" spans="1:11">
      <c r="A30" s="22"/>
      <c r="B30" s="23"/>
      <c r="C30" s="24"/>
      <c r="D30" s="24"/>
      <c r="E30" s="24"/>
      <c r="F30" s="24"/>
      <c r="G30" s="24"/>
      <c r="H30" s="24"/>
      <c r="I30" s="24"/>
      <c r="J30" s="24"/>
      <c r="K30" s="25"/>
    </row>
    <row r="31" s="5" customFormat="1" ht="20" customHeight="1" spans="1:11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5"/>
    </row>
    <row r="32" s="5" customFormat="1" ht="20" customHeight="1" spans="1:11">
      <c r="A32" s="22"/>
      <c r="B32" s="23"/>
      <c r="C32" s="24"/>
      <c r="D32" s="24"/>
      <c r="E32" s="24"/>
      <c r="F32" s="24"/>
      <c r="G32" s="24"/>
      <c r="H32" s="24"/>
      <c r="I32" s="24"/>
      <c r="J32" s="24"/>
      <c r="K32" s="25"/>
    </row>
    <row r="33" s="5" customFormat="1" ht="20" customHeight="1" spans="1:11">
      <c r="A33" s="22"/>
      <c r="B33" s="23"/>
      <c r="C33" s="24"/>
      <c r="D33" s="24"/>
      <c r="E33" s="24"/>
      <c r="F33" s="24"/>
      <c r="G33" s="24"/>
      <c r="H33" s="24"/>
      <c r="I33" s="24"/>
      <c r="J33" s="24"/>
      <c r="K33" s="25"/>
    </row>
    <row r="34" s="5" customFormat="1" ht="20" customHeight="1" spans="1:11">
      <c r="A34" s="22"/>
      <c r="B34" s="23"/>
      <c r="C34" s="24"/>
      <c r="D34" s="24"/>
      <c r="E34" s="24"/>
      <c r="F34" s="24"/>
      <c r="G34" s="24"/>
      <c r="H34" s="24"/>
      <c r="I34" s="24"/>
      <c r="J34" s="24"/>
      <c r="K34" s="25"/>
    </row>
    <row r="35" s="5" customFormat="1" ht="20" customHeight="1" spans="1:11">
      <c r="A35" s="22"/>
      <c r="B35" s="23"/>
      <c r="C35" s="24"/>
      <c r="D35" s="24"/>
      <c r="E35" s="24"/>
      <c r="F35" s="24"/>
      <c r="G35" s="24"/>
      <c r="H35" s="24"/>
      <c r="I35" s="24"/>
      <c r="J35" s="24"/>
      <c r="K35" s="25"/>
    </row>
    <row r="36" s="5" customFormat="1" ht="20" customHeight="1" spans="1:11">
      <c r="A36" s="22"/>
      <c r="B36" s="23"/>
      <c r="C36" s="24"/>
      <c r="D36" s="24"/>
      <c r="E36" s="24"/>
      <c r="F36" s="24"/>
      <c r="G36" s="24"/>
      <c r="H36" s="24"/>
      <c r="I36" s="24"/>
      <c r="J36" s="24"/>
      <c r="K36" s="25"/>
    </row>
    <row r="37" s="5" customFormat="1" ht="20" customHeight="1" spans="1:11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5"/>
    </row>
    <row r="38" s="5" customFormat="1" ht="20" customHeight="1" spans="1:11">
      <c r="A38" s="22"/>
      <c r="B38" s="23"/>
      <c r="C38" s="24"/>
      <c r="D38" s="24"/>
      <c r="E38" s="24"/>
      <c r="F38" s="24"/>
      <c r="G38" s="24"/>
      <c r="H38" s="24"/>
      <c r="I38" s="24"/>
      <c r="J38" s="24"/>
      <c r="K38" s="25"/>
    </row>
    <row r="39" s="5" customFormat="1" ht="20" customHeight="1" spans="1:11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5"/>
    </row>
    <row r="40" s="5" customFormat="1" ht="20" customHeight="1" spans="1:11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5"/>
    </row>
    <row r="41" s="5" customFormat="1" ht="20" customHeight="1" spans="1:11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5"/>
    </row>
    <row r="42" s="5" customFormat="1" ht="20" customHeight="1" spans="1:11">
      <c r="A42" s="22"/>
      <c r="B42" s="23"/>
      <c r="C42" s="24"/>
      <c r="D42" s="24"/>
      <c r="E42" s="24"/>
      <c r="F42" s="24"/>
      <c r="G42" s="24"/>
      <c r="H42" s="24"/>
      <c r="I42" s="24"/>
      <c r="J42" s="24"/>
      <c r="K42" s="25"/>
    </row>
    <row r="43" s="5" customFormat="1" ht="20" customHeight="1" spans="1:1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5"/>
    </row>
    <row r="44" s="5" customFormat="1" ht="20" customHeight="1" spans="1:11">
      <c r="A44" s="22"/>
      <c r="B44" s="23"/>
      <c r="C44" s="24"/>
      <c r="D44" s="24"/>
      <c r="E44" s="24"/>
      <c r="F44" s="24"/>
      <c r="G44" s="24"/>
      <c r="H44" s="24"/>
      <c r="I44" s="24"/>
      <c r="J44" s="24"/>
      <c r="K44" s="25"/>
    </row>
    <row r="45" s="5" customFormat="1" ht="20" customHeight="1" spans="1:11">
      <c r="A45" s="22"/>
      <c r="B45" s="23"/>
      <c r="C45" s="24"/>
      <c r="D45" s="24"/>
      <c r="E45" s="24"/>
      <c r="F45" s="24"/>
      <c r="G45" s="24"/>
      <c r="H45" s="24"/>
      <c r="I45" s="24"/>
      <c r="J45" s="24"/>
      <c r="K45" s="25"/>
    </row>
    <row r="46" s="5" customFormat="1" ht="20" customHeight="1" spans="1:11">
      <c r="A46" s="22"/>
      <c r="B46" s="23"/>
      <c r="C46" s="24"/>
      <c r="D46" s="24"/>
      <c r="E46" s="24"/>
      <c r="F46" s="24"/>
      <c r="G46" s="24"/>
      <c r="H46" s="24"/>
      <c r="I46" s="24"/>
      <c r="J46" s="24"/>
      <c r="K46" s="25"/>
    </row>
    <row r="47" s="5" customFormat="1" ht="20" customHeight="1" spans="1:11">
      <c r="A47" s="22"/>
      <c r="B47" s="23"/>
      <c r="C47" s="24"/>
      <c r="D47" s="24"/>
      <c r="E47" s="24"/>
      <c r="F47" s="24"/>
      <c r="G47" s="24"/>
      <c r="H47" s="24"/>
      <c r="I47" s="24"/>
      <c r="J47" s="24"/>
      <c r="K47" s="25"/>
    </row>
    <row r="48" s="5" customFormat="1" ht="20" customHeight="1" spans="1:11">
      <c r="A48" s="22"/>
      <c r="B48" s="23"/>
      <c r="C48" s="24"/>
      <c r="D48" s="24"/>
      <c r="E48" s="24"/>
      <c r="F48" s="24"/>
      <c r="G48" s="24"/>
      <c r="H48" s="24"/>
      <c r="I48" s="24"/>
      <c r="J48" s="24"/>
      <c r="K48" s="25"/>
    </row>
    <row r="49" s="5" customFormat="1" ht="20" customHeight="1" spans="1:11">
      <c r="A49" s="22"/>
      <c r="B49" s="23"/>
      <c r="C49" s="24"/>
      <c r="D49" s="24"/>
      <c r="E49" s="24"/>
      <c r="F49" s="24"/>
      <c r="G49" s="24"/>
      <c r="H49" s="24"/>
      <c r="I49" s="24"/>
      <c r="J49" s="24"/>
      <c r="K49" s="25"/>
    </row>
    <row r="50" s="5" customFormat="1" ht="20" customHeight="1" spans="1:11">
      <c r="A50" s="22"/>
      <c r="B50" s="23"/>
      <c r="C50" s="24"/>
      <c r="D50" s="24"/>
      <c r="E50" s="24"/>
      <c r="F50" s="24"/>
      <c r="G50" s="24"/>
      <c r="H50" s="24"/>
      <c r="I50" s="24"/>
      <c r="J50" s="24"/>
      <c r="K50" s="25"/>
    </row>
    <row r="51" s="5" customFormat="1" ht="20" customHeight="1" spans="1:11">
      <c r="A51" s="22"/>
      <c r="B51" s="23"/>
      <c r="C51" s="24"/>
      <c r="D51" s="24"/>
      <c r="E51" s="24"/>
      <c r="F51" s="24"/>
      <c r="G51" s="24"/>
      <c r="H51" s="24"/>
      <c r="I51" s="24"/>
      <c r="J51" s="24"/>
      <c r="K51" s="25"/>
    </row>
    <row r="52" s="5" customFormat="1" ht="20" customHeight="1" spans="1:11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5"/>
    </row>
    <row r="53" s="5" customFormat="1" ht="20" customHeight="1" spans="1:11">
      <c r="A53" s="22"/>
      <c r="B53" s="23"/>
      <c r="C53" s="24"/>
      <c r="D53" s="24"/>
      <c r="E53" s="24"/>
      <c r="F53" s="24"/>
      <c r="G53" s="24"/>
      <c r="H53" s="24"/>
      <c r="I53" s="24"/>
      <c r="J53" s="24"/>
      <c r="K53" s="25"/>
    </row>
    <row r="54" s="5" customFormat="1" ht="20" customHeight="1" spans="1:11">
      <c r="A54" s="22"/>
      <c r="B54" s="23"/>
      <c r="C54" s="24"/>
      <c r="D54" s="24"/>
      <c r="E54" s="24"/>
      <c r="F54" s="24"/>
      <c r="G54" s="24"/>
      <c r="H54" s="24"/>
      <c r="I54" s="24"/>
      <c r="J54" s="24"/>
      <c r="K54" s="25"/>
    </row>
    <row r="55" s="5" customFormat="1" ht="20" customHeight="1" spans="1:11">
      <c r="A55" s="22"/>
      <c r="B55" s="23"/>
      <c r="C55" s="24"/>
      <c r="D55" s="24"/>
      <c r="E55" s="24"/>
      <c r="F55" s="24"/>
      <c r="G55" s="24"/>
      <c r="H55" s="24"/>
      <c r="I55" s="24"/>
      <c r="J55" s="24"/>
      <c r="K55" s="25"/>
    </row>
    <row r="56" s="5" customFormat="1" ht="20" customHeight="1" spans="1:11">
      <c r="A56" s="22"/>
      <c r="B56" s="23"/>
      <c r="C56" s="24"/>
      <c r="D56" s="24"/>
      <c r="E56" s="24"/>
      <c r="F56" s="24"/>
      <c r="G56" s="24"/>
      <c r="H56" s="24"/>
      <c r="I56" s="24"/>
      <c r="J56" s="24"/>
      <c r="K56" s="25"/>
    </row>
    <row r="57" s="5" customFormat="1" ht="20" customHeight="1" spans="1:11">
      <c r="A57" s="22"/>
      <c r="B57" s="23"/>
      <c r="C57" s="24"/>
      <c r="D57" s="24"/>
      <c r="E57" s="24"/>
      <c r="F57" s="24"/>
      <c r="G57" s="24"/>
      <c r="H57" s="24"/>
      <c r="I57" s="24"/>
      <c r="J57" s="24"/>
      <c r="K57" s="25"/>
    </row>
    <row r="58" s="5" customFormat="1" ht="20" customHeight="1" spans="1:11">
      <c r="A58" s="22"/>
      <c r="B58" s="23"/>
      <c r="C58" s="24"/>
      <c r="D58" s="24"/>
      <c r="E58" s="24"/>
      <c r="F58" s="24"/>
      <c r="G58" s="24"/>
      <c r="H58" s="24"/>
      <c r="I58" s="24"/>
      <c r="J58" s="24"/>
      <c r="K58" s="25"/>
    </row>
    <row r="59" s="5" customFormat="1" ht="20" customHeight="1" spans="1:11">
      <c r="A59" s="22"/>
      <c r="B59" s="23"/>
      <c r="C59" s="24"/>
      <c r="D59" s="24"/>
      <c r="E59" s="24"/>
      <c r="F59" s="24"/>
      <c r="G59" s="24"/>
      <c r="H59" s="24"/>
      <c r="I59" s="24"/>
      <c r="J59" s="24"/>
      <c r="K59" s="25"/>
    </row>
    <row r="60" s="5" customFormat="1" ht="20" customHeight="1" spans="1:11">
      <c r="A60" s="22"/>
      <c r="B60" s="23"/>
      <c r="C60" s="24"/>
      <c r="D60" s="24"/>
      <c r="E60" s="24"/>
      <c r="F60" s="24"/>
      <c r="G60" s="24"/>
      <c r="H60" s="24"/>
      <c r="I60" s="24"/>
      <c r="J60" s="24"/>
      <c r="K60" s="25"/>
    </row>
    <row r="61" s="5" customFormat="1" ht="20" customHeight="1" spans="1:11">
      <c r="A61" s="22"/>
      <c r="B61" s="23"/>
      <c r="C61" s="24"/>
      <c r="D61" s="24"/>
      <c r="E61" s="24"/>
      <c r="F61" s="24"/>
      <c r="G61" s="24"/>
      <c r="H61" s="24"/>
      <c r="I61" s="24"/>
      <c r="J61" s="24"/>
      <c r="K61" s="25"/>
    </row>
    <row r="62" s="5" customFormat="1" ht="20" customHeight="1" spans="1:11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5"/>
    </row>
    <row r="63" s="5" customFormat="1" ht="20" customHeight="1" spans="1:1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5"/>
    </row>
    <row r="64" s="5" customFormat="1" ht="20" customHeight="1" spans="1:11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5"/>
    </row>
    <row r="65" s="5" customFormat="1" ht="20" customHeight="1" spans="1:11">
      <c r="A65" s="22"/>
      <c r="B65" s="23"/>
      <c r="C65" s="24"/>
      <c r="D65" s="24"/>
      <c r="E65" s="24"/>
      <c r="F65" s="24"/>
      <c r="G65" s="24"/>
      <c r="H65" s="24"/>
      <c r="I65" s="24"/>
      <c r="J65" s="24"/>
      <c r="K65" s="25"/>
    </row>
    <row r="66" s="5" customFormat="1" ht="20" customHeight="1" spans="1:11">
      <c r="A66" s="22"/>
      <c r="B66" s="23"/>
      <c r="C66" s="24"/>
      <c r="D66" s="24"/>
      <c r="E66" s="24"/>
      <c r="F66" s="24"/>
      <c r="G66" s="24"/>
      <c r="H66" s="24"/>
      <c r="I66" s="24"/>
      <c r="J66" s="24"/>
      <c r="K66" s="25"/>
    </row>
    <row r="67" s="5" customFormat="1" ht="20" customHeight="1" spans="1:11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5"/>
    </row>
    <row r="68" s="5" customFormat="1" ht="20" customHeight="1" spans="1:11">
      <c r="A68" s="22"/>
      <c r="B68" s="23"/>
      <c r="C68" s="24"/>
      <c r="D68" s="24"/>
      <c r="E68" s="24"/>
      <c r="F68" s="24"/>
      <c r="G68" s="24"/>
      <c r="H68" s="24"/>
      <c r="I68" s="24"/>
      <c r="J68" s="24"/>
      <c r="K68" s="25"/>
    </row>
    <row r="69" s="5" customFormat="1" ht="20" customHeight="1" spans="1:11">
      <c r="A69" s="22"/>
      <c r="B69" s="23"/>
      <c r="C69" s="24"/>
      <c r="D69" s="24"/>
      <c r="E69" s="24"/>
      <c r="F69" s="24"/>
      <c r="G69" s="24"/>
      <c r="H69" s="24"/>
      <c r="I69" s="24"/>
      <c r="J69" s="24"/>
      <c r="K69" s="25"/>
    </row>
    <row r="70" s="5" customFormat="1" ht="20" customHeight="1" spans="1:11">
      <c r="A70" s="22"/>
      <c r="B70" s="23"/>
      <c r="C70" s="24"/>
      <c r="D70" s="24"/>
      <c r="E70" s="24"/>
      <c r="F70" s="24"/>
      <c r="G70" s="24"/>
      <c r="H70" s="24"/>
      <c r="I70" s="24"/>
      <c r="J70" s="24"/>
      <c r="K70" s="25"/>
    </row>
    <row r="71" s="5" customFormat="1" ht="20" customHeight="1" spans="1:11">
      <c r="A71" s="22"/>
      <c r="B71" s="23"/>
      <c r="C71" s="24"/>
      <c r="D71" s="24"/>
      <c r="E71" s="24"/>
      <c r="F71" s="24"/>
      <c r="G71" s="24"/>
      <c r="H71" s="24"/>
      <c r="I71" s="24"/>
      <c r="J71" s="24"/>
      <c r="K71" s="25"/>
    </row>
    <row r="72" s="5" customFormat="1" ht="20" customHeight="1" spans="1:11">
      <c r="A72" s="22"/>
      <c r="B72" s="23"/>
      <c r="C72" s="24"/>
      <c r="D72" s="24"/>
      <c r="E72" s="24"/>
      <c r="F72" s="24"/>
      <c r="G72" s="24"/>
      <c r="H72" s="24"/>
      <c r="I72" s="24"/>
      <c r="J72" s="24"/>
      <c r="K72" s="25"/>
    </row>
    <row r="73" s="5" customFormat="1" ht="20" customHeight="1" spans="1:11">
      <c r="A73" s="22"/>
      <c r="B73" s="23"/>
      <c r="C73" s="24"/>
      <c r="D73" s="24"/>
      <c r="E73" s="24"/>
      <c r="F73" s="24"/>
      <c r="G73" s="24"/>
      <c r="H73" s="24"/>
      <c r="I73" s="24"/>
      <c r="J73" s="24"/>
      <c r="K73" s="25"/>
    </row>
    <row r="74" s="5" customFormat="1" ht="20" customHeight="1" spans="1:11">
      <c r="A74" s="22"/>
      <c r="B74" s="23"/>
      <c r="C74" s="24"/>
      <c r="D74" s="24"/>
      <c r="E74" s="24"/>
      <c r="F74" s="24"/>
      <c r="G74" s="24"/>
      <c r="H74" s="24"/>
      <c r="I74" s="24"/>
      <c r="J74" s="24"/>
      <c r="K74" s="25"/>
    </row>
    <row r="75" s="5" customFormat="1" ht="20" customHeight="1" spans="1:11">
      <c r="A75" s="22"/>
      <c r="B75" s="23"/>
      <c r="C75" s="24"/>
      <c r="D75" s="24"/>
      <c r="E75" s="24"/>
      <c r="F75" s="24"/>
      <c r="G75" s="24"/>
      <c r="H75" s="24"/>
      <c r="I75" s="24"/>
      <c r="J75" s="24"/>
      <c r="K75" s="25"/>
    </row>
    <row r="76" s="5" customFormat="1" ht="20" customHeight="1" spans="1:11">
      <c r="A76" s="22"/>
      <c r="B76" s="23"/>
      <c r="C76" s="24"/>
      <c r="D76" s="24"/>
      <c r="E76" s="24"/>
      <c r="F76" s="24"/>
      <c r="G76" s="24"/>
      <c r="H76" s="24"/>
      <c r="I76" s="24"/>
      <c r="J76" s="24"/>
      <c r="K76" s="25"/>
    </row>
    <row r="77" s="5" customFormat="1" ht="20" customHeight="1" spans="1:11">
      <c r="A77" s="22"/>
      <c r="B77" s="23"/>
      <c r="C77" s="24"/>
      <c r="D77" s="24"/>
      <c r="E77" s="24"/>
      <c r="F77" s="24"/>
      <c r="G77" s="24"/>
      <c r="H77" s="24"/>
      <c r="I77" s="24"/>
      <c r="J77" s="24"/>
      <c r="K77" s="25"/>
    </row>
    <row r="78" s="5" customFormat="1" ht="20" customHeight="1" spans="1:11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5"/>
    </row>
    <row r="79" s="5" customFormat="1" ht="20" customHeight="1" spans="1:11">
      <c r="A79" s="22"/>
      <c r="B79" s="23"/>
      <c r="C79" s="24"/>
      <c r="D79" s="24"/>
      <c r="E79" s="24"/>
      <c r="F79" s="24"/>
      <c r="G79" s="24"/>
      <c r="H79" s="24"/>
      <c r="I79" s="24"/>
      <c r="J79" s="24"/>
      <c r="K79" s="25"/>
    </row>
    <row r="80" s="5" customFormat="1" ht="20" customHeight="1" spans="1:11">
      <c r="A80" s="22"/>
      <c r="B80" s="23"/>
      <c r="C80" s="24"/>
      <c r="D80" s="24"/>
      <c r="E80" s="24"/>
      <c r="F80" s="24"/>
      <c r="G80" s="24"/>
      <c r="H80" s="24"/>
      <c r="I80" s="24"/>
      <c r="J80" s="24"/>
      <c r="K80" s="25"/>
    </row>
    <row r="81" s="5" customFormat="1" ht="20" customHeight="1" spans="1:11">
      <c r="A81" s="22"/>
      <c r="B81" s="23"/>
      <c r="C81" s="24"/>
      <c r="D81" s="24"/>
      <c r="E81" s="24"/>
      <c r="F81" s="24"/>
      <c r="G81" s="24"/>
      <c r="H81" s="24"/>
      <c r="I81" s="24"/>
      <c r="J81" s="24"/>
      <c r="K81" s="25"/>
    </row>
    <row r="82" s="5" customFormat="1" ht="20" customHeight="1" spans="1:11">
      <c r="A82" s="22"/>
      <c r="B82" s="23"/>
      <c r="C82" s="24"/>
      <c r="D82" s="24"/>
      <c r="E82" s="24"/>
      <c r="F82" s="24"/>
      <c r="G82" s="24"/>
      <c r="H82" s="24"/>
      <c r="I82" s="24"/>
      <c r="J82" s="24"/>
      <c r="K82" s="25"/>
    </row>
    <row r="83" s="5" customFormat="1" ht="20" customHeight="1" spans="1:11">
      <c r="A83" s="22"/>
      <c r="B83" s="23"/>
      <c r="C83" s="24"/>
      <c r="D83" s="24"/>
      <c r="E83" s="24"/>
      <c r="F83" s="24"/>
      <c r="G83" s="24"/>
      <c r="H83" s="24"/>
      <c r="I83" s="24"/>
      <c r="J83" s="24"/>
      <c r="K83" s="25"/>
    </row>
    <row r="84" s="5" customFormat="1" ht="20" customHeight="1" spans="1:11">
      <c r="A84" s="22"/>
      <c r="B84" s="23"/>
      <c r="C84" s="24"/>
      <c r="D84" s="24"/>
      <c r="E84" s="24"/>
      <c r="F84" s="24"/>
      <c r="G84" s="24"/>
      <c r="H84" s="24"/>
      <c r="I84" s="24"/>
      <c r="J84" s="24"/>
      <c r="K84" s="25"/>
    </row>
    <row r="85" s="5" customFormat="1" ht="20" customHeight="1" spans="1:11">
      <c r="A85" s="22"/>
      <c r="B85" s="23"/>
      <c r="C85" s="24"/>
      <c r="D85" s="24"/>
      <c r="E85" s="24"/>
      <c r="F85" s="24"/>
      <c r="G85" s="24"/>
      <c r="H85" s="24"/>
      <c r="I85" s="24"/>
      <c r="J85" s="24"/>
      <c r="K85" s="25"/>
    </row>
    <row r="86" s="5" customFormat="1" ht="20" customHeight="1" spans="1:11">
      <c r="A86" s="22"/>
      <c r="B86" s="23"/>
      <c r="C86" s="24"/>
      <c r="D86" s="24"/>
      <c r="E86" s="24"/>
      <c r="F86" s="24"/>
      <c r="G86" s="24"/>
      <c r="H86" s="24"/>
      <c r="I86" s="24"/>
      <c r="J86" s="24"/>
      <c r="K86" s="25"/>
    </row>
    <row r="87" s="5" customFormat="1" ht="20" customHeight="1" spans="1:11">
      <c r="A87" s="22"/>
      <c r="B87" s="23"/>
      <c r="C87" s="24"/>
      <c r="D87" s="24"/>
      <c r="E87" s="24"/>
      <c r="F87" s="24"/>
      <c r="G87" s="24"/>
      <c r="H87" s="24"/>
      <c r="I87" s="24"/>
      <c r="J87" s="24"/>
      <c r="K87" s="25"/>
    </row>
    <row r="88" s="5" customFormat="1" ht="20" customHeight="1" spans="1:11">
      <c r="A88" s="22"/>
      <c r="B88" s="23"/>
      <c r="C88" s="24"/>
      <c r="D88" s="24"/>
      <c r="E88" s="24"/>
      <c r="F88" s="24"/>
      <c r="G88" s="24"/>
      <c r="H88" s="24"/>
      <c r="I88" s="24"/>
      <c r="J88" s="24"/>
      <c r="K88" s="25"/>
    </row>
    <row r="89" s="5" customFormat="1" ht="20" customHeight="1" spans="1:11">
      <c r="A89" s="22"/>
      <c r="B89" s="23"/>
      <c r="C89" s="24"/>
      <c r="D89" s="24"/>
      <c r="E89" s="24"/>
      <c r="F89" s="24"/>
      <c r="G89" s="24"/>
      <c r="H89" s="24"/>
      <c r="I89" s="24"/>
      <c r="J89" s="24"/>
      <c r="K89" s="25"/>
    </row>
    <row r="90" s="5" customFormat="1" ht="20" customHeight="1" spans="1:11">
      <c r="A90" s="22"/>
      <c r="B90" s="23"/>
      <c r="C90" s="24"/>
      <c r="D90" s="24"/>
      <c r="E90" s="24"/>
      <c r="F90" s="24"/>
      <c r="G90" s="24"/>
      <c r="H90" s="24"/>
      <c r="I90" s="24"/>
      <c r="J90" s="24"/>
      <c r="K90" s="25"/>
    </row>
    <row r="91" s="5" customFormat="1" ht="20" customHeight="1" spans="1:11">
      <c r="A91" s="22"/>
      <c r="B91" s="23"/>
      <c r="C91" s="24"/>
      <c r="D91" s="24"/>
      <c r="E91" s="24"/>
      <c r="F91" s="24"/>
      <c r="G91" s="24"/>
      <c r="H91" s="24"/>
      <c r="I91" s="24"/>
      <c r="J91" s="24"/>
      <c r="K91" s="25"/>
    </row>
    <row r="92" s="5" customFormat="1" ht="20" customHeight="1" spans="1:11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5"/>
    </row>
    <row r="93" s="5" customFormat="1" ht="20" customHeight="1" spans="1:11">
      <c r="A93" s="22"/>
      <c r="B93" s="23"/>
      <c r="C93" s="24"/>
      <c r="D93" s="24"/>
      <c r="E93" s="24"/>
      <c r="F93" s="24"/>
      <c r="G93" s="24"/>
      <c r="H93" s="24"/>
      <c r="I93" s="24"/>
      <c r="J93" s="24"/>
      <c r="K93" s="25"/>
    </row>
    <row r="94" s="5" customFormat="1" ht="20" customHeight="1" spans="1:11">
      <c r="A94" s="22"/>
      <c r="B94" s="23"/>
      <c r="C94" s="24"/>
      <c r="D94" s="24"/>
      <c r="E94" s="24"/>
      <c r="F94" s="24"/>
      <c r="G94" s="24"/>
      <c r="H94" s="24"/>
      <c r="I94" s="24"/>
      <c r="J94" s="24"/>
      <c r="K94" s="25"/>
    </row>
    <row r="95" s="5" customFormat="1" ht="20" customHeight="1" spans="1:11">
      <c r="A95" s="22"/>
      <c r="B95" s="23"/>
      <c r="C95" s="24"/>
      <c r="D95" s="24"/>
      <c r="E95" s="24"/>
      <c r="F95" s="24"/>
      <c r="G95" s="24"/>
      <c r="H95" s="24"/>
      <c r="I95" s="24"/>
      <c r="J95" s="24"/>
      <c r="K95" s="25"/>
    </row>
    <row r="96" s="5" customFormat="1" ht="20" customHeight="1" spans="1:11">
      <c r="A96" s="22"/>
      <c r="B96" s="23"/>
      <c r="C96" s="24"/>
      <c r="D96" s="24"/>
      <c r="E96" s="24"/>
      <c r="F96" s="24"/>
      <c r="G96" s="24"/>
      <c r="H96" s="24"/>
      <c r="I96" s="24"/>
      <c r="J96" s="24"/>
      <c r="K96" s="25"/>
    </row>
    <row r="97" s="5" customFormat="1" ht="20" customHeight="1" spans="1:11">
      <c r="A97" s="22"/>
      <c r="B97" s="23"/>
      <c r="C97" s="24"/>
      <c r="D97" s="24"/>
      <c r="E97" s="24"/>
      <c r="F97" s="24"/>
      <c r="G97" s="24"/>
      <c r="H97" s="24"/>
      <c r="I97" s="24"/>
      <c r="J97" s="24"/>
      <c r="K97" s="25"/>
    </row>
    <row r="98" s="5" customFormat="1" ht="20" customHeight="1" spans="1:11">
      <c r="A98" s="22"/>
      <c r="B98" s="23"/>
      <c r="C98" s="24"/>
      <c r="D98" s="24"/>
      <c r="E98" s="24"/>
      <c r="F98" s="24"/>
      <c r="G98" s="24"/>
      <c r="H98" s="24"/>
      <c r="I98" s="24"/>
      <c r="J98" s="24"/>
      <c r="K98" s="25"/>
    </row>
    <row r="99" s="5" customFormat="1" ht="20" customHeight="1" spans="1:11">
      <c r="A99" s="22"/>
      <c r="B99" s="23"/>
      <c r="C99" s="24"/>
      <c r="D99" s="24"/>
      <c r="E99" s="24"/>
      <c r="F99" s="24"/>
      <c r="G99" s="24"/>
      <c r="H99" s="24"/>
      <c r="I99" s="24"/>
      <c r="J99" s="24"/>
      <c r="K99" s="25"/>
    </row>
    <row r="100" s="5" customFormat="1" ht="20" customHeight="1" spans="1:11">
      <c r="A100" s="22"/>
      <c r="B100" s="23"/>
      <c r="C100" s="24"/>
      <c r="D100" s="24"/>
      <c r="E100" s="24"/>
      <c r="F100" s="24"/>
      <c r="G100" s="24"/>
      <c r="H100" s="24"/>
      <c r="I100" s="24"/>
      <c r="J100" s="24"/>
      <c r="K100" s="25"/>
    </row>
    <row r="101" s="5" customFormat="1" ht="20" customHeight="1" spans="1:11">
      <c r="A101" s="22"/>
      <c r="B101" s="23"/>
      <c r="C101" s="24"/>
      <c r="D101" s="24"/>
      <c r="E101" s="24"/>
      <c r="F101" s="24"/>
      <c r="G101" s="24"/>
      <c r="H101" s="24"/>
      <c r="I101" s="24"/>
      <c r="J101" s="24"/>
      <c r="K101" s="25"/>
    </row>
    <row r="102" s="5" customFormat="1" ht="20" customHeight="1" spans="1:11">
      <c r="A102" s="22"/>
      <c r="B102" s="23"/>
      <c r="C102" s="24"/>
      <c r="D102" s="24"/>
      <c r="E102" s="24"/>
      <c r="F102" s="24"/>
      <c r="G102" s="24"/>
      <c r="H102" s="24"/>
      <c r="I102" s="24"/>
      <c r="J102" s="24"/>
      <c r="K102" s="25"/>
    </row>
    <row r="103" s="5" customFormat="1" ht="20" customHeight="1" spans="1:11">
      <c r="A103" s="22"/>
      <c r="B103" s="23"/>
      <c r="C103" s="24"/>
      <c r="D103" s="24"/>
      <c r="E103" s="24"/>
      <c r="F103" s="24"/>
      <c r="G103" s="24"/>
      <c r="H103" s="24"/>
      <c r="I103" s="24"/>
      <c r="J103" s="24"/>
      <c r="K103" s="25"/>
    </row>
    <row r="104" s="5" customFormat="1" ht="20" customHeight="1" spans="1:11">
      <c r="A104" s="22"/>
      <c r="B104" s="23"/>
      <c r="C104" s="24"/>
      <c r="D104" s="24"/>
      <c r="E104" s="24"/>
      <c r="F104" s="24"/>
      <c r="G104" s="24"/>
      <c r="H104" s="24"/>
      <c r="I104" s="24"/>
      <c r="J104" s="24"/>
      <c r="K104" s="25"/>
    </row>
    <row r="105" s="5" customFormat="1" ht="20" customHeight="1" spans="1:11">
      <c r="A105" s="22"/>
      <c r="B105" s="23"/>
      <c r="C105" s="24"/>
      <c r="D105" s="24"/>
      <c r="E105" s="24"/>
      <c r="F105" s="24"/>
      <c r="G105" s="24"/>
      <c r="H105" s="24"/>
      <c r="I105" s="24"/>
      <c r="J105" s="24"/>
      <c r="K105" s="25"/>
    </row>
    <row r="106" s="5" customFormat="1" ht="20" customHeight="1" spans="1:11">
      <c r="A106" s="22"/>
      <c r="B106" s="23"/>
      <c r="C106" s="24"/>
      <c r="D106" s="24"/>
      <c r="E106" s="24"/>
      <c r="F106" s="24"/>
      <c r="G106" s="24"/>
      <c r="H106" s="24"/>
      <c r="I106" s="24"/>
      <c r="J106" s="24"/>
      <c r="K106" s="25"/>
    </row>
    <row r="107" s="5" customFormat="1" ht="20" customHeight="1" spans="1:11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5"/>
    </row>
    <row r="108" s="5" customFormat="1" ht="20" customHeight="1" spans="1:11">
      <c r="A108" s="22"/>
      <c r="B108" s="23"/>
      <c r="C108" s="24"/>
      <c r="D108" s="24"/>
      <c r="E108" s="24"/>
      <c r="F108" s="24"/>
      <c r="G108" s="24"/>
      <c r="H108" s="24"/>
      <c r="I108" s="24"/>
      <c r="J108" s="24"/>
      <c r="K108" s="25"/>
    </row>
    <row r="109" s="5" customFormat="1" ht="20" customHeight="1" spans="1:11">
      <c r="A109" s="22"/>
      <c r="B109" s="23"/>
      <c r="C109" s="24"/>
      <c r="D109" s="24"/>
      <c r="E109" s="24"/>
      <c r="F109" s="24"/>
      <c r="G109" s="24"/>
      <c r="H109" s="24"/>
      <c r="I109" s="24"/>
      <c r="J109" s="24"/>
      <c r="K109" s="25"/>
    </row>
    <row r="110" s="5" customFormat="1" ht="20" customHeight="1" spans="1:11">
      <c r="A110" s="22"/>
      <c r="B110" s="23"/>
      <c r="C110" s="24"/>
      <c r="D110" s="24"/>
      <c r="E110" s="24"/>
      <c r="F110" s="24"/>
      <c r="G110" s="24"/>
      <c r="H110" s="24"/>
      <c r="I110" s="24"/>
      <c r="J110" s="24"/>
      <c r="K110" s="25"/>
    </row>
    <row r="111" s="5" customFormat="1" ht="20" customHeight="1" spans="1:11">
      <c r="A111" s="22"/>
      <c r="B111" s="23"/>
      <c r="C111" s="24"/>
      <c r="D111" s="24"/>
      <c r="E111" s="24"/>
      <c r="F111" s="24"/>
      <c r="G111" s="24"/>
      <c r="H111" s="24"/>
      <c r="I111" s="24"/>
      <c r="J111" s="24"/>
      <c r="K111" s="25"/>
    </row>
    <row r="112" s="5" customFormat="1" ht="20" customHeight="1" spans="1:11">
      <c r="A112" s="22"/>
      <c r="B112" s="23"/>
      <c r="C112" s="24"/>
      <c r="D112" s="24"/>
      <c r="E112" s="24"/>
      <c r="F112" s="24"/>
      <c r="G112" s="24"/>
      <c r="H112" s="24"/>
      <c r="I112" s="24"/>
      <c r="J112" s="24"/>
      <c r="K112" s="25"/>
    </row>
    <row r="113" s="5" customFormat="1" ht="20" customHeight="1" spans="1:11">
      <c r="A113" s="22"/>
      <c r="B113" s="23"/>
      <c r="C113" s="24"/>
      <c r="D113" s="24"/>
      <c r="E113" s="24"/>
      <c r="F113" s="24"/>
      <c r="G113" s="24"/>
      <c r="H113" s="24"/>
      <c r="I113" s="24"/>
      <c r="J113" s="24"/>
      <c r="K113" s="25"/>
    </row>
    <row r="114" s="5" customFormat="1" ht="20" customHeight="1" spans="1:11">
      <c r="A114" s="22"/>
      <c r="B114" s="23"/>
      <c r="C114" s="24"/>
      <c r="D114" s="24"/>
      <c r="E114" s="24"/>
      <c r="F114" s="24"/>
      <c r="G114" s="24"/>
      <c r="H114" s="24"/>
      <c r="I114" s="24"/>
      <c r="J114" s="24"/>
      <c r="K114" s="25"/>
    </row>
    <row r="115" s="5" customFormat="1" ht="20" customHeight="1" spans="1:11">
      <c r="A115" s="22"/>
      <c r="B115" s="23"/>
      <c r="C115" s="24"/>
      <c r="D115" s="24"/>
      <c r="E115" s="24"/>
      <c r="F115" s="24"/>
      <c r="G115" s="24"/>
      <c r="H115" s="24"/>
      <c r="I115" s="24"/>
      <c r="J115" s="24"/>
      <c r="K115" s="25"/>
    </row>
    <row r="116" s="5" customFormat="1" ht="20" customHeight="1" spans="1:11">
      <c r="A116" s="22"/>
      <c r="B116" s="23"/>
      <c r="C116" s="24"/>
      <c r="D116" s="24"/>
      <c r="E116" s="24"/>
      <c r="F116" s="24"/>
      <c r="G116" s="24"/>
      <c r="H116" s="24"/>
      <c r="I116" s="24"/>
      <c r="J116" s="24"/>
      <c r="K116" s="25"/>
    </row>
    <row r="117" s="5" customFormat="1" ht="20" customHeight="1" spans="1:11">
      <c r="A117" s="22"/>
      <c r="B117" s="23"/>
      <c r="C117" s="24"/>
      <c r="D117" s="24"/>
      <c r="E117" s="24"/>
      <c r="F117" s="24"/>
      <c r="G117" s="24"/>
      <c r="H117" s="24"/>
      <c r="I117" s="24"/>
      <c r="J117" s="24"/>
      <c r="K117" s="25"/>
    </row>
    <row r="118" s="5" customFormat="1" ht="20" customHeight="1" spans="1:11">
      <c r="A118" s="22"/>
      <c r="B118" s="23"/>
      <c r="C118" s="24"/>
      <c r="D118" s="24"/>
      <c r="E118" s="24"/>
      <c r="F118" s="24"/>
      <c r="G118" s="24"/>
      <c r="H118" s="24"/>
      <c r="I118" s="24"/>
      <c r="J118" s="24"/>
      <c r="K118" s="25"/>
    </row>
    <row r="119" s="5" customFormat="1" ht="20" customHeight="1" spans="1:11">
      <c r="A119" s="22"/>
      <c r="B119" s="23"/>
      <c r="C119" s="24"/>
      <c r="D119" s="24"/>
      <c r="E119" s="24"/>
      <c r="F119" s="24"/>
      <c r="G119" s="24"/>
      <c r="H119" s="24"/>
      <c r="I119" s="24"/>
      <c r="J119" s="24"/>
      <c r="K119" s="25"/>
    </row>
    <row r="120" s="5" customFormat="1" ht="20" customHeight="1" spans="1:11">
      <c r="A120" s="22"/>
      <c r="B120" s="23"/>
      <c r="C120" s="24"/>
      <c r="D120" s="24"/>
      <c r="E120" s="24"/>
      <c r="F120" s="24"/>
      <c r="G120" s="24"/>
      <c r="H120" s="24"/>
      <c r="I120" s="24"/>
      <c r="J120" s="24"/>
      <c r="K120" s="25"/>
    </row>
    <row r="121" s="5" customFormat="1" ht="20" customHeight="1" spans="1:11">
      <c r="A121" s="22"/>
      <c r="B121" s="23"/>
      <c r="C121" s="24"/>
      <c r="D121" s="24"/>
      <c r="E121" s="24"/>
      <c r="F121" s="24"/>
      <c r="G121" s="24"/>
      <c r="H121" s="24"/>
      <c r="I121" s="24"/>
      <c r="J121" s="24"/>
      <c r="K121" s="25"/>
    </row>
    <row r="122" s="5" customFormat="1" ht="20" customHeight="1" spans="1:11">
      <c r="A122" s="22"/>
      <c r="B122" s="23"/>
      <c r="C122" s="24"/>
      <c r="D122" s="24"/>
      <c r="E122" s="24"/>
      <c r="F122" s="24"/>
      <c r="G122" s="24"/>
      <c r="H122" s="24"/>
      <c r="I122" s="24"/>
      <c r="J122" s="24"/>
      <c r="K122" s="25"/>
    </row>
    <row r="123" s="5" customFormat="1" ht="20" customHeight="1" spans="1:11">
      <c r="A123" s="22"/>
      <c r="B123" s="23"/>
      <c r="C123" s="24"/>
      <c r="D123" s="24"/>
      <c r="E123" s="24"/>
      <c r="F123" s="24"/>
      <c r="G123" s="24"/>
      <c r="H123" s="24"/>
      <c r="I123" s="24"/>
      <c r="J123" s="24"/>
      <c r="K123" s="25"/>
    </row>
    <row r="124" s="5" customFormat="1" ht="20" customHeight="1" spans="1:11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5"/>
    </row>
    <row r="125" s="5" customFormat="1" ht="20" customHeight="1" spans="1:11">
      <c r="A125" s="22"/>
      <c r="B125" s="23"/>
      <c r="C125" s="24"/>
      <c r="D125" s="24"/>
      <c r="E125" s="24"/>
      <c r="F125" s="24"/>
      <c r="G125" s="24"/>
      <c r="H125" s="24"/>
      <c r="I125" s="24"/>
      <c r="J125" s="24"/>
      <c r="K125" s="25"/>
    </row>
    <row r="126" s="5" customFormat="1" ht="20" customHeight="1" spans="1:11">
      <c r="A126" s="22"/>
      <c r="B126" s="23"/>
      <c r="C126" s="24"/>
      <c r="D126" s="24"/>
      <c r="E126" s="24"/>
      <c r="F126" s="24"/>
      <c r="G126" s="24"/>
      <c r="H126" s="24"/>
      <c r="I126" s="24"/>
      <c r="J126" s="24"/>
      <c r="K126" s="25"/>
    </row>
    <row r="127" s="5" customFormat="1" ht="20" customHeight="1" spans="1:11">
      <c r="A127" s="22"/>
      <c r="B127" s="23"/>
      <c r="C127" s="24"/>
      <c r="D127" s="24"/>
      <c r="E127" s="24"/>
      <c r="F127" s="24"/>
      <c r="G127" s="24"/>
      <c r="H127" s="24"/>
      <c r="I127" s="24"/>
      <c r="J127" s="24"/>
      <c r="K127" s="25"/>
    </row>
    <row r="128" s="5" customFormat="1" ht="20" customHeight="1" spans="1:11">
      <c r="A128" s="22"/>
      <c r="B128" s="23"/>
      <c r="C128" s="24"/>
      <c r="D128" s="24"/>
      <c r="E128" s="24"/>
      <c r="F128" s="24"/>
      <c r="G128" s="24"/>
      <c r="H128" s="24"/>
      <c r="I128" s="24"/>
      <c r="J128" s="24"/>
      <c r="K128" s="25"/>
    </row>
    <row r="129" s="5" customFormat="1" ht="20" customHeight="1" spans="1:11">
      <c r="A129" s="22"/>
      <c r="B129" s="23"/>
      <c r="C129" s="24"/>
      <c r="D129" s="24"/>
      <c r="E129" s="24"/>
      <c r="F129" s="24"/>
      <c r="G129" s="24"/>
      <c r="H129" s="24"/>
      <c r="I129" s="24"/>
      <c r="J129" s="24"/>
      <c r="K129" s="25"/>
    </row>
    <row r="130" s="5" customFormat="1" ht="20" customHeight="1" spans="1:11">
      <c r="A130" s="22"/>
      <c r="B130" s="23"/>
      <c r="C130" s="24"/>
      <c r="D130" s="24"/>
      <c r="E130" s="24"/>
      <c r="F130" s="24"/>
      <c r="G130" s="24"/>
      <c r="H130" s="24"/>
      <c r="I130" s="24"/>
      <c r="J130" s="24"/>
      <c r="K130" s="25"/>
    </row>
    <row r="131" s="5" customFormat="1" ht="20" customHeight="1" spans="1:11">
      <c r="A131" s="22"/>
      <c r="B131" s="23"/>
      <c r="C131" s="24"/>
      <c r="D131" s="24"/>
      <c r="E131" s="24"/>
      <c r="F131" s="24"/>
      <c r="G131" s="24"/>
      <c r="H131" s="24"/>
      <c r="I131" s="24"/>
      <c r="J131" s="24"/>
      <c r="K131" s="25"/>
    </row>
    <row r="132" s="5" customFormat="1" ht="20" customHeight="1" spans="1:11">
      <c r="A132" s="22"/>
      <c r="B132" s="23"/>
      <c r="C132" s="24"/>
      <c r="D132" s="24"/>
      <c r="E132" s="24"/>
      <c r="F132" s="24"/>
      <c r="G132" s="24"/>
      <c r="H132" s="24"/>
      <c r="I132" s="24"/>
      <c r="J132" s="24"/>
      <c r="K132" s="25"/>
    </row>
    <row r="133" s="5" customFormat="1" ht="20" customHeight="1" spans="1:11">
      <c r="A133" s="22"/>
      <c r="B133" s="23"/>
      <c r="C133" s="24"/>
      <c r="D133" s="24"/>
      <c r="E133" s="24"/>
      <c r="F133" s="24"/>
      <c r="G133" s="24"/>
      <c r="H133" s="24"/>
      <c r="I133" s="24"/>
      <c r="J133" s="24"/>
      <c r="K133" s="25"/>
    </row>
    <row r="134" s="5" customFormat="1" ht="20" customHeight="1" spans="1:11">
      <c r="A134" s="22"/>
      <c r="B134" s="23"/>
      <c r="C134" s="24"/>
      <c r="D134" s="24"/>
      <c r="E134" s="24"/>
      <c r="F134" s="24"/>
      <c r="G134" s="24"/>
      <c r="H134" s="24"/>
      <c r="I134" s="24"/>
      <c r="J134" s="24"/>
      <c r="K134" s="25"/>
    </row>
    <row r="135" s="5" customFormat="1" ht="20" customHeight="1" spans="1:11">
      <c r="A135" s="22"/>
      <c r="B135" s="23"/>
      <c r="C135" s="24"/>
      <c r="D135" s="24"/>
      <c r="E135" s="24"/>
      <c r="F135" s="24"/>
      <c r="G135" s="24"/>
      <c r="H135" s="24"/>
      <c r="I135" s="24"/>
      <c r="J135" s="24"/>
      <c r="K135" s="25"/>
    </row>
    <row r="136" s="5" customFormat="1" ht="20" customHeight="1" spans="1:11">
      <c r="A136" s="22"/>
      <c r="B136" s="23"/>
      <c r="C136" s="24"/>
      <c r="D136" s="24"/>
      <c r="E136" s="24"/>
      <c r="F136" s="24"/>
      <c r="G136" s="24"/>
      <c r="H136" s="24"/>
      <c r="I136" s="24"/>
      <c r="J136" s="24"/>
      <c r="K136" s="25"/>
    </row>
    <row r="137" s="5" customFormat="1" ht="20" customHeight="1" spans="1:11">
      <c r="A137" s="22"/>
      <c r="B137" s="23"/>
      <c r="C137" s="24"/>
      <c r="D137" s="24"/>
      <c r="E137" s="24"/>
      <c r="F137" s="24"/>
      <c r="G137" s="24"/>
      <c r="H137" s="24"/>
      <c r="I137" s="24"/>
      <c r="J137" s="24"/>
      <c r="K137" s="25"/>
    </row>
    <row r="138" s="5" customFormat="1" ht="20" customHeight="1" spans="1:11">
      <c r="A138" s="22"/>
      <c r="B138" s="23"/>
      <c r="C138" s="24"/>
      <c r="D138" s="24"/>
      <c r="E138" s="24"/>
      <c r="F138" s="24"/>
      <c r="G138" s="24"/>
      <c r="H138" s="24"/>
      <c r="I138" s="24"/>
      <c r="J138" s="24"/>
      <c r="K138" s="25"/>
    </row>
    <row r="139" s="5" customFormat="1" ht="20" customHeight="1" spans="1:11">
      <c r="A139" s="22"/>
      <c r="B139" s="23"/>
      <c r="C139" s="24"/>
      <c r="D139" s="24"/>
      <c r="E139" s="24"/>
      <c r="F139" s="24"/>
      <c r="G139" s="24"/>
      <c r="H139" s="24"/>
      <c r="I139" s="24"/>
      <c r="J139" s="24"/>
      <c r="K139" s="25"/>
    </row>
    <row r="140" s="5" customFormat="1" ht="20" customHeight="1" spans="1:11">
      <c r="A140" s="22"/>
      <c r="B140" s="23"/>
      <c r="C140" s="24"/>
      <c r="D140" s="24"/>
      <c r="E140" s="24"/>
      <c r="F140" s="24"/>
      <c r="G140" s="24"/>
      <c r="H140" s="24"/>
      <c r="I140" s="24"/>
      <c r="J140" s="24"/>
      <c r="K140" s="25"/>
    </row>
    <row r="141" s="5" customFormat="1" ht="20" customHeight="1" spans="1:11">
      <c r="A141" s="22"/>
      <c r="B141" s="23"/>
      <c r="C141" s="24"/>
      <c r="D141" s="24"/>
      <c r="E141" s="24"/>
      <c r="F141" s="24"/>
      <c r="G141" s="24"/>
      <c r="H141" s="24"/>
      <c r="I141" s="24"/>
      <c r="J141" s="24"/>
      <c r="K141" s="25"/>
    </row>
    <row r="142" s="5" customFormat="1" ht="20" customHeight="1" spans="1:11">
      <c r="A142" s="22"/>
      <c r="B142" s="23"/>
      <c r="C142" s="24"/>
      <c r="D142" s="24"/>
      <c r="E142" s="24"/>
      <c r="F142" s="24"/>
      <c r="G142" s="24"/>
      <c r="H142" s="24"/>
      <c r="I142" s="24"/>
      <c r="J142" s="24"/>
      <c r="K142" s="25"/>
    </row>
    <row r="143" s="5" customFormat="1" ht="20" customHeight="1" spans="1:11">
      <c r="A143" s="22"/>
      <c r="B143" s="23"/>
      <c r="C143" s="24"/>
      <c r="D143" s="24"/>
      <c r="E143" s="24"/>
      <c r="F143" s="24"/>
      <c r="G143" s="24"/>
      <c r="H143" s="24"/>
      <c r="I143" s="24"/>
      <c r="J143" s="24"/>
      <c r="K143" s="25"/>
    </row>
    <row r="144" s="5" customFormat="1" ht="20" customHeight="1" spans="1:11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5"/>
    </row>
    <row r="145" s="5" customFormat="1" ht="20" customHeight="1" spans="1:11">
      <c r="A145" s="22"/>
      <c r="B145" s="23"/>
      <c r="C145" s="24"/>
      <c r="D145" s="24"/>
      <c r="E145" s="24"/>
      <c r="F145" s="24"/>
      <c r="G145" s="24"/>
      <c r="H145" s="24"/>
      <c r="I145" s="24"/>
      <c r="J145" s="24"/>
      <c r="K145" s="25"/>
    </row>
    <row r="146" s="5" customFormat="1" ht="20" customHeight="1" spans="1:11">
      <c r="A146" s="22"/>
      <c r="B146" s="23"/>
      <c r="C146" s="24"/>
      <c r="D146" s="24"/>
      <c r="E146" s="24"/>
      <c r="F146" s="24"/>
      <c r="G146" s="24"/>
      <c r="H146" s="24"/>
      <c r="I146" s="24"/>
      <c r="J146" s="24"/>
      <c r="K146" s="25"/>
    </row>
    <row r="147" s="5" customFormat="1" ht="20" customHeight="1" spans="1:11">
      <c r="A147" s="22"/>
      <c r="B147" s="23"/>
      <c r="C147" s="24"/>
      <c r="D147" s="24"/>
      <c r="E147" s="24"/>
      <c r="F147" s="24"/>
      <c r="G147" s="24"/>
      <c r="H147" s="24"/>
      <c r="I147" s="24"/>
      <c r="J147" s="24"/>
      <c r="K147" s="25"/>
    </row>
    <row r="148" s="5" customFormat="1" ht="20" customHeight="1" spans="1:11">
      <c r="A148" s="22"/>
      <c r="B148" s="23"/>
      <c r="C148" s="24"/>
      <c r="D148" s="24"/>
      <c r="E148" s="24"/>
      <c r="F148" s="24"/>
      <c r="G148" s="24"/>
      <c r="H148" s="24"/>
      <c r="I148" s="24"/>
      <c r="J148" s="24"/>
      <c r="K148" s="25"/>
    </row>
    <row r="149" s="5" customFormat="1" ht="20" customHeight="1" spans="1:11">
      <c r="A149" s="22"/>
      <c r="B149" s="23"/>
      <c r="C149" s="24"/>
      <c r="D149" s="24"/>
      <c r="E149" s="24"/>
      <c r="F149" s="24"/>
      <c r="G149" s="24"/>
      <c r="H149" s="24"/>
      <c r="I149" s="24"/>
      <c r="J149" s="24"/>
      <c r="K149" s="25"/>
    </row>
    <row r="150" s="5" customFormat="1" ht="20" customHeight="1" spans="1:11">
      <c r="A150" s="22"/>
      <c r="B150" s="23"/>
      <c r="C150" s="24"/>
      <c r="D150" s="24"/>
      <c r="E150" s="24"/>
      <c r="F150" s="24"/>
      <c r="G150" s="24"/>
      <c r="H150" s="24"/>
      <c r="I150" s="24"/>
      <c r="J150" s="24"/>
      <c r="K150" s="25"/>
    </row>
    <row r="151" s="5" customFormat="1" ht="20" customHeight="1" spans="1:11">
      <c r="A151" s="22"/>
      <c r="B151" s="23"/>
      <c r="C151" s="24"/>
      <c r="D151" s="24"/>
      <c r="E151" s="24"/>
      <c r="F151" s="24"/>
      <c r="G151" s="24"/>
      <c r="H151" s="24"/>
      <c r="I151" s="24"/>
      <c r="J151" s="24"/>
      <c r="K151" s="25"/>
    </row>
    <row r="152" s="5" customFormat="1" ht="20" customHeight="1" spans="1:11">
      <c r="A152" s="22"/>
      <c r="B152" s="23"/>
      <c r="C152" s="24"/>
      <c r="D152" s="24"/>
      <c r="E152" s="24"/>
      <c r="F152" s="24"/>
      <c r="G152" s="24"/>
      <c r="H152" s="24"/>
      <c r="I152" s="24"/>
      <c r="J152" s="24"/>
      <c r="K152" s="25"/>
    </row>
    <row r="153" s="5" customFormat="1" ht="20" customHeight="1" spans="1:11">
      <c r="A153" s="22"/>
      <c r="B153" s="23"/>
      <c r="C153" s="24"/>
      <c r="D153" s="24"/>
      <c r="E153" s="24"/>
      <c r="F153" s="24"/>
      <c r="G153" s="24"/>
      <c r="H153" s="24"/>
      <c r="I153" s="24"/>
      <c r="J153" s="24"/>
      <c r="K153" s="25"/>
    </row>
    <row r="154" s="5" customFormat="1" ht="20" customHeight="1" spans="1:11">
      <c r="A154" s="22"/>
      <c r="B154" s="23"/>
      <c r="C154" s="24"/>
      <c r="D154" s="24"/>
      <c r="E154" s="24"/>
      <c r="F154" s="24"/>
      <c r="G154" s="24"/>
      <c r="H154" s="24"/>
      <c r="I154" s="24"/>
      <c r="J154" s="24"/>
      <c r="K154" s="25"/>
    </row>
    <row r="155" s="5" customFormat="1" ht="20" customHeight="1" spans="1:11">
      <c r="A155" s="22"/>
      <c r="B155" s="23"/>
      <c r="C155" s="24"/>
      <c r="D155" s="24"/>
      <c r="E155" s="24"/>
      <c r="F155" s="24"/>
      <c r="G155" s="24"/>
      <c r="H155" s="24"/>
      <c r="I155" s="24"/>
      <c r="J155" s="24"/>
      <c r="K155" s="25"/>
    </row>
    <row r="156" s="5" customFormat="1" ht="20" customHeight="1" spans="1:11">
      <c r="A156" s="22"/>
      <c r="B156" s="23"/>
      <c r="C156" s="24"/>
      <c r="D156" s="24"/>
      <c r="E156" s="24"/>
      <c r="F156" s="24"/>
      <c r="G156" s="24"/>
      <c r="H156" s="24"/>
      <c r="I156" s="24"/>
      <c r="J156" s="24"/>
      <c r="K156" s="25"/>
    </row>
    <row r="157" s="5" customFormat="1" ht="20" customHeight="1" spans="1:11">
      <c r="A157" s="22"/>
      <c r="B157" s="23"/>
      <c r="C157" s="24"/>
      <c r="D157" s="24"/>
      <c r="E157" s="24"/>
      <c r="F157" s="24"/>
      <c r="G157" s="24"/>
      <c r="H157" s="24"/>
      <c r="I157" s="24"/>
      <c r="J157" s="24"/>
      <c r="K157" s="25"/>
    </row>
    <row r="158" s="5" customFormat="1" ht="20" customHeight="1" spans="1:11">
      <c r="A158" s="22"/>
      <c r="B158" s="23"/>
      <c r="C158" s="24"/>
      <c r="D158" s="24"/>
      <c r="E158" s="24"/>
      <c r="F158" s="24"/>
      <c r="G158" s="24"/>
      <c r="H158" s="24"/>
      <c r="I158" s="24"/>
      <c r="J158" s="24"/>
      <c r="K158" s="25"/>
    </row>
    <row r="159" s="5" customFormat="1" ht="20" customHeight="1" spans="1:11">
      <c r="A159" s="22"/>
      <c r="B159" s="23"/>
      <c r="C159" s="24"/>
      <c r="D159" s="24"/>
      <c r="E159" s="24"/>
      <c r="F159" s="24"/>
      <c r="G159" s="24"/>
      <c r="H159" s="24"/>
      <c r="I159" s="24"/>
      <c r="J159" s="24"/>
      <c r="K159" s="25"/>
    </row>
    <row r="160" s="5" customFormat="1" ht="20" customHeight="1" spans="1:11">
      <c r="A160" s="22"/>
      <c r="B160" s="23"/>
      <c r="C160" s="24"/>
      <c r="D160" s="24"/>
      <c r="E160" s="24"/>
      <c r="F160" s="24"/>
      <c r="G160" s="24"/>
      <c r="H160" s="24"/>
      <c r="I160" s="24"/>
      <c r="J160" s="24"/>
      <c r="K160" s="25"/>
    </row>
    <row r="161" s="5" customFormat="1" ht="20" customHeight="1" spans="1:11">
      <c r="A161" s="22"/>
      <c r="B161" s="23"/>
      <c r="C161" s="24"/>
      <c r="D161" s="24"/>
      <c r="E161" s="24"/>
      <c r="F161" s="24"/>
      <c r="G161" s="24"/>
      <c r="H161" s="24"/>
      <c r="I161" s="24"/>
      <c r="J161" s="24"/>
      <c r="K161" s="25"/>
    </row>
    <row r="162" s="5" customFormat="1" ht="20" customHeight="1" spans="1:11">
      <c r="A162" s="22"/>
      <c r="B162" s="23"/>
      <c r="C162" s="24"/>
      <c r="D162" s="24"/>
      <c r="E162" s="24"/>
      <c r="F162" s="24"/>
      <c r="G162" s="24"/>
      <c r="H162" s="24"/>
      <c r="I162" s="24"/>
      <c r="J162" s="24"/>
      <c r="K162" s="25"/>
    </row>
    <row r="163" s="5" customFormat="1" ht="20" customHeight="1" spans="1:11">
      <c r="A163" s="22"/>
      <c r="B163" s="23"/>
      <c r="C163" s="24"/>
      <c r="D163" s="24"/>
      <c r="E163" s="24"/>
      <c r="F163" s="24"/>
      <c r="G163" s="24"/>
      <c r="H163" s="24"/>
      <c r="I163" s="24"/>
      <c r="J163" s="24"/>
      <c r="K163" s="25"/>
    </row>
    <row r="164" s="5" customFormat="1" ht="20" customHeight="1" spans="1:11">
      <c r="A164" s="22"/>
      <c r="B164" s="23"/>
      <c r="C164" s="24"/>
      <c r="D164" s="24"/>
      <c r="E164" s="24"/>
      <c r="F164" s="24"/>
      <c r="G164" s="24"/>
      <c r="H164" s="24"/>
      <c r="I164" s="24"/>
      <c r="J164" s="24"/>
      <c r="K164" s="25"/>
    </row>
    <row r="165" s="5" customFormat="1" ht="20" customHeight="1" spans="1:11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5"/>
    </row>
    <row r="166" s="5" customFormat="1" ht="20" customHeight="1" spans="1:11">
      <c r="A166" s="22"/>
      <c r="B166" s="23"/>
      <c r="C166" s="24"/>
      <c r="D166" s="24"/>
      <c r="E166" s="24"/>
      <c r="F166" s="24"/>
      <c r="G166" s="24"/>
      <c r="H166" s="24"/>
      <c r="I166" s="24"/>
      <c r="J166" s="24"/>
      <c r="K166" s="25"/>
    </row>
    <row r="167" s="5" customFormat="1" ht="20" customHeight="1" spans="1:11">
      <c r="A167" s="22"/>
      <c r="B167" s="23"/>
      <c r="C167" s="24"/>
      <c r="D167" s="24"/>
      <c r="E167" s="24"/>
      <c r="F167" s="24"/>
      <c r="G167" s="24"/>
      <c r="H167" s="24"/>
      <c r="I167" s="24"/>
      <c r="J167" s="24"/>
      <c r="K167" s="25"/>
    </row>
    <row r="168" s="5" customFormat="1" ht="20" customHeight="1" spans="1:11">
      <c r="A168" s="22"/>
      <c r="B168" s="23"/>
      <c r="C168" s="24"/>
      <c r="D168" s="24"/>
      <c r="E168" s="24"/>
      <c r="F168" s="24"/>
      <c r="G168" s="24"/>
      <c r="H168" s="24"/>
      <c r="I168" s="24"/>
      <c r="J168" s="24"/>
      <c r="K168" s="25"/>
    </row>
    <row r="169" s="5" customFormat="1" ht="20" customHeight="1" spans="1:11">
      <c r="A169" s="22"/>
      <c r="B169" s="23"/>
      <c r="C169" s="24"/>
      <c r="D169" s="24"/>
      <c r="E169" s="24"/>
      <c r="F169" s="24"/>
      <c r="G169" s="24"/>
      <c r="H169" s="24"/>
      <c r="I169" s="24"/>
      <c r="J169" s="24"/>
      <c r="K169" s="25"/>
    </row>
    <row r="170" s="5" customFormat="1" ht="20" customHeight="1" spans="1:11">
      <c r="A170" s="22"/>
      <c r="B170" s="23"/>
      <c r="C170" s="24"/>
      <c r="D170" s="24"/>
      <c r="E170" s="24"/>
      <c r="F170" s="24"/>
      <c r="G170" s="24"/>
      <c r="H170" s="24"/>
      <c r="I170" s="24"/>
      <c r="J170" s="24"/>
      <c r="K170" s="25"/>
    </row>
    <row r="171" s="5" customFormat="1" ht="20" customHeight="1" spans="1:11">
      <c r="A171" s="22"/>
      <c r="B171" s="23"/>
      <c r="C171" s="24"/>
      <c r="D171" s="24"/>
      <c r="E171" s="24"/>
      <c r="F171" s="24"/>
      <c r="G171" s="24"/>
      <c r="H171" s="24"/>
      <c r="I171" s="24"/>
      <c r="J171" s="24"/>
      <c r="K171" s="25"/>
    </row>
    <row r="172" s="5" customFormat="1" ht="20" customHeight="1" spans="1:11">
      <c r="A172" s="22"/>
      <c r="B172" s="23"/>
      <c r="C172" s="24"/>
      <c r="D172" s="24"/>
      <c r="E172" s="24"/>
      <c r="F172" s="24"/>
      <c r="G172" s="24"/>
      <c r="H172" s="24"/>
      <c r="I172" s="24"/>
      <c r="J172" s="24"/>
      <c r="K172" s="25"/>
    </row>
    <row r="173" s="5" customFormat="1" ht="20" customHeight="1" spans="1:11">
      <c r="A173" s="22"/>
      <c r="B173" s="23"/>
      <c r="C173" s="24"/>
      <c r="D173" s="24"/>
      <c r="E173" s="24"/>
      <c r="F173" s="24"/>
      <c r="G173" s="24"/>
      <c r="H173" s="24"/>
      <c r="I173" s="24"/>
      <c r="J173" s="24"/>
      <c r="K173" s="25"/>
    </row>
    <row r="174" s="5" customFormat="1" ht="20" customHeight="1" spans="1:11">
      <c r="A174" s="22"/>
      <c r="B174" s="23"/>
      <c r="C174" s="24"/>
      <c r="D174" s="24"/>
      <c r="E174" s="24"/>
      <c r="F174" s="24"/>
      <c r="G174" s="24"/>
      <c r="H174" s="24"/>
      <c r="I174" s="24"/>
      <c r="J174" s="24"/>
      <c r="K174" s="25"/>
    </row>
    <row r="175" s="5" customFormat="1" ht="20" customHeight="1" spans="1:11">
      <c r="A175" s="22"/>
      <c r="B175" s="23"/>
      <c r="C175" s="24"/>
      <c r="D175" s="24"/>
      <c r="E175" s="24"/>
      <c r="F175" s="24"/>
      <c r="G175" s="24"/>
      <c r="H175" s="24"/>
      <c r="I175" s="24"/>
      <c r="J175" s="24"/>
      <c r="K175" s="25"/>
    </row>
    <row r="176" s="5" customFormat="1" ht="20" customHeight="1" spans="1:11">
      <c r="A176" s="22"/>
      <c r="B176" s="23"/>
      <c r="C176" s="24"/>
      <c r="D176" s="24"/>
      <c r="E176" s="24"/>
      <c r="F176" s="24"/>
      <c r="G176" s="24"/>
      <c r="H176" s="24"/>
      <c r="I176" s="24"/>
      <c r="J176" s="24"/>
      <c r="K176" s="25"/>
    </row>
    <row r="177" s="5" customFormat="1" ht="20" customHeight="1" spans="1:11">
      <c r="A177" s="22"/>
      <c r="B177" s="23"/>
      <c r="C177" s="24"/>
      <c r="D177" s="24"/>
      <c r="E177" s="24"/>
      <c r="F177" s="24"/>
      <c r="G177" s="24"/>
      <c r="H177" s="24"/>
      <c r="I177" s="24"/>
      <c r="J177" s="24"/>
      <c r="K177" s="25"/>
    </row>
    <row r="178" s="5" customFormat="1" ht="20" customHeight="1" spans="1:11">
      <c r="A178" s="22"/>
      <c r="B178" s="23"/>
      <c r="C178" s="24"/>
      <c r="D178" s="24"/>
      <c r="E178" s="24"/>
      <c r="F178" s="24"/>
      <c r="G178" s="24"/>
      <c r="H178" s="24"/>
      <c r="I178" s="24"/>
      <c r="J178" s="24"/>
      <c r="K178" s="25"/>
    </row>
    <row r="179" s="5" customFormat="1" ht="20" customHeight="1" spans="1:11">
      <c r="A179" s="22"/>
      <c r="B179" s="23"/>
      <c r="C179" s="24"/>
      <c r="D179" s="24"/>
      <c r="E179" s="24"/>
      <c r="F179" s="24"/>
      <c r="G179" s="24"/>
      <c r="H179" s="24"/>
      <c r="I179" s="24"/>
      <c r="J179" s="24"/>
      <c r="K179" s="25"/>
    </row>
    <row r="180" s="5" customFormat="1" ht="20" customHeight="1" spans="1:11">
      <c r="A180" s="22"/>
      <c r="B180" s="23"/>
      <c r="C180" s="24"/>
      <c r="D180" s="24"/>
      <c r="E180" s="24"/>
      <c r="F180" s="24"/>
      <c r="G180" s="24"/>
      <c r="H180" s="24"/>
      <c r="I180" s="24"/>
      <c r="J180" s="24"/>
      <c r="K180" s="25"/>
    </row>
    <row r="181" s="5" customFormat="1" ht="20" customHeight="1" spans="1:11">
      <c r="A181" s="22"/>
      <c r="B181" s="23"/>
      <c r="C181" s="24"/>
      <c r="D181" s="24"/>
      <c r="E181" s="24"/>
      <c r="F181" s="24"/>
      <c r="G181" s="24"/>
      <c r="H181" s="24"/>
      <c r="I181" s="24"/>
      <c r="J181" s="24"/>
      <c r="K181" s="25"/>
    </row>
    <row r="182" s="5" customFormat="1" ht="20" customHeight="1" spans="1:11">
      <c r="A182" s="22"/>
      <c r="B182" s="23"/>
      <c r="C182" s="24"/>
      <c r="D182" s="24"/>
      <c r="E182" s="24"/>
      <c r="F182" s="24"/>
      <c r="G182" s="24"/>
      <c r="H182" s="24"/>
      <c r="I182" s="24"/>
      <c r="J182" s="24"/>
      <c r="K182" s="25"/>
    </row>
    <row r="183" s="5" customFormat="1" ht="20" customHeight="1" spans="1:11">
      <c r="A183" s="22"/>
      <c r="B183" s="23"/>
      <c r="C183" s="24"/>
      <c r="D183" s="24"/>
      <c r="E183" s="24"/>
      <c r="F183" s="24"/>
      <c r="G183" s="24"/>
      <c r="H183" s="24"/>
      <c r="I183" s="24"/>
      <c r="J183" s="24"/>
      <c r="K183" s="25"/>
    </row>
    <row r="184" s="5" customFormat="1" ht="20" customHeight="1" spans="1:11">
      <c r="A184" s="22"/>
      <c r="B184" s="23"/>
      <c r="C184" s="24"/>
      <c r="D184" s="24"/>
      <c r="E184" s="24"/>
      <c r="F184" s="24"/>
      <c r="G184" s="24"/>
      <c r="H184" s="24"/>
      <c r="I184" s="24"/>
      <c r="J184" s="24"/>
      <c r="K184" s="25"/>
    </row>
    <row r="185" s="5" customFormat="1" ht="20" customHeight="1" spans="1:11">
      <c r="A185" s="22"/>
      <c r="B185" s="23"/>
      <c r="C185" s="24"/>
      <c r="D185" s="24"/>
      <c r="E185" s="24"/>
      <c r="F185" s="24"/>
      <c r="G185" s="24"/>
      <c r="H185" s="24"/>
      <c r="I185" s="24"/>
      <c r="J185" s="24"/>
      <c r="K185" s="25"/>
    </row>
    <row r="186" s="5" customFormat="1" ht="20" customHeight="1" spans="1:11">
      <c r="A186" s="22"/>
      <c r="B186" s="23"/>
      <c r="C186" s="24"/>
      <c r="D186" s="24"/>
      <c r="E186" s="24"/>
      <c r="F186" s="24"/>
      <c r="G186" s="24"/>
      <c r="H186" s="24"/>
      <c r="I186" s="24"/>
      <c r="J186" s="24"/>
      <c r="K186" s="25"/>
    </row>
    <row r="187" s="5" customFormat="1" ht="20" customHeight="1" spans="1:11">
      <c r="A187" s="22"/>
      <c r="B187" s="23"/>
      <c r="C187" s="24"/>
      <c r="D187" s="24"/>
      <c r="E187" s="24"/>
      <c r="F187" s="24"/>
      <c r="G187" s="24"/>
      <c r="H187" s="24"/>
      <c r="I187" s="24"/>
      <c r="J187" s="24"/>
      <c r="K187" s="25"/>
    </row>
    <row r="188" s="5" customFormat="1" ht="20" customHeight="1" spans="1:11">
      <c r="A188" s="22"/>
      <c r="B188" s="23"/>
      <c r="C188" s="24"/>
      <c r="D188" s="24"/>
      <c r="E188" s="24"/>
      <c r="F188" s="24"/>
      <c r="G188" s="24"/>
      <c r="H188" s="24"/>
      <c r="I188" s="24"/>
      <c r="J188" s="24"/>
      <c r="K188" s="25"/>
    </row>
    <row r="189" s="5" customFormat="1" ht="20" customHeight="1" spans="1:11">
      <c r="A189" s="22"/>
      <c r="B189" s="23"/>
      <c r="C189" s="24"/>
      <c r="D189" s="24"/>
      <c r="E189" s="24"/>
      <c r="F189" s="24"/>
      <c r="G189" s="24"/>
      <c r="H189" s="24"/>
      <c r="I189" s="24"/>
      <c r="J189" s="24"/>
      <c r="K189" s="25"/>
    </row>
    <row r="190" s="5" customFormat="1" ht="20" customHeight="1" spans="1:11">
      <c r="A190" s="22"/>
      <c r="B190" s="23"/>
      <c r="C190" s="24"/>
      <c r="D190" s="24"/>
      <c r="E190" s="24"/>
      <c r="F190" s="24"/>
      <c r="G190" s="24"/>
      <c r="H190" s="24"/>
      <c r="I190" s="24"/>
      <c r="J190" s="24"/>
      <c r="K190" s="25"/>
    </row>
    <row r="191" s="5" customFormat="1" ht="20" customHeight="1" spans="1:11">
      <c r="A191" s="22"/>
      <c r="B191" s="23"/>
      <c r="C191" s="24"/>
      <c r="D191" s="24"/>
      <c r="E191" s="24"/>
      <c r="F191" s="24"/>
      <c r="G191" s="24"/>
      <c r="H191" s="24"/>
      <c r="I191" s="24"/>
      <c r="J191" s="24"/>
      <c r="K191" s="25"/>
    </row>
    <row r="192" s="5" customFormat="1" ht="20" customHeight="1" spans="1:11">
      <c r="A192" s="22"/>
      <c r="B192" s="23"/>
      <c r="C192" s="24"/>
      <c r="D192" s="24"/>
      <c r="E192" s="24"/>
      <c r="F192" s="24"/>
      <c r="G192" s="24"/>
      <c r="H192" s="24"/>
      <c r="I192" s="24"/>
      <c r="J192" s="24"/>
      <c r="K192" s="25"/>
    </row>
    <row r="193" s="5" customFormat="1" ht="20" customHeight="1" spans="1:11">
      <c r="A193" s="22"/>
      <c r="B193" s="23"/>
      <c r="C193" s="24"/>
      <c r="D193" s="24"/>
      <c r="E193" s="24"/>
      <c r="F193" s="24"/>
      <c r="G193" s="24"/>
      <c r="H193" s="24"/>
      <c r="I193" s="24"/>
      <c r="J193" s="24"/>
      <c r="K193" s="25"/>
    </row>
    <row r="194" s="5" customFormat="1" ht="20" customHeight="1" spans="1:11">
      <c r="A194" s="22"/>
      <c r="B194" s="23"/>
      <c r="C194" s="24"/>
      <c r="D194" s="24"/>
      <c r="E194" s="24"/>
      <c r="F194" s="24"/>
      <c r="G194" s="24"/>
      <c r="H194" s="24"/>
      <c r="I194" s="24"/>
      <c r="J194" s="24"/>
      <c r="K194" s="25"/>
    </row>
    <row r="195" s="5" customFormat="1" ht="20" customHeight="1" spans="1:11">
      <c r="A195" s="22"/>
      <c r="B195" s="23"/>
      <c r="C195" s="24"/>
      <c r="D195" s="24"/>
      <c r="E195" s="24"/>
      <c r="F195" s="24"/>
      <c r="G195" s="24"/>
      <c r="H195" s="24"/>
      <c r="I195" s="24"/>
      <c r="J195" s="24"/>
      <c r="K195" s="25"/>
    </row>
    <row r="196" s="5" customFormat="1" ht="20" customHeight="1" spans="1:11">
      <c r="A196" s="22"/>
      <c r="B196" s="23"/>
      <c r="C196" s="24"/>
      <c r="D196" s="24"/>
      <c r="E196" s="24"/>
      <c r="F196" s="24"/>
      <c r="G196" s="24"/>
      <c r="H196" s="24"/>
      <c r="I196" s="24"/>
      <c r="J196" s="24"/>
      <c r="K196" s="25"/>
    </row>
    <row r="197" s="5" customFormat="1" ht="20" customHeight="1" spans="1:11">
      <c r="A197" s="22"/>
      <c r="B197" s="23"/>
      <c r="C197" s="24"/>
      <c r="D197" s="24"/>
      <c r="E197" s="24"/>
      <c r="F197" s="24"/>
      <c r="G197" s="24"/>
      <c r="H197" s="24"/>
      <c r="I197" s="24"/>
      <c r="J197" s="24"/>
      <c r="K197" s="25"/>
    </row>
    <row r="198" s="5" customFormat="1" ht="20" customHeight="1" spans="1:11">
      <c r="A198" s="22"/>
      <c r="B198" s="23"/>
      <c r="C198" s="24"/>
      <c r="D198" s="24"/>
      <c r="E198" s="24"/>
      <c r="F198" s="24"/>
      <c r="G198" s="24"/>
      <c r="H198" s="24"/>
      <c r="I198" s="24"/>
      <c r="J198" s="24"/>
      <c r="K198" s="25"/>
    </row>
    <row r="199" s="5" customFormat="1" ht="20" customHeight="1" spans="1:11">
      <c r="A199" s="22"/>
      <c r="B199" s="23"/>
      <c r="C199" s="24"/>
      <c r="D199" s="24"/>
      <c r="E199" s="24"/>
      <c r="F199" s="24"/>
      <c r="G199" s="24"/>
      <c r="H199" s="24"/>
      <c r="I199" s="24"/>
      <c r="J199" s="24"/>
      <c r="K199" s="25"/>
    </row>
    <row r="200" s="5" customFormat="1" ht="20" customHeight="1" spans="1:11">
      <c r="A200" s="22"/>
      <c r="B200" s="23"/>
      <c r="C200" s="24"/>
      <c r="D200" s="24"/>
      <c r="E200" s="24"/>
      <c r="F200" s="24"/>
      <c r="G200" s="24"/>
      <c r="H200" s="24"/>
      <c r="I200" s="24"/>
      <c r="J200" s="24"/>
      <c r="K200" s="25"/>
    </row>
    <row r="201" s="5" customFormat="1" ht="20" customHeight="1" spans="1:11">
      <c r="A201" s="22"/>
      <c r="B201" s="23"/>
      <c r="C201" s="24"/>
      <c r="D201" s="24"/>
      <c r="E201" s="24"/>
      <c r="F201" s="24"/>
      <c r="G201" s="24"/>
      <c r="H201" s="24"/>
      <c r="I201" s="24"/>
      <c r="J201" s="24"/>
      <c r="K201" s="25"/>
    </row>
    <row r="202" s="5" customFormat="1" ht="20" customHeight="1" spans="1:11">
      <c r="A202" s="22"/>
      <c r="B202" s="23"/>
      <c r="C202" s="24"/>
      <c r="D202" s="24"/>
      <c r="E202" s="24"/>
      <c r="F202" s="24"/>
      <c r="G202" s="24"/>
      <c r="H202" s="24"/>
      <c r="I202" s="24"/>
      <c r="J202" s="24"/>
      <c r="K202" s="25"/>
    </row>
    <row r="203" s="5" customFormat="1" ht="20" customHeight="1" spans="1:11">
      <c r="A203" s="22"/>
      <c r="B203" s="23"/>
      <c r="C203" s="24"/>
      <c r="D203" s="24"/>
      <c r="E203" s="24"/>
      <c r="F203" s="24"/>
      <c r="G203" s="24"/>
      <c r="H203" s="24"/>
      <c r="I203" s="24"/>
      <c r="J203" s="24"/>
      <c r="K203" s="25"/>
    </row>
    <row r="204" s="5" customFormat="1" ht="20" customHeight="1" spans="1:11">
      <c r="A204" s="22"/>
      <c r="B204" s="23"/>
      <c r="C204" s="24"/>
      <c r="D204" s="24"/>
      <c r="E204" s="24"/>
      <c r="F204" s="24"/>
      <c r="G204" s="24"/>
      <c r="H204" s="24"/>
      <c r="I204" s="24"/>
      <c r="J204" s="24"/>
      <c r="K204" s="25"/>
    </row>
    <row r="205" s="5" customFormat="1" ht="20" customHeight="1" spans="1:11">
      <c r="A205" s="22"/>
      <c r="B205" s="23"/>
      <c r="C205" s="24"/>
      <c r="D205" s="24"/>
      <c r="E205" s="24"/>
      <c r="F205" s="24"/>
      <c r="G205" s="24"/>
      <c r="H205" s="24"/>
      <c r="I205" s="24"/>
      <c r="J205" s="24"/>
      <c r="K205" s="25"/>
    </row>
    <row r="206" s="5" customFormat="1" ht="20" customHeight="1" spans="1:11">
      <c r="A206" s="22"/>
      <c r="B206" s="23"/>
      <c r="C206" s="24"/>
      <c r="D206" s="24"/>
      <c r="E206" s="24"/>
      <c r="F206" s="24"/>
      <c r="G206" s="24"/>
      <c r="H206" s="24"/>
      <c r="I206" s="24"/>
      <c r="J206" s="24"/>
      <c r="K206" s="25"/>
    </row>
    <row r="207" s="5" customFormat="1" ht="20" customHeight="1" spans="1:11">
      <c r="A207" s="22"/>
      <c r="B207" s="23"/>
      <c r="C207" s="24"/>
      <c r="D207" s="24"/>
      <c r="E207" s="24"/>
      <c r="F207" s="24"/>
      <c r="G207" s="24"/>
      <c r="H207" s="24"/>
      <c r="I207" s="24"/>
      <c r="J207" s="24"/>
      <c r="K207" s="25"/>
    </row>
    <row r="208" s="5" customFormat="1" ht="20" customHeight="1" spans="1:11">
      <c r="A208" s="22"/>
      <c r="B208" s="23"/>
      <c r="C208" s="24"/>
      <c r="D208" s="24"/>
      <c r="E208" s="24"/>
      <c r="F208" s="24"/>
      <c r="G208" s="24"/>
      <c r="H208" s="24"/>
      <c r="I208" s="24"/>
      <c r="J208" s="24"/>
      <c r="K208" s="25"/>
    </row>
    <row r="209" s="5" customFormat="1" ht="20" customHeight="1" spans="1:11">
      <c r="A209" s="22"/>
      <c r="B209" s="23"/>
      <c r="C209" s="24"/>
      <c r="D209" s="24"/>
      <c r="E209" s="24"/>
      <c r="F209" s="24"/>
      <c r="G209" s="24"/>
      <c r="H209" s="24"/>
      <c r="I209" s="24"/>
      <c r="J209" s="24"/>
      <c r="K209" s="25"/>
    </row>
    <row r="210" s="5" customFormat="1" ht="20" customHeight="1" spans="1:11">
      <c r="A210" s="22"/>
      <c r="B210" s="23"/>
      <c r="C210" s="24"/>
      <c r="D210" s="24"/>
      <c r="E210" s="24"/>
      <c r="F210" s="24"/>
      <c r="G210" s="24"/>
      <c r="H210" s="24"/>
      <c r="I210" s="24"/>
      <c r="J210" s="24"/>
      <c r="K210" s="25"/>
    </row>
    <row r="211" s="5" customFormat="1" ht="20" customHeight="1" spans="1:11">
      <c r="A211" s="22"/>
      <c r="B211" s="23"/>
      <c r="C211" s="24"/>
      <c r="D211" s="24"/>
      <c r="E211" s="24"/>
      <c r="F211" s="24"/>
      <c r="G211" s="24"/>
      <c r="H211" s="24"/>
      <c r="I211" s="24"/>
      <c r="J211" s="24"/>
      <c r="K211" s="25"/>
    </row>
    <row r="212" s="5" customFormat="1" ht="20" customHeight="1" spans="1:11">
      <c r="A212" s="22"/>
      <c r="B212" s="23"/>
      <c r="C212" s="24"/>
      <c r="D212" s="24"/>
      <c r="E212" s="24"/>
      <c r="F212" s="24"/>
      <c r="G212" s="24"/>
      <c r="H212" s="24"/>
      <c r="I212" s="24"/>
      <c r="J212" s="24"/>
      <c r="K212" s="25"/>
    </row>
    <row r="213" s="5" customFormat="1" ht="20" customHeight="1" spans="1:11">
      <c r="A213" s="22"/>
      <c r="B213" s="23"/>
      <c r="C213" s="24"/>
      <c r="D213" s="24"/>
      <c r="E213" s="24"/>
      <c r="F213" s="24"/>
      <c r="G213" s="24"/>
      <c r="H213" s="24"/>
      <c r="I213" s="24"/>
      <c r="J213" s="24"/>
      <c r="K213" s="25"/>
    </row>
    <row r="214" s="5" customFormat="1" ht="20" customHeight="1" spans="1:11">
      <c r="A214" s="22"/>
      <c r="B214" s="23"/>
      <c r="C214" s="24"/>
      <c r="D214" s="24"/>
      <c r="E214" s="24"/>
      <c r="F214" s="24"/>
      <c r="G214" s="24"/>
      <c r="H214" s="24"/>
      <c r="I214" s="24"/>
      <c r="J214" s="24"/>
      <c r="K214" s="25"/>
    </row>
    <row r="215" s="5" customFormat="1" ht="20" customHeight="1" spans="1:11">
      <c r="A215" s="22"/>
      <c r="B215" s="23"/>
      <c r="C215" s="24"/>
      <c r="D215" s="24"/>
      <c r="E215" s="24"/>
      <c r="F215" s="24"/>
      <c r="G215" s="24"/>
      <c r="H215" s="24"/>
      <c r="I215" s="24"/>
      <c r="J215" s="24"/>
      <c r="K215" s="25"/>
    </row>
    <row r="216" s="5" customFormat="1" ht="20" customHeight="1" spans="1:11">
      <c r="A216" s="22"/>
      <c r="B216" s="23"/>
      <c r="C216" s="24"/>
      <c r="D216" s="24"/>
      <c r="E216" s="24"/>
      <c r="F216" s="24"/>
      <c r="G216" s="24"/>
      <c r="H216" s="24"/>
      <c r="I216" s="24"/>
      <c r="J216" s="24"/>
      <c r="K216" s="25"/>
    </row>
    <row r="217" s="5" customFormat="1" ht="20" customHeight="1" spans="1:11">
      <c r="A217" s="22"/>
      <c r="B217" s="23"/>
      <c r="C217" s="24"/>
      <c r="D217" s="24"/>
      <c r="E217" s="24"/>
      <c r="F217" s="24"/>
      <c r="G217" s="24"/>
      <c r="H217" s="24"/>
      <c r="I217" s="24"/>
      <c r="J217" s="24"/>
      <c r="K217" s="25"/>
    </row>
    <row r="218" s="5" customFormat="1" ht="20" customHeight="1" spans="1:11">
      <c r="A218" s="22"/>
      <c r="B218" s="23"/>
      <c r="C218" s="24"/>
      <c r="D218" s="24"/>
      <c r="E218" s="24"/>
      <c r="F218" s="24"/>
      <c r="G218" s="24"/>
      <c r="H218" s="24"/>
      <c r="I218" s="24"/>
      <c r="J218" s="24"/>
      <c r="K218" s="25"/>
    </row>
    <row r="219" s="5" customFormat="1" ht="20" customHeight="1" spans="1:11">
      <c r="A219" s="22"/>
      <c r="B219" s="23"/>
      <c r="C219" s="24"/>
      <c r="D219" s="24"/>
      <c r="E219" s="24"/>
      <c r="F219" s="24"/>
      <c r="G219" s="24"/>
      <c r="H219" s="24"/>
      <c r="I219" s="24"/>
      <c r="J219" s="24"/>
      <c r="K219" s="25"/>
    </row>
    <row r="220" s="5" customFormat="1" ht="20" customHeight="1" spans="1:11">
      <c r="A220" s="22"/>
      <c r="B220" s="23"/>
      <c r="C220" s="24"/>
      <c r="D220" s="24"/>
      <c r="E220" s="24"/>
      <c r="F220" s="24"/>
      <c r="G220" s="24"/>
      <c r="H220" s="24"/>
      <c r="I220" s="24"/>
      <c r="J220" s="24"/>
      <c r="K220" s="25"/>
    </row>
    <row r="221" s="5" customFormat="1" ht="20" customHeight="1" spans="1:11">
      <c r="A221" s="22"/>
      <c r="B221" s="23"/>
      <c r="C221" s="24"/>
      <c r="D221" s="24"/>
      <c r="E221" s="24"/>
      <c r="F221" s="24"/>
      <c r="G221" s="24"/>
      <c r="H221" s="24"/>
      <c r="I221" s="24"/>
      <c r="J221" s="24"/>
      <c r="K221" s="25"/>
    </row>
    <row r="222" s="5" customFormat="1" ht="20" customHeight="1" spans="1:11">
      <c r="A222" s="22"/>
      <c r="B222" s="23"/>
      <c r="C222" s="24"/>
      <c r="D222" s="24"/>
      <c r="E222" s="24"/>
      <c r="F222" s="24"/>
      <c r="G222" s="24"/>
      <c r="H222" s="24"/>
      <c r="I222" s="24"/>
      <c r="J222" s="24"/>
      <c r="K222" s="25"/>
    </row>
    <row r="223" s="5" customFormat="1" ht="20" customHeight="1" spans="1:11">
      <c r="A223" s="22"/>
      <c r="B223" s="23"/>
      <c r="C223" s="24"/>
      <c r="D223" s="24"/>
      <c r="E223" s="24"/>
      <c r="F223" s="24"/>
      <c r="G223" s="24"/>
      <c r="H223" s="24"/>
      <c r="I223" s="24"/>
      <c r="J223" s="24"/>
      <c r="K223" s="25"/>
    </row>
    <row r="224" s="5" customFormat="1" ht="20" customHeight="1" spans="1:11">
      <c r="A224" s="22"/>
      <c r="B224" s="23"/>
      <c r="C224" s="24"/>
      <c r="D224" s="24"/>
      <c r="E224" s="24"/>
      <c r="F224" s="24"/>
      <c r="G224" s="24"/>
      <c r="H224" s="24"/>
      <c r="I224" s="24"/>
      <c r="J224" s="24"/>
      <c r="K224" s="25"/>
    </row>
    <row r="225" s="5" customFormat="1" ht="20" customHeight="1" spans="1:11">
      <c r="A225" s="22"/>
      <c r="B225" s="23"/>
      <c r="C225" s="24"/>
      <c r="D225" s="24"/>
      <c r="E225" s="24"/>
      <c r="F225" s="24"/>
      <c r="G225" s="24"/>
      <c r="H225" s="24"/>
      <c r="I225" s="24"/>
      <c r="J225" s="24"/>
      <c r="K225" s="25"/>
    </row>
    <row r="226" s="5" customFormat="1" ht="20" customHeight="1" spans="1:11">
      <c r="A226" s="22"/>
      <c r="B226" s="23"/>
      <c r="C226" s="24"/>
      <c r="D226" s="24"/>
      <c r="E226" s="24"/>
      <c r="F226" s="24"/>
      <c r="G226" s="24"/>
      <c r="H226" s="24"/>
      <c r="I226" s="24"/>
      <c r="J226" s="24"/>
      <c r="K226" s="25"/>
    </row>
    <row r="227" s="5" customFormat="1" ht="20" customHeight="1" spans="1:11">
      <c r="A227" s="22"/>
      <c r="B227" s="23"/>
      <c r="C227" s="24"/>
      <c r="D227" s="24"/>
      <c r="E227" s="24"/>
      <c r="F227" s="24"/>
      <c r="G227" s="24"/>
      <c r="H227" s="24"/>
      <c r="I227" s="24"/>
      <c r="J227" s="24"/>
      <c r="K227" s="25"/>
    </row>
    <row r="228" s="5" customFormat="1" ht="20" customHeight="1" spans="1:11">
      <c r="A228" s="22"/>
      <c r="B228" s="23"/>
      <c r="C228" s="24"/>
      <c r="D228" s="24"/>
      <c r="E228" s="24"/>
      <c r="F228" s="24"/>
      <c r="G228" s="24"/>
      <c r="H228" s="24"/>
      <c r="I228" s="24"/>
      <c r="J228" s="24"/>
      <c r="K228" s="25"/>
    </row>
    <row r="229" s="5" customFormat="1" ht="20" customHeight="1" spans="1:11">
      <c r="A229" s="22"/>
      <c r="B229" s="23"/>
      <c r="C229" s="24"/>
      <c r="D229" s="24"/>
      <c r="E229" s="24"/>
      <c r="F229" s="24"/>
      <c r="G229" s="24"/>
      <c r="H229" s="24"/>
      <c r="I229" s="24"/>
      <c r="J229" s="24"/>
      <c r="K229" s="25"/>
    </row>
    <row r="230" s="5" customFormat="1" ht="20" customHeight="1" spans="1:11">
      <c r="A230" s="22"/>
      <c r="B230" s="23"/>
      <c r="C230" s="24"/>
      <c r="D230" s="24"/>
      <c r="E230" s="24"/>
      <c r="F230" s="24"/>
      <c r="G230" s="24"/>
      <c r="H230" s="24"/>
      <c r="I230" s="24"/>
      <c r="J230" s="24"/>
      <c r="K230" s="25"/>
    </row>
    <row r="231" s="5" customFormat="1" ht="20" customHeight="1" spans="1:11">
      <c r="A231" s="22"/>
      <c r="B231" s="23"/>
      <c r="C231" s="24"/>
      <c r="D231" s="24"/>
      <c r="E231" s="24"/>
      <c r="F231" s="24"/>
      <c r="G231" s="24"/>
      <c r="H231" s="24"/>
      <c r="I231" s="24"/>
      <c r="J231" s="24"/>
      <c r="K231" s="25"/>
    </row>
    <row r="232" s="5" customFormat="1" ht="20" customHeight="1" spans="1:11">
      <c r="A232" s="22"/>
      <c r="B232" s="23"/>
      <c r="C232" s="24"/>
      <c r="D232" s="24"/>
      <c r="E232" s="24"/>
      <c r="F232" s="24"/>
      <c r="G232" s="24"/>
      <c r="H232" s="24"/>
      <c r="I232" s="24"/>
      <c r="J232" s="24"/>
      <c r="K232" s="25"/>
    </row>
    <row r="233" s="5" customFormat="1" ht="20" customHeight="1" spans="1:11">
      <c r="A233" s="22"/>
      <c r="B233" s="23"/>
      <c r="C233" s="24"/>
      <c r="D233" s="24"/>
      <c r="E233" s="24"/>
      <c r="F233" s="24"/>
      <c r="G233" s="24"/>
      <c r="H233" s="24"/>
      <c r="I233" s="24"/>
      <c r="J233" s="24"/>
      <c r="K233" s="25"/>
    </row>
    <row r="234" s="5" customFormat="1" ht="20" customHeight="1" spans="1:11">
      <c r="A234" s="22"/>
      <c r="B234" s="23"/>
      <c r="C234" s="24"/>
      <c r="D234" s="24"/>
      <c r="E234" s="24"/>
      <c r="F234" s="24"/>
      <c r="G234" s="24"/>
      <c r="H234" s="24"/>
      <c r="I234" s="24"/>
      <c r="J234" s="24"/>
      <c r="K234" s="25"/>
    </row>
    <row r="235" s="5" customFormat="1" ht="20" customHeight="1" spans="1:11">
      <c r="A235" s="22"/>
      <c r="B235" s="23"/>
      <c r="C235" s="24"/>
      <c r="D235" s="24"/>
      <c r="E235" s="24"/>
      <c r="F235" s="24"/>
      <c r="G235" s="24"/>
      <c r="H235" s="24"/>
      <c r="I235" s="24"/>
      <c r="J235" s="24"/>
      <c r="K235" s="25"/>
    </row>
    <row r="236" s="5" customFormat="1" ht="20" customHeight="1" spans="1:11">
      <c r="A236" s="22"/>
      <c r="B236" s="23"/>
      <c r="C236" s="24"/>
      <c r="D236" s="24"/>
      <c r="E236" s="24"/>
      <c r="F236" s="24"/>
      <c r="G236" s="24"/>
      <c r="H236" s="24"/>
      <c r="I236" s="24"/>
      <c r="J236" s="24"/>
      <c r="K236" s="25"/>
    </row>
    <row r="237" s="5" customFormat="1" ht="20" customHeight="1" spans="1:11">
      <c r="A237" s="22"/>
      <c r="B237" s="23"/>
      <c r="C237" s="24"/>
      <c r="D237" s="24"/>
      <c r="E237" s="24"/>
      <c r="F237" s="24"/>
      <c r="G237" s="24"/>
      <c r="H237" s="24"/>
      <c r="I237" s="24"/>
      <c r="J237" s="24"/>
      <c r="K237" s="25"/>
    </row>
    <row r="238" s="5" customFormat="1" ht="20" customHeight="1" spans="1:11">
      <c r="A238" s="22"/>
      <c r="B238" s="23"/>
      <c r="C238" s="24"/>
      <c r="D238" s="24"/>
      <c r="E238" s="24"/>
      <c r="F238" s="24"/>
      <c r="G238" s="24"/>
      <c r="H238" s="24"/>
      <c r="I238" s="24"/>
      <c r="J238" s="24"/>
      <c r="K238" s="25"/>
    </row>
    <row r="239" s="5" customFormat="1" ht="20" customHeight="1" spans="1:11">
      <c r="A239" s="22"/>
      <c r="B239" s="23"/>
      <c r="C239" s="24"/>
      <c r="D239" s="24"/>
      <c r="E239" s="24"/>
      <c r="F239" s="24"/>
      <c r="G239" s="24"/>
      <c r="H239" s="24"/>
      <c r="I239" s="24"/>
      <c r="J239" s="24"/>
      <c r="K239" s="25"/>
    </row>
    <row r="240" s="5" customFormat="1" ht="20" customHeight="1" spans="1:11">
      <c r="A240" s="22"/>
      <c r="B240" s="23"/>
      <c r="C240" s="24"/>
      <c r="D240" s="24"/>
      <c r="E240" s="24"/>
      <c r="F240" s="24"/>
      <c r="G240" s="24"/>
      <c r="H240" s="24"/>
      <c r="I240" s="24"/>
      <c r="J240" s="24"/>
      <c r="K240" s="25"/>
    </row>
    <row r="241" s="5" customFormat="1" ht="20" customHeight="1" spans="1:11">
      <c r="A241" s="22"/>
      <c r="B241" s="23"/>
      <c r="C241" s="24"/>
      <c r="D241" s="24"/>
      <c r="E241" s="24"/>
      <c r="F241" s="24"/>
      <c r="G241" s="24"/>
      <c r="H241" s="24"/>
      <c r="I241" s="24"/>
      <c r="J241" s="24"/>
      <c r="K241" s="25"/>
    </row>
    <row r="242" s="5" customFormat="1" ht="20" customHeight="1" spans="1:11">
      <c r="A242" s="22"/>
      <c r="B242" s="23"/>
      <c r="C242" s="24"/>
      <c r="D242" s="24"/>
      <c r="E242" s="24"/>
      <c r="F242" s="24"/>
      <c r="G242" s="24"/>
      <c r="H242" s="24"/>
      <c r="I242" s="24"/>
      <c r="J242" s="24"/>
      <c r="K242" s="25"/>
    </row>
    <row r="243" s="5" customFormat="1" ht="20" customHeight="1" spans="1:11">
      <c r="A243" s="22"/>
      <c r="B243" s="23"/>
      <c r="C243" s="24"/>
      <c r="D243" s="24"/>
      <c r="E243" s="24"/>
      <c r="F243" s="24"/>
      <c r="G243" s="24"/>
      <c r="H243" s="24"/>
      <c r="I243" s="24"/>
      <c r="J243" s="24"/>
      <c r="K243" s="25"/>
    </row>
    <row r="244" s="5" customFormat="1" ht="20" customHeight="1" spans="1:11">
      <c r="A244" s="22"/>
      <c r="B244" s="23"/>
      <c r="C244" s="24"/>
      <c r="D244" s="24"/>
      <c r="E244" s="24"/>
      <c r="F244" s="24"/>
      <c r="G244" s="24"/>
      <c r="H244" s="24"/>
      <c r="I244" s="24"/>
      <c r="J244" s="24"/>
      <c r="K244" s="25"/>
    </row>
    <row r="245" s="5" customFormat="1" ht="20" customHeight="1" spans="1:11">
      <c r="A245" s="22"/>
      <c r="B245" s="23"/>
      <c r="C245" s="24"/>
      <c r="D245" s="24"/>
      <c r="E245" s="24"/>
      <c r="F245" s="24"/>
      <c r="G245" s="24"/>
      <c r="H245" s="24"/>
      <c r="I245" s="24"/>
      <c r="J245" s="24"/>
      <c r="K245" s="25"/>
    </row>
    <row r="246" s="5" customFormat="1" ht="20" customHeight="1" spans="1:11">
      <c r="A246" s="22"/>
      <c r="B246" s="23"/>
      <c r="C246" s="24"/>
      <c r="D246" s="24"/>
      <c r="E246" s="24"/>
      <c r="F246" s="24"/>
      <c r="G246" s="24"/>
      <c r="H246" s="24"/>
      <c r="I246" s="24"/>
      <c r="J246" s="24"/>
      <c r="K246" s="25"/>
    </row>
    <row r="247" s="5" customFormat="1" ht="20" customHeight="1" spans="1:11">
      <c r="A247" s="22"/>
      <c r="B247" s="23"/>
      <c r="C247" s="24"/>
      <c r="D247" s="24"/>
      <c r="E247" s="24"/>
      <c r="F247" s="24"/>
      <c r="G247" s="24"/>
      <c r="H247" s="24"/>
      <c r="I247" s="24"/>
      <c r="J247" s="24"/>
      <c r="K247" s="25"/>
    </row>
    <row r="248" s="5" customFormat="1" ht="20" customHeight="1" spans="1:11">
      <c r="A248" s="22"/>
      <c r="B248" s="23"/>
      <c r="C248" s="24"/>
      <c r="D248" s="24"/>
      <c r="E248" s="24"/>
      <c r="F248" s="24"/>
      <c r="G248" s="24"/>
      <c r="H248" s="24"/>
      <c r="I248" s="24"/>
      <c r="J248" s="24"/>
      <c r="K248" s="25"/>
    </row>
    <row r="249" s="5" customFormat="1" ht="20" customHeight="1" spans="1:11">
      <c r="A249" s="22"/>
      <c r="B249" s="23"/>
      <c r="C249" s="24"/>
      <c r="D249" s="24"/>
      <c r="E249" s="24"/>
      <c r="F249" s="24"/>
      <c r="G249" s="24"/>
      <c r="H249" s="24"/>
      <c r="I249" s="24"/>
      <c r="J249" s="24"/>
      <c r="K249" s="25"/>
    </row>
    <row r="250" s="5" customFormat="1" ht="20" customHeight="1" spans="1:11">
      <c r="A250" s="22"/>
      <c r="B250" s="23"/>
      <c r="C250" s="24"/>
      <c r="D250" s="24"/>
      <c r="E250" s="24"/>
      <c r="F250" s="24"/>
      <c r="G250" s="24"/>
      <c r="H250" s="24"/>
      <c r="I250" s="24"/>
      <c r="J250" s="24"/>
      <c r="K250" s="25"/>
    </row>
    <row r="251" s="5" customFormat="1" ht="20" customHeight="1" spans="1:11">
      <c r="A251" s="22"/>
      <c r="B251" s="23"/>
      <c r="C251" s="24"/>
      <c r="D251" s="24"/>
      <c r="E251" s="24"/>
      <c r="F251" s="24"/>
      <c r="G251" s="24"/>
      <c r="H251" s="24"/>
      <c r="I251" s="24"/>
      <c r="J251" s="24"/>
      <c r="K251" s="25"/>
    </row>
    <row r="252" s="5" customFormat="1" ht="16.5" spans="1:11">
      <c r="A252" s="22"/>
      <c r="B252" s="23"/>
      <c r="C252" s="24"/>
      <c r="D252" s="24"/>
      <c r="E252" s="24"/>
      <c r="F252" s="24"/>
      <c r="G252" s="24"/>
      <c r="H252" s="24"/>
      <c r="I252" s="24"/>
      <c r="J252" s="24"/>
      <c r="K252" s="25"/>
    </row>
    <row r="253" s="5" customFormat="1" ht="16.5" spans="1:11">
      <c r="A253" s="22"/>
      <c r="B253" s="23"/>
      <c r="C253" s="24"/>
      <c r="D253" s="24"/>
      <c r="E253" s="24"/>
      <c r="F253" s="24"/>
      <c r="G253" s="24"/>
      <c r="H253" s="24"/>
      <c r="I253" s="24"/>
      <c r="J253" s="24"/>
      <c r="K253" s="25"/>
    </row>
    <row r="254" s="5" customFormat="1" ht="16.5" spans="1:11">
      <c r="A254" s="22"/>
      <c r="B254" s="23"/>
      <c r="C254" s="24"/>
      <c r="D254" s="24"/>
      <c r="E254" s="24"/>
      <c r="F254" s="24"/>
      <c r="G254" s="24"/>
      <c r="H254" s="24"/>
      <c r="I254" s="24"/>
      <c r="J254" s="24"/>
      <c r="K254" s="25"/>
    </row>
    <row r="255" s="5" customFormat="1" ht="16.5" spans="1:11">
      <c r="A255" s="22"/>
      <c r="B255" s="23"/>
      <c r="C255" s="24"/>
      <c r="D255" s="24"/>
      <c r="E255" s="24"/>
      <c r="F255" s="24"/>
      <c r="G255" s="24"/>
      <c r="H255" s="24"/>
      <c r="I255" s="24"/>
      <c r="J255" s="24"/>
      <c r="K255" s="25"/>
    </row>
    <row r="256" s="5" customFormat="1" ht="16.5" spans="1:11">
      <c r="A256" s="22"/>
      <c r="B256" s="23"/>
      <c r="C256" s="24"/>
      <c r="D256" s="24"/>
      <c r="E256" s="24"/>
      <c r="F256" s="24"/>
      <c r="G256" s="24"/>
      <c r="H256" s="24"/>
      <c r="I256" s="24"/>
      <c r="J256" s="24"/>
      <c r="K256" s="25"/>
    </row>
    <row r="257" s="5" customFormat="1" ht="16.5" spans="1:11">
      <c r="A257" s="22"/>
      <c r="B257" s="23"/>
      <c r="C257" s="24"/>
      <c r="D257" s="24"/>
      <c r="E257" s="24"/>
      <c r="F257" s="24"/>
      <c r="G257" s="24"/>
      <c r="H257" s="24"/>
      <c r="I257" s="24"/>
      <c r="J257" s="24"/>
      <c r="K257" s="25"/>
    </row>
    <row r="258" s="5" customFormat="1" ht="16.5" spans="1:11">
      <c r="A258" s="22"/>
      <c r="B258" s="23"/>
      <c r="C258" s="24"/>
      <c r="D258" s="24"/>
      <c r="E258" s="24"/>
      <c r="F258" s="24"/>
      <c r="G258" s="24"/>
      <c r="H258" s="24"/>
      <c r="I258" s="24"/>
      <c r="J258" s="24"/>
      <c r="K258" s="25"/>
    </row>
    <row r="259" s="5" customFormat="1" ht="16.5" spans="1:11">
      <c r="A259" s="22"/>
      <c r="B259" s="23"/>
      <c r="C259" s="24"/>
      <c r="D259" s="24"/>
      <c r="E259" s="24"/>
      <c r="F259" s="24"/>
      <c r="G259" s="24"/>
      <c r="H259" s="24"/>
      <c r="I259" s="24"/>
      <c r="J259" s="24"/>
      <c r="K259" s="25"/>
    </row>
    <row r="260" s="5" customFormat="1" ht="16.5" spans="1:11">
      <c r="A260" s="22"/>
      <c r="B260" s="23"/>
      <c r="C260" s="24"/>
      <c r="D260" s="24"/>
      <c r="E260" s="24"/>
      <c r="F260" s="24"/>
      <c r="G260" s="24"/>
      <c r="H260" s="24"/>
      <c r="I260" s="24"/>
      <c r="J260" s="24"/>
      <c r="K260" s="25"/>
    </row>
    <row r="261" s="5" customFormat="1" ht="16.5" spans="1:11">
      <c r="A261" s="22"/>
      <c r="B261" s="23"/>
      <c r="C261" s="24"/>
      <c r="D261" s="24"/>
      <c r="E261" s="24"/>
      <c r="F261" s="24"/>
      <c r="G261" s="24"/>
      <c r="H261" s="24"/>
      <c r="I261" s="24"/>
      <c r="J261" s="24"/>
      <c r="K261" s="25"/>
    </row>
    <row r="262" s="5" customFormat="1" ht="16.5" spans="1:11">
      <c r="A262" s="22"/>
      <c r="B262" s="23"/>
      <c r="C262" s="24"/>
      <c r="D262" s="24"/>
      <c r="E262" s="24"/>
      <c r="F262" s="24"/>
      <c r="G262" s="24"/>
      <c r="H262" s="24"/>
      <c r="I262" s="24"/>
      <c r="J262" s="24"/>
      <c r="K262" s="25"/>
    </row>
    <row r="263" s="5" customFormat="1" ht="16.5" spans="1:11">
      <c r="A263" s="22"/>
      <c r="B263" s="23"/>
      <c r="C263" s="24"/>
      <c r="D263" s="24"/>
      <c r="E263" s="24"/>
      <c r="F263" s="24"/>
      <c r="G263" s="24"/>
      <c r="H263" s="24"/>
      <c r="I263" s="24"/>
      <c r="J263" s="24"/>
      <c r="K263" s="25"/>
    </row>
    <row r="264" s="5" customFormat="1" ht="16.5" spans="1:11">
      <c r="A264" s="22"/>
      <c r="B264" s="23"/>
      <c r="C264" s="24"/>
      <c r="D264" s="24"/>
      <c r="E264" s="24"/>
      <c r="F264" s="24"/>
      <c r="G264" s="24"/>
      <c r="H264" s="24"/>
      <c r="I264" s="24"/>
      <c r="J264" s="24"/>
      <c r="K264" s="25"/>
    </row>
    <row r="265" s="5" customFormat="1" ht="16.5" spans="1:11">
      <c r="A265" s="22"/>
      <c r="B265" s="23"/>
      <c r="C265" s="24"/>
      <c r="D265" s="24"/>
      <c r="E265" s="24"/>
      <c r="F265" s="24"/>
      <c r="G265" s="24"/>
      <c r="H265" s="24"/>
      <c r="I265" s="24"/>
      <c r="J265" s="24"/>
      <c r="K265" s="25"/>
    </row>
    <row r="266" s="5" customFormat="1" ht="16.5" spans="1:11">
      <c r="A266" s="22"/>
      <c r="B266" s="23"/>
      <c r="C266" s="24"/>
      <c r="D266" s="24"/>
      <c r="E266" s="24"/>
      <c r="F266" s="24"/>
      <c r="G266" s="24"/>
      <c r="H266" s="24"/>
      <c r="I266" s="24"/>
      <c r="J266" s="24"/>
      <c r="K266" s="25"/>
    </row>
    <row r="267" s="5" customFormat="1" ht="16.5" spans="1:11">
      <c r="A267" s="22"/>
      <c r="B267" s="23"/>
      <c r="C267" s="24"/>
      <c r="D267" s="24"/>
      <c r="E267" s="24"/>
      <c r="F267" s="24"/>
      <c r="G267" s="24"/>
      <c r="H267" s="24"/>
      <c r="I267" s="24"/>
      <c r="J267" s="24"/>
      <c r="K267" s="25"/>
    </row>
    <row r="268" s="5" customFormat="1" ht="16.5" spans="1:11">
      <c r="A268" s="22"/>
      <c r="B268" s="23"/>
      <c r="C268" s="24"/>
      <c r="D268" s="24"/>
      <c r="E268" s="24"/>
      <c r="F268" s="24"/>
      <c r="G268" s="24"/>
      <c r="H268" s="24"/>
      <c r="I268" s="24"/>
      <c r="J268" s="24"/>
      <c r="K268" s="25"/>
    </row>
    <row r="269" s="5" customFormat="1" ht="16.5" spans="1:11">
      <c r="A269" s="22"/>
      <c r="B269" s="23"/>
      <c r="C269" s="24"/>
      <c r="D269" s="24"/>
      <c r="E269" s="24"/>
      <c r="F269" s="24"/>
      <c r="G269" s="24"/>
      <c r="H269" s="24"/>
      <c r="I269" s="24"/>
      <c r="J269" s="24"/>
      <c r="K269" s="25"/>
    </row>
    <row r="270" s="5" customFormat="1" ht="16.5" spans="1:11">
      <c r="A270" s="22"/>
      <c r="B270" s="23"/>
      <c r="C270" s="24"/>
      <c r="D270" s="24"/>
      <c r="E270" s="24"/>
      <c r="F270" s="24"/>
      <c r="G270" s="24"/>
      <c r="H270" s="24"/>
      <c r="I270" s="24"/>
      <c r="J270" s="24"/>
      <c r="K270" s="25"/>
    </row>
    <row r="271" s="5" customFormat="1" ht="16.5" spans="1:11">
      <c r="A271" s="22"/>
      <c r="B271" s="23"/>
      <c r="C271" s="24"/>
      <c r="D271" s="24"/>
      <c r="E271" s="24"/>
      <c r="F271" s="24"/>
      <c r="G271" s="24"/>
      <c r="H271" s="24"/>
      <c r="I271" s="24"/>
      <c r="J271" s="24"/>
      <c r="K271" s="25"/>
    </row>
    <row r="272" s="5" customFormat="1" ht="16.5" spans="1:11">
      <c r="A272" s="22"/>
      <c r="B272" s="23"/>
      <c r="C272" s="24"/>
      <c r="D272" s="24"/>
      <c r="E272" s="24"/>
      <c r="F272" s="24"/>
      <c r="G272" s="24"/>
      <c r="H272" s="24"/>
      <c r="I272" s="24"/>
      <c r="J272" s="24"/>
      <c r="K272" s="25"/>
    </row>
    <row r="273" s="5" customFormat="1" ht="16.5" spans="1:11">
      <c r="A273" s="22"/>
      <c r="B273" s="23"/>
      <c r="C273" s="24"/>
      <c r="D273" s="24"/>
      <c r="E273" s="24"/>
      <c r="F273" s="24"/>
      <c r="G273" s="24"/>
      <c r="H273" s="24"/>
      <c r="I273" s="24"/>
      <c r="J273" s="24"/>
      <c r="K273" s="25"/>
    </row>
    <row r="274" s="5" customFormat="1" ht="16.5" spans="1:11">
      <c r="A274" s="22"/>
      <c r="B274" s="23"/>
      <c r="C274" s="24"/>
      <c r="D274" s="24"/>
      <c r="E274" s="24"/>
      <c r="F274" s="24"/>
      <c r="G274" s="24"/>
      <c r="H274" s="24"/>
      <c r="I274" s="24"/>
      <c r="J274" s="24"/>
      <c r="K274" s="25"/>
    </row>
    <row r="275" s="5" customFormat="1" ht="16.5" spans="1:11">
      <c r="A275" s="22"/>
      <c r="B275" s="23"/>
      <c r="C275" s="24"/>
      <c r="D275" s="24"/>
      <c r="E275" s="24"/>
      <c r="F275" s="24"/>
      <c r="G275" s="24"/>
      <c r="H275" s="24"/>
      <c r="I275" s="24"/>
      <c r="J275" s="24"/>
      <c r="K275" s="25"/>
    </row>
    <row r="276" s="5" customFormat="1" ht="16.5" spans="1:11">
      <c r="A276" s="22"/>
      <c r="B276" s="23"/>
      <c r="C276" s="24"/>
      <c r="D276" s="24"/>
      <c r="E276" s="24"/>
      <c r="F276" s="24"/>
      <c r="G276" s="24"/>
      <c r="H276" s="24"/>
      <c r="I276" s="24"/>
      <c r="J276" s="24"/>
      <c r="K276" s="25"/>
    </row>
    <row r="277" s="5" customFormat="1" ht="16.5" spans="1:11">
      <c r="A277" s="22"/>
      <c r="B277" s="23"/>
      <c r="C277" s="24"/>
      <c r="D277" s="24"/>
      <c r="E277" s="24"/>
      <c r="F277" s="24"/>
      <c r="G277" s="24"/>
      <c r="H277" s="24"/>
      <c r="I277" s="24"/>
      <c r="J277" s="24"/>
      <c r="K277" s="25"/>
    </row>
    <row r="278" s="5" customFormat="1" ht="16.5" spans="1:11">
      <c r="A278" s="22"/>
      <c r="B278" s="23"/>
      <c r="C278" s="24"/>
      <c r="D278" s="24"/>
      <c r="E278" s="24"/>
      <c r="F278" s="24"/>
      <c r="G278" s="24"/>
      <c r="H278" s="24"/>
      <c r="I278" s="24"/>
      <c r="J278" s="24"/>
      <c r="K278" s="25"/>
    </row>
    <row r="279" s="5" customFormat="1" ht="16.5" spans="1:11">
      <c r="A279" s="22"/>
      <c r="B279" s="23"/>
      <c r="C279" s="24"/>
      <c r="D279" s="24"/>
      <c r="E279" s="24"/>
      <c r="F279" s="24"/>
      <c r="G279" s="24"/>
      <c r="H279" s="24"/>
      <c r="I279" s="24"/>
      <c r="J279" s="24"/>
      <c r="K279" s="25"/>
    </row>
    <row r="280" s="5" customFormat="1" ht="16.5" spans="1:11">
      <c r="A280" s="22"/>
      <c r="B280" s="23"/>
      <c r="C280" s="24"/>
      <c r="D280" s="24"/>
      <c r="E280" s="24"/>
      <c r="F280" s="24"/>
      <c r="G280" s="24"/>
      <c r="H280" s="24"/>
      <c r="I280" s="24"/>
      <c r="J280" s="24"/>
      <c r="K280" s="25"/>
    </row>
    <row r="281" s="5" customFormat="1" ht="16.5" spans="1:11">
      <c r="A281" s="22"/>
      <c r="B281" s="23"/>
      <c r="C281" s="24"/>
      <c r="D281" s="24"/>
      <c r="E281" s="24"/>
      <c r="F281" s="24"/>
      <c r="G281" s="24"/>
      <c r="H281" s="24"/>
      <c r="I281" s="24"/>
      <c r="J281" s="24"/>
      <c r="K281" s="25"/>
    </row>
    <row r="282" s="5" customFormat="1" ht="16.5" spans="1:11">
      <c r="A282" s="22"/>
      <c r="B282" s="23"/>
      <c r="C282" s="24"/>
      <c r="D282" s="24"/>
      <c r="E282" s="24"/>
      <c r="F282" s="24"/>
      <c r="G282" s="24"/>
      <c r="H282" s="24"/>
      <c r="I282" s="24"/>
      <c r="J282" s="24"/>
      <c r="K282" s="25"/>
    </row>
    <row r="283" s="5" customFormat="1" ht="16.5" spans="1:11">
      <c r="A283" s="22"/>
      <c r="B283" s="23"/>
      <c r="C283" s="24"/>
      <c r="D283" s="24"/>
      <c r="E283" s="24"/>
      <c r="F283" s="24"/>
      <c r="G283" s="24"/>
      <c r="H283" s="24"/>
      <c r="I283" s="24"/>
      <c r="J283" s="24"/>
      <c r="K283" s="25"/>
    </row>
    <row r="284" s="5" customFormat="1" ht="16.5" spans="1:11">
      <c r="A284" s="22"/>
      <c r="B284" s="23"/>
      <c r="C284" s="24"/>
      <c r="D284" s="24"/>
      <c r="E284" s="24"/>
      <c r="F284" s="24"/>
      <c r="G284" s="24"/>
      <c r="H284" s="24"/>
      <c r="I284" s="24"/>
      <c r="J284" s="24"/>
      <c r="K284" s="25"/>
    </row>
    <row r="285" s="5" customFormat="1" ht="16.5" spans="1:11">
      <c r="A285" s="22"/>
      <c r="B285" s="23"/>
      <c r="C285" s="24"/>
      <c r="D285" s="24"/>
      <c r="E285" s="24"/>
      <c r="F285" s="24"/>
      <c r="G285" s="24"/>
      <c r="H285" s="24"/>
      <c r="I285" s="24"/>
      <c r="J285" s="24"/>
      <c r="K285" s="25"/>
    </row>
    <row r="286" s="5" customFormat="1" ht="16.5" spans="1:11">
      <c r="A286" s="22"/>
      <c r="B286" s="23"/>
      <c r="C286" s="24"/>
      <c r="D286" s="24"/>
      <c r="E286" s="24"/>
      <c r="F286" s="24"/>
      <c r="G286" s="24"/>
      <c r="H286" s="24"/>
      <c r="I286" s="24"/>
      <c r="J286" s="24"/>
      <c r="K286" s="25"/>
    </row>
    <row r="287" s="5" customFormat="1" ht="16.5" spans="1:11">
      <c r="A287" s="22"/>
      <c r="B287" s="23"/>
      <c r="C287" s="24"/>
      <c r="D287" s="24"/>
      <c r="E287" s="24"/>
      <c r="F287" s="24"/>
      <c r="G287" s="24"/>
      <c r="H287" s="24"/>
      <c r="I287" s="24"/>
      <c r="J287" s="24"/>
      <c r="K287" s="25"/>
    </row>
    <row r="288" s="5" customFormat="1" ht="16.5" spans="1:11">
      <c r="A288" s="22"/>
      <c r="B288" s="23"/>
      <c r="C288" s="24"/>
      <c r="D288" s="24"/>
      <c r="E288" s="24"/>
      <c r="F288" s="24"/>
      <c r="G288" s="24"/>
      <c r="H288" s="24"/>
      <c r="I288" s="24"/>
      <c r="J288" s="24"/>
      <c r="K288" s="25"/>
    </row>
    <row r="289" s="5" customFormat="1" ht="16.5" spans="1:11">
      <c r="A289" s="22"/>
      <c r="B289" s="23"/>
      <c r="C289" s="24"/>
      <c r="D289" s="24"/>
      <c r="E289" s="24"/>
      <c r="F289" s="24"/>
      <c r="G289" s="24"/>
      <c r="H289" s="24"/>
      <c r="I289" s="24"/>
      <c r="J289" s="24"/>
      <c r="K289" s="25"/>
    </row>
    <row r="290" s="5" customFormat="1" ht="16.5" spans="1:11">
      <c r="A290" s="22"/>
      <c r="B290" s="23"/>
      <c r="C290" s="24"/>
      <c r="D290" s="24"/>
      <c r="E290" s="24"/>
      <c r="F290" s="24"/>
      <c r="G290" s="24"/>
      <c r="H290" s="24"/>
      <c r="I290" s="24"/>
      <c r="J290" s="24"/>
      <c r="K290" s="25"/>
    </row>
    <row r="291" s="5" customFormat="1" ht="16.5" spans="1:11">
      <c r="A291" s="22"/>
      <c r="B291" s="23"/>
      <c r="C291" s="24"/>
      <c r="D291" s="24"/>
      <c r="E291" s="24"/>
      <c r="F291" s="24"/>
      <c r="G291" s="24"/>
      <c r="H291" s="24"/>
      <c r="I291" s="24"/>
      <c r="J291" s="24"/>
      <c r="K291" s="25"/>
    </row>
    <row r="292" s="5" customFormat="1" ht="16.5" spans="1:11">
      <c r="A292" s="22"/>
      <c r="B292" s="23"/>
      <c r="C292" s="24"/>
      <c r="D292" s="24"/>
      <c r="E292" s="24"/>
      <c r="F292" s="24"/>
      <c r="G292" s="24"/>
      <c r="H292" s="24"/>
      <c r="I292" s="24"/>
      <c r="J292" s="24"/>
      <c r="K292" s="25"/>
    </row>
    <row r="293" s="5" customFormat="1" ht="16.5" spans="1:11">
      <c r="A293" s="22"/>
      <c r="B293" s="23"/>
      <c r="C293" s="24"/>
      <c r="D293" s="24"/>
      <c r="E293" s="24"/>
      <c r="F293" s="24"/>
      <c r="G293" s="24"/>
      <c r="H293" s="24"/>
      <c r="I293" s="24"/>
      <c r="J293" s="24"/>
      <c r="K293" s="25"/>
    </row>
    <row r="294" s="5" customFormat="1" ht="16.5" spans="1:11">
      <c r="A294" s="22"/>
      <c r="B294" s="23"/>
      <c r="C294" s="24"/>
      <c r="D294" s="24"/>
      <c r="E294" s="24"/>
      <c r="F294" s="24"/>
      <c r="G294" s="24"/>
      <c r="H294" s="24"/>
      <c r="I294" s="24"/>
      <c r="J294" s="24"/>
      <c r="K294" s="25"/>
    </row>
    <row r="295" s="5" customFormat="1" ht="16.5" spans="1:11">
      <c r="A295" s="22"/>
      <c r="B295" s="23"/>
      <c r="C295" s="24"/>
      <c r="D295" s="24"/>
      <c r="E295" s="24"/>
      <c r="F295" s="24"/>
      <c r="G295" s="24"/>
      <c r="H295" s="24"/>
      <c r="I295" s="24"/>
      <c r="J295" s="24"/>
      <c r="K295" s="25"/>
    </row>
    <row r="296" s="5" customFormat="1" ht="16.5" spans="1:11">
      <c r="A296" s="22"/>
      <c r="B296" s="23"/>
      <c r="C296" s="24"/>
      <c r="D296" s="24"/>
      <c r="E296" s="24"/>
      <c r="F296" s="24"/>
      <c r="G296" s="24"/>
      <c r="H296" s="24"/>
      <c r="I296" s="24"/>
      <c r="J296" s="24"/>
      <c r="K296" s="25"/>
    </row>
    <row r="297" s="5" customFormat="1" ht="16.5" spans="1:11">
      <c r="A297" s="22"/>
      <c r="B297" s="23"/>
      <c r="C297" s="24"/>
      <c r="D297" s="24"/>
      <c r="E297" s="24"/>
      <c r="F297" s="24"/>
      <c r="G297" s="24"/>
      <c r="H297" s="24"/>
      <c r="I297" s="24"/>
      <c r="J297" s="24"/>
      <c r="K297" s="25"/>
    </row>
    <row r="298" s="5" customFormat="1" ht="16.5" spans="1:11">
      <c r="A298" s="22"/>
      <c r="B298" s="23"/>
      <c r="C298" s="24"/>
      <c r="D298" s="24"/>
      <c r="E298" s="24"/>
      <c r="F298" s="24"/>
      <c r="G298" s="24"/>
      <c r="H298" s="24"/>
      <c r="I298" s="24"/>
      <c r="J298" s="24"/>
      <c r="K298" s="25"/>
    </row>
    <row r="299" s="5" customFormat="1" ht="16.5" spans="1:11">
      <c r="A299" s="22"/>
      <c r="B299" s="23"/>
      <c r="C299" s="24"/>
      <c r="D299" s="24"/>
      <c r="E299" s="24"/>
      <c r="F299" s="24"/>
      <c r="G299" s="24"/>
      <c r="H299" s="24"/>
      <c r="I299" s="24"/>
      <c r="J299" s="24"/>
      <c r="K299" s="25"/>
    </row>
    <row r="300" s="5" customFormat="1" ht="16.5" spans="1:11">
      <c r="A300" s="22"/>
      <c r="B300" s="23"/>
      <c r="C300" s="24"/>
      <c r="D300" s="24"/>
      <c r="E300" s="24"/>
      <c r="F300" s="24"/>
      <c r="G300" s="24"/>
      <c r="H300" s="24"/>
      <c r="I300" s="24"/>
      <c r="J300" s="24"/>
      <c r="K300" s="25"/>
    </row>
    <row r="301" s="5" customFormat="1" ht="16.5" spans="1:11">
      <c r="A301" s="22"/>
      <c r="B301" s="23"/>
      <c r="C301" s="24"/>
      <c r="D301" s="24"/>
      <c r="E301" s="24"/>
      <c r="F301" s="24"/>
      <c r="G301" s="24"/>
      <c r="H301" s="24"/>
      <c r="I301" s="24"/>
      <c r="J301" s="24"/>
      <c r="K301" s="25"/>
    </row>
    <row r="302" s="5" customFormat="1" ht="16.5" spans="1:11">
      <c r="A302" s="22"/>
      <c r="B302" s="23"/>
      <c r="C302" s="24"/>
      <c r="D302" s="24"/>
      <c r="E302" s="24"/>
      <c r="F302" s="24"/>
      <c r="G302" s="24"/>
      <c r="H302" s="24"/>
      <c r="I302" s="24"/>
      <c r="J302" s="24"/>
      <c r="K302" s="25"/>
    </row>
    <row r="303" s="5" customFormat="1" ht="16.5" spans="1:11">
      <c r="A303" s="22"/>
      <c r="B303" s="23"/>
      <c r="C303" s="24"/>
      <c r="D303" s="24"/>
      <c r="E303" s="24"/>
      <c r="F303" s="24"/>
      <c r="G303" s="24"/>
      <c r="H303" s="24"/>
      <c r="I303" s="24"/>
      <c r="J303" s="24"/>
      <c r="K303" s="25"/>
    </row>
    <row r="304" s="5" customFormat="1" ht="16.5" spans="1:11">
      <c r="A304" s="22"/>
      <c r="B304" s="23"/>
      <c r="C304" s="24"/>
      <c r="D304" s="24"/>
      <c r="E304" s="24"/>
      <c r="F304" s="24"/>
      <c r="G304" s="24"/>
      <c r="H304" s="24"/>
      <c r="I304" s="24"/>
      <c r="J304" s="24"/>
      <c r="K304" s="25"/>
    </row>
    <row r="305" s="5" customFormat="1" ht="16.5" spans="1:11">
      <c r="A305" s="22"/>
      <c r="B305" s="23"/>
      <c r="C305" s="24"/>
      <c r="D305" s="24"/>
      <c r="E305" s="24"/>
      <c r="F305" s="24"/>
      <c r="G305" s="24"/>
      <c r="H305" s="24"/>
      <c r="I305" s="24"/>
      <c r="J305" s="24"/>
      <c r="K305" s="25"/>
    </row>
    <row r="306" s="5" customFormat="1" ht="16.5" spans="1:11">
      <c r="A306" s="22"/>
      <c r="B306" s="23"/>
      <c r="C306" s="24"/>
      <c r="D306" s="24"/>
      <c r="E306" s="24"/>
      <c r="F306" s="24"/>
      <c r="G306" s="24"/>
      <c r="H306" s="24"/>
      <c r="I306" s="24"/>
      <c r="J306" s="24"/>
      <c r="K306" s="25"/>
    </row>
    <row r="307" s="5" customFormat="1" ht="16.5" spans="1:11">
      <c r="A307" s="22"/>
      <c r="B307" s="23"/>
      <c r="C307" s="24"/>
      <c r="D307" s="24"/>
      <c r="E307" s="24"/>
      <c r="F307" s="24"/>
      <c r="G307" s="24"/>
      <c r="H307" s="24"/>
      <c r="I307" s="24"/>
      <c r="J307" s="24"/>
      <c r="K307" s="25"/>
    </row>
    <row r="308" s="5" customFormat="1" ht="16.5" spans="1:11">
      <c r="A308" s="22"/>
      <c r="B308" s="23"/>
      <c r="C308" s="24"/>
      <c r="D308" s="24"/>
      <c r="E308" s="24"/>
      <c r="F308" s="24"/>
      <c r="G308" s="24"/>
      <c r="H308" s="24"/>
      <c r="I308" s="24"/>
      <c r="J308" s="24"/>
      <c r="K308" s="25"/>
    </row>
    <row r="309" s="5" customFormat="1" ht="16.5" spans="1:11">
      <c r="A309" s="22"/>
      <c r="B309" s="23"/>
      <c r="C309" s="24"/>
      <c r="D309" s="24"/>
      <c r="E309" s="24"/>
      <c r="F309" s="24"/>
      <c r="G309" s="24"/>
      <c r="H309" s="24"/>
      <c r="I309" s="24"/>
      <c r="J309" s="24"/>
      <c r="K309" s="25"/>
    </row>
    <row r="310" s="5" customFormat="1" ht="16.5" spans="1:11">
      <c r="A310" s="22"/>
      <c r="B310" s="23"/>
      <c r="C310" s="24"/>
      <c r="D310" s="24"/>
      <c r="E310" s="24"/>
      <c r="F310" s="24"/>
      <c r="G310" s="24"/>
      <c r="H310" s="24"/>
      <c r="I310" s="24"/>
      <c r="J310" s="24"/>
      <c r="K310" s="25"/>
    </row>
    <row r="311" s="5" customFormat="1" ht="16.5" spans="1:11">
      <c r="A311" s="22"/>
      <c r="B311" s="23"/>
      <c r="C311" s="24"/>
      <c r="D311" s="24"/>
      <c r="E311" s="24"/>
      <c r="F311" s="24"/>
      <c r="G311" s="24"/>
      <c r="H311" s="24"/>
      <c r="I311" s="24"/>
      <c r="J311" s="24"/>
      <c r="K311" s="25"/>
    </row>
    <row r="312" s="5" customFormat="1" ht="16.5" spans="1:11">
      <c r="A312" s="22"/>
      <c r="B312" s="23"/>
      <c r="C312" s="24"/>
      <c r="D312" s="24"/>
      <c r="E312" s="24"/>
      <c r="F312" s="24"/>
      <c r="G312" s="24"/>
      <c r="H312" s="24"/>
      <c r="I312" s="24"/>
      <c r="J312" s="24"/>
      <c r="K312" s="25"/>
    </row>
    <row r="313" s="5" customFormat="1" ht="16.5" spans="1:11">
      <c r="A313" s="22"/>
      <c r="B313" s="23"/>
      <c r="C313" s="24"/>
      <c r="D313" s="24"/>
      <c r="E313" s="24"/>
      <c r="F313" s="24"/>
      <c r="G313" s="24"/>
      <c r="H313" s="24"/>
      <c r="I313" s="24"/>
      <c r="J313" s="24"/>
      <c r="K313" s="25"/>
    </row>
    <row r="314" s="5" customFormat="1" ht="16.5" spans="1:11">
      <c r="A314" s="22"/>
      <c r="B314" s="23"/>
      <c r="C314" s="24"/>
      <c r="D314" s="24"/>
      <c r="E314" s="24"/>
      <c r="F314" s="24"/>
      <c r="G314" s="24"/>
      <c r="H314" s="24"/>
      <c r="I314" s="24"/>
      <c r="J314" s="24"/>
      <c r="K314" s="25"/>
    </row>
    <row r="315" s="5" customFormat="1" ht="16.5" spans="1:11">
      <c r="A315" s="22"/>
      <c r="B315" s="23"/>
      <c r="C315" s="24"/>
      <c r="D315" s="24"/>
      <c r="E315" s="24"/>
      <c r="F315" s="24"/>
      <c r="G315" s="24"/>
      <c r="H315" s="24"/>
      <c r="I315" s="24"/>
      <c r="J315" s="24"/>
      <c r="K315" s="25"/>
    </row>
    <row r="316" s="5" customFormat="1" ht="16.5" spans="1:11">
      <c r="A316" s="22"/>
      <c r="B316" s="23"/>
      <c r="C316" s="24"/>
      <c r="D316" s="24"/>
      <c r="E316" s="24"/>
      <c r="F316" s="24"/>
      <c r="G316" s="24"/>
      <c r="H316" s="24"/>
      <c r="I316" s="24"/>
      <c r="J316" s="24"/>
      <c r="K316" s="25"/>
    </row>
    <row r="317" s="5" customFormat="1" ht="16.5" spans="1:11">
      <c r="A317" s="22"/>
      <c r="B317" s="23"/>
      <c r="C317" s="24"/>
      <c r="D317" s="24"/>
      <c r="E317" s="24"/>
      <c r="F317" s="24"/>
      <c r="G317" s="24"/>
      <c r="H317" s="24"/>
      <c r="I317" s="24"/>
      <c r="J317" s="24"/>
      <c r="K317" s="25"/>
    </row>
    <row r="318" s="5" customFormat="1" ht="16.5" spans="1:11">
      <c r="A318" s="22"/>
      <c r="B318" s="23"/>
      <c r="C318" s="24"/>
      <c r="D318" s="24"/>
      <c r="E318" s="24"/>
      <c r="F318" s="24"/>
      <c r="G318" s="24"/>
      <c r="H318" s="24"/>
      <c r="I318" s="24"/>
      <c r="J318" s="24"/>
      <c r="K318" s="25"/>
    </row>
    <row r="319" s="5" customFormat="1" ht="16.5" spans="1:11">
      <c r="A319" s="22"/>
      <c r="B319" s="23"/>
      <c r="C319" s="24"/>
      <c r="D319" s="24"/>
      <c r="E319" s="24"/>
      <c r="F319" s="24"/>
      <c r="G319" s="24"/>
      <c r="H319" s="24"/>
      <c r="I319" s="24"/>
      <c r="J319" s="24"/>
      <c r="K319" s="25"/>
    </row>
    <row r="320" s="5" customFormat="1" ht="16.5" spans="1:11">
      <c r="A320" s="22"/>
      <c r="B320" s="23"/>
      <c r="C320" s="24"/>
      <c r="D320" s="24"/>
      <c r="E320" s="24"/>
      <c r="F320" s="24"/>
      <c r="G320" s="24"/>
      <c r="H320" s="24"/>
      <c r="I320" s="24"/>
      <c r="J320" s="24"/>
      <c r="K320" s="25"/>
    </row>
    <row r="321" s="5" customFormat="1" ht="16.5" spans="1:11">
      <c r="A321" s="22"/>
      <c r="B321" s="23"/>
      <c r="C321" s="24"/>
      <c r="D321" s="24"/>
      <c r="E321" s="24"/>
      <c r="F321" s="24"/>
      <c r="G321" s="24"/>
      <c r="H321" s="24"/>
      <c r="I321" s="24"/>
      <c r="J321" s="24"/>
      <c r="K321" s="25"/>
    </row>
    <row r="322" s="5" customFormat="1" ht="16.5" spans="1:11">
      <c r="A322" s="22"/>
      <c r="B322" s="23"/>
      <c r="C322" s="24"/>
      <c r="D322" s="24"/>
      <c r="E322" s="24"/>
      <c r="F322" s="24"/>
      <c r="G322" s="24"/>
      <c r="H322" s="24"/>
      <c r="I322" s="24"/>
      <c r="J322" s="24"/>
      <c r="K322" s="25"/>
    </row>
    <row r="323" s="5" customFormat="1" ht="16.5" spans="1:11">
      <c r="A323" s="22"/>
      <c r="B323" s="23"/>
      <c r="C323" s="24"/>
      <c r="D323" s="24"/>
      <c r="E323" s="24"/>
      <c r="F323" s="24"/>
      <c r="G323" s="24"/>
      <c r="H323" s="24"/>
      <c r="I323" s="24"/>
      <c r="J323" s="24"/>
      <c r="K323" s="25"/>
    </row>
    <row r="324" s="5" customFormat="1" ht="16.5" spans="1:11">
      <c r="A324" s="22"/>
      <c r="B324" s="23"/>
      <c r="C324" s="24"/>
      <c r="D324" s="24"/>
      <c r="E324" s="24"/>
      <c r="F324" s="24"/>
      <c r="G324" s="24"/>
      <c r="H324" s="24"/>
      <c r="I324" s="24"/>
      <c r="J324" s="24"/>
      <c r="K324" s="25"/>
    </row>
    <row r="325" s="5" customFormat="1" ht="16.5" spans="1:11">
      <c r="A325" s="22"/>
      <c r="B325" s="23"/>
      <c r="C325" s="24"/>
      <c r="D325" s="24"/>
      <c r="E325" s="24"/>
      <c r="F325" s="24"/>
      <c r="G325" s="24"/>
      <c r="H325" s="24"/>
      <c r="I325" s="24"/>
      <c r="J325" s="24"/>
      <c r="K325" s="25"/>
    </row>
    <row r="326" s="5" customFormat="1" ht="16.5" spans="1:11">
      <c r="A326" s="22"/>
      <c r="B326" s="23"/>
      <c r="C326" s="24"/>
      <c r="D326" s="24"/>
      <c r="E326" s="24"/>
      <c r="F326" s="24"/>
      <c r="G326" s="24"/>
      <c r="H326" s="24"/>
      <c r="I326" s="24"/>
      <c r="J326" s="24"/>
      <c r="K326" s="25"/>
    </row>
    <row r="327" s="5" customFormat="1" ht="16.5" spans="1:11">
      <c r="A327" s="22"/>
      <c r="B327" s="23"/>
      <c r="C327" s="24"/>
      <c r="D327" s="24"/>
      <c r="E327" s="24"/>
      <c r="F327" s="24"/>
      <c r="G327" s="24"/>
      <c r="H327" s="24"/>
      <c r="I327" s="24"/>
      <c r="J327" s="24"/>
      <c r="K327" s="25"/>
    </row>
    <row r="328" s="5" customFormat="1" ht="16.5" spans="1:11">
      <c r="A328" s="22"/>
      <c r="B328" s="23"/>
      <c r="C328" s="24"/>
      <c r="D328" s="24"/>
      <c r="E328" s="24"/>
      <c r="F328" s="24"/>
      <c r="G328" s="24"/>
      <c r="H328" s="24"/>
      <c r="I328" s="24"/>
      <c r="J328" s="24"/>
      <c r="K328" s="25"/>
    </row>
    <row r="329" s="5" customFormat="1" ht="16.5" spans="1:11">
      <c r="A329" s="22"/>
      <c r="B329" s="23"/>
      <c r="C329" s="24"/>
      <c r="D329" s="24"/>
      <c r="E329" s="24"/>
      <c r="F329" s="24"/>
      <c r="G329" s="24"/>
      <c r="H329" s="24"/>
      <c r="I329" s="24"/>
      <c r="J329" s="24"/>
      <c r="K329" s="25"/>
    </row>
    <row r="330" s="5" customFormat="1" ht="16.5" spans="1:11">
      <c r="A330" s="22"/>
      <c r="B330" s="23"/>
      <c r="C330" s="24"/>
      <c r="D330" s="24"/>
      <c r="E330" s="24"/>
      <c r="F330" s="24"/>
      <c r="G330" s="24"/>
      <c r="H330" s="24"/>
      <c r="I330" s="24"/>
      <c r="J330" s="24"/>
      <c r="K330" s="25"/>
    </row>
    <row r="331" s="5" customFormat="1" ht="16.5" spans="1:11">
      <c r="A331" s="22"/>
      <c r="B331" s="23"/>
      <c r="C331" s="24"/>
      <c r="D331" s="24"/>
      <c r="E331" s="24"/>
      <c r="F331" s="24"/>
      <c r="G331" s="24"/>
      <c r="H331" s="24"/>
      <c r="I331" s="24"/>
      <c r="J331" s="24"/>
      <c r="K331" s="25"/>
    </row>
    <row r="332" s="5" customFormat="1" ht="16.5" spans="1:11">
      <c r="A332" s="22"/>
      <c r="B332" s="23"/>
      <c r="C332" s="24"/>
      <c r="D332" s="24"/>
      <c r="E332" s="24"/>
      <c r="F332" s="24"/>
      <c r="G332" s="24"/>
      <c r="H332" s="24"/>
      <c r="I332" s="24"/>
      <c r="J332" s="24"/>
      <c r="K332" s="25"/>
    </row>
    <row r="333" s="5" customFormat="1" ht="16.5" spans="1:11">
      <c r="A333" s="22"/>
      <c r="B333" s="23"/>
      <c r="C333" s="24"/>
      <c r="D333" s="24"/>
      <c r="E333" s="24"/>
      <c r="F333" s="24"/>
      <c r="G333" s="24"/>
      <c r="H333" s="24"/>
      <c r="I333" s="24"/>
      <c r="J333" s="24"/>
      <c r="K333" s="25"/>
    </row>
    <row r="334" s="5" customFormat="1" ht="16.5" spans="1:11">
      <c r="A334" s="22"/>
      <c r="B334" s="23"/>
      <c r="C334" s="24"/>
      <c r="D334" s="24"/>
      <c r="E334" s="24"/>
      <c r="F334" s="24"/>
      <c r="G334" s="24"/>
      <c r="H334" s="24"/>
      <c r="I334" s="24"/>
      <c r="J334" s="24"/>
      <c r="K334" s="25"/>
    </row>
    <row r="335" s="5" customFormat="1" ht="16.5" spans="1:11">
      <c r="A335" s="22"/>
      <c r="B335" s="23"/>
      <c r="C335" s="24"/>
      <c r="D335" s="24"/>
      <c r="E335" s="24"/>
      <c r="F335" s="24"/>
      <c r="G335" s="24"/>
      <c r="H335" s="24"/>
      <c r="I335" s="24"/>
      <c r="J335" s="24"/>
      <c r="K335" s="25"/>
    </row>
    <row r="336" s="5" customFormat="1" ht="16.5" spans="1:11">
      <c r="A336" s="22"/>
      <c r="B336" s="23"/>
      <c r="C336" s="24"/>
      <c r="D336" s="24"/>
      <c r="E336" s="24"/>
      <c r="F336" s="24"/>
      <c r="G336" s="24"/>
      <c r="H336" s="24"/>
      <c r="I336" s="24"/>
      <c r="J336" s="24"/>
      <c r="K336" s="25"/>
    </row>
    <row r="337" s="5" customFormat="1" ht="16.5" spans="1:11">
      <c r="A337" s="22"/>
      <c r="B337" s="23"/>
      <c r="C337" s="24"/>
      <c r="D337" s="24"/>
      <c r="E337" s="24"/>
      <c r="F337" s="24"/>
      <c r="G337" s="24"/>
      <c r="H337" s="24"/>
      <c r="I337" s="24"/>
      <c r="J337" s="24"/>
      <c r="K337" s="25"/>
    </row>
    <row r="338" s="5" customFormat="1" ht="16.5" spans="1:11">
      <c r="A338" s="22"/>
      <c r="B338" s="23"/>
      <c r="C338" s="24"/>
      <c r="D338" s="24"/>
      <c r="E338" s="24"/>
      <c r="F338" s="24"/>
      <c r="G338" s="24"/>
      <c r="H338" s="24"/>
      <c r="I338" s="24"/>
      <c r="J338" s="24"/>
      <c r="K338" s="25"/>
    </row>
    <row r="339" s="5" customFormat="1" ht="16.5" spans="1:11">
      <c r="A339" s="22"/>
      <c r="B339" s="23"/>
      <c r="C339" s="24"/>
      <c r="D339" s="24"/>
      <c r="E339" s="24"/>
      <c r="F339" s="24"/>
      <c r="G339" s="24"/>
      <c r="H339" s="24"/>
      <c r="I339" s="24"/>
      <c r="J339" s="24"/>
      <c r="K339" s="25"/>
    </row>
    <row r="340" s="5" customFormat="1" ht="16.5" spans="1:11">
      <c r="A340" s="22"/>
      <c r="B340" s="23"/>
      <c r="C340" s="24"/>
      <c r="D340" s="24"/>
      <c r="E340" s="24"/>
      <c r="F340" s="24"/>
      <c r="G340" s="24"/>
      <c r="H340" s="24"/>
      <c r="I340" s="24"/>
      <c r="J340" s="24"/>
      <c r="K340" s="25"/>
    </row>
    <row r="341" s="5" customFormat="1" ht="16.5" spans="1:11">
      <c r="A341" s="22"/>
      <c r="B341" s="23"/>
      <c r="C341" s="24"/>
      <c r="D341" s="24"/>
      <c r="E341" s="24"/>
      <c r="F341" s="24"/>
      <c r="G341" s="24"/>
      <c r="H341" s="24"/>
      <c r="I341" s="24"/>
      <c r="J341" s="24"/>
      <c r="K341" s="25"/>
    </row>
    <row r="342" s="5" customFormat="1" ht="16.5" spans="1:11">
      <c r="A342" s="22"/>
      <c r="B342" s="23"/>
      <c r="C342" s="24"/>
      <c r="D342" s="24"/>
      <c r="E342" s="24"/>
      <c r="F342" s="24"/>
      <c r="G342" s="24"/>
      <c r="H342" s="24"/>
      <c r="I342" s="24"/>
      <c r="J342" s="24"/>
      <c r="K342" s="25"/>
    </row>
    <row r="343" s="5" customFormat="1" ht="16.5" spans="1:11">
      <c r="A343" s="22"/>
      <c r="B343" s="23"/>
      <c r="C343" s="24"/>
      <c r="D343" s="24"/>
      <c r="E343" s="24"/>
      <c r="F343" s="24"/>
      <c r="G343" s="24"/>
      <c r="H343" s="24"/>
      <c r="I343" s="24"/>
      <c r="J343" s="24"/>
      <c r="K343" s="25"/>
    </row>
    <row r="344" s="5" customFormat="1" ht="16.5" spans="1:11">
      <c r="A344" s="22"/>
      <c r="B344" s="23"/>
      <c r="C344" s="24"/>
      <c r="D344" s="24"/>
      <c r="E344" s="24"/>
      <c r="F344" s="24"/>
      <c r="G344" s="24"/>
      <c r="H344" s="24"/>
      <c r="I344" s="24"/>
      <c r="J344" s="24"/>
      <c r="K344" s="25"/>
    </row>
    <row r="345" s="5" customFormat="1" ht="16.5" spans="1:11">
      <c r="A345" s="22"/>
      <c r="B345" s="23"/>
      <c r="C345" s="24"/>
      <c r="D345" s="24"/>
      <c r="E345" s="24"/>
      <c r="F345" s="24"/>
      <c r="G345" s="24"/>
      <c r="H345" s="24"/>
      <c r="I345" s="24"/>
      <c r="J345" s="24"/>
      <c r="K345" s="25"/>
    </row>
    <row r="346" s="5" customFormat="1" ht="16.5" spans="1:11">
      <c r="A346" s="22"/>
      <c r="B346" s="23"/>
      <c r="C346" s="24"/>
      <c r="D346" s="24"/>
      <c r="E346" s="24"/>
      <c r="F346" s="24"/>
      <c r="G346" s="24"/>
      <c r="H346" s="24"/>
      <c r="I346" s="24"/>
      <c r="J346" s="24"/>
      <c r="K346" s="25"/>
    </row>
    <row r="347" s="5" customFormat="1" ht="16.5" spans="1:11">
      <c r="A347" s="22"/>
      <c r="B347" s="23"/>
      <c r="C347" s="24"/>
      <c r="D347" s="24"/>
      <c r="E347" s="24"/>
      <c r="F347" s="24"/>
      <c r="G347" s="24"/>
      <c r="H347" s="24"/>
      <c r="I347" s="24"/>
      <c r="J347" s="24"/>
      <c r="K347" s="25"/>
    </row>
    <row r="348" s="5" customFormat="1" ht="16.5" spans="1:11">
      <c r="A348" s="22"/>
      <c r="B348" s="23"/>
      <c r="C348" s="24"/>
      <c r="D348" s="24"/>
      <c r="E348" s="24"/>
      <c r="F348" s="24"/>
      <c r="G348" s="24"/>
      <c r="H348" s="24"/>
      <c r="I348" s="24"/>
      <c r="J348" s="24"/>
      <c r="K348" s="25"/>
    </row>
    <row r="349" s="5" customFormat="1" ht="16.5" spans="1:11">
      <c r="A349" s="22"/>
      <c r="B349" s="23"/>
      <c r="C349" s="24"/>
      <c r="D349" s="24"/>
      <c r="E349" s="24"/>
      <c r="F349" s="24"/>
      <c r="G349" s="24"/>
      <c r="H349" s="24"/>
      <c r="I349" s="24"/>
      <c r="J349" s="24"/>
      <c r="K349" s="25"/>
    </row>
    <row r="350" s="5" customFormat="1" ht="16.5" spans="1:11">
      <c r="A350" s="22"/>
      <c r="B350" s="23"/>
      <c r="C350" s="24"/>
      <c r="D350" s="24"/>
      <c r="E350" s="24"/>
      <c r="F350" s="24"/>
      <c r="G350" s="24"/>
      <c r="H350" s="24"/>
      <c r="I350" s="24"/>
      <c r="J350" s="24"/>
      <c r="K350" s="25"/>
    </row>
    <row r="351" s="5" customFormat="1" ht="16.5" spans="1:11">
      <c r="A351" s="22"/>
      <c r="B351" s="23"/>
      <c r="C351" s="24"/>
      <c r="D351" s="24"/>
      <c r="E351" s="24"/>
      <c r="F351" s="24"/>
      <c r="G351" s="24"/>
      <c r="H351" s="24"/>
      <c r="I351" s="24"/>
      <c r="J351" s="24"/>
      <c r="K351" s="25"/>
    </row>
    <row r="352" s="5" customFormat="1" ht="16.5" spans="1:11">
      <c r="A352" s="22"/>
      <c r="B352" s="23"/>
      <c r="C352" s="24"/>
      <c r="D352" s="24"/>
      <c r="E352" s="24"/>
      <c r="F352" s="24"/>
      <c r="G352" s="24"/>
      <c r="H352" s="24"/>
      <c r="I352" s="24"/>
      <c r="J352" s="24"/>
      <c r="K352" s="25"/>
    </row>
    <row r="353" s="5" customFormat="1" ht="16.5" spans="1:11">
      <c r="A353" s="22"/>
      <c r="B353" s="23"/>
      <c r="C353" s="24"/>
      <c r="D353" s="24"/>
      <c r="E353" s="24"/>
      <c r="F353" s="24"/>
      <c r="G353" s="24"/>
      <c r="H353" s="24"/>
      <c r="I353" s="24"/>
      <c r="J353" s="24"/>
      <c r="K353" s="25"/>
    </row>
    <row r="354" s="5" customFormat="1" ht="16.5" spans="1:11">
      <c r="A354" s="22"/>
      <c r="B354" s="23"/>
      <c r="C354" s="24"/>
      <c r="D354" s="24"/>
      <c r="E354" s="24"/>
      <c r="F354" s="24"/>
      <c r="G354" s="24"/>
      <c r="H354" s="24"/>
      <c r="I354" s="24"/>
      <c r="J354" s="24"/>
      <c r="K354" s="25"/>
    </row>
    <row r="355" s="5" customFormat="1" ht="16.5" spans="1:11">
      <c r="A355" s="22"/>
      <c r="B355" s="23"/>
      <c r="C355" s="24"/>
      <c r="D355" s="24"/>
      <c r="E355" s="24"/>
      <c r="F355" s="24"/>
      <c r="G355" s="24"/>
      <c r="H355" s="24"/>
      <c r="I355" s="24"/>
      <c r="J355" s="24"/>
      <c r="K355" s="25"/>
    </row>
    <row r="356" s="5" customFormat="1" ht="16.5" spans="1:11">
      <c r="A356" s="22"/>
      <c r="B356" s="23"/>
      <c r="C356" s="24"/>
      <c r="D356" s="24"/>
      <c r="E356" s="24"/>
      <c r="F356" s="24"/>
      <c r="G356" s="24"/>
      <c r="H356" s="24"/>
      <c r="I356" s="24"/>
      <c r="J356" s="24"/>
      <c r="K356" s="25"/>
    </row>
    <row r="357" s="5" customFormat="1" ht="16.5" spans="1:11">
      <c r="A357" s="22"/>
      <c r="B357" s="23"/>
      <c r="C357" s="24"/>
      <c r="D357" s="24"/>
      <c r="E357" s="24"/>
      <c r="F357" s="24"/>
      <c r="G357" s="24"/>
      <c r="H357" s="24"/>
      <c r="I357" s="24"/>
      <c r="J357" s="24"/>
      <c r="K357" s="25"/>
    </row>
    <row r="358" s="5" customFormat="1" ht="16.5" spans="1:11">
      <c r="A358" s="22"/>
      <c r="B358" s="23"/>
      <c r="C358" s="24"/>
      <c r="D358" s="24"/>
      <c r="E358" s="24"/>
      <c r="F358" s="24"/>
      <c r="G358" s="24"/>
      <c r="H358" s="24"/>
      <c r="I358" s="24"/>
      <c r="J358" s="24"/>
      <c r="K358" s="25"/>
    </row>
    <row r="359" s="5" customFormat="1" ht="16.5" spans="1:11">
      <c r="A359" s="22"/>
      <c r="B359" s="23"/>
      <c r="C359" s="24"/>
      <c r="D359" s="24"/>
      <c r="E359" s="24"/>
      <c r="F359" s="24"/>
      <c r="G359" s="24"/>
      <c r="H359" s="24"/>
      <c r="I359" s="24"/>
      <c r="J359" s="24"/>
      <c r="K359" s="25"/>
    </row>
    <row r="360" s="5" customFormat="1" ht="16.5" spans="1:11">
      <c r="A360" s="22"/>
      <c r="B360" s="23"/>
      <c r="C360" s="24"/>
      <c r="D360" s="24"/>
      <c r="E360" s="24"/>
      <c r="F360" s="24"/>
      <c r="G360" s="24"/>
      <c r="H360" s="24"/>
      <c r="I360" s="24"/>
      <c r="J360" s="24"/>
      <c r="K360" s="25"/>
    </row>
    <row r="361" s="5" customFormat="1" ht="16.5" spans="1:11">
      <c r="A361" s="22"/>
      <c r="B361" s="23"/>
      <c r="C361" s="24"/>
      <c r="D361" s="24"/>
      <c r="E361" s="24"/>
      <c r="F361" s="24"/>
      <c r="G361" s="24"/>
      <c r="H361" s="24"/>
      <c r="I361" s="24"/>
      <c r="J361" s="24"/>
      <c r="K361" s="25"/>
    </row>
    <row r="362" s="5" customFormat="1" ht="16.5" spans="1:11">
      <c r="A362" s="22"/>
      <c r="B362" s="23"/>
      <c r="C362" s="24"/>
      <c r="D362" s="24"/>
      <c r="E362" s="24"/>
      <c r="F362" s="24"/>
      <c r="G362" s="24"/>
      <c r="H362" s="24"/>
      <c r="I362" s="24"/>
      <c r="J362" s="24"/>
      <c r="K362" s="25"/>
    </row>
    <row r="363" s="5" customFormat="1" ht="16.5" spans="1:11">
      <c r="A363" s="22"/>
      <c r="B363" s="23"/>
      <c r="C363" s="24"/>
      <c r="D363" s="24"/>
      <c r="E363" s="24"/>
      <c r="F363" s="24"/>
      <c r="G363" s="24"/>
      <c r="H363" s="24"/>
      <c r="I363" s="24"/>
      <c r="J363" s="24"/>
      <c r="K363" s="25"/>
    </row>
    <row r="364" s="5" customFormat="1" ht="16.5" spans="1:11">
      <c r="A364" s="22"/>
      <c r="B364" s="23"/>
      <c r="C364" s="24"/>
      <c r="D364" s="24"/>
      <c r="E364" s="24"/>
      <c r="F364" s="24"/>
      <c r="G364" s="24"/>
      <c r="H364" s="24"/>
      <c r="I364" s="24"/>
      <c r="J364" s="24"/>
      <c r="K364" s="25"/>
    </row>
    <row r="365" s="5" customFormat="1" ht="16.5" spans="1:11">
      <c r="A365" s="22"/>
      <c r="B365" s="23"/>
      <c r="C365" s="24"/>
      <c r="D365" s="24"/>
      <c r="E365" s="24"/>
      <c r="F365" s="24"/>
      <c r="G365" s="24"/>
      <c r="H365" s="24"/>
      <c r="I365" s="24"/>
      <c r="J365" s="24"/>
      <c r="K365" s="25"/>
    </row>
    <row r="366" s="5" customFormat="1" ht="16.5" spans="1:11">
      <c r="A366" s="22"/>
      <c r="B366" s="23"/>
      <c r="C366" s="24"/>
      <c r="D366" s="24"/>
      <c r="E366" s="24"/>
      <c r="F366" s="24"/>
      <c r="G366" s="24"/>
      <c r="H366" s="24"/>
      <c r="I366" s="24"/>
      <c r="J366" s="24"/>
      <c r="K366" s="25"/>
    </row>
    <row r="367" s="5" customFormat="1" ht="16.5" spans="1:11">
      <c r="A367" s="22"/>
      <c r="B367" s="23"/>
      <c r="C367" s="24"/>
      <c r="D367" s="24"/>
      <c r="E367" s="24"/>
      <c r="F367" s="24"/>
      <c r="G367" s="24"/>
      <c r="H367" s="24"/>
      <c r="I367" s="24"/>
      <c r="J367" s="24"/>
      <c r="K367" s="25"/>
    </row>
    <row r="368" s="5" customFormat="1" ht="16.5" spans="1:11">
      <c r="A368" s="22"/>
      <c r="B368" s="23"/>
      <c r="C368" s="24"/>
      <c r="D368" s="24"/>
      <c r="E368" s="24"/>
      <c r="F368" s="24"/>
      <c r="G368" s="24"/>
      <c r="H368" s="24"/>
      <c r="I368" s="24"/>
      <c r="J368" s="24"/>
      <c r="K368" s="25"/>
    </row>
    <row r="369" s="5" customFormat="1" ht="16.5" spans="1:11">
      <c r="A369" s="22"/>
      <c r="B369" s="23"/>
      <c r="C369" s="24"/>
      <c r="D369" s="24"/>
      <c r="E369" s="24"/>
      <c r="F369" s="24"/>
      <c r="G369" s="24"/>
      <c r="H369" s="24"/>
      <c r="I369" s="24"/>
      <c r="J369" s="24"/>
      <c r="K369" s="25"/>
    </row>
    <row r="370" s="5" customFormat="1" ht="16.5" spans="1:11">
      <c r="A370" s="22"/>
      <c r="B370" s="23"/>
      <c r="C370" s="24"/>
      <c r="D370" s="24"/>
      <c r="E370" s="24"/>
      <c r="F370" s="24"/>
      <c r="G370" s="24"/>
      <c r="H370" s="24"/>
      <c r="I370" s="24"/>
      <c r="J370" s="24"/>
      <c r="K370" s="25"/>
    </row>
    <row r="371" s="5" customFormat="1" ht="16.5" spans="1:11">
      <c r="A371" s="22"/>
      <c r="B371" s="23"/>
      <c r="C371" s="24"/>
      <c r="D371" s="24"/>
      <c r="E371" s="24"/>
      <c r="F371" s="24"/>
      <c r="G371" s="24"/>
      <c r="H371" s="24"/>
      <c r="I371" s="24"/>
      <c r="J371" s="24"/>
      <c r="K371" s="25"/>
    </row>
    <row r="372" s="5" customFormat="1" ht="16.5" spans="1:11">
      <c r="A372" s="22"/>
      <c r="B372" s="23"/>
      <c r="C372" s="24"/>
      <c r="D372" s="24"/>
      <c r="E372" s="24"/>
      <c r="F372" s="24"/>
      <c r="G372" s="24"/>
      <c r="H372" s="24"/>
      <c r="I372" s="24"/>
      <c r="J372" s="24"/>
      <c r="K372" s="25"/>
    </row>
    <row r="373" s="5" customFormat="1" ht="16.5" spans="1:11">
      <c r="A373" s="22"/>
      <c r="B373" s="23"/>
      <c r="C373" s="24"/>
      <c r="D373" s="24"/>
      <c r="E373" s="24"/>
      <c r="F373" s="24"/>
      <c r="G373" s="24"/>
      <c r="H373" s="24"/>
      <c r="I373" s="24"/>
      <c r="J373" s="24"/>
      <c r="K373" s="25"/>
    </row>
    <row r="374" s="5" customFormat="1" ht="16.5" spans="1:11">
      <c r="A374" s="22"/>
      <c r="B374" s="23"/>
      <c r="C374" s="24"/>
      <c r="D374" s="24"/>
      <c r="E374" s="24"/>
      <c r="F374" s="24"/>
      <c r="G374" s="24"/>
      <c r="H374" s="24"/>
      <c r="I374" s="24"/>
      <c r="J374" s="24"/>
      <c r="K374" s="25"/>
    </row>
    <row r="375" s="5" customFormat="1" ht="16.5" spans="1:11">
      <c r="A375" s="22"/>
      <c r="B375" s="23"/>
      <c r="C375" s="24"/>
      <c r="D375" s="24"/>
      <c r="E375" s="24"/>
      <c r="F375" s="24"/>
      <c r="G375" s="24"/>
      <c r="H375" s="24"/>
      <c r="I375" s="24"/>
      <c r="J375" s="24"/>
      <c r="K375" s="25"/>
    </row>
    <row r="376" s="5" customFormat="1" ht="16.5" spans="1:11">
      <c r="A376" s="22"/>
      <c r="B376" s="23"/>
      <c r="C376" s="24"/>
      <c r="D376" s="24"/>
      <c r="E376" s="24"/>
      <c r="F376" s="24"/>
      <c r="G376" s="24"/>
      <c r="H376" s="24"/>
      <c r="I376" s="24"/>
      <c r="J376" s="24"/>
      <c r="K376" s="25"/>
    </row>
    <row r="377" s="5" customFormat="1" ht="16.5" spans="1:11">
      <c r="A377" s="22"/>
      <c r="B377" s="23"/>
      <c r="C377" s="24"/>
      <c r="D377" s="24"/>
      <c r="E377" s="24"/>
      <c r="F377" s="24"/>
      <c r="G377" s="24"/>
      <c r="H377" s="24"/>
      <c r="I377" s="24"/>
      <c r="J377" s="24"/>
      <c r="K377" s="25"/>
    </row>
    <row r="378" s="5" customFormat="1" ht="16.5" spans="1:11">
      <c r="A378" s="22"/>
      <c r="B378" s="23"/>
      <c r="C378" s="24"/>
      <c r="D378" s="24"/>
      <c r="E378" s="24"/>
      <c r="F378" s="24"/>
      <c r="G378" s="24"/>
      <c r="H378" s="24"/>
      <c r="I378" s="24"/>
      <c r="J378" s="24"/>
      <c r="K378" s="25"/>
    </row>
    <row r="379" s="5" customFormat="1" ht="16.5" spans="1:11">
      <c r="A379" s="22"/>
      <c r="B379" s="23"/>
      <c r="C379" s="24"/>
      <c r="D379" s="24"/>
      <c r="E379" s="24"/>
      <c r="F379" s="24"/>
      <c r="G379" s="24"/>
      <c r="H379" s="24"/>
      <c r="I379" s="24"/>
      <c r="J379" s="24"/>
      <c r="K379" s="25"/>
    </row>
    <row r="380" s="5" customFormat="1" ht="16.5" spans="1:11">
      <c r="A380" s="22"/>
      <c r="B380" s="23"/>
      <c r="C380" s="24"/>
      <c r="D380" s="24"/>
      <c r="E380" s="24"/>
      <c r="F380" s="24"/>
      <c r="G380" s="24"/>
      <c r="H380" s="24"/>
      <c r="I380" s="24"/>
      <c r="J380" s="24"/>
      <c r="K380" s="25"/>
    </row>
    <row r="381" s="5" customFormat="1" ht="16.5" spans="1:11">
      <c r="A381" s="22"/>
      <c r="B381" s="23"/>
      <c r="C381" s="24"/>
      <c r="D381" s="24"/>
      <c r="E381" s="24"/>
      <c r="F381" s="24"/>
      <c r="G381" s="24"/>
      <c r="H381" s="24"/>
      <c r="I381" s="24"/>
      <c r="J381" s="24"/>
      <c r="K381" s="25"/>
    </row>
    <row r="382" s="5" customFormat="1" ht="16.5" spans="1:11">
      <c r="A382" s="22"/>
      <c r="B382" s="23"/>
      <c r="C382" s="24"/>
      <c r="D382" s="24"/>
      <c r="E382" s="24"/>
      <c r="F382" s="24"/>
      <c r="G382" s="24"/>
      <c r="H382" s="24"/>
      <c r="I382" s="24"/>
      <c r="J382" s="24"/>
      <c r="K382" s="25"/>
    </row>
    <row r="383" s="5" customFormat="1" ht="16.5" spans="1:11">
      <c r="A383" s="22"/>
      <c r="B383" s="23"/>
      <c r="C383" s="24"/>
      <c r="D383" s="24"/>
      <c r="E383" s="24"/>
      <c r="F383" s="24"/>
      <c r="G383" s="24"/>
      <c r="H383" s="24"/>
      <c r="I383" s="24"/>
      <c r="J383" s="24"/>
      <c r="K383" s="25"/>
    </row>
    <row r="384" s="5" customFormat="1" ht="16.5" spans="1:11">
      <c r="A384" s="22"/>
      <c r="B384" s="23"/>
      <c r="C384" s="24"/>
      <c r="D384" s="24"/>
      <c r="E384" s="24"/>
      <c r="F384" s="24"/>
      <c r="G384" s="24"/>
      <c r="H384" s="24"/>
      <c r="I384" s="24"/>
      <c r="J384" s="24"/>
      <c r="K384" s="25"/>
    </row>
    <row r="385" s="5" customFormat="1" ht="16.5" spans="1:11">
      <c r="A385" s="22"/>
      <c r="B385" s="23"/>
      <c r="C385" s="24"/>
      <c r="D385" s="24"/>
      <c r="E385" s="24"/>
      <c r="F385" s="24"/>
      <c r="G385" s="24"/>
      <c r="H385" s="24"/>
      <c r="I385" s="24"/>
      <c r="J385" s="24"/>
      <c r="K385" s="25"/>
    </row>
    <row r="386" s="5" customFormat="1" ht="16.5" spans="1:11">
      <c r="A386" s="22"/>
      <c r="B386" s="23"/>
      <c r="C386" s="24"/>
      <c r="D386" s="24"/>
      <c r="E386" s="24"/>
      <c r="F386" s="24"/>
      <c r="G386" s="24"/>
      <c r="H386" s="24"/>
      <c r="I386" s="24"/>
      <c r="J386" s="24"/>
      <c r="K386" s="25"/>
    </row>
    <row r="387" s="5" customFormat="1" ht="16.5" spans="1:11">
      <c r="A387" s="22"/>
      <c r="B387" s="23"/>
      <c r="C387" s="24"/>
      <c r="D387" s="24"/>
      <c r="E387" s="24"/>
      <c r="F387" s="24"/>
      <c r="G387" s="24"/>
      <c r="H387" s="24"/>
      <c r="I387" s="24"/>
      <c r="J387" s="24"/>
      <c r="K387" s="25"/>
    </row>
    <row r="388" s="5" customFormat="1" ht="16.5" spans="1:11">
      <c r="A388" s="22"/>
      <c r="B388" s="23"/>
      <c r="C388" s="24"/>
      <c r="D388" s="24"/>
      <c r="E388" s="24"/>
      <c r="F388" s="24"/>
      <c r="G388" s="24"/>
      <c r="H388" s="24"/>
      <c r="I388" s="24"/>
      <c r="J388" s="24"/>
      <c r="K388" s="25"/>
    </row>
    <row r="389" s="5" customFormat="1" ht="16.5" spans="1:11">
      <c r="A389" s="22"/>
      <c r="B389" s="23"/>
      <c r="C389" s="24"/>
      <c r="D389" s="24"/>
      <c r="E389" s="24"/>
      <c r="F389" s="24"/>
      <c r="G389" s="24"/>
      <c r="H389" s="24"/>
      <c r="I389" s="24"/>
      <c r="J389" s="24"/>
      <c r="K389" s="25"/>
    </row>
    <row r="390" s="5" customFormat="1" ht="16.5" spans="1:11">
      <c r="A390" s="22"/>
      <c r="B390" s="23"/>
      <c r="C390" s="24"/>
      <c r="D390" s="24"/>
      <c r="E390" s="24"/>
      <c r="F390" s="24"/>
      <c r="G390" s="24"/>
      <c r="H390" s="24"/>
      <c r="I390" s="24"/>
      <c r="J390" s="24"/>
      <c r="K390" s="25"/>
    </row>
    <row r="391" s="5" customFormat="1" ht="16.5" spans="1:11">
      <c r="A391" s="22"/>
      <c r="B391" s="23"/>
      <c r="C391" s="24"/>
      <c r="D391" s="24"/>
      <c r="E391" s="24"/>
      <c r="F391" s="24"/>
      <c r="G391" s="24"/>
      <c r="H391" s="24"/>
      <c r="I391" s="24"/>
      <c r="J391" s="24"/>
      <c r="K391" s="25"/>
    </row>
    <row r="392" s="5" customFormat="1" ht="16.5" spans="1:11">
      <c r="A392" s="22"/>
      <c r="B392" s="23"/>
      <c r="C392" s="24"/>
      <c r="D392" s="24"/>
      <c r="E392" s="24"/>
      <c r="F392" s="24"/>
      <c r="G392" s="24"/>
      <c r="H392" s="24"/>
      <c r="I392" s="24"/>
      <c r="J392" s="24"/>
      <c r="K392" s="25"/>
    </row>
    <row r="393" s="5" customFormat="1" ht="16.5" spans="1:11">
      <c r="A393" s="22"/>
      <c r="B393" s="23"/>
      <c r="C393" s="24"/>
      <c r="D393" s="24"/>
      <c r="E393" s="24"/>
      <c r="F393" s="24"/>
      <c r="G393" s="24"/>
      <c r="H393" s="24"/>
      <c r="I393" s="24"/>
      <c r="J393" s="24"/>
      <c r="K393" s="25"/>
    </row>
    <row r="394" s="5" customFormat="1" ht="16.5" spans="1:11">
      <c r="A394" s="22"/>
      <c r="B394" s="23"/>
      <c r="C394" s="24"/>
      <c r="D394" s="24"/>
      <c r="E394" s="24"/>
      <c r="F394" s="24"/>
      <c r="G394" s="24"/>
      <c r="H394" s="24"/>
      <c r="I394" s="24"/>
      <c r="J394" s="24"/>
      <c r="K394" s="25"/>
    </row>
    <row r="395" s="5" customFormat="1" ht="16.5" spans="1:11">
      <c r="A395" s="22"/>
      <c r="B395" s="23"/>
      <c r="C395" s="24"/>
      <c r="D395" s="24"/>
      <c r="E395" s="24"/>
      <c r="F395" s="24"/>
      <c r="G395" s="24"/>
      <c r="H395" s="24"/>
      <c r="I395" s="24"/>
      <c r="J395" s="24"/>
      <c r="K395" s="25"/>
    </row>
    <row r="396" s="5" customFormat="1" ht="16.5" spans="1:11">
      <c r="A396" s="22"/>
      <c r="B396" s="23"/>
      <c r="C396" s="24"/>
      <c r="D396" s="24"/>
      <c r="E396" s="24"/>
      <c r="F396" s="24"/>
      <c r="G396" s="24"/>
      <c r="H396" s="24"/>
      <c r="I396" s="24"/>
      <c r="J396" s="24"/>
      <c r="K396" s="25"/>
    </row>
    <row r="397" s="5" customFormat="1" ht="16.5" spans="1:11">
      <c r="A397" s="22"/>
      <c r="B397" s="23"/>
      <c r="C397" s="24"/>
      <c r="D397" s="24"/>
      <c r="E397" s="24"/>
      <c r="F397" s="24"/>
      <c r="G397" s="24"/>
      <c r="H397" s="24"/>
      <c r="I397" s="24"/>
      <c r="J397" s="24"/>
      <c r="K397" s="25"/>
    </row>
    <row r="398" s="5" customFormat="1" ht="16.5" spans="1:11">
      <c r="A398" s="22"/>
      <c r="B398" s="23"/>
      <c r="C398" s="24"/>
      <c r="D398" s="24"/>
      <c r="E398" s="24"/>
      <c r="F398" s="24"/>
      <c r="G398" s="24"/>
      <c r="H398" s="24"/>
      <c r="I398" s="24"/>
      <c r="J398" s="24"/>
      <c r="K398" s="25"/>
    </row>
    <row r="399" s="5" customFormat="1" ht="16.5" spans="1:11">
      <c r="A399" s="22"/>
      <c r="B399" s="23"/>
      <c r="C399" s="24"/>
      <c r="D399" s="24"/>
      <c r="E399" s="24"/>
      <c r="F399" s="24"/>
      <c r="G399" s="24"/>
      <c r="H399" s="24"/>
      <c r="I399" s="24"/>
      <c r="J399" s="24"/>
      <c r="K399" s="25"/>
    </row>
    <row r="400" s="5" customFormat="1" ht="16.5" spans="1:11">
      <c r="A400" s="22"/>
      <c r="B400" s="23"/>
      <c r="C400" s="24"/>
      <c r="D400" s="24"/>
      <c r="E400" s="24"/>
      <c r="F400" s="24"/>
      <c r="G400" s="24"/>
      <c r="H400" s="24"/>
      <c r="I400" s="24"/>
      <c r="J400" s="24"/>
      <c r="K400" s="25"/>
    </row>
    <row r="401" s="5" customFormat="1" ht="16.5" spans="1:11">
      <c r="A401" s="22"/>
      <c r="B401" s="23"/>
      <c r="C401" s="24"/>
      <c r="D401" s="24"/>
      <c r="E401" s="24"/>
      <c r="F401" s="24"/>
      <c r="G401" s="24"/>
      <c r="H401" s="24"/>
      <c r="I401" s="24"/>
      <c r="J401" s="24"/>
      <c r="K401" s="25"/>
    </row>
    <row r="402" s="5" customFormat="1" ht="16.5" spans="1:11">
      <c r="A402" s="22"/>
      <c r="B402" s="23"/>
      <c r="C402" s="24"/>
      <c r="D402" s="24"/>
      <c r="E402" s="24"/>
      <c r="F402" s="24"/>
      <c r="G402" s="24"/>
      <c r="H402" s="24"/>
      <c r="I402" s="24"/>
      <c r="J402" s="24"/>
      <c r="K402" s="25"/>
    </row>
    <row r="403" s="5" customFormat="1" ht="16.5" spans="1:11">
      <c r="A403" s="22"/>
      <c r="B403" s="23"/>
      <c r="C403" s="24"/>
      <c r="D403" s="24"/>
      <c r="E403" s="24"/>
      <c r="F403" s="24"/>
      <c r="G403" s="24"/>
      <c r="H403" s="24"/>
      <c r="I403" s="24"/>
      <c r="J403" s="24"/>
      <c r="K403" s="25"/>
    </row>
    <row r="404" s="5" customFormat="1" ht="16.5" spans="1:11">
      <c r="A404" s="22"/>
      <c r="B404" s="23"/>
      <c r="C404" s="24"/>
      <c r="D404" s="24"/>
      <c r="E404" s="24"/>
      <c r="F404" s="24"/>
      <c r="G404" s="24"/>
      <c r="H404" s="24"/>
      <c r="I404" s="24"/>
      <c r="J404" s="24"/>
      <c r="K404" s="25"/>
    </row>
    <row r="405" s="5" customFormat="1" ht="16.5" spans="1:11">
      <c r="A405" s="22"/>
      <c r="B405" s="23"/>
      <c r="C405" s="24"/>
      <c r="D405" s="24"/>
      <c r="E405" s="24"/>
      <c r="F405" s="24"/>
      <c r="G405" s="24"/>
      <c r="H405" s="24"/>
      <c r="I405" s="24"/>
      <c r="J405" s="24"/>
      <c r="K405" s="25"/>
    </row>
    <row r="406" s="5" customFormat="1" ht="16.5" spans="1:11">
      <c r="A406" s="22"/>
      <c r="B406" s="23"/>
      <c r="C406" s="24"/>
      <c r="D406" s="24"/>
      <c r="E406" s="24"/>
      <c r="F406" s="24"/>
      <c r="G406" s="24"/>
      <c r="H406" s="24"/>
      <c r="I406" s="24"/>
      <c r="J406" s="24"/>
      <c r="K406" s="25"/>
    </row>
    <row r="407" s="5" customFormat="1" ht="16.5" spans="1:11">
      <c r="A407" s="22"/>
      <c r="B407" s="23"/>
      <c r="C407" s="24"/>
      <c r="D407" s="24"/>
      <c r="E407" s="24"/>
      <c r="F407" s="24"/>
      <c r="G407" s="24"/>
      <c r="H407" s="24"/>
      <c r="I407" s="24"/>
      <c r="J407" s="24"/>
      <c r="K407" s="25"/>
    </row>
    <row r="408" s="5" customFormat="1" ht="16.5" spans="1:11">
      <c r="A408" s="22"/>
      <c r="B408" s="23"/>
      <c r="C408" s="24"/>
      <c r="D408" s="24"/>
      <c r="E408" s="24"/>
      <c r="F408" s="24"/>
      <c r="G408" s="24"/>
      <c r="H408" s="24"/>
      <c r="I408" s="24"/>
      <c r="J408" s="24"/>
      <c r="K408" s="25"/>
    </row>
    <row r="409" s="5" customFormat="1" ht="16.5" spans="1:11">
      <c r="A409" s="22"/>
      <c r="B409" s="23"/>
      <c r="C409" s="24"/>
      <c r="D409" s="24"/>
      <c r="E409" s="24"/>
      <c r="F409" s="24"/>
      <c r="G409" s="24"/>
      <c r="H409" s="24"/>
      <c r="I409" s="24"/>
      <c r="J409" s="24"/>
      <c r="K409" s="25"/>
    </row>
    <row r="410" s="5" customFormat="1" ht="16.5" spans="1:11">
      <c r="A410" s="22"/>
      <c r="B410" s="23"/>
      <c r="C410" s="24"/>
      <c r="D410" s="24"/>
      <c r="E410" s="24"/>
      <c r="F410" s="24"/>
      <c r="G410" s="24"/>
      <c r="H410" s="24"/>
      <c r="I410" s="24"/>
      <c r="J410" s="24"/>
      <c r="K410" s="25"/>
    </row>
    <row r="411" s="5" customFormat="1" ht="16.5" spans="1:11">
      <c r="A411" s="22"/>
      <c r="B411" s="23"/>
      <c r="C411" s="24"/>
      <c r="D411" s="24"/>
      <c r="E411" s="24"/>
      <c r="F411" s="24"/>
      <c r="G411" s="24"/>
      <c r="H411" s="24"/>
      <c r="I411" s="24"/>
      <c r="J411" s="24"/>
      <c r="K411" s="25"/>
    </row>
    <row r="412" s="5" customFormat="1" ht="16.5" spans="1:11">
      <c r="A412" s="22"/>
      <c r="B412" s="23"/>
      <c r="C412" s="24"/>
      <c r="D412" s="24"/>
      <c r="E412" s="24"/>
      <c r="F412" s="24"/>
      <c r="G412" s="24"/>
      <c r="H412" s="24"/>
      <c r="I412" s="24"/>
      <c r="J412" s="24"/>
      <c r="K412" s="25"/>
    </row>
    <row r="413" s="5" customFormat="1" ht="16.5" spans="1:11">
      <c r="A413" s="22"/>
      <c r="B413" s="23"/>
      <c r="C413" s="24"/>
      <c r="D413" s="24"/>
      <c r="E413" s="24"/>
      <c r="F413" s="24"/>
      <c r="G413" s="24"/>
      <c r="H413" s="24"/>
      <c r="I413" s="24"/>
      <c r="J413" s="24"/>
      <c r="K413" s="25"/>
    </row>
    <row r="414" s="5" customFormat="1" ht="16.5" spans="1:11">
      <c r="A414" s="22"/>
      <c r="B414" s="23"/>
      <c r="C414" s="24"/>
      <c r="D414" s="24"/>
      <c r="E414" s="24"/>
      <c r="F414" s="24"/>
      <c r="G414" s="24"/>
      <c r="H414" s="24"/>
      <c r="I414" s="24"/>
      <c r="J414" s="24"/>
      <c r="K414" s="25"/>
    </row>
    <row r="415" s="5" customFormat="1" ht="16.5" spans="1:11">
      <c r="A415" s="22"/>
      <c r="B415" s="23"/>
      <c r="C415" s="24"/>
      <c r="D415" s="24"/>
      <c r="E415" s="24"/>
      <c r="F415" s="24"/>
      <c r="G415" s="24"/>
      <c r="H415" s="24"/>
      <c r="I415" s="24"/>
      <c r="J415" s="24"/>
      <c r="K415" s="25"/>
    </row>
    <row r="416" s="5" customFormat="1" ht="16.5" spans="1:11">
      <c r="A416" s="22"/>
      <c r="B416" s="23"/>
      <c r="C416" s="24"/>
      <c r="D416" s="24"/>
      <c r="E416" s="24"/>
      <c r="F416" s="24"/>
      <c r="G416" s="24"/>
      <c r="H416" s="24"/>
      <c r="I416" s="24"/>
      <c r="J416" s="24"/>
      <c r="K416" s="25"/>
    </row>
    <row r="417" s="5" customFormat="1" ht="16.5" spans="1:11">
      <c r="A417" s="22"/>
      <c r="B417" s="23"/>
      <c r="C417" s="24"/>
      <c r="D417" s="24"/>
      <c r="E417" s="24"/>
      <c r="F417" s="24"/>
      <c r="G417" s="24"/>
      <c r="H417" s="24"/>
      <c r="I417" s="24"/>
      <c r="J417" s="24"/>
      <c r="K417" s="25"/>
    </row>
    <row r="418" s="5" customFormat="1" ht="16.5" spans="1:11">
      <c r="A418" s="22"/>
      <c r="B418" s="23"/>
      <c r="C418" s="24"/>
      <c r="D418" s="24"/>
      <c r="E418" s="24"/>
      <c r="F418" s="24"/>
      <c r="G418" s="24"/>
      <c r="H418" s="24"/>
      <c r="I418" s="24"/>
      <c r="J418" s="24"/>
      <c r="K418" s="25"/>
    </row>
    <row r="419" s="5" customFormat="1" ht="16.5" spans="1:11">
      <c r="A419" s="22"/>
      <c r="B419" s="23"/>
      <c r="C419" s="24"/>
      <c r="D419" s="24"/>
      <c r="E419" s="24"/>
      <c r="F419" s="24"/>
      <c r="G419" s="24"/>
      <c r="H419" s="24"/>
      <c r="I419" s="24"/>
      <c r="J419" s="24"/>
      <c r="K419" s="25"/>
    </row>
    <row r="420" s="5" customFormat="1" ht="16.5" spans="1:11">
      <c r="A420" s="22"/>
      <c r="B420" s="23"/>
      <c r="C420" s="24"/>
      <c r="D420" s="24"/>
      <c r="E420" s="24"/>
      <c r="F420" s="24"/>
      <c r="G420" s="24"/>
      <c r="H420" s="24"/>
      <c r="I420" s="24"/>
      <c r="J420" s="24"/>
      <c r="K420" s="25"/>
    </row>
    <row r="421" s="5" customFormat="1" ht="16.5" spans="1:11">
      <c r="A421" s="22"/>
      <c r="B421" s="23"/>
      <c r="C421" s="24"/>
      <c r="D421" s="24"/>
      <c r="E421" s="24"/>
      <c r="F421" s="24"/>
      <c r="G421" s="24"/>
      <c r="H421" s="24"/>
      <c r="I421" s="24"/>
      <c r="J421" s="24"/>
      <c r="K421" s="25"/>
    </row>
    <row r="422" s="5" customFormat="1" ht="16.5" spans="1:11">
      <c r="A422" s="22"/>
      <c r="B422" s="23"/>
      <c r="C422" s="24"/>
      <c r="D422" s="24"/>
      <c r="E422" s="24"/>
      <c r="F422" s="24"/>
      <c r="G422" s="24"/>
      <c r="H422" s="24"/>
      <c r="I422" s="24"/>
      <c r="J422" s="24"/>
      <c r="K422" s="25"/>
    </row>
    <row r="423" s="5" customFormat="1" ht="16.5" spans="1:11">
      <c r="A423" s="22"/>
      <c r="B423" s="23"/>
      <c r="C423" s="24"/>
      <c r="D423" s="24"/>
      <c r="E423" s="24"/>
      <c r="F423" s="24"/>
      <c r="G423" s="24"/>
      <c r="H423" s="24"/>
      <c r="I423" s="24"/>
      <c r="J423" s="24"/>
      <c r="K423" s="25"/>
    </row>
    <row r="424" s="5" customFormat="1" ht="16.5" spans="1:11">
      <c r="A424" s="22"/>
      <c r="B424" s="23"/>
      <c r="C424" s="24"/>
      <c r="D424" s="24"/>
      <c r="E424" s="24"/>
      <c r="F424" s="24"/>
      <c r="G424" s="24"/>
      <c r="H424" s="24"/>
      <c r="I424" s="24"/>
      <c r="J424" s="24"/>
      <c r="K424" s="25"/>
    </row>
    <row r="425" s="5" customFormat="1" ht="16.5" spans="1:11">
      <c r="A425" s="22"/>
      <c r="B425" s="23"/>
      <c r="C425" s="24"/>
      <c r="D425" s="24"/>
      <c r="E425" s="24"/>
      <c r="F425" s="24"/>
      <c r="G425" s="24"/>
      <c r="H425" s="24"/>
      <c r="I425" s="24"/>
      <c r="J425" s="24"/>
      <c r="K425" s="25"/>
    </row>
    <row r="426" s="5" customFormat="1" ht="16.5" spans="1:11">
      <c r="A426" s="22"/>
      <c r="B426" s="23"/>
      <c r="C426" s="24"/>
      <c r="D426" s="24"/>
      <c r="E426" s="24"/>
      <c r="F426" s="24"/>
      <c r="G426" s="24"/>
      <c r="H426" s="24"/>
      <c r="I426" s="24"/>
      <c r="J426" s="24"/>
      <c r="K426" s="25"/>
    </row>
    <row r="427" s="5" customFormat="1" ht="16.5" spans="1:11">
      <c r="A427" s="22"/>
      <c r="B427" s="23"/>
      <c r="C427" s="24"/>
      <c r="D427" s="24"/>
      <c r="E427" s="24"/>
      <c r="F427" s="24"/>
      <c r="G427" s="24"/>
      <c r="H427" s="24"/>
      <c r="I427" s="24"/>
      <c r="J427" s="24"/>
      <c r="K427" s="25"/>
    </row>
    <row r="428" s="5" customFormat="1" ht="16.5" spans="1:11">
      <c r="A428" s="22"/>
      <c r="B428" s="23"/>
      <c r="C428" s="24"/>
      <c r="D428" s="24"/>
      <c r="E428" s="24"/>
      <c r="F428" s="24"/>
      <c r="G428" s="24"/>
      <c r="H428" s="24"/>
      <c r="I428" s="24"/>
      <c r="J428" s="24"/>
      <c r="K428" s="25"/>
    </row>
    <row r="429" s="5" customFormat="1" ht="16.5" spans="1:11">
      <c r="A429" s="22"/>
      <c r="B429" s="23"/>
      <c r="C429" s="24"/>
      <c r="D429" s="24"/>
      <c r="E429" s="24"/>
      <c r="F429" s="24"/>
      <c r="G429" s="24"/>
      <c r="H429" s="24"/>
      <c r="I429" s="24"/>
      <c r="J429" s="24"/>
      <c r="K429" s="25"/>
    </row>
    <row r="430" s="5" customFormat="1" ht="16.5" spans="1:11">
      <c r="A430" s="22"/>
      <c r="B430" s="23"/>
      <c r="C430" s="24"/>
      <c r="D430" s="24"/>
      <c r="E430" s="24"/>
      <c r="F430" s="24"/>
      <c r="G430" s="24"/>
      <c r="H430" s="24"/>
      <c r="I430" s="24"/>
      <c r="J430" s="24"/>
      <c r="K430" s="25"/>
    </row>
    <row r="431" s="5" customFormat="1" ht="16.5" spans="1:11">
      <c r="A431" s="22"/>
      <c r="B431" s="23"/>
      <c r="C431" s="24"/>
      <c r="D431" s="24"/>
      <c r="E431" s="24"/>
      <c r="F431" s="24"/>
      <c r="G431" s="24"/>
      <c r="H431" s="24"/>
      <c r="I431" s="24"/>
      <c r="J431" s="24"/>
      <c r="K431" s="25"/>
    </row>
    <row r="432" s="5" customFormat="1" ht="16.5" spans="1:11">
      <c r="A432" s="22"/>
      <c r="B432" s="23"/>
      <c r="C432" s="24"/>
      <c r="D432" s="24"/>
      <c r="E432" s="24"/>
      <c r="F432" s="24"/>
      <c r="G432" s="24"/>
      <c r="H432" s="24"/>
      <c r="I432" s="24"/>
      <c r="J432" s="24"/>
      <c r="K432" s="25"/>
    </row>
    <row r="433" s="5" customFormat="1" ht="16.5" spans="1:11">
      <c r="A433" s="22"/>
      <c r="B433" s="23"/>
      <c r="C433" s="24"/>
      <c r="D433" s="24"/>
      <c r="E433" s="24"/>
      <c r="F433" s="24"/>
      <c r="G433" s="24"/>
      <c r="H433" s="24"/>
      <c r="I433" s="24"/>
      <c r="J433" s="24"/>
      <c r="K433" s="25"/>
    </row>
    <row r="434" s="5" customFormat="1" ht="16.5" spans="1:11">
      <c r="A434" s="22"/>
      <c r="B434" s="23"/>
      <c r="C434" s="24"/>
      <c r="D434" s="24"/>
      <c r="E434" s="24"/>
      <c r="F434" s="24"/>
      <c r="G434" s="24"/>
      <c r="H434" s="24"/>
      <c r="I434" s="24"/>
      <c r="J434" s="24"/>
      <c r="K434" s="25"/>
    </row>
    <row r="435" s="5" customFormat="1" ht="16.5" spans="1:11">
      <c r="A435" s="22"/>
      <c r="B435" s="23"/>
      <c r="C435" s="24"/>
      <c r="D435" s="24"/>
      <c r="E435" s="24"/>
      <c r="F435" s="24"/>
      <c r="G435" s="24"/>
      <c r="H435" s="24"/>
      <c r="I435" s="24"/>
      <c r="J435" s="24"/>
      <c r="K435" s="25"/>
    </row>
    <row r="436" s="5" customFormat="1" ht="16.5" spans="1:11">
      <c r="A436" s="22"/>
      <c r="B436" s="23"/>
      <c r="C436" s="24"/>
      <c r="D436" s="24"/>
      <c r="E436" s="24"/>
      <c r="F436" s="24"/>
      <c r="G436" s="24"/>
      <c r="H436" s="24"/>
      <c r="I436" s="24"/>
      <c r="J436" s="24"/>
      <c r="K436" s="25"/>
    </row>
    <row r="437" s="5" customFormat="1" ht="16.5" spans="1:11">
      <c r="A437" s="22"/>
      <c r="B437" s="23"/>
      <c r="C437" s="24"/>
      <c r="D437" s="24"/>
      <c r="E437" s="24"/>
      <c r="F437" s="24"/>
      <c r="G437" s="24"/>
      <c r="H437" s="24"/>
      <c r="I437" s="24"/>
      <c r="J437" s="24"/>
      <c r="K437" s="25"/>
    </row>
    <row r="438" s="5" customFormat="1" ht="16.5" spans="1:11">
      <c r="A438" s="22"/>
      <c r="B438" s="23"/>
      <c r="C438" s="24"/>
      <c r="D438" s="24"/>
      <c r="E438" s="24"/>
      <c r="F438" s="24"/>
      <c r="G438" s="24"/>
      <c r="H438" s="24"/>
      <c r="I438" s="24"/>
      <c r="J438" s="24"/>
      <c r="K438" s="25"/>
    </row>
    <row r="439" s="5" customFormat="1" ht="16.5" spans="1:11">
      <c r="A439" s="22"/>
      <c r="B439" s="23"/>
      <c r="C439" s="24"/>
      <c r="D439" s="24"/>
      <c r="E439" s="24"/>
      <c r="F439" s="24"/>
      <c r="G439" s="24"/>
      <c r="H439" s="24"/>
      <c r="I439" s="24"/>
      <c r="J439" s="24"/>
      <c r="K439" s="25"/>
    </row>
    <row r="440" s="5" customFormat="1" ht="16.5" spans="1:11">
      <c r="A440" s="22"/>
      <c r="B440" s="23"/>
      <c r="C440" s="24"/>
      <c r="D440" s="24"/>
      <c r="E440" s="24"/>
      <c r="F440" s="24"/>
      <c r="G440" s="24"/>
      <c r="H440" s="24"/>
      <c r="I440" s="24"/>
      <c r="J440" s="24"/>
      <c r="K440" s="25"/>
    </row>
    <row r="441" s="5" customFormat="1" ht="16.5" spans="1:11">
      <c r="A441" s="22"/>
      <c r="B441" s="23"/>
      <c r="C441" s="24"/>
      <c r="D441" s="24"/>
      <c r="E441" s="24"/>
      <c r="F441" s="24"/>
      <c r="G441" s="24"/>
      <c r="H441" s="24"/>
      <c r="I441" s="24"/>
      <c r="J441" s="24"/>
      <c r="K441" s="25"/>
    </row>
    <row r="442" s="5" customFormat="1" ht="16.5" spans="1:11">
      <c r="A442" s="22"/>
      <c r="B442" s="23"/>
      <c r="C442" s="24"/>
      <c r="D442" s="24"/>
      <c r="E442" s="24"/>
      <c r="F442" s="24"/>
      <c r="G442" s="24"/>
      <c r="H442" s="24"/>
      <c r="I442" s="24"/>
      <c r="J442" s="24"/>
      <c r="K442" s="25"/>
    </row>
    <row r="443" s="5" customFormat="1" ht="16.5" spans="1:11">
      <c r="A443" s="22"/>
      <c r="B443" s="23"/>
      <c r="C443" s="24"/>
      <c r="D443" s="24"/>
      <c r="E443" s="24"/>
      <c r="F443" s="24"/>
      <c r="G443" s="24"/>
      <c r="H443" s="24"/>
      <c r="I443" s="24"/>
      <c r="J443" s="24"/>
      <c r="K443" s="25"/>
    </row>
    <row r="444" s="5" customFormat="1" ht="16.5" spans="1:11">
      <c r="A444" s="22"/>
      <c r="B444" s="23"/>
      <c r="C444" s="24"/>
      <c r="D444" s="24"/>
      <c r="E444" s="24"/>
      <c r="F444" s="24"/>
      <c r="G444" s="24"/>
      <c r="H444" s="24"/>
      <c r="I444" s="24"/>
      <c r="J444" s="24"/>
      <c r="K444" s="25"/>
    </row>
    <row r="445" s="5" customFormat="1" ht="16.5" spans="1:11">
      <c r="A445" s="22"/>
      <c r="B445" s="23"/>
      <c r="C445" s="24"/>
      <c r="D445" s="24"/>
      <c r="E445" s="24"/>
      <c r="F445" s="24"/>
      <c r="G445" s="24"/>
      <c r="H445" s="24"/>
      <c r="I445" s="24"/>
      <c r="J445" s="24"/>
      <c r="K445" s="25"/>
    </row>
    <row r="446" s="5" customFormat="1" ht="16.5" spans="1:11">
      <c r="A446" s="22"/>
      <c r="B446" s="23"/>
      <c r="C446" s="24"/>
      <c r="D446" s="24"/>
      <c r="E446" s="24"/>
      <c r="F446" s="24"/>
      <c r="G446" s="24"/>
      <c r="H446" s="24"/>
      <c r="I446" s="24"/>
      <c r="J446" s="24"/>
      <c r="K446" s="25"/>
    </row>
    <row r="447" s="5" customFormat="1" ht="16.5" spans="1:11">
      <c r="A447" s="22"/>
      <c r="B447" s="23"/>
      <c r="C447" s="24"/>
      <c r="D447" s="24"/>
      <c r="E447" s="24"/>
      <c r="F447" s="24"/>
      <c r="G447" s="24"/>
      <c r="H447" s="24"/>
      <c r="I447" s="24"/>
      <c r="J447" s="24"/>
      <c r="K447" s="25"/>
    </row>
    <row r="448" s="5" customFormat="1" ht="16.5" spans="1:11">
      <c r="A448" s="22"/>
      <c r="B448" s="23"/>
      <c r="C448" s="24"/>
      <c r="D448" s="24"/>
      <c r="E448" s="24"/>
      <c r="F448" s="24"/>
      <c r="G448" s="24"/>
      <c r="H448" s="24"/>
      <c r="I448" s="24"/>
      <c r="J448" s="24"/>
      <c r="K448" s="25"/>
    </row>
    <row r="449" s="5" customFormat="1" ht="16.5" spans="1:11">
      <c r="A449" s="22"/>
      <c r="B449" s="23"/>
      <c r="C449" s="24"/>
      <c r="D449" s="24"/>
      <c r="E449" s="24"/>
      <c r="F449" s="24"/>
      <c r="G449" s="24"/>
      <c r="H449" s="24"/>
      <c r="I449" s="24"/>
      <c r="J449" s="24"/>
      <c r="K449" s="25"/>
    </row>
    <row r="450" s="5" customFormat="1" ht="16.5" spans="1:11">
      <c r="A450" s="22"/>
      <c r="B450" s="23"/>
      <c r="C450" s="24"/>
      <c r="D450" s="24"/>
      <c r="E450" s="24"/>
      <c r="F450" s="24"/>
      <c r="G450" s="24"/>
      <c r="H450" s="24"/>
      <c r="I450" s="24"/>
      <c r="J450" s="24"/>
      <c r="K450" s="25"/>
    </row>
    <row r="451" s="5" customFormat="1" ht="16.5" spans="1:11">
      <c r="A451" s="22"/>
      <c r="B451" s="23"/>
      <c r="C451" s="24"/>
      <c r="D451" s="24"/>
      <c r="E451" s="24"/>
      <c r="F451" s="24"/>
      <c r="G451" s="24"/>
      <c r="H451" s="24"/>
      <c r="I451" s="24"/>
      <c r="J451" s="24"/>
      <c r="K451" s="25"/>
    </row>
    <row r="452" s="5" customFormat="1" ht="16.5" spans="1:11">
      <c r="A452" s="22"/>
      <c r="B452" s="23"/>
      <c r="C452" s="24"/>
      <c r="D452" s="24"/>
      <c r="E452" s="24"/>
      <c r="F452" s="24"/>
      <c r="G452" s="24"/>
      <c r="H452" s="24"/>
      <c r="I452" s="24"/>
      <c r="J452" s="24"/>
      <c r="K452" s="25"/>
    </row>
    <row r="453" s="5" customFormat="1" ht="16.5" spans="1:11">
      <c r="A453" s="22"/>
      <c r="B453" s="23"/>
      <c r="C453" s="24"/>
      <c r="D453" s="24"/>
      <c r="E453" s="24"/>
      <c r="F453" s="24"/>
      <c r="G453" s="24"/>
      <c r="H453" s="24"/>
      <c r="I453" s="24"/>
      <c r="J453" s="24"/>
      <c r="K453" s="25"/>
    </row>
    <row r="454" s="5" customFormat="1" ht="16.5" spans="1:11">
      <c r="A454" s="22"/>
      <c r="B454" s="23"/>
      <c r="C454" s="24"/>
      <c r="D454" s="24"/>
      <c r="E454" s="24"/>
      <c r="F454" s="24"/>
      <c r="G454" s="24"/>
      <c r="H454" s="24"/>
      <c r="I454" s="24"/>
      <c r="J454" s="24"/>
      <c r="K454" s="25"/>
    </row>
    <row r="455" s="5" customFormat="1" ht="16.5" spans="1:11">
      <c r="A455" s="22"/>
      <c r="B455" s="23"/>
      <c r="C455" s="24"/>
      <c r="D455" s="24"/>
      <c r="E455" s="24"/>
      <c r="F455" s="24"/>
      <c r="G455" s="24"/>
      <c r="H455" s="24"/>
      <c r="I455" s="24"/>
      <c r="J455" s="24"/>
      <c r="K455" s="25"/>
    </row>
    <row r="456" s="5" customFormat="1" ht="16.5" spans="1:11">
      <c r="A456" s="22"/>
      <c r="B456" s="23"/>
      <c r="C456" s="24"/>
      <c r="D456" s="24"/>
      <c r="E456" s="24"/>
      <c r="F456" s="24"/>
      <c r="G456" s="24"/>
      <c r="H456" s="24"/>
      <c r="I456" s="24"/>
      <c r="J456" s="24"/>
      <c r="K456" s="25"/>
    </row>
    <row r="457" s="5" customFormat="1" ht="16.5" spans="1:11">
      <c r="A457" s="22"/>
      <c r="B457" s="23"/>
      <c r="C457" s="24"/>
      <c r="D457" s="24"/>
      <c r="E457" s="24"/>
      <c r="F457" s="24"/>
      <c r="G457" s="24"/>
      <c r="H457" s="24"/>
      <c r="I457" s="24"/>
      <c r="J457" s="24"/>
      <c r="K457" s="25"/>
    </row>
    <row r="458" s="5" customFormat="1" ht="16.5" spans="1:11">
      <c r="A458" s="22"/>
      <c r="B458" s="23"/>
      <c r="C458" s="24"/>
      <c r="D458" s="24"/>
      <c r="E458" s="24"/>
      <c r="F458" s="24"/>
      <c r="G458" s="24"/>
      <c r="H458" s="24"/>
      <c r="I458" s="24"/>
      <c r="J458" s="24"/>
      <c r="K458" s="25"/>
    </row>
    <row r="459" s="5" customFormat="1" ht="16.5" spans="1:11">
      <c r="A459" s="22"/>
      <c r="B459" s="23"/>
      <c r="C459" s="24"/>
      <c r="D459" s="24"/>
      <c r="E459" s="24"/>
      <c r="F459" s="24"/>
      <c r="G459" s="24"/>
      <c r="H459" s="24"/>
      <c r="I459" s="24"/>
      <c r="J459" s="24"/>
      <c r="K459" s="25"/>
    </row>
    <row r="460" s="5" customFormat="1" ht="16.5" spans="1:11">
      <c r="A460" s="22"/>
      <c r="B460" s="23"/>
      <c r="C460" s="24"/>
      <c r="D460" s="24"/>
      <c r="E460" s="24"/>
      <c r="F460" s="24"/>
      <c r="G460" s="24"/>
      <c r="H460" s="24"/>
      <c r="I460" s="24"/>
      <c r="J460" s="24"/>
      <c r="K460" s="25"/>
    </row>
    <row r="461" s="5" customFormat="1" ht="16.5" spans="1:11">
      <c r="A461" s="22"/>
      <c r="B461" s="23"/>
      <c r="C461" s="24"/>
      <c r="D461" s="24"/>
      <c r="E461" s="24"/>
      <c r="F461" s="24"/>
      <c r="G461" s="24"/>
      <c r="H461" s="24"/>
      <c r="I461" s="24"/>
      <c r="J461" s="24"/>
      <c r="K461" s="25"/>
    </row>
    <row r="462" s="5" customFormat="1" ht="16.5" spans="1:11">
      <c r="A462" s="22"/>
      <c r="B462" s="23"/>
      <c r="C462" s="24"/>
      <c r="D462" s="24"/>
      <c r="E462" s="24"/>
      <c r="F462" s="24"/>
      <c r="G462" s="24"/>
      <c r="H462" s="24"/>
      <c r="I462" s="24"/>
      <c r="J462" s="24"/>
      <c r="K462" s="25"/>
    </row>
    <row r="463" s="5" customFormat="1" ht="16.5" spans="1:11">
      <c r="A463" s="22"/>
      <c r="B463" s="23"/>
      <c r="C463" s="24"/>
      <c r="D463" s="24"/>
      <c r="E463" s="24"/>
      <c r="F463" s="24"/>
      <c r="G463" s="24"/>
      <c r="H463" s="24"/>
      <c r="I463" s="24"/>
      <c r="J463" s="24"/>
      <c r="K463" s="25"/>
    </row>
    <row r="464" s="5" customFormat="1" ht="16.5" spans="1:11">
      <c r="A464" s="22"/>
      <c r="B464" s="23"/>
      <c r="C464" s="24"/>
      <c r="D464" s="24"/>
      <c r="E464" s="24"/>
      <c r="F464" s="24"/>
      <c r="G464" s="24"/>
      <c r="H464" s="24"/>
      <c r="I464" s="24"/>
      <c r="J464" s="24"/>
      <c r="K464" s="25"/>
    </row>
    <row r="465" s="5" customFormat="1" ht="16.5" spans="1:11">
      <c r="A465" s="22"/>
      <c r="B465" s="23"/>
      <c r="C465" s="24"/>
      <c r="D465" s="24"/>
      <c r="E465" s="24"/>
      <c r="F465" s="24"/>
      <c r="G465" s="24"/>
      <c r="H465" s="24"/>
      <c r="I465" s="24"/>
      <c r="J465" s="24"/>
      <c r="K465" s="25"/>
    </row>
    <row r="466" s="5" customFormat="1" ht="16.5" spans="1:11">
      <c r="A466" s="22"/>
      <c r="B466" s="23"/>
      <c r="C466" s="24"/>
      <c r="D466" s="24"/>
      <c r="E466" s="24"/>
      <c r="F466" s="24"/>
      <c r="G466" s="24"/>
      <c r="H466" s="24"/>
      <c r="I466" s="24"/>
      <c r="J466" s="24"/>
      <c r="K466" s="25"/>
    </row>
    <row r="467" s="5" customFormat="1" ht="16.5" spans="1:11">
      <c r="A467" s="22"/>
      <c r="B467" s="23"/>
      <c r="C467" s="24"/>
      <c r="D467" s="24"/>
      <c r="E467" s="24"/>
      <c r="F467" s="24"/>
      <c r="G467" s="24"/>
      <c r="H467" s="24"/>
      <c r="I467" s="24"/>
      <c r="J467" s="24"/>
      <c r="K467" s="25"/>
    </row>
    <row r="468" s="5" customFormat="1" ht="16.5" spans="1:11">
      <c r="A468" s="22"/>
      <c r="B468" s="23"/>
      <c r="C468" s="24"/>
      <c r="D468" s="24"/>
      <c r="E468" s="24"/>
      <c r="F468" s="24"/>
      <c r="G468" s="24"/>
      <c r="H468" s="24"/>
      <c r="I468" s="24"/>
      <c r="J468" s="24"/>
      <c r="K468" s="25"/>
    </row>
    <row r="469" s="5" customFormat="1" ht="16.5" spans="1:11">
      <c r="A469" s="22"/>
      <c r="B469" s="23"/>
      <c r="C469" s="24"/>
      <c r="D469" s="24"/>
      <c r="E469" s="24"/>
      <c r="F469" s="24"/>
      <c r="G469" s="24"/>
      <c r="H469" s="24"/>
      <c r="I469" s="24"/>
      <c r="J469" s="24"/>
      <c r="K469" s="25"/>
    </row>
    <row r="470" s="5" customFormat="1" ht="16.5" spans="1:11">
      <c r="A470" s="22"/>
      <c r="B470" s="23"/>
      <c r="C470" s="24"/>
      <c r="D470" s="24"/>
      <c r="E470" s="24"/>
      <c r="F470" s="24"/>
      <c r="G470" s="24"/>
      <c r="H470" s="24"/>
      <c r="I470" s="24"/>
      <c r="J470" s="24"/>
      <c r="K470" s="25"/>
    </row>
    <row r="471" s="5" customFormat="1" ht="16.5" spans="1:11">
      <c r="A471" s="22"/>
      <c r="B471" s="23"/>
      <c r="C471" s="24"/>
      <c r="D471" s="24"/>
      <c r="E471" s="24"/>
      <c r="F471" s="24"/>
      <c r="G471" s="24"/>
      <c r="H471" s="24"/>
      <c r="I471" s="24"/>
      <c r="J471" s="24"/>
      <c r="K471" s="25"/>
    </row>
    <row r="472" s="5" customFormat="1" ht="16.5" spans="1:11">
      <c r="A472" s="22"/>
      <c r="B472" s="23"/>
      <c r="C472" s="24"/>
      <c r="D472" s="24"/>
      <c r="E472" s="24"/>
      <c r="F472" s="24"/>
      <c r="G472" s="24"/>
      <c r="H472" s="24"/>
      <c r="I472" s="24"/>
      <c r="J472" s="24"/>
      <c r="K472" s="25"/>
    </row>
    <row r="473" s="5" customFormat="1" ht="16.5" spans="1:11">
      <c r="A473" s="22"/>
      <c r="B473" s="23"/>
      <c r="C473" s="24"/>
      <c r="D473" s="24"/>
      <c r="E473" s="24"/>
      <c r="F473" s="24"/>
      <c r="G473" s="24"/>
      <c r="H473" s="24"/>
      <c r="I473" s="24"/>
      <c r="J473" s="24"/>
      <c r="K473" s="25"/>
    </row>
    <row r="474" s="5" customFormat="1" ht="16.5" spans="1:11">
      <c r="A474" s="22"/>
      <c r="B474" s="23"/>
      <c r="C474" s="24"/>
      <c r="D474" s="24"/>
      <c r="E474" s="24"/>
      <c r="F474" s="24"/>
      <c r="G474" s="24"/>
      <c r="H474" s="24"/>
      <c r="I474" s="24"/>
      <c r="J474" s="24"/>
      <c r="K474" s="25"/>
    </row>
    <row r="475" s="5" customFormat="1" ht="16.5" spans="1:11">
      <c r="A475" s="22"/>
      <c r="B475" s="23"/>
      <c r="C475" s="24"/>
      <c r="D475" s="24"/>
      <c r="E475" s="24"/>
      <c r="F475" s="24"/>
      <c r="G475" s="24"/>
      <c r="H475" s="24"/>
      <c r="I475" s="24"/>
      <c r="J475" s="24"/>
      <c r="K475" s="25"/>
    </row>
    <row r="476" s="5" customFormat="1" ht="16.5" spans="1:11">
      <c r="A476" s="22"/>
      <c r="B476" s="23"/>
      <c r="C476" s="24"/>
      <c r="D476" s="24"/>
      <c r="E476" s="24"/>
      <c r="F476" s="24"/>
      <c r="G476" s="24"/>
      <c r="H476" s="24"/>
      <c r="I476" s="24"/>
      <c r="J476" s="24"/>
      <c r="K476" s="25"/>
    </row>
    <row r="477" s="5" customFormat="1" ht="16.5" spans="1:11">
      <c r="A477" s="22"/>
      <c r="B477" s="23"/>
      <c r="C477" s="24"/>
      <c r="D477" s="24"/>
      <c r="E477" s="24"/>
      <c r="F477" s="24"/>
      <c r="G477" s="24"/>
      <c r="H477" s="24"/>
      <c r="I477" s="24"/>
      <c r="J477" s="24"/>
      <c r="K477" s="25"/>
    </row>
    <row r="478" s="5" customFormat="1" ht="16.5" spans="1:11">
      <c r="A478" s="22"/>
      <c r="B478" s="23"/>
      <c r="C478" s="24"/>
      <c r="D478" s="24"/>
      <c r="E478" s="24"/>
      <c r="F478" s="24"/>
      <c r="G478" s="24"/>
      <c r="H478" s="24"/>
      <c r="I478" s="24"/>
      <c r="J478" s="24"/>
      <c r="K478" s="25"/>
    </row>
    <row r="479" s="5" customFormat="1" ht="16.5" spans="1:11">
      <c r="A479" s="22"/>
      <c r="B479" s="23"/>
      <c r="C479" s="24"/>
      <c r="D479" s="24"/>
      <c r="E479" s="24"/>
      <c r="F479" s="24"/>
      <c r="G479" s="24"/>
      <c r="H479" s="24"/>
      <c r="I479" s="24"/>
      <c r="J479" s="24"/>
      <c r="K479" s="25"/>
    </row>
    <row r="480" s="5" customFormat="1" ht="16.5" spans="1:11">
      <c r="A480" s="22"/>
      <c r="B480" s="23"/>
      <c r="C480" s="24"/>
      <c r="D480" s="24"/>
      <c r="E480" s="24"/>
      <c r="F480" s="24"/>
      <c r="G480" s="24"/>
      <c r="H480" s="24"/>
      <c r="I480" s="24"/>
      <c r="J480" s="24"/>
      <c r="K480" s="25"/>
    </row>
    <row r="481" s="5" customFormat="1" ht="16.5" spans="1:11">
      <c r="A481" s="22"/>
      <c r="B481" s="23"/>
      <c r="C481" s="24"/>
      <c r="D481" s="24"/>
      <c r="E481" s="24"/>
      <c r="F481" s="24"/>
      <c r="G481" s="24"/>
      <c r="H481" s="24"/>
      <c r="I481" s="24"/>
      <c r="J481" s="24"/>
      <c r="K481" s="25"/>
    </row>
    <row r="482" s="5" customFormat="1" ht="16.5" spans="1:11">
      <c r="A482" s="22"/>
      <c r="B482" s="23"/>
      <c r="C482" s="24"/>
      <c r="D482" s="24"/>
      <c r="E482" s="24"/>
      <c r="F482" s="24"/>
      <c r="G482" s="24"/>
      <c r="H482" s="24"/>
      <c r="I482" s="24"/>
      <c r="J482" s="24"/>
      <c r="K482" s="25"/>
    </row>
    <row r="483" s="5" customFormat="1" ht="16.5" spans="1:11">
      <c r="A483" s="22"/>
      <c r="B483" s="23"/>
      <c r="C483" s="24"/>
      <c r="D483" s="24"/>
      <c r="E483" s="24"/>
      <c r="F483" s="24"/>
      <c r="G483" s="24"/>
      <c r="H483" s="24"/>
      <c r="I483" s="24"/>
      <c r="J483" s="24"/>
      <c r="K483" s="25"/>
    </row>
    <row r="484" s="5" customFormat="1" ht="16.5" spans="1:11">
      <c r="A484" s="22"/>
      <c r="B484" s="23"/>
      <c r="C484" s="24"/>
      <c r="D484" s="24"/>
      <c r="E484" s="24"/>
      <c r="F484" s="24"/>
      <c r="G484" s="24"/>
      <c r="H484" s="24"/>
      <c r="I484" s="24"/>
      <c r="J484" s="24"/>
      <c r="K484" s="25"/>
    </row>
    <row r="485" s="5" customFormat="1" ht="16.5" spans="1:11">
      <c r="A485" s="22"/>
      <c r="B485" s="23"/>
      <c r="C485" s="24"/>
      <c r="D485" s="24"/>
      <c r="E485" s="24"/>
      <c r="F485" s="24"/>
      <c r="G485" s="24"/>
      <c r="H485" s="24"/>
      <c r="I485" s="24"/>
      <c r="J485" s="24"/>
      <c r="K485" s="25"/>
    </row>
    <row r="486" s="5" customFormat="1" ht="16.5" spans="1:11">
      <c r="A486" s="22"/>
      <c r="B486" s="23"/>
      <c r="C486" s="24"/>
      <c r="D486" s="24"/>
      <c r="E486" s="24"/>
      <c r="F486" s="24"/>
      <c r="G486" s="24"/>
      <c r="H486" s="24"/>
      <c r="I486" s="24"/>
      <c r="J486" s="24"/>
      <c r="K486" s="25"/>
    </row>
    <row r="487" s="5" customFormat="1" ht="16.5" spans="1:11">
      <c r="A487" s="22"/>
      <c r="B487" s="23"/>
      <c r="C487" s="24"/>
      <c r="D487" s="24"/>
      <c r="E487" s="24"/>
      <c r="F487" s="24"/>
      <c r="G487" s="24"/>
      <c r="H487" s="24"/>
      <c r="I487" s="24"/>
      <c r="J487" s="24"/>
      <c r="K487" s="25"/>
    </row>
    <row r="488" s="5" customFormat="1" ht="16.5" spans="1:11">
      <c r="A488" s="22"/>
      <c r="B488" s="23"/>
      <c r="C488" s="24"/>
      <c r="D488" s="24"/>
      <c r="E488" s="24"/>
      <c r="F488" s="24"/>
      <c r="G488" s="24"/>
      <c r="H488" s="24"/>
      <c r="I488" s="24"/>
      <c r="J488" s="24"/>
      <c r="K488" s="25"/>
    </row>
    <row r="489" s="5" customFormat="1" ht="16.5" spans="1:11">
      <c r="A489" s="22"/>
      <c r="B489" s="23"/>
      <c r="C489" s="24"/>
      <c r="D489" s="24"/>
      <c r="E489" s="24"/>
      <c r="F489" s="24"/>
      <c r="G489" s="24"/>
      <c r="H489" s="24"/>
      <c r="I489" s="24"/>
      <c r="J489" s="24"/>
      <c r="K489" s="25"/>
    </row>
    <row r="490" s="5" customFormat="1" ht="16.5" spans="1:11">
      <c r="A490" s="22"/>
      <c r="B490" s="23"/>
      <c r="C490" s="24"/>
      <c r="D490" s="24"/>
      <c r="E490" s="24"/>
      <c r="F490" s="24"/>
      <c r="G490" s="24"/>
      <c r="H490" s="24"/>
      <c r="I490" s="24"/>
      <c r="J490" s="24"/>
      <c r="K490" s="25"/>
    </row>
    <row r="491" s="5" customFormat="1" ht="16.5" spans="1:11">
      <c r="A491" s="22"/>
      <c r="B491" s="23"/>
      <c r="C491" s="24"/>
      <c r="D491" s="24"/>
      <c r="E491" s="24"/>
      <c r="F491" s="24"/>
      <c r="G491" s="24"/>
      <c r="H491" s="24"/>
      <c r="I491" s="24"/>
      <c r="J491" s="24"/>
      <c r="K491" s="25"/>
    </row>
    <row r="492" s="5" customFormat="1" ht="16.5" spans="1:11">
      <c r="A492" s="22"/>
      <c r="B492" s="23"/>
      <c r="C492" s="24"/>
      <c r="D492" s="24"/>
      <c r="E492" s="24"/>
      <c r="F492" s="24"/>
      <c r="G492" s="24"/>
      <c r="H492" s="24"/>
      <c r="I492" s="24"/>
      <c r="J492" s="24"/>
      <c r="K492" s="25"/>
    </row>
    <row r="493" s="5" customFormat="1" ht="16.5" spans="1:11">
      <c r="A493" s="22"/>
      <c r="B493" s="23"/>
      <c r="C493" s="24"/>
      <c r="D493" s="24"/>
      <c r="E493" s="24"/>
      <c r="F493" s="24"/>
      <c r="G493" s="24"/>
      <c r="H493" s="24"/>
      <c r="I493" s="24"/>
      <c r="J493" s="24"/>
      <c r="K493" s="25"/>
    </row>
    <row r="494" s="5" customFormat="1" ht="16.5" spans="1:11">
      <c r="A494" s="22"/>
      <c r="B494" s="23"/>
      <c r="C494" s="24"/>
      <c r="D494" s="24"/>
      <c r="E494" s="24"/>
      <c r="F494" s="24"/>
      <c r="G494" s="24"/>
      <c r="H494" s="24"/>
      <c r="I494" s="24"/>
      <c r="J494" s="24"/>
      <c r="K494" s="25"/>
    </row>
    <row r="495" s="5" customFormat="1" ht="16.5" spans="1:11">
      <c r="A495" s="22"/>
      <c r="B495" s="23"/>
      <c r="C495" s="24"/>
      <c r="D495" s="24"/>
      <c r="E495" s="24"/>
      <c r="F495" s="24"/>
      <c r="G495" s="24"/>
      <c r="H495" s="24"/>
      <c r="I495" s="24"/>
      <c r="J495" s="24"/>
      <c r="K495" s="25"/>
    </row>
    <row r="496" s="5" customFormat="1" ht="16.5" spans="1:11">
      <c r="A496" s="22"/>
      <c r="B496" s="23"/>
      <c r="C496" s="24"/>
      <c r="D496" s="24"/>
      <c r="E496" s="24"/>
      <c r="F496" s="24"/>
      <c r="G496" s="24"/>
      <c r="H496" s="24"/>
      <c r="I496" s="24"/>
      <c r="J496" s="24"/>
      <c r="K496" s="25"/>
    </row>
    <row r="497" s="5" customFormat="1" ht="16.5" spans="1:11">
      <c r="A497" s="22"/>
      <c r="B497" s="23"/>
      <c r="C497" s="24"/>
      <c r="D497" s="24"/>
      <c r="E497" s="24"/>
      <c r="F497" s="24"/>
      <c r="G497" s="24"/>
      <c r="H497" s="24"/>
      <c r="I497" s="24"/>
      <c r="J497" s="24"/>
      <c r="K497" s="25"/>
    </row>
    <row r="498" s="5" customFormat="1" ht="16.5" spans="1:11">
      <c r="A498" s="22"/>
      <c r="B498" s="23"/>
      <c r="C498" s="24"/>
      <c r="D498" s="24"/>
      <c r="E498" s="24"/>
      <c r="F498" s="24"/>
      <c r="G498" s="24"/>
      <c r="H498" s="24"/>
      <c r="I498" s="24"/>
      <c r="J498" s="24"/>
      <c r="K498" s="25"/>
    </row>
    <row r="499" s="5" customFormat="1" ht="16.5" spans="1:11">
      <c r="A499" s="22"/>
      <c r="B499" s="23"/>
      <c r="C499" s="24"/>
      <c r="D499" s="24"/>
      <c r="E499" s="24"/>
      <c r="F499" s="24"/>
      <c r="G499" s="24"/>
      <c r="H499" s="24"/>
      <c r="I499" s="24"/>
      <c r="J499" s="24"/>
      <c r="K499" s="25"/>
    </row>
    <row r="500" s="5" customFormat="1" ht="16.5" spans="1:11">
      <c r="A500" s="22"/>
      <c r="B500" s="23"/>
      <c r="C500" s="24"/>
      <c r="D500" s="24"/>
      <c r="E500" s="24"/>
      <c r="F500" s="24"/>
      <c r="G500" s="24"/>
      <c r="H500" s="24"/>
      <c r="I500" s="24"/>
      <c r="J500" s="24"/>
      <c r="K500" s="25"/>
    </row>
    <row r="501" s="5" customFormat="1" ht="16.5" spans="1:11">
      <c r="A501" s="22"/>
      <c r="B501" s="23"/>
      <c r="C501" s="24"/>
      <c r="D501" s="24"/>
      <c r="E501" s="24"/>
      <c r="F501" s="24"/>
      <c r="G501" s="24"/>
      <c r="H501" s="24"/>
      <c r="I501" s="24"/>
      <c r="J501" s="24"/>
      <c r="K501" s="25"/>
    </row>
    <row r="502" s="5" customFormat="1" ht="16.5" spans="1:11">
      <c r="A502" s="22"/>
      <c r="B502" s="23"/>
      <c r="C502" s="24"/>
      <c r="D502" s="24"/>
      <c r="E502" s="24"/>
      <c r="F502" s="24"/>
      <c r="G502" s="24"/>
      <c r="H502" s="24"/>
      <c r="I502" s="24"/>
      <c r="J502" s="24"/>
      <c r="K502" s="25"/>
    </row>
    <row r="503" s="5" customFormat="1" ht="16.5" spans="1:11">
      <c r="A503" s="22"/>
      <c r="B503" s="23"/>
      <c r="C503" s="24"/>
      <c r="D503" s="24"/>
      <c r="E503" s="24"/>
      <c r="F503" s="24"/>
      <c r="G503" s="24"/>
      <c r="H503" s="24"/>
      <c r="I503" s="24"/>
      <c r="J503" s="24"/>
      <c r="K503" s="25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3"/>
  <sheetViews>
    <sheetView showGridLines="0" workbookViewId="0">
      <pane ySplit="3" topLeftCell="A4" activePane="bottomLeft" state="frozen"/>
      <selection/>
      <selection pane="bottomLeft" activeCell="E14" sqref="E14"/>
    </sheetView>
  </sheetViews>
  <sheetFormatPr defaultColWidth="9" defaultRowHeight="13.5"/>
  <cols>
    <col min="1" max="1" width="8" customWidth="1"/>
    <col min="2" max="2" width="12" style="6" customWidth="1"/>
    <col min="3" max="3" width="18" style="7" customWidth="1"/>
    <col min="4" max="4" width="14" style="8" customWidth="1"/>
    <col min="5" max="5" width="20" style="7" customWidth="1"/>
    <col min="6" max="6" width="18" style="8" customWidth="1"/>
    <col min="7" max="8" width="12" style="7" customWidth="1"/>
    <col min="9" max="9" width="16" style="7" customWidth="1"/>
    <col min="10" max="10" width="12" style="8" customWidth="1"/>
    <col min="11" max="11" width="7.375" style="9" customWidth="1"/>
    <col min="12" max="16373" width="10" style="5" customWidth="1"/>
    <col min="16374" max="16374" width="10" style="5"/>
    <col min="16375" max="16378" width="9" style="5"/>
    <col min="16379" max="16379" width="10" style="5"/>
    <col min="16380" max="16384" width="9" style="5"/>
  </cols>
  <sheetData>
    <row r="1" s="5" customFormat="1" ht="28" customHeight="1" spans="1:11">
      <c r="A1" s="10" t="s">
        <v>310</v>
      </c>
      <c r="B1" s="11"/>
      <c r="C1" s="12"/>
      <c r="D1" s="12"/>
      <c r="E1" s="12"/>
      <c r="F1" s="12"/>
      <c r="G1" s="12"/>
      <c r="H1" s="12"/>
      <c r="I1" s="12"/>
      <c r="J1" s="12"/>
      <c r="K1" s="13"/>
    </row>
    <row r="2" s="5" customFormat="1" ht="24" customHeight="1" spans="1:11">
      <c r="A2" s="14" t="s">
        <v>295</v>
      </c>
      <c r="B2" s="15" t="s">
        <v>111</v>
      </c>
      <c r="C2" s="16" t="s">
        <v>100</v>
      </c>
      <c r="D2" s="17">
        <f>IFERROR(VLOOKUP($B$2,数据录入!$C$5:$H$18,6,0),0)</f>
        <v>0</v>
      </c>
      <c r="E2" s="16" t="s">
        <v>296</v>
      </c>
      <c r="F2" s="17">
        <f>SUMIFS(数据录入!$F$19:$F$10000,数据录入!$C$19:$C$10000,$B$2)</f>
        <v>0</v>
      </c>
      <c r="G2" s="16" t="s">
        <v>297</v>
      </c>
      <c r="H2" s="17">
        <f>SUMIFS(数据录入!$G$19:$G$10000,数据录入!$C$19:$C$10000,$B$2)</f>
        <v>0</v>
      </c>
      <c r="I2" s="16" t="s">
        <v>298</v>
      </c>
      <c r="J2" s="17">
        <f>D2+F2-H2</f>
        <v>0</v>
      </c>
      <c r="K2" s="18"/>
    </row>
    <row r="3" s="5" customFormat="1" ht="24" customHeight="1" spans="1:11">
      <c r="A3" s="19" t="s">
        <v>92</v>
      </c>
      <c r="B3" s="19" t="s">
        <v>93</v>
      </c>
      <c r="C3" s="19" t="s">
        <v>94</v>
      </c>
      <c r="D3" s="19" t="s">
        <v>38</v>
      </c>
      <c r="E3" s="19" t="s">
        <v>95</v>
      </c>
      <c r="F3" s="19" t="s">
        <v>96</v>
      </c>
      <c r="G3" s="19" t="s">
        <v>97</v>
      </c>
      <c r="H3" s="19" t="s">
        <v>91</v>
      </c>
      <c r="I3" s="20" t="s">
        <v>39</v>
      </c>
      <c r="J3" s="20" t="s">
        <v>41</v>
      </c>
      <c r="K3" s="21" t="s">
        <v>98</v>
      </c>
    </row>
    <row r="4" s="5" customFormat="1" ht="20" customHeight="1" spans="1:11">
      <c r="A4" s="22" vm="1" t="e" cm="1">
        <f t="array" ref="A4">_xlfn._xlws.FILTER(数据录入!$A$19:$K$10000,数据录入!$C$19:$C$10000=$B$2)</f>
        <v>#VALUE!</v>
      </c>
      <c r="B4" s="23"/>
      <c r="C4" s="24"/>
      <c r="D4" s="24"/>
      <c r="E4" s="24"/>
      <c r="F4" s="24"/>
      <c r="G4" s="24"/>
      <c r="H4" s="24"/>
      <c r="I4" s="24"/>
      <c r="J4" s="24"/>
      <c r="K4" s="25"/>
    </row>
    <row r="5" s="5" customFormat="1" ht="20" customHeight="1" spans="1:11">
      <c r="A5" s="22"/>
      <c r="B5" s="23"/>
      <c r="C5" s="24"/>
      <c r="D5" s="24"/>
      <c r="E5" s="24"/>
      <c r="F5" s="24"/>
      <c r="G5" s="24"/>
      <c r="H5" s="24"/>
      <c r="I5" s="24"/>
      <c r="J5" s="24"/>
      <c r="K5" s="25"/>
    </row>
    <row r="6" s="5" customFormat="1" ht="20" customHeight="1" spans="1:11">
      <c r="A6" s="22"/>
      <c r="B6" s="23"/>
      <c r="C6" s="24"/>
      <c r="D6" s="24"/>
      <c r="E6" s="24"/>
      <c r="F6" s="24"/>
      <c r="G6" s="24"/>
      <c r="H6" s="24"/>
      <c r="I6" s="24"/>
      <c r="J6" s="24"/>
      <c r="K6" s="25"/>
    </row>
    <row r="7" s="5" customFormat="1" ht="20" customHeight="1" spans="1:11">
      <c r="A7" s="22"/>
      <c r="B7" s="23"/>
      <c r="C7" s="24"/>
      <c r="D7" s="24"/>
      <c r="E7" s="24"/>
      <c r="F7" s="24"/>
      <c r="G7" s="24"/>
      <c r="H7" s="24"/>
      <c r="I7" s="24"/>
      <c r="J7" s="24"/>
      <c r="K7" s="25"/>
    </row>
    <row r="8" s="5" customFormat="1" ht="20" customHeight="1" spans="1:11">
      <c r="A8" s="22"/>
      <c r="B8" s="23"/>
      <c r="C8" s="24"/>
      <c r="D8" s="24"/>
      <c r="E8" s="24"/>
      <c r="F8" s="24"/>
      <c r="G8" s="24"/>
      <c r="H8" s="24"/>
      <c r="I8" s="24"/>
      <c r="J8" s="24"/>
      <c r="K8" s="25"/>
    </row>
    <row r="9" s="5" customFormat="1" ht="20" customHeight="1" spans="1:11">
      <c r="A9" s="22"/>
      <c r="B9" s="23"/>
      <c r="C9" s="24"/>
      <c r="D9" s="24"/>
      <c r="E9" s="24"/>
      <c r="F9" s="24"/>
      <c r="G9" s="24"/>
      <c r="H9" s="24"/>
      <c r="I9" s="24"/>
      <c r="J9" s="24"/>
      <c r="K9" s="25"/>
    </row>
    <row r="10" s="5" customFormat="1" ht="20" customHeight="1" spans="1:11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5"/>
    </row>
    <row r="11" s="5" customFormat="1" ht="20" customHeight="1" spans="1:11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5"/>
    </row>
    <row r="12" s="5" customFormat="1" ht="20" customHeight="1" spans="1:11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5"/>
    </row>
    <row r="13" s="5" customFormat="1" ht="20" customHeight="1" spans="1:11">
      <c r="A13" s="22"/>
      <c r="B13" s="23"/>
      <c r="C13" s="24"/>
      <c r="D13" s="24"/>
      <c r="E13" s="24"/>
      <c r="F13" s="24"/>
      <c r="G13" s="24"/>
      <c r="H13" s="24"/>
      <c r="I13" s="24"/>
      <c r="J13" s="24"/>
      <c r="K13" s="25"/>
    </row>
    <row r="14" s="5" customFormat="1" ht="20" customHeight="1" spans="1:1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5"/>
    </row>
    <row r="15" s="5" customFormat="1" ht="20" customHeight="1" spans="1:11">
      <c r="A15" s="22"/>
      <c r="B15" s="23"/>
      <c r="C15" s="24"/>
      <c r="D15" s="24"/>
      <c r="E15" s="24"/>
      <c r="F15" s="24"/>
      <c r="G15" s="24"/>
      <c r="H15" s="24"/>
      <c r="I15" s="24"/>
      <c r="J15" s="24"/>
      <c r="K15" s="25"/>
    </row>
    <row r="16" s="5" customFormat="1" ht="20" customHeight="1" spans="1:11">
      <c r="A16" s="22"/>
      <c r="B16" s="23"/>
      <c r="C16" s="24"/>
      <c r="D16" s="24"/>
      <c r="E16" s="24"/>
      <c r="F16" s="24"/>
      <c r="G16" s="24"/>
      <c r="H16" s="24"/>
      <c r="I16" s="24"/>
      <c r="J16" s="24"/>
      <c r="K16" s="25"/>
    </row>
    <row r="17" s="5" customFormat="1" ht="20" customHeight="1" spans="1:11">
      <c r="A17" s="22"/>
      <c r="B17" s="23"/>
      <c r="C17" s="24"/>
      <c r="D17" s="24"/>
      <c r="E17" s="24"/>
      <c r="F17" s="24"/>
      <c r="G17" s="24"/>
      <c r="H17" s="24"/>
      <c r="I17" s="24"/>
      <c r="J17" s="24"/>
      <c r="K17" s="25"/>
    </row>
    <row r="18" s="5" customFormat="1" ht="20" customHeight="1" spans="1:11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5"/>
    </row>
    <row r="19" s="5" customFormat="1" ht="20" customHeight="1" spans="1:11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25"/>
    </row>
    <row r="20" s="5" customFormat="1" ht="20" customHeight="1" spans="1:11">
      <c r="A20" s="22"/>
      <c r="B20" s="23"/>
      <c r="C20" s="24"/>
      <c r="D20" s="24"/>
      <c r="E20" s="24"/>
      <c r="F20" s="24"/>
      <c r="G20" s="24"/>
      <c r="H20" s="24"/>
      <c r="I20" s="24"/>
      <c r="J20" s="24"/>
      <c r="K20" s="25"/>
    </row>
    <row r="21" s="5" customFormat="1" ht="20" customHeight="1" spans="1:11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5"/>
    </row>
    <row r="22" s="5" customFormat="1" ht="20" customHeight="1" spans="1:11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5"/>
    </row>
    <row r="23" s="5" customFormat="1" ht="20" customHeight="1" spans="1:11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5"/>
    </row>
    <row r="24" s="5" customFormat="1" ht="20" customHeight="1" spans="1:11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5"/>
    </row>
    <row r="25" s="5" customFormat="1" ht="20" customHeight="1" spans="1:11">
      <c r="A25" s="22"/>
      <c r="B25" s="23"/>
      <c r="C25" s="24"/>
      <c r="D25" s="24"/>
      <c r="E25" s="24"/>
      <c r="F25" s="24"/>
      <c r="G25" s="24"/>
      <c r="H25" s="24"/>
      <c r="I25" s="24"/>
      <c r="J25" s="24"/>
      <c r="K25" s="25"/>
    </row>
    <row r="26" s="5" customFormat="1" ht="20" customHeight="1" spans="1:11">
      <c r="A26" s="22"/>
      <c r="B26" s="23"/>
      <c r="C26" s="24"/>
      <c r="D26" s="24"/>
      <c r="E26" s="24"/>
      <c r="F26" s="24"/>
      <c r="G26" s="24"/>
      <c r="H26" s="24"/>
      <c r="I26" s="24"/>
      <c r="J26" s="24"/>
      <c r="K26" s="25"/>
    </row>
    <row r="27" s="5" customFormat="1" ht="20" customHeight="1" spans="1:11">
      <c r="A27" s="22"/>
      <c r="B27" s="23"/>
      <c r="C27" s="24"/>
      <c r="D27" s="24"/>
      <c r="E27" s="24"/>
      <c r="F27" s="24"/>
      <c r="G27" s="24"/>
      <c r="H27" s="24"/>
      <c r="I27" s="24"/>
      <c r="J27" s="24"/>
      <c r="K27" s="25"/>
    </row>
    <row r="28" s="5" customFormat="1" ht="20" customHeight="1" spans="1:1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5"/>
    </row>
    <row r="29" s="5" customFormat="1" ht="20" customHeight="1" spans="1:11">
      <c r="A29" s="22"/>
      <c r="B29" s="23"/>
      <c r="C29" s="24"/>
      <c r="D29" s="24"/>
      <c r="E29" s="24"/>
      <c r="F29" s="24"/>
      <c r="G29" s="24"/>
      <c r="H29" s="24"/>
      <c r="I29" s="24"/>
      <c r="J29" s="24"/>
      <c r="K29" s="25"/>
    </row>
    <row r="30" s="5" customFormat="1" ht="20" customHeight="1" spans="1:11">
      <c r="A30" s="22"/>
      <c r="B30" s="23"/>
      <c r="C30" s="24"/>
      <c r="D30" s="24"/>
      <c r="E30" s="24"/>
      <c r="F30" s="24"/>
      <c r="G30" s="24"/>
      <c r="H30" s="24"/>
      <c r="I30" s="24"/>
      <c r="J30" s="24"/>
      <c r="K30" s="25"/>
    </row>
    <row r="31" s="5" customFormat="1" ht="20" customHeight="1" spans="1:11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5"/>
    </row>
    <row r="32" s="5" customFormat="1" ht="20" customHeight="1" spans="1:11">
      <c r="A32" s="22"/>
      <c r="B32" s="23"/>
      <c r="C32" s="24"/>
      <c r="D32" s="24"/>
      <c r="E32" s="24"/>
      <c r="F32" s="24"/>
      <c r="G32" s="24"/>
      <c r="H32" s="24"/>
      <c r="I32" s="24"/>
      <c r="J32" s="24"/>
      <c r="K32" s="25"/>
    </row>
    <row r="33" s="5" customFormat="1" ht="20" customHeight="1" spans="1:11">
      <c r="A33" s="22"/>
      <c r="B33" s="23"/>
      <c r="C33" s="24"/>
      <c r="D33" s="24"/>
      <c r="E33" s="24"/>
      <c r="F33" s="24"/>
      <c r="G33" s="24"/>
      <c r="H33" s="24"/>
      <c r="I33" s="24"/>
      <c r="J33" s="24"/>
      <c r="K33" s="25"/>
    </row>
    <row r="34" s="5" customFormat="1" ht="20" customHeight="1" spans="1:11">
      <c r="A34" s="22"/>
      <c r="B34" s="23"/>
      <c r="C34" s="24"/>
      <c r="D34" s="24"/>
      <c r="E34" s="24"/>
      <c r="F34" s="24"/>
      <c r="G34" s="24"/>
      <c r="H34" s="24"/>
      <c r="I34" s="24"/>
      <c r="J34" s="24"/>
      <c r="K34" s="25"/>
    </row>
    <row r="35" s="5" customFormat="1" ht="20" customHeight="1" spans="1:11">
      <c r="A35" s="22"/>
      <c r="B35" s="23"/>
      <c r="C35" s="24"/>
      <c r="D35" s="24"/>
      <c r="E35" s="24"/>
      <c r="F35" s="24"/>
      <c r="G35" s="24"/>
      <c r="H35" s="24"/>
      <c r="I35" s="24"/>
      <c r="J35" s="24"/>
      <c r="K35" s="25"/>
    </row>
    <row r="36" s="5" customFormat="1" ht="20" customHeight="1" spans="1:11">
      <c r="A36" s="22"/>
      <c r="B36" s="23"/>
      <c r="C36" s="24"/>
      <c r="D36" s="24"/>
      <c r="E36" s="24"/>
      <c r="F36" s="24"/>
      <c r="G36" s="24"/>
      <c r="H36" s="24"/>
      <c r="I36" s="24"/>
      <c r="J36" s="24"/>
      <c r="K36" s="25"/>
    </row>
    <row r="37" s="5" customFormat="1" ht="20" customHeight="1" spans="1:11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5"/>
    </row>
    <row r="38" s="5" customFormat="1" ht="20" customHeight="1" spans="1:11">
      <c r="A38" s="22"/>
      <c r="B38" s="23"/>
      <c r="C38" s="24"/>
      <c r="D38" s="24"/>
      <c r="E38" s="24"/>
      <c r="F38" s="24"/>
      <c r="G38" s="24"/>
      <c r="H38" s="24"/>
      <c r="I38" s="24"/>
      <c r="J38" s="24"/>
      <c r="K38" s="25"/>
    </row>
    <row r="39" s="5" customFormat="1" ht="20" customHeight="1" spans="1:11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5"/>
    </row>
    <row r="40" s="5" customFormat="1" ht="20" customHeight="1" spans="1:11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5"/>
    </row>
    <row r="41" s="5" customFormat="1" ht="20" customHeight="1" spans="1:11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5"/>
    </row>
    <row r="42" s="5" customFormat="1" ht="20" customHeight="1" spans="1:11">
      <c r="A42" s="22"/>
      <c r="B42" s="23"/>
      <c r="C42" s="24"/>
      <c r="D42" s="24"/>
      <c r="E42" s="24"/>
      <c r="F42" s="24"/>
      <c r="G42" s="24"/>
      <c r="H42" s="24"/>
      <c r="I42" s="24"/>
      <c r="J42" s="24"/>
      <c r="K42" s="25"/>
    </row>
    <row r="43" s="5" customFormat="1" ht="20" customHeight="1" spans="1:1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5"/>
    </row>
    <row r="44" s="5" customFormat="1" ht="20" customHeight="1" spans="1:11">
      <c r="A44" s="22"/>
      <c r="B44" s="23"/>
      <c r="C44" s="24"/>
      <c r="D44" s="24"/>
      <c r="E44" s="24"/>
      <c r="F44" s="24"/>
      <c r="G44" s="24"/>
      <c r="H44" s="24"/>
      <c r="I44" s="24"/>
      <c r="J44" s="24"/>
      <c r="K44" s="25"/>
    </row>
    <row r="45" s="5" customFormat="1" ht="20" customHeight="1" spans="1:11">
      <c r="A45" s="22"/>
      <c r="B45" s="23"/>
      <c r="C45" s="24"/>
      <c r="D45" s="24"/>
      <c r="E45" s="24"/>
      <c r="F45" s="24"/>
      <c r="G45" s="24"/>
      <c r="H45" s="24"/>
      <c r="I45" s="24"/>
      <c r="J45" s="24"/>
      <c r="K45" s="25"/>
    </row>
    <row r="46" s="5" customFormat="1" ht="20" customHeight="1" spans="1:11">
      <c r="A46" s="22"/>
      <c r="B46" s="23"/>
      <c r="C46" s="24"/>
      <c r="D46" s="24"/>
      <c r="E46" s="24"/>
      <c r="F46" s="24"/>
      <c r="G46" s="24"/>
      <c r="H46" s="24"/>
      <c r="I46" s="24"/>
      <c r="J46" s="24"/>
      <c r="K46" s="25"/>
    </row>
    <row r="47" s="5" customFormat="1" ht="20" customHeight="1" spans="1:11">
      <c r="A47" s="22"/>
      <c r="B47" s="23"/>
      <c r="C47" s="24"/>
      <c r="D47" s="24"/>
      <c r="E47" s="24"/>
      <c r="F47" s="24"/>
      <c r="G47" s="24"/>
      <c r="H47" s="24"/>
      <c r="I47" s="24"/>
      <c r="J47" s="24"/>
      <c r="K47" s="25"/>
    </row>
    <row r="48" s="5" customFormat="1" ht="20" customHeight="1" spans="1:11">
      <c r="A48" s="22"/>
      <c r="B48" s="23"/>
      <c r="C48" s="24"/>
      <c r="D48" s="24"/>
      <c r="E48" s="24"/>
      <c r="F48" s="24"/>
      <c r="G48" s="24"/>
      <c r="H48" s="24"/>
      <c r="I48" s="24"/>
      <c r="J48" s="24"/>
      <c r="K48" s="25"/>
    </row>
    <row r="49" s="5" customFormat="1" ht="20" customHeight="1" spans="1:11">
      <c r="A49" s="22"/>
      <c r="B49" s="23"/>
      <c r="C49" s="24"/>
      <c r="D49" s="24"/>
      <c r="E49" s="24"/>
      <c r="F49" s="24"/>
      <c r="G49" s="24"/>
      <c r="H49" s="24"/>
      <c r="I49" s="24"/>
      <c r="J49" s="24"/>
      <c r="K49" s="25"/>
    </row>
    <row r="50" s="5" customFormat="1" ht="20" customHeight="1" spans="1:11">
      <c r="A50" s="22"/>
      <c r="B50" s="23"/>
      <c r="C50" s="24"/>
      <c r="D50" s="24"/>
      <c r="E50" s="24"/>
      <c r="F50" s="24"/>
      <c r="G50" s="24"/>
      <c r="H50" s="24"/>
      <c r="I50" s="24"/>
      <c r="J50" s="24"/>
      <c r="K50" s="25"/>
    </row>
    <row r="51" s="5" customFormat="1" ht="20" customHeight="1" spans="1:11">
      <c r="A51" s="22"/>
      <c r="B51" s="23"/>
      <c r="C51" s="24"/>
      <c r="D51" s="24"/>
      <c r="E51" s="24"/>
      <c r="F51" s="24"/>
      <c r="G51" s="24"/>
      <c r="H51" s="24"/>
      <c r="I51" s="24"/>
      <c r="J51" s="24"/>
      <c r="K51" s="25"/>
    </row>
    <row r="52" s="5" customFormat="1" ht="20" customHeight="1" spans="1:11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5"/>
    </row>
    <row r="53" s="5" customFormat="1" ht="20" customHeight="1" spans="1:11">
      <c r="A53" s="22"/>
      <c r="B53" s="23"/>
      <c r="C53" s="24"/>
      <c r="D53" s="24"/>
      <c r="E53" s="24"/>
      <c r="F53" s="24"/>
      <c r="G53" s="24"/>
      <c r="H53" s="24"/>
      <c r="I53" s="24"/>
      <c r="J53" s="24"/>
      <c r="K53" s="25"/>
    </row>
    <row r="54" s="5" customFormat="1" ht="20" customHeight="1" spans="1:11">
      <c r="A54" s="22"/>
      <c r="B54" s="23"/>
      <c r="C54" s="24"/>
      <c r="D54" s="24"/>
      <c r="E54" s="24"/>
      <c r="F54" s="24"/>
      <c r="G54" s="24"/>
      <c r="H54" s="24"/>
      <c r="I54" s="24"/>
      <c r="J54" s="24"/>
      <c r="K54" s="25"/>
    </row>
    <row r="55" s="5" customFormat="1" ht="20" customHeight="1" spans="1:11">
      <c r="A55" s="22"/>
      <c r="B55" s="23"/>
      <c r="C55" s="24"/>
      <c r="D55" s="24"/>
      <c r="E55" s="24"/>
      <c r="F55" s="24"/>
      <c r="G55" s="24"/>
      <c r="H55" s="24"/>
      <c r="I55" s="24"/>
      <c r="J55" s="24"/>
      <c r="K55" s="25"/>
    </row>
    <row r="56" s="5" customFormat="1" ht="20" customHeight="1" spans="1:11">
      <c r="A56" s="22"/>
      <c r="B56" s="23"/>
      <c r="C56" s="24"/>
      <c r="D56" s="24"/>
      <c r="E56" s="24"/>
      <c r="F56" s="24"/>
      <c r="G56" s="24"/>
      <c r="H56" s="24"/>
      <c r="I56" s="24"/>
      <c r="J56" s="24"/>
      <c r="K56" s="25"/>
    </row>
    <row r="57" s="5" customFormat="1" ht="20" customHeight="1" spans="1:11">
      <c r="A57" s="22"/>
      <c r="B57" s="23"/>
      <c r="C57" s="24"/>
      <c r="D57" s="24"/>
      <c r="E57" s="24"/>
      <c r="F57" s="24"/>
      <c r="G57" s="24"/>
      <c r="H57" s="24"/>
      <c r="I57" s="24"/>
      <c r="J57" s="24"/>
      <c r="K57" s="25"/>
    </row>
    <row r="58" s="5" customFormat="1" ht="20" customHeight="1" spans="1:11">
      <c r="A58" s="22"/>
      <c r="B58" s="23"/>
      <c r="C58" s="24"/>
      <c r="D58" s="24"/>
      <c r="E58" s="24"/>
      <c r="F58" s="24"/>
      <c r="G58" s="24"/>
      <c r="H58" s="24"/>
      <c r="I58" s="24"/>
      <c r="J58" s="24"/>
      <c r="K58" s="25"/>
    </row>
    <row r="59" s="5" customFormat="1" ht="20" customHeight="1" spans="1:11">
      <c r="A59" s="22"/>
      <c r="B59" s="23"/>
      <c r="C59" s="24"/>
      <c r="D59" s="24"/>
      <c r="E59" s="24"/>
      <c r="F59" s="24"/>
      <c r="G59" s="24"/>
      <c r="H59" s="24"/>
      <c r="I59" s="24"/>
      <c r="J59" s="24"/>
      <c r="K59" s="25"/>
    </row>
    <row r="60" s="5" customFormat="1" ht="20" customHeight="1" spans="1:11">
      <c r="A60" s="22"/>
      <c r="B60" s="23"/>
      <c r="C60" s="24"/>
      <c r="D60" s="24"/>
      <c r="E60" s="24"/>
      <c r="F60" s="24"/>
      <c r="G60" s="24"/>
      <c r="H60" s="24"/>
      <c r="I60" s="24"/>
      <c r="J60" s="24"/>
      <c r="K60" s="25"/>
    </row>
    <row r="61" s="5" customFormat="1" ht="20" customHeight="1" spans="1:11">
      <c r="A61" s="22"/>
      <c r="B61" s="23"/>
      <c r="C61" s="24"/>
      <c r="D61" s="24"/>
      <c r="E61" s="24"/>
      <c r="F61" s="24"/>
      <c r="G61" s="24"/>
      <c r="H61" s="24"/>
      <c r="I61" s="24"/>
      <c r="J61" s="24"/>
      <c r="K61" s="25"/>
    </row>
    <row r="62" s="5" customFormat="1" ht="20" customHeight="1" spans="1:11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5"/>
    </row>
    <row r="63" s="5" customFormat="1" ht="20" customHeight="1" spans="1:1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5"/>
    </row>
    <row r="64" s="5" customFormat="1" ht="20" customHeight="1" spans="1:11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5"/>
    </row>
    <row r="65" s="5" customFormat="1" ht="20" customHeight="1" spans="1:11">
      <c r="A65" s="22"/>
      <c r="B65" s="23"/>
      <c r="C65" s="24"/>
      <c r="D65" s="24"/>
      <c r="E65" s="24"/>
      <c r="F65" s="24"/>
      <c r="G65" s="24"/>
      <c r="H65" s="24"/>
      <c r="I65" s="24"/>
      <c r="J65" s="24"/>
      <c r="K65" s="25"/>
    </row>
    <row r="66" s="5" customFormat="1" ht="20" customHeight="1" spans="1:11">
      <c r="A66" s="22"/>
      <c r="B66" s="23"/>
      <c r="C66" s="24"/>
      <c r="D66" s="24"/>
      <c r="E66" s="24"/>
      <c r="F66" s="24"/>
      <c r="G66" s="24"/>
      <c r="H66" s="24"/>
      <c r="I66" s="24"/>
      <c r="J66" s="24"/>
      <c r="K66" s="25"/>
    </row>
    <row r="67" s="5" customFormat="1" ht="20" customHeight="1" spans="1:11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5"/>
    </row>
    <row r="68" s="5" customFormat="1" ht="20" customHeight="1" spans="1:11">
      <c r="A68" s="22"/>
      <c r="B68" s="23"/>
      <c r="C68" s="24"/>
      <c r="D68" s="24"/>
      <c r="E68" s="24"/>
      <c r="F68" s="24"/>
      <c r="G68" s="24"/>
      <c r="H68" s="24"/>
      <c r="I68" s="24"/>
      <c r="J68" s="24"/>
      <c r="K68" s="25"/>
    </row>
    <row r="69" s="5" customFormat="1" ht="20" customHeight="1" spans="1:11">
      <c r="A69" s="22"/>
      <c r="B69" s="23"/>
      <c r="C69" s="24"/>
      <c r="D69" s="24"/>
      <c r="E69" s="24"/>
      <c r="F69" s="24"/>
      <c r="G69" s="24"/>
      <c r="H69" s="24"/>
      <c r="I69" s="24"/>
      <c r="J69" s="24"/>
      <c r="K69" s="25"/>
    </row>
    <row r="70" s="5" customFormat="1" ht="20" customHeight="1" spans="1:11">
      <c r="A70" s="22"/>
      <c r="B70" s="23"/>
      <c r="C70" s="24"/>
      <c r="D70" s="24"/>
      <c r="E70" s="24"/>
      <c r="F70" s="24"/>
      <c r="G70" s="24"/>
      <c r="H70" s="24"/>
      <c r="I70" s="24"/>
      <c r="J70" s="24"/>
      <c r="K70" s="25"/>
    </row>
    <row r="71" s="5" customFormat="1" ht="20" customHeight="1" spans="1:11">
      <c r="A71" s="22"/>
      <c r="B71" s="23"/>
      <c r="C71" s="24"/>
      <c r="D71" s="24"/>
      <c r="E71" s="24"/>
      <c r="F71" s="24"/>
      <c r="G71" s="24"/>
      <c r="H71" s="24"/>
      <c r="I71" s="24"/>
      <c r="J71" s="24"/>
      <c r="K71" s="25"/>
    </row>
    <row r="72" s="5" customFormat="1" ht="20" customHeight="1" spans="1:11">
      <c r="A72" s="22"/>
      <c r="B72" s="23"/>
      <c r="C72" s="24"/>
      <c r="D72" s="24"/>
      <c r="E72" s="24"/>
      <c r="F72" s="24"/>
      <c r="G72" s="24"/>
      <c r="H72" s="24"/>
      <c r="I72" s="24"/>
      <c r="J72" s="24"/>
      <c r="K72" s="25"/>
    </row>
    <row r="73" s="5" customFormat="1" ht="20" customHeight="1" spans="1:11">
      <c r="A73" s="22"/>
      <c r="B73" s="23"/>
      <c r="C73" s="24"/>
      <c r="D73" s="24"/>
      <c r="E73" s="24"/>
      <c r="F73" s="24"/>
      <c r="G73" s="24"/>
      <c r="H73" s="24"/>
      <c r="I73" s="24"/>
      <c r="J73" s="24"/>
      <c r="K73" s="25"/>
    </row>
    <row r="74" s="5" customFormat="1" ht="20" customHeight="1" spans="1:11">
      <c r="A74" s="22"/>
      <c r="B74" s="23"/>
      <c r="C74" s="24"/>
      <c r="D74" s="24"/>
      <c r="E74" s="24"/>
      <c r="F74" s="24"/>
      <c r="G74" s="24"/>
      <c r="H74" s="24"/>
      <c r="I74" s="24"/>
      <c r="J74" s="24"/>
      <c r="K74" s="25"/>
    </row>
    <row r="75" s="5" customFormat="1" ht="20" customHeight="1" spans="1:11">
      <c r="A75" s="22"/>
      <c r="B75" s="23"/>
      <c r="C75" s="24"/>
      <c r="D75" s="24"/>
      <c r="E75" s="24"/>
      <c r="F75" s="24"/>
      <c r="G75" s="24"/>
      <c r="H75" s="24"/>
      <c r="I75" s="24"/>
      <c r="J75" s="24"/>
      <c r="K75" s="25"/>
    </row>
    <row r="76" s="5" customFormat="1" ht="20" customHeight="1" spans="1:11">
      <c r="A76" s="22"/>
      <c r="B76" s="23"/>
      <c r="C76" s="24"/>
      <c r="D76" s="24"/>
      <c r="E76" s="24"/>
      <c r="F76" s="24"/>
      <c r="G76" s="24"/>
      <c r="H76" s="24"/>
      <c r="I76" s="24"/>
      <c r="J76" s="24"/>
      <c r="K76" s="25"/>
    </row>
    <row r="77" s="5" customFormat="1" ht="20" customHeight="1" spans="1:11">
      <c r="A77" s="22"/>
      <c r="B77" s="23"/>
      <c r="C77" s="24"/>
      <c r="D77" s="24"/>
      <c r="E77" s="24"/>
      <c r="F77" s="24"/>
      <c r="G77" s="24"/>
      <c r="H77" s="24"/>
      <c r="I77" s="24"/>
      <c r="J77" s="24"/>
      <c r="K77" s="25"/>
    </row>
    <row r="78" s="5" customFormat="1" ht="20" customHeight="1" spans="1:11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5"/>
    </row>
    <row r="79" s="5" customFormat="1" ht="20" customHeight="1" spans="1:11">
      <c r="A79" s="22"/>
      <c r="B79" s="23"/>
      <c r="C79" s="24"/>
      <c r="D79" s="24"/>
      <c r="E79" s="24"/>
      <c r="F79" s="24"/>
      <c r="G79" s="24"/>
      <c r="H79" s="24"/>
      <c r="I79" s="24"/>
      <c r="J79" s="24"/>
      <c r="K79" s="25"/>
    </row>
    <row r="80" s="5" customFormat="1" ht="20" customHeight="1" spans="1:11">
      <c r="A80" s="22"/>
      <c r="B80" s="23"/>
      <c r="C80" s="24"/>
      <c r="D80" s="24"/>
      <c r="E80" s="24"/>
      <c r="F80" s="24"/>
      <c r="G80" s="24"/>
      <c r="H80" s="24"/>
      <c r="I80" s="24"/>
      <c r="J80" s="24"/>
      <c r="K80" s="25"/>
    </row>
    <row r="81" s="5" customFormat="1" ht="20" customHeight="1" spans="1:11">
      <c r="A81" s="22"/>
      <c r="B81" s="23"/>
      <c r="C81" s="24"/>
      <c r="D81" s="24"/>
      <c r="E81" s="24"/>
      <c r="F81" s="24"/>
      <c r="G81" s="24"/>
      <c r="H81" s="24"/>
      <c r="I81" s="24"/>
      <c r="J81" s="24"/>
      <c r="K81" s="25"/>
    </row>
    <row r="82" s="5" customFormat="1" ht="20" customHeight="1" spans="1:11">
      <c r="A82" s="22"/>
      <c r="B82" s="23"/>
      <c r="C82" s="24"/>
      <c r="D82" s="24"/>
      <c r="E82" s="24"/>
      <c r="F82" s="24"/>
      <c r="G82" s="24"/>
      <c r="H82" s="24"/>
      <c r="I82" s="24"/>
      <c r="J82" s="24"/>
      <c r="K82" s="25"/>
    </row>
    <row r="83" s="5" customFormat="1" ht="20" customHeight="1" spans="1:11">
      <c r="A83" s="22"/>
      <c r="B83" s="23"/>
      <c r="C83" s="24"/>
      <c r="D83" s="24"/>
      <c r="E83" s="24"/>
      <c r="F83" s="24"/>
      <c r="G83" s="24"/>
      <c r="H83" s="24"/>
      <c r="I83" s="24"/>
      <c r="J83" s="24"/>
      <c r="K83" s="25"/>
    </row>
    <row r="84" s="5" customFormat="1" ht="20" customHeight="1" spans="1:11">
      <c r="A84" s="22"/>
      <c r="B84" s="23"/>
      <c r="C84" s="24"/>
      <c r="D84" s="24"/>
      <c r="E84" s="24"/>
      <c r="F84" s="24"/>
      <c r="G84" s="24"/>
      <c r="H84" s="24"/>
      <c r="I84" s="24"/>
      <c r="J84" s="24"/>
      <c r="K84" s="25"/>
    </row>
    <row r="85" s="5" customFormat="1" ht="20" customHeight="1" spans="1:11">
      <c r="A85" s="22"/>
      <c r="B85" s="23"/>
      <c r="C85" s="24"/>
      <c r="D85" s="24"/>
      <c r="E85" s="24"/>
      <c r="F85" s="24"/>
      <c r="G85" s="24"/>
      <c r="H85" s="24"/>
      <c r="I85" s="24"/>
      <c r="J85" s="24"/>
      <c r="K85" s="25"/>
    </row>
    <row r="86" s="5" customFormat="1" ht="20" customHeight="1" spans="1:11">
      <c r="A86" s="22"/>
      <c r="B86" s="23"/>
      <c r="C86" s="24"/>
      <c r="D86" s="24"/>
      <c r="E86" s="24"/>
      <c r="F86" s="24"/>
      <c r="G86" s="24"/>
      <c r="H86" s="24"/>
      <c r="I86" s="24"/>
      <c r="J86" s="24"/>
      <c r="K86" s="25"/>
    </row>
    <row r="87" s="5" customFormat="1" ht="20" customHeight="1" spans="1:11">
      <c r="A87" s="22"/>
      <c r="B87" s="23"/>
      <c r="C87" s="24"/>
      <c r="D87" s="24"/>
      <c r="E87" s="24"/>
      <c r="F87" s="24"/>
      <c r="G87" s="24"/>
      <c r="H87" s="24"/>
      <c r="I87" s="24"/>
      <c r="J87" s="24"/>
      <c r="K87" s="25"/>
    </row>
    <row r="88" s="5" customFormat="1" ht="20" customHeight="1" spans="1:11">
      <c r="A88" s="22"/>
      <c r="B88" s="23"/>
      <c r="C88" s="24"/>
      <c r="D88" s="24"/>
      <c r="E88" s="24"/>
      <c r="F88" s="24"/>
      <c r="G88" s="24"/>
      <c r="H88" s="24"/>
      <c r="I88" s="24"/>
      <c r="J88" s="24"/>
      <c r="K88" s="25"/>
    </row>
    <row r="89" s="5" customFormat="1" ht="20" customHeight="1" spans="1:11">
      <c r="A89" s="22"/>
      <c r="B89" s="23"/>
      <c r="C89" s="24"/>
      <c r="D89" s="24"/>
      <c r="E89" s="24"/>
      <c r="F89" s="24"/>
      <c r="G89" s="24"/>
      <c r="H89" s="24"/>
      <c r="I89" s="24"/>
      <c r="J89" s="24"/>
      <c r="K89" s="25"/>
    </row>
    <row r="90" s="5" customFormat="1" ht="20" customHeight="1" spans="1:11">
      <c r="A90" s="22"/>
      <c r="B90" s="23"/>
      <c r="C90" s="24"/>
      <c r="D90" s="24"/>
      <c r="E90" s="24"/>
      <c r="F90" s="24"/>
      <c r="G90" s="24"/>
      <c r="H90" s="24"/>
      <c r="I90" s="24"/>
      <c r="J90" s="24"/>
      <c r="K90" s="25"/>
    </row>
    <row r="91" s="5" customFormat="1" ht="20" customHeight="1" spans="1:11">
      <c r="A91" s="22"/>
      <c r="B91" s="23"/>
      <c r="C91" s="24"/>
      <c r="D91" s="24"/>
      <c r="E91" s="24"/>
      <c r="F91" s="24"/>
      <c r="G91" s="24"/>
      <c r="H91" s="24"/>
      <c r="I91" s="24"/>
      <c r="J91" s="24"/>
      <c r="K91" s="25"/>
    </row>
    <row r="92" s="5" customFormat="1" ht="20" customHeight="1" spans="1:11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5"/>
    </row>
    <row r="93" s="5" customFormat="1" ht="20" customHeight="1" spans="1:11">
      <c r="A93" s="22"/>
      <c r="B93" s="23"/>
      <c r="C93" s="24"/>
      <c r="D93" s="24"/>
      <c r="E93" s="24"/>
      <c r="F93" s="24"/>
      <c r="G93" s="24"/>
      <c r="H93" s="24"/>
      <c r="I93" s="24"/>
      <c r="J93" s="24"/>
      <c r="K93" s="25"/>
    </row>
    <row r="94" s="5" customFormat="1" ht="20" customHeight="1" spans="1:11">
      <c r="A94" s="22"/>
      <c r="B94" s="23"/>
      <c r="C94" s="24"/>
      <c r="D94" s="24"/>
      <c r="E94" s="24"/>
      <c r="F94" s="24"/>
      <c r="G94" s="24"/>
      <c r="H94" s="24"/>
      <c r="I94" s="24"/>
      <c r="J94" s="24"/>
      <c r="K94" s="25"/>
    </row>
    <row r="95" s="5" customFormat="1" ht="20" customHeight="1" spans="1:11">
      <c r="A95" s="22"/>
      <c r="B95" s="23"/>
      <c r="C95" s="24"/>
      <c r="D95" s="24"/>
      <c r="E95" s="24"/>
      <c r="F95" s="24"/>
      <c r="G95" s="24"/>
      <c r="H95" s="24"/>
      <c r="I95" s="24"/>
      <c r="J95" s="24"/>
      <c r="K95" s="25"/>
    </row>
    <row r="96" s="5" customFormat="1" ht="20" customHeight="1" spans="1:11">
      <c r="A96" s="22"/>
      <c r="B96" s="23"/>
      <c r="C96" s="24"/>
      <c r="D96" s="24"/>
      <c r="E96" s="24"/>
      <c r="F96" s="24"/>
      <c r="G96" s="24"/>
      <c r="H96" s="24"/>
      <c r="I96" s="24"/>
      <c r="J96" s="24"/>
      <c r="K96" s="25"/>
    </row>
    <row r="97" s="5" customFormat="1" ht="20" customHeight="1" spans="1:11">
      <c r="A97" s="22"/>
      <c r="B97" s="23"/>
      <c r="C97" s="24"/>
      <c r="D97" s="24"/>
      <c r="E97" s="24"/>
      <c r="F97" s="24"/>
      <c r="G97" s="24"/>
      <c r="H97" s="24"/>
      <c r="I97" s="24"/>
      <c r="J97" s="24"/>
      <c r="K97" s="25"/>
    </row>
    <row r="98" s="5" customFormat="1" ht="20" customHeight="1" spans="1:11">
      <c r="A98" s="22"/>
      <c r="B98" s="23"/>
      <c r="C98" s="24"/>
      <c r="D98" s="24"/>
      <c r="E98" s="24"/>
      <c r="F98" s="24"/>
      <c r="G98" s="24"/>
      <c r="H98" s="24"/>
      <c r="I98" s="24"/>
      <c r="J98" s="24"/>
      <c r="K98" s="25"/>
    </row>
    <row r="99" s="5" customFormat="1" ht="20" customHeight="1" spans="1:11">
      <c r="A99" s="22"/>
      <c r="B99" s="23"/>
      <c r="C99" s="24"/>
      <c r="D99" s="24"/>
      <c r="E99" s="24"/>
      <c r="F99" s="24"/>
      <c r="G99" s="24"/>
      <c r="H99" s="24"/>
      <c r="I99" s="24"/>
      <c r="J99" s="24"/>
      <c r="K99" s="25"/>
    </row>
    <row r="100" s="5" customFormat="1" ht="20" customHeight="1" spans="1:11">
      <c r="A100" s="22"/>
      <c r="B100" s="23"/>
      <c r="C100" s="24"/>
      <c r="D100" s="24"/>
      <c r="E100" s="24"/>
      <c r="F100" s="24"/>
      <c r="G100" s="24"/>
      <c r="H100" s="24"/>
      <c r="I100" s="24"/>
      <c r="J100" s="24"/>
      <c r="K100" s="25"/>
    </row>
    <row r="101" s="5" customFormat="1" ht="20" customHeight="1" spans="1:11">
      <c r="A101" s="22"/>
      <c r="B101" s="23"/>
      <c r="C101" s="24"/>
      <c r="D101" s="24"/>
      <c r="E101" s="24"/>
      <c r="F101" s="24"/>
      <c r="G101" s="24"/>
      <c r="H101" s="24"/>
      <c r="I101" s="24"/>
      <c r="J101" s="24"/>
      <c r="K101" s="25"/>
    </row>
    <row r="102" s="5" customFormat="1" ht="20" customHeight="1" spans="1:11">
      <c r="A102" s="22"/>
      <c r="B102" s="23"/>
      <c r="C102" s="24"/>
      <c r="D102" s="24"/>
      <c r="E102" s="24"/>
      <c r="F102" s="24"/>
      <c r="G102" s="24"/>
      <c r="H102" s="24"/>
      <c r="I102" s="24"/>
      <c r="J102" s="24"/>
      <c r="K102" s="25"/>
    </row>
    <row r="103" s="5" customFormat="1" ht="20" customHeight="1" spans="1:11">
      <c r="A103" s="22"/>
      <c r="B103" s="23"/>
      <c r="C103" s="24"/>
      <c r="D103" s="24"/>
      <c r="E103" s="24"/>
      <c r="F103" s="24"/>
      <c r="G103" s="24"/>
      <c r="H103" s="24"/>
      <c r="I103" s="24"/>
      <c r="J103" s="24"/>
      <c r="K103" s="25"/>
    </row>
    <row r="104" s="5" customFormat="1" ht="20" customHeight="1" spans="1:11">
      <c r="A104" s="22"/>
      <c r="B104" s="23"/>
      <c r="C104" s="24"/>
      <c r="D104" s="24"/>
      <c r="E104" s="24"/>
      <c r="F104" s="24"/>
      <c r="G104" s="24"/>
      <c r="H104" s="24"/>
      <c r="I104" s="24"/>
      <c r="J104" s="24"/>
      <c r="K104" s="25"/>
    </row>
    <row r="105" s="5" customFormat="1" ht="20" customHeight="1" spans="1:11">
      <c r="A105" s="22"/>
      <c r="B105" s="23"/>
      <c r="C105" s="24"/>
      <c r="D105" s="24"/>
      <c r="E105" s="24"/>
      <c r="F105" s="24"/>
      <c r="G105" s="24"/>
      <c r="H105" s="24"/>
      <c r="I105" s="24"/>
      <c r="J105" s="24"/>
      <c r="K105" s="25"/>
    </row>
    <row r="106" s="5" customFormat="1" ht="20" customHeight="1" spans="1:11">
      <c r="A106" s="22"/>
      <c r="B106" s="23"/>
      <c r="C106" s="24"/>
      <c r="D106" s="24"/>
      <c r="E106" s="24"/>
      <c r="F106" s="24"/>
      <c r="G106" s="24"/>
      <c r="H106" s="24"/>
      <c r="I106" s="24"/>
      <c r="J106" s="24"/>
      <c r="K106" s="25"/>
    </row>
    <row r="107" s="5" customFormat="1" ht="20" customHeight="1" spans="1:11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5"/>
    </row>
    <row r="108" s="5" customFormat="1" ht="20" customHeight="1" spans="1:11">
      <c r="A108" s="22"/>
      <c r="B108" s="23"/>
      <c r="C108" s="24"/>
      <c r="D108" s="24"/>
      <c r="E108" s="24"/>
      <c r="F108" s="24"/>
      <c r="G108" s="24"/>
      <c r="H108" s="24"/>
      <c r="I108" s="24"/>
      <c r="J108" s="24"/>
      <c r="K108" s="25"/>
    </row>
    <row r="109" s="5" customFormat="1" ht="20" customHeight="1" spans="1:11">
      <c r="A109" s="22"/>
      <c r="B109" s="23"/>
      <c r="C109" s="24"/>
      <c r="D109" s="24"/>
      <c r="E109" s="24"/>
      <c r="F109" s="24"/>
      <c r="G109" s="24"/>
      <c r="H109" s="24"/>
      <c r="I109" s="24"/>
      <c r="J109" s="24"/>
      <c r="K109" s="25"/>
    </row>
    <row r="110" s="5" customFormat="1" ht="20" customHeight="1" spans="1:11">
      <c r="A110" s="22"/>
      <c r="B110" s="23"/>
      <c r="C110" s="24"/>
      <c r="D110" s="24"/>
      <c r="E110" s="24"/>
      <c r="F110" s="24"/>
      <c r="G110" s="24"/>
      <c r="H110" s="24"/>
      <c r="I110" s="24"/>
      <c r="J110" s="24"/>
      <c r="K110" s="25"/>
    </row>
    <row r="111" s="5" customFormat="1" ht="20" customHeight="1" spans="1:11">
      <c r="A111" s="22"/>
      <c r="B111" s="23"/>
      <c r="C111" s="24"/>
      <c r="D111" s="24"/>
      <c r="E111" s="24"/>
      <c r="F111" s="24"/>
      <c r="G111" s="24"/>
      <c r="H111" s="24"/>
      <c r="I111" s="24"/>
      <c r="J111" s="24"/>
      <c r="K111" s="25"/>
    </row>
    <row r="112" s="5" customFormat="1" ht="20" customHeight="1" spans="1:11">
      <c r="A112" s="22"/>
      <c r="B112" s="23"/>
      <c r="C112" s="24"/>
      <c r="D112" s="24"/>
      <c r="E112" s="24"/>
      <c r="F112" s="24"/>
      <c r="G112" s="24"/>
      <c r="H112" s="24"/>
      <c r="I112" s="24"/>
      <c r="J112" s="24"/>
      <c r="K112" s="25"/>
    </row>
    <row r="113" s="5" customFormat="1" ht="20" customHeight="1" spans="1:11">
      <c r="A113" s="22"/>
      <c r="B113" s="23"/>
      <c r="C113" s="24"/>
      <c r="D113" s="24"/>
      <c r="E113" s="24"/>
      <c r="F113" s="24"/>
      <c r="G113" s="24"/>
      <c r="H113" s="24"/>
      <c r="I113" s="24"/>
      <c r="J113" s="24"/>
      <c r="K113" s="25"/>
    </row>
    <row r="114" s="5" customFormat="1" ht="20" customHeight="1" spans="1:11">
      <c r="A114" s="22"/>
      <c r="B114" s="23"/>
      <c r="C114" s="24"/>
      <c r="D114" s="24"/>
      <c r="E114" s="24"/>
      <c r="F114" s="24"/>
      <c r="G114" s="24"/>
      <c r="H114" s="24"/>
      <c r="I114" s="24"/>
      <c r="J114" s="24"/>
      <c r="K114" s="25"/>
    </row>
    <row r="115" s="5" customFormat="1" ht="20" customHeight="1" spans="1:11">
      <c r="A115" s="22"/>
      <c r="B115" s="23"/>
      <c r="C115" s="24"/>
      <c r="D115" s="24"/>
      <c r="E115" s="24"/>
      <c r="F115" s="24"/>
      <c r="G115" s="24"/>
      <c r="H115" s="24"/>
      <c r="I115" s="24"/>
      <c r="J115" s="24"/>
      <c r="K115" s="25"/>
    </row>
    <row r="116" s="5" customFormat="1" ht="20" customHeight="1" spans="1:11">
      <c r="A116" s="22"/>
      <c r="B116" s="23"/>
      <c r="C116" s="24"/>
      <c r="D116" s="24"/>
      <c r="E116" s="24"/>
      <c r="F116" s="24"/>
      <c r="G116" s="24"/>
      <c r="H116" s="24"/>
      <c r="I116" s="24"/>
      <c r="J116" s="24"/>
      <c r="K116" s="25"/>
    </row>
    <row r="117" s="5" customFormat="1" ht="20" customHeight="1" spans="1:11">
      <c r="A117" s="22"/>
      <c r="B117" s="23"/>
      <c r="C117" s="24"/>
      <c r="D117" s="24"/>
      <c r="E117" s="24"/>
      <c r="F117" s="24"/>
      <c r="G117" s="24"/>
      <c r="H117" s="24"/>
      <c r="I117" s="24"/>
      <c r="J117" s="24"/>
      <c r="K117" s="25"/>
    </row>
    <row r="118" s="5" customFormat="1" ht="20" customHeight="1" spans="1:11">
      <c r="A118" s="22"/>
      <c r="B118" s="23"/>
      <c r="C118" s="24"/>
      <c r="D118" s="24"/>
      <c r="E118" s="24"/>
      <c r="F118" s="24"/>
      <c r="G118" s="24"/>
      <c r="H118" s="24"/>
      <c r="I118" s="24"/>
      <c r="J118" s="24"/>
      <c r="K118" s="25"/>
    </row>
    <row r="119" s="5" customFormat="1" ht="20" customHeight="1" spans="1:11">
      <c r="A119" s="22"/>
      <c r="B119" s="23"/>
      <c r="C119" s="24"/>
      <c r="D119" s="24"/>
      <c r="E119" s="24"/>
      <c r="F119" s="24"/>
      <c r="G119" s="24"/>
      <c r="H119" s="24"/>
      <c r="I119" s="24"/>
      <c r="J119" s="24"/>
      <c r="K119" s="25"/>
    </row>
    <row r="120" s="5" customFormat="1" ht="20" customHeight="1" spans="1:11">
      <c r="A120" s="22"/>
      <c r="B120" s="23"/>
      <c r="C120" s="24"/>
      <c r="D120" s="24"/>
      <c r="E120" s="24"/>
      <c r="F120" s="24"/>
      <c r="G120" s="24"/>
      <c r="H120" s="24"/>
      <c r="I120" s="24"/>
      <c r="J120" s="24"/>
      <c r="K120" s="25"/>
    </row>
    <row r="121" s="5" customFormat="1" ht="20" customHeight="1" spans="1:11">
      <c r="A121" s="22"/>
      <c r="B121" s="23"/>
      <c r="C121" s="24"/>
      <c r="D121" s="24"/>
      <c r="E121" s="24"/>
      <c r="F121" s="24"/>
      <c r="G121" s="24"/>
      <c r="H121" s="24"/>
      <c r="I121" s="24"/>
      <c r="J121" s="24"/>
      <c r="K121" s="25"/>
    </row>
    <row r="122" s="5" customFormat="1" ht="20" customHeight="1" spans="1:11">
      <c r="A122" s="22"/>
      <c r="B122" s="23"/>
      <c r="C122" s="24"/>
      <c r="D122" s="24"/>
      <c r="E122" s="24"/>
      <c r="F122" s="24"/>
      <c r="G122" s="24"/>
      <c r="H122" s="24"/>
      <c r="I122" s="24"/>
      <c r="J122" s="24"/>
      <c r="K122" s="25"/>
    </row>
    <row r="123" s="5" customFormat="1" ht="20" customHeight="1" spans="1:11">
      <c r="A123" s="22"/>
      <c r="B123" s="23"/>
      <c r="C123" s="24"/>
      <c r="D123" s="24"/>
      <c r="E123" s="24"/>
      <c r="F123" s="24"/>
      <c r="G123" s="24"/>
      <c r="H123" s="24"/>
      <c r="I123" s="24"/>
      <c r="J123" s="24"/>
      <c r="K123" s="25"/>
    </row>
    <row r="124" s="5" customFormat="1" ht="20" customHeight="1" spans="1:11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5"/>
    </row>
    <row r="125" s="5" customFormat="1" ht="20" customHeight="1" spans="1:11">
      <c r="A125" s="22"/>
      <c r="B125" s="23"/>
      <c r="C125" s="24"/>
      <c r="D125" s="24"/>
      <c r="E125" s="24"/>
      <c r="F125" s="24"/>
      <c r="G125" s="24"/>
      <c r="H125" s="24"/>
      <c r="I125" s="24"/>
      <c r="J125" s="24"/>
      <c r="K125" s="25"/>
    </row>
    <row r="126" s="5" customFormat="1" ht="20" customHeight="1" spans="1:11">
      <c r="A126" s="22"/>
      <c r="B126" s="23"/>
      <c r="C126" s="24"/>
      <c r="D126" s="24"/>
      <c r="E126" s="24"/>
      <c r="F126" s="24"/>
      <c r="G126" s="24"/>
      <c r="H126" s="24"/>
      <c r="I126" s="24"/>
      <c r="J126" s="24"/>
      <c r="K126" s="25"/>
    </row>
    <row r="127" s="5" customFormat="1" ht="20" customHeight="1" spans="1:11">
      <c r="A127" s="22"/>
      <c r="B127" s="23"/>
      <c r="C127" s="24"/>
      <c r="D127" s="24"/>
      <c r="E127" s="24"/>
      <c r="F127" s="24"/>
      <c r="G127" s="24"/>
      <c r="H127" s="24"/>
      <c r="I127" s="24"/>
      <c r="J127" s="24"/>
      <c r="K127" s="25"/>
    </row>
    <row r="128" s="5" customFormat="1" ht="20" customHeight="1" spans="1:11">
      <c r="A128" s="22"/>
      <c r="B128" s="23"/>
      <c r="C128" s="24"/>
      <c r="D128" s="24"/>
      <c r="E128" s="24"/>
      <c r="F128" s="24"/>
      <c r="G128" s="24"/>
      <c r="H128" s="24"/>
      <c r="I128" s="24"/>
      <c r="J128" s="24"/>
      <c r="K128" s="25"/>
    </row>
    <row r="129" s="5" customFormat="1" ht="20" customHeight="1" spans="1:11">
      <c r="A129" s="22"/>
      <c r="B129" s="23"/>
      <c r="C129" s="24"/>
      <c r="D129" s="24"/>
      <c r="E129" s="24"/>
      <c r="F129" s="24"/>
      <c r="G129" s="24"/>
      <c r="H129" s="24"/>
      <c r="I129" s="24"/>
      <c r="J129" s="24"/>
      <c r="K129" s="25"/>
    </row>
    <row r="130" s="5" customFormat="1" ht="20" customHeight="1" spans="1:11">
      <c r="A130" s="22"/>
      <c r="B130" s="23"/>
      <c r="C130" s="24"/>
      <c r="D130" s="24"/>
      <c r="E130" s="24"/>
      <c r="F130" s="24"/>
      <c r="G130" s="24"/>
      <c r="H130" s="24"/>
      <c r="I130" s="24"/>
      <c r="J130" s="24"/>
      <c r="K130" s="25"/>
    </row>
    <row r="131" s="5" customFormat="1" ht="20" customHeight="1" spans="1:11">
      <c r="A131" s="22"/>
      <c r="B131" s="23"/>
      <c r="C131" s="24"/>
      <c r="D131" s="24"/>
      <c r="E131" s="24"/>
      <c r="F131" s="24"/>
      <c r="G131" s="24"/>
      <c r="H131" s="24"/>
      <c r="I131" s="24"/>
      <c r="J131" s="24"/>
      <c r="K131" s="25"/>
    </row>
    <row r="132" s="5" customFormat="1" ht="20" customHeight="1" spans="1:11">
      <c r="A132" s="22"/>
      <c r="B132" s="23"/>
      <c r="C132" s="24"/>
      <c r="D132" s="24"/>
      <c r="E132" s="24"/>
      <c r="F132" s="24"/>
      <c r="G132" s="24"/>
      <c r="H132" s="24"/>
      <c r="I132" s="24"/>
      <c r="J132" s="24"/>
      <c r="K132" s="25"/>
    </row>
    <row r="133" s="5" customFormat="1" ht="20" customHeight="1" spans="1:11">
      <c r="A133" s="22"/>
      <c r="B133" s="23"/>
      <c r="C133" s="24"/>
      <c r="D133" s="24"/>
      <c r="E133" s="24"/>
      <c r="F133" s="24"/>
      <c r="G133" s="24"/>
      <c r="H133" s="24"/>
      <c r="I133" s="24"/>
      <c r="J133" s="24"/>
      <c r="K133" s="25"/>
    </row>
    <row r="134" s="5" customFormat="1" ht="20" customHeight="1" spans="1:11">
      <c r="A134" s="22"/>
      <c r="B134" s="23"/>
      <c r="C134" s="24"/>
      <c r="D134" s="24"/>
      <c r="E134" s="24"/>
      <c r="F134" s="24"/>
      <c r="G134" s="24"/>
      <c r="H134" s="24"/>
      <c r="I134" s="24"/>
      <c r="J134" s="24"/>
      <c r="K134" s="25"/>
    </row>
    <row r="135" s="5" customFormat="1" ht="20" customHeight="1" spans="1:11">
      <c r="A135" s="22"/>
      <c r="B135" s="23"/>
      <c r="C135" s="24"/>
      <c r="D135" s="24"/>
      <c r="E135" s="24"/>
      <c r="F135" s="24"/>
      <c r="G135" s="24"/>
      <c r="H135" s="24"/>
      <c r="I135" s="24"/>
      <c r="J135" s="24"/>
      <c r="K135" s="25"/>
    </row>
    <row r="136" s="5" customFormat="1" ht="20" customHeight="1" spans="1:11">
      <c r="A136" s="22"/>
      <c r="B136" s="23"/>
      <c r="C136" s="24"/>
      <c r="D136" s="24"/>
      <c r="E136" s="24"/>
      <c r="F136" s="24"/>
      <c r="G136" s="24"/>
      <c r="H136" s="24"/>
      <c r="I136" s="24"/>
      <c r="J136" s="24"/>
      <c r="K136" s="25"/>
    </row>
    <row r="137" s="5" customFormat="1" ht="20" customHeight="1" spans="1:11">
      <c r="A137" s="22"/>
      <c r="B137" s="23"/>
      <c r="C137" s="24"/>
      <c r="D137" s="24"/>
      <c r="E137" s="24"/>
      <c r="F137" s="24"/>
      <c r="G137" s="24"/>
      <c r="H137" s="24"/>
      <c r="I137" s="24"/>
      <c r="J137" s="24"/>
      <c r="K137" s="25"/>
    </row>
    <row r="138" s="5" customFormat="1" ht="20" customHeight="1" spans="1:11">
      <c r="A138" s="22"/>
      <c r="B138" s="23"/>
      <c r="C138" s="24"/>
      <c r="D138" s="24"/>
      <c r="E138" s="24"/>
      <c r="F138" s="24"/>
      <c r="G138" s="24"/>
      <c r="H138" s="24"/>
      <c r="I138" s="24"/>
      <c r="J138" s="24"/>
      <c r="K138" s="25"/>
    </row>
    <row r="139" s="5" customFormat="1" ht="20" customHeight="1" spans="1:11">
      <c r="A139" s="22"/>
      <c r="B139" s="23"/>
      <c r="C139" s="24"/>
      <c r="D139" s="24"/>
      <c r="E139" s="24"/>
      <c r="F139" s="24"/>
      <c r="G139" s="24"/>
      <c r="H139" s="24"/>
      <c r="I139" s="24"/>
      <c r="J139" s="24"/>
      <c r="K139" s="25"/>
    </row>
    <row r="140" s="5" customFormat="1" ht="20" customHeight="1" spans="1:11">
      <c r="A140" s="22"/>
      <c r="B140" s="23"/>
      <c r="C140" s="24"/>
      <c r="D140" s="24"/>
      <c r="E140" s="24"/>
      <c r="F140" s="24"/>
      <c r="G140" s="24"/>
      <c r="H140" s="24"/>
      <c r="I140" s="24"/>
      <c r="J140" s="24"/>
      <c r="K140" s="25"/>
    </row>
    <row r="141" s="5" customFormat="1" ht="20" customHeight="1" spans="1:11">
      <c r="A141" s="22"/>
      <c r="B141" s="23"/>
      <c r="C141" s="24"/>
      <c r="D141" s="24"/>
      <c r="E141" s="24"/>
      <c r="F141" s="24"/>
      <c r="G141" s="24"/>
      <c r="H141" s="24"/>
      <c r="I141" s="24"/>
      <c r="J141" s="24"/>
      <c r="K141" s="25"/>
    </row>
    <row r="142" s="5" customFormat="1" ht="20" customHeight="1" spans="1:11">
      <c r="A142" s="22"/>
      <c r="B142" s="23"/>
      <c r="C142" s="24"/>
      <c r="D142" s="24"/>
      <c r="E142" s="24"/>
      <c r="F142" s="24"/>
      <c r="G142" s="24"/>
      <c r="H142" s="24"/>
      <c r="I142" s="24"/>
      <c r="J142" s="24"/>
      <c r="K142" s="25"/>
    </row>
    <row r="143" s="5" customFormat="1" ht="20" customHeight="1" spans="1:11">
      <c r="A143" s="22"/>
      <c r="B143" s="23"/>
      <c r="C143" s="24"/>
      <c r="D143" s="24"/>
      <c r="E143" s="24"/>
      <c r="F143" s="24"/>
      <c r="G143" s="24"/>
      <c r="H143" s="24"/>
      <c r="I143" s="24"/>
      <c r="J143" s="24"/>
      <c r="K143" s="25"/>
    </row>
    <row r="144" s="5" customFormat="1" ht="20" customHeight="1" spans="1:11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5"/>
    </row>
    <row r="145" s="5" customFormat="1" ht="20" customHeight="1" spans="1:11">
      <c r="A145" s="22"/>
      <c r="B145" s="23"/>
      <c r="C145" s="24"/>
      <c r="D145" s="24"/>
      <c r="E145" s="24"/>
      <c r="F145" s="24"/>
      <c r="G145" s="24"/>
      <c r="H145" s="24"/>
      <c r="I145" s="24"/>
      <c r="J145" s="24"/>
      <c r="K145" s="25"/>
    </row>
    <row r="146" s="5" customFormat="1" ht="20" customHeight="1" spans="1:11">
      <c r="A146" s="22"/>
      <c r="B146" s="23"/>
      <c r="C146" s="24"/>
      <c r="D146" s="24"/>
      <c r="E146" s="24"/>
      <c r="F146" s="24"/>
      <c r="G146" s="24"/>
      <c r="H146" s="24"/>
      <c r="I146" s="24"/>
      <c r="J146" s="24"/>
      <c r="K146" s="25"/>
    </row>
    <row r="147" s="5" customFormat="1" ht="20" customHeight="1" spans="1:11">
      <c r="A147" s="22"/>
      <c r="B147" s="23"/>
      <c r="C147" s="24"/>
      <c r="D147" s="24"/>
      <c r="E147" s="24"/>
      <c r="F147" s="24"/>
      <c r="G147" s="24"/>
      <c r="H147" s="24"/>
      <c r="I147" s="24"/>
      <c r="J147" s="24"/>
      <c r="K147" s="25"/>
    </row>
    <row r="148" s="5" customFormat="1" ht="20" customHeight="1" spans="1:11">
      <c r="A148" s="22"/>
      <c r="B148" s="23"/>
      <c r="C148" s="24"/>
      <c r="D148" s="24"/>
      <c r="E148" s="24"/>
      <c r="F148" s="24"/>
      <c r="G148" s="24"/>
      <c r="H148" s="24"/>
      <c r="I148" s="24"/>
      <c r="J148" s="24"/>
      <c r="K148" s="25"/>
    </row>
    <row r="149" s="5" customFormat="1" ht="20" customHeight="1" spans="1:11">
      <c r="A149" s="22"/>
      <c r="B149" s="23"/>
      <c r="C149" s="24"/>
      <c r="D149" s="24"/>
      <c r="E149" s="24"/>
      <c r="F149" s="24"/>
      <c r="G149" s="24"/>
      <c r="H149" s="24"/>
      <c r="I149" s="24"/>
      <c r="J149" s="24"/>
      <c r="K149" s="25"/>
    </row>
    <row r="150" s="5" customFormat="1" ht="20" customHeight="1" spans="1:11">
      <c r="A150" s="22"/>
      <c r="B150" s="23"/>
      <c r="C150" s="24"/>
      <c r="D150" s="24"/>
      <c r="E150" s="24"/>
      <c r="F150" s="24"/>
      <c r="G150" s="24"/>
      <c r="H150" s="24"/>
      <c r="I150" s="24"/>
      <c r="J150" s="24"/>
      <c r="K150" s="25"/>
    </row>
    <row r="151" s="5" customFormat="1" ht="20" customHeight="1" spans="1:11">
      <c r="A151" s="22"/>
      <c r="B151" s="23"/>
      <c r="C151" s="24"/>
      <c r="D151" s="24"/>
      <c r="E151" s="24"/>
      <c r="F151" s="24"/>
      <c r="G151" s="24"/>
      <c r="H151" s="24"/>
      <c r="I151" s="24"/>
      <c r="J151" s="24"/>
      <c r="K151" s="25"/>
    </row>
    <row r="152" s="5" customFormat="1" ht="20" customHeight="1" spans="1:11">
      <c r="A152" s="22"/>
      <c r="B152" s="23"/>
      <c r="C152" s="24"/>
      <c r="D152" s="24"/>
      <c r="E152" s="24"/>
      <c r="F152" s="24"/>
      <c r="G152" s="24"/>
      <c r="H152" s="24"/>
      <c r="I152" s="24"/>
      <c r="J152" s="24"/>
      <c r="K152" s="25"/>
    </row>
    <row r="153" s="5" customFormat="1" ht="20" customHeight="1" spans="1:11">
      <c r="A153" s="22"/>
      <c r="B153" s="23"/>
      <c r="C153" s="24"/>
      <c r="D153" s="24"/>
      <c r="E153" s="24"/>
      <c r="F153" s="24"/>
      <c r="G153" s="24"/>
      <c r="H153" s="24"/>
      <c r="I153" s="24"/>
      <c r="J153" s="24"/>
      <c r="K153" s="25"/>
    </row>
    <row r="154" s="5" customFormat="1" ht="20" customHeight="1" spans="1:11">
      <c r="A154" s="22"/>
      <c r="B154" s="23"/>
      <c r="C154" s="24"/>
      <c r="D154" s="24"/>
      <c r="E154" s="24"/>
      <c r="F154" s="24"/>
      <c r="G154" s="24"/>
      <c r="H154" s="24"/>
      <c r="I154" s="24"/>
      <c r="J154" s="24"/>
      <c r="K154" s="25"/>
    </row>
    <row r="155" s="5" customFormat="1" ht="20" customHeight="1" spans="1:11">
      <c r="A155" s="22"/>
      <c r="B155" s="23"/>
      <c r="C155" s="24"/>
      <c r="D155" s="24"/>
      <c r="E155" s="24"/>
      <c r="F155" s="24"/>
      <c r="G155" s="24"/>
      <c r="H155" s="24"/>
      <c r="I155" s="24"/>
      <c r="J155" s="24"/>
      <c r="K155" s="25"/>
    </row>
    <row r="156" s="5" customFormat="1" ht="20" customHeight="1" spans="1:11">
      <c r="A156" s="22"/>
      <c r="B156" s="23"/>
      <c r="C156" s="24"/>
      <c r="D156" s="24"/>
      <c r="E156" s="24"/>
      <c r="F156" s="24"/>
      <c r="G156" s="24"/>
      <c r="H156" s="24"/>
      <c r="I156" s="24"/>
      <c r="J156" s="24"/>
      <c r="K156" s="25"/>
    </row>
    <row r="157" s="5" customFormat="1" ht="20" customHeight="1" spans="1:11">
      <c r="A157" s="22"/>
      <c r="B157" s="23"/>
      <c r="C157" s="24"/>
      <c r="D157" s="24"/>
      <c r="E157" s="24"/>
      <c r="F157" s="24"/>
      <c r="G157" s="24"/>
      <c r="H157" s="24"/>
      <c r="I157" s="24"/>
      <c r="J157" s="24"/>
      <c r="K157" s="25"/>
    </row>
    <row r="158" s="5" customFormat="1" ht="20" customHeight="1" spans="1:11">
      <c r="A158" s="22"/>
      <c r="B158" s="23"/>
      <c r="C158" s="24"/>
      <c r="D158" s="24"/>
      <c r="E158" s="24"/>
      <c r="F158" s="24"/>
      <c r="G158" s="24"/>
      <c r="H158" s="24"/>
      <c r="I158" s="24"/>
      <c r="J158" s="24"/>
      <c r="K158" s="25"/>
    </row>
    <row r="159" s="5" customFormat="1" ht="20" customHeight="1" spans="1:11">
      <c r="A159" s="22"/>
      <c r="B159" s="23"/>
      <c r="C159" s="24"/>
      <c r="D159" s="24"/>
      <c r="E159" s="24"/>
      <c r="F159" s="24"/>
      <c r="G159" s="24"/>
      <c r="H159" s="24"/>
      <c r="I159" s="24"/>
      <c r="J159" s="24"/>
      <c r="K159" s="25"/>
    </row>
    <row r="160" s="5" customFormat="1" ht="20" customHeight="1" spans="1:11">
      <c r="A160" s="22"/>
      <c r="B160" s="23"/>
      <c r="C160" s="24"/>
      <c r="D160" s="24"/>
      <c r="E160" s="24"/>
      <c r="F160" s="24"/>
      <c r="G160" s="24"/>
      <c r="H160" s="24"/>
      <c r="I160" s="24"/>
      <c r="J160" s="24"/>
      <c r="K160" s="25"/>
    </row>
    <row r="161" s="5" customFormat="1" ht="20" customHeight="1" spans="1:11">
      <c r="A161" s="22"/>
      <c r="B161" s="23"/>
      <c r="C161" s="24"/>
      <c r="D161" s="24"/>
      <c r="E161" s="24"/>
      <c r="F161" s="24"/>
      <c r="G161" s="24"/>
      <c r="H161" s="24"/>
      <c r="I161" s="24"/>
      <c r="J161" s="24"/>
      <c r="K161" s="25"/>
    </row>
    <row r="162" s="5" customFormat="1" ht="20" customHeight="1" spans="1:11">
      <c r="A162" s="22"/>
      <c r="B162" s="23"/>
      <c r="C162" s="24"/>
      <c r="D162" s="24"/>
      <c r="E162" s="24"/>
      <c r="F162" s="24"/>
      <c r="G162" s="24"/>
      <c r="H162" s="24"/>
      <c r="I162" s="24"/>
      <c r="J162" s="24"/>
      <c r="K162" s="25"/>
    </row>
    <row r="163" s="5" customFormat="1" ht="20" customHeight="1" spans="1:11">
      <c r="A163" s="22"/>
      <c r="B163" s="23"/>
      <c r="C163" s="24"/>
      <c r="D163" s="24"/>
      <c r="E163" s="24"/>
      <c r="F163" s="24"/>
      <c r="G163" s="24"/>
      <c r="H163" s="24"/>
      <c r="I163" s="24"/>
      <c r="J163" s="24"/>
      <c r="K163" s="25"/>
    </row>
    <row r="164" s="5" customFormat="1" ht="20" customHeight="1" spans="1:11">
      <c r="A164" s="22"/>
      <c r="B164" s="23"/>
      <c r="C164" s="24"/>
      <c r="D164" s="24"/>
      <c r="E164" s="24"/>
      <c r="F164" s="24"/>
      <c r="G164" s="24"/>
      <c r="H164" s="24"/>
      <c r="I164" s="24"/>
      <c r="J164" s="24"/>
      <c r="K164" s="25"/>
    </row>
    <row r="165" s="5" customFormat="1" ht="20" customHeight="1" spans="1:11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5"/>
    </row>
    <row r="166" s="5" customFormat="1" ht="20" customHeight="1" spans="1:11">
      <c r="A166" s="22"/>
      <c r="B166" s="23"/>
      <c r="C166" s="24"/>
      <c r="D166" s="24"/>
      <c r="E166" s="24"/>
      <c r="F166" s="24"/>
      <c r="G166" s="24"/>
      <c r="H166" s="24"/>
      <c r="I166" s="24"/>
      <c r="J166" s="24"/>
      <c r="K166" s="25"/>
    </row>
    <row r="167" s="5" customFormat="1" ht="20" customHeight="1" spans="1:11">
      <c r="A167" s="22"/>
      <c r="B167" s="23"/>
      <c r="C167" s="24"/>
      <c r="D167" s="24"/>
      <c r="E167" s="24"/>
      <c r="F167" s="24"/>
      <c r="G167" s="24"/>
      <c r="H167" s="24"/>
      <c r="I167" s="24"/>
      <c r="J167" s="24"/>
      <c r="K167" s="25"/>
    </row>
    <row r="168" s="5" customFormat="1" ht="20" customHeight="1" spans="1:11">
      <c r="A168" s="22"/>
      <c r="B168" s="23"/>
      <c r="C168" s="24"/>
      <c r="D168" s="24"/>
      <c r="E168" s="24"/>
      <c r="F168" s="24"/>
      <c r="G168" s="24"/>
      <c r="H168" s="24"/>
      <c r="I168" s="24"/>
      <c r="J168" s="24"/>
      <c r="K168" s="25"/>
    </row>
    <row r="169" s="5" customFormat="1" ht="20" customHeight="1" spans="1:11">
      <c r="A169" s="22"/>
      <c r="B169" s="23"/>
      <c r="C169" s="24"/>
      <c r="D169" s="24"/>
      <c r="E169" s="24"/>
      <c r="F169" s="24"/>
      <c r="G169" s="24"/>
      <c r="H169" s="24"/>
      <c r="I169" s="24"/>
      <c r="J169" s="24"/>
      <c r="K169" s="25"/>
    </row>
    <row r="170" s="5" customFormat="1" ht="20" customHeight="1" spans="1:11">
      <c r="A170" s="22"/>
      <c r="B170" s="23"/>
      <c r="C170" s="24"/>
      <c r="D170" s="24"/>
      <c r="E170" s="24"/>
      <c r="F170" s="24"/>
      <c r="G170" s="24"/>
      <c r="H170" s="24"/>
      <c r="I170" s="24"/>
      <c r="J170" s="24"/>
      <c r="K170" s="25"/>
    </row>
    <row r="171" s="5" customFormat="1" ht="20" customHeight="1" spans="1:11">
      <c r="A171" s="22"/>
      <c r="B171" s="23"/>
      <c r="C171" s="24"/>
      <c r="D171" s="24"/>
      <c r="E171" s="24"/>
      <c r="F171" s="24"/>
      <c r="G171" s="24"/>
      <c r="H171" s="24"/>
      <c r="I171" s="24"/>
      <c r="J171" s="24"/>
      <c r="K171" s="25"/>
    </row>
    <row r="172" s="5" customFormat="1" ht="20" customHeight="1" spans="1:11">
      <c r="A172" s="22"/>
      <c r="B172" s="23"/>
      <c r="C172" s="24"/>
      <c r="D172" s="24"/>
      <c r="E172" s="24"/>
      <c r="F172" s="24"/>
      <c r="G172" s="24"/>
      <c r="H172" s="24"/>
      <c r="I172" s="24"/>
      <c r="J172" s="24"/>
      <c r="K172" s="25"/>
    </row>
    <row r="173" s="5" customFormat="1" ht="20" customHeight="1" spans="1:11">
      <c r="A173" s="22"/>
      <c r="B173" s="23"/>
      <c r="C173" s="24"/>
      <c r="D173" s="24"/>
      <c r="E173" s="24"/>
      <c r="F173" s="24"/>
      <c r="G173" s="24"/>
      <c r="H173" s="24"/>
      <c r="I173" s="24"/>
      <c r="J173" s="24"/>
      <c r="K173" s="25"/>
    </row>
    <row r="174" s="5" customFormat="1" ht="20" customHeight="1" spans="1:11">
      <c r="A174" s="22"/>
      <c r="B174" s="23"/>
      <c r="C174" s="24"/>
      <c r="D174" s="24"/>
      <c r="E174" s="24"/>
      <c r="F174" s="24"/>
      <c r="G174" s="24"/>
      <c r="H174" s="24"/>
      <c r="I174" s="24"/>
      <c r="J174" s="24"/>
      <c r="K174" s="25"/>
    </row>
    <row r="175" s="5" customFormat="1" ht="20" customHeight="1" spans="1:11">
      <c r="A175" s="22"/>
      <c r="B175" s="23"/>
      <c r="C175" s="24"/>
      <c r="D175" s="24"/>
      <c r="E175" s="24"/>
      <c r="F175" s="24"/>
      <c r="G175" s="24"/>
      <c r="H175" s="24"/>
      <c r="I175" s="24"/>
      <c r="J175" s="24"/>
      <c r="K175" s="25"/>
    </row>
    <row r="176" s="5" customFormat="1" ht="20" customHeight="1" spans="1:11">
      <c r="A176" s="22"/>
      <c r="B176" s="23"/>
      <c r="C176" s="24"/>
      <c r="D176" s="24"/>
      <c r="E176" s="24"/>
      <c r="F176" s="24"/>
      <c r="G176" s="24"/>
      <c r="H176" s="24"/>
      <c r="I176" s="24"/>
      <c r="J176" s="24"/>
      <c r="K176" s="25"/>
    </row>
    <row r="177" s="5" customFormat="1" ht="20" customHeight="1" spans="1:11">
      <c r="A177" s="22"/>
      <c r="B177" s="23"/>
      <c r="C177" s="24"/>
      <c r="D177" s="24"/>
      <c r="E177" s="24"/>
      <c r="F177" s="24"/>
      <c r="G177" s="24"/>
      <c r="H177" s="24"/>
      <c r="I177" s="24"/>
      <c r="J177" s="24"/>
      <c r="K177" s="25"/>
    </row>
    <row r="178" s="5" customFormat="1" ht="20" customHeight="1" spans="1:11">
      <c r="A178" s="22"/>
      <c r="B178" s="23"/>
      <c r="C178" s="24"/>
      <c r="D178" s="24"/>
      <c r="E178" s="24"/>
      <c r="F178" s="24"/>
      <c r="G178" s="24"/>
      <c r="H178" s="24"/>
      <c r="I178" s="24"/>
      <c r="J178" s="24"/>
      <c r="K178" s="25"/>
    </row>
    <row r="179" s="5" customFormat="1" ht="20" customHeight="1" spans="1:11">
      <c r="A179" s="22"/>
      <c r="B179" s="23"/>
      <c r="C179" s="24"/>
      <c r="D179" s="24"/>
      <c r="E179" s="24"/>
      <c r="F179" s="24"/>
      <c r="G179" s="24"/>
      <c r="H179" s="24"/>
      <c r="I179" s="24"/>
      <c r="J179" s="24"/>
      <c r="K179" s="25"/>
    </row>
    <row r="180" s="5" customFormat="1" ht="20" customHeight="1" spans="1:11">
      <c r="A180" s="22"/>
      <c r="B180" s="23"/>
      <c r="C180" s="24"/>
      <c r="D180" s="24"/>
      <c r="E180" s="24"/>
      <c r="F180" s="24"/>
      <c r="G180" s="24"/>
      <c r="H180" s="24"/>
      <c r="I180" s="24"/>
      <c r="J180" s="24"/>
      <c r="K180" s="25"/>
    </row>
    <row r="181" s="5" customFormat="1" ht="20" customHeight="1" spans="1:11">
      <c r="A181" s="22"/>
      <c r="B181" s="23"/>
      <c r="C181" s="24"/>
      <c r="D181" s="24"/>
      <c r="E181" s="24"/>
      <c r="F181" s="24"/>
      <c r="G181" s="24"/>
      <c r="H181" s="24"/>
      <c r="I181" s="24"/>
      <c r="J181" s="24"/>
      <c r="K181" s="25"/>
    </row>
    <row r="182" s="5" customFormat="1" ht="20" customHeight="1" spans="1:11">
      <c r="A182" s="22"/>
      <c r="B182" s="23"/>
      <c r="C182" s="24"/>
      <c r="D182" s="24"/>
      <c r="E182" s="24"/>
      <c r="F182" s="24"/>
      <c r="G182" s="24"/>
      <c r="H182" s="24"/>
      <c r="I182" s="24"/>
      <c r="J182" s="24"/>
      <c r="K182" s="25"/>
    </row>
    <row r="183" s="5" customFormat="1" ht="20" customHeight="1" spans="1:11">
      <c r="A183" s="22"/>
      <c r="B183" s="23"/>
      <c r="C183" s="24"/>
      <c r="D183" s="24"/>
      <c r="E183" s="24"/>
      <c r="F183" s="24"/>
      <c r="G183" s="24"/>
      <c r="H183" s="24"/>
      <c r="I183" s="24"/>
      <c r="J183" s="24"/>
      <c r="K183" s="25"/>
    </row>
    <row r="184" s="5" customFormat="1" ht="20" customHeight="1" spans="1:11">
      <c r="A184" s="22"/>
      <c r="B184" s="23"/>
      <c r="C184" s="24"/>
      <c r="D184" s="24"/>
      <c r="E184" s="24"/>
      <c r="F184" s="24"/>
      <c r="G184" s="24"/>
      <c r="H184" s="24"/>
      <c r="I184" s="24"/>
      <c r="J184" s="24"/>
      <c r="K184" s="25"/>
    </row>
    <row r="185" s="5" customFormat="1" ht="20" customHeight="1" spans="1:11">
      <c r="A185" s="22"/>
      <c r="B185" s="23"/>
      <c r="C185" s="24"/>
      <c r="D185" s="24"/>
      <c r="E185" s="24"/>
      <c r="F185" s="24"/>
      <c r="G185" s="24"/>
      <c r="H185" s="24"/>
      <c r="I185" s="24"/>
      <c r="J185" s="24"/>
      <c r="K185" s="25"/>
    </row>
    <row r="186" s="5" customFormat="1" ht="20" customHeight="1" spans="1:11">
      <c r="A186" s="22"/>
      <c r="B186" s="23"/>
      <c r="C186" s="24"/>
      <c r="D186" s="24"/>
      <c r="E186" s="24"/>
      <c r="F186" s="24"/>
      <c r="G186" s="24"/>
      <c r="H186" s="24"/>
      <c r="I186" s="24"/>
      <c r="J186" s="24"/>
      <c r="K186" s="25"/>
    </row>
    <row r="187" s="5" customFormat="1" ht="20" customHeight="1" spans="1:11">
      <c r="A187" s="22"/>
      <c r="B187" s="23"/>
      <c r="C187" s="24"/>
      <c r="D187" s="24"/>
      <c r="E187" s="24"/>
      <c r="F187" s="24"/>
      <c r="G187" s="24"/>
      <c r="H187" s="24"/>
      <c r="I187" s="24"/>
      <c r="J187" s="24"/>
      <c r="K187" s="25"/>
    </row>
    <row r="188" s="5" customFormat="1" ht="20" customHeight="1" spans="1:11">
      <c r="A188" s="22"/>
      <c r="B188" s="23"/>
      <c r="C188" s="24"/>
      <c r="D188" s="24"/>
      <c r="E188" s="24"/>
      <c r="F188" s="24"/>
      <c r="G188" s="24"/>
      <c r="H188" s="24"/>
      <c r="I188" s="24"/>
      <c r="J188" s="24"/>
      <c r="K188" s="25"/>
    </row>
    <row r="189" s="5" customFormat="1" ht="20" customHeight="1" spans="1:11">
      <c r="A189" s="22"/>
      <c r="B189" s="23"/>
      <c r="C189" s="24"/>
      <c r="D189" s="24"/>
      <c r="E189" s="24"/>
      <c r="F189" s="24"/>
      <c r="G189" s="24"/>
      <c r="H189" s="24"/>
      <c r="I189" s="24"/>
      <c r="J189" s="24"/>
      <c r="K189" s="25"/>
    </row>
    <row r="190" s="5" customFormat="1" ht="20" customHeight="1" spans="1:11">
      <c r="A190" s="22"/>
      <c r="B190" s="23"/>
      <c r="C190" s="24"/>
      <c r="D190" s="24"/>
      <c r="E190" s="24"/>
      <c r="F190" s="24"/>
      <c r="G190" s="24"/>
      <c r="H190" s="24"/>
      <c r="I190" s="24"/>
      <c r="J190" s="24"/>
      <c r="K190" s="25"/>
    </row>
    <row r="191" s="5" customFormat="1" ht="20" customHeight="1" spans="1:11">
      <c r="A191" s="22"/>
      <c r="B191" s="23"/>
      <c r="C191" s="24"/>
      <c r="D191" s="24"/>
      <c r="E191" s="24"/>
      <c r="F191" s="24"/>
      <c r="G191" s="24"/>
      <c r="H191" s="24"/>
      <c r="I191" s="24"/>
      <c r="J191" s="24"/>
      <c r="K191" s="25"/>
    </row>
    <row r="192" s="5" customFormat="1" ht="20" customHeight="1" spans="1:11">
      <c r="A192" s="22"/>
      <c r="B192" s="23"/>
      <c r="C192" s="24"/>
      <c r="D192" s="24"/>
      <c r="E192" s="24"/>
      <c r="F192" s="24"/>
      <c r="G192" s="24"/>
      <c r="H192" s="24"/>
      <c r="I192" s="24"/>
      <c r="J192" s="24"/>
      <c r="K192" s="25"/>
    </row>
    <row r="193" s="5" customFormat="1" ht="20" customHeight="1" spans="1:11">
      <c r="A193" s="22"/>
      <c r="B193" s="23"/>
      <c r="C193" s="24"/>
      <c r="D193" s="24"/>
      <c r="E193" s="24"/>
      <c r="F193" s="24"/>
      <c r="G193" s="24"/>
      <c r="H193" s="24"/>
      <c r="I193" s="24"/>
      <c r="J193" s="24"/>
      <c r="K193" s="25"/>
    </row>
    <row r="194" s="5" customFormat="1" ht="20" customHeight="1" spans="1:11">
      <c r="A194" s="22"/>
      <c r="B194" s="23"/>
      <c r="C194" s="24"/>
      <c r="D194" s="24"/>
      <c r="E194" s="24"/>
      <c r="F194" s="24"/>
      <c r="G194" s="24"/>
      <c r="H194" s="24"/>
      <c r="I194" s="24"/>
      <c r="J194" s="24"/>
      <c r="K194" s="25"/>
    </row>
    <row r="195" s="5" customFormat="1" ht="20" customHeight="1" spans="1:11">
      <c r="A195" s="22"/>
      <c r="B195" s="23"/>
      <c r="C195" s="24"/>
      <c r="D195" s="24"/>
      <c r="E195" s="24"/>
      <c r="F195" s="24"/>
      <c r="G195" s="24"/>
      <c r="H195" s="24"/>
      <c r="I195" s="24"/>
      <c r="J195" s="24"/>
      <c r="K195" s="25"/>
    </row>
    <row r="196" s="5" customFormat="1" ht="20" customHeight="1" spans="1:11">
      <c r="A196" s="22"/>
      <c r="B196" s="23"/>
      <c r="C196" s="24"/>
      <c r="D196" s="24"/>
      <c r="E196" s="24"/>
      <c r="F196" s="24"/>
      <c r="G196" s="24"/>
      <c r="H196" s="24"/>
      <c r="I196" s="24"/>
      <c r="J196" s="24"/>
      <c r="K196" s="25"/>
    </row>
    <row r="197" s="5" customFormat="1" ht="20" customHeight="1" spans="1:11">
      <c r="A197" s="22"/>
      <c r="B197" s="23"/>
      <c r="C197" s="24"/>
      <c r="D197" s="24"/>
      <c r="E197" s="24"/>
      <c r="F197" s="24"/>
      <c r="G197" s="24"/>
      <c r="H197" s="24"/>
      <c r="I197" s="24"/>
      <c r="J197" s="24"/>
      <c r="K197" s="25"/>
    </row>
    <row r="198" s="5" customFormat="1" ht="20" customHeight="1" spans="1:11">
      <c r="A198" s="22"/>
      <c r="B198" s="23"/>
      <c r="C198" s="24"/>
      <c r="D198" s="24"/>
      <c r="E198" s="24"/>
      <c r="F198" s="24"/>
      <c r="G198" s="24"/>
      <c r="H198" s="24"/>
      <c r="I198" s="24"/>
      <c r="J198" s="24"/>
      <c r="K198" s="25"/>
    </row>
    <row r="199" s="5" customFormat="1" ht="20" customHeight="1" spans="1:11">
      <c r="A199" s="22"/>
      <c r="B199" s="23"/>
      <c r="C199" s="24"/>
      <c r="D199" s="24"/>
      <c r="E199" s="24"/>
      <c r="F199" s="24"/>
      <c r="G199" s="24"/>
      <c r="H199" s="24"/>
      <c r="I199" s="24"/>
      <c r="J199" s="24"/>
      <c r="K199" s="25"/>
    </row>
    <row r="200" s="5" customFormat="1" ht="20" customHeight="1" spans="1:11">
      <c r="A200" s="22"/>
      <c r="B200" s="23"/>
      <c r="C200" s="24"/>
      <c r="D200" s="24"/>
      <c r="E200" s="24"/>
      <c r="F200" s="24"/>
      <c r="G200" s="24"/>
      <c r="H200" s="24"/>
      <c r="I200" s="24"/>
      <c r="J200" s="24"/>
      <c r="K200" s="25"/>
    </row>
    <row r="201" s="5" customFormat="1" ht="20" customHeight="1" spans="1:11">
      <c r="A201" s="22"/>
      <c r="B201" s="23"/>
      <c r="C201" s="24"/>
      <c r="D201" s="24"/>
      <c r="E201" s="24"/>
      <c r="F201" s="24"/>
      <c r="G201" s="24"/>
      <c r="H201" s="24"/>
      <c r="I201" s="24"/>
      <c r="J201" s="24"/>
      <c r="K201" s="25"/>
    </row>
    <row r="202" s="5" customFormat="1" ht="20" customHeight="1" spans="1:11">
      <c r="A202" s="22"/>
      <c r="B202" s="23"/>
      <c r="C202" s="24"/>
      <c r="D202" s="24"/>
      <c r="E202" s="24"/>
      <c r="F202" s="24"/>
      <c r="G202" s="24"/>
      <c r="H202" s="24"/>
      <c r="I202" s="24"/>
      <c r="J202" s="24"/>
      <c r="K202" s="25"/>
    </row>
    <row r="203" s="5" customFormat="1" ht="20" customHeight="1" spans="1:11">
      <c r="A203" s="22"/>
      <c r="B203" s="23"/>
      <c r="C203" s="24"/>
      <c r="D203" s="24"/>
      <c r="E203" s="24"/>
      <c r="F203" s="24"/>
      <c r="G203" s="24"/>
      <c r="H203" s="24"/>
      <c r="I203" s="24"/>
      <c r="J203" s="24"/>
      <c r="K203" s="25"/>
    </row>
    <row r="204" s="5" customFormat="1" ht="20" customHeight="1" spans="1:11">
      <c r="A204" s="22"/>
      <c r="B204" s="23"/>
      <c r="C204" s="24"/>
      <c r="D204" s="24"/>
      <c r="E204" s="24"/>
      <c r="F204" s="24"/>
      <c r="G204" s="24"/>
      <c r="H204" s="24"/>
      <c r="I204" s="24"/>
      <c r="J204" s="24"/>
      <c r="K204" s="25"/>
    </row>
    <row r="205" s="5" customFormat="1" ht="20" customHeight="1" spans="1:11">
      <c r="A205" s="22"/>
      <c r="B205" s="23"/>
      <c r="C205" s="24"/>
      <c r="D205" s="24"/>
      <c r="E205" s="24"/>
      <c r="F205" s="24"/>
      <c r="G205" s="24"/>
      <c r="H205" s="24"/>
      <c r="I205" s="24"/>
      <c r="J205" s="24"/>
      <c r="K205" s="25"/>
    </row>
    <row r="206" s="5" customFormat="1" ht="20" customHeight="1" spans="1:11">
      <c r="A206" s="22"/>
      <c r="B206" s="23"/>
      <c r="C206" s="24"/>
      <c r="D206" s="24"/>
      <c r="E206" s="24"/>
      <c r="F206" s="24"/>
      <c r="G206" s="24"/>
      <c r="H206" s="24"/>
      <c r="I206" s="24"/>
      <c r="J206" s="24"/>
      <c r="K206" s="25"/>
    </row>
    <row r="207" s="5" customFormat="1" ht="20" customHeight="1" spans="1:11">
      <c r="A207" s="22"/>
      <c r="B207" s="23"/>
      <c r="C207" s="24"/>
      <c r="D207" s="24"/>
      <c r="E207" s="24"/>
      <c r="F207" s="24"/>
      <c r="G207" s="24"/>
      <c r="H207" s="24"/>
      <c r="I207" s="24"/>
      <c r="J207" s="24"/>
      <c r="K207" s="25"/>
    </row>
    <row r="208" s="5" customFormat="1" ht="20" customHeight="1" spans="1:11">
      <c r="A208" s="22"/>
      <c r="B208" s="23"/>
      <c r="C208" s="24"/>
      <c r="D208" s="24"/>
      <c r="E208" s="24"/>
      <c r="F208" s="24"/>
      <c r="G208" s="24"/>
      <c r="H208" s="24"/>
      <c r="I208" s="24"/>
      <c r="J208" s="24"/>
      <c r="K208" s="25"/>
    </row>
    <row r="209" s="5" customFormat="1" ht="20" customHeight="1" spans="1:11">
      <c r="A209" s="22"/>
      <c r="B209" s="23"/>
      <c r="C209" s="24"/>
      <c r="D209" s="24"/>
      <c r="E209" s="24"/>
      <c r="F209" s="24"/>
      <c r="G209" s="24"/>
      <c r="H209" s="24"/>
      <c r="I209" s="24"/>
      <c r="J209" s="24"/>
      <c r="K209" s="25"/>
    </row>
    <row r="210" s="5" customFormat="1" ht="20" customHeight="1" spans="1:11">
      <c r="A210" s="22"/>
      <c r="B210" s="23"/>
      <c r="C210" s="24"/>
      <c r="D210" s="24"/>
      <c r="E210" s="24"/>
      <c r="F210" s="24"/>
      <c r="G210" s="24"/>
      <c r="H210" s="24"/>
      <c r="I210" s="24"/>
      <c r="J210" s="24"/>
      <c r="K210" s="25"/>
    </row>
    <row r="211" s="5" customFormat="1" ht="20" customHeight="1" spans="1:11">
      <c r="A211" s="22"/>
      <c r="B211" s="23"/>
      <c r="C211" s="24"/>
      <c r="D211" s="24"/>
      <c r="E211" s="24"/>
      <c r="F211" s="24"/>
      <c r="G211" s="24"/>
      <c r="H211" s="24"/>
      <c r="I211" s="24"/>
      <c r="J211" s="24"/>
      <c r="K211" s="25"/>
    </row>
    <row r="212" s="5" customFormat="1" ht="20" customHeight="1" spans="1:11">
      <c r="A212" s="22"/>
      <c r="B212" s="23"/>
      <c r="C212" s="24"/>
      <c r="D212" s="24"/>
      <c r="E212" s="24"/>
      <c r="F212" s="24"/>
      <c r="G212" s="24"/>
      <c r="H212" s="24"/>
      <c r="I212" s="24"/>
      <c r="J212" s="24"/>
      <c r="K212" s="25"/>
    </row>
    <row r="213" s="5" customFormat="1" ht="20" customHeight="1" spans="1:11">
      <c r="A213" s="22"/>
      <c r="B213" s="23"/>
      <c r="C213" s="24"/>
      <c r="D213" s="24"/>
      <c r="E213" s="24"/>
      <c r="F213" s="24"/>
      <c r="G213" s="24"/>
      <c r="H213" s="24"/>
      <c r="I213" s="24"/>
      <c r="J213" s="24"/>
      <c r="K213" s="25"/>
    </row>
    <row r="214" s="5" customFormat="1" ht="20" customHeight="1" spans="1:11">
      <c r="A214" s="22"/>
      <c r="B214" s="23"/>
      <c r="C214" s="24"/>
      <c r="D214" s="24"/>
      <c r="E214" s="24"/>
      <c r="F214" s="24"/>
      <c r="G214" s="24"/>
      <c r="H214" s="24"/>
      <c r="I214" s="24"/>
      <c r="J214" s="24"/>
      <c r="K214" s="25"/>
    </row>
    <row r="215" s="5" customFormat="1" ht="20" customHeight="1" spans="1:11">
      <c r="A215" s="22"/>
      <c r="B215" s="23"/>
      <c r="C215" s="24"/>
      <c r="D215" s="24"/>
      <c r="E215" s="24"/>
      <c r="F215" s="24"/>
      <c r="G215" s="24"/>
      <c r="H215" s="24"/>
      <c r="I215" s="24"/>
      <c r="J215" s="24"/>
      <c r="K215" s="25"/>
    </row>
    <row r="216" s="5" customFormat="1" ht="20" customHeight="1" spans="1:11">
      <c r="A216" s="22"/>
      <c r="B216" s="23"/>
      <c r="C216" s="24"/>
      <c r="D216" s="24"/>
      <c r="E216" s="24"/>
      <c r="F216" s="24"/>
      <c r="G216" s="24"/>
      <c r="H216" s="24"/>
      <c r="I216" s="24"/>
      <c r="J216" s="24"/>
      <c r="K216" s="25"/>
    </row>
    <row r="217" s="5" customFormat="1" ht="20" customHeight="1" spans="1:11">
      <c r="A217" s="22"/>
      <c r="B217" s="23"/>
      <c r="C217" s="24"/>
      <c r="D217" s="24"/>
      <c r="E217" s="24"/>
      <c r="F217" s="24"/>
      <c r="G217" s="24"/>
      <c r="H217" s="24"/>
      <c r="I217" s="24"/>
      <c r="J217" s="24"/>
      <c r="K217" s="25"/>
    </row>
    <row r="218" s="5" customFormat="1" ht="20" customHeight="1" spans="1:11">
      <c r="A218" s="22"/>
      <c r="B218" s="23"/>
      <c r="C218" s="24"/>
      <c r="D218" s="24"/>
      <c r="E218" s="24"/>
      <c r="F218" s="24"/>
      <c r="G218" s="24"/>
      <c r="H218" s="24"/>
      <c r="I218" s="24"/>
      <c r="J218" s="24"/>
      <c r="K218" s="25"/>
    </row>
    <row r="219" s="5" customFormat="1" ht="20" customHeight="1" spans="1:11">
      <c r="A219" s="22"/>
      <c r="B219" s="23"/>
      <c r="C219" s="24"/>
      <c r="D219" s="24"/>
      <c r="E219" s="24"/>
      <c r="F219" s="24"/>
      <c r="G219" s="24"/>
      <c r="H219" s="24"/>
      <c r="I219" s="24"/>
      <c r="J219" s="24"/>
      <c r="K219" s="25"/>
    </row>
    <row r="220" s="5" customFormat="1" ht="20" customHeight="1" spans="1:11">
      <c r="A220" s="22"/>
      <c r="B220" s="23"/>
      <c r="C220" s="24"/>
      <c r="D220" s="24"/>
      <c r="E220" s="24"/>
      <c r="F220" s="24"/>
      <c r="G220" s="24"/>
      <c r="H220" s="24"/>
      <c r="I220" s="24"/>
      <c r="J220" s="24"/>
      <c r="K220" s="25"/>
    </row>
    <row r="221" s="5" customFormat="1" ht="20" customHeight="1" spans="1:11">
      <c r="A221" s="22"/>
      <c r="B221" s="23"/>
      <c r="C221" s="24"/>
      <c r="D221" s="24"/>
      <c r="E221" s="24"/>
      <c r="F221" s="24"/>
      <c r="G221" s="24"/>
      <c r="H221" s="24"/>
      <c r="I221" s="24"/>
      <c r="J221" s="24"/>
      <c r="K221" s="25"/>
    </row>
    <row r="222" s="5" customFormat="1" ht="20" customHeight="1" spans="1:11">
      <c r="A222" s="22"/>
      <c r="B222" s="23"/>
      <c r="C222" s="24"/>
      <c r="D222" s="24"/>
      <c r="E222" s="24"/>
      <c r="F222" s="24"/>
      <c r="G222" s="24"/>
      <c r="H222" s="24"/>
      <c r="I222" s="24"/>
      <c r="J222" s="24"/>
      <c r="K222" s="25"/>
    </row>
    <row r="223" s="5" customFormat="1" ht="20" customHeight="1" spans="1:11">
      <c r="A223" s="22"/>
      <c r="B223" s="23"/>
      <c r="C223" s="24"/>
      <c r="D223" s="24"/>
      <c r="E223" s="24"/>
      <c r="F223" s="24"/>
      <c r="G223" s="24"/>
      <c r="H223" s="24"/>
      <c r="I223" s="24"/>
      <c r="J223" s="24"/>
      <c r="K223" s="25"/>
    </row>
    <row r="224" s="5" customFormat="1" ht="20" customHeight="1" spans="1:11">
      <c r="A224" s="22"/>
      <c r="B224" s="23"/>
      <c r="C224" s="24"/>
      <c r="D224" s="24"/>
      <c r="E224" s="24"/>
      <c r="F224" s="24"/>
      <c r="G224" s="24"/>
      <c r="H224" s="24"/>
      <c r="I224" s="24"/>
      <c r="J224" s="24"/>
      <c r="K224" s="25"/>
    </row>
    <row r="225" s="5" customFormat="1" ht="20" customHeight="1" spans="1:11">
      <c r="A225" s="22"/>
      <c r="B225" s="23"/>
      <c r="C225" s="24"/>
      <c r="D225" s="24"/>
      <c r="E225" s="24"/>
      <c r="F225" s="24"/>
      <c r="G225" s="24"/>
      <c r="H225" s="24"/>
      <c r="I225" s="24"/>
      <c r="J225" s="24"/>
      <c r="K225" s="25"/>
    </row>
    <row r="226" s="5" customFormat="1" ht="20" customHeight="1" spans="1:11">
      <c r="A226" s="22"/>
      <c r="B226" s="23"/>
      <c r="C226" s="24"/>
      <c r="D226" s="24"/>
      <c r="E226" s="24"/>
      <c r="F226" s="24"/>
      <c r="G226" s="24"/>
      <c r="H226" s="24"/>
      <c r="I226" s="24"/>
      <c r="J226" s="24"/>
      <c r="K226" s="25"/>
    </row>
    <row r="227" s="5" customFormat="1" ht="20" customHeight="1" spans="1:11">
      <c r="A227" s="22"/>
      <c r="B227" s="23"/>
      <c r="C227" s="24"/>
      <c r="D227" s="24"/>
      <c r="E227" s="24"/>
      <c r="F227" s="24"/>
      <c r="G227" s="24"/>
      <c r="H227" s="24"/>
      <c r="I227" s="24"/>
      <c r="J227" s="24"/>
      <c r="K227" s="25"/>
    </row>
    <row r="228" s="5" customFormat="1" ht="20" customHeight="1" spans="1:11">
      <c r="A228" s="22"/>
      <c r="B228" s="23"/>
      <c r="C228" s="24"/>
      <c r="D228" s="24"/>
      <c r="E228" s="24"/>
      <c r="F228" s="24"/>
      <c r="G228" s="24"/>
      <c r="H228" s="24"/>
      <c r="I228" s="24"/>
      <c r="J228" s="24"/>
      <c r="K228" s="25"/>
    </row>
    <row r="229" s="5" customFormat="1" ht="20" customHeight="1" spans="1:11">
      <c r="A229" s="22"/>
      <c r="B229" s="23"/>
      <c r="C229" s="24"/>
      <c r="D229" s="24"/>
      <c r="E229" s="24"/>
      <c r="F229" s="24"/>
      <c r="G229" s="24"/>
      <c r="H229" s="24"/>
      <c r="I229" s="24"/>
      <c r="J229" s="24"/>
      <c r="K229" s="25"/>
    </row>
    <row r="230" s="5" customFormat="1" ht="20" customHeight="1" spans="1:11">
      <c r="A230" s="22"/>
      <c r="B230" s="23"/>
      <c r="C230" s="24"/>
      <c r="D230" s="24"/>
      <c r="E230" s="24"/>
      <c r="F230" s="24"/>
      <c r="G230" s="24"/>
      <c r="H230" s="24"/>
      <c r="I230" s="24"/>
      <c r="J230" s="24"/>
      <c r="K230" s="25"/>
    </row>
    <row r="231" s="5" customFormat="1" ht="20" customHeight="1" spans="1:11">
      <c r="A231" s="22"/>
      <c r="B231" s="23"/>
      <c r="C231" s="24"/>
      <c r="D231" s="24"/>
      <c r="E231" s="24"/>
      <c r="F231" s="24"/>
      <c r="G231" s="24"/>
      <c r="H231" s="24"/>
      <c r="I231" s="24"/>
      <c r="J231" s="24"/>
      <c r="K231" s="25"/>
    </row>
    <row r="232" s="5" customFormat="1" ht="20" customHeight="1" spans="1:11">
      <c r="A232" s="22"/>
      <c r="B232" s="23"/>
      <c r="C232" s="24"/>
      <c r="D232" s="24"/>
      <c r="E232" s="24"/>
      <c r="F232" s="24"/>
      <c r="G232" s="24"/>
      <c r="H232" s="24"/>
      <c r="I232" s="24"/>
      <c r="J232" s="24"/>
      <c r="K232" s="25"/>
    </row>
    <row r="233" s="5" customFormat="1" ht="20" customHeight="1" spans="1:11">
      <c r="A233" s="22"/>
      <c r="B233" s="23"/>
      <c r="C233" s="24"/>
      <c r="D233" s="24"/>
      <c r="E233" s="24"/>
      <c r="F233" s="24"/>
      <c r="G233" s="24"/>
      <c r="H233" s="24"/>
      <c r="I233" s="24"/>
      <c r="J233" s="24"/>
      <c r="K233" s="25"/>
    </row>
    <row r="234" s="5" customFormat="1" ht="20" customHeight="1" spans="1:11">
      <c r="A234" s="22"/>
      <c r="B234" s="23"/>
      <c r="C234" s="24"/>
      <c r="D234" s="24"/>
      <c r="E234" s="24"/>
      <c r="F234" s="24"/>
      <c r="G234" s="24"/>
      <c r="H234" s="24"/>
      <c r="I234" s="24"/>
      <c r="J234" s="24"/>
      <c r="K234" s="25"/>
    </row>
    <row r="235" s="5" customFormat="1" ht="20" customHeight="1" spans="1:11">
      <c r="A235" s="22"/>
      <c r="B235" s="23"/>
      <c r="C235" s="24"/>
      <c r="D235" s="24"/>
      <c r="E235" s="24"/>
      <c r="F235" s="24"/>
      <c r="G235" s="24"/>
      <c r="H235" s="24"/>
      <c r="I235" s="24"/>
      <c r="J235" s="24"/>
      <c r="K235" s="25"/>
    </row>
    <row r="236" s="5" customFormat="1" ht="20" customHeight="1" spans="1:11">
      <c r="A236" s="22"/>
      <c r="B236" s="23"/>
      <c r="C236" s="24"/>
      <c r="D236" s="24"/>
      <c r="E236" s="24"/>
      <c r="F236" s="24"/>
      <c r="G236" s="24"/>
      <c r="H236" s="24"/>
      <c r="I236" s="24"/>
      <c r="J236" s="24"/>
      <c r="K236" s="25"/>
    </row>
    <row r="237" s="5" customFormat="1" ht="20" customHeight="1" spans="1:11">
      <c r="A237" s="22"/>
      <c r="B237" s="23"/>
      <c r="C237" s="24"/>
      <c r="D237" s="24"/>
      <c r="E237" s="24"/>
      <c r="F237" s="24"/>
      <c r="G237" s="24"/>
      <c r="H237" s="24"/>
      <c r="I237" s="24"/>
      <c r="J237" s="24"/>
      <c r="K237" s="25"/>
    </row>
    <row r="238" s="5" customFormat="1" ht="20" customHeight="1" spans="1:11">
      <c r="A238" s="22"/>
      <c r="B238" s="23"/>
      <c r="C238" s="24"/>
      <c r="D238" s="24"/>
      <c r="E238" s="24"/>
      <c r="F238" s="24"/>
      <c r="G238" s="24"/>
      <c r="H238" s="24"/>
      <c r="I238" s="24"/>
      <c r="J238" s="24"/>
      <c r="K238" s="25"/>
    </row>
    <row r="239" s="5" customFormat="1" ht="20" customHeight="1" spans="1:11">
      <c r="A239" s="22"/>
      <c r="B239" s="23"/>
      <c r="C239" s="24"/>
      <c r="D239" s="24"/>
      <c r="E239" s="24"/>
      <c r="F239" s="24"/>
      <c r="G239" s="24"/>
      <c r="H239" s="24"/>
      <c r="I239" s="24"/>
      <c r="J239" s="24"/>
      <c r="K239" s="25"/>
    </row>
    <row r="240" s="5" customFormat="1" ht="20" customHeight="1" spans="1:11">
      <c r="A240" s="22"/>
      <c r="B240" s="23"/>
      <c r="C240" s="24"/>
      <c r="D240" s="24"/>
      <c r="E240" s="24"/>
      <c r="F240" s="24"/>
      <c r="G240" s="24"/>
      <c r="H240" s="24"/>
      <c r="I240" s="24"/>
      <c r="J240" s="24"/>
      <c r="K240" s="25"/>
    </row>
    <row r="241" s="5" customFormat="1" ht="20" customHeight="1" spans="1:11">
      <c r="A241" s="22"/>
      <c r="B241" s="23"/>
      <c r="C241" s="24"/>
      <c r="D241" s="24"/>
      <c r="E241" s="24"/>
      <c r="F241" s="24"/>
      <c r="G241" s="24"/>
      <c r="H241" s="24"/>
      <c r="I241" s="24"/>
      <c r="J241" s="24"/>
      <c r="K241" s="25"/>
    </row>
    <row r="242" s="5" customFormat="1" ht="20" customHeight="1" spans="1:11">
      <c r="A242" s="22"/>
      <c r="B242" s="23"/>
      <c r="C242" s="24"/>
      <c r="D242" s="24"/>
      <c r="E242" s="24"/>
      <c r="F242" s="24"/>
      <c r="G242" s="24"/>
      <c r="H242" s="24"/>
      <c r="I242" s="24"/>
      <c r="J242" s="24"/>
      <c r="K242" s="25"/>
    </row>
    <row r="243" s="5" customFormat="1" ht="20" customHeight="1" spans="1:11">
      <c r="A243" s="22"/>
      <c r="B243" s="23"/>
      <c r="C243" s="24"/>
      <c r="D243" s="24"/>
      <c r="E243" s="24"/>
      <c r="F243" s="24"/>
      <c r="G243" s="24"/>
      <c r="H243" s="24"/>
      <c r="I243" s="24"/>
      <c r="J243" s="24"/>
      <c r="K243" s="25"/>
    </row>
    <row r="244" s="5" customFormat="1" ht="20" customHeight="1" spans="1:11">
      <c r="A244" s="22"/>
      <c r="B244" s="23"/>
      <c r="C244" s="24"/>
      <c r="D244" s="24"/>
      <c r="E244" s="24"/>
      <c r="F244" s="24"/>
      <c r="G244" s="24"/>
      <c r="H244" s="24"/>
      <c r="I244" s="24"/>
      <c r="J244" s="24"/>
      <c r="K244" s="25"/>
    </row>
    <row r="245" s="5" customFormat="1" ht="20" customHeight="1" spans="1:11">
      <c r="A245" s="22"/>
      <c r="B245" s="23"/>
      <c r="C245" s="24"/>
      <c r="D245" s="24"/>
      <c r="E245" s="24"/>
      <c r="F245" s="24"/>
      <c r="G245" s="24"/>
      <c r="H245" s="24"/>
      <c r="I245" s="24"/>
      <c r="J245" s="24"/>
      <c r="K245" s="25"/>
    </row>
    <row r="246" s="5" customFormat="1" ht="20" customHeight="1" spans="1:11">
      <c r="A246" s="22"/>
      <c r="B246" s="23"/>
      <c r="C246" s="24"/>
      <c r="D246" s="24"/>
      <c r="E246" s="24"/>
      <c r="F246" s="24"/>
      <c r="G246" s="24"/>
      <c r="H246" s="24"/>
      <c r="I246" s="24"/>
      <c r="J246" s="24"/>
      <c r="K246" s="25"/>
    </row>
    <row r="247" s="5" customFormat="1" ht="20" customHeight="1" spans="1:11">
      <c r="A247" s="22"/>
      <c r="B247" s="23"/>
      <c r="C247" s="24"/>
      <c r="D247" s="24"/>
      <c r="E247" s="24"/>
      <c r="F247" s="24"/>
      <c r="G247" s="24"/>
      <c r="H247" s="24"/>
      <c r="I247" s="24"/>
      <c r="J247" s="24"/>
      <c r="K247" s="25"/>
    </row>
    <row r="248" s="5" customFormat="1" ht="20" customHeight="1" spans="1:11">
      <c r="A248" s="22"/>
      <c r="B248" s="23"/>
      <c r="C248" s="24"/>
      <c r="D248" s="24"/>
      <c r="E248" s="24"/>
      <c r="F248" s="24"/>
      <c r="G248" s="24"/>
      <c r="H248" s="24"/>
      <c r="I248" s="24"/>
      <c r="J248" s="24"/>
      <c r="K248" s="25"/>
    </row>
    <row r="249" s="5" customFormat="1" ht="20" customHeight="1" spans="1:11">
      <c r="A249" s="22"/>
      <c r="B249" s="23"/>
      <c r="C249" s="24"/>
      <c r="D249" s="24"/>
      <c r="E249" s="24"/>
      <c r="F249" s="24"/>
      <c r="G249" s="24"/>
      <c r="H249" s="24"/>
      <c r="I249" s="24"/>
      <c r="J249" s="24"/>
      <c r="K249" s="25"/>
    </row>
    <row r="250" s="5" customFormat="1" ht="20" customHeight="1" spans="1:11">
      <c r="A250" s="22"/>
      <c r="B250" s="23"/>
      <c r="C250" s="24"/>
      <c r="D250" s="24"/>
      <c r="E250" s="24"/>
      <c r="F250" s="24"/>
      <c r="G250" s="24"/>
      <c r="H250" s="24"/>
      <c r="I250" s="24"/>
      <c r="J250" s="24"/>
      <c r="K250" s="25"/>
    </row>
    <row r="251" s="5" customFormat="1" ht="20" customHeight="1" spans="1:11">
      <c r="A251" s="22"/>
      <c r="B251" s="23"/>
      <c r="C251" s="24"/>
      <c r="D251" s="24"/>
      <c r="E251" s="24"/>
      <c r="F251" s="24"/>
      <c r="G251" s="24"/>
      <c r="H251" s="24"/>
      <c r="I251" s="24"/>
      <c r="J251" s="24"/>
      <c r="K251" s="25"/>
    </row>
    <row r="252" s="5" customFormat="1" ht="16.5" spans="1:11">
      <c r="A252" s="22"/>
      <c r="B252" s="23"/>
      <c r="C252" s="24"/>
      <c r="D252" s="24"/>
      <c r="E252" s="24"/>
      <c r="F252" s="24"/>
      <c r="G252" s="24"/>
      <c r="H252" s="24"/>
      <c r="I252" s="24"/>
      <c r="J252" s="24"/>
      <c r="K252" s="25"/>
    </row>
    <row r="253" s="5" customFormat="1" ht="16.5" spans="1:11">
      <c r="A253" s="22"/>
      <c r="B253" s="23"/>
      <c r="C253" s="24"/>
      <c r="D253" s="24"/>
      <c r="E253" s="24"/>
      <c r="F253" s="24"/>
      <c r="G253" s="24"/>
      <c r="H253" s="24"/>
      <c r="I253" s="24"/>
      <c r="J253" s="24"/>
      <c r="K253" s="25"/>
    </row>
    <row r="254" s="5" customFormat="1" ht="16.5" spans="1:11">
      <c r="A254" s="22"/>
      <c r="B254" s="23"/>
      <c r="C254" s="24"/>
      <c r="D254" s="24"/>
      <c r="E254" s="24"/>
      <c r="F254" s="24"/>
      <c r="G254" s="24"/>
      <c r="H254" s="24"/>
      <c r="I254" s="24"/>
      <c r="J254" s="24"/>
      <c r="K254" s="25"/>
    </row>
    <row r="255" s="5" customFormat="1" ht="16.5" spans="1:11">
      <c r="A255" s="22"/>
      <c r="B255" s="23"/>
      <c r="C255" s="24"/>
      <c r="D255" s="24"/>
      <c r="E255" s="24"/>
      <c r="F255" s="24"/>
      <c r="G255" s="24"/>
      <c r="H255" s="24"/>
      <c r="I255" s="24"/>
      <c r="J255" s="24"/>
      <c r="K255" s="25"/>
    </row>
    <row r="256" s="5" customFormat="1" ht="16.5" spans="1:11">
      <c r="A256" s="22"/>
      <c r="B256" s="23"/>
      <c r="C256" s="24"/>
      <c r="D256" s="24"/>
      <c r="E256" s="24"/>
      <c r="F256" s="24"/>
      <c r="G256" s="24"/>
      <c r="H256" s="24"/>
      <c r="I256" s="24"/>
      <c r="J256" s="24"/>
      <c r="K256" s="25"/>
    </row>
    <row r="257" s="5" customFormat="1" ht="16.5" spans="1:11">
      <c r="A257" s="22"/>
      <c r="B257" s="23"/>
      <c r="C257" s="24"/>
      <c r="D257" s="24"/>
      <c r="E257" s="24"/>
      <c r="F257" s="24"/>
      <c r="G257" s="24"/>
      <c r="H257" s="24"/>
      <c r="I257" s="24"/>
      <c r="J257" s="24"/>
      <c r="K257" s="25"/>
    </row>
    <row r="258" s="5" customFormat="1" ht="16.5" spans="1:11">
      <c r="A258" s="22"/>
      <c r="B258" s="23"/>
      <c r="C258" s="24"/>
      <c r="D258" s="24"/>
      <c r="E258" s="24"/>
      <c r="F258" s="24"/>
      <c r="G258" s="24"/>
      <c r="H258" s="24"/>
      <c r="I258" s="24"/>
      <c r="J258" s="24"/>
      <c r="K258" s="25"/>
    </row>
    <row r="259" s="5" customFormat="1" ht="16.5" spans="1:11">
      <c r="A259" s="22"/>
      <c r="B259" s="23"/>
      <c r="C259" s="24"/>
      <c r="D259" s="24"/>
      <c r="E259" s="24"/>
      <c r="F259" s="24"/>
      <c r="G259" s="24"/>
      <c r="H259" s="24"/>
      <c r="I259" s="24"/>
      <c r="J259" s="24"/>
      <c r="K259" s="25"/>
    </row>
    <row r="260" s="5" customFormat="1" ht="16.5" spans="1:11">
      <c r="A260" s="22"/>
      <c r="B260" s="23"/>
      <c r="C260" s="24"/>
      <c r="D260" s="24"/>
      <c r="E260" s="24"/>
      <c r="F260" s="24"/>
      <c r="G260" s="24"/>
      <c r="H260" s="24"/>
      <c r="I260" s="24"/>
      <c r="J260" s="24"/>
      <c r="K260" s="25"/>
    </row>
    <row r="261" s="5" customFormat="1" ht="16.5" spans="1:11">
      <c r="A261" s="22"/>
      <c r="B261" s="23"/>
      <c r="C261" s="24"/>
      <c r="D261" s="24"/>
      <c r="E261" s="24"/>
      <c r="F261" s="24"/>
      <c r="G261" s="24"/>
      <c r="H261" s="24"/>
      <c r="I261" s="24"/>
      <c r="J261" s="24"/>
      <c r="K261" s="25"/>
    </row>
    <row r="262" s="5" customFormat="1" ht="16.5" spans="1:11">
      <c r="A262" s="22"/>
      <c r="B262" s="23"/>
      <c r="C262" s="24"/>
      <c r="D262" s="24"/>
      <c r="E262" s="24"/>
      <c r="F262" s="24"/>
      <c r="G262" s="24"/>
      <c r="H262" s="24"/>
      <c r="I262" s="24"/>
      <c r="J262" s="24"/>
      <c r="K262" s="25"/>
    </row>
    <row r="263" s="5" customFormat="1" ht="16.5" spans="1:11">
      <c r="A263" s="22"/>
      <c r="B263" s="23"/>
      <c r="C263" s="24"/>
      <c r="D263" s="24"/>
      <c r="E263" s="24"/>
      <c r="F263" s="24"/>
      <c r="G263" s="24"/>
      <c r="H263" s="24"/>
      <c r="I263" s="24"/>
      <c r="J263" s="24"/>
      <c r="K263" s="25"/>
    </row>
    <row r="264" s="5" customFormat="1" ht="16.5" spans="1:11">
      <c r="A264" s="22"/>
      <c r="B264" s="23"/>
      <c r="C264" s="24"/>
      <c r="D264" s="24"/>
      <c r="E264" s="24"/>
      <c r="F264" s="24"/>
      <c r="G264" s="24"/>
      <c r="H264" s="24"/>
      <c r="I264" s="24"/>
      <c r="J264" s="24"/>
      <c r="K264" s="25"/>
    </row>
    <row r="265" s="5" customFormat="1" ht="16.5" spans="1:11">
      <c r="A265" s="22"/>
      <c r="B265" s="23"/>
      <c r="C265" s="24"/>
      <c r="D265" s="24"/>
      <c r="E265" s="24"/>
      <c r="F265" s="24"/>
      <c r="G265" s="24"/>
      <c r="H265" s="24"/>
      <c r="I265" s="24"/>
      <c r="J265" s="24"/>
      <c r="K265" s="25"/>
    </row>
    <row r="266" s="5" customFormat="1" ht="16.5" spans="1:11">
      <c r="A266" s="22"/>
      <c r="B266" s="23"/>
      <c r="C266" s="24"/>
      <c r="D266" s="24"/>
      <c r="E266" s="24"/>
      <c r="F266" s="24"/>
      <c r="G266" s="24"/>
      <c r="H266" s="24"/>
      <c r="I266" s="24"/>
      <c r="J266" s="24"/>
      <c r="K266" s="25"/>
    </row>
    <row r="267" s="5" customFormat="1" ht="16.5" spans="1:11">
      <c r="A267" s="22"/>
      <c r="B267" s="23"/>
      <c r="C267" s="24"/>
      <c r="D267" s="24"/>
      <c r="E267" s="24"/>
      <c r="F267" s="24"/>
      <c r="G267" s="24"/>
      <c r="H267" s="24"/>
      <c r="I267" s="24"/>
      <c r="J267" s="24"/>
      <c r="K267" s="25"/>
    </row>
    <row r="268" s="5" customFormat="1" ht="16.5" spans="1:11">
      <c r="A268" s="22"/>
      <c r="B268" s="23"/>
      <c r="C268" s="24"/>
      <c r="D268" s="24"/>
      <c r="E268" s="24"/>
      <c r="F268" s="24"/>
      <c r="G268" s="24"/>
      <c r="H268" s="24"/>
      <c r="I268" s="24"/>
      <c r="J268" s="24"/>
      <c r="K268" s="25"/>
    </row>
    <row r="269" s="5" customFormat="1" ht="16.5" spans="1:11">
      <c r="A269" s="22"/>
      <c r="B269" s="23"/>
      <c r="C269" s="24"/>
      <c r="D269" s="24"/>
      <c r="E269" s="24"/>
      <c r="F269" s="24"/>
      <c r="G269" s="24"/>
      <c r="H269" s="24"/>
      <c r="I269" s="24"/>
      <c r="J269" s="24"/>
      <c r="K269" s="25"/>
    </row>
    <row r="270" s="5" customFormat="1" ht="16.5" spans="1:11">
      <c r="A270" s="22"/>
      <c r="B270" s="23"/>
      <c r="C270" s="24"/>
      <c r="D270" s="24"/>
      <c r="E270" s="24"/>
      <c r="F270" s="24"/>
      <c r="G270" s="24"/>
      <c r="H270" s="24"/>
      <c r="I270" s="24"/>
      <c r="J270" s="24"/>
      <c r="K270" s="25"/>
    </row>
    <row r="271" s="5" customFormat="1" ht="16.5" spans="1:11">
      <c r="A271" s="22"/>
      <c r="B271" s="23"/>
      <c r="C271" s="24"/>
      <c r="D271" s="24"/>
      <c r="E271" s="24"/>
      <c r="F271" s="24"/>
      <c r="G271" s="24"/>
      <c r="H271" s="24"/>
      <c r="I271" s="24"/>
      <c r="J271" s="24"/>
      <c r="K271" s="25"/>
    </row>
    <row r="272" s="5" customFormat="1" ht="16.5" spans="1:11">
      <c r="A272" s="22"/>
      <c r="B272" s="23"/>
      <c r="C272" s="24"/>
      <c r="D272" s="24"/>
      <c r="E272" s="24"/>
      <c r="F272" s="24"/>
      <c r="G272" s="24"/>
      <c r="H272" s="24"/>
      <c r="I272" s="24"/>
      <c r="J272" s="24"/>
      <c r="K272" s="25"/>
    </row>
    <row r="273" s="5" customFormat="1" ht="16.5" spans="1:11">
      <c r="A273" s="22"/>
      <c r="B273" s="23"/>
      <c r="C273" s="24"/>
      <c r="D273" s="24"/>
      <c r="E273" s="24"/>
      <c r="F273" s="24"/>
      <c r="G273" s="24"/>
      <c r="H273" s="24"/>
      <c r="I273" s="24"/>
      <c r="J273" s="24"/>
      <c r="K273" s="25"/>
    </row>
    <row r="274" s="5" customFormat="1" ht="16.5" spans="1:11">
      <c r="A274" s="22"/>
      <c r="B274" s="23"/>
      <c r="C274" s="24"/>
      <c r="D274" s="24"/>
      <c r="E274" s="24"/>
      <c r="F274" s="24"/>
      <c r="G274" s="24"/>
      <c r="H274" s="24"/>
      <c r="I274" s="24"/>
      <c r="J274" s="24"/>
      <c r="K274" s="25"/>
    </row>
    <row r="275" s="5" customFormat="1" ht="16.5" spans="1:11">
      <c r="A275" s="22"/>
      <c r="B275" s="23"/>
      <c r="C275" s="24"/>
      <c r="D275" s="24"/>
      <c r="E275" s="24"/>
      <c r="F275" s="24"/>
      <c r="G275" s="24"/>
      <c r="H275" s="24"/>
      <c r="I275" s="24"/>
      <c r="J275" s="24"/>
      <c r="K275" s="25"/>
    </row>
    <row r="276" s="5" customFormat="1" ht="16.5" spans="1:11">
      <c r="A276" s="22"/>
      <c r="B276" s="23"/>
      <c r="C276" s="24"/>
      <c r="D276" s="24"/>
      <c r="E276" s="24"/>
      <c r="F276" s="24"/>
      <c r="G276" s="24"/>
      <c r="H276" s="24"/>
      <c r="I276" s="24"/>
      <c r="J276" s="24"/>
      <c r="K276" s="25"/>
    </row>
    <row r="277" s="5" customFormat="1" ht="16.5" spans="1:11">
      <c r="A277" s="22"/>
      <c r="B277" s="23"/>
      <c r="C277" s="24"/>
      <c r="D277" s="24"/>
      <c r="E277" s="24"/>
      <c r="F277" s="24"/>
      <c r="G277" s="24"/>
      <c r="H277" s="24"/>
      <c r="I277" s="24"/>
      <c r="J277" s="24"/>
      <c r="K277" s="25"/>
    </row>
    <row r="278" s="5" customFormat="1" ht="16.5" spans="1:11">
      <c r="A278" s="22"/>
      <c r="B278" s="23"/>
      <c r="C278" s="24"/>
      <c r="D278" s="24"/>
      <c r="E278" s="24"/>
      <c r="F278" s="24"/>
      <c r="G278" s="24"/>
      <c r="H278" s="24"/>
      <c r="I278" s="24"/>
      <c r="J278" s="24"/>
      <c r="K278" s="25"/>
    </row>
    <row r="279" s="5" customFormat="1" ht="16.5" spans="1:11">
      <c r="A279" s="22"/>
      <c r="B279" s="23"/>
      <c r="C279" s="24"/>
      <c r="D279" s="24"/>
      <c r="E279" s="24"/>
      <c r="F279" s="24"/>
      <c r="G279" s="24"/>
      <c r="H279" s="24"/>
      <c r="I279" s="24"/>
      <c r="J279" s="24"/>
      <c r="K279" s="25"/>
    </row>
    <row r="280" s="5" customFormat="1" ht="16.5" spans="1:11">
      <c r="A280" s="22"/>
      <c r="B280" s="23"/>
      <c r="C280" s="24"/>
      <c r="D280" s="24"/>
      <c r="E280" s="24"/>
      <c r="F280" s="24"/>
      <c r="G280" s="24"/>
      <c r="H280" s="24"/>
      <c r="I280" s="24"/>
      <c r="J280" s="24"/>
      <c r="K280" s="25"/>
    </row>
    <row r="281" s="5" customFormat="1" ht="16.5" spans="1:11">
      <c r="A281" s="22"/>
      <c r="B281" s="23"/>
      <c r="C281" s="24"/>
      <c r="D281" s="24"/>
      <c r="E281" s="24"/>
      <c r="F281" s="24"/>
      <c r="G281" s="24"/>
      <c r="H281" s="24"/>
      <c r="I281" s="24"/>
      <c r="J281" s="24"/>
      <c r="K281" s="25"/>
    </row>
    <row r="282" s="5" customFormat="1" ht="16.5" spans="1:11">
      <c r="A282" s="22"/>
      <c r="B282" s="23"/>
      <c r="C282" s="24"/>
      <c r="D282" s="24"/>
      <c r="E282" s="24"/>
      <c r="F282" s="24"/>
      <c r="G282" s="24"/>
      <c r="H282" s="24"/>
      <c r="I282" s="24"/>
      <c r="J282" s="24"/>
      <c r="K282" s="25"/>
    </row>
    <row r="283" s="5" customFormat="1" ht="16.5" spans="1:11">
      <c r="A283" s="22"/>
      <c r="B283" s="23"/>
      <c r="C283" s="24"/>
      <c r="D283" s="24"/>
      <c r="E283" s="24"/>
      <c r="F283" s="24"/>
      <c r="G283" s="24"/>
      <c r="H283" s="24"/>
      <c r="I283" s="24"/>
      <c r="J283" s="24"/>
      <c r="K283" s="25"/>
    </row>
    <row r="284" s="5" customFormat="1" ht="16.5" spans="1:11">
      <c r="A284" s="22"/>
      <c r="B284" s="23"/>
      <c r="C284" s="24"/>
      <c r="D284" s="24"/>
      <c r="E284" s="24"/>
      <c r="F284" s="24"/>
      <c r="G284" s="24"/>
      <c r="H284" s="24"/>
      <c r="I284" s="24"/>
      <c r="J284" s="24"/>
      <c r="K284" s="25"/>
    </row>
    <row r="285" s="5" customFormat="1" ht="16.5" spans="1:11">
      <c r="A285" s="22"/>
      <c r="B285" s="23"/>
      <c r="C285" s="24"/>
      <c r="D285" s="24"/>
      <c r="E285" s="24"/>
      <c r="F285" s="24"/>
      <c r="G285" s="24"/>
      <c r="H285" s="24"/>
      <c r="I285" s="24"/>
      <c r="J285" s="24"/>
      <c r="K285" s="25"/>
    </row>
    <row r="286" s="5" customFormat="1" ht="16.5" spans="1:11">
      <c r="A286" s="22"/>
      <c r="B286" s="23"/>
      <c r="C286" s="24"/>
      <c r="D286" s="24"/>
      <c r="E286" s="24"/>
      <c r="F286" s="24"/>
      <c r="G286" s="24"/>
      <c r="H286" s="24"/>
      <c r="I286" s="24"/>
      <c r="J286" s="24"/>
      <c r="K286" s="25"/>
    </row>
    <row r="287" s="5" customFormat="1" ht="16.5" spans="1:11">
      <c r="A287" s="22"/>
      <c r="B287" s="23"/>
      <c r="C287" s="24"/>
      <c r="D287" s="24"/>
      <c r="E287" s="24"/>
      <c r="F287" s="24"/>
      <c r="G287" s="24"/>
      <c r="H287" s="24"/>
      <c r="I287" s="24"/>
      <c r="J287" s="24"/>
      <c r="K287" s="25"/>
    </row>
    <row r="288" s="5" customFormat="1" ht="16.5" spans="1:11">
      <c r="A288" s="22"/>
      <c r="B288" s="23"/>
      <c r="C288" s="24"/>
      <c r="D288" s="24"/>
      <c r="E288" s="24"/>
      <c r="F288" s="24"/>
      <c r="G288" s="24"/>
      <c r="H288" s="24"/>
      <c r="I288" s="24"/>
      <c r="J288" s="24"/>
      <c r="K288" s="25"/>
    </row>
    <row r="289" s="5" customFormat="1" ht="16.5" spans="1:11">
      <c r="A289" s="22"/>
      <c r="B289" s="23"/>
      <c r="C289" s="24"/>
      <c r="D289" s="24"/>
      <c r="E289" s="24"/>
      <c r="F289" s="24"/>
      <c r="G289" s="24"/>
      <c r="H289" s="24"/>
      <c r="I289" s="24"/>
      <c r="J289" s="24"/>
      <c r="K289" s="25"/>
    </row>
    <row r="290" s="5" customFormat="1" ht="16.5" spans="1:11">
      <c r="A290" s="22"/>
      <c r="B290" s="23"/>
      <c r="C290" s="24"/>
      <c r="D290" s="24"/>
      <c r="E290" s="24"/>
      <c r="F290" s="24"/>
      <c r="G290" s="24"/>
      <c r="H290" s="24"/>
      <c r="I290" s="24"/>
      <c r="J290" s="24"/>
      <c r="K290" s="25"/>
    </row>
    <row r="291" s="5" customFormat="1" ht="16.5" spans="1:11">
      <c r="A291" s="22"/>
      <c r="B291" s="23"/>
      <c r="C291" s="24"/>
      <c r="D291" s="24"/>
      <c r="E291" s="24"/>
      <c r="F291" s="24"/>
      <c r="G291" s="24"/>
      <c r="H291" s="24"/>
      <c r="I291" s="24"/>
      <c r="J291" s="24"/>
      <c r="K291" s="25"/>
    </row>
    <row r="292" s="5" customFormat="1" ht="16.5" spans="1:11">
      <c r="A292" s="22"/>
      <c r="B292" s="23"/>
      <c r="C292" s="24"/>
      <c r="D292" s="24"/>
      <c r="E292" s="24"/>
      <c r="F292" s="24"/>
      <c r="G292" s="24"/>
      <c r="H292" s="24"/>
      <c r="I292" s="24"/>
      <c r="J292" s="24"/>
      <c r="K292" s="25"/>
    </row>
    <row r="293" s="5" customFormat="1" ht="16.5" spans="1:11">
      <c r="A293" s="22"/>
      <c r="B293" s="23"/>
      <c r="C293" s="24"/>
      <c r="D293" s="24"/>
      <c r="E293" s="24"/>
      <c r="F293" s="24"/>
      <c r="G293" s="24"/>
      <c r="H293" s="24"/>
      <c r="I293" s="24"/>
      <c r="J293" s="24"/>
      <c r="K293" s="25"/>
    </row>
    <row r="294" s="5" customFormat="1" ht="16.5" spans="1:11">
      <c r="A294" s="22"/>
      <c r="B294" s="23"/>
      <c r="C294" s="24"/>
      <c r="D294" s="24"/>
      <c r="E294" s="24"/>
      <c r="F294" s="24"/>
      <c r="G294" s="24"/>
      <c r="H294" s="24"/>
      <c r="I294" s="24"/>
      <c r="J294" s="24"/>
      <c r="K294" s="25"/>
    </row>
    <row r="295" s="5" customFormat="1" ht="16.5" spans="1:11">
      <c r="A295" s="22"/>
      <c r="B295" s="23"/>
      <c r="C295" s="24"/>
      <c r="D295" s="24"/>
      <c r="E295" s="24"/>
      <c r="F295" s="24"/>
      <c r="G295" s="24"/>
      <c r="H295" s="24"/>
      <c r="I295" s="24"/>
      <c r="J295" s="24"/>
      <c r="K295" s="25"/>
    </row>
    <row r="296" s="5" customFormat="1" ht="16.5" spans="1:11">
      <c r="A296" s="22"/>
      <c r="B296" s="23"/>
      <c r="C296" s="24"/>
      <c r="D296" s="24"/>
      <c r="E296" s="24"/>
      <c r="F296" s="24"/>
      <c r="G296" s="24"/>
      <c r="H296" s="24"/>
      <c r="I296" s="24"/>
      <c r="J296" s="24"/>
      <c r="K296" s="25"/>
    </row>
    <row r="297" s="5" customFormat="1" ht="16.5" spans="1:11">
      <c r="A297" s="22"/>
      <c r="B297" s="23"/>
      <c r="C297" s="24"/>
      <c r="D297" s="24"/>
      <c r="E297" s="24"/>
      <c r="F297" s="24"/>
      <c r="G297" s="24"/>
      <c r="H297" s="24"/>
      <c r="I297" s="24"/>
      <c r="J297" s="24"/>
      <c r="K297" s="25"/>
    </row>
    <row r="298" s="5" customFormat="1" ht="16.5" spans="1:11">
      <c r="A298" s="22"/>
      <c r="B298" s="23"/>
      <c r="C298" s="24"/>
      <c r="D298" s="24"/>
      <c r="E298" s="24"/>
      <c r="F298" s="24"/>
      <c r="G298" s="24"/>
      <c r="H298" s="24"/>
      <c r="I298" s="24"/>
      <c r="J298" s="24"/>
      <c r="K298" s="25"/>
    </row>
    <row r="299" s="5" customFormat="1" ht="16.5" spans="1:11">
      <c r="A299" s="22"/>
      <c r="B299" s="23"/>
      <c r="C299" s="24"/>
      <c r="D299" s="24"/>
      <c r="E299" s="24"/>
      <c r="F299" s="24"/>
      <c r="G299" s="24"/>
      <c r="H299" s="24"/>
      <c r="I299" s="24"/>
      <c r="J299" s="24"/>
      <c r="K299" s="25"/>
    </row>
    <row r="300" s="5" customFormat="1" ht="16.5" spans="1:11">
      <c r="A300" s="22"/>
      <c r="B300" s="23"/>
      <c r="C300" s="24"/>
      <c r="D300" s="24"/>
      <c r="E300" s="24"/>
      <c r="F300" s="24"/>
      <c r="G300" s="24"/>
      <c r="H300" s="24"/>
      <c r="I300" s="24"/>
      <c r="J300" s="24"/>
      <c r="K300" s="25"/>
    </row>
    <row r="301" s="5" customFormat="1" ht="16.5" spans="1:11">
      <c r="A301" s="22"/>
      <c r="B301" s="23"/>
      <c r="C301" s="24"/>
      <c r="D301" s="24"/>
      <c r="E301" s="24"/>
      <c r="F301" s="24"/>
      <c r="G301" s="24"/>
      <c r="H301" s="24"/>
      <c r="I301" s="24"/>
      <c r="J301" s="24"/>
      <c r="K301" s="25"/>
    </row>
    <row r="302" s="5" customFormat="1" ht="16.5" spans="1:11">
      <c r="A302" s="22"/>
      <c r="B302" s="23"/>
      <c r="C302" s="24"/>
      <c r="D302" s="24"/>
      <c r="E302" s="24"/>
      <c r="F302" s="24"/>
      <c r="G302" s="24"/>
      <c r="H302" s="24"/>
      <c r="I302" s="24"/>
      <c r="J302" s="24"/>
      <c r="K302" s="25"/>
    </row>
    <row r="303" s="5" customFormat="1" ht="16.5" spans="1:11">
      <c r="A303" s="22"/>
      <c r="B303" s="23"/>
      <c r="C303" s="24"/>
      <c r="D303" s="24"/>
      <c r="E303" s="24"/>
      <c r="F303" s="24"/>
      <c r="G303" s="24"/>
      <c r="H303" s="24"/>
      <c r="I303" s="24"/>
      <c r="J303" s="24"/>
      <c r="K303" s="25"/>
    </row>
    <row r="304" s="5" customFormat="1" ht="16.5" spans="1:11">
      <c r="A304" s="22"/>
      <c r="B304" s="23"/>
      <c r="C304" s="24"/>
      <c r="D304" s="24"/>
      <c r="E304" s="24"/>
      <c r="F304" s="24"/>
      <c r="G304" s="24"/>
      <c r="H304" s="24"/>
      <c r="I304" s="24"/>
      <c r="J304" s="24"/>
      <c r="K304" s="25"/>
    </row>
    <row r="305" s="5" customFormat="1" ht="16.5" spans="1:11">
      <c r="A305" s="22"/>
      <c r="B305" s="23"/>
      <c r="C305" s="24"/>
      <c r="D305" s="24"/>
      <c r="E305" s="24"/>
      <c r="F305" s="24"/>
      <c r="G305" s="24"/>
      <c r="H305" s="24"/>
      <c r="I305" s="24"/>
      <c r="J305" s="24"/>
      <c r="K305" s="25"/>
    </row>
    <row r="306" s="5" customFormat="1" ht="16.5" spans="1:11">
      <c r="A306" s="22"/>
      <c r="B306" s="23"/>
      <c r="C306" s="24"/>
      <c r="D306" s="24"/>
      <c r="E306" s="24"/>
      <c r="F306" s="24"/>
      <c r="G306" s="24"/>
      <c r="H306" s="24"/>
      <c r="I306" s="24"/>
      <c r="J306" s="24"/>
      <c r="K306" s="25"/>
    </row>
    <row r="307" s="5" customFormat="1" ht="16.5" spans="1:11">
      <c r="A307" s="22"/>
      <c r="B307" s="23"/>
      <c r="C307" s="24"/>
      <c r="D307" s="24"/>
      <c r="E307" s="24"/>
      <c r="F307" s="24"/>
      <c r="G307" s="24"/>
      <c r="H307" s="24"/>
      <c r="I307" s="24"/>
      <c r="J307" s="24"/>
      <c r="K307" s="25"/>
    </row>
    <row r="308" s="5" customFormat="1" ht="16.5" spans="1:11">
      <c r="A308" s="22"/>
      <c r="B308" s="23"/>
      <c r="C308" s="24"/>
      <c r="D308" s="24"/>
      <c r="E308" s="24"/>
      <c r="F308" s="24"/>
      <c r="G308" s="24"/>
      <c r="H308" s="24"/>
      <c r="I308" s="24"/>
      <c r="J308" s="24"/>
      <c r="K308" s="25"/>
    </row>
    <row r="309" s="5" customFormat="1" ht="16.5" spans="1:11">
      <c r="A309" s="22"/>
      <c r="B309" s="23"/>
      <c r="C309" s="24"/>
      <c r="D309" s="24"/>
      <c r="E309" s="24"/>
      <c r="F309" s="24"/>
      <c r="G309" s="24"/>
      <c r="H309" s="24"/>
      <c r="I309" s="24"/>
      <c r="J309" s="24"/>
      <c r="K309" s="25"/>
    </row>
    <row r="310" s="5" customFormat="1" ht="16.5" spans="1:11">
      <c r="A310" s="22"/>
      <c r="B310" s="23"/>
      <c r="C310" s="24"/>
      <c r="D310" s="24"/>
      <c r="E310" s="24"/>
      <c r="F310" s="24"/>
      <c r="G310" s="24"/>
      <c r="H310" s="24"/>
      <c r="I310" s="24"/>
      <c r="J310" s="24"/>
      <c r="K310" s="25"/>
    </row>
    <row r="311" s="5" customFormat="1" ht="16.5" spans="1:11">
      <c r="A311" s="22"/>
      <c r="B311" s="23"/>
      <c r="C311" s="24"/>
      <c r="D311" s="24"/>
      <c r="E311" s="24"/>
      <c r="F311" s="24"/>
      <c r="G311" s="24"/>
      <c r="H311" s="24"/>
      <c r="I311" s="24"/>
      <c r="J311" s="24"/>
      <c r="K311" s="25"/>
    </row>
    <row r="312" s="5" customFormat="1" ht="16.5" spans="1:11">
      <c r="A312" s="22"/>
      <c r="B312" s="23"/>
      <c r="C312" s="24"/>
      <c r="D312" s="24"/>
      <c r="E312" s="24"/>
      <c r="F312" s="24"/>
      <c r="G312" s="24"/>
      <c r="H312" s="24"/>
      <c r="I312" s="24"/>
      <c r="J312" s="24"/>
      <c r="K312" s="25"/>
    </row>
    <row r="313" s="5" customFormat="1" ht="16.5" spans="1:11">
      <c r="A313" s="22"/>
      <c r="B313" s="23"/>
      <c r="C313" s="24"/>
      <c r="D313" s="24"/>
      <c r="E313" s="24"/>
      <c r="F313" s="24"/>
      <c r="G313" s="24"/>
      <c r="H313" s="24"/>
      <c r="I313" s="24"/>
      <c r="J313" s="24"/>
      <c r="K313" s="25"/>
    </row>
    <row r="314" s="5" customFormat="1" ht="16.5" spans="1:11">
      <c r="A314" s="22"/>
      <c r="B314" s="23"/>
      <c r="C314" s="24"/>
      <c r="D314" s="24"/>
      <c r="E314" s="24"/>
      <c r="F314" s="24"/>
      <c r="G314" s="24"/>
      <c r="H314" s="24"/>
      <c r="I314" s="24"/>
      <c r="J314" s="24"/>
      <c r="K314" s="25"/>
    </row>
    <row r="315" s="5" customFormat="1" ht="16.5" spans="1:11">
      <c r="A315" s="22"/>
      <c r="B315" s="23"/>
      <c r="C315" s="24"/>
      <c r="D315" s="24"/>
      <c r="E315" s="24"/>
      <c r="F315" s="24"/>
      <c r="G315" s="24"/>
      <c r="H315" s="24"/>
      <c r="I315" s="24"/>
      <c r="J315" s="24"/>
      <c r="K315" s="25"/>
    </row>
    <row r="316" s="5" customFormat="1" ht="16.5" spans="1:11">
      <c r="A316" s="22"/>
      <c r="B316" s="23"/>
      <c r="C316" s="24"/>
      <c r="D316" s="24"/>
      <c r="E316" s="24"/>
      <c r="F316" s="24"/>
      <c r="G316" s="24"/>
      <c r="H316" s="24"/>
      <c r="I316" s="24"/>
      <c r="J316" s="24"/>
      <c r="K316" s="25"/>
    </row>
    <row r="317" s="5" customFormat="1" ht="16.5" spans="1:11">
      <c r="A317" s="22"/>
      <c r="B317" s="23"/>
      <c r="C317" s="24"/>
      <c r="D317" s="24"/>
      <c r="E317" s="24"/>
      <c r="F317" s="24"/>
      <c r="G317" s="24"/>
      <c r="H317" s="24"/>
      <c r="I317" s="24"/>
      <c r="J317" s="24"/>
      <c r="K317" s="25"/>
    </row>
    <row r="318" s="5" customFormat="1" ht="16.5" spans="1:11">
      <c r="A318" s="22"/>
      <c r="B318" s="23"/>
      <c r="C318" s="24"/>
      <c r="D318" s="24"/>
      <c r="E318" s="24"/>
      <c r="F318" s="24"/>
      <c r="G318" s="24"/>
      <c r="H318" s="24"/>
      <c r="I318" s="24"/>
      <c r="J318" s="24"/>
      <c r="K318" s="25"/>
    </row>
    <row r="319" s="5" customFormat="1" ht="16.5" spans="1:11">
      <c r="A319" s="22"/>
      <c r="B319" s="23"/>
      <c r="C319" s="24"/>
      <c r="D319" s="24"/>
      <c r="E319" s="24"/>
      <c r="F319" s="24"/>
      <c r="G319" s="24"/>
      <c r="H319" s="24"/>
      <c r="I319" s="24"/>
      <c r="J319" s="24"/>
      <c r="K319" s="25"/>
    </row>
    <row r="320" s="5" customFormat="1" ht="16.5" spans="1:11">
      <c r="A320" s="22"/>
      <c r="B320" s="23"/>
      <c r="C320" s="24"/>
      <c r="D320" s="24"/>
      <c r="E320" s="24"/>
      <c r="F320" s="24"/>
      <c r="G320" s="24"/>
      <c r="H320" s="24"/>
      <c r="I320" s="24"/>
      <c r="J320" s="24"/>
      <c r="K320" s="25"/>
    </row>
    <row r="321" s="5" customFormat="1" ht="16.5" spans="1:11">
      <c r="A321" s="22"/>
      <c r="B321" s="23"/>
      <c r="C321" s="24"/>
      <c r="D321" s="24"/>
      <c r="E321" s="24"/>
      <c r="F321" s="24"/>
      <c r="G321" s="24"/>
      <c r="H321" s="24"/>
      <c r="I321" s="24"/>
      <c r="J321" s="24"/>
      <c r="K321" s="25"/>
    </row>
    <row r="322" s="5" customFormat="1" ht="16.5" spans="1:11">
      <c r="A322" s="22"/>
      <c r="B322" s="23"/>
      <c r="C322" s="24"/>
      <c r="D322" s="24"/>
      <c r="E322" s="24"/>
      <c r="F322" s="24"/>
      <c r="G322" s="24"/>
      <c r="H322" s="24"/>
      <c r="I322" s="24"/>
      <c r="J322" s="24"/>
      <c r="K322" s="25"/>
    </row>
    <row r="323" s="5" customFormat="1" ht="16.5" spans="1:11">
      <c r="A323" s="22"/>
      <c r="B323" s="23"/>
      <c r="C323" s="24"/>
      <c r="D323" s="24"/>
      <c r="E323" s="24"/>
      <c r="F323" s="24"/>
      <c r="G323" s="24"/>
      <c r="H323" s="24"/>
      <c r="I323" s="24"/>
      <c r="J323" s="24"/>
      <c r="K323" s="25"/>
    </row>
    <row r="324" s="5" customFormat="1" ht="16.5" spans="1:11">
      <c r="A324" s="22"/>
      <c r="B324" s="23"/>
      <c r="C324" s="24"/>
      <c r="D324" s="24"/>
      <c r="E324" s="24"/>
      <c r="F324" s="24"/>
      <c r="G324" s="24"/>
      <c r="H324" s="24"/>
      <c r="I324" s="24"/>
      <c r="J324" s="24"/>
      <c r="K324" s="25"/>
    </row>
    <row r="325" s="5" customFormat="1" ht="16.5" spans="1:11">
      <c r="A325" s="22"/>
      <c r="B325" s="23"/>
      <c r="C325" s="24"/>
      <c r="D325" s="24"/>
      <c r="E325" s="24"/>
      <c r="F325" s="24"/>
      <c r="G325" s="24"/>
      <c r="H325" s="24"/>
      <c r="I325" s="24"/>
      <c r="J325" s="24"/>
      <c r="K325" s="25"/>
    </row>
    <row r="326" s="5" customFormat="1" ht="16.5" spans="1:11">
      <c r="A326" s="22"/>
      <c r="B326" s="23"/>
      <c r="C326" s="24"/>
      <c r="D326" s="24"/>
      <c r="E326" s="24"/>
      <c r="F326" s="24"/>
      <c r="G326" s="24"/>
      <c r="H326" s="24"/>
      <c r="I326" s="24"/>
      <c r="J326" s="24"/>
      <c r="K326" s="25"/>
    </row>
    <row r="327" s="5" customFormat="1" ht="16.5" spans="1:11">
      <c r="A327" s="22"/>
      <c r="B327" s="23"/>
      <c r="C327" s="24"/>
      <c r="D327" s="24"/>
      <c r="E327" s="24"/>
      <c r="F327" s="24"/>
      <c r="G327" s="24"/>
      <c r="H327" s="24"/>
      <c r="I327" s="24"/>
      <c r="J327" s="24"/>
      <c r="K327" s="25"/>
    </row>
    <row r="328" s="5" customFormat="1" ht="16.5" spans="1:11">
      <c r="A328" s="22"/>
      <c r="B328" s="23"/>
      <c r="C328" s="24"/>
      <c r="D328" s="24"/>
      <c r="E328" s="24"/>
      <c r="F328" s="24"/>
      <c r="G328" s="24"/>
      <c r="H328" s="24"/>
      <c r="I328" s="24"/>
      <c r="J328" s="24"/>
      <c r="K328" s="25"/>
    </row>
    <row r="329" s="5" customFormat="1" ht="16.5" spans="1:11">
      <c r="A329" s="22"/>
      <c r="B329" s="23"/>
      <c r="C329" s="24"/>
      <c r="D329" s="24"/>
      <c r="E329" s="24"/>
      <c r="F329" s="24"/>
      <c r="G329" s="24"/>
      <c r="H329" s="24"/>
      <c r="I329" s="24"/>
      <c r="J329" s="24"/>
      <c r="K329" s="25"/>
    </row>
    <row r="330" s="5" customFormat="1" ht="16.5" spans="1:11">
      <c r="A330" s="22"/>
      <c r="B330" s="23"/>
      <c r="C330" s="24"/>
      <c r="D330" s="24"/>
      <c r="E330" s="24"/>
      <c r="F330" s="24"/>
      <c r="G330" s="24"/>
      <c r="H330" s="24"/>
      <c r="I330" s="24"/>
      <c r="J330" s="24"/>
      <c r="K330" s="25"/>
    </row>
    <row r="331" s="5" customFormat="1" ht="16.5" spans="1:11">
      <c r="A331" s="22"/>
      <c r="B331" s="23"/>
      <c r="C331" s="24"/>
      <c r="D331" s="24"/>
      <c r="E331" s="24"/>
      <c r="F331" s="24"/>
      <c r="G331" s="24"/>
      <c r="H331" s="24"/>
      <c r="I331" s="24"/>
      <c r="J331" s="24"/>
      <c r="K331" s="25"/>
    </row>
    <row r="332" s="5" customFormat="1" ht="16.5" spans="1:11">
      <c r="A332" s="22"/>
      <c r="B332" s="23"/>
      <c r="C332" s="24"/>
      <c r="D332" s="24"/>
      <c r="E332" s="24"/>
      <c r="F332" s="24"/>
      <c r="G332" s="24"/>
      <c r="H332" s="24"/>
      <c r="I332" s="24"/>
      <c r="J332" s="24"/>
      <c r="K332" s="25"/>
    </row>
    <row r="333" s="5" customFormat="1" ht="16.5" spans="1:11">
      <c r="A333" s="22"/>
      <c r="B333" s="23"/>
      <c r="C333" s="24"/>
      <c r="D333" s="24"/>
      <c r="E333" s="24"/>
      <c r="F333" s="24"/>
      <c r="G333" s="24"/>
      <c r="H333" s="24"/>
      <c r="I333" s="24"/>
      <c r="J333" s="24"/>
      <c r="K333" s="25"/>
    </row>
    <row r="334" s="5" customFormat="1" ht="16.5" spans="1:11">
      <c r="A334" s="22"/>
      <c r="B334" s="23"/>
      <c r="C334" s="24"/>
      <c r="D334" s="24"/>
      <c r="E334" s="24"/>
      <c r="F334" s="24"/>
      <c r="G334" s="24"/>
      <c r="H334" s="24"/>
      <c r="I334" s="24"/>
      <c r="J334" s="24"/>
      <c r="K334" s="25"/>
    </row>
    <row r="335" s="5" customFormat="1" ht="16.5" spans="1:11">
      <c r="A335" s="22"/>
      <c r="B335" s="23"/>
      <c r="C335" s="24"/>
      <c r="D335" s="24"/>
      <c r="E335" s="24"/>
      <c r="F335" s="24"/>
      <c r="G335" s="24"/>
      <c r="H335" s="24"/>
      <c r="I335" s="24"/>
      <c r="J335" s="24"/>
      <c r="K335" s="25"/>
    </row>
    <row r="336" s="5" customFormat="1" ht="16.5" spans="1:11">
      <c r="A336" s="22"/>
      <c r="B336" s="23"/>
      <c r="C336" s="24"/>
      <c r="D336" s="24"/>
      <c r="E336" s="24"/>
      <c r="F336" s="24"/>
      <c r="G336" s="24"/>
      <c r="H336" s="24"/>
      <c r="I336" s="24"/>
      <c r="J336" s="24"/>
      <c r="K336" s="25"/>
    </row>
    <row r="337" s="5" customFormat="1" ht="16.5" spans="1:11">
      <c r="A337" s="22"/>
      <c r="B337" s="23"/>
      <c r="C337" s="24"/>
      <c r="D337" s="24"/>
      <c r="E337" s="24"/>
      <c r="F337" s="24"/>
      <c r="G337" s="24"/>
      <c r="H337" s="24"/>
      <c r="I337" s="24"/>
      <c r="J337" s="24"/>
      <c r="K337" s="25"/>
    </row>
    <row r="338" s="5" customFormat="1" ht="16.5" spans="1:11">
      <c r="A338" s="22"/>
      <c r="B338" s="23"/>
      <c r="C338" s="24"/>
      <c r="D338" s="24"/>
      <c r="E338" s="24"/>
      <c r="F338" s="24"/>
      <c r="G338" s="24"/>
      <c r="H338" s="24"/>
      <c r="I338" s="24"/>
      <c r="J338" s="24"/>
      <c r="K338" s="25"/>
    </row>
    <row r="339" s="5" customFormat="1" ht="16.5" spans="1:11">
      <c r="A339" s="22"/>
      <c r="B339" s="23"/>
      <c r="C339" s="24"/>
      <c r="D339" s="24"/>
      <c r="E339" s="24"/>
      <c r="F339" s="24"/>
      <c r="G339" s="24"/>
      <c r="H339" s="24"/>
      <c r="I339" s="24"/>
      <c r="J339" s="24"/>
      <c r="K339" s="25"/>
    </row>
    <row r="340" s="5" customFormat="1" ht="16.5" spans="1:11">
      <c r="A340" s="22"/>
      <c r="B340" s="23"/>
      <c r="C340" s="24"/>
      <c r="D340" s="24"/>
      <c r="E340" s="24"/>
      <c r="F340" s="24"/>
      <c r="G340" s="24"/>
      <c r="H340" s="24"/>
      <c r="I340" s="24"/>
      <c r="J340" s="24"/>
      <c r="K340" s="25"/>
    </row>
    <row r="341" s="5" customFormat="1" ht="16.5" spans="1:11">
      <c r="A341" s="22"/>
      <c r="B341" s="23"/>
      <c r="C341" s="24"/>
      <c r="D341" s="24"/>
      <c r="E341" s="24"/>
      <c r="F341" s="24"/>
      <c r="G341" s="24"/>
      <c r="H341" s="24"/>
      <c r="I341" s="24"/>
      <c r="J341" s="24"/>
      <c r="K341" s="25"/>
    </row>
    <row r="342" s="5" customFormat="1" ht="16.5" spans="1:11">
      <c r="A342" s="22"/>
      <c r="B342" s="23"/>
      <c r="C342" s="24"/>
      <c r="D342" s="24"/>
      <c r="E342" s="24"/>
      <c r="F342" s="24"/>
      <c r="G342" s="24"/>
      <c r="H342" s="24"/>
      <c r="I342" s="24"/>
      <c r="J342" s="24"/>
      <c r="K342" s="25"/>
    </row>
    <row r="343" s="5" customFormat="1" ht="16.5" spans="1:11">
      <c r="A343" s="22"/>
      <c r="B343" s="23"/>
      <c r="C343" s="24"/>
      <c r="D343" s="24"/>
      <c r="E343" s="24"/>
      <c r="F343" s="24"/>
      <c r="G343" s="24"/>
      <c r="H343" s="24"/>
      <c r="I343" s="24"/>
      <c r="J343" s="24"/>
      <c r="K343" s="25"/>
    </row>
    <row r="344" s="5" customFormat="1" ht="16.5" spans="1:11">
      <c r="A344" s="22"/>
      <c r="B344" s="23"/>
      <c r="C344" s="24"/>
      <c r="D344" s="24"/>
      <c r="E344" s="24"/>
      <c r="F344" s="24"/>
      <c r="G344" s="24"/>
      <c r="H344" s="24"/>
      <c r="I344" s="24"/>
      <c r="J344" s="24"/>
      <c r="K344" s="25"/>
    </row>
    <row r="345" s="5" customFormat="1" ht="16.5" spans="1:11">
      <c r="A345" s="22"/>
      <c r="B345" s="23"/>
      <c r="C345" s="24"/>
      <c r="D345" s="24"/>
      <c r="E345" s="24"/>
      <c r="F345" s="24"/>
      <c r="G345" s="24"/>
      <c r="H345" s="24"/>
      <c r="I345" s="24"/>
      <c r="J345" s="24"/>
      <c r="K345" s="25"/>
    </row>
    <row r="346" s="5" customFormat="1" ht="16.5" spans="1:11">
      <c r="A346" s="22"/>
      <c r="B346" s="23"/>
      <c r="C346" s="24"/>
      <c r="D346" s="24"/>
      <c r="E346" s="24"/>
      <c r="F346" s="24"/>
      <c r="G346" s="24"/>
      <c r="H346" s="24"/>
      <c r="I346" s="24"/>
      <c r="J346" s="24"/>
      <c r="K346" s="25"/>
    </row>
    <row r="347" s="5" customFormat="1" ht="16.5" spans="1:11">
      <c r="A347" s="22"/>
      <c r="B347" s="23"/>
      <c r="C347" s="24"/>
      <c r="D347" s="24"/>
      <c r="E347" s="24"/>
      <c r="F347" s="24"/>
      <c r="G347" s="24"/>
      <c r="H347" s="24"/>
      <c r="I347" s="24"/>
      <c r="J347" s="24"/>
      <c r="K347" s="25"/>
    </row>
    <row r="348" s="5" customFormat="1" ht="16.5" spans="1:11">
      <c r="A348" s="22"/>
      <c r="B348" s="23"/>
      <c r="C348" s="24"/>
      <c r="D348" s="24"/>
      <c r="E348" s="24"/>
      <c r="F348" s="24"/>
      <c r="G348" s="24"/>
      <c r="H348" s="24"/>
      <c r="I348" s="24"/>
      <c r="J348" s="24"/>
      <c r="K348" s="25"/>
    </row>
    <row r="349" s="5" customFormat="1" ht="16.5" spans="1:11">
      <c r="A349" s="22"/>
      <c r="B349" s="23"/>
      <c r="C349" s="24"/>
      <c r="D349" s="24"/>
      <c r="E349" s="24"/>
      <c r="F349" s="24"/>
      <c r="G349" s="24"/>
      <c r="H349" s="24"/>
      <c r="I349" s="24"/>
      <c r="J349" s="24"/>
      <c r="K349" s="25"/>
    </row>
    <row r="350" s="5" customFormat="1" ht="16.5" spans="1:11">
      <c r="A350" s="22"/>
      <c r="B350" s="23"/>
      <c r="C350" s="24"/>
      <c r="D350" s="24"/>
      <c r="E350" s="24"/>
      <c r="F350" s="24"/>
      <c r="G350" s="24"/>
      <c r="H350" s="24"/>
      <c r="I350" s="24"/>
      <c r="J350" s="24"/>
      <c r="K350" s="25"/>
    </row>
    <row r="351" s="5" customFormat="1" ht="16.5" spans="1:11">
      <c r="A351" s="22"/>
      <c r="B351" s="23"/>
      <c r="C351" s="24"/>
      <c r="D351" s="24"/>
      <c r="E351" s="24"/>
      <c r="F351" s="24"/>
      <c r="G351" s="24"/>
      <c r="H351" s="24"/>
      <c r="I351" s="24"/>
      <c r="J351" s="24"/>
      <c r="K351" s="25"/>
    </row>
    <row r="352" s="5" customFormat="1" ht="16.5" spans="1:11">
      <c r="A352" s="22"/>
      <c r="B352" s="23"/>
      <c r="C352" s="24"/>
      <c r="D352" s="24"/>
      <c r="E352" s="24"/>
      <c r="F352" s="24"/>
      <c r="G352" s="24"/>
      <c r="H352" s="24"/>
      <c r="I352" s="24"/>
      <c r="J352" s="24"/>
      <c r="K352" s="25"/>
    </row>
    <row r="353" s="5" customFormat="1" ht="16.5" spans="1:11">
      <c r="A353" s="22"/>
      <c r="B353" s="23"/>
      <c r="C353" s="24"/>
      <c r="D353" s="24"/>
      <c r="E353" s="24"/>
      <c r="F353" s="24"/>
      <c r="G353" s="24"/>
      <c r="H353" s="24"/>
      <c r="I353" s="24"/>
      <c r="J353" s="24"/>
      <c r="K353" s="25"/>
    </row>
    <row r="354" s="5" customFormat="1" ht="16.5" spans="1:11">
      <c r="A354" s="22"/>
      <c r="B354" s="23"/>
      <c r="C354" s="24"/>
      <c r="D354" s="24"/>
      <c r="E354" s="24"/>
      <c r="F354" s="24"/>
      <c r="G354" s="24"/>
      <c r="H354" s="24"/>
      <c r="I354" s="24"/>
      <c r="J354" s="24"/>
      <c r="K354" s="25"/>
    </row>
    <row r="355" s="5" customFormat="1" ht="16.5" spans="1:11">
      <c r="A355" s="22"/>
      <c r="B355" s="23"/>
      <c r="C355" s="24"/>
      <c r="D355" s="24"/>
      <c r="E355" s="24"/>
      <c r="F355" s="24"/>
      <c r="G355" s="24"/>
      <c r="H355" s="24"/>
      <c r="I355" s="24"/>
      <c r="J355" s="24"/>
      <c r="K355" s="25"/>
    </row>
    <row r="356" s="5" customFormat="1" ht="16.5" spans="1:11">
      <c r="A356" s="22"/>
      <c r="B356" s="23"/>
      <c r="C356" s="24"/>
      <c r="D356" s="24"/>
      <c r="E356" s="24"/>
      <c r="F356" s="24"/>
      <c r="G356" s="24"/>
      <c r="H356" s="24"/>
      <c r="I356" s="24"/>
      <c r="J356" s="24"/>
      <c r="K356" s="25"/>
    </row>
    <row r="357" s="5" customFormat="1" ht="16.5" spans="1:11">
      <c r="A357" s="22"/>
      <c r="B357" s="23"/>
      <c r="C357" s="24"/>
      <c r="D357" s="24"/>
      <c r="E357" s="24"/>
      <c r="F357" s="24"/>
      <c r="G357" s="24"/>
      <c r="H357" s="24"/>
      <c r="I357" s="24"/>
      <c r="J357" s="24"/>
      <c r="K357" s="25"/>
    </row>
    <row r="358" s="5" customFormat="1" ht="16.5" spans="1:11">
      <c r="A358" s="22"/>
      <c r="B358" s="23"/>
      <c r="C358" s="24"/>
      <c r="D358" s="24"/>
      <c r="E358" s="24"/>
      <c r="F358" s="24"/>
      <c r="G358" s="24"/>
      <c r="H358" s="24"/>
      <c r="I358" s="24"/>
      <c r="J358" s="24"/>
      <c r="K358" s="25"/>
    </row>
    <row r="359" s="5" customFormat="1" ht="16.5" spans="1:11">
      <c r="A359" s="22"/>
      <c r="B359" s="23"/>
      <c r="C359" s="24"/>
      <c r="D359" s="24"/>
      <c r="E359" s="24"/>
      <c r="F359" s="24"/>
      <c r="G359" s="24"/>
      <c r="H359" s="24"/>
      <c r="I359" s="24"/>
      <c r="J359" s="24"/>
      <c r="K359" s="25"/>
    </row>
    <row r="360" s="5" customFormat="1" ht="16.5" spans="1:11">
      <c r="A360" s="22"/>
      <c r="B360" s="23"/>
      <c r="C360" s="24"/>
      <c r="D360" s="24"/>
      <c r="E360" s="24"/>
      <c r="F360" s="24"/>
      <c r="G360" s="24"/>
      <c r="H360" s="24"/>
      <c r="I360" s="24"/>
      <c r="J360" s="24"/>
      <c r="K360" s="25"/>
    </row>
    <row r="361" s="5" customFormat="1" ht="16.5" spans="1:11">
      <c r="A361" s="22"/>
      <c r="B361" s="23"/>
      <c r="C361" s="24"/>
      <c r="D361" s="24"/>
      <c r="E361" s="24"/>
      <c r="F361" s="24"/>
      <c r="G361" s="24"/>
      <c r="H361" s="24"/>
      <c r="I361" s="24"/>
      <c r="J361" s="24"/>
      <c r="K361" s="25"/>
    </row>
    <row r="362" s="5" customFormat="1" ht="16.5" spans="1:11">
      <c r="A362" s="22"/>
      <c r="B362" s="23"/>
      <c r="C362" s="24"/>
      <c r="D362" s="24"/>
      <c r="E362" s="24"/>
      <c r="F362" s="24"/>
      <c r="G362" s="24"/>
      <c r="H362" s="24"/>
      <c r="I362" s="24"/>
      <c r="J362" s="24"/>
      <c r="K362" s="25"/>
    </row>
    <row r="363" s="5" customFormat="1" ht="16.5" spans="1:11">
      <c r="A363" s="22"/>
      <c r="B363" s="23"/>
      <c r="C363" s="24"/>
      <c r="D363" s="24"/>
      <c r="E363" s="24"/>
      <c r="F363" s="24"/>
      <c r="G363" s="24"/>
      <c r="H363" s="24"/>
      <c r="I363" s="24"/>
      <c r="J363" s="24"/>
      <c r="K363" s="25"/>
    </row>
    <row r="364" s="5" customFormat="1" ht="16.5" spans="1:11">
      <c r="A364" s="22"/>
      <c r="B364" s="23"/>
      <c r="C364" s="24"/>
      <c r="D364" s="24"/>
      <c r="E364" s="24"/>
      <c r="F364" s="24"/>
      <c r="G364" s="24"/>
      <c r="H364" s="24"/>
      <c r="I364" s="24"/>
      <c r="J364" s="24"/>
      <c r="K364" s="25"/>
    </row>
    <row r="365" s="5" customFormat="1" ht="16.5" spans="1:11">
      <c r="A365" s="22"/>
      <c r="B365" s="23"/>
      <c r="C365" s="24"/>
      <c r="D365" s="24"/>
      <c r="E365" s="24"/>
      <c r="F365" s="24"/>
      <c r="G365" s="24"/>
      <c r="H365" s="24"/>
      <c r="I365" s="24"/>
      <c r="J365" s="24"/>
      <c r="K365" s="25"/>
    </row>
    <row r="366" s="5" customFormat="1" ht="16.5" spans="1:11">
      <c r="A366" s="22"/>
      <c r="B366" s="23"/>
      <c r="C366" s="24"/>
      <c r="D366" s="24"/>
      <c r="E366" s="24"/>
      <c r="F366" s="24"/>
      <c r="G366" s="24"/>
      <c r="H366" s="24"/>
      <c r="I366" s="24"/>
      <c r="J366" s="24"/>
      <c r="K366" s="25"/>
    </row>
    <row r="367" s="5" customFormat="1" ht="16.5" spans="1:11">
      <c r="A367" s="22"/>
      <c r="B367" s="23"/>
      <c r="C367" s="24"/>
      <c r="D367" s="24"/>
      <c r="E367" s="24"/>
      <c r="F367" s="24"/>
      <c r="G367" s="24"/>
      <c r="H367" s="24"/>
      <c r="I367" s="24"/>
      <c r="J367" s="24"/>
      <c r="K367" s="25"/>
    </row>
    <row r="368" s="5" customFormat="1" ht="16.5" spans="1:11">
      <c r="A368" s="22"/>
      <c r="B368" s="23"/>
      <c r="C368" s="24"/>
      <c r="D368" s="24"/>
      <c r="E368" s="24"/>
      <c r="F368" s="24"/>
      <c r="G368" s="24"/>
      <c r="H368" s="24"/>
      <c r="I368" s="24"/>
      <c r="J368" s="24"/>
      <c r="K368" s="25"/>
    </row>
    <row r="369" s="5" customFormat="1" ht="16.5" spans="1:11">
      <c r="A369" s="22"/>
      <c r="B369" s="23"/>
      <c r="C369" s="24"/>
      <c r="D369" s="24"/>
      <c r="E369" s="24"/>
      <c r="F369" s="24"/>
      <c r="G369" s="24"/>
      <c r="H369" s="24"/>
      <c r="I369" s="24"/>
      <c r="J369" s="24"/>
      <c r="K369" s="25"/>
    </row>
    <row r="370" s="5" customFormat="1" ht="16.5" spans="1:11">
      <c r="A370" s="22"/>
      <c r="B370" s="23"/>
      <c r="C370" s="24"/>
      <c r="D370" s="24"/>
      <c r="E370" s="24"/>
      <c r="F370" s="24"/>
      <c r="G370" s="24"/>
      <c r="H370" s="24"/>
      <c r="I370" s="24"/>
      <c r="J370" s="24"/>
      <c r="K370" s="25"/>
    </row>
    <row r="371" s="5" customFormat="1" ht="16.5" spans="1:11">
      <c r="A371" s="22"/>
      <c r="B371" s="23"/>
      <c r="C371" s="24"/>
      <c r="D371" s="24"/>
      <c r="E371" s="24"/>
      <c r="F371" s="24"/>
      <c r="G371" s="24"/>
      <c r="H371" s="24"/>
      <c r="I371" s="24"/>
      <c r="J371" s="24"/>
      <c r="K371" s="25"/>
    </row>
    <row r="372" s="5" customFormat="1" ht="16.5" spans="1:11">
      <c r="A372" s="22"/>
      <c r="B372" s="23"/>
      <c r="C372" s="24"/>
      <c r="D372" s="24"/>
      <c r="E372" s="24"/>
      <c r="F372" s="24"/>
      <c r="G372" s="24"/>
      <c r="H372" s="24"/>
      <c r="I372" s="24"/>
      <c r="J372" s="24"/>
      <c r="K372" s="25"/>
    </row>
    <row r="373" s="5" customFormat="1" ht="16.5" spans="1:11">
      <c r="A373" s="22"/>
      <c r="B373" s="23"/>
      <c r="C373" s="24"/>
      <c r="D373" s="24"/>
      <c r="E373" s="24"/>
      <c r="F373" s="24"/>
      <c r="G373" s="24"/>
      <c r="H373" s="24"/>
      <c r="I373" s="24"/>
      <c r="J373" s="24"/>
      <c r="K373" s="25"/>
    </row>
    <row r="374" s="5" customFormat="1" ht="16.5" spans="1:11">
      <c r="A374" s="22"/>
      <c r="B374" s="23"/>
      <c r="C374" s="24"/>
      <c r="D374" s="24"/>
      <c r="E374" s="24"/>
      <c r="F374" s="24"/>
      <c r="G374" s="24"/>
      <c r="H374" s="24"/>
      <c r="I374" s="24"/>
      <c r="J374" s="24"/>
      <c r="K374" s="25"/>
    </row>
    <row r="375" s="5" customFormat="1" ht="16.5" spans="1:11">
      <c r="A375" s="22"/>
      <c r="B375" s="23"/>
      <c r="C375" s="24"/>
      <c r="D375" s="24"/>
      <c r="E375" s="24"/>
      <c r="F375" s="24"/>
      <c r="G375" s="24"/>
      <c r="H375" s="24"/>
      <c r="I375" s="24"/>
      <c r="J375" s="24"/>
      <c r="K375" s="25"/>
    </row>
    <row r="376" s="5" customFormat="1" ht="16.5" spans="1:11">
      <c r="A376" s="22"/>
      <c r="B376" s="23"/>
      <c r="C376" s="24"/>
      <c r="D376" s="24"/>
      <c r="E376" s="24"/>
      <c r="F376" s="24"/>
      <c r="G376" s="24"/>
      <c r="H376" s="24"/>
      <c r="I376" s="24"/>
      <c r="J376" s="24"/>
      <c r="K376" s="25"/>
    </row>
    <row r="377" s="5" customFormat="1" ht="16.5" spans="1:11">
      <c r="A377" s="22"/>
      <c r="B377" s="23"/>
      <c r="C377" s="24"/>
      <c r="D377" s="24"/>
      <c r="E377" s="24"/>
      <c r="F377" s="24"/>
      <c r="G377" s="24"/>
      <c r="H377" s="24"/>
      <c r="I377" s="24"/>
      <c r="J377" s="24"/>
      <c r="K377" s="25"/>
    </row>
    <row r="378" s="5" customFormat="1" ht="16.5" spans="1:11">
      <c r="A378" s="22"/>
      <c r="B378" s="23"/>
      <c r="C378" s="24"/>
      <c r="D378" s="24"/>
      <c r="E378" s="24"/>
      <c r="F378" s="24"/>
      <c r="G378" s="24"/>
      <c r="H378" s="24"/>
      <c r="I378" s="24"/>
      <c r="J378" s="24"/>
      <c r="K378" s="25"/>
    </row>
    <row r="379" s="5" customFormat="1" ht="16.5" spans="1:11">
      <c r="A379" s="22"/>
      <c r="B379" s="23"/>
      <c r="C379" s="24"/>
      <c r="D379" s="24"/>
      <c r="E379" s="24"/>
      <c r="F379" s="24"/>
      <c r="G379" s="24"/>
      <c r="H379" s="24"/>
      <c r="I379" s="24"/>
      <c r="J379" s="24"/>
      <c r="K379" s="25"/>
    </row>
    <row r="380" s="5" customFormat="1" ht="16.5" spans="1:11">
      <c r="A380" s="22"/>
      <c r="B380" s="23"/>
      <c r="C380" s="24"/>
      <c r="D380" s="24"/>
      <c r="E380" s="24"/>
      <c r="F380" s="24"/>
      <c r="G380" s="24"/>
      <c r="H380" s="24"/>
      <c r="I380" s="24"/>
      <c r="J380" s="24"/>
      <c r="K380" s="25"/>
    </row>
    <row r="381" s="5" customFormat="1" ht="16.5" spans="1:11">
      <c r="A381" s="22"/>
      <c r="B381" s="23"/>
      <c r="C381" s="24"/>
      <c r="D381" s="24"/>
      <c r="E381" s="24"/>
      <c r="F381" s="24"/>
      <c r="G381" s="24"/>
      <c r="H381" s="24"/>
      <c r="I381" s="24"/>
      <c r="J381" s="24"/>
      <c r="K381" s="25"/>
    </row>
    <row r="382" s="5" customFormat="1" ht="16.5" spans="1:11">
      <c r="A382" s="22"/>
      <c r="B382" s="23"/>
      <c r="C382" s="24"/>
      <c r="D382" s="24"/>
      <c r="E382" s="24"/>
      <c r="F382" s="24"/>
      <c r="G382" s="24"/>
      <c r="H382" s="24"/>
      <c r="I382" s="24"/>
      <c r="J382" s="24"/>
      <c r="K382" s="25"/>
    </row>
    <row r="383" s="5" customFormat="1" ht="16.5" spans="1:11">
      <c r="A383" s="22"/>
      <c r="B383" s="23"/>
      <c r="C383" s="24"/>
      <c r="D383" s="24"/>
      <c r="E383" s="24"/>
      <c r="F383" s="24"/>
      <c r="G383" s="24"/>
      <c r="H383" s="24"/>
      <c r="I383" s="24"/>
      <c r="J383" s="24"/>
      <c r="K383" s="25"/>
    </row>
    <row r="384" s="5" customFormat="1" ht="16.5" spans="1:11">
      <c r="A384" s="22"/>
      <c r="B384" s="23"/>
      <c r="C384" s="24"/>
      <c r="D384" s="24"/>
      <c r="E384" s="24"/>
      <c r="F384" s="24"/>
      <c r="G384" s="24"/>
      <c r="H384" s="24"/>
      <c r="I384" s="24"/>
      <c r="J384" s="24"/>
      <c r="K384" s="25"/>
    </row>
    <row r="385" s="5" customFormat="1" ht="16.5" spans="1:11">
      <c r="A385" s="22"/>
      <c r="B385" s="23"/>
      <c r="C385" s="24"/>
      <c r="D385" s="24"/>
      <c r="E385" s="24"/>
      <c r="F385" s="24"/>
      <c r="G385" s="24"/>
      <c r="H385" s="24"/>
      <c r="I385" s="24"/>
      <c r="J385" s="24"/>
      <c r="K385" s="25"/>
    </row>
    <row r="386" s="5" customFormat="1" ht="16.5" spans="1:11">
      <c r="A386" s="22"/>
      <c r="B386" s="23"/>
      <c r="C386" s="24"/>
      <c r="D386" s="24"/>
      <c r="E386" s="24"/>
      <c r="F386" s="24"/>
      <c r="G386" s="24"/>
      <c r="H386" s="24"/>
      <c r="I386" s="24"/>
      <c r="J386" s="24"/>
      <c r="K386" s="25"/>
    </row>
    <row r="387" s="5" customFormat="1" ht="16.5" spans="1:11">
      <c r="A387" s="22"/>
      <c r="B387" s="23"/>
      <c r="C387" s="24"/>
      <c r="D387" s="24"/>
      <c r="E387" s="24"/>
      <c r="F387" s="24"/>
      <c r="G387" s="24"/>
      <c r="H387" s="24"/>
      <c r="I387" s="24"/>
      <c r="J387" s="24"/>
      <c r="K387" s="25"/>
    </row>
    <row r="388" s="5" customFormat="1" ht="16.5" spans="1:11">
      <c r="A388" s="22"/>
      <c r="B388" s="23"/>
      <c r="C388" s="24"/>
      <c r="D388" s="24"/>
      <c r="E388" s="24"/>
      <c r="F388" s="24"/>
      <c r="G388" s="24"/>
      <c r="H388" s="24"/>
      <c r="I388" s="24"/>
      <c r="J388" s="24"/>
      <c r="K388" s="25"/>
    </row>
    <row r="389" s="5" customFormat="1" ht="16.5" spans="1:11">
      <c r="A389" s="22"/>
      <c r="B389" s="23"/>
      <c r="C389" s="24"/>
      <c r="D389" s="24"/>
      <c r="E389" s="24"/>
      <c r="F389" s="24"/>
      <c r="G389" s="24"/>
      <c r="H389" s="24"/>
      <c r="I389" s="24"/>
      <c r="J389" s="24"/>
      <c r="K389" s="25"/>
    </row>
    <row r="390" s="5" customFormat="1" ht="16.5" spans="1:11">
      <c r="A390" s="22"/>
      <c r="B390" s="23"/>
      <c r="C390" s="24"/>
      <c r="D390" s="24"/>
      <c r="E390" s="24"/>
      <c r="F390" s="24"/>
      <c r="G390" s="24"/>
      <c r="H390" s="24"/>
      <c r="I390" s="24"/>
      <c r="J390" s="24"/>
      <c r="K390" s="25"/>
    </row>
    <row r="391" s="5" customFormat="1" ht="16.5" spans="1:11">
      <c r="A391" s="22"/>
      <c r="B391" s="23"/>
      <c r="C391" s="24"/>
      <c r="D391" s="24"/>
      <c r="E391" s="24"/>
      <c r="F391" s="24"/>
      <c r="G391" s="24"/>
      <c r="H391" s="24"/>
      <c r="I391" s="24"/>
      <c r="J391" s="24"/>
      <c r="K391" s="25"/>
    </row>
    <row r="392" s="5" customFormat="1" ht="16.5" spans="1:11">
      <c r="A392" s="22"/>
      <c r="B392" s="23"/>
      <c r="C392" s="24"/>
      <c r="D392" s="24"/>
      <c r="E392" s="24"/>
      <c r="F392" s="24"/>
      <c r="G392" s="24"/>
      <c r="H392" s="24"/>
      <c r="I392" s="24"/>
      <c r="J392" s="24"/>
      <c r="K392" s="25"/>
    </row>
    <row r="393" s="5" customFormat="1" ht="16.5" spans="1:11">
      <c r="A393" s="22"/>
      <c r="B393" s="23"/>
      <c r="C393" s="24"/>
      <c r="D393" s="24"/>
      <c r="E393" s="24"/>
      <c r="F393" s="24"/>
      <c r="G393" s="24"/>
      <c r="H393" s="24"/>
      <c r="I393" s="24"/>
      <c r="J393" s="24"/>
      <c r="K393" s="25"/>
    </row>
    <row r="394" s="5" customFormat="1" ht="16.5" spans="1:11">
      <c r="A394" s="22"/>
      <c r="B394" s="23"/>
      <c r="C394" s="24"/>
      <c r="D394" s="24"/>
      <c r="E394" s="24"/>
      <c r="F394" s="24"/>
      <c r="G394" s="24"/>
      <c r="H394" s="24"/>
      <c r="I394" s="24"/>
      <c r="J394" s="24"/>
      <c r="K394" s="25"/>
    </row>
    <row r="395" s="5" customFormat="1" ht="16.5" spans="1:11">
      <c r="A395" s="22"/>
      <c r="B395" s="23"/>
      <c r="C395" s="24"/>
      <c r="D395" s="24"/>
      <c r="E395" s="24"/>
      <c r="F395" s="24"/>
      <c r="G395" s="24"/>
      <c r="H395" s="24"/>
      <c r="I395" s="24"/>
      <c r="J395" s="24"/>
      <c r="K395" s="25"/>
    </row>
    <row r="396" s="5" customFormat="1" ht="16.5" spans="1:11">
      <c r="A396" s="22"/>
      <c r="B396" s="23"/>
      <c r="C396" s="24"/>
      <c r="D396" s="24"/>
      <c r="E396" s="24"/>
      <c r="F396" s="24"/>
      <c r="G396" s="24"/>
      <c r="H396" s="24"/>
      <c r="I396" s="24"/>
      <c r="J396" s="24"/>
      <c r="K396" s="25"/>
    </row>
    <row r="397" s="5" customFormat="1" ht="16.5" spans="1:11">
      <c r="A397" s="22"/>
      <c r="B397" s="23"/>
      <c r="C397" s="24"/>
      <c r="D397" s="24"/>
      <c r="E397" s="24"/>
      <c r="F397" s="24"/>
      <c r="G397" s="24"/>
      <c r="H397" s="24"/>
      <c r="I397" s="24"/>
      <c r="J397" s="24"/>
      <c r="K397" s="25"/>
    </row>
    <row r="398" s="5" customFormat="1" ht="16.5" spans="1:11">
      <c r="A398" s="22"/>
      <c r="B398" s="23"/>
      <c r="C398" s="24"/>
      <c r="D398" s="24"/>
      <c r="E398" s="24"/>
      <c r="F398" s="24"/>
      <c r="G398" s="24"/>
      <c r="H398" s="24"/>
      <c r="I398" s="24"/>
      <c r="J398" s="24"/>
      <c r="K398" s="25"/>
    </row>
    <row r="399" s="5" customFormat="1" ht="16.5" spans="1:11">
      <c r="A399" s="22"/>
      <c r="B399" s="23"/>
      <c r="C399" s="24"/>
      <c r="D399" s="24"/>
      <c r="E399" s="24"/>
      <c r="F399" s="24"/>
      <c r="G399" s="24"/>
      <c r="H399" s="24"/>
      <c r="I399" s="24"/>
      <c r="J399" s="24"/>
      <c r="K399" s="25"/>
    </row>
    <row r="400" s="5" customFormat="1" ht="16.5" spans="1:11">
      <c r="A400" s="22"/>
      <c r="B400" s="23"/>
      <c r="C400" s="24"/>
      <c r="D400" s="24"/>
      <c r="E400" s="24"/>
      <c r="F400" s="24"/>
      <c r="G400" s="24"/>
      <c r="H400" s="24"/>
      <c r="I400" s="24"/>
      <c r="J400" s="24"/>
      <c r="K400" s="25"/>
    </row>
    <row r="401" s="5" customFormat="1" ht="16.5" spans="1:11">
      <c r="A401" s="22"/>
      <c r="B401" s="23"/>
      <c r="C401" s="24"/>
      <c r="D401" s="24"/>
      <c r="E401" s="24"/>
      <c r="F401" s="24"/>
      <c r="G401" s="24"/>
      <c r="H401" s="24"/>
      <c r="I401" s="24"/>
      <c r="J401" s="24"/>
      <c r="K401" s="25"/>
    </row>
    <row r="402" s="5" customFormat="1" ht="16.5" spans="1:11">
      <c r="A402" s="22"/>
      <c r="B402" s="23"/>
      <c r="C402" s="24"/>
      <c r="D402" s="24"/>
      <c r="E402" s="24"/>
      <c r="F402" s="24"/>
      <c r="G402" s="24"/>
      <c r="H402" s="24"/>
      <c r="I402" s="24"/>
      <c r="J402" s="24"/>
      <c r="K402" s="25"/>
    </row>
    <row r="403" s="5" customFormat="1" ht="16.5" spans="1:11">
      <c r="A403" s="22"/>
      <c r="B403" s="23"/>
      <c r="C403" s="24"/>
      <c r="D403" s="24"/>
      <c r="E403" s="24"/>
      <c r="F403" s="24"/>
      <c r="G403" s="24"/>
      <c r="H403" s="24"/>
      <c r="I403" s="24"/>
      <c r="J403" s="24"/>
      <c r="K403" s="25"/>
    </row>
    <row r="404" s="5" customFormat="1" ht="16.5" spans="1:11">
      <c r="A404" s="22"/>
      <c r="B404" s="23"/>
      <c r="C404" s="24"/>
      <c r="D404" s="24"/>
      <c r="E404" s="24"/>
      <c r="F404" s="24"/>
      <c r="G404" s="24"/>
      <c r="H404" s="24"/>
      <c r="I404" s="24"/>
      <c r="J404" s="24"/>
      <c r="K404" s="25"/>
    </row>
    <row r="405" s="5" customFormat="1" ht="16.5" spans="1:11">
      <c r="A405" s="22"/>
      <c r="B405" s="23"/>
      <c r="C405" s="24"/>
      <c r="D405" s="24"/>
      <c r="E405" s="24"/>
      <c r="F405" s="24"/>
      <c r="G405" s="24"/>
      <c r="H405" s="24"/>
      <c r="I405" s="24"/>
      <c r="J405" s="24"/>
      <c r="K405" s="25"/>
    </row>
    <row r="406" s="5" customFormat="1" ht="16.5" spans="1:11">
      <c r="A406" s="22"/>
      <c r="B406" s="23"/>
      <c r="C406" s="24"/>
      <c r="D406" s="24"/>
      <c r="E406" s="24"/>
      <c r="F406" s="24"/>
      <c r="G406" s="24"/>
      <c r="H406" s="24"/>
      <c r="I406" s="24"/>
      <c r="J406" s="24"/>
      <c r="K406" s="25"/>
    </row>
    <row r="407" s="5" customFormat="1" ht="16.5" spans="1:11">
      <c r="A407" s="22"/>
      <c r="B407" s="23"/>
      <c r="C407" s="24"/>
      <c r="D407" s="24"/>
      <c r="E407" s="24"/>
      <c r="F407" s="24"/>
      <c r="G407" s="24"/>
      <c r="H407" s="24"/>
      <c r="I407" s="24"/>
      <c r="J407" s="24"/>
      <c r="K407" s="25"/>
    </row>
    <row r="408" s="5" customFormat="1" ht="16.5" spans="1:11">
      <c r="A408" s="22"/>
      <c r="B408" s="23"/>
      <c r="C408" s="24"/>
      <c r="D408" s="24"/>
      <c r="E408" s="24"/>
      <c r="F408" s="24"/>
      <c r="G408" s="24"/>
      <c r="H408" s="24"/>
      <c r="I408" s="24"/>
      <c r="J408" s="24"/>
      <c r="K408" s="25"/>
    </row>
    <row r="409" s="5" customFormat="1" ht="16.5" spans="1:11">
      <c r="A409" s="22"/>
      <c r="B409" s="23"/>
      <c r="C409" s="24"/>
      <c r="D409" s="24"/>
      <c r="E409" s="24"/>
      <c r="F409" s="24"/>
      <c r="G409" s="24"/>
      <c r="H409" s="24"/>
      <c r="I409" s="24"/>
      <c r="J409" s="24"/>
      <c r="K409" s="25"/>
    </row>
    <row r="410" s="5" customFormat="1" ht="16.5" spans="1:11">
      <c r="A410" s="22"/>
      <c r="B410" s="23"/>
      <c r="C410" s="24"/>
      <c r="D410" s="24"/>
      <c r="E410" s="24"/>
      <c r="F410" s="24"/>
      <c r="G410" s="24"/>
      <c r="H410" s="24"/>
      <c r="I410" s="24"/>
      <c r="J410" s="24"/>
      <c r="K410" s="25"/>
    </row>
    <row r="411" s="5" customFormat="1" ht="16.5" spans="1:11">
      <c r="A411" s="22"/>
      <c r="B411" s="23"/>
      <c r="C411" s="24"/>
      <c r="D411" s="24"/>
      <c r="E411" s="24"/>
      <c r="F411" s="24"/>
      <c r="G411" s="24"/>
      <c r="H411" s="24"/>
      <c r="I411" s="24"/>
      <c r="J411" s="24"/>
      <c r="K411" s="25"/>
    </row>
    <row r="412" s="5" customFormat="1" ht="16.5" spans="1:11">
      <c r="A412" s="22"/>
      <c r="B412" s="23"/>
      <c r="C412" s="24"/>
      <c r="D412" s="24"/>
      <c r="E412" s="24"/>
      <c r="F412" s="24"/>
      <c r="G412" s="24"/>
      <c r="H412" s="24"/>
      <c r="I412" s="24"/>
      <c r="J412" s="24"/>
      <c r="K412" s="25"/>
    </row>
    <row r="413" s="5" customFormat="1" ht="16.5" spans="1:11">
      <c r="A413" s="22"/>
      <c r="B413" s="23"/>
      <c r="C413" s="24"/>
      <c r="D413" s="24"/>
      <c r="E413" s="24"/>
      <c r="F413" s="24"/>
      <c r="G413" s="24"/>
      <c r="H413" s="24"/>
      <c r="I413" s="24"/>
      <c r="J413" s="24"/>
      <c r="K413" s="25"/>
    </row>
    <row r="414" s="5" customFormat="1" ht="16.5" spans="1:11">
      <c r="A414" s="22"/>
      <c r="B414" s="23"/>
      <c r="C414" s="24"/>
      <c r="D414" s="24"/>
      <c r="E414" s="24"/>
      <c r="F414" s="24"/>
      <c r="G414" s="24"/>
      <c r="H414" s="24"/>
      <c r="I414" s="24"/>
      <c r="J414" s="24"/>
      <c r="K414" s="25"/>
    </row>
    <row r="415" s="5" customFormat="1" ht="16.5" spans="1:11">
      <c r="A415" s="22"/>
      <c r="B415" s="23"/>
      <c r="C415" s="24"/>
      <c r="D415" s="24"/>
      <c r="E415" s="24"/>
      <c r="F415" s="24"/>
      <c r="G415" s="24"/>
      <c r="H415" s="24"/>
      <c r="I415" s="24"/>
      <c r="J415" s="24"/>
      <c r="K415" s="25"/>
    </row>
    <row r="416" s="5" customFormat="1" ht="16.5" spans="1:11">
      <c r="A416" s="22"/>
      <c r="B416" s="23"/>
      <c r="C416" s="24"/>
      <c r="D416" s="24"/>
      <c r="E416" s="24"/>
      <c r="F416" s="24"/>
      <c r="G416" s="24"/>
      <c r="H416" s="24"/>
      <c r="I416" s="24"/>
      <c r="J416" s="24"/>
      <c r="K416" s="25"/>
    </row>
    <row r="417" s="5" customFormat="1" ht="16.5" spans="1:11">
      <c r="A417" s="22"/>
      <c r="B417" s="23"/>
      <c r="C417" s="24"/>
      <c r="D417" s="24"/>
      <c r="E417" s="24"/>
      <c r="F417" s="24"/>
      <c r="G417" s="24"/>
      <c r="H417" s="24"/>
      <c r="I417" s="24"/>
      <c r="J417" s="24"/>
      <c r="K417" s="25"/>
    </row>
    <row r="418" s="5" customFormat="1" ht="16.5" spans="1:11">
      <c r="A418" s="22"/>
      <c r="B418" s="23"/>
      <c r="C418" s="24"/>
      <c r="D418" s="24"/>
      <c r="E418" s="24"/>
      <c r="F418" s="24"/>
      <c r="G418" s="24"/>
      <c r="H418" s="24"/>
      <c r="I418" s="24"/>
      <c r="J418" s="24"/>
      <c r="K418" s="25"/>
    </row>
    <row r="419" s="5" customFormat="1" ht="16.5" spans="1:11">
      <c r="A419" s="22"/>
      <c r="B419" s="23"/>
      <c r="C419" s="24"/>
      <c r="D419" s="24"/>
      <c r="E419" s="24"/>
      <c r="F419" s="24"/>
      <c r="G419" s="24"/>
      <c r="H419" s="24"/>
      <c r="I419" s="24"/>
      <c r="J419" s="24"/>
      <c r="K419" s="25"/>
    </row>
    <row r="420" s="5" customFormat="1" ht="16.5" spans="1:11">
      <c r="A420" s="22"/>
      <c r="B420" s="23"/>
      <c r="C420" s="24"/>
      <c r="D420" s="24"/>
      <c r="E420" s="24"/>
      <c r="F420" s="24"/>
      <c r="G420" s="24"/>
      <c r="H420" s="24"/>
      <c r="I420" s="24"/>
      <c r="J420" s="24"/>
      <c r="K420" s="25"/>
    </row>
    <row r="421" s="5" customFormat="1" ht="16.5" spans="1:11">
      <c r="A421" s="22"/>
      <c r="B421" s="23"/>
      <c r="C421" s="24"/>
      <c r="D421" s="24"/>
      <c r="E421" s="24"/>
      <c r="F421" s="24"/>
      <c r="G421" s="24"/>
      <c r="H421" s="24"/>
      <c r="I421" s="24"/>
      <c r="J421" s="24"/>
      <c r="K421" s="25"/>
    </row>
    <row r="422" s="5" customFormat="1" ht="16.5" spans="1:11">
      <c r="A422" s="22"/>
      <c r="B422" s="23"/>
      <c r="C422" s="24"/>
      <c r="D422" s="24"/>
      <c r="E422" s="24"/>
      <c r="F422" s="24"/>
      <c r="G422" s="24"/>
      <c r="H422" s="24"/>
      <c r="I422" s="24"/>
      <c r="J422" s="24"/>
      <c r="K422" s="25"/>
    </row>
    <row r="423" s="5" customFormat="1" ht="16.5" spans="1:11">
      <c r="A423" s="22"/>
      <c r="B423" s="23"/>
      <c r="C423" s="24"/>
      <c r="D423" s="24"/>
      <c r="E423" s="24"/>
      <c r="F423" s="24"/>
      <c r="G423" s="24"/>
      <c r="H423" s="24"/>
      <c r="I423" s="24"/>
      <c r="J423" s="24"/>
      <c r="K423" s="25"/>
    </row>
    <row r="424" s="5" customFormat="1" ht="16.5" spans="1:11">
      <c r="A424" s="22"/>
      <c r="B424" s="23"/>
      <c r="C424" s="24"/>
      <c r="D424" s="24"/>
      <c r="E424" s="24"/>
      <c r="F424" s="24"/>
      <c r="G424" s="24"/>
      <c r="H424" s="24"/>
      <c r="I424" s="24"/>
      <c r="J424" s="24"/>
      <c r="K424" s="25"/>
    </row>
    <row r="425" s="5" customFormat="1" ht="16.5" spans="1:11">
      <c r="A425" s="22"/>
      <c r="B425" s="23"/>
      <c r="C425" s="24"/>
      <c r="D425" s="24"/>
      <c r="E425" s="24"/>
      <c r="F425" s="24"/>
      <c r="G425" s="24"/>
      <c r="H425" s="24"/>
      <c r="I425" s="24"/>
      <c r="J425" s="24"/>
      <c r="K425" s="25"/>
    </row>
    <row r="426" s="5" customFormat="1" ht="16.5" spans="1:11">
      <c r="A426" s="22"/>
      <c r="B426" s="23"/>
      <c r="C426" s="24"/>
      <c r="D426" s="24"/>
      <c r="E426" s="24"/>
      <c r="F426" s="24"/>
      <c r="G426" s="24"/>
      <c r="H426" s="24"/>
      <c r="I426" s="24"/>
      <c r="J426" s="24"/>
      <c r="K426" s="25"/>
    </row>
    <row r="427" s="5" customFormat="1" ht="16.5" spans="1:11">
      <c r="A427" s="22"/>
      <c r="B427" s="23"/>
      <c r="C427" s="24"/>
      <c r="D427" s="24"/>
      <c r="E427" s="24"/>
      <c r="F427" s="24"/>
      <c r="G427" s="24"/>
      <c r="H427" s="24"/>
      <c r="I427" s="24"/>
      <c r="J427" s="24"/>
      <c r="K427" s="25"/>
    </row>
    <row r="428" s="5" customFormat="1" ht="16.5" spans="1:11">
      <c r="A428" s="22"/>
      <c r="B428" s="23"/>
      <c r="C428" s="24"/>
      <c r="D428" s="24"/>
      <c r="E428" s="24"/>
      <c r="F428" s="24"/>
      <c r="G428" s="24"/>
      <c r="H428" s="24"/>
      <c r="I428" s="24"/>
      <c r="J428" s="24"/>
      <c r="K428" s="25"/>
    </row>
    <row r="429" s="5" customFormat="1" ht="16.5" spans="1:11">
      <c r="A429" s="22"/>
      <c r="B429" s="23"/>
      <c r="C429" s="24"/>
      <c r="D429" s="24"/>
      <c r="E429" s="24"/>
      <c r="F429" s="24"/>
      <c r="G429" s="24"/>
      <c r="H429" s="24"/>
      <c r="I429" s="24"/>
      <c r="J429" s="24"/>
      <c r="K429" s="25"/>
    </row>
    <row r="430" s="5" customFormat="1" ht="16.5" spans="1:11">
      <c r="A430" s="22"/>
      <c r="B430" s="23"/>
      <c r="C430" s="24"/>
      <c r="D430" s="24"/>
      <c r="E430" s="24"/>
      <c r="F430" s="24"/>
      <c r="G430" s="24"/>
      <c r="H430" s="24"/>
      <c r="I430" s="24"/>
      <c r="J430" s="24"/>
      <c r="K430" s="25"/>
    </row>
    <row r="431" s="5" customFormat="1" ht="16.5" spans="1:11">
      <c r="A431" s="22"/>
      <c r="B431" s="23"/>
      <c r="C431" s="24"/>
      <c r="D431" s="24"/>
      <c r="E431" s="24"/>
      <c r="F431" s="24"/>
      <c r="G431" s="24"/>
      <c r="H431" s="24"/>
      <c r="I431" s="24"/>
      <c r="J431" s="24"/>
      <c r="K431" s="25"/>
    </row>
    <row r="432" s="5" customFormat="1" ht="16.5" spans="1:11">
      <c r="A432" s="22"/>
      <c r="B432" s="23"/>
      <c r="C432" s="24"/>
      <c r="D432" s="24"/>
      <c r="E432" s="24"/>
      <c r="F432" s="24"/>
      <c r="G432" s="24"/>
      <c r="H432" s="24"/>
      <c r="I432" s="24"/>
      <c r="J432" s="24"/>
      <c r="K432" s="25"/>
    </row>
    <row r="433" s="5" customFormat="1" ht="16.5" spans="1:11">
      <c r="A433" s="22"/>
      <c r="B433" s="23"/>
      <c r="C433" s="24"/>
      <c r="D433" s="24"/>
      <c r="E433" s="24"/>
      <c r="F433" s="24"/>
      <c r="G433" s="24"/>
      <c r="H433" s="24"/>
      <c r="I433" s="24"/>
      <c r="J433" s="24"/>
      <c r="K433" s="25"/>
    </row>
    <row r="434" s="5" customFormat="1" ht="16.5" spans="1:11">
      <c r="A434" s="22"/>
      <c r="B434" s="23"/>
      <c r="C434" s="24"/>
      <c r="D434" s="24"/>
      <c r="E434" s="24"/>
      <c r="F434" s="24"/>
      <c r="G434" s="24"/>
      <c r="H434" s="24"/>
      <c r="I434" s="24"/>
      <c r="J434" s="24"/>
      <c r="K434" s="25"/>
    </row>
    <row r="435" s="5" customFormat="1" ht="16.5" spans="1:11">
      <c r="A435" s="22"/>
      <c r="B435" s="23"/>
      <c r="C435" s="24"/>
      <c r="D435" s="24"/>
      <c r="E435" s="24"/>
      <c r="F435" s="24"/>
      <c r="G435" s="24"/>
      <c r="H435" s="24"/>
      <c r="I435" s="24"/>
      <c r="J435" s="24"/>
      <c r="K435" s="25"/>
    </row>
    <row r="436" s="5" customFormat="1" ht="16.5" spans="1:11">
      <c r="A436" s="22"/>
      <c r="B436" s="23"/>
      <c r="C436" s="24"/>
      <c r="D436" s="24"/>
      <c r="E436" s="24"/>
      <c r="F436" s="24"/>
      <c r="G436" s="24"/>
      <c r="H436" s="24"/>
      <c r="I436" s="24"/>
      <c r="J436" s="24"/>
      <c r="K436" s="25"/>
    </row>
    <row r="437" s="5" customFormat="1" ht="16.5" spans="1:11">
      <c r="A437" s="22"/>
      <c r="B437" s="23"/>
      <c r="C437" s="24"/>
      <c r="D437" s="24"/>
      <c r="E437" s="24"/>
      <c r="F437" s="24"/>
      <c r="G437" s="24"/>
      <c r="H437" s="24"/>
      <c r="I437" s="24"/>
      <c r="J437" s="24"/>
      <c r="K437" s="25"/>
    </row>
    <row r="438" s="5" customFormat="1" ht="16.5" spans="1:11">
      <c r="A438" s="22"/>
      <c r="B438" s="23"/>
      <c r="C438" s="24"/>
      <c r="D438" s="24"/>
      <c r="E438" s="24"/>
      <c r="F438" s="24"/>
      <c r="G438" s="24"/>
      <c r="H438" s="24"/>
      <c r="I438" s="24"/>
      <c r="J438" s="24"/>
      <c r="K438" s="25"/>
    </row>
    <row r="439" s="5" customFormat="1" ht="16.5" spans="1:11">
      <c r="A439" s="22"/>
      <c r="B439" s="23"/>
      <c r="C439" s="24"/>
      <c r="D439" s="24"/>
      <c r="E439" s="24"/>
      <c r="F439" s="24"/>
      <c r="G439" s="24"/>
      <c r="H439" s="24"/>
      <c r="I439" s="24"/>
      <c r="J439" s="24"/>
      <c r="K439" s="25"/>
    </row>
    <row r="440" s="5" customFormat="1" ht="16.5" spans="1:11">
      <c r="A440" s="22"/>
      <c r="B440" s="23"/>
      <c r="C440" s="24"/>
      <c r="D440" s="24"/>
      <c r="E440" s="24"/>
      <c r="F440" s="24"/>
      <c r="G440" s="24"/>
      <c r="H440" s="24"/>
      <c r="I440" s="24"/>
      <c r="J440" s="24"/>
      <c r="K440" s="25"/>
    </row>
    <row r="441" s="5" customFormat="1" ht="16.5" spans="1:11">
      <c r="A441" s="22"/>
      <c r="B441" s="23"/>
      <c r="C441" s="24"/>
      <c r="D441" s="24"/>
      <c r="E441" s="24"/>
      <c r="F441" s="24"/>
      <c r="G441" s="24"/>
      <c r="H441" s="24"/>
      <c r="I441" s="24"/>
      <c r="J441" s="24"/>
      <c r="K441" s="25"/>
    </row>
    <row r="442" s="5" customFormat="1" ht="16.5" spans="1:11">
      <c r="A442" s="22"/>
      <c r="B442" s="23"/>
      <c r="C442" s="24"/>
      <c r="D442" s="24"/>
      <c r="E442" s="24"/>
      <c r="F442" s="24"/>
      <c r="G442" s="24"/>
      <c r="H442" s="24"/>
      <c r="I442" s="24"/>
      <c r="J442" s="24"/>
      <c r="K442" s="25"/>
    </row>
    <row r="443" s="5" customFormat="1" ht="16.5" spans="1:11">
      <c r="A443" s="22"/>
      <c r="B443" s="23"/>
      <c r="C443" s="24"/>
      <c r="D443" s="24"/>
      <c r="E443" s="24"/>
      <c r="F443" s="24"/>
      <c r="G443" s="24"/>
      <c r="H443" s="24"/>
      <c r="I443" s="24"/>
      <c r="J443" s="24"/>
      <c r="K443" s="25"/>
    </row>
    <row r="444" s="5" customFormat="1" ht="16.5" spans="1:11">
      <c r="A444" s="22"/>
      <c r="B444" s="23"/>
      <c r="C444" s="24"/>
      <c r="D444" s="24"/>
      <c r="E444" s="24"/>
      <c r="F444" s="24"/>
      <c r="G444" s="24"/>
      <c r="H444" s="24"/>
      <c r="I444" s="24"/>
      <c r="J444" s="24"/>
      <c r="K444" s="25"/>
    </row>
    <row r="445" s="5" customFormat="1" ht="16.5" spans="1:11">
      <c r="A445" s="22"/>
      <c r="B445" s="23"/>
      <c r="C445" s="24"/>
      <c r="D445" s="24"/>
      <c r="E445" s="24"/>
      <c r="F445" s="24"/>
      <c r="G445" s="24"/>
      <c r="H445" s="24"/>
      <c r="I445" s="24"/>
      <c r="J445" s="24"/>
      <c r="K445" s="25"/>
    </row>
    <row r="446" s="5" customFormat="1" ht="16.5" spans="1:11">
      <c r="A446" s="22"/>
      <c r="B446" s="23"/>
      <c r="C446" s="24"/>
      <c r="D446" s="24"/>
      <c r="E446" s="24"/>
      <c r="F446" s="24"/>
      <c r="G446" s="24"/>
      <c r="H446" s="24"/>
      <c r="I446" s="24"/>
      <c r="J446" s="24"/>
      <c r="K446" s="25"/>
    </row>
    <row r="447" s="5" customFormat="1" ht="16.5" spans="1:11">
      <c r="A447" s="22"/>
      <c r="B447" s="23"/>
      <c r="C447" s="24"/>
      <c r="D447" s="24"/>
      <c r="E447" s="24"/>
      <c r="F447" s="24"/>
      <c r="G447" s="24"/>
      <c r="H447" s="24"/>
      <c r="I447" s="24"/>
      <c r="J447" s="24"/>
      <c r="K447" s="25"/>
    </row>
    <row r="448" s="5" customFormat="1" ht="16.5" spans="1:11">
      <c r="A448" s="22"/>
      <c r="B448" s="23"/>
      <c r="C448" s="24"/>
      <c r="D448" s="24"/>
      <c r="E448" s="24"/>
      <c r="F448" s="24"/>
      <c r="G448" s="24"/>
      <c r="H448" s="24"/>
      <c r="I448" s="24"/>
      <c r="J448" s="24"/>
      <c r="K448" s="25"/>
    </row>
    <row r="449" s="5" customFormat="1" ht="16.5" spans="1:11">
      <c r="A449" s="22"/>
      <c r="B449" s="23"/>
      <c r="C449" s="24"/>
      <c r="D449" s="24"/>
      <c r="E449" s="24"/>
      <c r="F449" s="24"/>
      <c r="G449" s="24"/>
      <c r="H449" s="24"/>
      <c r="I449" s="24"/>
      <c r="J449" s="24"/>
      <c r="K449" s="25"/>
    </row>
    <row r="450" s="5" customFormat="1" ht="16.5" spans="1:11">
      <c r="A450" s="22"/>
      <c r="B450" s="23"/>
      <c r="C450" s="24"/>
      <c r="D450" s="24"/>
      <c r="E450" s="24"/>
      <c r="F450" s="24"/>
      <c r="G450" s="24"/>
      <c r="H450" s="24"/>
      <c r="I450" s="24"/>
      <c r="J450" s="24"/>
      <c r="K450" s="25"/>
    </row>
    <row r="451" s="5" customFormat="1" ht="16.5" spans="1:11">
      <c r="A451" s="22"/>
      <c r="B451" s="23"/>
      <c r="C451" s="24"/>
      <c r="D451" s="24"/>
      <c r="E451" s="24"/>
      <c r="F451" s="24"/>
      <c r="G451" s="24"/>
      <c r="H451" s="24"/>
      <c r="I451" s="24"/>
      <c r="J451" s="24"/>
      <c r="K451" s="25"/>
    </row>
    <row r="452" s="5" customFormat="1" ht="16.5" spans="1:11">
      <c r="A452" s="22"/>
      <c r="B452" s="23"/>
      <c r="C452" s="24"/>
      <c r="D452" s="24"/>
      <c r="E452" s="24"/>
      <c r="F452" s="24"/>
      <c r="G452" s="24"/>
      <c r="H452" s="24"/>
      <c r="I452" s="24"/>
      <c r="J452" s="24"/>
      <c r="K452" s="25"/>
    </row>
    <row r="453" s="5" customFormat="1" ht="16.5" spans="1:11">
      <c r="A453" s="22"/>
      <c r="B453" s="23"/>
      <c r="C453" s="24"/>
      <c r="D453" s="24"/>
      <c r="E453" s="24"/>
      <c r="F453" s="24"/>
      <c r="G453" s="24"/>
      <c r="H453" s="24"/>
      <c r="I453" s="24"/>
      <c r="J453" s="24"/>
      <c r="K453" s="25"/>
    </row>
    <row r="454" s="5" customFormat="1" ht="16.5" spans="1:11">
      <c r="A454" s="22"/>
      <c r="B454" s="23"/>
      <c r="C454" s="24"/>
      <c r="D454" s="24"/>
      <c r="E454" s="24"/>
      <c r="F454" s="24"/>
      <c r="G454" s="24"/>
      <c r="H454" s="24"/>
      <c r="I454" s="24"/>
      <c r="J454" s="24"/>
      <c r="K454" s="25"/>
    </row>
    <row r="455" s="5" customFormat="1" ht="16.5" spans="1:11">
      <c r="A455" s="22"/>
      <c r="B455" s="23"/>
      <c r="C455" s="24"/>
      <c r="D455" s="24"/>
      <c r="E455" s="24"/>
      <c r="F455" s="24"/>
      <c r="G455" s="24"/>
      <c r="H455" s="24"/>
      <c r="I455" s="24"/>
      <c r="J455" s="24"/>
      <c r="K455" s="25"/>
    </row>
    <row r="456" s="5" customFormat="1" ht="16.5" spans="1:11">
      <c r="A456" s="22"/>
      <c r="B456" s="23"/>
      <c r="C456" s="24"/>
      <c r="D456" s="24"/>
      <c r="E456" s="24"/>
      <c r="F456" s="24"/>
      <c r="G456" s="24"/>
      <c r="H456" s="24"/>
      <c r="I456" s="24"/>
      <c r="J456" s="24"/>
      <c r="K456" s="25"/>
    </row>
    <row r="457" s="5" customFormat="1" ht="16.5" spans="1:11">
      <c r="A457" s="22"/>
      <c r="B457" s="23"/>
      <c r="C457" s="24"/>
      <c r="D457" s="24"/>
      <c r="E457" s="24"/>
      <c r="F457" s="24"/>
      <c r="G457" s="24"/>
      <c r="H457" s="24"/>
      <c r="I457" s="24"/>
      <c r="J457" s="24"/>
      <c r="K457" s="25"/>
    </row>
    <row r="458" s="5" customFormat="1" ht="16.5" spans="1:11">
      <c r="A458" s="22"/>
      <c r="B458" s="23"/>
      <c r="C458" s="24"/>
      <c r="D458" s="24"/>
      <c r="E458" s="24"/>
      <c r="F458" s="24"/>
      <c r="G458" s="24"/>
      <c r="H458" s="24"/>
      <c r="I458" s="24"/>
      <c r="J458" s="24"/>
      <c r="K458" s="25"/>
    </row>
    <row r="459" s="5" customFormat="1" ht="16.5" spans="1:11">
      <c r="A459" s="22"/>
      <c r="B459" s="23"/>
      <c r="C459" s="24"/>
      <c r="D459" s="24"/>
      <c r="E459" s="24"/>
      <c r="F459" s="24"/>
      <c r="G459" s="24"/>
      <c r="H459" s="24"/>
      <c r="I459" s="24"/>
      <c r="J459" s="24"/>
      <c r="K459" s="25"/>
    </row>
    <row r="460" s="5" customFormat="1" ht="16.5" spans="1:11">
      <c r="A460" s="22"/>
      <c r="B460" s="23"/>
      <c r="C460" s="24"/>
      <c r="D460" s="24"/>
      <c r="E460" s="24"/>
      <c r="F460" s="24"/>
      <c r="G460" s="24"/>
      <c r="H460" s="24"/>
      <c r="I460" s="24"/>
      <c r="J460" s="24"/>
      <c r="K460" s="25"/>
    </row>
    <row r="461" s="5" customFormat="1" ht="16.5" spans="1:11">
      <c r="A461" s="22"/>
      <c r="B461" s="23"/>
      <c r="C461" s="24"/>
      <c r="D461" s="24"/>
      <c r="E461" s="24"/>
      <c r="F461" s="24"/>
      <c r="G461" s="24"/>
      <c r="H461" s="24"/>
      <c r="I461" s="24"/>
      <c r="J461" s="24"/>
      <c r="K461" s="25"/>
    </row>
    <row r="462" s="5" customFormat="1" ht="16.5" spans="1:11">
      <c r="A462" s="22"/>
      <c r="B462" s="23"/>
      <c r="C462" s="24"/>
      <c r="D462" s="24"/>
      <c r="E462" s="24"/>
      <c r="F462" s="24"/>
      <c r="G462" s="24"/>
      <c r="H462" s="24"/>
      <c r="I462" s="24"/>
      <c r="J462" s="24"/>
      <c r="K462" s="25"/>
    </row>
    <row r="463" s="5" customFormat="1" ht="16.5" spans="1:11">
      <c r="A463" s="22"/>
      <c r="B463" s="23"/>
      <c r="C463" s="24"/>
      <c r="D463" s="24"/>
      <c r="E463" s="24"/>
      <c r="F463" s="24"/>
      <c r="G463" s="24"/>
      <c r="H463" s="24"/>
      <c r="I463" s="24"/>
      <c r="J463" s="24"/>
      <c r="K463" s="25"/>
    </row>
    <row r="464" s="5" customFormat="1" ht="16.5" spans="1:11">
      <c r="A464" s="22"/>
      <c r="B464" s="23"/>
      <c r="C464" s="24"/>
      <c r="D464" s="24"/>
      <c r="E464" s="24"/>
      <c r="F464" s="24"/>
      <c r="G464" s="24"/>
      <c r="H464" s="24"/>
      <c r="I464" s="24"/>
      <c r="J464" s="24"/>
      <c r="K464" s="25"/>
    </row>
    <row r="465" s="5" customFormat="1" ht="16.5" spans="1:11">
      <c r="A465" s="22"/>
      <c r="B465" s="23"/>
      <c r="C465" s="24"/>
      <c r="D465" s="24"/>
      <c r="E465" s="24"/>
      <c r="F465" s="24"/>
      <c r="G465" s="24"/>
      <c r="H465" s="24"/>
      <c r="I465" s="24"/>
      <c r="J465" s="24"/>
      <c r="K465" s="25"/>
    </row>
    <row r="466" s="5" customFormat="1" ht="16.5" spans="1:11">
      <c r="A466" s="22"/>
      <c r="B466" s="23"/>
      <c r="C466" s="24"/>
      <c r="D466" s="24"/>
      <c r="E466" s="24"/>
      <c r="F466" s="24"/>
      <c r="G466" s="24"/>
      <c r="H466" s="24"/>
      <c r="I466" s="24"/>
      <c r="J466" s="24"/>
      <c r="K466" s="25"/>
    </row>
    <row r="467" s="5" customFormat="1" ht="16.5" spans="1:11">
      <c r="A467" s="22"/>
      <c r="B467" s="23"/>
      <c r="C467" s="24"/>
      <c r="D467" s="24"/>
      <c r="E467" s="24"/>
      <c r="F467" s="24"/>
      <c r="G467" s="24"/>
      <c r="H467" s="24"/>
      <c r="I467" s="24"/>
      <c r="J467" s="24"/>
      <c r="K467" s="25"/>
    </row>
    <row r="468" s="5" customFormat="1" ht="16.5" spans="1:11">
      <c r="A468" s="22"/>
      <c r="B468" s="23"/>
      <c r="C468" s="24"/>
      <c r="D468" s="24"/>
      <c r="E468" s="24"/>
      <c r="F468" s="24"/>
      <c r="G468" s="24"/>
      <c r="H468" s="24"/>
      <c r="I468" s="24"/>
      <c r="J468" s="24"/>
      <c r="K468" s="25"/>
    </row>
    <row r="469" s="5" customFormat="1" ht="16.5" spans="1:11">
      <c r="A469" s="22"/>
      <c r="B469" s="23"/>
      <c r="C469" s="24"/>
      <c r="D469" s="24"/>
      <c r="E469" s="24"/>
      <c r="F469" s="24"/>
      <c r="G469" s="24"/>
      <c r="H469" s="24"/>
      <c r="I469" s="24"/>
      <c r="J469" s="24"/>
      <c r="K469" s="25"/>
    </row>
    <row r="470" s="5" customFormat="1" ht="16.5" spans="1:11">
      <c r="A470" s="22"/>
      <c r="B470" s="23"/>
      <c r="C470" s="24"/>
      <c r="D470" s="24"/>
      <c r="E470" s="24"/>
      <c r="F470" s="24"/>
      <c r="G470" s="24"/>
      <c r="H470" s="24"/>
      <c r="I470" s="24"/>
      <c r="J470" s="24"/>
      <c r="K470" s="25"/>
    </row>
    <row r="471" s="5" customFormat="1" ht="16.5" spans="1:11">
      <c r="A471" s="22"/>
      <c r="B471" s="23"/>
      <c r="C471" s="24"/>
      <c r="D471" s="24"/>
      <c r="E471" s="24"/>
      <c r="F471" s="24"/>
      <c r="G471" s="24"/>
      <c r="H471" s="24"/>
      <c r="I471" s="24"/>
      <c r="J471" s="24"/>
      <c r="K471" s="25"/>
    </row>
    <row r="472" s="5" customFormat="1" ht="16.5" spans="1:11">
      <c r="A472" s="22"/>
      <c r="B472" s="23"/>
      <c r="C472" s="24"/>
      <c r="D472" s="24"/>
      <c r="E472" s="24"/>
      <c r="F472" s="24"/>
      <c r="G472" s="24"/>
      <c r="H472" s="24"/>
      <c r="I472" s="24"/>
      <c r="J472" s="24"/>
      <c r="K472" s="25"/>
    </row>
    <row r="473" s="5" customFormat="1" ht="16.5" spans="1:11">
      <c r="A473" s="22"/>
      <c r="B473" s="23"/>
      <c r="C473" s="24"/>
      <c r="D473" s="24"/>
      <c r="E473" s="24"/>
      <c r="F473" s="24"/>
      <c r="G473" s="24"/>
      <c r="H473" s="24"/>
      <c r="I473" s="24"/>
      <c r="J473" s="24"/>
      <c r="K473" s="25"/>
    </row>
    <row r="474" s="5" customFormat="1" ht="16.5" spans="1:11">
      <c r="A474" s="22"/>
      <c r="B474" s="23"/>
      <c r="C474" s="24"/>
      <c r="D474" s="24"/>
      <c r="E474" s="24"/>
      <c r="F474" s="24"/>
      <c r="G474" s="24"/>
      <c r="H474" s="24"/>
      <c r="I474" s="24"/>
      <c r="J474" s="24"/>
      <c r="K474" s="25"/>
    </row>
    <row r="475" s="5" customFormat="1" ht="16.5" spans="1:11">
      <c r="A475" s="22"/>
      <c r="B475" s="23"/>
      <c r="C475" s="24"/>
      <c r="D475" s="24"/>
      <c r="E475" s="24"/>
      <c r="F475" s="24"/>
      <c r="G475" s="24"/>
      <c r="H475" s="24"/>
      <c r="I475" s="24"/>
      <c r="J475" s="24"/>
      <c r="K475" s="25"/>
    </row>
    <row r="476" s="5" customFormat="1" ht="16.5" spans="1:11">
      <c r="A476" s="22"/>
      <c r="B476" s="23"/>
      <c r="C476" s="24"/>
      <c r="D476" s="24"/>
      <c r="E476" s="24"/>
      <c r="F476" s="24"/>
      <c r="G476" s="24"/>
      <c r="H476" s="24"/>
      <c r="I476" s="24"/>
      <c r="J476" s="24"/>
      <c r="K476" s="25"/>
    </row>
    <row r="477" s="5" customFormat="1" ht="16.5" spans="1:11">
      <c r="A477" s="22"/>
      <c r="B477" s="23"/>
      <c r="C477" s="24"/>
      <c r="D477" s="24"/>
      <c r="E477" s="24"/>
      <c r="F477" s="24"/>
      <c r="G477" s="24"/>
      <c r="H477" s="24"/>
      <c r="I477" s="24"/>
      <c r="J477" s="24"/>
      <c r="K477" s="25"/>
    </row>
    <row r="478" s="5" customFormat="1" ht="16.5" spans="1:11">
      <c r="A478" s="22"/>
      <c r="B478" s="23"/>
      <c r="C478" s="24"/>
      <c r="D478" s="24"/>
      <c r="E478" s="24"/>
      <c r="F478" s="24"/>
      <c r="G478" s="24"/>
      <c r="H478" s="24"/>
      <c r="I478" s="24"/>
      <c r="J478" s="24"/>
      <c r="K478" s="25"/>
    </row>
    <row r="479" s="5" customFormat="1" ht="16.5" spans="1:11">
      <c r="A479" s="22"/>
      <c r="B479" s="23"/>
      <c r="C479" s="24"/>
      <c r="D479" s="24"/>
      <c r="E479" s="24"/>
      <c r="F479" s="24"/>
      <c r="G479" s="24"/>
      <c r="H479" s="24"/>
      <c r="I479" s="24"/>
      <c r="J479" s="24"/>
      <c r="K479" s="25"/>
    </row>
    <row r="480" s="5" customFormat="1" ht="16.5" spans="1:11">
      <c r="A480" s="22"/>
      <c r="B480" s="23"/>
      <c r="C480" s="24"/>
      <c r="D480" s="24"/>
      <c r="E480" s="24"/>
      <c r="F480" s="24"/>
      <c r="G480" s="24"/>
      <c r="H480" s="24"/>
      <c r="I480" s="24"/>
      <c r="J480" s="24"/>
      <c r="K480" s="25"/>
    </row>
    <row r="481" s="5" customFormat="1" ht="16.5" spans="1:11">
      <c r="A481" s="22"/>
      <c r="B481" s="23"/>
      <c r="C481" s="24"/>
      <c r="D481" s="24"/>
      <c r="E481" s="24"/>
      <c r="F481" s="24"/>
      <c r="G481" s="24"/>
      <c r="H481" s="24"/>
      <c r="I481" s="24"/>
      <c r="J481" s="24"/>
      <c r="K481" s="25"/>
    </row>
    <row r="482" s="5" customFormat="1" ht="16.5" spans="1:11">
      <c r="A482" s="22"/>
      <c r="B482" s="23"/>
      <c r="C482" s="24"/>
      <c r="D482" s="24"/>
      <c r="E482" s="24"/>
      <c r="F482" s="24"/>
      <c r="G482" s="24"/>
      <c r="H482" s="24"/>
      <c r="I482" s="24"/>
      <c r="J482" s="24"/>
      <c r="K482" s="25"/>
    </row>
    <row r="483" s="5" customFormat="1" ht="16.5" spans="1:11">
      <c r="A483" s="22"/>
      <c r="B483" s="23"/>
      <c r="C483" s="24"/>
      <c r="D483" s="24"/>
      <c r="E483" s="24"/>
      <c r="F483" s="24"/>
      <c r="G483" s="24"/>
      <c r="H483" s="24"/>
      <c r="I483" s="24"/>
      <c r="J483" s="24"/>
      <c r="K483" s="25"/>
    </row>
    <row r="484" s="5" customFormat="1" ht="16.5" spans="1:11">
      <c r="A484" s="22"/>
      <c r="B484" s="23"/>
      <c r="C484" s="24"/>
      <c r="D484" s="24"/>
      <c r="E484" s="24"/>
      <c r="F484" s="24"/>
      <c r="G484" s="24"/>
      <c r="H484" s="24"/>
      <c r="I484" s="24"/>
      <c r="J484" s="24"/>
      <c r="K484" s="25"/>
    </row>
    <row r="485" s="5" customFormat="1" ht="16.5" spans="1:11">
      <c r="A485" s="22"/>
      <c r="B485" s="23"/>
      <c r="C485" s="24"/>
      <c r="D485" s="24"/>
      <c r="E485" s="24"/>
      <c r="F485" s="24"/>
      <c r="G485" s="24"/>
      <c r="H485" s="24"/>
      <c r="I485" s="24"/>
      <c r="J485" s="24"/>
      <c r="K485" s="25"/>
    </row>
    <row r="486" s="5" customFormat="1" ht="16.5" spans="1:11">
      <c r="A486" s="22"/>
      <c r="B486" s="23"/>
      <c r="C486" s="24"/>
      <c r="D486" s="24"/>
      <c r="E486" s="24"/>
      <c r="F486" s="24"/>
      <c r="G486" s="24"/>
      <c r="H486" s="24"/>
      <c r="I486" s="24"/>
      <c r="J486" s="24"/>
      <c r="K486" s="25"/>
    </row>
    <row r="487" s="5" customFormat="1" ht="16.5" spans="1:11">
      <c r="A487" s="22"/>
      <c r="B487" s="23"/>
      <c r="C487" s="24"/>
      <c r="D487" s="24"/>
      <c r="E487" s="24"/>
      <c r="F487" s="24"/>
      <c r="G487" s="24"/>
      <c r="H487" s="24"/>
      <c r="I487" s="24"/>
      <c r="J487" s="24"/>
      <c r="K487" s="25"/>
    </row>
    <row r="488" s="5" customFormat="1" ht="16.5" spans="1:11">
      <c r="A488" s="22"/>
      <c r="B488" s="23"/>
      <c r="C488" s="24"/>
      <c r="D488" s="24"/>
      <c r="E488" s="24"/>
      <c r="F488" s="24"/>
      <c r="G488" s="24"/>
      <c r="H488" s="24"/>
      <c r="I488" s="24"/>
      <c r="J488" s="24"/>
      <c r="K488" s="25"/>
    </row>
    <row r="489" s="5" customFormat="1" ht="16.5" spans="1:11">
      <c r="A489" s="22"/>
      <c r="B489" s="23"/>
      <c r="C489" s="24"/>
      <c r="D489" s="24"/>
      <c r="E489" s="24"/>
      <c r="F489" s="24"/>
      <c r="G489" s="24"/>
      <c r="H489" s="24"/>
      <c r="I489" s="24"/>
      <c r="J489" s="24"/>
      <c r="K489" s="25"/>
    </row>
    <row r="490" s="5" customFormat="1" ht="16.5" spans="1:11">
      <c r="A490" s="22"/>
      <c r="B490" s="23"/>
      <c r="C490" s="24"/>
      <c r="D490" s="24"/>
      <c r="E490" s="24"/>
      <c r="F490" s="24"/>
      <c r="G490" s="24"/>
      <c r="H490" s="24"/>
      <c r="I490" s="24"/>
      <c r="J490" s="24"/>
      <c r="K490" s="25"/>
    </row>
    <row r="491" s="5" customFormat="1" ht="16.5" spans="1:11">
      <c r="A491" s="22"/>
      <c r="B491" s="23"/>
      <c r="C491" s="24"/>
      <c r="D491" s="24"/>
      <c r="E491" s="24"/>
      <c r="F491" s="24"/>
      <c r="G491" s="24"/>
      <c r="H491" s="24"/>
      <c r="I491" s="24"/>
      <c r="J491" s="24"/>
      <c r="K491" s="25"/>
    </row>
    <row r="492" s="5" customFormat="1" ht="16.5" spans="1:11">
      <c r="A492" s="22"/>
      <c r="B492" s="23"/>
      <c r="C492" s="24"/>
      <c r="D492" s="24"/>
      <c r="E492" s="24"/>
      <c r="F492" s="24"/>
      <c r="G492" s="24"/>
      <c r="H492" s="24"/>
      <c r="I492" s="24"/>
      <c r="J492" s="24"/>
      <c r="K492" s="25"/>
    </row>
    <row r="493" s="5" customFormat="1" ht="16.5" spans="1:11">
      <c r="A493" s="22"/>
      <c r="B493" s="23"/>
      <c r="C493" s="24"/>
      <c r="D493" s="24"/>
      <c r="E493" s="24"/>
      <c r="F493" s="24"/>
      <c r="G493" s="24"/>
      <c r="H493" s="24"/>
      <c r="I493" s="24"/>
      <c r="J493" s="24"/>
      <c r="K493" s="25"/>
    </row>
    <row r="494" s="5" customFormat="1" ht="16.5" spans="1:11">
      <c r="A494" s="22"/>
      <c r="B494" s="23"/>
      <c r="C494" s="24"/>
      <c r="D494" s="24"/>
      <c r="E494" s="24"/>
      <c r="F494" s="24"/>
      <c r="G494" s="24"/>
      <c r="H494" s="24"/>
      <c r="I494" s="24"/>
      <c r="J494" s="24"/>
      <c r="K494" s="25"/>
    </row>
    <row r="495" s="5" customFormat="1" ht="16.5" spans="1:11">
      <c r="A495" s="22"/>
      <c r="B495" s="23"/>
      <c r="C495" s="24"/>
      <c r="D495" s="24"/>
      <c r="E495" s="24"/>
      <c r="F495" s="24"/>
      <c r="G495" s="24"/>
      <c r="H495" s="24"/>
      <c r="I495" s="24"/>
      <c r="J495" s="24"/>
      <c r="K495" s="25"/>
    </row>
    <row r="496" s="5" customFormat="1" ht="16.5" spans="1:11">
      <c r="A496" s="22"/>
      <c r="B496" s="23"/>
      <c r="C496" s="24"/>
      <c r="D496" s="24"/>
      <c r="E496" s="24"/>
      <c r="F496" s="24"/>
      <c r="G496" s="24"/>
      <c r="H496" s="24"/>
      <c r="I496" s="24"/>
      <c r="J496" s="24"/>
      <c r="K496" s="25"/>
    </row>
    <row r="497" s="5" customFormat="1" ht="16.5" spans="1:11">
      <c r="A497" s="22"/>
      <c r="B497" s="23"/>
      <c r="C497" s="24"/>
      <c r="D497" s="24"/>
      <c r="E497" s="24"/>
      <c r="F497" s="24"/>
      <c r="G497" s="24"/>
      <c r="H497" s="24"/>
      <c r="I497" s="24"/>
      <c r="J497" s="24"/>
      <c r="K497" s="25"/>
    </row>
    <row r="498" s="5" customFormat="1" ht="16.5" spans="1:11">
      <c r="A498" s="22"/>
      <c r="B498" s="23"/>
      <c r="C498" s="24"/>
      <c r="D498" s="24"/>
      <c r="E498" s="24"/>
      <c r="F498" s="24"/>
      <c r="G498" s="24"/>
      <c r="H498" s="24"/>
      <c r="I498" s="24"/>
      <c r="J498" s="24"/>
      <c r="K498" s="25"/>
    </row>
    <row r="499" s="5" customFormat="1" ht="16.5" spans="1:11">
      <c r="A499" s="22"/>
      <c r="B499" s="23"/>
      <c r="C499" s="24"/>
      <c r="D499" s="24"/>
      <c r="E499" s="24"/>
      <c r="F499" s="24"/>
      <c r="G499" s="24"/>
      <c r="H499" s="24"/>
      <c r="I499" s="24"/>
      <c r="J499" s="24"/>
      <c r="K499" s="25"/>
    </row>
    <row r="500" s="5" customFormat="1" ht="16.5" spans="1:11">
      <c r="A500" s="22"/>
      <c r="B500" s="23"/>
      <c r="C500" s="24"/>
      <c r="D500" s="24"/>
      <c r="E500" s="24"/>
      <c r="F500" s="24"/>
      <c r="G500" s="24"/>
      <c r="H500" s="24"/>
      <c r="I500" s="24"/>
      <c r="J500" s="24"/>
      <c r="K500" s="25"/>
    </row>
    <row r="501" s="5" customFormat="1" ht="16.5" spans="1:11">
      <c r="A501" s="22"/>
      <c r="B501" s="23"/>
      <c r="C501" s="24"/>
      <c r="D501" s="24"/>
      <c r="E501" s="24"/>
      <c r="F501" s="24"/>
      <c r="G501" s="24"/>
      <c r="H501" s="24"/>
      <c r="I501" s="24"/>
      <c r="J501" s="24"/>
      <c r="K501" s="25"/>
    </row>
    <row r="502" s="5" customFormat="1" ht="16.5" spans="1:11">
      <c r="A502" s="22"/>
      <c r="B502" s="23"/>
      <c r="C502" s="24"/>
      <c r="D502" s="24"/>
      <c r="E502" s="24"/>
      <c r="F502" s="24"/>
      <c r="G502" s="24"/>
      <c r="H502" s="24"/>
      <c r="I502" s="24"/>
      <c r="J502" s="24"/>
      <c r="K502" s="25"/>
    </row>
    <row r="503" s="5" customFormat="1" ht="16.5" spans="1:11">
      <c r="A503" s="22"/>
      <c r="B503" s="23"/>
      <c r="C503" s="24"/>
      <c r="D503" s="24"/>
      <c r="E503" s="24"/>
      <c r="F503" s="24"/>
      <c r="G503" s="24"/>
      <c r="H503" s="24"/>
      <c r="I503" s="24"/>
      <c r="J503" s="24"/>
      <c r="K503" s="25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3"/>
  <sheetViews>
    <sheetView showGridLines="0" workbookViewId="0">
      <pane ySplit="3" topLeftCell="A4" activePane="bottomLeft" state="frozen"/>
      <selection/>
      <selection pane="bottomLeft" activeCell="G14" sqref="G14"/>
    </sheetView>
  </sheetViews>
  <sheetFormatPr defaultColWidth="9" defaultRowHeight="13.5"/>
  <cols>
    <col min="1" max="1" width="8" customWidth="1"/>
    <col min="2" max="2" width="12" style="6" customWidth="1"/>
    <col min="3" max="3" width="18" style="7" customWidth="1"/>
    <col min="4" max="4" width="14" style="8" customWidth="1"/>
    <col min="5" max="5" width="20" style="7" customWidth="1"/>
    <col min="6" max="6" width="18" style="8" customWidth="1"/>
    <col min="7" max="8" width="12" style="7" customWidth="1"/>
    <col min="9" max="9" width="16" style="7" customWidth="1"/>
    <col min="10" max="10" width="12" style="8" customWidth="1"/>
    <col min="11" max="11" width="7.375" style="9" customWidth="1"/>
    <col min="12" max="16373" width="10" style="5" customWidth="1"/>
    <col min="16374" max="16374" width="10" style="5"/>
    <col min="16375" max="16378" width="9" style="5"/>
    <col min="16379" max="16379" width="10" style="5"/>
    <col min="16380" max="16384" width="9" style="5"/>
  </cols>
  <sheetData>
    <row r="1" s="5" customFormat="1" ht="28" customHeight="1" spans="1:11">
      <c r="A1" s="10" t="s">
        <v>311</v>
      </c>
      <c r="B1" s="11"/>
      <c r="C1" s="12"/>
      <c r="D1" s="12"/>
      <c r="E1" s="12"/>
      <c r="F1" s="12"/>
      <c r="G1" s="12"/>
      <c r="H1" s="12"/>
      <c r="I1" s="12"/>
      <c r="J1" s="12"/>
      <c r="K1" s="13"/>
    </row>
    <row r="2" s="5" customFormat="1" ht="24" customHeight="1" spans="1:11">
      <c r="A2" s="14" t="s">
        <v>295</v>
      </c>
      <c r="B2" s="15" t="s">
        <v>112</v>
      </c>
      <c r="C2" s="16" t="s">
        <v>100</v>
      </c>
      <c r="D2" s="17">
        <f>IFERROR(VLOOKUP($B$2,数据录入!$C$5:$H$18,6,0),0)</f>
        <v>0</v>
      </c>
      <c r="E2" s="16" t="s">
        <v>296</v>
      </c>
      <c r="F2" s="17">
        <f>SUMIFS(数据录入!$F$19:$F$10000,数据录入!$C$19:$C$10000,$B$2)</f>
        <v>0</v>
      </c>
      <c r="G2" s="16" t="s">
        <v>297</v>
      </c>
      <c r="H2" s="17">
        <f>SUMIFS(数据录入!$G$19:$G$10000,数据录入!$C$19:$C$10000,$B$2)</f>
        <v>0</v>
      </c>
      <c r="I2" s="16" t="s">
        <v>298</v>
      </c>
      <c r="J2" s="17">
        <f>D2+F2-H2</f>
        <v>0</v>
      </c>
      <c r="K2" s="18"/>
    </row>
    <row r="3" s="5" customFormat="1" ht="24" customHeight="1" spans="1:11">
      <c r="A3" s="19" t="s">
        <v>92</v>
      </c>
      <c r="B3" s="19" t="s">
        <v>93</v>
      </c>
      <c r="C3" s="19" t="s">
        <v>94</v>
      </c>
      <c r="D3" s="19" t="s">
        <v>38</v>
      </c>
      <c r="E3" s="19" t="s">
        <v>95</v>
      </c>
      <c r="F3" s="19" t="s">
        <v>96</v>
      </c>
      <c r="G3" s="19" t="s">
        <v>97</v>
      </c>
      <c r="H3" s="19" t="s">
        <v>91</v>
      </c>
      <c r="I3" s="20" t="s">
        <v>39</v>
      </c>
      <c r="J3" s="20" t="s">
        <v>41</v>
      </c>
      <c r="K3" s="21" t="s">
        <v>98</v>
      </c>
    </row>
    <row r="4" s="5" customFormat="1" ht="20" customHeight="1" spans="1:11">
      <c r="A4" s="22" vm="1" t="e" cm="1">
        <f t="array" ref="A4">_xlfn._xlws.FILTER(数据录入!$A$19:$K$10000,数据录入!$C$19:$C$10000=$B$2)</f>
        <v>#VALUE!</v>
      </c>
      <c r="B4" s="23"/>
      <c r="C4" s="24"/>
      <c r="D4" s="24"/>
      <c r="E4" s="24"/>
      <c r="F4" s="24"/>
      <c r="G4" s="24"/>
      <c r="H4" s="24"/>
      <c r="I4" s="24"/>
      <c r="J4" s="24"/>
      <c r="K4" s="25"/>
    </row>
    <row r="5" s="5" customFormat="1" ht="20" customHeight="1" spans="1:11">
      <c r="A5" s="22"/>
      <c r="B5" s="23"/>
      <c r="C5" s="24"/>
      <c r="D5" s="24"/>
      <c r="E5" s="24"/>
      <c r="F5" s="24"/>
      <c r="G5" s="24"/>
      <c r="H5" s="24"/>
      <c r="I5" s="24"/>
      <c r="J5" s="24"/>
      <c r="K5" s="25"/>
    </row>
    <row r="6" s="5" customFormat="1" ht="20" customHeight="1" spans="1:11">
      <c r="A6" s="22"/>
      <c r="B6" s="23"/>
      <c r="C6" s="24"/>
      <c r="D6" s="24"/>
      <c r="E6" s="24"/>
      <c r="F6" s="24"/>
      <c r="G6" s="24"/>
      <c r="H6" s="24"/>
      <c r="I6" s="24"/>
      <c r="J6" s="24"/>
      <c r="K6" s="25"/>
    </row>
    <row r="7" s="5" customFormat="1" ht="20" customHeight="1" spans="1:11">
      <c r="A7" s="22"/>
      <c r="B7" s="23"/>
      <c r="C7" s="24"/>
      <c r="D7" s="24"/>
      <c r="E7" s="24"/>
      <c r="F7" s="24"/>
      <c r="G7" s="24"/>
      <c r="H7" s="24"/>
      <c r="I7" s="24"/>
      <c r="J7" s="24"/>
      <c r="K7" s="25"/>
    </row>
    <row r="8" s="5" customFormat="1" ht="20" customHeight="1" spans="1:11">
      <c r="A8" s="22"/>
      <c r="B8" s="23"/>
      <c r="C8" s="24"/>
      <c r="D8" s="24"/>
      <c r="E8" s="24"/>
      <c r="F8" s="24"/>
      <c r="G8" s="24"/>
      <c r="H8" s="24"/>
      <c r="I8" s="24"/>
      <c r="J8" s="24"/>
      <c r="K8" s="25"/>
    </row>
    <row r="9" s="5" customFormat="1" ht="20" customHeight="1" spans="1:11">
      <c r="A9" s="22"/>
      <c r="B9" s="23"/>
      <c r="C9" s="24"/>
      <c r="D9" s="24"/>
      <c r="E9" s="24"/>
      <c r="F9" s="24"/>
      <c r="G9" s="24"/>
      <c r="H9" s="24"/>
      <c r="I9" s="24"/>
      <c r="J9" s="24"/>
      <c r="K9" s="25"/>
    </row>
    <row r="10" s="5" customFormat="1" ht="20" customHeight="1" spans="1:11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5"/>
    </row>
    <row r="11" s="5" customFormat="1" ht="20" customHeight="1" spans="1:11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5"/>
    </row>
    <row r="12" s="5" customFormat="1" ht="20" customHeight="1" spans="1:11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5"/>
    </row>
    <row r="13" s="5" customFormat="1" ht="20" customHeight="1" spans="1:11">
      <c r="A13" s="22"/>
      <c r="B13" s="23"/>
      <c r="C13" s="24"/>
      <c r="D13" s="24"/>
      <c r="E13" s="24"/>
      <c r="F13" s="24"/>
      <c r="G13" s="24"/>
      <c r="H13" s="24"/>
      <c r="I13" s="24"/>
      <c r="J13" s="24"/>
      <c r="K13" s="25"/>
    </row>
    <row r="14" s="5" customFormat="1" ht="20" customHeight="1" spans="1:1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5"/>
    </row>
    <row r="15" s="5" customFormat="1" ht="20" customHeight="1" spans="1:11">
      <c r="A15" s="22"/>
      <c r="B15" s="23"/>
      <c r="C15" s="24"/>
      <c r="D15" s="24"/>
      <c r="E15" s="24"/>
      <c r="F15" s="24"/>
      <c r="G15" s="24"/>
      <c r="H15" s="24"/>
      <c r="I15" s="24"/>
      <c r="J15" s="24"/>
      <c r="K15" s="25"/>
    </row>
    <row r="16" s="5" customFormat="1" ht="20" customHeight="1" spans="1:11">
      <c r="A16" s="22"/>
      <c r="B16" s="23"/>
      <c r="C16" s="24"/>
      <c r="D16" s="24"/>
      <c r="E16" s="24"/>
      <c r="F16" s="24"/>
      <c r="G16" s="24"/>
      <c r="H16" s="24"/>
      <c r="I16" s="24"/>
      <c r="J16" s="24"/>
      <c r="K16" s="25"/>
    </row>
    <row r="17" s="5" customFormat="1" ht="20" customHeight="1" spans="1:11">
      <c r="A17" s="22"/>
      <c r="B17" s="23"/>
      <c r="C17" s="24"/>
      <c r="D17" s="24"/>
      <c r="E17" s="24"/>
      <c r="F17" s="24"/>
      <c r="G17" s="24"/>
      <c r="H17" s="24"/>
      <c r="I17" s="24"/>
      <c r="J17" s="24"/>
      <c r="K17" s="25"/>
    </row>
    <row r="18" s="5" customFormat="1" ht="20" customHeight="1" spans="1:11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5"/>
    </row>
    <row r="19" s="5" customFormat="1" ht="20" customHeight="1" spans="1:11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25"/>
    </row>
    <row r="20" s="5" customFormat="1" ht="20" customHeight="1" spans="1:11">
      <c r="A20" s="22"/>
      <c r="B20" s="23"/>
      <c r="C20" s="24"/>
      <c r="D20" s="24"/>
      <c r="E20" s="24"/>
      <c r="F20" s="24"/>
      <c r="G20" s="24"/>
      <c r="H20" s="24"/>
      <c r="I20" s="24"/>
      <c r="J20" s="24"/>
      <c r="K20" s="25"/>
    </row>
    <row r="21" s="5" customFormat="1" ht="20" customHeight="1" spans="1:11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5"/>
    </row>
    <row r="22" s="5" customFormat="1" ht="20" customHeight="1" spans="1:11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5"/>
    </row>
    <row r="23" s="5" customFormat="1" ht="20" customHeight="1" spans="1:11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5"/>
    </row>
    <row r="24" s="5" customFormat="1" ht="20" customHeight="1" spans="1:11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5"/>
    </row>
    <row r="25" s="5" customFormat="1" ht="20" customHeight="1" spans="1:11">
      <c r="A25" s="22"/>
      <c r="B25" s="23"/>
      <c r="C25" s="24"/>
      <c r="D25" s="24"/>
      <c r="E25" s="24"/>
      <c r="F25" s="24"/>
      <c r="G25" s="24"/>
      <c r="H25" s="24"/>
      <c r="I25" s="24"/>
      <c r="J25" s="24"/>
      <c r="K25" s="25"/>
    </row>
    <row r="26" s="5" customFormat="1" ht="20" customHeight="1" spans="1:11">
      <c r="A26" s="22"/>
      <c r="B26" s="23"/>
      <c r="C26" s="24"/>
      <c r="D26" s="24"/>
      <c r="E26" s="24"/>
      <c r="F26" s="24"/>
      <c r="G26" s="24"/>
      <c r="H26" s="24"/>
      <c r="I26" s="24"/>
      <c r="J26" s="24"/>
      <c r="K26" s="25"/>
    </row>
    <row r="27" s="5" customFormat="1" ht="20" customHeight="1" spans="1:11">
      <c r="A27" s="22"/>
      <c r="B27" s="23"/>
      <c r="C27" s="24"/>
      <c r="D27" s="24"/>
      <c r="E27" s="24"/>
      <c r="F27" s="24"/>
      <c r="G27" s="24"/>
      <c r="H27" s="24"/>
      <c r="I27" s="24"/>
      <c r="J27" s="24"/>
      <c r="K27" s="25"/>
    </row>
    <row r="28" s="5" customFormat="1" ht="20" customHeight="1" spans="1:1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5"/>
    </row>
    <row r="29" s="5" customFormat="1" ht="20" customHeight="1" spans="1:11">
      <c r="A29" s="22"/>
      <c r="B29" s="23"/>
      <c r="C29" s="24"/>
      <c r="D29" s="24"/>
      <c r="E29" s="24"/>
      <c r="F29" s="24"/>
      <c r="G29" s="24"/>
      <c r="H29" s="24"/>
      <c r="I29" s="24"/>
      <c r="J29" s="24"/>
      <c r="K29" s="25"/>
    </row>
    <row r="30" s="5" customFormat="1" ht="20" customHeight="1" spans="1:11">
      <c r="A30" s="22"/>
      <c r="B30" s="23"/>
      <c r="C30" s="24"/>
      <c r="D30" s="24"/>
      <c r="E30" s="24"/>
      <c r="F30" s="24"/>
      <c r="G30" s="24"/>
      <c r="H30" s="24"/>
      <c r="I30" s="24"/>
      <c r="J30" s="24"/>
      <c r="K30" s="25"/>
    </row>
    <row r="31" s="5" customFormat="1" ht="20" customHeight="1" spans="1:11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5"/>
    </row>
    <row r="32" s="5" customFormat="1" ht="20" customHeight="1" spans="1:11">
      <c r="A32" s="22"/>
      <c r="B32" s="23"/>
      <c r="C32" s="24"/>
      <c r="D32" s="24"/>
      <c r="E32" s="24"/>
      <c r="F32" s="24"/>
      <c r="G32" s="24"/>
      <c r="H32" s="24"/>
      <c r="I32" s="24"/>
      <c r="J32" s="24"/>
      <c r="K32" s="25"/>
    </row>
    <row r="33" s="5" customFormat="1" ht="20" customHeight="1" spans="1:11">
      <c r="A33" s="22"/>
      <c r="B33" s="23"/>
      <c r="C33" s="24"/>
      <c r="D33" s="24"/>
      <c r="E33" s="24"/>
      <c r="F33" s="24"/>
      <c r="G33" s="24"/>
      <c r="H33" s="24"/>
      <c r="I33" s="24"/>
      <c r="J33" s="24"/>
      <c r="K33" s="25"/>
    </row>
    <row r="34" s="5" customFormat="1" ht="20" customHeight="1" spans="1:11">
      <c r="A34" s="22"/>
      <c r="B34" s="23"/>
      <c r="C34" s="24"/>
      <c r="D34" s="24"/>
      <c r="E34" s="24"/>
      <c r="F34" s="24"/>
      <c r="G34" s="24"/>
      <c r="H34" s="24"/>
      <c r="I34" s="24"/>
      <c r="J34" s="24"/>
      <c r="K34" s="25"/>
    </row>
    <row r="35" s="5" customFormat="1" ht="20" customHeight="1" spans="1:11">
      <c r="A35" s="22"/>
      <c r="B35" s="23"/>
      <c r="C35" s="24"/>
      <c r="D35" s="24"/>
      <c r="E35" s="24"/>
      <c r="F35" s="24"/>
      <c r="G35" s="24"/>
      <c r="H35" s="24"/>
      <c r="I35" s="24"/>
      <c r="J35" s="24"/>
      <c r="K35" s="25"/>
    </row>
    <row r="36" s="5" customFormat="1" ht="20" customHeight="1" spans="1:11">
      <c r="A36" s="22"/>
      <c r="B36" s="23"/>
      <c r="C36" s="24"/>
      <c r="D36" s="24"/>
      <c r="E36" s="24"/>
      <c r="F36" s="24"/>
      <c r="G36" s="24"/>
      <c r="H36" s="24"/>
      <c r="I36" s="24"/>
      <c r="J36" s="24"/>
      <c r="K36" s="25"/>
    </row>
    <row r="37" s="5" customFormat="1" ht="20" customHeight="1" spans="1:11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5"/>
    </row>
    <row r="38" s="5" customFormat="1" ht="20" customHeight="1" spans="1:11">
      <c r="A38" s="22"/>
      <c r="B38" s="23"/>
      <c r="C38" s="24"/>
      <c r="D38" s="24"/>
      <c r="E38" s="24"/>
      <c r="F38" s="24"/>
      <c r="G38" s="24"/>
      <c r="H38" s="24"/>
      <c r="I38" s="24"/>
      <c r="J38" s="24"/>
      <c r="K38" s="25"/>
    </row>
    <row r="39" s="5" customFormat="1" ht="20" customHeight="1" spans="1:11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5"/>
    </row>
    <row r="40" s="5" customFormat="1" ht="20" customHeight="1" spans="1:11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5"/>
    </row>
    <row r="41" s="5" customFormat="1" ht="20" customHeight="1" spans="1:11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5"/>
    </row>
    <row r="42" s="5" customFormat="1" ht="20" customHeight="1" spans="1:11">
      <c r="A42" s="22"/>
      <c r="B42" s="23"/>
      <c r="C42" s="24"/>
      <c r="D42" s="24"/>
      <c r="E42" s="24"/>
      <c r="F42" s="24"/>
      <c r="G42" s="24"/>
      <c r="H42" s="24"/>
      <c r="I42" s="24"/>
      <c r="J42" s="24"/>
      <c r="K42" s="25"/>
    </row>
    <row r="43" s="5" customFormat="1" ht="20" customHeight="1" spans="1:11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5"/>
    </row>
    <row r="44" s="5" customFormat="1" ht="20" customHeight="1" spans="1:11">
      <c r="A44" s="22"/>
      <c r="B44" s="23"/>
      <c r="C44" s="24"/>
      <c r="D44" s="24"/>
      <c r="E44" s="24"/>
      <c r="F44" s="24"/>
      <c r="G44" s="24"/>
      <c r="H44" s="24"/>
      <c r="I44" s="24"/>
      <c r="J44" s="24"/>
      <c r="K44" s="25"/>
    </row>
    <row r="45" s="5" customFormat="1" ht="20" customHeight="1" spans="1:11">
      <c r="A45" s="22"/>
      <c r="B45" s="23"/>
      <c r="C45" s="24"/>
      <c r="D45" s="24"/>
      <c r="E45" s="24"/>
      <c r="F45" s="24"/>
      <c r="G45" s="24"/>
      <c r="H45" s="24"/>
      <c r="I45" s="24"/>
      <c r="J45" s="24"/>
      <c r="K45" s="25"/>
    </row>
    <row r="46" s="5" customFormat="1" ht="20" customHeight="1" spans="1:11">
      <c r="A46" s="22"/>
      <c r="B46" s="23"/>
      <c r="C46" s="24"/>
      <c r="D46" s="24"/>
      <c r="E46" s="24"/>
      <c r="F46" s="24"/>
      <c r="G46" s="24"/>
      <c r="H46" s="24"/>
      <c r="I46" s="24"/>
      <c r="J46" s="24"/>
      <c r="K46" s="25"/>
    </row>
    <row r="47" s="5" customFormat="1" ht="20" customHeight="1" spans="1:11">
      <c r="A47" s="22"/>
      <c r="B47" s="23"/>
      <c r="C47" s="24"/>
      <c r="D47" s="24"/>
      <c r="E47" s="24"/>
      <c r="F47" s="24"/>
      <c r="G47" s="24"/>
      <c r="H47" s="24"/>
      <c r="I47" s="24"/>
      <c r="J47" s="24"/>
      <c r="K47" s="25"/>
    </row>
    <row r="48" s="5" customFormat="1" ht="20" customHeight="1" spans="1:11">
      <c r="A48" s="22"/>
      <c r="B48" s="23"/>
      <c r="C48" s="24"/>
      <c r="D48" s="24"/>
      <c r="E48" s="24"/>
      <c r="F48" s="24"/>
      <c r="G48" s="24"/>
      <c r="H48" s="24"/>
      <c r="I48" s="24"/>
      <c r="J48" s="24"/>
      <c r="K48" s="25"/>
    </row>
    <row r="49" s="5" customFormat="1" ht="20" customHeight="1" spans="1:11">
      <c r="A49" s="22"/>
      <c r="B49" s="23"/>
      <c r="C49" s="24"/>
      <c r="D49" s="24"/>
      <c r="E49" s="24"/>
      <c r="F49" s="24"/>
      <c r="G49" s="24"/>
      <c r="H49" s="24"/>
      <c r="I49" s="24"/>
      <c r="J49" s="24"/>
      <c r="K49" s="25"/>
    </row>
    <row r="50" s="5" customFormat="1" ht="20" customHeight="1" spans="1:11">
      <c r="A50" s="22"/>
      <c r="B50" s="23"/>
      <c r="C50" s="24"/>
      <c r="D50" s="24"/>
      <c r="E50" s="24"/>
      <c r="F50" s="24"/>
      <c r="G50" s="24"/>
      <c r="H50" s="24"/>
      <c r="I50" s="24"/>
      <c r="J50" s="24"/>
      <c r="K50" s="25"/>
    </row>
    <row r="51" s="5" customFormat="1" ht="20" customHeight="1" spans="1:11">
      <c r="A51" s="22"/>
      <c r="B51" s="23"/>
      <c r="C51" s="24"/>
      <c r="D51" s="24"/>
      <c r="E51" s="24"/>
      <c r="F51" s="24"/>
      <c r="G51" s="24"/>
      <c r="H51" s="24"/>
      <c r="I51" s="24"/>
      <c r="J51" s="24"/>
      <c r="K51" s="25"/>
    </row>
    <row r="52" s="5" customFormat="1" ht="20" customHeight="1" spans="1:11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5"/>
    </row>
    <row r="53" s="5" customFormat="1" ht="20" customHeight="1" spans="1:11">
      <c r="A53" s="22"/>
      <c r="B53" s="23"/>
      <c r="C53" s="24"/>
      <c r="D53" s="24"/>
      <c r="E53" s="24"/>
      <c r="F53" s="24"/>
      <c r="G53" s="24"/>
      <c r="H53" s="24"/>
      <c r="I53" s="24"/>
      <c r="J53" s="24"/>
      <c r="K53" s="25"/>
    </row>
    <row r="54" s="5" customFormat="1" ht="20" customHeight="1" spans="1:11">
      <c r="A54" s="22"/>
      <c r="B54" s="23"/>
      <c r="C54" s="24"/>
      <c r="D54" s="24"/>
      <c r="E54" s="24"/>
      <c r="F54" s="24"/>
      <c r="G54" s="24"/>
      <c r="H54" s="24"/>
      <c r="I54" s="24"/>
      <c r="J54" s="24"/>
      <c r="K54" s="25"/>
    </row>
    <row r="55" s="5" customFormat="1" ht="20" customHeight="1" spans="1:11">
      <c r="A55" s="22"/>
      <c r="B55" s="23"/>
      <c r="C55" s="24"/>
      <c r="D55" s="24"/>
      <c r="E55" s="24"/>
      <c r="F55" s="24"/>
      <c r="G55" s="24"/>
      <c r="H55" s="24"/>
      <c r="I55" s="24"/>
      <c r="J55" s="24"/>
      <c r="K55" s="25"/>
    </row>
    <row r="56" s="5" customFormat="1" ht="20" customHeight="1" spans="1:11">
      <c r="A56" s="22"/>
      <c r="B56" s="23"/>
      <c r="C56" s="24"/>
      <c r="D56" s="24"/>
      <c r="E56" s="24"/>
      <c r="F56" s="24"/>
      <c r="G56" s="24"/>
      <c r="H56" s="24"/>
      <c r="I56" s="24"/>
      <c r="J56" s="24"/>
      <c r="K56" s="25"/>
    </row>
    <row r="57" s="5" customFormat="1" ht="20" customHeight="1" spans="1:11">
      <c r="A57" s="22"/>
      <c r="B57" s="23"/>
      <c r="C57" s="24"/>
      <c r="D57" s="24"/>
      <c r="E57" s="24"/>
      <c r="F57" s="24"/>
      <c r="G57" s="24"/>
      <c r="H57" s="24"/>
      <c r="I57" s="24"/>
      <c r="J57" s="24"/>
      <c r="K57" s="25"/>
    </row>
    <row r="58" s="5" customFormat="1" ht="20" customHeight="1" spans="1:11">
      <c r="A58" s="22"/>
      <c r="B58" s="23"/>
      <c r="C58" s="24"/>
      <c r="D58" s="24"/>
      <c r="E58" s="24"/>
      <c r="F58" s="24"/>
      <c r="G58" s="24"/>
      <c r="H58" s="24"/>
      <c r="I58" s="24"/>
      <c r="J58" s="24"/>
      <c r="K58" s="25"/>
    </row>
    <row r="59" s="5" customFormat="1" ht="20" customHeight="1" spans="1:11">
      <c r="A59" s="22"/>
      <c r="B59" s="23"/>
      <c r="C59" s="24"/>
      <c r="D59" s="24"/>
      <c r="E59" s="24"/>
      <c r="F59" s="24"/>
      <c r="G59" s="24"/>
      <c r="H59" s="24"/>
      <c r="I59" s="24"/>
      <c r="J59" s="24"/>
      <c r="K59" s="25"/>
    </row>
    <row r="60" s="5" customFormat="1" ht="20" customHeight="1" spans="1:11">
      <c r="A60" s="22"/>
      <c r="B60" s="23"/>
      <c r="C60" s="24"/>
      <c r="D60" s="24"/>
      <c r="E60" s="24"/>
      <c r="F60" s="24"/>
      <c r="G60" s="24"/>
      <c r="H60" s="24"/>
      <c r="I60" s="24"/>
      <c r="J60" s="24"/>
      <c r="K60" s="25"/>
    </row>
    <row r="61" s="5" customFormat="1" ht="20" customHeight="1" spans="1:11">
      <c r="A61" s="22"/>
      <c r="B61" s="23"/>
      <c r="C61" s="24"/>
      <c r="D61" s="24"/>
      <c r="E61" s="24"/>
      <c r="F61" s="24"/>
      <c r="G61" s="24"/>
      <c r="H61" s="24"/>
      <c r="I61" s="24"/>
      <c r="J61" s="24"/>
      <c r="K61" s="25"/>
    </row>
    <row r="62" s="5" customFormat="1" ht="20" customHeight="1" spans="1:11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5"/>
    </row>
    <row r="63" s="5" customFormat="1" ht="20" customHeight="1" spans="1:11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5"/>
    </row>
    <row r="64" s="5" customFormat="1" ht="20" customHeight="1" spans="1:11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5"/>
    </row>
    <row r="65" s="5" customFormat="1" ht="20" customHeight="1" spans="1:11">
      <c r="A65" s="22"/>
      <c r="B65" s="23"/>
      <c r="C65" s="24"/>
      <c r="D65" s="24"/>
      <c r="E65" s="24"/>
      <c r="F65" s="24"/>
      <c r="G65" s="24"/>
      <c r="H65" s="24"/>
      <c r="I65" s="24"/>
      <c r="J65" s="24"/>
      <c r="K65" s="25"/>
    </row>
    <row r="66" s="5" customFormat="1" ht="20" customHeight="1" spans="1:11">
      <c r="A66" s="22"/>
      <c r="B66" s="23"/>
      <c r="C66" s="24"/>
      <c r="D66" s="24"/>
      <c r="E66" s="24"/>
      <c r="F66" s="24"/>
      <c r="G66" s="24"/>
      <c r="H66" s="24"/>
      <c r="I66" s="24"/>
      <c r="J66" s="24"/>
      <c r="K66" s="25"/>
    </row>
    <row r="67" s="5" customFormat="1" ht="20" customHeight="1" spans="1:11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5"/>
    </row>
    <row r="68" s="5" customFormat="1" ht="20" customHeight="1" spans="1:11">
      <c r="A68" s="22"/>
      <c r="B68" s="23"/>
      <c r="C68" s="24"/>
      <c r="D68" s="24"/>
      <c r="E68" s="24"/>
      <c r="F68" s="24"/>
      <c r="G68" s="24"/>
      <c r="H68" s="24"/>
      <c r="I68" s="24"/>
      <c r="J68" s="24"/>
      <c r="K68" s="25"/>
    </row>
    <row r="69" s="5" customFormat="1" ht="20" customHeight="1" spans="1:11">
      <c r="A69" s="22"/>
      <c r="B69" s="23"/>
      <c r="C69" s="24"/>
      <c r="D69" s="24"/>
      <c r="E69" s="24"/>
      <c r="F69" s="24"/>
      <c r="G69" s="24"/>
      <c r="H69" s="24"/>
      <c r="I69" s="24"/>
      <c r="J69" s="24"/>
      <c r="K69" s="25"/>
    </row>
    <row r="70" s="5" customFormat="1" ht="20" customHeight="1" spans="1:11">
      <c r="A70" s="22"/>
      <c r="B70" s="23"/>
      <c r="C70" s="24"/>
      <c r="D70" s="24"/>
      <c r="E70" s="24"/>
      <c r="F70" s="24"/>
      <c r="G70" s="24"/>
      <c r="H70" s="24"/>
      <c r="I70" s="24"/>
      <c r="J70" s="24"/>
      <c r="K70" s="25"/>
    </row>
    <row r="71" s="5" customFormat="1" ht="20" customHeight="1" spans="1:11">
      <c r="A71" s="22"/>
      <c r="B71" s="23"/>
      <c r="C71" s="24"/>
      <c r="D71" s="24"/>
      <c r="E71" s="24"/>
      <c r="F71" s="24"/>
      <c r="G71" s="24"/>
      <c r="H71" s="24"/>
      <c r="I71" s="24"/>
      <c r="J71" s="24"/>
      <c r="K71" s="25"/>
    </row>
    <row r="72" s="5" customFormat="1" ht="20" customHeight="1" spans="1:11">
      <c r="A72" s="22"/>
      <c r="B72" s="23"/>
      <c r="C72" s="24"/>
      <c r="D72" s="24"/>
      <c r="E72" s="24"/>
      <c r="F72" s="24"/>
      <c r="G72" s="24"/>
      <c r="H72" s="24"/>
      <c r="I72" s="24"/>
      <c r="J72" s="24"/>
      <c r="K72" s="25"/>
    </row>
    <row r="73" s="5" customFormat="1" ht="20" customHeight="1" spans="1:11">
      <c r="A73" s="22"/>
      <c r="B73" s="23"/>
      <c r="C73" s="24"/>
      <c r="D73" s="24"/>
      <c r="E73" s="24"/>
      <c r="F73" s="24"/>
      <c r="G73" s="24"/>
      <c r="H73" s="24"/>
      <c r="I73" s="24"/>
      <c r="J73" s="24"/>
      <c r="K73" s="25"/>
    </row>
    <row r="74" s="5" customFormat="1" ht="20" customHeight="1" spans="1:11">
      <c r="A74" s="22"/>
      <c r="B74" s="23"/>
      <c r="C74" s="24"/>
      <c r="D74" s="24"/>
      <c r="E74" s="24"/>
      <c r="F74" s="24"/>
      <c r="G74" s="24"/>
      <c r="H74" s="24"/>
      <c r="I74" s="24"/>
      <c r="J74" s="24"/>
      <c r="K74" s="25"/>
    </row>
    <row r="75" s="5" customFormat="1" ht="20" customHeight="1" spans="1:11">
      <c r="A75" s="22"/>
      <c r="B75" s="23"/>
      <c r="C75" s="24"/>
      <c r="D75" s="24"/>
      <c r="E75" s="24"/>
      <c r="F75" s="24"/>
      <c r="G75" s="24"/>
      <c r="H75" s="24"/>
      <c r="I75" s="24"/>
      <c r="J75" s="24"/>
      <c r="K75" s="25"/>
    </row>
    <row r="76" s="5" customFormat="1" ht="20" customHeight="1" spans="1:11">
      <c r="A76" s="22"/>
      <c r="B76" s="23"/>
      <c r="C76" s="24"/>
      <c r="D76" s="24"/>
      <c r="E76" s="24"/>
      <c r="F76" s="24"/>
      <c r="G76" s="24"/>
      <c r="H76" s="24"/>
      <c r="I76" s="24"/>
      <c r="J76" s="24"/>
      <c r="K76" s="25"/>
    </row>
    <row r="77" s="5" customFormat="1" ht="20" customHeight="1" spans="1:11">
      <c r="A77" s="22"/>
      <c r="B77" s="23"/>
      <c r="C77" s="24"/>
      <c r="D77" s="24"/>
      <c r="E77" s="24"/>
      <c r="F77" s="24"/>
      <c r="G77" s="24"/>
      <c r="H77" s="24"/>
      <c r="I77" s="24"/>
      <c r="J77" s="24"/>
      <c r="K77" s="25"/>
    </row>
    <row r="78" s="5" customFormat="1" ht="20" customHeight="1" spans="1:11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5"/>
    </row>
    <row r="79" s="5" customFormat="1" ht="20" customHeight="1" spans="1:11">
      <c r="A79" s="22"/>
      <c r="B79" s="23"/>
      <c r="C79" s="24"/>
      <c r="D79" s="24"/>
      <c r="E79" s="24"/>
      <c r="F79" s="24"/>
      <c r="G79" s="24"/>
      <c r="H79" s="24"/>
      <c r="I79" s="24"/>
      <c r="J79" s="24"/>
      <c r="K79" s="25"/>
    </row>
    <row r="80" s="5" customFormat="1" ht="20" customHeight="1" spans="1:11">
      <c r="A80" s="22"/>
      <c r="B80" s="23"/>
      <c r="C80" s="24"/>
      <c r="D80" s="24"/>
      <c r="E80" s="24"/>
      <c r="F80" s="24"/>
      <c r="G80" s="24"/>
      <c r="H80" s="24"/>
      <c r="I80" s="24"/>
      <c r="J80" s="24"/>
      <c r="K80" s="25"/>
    </row>
    <row r="81" s="5" customFormat="1" ht="20" customHeight="1" spans="1:11">
      <c r="A81" s="22"/>
      <c r="B81" s="23"/>
      <c r="C81" s="24"/>
      <c r="D81" s="24"/>
      <c r="E81" s="24"/>
      <c r="F81" s="24"/>
      <c r="G81" s="24"/>
      <c r="H81" s="24"/>
      <c r="I81" s="24"/>
      <c r="J81" s="24"/>
      <c r="K81" s="25"/>
    </row>
    <row r="82" s="5" customFormat="1" ht="20" customHeight="1" spans="1:11">
      <c r="A82" s="22"/>
      <c r="B82" s="23"/>
      <c r="C82" s="24"/>
      <c r="D82" s="24"/>
      <c r="E82" s="24"/>
      <c r="F82" s="24"/>
      <c r="G82" s="24"/>
      <c r="H82" s="24"/>
      <c r="I82" s="24"/>
      <c r="J82" s="24"/>
      <c r="K82" s="25"/>
    </row>
    <row r="83" s="5" customFormat="1" ht="20" customHeight="1" spans="1:11">
      <c r="A83" s="22"/>
      <c r="B83" s="23"/>
      <c r="C83" s="24"/>
      <c r="D83" s="24"/>
      <c r="E83" s="24"/>
      <c r="F83" s="24"/>
      <c r="G83" s="24"/>
      <c r="H83" s="24"/>
      <c r="I83" s="24"/>
      <c r="J83" s="24"/>
      <c r="K83" s="25"/>
    </row>
    <row r="84" s="5" customFormat="1" ht="20" customHeight="1" spans="1:11">
      <c r="A84" s="22"/>
      <c r="B84" s="23"/>
      <c r="C84" s="24"/>
      <c r="D84" s="24"/>
      <c r="E84" s="24"/>
      <c r="F84" s="24"/>
      <c r="G84" s="24"/>
      <c r="H84" s="24"/>
      <c r="I84" s="24"/>
      <c r="J84" s="24"/>
      <c r="K84" s="25"/>
    </row>
    <row r="85" s="5" customFormat="1" ht="20" customHeight="1" spans="1:11">
      <c r="A85" s="22"/>
      <c r="B85" s="23"/>
      <c r="C85" s="24"/>
      <c r="D85" s="24"/>
      <c r="E85" s="24"/>
      <c r="F85" s="24"/>
      <c r="G85" s="24"/>
      <c r="H85" s="24"/>
      <c r="I85" s="24"/>
      <c r="J85" s="24"/>
      <c r="K85" s="25"/>
    </row>
    <row r="86" s="5" customFormat="1" ht="20" customHeight="1" spans="1:11">
      <c r="A86" s="22"/>
      <c r="B86" s="23"/>
      <c r="C86" s="24"/>
      <c r="D86" s="24"/>
      <c r="E86" s="24"/>
      <c r="F86" s="24"/>
      <c r="G86" s="24"/>
      <c r="H86" s="24"/>
      <c r="I86" s="24"/>
      <c r="J86" s="24"/>
      <c r="K86" s="25"/>
    </row>
    <row r="87" s="5" customFormat="1" ht="20" customHeight="1" spans="1:11">
      <c r="A87" s="22"/>
      <c r="B87" s="23"/>
      <c r="C87" s="24"/>
      <c r="D87" s="24"/>
      <c r="E87" s="24"/>
      <c r="F87" s="24"/>
      <c r="G87" s="24"/>
      <c r="H87" s="24"/>
      <c r="I87" s="24"/>
      <c r="J87" s="24"/>
      <c r="K87" s="25"/>
    </row>
    <row r="88" s="5" customFormat="1" ht="20" customHeight="1" spans="1:11">
      <c r="A88" s="22"/>
      <c r="B88" s="23"/>
      <c r="C88" s="24"/>
      <c r="D88" s="24"/>
      <c r="E88" s="24"/>
      <c r="F88" s="24"/>
      <c r="G88" s="24"/>
      <c r="H88" s="24"/>
      <c r="I88" s="24"/>
      <c r="J88" s="24"/>
      <c r="K88" s="25"/>
    </row>
    <row r="89" s="5" customFormat="1" ht="20" customHeight="1" spans="1:11">
      <c r="A89" s="22"/>
      <c r="B89" s="23"/>
      <c r="C89" s="24"/>
      <c r="D89" s="24"/>
      <c r="E89" s="24"/>
      <c r="F89" s="24"/>
      <c r="G89" s="24"/>
      <c r="H89" s="24"/>
      <c r="I89" s="24"/>
      <c r="J89" s="24"/>
      <c r="K89" s="25"/>
    </row>
    <row r="90" s="5" customFormat="1" ht="20" customHeight="1" spans="1:11">
      <c r="A90" s="22"/>
      <c r="B90" s="23"/>
      <c r="C90" s="24"/>
      <c r="D90" s="24"/>
      <c r="E90" s="24"/>
      <c r="F90" s="24"/>
      <c r="G90" s="24"/>
      <c r="H90" s="24"/>
      <c r="I90" s="24"/>
      <c r="J90" s="24"/>
      <c r="K90" s="25"/>
    </row>
    <row r="91" s="5" customFormat="1" ht="20" customHeight="1" spans="1:11">
      <c r="A91" s="22"/>
      <c r="B91" s="23"/>
      <c r="C91" s="24"/>
      <c r="D91" s="24"/>
      <c r="E91" s="24"/>
      <c r="F91" s="24"/>
      <c r="G91" s="24"/>
      <c r="H91" s="24"/>
      <c r="I91" s="24"/>
      <c r="J91" s="24"/>
      <c r="K91" s="25"/>
    </row>
    <row r="92" s="5" customFormat="1" ht="20" customHeight="1" spans="1:11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5"/>
    </row>
    <row r="93" s="5" customFormat="1" ht="20" customHeight="1" spans="1:11">
      <c r="A93" s="22"/>
      <c r="B93" s="23"/>
      <c r="C93" s="24"/>
      <c r="D93" s="24"/>
      <c r="E93" s="24"/>
      <c r="F93" s="24"/>
      <c r="G93" s="24"/>
      <c r="H93" s="24"/>
      <c r="I93" s="24"/>
      <c r="J93" s="24"/>
      <c r="K93" s="25"/>
    </row>
    <row r="94" s="5" customFormat="1" ht="20" customHeight="1" spans="1:11">
      <c r="A94" s="22"/>
      <c r="B94" s="23"/>
      <c r="C94" s="24"/>
      <c r="D94" s="24"/>
      <c r="E94" s="24"/>
      <c r="F94" s="24"/>
      <c r="G94" s="24"/>
      <c r="H94" s="24"/>
      <c r="I94" s="24"/>
      <c r="J94" s="24"/>
      <c r="K94" s="25"/>
    </row>
    <row r="95" s="5" customFormat="1" ht="20" customHeight="1" spans="1:11">
      <c r="A95" s="22"/>
      <c r="B95" s="23"/>
      <c r="C95" s="24"/>
      <c r="D95" s="24"/>
      <c r="E95" s="24"/>
      <c r="F95" s="24"/>
      <c r="G95" s="24"/>
      <c r="H95" s="24"/>
      <c r="I95" s="24"/>
      <c r="J95" s="24"/>
      <c r="K95" s="25"/>
    </row>
    <row r="96" s="5" customFormat="1" ht="20" customHeight="1" spans="1:11">
      <c r="A96" s="22"/>
      <c r="B96" s="23"/>
      <c r="C96" s="24"/>
      <c r="D96" s="24"/>
      <c r="E96" s="24"/>
      <c r="F96" s="24"/>
      <c r="G96" s="24"/>
      <c r="H96" s="24"/>
      <c r="I96" s="24"/>
      <c r="J96" s="24"/>
      <c r="K96" s="25"/>
    </row>
    <row r="97" s="5" customFormat="1" ht="20" customHeight="1" spans="1:11">
      <c r="A97" s="22"/>
      <c r="B97" s="23"/>
      <c r="C97" s="24"/>
      <c r="D97" s="24"/>
      <c r="E97" s="24"/>
      <c r="F97" s="24"/>
      <c r="G97" s="24"/>
      <c r="H97" s="24"/>
      <c r="I97" s="24"/>
      <c r="J97" s="24"/>
      <c r="K97" s="25"/>
    </row>
    <row r="98" s="5" customFormat="1" ht="20" customHeight="1" spans="1:11">
      <c r="A98" s="22"/>
      <c r="B98" s="23"/>
      <c r="C98" s="24"/>
      <c r="D98" s="24"/>
      <c r="E98" s="24"/>
      <c r="F98" s="24"/>
      <c r="G98" s="24"/>
      <c r="H98" s="24"/>
      <c r="I98" s="24"/>
      <c r="J98" s="24"/>
      <c r="K98" s="25"/>
    </row>
    <row r="99" s="5" customFormat="1" ht="20" customHeight="1" spans="1:11">
      <c r="A99" s="22"/>
      <c r="B99" s="23"/>
      <c r="C99" s="24"/>
      <c r="D99" s="24"/>
      <c r="E99" s="24"/>
      <c r="F99" s="24"/>
      <c r="G99" s="24"/>
      <c r="H99" s="24"/>
      <c r="I99" s="24"/>
      <c r="J99" s="24"/>
      <c r="K99" s="25"/>
    </row>
    <row r="100" s="5" customFormat="1" ht="20" customHeight="1" spans="1:11">
      <c r="A100" s="22"/>
      <c r="B100" s="23"/>
      <c r="C100" s="24"/>
      <c r="D100" s="24"/>
      <c r="E100" s="24"/>
      <c r="F100" s="24"/>
      <c r="G100" s="24"/>
      <c r="H100" s="24"/>
      <c r="I100" s="24"/>
      <c r="J100" s="24"/>
      <c r="K100" s="25"/>
    </row>
    <row r="101" s="5" customFormat="1" ht="20" customHeight="1" spans="1:11">
      <c r="A101" s="22"/>
      <c r="B101" s="23"/>
      <c r="C101" s="24"/>
      <c r="D101" s="24"/>
      <c r="E101" s="24"/>
      <c r="F101" s="24"/>
      <c r="G101" s="24"/>
      <c r="H101" s="24"/>
      <c r="I101" s="24"/>
      <c r="J101" s="24"/>
      <c r="K101" s="25"/>
    </row>
    <row r="102" s="5" customFormat="1" ht="20" customHeight="1" spans="1:11">
      <c r="A102" s="22"/>
      <c r="B102" s="23"/>
      <c r="C102" s="24"/>
      <c r="D102" s="24"/>
      <c r="E102" s="24"/>
      <c r="F102" s="24"/>
      <c r="G102" s="24"/>
      <c r="H102" s="24"/>
      <c r="I102" s="24"/>
      <c r="J102" s="24"/>
      <c r="K102" s="25"/>
    </row>
    <row r="103" s="5" customFormat="1" ht="20" customHeight="1" spans="1:11">
      <c r="A103" s="22"/>
      <c r="B103" s="23"/>
      <c r="C103" s="24"/>
      <c r="D103" s="24"/>
      <c r="E103" s="24"/>
      <c r="F103" s="24"/>
      <c r="G103" s="24"/>
      <c r="H103" s="24"/>
      <c r="I103" s="24"/>
      <c r="J103" s="24"/>
      <c r="K103" s="25"/>
    </row>
    <row r="104" s="5" customFormat="1" ht="20" customHeight="1" spans="1:11">
      <c r="A104" s="22"/>
      <c r="B104" s="23"/>
      <c r="C104" s="24"/>
      <c r="D104" s="24"/>
      <c r="E104" s="24"/>
      <c r="F104" s="24"/>
      <c r="G104" s="24"/>
      <c r="H104" s="24"/>
      <c r="I104" s="24"/>
      <c r="J104" s="24"/>
      <c r="K104" s="25"/>
    </row>
    <row r="105" s="5" customFormat="1" ht="20" customHeight="1" spans="1:11">
      <c r="A105" s="22"/>
      <c r="B105" s="23"/>
      <c r="C105" s="24"/>
      <c r="D105" s="24"/>
      <c r="E105" s="24"/>
      <c r="F105" s="24"/>
      <c r="G105" s="24"/>
      <c r="H105" s="24"/>
      <c r="I105" s="24"/>
      <c r="J105" s="24"/>
      <c r="K105" s="25"/>
    </row>
    <row r="106" s="5" customFormat="1" ht="20" customHeight="1" spans="1:11">
      <c r="A106" s="22"/>
      <c r="B106" s="23"/>
      <c r="C106" s="24"/>
      <c r="D106" s="24"/>
      <c r="E106" s="24"/>
      <c r="F106" s="24"/>
      <c r="G106" s="24"/>
      <c r="H106" s="24"/>
      <c r="I106" s="24"/>
      <c r="J106" s="24"/>
      <c r="K106" s="25"/>
    </row>
    <row r="107" s="5" customFormat="1" ht="20" customHeight="1" spans="1:11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5"/>
    </row>
    <row r="108" s="5" customFormat="1" ht="20" customHeight="1" spans="1:11">
      <c r="A108" s="22"/>
      <c r="B108" s="23"/>
      <c r="C108" s="24"/>
      <c r="D108" s="24"/>
      <c r="E108" s="24"/>
      <c r="F108" s="24"/>
      <c r="G108" s="24"/>
      <c r="H108" s="24"/>
      <c r="I108" s="24"/>
      <c r="J108" s="24"/>
      <c r="K108" s="25"/>
    </row>
    <row r="109" s="5" customFormat="1" ht="20" customHeight="1" spans="1:11">
      <c r="A109" s="22"/>
      <c r="B109" s="23"/>
      <c r="C109" s="24"/>
      <c r="D109" s="24"/>
      <c r="E109" s="24"/>
      <c r="F109" s="24"/>
      <c r="G109" s="24"/>
      <c r="H109" s="24"/>
      <c r="I109" s="24"/>
      <c r="J109" s="24"/>
      <c r="K109" s="25"/>
    </row>
    <row r="110" s="5" customFormat="1" ht="20" customHeight="1" spans="1:11">
      <c r="A110" s="22"/>
      <c r="B110" s="23"/>
      <c r="C110" s="24"/>
      <c r="D110" s="24"/>
      <c r="E110" s="24"/>
      <c r="F110" s="24"/>
      <c r="G110" s="24"/>
      <c r="H110" s="24"/>
      <c r="I110" s="24"/>
      <c r="J110" s="24"/>
      <c r="K110" s="25"/>
    </row>
    <row r="111" s="5" customFormat="1" ht="20" customHeight="1" spans="1:11">
      <c r="A111" s="22"/>
      <c r="B111" s="23"/>
      <c r="C111" s="24"/>
      <c r="D111" s="24"/>
      <c r="E111" s="24"/>
      <c r="F111" s="24"/>
      <c r="G111" s="24"/>
      <c r="H111" s="24"/>
      <c r="I111" s="24"/>
      <c r="J111" s="24"/>
      <c r="K111" s="25"/>
    </row>
    <row r="112" s="5" customFormat="1" ht="20" customHeight="1" spans="1:11">
      <c r="A112" s="22"/>
      <c r="B112" s="23"/>
      <c r="C112" s="24"/>
      <c r="D112" s="24"/>
      <c r="E112" s="24"/>
      <c r="F112" s="24"/>
      <c r="G112" s="24"/>
      <c r="H112" s="24"/>
      <c r="I112" s="24"/>
      <c r="J112" s="24"/>
      <c r="K112" s="25"/>
    </row>
    <row r="113" s="5" customFormat="1" ht="20" customHeight="1" spans="1:11">
      <c r="A113" s="22"/>
      <c r="B113" s="23"/>
      <c r="C113" s="24"/>
      <c r="D113" s="24"/>
      <c r="E113" s="24"/>
      <c r="F113" s="24"/>
      <c r="G113" s="24"/>
      <c r="H113" s="24"/>
      <c r="I113" s="24"/>
      <c r="J113" s="24"/>
      <c r="K113" s="25"/>
    </row>
    <row r="114" s="5" customFormat="1" ht="20" customHeight="1" spans="1:11">
      <c r="A114" s="22"/>
      <c r="B114" s="23"/>
      <c r="C114" s="24"/>
      <c r="D114" s="24"/>
      <c r="E114" s="24"/>
      <c r="F114" s="24"/>
      <c r="G114" s="24"/>
      <c r="H114" s="24"/>
      <c r="I114" s="24"/>
      <c r="J114" s="24"/>
      <c r="K114" s="25"/>
    </row>
    <row r="115" s="5" customFormat="1" ht="20" customHeight="1" spans="1:11">
      <c r="A115" s="22"/>
      <c r="B115" s="23"/>
      <c r="C115" s="24"/>
      <c r="D115" s="24"/>
      <c r="E115" s="24"/>
      <c r="F115" s="24"/>
      <c r="G115" s="24"/>
      <c r="H115" s="24"/>
      <c r="I115" s="24"/>
      <c r="J115" s="24"/>
      <c r="K115" s="25"/>
    </row>
    <row r="116" s="5" customFormat="1" ht="20" customHeight="1" spans="1:11">
      <c r="A116" s="22"/>
      <c r="B116" s="23"/>
      <c r="C116" s="24"/>
      <c r="D116" s="24"/>
      <c r="E116" s="24"/>
      <c r="F116" s="24"/>
      <c r="G116" s="24"/>
      <c r="H116" s="24"/>
      <c r="I116" s="24"/>
      <c r="J116" s="24"/>
      <c r="K116" s="25"/>
    </row>
    <row r="117" s="5" customFormat="1" ht="20" customHeight="1" spans="1:11">
      <c r="A117" s="22"/>
      <c r="B117" s="23"/>
      <c r="C117" s="24"/>
      <c r="D117" s="24"/>
      <c r="E117" s="24"/>
      <c r="F117" s="24"/>
      <c r="G117" s="24"/>
      <c r="H117" s="24"/>
      <c r="I117" s="24"/>
      <c r="J117" s="24"/>
      <c r="K117" s="25"/>
    </row>
    <row r="118" s="5" customFormat="1" ht="20" customHeight="1" spans="1:11">
      <c r="A118" s="22"/>
      <c r="B118" s="23"/>
      <c r="C118" s="24"/>
      <c r="D118" s="24"/>
      <c r="E118" s="24"/>
      <c r="F118" s="24"/>
      <c r="G118" s="24"/>
      <c r="H118" s="24"/>
      <c r="I118" s="24"/>
      <c r="J118" s="24"/>
      <c r="K118" s="25"/>
    </row>
    <row r="119" s="5" customFormat="1" ht="20" customHeight="1" spans="1:11">
      <c r="A119" s="22"/>
      <c r="B119" s="23"/>
      <c r="C119" s="24"/>
      <c r="D119" s="24"/>
      <c r="E119" s="24"/>
      <c r="F119" s="24"/>
      <c r="G119" s="24"/>
      <c r="H119" s="24"/>
      <c r="I119" s="24"/>
      <c r="J119" s="24"/>
      <c r="K119" s="25"/>
    </row>
    <row r="120" s="5" customFormat="1" ht="20" customHeight="1" spans="1:11">
      <c r="A120" s="22"/>
      <c r="B120" s="23"/>
      <c r="C120" s="24"/>
      <c r="D120" s="24"/>
      <c r="E120" s="24"/>
      <c r="F120" s="24"/>
      <c r="G120" s="24"/>
      <c r="H120" s="24"/>
      <c r="I120" s="24"/>
      <c r="J120" s="24"/>
      <c r="K120" s="25"/>
    </row>
    <row r="121" s="5" customFormat="1" ht="20" customHeight="1" spans="1:11">
      <c r="A121" s="22"/>
      <c r="B121" s="23"/>
      <c r="C121" s="24"/>
      <c r="D121" s="24"/>
      <c r="E121" s="24"/>
      <c r="F121" s="24"/>
      <c r="G121" s="24"/>
      <c r="H121" s="24"/>
      <c r="I121" s="24"/>
      <c r="J121" s="24"/>
      <c r="K121" s="25"/>
    </row>
    <row r="122" s="5" customFormat="1" ht="20" customHeight="1" spans="1:11">
      <c r="A122" s="22"/>
      <c r="B122" s="23"/>
      <c r="C122" s="24"/>
      <c r="D122" s="24"/>
      <c r="E122" s="24"/>
      <c r="F122" s="24"/>
      <c r="G122" s="24"/>
      <c r="H122" s="24"/>
      <c r="I122" s="24"/>
      <c r="J122" s="24"/>
      <c r="K122" s="25"/>
    </row>
    <row r="123" s="5" customFormat="1" ht="20" customHeight="1" spans="1:11">
      <c r="A123" s="22"/>
      <c r="B123" s="23"/>
      <c r="C123" s="24"/>
      <c r="D123" s="24"/>
      <c r="E123" s="24"/>
      <c r="F123" s="24"/>
      <c r="G123" s="24"/>
      <c r="H123" s="24"/>
      <c r="I123" s="24"/>
      <c r="J123" s="24"/>
      <c r="K123" s="25"/>
    </row>
    <row r="124" s="5" customFormat="1" ht="20" customHeight="1" spans="1:11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5"/>
    </row>
    <row r="125" s="5" customFormat="1" ht="20" customHeight="1" spans="1:11">
      <c r="A125" s="22"/>
      <c r="B125" s="23"/>
      <c r="C125" s="24"/>
      <c r="D125" s="24"/>
      <c r="E125" s="24"/>
      <c r="F125" s="24"/>
      <c r="G125" s="24"/>
      <c r="H125" s="24"/>
      <c r="I125" s="24"/>
      <c r="J125" s="24"/>
      <c r="K125" s="25"/>
    </row>
    <row r="126" s="5" customFormat="1" ht="20" customHeight="1" spans="1:11">
      <c r="A126" s="22"/>
      <c r="B126" s="23"/>
      <c r="C126" s="24"/>
      <c r="D126" s="24"/>
      <c r="E126" s="24"/>
      <c r="F126" s="24"/>
      <c r="G126" s="24"/>
      <c r="H126" s="24"/>
      <c r="I126" s="24"/>
      <c r="J126" s="24"/>
      <c r="K126" s="25"/>
    </row>
    <row r="127" s="5" customFormat="1" ht="20" customHeight="1" spans="1:11">
      <c r="A127" s="22"/>
      <c r="B127" s="23"/>
      <c r="C127" s="24"/>
      <c r="D127" s="24"/>
      <c r="E127" s="24"/>
      <c r="F127" s="24"/>
      <c r="G127" s="24"/>
      <c r="H127" s="24"/>
      <c r="I127" s="24"/>
      <c r="J127" s="24"/>
      <c r="K127" s="25"/>
    </row>
    <row r="128" s="5" customFormat="1" ht="20" customHeight="1" spans="1:11">
      <c r="A128" s="22"/>
      <c r="B128" s="23"/>
      <c r="C128" s="24"/>
      <c r="D128" s="24"/>
      <c r="E128" s="24"/>
      <c r="F128" s="24"/>
      <c r="G128" s="24"/>
      <c r="H128" s="24"/>
      <c r="I128" s="24"/>
      <c r="J128" s="24"/>
      <c r="K128" s="25"/>
    </row>
    <row r="129" s="5" customFormat="1" ht="20" customHeight="1" spans="1:11">
      <c r="A129" s="22"/>
      <c r="B129" s="23"/>
      <c r="C129" s="24"/>
      <c r="D129" s="24"/>
      <c r="E129" s="24"/>
      <c r="F129" s="24"/>
      <c r="G129" s="24"/>
      <c r="H129" s="24"/>
      <c r="I129" s="24"/>
      <c r="J129" s="24"/>
      <c r="K129" s="25"/>
    </row>
    <row r="130" s="5" customFormat="1" ht="20" customHeight="1" spans="1:11">
      <c r="A130" s="22"/>
      <c r="B130" s="23"/>
      <c r="C130" s="24"/>
      <c r="D130" s="24"/>
      <c r="E130" s="24"/>
      <c r="F130" s="24"/>
      <c r="G130" s="24"/>
      <c r="H130" s="24"/>
      <c r="I130" s="24"/>
      <c r="J130" s="24"/>
      <c r="K130" s="25"/>
    </row>
    <row r="131" s="5" customFormat="1" ht="20" customHeight="1" spans="1:11">
      <c r="A131" s="22"/>
      <c r="B131" s="23"/>
      <c r="C131" s="24"/>
      <c r="D131" s="24"/>
      <c r="E131" s="24"/>
      <c r="F131" s="24"/>
      <c r="G131" s="24"/>
      <c r="H131" s="24"/>
      <c r="I131" s="24"/>
      <c r="J131" s="24"/>
      <c r="K131" s="25"/>
    </row>
    <row r="132" s="5" customFormat="1" ht="20" customHeight="1" spans="1:11">
      <c r="A132" s="22"/>
      <c r="B132" s="23"/>
      <c r="C132" s="24"/>
      <c r="D132" s="24"/>
      <c r="E132" s="24"/>
      <c r="F132" s="24"/>
      <c r="G132" s="24"/>
      <c r="H132" s="24"/>
      <c r="I132" s="24"/>
      <c r="J132" s="24"/>
      <c r="K132" s="25"/>
    </row>
    <row r="133" s="5" customFormat="1" ht="20" customHeight="1" spans="1:11">
      <c r="A133" s="22"/>
      <c r="B133" s="23"/>
      <c r="C133" s="24"/>
      <c r="D133" s="24"/>
      <c r="E133" s="24"/>
      <c r="F133" s="24"/>
      <c r="G133" s="24"/>
      <c r="H133" s="24"/>
      <c r="I133" s="24"/>
      <c r="J133" s="24"/>
      <c r="K133" s="25"/>
    </row>
    <row r="134" s="5" customFormat="1" ht="20" customHeight="1" spans="1:11">
      <c r="A134" s="22"/>
      <c r="B134" s="23"/>
      <c r="C134" s="24"/>
      <c r="D134" s="24"/>
      <c r="E134" s="24"/>
      <c r="F134" s="24"/>
      <c r="G134" s="24"/>
      <c r="H134" s="24"/>
      <c r="I134" s="24"/>
      <c r="J134" s="24"/>
      <c r="K134" s="25"/>
    </row>
    <row r="135" s="5" customFormat="1" ht="20" customHeight="1" spans="1:11">
      <c r="A135" s="22"/>
      <c r="B135" s="23"/>
      <c r="C135" s="24"/>
      <c r="D135" s="24"/>
      <c r="E135" s="24"/>
      <c r="F135" s="24"/>
      <c r="G135" s="24"/>
      <c r="H135" s="24"/>
      <c r="I135" s="24"/>
      <c r="J135" s="24"/>
      <c r="K135" s="25"/>
    </row>
    <row r="136" s="5" customFormat="1" ht="20" customHeight="1" spans="1:11">
      <c r="A136" s="22"/>
      <c r="B136" s="23"/>
      <c r="C136" s="24"/>
      <c r="D136" s="24"/>
      <c r="E136" s="24"/>
      <c r="F136" s="24"/>
      <c r="G136" s="24"/>
      <c r="H136" s="24"/>
      <c r="I136" s="24"/>
      <c r="J136" s="24"/>
      <c r="K136" s="25"/>
    </row>
    <row r="137" s="5" customFormat="1" ht="20" customHeight="1" spans="1:11">
      <c r="A137" s="22"/>
      <c r="B137" s="23"/>
      <c r="C137" s="24"/>
      <c r="D137" s="24"/>
      <c r="E137" s="24"/>
      <c r="F137" s="24"/>
      <c r="G137" s="24"/>
      <c r="H137" s="24"/>
      <c r="I137" s="24"/>
      <c r="J137" s="24"/>
      <c r="K137" s="25"/>
    </row>
    <row r="138" s="5" customFormat="1" ht="20" customHeight="1" spans="1:11">
      <c r="A138" s="22"/>
      <c r="B138" s="23"/>
      <c r="C138" s="24"/>
      <c r="D138" s="24"/>
      <c r="E138" s="24"/>
      <c r="F138" s="24"/>
      <c r="G138" s="24"/>
      <c r="H138" s="24"/>
      <c r="I138" s="24"/>
      <c r="J138" s="24"/>
      <c r="K138" s="25"/>
    </row>
    <row r="139" s="5" customFormat="1" ht="20" customHeight="1" spans="1:11">
      <c r="A139" s="22"/>
      <c r="B139" s="23"/>
      <c r="C139" s="24"/>
      <c r="D139" s="24"/>
      <c r="E139" s="24"/>
      <c r="F139" s="24"/>
      <c r="G139" s="24"/>
      <c r="H139" s="24"/>
      <c r="I139" s="24"/>
      <c r="J139" s="24"/>
      <c r="K139" s="25"/>
    </row>
    <row r="140" s="5" customFormat="1" ht="20" customHeight="1" spans="1:11">
      <c r="A140" s="22"/>
      <c r="B140" s="23"/>
      <c r="C140" s="24"/>
      <c r="D140" s="24"/>
      <c r="E140" s="24"/>
      <c r="F140" s="24"/>
      <c r="G140" s="24"/>
      <c r="H140" s="24"/>
      <c r="I140" s="24"/>
      <c r="J140" s="24"/>
      <c r="K140" s="25"/>
    </row>
    <row r="141" s="5" customFormat="1" ht="20" customHeight="1" spans="1:11">
      <c r="A141" s="22"/>
      <c r="B141" s="23"/>
      <c r="C141" s="24"/>
      <c r="D141" s="24"/>
      <c r="E141" s="24"/>
      <c r="F141" s="24"/>
      <c r="G141" s="24"/>
      <c r="H141" s="24"/>
      <c r="I141" s="24"/>
      <c r="J141" s="24"/>
      <c r="K141" s="25"/>
    </row>
    <row r="142" s="5" customFormat="1" ht="20" customHeight="1" spans="1:11">
      <c r="A142" s="22"/>
      <c r="B142" s="23"/>
      <c r="C142" s="24"/>
      <c r="D142" s="24"/>
      <c r="E142" s="24"/>
      <c r="F142" s="24"/>
      <c r="G142" s="24"/>
      <c r="H142" s="24"/>
      <c r="I142" s="24"/>
      <c r="J142" s="24"/>
      <c r="K142" s="25"/>
    </row>
    <row r="143" s="5" customFormat="1" ht="20" customHeight="1" spans="1:11">
      <c r="A143" s="22"/>
      <c r="B143" s="23"/>
      <c r="C143" s="24"/>
      <c r="D143" s="24"/>
      <c r="E143" s="24"/>
      <c r="F143" s="24"/>
      <c r="G143" s="24"/>
      <c r="H143" s="24"/>
      <c r="I143" s="24"/>
      <c r="J143" s="24"/>
      <c r="K143" s="25"/>
    </row>
    <row r="144" s="5" customFormat="1" ht="20" customHeight="1" spans="1:11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5"/>
    </row>
    <row r="145" s="5" customFormat="1" ht="20" customHeight="1" spans="1:11">
      <c r="A145" s="22"/>
      <c r="B145" s="23"/>
      <c r="C145" s="24"/>
      <c r="D145" s="24"/>
      <c r="E145" s="24"/>
      <c r="F145" s="24"/>
      <c r="G145" s="24"/>
      <c r="H145" s="24"/>
      <c r="I145" s="24"/>
      <c r="J145" s="24"/>
      <c r="K145" s="25"/>
    </row>
    <row r="146" s="5" customFormat="1" ht="20" customHeight="1" spans="1:11">
      <c r="A146" s="22"/>
      <c r="B146" s="23"/>
      <c r="C146" s="24"/>
      <c r="D146" s="24"/>
      <c r="E146" s="24"/>
      <c r="F146" s="24"/>
      <c r="G146" s="24"/>
      <c r="H146" s="24"/>
      <c r="I146" s="24"/>
      <c r="J146" s="24"/>
      <c r="K146" s="25"/>
    </row>
    <row r="147" s="5" customFormat="1" ht="20" customHeight="1" spans="1:11">
      <c r="A147" s="22"/>
      <c r="B147" s="23"/>
      <c r="C147" s="24"/>
      <c r="D147" s="24"/>
      <c r="E147" s="24"/>
      <c r="F147" s="24"/>
      <c r="G147" s="24"/>
      <c r="H147" s="24"/>
      <c r="I147" s="24"/>
      <c r="J147" s="24"/>
      <c r="K147" s="25"/>
    </row>
    <row r="148" s="5" customFormat="1" ht="20" customHeight="1" spans="1:11">
      <c r="A148" s="22"/>
      <c r="B148" s="23"/>
      <c r="C148" s="24"/>
      <c r="D148" s="24"/>
      <c r="E148" s="24"/>
      <c r="F148" s="24"/>
      <c r="G148" s="24"/>
      <c r="H148" s="24"/>
      <c r="I148" s="24"/>
      <c r="J148" s="24"/>
      <c r="K148" s="25"/>
    </row>
    <row r="149" s="5" customFormat="1" ht="20" customHeight="1" spans="1:11">
      <c r="A149" s="22"/>
      <c r="B149" s="23"/>
      <c r="C149" s="24"/>
      <c r="D149" s="24"/>
      <c r="E149" s="24"/>
      <c r="F149" s="24"/>
      <c r="G149" s="24"/>
      <c r="H149" s="24"/>
      <c r="I149" s="24"/>
      <c r="J149" s="24"/>
      <c r="K149" s="25"/>
    </row>
    <row r="150" s="5" customFormat="1" ht="20" customHeight="1" spans="1:11">
      <c r="A150" s="22"/>
      <c r="B150" s="23"/>
      <c r="C150" s="24"/>
      <c r="D150" s="24"/>
      <c r="E150" s="24"/>
      <c r="F150" s="24"/>
      <c r="G150" s="24"/>
      <c r="H150" s="24"/>
      <c r="I150" s="24"/>
      <c r="J150" s="24"/>
      <c r="K150" s="25"/>
    </row>
    <row r="151" s="5" customFormat="1" ht="20" customHeight="1" spans="1:11">
      <c r="A151" s="22"/>
      <c r="B151" s="23"/>
      <c r="C151" s="24"/>
      <c r="D151" s="24"/>
      <c r="E151" s="24"/>
      <c r="F151" s="24"/>
      <c r="G151" s="24"/>
      <c r="H151" s="24"/>
      <c r="I151" s="24"/>
      <c r="J151" s="24"/>
      <c r="K151" s="25"/>
    </row>
    <row r="152" s="5" customFormat="1" ht="20" customHeight="1" spans="1:11">
      <c r="A152" s="22"/>
      <c r="B152" s="23"/>
      <c r="C152" s="24"/>
      <c r="D152" s="24"/>
      <c r="E152" s="24"/>
      <c r="F152" s="24"/>
      <c r="G152" s="24"/>
      <c r="H152" s="24"/>
      <c r="I152" s="24"/>
      <c r="J152" s="24"/>
      <c r="K152" s="25"/>
    </row>
    <row r="153" s="5" customFormat="1" ht="20" customHeight="1" spans="1:11">
      <c r="A153" s="22"/>
      <c r="B153" s="23"/>
      <c r="C153" s="24"/>
      <c r="D153" s="24"/>
      <c r="E153" s="24"/>
      <c r="F153" s="24"/>
      <c r="G153" s="24"/>
      <c r="H153" s="24"/>
      <c r="I153" s="24"/>
      <c r="J153" s="24"/>
      <c r="K153" s="25"/>
    </row>
    <row r="154" s="5" customFormat="1" ht="20" customHeight="1" spans="1:11">
      <c r="A154" s="22"/>
      <c r="B154" s="23"/>
      <c r="C154" s="24"/>
      <c r="D154" s="24"/>
      <c r="E154" s="24"/>
      <c r="F154" s="24"/>
      <c r="G154" s="24"/>
      <c r="H154" s="24"/>
      <c r="I154" s="24"/>
      <c r="J154" s="24"/>
      <c r="K154" s="25"/>
    </row>
    <row r="155" s="5" customFormat="1" ht="20" customHeight="1" spans="1:11">
      <c r="A155" s="22"/>
      <c r="B155" s="23"/>
      <c r="C155" s="24"/>
      <c r="D155" s="24"/>
      <c r="E155" s="24"/>
      <c r="F155" s="24"/>
      <c r="G155" s="24"/>
      <c r="H155" s="24"/>
      <c r="I155" s="24"/>
      <c r="J155" s="24"/>
      <c r="K155" s="25"/>
    </row>
    <row r="156" s="5" customFormat="1" ht="20" customHeight="1" spans="1:11">
      <c r="A156" s="22"/>
      <c r="B156" s="23"/>
      <c r="C156" s="24"/>
      <c r="D156" s="24"/>
      <c r="E156" s="24"/>
      <c r="F156" s="24"/>
      <c r="G156" s="24"/>
      <c r="H156" s="24"/>
      <c r="I156" s="24"/>
      <c r="J156" s="24"/>
      <c r="K156" s="25"/>
    </row>
    <row r="157" s="5" customFormat="1" ht="20" customHeight="1" spans="1:11">
      <c r="A157" s="22"/>
      <c r="B157" s="23"/>
      <c r="C157" s="24"/>
      <c r="D157" s="24"/>
      <c r="E157" s="24"/>
      <c r="F157" s="24"/>
      <c r="G157" s="24"/>
      <c r="H157" s="24"/>
      <c r="I157" s="24"/>
      <c r="J157" s="24"/>
      <c r="K157" s="25"/>
    </row>
    <row r="158" s="5" customFormat="1" ht="20" customHeight="1" spans="1:11">
      <c r="A158" s="22"/>
      <c r="B158" s="23"/>
      <c r="C158" s="24"/>
      <c r="D158" s="24"/>
      <c r="E158" s="24"/>
      <c r="F158" s="24"/>
      <c r="G158" s="24"/>
      <c r="H158" s="24"/>
      <c r="I158" s="24"/>
      <c r="J158" s="24"/>
      <c r="K158" s="25"/>
    </row>
    <row r="159" s="5" customFormat="1" ht="20" customHeight="1" spans="1:11">
      <c r="A159" s="22"/>
      <c r="B159" s="23"/>
      <c r="C159" s="24"/>
      <c r="D159" s="24"/>
      <c r="E159" s="24"/>
      <c r="F159" s="24"/>
      <c r="G159" s="24"/>
      <c r="H159" s="24"/>
      <c r="I159" s="24"/>
      <c r="J159" s="24"/>
      <c r="K159" s="25"/>
    </row>
    <row r="160" s="5" customFormat="1" ht="20" customHeight="1" spans="1:11">
      <c r="A160" s="22"/>
      <c r="B160" s="23"/>
      <c r="C160" s="24"/>
      <c r="D160" s="24"/>
      <c r="E160" s="24"/>
      <c r="F160" s="24"/>
      <c r="G160" s="24"/>
      <c r="H160" s="24"/>
      <c r="I160" s="24"/>
      <c r="J160" s="24"/>
      <c r="K160" s="25"/>
    </row>
    <row r="161" s="5" customFormat="1" ht="20" customHeight="1" spans="1:11">
      <c r="A161" s="22"/>
      <c r="B161" s="23"/>
      <c r="C161" s="24"/>
      <c r="D161" s="24"/>
      <c r="E161" s="24"/>
      <c r="F161" s="24"/>
      <c r="G161" s="24"/>
      <c r="H161" s="24"/>
      <c r="I161" s="24"/>
      <c r="J161" s="24"/>
      <c r="K161" s="25"/>
    </row>
    <row r="162" s="5" customFormat="1" ht="20" customHeight="1" spans="1:11">
      <c r="A162" s="22"/>
      <c r="B162" s="23"/>
      <c r="C162" s="24"/>
      <c r="D162" s="24"/>
      <c r="E162" s="24"/>
      <c r="F162" s="24"/>
      <c r="G162" s="24"/>
      <c r="H162" s="24"/>
      <c r="I162" s="24"/>
      <c r="J162" s="24"/>
      <c r="K162" s="25"/>
    </row>
    <row r="163" s="5" customFormat="1" ht="20" customHeight="1" spans="1:11">
      <c r="A163" s="22"/>
      <c r="B163" s="23"/>
      <c r="C163" s="24"/>
      <c r="D163" s="24"/>
      <c r="E163" s="24"/>
      <c r="F163" s="24"/>
      <c r="G163" s="24"/>
      <c r="H163" s="24"/>
      <c r="I163" s="24"/>
      <c r="J163" s="24"/>
      <c r="K163" s="25"/>
    </row>
    <row r="164" s="5" customFormat="1" ht="20" customHeight="1" spans="1:11">
      <c r="A164" s="22"/>
      <c r="B164" s="23"/>
      <c r="C164" s="24"/>
      <c r="D164" s="24"/>
      <c r="E164" s="24"/>
      <c r="F164" s="24"/>
      <c r="G164" s="24"/>
      <c r="H164" s="24"/>
      <c r="I164" s="24"/>
      <c r="J164" s="24"/>
      <c r="K164" s="25"/>
    </row>
    <row r="165" s="5" customFormat="1" ht="20" customHeight="1" spans="1:11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5"/>
    </row>
    <row r="166" s="5" customFormat="1" ht="20" customHeight="1" spans="1:11">
      <c r="A166" s="22"/>
      <c r="B166" s="23"/>
      <c r="C166" s="24"/>
      <c r="D166" s="24"/>
      <c r="E166" s="24"/>
      <c r="F166" s="24"/>
      <c r="G166" s="24"/>
      <c r="H166" s="24"/>
      <c r="I166" s="24"/>
      <c r="J166" s="24"/>
      <c r="K166" s="25"/>
    </row>
    <row r="167" s="5" customFormat="1" ht="20" customHeight="1" spans="1:11">
      <c r="A167" s="22"/>
      <c r="B167" s="23"/>
      <c r="C167" s="24"/>
      <c r="D167" s="24"/>
      <c r="E167" s="24"/>
      <c r="F167" s="24"/>
      <c r="G167" s="24"/>
      <c r="H167" s="24"/>
      <c r="I167" s="24"/>
      <c r="J167" s="24"/>
      <c r="K167" s="25"/>
    </row>
    <row r="168" s="5" customFormat="1" ht="20" customHeight="1" spans="1:11">
      <c r="A168" s="22"/>
      <c r="B168" s="23"/>
      <c r="C168" s="24"/>
      <c r="D168" s="24"/>
      <c r="E168" s="24"/>
      <c r="F168" s="24"/>
      <c r="G168" s="24"/>
      <c r="H168" s="24"/>
      <c r="I168" s="24"/>
      <c r="J168" s="24"/>
      <c r="K168" s="25"/>
    </row>
    <row r="169" s="5" customFormat="1" ht="20" customHeight="1" spans="1:11">
      <c r="A169" s="22"/>
      <c r="B169" s="23"/>
      <c r="C169" s="24"/>
      <c r="D169" s="24"/>
      <c r="E169" s="24"/>
      <c r="F169" s="24"/>
      <c r="G169" s="24"/>
      <c r="H169" s="24"/>
      <c r="I169" s="24"/>
      <c r="J169" s="24"/>
      <c r="K169" s="25"/>
    </row>
    <row r="170" s="5" customFormat="1" ht="20" customHeight="1" spans="1:11">
      <c r="A170" s="22"/>
      <c r="B170" s="23"/>
      <c r="C170" s="24"/>
      <c r="D170" s="24"/>
      <c r="E170" s="24"/>
      <c r="F170" s="24"/>
      <c r="G170" s="24"/>
      <c r="H170" s="24"/>
      <c r="I170" s="24"/>
      <c r="J170" s="24"/>
      <c r="K170" s="25"/>
    </row>
    <row r="171" s="5" customFormat="1" ht="20" customHeight="1" spans="1:11">
      <c r="A171" s="22"/>
      <c r="B171" s="23"/>
      <c r="C171" s="24"/>
      <c r="D171" s="24"/>
      <c r="E171" s="24"/>
      <c r="F171" s="24"/>
      <c r="G171" s="24"/>
      <c r="H171" s="24"/>
      <c r="I171" s="24"/>
      <c r="J171" s="24"/>
      <c r="K171" s="25"/>
    </row>
    <row r="172" s="5" customFormat="1" ht="20" customHeight="1" spans="1:11">
      <c r="A172" s="22"/>
      <c r="B172" s="23"/>
      <c r="C172" s="24"/>
      <c r="D172" s="24"/>
      <c r="E172" s="24"/>
      <c r="F172" s="24"/>
      <c r="G172" s="24"/>
      <c r="H172" s="24"/>
      <c r="I172" s="24"/>
      <c r="J172" s="24"/>
      <c r="K172" s="25"/>
    </row>
    <row r="173" s="5" customFormat="1" ht="20" customHeight="1" spans="1:11">
      <c r="A173" s="22"/>
      <c r="B173" s="23"/>
      <c r="C173" s="24"/>
      <c r="D173" s="24"/>
      <c r="E173" s="24"/>
      <c r="F173" s="24"/>
      <c r="G173" s="24"/>
      <c r="H173" s="24"/>
      <c r="I173" s="24"/>
      <c r="J173" s="24"/>
      <c r="K173" s="25"/>
    </row>
    <row r="174" s="5" customFormat="1" ht="20" customHeight="1" spans="1:11">
      <c r="A174" s="22"/>
      <c r="B174" s="23"/>
      <c r="C174" s="24"/>
      <c r="D174" s="24"/>
      <c r="E174" s="24"/>
      <c r="F174" s="24"/>
      <c r="G174" s="24"/>
      <c r="H174" s="24"/>
      <c r="I174" s="24"/>
      <c r="J174" s="24"/>
      <c r="K174" s="25"/>
    </row>
    <row r="175" s="5" customFormat="1" ht="20" customHeight="1" spans="1:11">
      <c r="A175" s="22"/>
      <c r="B175" s="23"/>
      <c r="C175" s="24"/>
      <c r="D175" s="24"/>
      <c r="E175" s="24"/>
      <c r="F175" s="24"/>
      <c r="G175" s="24"/>
      <c r="H175" s="24"/>
      <c r="I175" s="24"/>
      <c r="J175" s="24"/>
      <c r="K175" s="25"/>
    </row>
    <row r="176" s="5" customFormat="1" ht="20" customHeight="1" spans="1:11">
      <c r="A176" s="22"/>
      <c r="B176" s="23"/>
      <c r="C176" s="24"/>
      <c r="D176" s="24"/>
      <c r="E176" s="24"/>
      <c r="F176" s="24"/>
      <c r="G176" s="24"/>
      <c r="H176" s="24"/>
      <c r="I176" s="24"/>
      <c r="J176" s="24"/>
      <c r="K176" s="25"/>
    </row>
    <row r="177" s="5" customFormat="1" ht="20" customHeight="1" spans="1:11">
      <c r="A177" s="22"/>
      <c r="B177" s="23"/>
      <c r="C177" s="24"/>
      <c r="D177" s="24"/>
      <c r="E177" s="24"/>
      <c r="F177" s="24"/>
      <c r="G177" s="24"/>
      <c r="H177" s="24"/>
      <c r="I177" s="24"/>
      <c r="J177" s="24"/>
      <c r="K177" s="25"/>
    </row>
    <row r="178" s="5" customFormat="1" ht="20" customHeight="1" spans="1:11">
      <c r="A178" s="22"/>
      <c r="B178" s="23"/>
      <c r="C178" s="24"/>
      <c r="D178" s="24"/>
      <c r="E178" s="24"/>
      <c r="F178" s="24"/>
      <c r="G178" s="24"/>
      <c r="H178" s="24"/>
      <c r="I178" s="24"/>
      <c r="J178" s="24"/>
      <c r="K178" s="25"/>
    </row>
    <row r="179" s="5" customFormat="1" ht="20" customHeight="1" spans="1:11">
      <c r="A179" s="22"/>
      <c r="B179" s="23"/>
      <c r="C179" s="24"/>
      <c r="D179" s="24"/>
      <c r="E179" s="24"/>
      <c r="F179" s="24"/>
      <c r="G179" s="24"/>
      <c r="H179" s="24"/>
      <c r="I179" s="24"/>
      <c r="J179" s="24"/>
      <c r="K179" s="25"/>
    </row>
    <row r="180" s="5" customFormat="1" ht="20" customHeight="1" spans="1:11">
      <c r="A180" s="22"/>
      <c r="B180" s="23"/>
      <c r="C180" s="24"/>
      <c r="D180" s="24"/>
      <c r="E180" s="24"/>
      <c r="F180" s="24"/>
      <c r="G180" s="24"/>
      <c r="H180" s="24"/>
      <c r="I180" s="24"/>
      <c r="J180" s="24"/>
      <c r="K180" s="25"/>
    </row>
    <row r="181" s="5" customFormat="1" ht="20" customHeight="1" spans="1:11">
      <c r="A181" s="22"/>
      <c r="B181" s="23"/>
      <c r="C181" s="24"/>
      <c r="D181" s="24"/>
      <c r="E181" s="24"/>
      <c r="F181" s="24"/>
      <c r="G181" s="24"/>
      <c r="H181" s="24"/>
      <c r="I181" s="24"/>
      <c r="J181" s="24"/>
      <c r="K181" s="25"/>
    </row>
    <row r="182" s="5" customFormat="1" ht="20" customHeight="1" spans="1:11">
      <c r="A182" s="22"/>
      <c r="B182" s="23"/>
      <c r="C182" s="24"/>
      <c r="D182" s="24"/>
      <c r="E182" s="24"/>
      <c r="F182" s="24"/>
      <c r="G182" s="24"/>
      <c r="H182" s="24"/>
      <c r="I182" s="24"/>
      <c r="J182" s="24"/>
      <c r="K182" s="25"/>
    </row>
    <row r="183" s="5" customFormat="1" ht="20" customHeight="1" spans="1:11">
      <c r="A183" s="22"/>
      <c r="B183" s="23"/>
      <c r="C183" s="24"/>
      <c r="D183" s="24"/>
      <c r="E183" s="24"/>
      <c r="F183" s="24"/>
      <c r="G183" s="24"/>
      <c r="H183" s="24"/>
      <c r="I183" s="24"/>
      <c r="J183" s="24"/>
      <c r="K183" s="25"/>
    </row>
    <row r="184" s="5" customFormat="1" ht="20" customHeight="1" spans="1:11">
      <c r="A184" s="22"/>
      <c r="B184" s="23"/>
      <c r="C184" s="24"/>
      <c r="D184" s="24"/>
      <c r="E184" s="24"/>
      <c r="F184" s="24"/>
      <c r="G184" s="24"/>
      <c r="H184" s="24"/>
      <c r="I184" s="24"/>
      <c r="J184" s="24"/>
      <c r="K184" s="25"/>
    </row>
    <row r="185" s="5" customFormat="1" ht="20" customHeight="1" spans="1:11">
      <c r="A185" s="22"/>
      <c r="B185" s="23"/>
      <c r="C185" s="24"/>
      <c r="D185" s="24"/>
      <c r="E185" s="24"/>
      <c r="F185" s="24"/>
      <c r="G185" s="24"/>
      <c r="H185" s="24"/>
      <c r="I185" s="24"/>
      <c r="J185" s="24"/>
      <c r="K185" s="25"/>
    </row>
    <row r="186" s="5" customFormat="1" ht="20" customHeight="1" spans="1:11">
      <c r="A186" s="22"/>
      <c r="B186" s="23"/>
      <c r="C186" s="24"/>
      <c r="D186" s="24"/>
      <c r="E186" s="24"/>
      <c r="F186" s="24"/>
      <c r="G186" s="24"/>
      <c r="H186" s="24"/>
      <c r="I186" s="24"/>
      <c r="J186" s="24"/>
      <c r="K186" s="25"/>
    </row>
    <row r="187" s="5" customFormat="1" ht="20" customHeight="1" spans="1:11">
      <c r="A187" s="22"/>
      <c r="B187" s="23"/>
      <c r="C187" s="24"/>
      <c r="D187" s="24"/>
      <c r="E187" s="24"/>
      <c r="F187" s="24"/>
      <c r="G187" s="24"/>
      <c r="H187" s="24"/>
      <c r="I187" s="24"/>
      <c r="J187" s="24"/>
      <c r="K187" s="25"/>
    </row>
    <row r="188" s="5" customFormat="1" ht="20" customHeight="1" spans="1:11">
      <c r="A188" s="22"/>
      <c r="B188" s="23"/>
      <c r="C188" s="24"/>
      <c r="D188" s="24"/>
      <c r="E188" s="24"/>
      <c r="F188" s="24"/>
      <c r="G188" s="24"/>
      <c r="H188" s="24"/>
      <c r="I188" s="24"/>
      <c r="J188" s="24"/>
      <c r="K188" s="25"/>
    </row>
    <row r="189" s="5" customFormat="1" ht="20" customHeight="1" spans="1:11">
      <c r="A189" s="22"/>
      <c r="B189" s="23"/>
      <c r="C189" s="24"/>
      <c r="D189" s="24"/>
      <c r="E189" s="24"/>
      <c r="F189" s="24"/>
      <c r="G189" s="24"/>
      <c r="H189" s="24"/>
      <c r="I189" s="24"/>
      <c r="J189" s="24"/>
      <c r="K189" s="25"/>
    </row>
    <row r="190" s="5" customFormat="1" ht="20" customHeight="1" spans="1:11">
      <c r="A190" s="22"/>
      <c r="B190" s="23"/>
      <c r="C190" s="24"/>
      <c r="D190" s="24"/>
      <c r="E190" s="24"/>
      <c r="F190" s="24"/>
      <c r="G190" s="24"/>
      <c r="H190" s="24"/>
      <c r="I190" s="24"/>
      <c r="J190" s="24"/>
      <c r="K190" s="25"/>
    </row>
    <row r="191" s="5" customFormat="1" ht="20" customHeight="1" spans="1:11">
      <c r="A191" s="22"/>
      <c r="B191" s="23"/>
      <c r="C191" s="24"/>
      <c r="D191" s="24"/>
      <c r="E191" s="24"/>
      <c r="F191" s="24"/>
      <c r="G191" s="24"/>
      <c r="H191" s="24"/>
      <c r="I191" s="24"/>
      <c r="J191" s="24"/>
      <c r="K191" s="25"/>
    </row>
    <row r="192" s="5" customFormat="1" ht="20" customHeight="1" spans="1:11">
      <c r="A192" s="22"/>
      <c r="B192" s="23"/>
      <c r="C192" s="24"/>
      <c r="D192" s="24"/>
      <c r="E192" s="24"/>
      <c r="F192" s="24"/>
      <c r="G192" s="24"/>
      <c r="H192" s="24"/>
      <c r="I192" s="24"/>
      <c r="J192" s="24"/>
      <c r="K192" s="25"/>
    </row>
    <row r="193" s="5" customFormat="1" ht="20" customHeight="1" spans="1:11">
      <c r="A193" s="22"/>
      <c r="B193" s="23"/>
      <c r="C193" s="24"/>
      <c r="D193" s="24"/>
      <c r="E193" s="24"/>
      <c r="F193" s="24"/>
      <c r="G193" s="24"/>
      <c r="H193" s="24"/>
      <c r="I193" s="24"/>
      <c r="J193" s="24"/>
      <c r="K193" s="25"/>
    </row>
    <row r="194" s="5" customFormat="1" ht="20" customHeight="1" spans="1:11">
      <c r="A194" s="22"/>
      <c r="B194" s="23"/>
      <c r="C194" s="24"/>
      <c r="D194" s="24"/>
      <c r="E194" s="24"/>
      <c r="F194" s="24"/>
      <c r="G194" s="24"/>
      <c r="H194" s="24"/>
      <c r="I194" s="24"/>
      <c r="J194" s="24"/>
      <c r="K194" s="25"/>
    </row>
    <row r="195" s="5" customFormat="1" ht="20" customHeight="1" spans="1:11">
      <c r="A195" s="22"/>
      <c r="B195" s="23"/>
      <c r="C195" s="24"/>
      <c r="D195" s="24"/>
      <c r="E195" s="24"/>
      <c r="F195" s="24"/>
      <c r="G195" s="24"/>
      <c r="H195" s="24"/>
      <c r="I195" s="24"/>
      <c r="J195" s="24"/>
      <c r="K195" s="25"/>
    </row>
    <row r="196" s="5" customFormat="1" ht="20" customHeight="1" spans="1:11">
      <c r="A196" s="22"/>
      <c r="B196" s="23"/>
      <c r="C196" s="24"/>
      <c r="D196" s="24"/>
      <c r="E196" s="24"/>
      <c r="F196" s="24"/>
      <c r="G196" s="24"/>
      <c r="H196" s="24"/>
      <c r="I196" s="24"/>
      <c r="J196" s="24"/>
      <c r="K196" s="25"/>
    </row>
    <row r="197" s="5" customFormat="1" ht="20" customHeight="1" spans="1:11">
      <c r="A197" s="22"/>
      <c r="B197" s="23"/>
      <c r="C197" s="24"/>
      <c r="D197" s="24"/>
      <c r="E197" s="24"/>
      <c r="F197" s="24"/>
      <c r="G197" s="24"/>
      <c r="H197" s="24"/>
      <c r="I197" s="24"/>
      <c r="J197" s="24"/>
      <c r="K197" s="25"/>
    </row>
    <row r="198" s="5" customFormat="1" ht="20" customHeight="1" spans="1:11">
      <c r="A198" s="22"/>
      <c r="B198" s="23"/>
      <c r="C198" s="24"/>
      <c r="D198" s="24"/>
      <c r="E198" s="24"/>
      <c r="F198" s="24"/>
      <c r="G198" s="24"/>
      <c r="H198" s="24"/>
      <c r="I198" s="24"/>
      <c r="J198" s="24"/>
      <c r="K198" s="25"/>
    </row>
    <row r="199" s="5" customFormat="1" ht="20" customHeight="1" spans="1:11">
      <c r="A199" s="22"/>
      <c r="B199" s="23"/>
      <c r="C199" s="24"/>
      <c r="D199" s="24"/>
      <c r="E199" s="24"/>
      <c r="F199" s="24"/>
      <c r="G199" s="24"/>
      <c r="H199" s="24"/>
      <c r="I199" s="24"/>
      <c r="J199" s="24"/>
      <c r="K199" s="25"/>
    </row>
    <row r="200" s="5" customFormat="1" ht="20" customHeight="1" spans="1:11">
      <c r="A200" s="22"/>
      <c r="B200" s="23"/>
      <c r="C200" s="24"/>
      <c r="D200" s="24"/>
      <c r="E200" s="24"/>
      <c r="F200" s="24"/>
      <c r="G200" s="24"/>
      <c r="H200" s="24"/>
      <c r="I200" s="24"/>
      <c r="J200" s="24"/>
      <c r="K200" s="25"/>
    </row>
    <row r="201" s="5" customFormat="1" ht="20" customHeight="1" spans="1:11">
      <c r="A201" s="22"/>
      <c r="B201" s="23"/>
      <c r="C201" s="24"/>
      <c r="D201" s="24"/>
      <c r="E201" s="24"/>
      <c r="F201" s="24"/>
      <c r="G201" s="24"/>
      <c r="H201" s="24"/>
      <c r="I201" s="24"/>
      <c r="J201" s="24"/>
      <c r="K201" s="25"/>
    </row>
    <row r="202" s="5" customFormat="1" ht="20" customHeight="1" spans="1:11">
      <c r="A202" s="22"/>
      <c r="B202" s="23"/>
      <c r="C202" s="24"/>
      <c r="D202" s="24"/>
      <c r="E202" s="24"/>
      <c r="F202" s="24"/>
      <c r="G202" s="24"/>
      <c r="H202" s="24"/>
      <c r="I202" s="24"/>
      <c r="J202" s="24"/>
      <c r="K202" s="25"/>
    </row>
    <row r="203" s="5" customFormat="1" ht="20" customHeight="1" spans="1:11">
      <c r="A203" s="22"/>
      <c r="B203" s="23"/>
      <c r="C203" s="24"/>
      <c r="D203" s="24"/>
      <c r="E203" s="24"/>
      <c r="F203" s="24"/>
      <c r="G203" s="24"/>
      <c r="H203" s="24"/>
      <c r="I203" s="24"/>
      <c r="J203" s="24"/>
      <c r="K203" s="25"/>
    </row>
    <row r="204" s="5" customFormat="1" ht="20" customHeight="1" spans="1:11">
      <c r="A204" s="22"/>
      <c r="B204" s="23"/>
      <c r="C204" s="24"/>
      <c r="D204" s="24"/>
      <c r="E204" s="24"/>
      <c r="F204" s="24"/>
      <c r="G204" s="24"/>
      <c r="H204" s="24"/>
      <c r="I204" s="24"/>
      <c r="J204" s="24"/>
      <c r="K204" s="25"/>
    </row>
    <row r="205" s="5" customFormat="1" ht="20" customHeight="1" spans="1:11">
      <c r="A205" s="22"/>
      <c r="B205" s="23"/>
      <c r="C205" s="24"/>
      <c r="D205" s="24"/>
      <c r="E205" s="24"/>
      <c r="F205" s="24"/>
      <c r="G205" s="24"/>
      <c r="H205" s="24"/>
      <c r="I205" s="24"/>
      <c r="J205" s="24"/>
      <c r="K205" s="25"/>
    </row>
    <row r="206" s="5" customFormat="1" ht="20" customHeight="1" spans="1:11">
      <c r="A206" s="22"/>
      <c r="B206" s="23"/>
      <c r="C206" s="24"/>
      <c r="D206" s="24"/>
      <c r="E206" s="24"/>
      <c r="F206" s="24"/>
      <c r="G206" s="24"/>
      <c r="H206" s="24"/>
      <c r="I206" s="24"/>
      <c r="J206" s="24"/>
      <c r="K206" s="25"/>
    </row>
    <row r="207" s="5" customFormat="1" ht="20" customHeight="1" spans="1:11">
      <c r="A207" s="22"/>
      <c r="B207" s="23"/>
      <c r="C207" s="24"/>
      <c r="D207" s="24"/>
      <c r="E207" s="24"/>
      <c r="F207" s="24"/>
      <c r="G207" s="24"/>
      <c r="H207" s="24"/>
      <c r="I207" s="24"/>
      <c r="J207" s="24"/>
      <c r="K207" s="25"/>
    </row>
    <row r="208" s="5" customFormat="1" ht="20" customHeight="1" spans="1:11">
      <c r="A208" s="22"/>
      <c r="B208" s="23"/>
      <c r="C208" s="24"/>
      <c r="D208" s="24"/>
      <c r="E208" s="24"/>
      <c r="F208" s="24"/>
      <c r="G208" s="24"/>
      <c r="H208" s="24"/>
      <c r="I208" s="24"/>
      <c r="J208" s="24"/>
      <c r="K208" s="25"/>
    </row>
    <row r="209" s="5" customFormat="1" ht="20" customHeight="1" spans="1:11">
      <c r="A209" s="22"/>
      <c r="B209" s="23"/>
      <c r="C209" s="24"/>
      <c r="D209" s="24"/>
      <c r="E209" s="24"/>
      <c r="F209" s="24"/>
      <c r="G209" s="24"/>
      <c r="H209" s="24"/>
      <c r="I209" s="24"/>
      <c r="J209" s="24"/>
      <c r="K209" s="25"/>
    </row>
    <row r="210" s="5" customFormat="1" ht="20" customHeight="1" spans="1:11">
      <c r="A210" s="22"/>
      <c r="B210" s="23"/>
      <c r="C210" s="24"/>
      <c r="D210" s="24"/>
      <c r="E210" s="24"/>
      <c r="F210" s="24"/>
      <c r="G210" s="24"/>
      <c r="H210" s="24"/>
      <c r="I210" s="24"/>
      <c r="J210" s="24"/>
      <c r="K210" s="25"/>
    </row>
    <row r="211" s="5" customFormat="1" ht="20" customHeight="1" spans="1:11">
      <c r="A211" s="22"/>
      <c r="B211" s="23"/>
      <c r="C211" s="24"/>
      <c r="D211" s="24"/>
      <c r="E211" s="24"/>
      <c r="F211" s="24"/>
      <c r="G211" s="24"/>
      <c r="H211" s="24"/>
      <c r="I211" s="24"/>
      <c r="J211" s="24"/>
      <c r="K211" s="25"/>
    </row>
    <row r="212" s="5" customFormat="1" ht="20" customHeight="1" spans="1:11">
      <c r="A212" s="22"/>
      <c r="B212" s="23"/>
      <c r="C212" s="24"/>
      <c r="D212" s="24"/>
      <c r="E212" s="24"/>
      <c r="F212" s="24"/>
      <c r="G212" s="24"/>
      <c r="H212" s="24"/>
      <c r="I212" s="24"/>
      <c r="J212" s="24"/>
      <c r="K212" s="25"/>
    </row>
    <row r="213" s="5" customFormat="1" ht="20" customHeight="1" spans="1:11">
      <c r="A213" s="22"/>
      <c r="B213" s="23"/>
      <c r="C213" s="24"/>
      <c r="D213" s="24"/>
      <c r="E213" s="24"/>
      <c r="F213" s="24"/>
      <c r="G213" s="24"/>
      <c r="H213" s="24"/>
      <c r="I213" s="24"/>
      <c r="J213" s="24"/>
      <c r="K213" s="25"/>
    </row>
    <row r="214" s="5" customFormat="1" ht="20" customHeight="1" spans="1:11">
      <c r="A214" s="22"/>
      <c r="B214" s="23"/>
      <c r="C214" s="24"/>
      <c r="D214" s="24"/>
      <c r="E214" s="24"/>
      <c r="F214" s="24"/>
      <c r="G214" s="24"/>
      <c r="H214" s="24"/>
      <c r="I214" s="24"/>
      <c r="J214" s="24"/>
      <c r="K214" s="25"/>
    </row>
    <row r="215" s="5" customFormat="1" ht="20" customHeight="1" spans="1:11">
      <c r="A215" s="22"/>
      <c r="B215" s="23"/>
      <c r="C215" s="24"/>
      <c r="D215" s="24"/>
      <c r="E215" s="24"/>
      <c r="F215" s="24"/>
      <c r="G215" s="24"/>
      <c r="H215" s="24"/>
      <c r="I215" s="24"/>
      <c r="J215" s="24"/>
      <c r="K215" s="25"/>
    </row>
    <row r="216" s="5" customFormat="1" ht="20" customHeight="1" spans="1:11">
      <c r="A216" s="22"/>
      <c r="B216" s="23"/>
      <c r="C216" s="24"/>
      <c r="D216" s="24"/>
      <c r="E216" s="24"/>
      <c r="F216" s="24"/>
      <c r="G216" s="24"/>
      <c r="H216" s="24"/>
      <c r="I216" s="24"/>
      <c r="J216" s="24"/>
      <c r="K216" s="25"/>
    </row>
    <row r="217" s="5" customFormat="1" ht="20" customHeight="1" spans="1:11">
      <c r="A217" s="22"/>
      <c r="B217" s="23"/>
      <c r="C217" s="24"/>
      <c r="D217" s="24"/>
      <c r="E217" s="24"/>
      <c r="F217" s="24"/>
      <c r="G217" s="24"/>
      <c r="H217" s="24"/>
      <c r="I217" s="24"/>
      <c r="J217" s="24"/>
      <c r="K217" s="25"/>
    </row>
    <row r="218" s="5" customFormat="1" ht="20" customHeight="1" spans="1:11">
      <c r="A218" s="22"/>
      <c r="B218" s="23"/>
      <c r="C218" s="24"/>
      <c r="D218" s="24"/>
      <c r="E218" s="24"/>
      <c r="F218" s="24"/>
      <c r="G218" s="24"/>
      <c r="H218" s="24"/>
      <c r="I218" s="24"/>
      <c r="J218" s="24"/>
      <c r="K218" s="25"/>
    </row>
    <row r="219" s="5" customFormat="1" ht="20" customHeight="1" spans="1:11">
      <c r="A219" s="22"/>
      <c r="B219" s="23"/>
      <c r="C219" s="24"/>
      <c r="D219" s="24"/>
      <c r="E219" s="24"/>
      <c r="F219" s="24"/>
      <c r="G219" s="24"/>
      <c r="H219" s="24"/>
      <c r="I219" s="24"/>
      <c r="J219" s="24"/>
      <c r="K219" s="25"/>
    </row>
    <row r="220" s="5" customFormat="1" ht="20" customHeight="1" spans="1:11">
      <c r="A220" s="22"/>
      <c r="B220" s="23"/>
      <c r="C220" s="24"/>
      <c r="D220" s="24"/>
      <c r="E220" s="24"/>
      <c r="F220" s="24"/>
      <c r="G220" s="24"/>
      <c r="H220" s="24"/>
      <c r="I220" s="24"/>
      <c r="J220" s="24"/>
      <c r="K220" s="25"/>
    </row>
    <row r="221" s="5" customFormat="1" ht="20" customHeight="1" spans="1:11">
      <c r="A221" s="22"/>
      <c r="B221" s="23"/>
      <c r="C221" s="24"/>
      <c r="D221" s="24"/>
      <c r="E221" s="24"/>
      <c r="F221" s="24"/>
      <c r="G221" s="24"/>
      <c r="H221" s="24"/>
      <c r="I221" s="24"/>
      <c r="J221" s="24"/>
      <c r="K221" s="25"/>
    </row>
    <row r="222" s="5" customFormat="1" ht="20" customHeight="1" spans="1:11">
      <c r="A222" s="22"/>
      <c r="B222" s="23"/>
      <c r="C222" s="24"/>
      <c r="D222" s="24"/>
      <c r="E222" s="24"/>
      <c r="F222" s="24"/>
      <c r="G222" s="24"/>
      <c r="H222" s="24"/>
      <c r="I222" s="24"/>
      <c r="J222" s="24"/>
      <c r="K222" s="25"/>
    </row>
    <row r="223" s="5" customFormat="1" ht="20" customHeight="1" spans="1:11">
      <c r="A223" s="22"/>
      <c r="B223" s="23"/>
      <c r="C223" s="24"/>
      <c r="D223" s="24"/>
      <c r="E223" s="24"/>
      <c r="F223" s="24"/>
      <c r="G223" s="24"/>
      <c r="H223" s="24"/>
      <c r="I223" s="24"/>
      <c r="J223" s="24"/>
      <c r="K223" s="25"/>
    </row>
    <row r="224" s="5" customFormat="1" ht="20" customHeight="1" spans="1:11">
      <c r="A224" s="22"/>
      <c r="B224" s="23"/>
      <c r="C224" s="24"/>
      <c r="D224" s="24"/>
      <c r="E224" s="24"/>
      <c r="F224" s="24"/>
      <c r="G224" s="24"/>
      <c r="H224" s="24"/>
      <c r="I224" s="24"/>
      <c r="J224" s="24"/>
      <c r="K224" s="25"/>
    </row>
    <row r="225" s="5" customFormat="1" ht="20" customHeight="1" spans="1:11">
      <c r="A225" s="22"/>
      <c r="B225" s="23"/>
      <c r="C225" s="24"/>
      <c r="D225" s="24"/>
      <c r="E225" s="24"/>
      <c r="F225" s="24"/>
      <c r="G225" s="24"/>
      <c r="H225" s="24"/>
      <c r="I225" s="24"/>
      <c r="J225" s="24"/>
      <c r="K225" s="25"/>
    </row>
    <row r="226" s="5" customFormat="1" ht="20" customHeight="1" spans="1:11">
      <c r="A226" s="22"/>
      <c r="B226" s="23"/>
      <c r="C226" s="24"/>
      <c r="D226" s="24"/>
      <c r="E226" s="24"/>
      <c r="F226" s="24"/>
      <c r="G226" s="24"/>
      <c r="H226" s="24"/>
      <c r="I226" s="24"/>
      <c r="J226" s="24"/>
      <c r="K226" s="25"/>
    </row>
    <row r="227" s="5" customFormat="1" ht="20" customHeight="1" spans="1:11">
      <c r="A227" s="22"/>
      <c r="B227" s="23"/>
      <c r="C227" s="24"/>
      <c r="D227" s="24"/>
      <c r="E227" s="24"/>
      <c r="F227" s="24"/>
      <c r="G227" s="24"/>
      <c r="H227" s="24"/>
      <c r="I227" s="24"/>
      <c r="J227" s="24"/>
      <c r="K227" s="25"/>
    </row>
    <row r="228" s="5" customFormat="1" ht="20" customHeight="1" spans="1:11">
      <c r="A228" s="22"/>
      <c r="B228" s="23"/>
      <c r="C228" s="24"/>
      <c r="D228" s="24"/>
      <c r="E228" s="24"/>
      <c r="F228" s="24"/>
      <c r="G228" s="24"/>
      <c r="H228" s="24"/>
      <c r="I228" s="24"/>
      <c r="J228" s="24"/>
      <c r="K228" s="25"/>
    </row>
    <row r="229" s="5" customFormat="1" ht="20" customHeight="1" spans="1:11">
      <c r="A229" s="22"/>
      <c r="B229" s="23"/>
      <c r="C229" s="24"/>
      <c r="D229" s="24"/>
      <c r="E229" s="24"/>
      <c r="F229" s="24"/>
      <c r="G229" s="24"/>
      <c r="H229" s="24"/>
      <c r="I229" s="24"/>
      <c r="J229" s="24"/>
      <c r="K229" s="25"/>
    </row>
    <row r="230" s="5" customFormat="1" ht="20" customHeight="1" spans="1:11">
      <c r="A230" s="22"/>
      <c r="B230" s="23"/>
      <c r="C230" s="24"/>
      <c r="D230" s="24"/>
      <c r="E230" s="24"/>
      <c r="F230" s="24"/>
      <c r="G230" s="24"/>
      <c r="H230" s="24"/>
      <c r="I230" s="24"/>
      <c r="J230" s="24"/>
      <c r="K230" s="25"/>
    </row>
    <row r="231" s="5" customFormat="1" ht="20" customHeight="1" spans="1:11">
      <c r="A231" s="22"/>
      <c r="B231" s="23"/>
      <c r="C231" s="24"/>
      <c r="D231" s="24"/>
      <c r="E231" s="24"/>
      <c r="F231" s="24"/>
      <c r="G231" s="24"/>
      <c r="H231" s="24"/>
      <c r="I231" s="24"/>
      <c r="J231" s="24"/>
      <c r="K231" s="25"/>
    </row>
    <row r="232" s="5" customFormat="1" ht="20" customHeight="1" spans="1:11">
      <c r="A232" s="22"/>
      <c r="B232" s="23"/>
      <c r="C232" s="24"/>
      <c r="D232" s="24"/>
      <c r="E232" s="24"/>
      <c r="F232" s="24"/>
      <c r="G232" s="24"/>
      <c r="H232" s="24"/>
      <c r="I232" s="24"/>
      <c r="J232" s="24"/>
      <c r="K232" s="25"/>
    </row>
    <row r="233" s="5" customFormat="1" ht="20" customHeight="1" spans="1:11">
      <c r="A233" s="22"/>
      <c r="B233" s="23"/>
      <c r="C233" s="24"/>
      <c r="D233" s="24"/>
      <c r="E233" s="24"/>
      <c r="F233" s="24"/>
      <c r="G233" s="24"/>
      <c r="H233" s="24"/>
      <c r="I233" s="24"/>
      <c r="J233" s="24"/>
      <c r="K233" s="25"/>
    </row>
    <row r="234" s="5" customFormat="1" ht="20" customHeight="1" spans="1:11">
      <c r="A234" s="22"/>
      <c r="B234" s="23"/>
      <c r="C234" s="24"/>
      <c r="D234" s="24"/>
      <c r="E234" s="24"/>
      <c r="F234" s="24"/>
      <c r="G234" s="24"/>
      <c r="H234" s="24"/>
      <c r="I234" s="24"/>
      <c r="J234" s="24"/>
      <c r="K234" s="25"/>
    </row>
    <row r="235" s="5" customFormat="1" ht="20" customHeight="1" spans="1:11">
      <c r="A235" s="22"/>
      <c r="B235" s="23"/>
      <c r="C235" s="24"/>
      <c r="D235" s="24"/>
      <c r="E235" s="24"/>
      <c r="F235" s="24"/>
      <c r="G235" s="24"/>
      <c r="H235" s="24"/>
      <c r="I235" s="24"/>
      <c r="J235" s="24"/>
      <c r="K235" s="25"/>
    </row>
    <row r="236" s="5" customFormat="1" ht="20" customHeight="1" spans="1:11">
      <c r="A236" s="22"/>
      <c r="B236" s="23"/>
      <c r="C236" s="24"/>
      <c r="D236" s="24"/>
      <c r="E236" s="24"/>
      <c r="F236" s="24"/>
      <c r="G236" s="24"/>
      <c r="H236" s="24"/>
      <c r="I236" s="24"/>
      <c r="J236" s="24"/>
      <c r="K236" s="25"/>
    </row>
    <row r="237" s="5" customFormat="1" ht="20" customHeight="1" spans="1:11">
      <c r="A237" s="22"/>
      <c r="B237" s="23"/>
      <c r="C237" s="24"/>
      <c r="D237" s="24"/>
      <c r="E237" s="24"/>
      <c r="F237" s="24"/>
      <c r="G237" s="24"/>
      <c r="H237" s="24"/>
      <c r="I237" s="24"/>
      <c r="J237" s="24"/>
      <c r="K237" s="25"/>
    </row>
    <row r="238" s="5" customFormat="1" ht="20" customHeight="1" spans="1:11">
      <c r="A238" s="22"/>
      <c r="B238" s="23"/>
      <c r="C238" s="24"/>
      <c r="D238" s="24"/>
      <c r="E238" s="24"/>
      <c r="F238" s="24"/>
      <c r="G238" s="24"/>
      <c r="H238" s="24"/>
      <c r="I238" s="24"/>
      <c r="J238" s="24"/>
      <c r="K238" s="25"/>
    </row>
    <row r="239" s="5" customFormat="1" ht="20" customHeight="1" spans="1:11">
      <c r="A239" s="22"/>
      <c r="B239" s="23"/>
      <c r="C239" s="24"/>
      <c r="D239" s="24"/>
      <c r="E239" s="24"/>
      <c r="F239" s="24"/>
      <c r="G239" s="24"/>
      <c r="H239" s="24"/>
      <c r="I239" s="24"/>
      <c r="J239" s="24"/>
      <c r="K239" s="25"/>
    </row>
    <row r="240" s="5" customFormat="1" ht="20" customHeight="1" spans="1:11">
      <c r="A240" s="22"/>
      <c r="B240" s="23"/>
      <c r="C240" s="24"/>
      <c r="D240" s="24"/>
      <c r="E240" s="24"/>
      <c r="F240" s="24"/>
      <c r="G240" s="24"/>
      <c r="H240" s="24"/>
      <c r="I240" s="24"/>
      <c r="J240" s="24"/>
      <c r="K240" s="25"/>
    </row>
    <row r="241" s="5" customFormat="1" ht="20" customHeight="1" spans="1:11">
      <c r="A241" s="22"/>
      <c r="B241" s="23"/>
      <c r="C241" s="24"/>
      <c r="D241" s="24"/>
      <c r="E241" s="24"/>
      <c r="F241" s="24"/>
      <c r="G241" s="24"/>
      <c r="H241" s="24"/>
      <c r="I241" s="24"/>
      <c r="J241" s="24"/>
      <c r="K241" s="25"/>
    </row>
    <row r="242" s="5" customFormat="1" ht="20" customHeight="1" spans="1:11">
      <c r="A242" s="22"/>
      <c r="B242" s="23"/>
      <c r="C242" s="24"/>
      <c r="D242" s="24"/>
      <c r="E242" s="24"/>
      <c r="F242" s="24"/>
      <c r="G242" s="24"/>
      <c r="H242" s="24"/>
      <c r="I242" s="24"/>
      <c r="J242" s="24"/>
      <c r="K242" s="25"/>
    </row>
    <row r="243" s="5" customFormat="1" ht="20" customHeight="1" spans="1:11">
      <c r="A243" s="22"/>
      <c r="B243" s="23"/>
      <c r="C243" s="24"/>
      <c r="D243" s="24"/>
      <c r="E243" s="24"/>
      <c r="F243" s="24"/>
      <c r="G243" s="24"/>
      <c r="H243" s="24"/>
      <c r="I243" s="24"/>
      <c r="J243" s="24"/>
      <c r="K243" s="25"/>
    </row>
    <row r="244" s="5" customFormat="1" ht="20" customHeight="1" spans="1:11">
      <c r="A244" s="22"/>
      <c r="B244" s="23"/>
      <c r="C244" s="24"/>
      <c r="D244" s="24"/>
      <c r="E244" s="24"/>
      <c r="F244" s="24"/>
      <c r="G244" s="24"/>
      <c r="H244" s="24"/>
      <c r="I244" s="24"/>
      <c r="J244" s="24"/>
      <c r="K244" s="25"/>
    </row>
    <row r="245" s="5" customFormat="1" ht="20" customHeight="1" spans="1:11">
      <c r="A245" s="22"/>
      <c r="B245" s="23"/>
      <c r="C245" s="24"/>
      <c r="D245" s="24"/>
      <c r="E245" s="24"/>
      <c r="F245" s="24"/>
      <c r="G245" s="24"/>
      <c r="H245" s="24"/>
      <c r="I245" s="24"/>
      <c r="J245" s="24"/>
      <c r="K245" s="25"/>
    </row>
    <row r="246" s="5" customFormat="1" ht="20" customHeight="1" spans="1:11">
      <c r="A246" s="22"/>
      <c r="B246" s="23"/>
      <c r="C246" s="24"/>
      <c r="D246" s="24"/>
      <c r="E246" s="24"/>
      <c r="F246" s="24"/>
      <c r="G246" s="24"/>
      <c r="H246" s="24"/>
      <c r="I246" s="24"/>
      <c r="J246" s="24"/>
      <c r="K246" s="25"/>
    </row>
    <row r="247" s="5" customFormat="1" ht="20" customHeight="1" spans="1:11">
      <c r="A247" s="22"/>
      <c r="B247" s="23"/>
      <c r="C247" s="24"/>
      <c r="D247" s="24"/>
      <c r="E247" s="24"/>
      <c r="F247" s="24"/>
      <c r="G247" s="24"/>
      <c r="H247" s="24"/>
      <c r="I247" s="24"/>
      <c r="J247" s="24"/>
      <c r="K247" s="25"/>
    </row>
    <row r="248" s="5" customFormat="1" ht="20" customHeight="1" spans="1:11">
      <c r="A248" s="22"/>
      <c r="B248" s="23"/>
      <c r="C248" s="24"/>
      <c r="D248" s="24"/>
      <c r="E248" s="24"/>
      <c r="F248" s="24"/>
      <c r="G248" s="24"/>
      <c r="H248" s="24"/>
      <c r="I248" s="24"/>
      <c r="J248" s="24"/>
      <c r="K248" s="25"/>
    </row>
    <row r="249" s="5" customFormat="1" ht="20" customHeight="1" spans="1:11">
      <c r="A249" s="22"/>
      <c r="B249" s="23"/>
      <c r="C249" s="24"/>
      <c r="D249" s="24"/>
      <c r="E249" s="24"/>
      <c r="F249" s="24"/>
      <c r="G249" s="24"/>
      <c r="H249" s="24"/>
      <c r="I249" s="24"/>
      <c r="J249" s="24"/>
      <c r="K249" s="25"/>
    </row>
    <row r="250" s="5" customFormat="1" ht="20" customHeight="1" spans="1:11">
      <c r="A250" s="22"/>
      <c r="B250" s="23"/>
      <c r="C250" s="24"/>
      <c r="D250" s="24"/>
      <c r="E250" s="24"/>
      <c r="F250" s="24"/>
      <c r="G250" s="24"/>
      <c r="H250" s="24"/>
      <c r="I250" s="24"/>
      <c r="J250" s="24"/>
      <c r="K250" s="25"/>
    </row>
    <row r="251" s="5" customFormat="1" ht="20" customHeight="1" spans="1:11">
      <c r="A251" s="22"/>
      <c r="B251" s="23"/>
      <c r="C251" s="24"/>
      <c r="D251" s="24"/>
      <c r="E251" s="24"/>
      <c r="F251" s="24"/>
      <c r="G251" s="24"/>
      <c r="H251" s="24"/>
      <c r="I251" s="24"/>
      <c r="J251" s="24"/>
      <c r="K251" s="25"/>
    </row>
    <row r="252" s="5" customFormat="1" ht="16.5" spans="1:11">
      <c r="A252" s="22"/>
      <c r="B252" s="23"/>
      <c r="C252" s="24"/>
      <c r="D252" s="24"/>
      <c r="E252" s="24"/>
      <c r="F252" s="24"/>
      <c r="G252" s="24"/>
      <c r="H252" s="24"/>
      <c r="I252" s="24"/>
      <c r="J252" s="24"/>
      <c r="K252" s="25"/>
    </row>
    <row r="253" s="5" customFormat="1" ht="16.5" spans="1:11">
      <c r="A253" s="22"/>
      <c r="B253" s="23"/>
      <c r="C253" s="24"/>
      <c r="D253" s="24"/>
      <c r="E253" s="24"/>
      <c r="F253" s="24"/>
      <c r="G253" s="24"/>
      <c r="H253" s="24"/>
      <c r="I253" s="24"/>
      <c r="J253" s="24"/>
      <c r="K253" s="25"/>
    </row>
    <row r="254" s="5" customFormat="1" ht="16.5" spans="1:11">
      <c r="A254" s="22"/>
      <c r="B254" s="23"/>
      <c r="C254" s="24"/>
      <c r="D254" s="24"/>
      <c r="E254" s="24"/>
      <c r="F254" s="24"/>
      <c r="G254" s="24"/>
      <c r="H254" s="24"/>
      <c r="I254" s="24"/>
      <c r="J254" s="24"/>
      <c r="K254" s="25"/>
    </row>
    <row r="255" s="5" customFormat="1" ht="16.5" spans="1:11">
      <c r="A255" s="22"/>
      <c r="B255" s="23"/>
      <c r="C255" s="24"/>
      <c r="D255" s="24"/>
      <c r="E255" s="24"/>
      <c r="F255" s="24"/>
      <c r="G255" s="24"/>
      <c r="H255" s="24"/>
      <c r="I255" s="24"/>
      <c r="J255" s="24"/>
      <c r="K255" s="25"/>
    </row>
    <row r="256" s="5" customFormat="1" ht="16.5" spans="1:11">
      <c r="A256" s="22"/>
      <c r="B256" s="23"/>
      <c r="C256" s="24"/>
      <c r="D256" s="24"/>
      <c r="E256" s="24"/>
      <c r="F256" s="24"/>
      <c r="G256" s="24"/>
      <c r="H256" s="24"/>
      <c r="I256" s="24"/>
      <c r="J256" s="24"/>
      <c r="K256" s="25"/>
    </row>
    <row r="257" s="5" customFormat="1" ht="16.5" spans="1:11">
      <c r="A257" s="22"/>
      <c r="B257" s="23"/>
      <c r="C257" s="24"/>
      <c r="D257" s="24"/>
      <c r="E257" s="24"/>
      <c r="F257" s="24"/>
      <c r="G257" s="24"/>
      <c r="H257" s="24"/>
      <c r="I257" s="24"/>
      <c r="J257" s="24"/>
      <c r="K257" s="25"/>
    </row>
    <row r="258" s="5" customFormat="1" ht="16.5" spans="1:11">
      <c r="A258" s="22"/>
      <c r="B258" s="23"/>
      <c r="C258" s="24"/>
      <c r="D258" s="24"/>
      <c r="E258" s="24"/>
      <c r="F258" s="24"/>
      <c r="G258" s="24"/>
      <c r="H258" s="24"/>
      <c r="I258" s="24"/>
      <c r="J258" s="24"/>
      <c r="K258" s="25"/>
    </row>
    <row r="259" s="5" customFormat="1" ht="16.5" spans="1:11">
      <c r="A259" s="22"/>
      <c r="B259" s="23"/>
      <c r="C259" s="24"/>
      <c r="D259" s="24"/>
      <c r="E259" s="24"/>
      <c r="F259" s="24"/>
      <c r="G259" s="24"/>
      <c r="H259" s="24"/>
      <c r="I259" s="24"/>
      <c r="J259" s="24"/>
      <c r="K259" s="25"/>
    </row>
    <row r="260" s="5" customFormat="1" ht="16.5" spans="1:11">
      <c r="A260" s="22"/>
      <c r="B260" s="23"/>
      <c r="C260" s="24"/>
      <c r="D260" s="24"/>
      <c r="E260" s="24"/>
      <c r="F260" s="24"/>
      <c r="G260" s="24"/>
      <c r="H260" s="24"/>
      <c r="I260" s="24"/>
      <c r="J260" s="24"/>
      <c r="K260" s="25"/>
    </row>
    <row r="261" s="5" customFormat="1" ht="16.5" spans="1:11">
      <c r="A261" s="22"/>
      <c r="B261" s="23"/>
      <c r="C261" s="24"/>
      <c r="D261" s="24"/>
      <c r="E261" s="24"/>
      <c r="F261" s="24"/>
      <c r="G261" s="24"/>
      <c r="H261" s="24"/>
      <c r="I261" s="24"/>
      <c r="J261" s="24"/>
      <c r="K261" s="25"/>
    </row>
    <row r="262" s="5" customFormat="1" ht="16.5" spans="1:11">
      <c r="A262" s="22"/>
      <c r="B262" s="23"/>
      <c r="C262" s="24"/>
      <c r="D262" s="24"/>
      <c r="E262" s="24"/>
      <c r="F262" s="24"/>
      <c r="G262" s="24"/>
      <c r="H262" s="24"/>
      <c r="I262" s="24"/>
      <c r="J262" s="24"/>
      <c r="K262" s="25"/>
    </row>
    <row r="263" s="5" customFormat="1" ht="16.5" spans="1:11">
      <c r="A263" s="22"/>
      <c r="B263" s="23"/>
      <c r="C263" s="24"/>
      <c r="D263" s="24"/>
      <c r="E263" s="24"/>
      <c r="F263" s="24"/>
      <c r="G263" s="24"/>
      <c r="H263" s="24"/>
      <c r="I263" s="24"/>
      <c r="J263" s="24"/>
      <c r="K263" s="25"/>
    </row>
    <row r="264" s="5" customFormat="1" ht="16.5" spans="1:11">
      <c r="A264" s="22"/>
      <c r="B264" s="23"/>
      <c r="C264" s="24"/>
      <c r="D264" s="24"/>
      <c r="E264" s="24"/>
      <c r="F264" s="24"/>
      <c r="G264" s="24"/>
      <c r="H264" s="24"/>
      <c r="I264" s="24"/>
      <c r="J264" s="24"/>
      <c r="K264" s="25"/>
    </row>
    <row r="265" s="5" customFormat="1" ht="16.5" spans="1:11">
      <c r="A265" s="22"/>
      <c r="B265" s="23"/>
      <c r="C265" s="24"/>
      <c r="D265" s="24"/>
      <c r="E265" s="24"/>
      <c r="F265" s="24"/>
      <c r="G265" s="24"/>
      <c r="H265" s="24"/>
      <c r="I265" s="24"/>
      <c r="J265" s="24"/>
      <c r="K265" s="25"/>
    </row>
    <row r="266" s="5" customFormat="1" ht="16.5" spans="1:11">
      <c r="A266" s="22"/>
      <c r="B266" s="23"/>
      <c r="C266" s="24"/>
      <c r="D266" s="24"/>
      <c r="E266" s="24"/>
      <c r="F266" s="24"/>
      <c r="G266" s="24"/>
      <c r="H266" s="24"/>
      <c r="I266" s="24"/>
      <c r="J266" s="24"/>
      <c r="K266" s="25"/>
    </row>
    <row r="267" s="5" customFormat="1" ht="16.5" spans="1:11">
      <c r="A267" s="22"/>
      <c r="B267" s="23"/>
      <c r="C267" s="24"/>
      <c r="D267" s="24"/>
      <c r="E267" s="24"/>
      <c r="F267" s="24"/>
      <c r="G267" s="24"/>
      <c r="H267" s="24"/>
      <c r="I267" s="24"/>
      <c r="J267" s="24"/>
      <c r="K267" s="25"/>
    </row>
    <row r="268" s="5" customFormat="1" ht="16.5" spans="1:11">
      <c r="A268" s="22"/>
      <c r="B268" s="23"/>
      <c r="C268" s="24"/>
      <c r="D268" s="24"/>
      <c r="E268" s="24"/>
      <c r="F268" s="24"/>
      <c r="G268" s="24"/>
      <c r="H268" s="24"/>
      <c r="I268" s="24"/>
      <c r="J268" s="24"/>
      <c r="K268" s="25"/>
    </row>
    <row r="269" s="5" customFormat="1" ht="16.5" spans="1:11">
      <c r="A269" s="22"/>
      <c r="B269" s="23"/>
      <c r="C269" s="24"/>
      <c r="D269" s="24"/>
      <c r="E269" s="24"/>
      <c r="F269" s="24"/>
      <c r="G269" s="24"/>
      <c r="H269" s="24"/>
      <c r="I269" s="24"/>
      <c r="J269" s="24"/>
      <c r="K269" s="25"/>
    </row>
    <row r="270" s="5" customFormat="1" ht="16.5" spans="1:11">
      <c r="A270" s="22"/>
      <c r="B270" s="23"/>
      <c r="C270" s="24"/>
      <c r="D270" s="24"/>
      <c r="E270" s="24"/>
      <c r="F270" s="24"/>
      <c r="G270" s="24"/>
      <c r="H270" s="24"/>
      <c r="I270" s="24"/>
      <c r="J270" s="24"/>
      <c r="K270" s="25"/>
    </row>
    <row r="271" s="5" customFormat="1" ht="16.5" spans="1:11">
      <c r="A271" s="22"/>
      <c r="B271" s="23"/>
      <c r="C271" s="24"/>
      <c r="D271" s="24"/>
      <c r="E271" s="24"/>
      <c r="F271" s="24"/>
      <c r="G271" s="24"/>
      <c r="H271" s="24"/>
      <c r="I271" s="24"/>
      <c r="J271" s="24"/>
      <c r="K271" s="25"/>
    </row>
    <row r="272" s="5" customFormat="1" ht="16.5" spans="1:11">
      <c r="A272" s="22"/>
      <c r="B272" s="23"/>
      <c r="C272" s="24"/>
      <c r="D272" s="24"/>
      <c r="E272" s="24"/>
      <c r="F272" s="24"/>
      <c r="G272" s="24"/>
      <c r="H272" s="24"/>
      <c r="I272" s="24"/>
      <c r="J272" s="24"/>
      <c r="K272" s="25"/>
    </row>
    <row r="273" s="5" customFormat="1" ht="16.5" spans="1:11">
      <c r="A273" s="22"/>
      <c r="B273" s="23"/>
      <c r="C273" s="24"/>
      <c r="D273" s="24"/>
      <c r="E273" s="24"/>
      <c r="F273" s="24"/>
      <c r="G273" s="24"/>
      <c r="H273" s="24"/>
      <c r="I273" s="24"/>
      <c r="J273" s="24"/>
      <c r="K273" s="25"/>
    </row>
    <row r="274" s="5" customFormat="1" ht="16.5" spans="1:11">
      <c r="A274" s="22"/>
      <c r="B274" s="23"/>
      <c r="C274" s="24"/>
      <c r="D274" s="24"/>
      <c r="E274" s="24"/>
      <c r="F274" s="24"/>
      <c r="G274" s="24"/>
      <c r="H274" s="24"/>
      <c r="I274" s="24"/>
      <c r="J274" s="24"/>
      <c r="K274" s="25"/>
    </row>
    <row r="275" s="5" customFormat="1" ht="16.5" spans="1:11">
      <c r="A275" s="22"/>
      <c r="B275" s="23"/>
      <c r="C275" s="24"/>
      <c r="D275" s="24"/>
      <c r="E275" s="24"/>
      <c r="F275" s="24"/>
      <c r="G275" s="24"/>
      <c r="H275" s="24"/>
      <c r="I275" s="24"/>
      <c r="J275" s="24"/>
      <c r="K275" s="25"/>
    </row>
    <row r="276" s="5" customFormat="1" ht="16.5" spans="1:11">
      <c r="A276" s="22"/>
      <c r="B276" s="23"/>
      <c r="C276" s="24"/>
      <c r="D276" s="24"/>
      <c r="E276" s="24"/>
      <c r="F276" s="24"/>
      <c r="G276" s="24"/>
      <c r="H276" s="24"/>
      <c r="I276" s="24"/>
      <c r="J276" s="24"/>
      <c r="K276" s="25"/>
    </row>
    <row r="277" s="5" customFormat="1" ht="16.5" spans="1:11">
      <c r="A277" s="22"/>
      <c r="B277" s="23"/>
      <c r="C277" s="24"/>
      <c r="D277" s="24"/>
      <c r="E277" s="24"/>
      <c r="F277" s="24"/>
      <c r="G277" s="24"/>
      <c r="H277" s="24"/>
      <c r="I277" s="24"/>
      <c r="J277" s="24"/>
      <c r="K277" s="25"/>
    </row>
    <row r="278" s="5" customFormat="1" ht="16.5" spans="1:11">
      <c r="A278" s="22"/>
      <c r="B278" s="23"/>
      <c r="C278" s="24"/>
      <c r="D278" s="24"/>
      <c r="E278" s="24"/>
      <c r="F278" s="24"/>
      <c r="G278" s="24"/>
      <c r="H278" s="24"/>
      <c r="I278" s="24"/>
      <c r="J278" s="24"/>
      <c r="K278" s="25"/>
    </row>
    <row r="279" s="5" customFormat="1" ht="16.5" spans="1:11">
      <c r="A279" s="22"/>
      <c r="B279" s="23"/>
      <c r="C279" s="24"/>
      <c r="D279" s="24"/>
      <c r="E279" s="24"/>
      <c r="F279" s="24"/>
      <c r="G279" s="24"/>
      <c r="H279" s="24"/>
      <c r="I279" s="24"/>
      <c r="J279" s="24"/>
      <c r="K279" s="25"/>
    </row>
    <row r="280" s="5" customFormat="1" ht="16.5" spans="1:11">
      <c r="A280" s="22"/>
      <c r="B280" s="23"/>
      <c r="C280" s="24"/>
      <c r="D280" s="24"/>
      <c r="E280" s="24"/>
      <c r="F280" s="24"/>
      <c r="G280" s="24"/>
      <c r="H280" s="24"/>
      <c r="I280" s="24"/>
      <c r="J280" s="24"/>
      <c r="K280" s="25"/>
    </row>
    <row r="281" s="5" customFormat="1" ht="16.5" spans="1:11">
      <c r="A281" s="22"/>
      <c r="B281" s="23"/>
      <c r="C281" s="24"/>
      <c r="D281" s="24"/>
      <c r="E281" s="24"/>
      <c r="F281" s="24"/>
      <c r="G281" s="24"/>
      <c r="H281" s="24"/>
      <c r="I281" s="24"/>
      <c r="J281" s="24"/>
      <c r="K281" s="25"/>
    </row>
    <row r="282" s="5" customFormat="1" ht="16.5" spans="1:11">
      <c r="A282" s="22"/>
      <c r="B282" s="23"/>
      <c r="C282" s="24"/>
      <c r="D282" s="24"/>
      <c r="E282" s="24"/>
      <c r="F282" s="24"/>
      <c r="G282" s="24"/>
      <c r="H282" s="24"/>
      <c r="I282" s="24"/>
      <c r="J282" s="24"/>
      <c r="K282" s="25"/>
    </row>
    <row r="283" s="5" customFormat="1" ht="16.5" spans="1:11">
      <c r="A283" s="22"/>
      <c r="B283" s="23"/>
      <c r="C283" s="24"/>
      <c r="D283" s="24"/>
      <c r="E283" s="24"/>
      <c r="F283" s="24"/>
      <c r="G283" s="24"/>
      <c r="H283" s="24"/>
      <c r="I283" s="24"/>
      <c r="J283" s="24"/>
      <c r="K283" s="25"/>
    </row>
    <row r="284" s="5" customFormat="1" ht="16.5" spans="1:11">
      <c r="A284" s="22"/>
      <c r="B284" s="23"/>
      <c r="C284" s="24"/>
      <c r="D284" s="24"/>
      <c r="E284" s="24"/>
      <c r="F284" s="24"/>
      <c r="G284" s="24"/>
      <c r="H284" s="24"/>
      <c r="I284" s="24"/>
      <c r="J284" s="24"/>
      <c r="K284" s="25"/>
    </row>
    <row r="285" s="5" customFormat="1" ht="16.5" spans="1:11">
      <c r="A285" s="22"/>
      <c r="B285" s="23"/>
      <c r="C285" s="24"/>
      <c r="D285" s="24"/>
      <c r="E285" s="24"/>
      <c r="F285" s="24"/>
      <c r="G285" s="24"/>
      <c r="H285" s="24"/>
      <c r="I285" s="24"/>
      <c r="J285" s="24"/>
      <c r="K285" s="25"/>
    </row>
    <row r="286" s="5" customFormat="1" ht="16.5" spans="1:11">
      <c r="A286" s="22"/>
      <c r="B286" s="23"/>
      <c r="C286" s="24"/>
      <c r="D286" s="24"/>
      <c r="E286" s="24"/>
      <c r="F286" s="24"/>
      <c r="G286" s="24"/>
      <c r="H286" s="24"/>
      <c r="I286" s="24"/>
      <c r="J286" s="24"/>
      <c r="K286" s="25"/>
    </row>
    <row r="287" s="5" customFormat="1" ht="16.5" spans="1:11">
      <c r="A287" s="22"/>
      <c r="B287" s="23"/>
      <c r="C287" s="24"/>
      <c r="D287" s="24"/>
      <c r="E287" s="24"/>
      <c r="F287" s="24"/>
      <c r="G287" s="24"/>
      <c r="H287" s="24"/>
      <c r="I287" s="24"/>
      <c r="J287" s="24"/>
      <c r="K287" s="25"/>
    </row>
    <row r="288" s="5" customFormat="1" ht="16.5" spans="1:11">
      <c r="A288" s="22"/>
      <c r="B288" s="23"/>
      <c r="C288" s="24"/>
      <c r="D288" s="24"/>
      <c r="E288" s="24"/>
      <c r="F288" s="24"/>
      <c r="G288" s="24"/>
      <c r="H288" s="24"/>
      <c r="I288" s="24"/>
      <c r="J288" s="24"/>
      <c r="K288" s="25"/>
    </row>
    <row r="289" s="5" customFormat="1" ht="16.5" spans="1:11">
      <c r="A289" s="22"/>
      <c r="B289" s="23"/>
      <c r="C289" s="24"/>
      <c r="D289" s="24"/>
      <c r="E289" s="24"/>
      <c r="F289" s="24"/>
      <c r="G289" s="24"/>
      <c r="H289" s="24"/>
      <c r="I289" s="24"/>
      <c r="J289" s="24"/>
      <c r="K289" s="25"/>
    </row>
    <row r="290" s="5" customFormat="1" ht="16.5" spans="1:11">
      <c r="A290" s="22"/>
      <c r="B290" s="23"/>
      <c r="C290" s="24"/>
      <c r="D290" s="24"/>
      <c r="E290" s="24"/>
      <c r="F290" s="24"/>
      <c r="G290" s="24"/>
      <c r="H290" s="24"/>
      <c r="I290" s="24"/>
      <c r="J290" s="24"/>
      <c r="K290" s="25"/>
    </row>
    <row r="291" s="5" customFormat="1" ht="16.5" spans="1:11">
      <c r="A291" s="22"/>
      <c r="B291" s="23"/>
      <c r="C291" s="24"/>
      <c r="D291" s="24"/>
      <c r="E291" s="24"/>
      <c r="F291" s="24"/>
      <c r="G291" s="24"/>
      <c r="H291" s="24"/>
      <c r="I291" s="24"/>
      <c r="J291" s="24"/>
      <c r="K291" s="25"/>
    </row>
    <row r="292" s="5" customFormat="1" ht="16.5" spans="1:11">
      <c r="A292" s="22"/>
      <c r="B292" s="23"/>
      <c r="C292" s="24"/>
      <c r="D292" s="24"/>
      <c r="E292" s="24"/>
      <c r="F292" s="24"/>
      <c r="G292" s="24"/>
      <c r="H292" s="24"/>
      <c r="I292" s="24"/>
      <c r="J292" s="24"/>
      <c r="K292" s="25"/>
    </row>
    <row r="293" s="5" customFormat="1" ht="16.5" spans="1:11">
      <c r="A293" s="22"/>
      <c r="B293" s="23"/>
      <c r="C293" s="24"/>
      <c r="D293" s="24"/>
      <c r="E293" s="24"/>
      <c r="F293" s="24"/>
      <c r="G293" s="24"/>
      <c r="H293" s="24"/>
      <c r="I293" s="24"/>
      <c r="J293" s="24"/>
      <c r="K293" s="25"/>
    </row>
    <row r="294" s="5" customFormat="1" ht="16.5" spans="1:11">
      <c r="A294" s="22"/>
      <c r="B294" s="23"/>
      <c r="C294" s="24"/>
      <c r="D294" s="24"/>
      <c r="E294" s="24"/>
      <c r="F294" s="24"/>
      <c r="G294" s="24"/>
      <c r="H294" s="24"/>
      <c r="I294" s="24"/>
      <c r="J294" s="24"/>
      <c r="K294" s="25"/>
    </row>
    <row r="295" s="5" customFormat="1" ht="16.5" spans="1:11">
      <c r="A295" s="22"/>
      <c r="B295" s="23"/>
      <c r="C295" s="24"/>
      <c r="D295" s="24"/>
      <c r="E295" s="24"/>
      <c r="F295" s="24"/>
      <c r="G295" s="24"/>
      <c r="H295" s="24"/>
      <c r="I295" s="24"/>
      <c r="J295" s="24"/>
      <c r="K295" s="25"/>
    </row>
    <row r="296" s="5" customFormat="1" ht="16.5" spans="1:11">
      <c r="A296" s="22"/>
      <c r="B296" s="23"/>
      <c r="C296" s="24"/>
      <c r="D296" s="24"/>
      <c r="E296" s="24"/>
      <c r="F296" s="24"/>
      <c r="G296" s="24"/>
      <c r="H296" s="24"/>
      <c r="I296" s="24"/>
      <c r="J296" s="24"/>
      <c r="K296" s="25"/>
    </row>
    <row r="297" s="5" customFormat="1" ht="16.5" spans="1:11">
      <c r="A297" s="22"/>
      <c r="B297" s="23"/>
      <c r="C297" s="24"/>
      <c r="D297" s="24"/>
      <c r="E297" s="24"/>
      <c r="F297" s="24"/>
      <c r="G297" s="24"/>
      <c r="H297" s="24"/>
      <c r="I297" s="24"/>
      <c r="J297" s="24"/>
      <c r="K297" s="25"/>
    </row>
    <row r="298" s="5" customFormat="1" ht="16.5" spans="1:11">
      <c r="A298" s="22"/>
      <c r="B298" s="23"/>
      <c r="C298" s="24"/>
      <c r="D298" s="24"/>
      <c r="E298" s="24"/>
      <c r="F298" s="24"/>
      <c r="G298" s="24"/>
      <c r="H298" s="24"/>
      <c r="I298" s="24"/>
      <c r="J298" s="24"/>
      <c r="K298" s="25"/>
    </row>
    <row r="299" s="5" customFormat="1" ht="16.5" spans="1:11">
      <c r="A299" s="22"/>
      <c r="B299" s="23"/>
      <c r="C299" s="24"/>
      <c r="D299" s="24"/>
      <c r="E299" s="24"/>
      <c r="F299" s="24"/>
      <c r="G299" s="24"/>
      <c r="H299" s="24"/>
      <c r="I299" s="24"/>
      <c r="J299" s="24"/>
      <c r="K299" s="25"/>
    </row>
    <row r="300" s="5" customFormat="1" ht="16.5" spans="1:11">
      <c r="A300" s="22"/>
      <c r="B300" s="23"/>
      <c r="C300" s="24"/>
      <c r="D300" s="24"/>
      <c r="E300" s="24"/>
      <c r="F300" s="24"/>
      <c r="G300" s="24"/>
      <c r="H300" s="24"/>
      <c r="I300" s="24"/>
      <c r="J300" s="24"/>
      <c r="K300" s="25"/>
    </row>
    <row r="301" s="5" customFormat="1" ht="16.5" spans="1:11">
      <c r="A301" s="22"/>
      <c r="B301" s="23"/>
      <c r="C301" s="24"/>
      <c r="D301" s="24"/>
      <c r="E301" s="24"/>
      <c r="F301" s="24"/>
      <c r="G301" s="24"/>
      <c r="H301" s="24"/>
      <c r="I301" s="24"/>
      <c r="J301" s="24"/>
      <c r="K301" s="25"/>
    </row>
    <row r="302" s="5" customFormat="1" ht="16.5" spans="1:11">
      <c r="A302" s="22"/>
      <c r="B302" s="23"/>
      <c r="C302" s="24"/>
      <c r="D302" s="24"/>
      <c r="E302" s="24"/>
      <c r="F302" s="24"/>
      <c r="G302" s="24"/>
      <c r="H302" s="24"/>
      <c r="I302" s="24"/>
      <c r="J302" s="24"/>
      <c r="K302" s="25"/>
    </row>
    <row r="303" s="5" customFormat="1" ht="16.5" spans="1:11">
      <c r="A303" s="22"/>
      <c r="B303" s="23"/>
      <c r="C303" s="24"/>
      <c r="D303" s="24"/>
      <c r="E303" s="24"/>
      <c r="F303" s="24"/>
      <c r="G303" s="24"/>
      <c r="H303" s="24"/>
      <c r="I303" s="24"/>
      <c r="J303" s="24"/>
      <c r="K303" s="25"/>
    </row>
    <row r="304" s="5" customFormat="1" ht="16.5" spans="1:11">
      <c r="A304" s="22"/>
      <c r="B304" s="23"/>
      <c r="C304" s="24"/>
      <c r="D304" s="24"/>
      <c r="E304" s="24"/>
      <c r="F304" s="24"/>
      <c r="G304" s="24"/>
      <c r="H304" s="24"/>
      <c r="I304" s="24"/>
      <c r="J304" s="24"/>
      <c r="K304" s="25"/>
    </row>
    <row r="305" s="5" customFormat="1" ht="16.5" spans="1:11">
      <c r="A305" s="22"/>
      <c r="B305" s="23"/>
      <c r="C305" s="24"/>
      <c r="D305" s="24"/>
      <c r="E305" s="24"/>
      <c r="F305" s="24"/>
      <c r="G305" s="24"/>
      <c r="H305" s="24"/>
      <c r="I305" s="24"/>
      <c r="J305" s="24"/>
      <c r="K305" s="25"/>
    </row>
    <row r="306" s="5" customFormat="1" ht="16.5" spans="1:11">
      <c r="A306" s="22"/>
      <c r="B306" s="23"/>
      <c r="C306" s="24"/>
      <c r="D306" s="24"/>
      <c r="E306" s="24"/>
      <c r="F306" s="24"/>
      <c r="G306" s="24"/>
      <c r="H306" s="24"/>
      <c r="I306" s="24"/>
      <c r="J306" s="24"/>
      <c r="K306" s="25"/>
    </row>
    <row r="307" s="5" customFormat="1" ht="16.5" spans="1:11">
      <c r="A307" s="22"/>
      <c r="B307" s="23"/>
      <c r="C307" s="24"/>
      <c r="D307" s="24"/>
      <c r="E307" s="24"/>
      <c r="F307" s="24"/>
      <c r="G307" s="24"/>
      <c r="H307" s="24"/>
      <c r="I307" s="24"/>
      <c r="J307" s="24"/>
      <c r="K307" s="25"/>
    </row>
    <row r="308" s="5" customFormat="1" ht="16.5" spans="1:11">
      <c r="A308" s="22"/>
      <c r="B308" s="23"/>
      <c r="C308" s="24"/>
      <c r="D308" s="24"/>
      <c r="E308" s="24"/>
      <c r="F308" s="24"/>
      <c r="G308" s="24"/>
      <c r="H308" s="24"/>
      <c r="I308" s="24"/>
      <c r="J308" s="24"/>
      <c r="K308" s="25"/>
    </row>
    <row r="309" s="5" customFormat="1" ht="16.5" spans="1:11">
      <c r="A309" s="22"/>
      <c r="B309" s="23"/>
      <c r="C309" s="24"/>
      <c r="D309" s="24"/>
      <c r="E309" s="24"/>
      <c r="F309" s="24"/>
      <c r="G309" s="24"/>
      <c r="H309" s="24"/>
      <c r="I309" s="24"/>
      <c r="J309" s="24"/>
      <c r="K309" s="25"/>
    </row>
    <row r="310" s="5" customFormat="1" ht="16.5" spans="1:11">
      <c r="A310" s="22"/>
      <c r="B310" s="23"/>
      <c r="C310" s="24"/>
      <c r="D310" s="24"/>
      <c r="E310" s="24"/>
      <c r="F310" s="24"/>
      <c r="G310" s="24"/>
      <c r="H310" s="24"/>
      <c r="I310" s="24"/>
      <c r="J310" s="24"/>
      <c r="K310" s="25"/>
    </row>
    <row r="311" s="5" customFormat="1" ht="16.5" spans="1:11">
      <c r="A311" s="22"/>
      <c r="B311" s="23"/>
      <c r="C311" s="24"/>
      <c r="D311" s="24"/>
      <c r="E311" s="24"/>
      <c r="F311" s="24"/>
      <c r="G311" s="24"/>
      <c r="H311" s="24"/>
      <c r="I311" s="24"/>
      <c r="J311" s="24"/>
      <c r="K311" s="25"/>
    </row>
    <row r="312" s="5" customFormat="1" ht="16.5" spans="1:11">
      <c r="A312" s="22"/>
      <c r="B312" s="23"/>
      <c r="C312" s="24"/>
      <c r="D312" s="24"/>
      <c r="E312" s="24"/>
      <c r="F312" s="24"/>
      <c r="G312" s="24"/>
      <c r="H312" s="24"/>
      <c r="I312" s="24"/>
      <c r="J312" s="24"/>
      <c r="K312" s="25"/>
    </row>
    <row r="313" s="5" customFormat="1" ht="16.5" spans="1:11">
      <c r="A313" s="22"/>
      <c r="B313" s="23"/>
      <c r="C313" s="24"/>
      <c r="D313" s="24"/>
      <c r="E313" s="24"/>
      <c r="F313" s="24"/>
      <c r="G313" s="24"/>
      <c r="H313" s="24"/>
      <c r="I313" s="24"/>
      <c r="J313" s="24"/>
      <c r="K313" s="25"/>
    </row>
    <row r="314" s="5" customFormat="1" ht="16.5" spans="1:11">
      <c r="A314" s="22"/>
      <c r="B314" s="23"/>
      <c r="C314" s="24"/>
      <c r="D314" s="24"/>
      <c r="E314" s="24"/>
      <c r="F314" s="24"/>
      <c r="G314" s="24"/>
      <c r="H314" s="24"/>
      <c r="I314" s="24"/>
      <c r="J314" s="24"/>
      <c r="K314" s="25"/>
    </row>
    <row r="315" s="5" customFormat="1" ht="16.5" spans="1:11">
      <c r="A315" s="22"/>
      <c r="B315" s="23"/>
      <c r="C315" s="24"/>
      <c r="D315" s="24"/>
      <c r="E315" s="24"/>
      <c r="F315" s="24"/>
      <c r="G315" s="24"/>
      <c r="H315" s="24"/>
      <c r="I315" s="24"/>
      <c r="J315" s="24"/>
      <c r="K315" s="25"/>
    </row>
    <row r="316" s="5" customFormat="1" ht="16.5" spans="1:11">
      <c r="A316" s="22"/>
      <c r="B316" s="23"/>
      <c r="C316" s="24"/>
      <c r="D316" s="24"/>
      <c r="E316" s="24"/>
      <c r="F316" s="24"/>
      <c r="G316" s="24"/>
      <c r="H316" s="24"/>
      <c r="I316" s="24"/>
      <c r="J316" s="24"/>
      <c r="K316" s="25"/>
    </row>
    <row r="317" s="5" customFormat="1" ht="16.5" spans="1:11">
      <c r="A317" s="22"/>
      <c r="B317" s="23"/>
      <c r="C317" s="24"/>
      <c r="D317" s="24"/>
      <c r="E317" s="24"/>
      <c r="F317" s="24"/>
      <c r="G317" s="24"/>
      <c r="H317" s="24"/>
      <c r="I317" s="24"/>
      <c r="J317" s="24"/>
      <c r="K317" s="25"/>
    </row>
    <row r="318" s="5" customFormat="1" ht="16.5" spans="1:11">
      <c r="A318" s="22"/>
      <c r="B318" s="23"/>
      <c r="C318" s="24"/>
      <c r="D318" s="24"/>
      <c r="E318" s="24"/>
      <c r="F318" s="24"/>
      <c r="G318" s="24"/>
      <c r="H318" s="24"/>
      <c r="I318" s="24"/>
      <c r="J318" s="24"/>
      <c r="K318" s="25"/>
    </row>
    <row r="319" s="5" customFormat="1" ht="16.5" spans="1:11">
      <c r="A319" s="22"/>
      <c r="B319" s="23"/>
      <c r="C319" s="24"/>
      <c r="D319" s="24"/>
      <c r="E319" s="24"/>
      <c r="F319" s="24"/>
      <c r="G319" s="24"/>
      <c r="H319" s="24"/>
      <c r="I319" s="24"/>
      <c r="J319" s="24"/>
      <c r="K319" s="25"/>
    </row>
    <row r="320" s="5" customFormat="1" ht="16.5" spans="1:11">
      <c r="A320" s="22"/>
      <c r="B320" s="23"/>
      <c r="C320" s="24"/>
      <c r="D320" s="24"/>
      <c r="E320" s="24"/>
      <c r="F320" s="24"/>
      <c r="G320" s="24"/>
      <c r="H320" s="24"/>
      <c r="I320" s="24"/>
      <c r="J320" s="24"/>
      <c r="K320" s="25"/>
    </row>
    <row r="321" s="5" customFormat="1" ht="16.5" spans="1:11">
      <c r="A321" s="22"/>
      <c r="B321" s="23"/>
      <c r="C321" s="24"/>
      <c r="D321" s="24"/>
      <c r="E321" s="24"/>
      <c r="F321" s="24"/>
      <c r="G321" s="24"/>
      <c r="H321" s="24"/>
      <c r="I321" s="24"/>
      <c r="J321" s="24"/>
      <c r="K321" s="25"/>
    </row>
    <row r="322" s="5" customFormat="1" ht="16.5" spans="1:11">
      <c r="A322" s="22"/>
      <c r="B322" s="23"/>
      <c r="C322" s="24"/>
      <c r="D322" s="24"/>
      <c r="E322" s="24"/>
      <c r="F322" s="24"/>
      <c r="G322" s="24"/>
      <c r="H322" s="24"/>
      <c r="I322" s="24"/>
      <c r="J322" s="24"/>
      <c r="K322" s="25"/>
    </row>
    <row r="323" s="5" customFormat="1" ht="16.5" spans="1:11">
      <c r="A323" s="22"/>
      <c r="B323" s="23"/>
      <c r="C323" s="24"/>
      <c r="D323" s="24"/>
      <c r="E323" s="24"/>
      <c r="F323" s="24"/>
      <c r="G323" s="24"/>
      <c r="H323" s="24"/>
      <c r="I323" s="24"/>
      <c r="J323" s="24"/>
      <c r="K323" s="25"/>
    </row>
    <row r="324" s="5" customFormat="1" ht="16.5" spans="1:11">
      <c r="A324" s="22"/>
      <c r="B324" s="23"/>
      <c r="C324" s="24"/>
      <c r="D324" s="24"/>
      <c r="E324" s="24"/>
      <c r="F324" s="24"/>
      <c r="G324" s="24"/>
      <c r="H324" s="24"/>
      <c r="I324" s="24"/>
      <c r="J324" s="24"/>
      <c r="K324" s="25"/>
    </row>
    <row r="325" s="5" customFormat="1" ht="16.5" spans="1:11">
      <c r="A325" s="22"/>
      <c r="B325" s="23"/>
      <c r="C325" s="24"/>
      <c r="D325" s="24"/>
      <c r="E325" s="24"/>
      <c r="F325" s="24"/>
      <c r="G325" s="24"/>
      <c r="H325" s="24"/>
      <c r="I325" s="24"/>
      <c r="J325" s="24"/>
      <c r="K325" s="25"/>
    </row>
    <row r="326" s="5" customFormat="1" ht="16.5" spans="1:11">
      <c r="A326" s="22"/>
      <c r="B326" s="23"/>
      <c r="C326" s="24"/>
      <c r="D326" s="24"/>
      <c r="E326" s="24"/>
      <c r="F326" s="24"/>
      <c r="G326" s="24"/>
      <c r="H326" s="24"/>
      <c r="I326" s="24"/>
      <c r="J326" s="24"/>
      <c r="K326" s="25"/>
    </row>
    <row r="327" s="5" customFormat="1" ht="16.5" spans="1:11">
      <c r="A327" s="22"/>
      <c r="B327" s="23"/>
      <c r="C327" s="24"/>
      <c r="D327" s="24"/>
      <c r="E327" s="24"/>
      <c r="F327" s="24"/>
      <c r="G327" s="24"/>
      <c r="H327" s="24"/>
      <c r="I327" s="24"/>
      <c r="J327" s="24"/>
      <c r="K327" s="25"/>
    </row>
    <row r="328" s="5" customFormat="1" ht="16.5" spans="1:11">
      <c r="A328" s="22"/>
      <c r="B328" s="23"/>
      <c r="C328" s="24"/>
      <c r="D328" s="24"/>
      <c r="E328" s="24"/>
      <c r="F328" s="24"/>
      <c r="G328" s="24"/>
      <c r="H328" s="24"/>
      <c r="I328" s="24"/>
      <c r="J328" s="24"/>
      <c r="K328" s="25"/>
    </row>
    <row r="329" s="5" customFormat="1" ht="16.5" spans="1:11">
      <c r="A329" s="22"/>
      <c r="B329" s="23"/>
      <c r="C329" s="24"/>
      <c r="D329" s="24"/>
      <c r="E329" s="24"/>
      <c r="F329" s="24"/>
      <c r="G329" s="24"/>
      <c r="H329" s="24"/>
      <c r="I329" s="24"/>
      <c r="J329" s="24"/>
      <c r="K329" s="25"/>
    </row>
    <row r="330" s="5" customFormat="1" ht="16.5" spans="1:11">
      <c r="A330" s="22"/>
      <c r="B330" s="23"/>
      <c r="C330" s="24"/>
      <c r="D330" s="24"/>
      <c r="E330" s="24"/>
      <c r="F330" s="24"/>
      <c r="G330" s="24"/>
      <c r="H330" s="24"/>
      <c r="I330" s="24"/>
      <c r="J330" s="24"/>
      <c r="K330" s="25"/>
    </row>
    <row r="331" s="5" customFormat="1" ht="16.5" spans="1:11">
      <c r="A331" s="22"/>
      <c r="B331" s="23"/>
      <c r="C331" s="24"/>
      <c r="D331" s="24"/>
      <c r="E331" s="24"/>
      <c r="F331" s="24"/>
      <c r="G331" s="24"/>
      <c r="H331" s="24"/>
      <c r="I331" s="24"/>
      <c r="J331" s="24"/>
      <c r="K331" s="25"/>
    </row>
    <row r="332" s="5" customFormat="1" ht="16.5" spans="1:11">
      <c r="A332" s="22"/>
      <c r="B332" s="23"/>
      <c r="C332" s="24"/>
      <c r="D332" s="24"/>
      <c r="E332" s="24"/>
      <c r="F332" s="24"/>
      <c r="G332" s="24"/>
      <c r="H332" s="24"/>
      <c r="I332" s="24"/>
      <c r="J332" s="24"/>
      <c r="K332" s="25"/>
    </row>
    <row r="333" s="5" customFormat="1" ht="16.5" spans="1:11">
      <c r="A333" s="22"/>
      <c r="B333" s="23"/>
      <c r="C333" s="24"/>
      <c r="D333" s="24"/>
      <c r="E333" s="24"/>
      <c r="F333" s="24"/>
      <c r="G333" s="24"/>
      <c r="H333" s="24"/>
      <c r="I333" s="24"/>
      <c r="J333" s="24"/>
      <c r="K333" s="25"/>
    </row>
    <row r="334" s="5" customFormat="1" ht="16.5" spans="1:11">
      <c r="A334" s="22"/>
      <c r="B334" s="23"/>
      <c r="C334" s="24"/>
      <c r="D334" s="24"/>
      <c r="E334" s="24"/>
      <c r="F334" s="24"/>
      <c r="G334" s="24"/>
      <c r="H334" s="24"/>
      <c r="I334" s="24"/>
      <c r="J334" s="24"/>
      <c r="K334" s="25"/>
    </row>
    <row r="335" s="5" customFormat="1" ht="16.5" spans="1:11">
      <c r="A335" s="22"/>
      <c r="B335" s="23"/>
      <c r="C335" s="24"/>
      <c r="D335" s="24"/>
      <c r="E335" s="24"/>
      <c r="F335" s="24"/>
      <c r="G335" s="24"/>
      <c r="H335" s="24"/>
      <c r="I335" s="24"/>
      <c r="J335" s="24"/>
      <c r="K335" s="25"/>
    </row>
    <row r="336" s="5" customFormat="1" ht="16.5" spans="1:11">
      <c r="A336" s="22"/>
      <c r="B336" s="23"/>
      <c r="C336" s="24"/>
      <c r="D336" s="24"/>
      <c r="E336" s="24"/>
      <c r="F336" s="24"/>
      <c r="G336" s="24"/>
      <c r="H336" s="24"/>
      <c r="I336" s="24"/>
      <c r="J336" s="24"/>
      <c r="K336" s="25"/>
    </row>
    <row r="337" s="5" customFormat="1" ht="16.5" spans="1:11">
      <c r="A337" s="22"/>
      <c r="B337" s="23"/>
      <c r="C337" s="24"/>
      <c r="D337" s="24"/>
      <c r="E337" s="24"/>
      <c r="F337" s="24"/>
      <c r="G337" s="24"/>
      <c r="H337" s="24"/>
      <c r="I337" s="24"/>
      <c r="J337" s="24"/>
      <c r="K337" s="25"/>
    </row>
    <row r="338" s="5" customFormat="1" ht="16.5" spans="1:11">
      <c r="A338" s="22"/>
      <c r="B338" s="23"/>
      <c r="C338" s="24"/>
      <c r="D338" s="24"/>
      <c r="E338" s="24"/>
      <c r="F338" s="24"/>
      <c r="G338" s="24"/>
      <c r="H338" s="24"/>
      <c r="I338" s="24"/>
      <c r="J338" s="24"/>
      <c r="K338" s="25"/>
    </row>
    <row r="339" s="5" customFormat="1" ht="16.5" spans="1:11">
      <c r="A339" s="22"/>
      <c r="B339" s="23"/>
      <c r="C339" s="24"/>
      <c r="D339" s="24"/>
      <c r="E339" s="24"/>
      <c r="F339" s="24"/>
      <c r="G339" s="24"/>
      <c r="H339" s="24"/>
      <c r="I339" s="24"/>
      <c r="J339" s="24"/>
      <c r="K339" s="25"/>
    </row>
    <row r="340" s="5" customFormat="1" ht="16.5" spans="1:11">
      <c r="A340" s="22"/>
      <c r="B340" s="23"/>
      <c r="C340" s="24"/>
      <c r="D340" s="24"/>
      <c r="E340" s="24"/>
      <c r="F340" s="24"/>
      <c r="G340" s="24"/>
      <c r="H340" s="24"/>
      <c r="I340" s="24"/>
      <c r="J340" s="24"/>
      <c r="K340" s="25"/>
    </row>
    <row r="341" s="5" customFormat="1" ht="16.5" spans="1:11">
      <c r="A341" s="22"/>
      <c r="B341" s="23"/>
      <c r="C341" s="24"/>
      <c r="D341" s="24"/>
      <c r="E341" s="24"/>
      <c r="F341" s="24"/>
      <c r="G341" s="24"/>
      <c r="H341" s="24"/>
      <c r="I341" s="24"/>
      <c r="J341" s="24"/>
      <c r="K341" s="25"/>
    </row>
    <row r="342" s="5" customFormat="1" ht="16.5" spans="1:11">
      <c r="A342" s="22"/>
      <c r="B342" s="23"/>
      <c r="C342" s="24"/>
      <c r="D342" s="24"/>
      <c r="E342" s="24"/>
      <c r="F342" s="24"/>
      <c r="G342" s="24"/>
      <c r="H342" s="24"/>
      <c r="I342" s="24"/>
      <c r="J342" s="24"/>
      <c r="K342" s="25"/>
    </row>
    <row r="343" s="5" customFormat="1" ht="16.5" spans="1:11">
      <c r="A343" s="22"/>
      <c r="B343" s="23"/>
      <c r="C343" s="24"/>
      <c r="D343" s="24"/>
      <c r="E343" s="24"/>
      <c r="F343" s="24"/>
      <c r="G343" s="24"/>
      <c r="H343" s="24"/>
      <c r="I343" s="24"/>
      <c r="J343" s="24"/>
      <c r="K343" s="25"/>
    </row>
    <row r="344" s="5" customFormat="1" ht="16.5" spans="1:11">
      <c r="A344" s="22"/>
      <c r="B344" s="23"/>
      <c r="C344" s="24"/>
      <c r="D344" s="24"/>
      <c r="E344" s="24"/>
      <c r="F344" s="24"/>
      <c r="G344" s="24"/>
      <c r="H344" s="24"/>
      <c r="I344" s="24"/>
      <c r="J344" s="24"/>
      <c r="K344" s="25"/>
    </row>
    <row r="345" s="5" customFormat="1" ht="16.5" spans="1:11">
      <c r="A345" s="22"/>
      <c r="B345" s="23"/>
      <c r="C345" s="24"/>
      <c r="D345" s="24"/>
      <c r="E345" s="24"/>
      <c r="F345" s="24"/>
      <c r="G345" s="24"/>
      <c r="H345" s="24"/>
      <c r="I345" s="24"/>
      <c r="J345" s="24"/>
      <c r="K345" s="25"/>
    </row>
    <row r="346" s="5" customFormat="1" ht="16.5" spans="1:11">
      <c r="A346" s="22"/>
      <c r="B346" s="23"/>
      <c r="C346" s="24"/>
      <c r="D346" s="24"/>
      <c r="E346" s="24"/>
      <c r="F346" s="24"/>
      <c r="G346" s="24"/>
      <c r="H346" s="24"/>
      <c r="I346" s="24"/>
      <c r="J346" s="24"/>
      <c r="K346" s="25"/>
    </row>
    <row r="347" s="5" customFormat="1" ht="16.5" spans="1:11">
      <c r="A347" s="22"/>
      <c r="B347" s="23"/>
      <c r="C347" s="24"/>
      <c r="D347" s="24"/>
      <c r="E347" s="24"/>
      <c r="F347" s="24"/>
      <c r="G347" s="24"/>
      <c r="H347" s="24"/>
      <c r="I347" s="24"/>
      <c r="J347" s="24"/>
      <c r="K347" s="25"/>
    </row>
    <row r="348" s="5" customFormat="1" ht="16.5" spans="1:11">
      <c r="A348" s="22"/>
      <c r="B348" s="23"/>
      <c r="C348" s="24"/>
      <c r="D348" s="24"/>
      <c r="E348" s="24"/>
      <c r="F348" s="24"/>
      <c r="G348" s="24"/>
      <c r="H348" s="24"/>
      <c r="I348" s="24"/>
      <c r="J348" s="24"/>
      <c r="K348" s="25"/>
    </row>
    <row r="349" s="5" customFormat="1" ht="16.5" spans="1:11">
      <c r="A349" s="22"/>
      <c r="B349" s="23"/>
      <c r="C349" s="24"/>
      <c r="D349" s="24"/>
      <c r="E349" s="24"/>
      <c r="F349" s="24"/>
      <c r="G349" s="24"/>
      <c r="H349" s="24"/>
      <c r="I349" s="24"/>
      <c r="J349" s="24"/>
      <c r="K349" s="25"/>
    </row>
    <row r="350" s="5" customFormat="1" ht="16.5" spans="1:11">
      <c r="A350" s="22"/>
      <c r="B350" s="23"/>
      <c r="C350" s="24"/>
      <c r="D350" s="24"/>
      <c r="E350" s="24"/>
      <c r="F350" s="24"/>
      <c r="G350" s="24"/>
      <c r="H350" s="24"/>
      <c r="I350" s="24"/>
      <c r="J350" s="24"/>
      <c r="K350" s="25"/>
    </row>
    <row r="351" s="5" customFormat="1" ht="16.5" spans="1:11">
      <c r="A351" s="22"/>
      <c r="B351" s="23"/>
      <c r="C351" s="24"/>
      <c r="D351" s="24"/>
      <c r="E351" s="24"/>
      <c r="F351" s="24"/>
      <c r="G351" s="24"/>
      <c r="H351" s="24"/>
      <c r="I351" s="24"/>
      <c r="J351" s="24"/>
      <c r="K351" s="25"/>
    </row>
    <row r="352" s="5" customFormat="1" ht="16.5" spans="1:11">
      <c r="A352" s="22"/>
      <c r="B352" s="23"/>
      <c r="C352" s="24"/>
      <c r="D352" s="24"/>
      <c r="E352" s="24"/>
      <c r="F352" s="24"/>
      <c r="G352" s="24"/>
      <c r="H352" s="24"/>
      <c r="I352" s="24"/>
      <c r="J352" s="24"/>
      <c r="K352" s="25"/>
    </row>
    <row r="353" s="5" customFormat="1" ht="16.5" spans="1:11">
      <c r="A353" s="22"/>
      <c r="B353" s="23"/>
      <c r="C353" s="24"/>
      <c r="D353" s="24"/>
      <c r="E353" s="24"/>
      <c r="F353" s="24"/>
      <c r="G353" s="24"/>
      <c r="H353" s="24"/>
      <c r="I353" s="24"/>
      <c r="J353" s="24"/>
      <c r="K353" s="25"/>
    </row>
    <row r="354" s="5" customFormat="1" ht="16.5" spans="1:11">
      <c r="A354" s="22"/>
      <c r="B354" s="23"/>
      <c r="C354" s="24"/>
      <c r="D354" s="24"/>
      <c r="E354" s="24"/>
      <c r="F354" s="24"/>
      <c r="G354" s="24"/>
      <c r="H354" s="24"/>
      <c r="I354" s="24"/>
      <c r="J354" s="24"/>
      <c r="K354" s="25"/>
    </row>
    <row r="355" s="5" customFormat="1" ht="16.5" spans="1:11">
      <c r="A355" s="22"/>
      <c r="B355" s="23"/>
      <c r="C355" s="24"/>
      <c r="D355" s="24"/>
      <c r="E355" s="24"/>
      <c r="F355" s="24"/>
      <c r="G355" s="24"/>
      <c r="H355" s="24"/>
      <c r="I355" s="24"/>
      <c r="J355" s="24"/>
      <c r="K355" s="25"/>
    </row>
    <row r="356" s="5" customFormat="1" ht="16.5" spans="1:11">
      <c r="A356" s="22"/>
      <c r="B356" s="23"/>
      <c r="C356" s="24"/>
      <c r="D356" s="24"/>
      <c r="E356" s="24"/>
      <c r="F356" s="24"/>
      <c r="G356" s="24"/>
      <c r="H356" s="24"/>
      <c r="I356" s="24"/>
      <c r="J356" s="24"/>
      <c r="K356" s="25"/>
    </row>
    <row r="357" s="5" customFormat="1" ht="16.5" spans="1:11">
      <c r="A357" s="22"/>
      <c r="B357" s="23"/>
      <c r="C357" s="24"/>
      <c r="D357" s="24"/>
      <c r="E357" s="24"/>
      <c r="F357" s="24"/>
      <c r="G357" s="24"/>
      <c r="H357" s="24"/>
      <c r="I357" s="24"/>
      <c r="J357" s="24"/>
      <c r="K357" s="25"/>
    </row>
    <row r="358" s="5" customFormat="1" ht="16.5" spans="1:11">
      <c r="A358" s="22"/>
      <c r="B358" s="23"/>
      <c r="C358" s="24"/>
      <c r="D358" s="24"/>
      <c r="E358" s="24"/>
      <c r="F358" s="24"/>
      <c r="G358" s="24"/>
      <c r="H358" s="24"/>
      <c r="I358" s="24"/>
      <c r="J358" s="24"/>
      <c r="K358" s="25"/>
    </row>
    <row r="359" s="5" customFormat="1" ht="16.5" spans="1:11">
      <c r="A359" s="22"/>
      <c r="B359" s="23"/>
      <c r="C359" s="24"/>
      <c r="D359" s="24"/>
      <c r="E359" s="24"/>
      <c r="F359" s="24"/>
      <c r="G359" s="24"/>
      <c r="H359" s="24"/>
      <c r="I359" s="24"/>
      <c r="J359" s="24"/>
      <c r="K359" s="25"/>
    </row>
    <row r="360" s="5" customFormat="1" ht="16.5" spans="1:11">
      <c r="A360" s="22"/>
      <c r="B360" s="23"/>
      <c r="C360" s="24"/>
      <c r="D360" s="24"/>
      <c r="E360" s="24"/>
      <c r="F360" s="24"/>
      <c r="G360" s="24"/>
      <c r="H360" s="24"/>
      <c r="I360" s="24"/>
      <c r="J360" s="24"/>
      <c r="K360" s="25"/>
    </row>
    <row r="361" s="5" customFormat="1" ht="16.5" spans="1:11">
      <c r="A361" s="22"/>
      <c r="B361" s="23"/>
      <c r="C361" s="24"/>
      <c r="D361" s="24"/>
      <c r="E361" s="24"/>
      <c r="F361" s="24"/>
      <c r="G361" s="24"/>
      <c r="H361" s="24"/>
      <c r="I361" s="24"/>
      <c r="J361" s="24"/>
      <c r="K361" s="25"/>
    </row>
    <row r="362" s="5" customFormat="1" ht="16.5" spans="1:11">
      <c r="A362" s="22"/>
      <c r="B362" s="23"/>
      <c r="C362" s="24"/>
      <c r="D362" s="24"/>
      <c r="E362" s="24"/>
      <c r="F362" s="24"/>
      <c r="G362" s="24"/>
      <c r="H362" s="24"/>
      <c r="I362" s="24"/>
      <c r="J362" s="24"/>
      <c r="K362" s="25"/>
    </row>
    <row r="363" s="5" customFormat="1" ht="16.5" spans="1:11">
      <c r="A363" s="22"/>
      <c r="B363" s="23"/>
      <c r="C363" s="24"/>
      <c r="D363" s="24"/>
      <c r="E363" s="24"/>
      <c r="F363" s="24"/>
      <c r="G363" s="24"/>
      <c r="H363" s="24"/>
      <c r="I363" s="24"/>
      <c r="J363" s="24"/>
      <c r="K363" s="25"/>
    </row>
    <row r="364" s="5" customFormat="1" ht="16.5" spans="1:11">
      <c r="A364" s="22"/>
      <c r="B364" s="23"/>
      <c r="C364" s="24"/>
      <c r="D364" s="24"/>
      <c r="E364" s="24"/>
      <c r="F364" s="24"/>
      <c r="G364" s="24"/>
      <c r="H364" s="24"/>
      <c r="I364" s="24"/>
      <c r="J364" s="24"/>
      <c r="K364" s="25"/>
    </row>
    <row r="365" s="5" customFormat="1" ht="16.5" spans="1:11">
      <c r="A365" s="22"/>
      <c r="B365" s="23"/>
      <c r="C365" s="24"/>
      <c r="D365" s="24"/>
      <c r="E365" s="24"/>
      <c r="F365" s="24"/>
      <c r="G365" s="24"/>
      <c r="H365" s="24"/>
      <c r="I365" s="24"/>
      <c r="J365" s="24"/>
      <c r="K365" s="25"/>
    </row>
    <row r="366" s="5" customFormat="1" ht="16.5" spans="1:11">
      <c r="A366" s="22"/>
      <c r="B366" s="23"/>
      <c r="C366" s="24"/>
      <c r="D366" s="24"/>
      <c r="E366" s="24"/>
      <c r="F366" s="24"/>
      <c r="G366" s="24"/>
      <c r="H366" s="24"/>
      <c r="I366" s="24"/>
      <c r="J366" s="24"/>
      <c r="K366" s="25"/>
    </row>
    <row r="367" s="5" customFormat="1" ht="16.5" spans="1:11">
      <c r="A367" s="22"/>
      <c r="B367" s="23"/>
      <c r="C367" s="24"/>
      <c r="D367" s="24"/>
      <c r="E367" s="24"/>
      <c r="F367" s="24"/>
      <c r="G367" s="24"/>
      <c r="H367" s="24"/>
      <c r="I367" s="24"/>
      <c r="J367" s="24"/>
      <c r="K367" s="25"/>
    </row>
    <row r="368" s="5" customFormat="1" ht="16.5" spans="1:11">
      <c r="A368" s="22"/>
      <c r="B368" s="23"/>
      <c r="C368" s="24"/>
      <c r="D368" s="24"/>
      <c r="E368" s="24"/>
      <c r="F368" s="24"/>
      <c r="G368" s="24"/>
      <c r="H368" s="24"/>
      <c r="I368" s="24"/>
      <c r="J368" s="24"/>
      <c r="K368" s="25"/>
    </row>
    <row r="369" s="5" customFormat="1" ht="16.5" spans="1:11">
      <c r="A369" s="22"/>
      <c r="B369" s="23"/>
      <c r="C369" s="24"/>
      <c r="D369" s="24"/>
      <c r="E369" s="24"/>
      <c r="F369" s="24"/>
      <c r="G369" s="24"/>
      <c r="H369" s="24"/>
      <c r="I369" s="24"/>
      <c r="J369" s="24"/>
      <c r="K369" s="25"/>
    </row>
    <row r="370" s="5" customFormat="1" ht="16.5" spans="1:11">
      <c r="A370" s="22"/>
      <c r="B370" s="23"/>
      <c r="C370" s="24"/>
      <c r="D370" s="24"/>
      <c r="E370" s="24"/>
      <c r="F370" s="24"/>
      <c r="G370" s="24"/>
      <c r="H370" s="24"/>
      <c r="I370" s="24"/>
      <c r="J370" s="24"/>
      <c r="K370" s="25"/>
    </row>
    <row r="371" s="5" customFormat="1" ht="16.5" spans="1:11">
      <c r="A371" s="22"/>
      <c r="B371" s="23"/>
      <c r="C371" s="24"/>
      <c r="D371" s="24"/>
      <c r="E371" s="24"/>
      <c r="F371" s="24"/>
      <c r="G371" s="24"/>
      <c r="H371" s="24"/>
      <c r="I371" s="24"/>
      <c r="J371" s="24"/>
      <c r="K371" s="25"/>
    </row>
    <row r="372" s="5" customFormat="1" ht="16.5" spans="1:11">
      <c r="A372" s="22"/>
      <c r="B372" s="23"/>
      <c r="C372" s="24"/>
      <c r="D372" s="24"/>
      <c r="E372" s="24"/>
      <c r="F372" s="24"/>
      <c r="G372" s="24"/>
      <c r="H372" s="24"/>
      <c r="I372" s="24"/>
      <c r="J372" s="24"/>
      <c r="K372" s="25"/>
    </row>
    <row r="373" s="5" customFormat="1" ht="16.5" spans="1:11">
      <c r="A373" s="22"/>
      <c r="B373" s="23"/>
      <c r="C373" s="24"/>
      <c r="D373" s="24"/>
      <c r="E373" s="24"/>
      <c r="F373" s="24"/>
      <c r="G373" s="24"/>
      <c r="H373" s="24"/>
      <c r="I373" s="24"/>
      <c r="J373" s="24"/>
      <c r="K373" s="25"/>
    </row>
    <row r="374" s="5" customFormat="1" ht="16.5" spans="1:11">
      <c r="A374" s="22"/>
      <c r="B374" s="23"/>
      <c r="C374" s="24"/>
      <c r="D374" s="24"/>
      <c r="E374" s="24"/>
      <c r="F374" s="24"/>
      <c r="G374" s="24"/>
      <c r="H374" s="24"/>
      <c r="I374" s="24"/>
      <c r="J374" s="24"/>
      <c r="K374" s="25"/>
    </row>
    <row r="375" s="5" customFormat="1" ht="16.5" spans="1:11">
      <c r="A375" s="22"/>
      <c r="B375" s="23"/>
      <c r="C375" s="24"/>
      <c r="D375" s="24"/>
      <c r="E375" s="24"/>
      <c r="F375" s="24"/>
      <c r="G375" s="24"/>
      <c r="H375" s="24"/>
      <c r="I375" s="24"/>
      <c r="J375" s="24"/>
      <c r="K375" s="25"/>
    </row>
    <row r="376" s="5" customFormat="1" ht="16.5" spans="1:11">
      <c r="A376" s="22"/>
      <c r="B376" s="23"/>
      <c r="C376" s="24"/>
      <c r="D376" s="24"/>
      <c r="E376" s="24"/>
      <c r="F376" s="24"/>
      <c r="G376" s="24"/>
      <c r="H376" s="24"/>
      <c r="I376" s="24"/>
      <c r="J376" s="24"/>
      <c r="K376" s="25"/>
    </row>
    <row r="377" s="5" customFormat="1" ht="16.5" spans="1:11">
      <c r="A377" s="22"/>
      <c r="B377" s="23"/>
      <c r="C377" s="24"/>
      <c r="D377" s="24"/>
      <c r="E377" s="24"/>
      <c r="F377" s="24"/>
      <c r="G377" s="24"/>
      <c r="H377" s="24"/>
      <c r="I377" s="24"/>
      <c r="J377" s="24"/>
      <c r="K377" s="25"/>
    </row>
    <row r="378" s="5" customFormat="1" ht="16.5" spans="1:11">
      <c r="A378" s="22"/>
      <c r="B378" s="23"/>
      <c r="C378" s="24"/>
      <c r="D378" s="24"/>
      <c r="E378" s="24"/>
      <c r="F378" s="24"/>
      <c r="G378" s="24"/>
      <c r="H378" s="24"/>
      <c r="I378" s="24"/>
      <c r="J378" s="24"/>
      <c r="K378" s="25"/>
    </row>
    <row r="379" s="5" customFormat="1" ht="16.5" spans="1:11">
      <c r="A379" s="22"/>
      <c r="B379" s="23"/>
      <c r="C379" s="24"/>
      <c r="D379" s="24"/>
      <c r="E379" s="24"/>
      <c r="F379" s="24"/>
      <c r="G379" s="24"/>
      <c r="H379" s="24"/>
      <c r="I379" s="24"/>
      <c r="J379" s="24"/>
      <c r="K379" s="25"/>
    </row>
    <row r="380" s="5" customFormat="1" ht="16.5" spans="1:11">
      <c r="A380" s="22"/>
      <c r="B380" s="23"/>
      <c r="C380" s="24"/>
      <c r="D380" s="24"/>
      <c r="E380" s="24"/>
      <c r="F380" s="24"/>
      <c r="G380" s="24"/>
      <c r="H380" s="24"/>
      <c r="I380" s="24"/>
      <c r="J380" s="24"/>
      <c r="K380" s="25"/>
    </row>
    <row r="381" s="5" customFormat="1" ht="16.5" spans="1:11">
      <c r="A381" s="22"/>
      <c r="B381" s="23"/>
      <c r="C381" s="24"/>
      <c r="D381" s="24"/>
      <c r="E381" s="24"/>
      <c r="F381" s="24"/>
      <c r="G381" s="24"/>
      <c r="H381" s="24"/>
      <c r="I381" s="24"/>
      <c r="J381" s="24"/>
      <c r="K381" s="25"/>
    </row>
    <row r="382" s="5" customFormat="1" ht="16.5" spans="1:11">
      <c r="A382" s="22"/>
      <c r="B382" s="23"/>
      <c r="C382" s="24"/>
      <c r="D382" s="24"/>
      <c r="E382" s="24"/>
      <c r="F382" s="24"/>
      <c r="G382" s="24"/>
      <c r="H382" s="24"/>
      <c r="I382" s="24"/>
      <c r="J382" s="24"/>
      <c r="K382" s="25"/>
    </row>
    <row r="383" s="5" customFormat="1" ht="16.5" spans="1:11">
      <c r="A383" s="22"/>
      <c r="B383" s="23"/>
      <c r="C383" s="24"/>
      <c r="D383" s="24"/>
      <c r="E383" s="24"/>
      <c r="F383" s="24"/>
      <c r="G383" s="24"/>
      <c r="H383" s="24"/>
      <c r="I383" s="24"/>
      <c r="J383" s="24"/>
      <c r="K383" s="25"/>
    </row>
    <row r="384" s="5" customFormat="1" ht="16.5" spans="1:11">
      <c r="A384" s="22"/>
      <c r="B384" s="23"/>
      <c r="C384" s="24"/>
      <c r="D384" s="24"/>
      <c r="E384" s="24"/>
      <c r="F384" s="24"/>
      <c r="G384" s="24"/>
      <c r="H384" s="24"/>
      <c r="I384" s="24"/>
      <c r="J384" s="24"/>
      <c r="K384" s="25"/>
    </row>
    <row r="385" s="5" customFormat="1" ht="16.5" spans="1:11">
      <c r="A385" s="22"/>
      <c r="B385" s="23"/>
      <c r="C385" s="24"/>
      <c r="D385" s="24"/>
      <c r="E385" s="24"/>
      <c r="F385" s="24"/>
      <c r="G385" s="24"/>
      <c r="H385" s="24"/>
      <c r="I385" s="24"/>
      <c r="J385" s="24"/>
      <c r="K385" s="25"/>
    </row>
    <row r="386" s="5" customFormat="1" ht="16.5" spans="1:11">
      <c r="A386" s="22"/>
      <c r="B386" s="23"/>
      <c r="C386" s="24"/>
      <c r="D386" s="24"/>
      <c r="E386" s="24"/>
      <c r="F386" s="24"/>
      <c r="G386" s="24"/>
      <c r="H386" s="24"/>
      <c r="I386" s="24"/>
      <c r="J386" s="24"/>
      <c r="K386" s="25"/>
    </row>
    <row r="387" s="5" customFormat="1" ht="16.5" spans="1:11">
      <c r="A387" s="22"/>
      <c r="B387" s="23"/>
      <c r="C387" s="24"/>
      <c r="D387" s="24"/>
      <c r="E387" s="24"/>
      <c r="F387" s="24"/>
      <c r="G387" s="24"/>
      <c r="H387" s="24"/>
      <c r="I387" s="24"/>
      <c r="J387" s="24"/>
      <c r="K387" s="25"/>
    </row>
    <row r="388" s="5" customFormat="1" ht="16.5" spans="1:11">
      <c r="A388" s="22"/>
      <c r="B388" s="23"/>
      <c r="C388" s="24"/>
      <c r="D388" s="24"/>
      <c r="E388" s="24"/>
      <c r="F388" s="24"/>
      <c r="G388" s="24"/>
      <c r="H388" s="24"/>
      <c r="I388" s="24"/>
      <c r="J388" s="24"/>
      <c r="K388" s="25"/>
    </row>
    <row r="389" s="5" customFormat="1" ht="16.5" spans="1:11">
      <c r="A389" s="22"/>
      <c r="B389" s="23"/>
      <c r="C389" s="24"/>
      <c r="D389" s="24"/>
      <c r="E389" s="24"/>
      <c r="F389" s="24"/>
      <c r="G389" s="24"/>
      <c r="H389" s="24"/>
      <c r="I389" s="24"/>
      <c r="J389" s="24"/>
      <c r="K389" s="25"/>
    </row>
    <row r="390" s="5" customFormat="1" ht="16.5" spans="1:11">
      <c r="A390" s="22"/>
      <c r="B390" s="23"/>
      <c r="C390" s="24"/>
      <c r="D390" s="24"/>
      <c r="E390" s="24"/>
      <c r="F390" s="24"/>
      <c r="G390" s="24"/>
      <c r="H390" s="24"/>
      <c r="I390" s="24"/>
      <c r="J390" s="24"/>
      <c r="K390" s="25"/>
    </row>
    <row r="391" s="5" customFormat="1" ht="16.5" spans="1:11">
      <c r="A391" s="22"/>
      <c r="B391" s="23"/>
      <c r="C391" s="24"/>
      <c r="D391" s="24"/>
      <c r="E391" s="24"/>
      <c r="F391" s="24"/>
      <c r="G391" s="24"/>
      <c r="H391" s="24"/>
      <c r="I391" s="24"/>
      <c r="J391" s="24"/>
      <c r="K391" s="25"/>
    </row>
    <row r="392" s="5" customFormat="1" ht="16.5" spans="1:11">
      <c r="A392" s="22"/>
      <c r="B392" s="23"/>
      <c r="C392" s="24"/>
      <c r="D392" s="24"/>
      <c r="E392" s="24"/>
      <c r="F392" s="24"/>
      <c r="G392" s="24"/>
      <c r="H392" s="24"/>
      <c r="I392" s="24"/>
      <c r="J392" s="24"/>
      <c r="K392" s="25"/>
    </row>
    <row r="393" s="5" customFormat="1" ht="16.5" spans="1:11">
      <c r="A393" s="22"/>
      <c r="B393" s="23"/>
      <c r="C393" s="24"/>
      <c r="D393" s="24"/>
      <c r="E393" s="24"/>
      <c r="F393" s="24"/>
      <c r="G393" s="24"/>
      <c r="H393" s="24"/>
      <c r="I393" s="24"/>
      <c r="J393" s="24"/>
      <c r="K393" s="25"/>
    </row>
    <row r="394" s="5" customFormat="1" ht="16.5" spans="1:11">
      <c r="A394" s="22"/>
      <c r="B394" s="23"/>
      <c r="C394" s="24"/>
      <c r="D394" s="24"/>
      <c r="E394" s="24"/>
      <c r="F394" s="24"/>
      <c r="G394" s="24"/>
      <c r="H394" s="24"/>
      <c r="I394" s="24"/>
      <c r="J394" s="24"/>
      <c r="K394" s="25"/>
    </row>
    <row r="395" s="5" customFormat="1" ht="16.5" spans="1:11">
      <c r="A395" s="22"/>
      <c r="B395" s="23"/>
      <c r="C395" s="24"/>
      <c r="D395" s="24"/>
      <c r="E395" s="24"/>
      <c r="F395" s="24"/>
      <c r="G395" s="24"/>
      <c r="H395" s="24"/>
      <c r="I395" s="24"/>
      <c r="J395" s="24"/>
      <c r="K395" s="25"/>
    </row>
    <row r="396" s="5" customFormat="1" ht="16.5" spans="1:11">
      <c r="A396" s="22"/>
      <c r="B396" s="23"/>
      <c r="C396" s="24"/>
      <c r="D396" s="24"/>
      <c r="E396" s="24"/>
      <c r="F396" s="24"/>
      <c r="G396" s="24"/>
      <c r="H396" s="24"/>
      <c r="I396" s="24"/>
      <c r="J396" s="24"/>
      <c r="K396" s="25"/>
    </row>
    <row r="397" s="5" customFormat="1" ht="16.5" spans="1:11">
      <c r="A397" s="22"/>
      <c r="B397" s="23"/>
      <c r="C397" s="24"/>
      <c r="D397" s="24"/>
      <c r="E397" s="24"/>
      <c r="F397" s="24"/>
      <c r="G397" s="24"/>
      <c r="H397" s="24"/>
      <c r="I397" s="24"/>
      <c r="J397" s="24"/>
      <c r="K397" s="25"/>
    </row>
    <row r="398" s="5" customFormat="1" ht="16.5" spans="1:11">
      <c r="A398" s="22"/>
      <c r="B398" s="23"/>
      <c r="C398" s="24"/>
      <c r="D398" s="24"/>
      <c r="E398" s="24"/>
      <c r="F398" s="24"/>
      <c r="G398" s="24"/>
      <c r="H398" s="24"/>
      <c r="I398" s="24"/>
      <c r="J398" s="24"/>
      <c r="K398" s="25"/>
    </row>
    <row r="399" s="5" customFormat="1" ht="16.5" spans="1:11">
      <c r="A399" s="22"/>
      <c r="B399" s="23"/>
      <c r="C399" s="24"/>
      <c r="D399" s="24"/>
      <c r="E399" s="24"/>
      <c r="F399" s="24"/>
      <c r="G399" s="24"/>
      <c r="H399" s="24"/>
      <c r="I399" s="24"/>
      <c r="J399" s="24"/>
      <c r="K399" s="25"/>
    </row>
    <row r="400" s="5" customFormat="1" ht="16.5" spans="1:11">
      <c r="A400" s="22"/>
      <c r="B400" s="23"/>
      <c r="C400" s="24"/>
      <c r="D400" s="24"/>
      <c r="E400" s="24"/>
      <c r="F400" s="24"/>
      <c r="G400" s="24"/>
      <c r="H400" s="24"/>
      <c r="I400" s="24"/>
      <c r="J400" s="24"/>
      <c r="K400" s="25"/>
    </row>
    <row r="401" s="5" customFormat="1" ht="16.5" spans="1:11">
      <c r="A401" s="22"/>
      <c r="B401" s="23"/>
      <c r="C401" s="24"/>
      <c r="D401" s="24"/>
      <c r="E401" s="24"/>
      <c r="F401" s="24"/>
      <c r="G401" s="24"/>
      <c r="H401" s="24"/>
      <c r="I401" s="24"/>
      <c r="J401" s="24"/>
      <c r="K401" s="25"/>
    </row>
    <row r="402" s="5" customFormat="1" ht="16.5" spans="1:11">
      <c r="A402" s="22"/>
      <c r="B402" s="23"/>
      <c r="C402" s="24"/>
      <c r="D402" s="24"/>
      <c r="E402" s="24"/>
      <c r="F402" s="24"/>
      <c r="G402" s="24"/>
      <c r="H402" s="24"/>
      <c r="I402" s="24"/>
      <c r="J402" s="24"/>
      <c r="K402" s="25"/>
    </row>
    <row r="403" s="5" customFormat="1" ht="16.5" spans="1:11">
      <c r="A403" s="22"/>
      <c r="B403" s="23"/>
      <c r="C403" s="24"/>
      <c r="D403" s="24"/>
      <c r="E403" s="24"/>
      <c r="F403" s="24"/>
      <c r="G403" s="24"/>
      <c r="H403" s="24"/>
      <c r="I403" s="24"/>
      <c r="J403" s="24"/>
      <c r="K403" s="25"/>
    </row>
    <row r="404" s="5" customFormat="1" ht="16.5" spans="1:11">
      <c r="A404" s="22"/>
      <c r="B404" s="23"/>
      <c r="C404" s="24"/>
      <c r="D404" s="24"/>
      <c r="E404" s="24"/>
      <c r="F404" s="24"/>
      <c r="G404" s="24"/>
      <c r="H404" s="24"/>
      <c r="I404" s="24"/>
      <c r="J404" s="24"/>
      <c r="K404" s="25"/>
    </row>
    <row r="405" s="5" customFormat="1" ht="16.5" spans="1:11">
      <c r="A405" s="22"/>
      <c r="B405" s="23"/>
      <c r="C405" s="24"/>
      <c r="D405" s="24"/>
      <c r="E405" s="24"/>
      <c r="F405" s="24"/>
      <c r="G405" s="24"/>
      <c r="H405" s="24"/>
      <c r="I405" s="24"/>
      <c r="J405" s="24"/>
      <c r="K405" s="25"/>
    </row>
    <row r="406" s="5" customFormat="1" ht="16.5" spans="1:11">
      <c r="A406" s="22"/>
      <c r="B406" s="23"/>
      <c r="C406" s="24"/>
      <c r="D406" s="24"/>
      <c r="E406" s="24"/>
      <c r="F406" s="24"/>
      <c r="G406" s="24"/>
      <c r="H406" s="24"/>
      <c r="I406" s="24"/>
      <c r="J406" s="24"/>
      <c r="K406" s="25"/>
    </row>
    <row r="407" s="5" customFormat="1" ht="16.5" spans="1:11">
      <c r="A407" s="22"/>
      <c r="B407" s="23"/>
      <c r="C407" s="24"/>
      <c r="D407" s="24"/>
      <c r="E407" s="24"/>
      <c r="F407" s="24"/>
      <c r="G407" s="24"/>
      <c r="H407" s="24"/>
      <c r="I407" s="24"/>
      <c r="J407" s="24"/>
      <c r="K407" s="25"/>
    </row>
    <row r="408" s="5" customFormat="1" ht="16.5" spans="1:11">
      <c r="A408" s="22"/>
      <c r="B408" s="23"/>
      <c r="C408" s="24"/>
      <c r="D408" s="24"/>
      <c r="E408" s="24"/>
      <c r="F408" s="24"/>
      <c r="G408" s="24"/>
      <c r="H408" s="24"/>
      <c r="I408" s="24"/>
      <c r="J408" s="24"/>
      <c r="K408" s="25"/>
    </row>
    <row r="409" s="5" customFormat="1" ht="16.5" spans="1:11">
      <c r="A409" s="22"/>
      <c r="B409" s="23"/>
      <c r="C409" s="24"/>
      <c r="D409" s="24"/>
      <c r="E409" s="24"/>
      <c r="F409" s="24"/>
      <c r="G409" s="24"/>
      <c r="H409" s="24"/>
      <c r="I409" s="24"/>
      <c r="J409" s="24"/>
      <c r="K409" s="25"/>
    </row>
    <row r="410" s="5" customFormat="1" ht="16.5" spans="1:11">
      <c r="A410" s="22"/>
      <c r="B410" s="23"/>
      <c r="C410" s="24"/>
      <c r="D410" s="24"/>
      <c r="E410" s="24"/>
      <c r="F410" s="24"/>
      <c r="G410" s="24"/>
      <c r="H410" s="24"/>
      <c r="I410" s="24"/>
      <c r="J410" s="24"/>
      <c r="K410" s="25"/>
    </row>
    <row r="411" s="5" customFormat="1" ht="16.5" spans="1:11">
      <c r="A411" s="22"/>
      <c r="B411" s="23"/>
      <c r="C411" s="24"/>
      <c r="D411" s="24"/>
      <c r="E411" s="24"/>
      <c r="F411" s="24"/>
      <c r="G411" s="24"/>
      <c r="H411" s="24"/>
      <c r="I411" s="24"/>
      <c r="J411" s="24"/>
      <c r="K411" s="25"/>
    </row>
    <row r="412" s="5" customFormat="1" ht="16.5" spans="1:11">
      <c r="A412" s="22"/>
      <c r="B412" s="23"/>
      <c r="C412" s="24"/>
      <c r="D412" s="24"/>
      <c r="E412" s="24"/>
      <c r="F412" s="24"/>
      <c r="G412" s="24"/>
      <c r="H412" s="24"/>
      <c r="I412" s="24"/>
      <c r="J412" s="24"/>
      <c r="K412" s="25"/>
    </row>
    <row r="413" s="5" customFormat="1" ht="16.5" spans="1:11">
      <c r="A413" s="22"/>
      <c r="B413" s="23"/>
      <c r="C413" s="24"/>
      <c r="D413" s="24"/>
      <c r="E413" s="24"/>
      <c r="F413" s="24"/>
      <c r="G413" s="24"/>
      <c r="H413" s="24"/>
      <c r="I413" s="24"/>
      <c r="J413" s="24"/>
      <c r="K413" s="25"/>
    </row>
    <row r="414" s="5" customFormat="1" ht="16.5" spans="1:11">
      <c r="A414" s="22"/>
      <c r="B414" s="23"/>
      <c r="C414" s="24"/>
      <c r="D414" s="24"/>
      <c r="E414" s="24"/>
      <c r="F414" s="24"/>
      <c r="G414" s="24"/>
      <c r="H414" s="24"/>
      <c r="I414" s="24"/>
      <c r="J414" s="24"/>
      <c r="K414" s="25"/>
    </row>
    <row r="415" s="5" customFormat="1" ht="16.5" spans="1:11">
      <c r="A415" s="22"/>
      <c r="B415" s="23"/>
      <c r="C415" s="24"/>
      <c r="D415" s="24"/>
      <c r="E415" s="24"/>
      <c r="F415" s="24"/>
      <c r="G415" s="24"/>
      <c r="H415" s="24"/>
      <c r="I415" s="24"/>
      <c r="J415" s="24"/>
      <c r="K415" s="25"/>
    </row>
    <row r="416" s="5" customFormat="1" ht="16.5" spans="1:11">
      <c r="A416" s="22"/>
      <c r="B416" s="23"/>
      <c r="C416" s="24"/>
      <c r="D416" s="24"/>
      <c r="E416" s="24"/>
      <c r="F416" s="24"/>
      <c r="G416" s="24"/>
      <c r="H416" s="24"/>
      <c r="I416" s="24"/>
      <c r="J416" s="24"/>
      <c r="K416" s="25"/>
    </row>
    <row r="417" s="5" customFormat="1" ht="16.5" spans="1:11">
      <c r="A417" s="22"/>
      <c r="B417" s="23"/>
      <c r="C417" s="24"/>
      <c r="D417" s="24"/>
      <c r="E417" s="24"/>
      <c r="F417" s="24"/>
      <c r="G417" s="24"/>
      <c r="H417" s="24"/>
      <c r="I417" s="24"/>
      <c r="J417" s="24"/>
      <c r="K417" s="25"/>
    </row>
    <row r="418" s="5" customFormat="1" ht="16.5" spans="1:11">
      <c r="A418" s="22"/>
      <c r="B418" s="23"/>
      <c r="C418" s="24"/>
      <c r="D418" s="24"/>
      <c r="E418" s="24"/>
      <c r="F418" s="24"/>
      <c r="G418" s="24"/>
      <c r="H418" s="24"/>
      <c r="I418" s="24"/>
      <c r="J418" s="24"/>
      <c r="K418" s="25"/>
    </row>
    <row r="419" s="5" customFormat="1" ht="16.5" spans="1:11">
      <c r="A419" s="22"/>
      <c r="B419" s="23"/>
      <c r="C419" s="24"/>
      <c r="D419" s="24"/>
      <c r="E419" s="24"/>
      <c r="F419" s="24"/>
      <c r="G419" s="24"/>
      <c r="H419" s="24"/>
      <c r="I419" s="24"/>
      <c r="J419" s="24"/>
      <c r="K419" s="25"/>
    </row>
    <row r="420" s="5" customFormat="1" ht="16.5" spans="1:11">
      <c r="A420" s="22"/>
      <c r="B420" s="23"/>
      <c r="C420" s="24"/>
      <c r="D420" s="24"/>
      <c r="E420" s="24"/>
      <c r="F420" s="24"/>
      <c r="G420" s="24"/>
      <c r="H420" s="24"/>
      <c r="I420" s="24"/>
      <c r="J420" s="24"/>
      <c r="K420" s="25"/>
    </row>
    <row r="421" s="5" customFormat="1" ht="16.5" spans="1:11">
      <c r="A421" s="22"/>
      <c r="B421" s="23"/>
      <c r="C421" s="24"/>
      <c r="D421" s="24"/>
      <c r="E421" s="24"/>
      <c r="F421" s="24"/>
      <c r="G421" s="24"/>
      <c r="H421" s="24"/>
      <c r="I421" s="24"/>
      <c r="J421" s="24"/>
      <c r="K421" s="25"/>
    </row>
    <row r="422" s="5" customFormat="1" ht="16.5" spans="1:11">
      <c r="A422" s="22"/>
      <c r="B422" s="23"/>
      <c r="C422" s="24"/>
      <c r="D422" s="24"/>
      <c r="E422" s="24"/>
      <c r="F422" s="24"/>
      <c r="G422" s="24"/>
      <c r="H422" s="24"/>
      <c r="I422" s="24"/>
      <c r="J422" s="24"/>
      <c r="K422" s="25"/>
    </row>
    <row r="423" s="5" customFormat="1" ht="16.5" spans="1:11">
      <c r="A423" s="22"/>
      <c r="B423" s="23"/>
      <c r="C423" s="24"/>
      <c r="D423" s="24"/>
      <c r="E423" s="24"/>
      <c r="F423" s="24"/>
      <c r="G423" s="24"/>
      <c r="H423" s="24"/>
      <c r="I423" s="24"/>
      <c r="J423" s="24"/>
      <c r="K423" s="25"/>
    </row>
    <row r="424" s="5" customFormat="1" ht="16.5" spans="1:11">
      <c r="A424" s="22"/>
      <c r="B424" s="23"/>
      <c r="C424" s="24"/>
      <c r="D424" s="24"/>
      <c r="E424" s="24"/>
      <c r="F424" s="24"/>
      <c r="G424" s="24"/>
      <c r="H424" s="24"/>
      <c r="I424" s="24"/>
      <c r="J424" s="24"/>
      <c r="K424" s="25"/>
    </row>
    <row r="425" s="5" customFormat="1" ht="16.5" spans="1:11">
      <c r="A425" s="22"/>
      <c r="B425" s="23"/>
      <c r="C425" s="24"/>
      <c r="D425" s="24"/>
      <c r="E425" s="24"/>
      <c r="F425" s="24"/>
      <c r="G425" s="24"/>
      <c r="H425" s="24"/>
      <c r="I425" s="24"/>
      <c r="J425" s="24"/>
      <c r="K425" s="25"/>
    </row>
    <row r="426" s="5" customFormat="1" ht="16.5" spans="1:11">
      <c r="A426" s="22"/>
      <c r="B426" s="23"/>
      <c r="C426" s="24"/>
      <c r="D426" s="24"/>
      <c r="E426" s="24"/>
      <c r="F426" s="24"/>
      <c r="G426" s="24"/>
      <c r="H426" s="24"/>
      <c r="I426" s="24"/>
      <c r="J426" s="24"/>
      <c r="K426" s="25"/>
    </row>
    <row r="427" s="5" customFormat="1" ht="16.5" spans="1:11">
      <c r="A427" s="22"/>
      <c r="B427" s="23"/>
      <c r="C427" s="24"/>
      <c r="D427" s="24"/>
      <c r="E427" s="24"/>
      <c r="F427" s="24"/>
      <c r="G427" s="24"/>
      <c r="H427" s="24"/>
      <c r="I427" s="24"/>
      <c r="J427" s="24"/>
      <c r="K427" s="25"/>
    </row>
    <row r="428" s="5" customFormat="1" ht="16.5" spans="1:11">
      <c r="A428" s="22"/>
      <c r="B428" s="23"/>
      <c r="C428" s="24"/>
      <c r="D428" s="24"/>
      <c r="E428" s="24"/>
      <c r="F428" s="24"/>
      <c r="G428" s="24"/>
      <c r="H428" s="24"/>
      <c r="I428" s="24"/>
      <c r="J428" s="24"/>
      <c r="K428" s="25"/>
    </row>
    <row r="429" s="5" customFormat="1" ht="16.5" spans="1:11">
      <c r="A429" s="22"/>
      <c r="B429" s="23"/>
      <c r="C429" s="24"/>
      <c r="D429" s="24"/>
      <c r="E429" s="24"/>
      <c r="F429" s="24"/>
      <c r="G429" s="24"/>
      <c r="H429" s="24"/>
      <c r="I429" s="24"/>
      <c r="J429" s="24"/>
      <c r="K429" s="25"/>
    </row>
    <row r="430" s="5" customFormat="1" ht="16.5" spans="1:11">
      <c r="A430" s="22"/>
      <c r="B430" s="23"/>
      <c r="C430" s="24"/>
      <c r="D430" s="24"/>
      <c r="E430" s="24"/>
      <c r="F430" s="24"/>
      <c r="G430" s="24"/>
      <c r="H430" s="24"/>
      <c r="I430" s="24"/>
      <c r="J430" s="24"/>
      <c r="K430" s="25"/>
    </row>
    <row r="431" s="5" customFormat="1" ht="16.5" spans="1:11">
      <c r="A431" s="22"/>
      <c r="B431" s="23"/>
      <c r="C431" s="24"/>
      <c r="D431" s="24"/>
      <c r="E431" s="24"/>
      <c r="F431" s="24"/>
      <c r="G431" s="24"/>
      <c r="H431" s="24"/>
      <c r="I431" s="24"/>
      <c r="J431" s="24"/>
      <c r="K431" s="25"/>
    </row>
    <row r="432" s="5" customFormat="1" ht="16.5" spans="1:11">
      <c r="A432" s="22"/>
      <c r="B432" s="23"/>
      <c r="C432" s="24"/>
      <c r="D432" s="24"/>
      <c r="E432" s="24"/>
      <c r="F432" s="24"/>
      <c r="G432" s="24"/>
      <c r="H432" s="24"/>
      <c r="I432" s="24"/>
      <c r="J432" s="24"/>
      <c r="K432" s="25"/>
    </row>
    <row r="433" s="5" customFormat="1" ht="16.5" spans="1:11">
      <c r="A433" s="22"/>
      <c r="B433" s="23"/>
      <c r="C433" s="24"/>
      <c r="D433" s="24"/>
      <c r="E433" s="24"/>
      <c r="F433" s="24"/>
      <c r="G433" s="24"/>
      <c r="H433" s="24"/>
      <c r="I433" s="24"/>
      <c r="J433" s="24"/>
      <c r="K433" s="25"/>
    </row>
    <row r="434" s="5" customFormat="1" ht="16.5" spans="1:11">
      <c r="A434" s="22"/>
      <c r="B434" s="23"/>
      <c r="C434" s="24"/>
      <c r="D434" s="24"/>
      <c r="E434" s="24"/>
      <c r="F434" s="24"/>
      <c r="G434" s="24"/>
      <c r="H434" s="24"/>
      <c r="I434" s="24"/>
      <c r="J434" s="24"/>
      <c r="K434" s="25"/>
    </row>
    <row r="435" s="5" customFormat="1" ht="16.5" spans="1:11">
      <c r="A435" s="22"/>
      <c r="B435" s="23"/>
      <c r="C435" s="24"/>
      <c r="D435" s="24"/>
      <c r="E435" s="24"/>
      <c r="F435" s="24"/>
      <c r="G435" s="24"/>
      <c r="H435" s="24"/>
      <c r="I435" s="24"/>
      <c r="J435" s="24"/>
      <c r="K435" s="25"/>
    </row>
    <row r="436" s="5" customFormat="1" ht="16.5" spans="1:11">
      <c r="A436" s="22"/>
      <c r="B436" s="23"/>
      <c r="C436" s="24"/>
      <c r="D436" s="24"/>
      <c r="E436" s="24"/>
      <c r="F436" s="24"/>
      <c r="G436" s="24"/>
      <c r="H436" s="24"/>
      <c r="I436" s="24"/>
      <c r="J436" s="24"/>
      <c r="K436" s="25"/>
    </row>
    <row r="437" s="5" customFormat="1" ht="16.5" spans="1:11">
      <c r="A437" s="22"/>
      <c r="B437" s="23"/>
      <c r="C437" s="24"/>
      <c r="D437" s="24"/>
      <c r="E437" s="24"/>
      <c r="F437" s="24"/>
      <c r="G437" s="24"/>
      <c r="H437" s="24"/>
      <c r="I437" s="24"/>
      <c r="J437" s="24"/>
      <c r="K437" s="25"/>
    </row>
    <row r="438" s="5" customFormat="1" ht="16.5" spans="1:11">
      <c r="A438" s="22"/>
      <c r="B438" s="23"/>
      <c r="C438" s="24"/>
      <c r="D438" s="24"/>
      <c r="E438" s="24"/>
      <c r="F438" s="24"/>
      <c r="G438" s="24"/>
      <c r="H438" s="24"/>
      <c r="I438" s="24"/>
      <c r="J438" s="24"/>
      <c r="K438" s="25"/>
    </row>
    <row r="439" s="5" customFormat="1" ht="16.5" spans="1:11">
      <c r="A439" s="22"/>
      <c r="B439" s="23"/>
      <c r="C439" s="24"/>
      <c r="D439" s="24"/>
      <c r="E439" s="24"/>
      <c r="F439" s="24"/>
      <c r="G439" s="24"/>
      <c r="H439" s="24"/>
      <c r="I439" s="24"/>
      <c r="J439" s="24"/>
      <c r="K439" s="25"/>
    </row>
    <row r="440" s="5" customFormat="1" ht="16.5" spans="1:11">
      <c r="A440" s="22"/>
      <c r="B440" s="23"/>
      <c r="C440" s="24"/>
      <c r="D440" s="24"/>
      <c r="E440" s="24"/>
      <c r="F440" s="24"/>
      <c r="G440" s="24"/>
      <c r="H440" s="24"/>
      <c r="I440" s="24"/>
      <c r="J440" s="24"/>
      <c r="K440" s="25"/>
    </row>
    <row r="441" s="5" customFormat="1" ht="16.5" spans="1:11">
      <c r="A441" s="22"/>
      <c r="B441" s="23"/>
      <c r="C441" s="24"/>
      <c r="D441" s="24"/>
      <c r="E441" s="24"/>
      <c r="F441" s="24"/>
      <c r="G441" s="24"/>
      <c r="H441" s="24"/>
      <c r="I441" s="24"/>
      <c r="J441" s="24"/>
      <c r="K441" s="25"/>
    </row>
    <row r="442" s="5" customFormat="1" ht="16.5" spans="1:11">
      <c r="A442" s="22"/>
      <c r="B442" s="23"/>
      <c r="C442" s="24"/>
      <c r="D442" s="24"/>
      <c r="E442" s="24"/>
      <c r="F442" s="24"/>
      <c r="G442" s="24"/>
      <c r="H442" s="24"/>
      <c r="I442" s="24"/>
      <c r="J442" s="24"/>
      <c r="K442" s="25"/>
    </row>
    <row r="443" s="5" customFormat="1" ht="16.5" spans="1:11">
      <c r="A443" s="22"/>
      <c r="B443" s="23"/>
      <c r="C443" s="24"/>
      <c r="D443" s="24"/>
      <c r="E443" s="24"/>
      <c r="F443" s="24"/>
      <c r="G443" s="24"/>
      <c r="H443" s="24"/>
      <c r="I443" s="24"/>
      <c r="J443" s="24"/>
      <c r="K443" s="25"/>
    </row>
    <row r="444" s="5" customFormat="1" ht="16.5" spans="1:11">
      <c r="A444" s="22"/>
      <c r="B444" s="23"/>
      <c r="C444" s="24"/>
      <c r="D444" s="24"/>
      <c r="E444" s="24"/>
      <c r="F444" s="24"/>
      <c r="G444" s="24"/>
      <c r="H444" s="24"/>
      <c r="I444" s="24"/>
      <c r="J444" s="24"/>
      <c r="K444" s="25"/>
    </row>
    <row r="445" s="5" customFormat="1" ht="16.5" spans="1:11">
      <c r="A445" s="22"/>
      <c r="B445" s="23"/>
      <c r="C445" s="24"/>
      <c r="D445" s="24"/>
      <c r="E445" s="24"/>
      <c r="F445" s="24"/>
      <c r="G445" s="24"/>
      <c r="H445" s="24"/>
      <c r="I445" s="24"/>
      <c r="J445" s="24"/>
      <c r="K445" s="25"/>
    </row>
    <row r="446" s="5" customFormat="1" ht="16.5" spans="1:11">
      <c r="A446" s="22"/>
      <c r="B446" s="23"/>
      <c r="C446" s="24"/>
      <c r="D446" s="24"/>
      <c r="E446" s="24"/>
      <c r="F446" s="24"/>
      <c r="G446" s="24"/>
      <c r="H446" s="24"/>
      <c r="I446" s="24"/>
      <c r="J446" s="24"/>
      <c r="K446" s="25"/>
    </row>
    <row r="447" s="5" customFormat="1" ht="16.5" spans="1:11">
      <c r="A447" s="22"/>
      <c r="B447" s="23"/>
      <c r="C447" s="24"/>
      <c r="D447" s="24"/>
      <c r="E447" s="24"/>
      <c r="F447" s="24"/>
      <c r="G447" s="24"/>
      <c r="H447" s="24"/>
      <c r="I447" s="24"/>
      <c r="J447" s="24"/>
      <c r="K447" s="25"/>
    </row>
    <row r="448" s="5" customFormat="1" ht="16.5" spans="1:11">
      <c r="A448" s="22"/>
      <c r="B448" s="23"/>
      <c r="C448" s="24"/>
      <c r="D448" s="24"/>
      <c r="E448" s="24"/>
      <c r="F448" s="24"/>
      <c r="G448" s="24"/>
      <c r="H448" s="24"/>
      <c r="I448" s="24"/>
      <c r="J448" s="24"/>
      <c r="K448" s="25"/>
    </row>
    <row r="449" s="5" customFormat="1" ht="16.5" spans="1:11">
      <c r="A449" s="22"/>
      <c r="B449" s="23"/>
      <c r="C449" s="24"/>
      <c r="D449" s="24"/>
      <c r="E449" s="24"/>
      <c r="F449" s="24"/>
      <c r="G449" s="24"/>
      <c r="H449" s="24"/>
      <c r="I449" s="24"/>
      <c r="J449" s="24"/>
      <c r="K449" s="25"/>
    </row>
    <row r="450" s="5" customFormat="1" ht="16.5" spans="1:11">
      <c r="A450" s="22"/>
      <c r="B450" s="23"/>
      <c r="C450" s="24"/>
      <c r="D450" s="24"/>
      <c r="E450" s="24"/>
      <c r="F450" s="24"/>
      <c r="G450" s="24"/>
      <c r="H450" s="24"/>
      <c r="I450" s="24"/>
      <c r="J450" s="24"/>
      <c r="K450" s="25"/>
    </row>
    <row r="451" s="5" customFormat="1" ht="16.5" spans="1:11">
      <c r="A451" s="22"/>
      <c r="B451" s="23"/>
      <c r="C451" s="24"/>
      <c r="D451" s="24"/>
      <c r="E451" s="24"/>
      <c r="F451" s="24"/>
      <c r="G451" s="24"/>
      <c r="H451" s="24"/>
      <c r="I451" s="24"/>
      <c r="J451" s="24"/>
      <c r="K451" s="25"/>
    </row>
    <row r="452" s="5" customFormat="1" ht="16.5" spans="1:11">
      <c r="A452" s="22"/>
      <c r="B452" s="23"/>
      <c r="C452" s="24"/>
      <c r="D452" s="24"/>
      <c r="E452" s="24"/>
      <c r="F452" s="24"/>
      <c r="G452" s="24"/>
      <c r="H452" s="24"/>
      <c r="I452" s="24"/>
      <c r="J452" s="24"/>
      <c r="K452" s="25"/>
    </row>
    <row r="453" s="5" customFormat="1" ht="16.5" spans="1:11">
      <c r="A453" s="22"/>
      <c r="B453" s="23"/>
      <c r="C453" s="24"/>
      <c r="D453" s="24"/>
      <c r="E453" s="24"/>
      <c r="F453" s="24"/>
      <c r="G453" s="24"/>
      <c r="H453" s="24"/>
      <c r="I453" s="24"/>
      <c r="J453" s="24"/>
      <c r="K453" s="25"/>
    </row>
    <row r="454" s="5" customFormat="1" ht="16.5" spans="1:11">
      <c r="A454" s="22"/>
      <c r="B454" s="23"/>
      <c r="C454" s="24"/>
      <c r="D454" s="24"/>
      <c r="E454" s="24"/>
      <c r="F454" s="24"/>
      <c r="G454" s="24"/>
      <c r="H454" s="24"/>
      <c r="I454" s="24"/>
      <c r="J454" s="24"/>
      <c r="K454" s="25"/>
    </row>
    <row r="455" s="5" customFormat="1" ht="16.5" spans="1:11">
      <c r="A455" s="22"/>
      <c r="B455" s="23"/>
      <c r="C455" s="24"/>
      <c r="D455" s="24"/>
      <c r="E455" s="24"/>
      <c r="F455" s="24"/>
      <c r="G455" s="24"/>
      <c r="H455" s="24"/>
      <c r="I455" s="24"/>
      <c r="J455" s="24"/>
      <c r="K455" s="25"/>
    </row>
    <row r="456" s="5" customFormat="1" ht="16.5" spans="1:11">
      <c r="A456" s="22"/>
      <c r="B456" s="23"/>
      <c r="C456" s="24"/>
      <c r="D456" s="24"/>
      <c r="E456" s="24"/>
      <c r="F456" s="24"/>
      <c r="G456" s="24"/>
      <c r="H456" s="24"/>
      <c r="I456" s="24"/>
      <c r="J456" s="24"/>
      <c r="K456" s="25"/>
    </row>
    <row r="457" s="5" customFormat="1" ht="16.5" spans="1:11">
      <c r="A457" s="22"/>
      <c r="B457" s="23"/>
      <c r="C457" s="24"/>
      <c r="D457" s="24"/>
      <c r="E457" s="24"/>
      <c r="F457" s="24"/>
      <c r="G457" s="24"/>
      <c r="H457" s="24"/>
      <c r="I457" s="24"/>
      <c r="J457" s="24"/>
      <c r="K457" s="25"/>
    </row>
    <row r="458" s="5" customFormat="1" ht="16.5" spans="1:11">
      <c r="A458" s="22"/>
      <c r="B458" s="23"/>
      <c r="C458" s="24"/>
      <c r="D458" s="24"/>
      <c r="E458" s="24"/>
      <c r="F458" s="24"/>
      <c r="G458" s="24"/>
      <c r="H458" s="24"/>
      <c r="I458" s="24"/>
      <c r="J458" s="24"/>
      <c r="K458" s="25"/>
    </row>
    <row r="459" s="5" customFormat="1" ht="16.5" spans="1:11">
      <c r="A459" s="22"/>
      <c r="B459" s="23"/>
      <c r="C459" s="24"/>
      <c r="D459" s="24"/>
      <c r="E459" s="24"/>
      <c r="F459" s="24"/>
      <c r="G459" s="24"/>
      <c r="H459" s="24"/>
      <c r="I459" s="24"/>
      <c r="J459" s="24"/>
      <c r="K459" s="25"/>
    </row>
    <row r="460" s="5" customFormat="1" ht="16.5" spans="1:11">
      <c r="A460" s="22"/>
      <c r="B460" s="23"/>
      <c r="C460" s="24"/>
      <c r="D460" s="24"/>
      <c r="E460" s="24"/>
      <c r="F460" s="24"/>
      <c r="G460" s="24"/>
      <c r="H460" s="24"/>
      <c r="I460" s="24"/>
      <c r="J460" s="24"/>
      <c r="K460" s="25"/>
    </row>
    <row r="461" s="5" customFormat="1" ht="16.5" spans="1:11">
      <c r="A461" s="22"/>
      <c r="B461" s="23"/>
      <c r="C461" s="24"/>
      <c r="D461" s="24"/>
      <c r="E461" s="24"/>
      <c r="F461" s="24"/>
      <c r="G461" s="24"/>
      <c r="H461" s="24"/>
      <c r="I461" s="24"/>
      <c r="J461" s="24"/>
      <c r="K461" s="25"/>
    </row>
    <row r="462" s="5" customFormat="1" ht="16.5" spans="1:11">
      <c r="A462" s="22"/>
      <c r="B462" s="23"/>
      <c r="C462" s="24"/>
      <c r="D462" s="24"/>
      <c r="E462" s="24"/>
      <c r="F462" s="24"/>
      <c r="G462" s="24"/>
      <c r="H462" s="24"/>
      <c r="I462" s="24"/>
      <c r="J462" s="24"/>
      <c r="K462" s="25"/>
    </row>
    <row r="463" s="5" customFormat="1" ht="16.5" spans="1:11">
      <c r="A463" s="22"/>
      <c r="B463" s="23"/>
      <c r="C463" s="24"/>
      <c r="D463" s="24"/>
      <c r="E463" s="24"/>
      <c r="F463" s="24"/>
      <c r="G463" s="24"/>
      <c r="H463" s="24"/>
      <c r="I463" s="24"/>
      <c r="J463" s="24"/>
      <c r="K463" s="25"/>
    </row>
    <row r="464" s="5" customFormat="1" ht="16.5" spans="1:11">
      <c r="A464" s="22"/>
      <c r="B464" s="23"/>
      <c r="C464" s="24"/>
      <c r="D464" s="24"/>
      <c r="E464" s="24"/>
      <c r="F464" s="24"/>
      <c r="G464" s="24"/>
      <c r="H464" s="24"/>
      <c r="I464" s="24"/>
      <c r="J464" s="24"/>
      <c r="K464" s="25"/>
    </row>
    <row r="465" s="5" customFormat="1" ht="16.5" spans="1:11">
      <c r="A465" s="22"/>
      <c r="B465" s="23"/>
      <c r="C465" s="24"/>
      <c r="D465" s="24"/>
      <c r="E465" s="24"/>
      <c r="F465" s="24"/>
      <c r="G465" s="24"/>
      <c r="H465" s="24"/>
      <c r="I465" s="24"/>
      <c r="J465" s="24"/>
      <c r="K465" s="25"/>
    </row>
    <row r="466" s="5" customFormat="1" ht="16.5" spans="1:11">
      <c r="A466" s="22"/>
      <c r="B466" s="23"/>
      <c r="C466" s="24"/>
      <c r="D466" s="24"/>
      <c r="E466" s="24"/>
      <c r="F466" s="24"/>
      <c r="G466" s="24"/>
      <c r="H466" s="24"/>
      <c r="I466" s="24"/>
      <c r="J466" s="24"/>
      <c r="K466" s="25"/>
    </row>
    <row r="467" s="5" customFormat="1" ht="16.5" spans="1:11">
      <c r="A467" s="22"/>
      <c r="B467" s="23"/>
      <c r="C467" s="24"/>
      <c r="D467" s="24"/>
      <c r="E467" s="24"/>
      <c r="F467" s="24"/>
      <c r="G467" s="24"/>
      <c r="H467" s="24"/>
      <c r="I467" s="24"/>
      <c r="J467" s="24"/>
      <c r="K467" s="25"/>
    </row>
    <row r="468" s="5" customFormat="1" ht="16.5" spans="1:11">
      <c r="A468" s="22"/>
      <c r="B468" s="23"/>
      <c r="C468" s="24"/>
      <c r="D468" s="24"/>
      <c r="E468" s="24"/>
      <c r="F468" s="24"/>
      <c r="G468" s="24"/>
      <c r="H468" s="24"/>
      <c r="I468" s="24"/>
      <c r="J468" s="24"/>
      <c r="K468" s="25"/>
    </row>
    <row r="469" s="5" customFormat="1" ht="16.5" spans="1:11">
      <c r="A469" s="22"/>
      <c r="B469" s="23"/>
      <c r="C469" s="24"/>
      <c r="D469" s="24"/>
      <c r="E469" s="24"/>
      <c r="F469" s="24"/>
      <c r="G469" s="24"/>
      <c r="H469" s="24"/>
      <c r="I469" s="24"/>
      <c r="J469" s="24"/>
      <c r="K469" s="25"/>
    </row>
    <row r="470" s="5" customFormat="1" ht="16.5" spans="1:11">
      <c r="A470" s="22"/>
      <c r="B470" s="23"/>
      <c r="C470" s="24"/>
      <c r="D470" s="24"/>
      <c r="E470" s="24"/>
      <c r="F470" s="24"/>
      <c r="G470" s="24"/>
      <c r="H470" s="24"/>
      <c r="I470" s="24"/>
      <c r="J470" s="24"/>
      <c r="K470" s="25"/>
    </row>
    <row r="471" s="5" customFormat="1" ht="16.5" spans="1:11">
      <c r="A471" s="22"/>
      <c r="B471" s="23"/>
      <c r="C471" s="24"/>
      <c r="D471" s="24"/>
      <c r="E471" s="24"/>
      <c r="F471" s="24"/>
      <c r="G471" s="24"/>
      <c r="H471" s="24"/>
      <c r="I471" s="24"/>
      <c r="J471" s="24"/>
      <c r="K471" s="25"/>
    </row>
    <row r="472" s="5" customFormat="1" ht="16.5" spans="1:11">
      <c r="A472" s="22"/>
      <c r="B472" s="23"/>
      <c r="C472" s="24"/>
      <c r="D472" s="24"/>
      <c r="E472" s="24"/>
      <c r="F472" s="24"/>
      <c r="G472" s="24"/>
      <c r="H472" s="24"/>
      <c r="I472" s="24"/>
      <c r="J472" s="24"/>
      <c r="K472" s="25"/>
    </row>
    <row r="473" s="5" customFormat="1" ht="16.5" spans="1:11">
      <c r="A473" s="22"/>
      <c r="B473" s="23"/>
      <c r="C473" s="24"/>
      <c r="D473" s="24"/>
      <c r="E473" s="24"/>
      <c r="F473" s="24"/>
      <c r="G473" s="24"/>
      <c r="H473" s="24"/>
      <c r="I473" s="24"/>
      <c r="J473" s="24"/>
      <c r="K473" s="25"/>
    </row>
    <row r="474" s="5" customFormat="1" ht="16.5" spans="1:11">
      <c r="A474" s="22"/>
      <c r="B474" s="23"/>
      <c r="C474" s="24"/>
      <c r="D474" s="24"/>
      <c r="E474" s="24"/>
      <c r="F474" s="24"/>
      <c r="G474" s="24"/>
      <c r="H474" s="24"/>
      <c r="I474" s="24"/>
      <c r="J474" s="24"/>
      <c r="K474" s="25"/>
    </row>
    <row r="475" s="5" customFormat="1" ht="16.5" spans="1:11">
      <c r="A475" s="22"/>
      <c r="B475" s="23"/>
      <c r="C475" s="24"/>
      <c r="D475" s="24"/>
      <c r="E475" s="24"/>
      <c r="F475" s="24"/>
      <c r="G475" s="24"/>
      <c r="H475" s="24"/>
      <c r="I475" s="24"/>
      <c r="J475" s="24"/>
      <c r="K475" s="25"/>
    </row>
    <row r="476" s="5" customFormat="1" ht="16.5" spans="1:11">
      <c r="A476" s="22"/>
      <c r="B476" s="23"/>
      <c r="C476" s="24"/>
      <c r="D476" s="24"/>
      <c r="E476" s="24"/>
      <c r="F476" s="24"/>
      <c r="G476" s="24"/>
      <c r="H476" s="24"/>
      <c r="I476" s="24"/>
      <c r="J476" s="24"/>
      <c r="K476" s="25"/>
    </row>
    <row r="477" s="5" customFormat="1" ht="16.5" spans="1:11">
      <c r="A477" s="22"/>
      <c r="B477" s="23"/>
      <c r="C477" s="24"/>
      <c r="D477" s="24"/>
      <c r="E477" s="24"/>
      <c r="F477" s="24"/>
      <c r="G477" s="24"/>
      <c r="H477" s="24"/>
      <c r="I477" s="24"/>
      <c r="J477" s="24"/>
      <c r="K477" s="25"/>
    </row>
    <row r="478" s="5" customFormat="1" ht="16.5" spans="1:11">
      <c r="A478" s="22"/>
      <c r="B478" s="23"/>
      <c r="C478" s="24"/>
      <c r="D478" s="24"/>
      <c r="E478" s="24"/>
      <c r="F478" s="24"/>
      <c r="G478" s="24"/>
      <c r="H478" s="24"/>
      <c r="I478" s="24"/>
      <c r="J478" s="24"/>
      <c r="K478" s="25"/>
    </row>
    <row r="479" s="5" customFormat="1" ht="16.5" spans="1:11">
      <c r="A479" s="22"/>
      <c r="B479" s="23"/>
      <c r="C479" s="24"/>
      <c r="D479" s="24"/>
      <c r="E479" s="24"/>
      <c r="F479" s="24"/>
      <c r="G479" s="24"/>
      <c r="H479" s="24"/>
      <c r="I479" s="24"/>
      <c r="J479" s="24"/>
      <c r="K479" s="25"/>
    </row>
    <row r="480" s="5" customFormat="1" ht="16.5" spans="1:11">
      <c r="A480" s="22"/>
      <c r="B480" s="23"/>
      <c r="C480" s="24"/>
      <c r="D480" s="24"/>
      <c r="E480" s="24"/>
      <c r="F480" s="24"/>
      <c r="G480" s="24"/>
      <c r="H480" s="24"/>
      <c r="I480" s="24"/>
      <c r="J480" s="24"/>
      <c r="K480" s="25"/>
    </row>
    <row r="481" s="5" customFormat="1" ht="16.5" spans="1:11">
      <c r="A481" s="22"/>
      <c r="B481" s="23"/>
      <c r="C481" s="24"/>
      <c r="D481" s="24"/>
      <c r="E481" s="24"/>
      <c r="F481" s="24"/>
      <c r="G481" s="24"/>
      <c r="H481" s="24"/>
      <c r="I481" s="24"/>
      <c r="J481" s="24"/>
      <c r="K481" s="25"/>
    </row>
    <row r="482" s="5" customFormat="1" ht="16.5" spans="1:11">
      <c r="A482" s="22"/>
      <c r="B482" s="23"/>
      <c r="C482" s="24"/>
      <c r="D482" s="24"/>
      <c r="E482" s="24"/>
      <c r="F482" s="24"/>
      <c r="G482" s="24"/>
      <c r="H482" s="24"/>
      <c r="I482" s="24"/>
      <c r="J482" s="24"/>
      <c r="K482" s="25"/>
    </row>
    <row r="483" s="5" customFormat="1" ht="16.5" spans="1:11">
      <c r="A483" s="22"/>
      <c r="B483" s="23"/>
      <c r="C483" s="24"/>
      <c r="D483" s="24"/>
      <c r="E483" s="24"/>
      <c r="F483" s="24"/>
      <c r="G483" s="24"/>
      <c r="H483" s="24"/>
      <c r="I483" s="24"/>
      <c r="J483" s="24"/>
      <c r="K483" s="25"/>
    </row>
    <row r="484" s="5" customFormat="1" ht="16.5" spans="1:11">
      <c r="A484" s="22"/>
      <c r="B484" s="23"/>
      <c r="C484" s="24"/>
      <c r="D484" s="24"/>
      <c r="E484" s="24"/>
      <c r="F484" s="24"/>
      <c r="G484" s="24"/>
      <c r="H484" s="24"/>
      <c r="I484" s="24"/>
      <c r="J484" s="24"/>
      <c r="K484" s="25"/>
    </row>
    <row r="485" s="5" customFormat="1" ht="16.5" spans="1:11">
      <c r="A485" s="22"/>
      <c r="B485" s="23"/>
      <c r="C485" s="24"/>
      <c r="D485" s="24"/>
      <c r="E485" s="24"/>
      <c r="F485" s="24"/>
      <c r="G485" s="24"/>
      <c r="H485" s="24"/>
      <c r="I485" s="24"/>
      <c r="J485" s="24"/>
      <c r="K485" s="25"/>
    </row>
    <row r="486" s="5" customFormat="1" ht="16.5" spans="1:11">
      <c r="A486" s="22"/>
      <c r="B486" s="23"/>
      <c r="C486" s="24"/>
      <c r="D486" s="24"/>
      <c r="E486" s="24"/>
      <c r="F486" s="24"/>
      <c r="G486" s="24"/>
      <c r="H486" s="24"/>
      <c r="I486" s="24"/>
      <c r="J486" s="24"/>
      <c r="K486" s="25"/>
    </row>
    <row r="487" s="5" customFormat="1" ht="16.5" spans="1:11">
      <c r="A487" s="22"/>
      <c r="B487" s="23"/>
      <c r="C487" s="24"/>
      <c r="D487" s="24"/>
      <c r="E487" s="24"/>
      <c r="F487" s="24"/>
      <c r="G487" s="24"/>
      <c r="H487" s="24"/>
      <c r="I487" s="24"/>
      <c r="J487" s="24"/>
      <c r="K487" s="25"/>
    </row>
    <row r="488" s="5" customFormat="1" ht="16.5" spans="1:11">
      <c r="A488" s="22"/>
      <c r="B488" s="23"/>
      <c r="C488" s="24"/>
      <c r="D488" s="24"/>
      <c r="E488" s="24"/>
      <c r="F488" s="24"/>
      <c r="G488" s="24"/>
      <c r="H488" s="24"/>
      <c r="I488" s="24"/>
      <c r="J488" s="24"/>
      <c r="K488" s="25"/>
    </row>
    <row r="489" s="5" customFormat="1" ht="16.5" spans="1:11">
      <c r="A489" s="22"/>
      <c r="B489" s="23"/>
      <c r="C489" s="24"/>
      <c r="D489" s="24"/>
      <c r="E489" s="24"/>
      <c r="F489" s="24"/>
      <c r="G489" s="24"/>
      <c r="H489" s="24"/>
      <c r="I489" s="24"/>
      <c r="J489" s="24"/>
      <c r="K489" s="25"/>
    </row>
    <row r="490" s="5" customFormat="1" ht="16.5" spans="1:11">
      <c r="A490" s="22"/>
      <c r="B490" s="23"/>
      <c r="C490" s="24"/>
      <c r="D490" s="24"/>
      <c r="E490" s="24"/>
      <c r="F490" s="24"/>
      <c r="G490" s="24"/>
      <c r="H490" s="24"/>
      <c r="I490" s="24"/>
      <c r="J490" s="24"/>
      <c r="K490" s="25"/>
    </row>
    <row r="491" s="5" customFormat="1" ht="16.5" spans="1:11">
      <c r="A491" s="22"/>
      <c r="B491" s="23"/>
      <c r="C491" s="24"/>
      <c r="D491" s="24"/>
      <c r="E491" s="24"/>
      <c r="F491" s="24"/>
      <c r="G491" s="24"/>
      <c r="H491" s="24"/>
      <c r="I491" s="24"/>
      <c r="J491" s="24"/>
      <c r="K491" s="25"/>
    </row>
    <row r="492" s="5" customFormat="1" ht="16.5" spans="1:11">
      <c r="A492" s="22"/>
      <c r="B492" s="23"/>
      <c r="C492" s="24"/>
      <c r="D492" s="24"/>
      <c r="E492" s="24"/>
      <c r="F492" s="24"/>
      <c r="G492" s="24"/>
      <c r="H492" s="24"/>
      <c r="I492" s="24"/>
      <c r="J492" s="24"/>
      <c r="K492" s="25"/>
    </row>
    <row r="493" s="5" customFormat="1" ht="16.5" spans="1:11">
      <c r="A493" s="22"/>
      <c r="B493" s="23"/>
      <c r="C493" s="24"/>
      <c r="D493" s="24"/>
      <c r="E493" s="24"/>
      <c r="F493" s="24"/>
      <c r="G493" s="24"/>
      <c r="H493" s="24"/>
      <c r="I493" s="24"/>
      <c r="J493" s="24"/>
      <c r="K493" s="25"/>
    </row>
    <row r="494" s="5" customFormat="1" ht="16.5" spans="1:11">
      <c r="A494" s="22"/>
      <c r="B494" s="23"/>
      <c r="C494" s="24"/>
      <c r="D494" s="24"/>
      <c r="E494" s="24"/>
      <c r="F494" s="24"/>
      <c r="G494" s="24"/>
      <c r="H494" s="24"/>
      <c r="I494" s="24"/>
      <c r="J494" s="24"/>
      <c r="K494" s="25"/>
    </row>
    <row r="495" s="5" customFormat="1" ht="16.5" spans="1:11">
      <c r="A495" s="22"/>
      <c r="B495" s="23"/>
      <c r="C495" s="24"/>
      <c r="D495" s="24"/>
      <c r="E495" s="24"/>
      <c r="F495" s="24"/>
      <c r="G495" s="24"/>
      <c r="H495" s="24"/>
      <c r="I495" s="24"/>
      <c r="J495" s="24"/>
      <c r="K495" s="25"/>
    </row>
    <row r="496" s="5" customFormat="1" ht="16.5" spans="1:11">
      <c r="A496" s="22"/>
      <c r="B496" s="23"/>
      <c r="C496" s="24"/>
      <c r="D496" s="24"/>
      <c r="E496" s="24"/>
      <c r="F496" s="24"/>
      <c r="G496" s="24"/>
      <c r="H496" s="24"/>
      <c r="I496" s="24"/>
      <c r="J496" s="24"/>
      <c r="K496" s="25"/>
    </row>
    <row r="497" s="5" customFormat="1" ht="16.5" spans="1:11">
      <c r="A497" s="22"/>
      <c r="B497" s="23"/>
      <c r="C497" s="24"/>
      <c r="D497" s="24"/>
      <c r="E497" s="24"/>
      <c r="F497" s="24"/>
      <c r="G497" s="24"/>
      <c r="H497" s="24"/>
      <c r="I497" s="24"/>
      <c r="J497" s="24"/>
      <c r="K497" s="25"/>
    </row>
    <row r="498" s="5" customFormat="1" ht="16.5" spans="1:11">
      <c r="A498" s="22"/>
      <c r="B498" s="23"/>
      <c r="C498" s="24"/>
      <c r="D498" s="24"/>
      <c r="E498" s="24"/>
      <c r="F498" s="24"/>
      <c r="G498" s="24"/>
      <c r="H498" s="24"/>
      <c r="I498" s="24"/>
      <c r="J498" s="24"/>
      <c r="K498" s="25"/>
    </row>
    <row r="499" s="5" customFormat="1" ht="16.5" spans="1:11">
      <c r="A499" s="22"/>
      <c r="B499" s="23"/>
      <c r="C499" s="24"/>
      <c r="D499" s="24"/>
      <c r="E499" s="24"/>
      <c r="F499" s="24"/>
      <c r="G499" s="24"/>
      <c r="H499" s="24"/>
      <c r="I499" s="24"/>
      <c r="J499" s="24"/>
      <c r="K499" s="25"/>
    </row>
    <row r="500" s="5" customFormat="1" ht="16.5" spans="1:11">
      <c r="A500" s="22"/>
      <c r="B500" s="23"/>
      <c r="C500" s="24"/>
      <c r="D500" s="24"/>
      <c r="E500" s="24"/>
      <c r="F500" s="24"/>
      <c r="G500" s="24"/>
      <c r="H500" s="24"/>
      <c r="I500" s="24"/>
      <c r="J500" s="24"/>
      <c r="K500" s="25"/>
    </row>
    <row r="501" s="5" customFormat="1" ht="16.5" spans="1:11">
      <c r="A501" s="22"/>
      <c r="B501" s="23"/>
      <c r="C501" s="24"/>
      <c r="D501" s="24"/>
      <c r="E501" s="24"/>
      <c r="F501" s="24"/>
      <c r="G501" s="24"/>
      <c r="H501" s="24"/>
      <c r="I501" s="24"/>
      <c r="J501" s="24"/>
      <c r="K501" s="25"/>
    </row>
    <row r="502" s="5" customFormat="1" ht="16.5" spans="1:11">
      <c r="A502" s="22"/>
      <c r="B502" s="23"/>
      <c r="C502" s="24"/>
      <c r="D502" s="24"/>
      <c r="E502" s="24"/>
      <c r="F502" s="24"/>
      <c r="G502" s="24"/>
      <c r="H502" s="24"/>
      <c r="I502" s="24"/>
      <c r="J502" s="24"/>
      <c r="K502" s="25"/>
    </row>
    <row r="503" s="5" customFormat="1" ht="16.5" spans="1:11">
      <c r="A503" s="22"/>
      <c r="B503" s="23"/>
      <c r="C503" s="24"/>
      <c r="D503" s="24"/>
      <c r="E503" s="24"/>
      <c r="F503" s="24"/>
      <c r="G503" s="24"/>
      <c r="H503" s="24"/>
      <c r="I503" s="24"/>
      <c r="J503" s="24"/>
      <c r="K503" s="25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基础资料!$G:$G</formula1>
    </dataValidation>
  </dataValidation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O240"/>
  <sheetViews>
    <sheetView workbookViewId="0">
      <selection activeCell="E10" sqref="E10"/>
    </sheetView>
  </sheetViews>
  <sheetFormatPr defaultColWidth="9" defaultRowHeight="14.25"/>
  <cols>
    <col min="1" max="1" width="93.75" style="2" customWidth="1"/>
    <col min="2" max="2" width="16.625" style="2" customWidth="1"/>
    <col min="3" max="16384" width="9" style="2"/>
  </cols>
  <sheetData>
    <row r="1" ht="20.25" spans="1:8">
      <c r="A1" s="3" t="s">
        <v>312</v>
      </c>
    </row>
    <row r="2" spans="1:8">
      <c r="A2" s="2" t="s">
        <v>313</v>
      </c>
    </row>
    <row r="3" spans="1:8">
      <c r="A3" s="2" t="s">
        <v>314</v>
      </c>
    </row>
    <row r="4" spans="1:8">
      <c r="A4" s="2" t="s">
        <v>315</v>
      </c>
    </row>
    <row r="5" spans="1:8">
      <c r="A5" s="2" t="s">
        <v>316</v>
      </c>
    </row>
    <row r="6" spans="1:8">
      <c r="A6" s="2" t="s">
        <v>317</v>
      </c>
    </row>
    <row r="7" spans="1:8">
      <c r="A7" s="2" t="s">
        <v>318</v>
      </c>
    </row>
    <row r="8" spans="1:8">
      <c r="A8" s="2" t="s">
        <v>319</v>
      </c>
    </row>
    <row r="9" spans="1:8">
      <c r="A9" s="2" t="s">
        <v>320</v>
      </c>
    </row>
    <row r="13" s="1" customFormat="1" spans="1:8">
      <c r="A13" s="1" t="s">
        <v>314</v>
      </c>
    </row>
    <row r="14" s="1" customFormat="1" spans="1:8">
      <c r="A14" s="1" t="s">
        <v>315</v>
      </c>
    </row>
    <row r="15" spans="1:8">
      <c r="A15"/>
      <c r="B15"/>
    </row>
    <row r="16" spans="1:8">
      <c r="A16" s="4" t="s">
        <v>321</v>
      </c>
      <c r="B16" s="4" t="s">
        <v>322</v>
      </c>
      <c r="C16" s="4"/>
      <c r="D16" s="4"/>
      <c r="E16" s="4"/>
      <c r="F16" s="4"/>
      <c r="G16" s="4"/>
      <c r="H16" s="4"/>
    </row>
    <row r="39" spans="1:12">
      <c r="L39"/>
    </row>
    <row r="40" spans="1:12">
      <c r="A40" s="4" t="s">
        <v>323</v>
      </c>
      <c r="B40" s="4" t="s">
        <v>324</v>
      </c>
      <c r="C40" s="4"/>
      <c r="D40" s="4"/>
      <c r="E40" s="4"/>
      <c r="F40" s="4"/>
      <c r="G40" s="4"/>
      <c r="H40" s="4"/>
      <c r="I40" s="4"/>
      <c r="J40" s="4"/>
    </row>
    <row r="44" spans="1:12">
      <c r="A44"/>
    </row>
    <row r="47" spans="1:12">
      <c r="B47" s="4" t="s">
        <v>325</v>
      </c>
      <c r="C47" s="4"/>
      <c r="D47" s="4"/>
      <c r="E47" s="4"/>
      <c r="F47" s="4"/>
      <c r="G47" s="4"/>
      <c r="H47" s="4"/>
      <c r="I47" s="4"/>
      <c r="J47" s="4"/>
    </row>
    <row r="62" spans="12:12">
      <c r="L62"/>
    </row>
    <row r="68" spans="1:15">
      <c r="L68"/>
    </row>
    <row r="77" spans="1:15">
      <c r="A77" s="4" t="s">
        <v>326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/>
    </row>
    <row r="79" spans="1:15">
      <c r="B79"/>
    </row>
    <row r="115" s="1" customFormat="1" spans="1:1">
      <c r="A115" s="1" t="s">
        <v>316</v>
      </c>
    </row>
    <row r="116" s="1" customFormat="1" spans="1:1">
      <c r="A116" s="1" t="s">
        <v>317</v>
      </c>
    </row>
    <row r="117" spans="1:1">
      <c r="A117"/>
    </row>
    <row r="145" s="1" customFormat="1" spans="1:2">
      <c r="A145" s="1" t="s">
        <v>327</v>
      </c>
    </row>
    <row r="147" spans="1:2">
      <c r="A147"/>
      <c r="B147"/>
    </row>
    <row r="177" spans="1:1">
      <c r="A177"/>
    </row>
    <row r="205" s="1" customFormat="1" spans="1:1">
      <c r="A205" s="1" t="s">
        <v>328</v>
      </c>
    </row>
    <row r="206" spans="1:1">
      <c r="A206"/>
    </row>
    <row r="238" s="1" customFormat="1" spans="1:1">
      <c r="A238" s="1" t="s">
        <v>320</v>
      </c>
    </row>
    <row r="240" spans="1:1">
      <c r="A240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使用说明</vt:lpstr>
      <vt:lpstr>基础资料</vt:lpstr>
      <vt:lpstr>数据录入</vt:lpstr>
      <vt:lpstr>投标和合同履约保证金统计</vt:lpstr>
      <vt:lpstr>供应商统计</vt:lpstr>
      <vt:lpstr>汇报表</vt:lpstr>
      <vt:lpstr>任意时间段收支报表</vt:lpstr>
      <vt:lpstr>收支报表</vt:lpstr>
      <vt:lpstr>泰溢农行</vt:lpstr>
      <vt:lpstr>泰溢招行</vt:lpstr>
      <vt:lpstr>趣点购浦发</vt:lpstr>
      <vt:lpstr>雅安趣点购农行</vt:lpstr>
      <vt:lpstr>建行</vt:lpstr>
      <vt:lpstr>农行</vt:lpstr>
      <vt:lpstr>中行</vt:lpstr>
      <vt:lpstr>支付宝</vt:lpstr>
      <vt:lpstr>农商行</vt:lpstr>
      <vt:lpstr>备用</vt:lpstr>
      <vt:lpstr>备用1</vt:lpstr>
      <vt:lpstr>备用2</vt:lpstr>
      <vt:lpstr>备用3</vt:lpstr>
      <vt:lpstr>备用4</vt:lpstr>
      <vt:lpstr>操作流程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</cp:lastModifiedBy>
  <dcterms:created xsi:type="dcterms:W3CDTF">2026-06-25T13:22:00Z</dcterms:created>
  <dcterms:modified xsi:type="dcterms:W3CDTF">2026-09-13T03:04:34Z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D058CE98FF0C4ED1B514D3513C39E9AA_13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